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drawings/drawing22.xml" ContentType="application/vnd.openxmlformats-officedocument.drawingml.chartshap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1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8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19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20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Ex21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Ex22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Ex23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harts/chartEx24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harts/chartEx25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harts/chartEx26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6.xml" ContentType="application/vnd.openxmlformats-officedocument.drawing+xml"/>
  <Override PartName="/xl/charts/chartEx27.xml" ContentType="application/vnd.ms-office.chartex+xml"/>
  <Override PartName="/xl/charts/style29.xml" ContentType="application/vnd.ms-office.chartstyle+xml"/>
  <Override PartName="/xl/charts/colors29.xml" ContentType="application/vnd.ms-office.chartcolorstyle+xml"/>
  <Override PartName="/xl/charts/chartEx28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charts/chartEx29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charts/chartEx30.xml" ContentType="application/vnd.ms-office.chartex+xml"/>
  <Override PartName="/xl/charts/style32.xml" ContentType="application/vnd.ms-office.chartstyle+xml"/>
  <Override PartName="/xl/charts/colors32.xml" ContentType="application/vnd.ms-office.chartcolorstyle+xml"/>
  <Override PartName="/xl/charts/chartEx31.xml" ContentType="application/vnd.ms-office.chartex+xml"/>
  <Override PartName="/xl/charts/style33.xml" ContentType="application/vnd.ms-office.chartstyle+xml"/>
  <Override PartName="/xl/charts/colors33.xml" ContentType="application/vnd.ms-office.chartcolorstyle+xml"/>
  <Override PartName="/xl/charts/chartEx32.xml" ContentType="application/vnd.ms-office.chartex+xml"/>
  <Override PartName="/xl/charts/style34.xml" ContentType="application/vnd.ms-office.chartstyle+xml"/>
  <Override PartName="/xl/charts/colors34.xml" ContentType="application/vnd.ms-office.chartcolorstyle+xml"/>
  <Override PartName="/xl/charts/chartEx33.xml" ContentType="application/vnd.ms-office.chartex+xml"/>
  <Override PartName="/xl/charts/style35.xml" ContentType="application/vnd.ms-office.chartstyle+xml"/>
  <Override PartName="/xl/charts/colors35.xml" ContentType="application/vnd.ms-office.chartcolorstyle+xml"/>
  <Override PartName="/xl/drawings/drawing7.xml" ContentType="application/vnd.openxmlformats-officedocument.drawing+xml"/>
  <Override PartName="/xl/charts/chartEx34.xml" ContentType="application/vnd.ms-office.chartex+xml"/>
  <Override PartName="/xl/charts/style36.xml" ContentType="application/vnd.ms-office.chartstyle+xml"/>
  <Override PartName="/xl/charts/colors36.xml" ContentType="application/vnd.ms-office.chartcolorstyle+xml"/>
  <Override PartName="/xl/charts/chartEx35.xml" ContentType="application/vnd.ms-office.chartex+xml"/>
  <Override PartName="/xl/charts/style37.xml" ContentType="application/vnd.ms-office.chartstyle+xml"/>
  <Override PartName="/xl/charts/colors37.xml" ContentType="application/vnd.ms-office.chartcolorstyle+xml"/>
  <Override PartName="/xl/charts/chartEx36.xml" ContentType="application/vnd.ms-office.chartex+xml"/>
  <Override PartName="/xl/charts/style38.xml" ContentType="application/vnd.ms-office.chartstyle+xml"/>
  <Override PartName="/xl/charts/colors38.xml" ContentType="application/vnd.ms-office.chartcolorstyle+xml"/>
  <Override PartName="/xl/charts/chartEx37.xml" ContentType="application/vnd.ms-office.chartex+xml"/>
  <Override PartName="/xl/charts/style39.xml" ContentType="application/vnd.ms-office.chartstyle+xml"/>
  <Override PartName="/xl/charts/colors39.xml" ContentType="application/vnd.ms-office.chartcolorstyle+xml"/>
  <Override PartName="/xl/charts/chartEx38.xml" ContentType="application/vnd.ms-office.chartex+xml"/>
  <Override PartName="/xl/charts/style40.xml" ContentType="application/vnd.ms-office.chartstyle+xml"/>
  <Override PartName="/xl/charts/colors40.xml" ContentType="application/vnd.ms-office.chartcolorstyle+xml"/>
  <Override PartName="/xl/charts/chartEx39.xml" ContentType="application/vnd.ms-office.chartex+xml"/>
  <Override PartName="/xl/charts/style41.xml" ContentType="application/vnd.ms-office.chartstyle+xml"/>
  <Override PartName="/xl/charts/colors41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3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5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6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7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8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10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11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12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14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15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16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14.xml" ContentType="application/vnd.openxmlformats-officedocument.drawing+xml"/>
  <Override PartName="/xl/charts/chart17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18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19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20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21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22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23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Ex40.xml" ContentType="application/vnd.ms-office.chartex+xml"/>
  <Override PartName="/xl/charts/style63.xml" ContentType="application/vnd.ms-office.chartstyle+xml"/>
  <Override PartName="/xl/charts/colors63.xml" ContentType="application/vnd.ms-office.chartcolorstyle+xml"/>
  <Override PartName="/xl/charts/chart2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15.xml" ContentType="application/vnd.openxmlformats-officedocument.drawing+xml"/>
  <Override PartName="/xl/charts/chart2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2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Ex41.xml" ContentType="application/vnd.ms-office.chartex+xml"/>
  <Override PartName="/xl/charts/style67.xml" ContentType="application/vnd.ms-office.chartstyle+xml"/>
  <Override PartName="/xl/charts/colors67.xml" ContentType="application/vnd.ms-office.chartcolorstyle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harts/chartEx42.xml" ContentType="application/vnd.ms-office.chartex+xml"/>
  <Override PartName="/xl/charts/style68.xml" ContentType="application/vnd.ms-office.chartstyle+xml"/>
  <Override PartName="/xl/charts/colors68.xml" ContentType="application/vnd.ms-office.chartcolorstyle+xml"/>
  <Override PartName="/xl/charts/chartEx43.xml" ContentType="application/vnd.ms-office.chartex+xml"/>
  <Override PartName="/xl/charts/style69.xml" ContentType="application/vnd.ms-office.chartstyle+xml"/>
  <Override PartName="/xl/charts/colors69.xml" ContentType="application/vnd.ms-office.chartcolorstyle+xml"/>
  <Override PartName="/xl/drawings/drawing19.xml" ContentType="application/vnd.openxmlformats-officedocument.drawing+xml"/>
  <Override PartName="/xl/pivotTables/pivotTable1.xml" ContentType="application/vnd.openxmlformats-officedocument.spreadsheetml.pivotTable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harts/chart27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28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29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23.xml" ContentType="application/vnd.openxmlformats-officedocument.drawing+xml"/>
  <Override PartName="/xl/charts/chart30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31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32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26.xml" ContentType="application/vnd.openxmlformats-officedocument.drawing+xml"/>
  <Override PartName="/xl/charts/chartEx44.xml" ContentType="application/vnd.ms-office.chartex+xml"/>
  <Override PartName="/xl/charts/style76.xml" ContentType="application/vnd.ms-office.chartstyle+xml"/>
  <Override PartName="/xl/charts/colors76.xml" ContentType="application/vnd.ms-office.chartcolorstyle+xml"/>
  <Override PartName="/xl/drawings/drawing27.xml" ContentType="application/vnd.openxmlformats-officedocument.drawing+xml"/>
  <Override PartName="/xl/charts/chart54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55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56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57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hreadedComments/threadedComment1.xml" ContentType="application/vnd.ms-excel.threaded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threadedComments/threadedComment2.xml" ContentType="application/vnd.ms-excel.threadedcomments+xml"/>
  <Override PartName="/xl/comments10.xml" ContentType="application/vnd.openxmlformats-officedocument.spreadsheetml.comment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threadedComments/threadedComment4.xml" ContentType="application/vnd.ms-excel.threaded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16.xml" ContentType="application/vnd.openxmlformats-officedocument.spreadsheetml.comments+xml"/>
  <Override PartName="/xl/comments18.xml" ContentType="application/vnd.openxmlformats-officedocument.spreadsheetml.comments+xml"/>
  <Override PartName="/xl/comments13.xml" ContentType="application/vnd.openxmlformats-officedocument.spreadsheetml.comments+xml"/>
  <Override PartName="/xl/comments15.xml" ContentType="application/vnd.openxmlformats-officedocument.spreadsheetml.comments+xml"/>
  <Override PartName="/xl/comments14.xml" ContentType="application/vnd.openxmlformats-officedocument.spreadsheetml.comments+xml"/>
  <Override PartName="/xl/comments19.xml" ContentType="application/vnd.openxmlformats-officedocument.spreadsheetml.comments+xml"/>
  <Override PartName="/xl/comments17.xml" ContentType="application/vnd.openxmlformats-officedocument.spreadsheetml.comments+xml"/>
  <Override PartName="/xl/threadedComments/threadedComment3.xml" ContentType="application/vnd.ms-excel.threadedcomments+xml"/>
  <Override PartName="/xl/comments22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codeName="ThisWorkbook" hidePivotFieldList="1"/>
  <mc:AlternateContent xmlns:mc="http://schemas.openxmlformats.org/markup-compatibility/2006">
    <mc:Choice Requires="x15">
      <x15ac:absPath xmlns:x15ac="http://schemas.microsoft.com/office/spreadsheetml/2010/11/ac" url="K:\Gerencia Planif &amp; Ing\P&amp;I Metalurgia\METALURGISTA PROCESOS-SENIOR\Trabajos Metalurgia\Planes de producción\Planes Mensuales y Semanales\2026\03.Marzo\02. Planes Semanales\4. Semanal 20 al 26\"/>
    </mc:Choice>
  </mc:AlternateContent>
  <xr:revisionPtr revIDLastSave="0" documentId="13_ncr:1_{E1386EA1-0911-4B07-A9C2-5B4D08ED5265}" xr6:coauthVersionLast="47" xr6:coauthVersionMax="47" xr10:uidLastSave="{00000000-0000-0000-0000-000000000000}"/>
  <bookViews>
    <workbookView xWindow="28680" yWindow="-120" windowWidth="29040" windowHeight="15720" tabRatio="899" firstSheet="3" activeTab="4" autoFilterDateGrouping="0" xr2:uid="{505E81C3-BC23-424E-84CE-C71A41113B8D}"/>
  </bookViews>
  <sheets>
    <sheet name="Factores" sheetId="34" r:id="rId1"/>
    <sheet name="Comparacion (Sin BM)" sheetId="32" r:id="rId2"/>
    <sheet name="Acumulados" sheetId="165" r:id="rId3"/>
    <sheet name="TP sin BM" sheetId="155" r:id="rId4"/>
    <sheet name="graf" sheetId="178" r:id="rId5"/>
    <sheet name="BDGT ORI" sheetId="26" state="hidden" r:id="rId6"/>
    <sheet name="TP con BM" sheetId="156" state="hidden" r:id="rId7"/>
    <sheet name="PM vs OL y BD" sheetId="163" r:id="rId8"/>
    <sheet name="LibroDG" sheetId="176" r:id="rId9"/>
    <sheet name="BDGT" sheetId="24" r:id="rId10"/>
    <sheet name="0+12" sheetId="133" r:id="rId11"/>
    <sheet name="% Fases ST" sheetId="172" r:id="rId12"/>
    <sheet name="Gant Mttos Rel." sheetId="173" state="hidden" r:id="rId13"/>
    <sheet name="Real" sheetId="18" r:id="rId14"/>
    <sheet name="R+RP+B" sheetId="28" r:id="rId15"/>
    <sheet name="Envíos STC" sheetId="167" state="hidden" r:id="rId16"/>
    <sheet name="Embarques Cu" sheetId="123" r:id="rId17"/>
    <sheet name="Recalculos ST" sheetId="148" r:id="rId18"/>
    <sheet name="MCP ST" sheetId="149" r:id="rId19"/>
    <sheet name="ST Original" sheetId="158" r:id="rId20"/>
    <sheet name="Plan mina ST" sheetId="161" r:id="rId21"/>
    <sheet name="Vector flujo cero" sheetId="175" state="hidden" r:id="rId22"/>
    <sheet name="Control Producción" sheetId="177" r:id="rId23"/>
    <sheet name="R+P" sheetId="77" r:id="rId24"/>
    <sheet name="Plan mina PS" sheetId="111" r:id="rId25"/>
    <sheet name="Proy. Mes" sheetId="36" r:id="rId26"/>
    <sheet name="Perfil Envío ST" sheetId="159" state="hidden" r:id="rId27"/>
    <sheet name="Tablas de producción" sheetId="126" state="hidden" r:id="rId28"/>
    <sheet name="MCP PS" sheetId="151" r:id="rId29"/>
    <sheet name="Recalculos PS" sheetId="150" r:id="rId30"/>
    <sheet name="Real+S.T." sheetId="22" state="hidden" r:id="rId31"/>
    <sheet name="Comentarios generales" sheetId="157" state="hidden" r:id="rId32"/>
    <sheet name="Cubicadores" sheetId="152" state="hidden" r:id="rId33"/>
    <sheet name="Recalculo cubicadores" sheetId="153" state="hidden" r:id="rId34"/>
    <sheet name="ARENAS" sheetId="136" state="hidden" r:id="rId35"/>
    <sheet name="Gestión Inventarios" sheetId="115" state="hidden" r:id="rId36"/>
    <sheet name="HojaSIPcfg" sheetId="118" state="veryHidden" r:id="rId37"/>
    <sheet name="Grafico ktpd" sheetId="92" state="hidden" r:id="rId38"/>
    <sheet name="Hoja1" sheetId="166" state="hidden" r:id="rId39"/>
    <sheet name="R+RS+B" sheetId="20" state="hidden" r:id="rId40"/>
    <sheet name="R+RP+OL" sheetId="30" state="hidden" r:id="rId41"/>
    <sheet name="R+RS+F(OL)" sheetId="10" state="hidden" r:id="rId42"/>
    <sheet name="Explicacion Cueq (Con BM)" sheetId="100" state="hidden" r:id="rId43"/>
    <sheet name="BM con CuF pagable" sheetId="117" state="hidden" r:id="rId44"/>
    <sheet name="Visualizacion PSvsST" sheetId="147" r:id="rId45"/>
    <sheet name="CS Y GO" sheetId="168" r:id="rId46"/>
    <sheet name="As CAL" sheetId="119" r:id="rId47"/>
    <sheet name="Envíos STC 2800" sheetId="171" r:id="rId48"/>
    <sheet name="Chequeo" sheetId="144" state="hidden" r:id="rId49"/>
  </sheets>
  <externalReferences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</externalReferences>
  <definedNames>
    <definedName name="___r" localSheetId="7">#REF!</definedName>
    <definedName name="___r" localSheetId="27">#REF!</definedName>
    <definedName name="___r" localSheetId="6">#REF!</definedName>
    <definedName name="___r" localSheetId="3">#REF!</definedName>
    <definedName name="___thinkcell3CFAAAAAAAAAAAAAAAAFHHXKWEZ4CQKAQLVY4623M5YTQ" localSheetId="26" hidden="1">'Perfil Envío ST'!$A$50:$D$52</definedName>
    <definedName name="___thinkcell7KFQAAAAAAAAAAAAAAANPWGJ26PT6S2CQIHGZRGR33DAS" localSheetId="22" hidden="1">'Control Producción'!$AD$16:$AL$18</definedName>
    <definedName name="___thinkcell7KFQAAABAAAAAAAAAAAAJWZSYIMJDVKLXTD3DKAR3WG7E" localSheetId="22" hidden="1">'Control Producción'!$DE$3:$DG$34</definedName>
    <definedName name="___thinkcell7KFQAAABAAAAAAAAAAACVYQEESPJ6FCPQGWVGARF2W6OE" localSheetId="22" hidden="1">'Control Producción'!$DI$3:$DK$34</definedName>
    <definedName name="___thinkcell7KFQAAABAAAAAAAAAAAEDGE5XLBXSVCGVPEGJOHIHI7AS" localSheetId="22" hidden="1">'Control Producción'!$CW$3:$CZ$34</definedName>
    <definedName name="___thinkcell7KFQAAABAAAAAAAAAAAFF7WJ5PAN3HKKT6FTCALGTRMZO" localSheetId="22" hidden="1">'Control Producción'!$CR$3:$CU$34</definedName>
    <definedName name="___thinkcell7KFQAAABAAAAAAAAAAAICCVJP32AGH2CW3M3SXVU2B5JO" localSheetId="22" hidden="1">'Control Producción'!$DA$3:$DC$34</definedName>
    <definedName name="___thinkcell7KFQAAABAAAAAAAAAAAOA4JOBSEUPBCBXOOFH6QTI3PQS" localSheetId="22" hidden="1">'Control Producción'!$DQ$3:$DS$34</definedName>
    <definedName name="___thinkcell7KFQAAABAAAAAAAAAAAORUL7TKLA5JSFRPFJ6B6PHXT5Q" localSheetId="22" hidden="1">'Control Producción'!$DM$3:$DO$34</definedName>
    <definedName name="___thinkcellC2GAAAABAAAAAAAAAAAEFSR6GNXDU2CFRWPD5WZKDS4X2" localSheetId="22" hidden="1">'Control Producción'!$CF$3:$CI$34</definedName>
    <definedName name="___thinkcellC2GAAAABAAAAAAAAAAAFPKDLURBRYWSPVZB6OOAYFEE2W" localSheetId="22" hidden="1">'Control Producción'!$CB$3:$CE$34</definedName>
    <definedName name="___thinkcellC2GAAAABAAAAAAAAAAAGGHTCT44F56KAWRTJFNW2NLCU2" localSheetId="22" hidden="1">'Control Producción'!$CJ$3:$CM$34</definedName>
    <definedName name="___thinkcellC2GAAAABAAAAAAAAAAAPZUAXJFXTGW2CUXY5NZA6DWMIA" localSheetId="22" hidden="1">'Control Producción'!$DU$3:$DY$34</definedName>
    <definedName name="__123Graph_A" localSheetId="16" hidden="1">#REF!</definedName>
    <definedName name="__123Graph_A" localSheetId="7" hidden="1">#REF!</definedName>
    <definedName name="__123Graph_A" localSheetId="27" hidden="1">#REF!</definedName>
    <definedName name="__123Graph_A" localSheetId="6" hidden="1">#REF!</definedName>
    <definedName name="__123Graph_A" localSheetId="3" hidden="1">#REF!</definedName>
    <definedName name="__123Graph_ACOSTO" localSheetId="7" hidden="1">#REF!</definedName>
    <definedName name="__123Graph_ACOSTO" localSheetId="27" hidden="1">#REF!</definedName>
    <definedName name="__123Graph_ACOSTO" localSheetId="6" hidden="1">#REF!</definedName>
    <definedName name="__123Graph_ACOSTO" localSheetId="3" hidden="1">#REF!</definedName>
    <definedName name="__123Graph_B" localSheetId="7" hidden="1">#REF!</definedName>
    <definedName name="__123Graph_B" localSheetId="27" hidden="1">#REF!</definedName>
    <definedName name="__123Graph_B" localSheetId="6" hidden="1">#REF!</definedName>
    <definedName name="__123Graph_B" localSheetId="3" hidden="1">#REF!</definedName>
    <definedName name="__123Graph_BCOSTO" localSheetId="7" hidden="1">#REF!</definedName>
    <definedName name="__123Graph_BCOSTO" localSheetId="27" hidden="1">#REF!</definedName>
    <definedName name="__123Graph_BCOSTO" localSheetId="6" hidden="1">#REF!</definedName>
    <definedName name="__123Graph_BCOSTO" localSheetId="3" hidden="1">#REF!</definedName>
    <definedName name="__123Graph_X" localSheetId="7" hidden="1">#REF!</definedName>
    <definedName name="__123Graph_X" localSheetId="27" hidden="1">#REF!</definedName>
    <definedName name="__123Graph_X" localSheetId="6" hidden="1">#REF!</definedName>
    <definedName name="__123Graph_X" localSheetId="3" hidden="1">#REF!</definedName>
    <definedName name="__r" localSheetId="7">#REF!</definedName>
    <definedName name="__r" localSheetId="27">#REF!</definedName>
    <definedName name="__r" localSheetId="6">#REF!</definedName>
    <definedName name="__r" localSheetId="3">#REF!</definedName>
    <definedName name="_102__123Graph_XGRAFICO_1" localSheetId="7" hidden="1">#REF!</definedName>
    <definedName name="_102__123Graph_XGRAFICO_1" localSheetId="27" hidden="1">#REF!</definedName>
    <definedName name="_102__123Graph_XGRAFICO_1" localSheetId="6" hidden="1">#REF!</definedName>
    <definedName name="_102__123Graph_XGRAFICO_1" localSheetId="3" hidden="1">#REF!</definedName>
    <definedName name="_119__123Graph_XGRAFICO_2" localSheetId="7" hidden="1">#REF!</definedName>
    <definedName name="_119__123Graph_XGRAFICO_2" localSheetId="27" hidden="1">#REF!</definedName>
    <definedName name="_119__123Graph_XGRAFICO_2" localSheetId="6" hidden="1">#REF!</definedName>
    <definedName name="_119__123Graph_XGRAFICO_2" localSheetId="3" hidden="1">#REF!</definedName>
    <definedName name="_136__123Graph_XGRAFICO_3" localSheetId="7" hidden="1">#REF!</definedName>
    <definedName name="_136__123Graph_XGRAFICO_3" localSheetId="27" hidden="1">#REF!</definedName>
    <definedName name="_136__123Graph_XGRAFICO_3" localSheetId="6" hidden="1">#REF!</definedName>
    <definedName name="_136__123Graph_XGRAFICO_3" localSheetId="3" hidden="1">#REF!</definedName>
    <definedName name="_17__123Graph_AGRAFICO_1" localSheetId="7" hidden="1">#REF!</definedName>
    <definedName name="_17__123Graph_AGRAFICO_1" localSheetId="27" hidden="1">#REF!</definedName>
    <definedName name="_17__123Graph_AGRAFICO_1" localSheetId="6" hidden="1">#REF!</definedName>
    <definedName name="_17__123Graph_AGRAFICO_1" localSheetId="3" hidden="1">#REF!</definedName>
    <definedName name="_2__123Graph_AGRAFICO_2" localSheetId="22" hidden="1">#REF!</definedName>
    <definedName name="_2__123Graph_AGRAFICO_2" hidden="1">[1]CONSOCOS99!$D$75:$D$80</definedName>
    <definedName name="_3__123Graph_AGRAFICO_3" localSheetId="22" hidden="1">#REF!</definedName>
    <definedName name="_3__123Graph_AGRAFICO_3" hidden="1">[1]CONSOCOS99!$D$85:$D$91</definedName>
    <definedName name="_34__123Graph_AGRAFICO_2" localSheetId="7" hidden="1">#REF!</definedName>
    <definedName name="_34__123Graph_AGRAFICO_2" localSheetId="27" hidden="1">#REF!</definedName>
    <definedName name="_34__123Graph_AGRAFICO_2" localSheetId="6" hidden="1">#REF!</definedName>
    <definedName name="_34__123Graph_AGRAFICO_2" localSheetId="3" hidden="1">#REF!</definedName>
    <definedName name="_51__123Graph_AGRAFICO_3" localSheetId="7" hidden="1">#REF!</definedName>
    <definedName name="_51__123Graph_AGRAFICO_3" localSheetId="27" hidden="1">#REF!</definedName>
    <definedName name="_51__123Graph_AGRAFICO_3" localSheetId="6" hidden="1">#REF!</definedName>
    <definedName name="_51__123Graph_AGRAFICO_3" localSheetId="3" hidden="1">#REF!</definedName>
    <definedName name="_68__123Graph_BGRAFICO_2" localSheetId="7" hidden="1">#REF!</definedName>
    <definedName name="_68__123Graph_BGRAFICO_2" localSheetId="27" hidden="1">#REF!</definedName>
    <definedName name="_68__123Graph_BGRAFICO_2" localSheetId="6" hidden="1">#REF!</definedName>
    <definedName name="_68__123Graph_BGRAFICO_2" localSheetId="3" hidden="1">#REF!</definedName>
    <definedName name="_7__123Graph_XGRAFICO_2" localSheetId="22" hidden="1">#REF!</definedName>
    <definedName name="_7__123Graph_XGRAFICO_2" hidden="1">[1]CONSOCOS99!$C$75:$C$80</definedName>
    <definedName name="_8__123Graph_XGRAFICO_3" localSheetId="22" hidden="1">#REF!</definedName>
    <definedName name="_8__123Graph_XGRAFICO_3" hidden="1">[1]CONSOCOS99!$C$85:$C$91</definedName>
    <definedName name="_85__123Graph_CGRAFICO_2" localSheetId="7" hidden="1">#REF!</definedName>
    <definedName name="_85__123Graph_CGRAFICO_2" localSheetId="27" hidden="1">#REF!</definedName>
    <definedName name="_85__123Graph_CGRAFICO_2" localSheetId="6" hidden="1">#REF!</definedName>
    <definedName name="_85__123Graph_CGRAFICO_2" localSheetId="3" hidden="1">#REF!</definedName>
    <definedName name="_xlnm._FilterDatabase" localSheetId="32" hidden="1">Cubicadores!$A$1:$BL$472</definedName>
    <definedName name="_xlnm._FilterDatabase" localSheetId="25" hidden="1">'Proy. Mes'!$AI$2:$AJ$3</definedName>
    <definedName name="_Order1" hidden="1">255</definedName>
    <definedName name="_Order2" hidden="1">255</definedName>
    <definedName name="_r" localSheetId="9">#REF!</definedName>
    <definedName name="_r" localSheetId="24">#REF!</definedName>
    <definedName name="_r" localSheetId="7">#REF!</definedName>
    <definedName name="_r" localSheetId="25">#REF!</definedName>
    <definedName name="_r" localSheetId="23">#REF!</definedName>
    <definedName name="_r" localSheetId="14">#REF!</definedName>
    <definedName name="_r" localSheetId="39">#REF!</definedName>
    <definedName name="_r" localSheetId="13">#REF!</definedName>
    <definedName name="_r" localSheetId="30">#REF!</definedName>
    <definedName name="_r" localSheetId="27">#REF!</definedName>
    <definedName name="_r" localSheetId="6">#REF!</definedName>
    <definedName name="_r" localSheetId="3">#REF!</definedName>
    <definedName name="_Regression_Int">1</definedName>
    <definedName name="_SDS_WB_TYPE" hidden="1">1</definedName>
    <definedName name="_xlchart.v1.12" hidden="1">'Comparacion (Sin BM)'!$AV$37:$AV$43</definedName>
    <definedName name="_xlchart.v1.13" hidden="1">'Comparacion (Sin BM)'!$BC$37:$BC$43</definedName>
    <definedName name="_xlchart.v1.14" hidden="1">'Comparacion (Sin BM)'!$BE$6:$BE$13</definedName>
    <definedName name="_xlchart.v1.15" hidden="1">'Comparacion (Sin BM)'!$BN$6:$BN$13</definedName>
    <definedName name="_xlchart.v1.16" hidden="1">'Comparacion (Sin BM)'!$BE$37:$BE$44</definedName>
    <definedName name="_xlchart.v1.17" hidden="1">'Comparacion (Sin BM)'!$BN$37:$BN$44</definedName>
    <definedName name="_xlchart.v1.8" hidden="1">'Comparacion (Sin BM)'!$AV$6:$AV$12</definedName>
    <definedName name="_xlchart.v1.9" hidden="1">'Comparacion (Sin BM)'!$BC$6:$BC$12</definedName>
    <definedName name="_xlchart.v5.0" hidden="1">'Comparacion (Sin BM)'!$AC$7:$AC$12</definedName>
    <definedName name="_xlchart.v5.1" hidden="1">'Comparacion (Sin BM)'!$AI$7:$AI$12</definedName>
    <definedName name="_xlchart.v5.10" hidden="1">'Comparacion (Sin BM)'!$AC$93:$AC$99</definedName>
    <definedName name="_xlchart.v5.11" hidden="1">'Comparacion (Sin BM)'!$AK$93:$AK$99</definedName>
    <definedName name="_xlchart.v5.18" hidden="1">Acumulados!$AQ$4:$AQ$11</definedName>
    <definedName name="_xlchart.v5.19" hidden="1">Acumulados!$AY$4:$AY$11</definedName>
    <definedName name="_xlchart.v5.2" hidden="1">'Comparacion (Sin BM)'!$AC$38:$AC$43</definedName>
    <definedName name="_xlchart.v5.20" hidden="1">Acumulados!$AQ$17:$AQ$23</definedName>
    <definedName name="_xlchart.v5.21" hidden="1">Acumulados!$AY$17:$AY$23</definedName>
    <definedName name="_xlchart.v5.22" hidden="1">Acumulados!$AO$31:$AO$37</definedName>
    <definedName name="_xlchart.v5.23" hidden="1">Acumulados!$AW$31:$AW$37</definedName>
    <definedName name="_xlchart.v5.24" hidden="1">Acumulados!$B$37:$B$44</definedName>
    <definedName name="_xlchart.v5.25" hidden="1">Acumulados!$J$37:$J$44</definedName>
    <definedName name="_xlchart.v5.26" hidden="1">'TP sin BM'!$B$175:$B$181</definedName>
    <definedName name="_xlchart.v5.27" hidden="1">'TP sin BM'!$I$175:$I$181</definedName>
    <definedName name="_xlchart.v5.28" hidden="1">'TP sin BM'!$B$68:$B$74</definedName>
    <definedName name="_xlchart.v5.29" hidden="1">'TP sin BM'!$J$68:$J$74</definedName>
    <definedName name="_xlchart.v5.3" hidden="1">'Comparacion (Sin BM)'!$AI$38:$AI$43</definedName>
    <definedName name="_xlchart.v5.30" hidden="1">'TP sin BM'!$AL$21:$AL$26</definedName>
    <definedName name="_xlchart.v5.31" hidden="1">'TP sin BM'!$AR$21:$AR$26</definedName>
    <definedName name="_xlchart.v5.32" hidden="1">'TP sin BM'!$B$56:$B$62</definedName>
    <definedName name="_xlchart.v5.33" hidden="1">'TP sin BM'!$J$56:$J$62</definedName>
    <definedName name="_xlchart.v5.34" hidden="1">'TP sin BM'!#REF!</definedName>
    <definedName name="_xlchart.v5.35" hidden="1">'TP sin BM'!$AE$65:$AE$69</definedName>
    <definedName name="_xlchart.v5.36" hidden="1">'TP sin BM'!$AE$118:$AE$124</definedName>
    <definedName name="_xlchart.v5.37" hidden="1">'TP sin BM'!$AM$118:$AM$124</definedName>
    <definedName name="_xlchart.v5.38" hidden="1">'TP sin BM'!$AG$65:$AG$70</definedName>
    <definedName name="_xlchart.v5.39" hidden="1">'TP sin BM'!$AM$65:$AM$70</definedName>
    <definedName name="_xlchart.v5.4" hidden="1">'Comparacion (Sin BM)'!$AK$6:$AK$12</definedName>
    <definedName name="_xlchart.v5.40" hidden="1">'TP sin BM'!$B$44:$B$50</definedName>
    <definedName name="_xlchart.v5.41" hidden="1">'TP sin BM'!$J$44:$J$50</definedName>
    <definedName name="_xlchart.v5.42" hidden="1">'TP sin BM'!$AE$21:$AE$25</definedName>
    <definedName name="_xlchart.v5.43" hidden="1">'TP sin BM'!$AJ$21:$AJ$25</definedName>
    <definedName name="_xlchart.v5.44" hidden="1">'TP sin BM'!$B$108:$B$113</definedName>
    <definedName name="_xlchart.v5.45" hidden="1">'TP sin BM'!$H$108:$H$113</definedName>
    <definedName name="_xlchart.v5.46" hidden="1">'TP sin BM'!$AE$134:$AE$140</definedName>
    <definedName name="_xlchart.v5.47" hidden="1">'TP sin BM'!$AM$134:$AM$140</definedName>
    <definedName name="_xlchart.v5.48" hidden="1">'TP sin BM'!$B$44:$B$50</definedName>
    <definedName name="_xlchart.v5.49" hidden="1">'TP sin BM'!$I$44:$I$50</definedName>
    <definedName name="_xlchart.v5.5" hidden="1">'Comparacion (Sin BM)'!$AS$6:$AS$12</definedName>
    <definedName name="_xlchart.v5.50" hidden="1">'TP sin BM'!$B$80:$B$86</definedName>
    <definedName name="_xlchart.v5.51" hidden="1">'TP sin BM'!$J$80:$J$86</definedName>
    <definedName name="_xlchart.v5.52" hidden="1">'TP con BM'!$AC$19:$AC$23</definedName>
    <definedName name="_xlchart.v5.53" hidden="1">'TP con BM'!$AH$19:$AH$23</definedName>
    <definedName name="_xlchart.v5.54" hidden="1">'TP con BM'!$AJ$19:$AJ$25</definedName>
    <definedName name="_xlchart.v5.55" hidden="1">'TP con BM'!$AP$19:$AP$25</definedName>
    <definedName name="_xlchart.v5.56" hidden="1">'TP con BM'!$AC$47:$AC$51</definedName>
    <definedName name="_xlchart.v5.57" hidden="1">'TP con BM'!$AH$47:$AH$51</definedName>
    <definedName name="_xlchart.v5.58" hidden="1">'TP con BM'!$AC$73:$AC$77</definedName>
    <definedName name="_xlchart.v5.59" hidden="1">'TP con BM'!$AH$73:$AH$77</definedName>
    <definedName name="_xlchart.v5.6" hidden="1">'Comparacion (Sin BM)'!$AK$37:$AK$43</definedName>
    <definedName name="_xlchart.v5.60" hidden="1">'TP con BM'!$AJ$47:$AJ$53</definedName>
    <definedName name="_xlchart.v5.61" hidden="1">'TP con BM'!$AP$47:$AP$53</definedName>
    <definedName name="_xlchart.v5.62" hidden="1">'TP con BM'!$AJ$73:$AJ$78</definedName>
    <definedName name="_xlchart.v5.63" hidden="1">'TP con BM'!$AP$73:$AP$78</definedName>
    <definedName name="_xlchart.v5.64" hidden="1">'TP con BM'!$U$36:$U$42</definedName>
    <definedName name="_xlchart.v5.65" hidden="1">'[2]TP con BM'!$B$55:$B$61</definedName>
    <definedName name="_xlchart.v5.66" hidden="1">'PM vs OL y BD'!$AE$90:$AE$96</definedName>
    <definedName name="_xlchart.v5.67" hidden="1">'PM vs OL y BD'!$AM$90:$AM$96</definedName>
    <definedName name="_xlchart.v5.68" hidden="1">'PM vs OL y BD'!$AE$106:$AE$112</definedName>
    <definedName name="_xlchart.v5.69" hidden="1">'PM vs OL y BD'!$AM$106:$AM$112</definedName>
    <definedName name="_xlchart.v5.7" hidden="1">'Comparacion (Sin BM)'!$AS$37:$AS$43</definedName>
    <definedName name="_xlchart.v5.70" hidden="1">'PM vs OL y BD'!$AE$44:$AE$50</definedName>
    <definedName name="_xlchart.v5.71" hidden="1">'PM vs OL y BD'!$X$44:$X$50</definedName>
    <definedName name="_xlchart.v5.72" hidden="1">'PM vs OL y BD'!$B$59:$B$65</definedName>
    <definedName name="_xlchart.v5.73" hidden="1">'PM vs OL y BD'!$I$59:$I$65</definedName>
    <definedName name="_xlchart.v5.74" hidden="1">'PM vs OL y BD'!$B$44:$B$50</definedName>
    <definedName name="_xlchart.v5.75" hidden="1">'PM vs OL y BD'!$I$44:$I$50</definedName>
    <definedName name="_xlchart.v5.76" hidden="1">'PM vs OL y BD'!$AE$62:$AE$68</definedName>
    <definedName name="_xlchart.v5.77" hidden="1">'PM vs OL y BD'!$X$62:$X$68</definedName>
    <definedName name="_xlchart.v5.78" hidden="1">'[3]Control Producción'!$AE$11:$AL$11</definedName>
    <definedName name="_xlchart.v5.79" hidden="1">'[3]Control Producción'!$AE$4:$AL$4</definedName>
    <definedName name="_xlchart.v5.80" hidden="1">'R+P'!$C$137:$C$142</definedName>
    <definedName name="_xlchart.v5.81" hidden="1">'R+P'!$I$137:$I$142</definedName>
    <definedName name="_xlchart.v5.82" hidden="1">'Tablas de producción'!$AF$21:$AF$26</definedName>
    <definedName name="_xlchart.v5.83" hidden="1">'Tablas de producción'!$Z$21:$Z$26</definedName>
    <definedName name="_xlchart.v5.84" hidden="1">'Tablas de producción'!$S$21:$S$25</definedName>
    <definedName name="_xlchart.v5.85" hidden="1">'Tablas de producción'!$X$21:$X$25</definedName>
    <definedName name="_xlchart.v5.86" hidden="1">'Visualizacion PSvsST'!$P$26:$P$31</definedName>
    <definedName name="_xlchart.v5.87" hidden="1">'Visualizacion PSvsST'!$V$26:$V$31</definedName>
    <definedName name="a" localSheetId="7" hidden="1">#REF!</definedName>
    <definedName name="a" localSheetId="27" hidden="1">#REF!</definedName>
    <definedName name="a" localSheetId="6" hidden="1">#REF!</definedName>
    <definedName name="a" localSheetId="3" hidden="1">#REF!</definedName>
    <definedName name="A_impresión_IM" localSheetId="7">#REF!</definedName>
    <definedName name="A_impresión_IM" localSheetId="27">#REF!</definedName>
    <definedName name="A_impresión_IM" localSheetId="6">#REF!</definedName>
    <definedName name="A_impresión_IM" localSheetId="3">#REF!</definedName>
    <definedName name="ActualBeyond" localSheetId="22">'Control Producción'!PeriodInActual*(#REF!&gt;0)</definedName>
    <definedName name="ActualBeyond">PeriodInActual*('[4]Planificador de proyectos'!$E1&gt;0)</definedName>
    <definedName name="agno" localSheetId="22">#REF!</definedName>
    <definedName name="agno">[5]EstadoCAPEX!$C$1</definedName>
    <definedName name="AREA_DE_IMPRESI" localSheetId="22">#REF!</definedName>
    <definedName name="AREA_DE_IMPRESI">[6]hed99!$A$237:$S$275</definedName>
    <definedName name="_xlnm.Print_Area" localSheetId="9">BDGT!$B$2:$R$62</definedName>
    <definedName name="_xlnm.Print_Area" localSheetId="5">'BDGT ORI'!$C$3:$S$58</definedName>
    <definedName name="_xlnm.Print_Area" localSheetId="43">'BM con CuF pagable'!$A$1:$G$107</definedName>
    <definedName name="_xlnm.Print_Area" localSheetId="1">'Comparacion (Sin BM)'!$O$50:$T$82</definedName>
    <definedName name="_xlnm.Print_Area" localSheetId="16">#REF!</definedName>
    <definedName name="_xlnm.Print_Area" localSheetId="42">'Explicacion Cueq (Con BM)'!$A$2:$G$50</definedName>
    <definedName name="_xlnm.Print_Area" localSheetId="24">'Plan mina PS'!$E$40:$N$71</definedName>
    <definedName name="_xlnm.Print_Area" localSheetId="7">'PM vs OL y BD'!$B$3:$N$29</definedName>
    <definedName name="_xlnm.Print_Area" localSheetId="25">'Proy. Mes'!$A$1:$AE$57</definedName>
    <definedName name="_xlnm.Print_Area" localSheetId="23">'R+P'!$A$5:$AP$39</definedName>
    <definedName name="_xlnm.Print_Area" localSheetId="14">'R+RP+B'!$C$8:$S$39</definedName>
    <definedName name="_xlnm.Print_Area" localSheetId="40">'R+RP+OL'!$B$5:$R$34</definedName>
    <definedName name="_xlnm.Print_Area" localSheetId="39">'R+RS+B'!$C$13:$U$42</definedName>
    <definedName name="_xlnm.Print_Area" localSheetId="41">'R+RS+F(OL)'!$B$5:$R$32</definedName>
    <definedName name="_xlnm.Print_Area" localSheetId="30">'Real+S.T.'!$A$1:$AD$56</definedName>
    <definedName name="_xlnm.Print_Area" localSheetId="27">'Tablas de producción'!$B$2:$Q$35</definedName>
    <definedName name="_xlnm.Print_Area" localSheetId="6">'TP con BM'!#REF!</definedName>
    <definedName name="_xlnm.Print_Area" localSheetId="3">'TP sin BM'!$B$3:$Y$32</definedName>
    <definedName name="_xlnm.Print_Area">#REF!</definedName>
    <definedName name="avFísicoPROG" localSheetId="22">#REF!</definedName>
    <definedName name="avFísicoPROG">[5]ProyGANTT!$I$44</definedName>
    <definedName name="avFísicoREAL" localSheetId="22">#REF!</definedName>
    <definedName name="avFísicoREAL">[5]ProyGANTT!$J$44</definedName>
    <definedName name="b" localSheetId="9">#REF!</definedName>
    <definedName name="b" localSheetId="24">#REF!</definedName>
    <definedName name="b" localSheetId="20">#REF!</definedName>
    <definedName name="b" localSheetId="7">#REF!</definedName>
    <definedName name="b" localSheetId="25">#REF!</definedName>
    <definedName name="b" localSheetId="23">#REF!</definedName>
    <definedName name="b" localSheetId="14">#REF!</definedName>
    <definedName name="b" localSheetId="39">#REF!</definedName>
    <definedName name="b" localSheetId="13">#REF!</definedName>
    <definedName name="b" localSheetId="30">#REF!</definedName>
    <definedName name="b" localSheetId="27">#REF!</definedName>
    <definedName name="b" localSheetId="6">#REF!</definedName>
    <definedName name="b" localSheetId="3">#REF!</definedName>
    <definedName name="Bal" localSheetId="9">#REF!</definedName>
    <definedName name="Bal" localSheetId="24">#REF!</definedName>
    <definedName name="Bal" localSheetId="20">#REF!</definedName>
    <definedName name="Bal" localSheetId="7">#REF!</definedName>
    <definedName name="Bal" localSheetId="25">#REF!</definedName>
    <definedName name="Bal" localSheetId="23">#REF!</definedName>
    <definedName name="Bal" localSheetId="14">#REF!</definedName>
    <definedName name="Bal" localSheetId="39">#REF!</definedName>
    <definedName name="Bal" localSheetId="13">#REF!</definedName>
    <definedName name="Bal" localSheetId="30">#REF!</definedName>
    <definedName name="Bal" localSheetId="27">#REF!</definedName>
    <definedName name="Bal" localSheetId="6">#REF!</definedName>
    <definedName name="Bal" localSheetId="3">#REF!</definedName>
    <definedName name="banco" localSheetId="22">#REF!</definedName>
    <definedName name="banco">[7]base!$AA$2:$AA$484</definedName>
    <definedName name="Caja" localSheetId="9">#REF!</definedName>
    <definedName name="Caja" localSheetId="7">#REF!</definedName>
    <definedName name="Caja" localSheetId="25">#REF!</definedName>
    <definedName name="Caja" localSheetId="23">#REF!</definedName>
    <definedName name="Caja" localSheetId="14">#REF!</definedName>
    <definedName name="Caja" localSheetId="39">#REF!</definedName>
    <definedName name="Caja" localSheetId="13">#REF!</definedName>
    <definedName name="Caja" localSheetId="30">#REF!</definedName>
    <definedName name="Caja" localSheetId="27">#REF!</definedName>
    <definedName name="Caja" localSheetId="6">#REF!</definedName>
    <definedName name="Caja" localSheetId="3">#REF!</definedName>
    <definedName name="cartera" localSheetId="7">#REF!</definedName>
    <definedName name="cartera" localSheetId="27">#REF!</definedName>
    <definedName name="cartera" localSheetId="6">#REF!</definedName>
    <definedName name="cartera" localSheetId="3">#REF!</definedName>
    <definedName name="CONCENT" localSheetId="9">#REF!</definedName>
    <definedName name="CONCENT" localSheetId="7">#REF!</definedName>
    <definedName name="CONCENT" localSheetId="25">#REF!</definedName>
    <definedName name="CONCENT" localSheetId="23">#REF!</definedName>
    <definedName name="CONCENT" localSheetId="14">#REF!</definedName>
    <definedName name="CONCENT" localSheetId="39">#REF!</definedName>
    <definedName name="CONCENT" localSheetId="13">#REF!</definedName>
    <definedName name="CONCENT" localSheetId="30">#REF!</definedName>
    <definedName name="CONCENT" localSheetId="27">#REF!</definedName>
    <definedName name="CONCENT" localSheetId="6">#REF!</definedName>
    <definedName name="CONCENT" localSheetId="3">#REF!</definedName>
    <definedName name="Costo1" localSheetId="9">#REF!</definedName>
    <definedName name="Costo1" localSheetId="24">#REF!</definedName>
    <definedName name="Costo1" localSheetId="20">#REF!</definedName>
    <definedName name="Costo1" localSheetId="7">#REF!</definedName>
    <definedName name="Costo1" localSheetId="14">#REF!</definedName>
    <definedName name="Costo1" localSheetId="39">#REF!</definedName>
    <definedName name="Costo1" localSheetId="27">#REF!</definedName>
    <definedName name="Costo1" localSheetId="6">#REF!</definedName>
    <definedName name="Costo1" localSheetId="3">#REF!</definedName>
    <definedName name="Costo10" localSheetId="9">#REF!</definedName>
    <definedName name="Costo10" localSheetId="7">#REF!</definedName>
    <definedName name="Costo10" localSheetId="25">#REF!</definedName>
    <definedName name="Costo10" localSheetId="23">#REF!</definedName>
    <definedName name="Costo10" localSheetId="14">#REF!</definedName>
    <definedName name="Costo10" localSheetId="39">#REF!</definedName>
    <definedName name="Costo10" localSheetId="13">#REF!</definedName>
    <definedName name="Costo10" localSheetId="30">#REF!</definedName>
    <definedName name="Costo10" localSheetId="27">#REF!</definedName>
    <definedName name="Costo10" localSheetId="6">#REF!</definedName>
    <definedName name="Costo10" localSheetId="3">#REF!</definedName>
    <definedName name="Costo11" localSheetId="9">#REF!</definedName>
    <definedName name="Costo11" localSheetId="7">#REF!</definedName>
    <definedName name="Costo11" localSheetId="25">#REF!</definedName>
    <definedName name="Costo11" localSheetId="23">#REF!</definedName>
    <definedName name="Costo11" localSheetId="14">#REF!</definedName>
    <definedName name="Costo11" localSheetId="39">#REF!</definedName>
    <definedName name="Costo11" localSheetId="13">#REF!</definedName>
    <definedName name="Costo11" localSheetId="30">#REF!</definedName>
    <definedName name="Costo11" localSheetId="27">#REF!</definedName>
    <definedName name="Costo11" localSheetId="6">#REF!</definedName>
    <definedName name="Costo11" localSheetId="3">#REF!</definedName>
    <definedName name="Costo12" localSheetId="9">#REF!</definedName>
    <definedName name="Costo12" localSheetId="7">#REF!</definedName>
    <definedName name="Costo12" localSheetId="25">#REF!</definedName>
    <definedName name="Costo12" localSheetId="23">#REF!</definedName>
    <definedName name="Costo12" localSheetId="14">#REF!</definedName>
    <definedName name="Costo12" localSheetId="39">#REF!</definedName>
    <definedName name="Costo12" localSheetId="13">#REF!</definedName>
    <definedName name="Costo12" localSheetId="30">#REF!</definedName>
    <definedName name="Costo12" localSheetId="27">#REF!</definedName>
    <definedName name="Costo12" localSheetId="6">#REF!</definedName>
    <definedName name="Costo12" localSheetId="3">#REF!</definedName>
    <definedName name="Costo2" localSheetId="9">#REF!</definedName>
    <definedName name="Costo2" localSheetId="7">#REF!</definedName>
    <definedName name="Costo2" localSheetId="25">#REF!</definedName>
    <definedName name="Costo2" localSheetId="23">#REF!</definedName>
    <definedName name="Costo2" localSheetId="14">#REF!</definedName>
    <definedName name="Costo2" localSheetId="39">#REF!</definedName>
    <definedName name="Costo2" localSheetId="13">#REF!</definedName>
    <definedName name="Costo2" localSheetId="30">#REF!</definedName>
    <definedName name="Costo2" localSheetId="27">#REF!</definedName>
    <definedName name="Costo2" localSheetId="6">#REF!</definedName>
    <definedName name="Costo2" localSheetId="3">#REF!</definedName>
    <definedName name="Costo3" localSheetId="9">#REF!</definedName>
    <definedName name="Costo3" localSheetId="24">#REF!</definedName>
    <definedName name="Costo3" localSheetId="20">#REF!</definedName>
    <definedName name="Costo3" localSheetId="7">#REF!</definedName>
    <definedName name="Costo3" localSheetId="14">#REF!</definedName>
    <definedName name="Costo3" localSheetId="39">#REF!</definedName>
    <definedName name="Costo3" localSheetId="27">#REF!</definedName>
    <definedName name="Costo3" localSheetId="6">#REF!</definedName>
    <definedName name="Costo3" localSheetId="3">#REF!</definedName>
    <definedName name="Costo4" localSheetId="9">#REF!</definedName>
    <definedName name="Costo4" localSheetId="24">#REF!</definedName>
    <definedName name="Costo4" localSheetId="20">#REF!</definedName>
    <definedName name="Costo4" localSheetId="7">#REF!</definedName>
    <definedName name="Costo4" localSheetId="14">#REF!</definedName>
    <definedName name="Costo4" localSheetId="39">#REF!</definedName>
    <definedName name="Costo4" localSheetId="27">#REF!</definedName>
    <definedName name="Costo4" localSheetId="6">#REF!</definedName>
    <definedName name="Costo4" localSheetId="3">#REF!</definedName>
    <definedName name="Costo5" localSheetId="9">#REF!</definedName>
    <definedName name="Costo5" localSheetId="7">#REF!</definedName>
    <definedName name="Costo5" localSheetId="25">#REF!</definedName>
    <definedName name="Costo5" localSheetId="23">#REF!</definedName>
    <definedName name="Costo5" localSheetId="14">#REF!</definedName>
    <definedName name="Costo5" localSheetId="39">#REF!</definedName>
    <definedName name="Costo5" localSheetId="13">#REF!</definedName>
    <definedName name="Costo5" localSheetId="30">#REF!</definedName>
    <definedName name="Costo5" localSheetId="27">#REF!</definedName>
    <definedName name="Costo5" localSheetId="6">#REF!</definedName>
    <definedName name="Costo5" localSheetId="3">#REF!</definedName>
    <definedName name="Costo6" localSheetId="9">#REF!</definedName>
    <definedName name="Costo6" localSheetId="7">#REF!</definedName>
    <definedName name="Costo6" localSheetId="25">#REF!</definedName>
    <definedName name="Costo6" localSheetId="23">#REF!</definedName>
    <definedName name="Costo6" localSheetId="14">#REF!</definedName>
    <definedName name="Costo6" localSheetId="39">#REF!</definedName>
    <definedName name="Costo6" localSheetId="13">#REF!</definedName>
    <definedName name="Costo6" localSheetId="30">#REF!</definedName>
    <definedName name="Costo6" localSheetId="27">#REF!</definedName>
    <definedName name="Costo6" localSheetId="6">#REF!</definedName>
    <definedName name="Costo6" localSheetId="3">#REF!</definedName>
    <definedName name="Costo7" localSheetId="9">#REF!</definedName>
    <definedName name="Costo7" localSheetId="7">#REF!</definedName>
    <definedName name="Costo7" localSheetId="25">#REF!</definedName>
    <definedName name="Costo7" localSheetId="23">#REF!</definedName>
    <definedName name="Costo7" localSheetId="14">#REF!</definedName>
    <definedName name="Costo7" localSheetId="39">#REF!</definedName>
    <definedName name="Costo7" localSheetId="13">#REF!</definedName>
    <definedName name="Costo7" localSheetId="30">#REF!</definedName>
    <definedName name="Costo7" localSheetId="27">#REF!</definedName>
    <definedName name="Costo7" localSheetId="6">#REF!</definedName>
    <definedName name="Costo7" localSheetId="3">#REF!</definedName>
    <definedName name="Costo8" localSheetId="9">#REF!</definedName>
    <definedName name="Costo8" localSheetId="7">#REF!</definedName>
    <definedName name="Costo8" localSheetId="25">#REF!</definedName>
    <definedName name="Costo8" localSheetId="23">#REF!</definedName>
    <definedName name="Costo8" localSheetId="14">#REF!</definedName>
    <definedName name="Costo8" localSheetId="39">#REF!</definedName>
    <definedName name="Costo8" localSheetId="13">#REF!</definedName>
    <definedName name="Costo8" localSheetId="30">#REF!</definedName>
    <definedName name="Costo8" localSheetId="27">#REF!</definedName>
    <definedName name="Costo8" localSheetId="6">#REF!</definedName>
    <definedName name="Costo8" localSheetId="3">#REF!</definedName>
    <definedName name="Costo9" localSheetId="9">#REF!</definedName>
    <definedName name="Costo9" localSheetId="7">#REF!</definedName>
    <definedName name="Costo9" localSheetId="25">#REF!</definedName>
    <definedName name="Costo9" localSheetId="23">#REF!</definedName>
    <definedName name="Costo9" localSheetId="14">#REF!</definedName>
    <definedName name="Costo9" localSheetId="39">#REF!</definedName>
    <definedName name="Costo9" localSheetId="13">#REF!</definedName>
    <definedName name="Costo9" localSheetId="30">#REF!</definedName>
    <definedName name="Costo9" localSheetId="27">#REF!</definedName>
    <definedName name="Costo9" localSheetId="6">#REF!</definedName>
    <definedName name="Costo9" localSheetId="3">#REF!</definedName>
    <definedName name="COSTOS" localSheetId="9">#REF!</definedName>
    <definedName name="COSTOS" localSheetId="7">#REF!</definedName>
    <definedName name="COSTOS" localSheetId="25">#REF!</definedName>
    <definedName name="COSTOS" localSheetId="23">#REF!</definedName>
    <definedName name="COSTOS" localSheetId="14">#REF!</definedName>
    <definedName name="COSTOS" localSheetId="39">#REF!</definedName>
    <definedName name="COSTOS" localSheetId="13">#REF!</definedName>
    <definedName name="COSTOS" localSheetId="30">#REF!</definedName>
    <definedName name="COSTOS" localSheetId="27">#REF!</definedName>
    <definedName name="COSTOS" localSheetId="6">#REF!</definedName>
    <definedName name="COSTOS" localSheetId="3">#REF!</definedName>
    <definedName name="Costos_natu_area" localSheetId="9">#REF!</definedName>
    <definedName name="Costos_natu_area" localSheetId="7">#REF!</definedName>
    <definedName name="Costos_natu_area" localSheetId="25">#REF!</definedName>
    <definedName name="Costos_natu_area" localSheetId="23">#REF!</definedName>
    <definedName name="Costos_natu_area" localSheetId="14">#REF!</definedName>
    <definedName name="Costos_natu_area" localSheetId="39">#REF!</definedName>
    <definedName name="Costos_natu_area" localSheetId="13">#REF!</definedName>
    <definedName name="Costos_natu_area" localSheetId="30">#REF!</definedName>
    <definedName name="Costos_natu_area" localSheetId="27">#REF!</definedName>
    <definedName name="Costos_natu_area" localSheetId="6">#REF!</definedName>
    <definedName name="Costos_natu_area" localSheetId="3">#REF!</definedName>
    <definedName name="CTL.EXCEL_CREATION_VERSION">12</definedName>
    <definedName name="CTL.EXCEL_MODIFICATION_VERSION">12</definedName>
    <definedName name="CTL.ORDERINGSTATE">1</definedName>
    <definedName name="CTL.TIMES_WORKBOOK_IMPROPERLY_CLOSED">9</definedName>
    <definedName name="CTL.VULCAN_CREATION_VERSION">"8.0.0.3536"</definedName>
    <definedName name="CTL.WORKBOOK_DIRTY">1</definedName>
    <definedName name="CTL.WORKBOOK_REVISION">800</definedName>
    <definedName name="Cut" localSheetId="22">#REF!</definedName>
    <definedName name="Cut">[8]Leyes!$L$2:$L$474</definedName>
    <definedName name="d" localSheetId="9">#REF!</definedName>
    <definedName name="d" localSheetId="24">#REF!</definedName>
    <definedName name="d" localSheetId="20">#REF!</definedName>
    <definedName name="d" localSheetId="7">#REF!</definedName>
    <definedName name="d" localSheetId="25">#REF!</definedName>
    <definedName name="d" localSheetId="23">#REF!</definedName>
    <definedName name="d" localSheetId="14">#REF!</definedName>
    <definedName name="d" localSheetId="39">#REF!</definedName>
    <definedName name="d" localSheetId="13">#REF!</definedName>
    <definedName name="d" localSheetId="30">#REF!</definedName>
    <definedName name="d" localSheetId="27">#REF!</definedName>
    <definedName name="d" localSheetId="6">#REF!</definedName>
    <definedName name="d" localSheetId="3">#REF!</definedName>
    <definedName name="destinos" localSheetId="22">#REF!</definedName>
    <definedName name="destinos">[7]base!$D$2:$D$255</definedName>
    <definedName name="destinos_abril" localSheetId="22">#REF!</definedName>
    <definedName name="destinos_abril">[9]base!$D$2:$D$212</definedName>
    <definedName name="destinos_ley" localSheetId="22">#REF!</definedName>
    <definedName name="destinos_ley">[8]Leyes!$D$2:$D$501</definedName>
    <definedName name="destinos_marzo" localSheetId="22">#REF!</definedName>
    <definedName name="destinos_marzo">[10]base!$D$2:$D$254</definedName>
    <definedName name="destinos_mayo" localSheetId="22">#REF!</definedName>
    <definedName name="destinos_mayo">[11]base!$D$2:$D$256</definedName>
    <definedName name="dghmhgm" localSheetId="22" hidden="1">#REF!</definedName>
    <definedName name="dghmhgm" hidden="1">[12]CONSOCOS99!$C$85:$C$91</definedName>
    <definedName name="dhmdshm" localSheetId="22" hidden="1">#REF!</definedName>
    <definedName name="dhmdshm" hidden="1">[12]CONSOCOS99!$C$75:$C$80</definedName>
    <definedName name="divGantt" localSheetId="22">#REF!</definedName>
    <definedName name="divGantt">[13]HS23B_EstadoProy!$L$5</definedName>
    <definedName name="e" localSheetId="9">#REF!</definedName>
    <definedName name="e" localSheetId="24">#REF!</definedName>
    <definedName name="e" localSheetId="20">#REF!</definedName>
    <definedName name="e" localSheetId="7">#REF!</definedName>
    <definedName name="e" localSheetId="25">#REF!</definedName>
    <definedName name="e" localSheetId="23">#REF!</definedName>
    <definedName name="e" localSheetId="14">#REF!</definedName>
    <definedName name="e" localSheetId="39">#REF!</definedName>
    <definedName name="e" localSheetId="13">#REF!</definedName>
    <definedName name="e" localSheetId="30">#REF!</definedName>
    <definedName name="e" localSheetId="27">#REF!</definedName>
    <definedName name="e" localSheetId="6">#REF!</definedName>
    <definedName name="e" localSheetId="3">#REF!</definedName>
    <definedName name="E._FALTA_ELECTRICIDAD" localSheetId="9">#REF!</definedName>
    <definedName name="E._FALTA_ELECTRICIDAD" localSheetId="7">#REF!</definedName>
    <definedName name="E._FALTA_ELECTRICIDAD" localSheetId="25">#REF!</definedName>
    <definedName name="E._FALTA_ELECTRICIDAD" localSheetId="23">#REF!</definedName>
    <definedName name="E._FALTA_ELECTRICIDAD" localSheetId="14">#REF!</definedName>
    <definedName name="E._FALTA_ELECTRICIDAD" localSheetId="39">#REF!</definedName>
    <definedName name="E._FALTA_ELECTRICIDAD" localSheetId="13">#REF!</definedName>
    <definedName name="E._FALTA_ELECTRICIDAD" localSheetId="30">#REF!</definedName>
    <definedName name="E._FALTA_ELECTRICIDAD" localSheetId="27">#REF!</definedName>
    <definedName name="E._FALTA_ELECTRICIDAD" localSheetId="6">#REF!</definedName>
    <definedName name="E._FALTA_ELECTRICIDAD" localSheetId="3">#REF!</definedName>
    <definedName name="E._MANT._IMPREVISTA" localSheetId="7">#REF!</definedName>
    <definedName name="E._MANT._IMPREVISTA" localSheetId="27">#REF!</definedName>
    <definedName name="E._MANT._IMPREVISTA" localSheetId="6">#REF!</definedName>
    <definedName name="E._MANT._IMPREVISTA" localSheetId="3">#REF!</definedName>
    <definedName name="E._MANT._PLANIF." localSheetId="7">#REF!</definedName>
    <definedName name="E._MANT._PLANIF." localSheetId="27">#REF!</definedName>
    <definedName name="E._MANT._PLANIF." localSheetId="6">#REF!</definedName>
    <definedName name="E._MANT._PLANIF." localSheetId="3">#REF!</definedName>
    <definedName name="eee" localSheetId="24">#REF!</definedName>
    <definedName name="eee" localSheetId="20">#REF!</definedName>
    <definedName name="eee" localSheetId="7">#REF!</definedName>
    <definedName name="eee" localSheetId="27">#REF!</definedName>
    <definedName name="eee" localSheetId="6">#REF!</definedName>
    <definedName name="eee" localSheetId="3">#REF!</definedName>
    <definedName name="EERR" localSheetId="9">#REF!</definedName>
    <definedName name="EERR" localSheetId="7">#REF!</definedName>
    <definedName name="EERR" localSheetId="25">#REF!</definedName>
    <definedName name="EERR" localSheetId="23">#REF!</definedName>
    <definedName name="EERR" localSheetId="14">#REF!</definedName>
    <definedName name="EERR" localSheetId="39">#REF!</definedName>
    <definedName name="EERR" localSheetId="13">#REF!</definedName>
    <definedName name="EERR" localSheetId="30">#REF!</definedName>
    <definedName name="EERR" localSheetId="27">#REF!</definedName>
    <definedName name="EERR" localSheetId="6">#REF!</definedName>
    <definedName name="EERR" localSheetId="3">#REF!</definedName>
    <definedName name="EERR2" localSheetId="9">#REF!</definedName>
    <definedName name="EERR2" localSheetId="24">#REF!</definedName>
    <definedName name="EERR2" localSheetId="20">#REF!</definedName>
    <definedName name="EERR2" localSheetId="7">#REF!</definedName>
    <definedName name="EERR2" localSheetId="14">#REF!</definedName>
    <definedName name="EERR2" localSheetId="39">#REF!</definedName>
    <definedName name="EERR2" localSheetId="27">#REF!</definedName>
    <definedName name="EERR2" localSheetId="6">#REF!</definedName>
    <definedName name="EERR2" localSheetId="3">#REF!</definedName>
    <definedName name="equipo" localSheetId="22">#REF!</definedName>
    <definedName name="equipo">[7]base!$A$2:$A$483</definedName>
    <definedName name="estadoMIMS" localSheetId="22">#REF!</definedName>
    <definedName name="estadoMIMS">[5]EstadoCAPEX!$AA$2</definedName>
    <definedName name="estadoSAPI" localSheetId="22">#REF!</definedName>
    <definedName name="estadoSAPI">[5]EstadoCAPEX!$Z$2</definedName>
    <definedName name="FAL.MIN._ACARREO_MIN" localSheetId="7">#REF!</definedName>
    <definedName name="FAL.MIN._ACARREO_MIN" localSheetId="27">#REF!</definedName>
    <definedName name="FAL.MIN._ACARREO_MIN" localSheetId="6">#REF!</definedName>
    <definedName name="FAL.MIN._ACARREO_MIN" localSheetId="3">#REF!</definedName>
    <definedName name="FAL.MIN._OTROS" localSheetId="7">#REF!</definedName>
    <definedName name="FAL.MIN._OTROS" localSheetId="27">#REF!</definedName>
    <definedName name="FAL.MIN._OTROS" localSheetId="6">#REF!</definedName>
    <definedName name="FAL.MIN._OTROS" localSheetId="3">#REF!</definedName>
    <definedName name="FALTA_DE_AGUA" localSheetId="7">#REF!</definedName>
    <definedName name="FALTA_DE_AGUA" localSheetId="27">#REF!</definedName>
    <definedName name="FALTA_DE_AGUA" localSheetId="6">#REF!</definedName>
    <definedName name="FALTA_DE_AGUA" localSheetId="3">#REF!</definedName>
    <definedName name="fase" localSheetId="22">#REF!</definedName>
    <definedName name="fase">[7]base!$Z$2:$Z$484</definedName>
    <definedName name="Fase2" localSheetId="22">#REF!</definedName>
    <definedName name="Fase2">[14]!Fase2</definedName>
    <definedName name="fecha" localSheetId="22">#REF!</definedName>
    <definedName name="fecha">[7]base!$V$2:$V$484</definedName>
    <definedName name="fecha_ley" localSheetId="22">#REF!</definedName>
    <definedName name="fecha_ley">[8]Leyes!$F$2:$F$501</definedName>
    <definedName name="FechaCORTE" localSheetId="22">#REF!</definedName>
    <definedName name="FechaCORTE">[5]EstadoCAPEX!$B$1</definedName>
    <definedName name="FECHADIA" localSheetId="7">#REF!</definedName>
    <definedName name="FECHADIA" localSheetId="27">#REF!</definedName>
    <definedName name="FECHADIA" localSheetId="6">#REF!</definedName>
    <definedName name="FECHADIA" localSheetId="3">#REF!</definedName>
    <definedName name="fechaMIMS" localSheetId="22">#REF!</definedName>
    <definedName name="fechaMIMS">[5]EstadoCAPEX!$I$2</definedName>
    <definedName name="fechaSAPI" localSheetId="22">#REF!</definedName>
    <definedName name="fechaSAPI">[5]EstadoCAPEX!$G$2</definedName>
    <definedName name="g" localSheetId="9">#REF!</definedName>
    <definedName name="g" localSheetId="24">#REF!</definedName>
    <definedName name="g" localSheetId="20">#REF!</definedName>
    <definedName name="g" localSheetId="7">#REF!</definedName>
    <definedName name="g" localSheetId="25">#REF!</definedName>
    <definedName name="g" localSheetId="23">#REF!</definedName>
    <definedName name="g" localSheetId="14">#REF!</definedName>
    <definedName name="g" localSheetId="39">#REF!</definedName>
    <definedName name="g" localSheetId="13">#REF!</definedName>
    <definedName name="g" localSheetId="30">#REF!</definedName>
    <definedName name="g" localSheetId="27">#REF!</definedName>
    <definedName name="g" localSheetId="6">#REF!</definedName>
    <definedName name="g" localSheetId="3">#REF!</definedName>
    <definedName name="GDSS" localSheetId="7">#REF!</definedName>
    <definedName name="GDSS" localSheetId="27">#REF!</definedName>
    <definedName name="GDSS" localSheetId="6">#REF!</definedName>
    <definedName name="GDSS" localSheetId="3">#REF!</definedName>
    <definedName name="gg" localSheetId="7">#REF!</definedName>
    <definedName name="gg" localSheetId="27">#REF!</definedName>
    <definedName name="gg" localSheetId="6">#REF!</definedName>
    <definedName name="gg" localSheetId="3">#REF!</definedName>
    <definedName name="GRAFICO" localSheetId="7">#REF!</definedName>
    <definedName name="GRAFICO" localSheetId="27">#REF!</definedName>
    <definedName name="GRAFICO" localSheetId="6">#REF!</definedName>
    <definedName name="GRAFICO" localSheetId="3">#REF!</definedName>
    <definedName name="grdg" localSheetId="7" hidden="1">#REF!</definedName>
    <definedName name="grdg" localSheetId="27" hidden="1">#REF!</definedName>
    <definedName name="grdg" localSheetId="6" hidden="1">#REF!</definedName>
    <definedName name="grdg" localSheetId="3" hidden="1">#REF!</definedName>
    <definedName name="HDHDGDH" localSheetId="7">#REF!</definedName>
    <definedName name="HDHDGDH" localSheetId="27">#REF!</definedName>
    <definedName name="HDHDGDH" localSheetId="6">#REF!</definedName>
    <definedName name="HDHDGDH" localSheetId="3">#REF!</definedName>
    <definedName name="HOLA" localSheetId="7">#REF!</definedName>
    <definedName name="HOLA" localSheetId="27">#REF!</definedName>
    <definedName name="HOLA" localSheetId="6">#REF!</definedName>
    <definedName name="HOLA" localSheetId="3">#REF!</definedName>
    <definedName name="idAPROB" localSheetId="22">#REF!</definedName>
    <definedName name="idAPROB">[5]EstadoCAPEX!$Z$2</definedName>
    <definedName name="idÁREA" localSheetId="22">#REF!</definedName>
    <definedName name="idÁREA">[5]EstadoCAPEX!$C$2</definedName>
    <definedName name="idAvCostosPROG" localSheetId="22">#REF!</definedName>
    <definedName name="idAvCostosPROG">[5]EstadoCAPEX!$CD$1</definedName>
    <definedName name="idAvCostosREAL" localSheetId="22">#REF!</definedName>
    <definedName name="idAvCostosREAL">[5]EstadoCAPEX!$BC$1</definedName>
    <definedName name="idAvFísicoPROG" localSheetId="22">#REF!</definedName>
    <definedName name="idAvFísicoPROG">[5]EstadoCAPEX!$EB$1</definedName>
    <definedName name="idAvFísicoREAL" localSheetId="22">#REF!</definedName>
    <definedName name="idAvFísicoREAL">[5]EstadoCAPEX!$DC$1</definedName>
    <definedName name="idCartera" localSheetId="22">#REF!</definedName>
    <definedName name="idCartera">[5]EstadoCAPEX!$D$2</definedName>
    <definedName name="idCC" localSheetId="22">#REF!</definedName>
    <definedName name="idCC">[5]EstadoCAPEX!$J$2</definedName>
    <definedName name="idCOMPROM" localSheetId="22">#REF!</definedName>
    <definedName name="idCOMPROM">[5]EstadoCAPEX!$BV$1</definedName>
    <definedName name="idCOORD" localSheetId="22">#REF!</definedName>
    <definedName name="idCOORD">[5]EstadoCAPEX!$K$2</definedName>
    <definedName name="idCOSTOS2000" localSheetId="22">#REF!</definedName>
    <definedName name="idCOSTOS2000">[5]EstadoCAPEX!$AW$1</definedName>
    <definedName name="idCostosPROG2000" localSheetId="22">#REF!</definedName>
    <definedName name="idCostosPROG2000">[5]EstadoCAPEX!$BX$1</definedName>
    <definedName name="idCostosPROG2001" localSheetId="22">#REF!</definedName>
    <definedName name="idCostosPROG2001">[5]EstadoCAPEX!$CD$1</definedName>
    <definedName name="idCostosREAL2000" localSheetId="22">#REF!</definedName>
    <definedName name="idCostosREAL2000">[5]EstadoCAPEX!$AW$1</definedName>
    <definedName name="idCostosREAL2001" localSheetId="22">#REF!</definedName>
    <definedName name="idCostosREAL2001">[5]EstadoCAPEX!$BC$1</definedName>
    <definedName name="idDESDE" localSheetId="22">#REF!</definedName>
    <definedName name="idDESDE">[5]EstadoCAPEX!$M$2</definedName>
    <definedName name="idESTADO" localSheetId="22">#REF!</definedName>
    <definedName name="idESTADO">[5]EstadoCAPEX!$AK$1</definedName>
    <definedName name="idFISICO2000" localSheetId="22">#REF!</definedName>
    <definedName name="idFISICO2000">[5]EstadoCAPEX!$CW$1</definedName>
    <definedName name="idFisicoPROG2000" localSheetId="22">#REF!</definedName>
    <definedName name="idFisicoPROG2000">[5]EstadoCAPEX!$DV$1</definedName>
    <definedName name="idFORECAST" localSheetId="22">#REF!</definedName>
    <definedName name="idFORECAST">[5]EstadoCAPEX!$S$2</definedName>
    <definedName name="idFORECAST1" localSheetId="22">#REF!</definedName>
    <definedName name="idFORECAST1">[5]EstadoCAPEX!$O$2</definedName>
    <definedName name="idFORECAST2" localSheetId="22">#REF!</definedName>
    <definedName name="idFORECAST2">[5]EstadoCAPEX!$P$2</definedName>
    <definedName name="idFORECAST3" localSheetId="22">#REF!</definedName>
    <definedName name="idFORECAST3">[5]EstadoCAPEX!$Q$2</definedName>
    <definedName name="idGASTO2000" localSheetId="22">#REF!</definedName>
    <definedName name="idGASTO2000">[5]EstadoCAPEX!$AP$1</definedName>
    <definedName name="idGASTO2001" localSheetId="22">#REF!</definedName>
    <definedName name="idGASTO2001">[5]EstadoCAPEX!$AQ$1</definedName>
    <definedName name="idGastosPROG" localSheetId="22">#REF!</definedName>
    <definedName name="idGastosPROG">[5]EstadoCAPEX!$AR$1</definedName>
    <definedName name="idGastosREAL" localSheetId="22">#REF!</definedName>
    <definedName name="idGastosREAL">[5]EstadoCAPEX!$AT$1</definedName>
    <definedName name="idHASTA" localSheetId="22">#REF!</definedName>
    <definedName name="idHASTA">[5]EstadoCAPEX!$N$2</definedName>
    <definedName name="idMIMS" localSheetId="22">#REF!</definedName>
    <definedName name="idMIMS">[5]EstadoCAPEX!$I$2</definedName>
    <definedName name="idOBS" localSheetId="22">#REF!</definedName>
    <definedName name="idOBS">[5]EstadoCAPEX!$AN$1</definedName>
    <definedName name="idPRESUP" localSheetId="22">#REF!</definedName>
    <definedName name="idPRESUP">[5]EstadoCAPEX!$V$2</definedName>
    <definedName name="idPROY" localSheetId="22">#REF!</definedName>
    <definedName name="idPROY">[5]EstadoCAPEX!$B$2</definedName>
    <definedName name="idSAPI" localSheetId="22">#REF!</definedName>
    <definedName name="idSAPI">[5]EstadoCAPEX!$A$2</definedName>
    <definedName name="idSUPERV" localSheetId="22">#REF!</definedName>
    <definedName name="idSUPERV">[5]EstadoCAPEX!$L$2</definedName>
    <definedName name="idVIGENTES" localSheetId="22">#REF!</definedName>
    <definedName name="idVIGENTES">[5]EstadoCAPEX!$F$2</definedName>
    <definedName name="Indic1" localSheetId="9">#REF!</definedName>
    <definedName name="Indic1" localSheetId="7">#REF!</definedName>
    <definedName name="Indic1" localSheetId="25">#REF!</definedName>
    <definedName name="Indic1" localSheetId="23">#REF!</definedName>
    <definedName name="Indic1" localSheetId="14">#REF!</definedName>
    <definedName name="Indic1" localSheetId="39">#REF!</definedName>
    <definedName name="Indic1" localSheetId="13">#REF!</definedName>
    <definedName name="Indic1" localSheetId="30">#REF!</definedName>
    <definedName name="Indic1" localSheetId="27">#REF!</definedName>
    <definedName name="Indic1" localSheetId="6">#REF!</definedName>
    <definedName name="Indic1" localSheetId="3">#REF!</definedName>
    <definedName name="Indic2" localSheetId="9">#REF!</definedName>
    <definedName name="Indic2" localSheetId="24">#REF!</definedName>
    <definedName name="Indic2" localSheetId="20">#REF!</definedName>
    <definedName name="Indic2" localSheetId="7">#REF!</definedName>
    <definedName name="Indic2" localSheetId="14">#REF!</definedName>
    <definedName name="Indic2" localSheetId="39">#REF!</definedName>
    <definedName name="Indic2" localSheetId="27">#REF!</definedName>
    <definedName name="Indic2" localSheetId="6">#REF!</definedName>
    <definedName name="Indic2" localSheetId="3">#REF!</definedName>
    <definedName name="Indicadores" localSheetId="9">#REF!</definedName>
    <definedName name="Indicadores" localSheetId="7">#REF!</definedName>
    <definedName name="Indicadores" localSheetId="25">#REF!</definedName>
    <definedName name="Indicadores" localSheetId="23">#REF!</definedName>
    <definedName name="Indicadores" localSheetId="14">#REF!</definedName>
    <definedName name="Indicadores" localSheetId="39">#REF!</definedName>
    <definedName name="Indicadores" localSheetId="13">#REF!</definedName>
    <definedName name="Indicadores" localSheetId="30">#REF!</definedName>
    <definedName name="Indicadores" localSheetId="27">#REF!</definedName>
    <definedName name="Indicadores" localSheetId="6">#REF!</definedName>
    <definedName name="Indicadores" localSheetId="3">#REF!</definedName>
    <definedName name="ING._NUM._PAGINA_" localSheetId="9">#REF!</definedName>
    <definedName name="ING._NUM._PAGINA_" localSheetId="24">#REF!</definedName>
    <definedName name="ING._NUM._PAGINA_" localSheetId="20">#REF!</definedName>
    <definedName name="ING._NUM._PAGINA_" localSheetId="7">#REF!</definedName>
    <definedName name="ING._NUM._PAGINA_" localSheetId="14">#REF!</definedName>
    <definedName name="ING._NUM._PAGINA_" localSheetId="39">#REF!</definedName>
    <definedName name="ING._NUM._PAGINA_" localSheetId="27">#REF!</definedName>
    <definedName name="ING._NUM._PAGINA_" localSheetId="6">#REF!</definedName>
    <definedName name="ING._NUM._PAGINA_" localSheetId="3">#REF!</definedName>
    <definedName name="ing_Num_pagina" localSheetId="9">#REF!</definedName>
    <definedName name="ing_Num_pagina" localSheetId="24">#REF!</definedName>
    <definedName name="ing_Num_pagina" localSheetId="20">#REF!</definedName>
    <definedName name="ing_Num_pagina" localSheetId="7">#REF!</definedName>
    <definedName name="ing_Num_pagina" localSheetId="14">#REF!</definedName>
    <definedName name="ing_Num_pagina" localSheetId="39">#REF!</definedName>
    <definedName name="ing_Num_pagina" localSheetId="27">#REF!</definedName>
    <definedName name="ing_Num_pagina" localSheetId="6">#REF!</definedName>
    <definedName name="ing_Num_pagina" localSheetId="3">#REF!</definedName>
    <definedName name="Inicio" localSheetId="9">#REF!</definedName>
    <definedName name="Inicio" localSheetId="7">#REF!</definedName>
    <definedName name="Inicio" localSheetId="25">#REF!</definedName>
    <definedName name="Inicio" localSheetId="23">#REF!</definedName>
    <definedName name="Inicio" localSheetId="14">#REF!</definedName>
    <definedName name="Inicio" localSheetId="39">#REF!</definedName>
    <definedName name="Inicio" localSheetId="13">#REF!</definedName>
    <definedName name="Inicio" localSheetId="30">#REF!</definedName>
    <definedName name="Inicio" localSheetId="27">#REF!</definedName>
    <definedName name="Inicio" localSheetId="6">#REF!</definedName>
    <definedName name="Inicio" localSheetId="3">#REF!</definedName>
    <definedName name="INS._CALIBRACION" localSheetId="7">#REF!</definedName>
    <definedName name="INS._CALIBRACION" localSheetId="27">#REF!</definedName>
    <definedName name="INS._CALIBRACION" localSheetId="6">#REF!</definedName>
    <definedName name="INS._CALIBRACION" localSheetId="3">#REF!</definedName>
    <definedName name="INS._MANT._IMPREV." localSheetId="7">#REF!</definedName>
    <definedName name="INS._MANT._IMPREV." localSheetId="27">#REF!</definedName>
    <definedName name="INS._MANT._IMPREV." localSheetId="6">#REF!</definedName>
    <definedName name="INS._MANT._IMPREV." localSheetId="3">#REF!</definedName>
    <definedName name="INS._MANT._PLAN." localSheetId="7">#REF!</definedName>
    <definedName name="INS._MANT._PLAN." localSheetId="27">#REF!</definedName>
    <definedName name="INS._MANT._PLAN." localSheetId="6">#REF!</definedName>
    <definedName name="INS._MANT._PLAN." localSheetId="3">#REF!</definedName>
    <definedName name="KT" localSheetId="9">#REF!</definedName>
    <definedName name="KT" localSheetId="7">#REF!</definedName>
    <definedName name="KT" localSheetId="25">#REF!</definedName>
    <definedName name="KT" localSheetId="23">#REF!</definedName>
    <definedName name="KT" localSheetId="14">#REF!</definedName>
    <definedName name="KT" localSheetId="39">#REF!</definedName>
    <definedName name="KT" localSheetId="13">#REF!</definedName>
    <definedName name="KT" localSheetId="30">#REF!</definedName>
    <definedName name="KT" localSheetId="27">#REF!</definedName>
    <definedName name="KT" localSheetId="6">#REF!</definedName>
    <definedName name="KT" localSheetId="3">#REF!</definedName>
    <definedName name="mantención" localSheetId="24">#REF!</definedName>
    <definedName name="mantención" localSheetId="20">#REF!</definedName>
    <definedName name="mantención" localSheetId="7">#REF!</definedName>
    <definedName name="mantención" localSheetId="27">#REF!</definedName>
    <definedName name="mantención" localSheetId="6">#REF!</definedName>
    <definedName name="mantención" localSheetId="3">#REF!</definedName>
    <definedName name="material_abril" localSheetId="22">#REF!</definedName>
    <definedName name="material_abril">[9]base!$C$2:$C$212</definedName>
    <definedName name="material_marzo" localSheetId="22">#REF!</definedName>
    <definedName name="material_marzo">[10]base!$C$2:$C$254</definedName>
    <definedName name="material_mayo" localSheetId="22">#REF!</definedName>
    <definedName name="material_mayo">[11]base!$C$2:$C$208</definedName>
    <definedName name="MINA" localSheetId="9">#REF!</definedName>
    <definedName name="MINA" localSheetId="7">#REF!</definedName>
    <definedName name="MINA" localSheetId="25">#REF!</definedName>
    <definedName name="MINA" localSheetId="23">#REF!</definedName>
    <definedName name="MINA" localSheetId="14">#REF!</definedName>
    <definedName name="MINA" localSheetId="39">#REF!</definedName>
    <definedName name="MINA" localSheetId="13">#REF!</definedName>
    <definedName name="MINA" localSheetId="30">#REF!</definedName>
    <definedName name="MINA" localSheetId="27">#REF!</definedName>
    <definedName name="MINA" localSheetId="6">#REF!</definedName>
    <definedName name="MINA" localSheetId="3">#REF!</definedName>
    <definedName name="mina_duro_dia" localSheetId="16">'[15]IMD Mina'!$E$26</definedName>
    <definedName name="mina_duro_dia" localSheetId="7">'[15]IMD Mina'!$E$26</definedName>
    <definedName name="mina_duro_dia" localSheetId="27">'[15]IMD Mina'!$E$26</definedName>
    <definedName name="mina_duro_dia" localSheetId="6">'[15]IMD Mina'!$E$26</definedName>
    <definedName name="mina_duro_dia" localSheetId="3">'[15]IMD Mina'!$E$26</definedName>
    <definedName name="Minera_Los_Pelambres" localSheetId="9">#REF!</definedName>
    <definedName name="Minera_Los_Pelambres" localSheetId="7">#REF!</definedName>
    <definedName name="Minera_Los_Pelambres" localSheetId="25">#REF!</definedName>
    <definedName name="Minera_Los_Pelambres" localSheetId="23">#REF!</definedName>
    <definedName name="Minera_Los_Pelambres" localSheetId="14">#REF!</definedName>
    <definedName name="Minera_Los_Pelambres" localSheetId="39">#REF!</definedName>
    <definedName name="Minera_Los_Pelambres" localSheetId="13">#REF!</definedName>
    <definedName name="Minera_Los_Pelambres" localSheetId="30">#REF!</definedName>
    <definedName name="Minera_Los_Pelambres" localSheetId="27">#REF!</definedName>
    <definedName name="Minera_Los_Pelambres" localSheetId="6">#REF!</definedName>
    <definedName name="Minera_Los_Pelambres" localSheetId="3">#REF!</definedName>
    <definedName name="MNP_BBA._CICLONES" localSheetId="7">#REF!</definedName>
    <definedName name="MNP_BBA._CICLONES" localSheetId="27">#REF!</definedName>
    <definedName name="MNP_BBA._CICLONES" localSheetId="6">#REF!</definedName>
    <definedName name="MNP_BBA._CICLONES" localSheetId="3">#REF!</definedName>
    <definedName name="MNP_CAÑER_AGUA_PTA" localSheetId="7">#REF!</definedName>
    <definedName name="MNP_CAÑER_AGUA_PTA" localSheetId="27">#REF!</definedName>
    <definedName name="MNP_CAÑER_AGUA_PTA" localSheetId="6">#REF!</definedName>
    <definedName name="MNP_CAÑER_AGUA_PTA" localSheetId="3">#REF!</definedName>
    <definedName name="MNP_CAÑER_CICLON_SAG" localSheetId="7">#REF!</definedName>
    <definedName name="MNP_CAÑER_CICLON_SAG" localSheetId="27">#REF!</definedName>
    <definedName name="MNP_CAÑER_CICLON_SAG" localSheetId="6">#REF!</definedName>
    <definedName name="MNP_CAÑER_CICLON_SAG" localSheetId="3">#REF!</definedName>
    <definedName name="MNP_COMPRESORES" localSheetId="7">#REF!</definedName>
    <definedName name="MNP_COMPRESORES" localSheetId="27">#REF!</definedName>
    <definedName name="MNP_COMPRESORES" localSheetId="6">#REF!</definedName>
    <definedName name="MNP_COMPRESORES" localSheetId="3">#REF!</definedName>
    <definedName name="MNP_CORREA_Y_CHUTES" localSheetId="7">#REF!</definedName>
    <definedName name="MNP_CORREA_Y_CHUTES" localSheetId="27">#REF!</definedName>
    <definedName name="MNP_CORREA_Y_CHUTES" localSheetId="6">#REF!</definedName>
    <definedName name="MNP_CORREA_Y_CHUTES" localSheetId="3">#REF!</definedName>
    <definedName name="MNP_HARNERO" localSheetId="7">#REF!</definedName>
    <definedName name="MNP_HARNERO" localSheetId="27">#REF!</definedName>
    <definedName name="MNP_HARNERO" localSheetId="6">#REF!</definedName>
    <definedName name="MNP_HARNERO" localSheetId="3">#REF!</definedName>
    <definedName name="MNP_MOLINO_SAG" localSheetId="7">#REF!</definedName>
    <definedName name="MNP_MOLINO_SAG" localSheetId="27">#REF!</definedName>
    <definedName name="MNP_MOLINO_SAG" localSheetId="6">#REF!</definedName>
    <definedName name="MNP_MOLINO_SAG" localSheetId="3">#REF!</definedName>
    <definedName name="MNP_SIST._LUBRICACION" localSheetId="7">#REF!</definedName>
    <definedName name="MNP_SIST._LUBRICACION" localSheetId="27">#REF!</definedName>
    <definedName name="MNP_SIST._LUBRICACION" localSheetId="6">#REF!</definedName>
    <definedName name="MNP_SIST._LUBRICACION" localSheetId="3">#REF!</definedName>
    <definedName name="MNP_SIST_AGUA_ENFRIA." localSheetId="7">#REF!</definedName>
    <definedName name="MNP_SIST_AGUA_ENFRIA." localSheetId="27">#REF!</definedName>
    <definedName name="MNP_SIST_AGUA_ENFRIA." localSheetId="6">#REF!</definedName>
    <definedName name="MNP_SIST_AGUA_ENFRIA." localSheetId="3">#REF!</definedName>
    <definedName name="Mo" localSheetId="22">#REF!</definedName>
    <definedName name="Mo">[8]Leyes!$M$2:$M$474</definedName>
    <definedName name="MP_BBA._CICLONES" localSheetId="9">#REF!</definedName>
    <definedName name="MP_BBA._CICLONES" localSheetId="7">#REF!</definedName>
    <definedName name="MP_BBA._CICLONES" localSheetId="25">#REF!</definedName>
    <definedName name="MP_BBA._CICLONES" localSheetId="23">#REF!</definedName>
    <definedName name="MP_BBA._CICLONES" localSheetId="14">#REF!</definedName>
    <definedName name="MP_BBA._CICLONES" localSheetId="39">#REF!</definedName>
    <definedName name="MP_BBA._CICLONES" localSheetId="13">#REF!</definedName>
    <definedName name="MP_BBA._CICLONES" localSheetId="30">#REF!</definedName>
    <definedName name="MP_BBA._CICLONES" localSheetId="27">#REF!</definedName>
    <definedName name="MP_BBA._CICLONES" localSheetId="6">#REF!</definedName>
    <definedName name="MP_BBA._CICLONES" localSheetId="3">#REF!</definedName>
    <definedName name="MP_CAÑER_AGUA_PTA" localSheetId="9">#REF!</definedName>
    <definedName name="MP_CAÑER_AGUA_PTA" localSheetId="7">#REF!</definedName>
    <definedName name="MP_CAÑER_AGUA_PTA" localSheetId="25">#REF!</definedName>
    <definedName name="MP_CAÑER_AGUA_PTA" localSheetId="23">#REF!</definedName>
    <definedName name="MP_CAÑER_AGUA_PTA" localSheetId="14">#REF!</definedName>
    <definedName name="MP_CAÑER_AGUA_PTA" localSheetId="39">#REF!</definedName>
    <definedName name="MP_CAÑER_AGUA_PTA" localSheetId="13">#REF!</definedName>
    <definedName name="MP_CAÑER_AGUA_PTA" localSheetId="30">#REF!</definedName>
    <definedName name="MP_CAÑER_AGUA_PTA" localSheetId="27">#REF!</definedName>
    <definedName name="MP_CAÑER_AGUA_PTA" localSheetId="6">#REF!</definedName>
    <definedName name="MP_CAÑER_AGUA_PTA" localSheetId="3">#REF!</definedName>
    <definedName name="MP_CAÑER_CICLON_SAG" localSheetId="7">#REF!</definedName>
    <definedName name="MP_CAÑER_CICLON_SAG" localSheetId="27">#REF!</definedName>
    <definedName name="MP_CAÑER_CICLON_SAG" localSheetId="6">#REF!</definedName>
    <definedName name="MP_CAÑER_CICLON_SAG" localSheetId="3">#REF!</definedName>
    <definedName name="MP_COMPRESORES" localSheetId="9">#REF!</definedName>
    <definedName name="MP_COMPRESORES" localSheetId="7">#REF!</definedName>
    <definedName name="MP_COMPRESORES" localSheetId="25">#REF!</definedName>
    <definedName name="MP_COMPRESORES" localSheetId="23">#REF!</definedName>
    <definedName name="MP_COMPRESORES" localSheetId="14">#REF!</definedName>
    <definedName name="MP_COMPRESORES" localSheetId="39">#REF!</definedName>
    <definedName name="MP_COMPRESORES" localSheetId="13">#REF!</definedName>
    <definedName name="MP_COMPRESORES" localSheetId="30">#REF!</definedName>
    <definedName name="MP_COMPRESORES" localSheetId="27">#REF!</definedName>
    <definedName name="MP_COMPRESORES" localSheetId="6">#REF!</definedName>
    <definedName name="MP_COMPRESORES" localSheetId="3">#REF!</definedName>
    <definedName name="MP_CORREA_Y_CHUTES" localSheetId="7">#REF!</definedName>
    <definedName name="MP_CORREA_Y_CHUTES" localSheetId="27">#REF!</definedName>
    <definedName name="MP_CORREA_Y_CHUTES" localSheetId="6">#REF!</definedName>
    <definedName name="MP_CORREA_Y_CHUTES" localSheetId="3">#REF!</definedName>
    <definedName name="MP_HARNERO" localSheetId="7">#REF!</definedName>
    <definedName name="MP_HARNERO" localSheetId="27">#REF!</definedName>
    <definedName name="MP_HARNERO" localSheetId="6">#REF!</definedName>
    <definedName name="MP_HARNERO" localSheetId="3">#REF!</definedName>
    <definedName name="MP_MOLINO_SAG" localSheetId="7">#REF!</definedName>
    <definedName name="MP_MOLINO_SAG" localSheetId="27">#REF!</definedName>
    <definedName name="MP_MOLINO_SAG" localSheetId="6">#REF!</definedName>
    <definedName name="MP_MOLINO_SAG" localSheetId="3">#REF!</definedName>
    <definedName name="MP_SIST._LUBRICACION" localSheetId="9">#REF!</definedName>
    <definedName name="MP_SIST._LUBRICACION" localSheetId="7">#REF!</definedName>
    <definedName name="MP_SIST._LUBRICACION" localSheetId="25">#REF!</definedName>
    <definedName name="MP_SIST._LUBRICACION" localSheetId="23">#REF!</definedName>
    <definedName name="MP_SIST._LUBRICACION" localSheetId="14">#REF!</definedName>
    <definedName name="MP_SIST._LUBRICACION" localSheetId="39">#REF!</definedName>
    <definedName name="MP_SIST._LUBRICACION" localSheetId="13">#REF!</definedName>
    <definedName name="MP_SIST._LUBRICACION" localSheetId="30">#REF!</definedName>
    <definedName name="MP_SIST._LUBRICACION" localSheetId="27">#REF!</definedName>
    <definedName name="MP_SIST._LUBRICACION" localSheetId="6">#REF!</definedName>
    <definedName name="MP_SIST._LUBRICACION" localSheetId="3">#REF!</definedName>
    <definedName name="MP_SIST_AGUA_ENFRIA." localSheetId="7">#REF!</definedName>
    <definedName name="MP_SIST_AGUA_ENFRIA." localSheetId="27">#REF!</definedName>
    <definedName name="MP_SIST_AGUA_ENFRIA." localSheetId="6">#REF!</definedName>
    <definedName name="MP_SIST_AGUA_ENFRIA." localSheetId="3">#REF!</definedName>
    <definedName name="NIL" hidden="1">" "</definedName>
    <definedName name="nn" localSheetId="7" hidden="1">#REF!</definedName>
    <definedName name="nn" localSheetId="27" hidden="1">#REF!</definedName>
    <definedName name="nn" localSheetId="6" hidden="1">#REF!</definedName>
    <definedName name="nn" localSheetId="3" hidden="1">#REF!</definedName>
    <definedName name="OPE._ATOLLO_CAÑERIA" localSheetId="7">#REF!</definedName>
    <definedName name="OPE._ATOLLO_CAÑERIA" localSheetId="27">#REF!</definedName>
    <definedName name="OPE._ATOLLO_CAÑERIA" localSheetId="6">#REF!</definedName>
    <definedName name="OPE._ATOLLO_CAÑERIA" localSheetId="3">#REF!</definedName>
    <definedName name="OPE._ATOLLO_CORREA_CHUTE" localSheetId="7">#REF!</definedName>
    <definedName name="OPE._ATOLLO_CORREA_CHUTE" localSheetId="27">#REF!</definedName>
    <definedName name="OPE._ATOLLO_CORREA_CHUTE" localSheetId="6">#REF!</definedName>
    <definedName name="OPE._ATOLLO_CORREA_CHUTE" localSheetId="3">#REF!</definedName>
    <definedName name="OPE._BANDERAS" localSheetId="7">#REF!</definedName>
    <definedName name="OPE._BANDERAS" localSheetId="27">#REF!</definedName>
    <definedName name="OPE._BANDERAS" localSheetId="6">#REF!</definedName>
    <definedName name="OPE._BANDERAS" localSheetId="3">#REF!</definedName>
    <definedName name="OPE._DET._BCO._FLOTACION" localSheetId="7">#REF!</definedName>
    <definedName name="OPE._DET._BCO._FLOTACION" localSheetId="27">#REF!</definedName>
    <definedName name="OPE._DET._BCO._FLOTACION" localSheetId="6">#REF!</definedName>
    <definedName name="OPE._DET._BCO._FLOTACION" localSheetId="3">#REF!</definedName>
    <definedName name="PABLO" localSheetId="7">#REF!</definedName>
    <definedName name="PABLO" localSheetId="27">#REF!</definedName>
    <definedName name="PABLO" localSheetId="6">#REF!</definedName>
    <definedName name="PABLO" localSheetId="3">#REF!</definedName>
    <definedName name="pctAvFisicoPROG" localSheetId="22">#REF!</definedName>
    <definedName name="pctAvFisicoPROG">[5]EstadoCAPEX!$AL$1</definedName>
    <definedName name="pctAvFisicoREAL" localSheetId="22">#REF!</definedName>
    <definedName name="pctAvFisicoREAL">[5]EstadoCAPEX!$AM$1</definedName>
    <definedName name="pctCostosDELTA" localSheetId="22">#REF!</definedName>
    <definedName name="pctCostosDELTA">[5]ProyCURVAS!$B$28</definedName>
    <definedName name="pctCostosMAX" localSheetId="22">#REF!</definedName>
    <definedName name="pctCostosMAX">[5]ProyCURVAS!$B$27</definedName>
    <definedName name="pctFísicoDELTA" localSheetId="22">#REF!</definedName>
    <definedName name="pctFísicoDELTA">[5]ProyCURVAS!$B$26</definedName>
    <definedName name="pctFísicoMAX" localSheetId="22">#REF!</definedName>
    <definedName name="pctFísicoMAX">[5]ProyCURVAS!$B$25</definedName>
    <definedName name="pctGastosPROG" localSheetId="22">#REF!</definedName>
    <definedName name="pctGastosPROG">[5]EstadoCAPEX!$AS$1</definedName>
    <definedName name="pctGastosREAL" localSheetId="22">#REF!</definedName>
    <definedName name="pctGastosREAL">[5]EstadoCAPEX!$AU$1</definedName>
    <definedName name="PercentComplete" localSheetId="22">'Control Producción'!PercentCompleteBeyond*'Control Producción'!PeriodInPlan</definedName>
    <definedName name="PercentComplete">PercentCompleteBeyond*PeriodInPlan</definedName>
    <definedName name="PercentCompleteBeyond" localSheetId="22">(#REF!=MEDIAN(#REF!,#REF!,#REF!+#REF!)*(#REF!&gt;0))*((#REF!&lt;(INT(#REF!+#REF!*#REF!)))+(#REF!=#REF!))*(#REF!&gt;0)</definedName>
    <definedName name="PercentCompleteBeyond">('[4]Planificador de proyectos'!A$4=MEDIAN('[4]Planificador de proyectos'!A$4,'[4]Planificador de proyectos'!$E1,'[4]Planificador de proyectos'!$E1+'[4]Planificador de proyectos'!$F1)*('[4]Planificador de proyectos'!$E1&gt;0))*(('[4]Planificador de proyectos'!A$4&lt;(INT('[4]Planificador de proyectos'!$E1+'[4]Planificador de proyectos'!$F1*'[4]Planificador de proyectos'!$G1)))+('[4]Planificador de proyectos'!A$4='[4]Planificador de proyectos'!$E1))*('[4]Planificador de proyectos'!$G1&gt;0)</definedName>
    <definedName name="period_selected" localSheetId="22">#REF!</definedName>
    <definedName name="period_selected">'[4]Planificador de proyectos'!$H$2</definedName>
    <definedName name="PeriodInActual" localSheetId="22">#REF!=MEDIAN(#REF!,#REF!,#REF!+#REF!-1)</definedName>
    <definedName name="PeriodInActual">'[4]Planificador de proyectos'!A$4=MEDIAN('[4]Planificador de proyectos'!A$4,'[4]Planificador de proyectos'!$E1,'[4]Planificador de proyectos'!$E1+'[4]Planificador de proyectos'!$F1-1)</definedName>
    <definedName name="PeriodInPlan" localSheetId="22">#REF!=MEDIAN(#REF!,#REF!,#REF!+#REF!-1)</definedName>
    <definedName name="PeriodInPlan">'[4]Planificador de proyectos'!A$4=MEDIAN('[4]Planificador de proyectos'!A$4,'[4]Planificador de proyectos'!$C1,'[4]Planificador de proyectos'!$C1+'[4]Planificador de proyectos'!$D1-1)</definedName>
    <definedName name="PIE" localSheetId="7">#REF!</definedName>
    <definedName name="PIE" localSheetId="27">#REF!</definedName>
    <definedName name="PIE" localSheetId="6">#REF!</definedName>
    <definedName name="PIE" localSheetId="3">#REF!</definedName>
    <definedName name="Plan" localSheetId="22">'Control Producción'!PeriodInPlan*(#REF!&gt;0)</definedName>
    <definedName name="Plan">PeriodInPlan*('[4]Planificador de proyectos'!$C1&gt;0)</definedName>
    <definedName name="Planta" localSheetId="9">#REF!</definedName>
    <definedName name="Planta" localSheetId="7">#REF!</definedName>
    <definedName name="Planta" localSheetId="25">#REF!</definedName>
    <definedName name="Planta" localSheetId="23">#REF!</definedName>
    <definedName name="Planta" localSheetId="14">#REF!</definedName>
    <definedName name="Planta" localSheetId="39">#REF!</definedName>
    <definedName name="Planta" localSheetId="13">#REF!</definedName>
    <definedName name="Planta" localSheetId="30">#REF!</definedName>
    <definedName name="Planta" localSheetId="27">#REF!</definedName>
    <definedName name="Planta" localSheetId="6">#REF!</definedName>
    <definedName name="Planta" localSheetId="3">#REF!</definedName>
    <definedName name="PmAbril" localSheetId="7" hidden="1">#REF!</definedName>
    <definedName name="PmAbril" localSheetId="27" hidden="1">#REF!</definedName>
    <definedName name="PmAbril" localSheetId="6" hidden="1">#REF!</definedName>
    <definedName name="PmAbril" localSheetId="3" hidden="1">#REF!</definedName>
    <definedName name="Prod" localSheetId="9">#REF!</definedName>
    <definedName name="Prod" localSheetId="24">#REF!</definedName>
    <definedName name="Prod" localSheetId="20">#REF!</definedName>
    <definedName name="Prod" localSheetId="7">#REF!</definedName>
    <definedName name="Prod" localSheetId="14">#REF!</definedName>
    <definedName name="Prod" localSheetId="39">#REF!</definedName>
    <definedName name="Prod" localSheetId="27">#REF!</definedName>
    <definedName name="Prod" localSheetId="6">#REF!</definedName>
    <definedName name="Prod" localSheetId="3">#REF!</definedName>
    <definedName name="PUERTO" localSheetId="9">#REF!</definedName>
    <definedName name="PUERTO" localSheetId="7">#REF!</definedName>
    <definedName name="PUERTO" localSheetId="25">#REF!</definedName>
    <definedName name="PUERTO" localSheetId="23">#REF!</definedName>
    <definedName name="PUERTO" localSheetId="14">#REF!</definedName>
    <definedName name="PUERTO" localSheetId="39">#REF!</definedName>
    <definedName name="PUERTO" localSheetId="13">#REF!</definedName>
    <definedName name="PUERTO" localSheetId="30">#REF!</definedName>
    <definedName name="PUERTO" localSheetId="27">#REF!</definedName>
    <definedName name="PUERTO" localSheetId="6">#REF!</definedName>
    <definedName name="PUERTO" localSheetId="3">#REF!</definedName>
    <definedName name="q" localSheetId="9">#REF!</definedName>
    <definedName name="q" localSheetId="24">#REF!</definedName>
    <definedName name="q" localSheetId="20">#REF!</definedName>
    <definedName name="q" localSheetId="7">#REF!</definedName>
    <definedName name="q" localSheetId="25">#REF!</definedName>
    <definedName name="q" localSheetId="23">#REF!</definedName>
    <definedName name="q" localSheetId="14">#REF!</definedName>
    <definedName name="q" localSheetId="39">#REF!</definedName>
    <definedName name="q" localSheetId="13">#REF!</definedName>
    <definedName name="q" localSheetId="30">#REF!</definedName>
    <definedName name="q" localSheetId="27">#REF!</definedName>
    <definedName name="q" localSheetId="6">#REF!</definedName>
    <definedName name="q" localSheetId="3">#REF!</definedName>
    <definedName name="Rango_Formulas_Totales" localSheetId="9">#REF!</definedName>
    <definedName name="Rango_Formulas_Totales" localSheetId="7">#REF!</definedName>
    <definedName name="Rango_Formulas_Totales" localSheetId="14">#REF!</definedName>
    <definedName name="Rango_Formulas_Totales" localSheetId="39">#REF!</definedName>
    <definedName name="Rango_Formulas_Totales" localSheetId="27">#REF!</definedName>
    <definedName name="Rango_Formulas_Totales" localSheetId="6">#REF!</definedName>
    <definedName name="Rango_Formulas_Totales" localSheetId="3">#REF!</definedName>
    <definedName name="RANKING_PROYECTOS" localSheetId="9">#REF!</definedName>
    <definedName name="RANKING_PROYECTOS" localSheetId="7">#REF!</definedName>
    <definedName name="RANKING_PROYECTOS" localSheetId="25">#REF!</definedName>
    <definedName name="RANKING_PROYECTOS" localSheetId="23">#REF!</definedName>
    <definedName name="RANKING_PROYECTOS" localSheetId="14">#REF!</definedName>
    <definedName name="RANKING_PROYECTOS" localSheetId="39">#REF!</definedName>
    <definedName name="RANKING_PROYECTOS" localSheetId="13">#REF!</definedName>
    <definedName name="RANKING_PROYECTOS" localSheetId="30">#REF!</definedName>
    <definedName name="RANKING_PROYECTOS" localSheetId="27">#REF!</definedName>
    <definedName name="RANKING_PROYECTOS" localSheetId="6">#REF!</definedName>
    <definedName name="RANKING_PROYECTOS" localSheetId="3">#REF!</definedName>
    <definedName name="Real" localSheetId="22">('Control Producción'!PeriodInActual*(#REF!&gt;0))*'Control Producción'!PeriodInPlan</definedName>
    <definedName name="Real">(PeriodInActual*('[4]Planificador de proyectos'!$E1&gt;0))*PeriodInPlan</definedName>
    <definedName name="Rendimiento" localSheetId="9" hidden="1">#REF!</definedName>
    <definedName name="Rendimiento" localSheetId="0" hidden="1">#REF!</definedName>
    <definedName name="Rendimiento" localSheetId="24" hidden="1">#REF!</definedName>
    <definedName name="Rendimiento" localSheetId="20" hidden="1">#REF!</definedName>
    <definedName name="Rendimiento" localSheetId="7" hidden="1">#REF!</definedName>
    <definedName name="Rendimiento" localSheetId="25" hidden="1">#REF!</definedName>
    <definedName name="Rendimiento" localSheetId="23" hidden="1">#REF!</definedName>
    <definedName name="Rendimiento" localSheetId="14" hidden="1">#REF!</definedName>
    <definedName name="Rendimiento" localSheetId="39" hidden="1">#REF!</definedName>
    <definedName name="Rendimiento" localSheetId="13" hidden="1">#REF!</definedName>
    <definedName name="Rendimiento" localSheetId="30" hidden="1">#REF!</definedName>
    <definedName name="Rendimiento" localSheetId="27" hidden="1">#REF!</definedName>
    <definedName name="Rendimiento" localSheetId="6" hidden="1">#REF!</definedName>
    <definedName name="Rendimiento" localSheetId="3" hidden="1">#REF!</definedName>
    <definedName name="RRHH" localSheetId="9">#REF!</definedName>
    <definedName name="RRHH" localSheetId="24">#REF!</definedName>
    <definedName name="RRHH" localSheetId="20">#REF!</definedName>
    <definedName name="RRHH" localSheetId="7">#REF!</definedName>
    <definedName name="RRHH" localSheetId="14">#REF!</definedName>
    <definedName name="RRHH" localSheetId="39">#REF!</definedName>
    <definedName name="RRHH" localSheetId="27">#REF!</definedName>
    <definedName name="RRHH" localSheetId="6">#REF!</definedName>
    <definedName name="RRHH" localSheetId="3">#REF!</definedName>
    <definedName name="s" localSheetId="9">#REF!</definedName>
    <definedName name="s" localSheetId="14">#REF!</definedName>
    <definedName name="s" localSheetId="39">#REF!</definedName>
    <definedName name="sip.Data.Almacenando">HojaSIPcfg!$A$12</definedName>
    <definedName name="sip.Data.FinAlmacenar">HojaSIPcfg!$A$11</definedName>
    <definedName name="sip.Data.FinLeer">HojaSIPcfg!$A$8</definedName>
    <definedName name="sip.Data.IniAlmacenar">HojaSIPcfg!$A$10</definedName>
    <definedName name="sip.Data.IniLeer">HojaSIPcfg!$A$7</definedName>
    <definedName name="sip.Data.Leyendo">HojaSIPcfg!$A$9</definedName>
    <definedName name="sip.Fecha.Dia1Mes">HojaSIPcfg!$A$16</definedName>
    <definedName name="sip.Fecha.DiaAgno">HojaSIPcfg!$A$19</definedName>
    <definedName name="sip.Fecha.DiaMes">HojaSIPcfg!$A$17</definedName>
    <definedName name="sip.Fecha.DiasMes">HojaSIPcfg!$A$18</definedName>
    <definedName name="sip.Fecha.Fin">HojaSIPcfg!$A$2</definedName>
    <definedName name="sip.Fecha.Ini">HojaSIPcfg!$A$1</definedName>
    <definedName name="sip.Fecha.Oper">HojaSIPcfg!$A$15</definedName>
    <definedName name="sip.Rep.Area">HojaSIPcfg!$B$4</definedName>
    <definedName name="sip.Rep.Descripcion">HojaSIPcfg!$B$3</definedName>
    <definedName name="sip.Rep.Dia1Semana">HojaSIPcfg!$B$13</definedName>
    <definedName name="sip.Rep.EligeVersion">HojaSIPcfg!$B$16</definedName>
    <definedName name="sip.Rep.FFinAnt">HojaSIPcfg!$B$15</definedName>
    <definedName name="sip.Rep.FIniAnt">HojaSIPcfg!$B$14</definedName>
    <definedName name="sip.Rep.Id">HojaSIPcfg!$B$2</definedName>
    <definedName name="sip.Rep.LimiteEdicion">HojaSIPcfg!$B$8</definedName>
    <definedName name="sip.Rep.Nombre">HojaSIPcfg!$B$1</definedName>
    <definedName name="sip.Rep.NumeroTurnos">HojaSIPcfg!$B$9</definedName>
    <definedName name="sip.Rep.OffsetOperacional">HojaSIPcfg!$B$10</definedName>
    <definedName name="sip.Rep.Orden">HojaSIPcfg!$B$12</definedName>
    <definedName name="sip.Rep.ReportesPorDia">HojaSIPcfg!$B$11</definedName>
    <definedName name="sip.Rep.RutaReporte">HojaSIPcfg!$B$7</definedName>
    <definedName name="sip.Rep.Tipo">HojaSIPcfg!$B$5</definedName>
    <definedName name="sip.Rep.Versiones">HojaSIPcfg!$B$6</definedName>
    <definedName name="sip.tmp.d01">HojaSIPcfg!$D$1</definedName>
    <definedName name="sip.Turno.Texto">HojaSIPcfg!$A$3</definedName>
    <definedName name="sip.User.P01">HojaSIPcfg!$C$1</definedName>
    <definedName name="sip.User.P02">HojaSIPcfg!$C$2</definedName>
    <definedName name="sip.User.P03">HojaSIPcfg!$C$3</definedName>
    <definedName name="sip.User.P04">HojaSIPcfg!$C$4</definedName>
    <definedName name="sip.User.P05">HojaSIPcfg!$C$5</definedName>
    <definedName name="sip.User.P06">HojaSIPcfg!$C$6</definedName>
    <definedName name="sip.User.P07">HojaSIPcfg!$C$7</definedName>
    <definedName name="sip.User.P08">HojaSIPcfg!$C$8</definedName>
    <definedName name="sip.User.P09">HojaSIPcfg!$C$9</definedName>
    <definedName name="sip.User.P10">HojaSIPcfg!$C$10</definedName>
    <definedName name="sip.User.P11">HojaSIPcfg!$C$11</definedName>
    <definedName name="sip.User.P12">HojaSIPcfg!$C$12</definedName>
    <definedName name="sip.User.P13">HojaSIPcfg!$C$13</definedName>
    <definedName name="sip.User.P14">HojaSIPcfg!$C$14</definedName>
    <definedName name="sip.User.P15">HojaSIPcfg!$C$15</definedName>
    <definedName name="sip.Version.listID">HojaSIPcfg!$A$6</definedName>
    <definedName name="sip.Version.Numero">HojaSIPcfg!$A$4</definedName>
    <definedName name="sip.Version.Texto">HojaSIPcfg!$A$5</definedName>
    <definedName name="solver_adj" localSheetId="9" hidden="1">#REF!</definedName>
    <definedName name="solver_adj" localSheetId="0" hidden="1">#REF!</definedName>
    <definedName name="solver_adj" localSheetId="24" hidden="1">'Plan mina PS'!$E$4</definedName>
    <definedName name="solver_adj" localSheetId="20" hidden="1">'Plan mina ST'!$D$4</definedName>
    <definedName name="solver_adj" localSheetId="7" hidden="1">#REF!</definedName>
    <definedName name="solver_adj" localSheetId="25" hidden="1">'Proy. Mes'!$AI$3</definedName>
    <definedName name="solver_adj" localSheetId="14" hidden="1">#REF!</definedName>
    <definedName name="solver_adj" localSheetId="39" hidden="1">#REF!</definedName>
    <definedName name="solver_adj" localSheetId="13" hidden="1">#REF!</definedName>
    <definedName name="solver_adj" localSheetId="30" hidden="1">#REF!</definedName>
    <definedName name="solver_adj" localSheetId="19" hidden="1">'ST Original'!$EJ$35</definedName>
    <definedName name="solver_adj" localSheetId="27" hidden="1">#REF!</definedName>
    <definedName name="solver_adj" localSheetId="6" hidden="1">#REF!</definedName>
    <definedName name="solver_adj" localSheetId="3" hidden="1">#REF!</definedName>
    <definedName name="solver_cvg" localSheetId="24" hidden="1">0.0001</definedName>
    <definedName name="solver_cvg" localSheetId="20" hidden="1">0.0001</definedName>
    <definedName name="solver_cvg" localSheetId="25" hidden="1">0.0001</definedName>
    <definedName name="solver_cvg" localSheetId="23" hidden="1">0.0001</definedName>
    <definedName name="solver_cvg" localSheetId="19" hidden="1">0.0001</definedName>
    <definedName name="solver_drv" localSheetId="24" hidden="1">1</definedName>
    <definedName name="solver_drv" localSheetId="20" hidden="1">1</definedName>
    <definedName name="solver_drv" localSheetId="25" hidden="1">1</definedName>
    <definedName name="solver_drv" localSheetId="23" hidden="1">1</definedName>
    <definedName name="solver_drv" localSheetId="19" hidden="1">1</definedName>
    <definedName name="solver_eng" localSheetId="25" hidden="1">1</definedName>
    <definedName name="solver_eng" localSheetId="23" hidden="1">1</definedName>
    <definedName name="solver_eng" localSheetId="19" hidden="1">1</definedName>
    <definedName name="solver_est" localSheetId="24" hidden="1">1</definedName>
    <definedName name="solver_est" localSheetId="20" hidden="1">1</definedName>
    <definedName name="solver_est" localSheetId="25" hidden="1">1</definedName>
    <definedName name="solver_est" localSheetId="23" hidden="1">1</definedName>
    <definedName name="solver_est" localSheetId="19" hidden="1">1</definedName>
    <definedName name="solver_itr" localSheetId="24" hidden="1">100</definedName>
    <definedName name="solver_itr" localSheetId="20" hidden="1">100</definedName>
    <definedName name="solver_itr" localSheetId="25" hidden="1">100</definedName>
    <definedName name="solver_itr" localSheetId="23" hidden="1">2147483647</definedName>
    <definedName name="solver_itr" localSheetId="19" hidden="1">2147483647</definedName>
    <definedName name="solver_lin" localSheetId="24" hidden="1">2</definedName>
    <definedName name="solver_lin" localSheetId="20" hidden="1">2</definedName>
    <definedName name="solver_lin" localSheetId="25" hidden="1">2</definedName>
    <definedName name="solver_mip" localSheetId="23" hidden="1">2147483647</definedName>
    <definedName name="solver_mip" localSheetId="19" hidden="1">2147483647</definedName>
    <definedName name="solver_mni" localSheetId="23" hidden="1">30</definedName>
    <definedName name="solver_mni" localSheetId="19" hidden="1">30</definedName>
    <definedName name="solver_mrt" localSheetId="23" hidden="1">0.075</definedName>
    <definedName name="solver_mrt" localSheetId="19" hidden="1">0.075</definedName>
    <definedName name="solver_msl" localSheetId="23" hidden="1">2</definedName>
    <definedName name="solver_msl" localSheetId="19" hidden="1">2</definedName>
    <definedName name="solver_neg" localSheetId="24" hidden="1">2</definedName>
    <definedName name="solver_neg" localSheetId="20" hidden="1">2</definedName>
    <definedName name="solver_neg" localSheetId="25" hidden="1">2</definedName>
    <definedName name="solver_neg" localSheetId="23" hidden="1">1</definedName>
    <definedName name="solver_neg" localSheetId="19" hidden="1">1</definedName>
    <definedName name="solver_nod" localSheetId="23" hidden="1">2147483647</definedName>
    <definedName name="solver_nod" localSheetId="19" hidden="1">2147483647</definedName>
    <definedName name="solver_num" localSheetId="24" hidden="1">0</definedName>
    <definedName name="solver_num" localSheetId="20" hidden="1">0</definedName>
    <definedName name="solver_num" localSheetId="25" hidden="1">0</definedName>
    <definedName name="solver_num" localSheetId="23" hidden="1">0</definedName>
    <definedName name="solver_num" localSheetId="19" hidden="1">0</definedName>
    <definedName name="solver_nwt" localSheetId="24" hidden="1">1</definedName>
    <definedName name="solver_nwt" localSheetId="20" hidden="1">1</definedName>
    <definedName name="solver_nwt" localSheetId="25" hidden="1">1</definedName>
    <definedName name="solver_nwt" localSheetId="23" hidden="1">1</definedName>
    <definedName name="solver_nwt" localSheetId="19" hidden="1">1</definedName>
    <definedName name="solver_opt" localSheetId="9" hidden="1">#REF!</definedName>
    <definedName name="solver_opt" localSheetId="0" hidden="1">#REF!</definedName>
    <definedName name="solver_opt" localSheetId="24" hidden="1">'Plan mina PS'!$E$3</definedName>
    <definedName name="solver_opt" localSheetId="20" hidden="1">'Plan mina ST'!#REF!</definedName>
    <definedName name="solver_opt" localSheetId="7" hidden="1">#REF!</definedName>
    <definedName name="solver_opt" localSheetId="25" hidden="1">'Proy. Mes'!$AK$3</definedName>
    <definedName name="solver_opt" localSheetId="23" hidden="1">'R+P'!#REF!</definedName>
    <definedName name="solver_opt" localSheetId="14" hidden="1">#REF!</definedName>
    <definedName name="solver_opt" localSheetId="39" hidden="1">#REF!</definedName>
    <definedName name="solver_opt" localSheetId="13" hidden="1">#REF!</definedName>
    <definedName name="solver_opt" localSheetId="30" hidden="1">#REF!</definedName>
    <definedName name="solver_opt" localSheetId="19" hidden="1">'ST Original'!#REF!</definedName>
    <definedName name="solver_opt" localSheetId="27" hidden="1">#REF!</definedName>
    <definedName name="solver_opt" localSheetId="6" hidden="1">#REF!</definedName>
    <definedName name="solver_opt" localSheetId="3" hidden="1">#REF!</definedName>
    <definedName name="solver_pre" localSheetId="24" hidden="1">0.000001</definedName>
    <definedName name="solver_pre" localSheetId="20" hidden="1">0.000001</definedName>
    <definedName name="solver_pre" localSheetId="25" hidden="1">0.000001</definedName>
    <definedName name="solver_pre" localSheetId="23" hidden="1">0.000001</definedName>
    <definedName name="solver_pre" localSheetId="19" hidden="1">0.000001</definedName>
    <definedName name="solver_rbv" localSheetId="23" hidden="1">1</definedName>
    <definedName name="solver_rbv" localSheetId="19" hidden="1">1</definedName>
    <definedName name="solver_rlx" localSheetId="23" hidden="1">2</definedName>
    <definedName name="solver_rlx" localSheetId="19" hidden="1">2</definedName>
    <definedName name="solver_rsd" localSheetId="23" hidden="1">0</definedName>
    <definedName name="solver_rsd" localSheetId="19" hidden="1">0</definedName>
    <definedName name="solver_scl" localSheetId="24" hidden="1">2</definedName>
    <definedName name="solver_scl" localSheetId="20" hidden="1">2</definedName>
    <definedName name="solver_scl" localSheetId="25" hidden="1">2</definedName>
    <definedName name="solver_scl" localSheetId="23" hidden="1">1</definedName>
    <definedName name="solver_scl" localSheetId="19" hidden="1">1</definedName>
    <definedName name="solver_sho" localSheetId="24" hidden="1">2</definedName>
    <definedName name="solver_sho" localSheetId="20" hidden="1">2</definedName>
    <definedName name="solver_sho" localSheetId="25" hidden="1">2</definedName>
    <definedName name="solver_sho" localSheetId="23" hidden="1">2</definedName>
    <definedName name="solver_sho" localSheetId="19" hidden="1">2</definedName>
    <definedName name="solver_ssz" localSheetId="23" hidden="1">100</definedName>
    <definedName name="solver_ssz" localSheetId="19" hidden="1">100</definedName>
    <definedName name="solver_tim" localSheetId="24" hidden="1">100</definedName>
    <definedName name="solver_tim" localSheetId="20" hidden="1">100</definedName>
    <definedName name="solver_tim" localSheetId="25" hidden="1">100</definedName>
    <definedName name="solver_tim" localSheetId="23" hidden="1">2147483647</definedName>
    <definedName name="solver_tim" localSheetId="19" hidden="1">2147483647</definedName>
    <definedName name="solver_tol" localSheetId="24" hidden="1">0.05</definedName>
    <definedName name="solver_tol" localSheetId="20" hidden="1">0.05</definedName>
    <definedName name="solver_tol" localSheetId="25" hidden="1">0.05</definedName>
    <definedName name="solver_tol" localSheetId="23" hidden="1">0.01</definedName>
    <definedName name="solver_tol" localSheetId="19" hidden="1">0.01</definedName>
    <definedName name="solver_typ" localSheetId="24" hidden="1">3</definedName>
    <definedName name="solver_typ" localSheetId="20" hidden="1">3</definedName>
    <definedName name="solver_typ" localSheetId="25" hidden="1">1</definedName>
    <definedName name="solver_typ" localSheetId="23" hidden="1">3</definedName>
    <definedName name="solver_typ" localSheetId="19" hidden="1">3</definedName>
    <definedName name="solver_val" localSheetId="24" hidden="1">0</definedName>
    <definedName name="solver_val" localSheetId="20" hidden="1">0</definedName>
    <definedName name="solver_val" localSheetId="25" hidden="1">0</definedName>
    <definedName name="solver_val" localSheetId="23" hidden="1">0</definedName>
    <definedName name="solver_val" localSheetId="19" hidden="1">0</definedName>
    <definedName name="solver_ver" localSheetId="25" hidden="1">3</definedName>
    <definedName name="solver_ver" localSheetId="23" hidden="1">3</definedName>
    <definedName name="solver_ver" localSheetId="19" hidden="1">3</definedName>
    <definedName name="tblFísicoPROG" localSheetId="22">#REF!</definedName>
    <definedName name="tblFísicoPROG">[5]EstadoCAPEX!$EB$4:$ES$117</definedName>
    <definedName name="tblFísicoREAL" localSheetId="22">#REF!</definedName>
    <definedName name="tblFísicoREAL">[5]EstadoCAPEX!$DC$4:$DT$117</definedName>
    <definedName name="tblTotalPROY" localSheetId="22">#REF!</definedName>
    <definedName name="tblTotalPROY">[5]EstadoCAPEX!$A$4:$ET$118</definedName>
    <definedName name="tonelaje" localSheetId="22">#REF!</definedName>
    <definedName name="tonelaje">[7]base!$Y$2:$Y$447</definedName>
    <definedName name="tonelaje_abril" localSheetId="22">#REF!</definedName>
    <definedName name="tonelaje_abril">[9]base!$Y$2:$Y$212</definedName>
    <definedName name="tonelaje_marzo" localSheetId="22">#REF!</definedName>
    <definedName name="tonelaje_marzo">[10]base!$Y$2:$Y$262</definedName>
    <definedName name="tonelaje_mayo" localSheetId="22">#REF!</definedName>
    <definedName name="tonelaje_mayo">[11]base!$Y$2:$Y$256</definedName>
    <definedName name="TONSA" localSheetId="16">#REF!</definedName>
    <definedName name="TONSA" localSheetId="7">#REF!</definedName>
    <definedName name="TONSA" localSheetId="27">#REF!</definedName>
    <definedName name="TONSA" localSheetId="6">#REF!</definedName>
    <definedName name="TONSA" localSheetId="3">#REF!</definedName>
    <definedName name="TONSB" localSheetId="7">#REF!</definedName>
    <definedName name="TONSB" localSheetId="27">#REF!</definedName>
    <definedName name="TONSB" localSheetId="6">#REF!</definedName>
    <definedName name="TONSB" localSheetId="3">#REF!</definedName>
    <definedName name="TONSDIA" localSheetId="7">#REF!</definedName>
    <definedName name="TONSDIA" localSheetId="27">#REF!</definedName>
    <definedName name="TONSDIA" localSheetId="6">#REF!</definedName>
    <definedName name="TONSDIA" localSheetId="3">#REF!</definedName>
    <definedName name="tonsley_cu" localSheetId="22">#REF!</definedName>
    <definedName name="tonsley_cu">[8]Leyes!$O$2:$O$501</definedName>
    <definedName name="tonsley_mo" localSheetId="22">#REF!</definedName>
    <definedName name="tonsley_mo">[8]Leyes!$P$2:$P$501</definedName>
    <definedName name="tot_f1" localSheetId="7">#REF!</definedName>
    <definedName name="tot_f1" localSheetId="27">#REF!</definedName>
    <definedName name="tot_f1" localSheetId="6">#REF!</definedName>
    <definedName name="tot_f1" localSheetId="3">#REF!</definedName>
    <definedName name="tot_f1_prg" localSheetId="7">#REF!</definedName>
    <definedName name="tot_f1_prg" localSheetId="27">#REF!</definedName>
    <definedName name="tot_f1_prg" localSheetId="6">#REF!</definedName>
    <definedName name="tot_f1_prg" localSheetId="3">#REF!</definedName>
    <definedName name="tot_f2" localSheetId="7">#REF!</definedName>
    <definedName name="tot_f2" localSheetId="27">#REF!</definedName>
    <definedName name="tot_f2" localSheetId="6">#REF!</definedName>
    <definedName name="tot_f2" localSheetId="3">#REF!</definedName>
    <definedName name="tot_f2_prg" localSheetId="7">#REF!</definedName>
    <definedName name="tot_f2_prg" localSheetId="27">#REF!</definedName>
    <definedName name="tot_f2_prg" localSheetId="6">#REF!</definedName>
    <definedName name="tot_f2_prg" localSheetId="3">#REF!</definedName>
    <definedName name="turno" localSheetId="22">#REF!</definedName>
    <definedName name="turno">[7]base!$W$2:$W$483</definedName>
    <definedName name="v" localSheetId="9">#REF!</definedName>
    <definedName name="v" localSheetId="24">#REF!</definedName>
    <definedName name="v" localSheetId="20">#REF!</definedName>
    <definedName name="v" localSheetId="7">#REF!</definedName>
    <definedName name="v" localSheetId="25">#REF!</definedName>
    <definedName name="v" localSheetId="23">#REF!</definedName>
    <definedName name="v" localSheetId="14">#REF!</definedName>
    <definedName name="v" localSheetId="39">#REF!</definedName>
    <definedName name="v" localSheetId="13">#REF!</definedName>
    <definedName name="v" localSheetId="30">#REF!</definedName>
    <definedName name="v" localSheetId="27">#REF!</definedName>
    <definedName name="v" localSheetId="6">#REF!</definedName>
    <definedName name="v" localSheetId="3">#REF!</definedName>
    <definedName name="VAR._1ENE_1MAY_18_19SEP" localSheetId="7">#REF!</definedName>
    <definedName name="VAR._1ENE_1MAY_18_19SEP" localSheetId="27">#REF!</definedName>
    <definedName name="VAR._1ENE_1MAY_18_19SEP" localSheetId="6">#REF!</definedName>
    <definedName name="VAR._1ENE_1MAY_18_19SEP" localSheetId="3">#REF!</definedName>
    <definedName name="VAR._PEDIDO_PROYECTO" localSheetId="9">#REF!</definedName>
    <definedName name="VAR._PEDIDO_PROYECTO" localSheetId="7">#REF!</definedName>
    <definedName name="VAR._PEDIDO_PROYECTO" localSheetId="25">#REF!</definedName>
    <definedName name="VAR._PEDIDO_PROYECTO" localSheetId="23">#REF!</definedName>
    <definedName name="VAR._PEDIDO_PROYECTO" localSheetId="14">#REF!</definedName>
    <definedName name="VAR._PEDIDO_PROYECTO" localSheetId="39">#REF!</definedName>
    <definedName name="VAR._PEDIDO_PROYECTO" localSheetId="13">#REF!</definedName>
    <definedName name="VAR._PEDIDO_PROYECTO" localSheetId="30">#REF!</definedName>
    <definedName name="VAR._PEDIDO_PROYECTO" localSheetId="27">#REF!</definedName>
    <definedName name="VAR._PEDIDO_PROYECTO" localSheetId="6">#REF!</definedName>
    <definedName name="VAR._PEDIDO_PROYECTO" localSheetId="3">#REF!</definedName>
    <definedName name="VAR._TODO_NO_MENCIONADO" localSheetId="7">#REF!</definedName>
    <definedName name="VAR._TODO_NO_MENCIONADO" localSheetId="27">#REF!</definedName>
    <definedName name="VAR._TODO_NO_MENCIONADO" localSheetId="6">#REF!</definedName>
    <definedName name="VAR._TODO_NO_MENCIONADO" localSheetId="3">#REF!</definedName>
    <definedName name="Venta" localSheetId="9">#REF!</definedName>
    <definedName name="Venta" localSheetId="7">#REF!</definedName>
    <definedName name="Venta" localSheetId="25">#REF!</definedName>
    <definedName name="Venta" localSheetId="23">#REF!</definedName>
    <definedName name="Venta" localSheetId="14">#REF!</definedName>
    <definedName name="Venta" localSheetId="39">#REF!</definedName>
    <definedName name="Venta" localSheetId="13">#REF!</definedName>
    <definedName name="Venta" localSheetId="30">#REF!</definedName>
    <definedName name="Venta" localSheetId="27">#REF!</definedName>
    <definedName name="Venta" localSheetId="6">#REF!</definedName>
    <definedName name="Venta" localSheetId="3">#REF!</definedName>
    <definedName name="w" localSheetId="9">#REF!</definedName>
    <definedName name="w" localSheetId="24">#REF!</definedName>
    <definedName name="w" localSheetId="20">#REF!</definedName>
    <definedName name="w" localSheetId="7">#REF!</definedName>
    <definedName name="w" localSheetId="14">#REF!</definedName>
    <definedName name="w" localSheetId="39">#REF!</definedName>
    <definedName name="w" localSheetId="27">#REF!</definedName>
    <definedName name="w" localSheetId="6">#REF!</definedName>
    <definedName name="w" localSheetId="3">#REF!</definedName>
    <definedName name="x" localSheetId="9">#REF!</definedName>
    <definedName name="x" localSheetId="24">#REF!</definedName>
    <definedName name="x" localSheetId="20">#REF!</definedName>
    <definedName name="x" localSheetId="7">#REF!</definedName>
    <definedName name="x" localSheetId="14">#REF!</definedName>
    <definedName name="x" localSheetId="39">#REF!</definedName>
    <definedName name="x" localSheetId="27">#REF!</definedName>
    <definedName name="x" localSheetId="6">#REF!</definedName>
    <definedName name="x" localSheetId="3">#REF!</definedName>
    <definedName name="z" localSheetId="9">#REF!</definedName>
    <definedName name="z" localSheetId="24">#REF!</definedName>
    <definedName name="z" localSheetId="20">#REF!</definedName>
    <definedName name="z" localSheetId="7">#REF!</definedName>
    <definedName name="z" localSheetId="25">#REF!</definedName>
    <definedName name="z" localSheetId="23">#REF!</definedName>
    <definedName name="z" localSheetId="14">#REF!</definedName>
    <definedName name="z" localSheetId="39">#REF!</definedName>
    <definedName name="z" localSheetId="13">#REF!</definedName>
    <definedName name="z" localSheetId="30">#REF!</definedName>
    <definedName name="z" localSheetId="27">#REF!</definedName>
    <definedName name="z" localSheetId="6">#REF!</definedName>
    <definedName name="z" localSheetId="3">#REF!</definedName>
    <definedName name="zdfh" localSheetId="22" hidden="1">#REF!</definedName>
    <definedName name="zdfh" hidden="1">[12]CONSOCOS99!$D$75:$D$80</definedName>
    <definedName name="あ" localSheetId="9">#REF!</definedName>
    <definedName name="あ" localSheetId="0">#REF!</definedName>
    <definedName name="あ" localSheetId="7">#REF!</definedName>
    <definedName name="あ" localSheetId="14">#REF!</definedName>
    <definedName name="あ" localSheetId="39">#REF!</definedName>
    <definedName name="あ" localSheetId="27">#REF!</definedName>
    <definedName name="あ" localSheetId="6">#REF!</definedName>
    <definedName name="あ" localSheetId="3">#REF!</definedName>
    <definedName name="あああ" localSheetId="9" hidden="1">#REF!</definedName>
    <definedName name="あああ" localSheetId="0" hidden="1">#REF!</definedName>
    <definedName name="あああ" localSheetId="7" hidden="1">#REF!</definedName>
    <definedName name="あああ" localSheetId="14" hidden="1">#REF!</definedName>
    <definedName name="あああ" localSheetId="39" hidden="1">#REF!</definedName>
    <definedName name="あああ" localSheetId="27" hidden="1">#REF!</definedName>
    <definedName name="あああ" localSheetId="6" hidden="1">#REF!</definedName>
    <definedName name="あああ" localSheetId="3" hidden="1">#REF!</definedName>
    <definedName name="ああああ" localSheetId="9" hidden="1">#REF!</definedName>
    <definedName name="ああああ" localSheetId="0" hidden="1">#REF!</definedName>
    <definedName name="ああああ" localSheetId="7" hidden="1">#REF!</definedName>
    <definedName name="ああああ" localSheetId="14" hidden="1">#REF!</definedName>
    <definedName name="ああああ" localSheetId="39" hidden="1">#REF!</definedName>
    <definedName name="ああああ" localSheetId="27" hidden="1">#REF!</definedName>
    <definedName name="ああああ" localSheetId="6" hidden="1">#REF!</definedName>
    <definedName name="ああああ" localSheetId="3" hidden="1">#REF!</definedName>
    <definedName name="い" localSheetId="9">#REF!</definedName>
    <definedName name="い" localSheetId="0">#REF!</definedName>
    <definedName name="い" localSheetId="7">#REF!</definedName>
    <definedName name="い" localSheetId="25">#REF!</definedName>
    <definedName name="い" localSheetId="23">#REF!</definedName>
    <definedName name="い" localSheetId="14">#REF!</definedName>
    <definedName name="い" localSheetId="39">#REF!</definedName>
    <definedName name="い" localSheetId="13">#REF!</definedName>
    <definedName name="い" localSheetId="30">#REF!</definedName>
    <definedName name="い" localSheetId="27">#REF!</definedName>
    <definedName name="い" localSheetId="6">#REF!</definedName>
    <definedName name="い" localSheetId="3">#REF!</definedName>
    <definedName name="いいい" localSheetId="9">#REF!</definedName>
    <definedName name="いいい" localSheetId="0">#REF!</definedName>
    <definedName name="いいい" localSheetId="7">#REF!</definedName>
    <definedName name="いいい" localSheetId="14">#REF!</definedName>
    <definedName name="いいい" localSheetId="39">#REF!</definedName>
    <definedName name="いいい" localSheetId="27">#REF!</definedName>
    <definedName name="いいい" localSheetId="6">#REF!</definedName>
    <definedName name="いいい" localSheetId="3">#REF!</definedName>
    <definedName name="いいいいい" localSheetId="9">#REF!</definedName>
    <definedName name="いいいいい" localSheetId="0">#REF!</definedName>
    <definedName name="いいいいい" localSheetId="7">#REF!</definedName>
    <definedName name="いいいいい" localSheetId="14">#REF!</definedName>
    <definedName name="いいいいい" localSheetId="39">#REF!</definedName>
    <definedName name="いいいいい" localSheetId="27">#REF!</definedName>
    <definedName name="いいいいい" localSheetId="6">#REF!</definedName>
    <definedName name="いいいいい" localSheetId="3">#REF!</definedName>
    <definedName name="いいいいいいい" localSheetId="9" hidden="1">#REF!</definedName>
    <definedName name="いいいいいいい" localSheetId="0" hidden="1">#REF!</definedName>
    <definedName name="いいいいいいい" localSheetId="7" hidden="1">#REF!</definedName>
    <definedName name="いいいいいいい" localSheetId="14" hidden="1">#REF!</definedName>
    <definedName name="いいいいいいい" localSheetId="39" hidden="1">#REF!</definedName>
    <definedName name="いいいいいいい" localSheetId="27" hidden="1">#REF!</definedName>
    <definedName name="いいいいいいい" localSheetId="6" hidden="1">#REF!</definedName>
    <definedName name="いいいいいいい" localSheetId="3" hidden="1">#REF!</definedName>
    <definedName name="いいいいいおおお" localSheetId="9" hidden="1">#REF!</definedName>
    <definedName name="いいいいいおおお" localSheetId="0" hidden="1">#REF!</definedName>
    <definedName name="いいいいいおおお" localSheetId="7" hidden="1">#REF!</definedName>
    <definedName name="いいいいいおおお" localSheetId="14" hidden="1">#REF!</definedName>
    <definedName name="いいいいいおおお" localSheetId="39" hidden="1">#REF!</definedName>
    <definedName name="いいいいいおおお" localSheetId="27" hidden="1">#REF!</definedName>
    <definedName name="いいいいいおおお" localSheetId="6" hidden="1">#REF!</definedName>
    <definedName name="いいいいいおおお" localSheetId="3" hidden="1">#REF!</definedName>
    <definedName name="さ" localSheetId="9">#REF!</definedName>
    <definedName name="さ" localSheetId="0">#REF!</definedName>
    <definedName name="さ" localSheetId="7">#REF!</definedName>
    <definedName name="さ" localSheetId="14">#REF!</definedName>
    <definedName name="さ" localSheetId="39">#REF!</definedName>
    <definedName name="さ" localSheetId="27">#REF!</definedName>
    <definedName name="さ" localSheetId="6">#REF!</definedName>
    <definedName name="さ" localSheetId="3">#REF!</definedName>
    <definedName name="さあ" localSheetId="9" hidden="1">#REF!</definedName>
    <definedName name="さあ" localSheetId="0" hidden="1">#REF!</definedName>
    <definedName name="さあ" localSheetId="7" hidden="1">#REF!</definedName>
    <definedName name="さあ" localSheetId="14" hidden="1">#REF!</definedName>
    <definedName name="さあ" localSheetId="39" hidden="1">#REF!</definedName>
    <definedName name="さあ" localSheetId="27" hidden="1">#REF!</definedName>
    <definedName name="さあ" localSheetId="6" hidden="1">#REF!</definedName>
    <definedName name="さあ" localSheetId="3" hidden="1">#REF!</definedName>
    <definedName name="図" localSheetId="9">#REF!</definedName>
    <definedName name="図" localSheetId="0">#REF!</definedName>
    <definedName name="図" localSheetId="7">#REF!</definedName>
    <definedName name="図" localSheetId="25">#REF!</definedName>
    <definedName name="図" localSheetId="23">#REF!</definedName>
    <definedName name="図" localSheetId="14">#REF!</definedName>
    <definedName name="図" localSheetId="39">#REF!</definedName>
    <definedName name="図" localSheetId="13">#REF!</definedName>
    <definedName name="図" localSheetId="30">#REF!</definedName>
    <definedName name="図" localSheetId="27">#REF!</definedName>
    <definedName name="図" localSheetId="6">#REF!</definedName>
    <definedName name="図" localSheetId="3">#REF!</definedName>
  </definedNames>
  <calcPr calcId="191029"/>
  <pivotCaches>
    <pivotCache cacheId="84" r:id="rId72"/>
  </pivotCache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5" i="150" l="1"/>
  <c r="AV36" i="150"/>
  <c r="AV35" i="150"/>
  <c r="AZ36" i="150"/>
  <c r="AZ35" i="150"/>
  <c r="BR38" i="150"/>
  <c r="C33" i="111"/>
  <c r="C32" i="111"/>
  <c r="AV39" i="148"/>
  <c r="X32" i="150"/>
  <c r="BR17" i="150"/>
  <c r="BR18" i="150"/>
  <c r="BR19" i="150"/>
  <c r="BR20" i="150"/>
  <c r="BR21" i="150"/>
  <c r="BR22" i="150"/>
  <c r="BR23" i="150"/>
  <c r="BR24" i="150"/>
  <c r="BR25" i="150"/>
  <c r="BR26" i="150"/>
  <c r="BR27" i="150"/>
  <c r="BR28" i="150"/>
  <c r="BR29" i="150"/>
  <c r="BR30" i="150"/>
  <c r="BR31" i="150"/>
  <c r="BR33" i="150"/>
  <c r="BR34" i="150"/>
  <c r="BR36" i="150"/>
  <c r="BR39" i="150"/>
  <c r="AZ18" i="150"/>
  <c r="C27" i="111"/>
  <c r="C65" i="111"/>
  <c r="AV28" i="150"/>
  <c r="AU28" i="150"/>
  <c r="X28" i="150"/>
  <c r="AJ28" i="150" s="1"/>
  <c r="X39" i="150"/>
  <c r="X38" i="150"/>
  <c r="X37" i="150"/>
  <c r="X36" i="150"/>
  <c r="X35" i="150"/>
  <c r="X34" i="150"/>
  <c r="X33" i="150"/>
  <c r="X31" i="150"/>
  <c r="X30" i="150"/>
  <c r="X29" i="150"/>
  <c r="X13" i="150"/>
  <c r="X21" i="150"/>
  <c r="AJ21" i="150" s="1"/>
  <c r="M73" i="111"/>
  <c r="N73" i="111"/>
  <c r="P73" i="111" s="1"/>
  <c r="N72" i="111"/>
  <c r="P72" i="111" s="1"/>
  <c r="N71" i="111"/>
  <c r="P71" i="111" s="1"/>
  <c r="N70" i="111"/>
  <c r="P70" i="111" s="1"/>
  <c r="N69" i="111"/>
  <c r="P69" i="111" s="1"/>
  <c r="N68" i="111"/>
  <c r="P68" i="111" s="1"/>
  <c r="N67" i="111"/>
  <c r="N66" i="111"/>
  <c r="P66" i="111" s="1"/>
  <c r="N64" i="111"/>
  <c r="P64" i="111" s="1"/>
  <c r="N63" i="111"/>
  <c r="N62" i="111"/>
  <c r="P62" i="111" s="1"/>
  <c r="Q62" i="111"/>
  <c r="Q63" i="111"/>
  <c r="Q64" i="111"/>
  <c r="Q66" i="111"/>
  <c r="P67" i="111"/>
  <c r="Q67" i="111"/>
  <c r="Q68" i="111"/>
  <c r="Q69" i="111"/>
  <c r="Q70" i="111"/>
  <c r="Q71" i="111"/>
  <c r="Q72" i="111"/>
  <c r="Q73" i="111"/>
  <c r="P22" i="150"/>
  <c r="AF26" i="36"/>
  <c r="F36" i="111"/>
  <c r="D25" i="18"/>
  <c r="AF32" i="36"/>
  <c r="AF31" i="36"/>
  <c r="V68" i="111"/>
  <c r="AF29" i="36"/>
  <c r="AF30" i="36"/>
  <c r="AF28" i="36"/>
  <c r="AF27" i="36"/>
  <c r="AJ26" i="36"/>
  <c r="AI26" i="36"/>
  <c r="AG25" i="36"/>
  <c r="AF25" i="36"/>
  <c r="N60" i="111"/>
  <c r="AF24" i="18"/>
  <c r="AG24" i="18"/>
  <c r="AH24" i="18"/>
  <c r="AI24" i="18"/>
  <c r="AJ24" i="18"/>
  <c r="AK24" i="18"/>
  <c r="AL24" i="18"/>
  <c r="AN24" i="18" s="1"/>
  <c r="AM24" i="18"/>
  <c r="AO24" i="18"/>
  <c r="AQ24" i="18" s="1"/>
  <c r="AR24" i="18" s="1"/>
  <c r="AP24" i="18"/>
  <c r="AS24" i="18"/>
  <c r="AT24" i="18"/>
  <c r="AU24" i="18"/>
  <c r="AV24" i="18"/>
  <c r="AW24" i="18"/>
  <c r="AX24" i="18"/>
  <c r="AY24" i="18"/>
  <c r="AE24" i="18" s="1"/>
  <c r="AZ24" i="18"/>
  <c r="BA24" i="18"/>
  <c r="BB24" i="18"/>
  <c r="BC24" i="18"/>
  <c r="BD24" i="18"/>
  <c r="BF24" i="18"/>
  <c r="BV24" i="18" s="1"/>
  <c r="BH24" i="18"/>
  <c r="BI24" i="18"/>
  <c r="BJ24" i="18"/>
  <c r="BG24" i="18" s="1"/>
  <c r="BK24" i="18"/>
  <c r="BL24" i="18"/>
  <c r="BT24" i="18" s="1"/>
  <c r="BM24" i="18"/>
  <c r="BN24" i="18"/>
  <c r="BO24" i="18"/>
  <c r="BU24" i="18" s="1"/>
  <c r="BP24" i="18"/>
  <c r="BQ24" i="18"/>
  <c r="BW24" i="18"/>
  <c r="AF25" i="18"/>
  <c r="AG25" i="18"/>
  <c r="AH25" i="18"/>
  <c r="AI25" i="18"/>
  <c r="AJ25" i="18"/>
  <c r="AK25" i="18"/>
  <c r="AL25" i="18"/>
  <c r="AN25" i="18" s="1"/>
  <c r="AM25" i="18"/>
  <c r="AO25" i="18"/>
  <c r="AQ25" i="18" s="1"/>
  <c r="AR25" i="18" s="1"/>
  <c r="AP25" i="18"/>
  <c r="AS25" i="18"/>
  <c r="AT25" i="18"/>
  <c r="AU25" i="18"/>
  <c r="AV25" i="18"/>
  <c r="AW25" i="18"/>
  <c r="AX25" i="18"/>
  <c r="AY25" i="18"/>
  <c r="AE25" i="18" s="1"/>
  <c r="AZ25" i="18"/>
  <c r="BA25" i="18"/>
  <c r="BB25" i="18"/>
  <c r="BC25" i="18"/>
  <c r="BD25" i="18"/>
  <c r="BF25" i="18"/>
  <c r="BV25" i="18" s="1"/>
  <c r="BH25" i="18"/>
  <c r="BI25" i="18"/>
  <c r="BJ25" i="18"/>
  <c r="BG25" i="18" s="1"/>
  <c r="BK25" i="18"/>
  <c r="BL25" i="18"/>
  <c r="BT25" i="18" s="1"/>
  <c r="BM25" i="18"/>
  <c r="BN25" i="18"/>
  <c r="BO25" i="18"/>
  <c r="BU25" i="18" s="1"/>
  <c r="BP25" i="18"/>
  <c r="BQ25" i="18"/>
  <c r="BW25" i="18"/>
  <c r="I24" i="18"/>
  <c r="J24" i="18"/>
  <c r="H24" i="18" s="1"/>
  <c r="K24" i="18"/>
  <c r="N24" i="18" s="1"/>
  <c r="L24" i="18"/>
  <c r="M24" i="18"/>
  <c r="I25" i="18"/>
  <c r="J25" i="18"/>
  <c r="K25" i="18"/>
  <c r="N25" i="18" s="1"/>
  <c r="P25" i="18" s="1"/>
  <c r="L25" i="18"/>
  <c r="M25" i="18"/>
  <c r="AE23" i="18"/>
  <c r="AF23" i="18"/>
  <c r="AG23" i="18"/>
  <c r="AH23" i="18"/>
  <c r="AI23" i="18"/>
  <c r="AJ23" i="18"/>
  <c r="P63" i="111" l="1"/>
  <c r="BE24" i="18"/>
  <c r="BR24" i="18" s="1"/>
  <c r="BS24" i="18"/>
  <c r="BE25" i="18"/>
  <c r="BR25" i="18" s="1"/>
  <c r="BS25" i="18"/>
  <c r="O24" i="18"/>
  <c r="O25" i="18"/>
  <c r="P24" i="18"/>
  <c r="H25" i="18"/>
  <c r="L58" i="111"/>
  <c r="I79" i="111"/>
  <c r="Q25" i="18" l="1"/>
  <c r="Q24" i="18"/>
  <c r="II10" i="158" l="1"/>
  <c r="II11" i="158"/>
  <c r="II12" i="158"/>
  <c r="II13" i="158"/>
  <c r="II14" i="158"/>
  <c r="II15" i="158"/>
  <c r="II16" i="158"/>
  <c r="II17" i="158"/>
  <c r="II18" i="158"/>
  <c r="II19" i="158"/>
  <c r="II20" i="158"/>
  <c r="II21" i="158"/>
  <c r="II22" i="158"/>
  <c r="II23" i="158"/>
  <c r="II24" i="158"/>
  <c r="II25" i="158"/>
  <c r="II26" i="158"/>
  <c r="II27" i="158"/>
  <c r="II28" i="158"/>
  <c r="II29" i="158"/>
  <c r="II30" i="158"/>
  <c r="II31" i="158"/>
  <c r="II32" i="158"/>
  <c r="II33" i="158"/>
  <c r="II34" i="158"/>
  <c r="II35" i="158"/>
  <c r="II36" i="158"/>
  <c r="II37" i="158"/>
  <c r="II38" i="158"/>
  <c r="II9" i="158"/>
  <c r="II8" i="158"/>
  <c r="AB46" i="155" l="1"/>
  <c r="B40" i="155" l="1"/>
  <c r="B126" i="77"/>
  <c r="BI126" i="77"/>
  <c r="BK126" i="77"/>
  <c r="BM126" i="77"/>
  <c r="BP126" i="77"/>
  <c r="BQ126" i="77"/>
  <c r="BS126" i="77"/>
  <c r="BU126" i="77"/>
  <c r="BX126" i="77"/>
  <c r="BY126" i="77"/>
  <c r="BZ126" i="77"/>
  <c r="CA126" i="77"/>
  <c r="CC126" i="77"/>
  <c r="CG126" i="77"/>
  <c r="CH126" i="77"/>
  <c r="CI126" i="77"/>
  <c r="CJ126" i="77"/>
  <c r="CK126" i="77"/>
  <c r="CO126" i="77"/>
  <c r="CQ126" i="77"/>
  <c r="CR126" i="77"/>
  <c r="CS126" i="77"/>
  <c r="CV126" i="77"/>
  <c r="CY126" i="77"/>
  <c r="B127" i="77"/>
  <c r="BP127" i="77"/>
  <c r="BQ127" i="77"/>
  <c r="BY127" i="77"/>
  <c r="BZ127" i="77"/>
  <c r="CH127" i="77"/>
  <c r="CI127" i="77"/>
  <c r="CQ127" i="77"/>
  <c r="CR127" i="77"/>
  <c r="CZ127" i="77"/>
  <c r="B128" i="77"/>
  <c r="AV128" i="77"/>
  <c r="AZ128" i="77"/>
  <c r="BI128" i="77"/>
  <c r="BK128" i="77"/>
  <c r="BM128" i="77"/>
  <c r="BO128" i="77"/>
  <c r="BP128" i="77"/>
  <c r="BR128" i="77"/>
  <c r="BT128" i="77"/>
  <c r="BU128" i="77"/>
  <c r="BW128" i="77"/>
  <c r="BX128" i="77"/>
  <c r="BY128" i="77"/>
  <c r="CA128" i="77"/>
  <c r="CC128" i="77"/>
  <c r="CE128" i="77"/>
  <c r="CF128" i="77"/>
  <c r="CG128" i="77"/>
  <c r="CH128" i="77"/>
  <c r="CJ128" i="77"/>
  <c r="CM128" i="77"/>
  <c r="CN128" i="77"/>
  <c r="CO128" i="77"/>
  <c r="CP128" i="77"/>
  <c r="CQ128" i="77"/>
  <c r="CS128" i="77"/>
  <c r="CV128" i="77"/>
  <c r="CY128" i="77"/>
  <c r="CZ128" i="77"/>
  <c r="B129" i="77"/>
  <c r="AV129" i="77"/>
  <c r="AY129" i="77"/>
  <c r="AZ129" i="77"/>
  <c r="BI129" i="77"/>
  <c r="BJ129" i="77"/>
  <c r="BK129" i="77"/>
  <c r="BO129" i="77"/>
  <c r="BP129" i="77"/>
  <c r="BQ129" i="77"/>
  <c r="BR129" i="77"/>
  <c r="BS129" i="77"/>
  <c r="BT129" i="77"/>
  <c r="BU129" i="77"/>
  <c r="BX129" i="77"/>
  <c r="BY129" i="77"/>
  <c r="BZ129" i="77"/>
  <c r="CA129" i="77"/>
  <c r="CB129" i="77"/>
  <c r="CC129" i="77"/>
  <c r="CE129" i="77"/>
  <c r="CG129" i="77"/>
  <c r="CH129" i="77"/>
  <c r="CI129" i="77"/>
  <c r="CJ129" i="77"/>
  <c r="CK129" i="77"/>
  <c r="CM129" i="77"/>
  <c r="CN129" i="77"/>
  <c r="CP129" i="77"/>
  <c r="CQ129" i="77"/>
  <c r="CR129" i="77"/>
  <c r="CS129" i="77"/>
  <c r="CU129" i="77"/>
  <c r="CV129" i="77"/>
  <c r="CY129" i="77"/>
  <c r="CZ129" i="77"/>
  <c r="B130" i="77"/>
  <c r="AX130" i="77" l="1"/>
  <c r="BN130" i="77"/>
  <c r="BV130" i="77"/>
  <c r="CD130" i="77"/>
  <c r="CL130" i="77"/>
  <c r="CT130" i="77"/>
  <c r="DB130" i="77"/>
  <c r="CR130" i="77"/>
  <c r="CI130" i="77"/>
  <c r="BZ130" i="77"/>
  <c r="BQ130" i="77"/>
  <c r="AY130" i="77"/>
  <c r="CZ130" i="77"/>
  <c r="CQ130" i="77"/>
  <c r="CH130" i="77"/>
  <c r="BY130" i="77"/>
  <c r="BP130" i="77"/>
  <c r="CY130" i="77"/>
  <c r="CP130" i="77"/>
  <c r="CG130" i="77"/>
  <c r="BX130" i="77"/>
  <c r="BO130" i="77"/>
  <c r="AV130" i="77"/>
  <c r="CO130" i="77"/>
  <c r="CF130" i="77"/>
  <c r="BW130" i="77"/>
  <c r="BM130" i="77"/>
  <c r="CY127" i="77"/>
  <c r="CP127" i="77"/>
  <c r="CG127" i="77"/>
  <c r="BX127" i="77"/>
  <c r="BM127" i="77"/>
  <c r="CN130" i="77"/>
  <c r="CE130" i="77"/>
  <c r="BU130" i="77"/>
  <c r="AX129" i="77"/>
  <c r="BN129" i="77"/>
  <c r="BV129" i="77"/>
  <c r="CD129" i="77"/>
  <c r="CL129" i="77"/>
  <c r="CT129" i="77"/>
  <c r="DB129" i="77"/>
  <c r="CU128" i="77"/>
  <c r="CK128" i="77"/>
  <c r="CB128" i="77"/>
  <c r="BS128" i="77"/>
  <c r="BJ128" i="77"/>
  <c r="CO127" i="77"/>
  <c r="CF127" i="77"/>
  <c r="BW127" i="77"/>
  <c r="CZ126" i="77"/>
  <c r="CP126" i="77"/>
  <c r="CF126" i="77"/>
  <c r="BT126" i="77"/>
  <c r="BJ126" i="77"/>
  <c r="AZ126" i="77"/>
  <c r="CE127" i="77"/>
  <c r="BK127" i="77"/>
  <c r="CN127" i="77"/>
  <c r="BU127" i="77"/>
  <c r="CU130" i="77"/>
  <c r="CK130" i="77"/>
  <c r="CB130" i="77"/>
  <c r="BS130" i="77"/>
  <c r="BJ130" i="77"/>
  <c r="CO129" i="77"/>
  <c r="CF129" i="77"/>
  <c r="BW129" i="77"/>
  <c r="BM129" i="77"/>
  <c r="CR128" i="77"/>
  <c r="CI128" i="77"/>
  <c r="BZ128" i="77"/>
  <c r="BQ128" i="77"/>
  <c r="AY128" i="77"/>
  <c r="CV127" i="77"/>
  <c r="CM127" i="77"/>
  <c r="CC127" i="77"/>
  <c r="BT127" i="77"/>
  <c r="BJ127" i="77"/>
  <c r="AZ127" i="77"/>
  <c r="CN126" i="77"/>
  <c r="CB126" i="77"/>
  <c r="BR126" i="77"/>
  <c r="AV126" i="77"/>
  <c r="AX127" i="77"/>
  <c r="BN127" i="77"/>
  <c r="BV127" i="77"/>
  <c r="CD127" i="77"/>
  <c r="CL127" i="77"/>
  <c r="CT127" i="77"/>
  <c r="DB127" i="77"/>
  <c r="AY127" i="77"/>
  <c r="BO127" i="77"/>
  <c r="CV130" i="77"/>
  <c r="CM130" i="77"/>
  <c r="CC130" i="77"/>
  <c r="BT130" i="77"/>
  <c r="BK130" i="77"/>
  <c r="CS130" i="77"/>
  <c r="CJ130" i="77"/>
  <c r="CA130" i="77"/>
  <c r="BR130" i="77"/>
  <c r="BI130" i="77"/>
  <c r="AZ130" i="77"/>
  <c r="AX128" i="77"/>
  <c r="BN128" i="77"/>
  <c r="BV128" i="77"/>
  <c r="CD128" i="77"/>
  <c r="CL128" i="77"/>
  <c r="CT128" i="77"/>
  <c r="DB128" i="77"/>
  <c r="CU127" i="77"/>
  <c r="CK127" i="77"/>
  <c r="CB127" i="77"/>
  <c r="BS127" i="77"/>
  <c r="BI127" i="77"/>
  <c r="CS127" i="77"/>
  <c r="CJ127" i="77"/>
  <c r="CA127" i="77"/>
  <c r="BR127" i="77"/>
  <c r="AV127" i="77"/>
  <c r="AX126" i="77"/>
  <c r="BN126" i="77"/>
  <c r="BV126" i="77"/>
  <c r="CD126" i="77"/>
  <c r="CL126" i="77"/>
  <c r="CT126" i="77"/>
  <c r="DB126" i="77"/>
  <c r="AY126" i="77"/>
  <c r="BO126" i="77"/>
  <c r="BW126" i="77"/>
  <c r="CE126" i="77"/>
  <c r="CM126" i="77"/>
  <c r="CU126" i="77"/>
  <c r="AY23" i="18"/>
  <c r="BO23" i="18"/>
  <c r="L23" i="18"/>
  <c r="AZ23" i="18"/>
  <c r="BH23" i="18"/>
  <c r="BP23" i="18"/>
  <c r="AS23" i="18"/>
  <c r="BA23" i="18"/>
  <c r="BI23" i="18"/>
  <c r="BQ23" i="18"/>
  <c r="BB23" i="18"/>
  <c r="BJ23" i="18"/>
  <c r="AT23" i="18"/>
  <c r="BC23" i="18"/>
  <c r="BK23" i="18"/>
  <c r="BD23" i="18"/>
  <c r="BL23" i="18"/>
  <c r="AX23" i="18"/>
  <c r="I23" i="18"/>
  <c r="AW23" i="18"/>
  <c r="BM23" i="18"/>
  <c r="BF23" i="18"/>
  <c r="BN23" i="18"/>
  <c r="BW23" i="18"/>
  <c r="BT23" i="18" l="1"/>
  <c r="BG23" i="18"/>
  <c r="BS23" i="18"/>
  <c r="BE23" i="18"/>
  <c r="BR23" i="18" s="1"/>
  <c r="BU23" i="18"/>
  <c r="ET72" i="158" l="1"/>
  <c r="ET73" i="158"/>
  <c r="ET74" i="158"/>
  <c r="ET75" i="158"/>
  <c r="ET76" i="158"/>
  <c r="ET77" i="158"/>
  <c r="ET78" i="158"/>
  <c r="ET79" i="158"/>
  <c r="ET80" i="158"/>
  <c r="ET81" i="158"/>
  <c r="ET82" i="158"/>
  <c r="ET83" i="158"/>
  <c r="AY28" i="151" l="1"/>
  <c r="AY29" i="151"/>
  <c r="AY30" i="151"/>
  <c r="AY31" i="151"/>
  <c r="AY32" i="151"/>
  <c r="D22" i="77" l="1"/>
  <c r="DX18" i="177" s="1"/>
  <c r="L57" i="111"/>
  <c r="AF22" i="36"/>
  <c r="AF20" i="36"/>
  <c r="AY18" i="18"/>
  <c r="BO18" i="18"/>
  <c r="BW18" i="18"/>
  <c r="AX19" i="18"/>
  <c r="BF19" i="18"/>
  <c r="BN19" i="18"/>
  <c r="I20" i="18"/>
  <c r="AW20" i="18"/>
  <c r="BM20" i="18"/>
  <c r="BD21" i="18"/>
  <c r="BL21" i="18"/>
  <c r="BC22" i="18"/>
  <c r="BK22" i="18"/>
  <c r="BN20" i="18"/>
  <c r="AW21" i="18"/>
  <c r="BM21" i="18"/>
  <c r="BD22" i="18"/>
  <c r="BL22" i="18"/>
  <c r="I22" i="18"/>
  <c r="L18" i="18"/>
  <c r="AZ18" i="18"/>
  <c r="BH18" i="18"/>
  <c r="BP18" i="18"/>
  <c r="AY19" i="18"/>
  <c r="BO19" i="18"/>
  <c r="BW19" i="18"/>
  <c r="AX20" i="18"/>
  <c r="BF20" i="18"/>
  <c r="I21" i="18"/>
  <c r="AW22" i="18"/>
  <c r="AS18" i="18"/>
  <c r="BA18" i="18"/>
  <c r="BI18" i="18"/>
  <c r="BQ18" i="18"/>
  <c r="L19" i="18"/>
  <c r="AZ19" i="18"/>
  <c r="BH19" i="18"/>
  <c r="BP19" i="18"/>
  <c r="AY20" i="18"/>
  <c r="BO20" i="18"/>
  <c r="BW20" i="18"/>
  <c r="AX21" i="18"/>
  <c r="BF21" i="18"/>
  <c r="BN21" i="18"/>
  <c r="BM22" i="18"/>
  <c r="AT18" i="18"/>
  <c r="BB18" i="18"/>
  <c r="BJ18" i="18"/>
  <c r="AS19" i="18"/>
  <c r="BA19" i="18"/>
  <c r="BI19" i="18"/>
  <c r="BQ19" i="18"/>
  <c r="L20" i="18"/>
  <c r="AZ20" i="18"/>
  <c r="BH20" i="18"/>
  <c r="BP20" i="18"/>
  <c r="AY21" i="18"/>
  <c r="BO21" i="18"/>
  <c r="BW21" i="18"/>
  <c r="AX22" i="18"/>
  <c r="BF22" i="18"/>
  <c r="BN22" i="18"/>
  <c r="BB20" i="18"/>
  <c r="BJ20" i="18"/>
  <c r="AS21" i="18"/>
  <c r="BI21" i="18"/>
  <c r="BC18" i="18"/>
  <c r="BK18" i="18"/>
  <c r="AT19" i="18"/>
  <c r="BB19" i="18"/>
  <c r="BJ19" i="18"/>
  <c r="AS20" i="18"/>
  <c r="BA20" i="18"/>
  <c r="BI20" i="18"/>
  <c r="BQ20" i="18"/>
  <c r="L21" i="18"/>
  <c r="AZ21" i="18"/>
  <c r="BH21" i="18"/>
  <c r="BP21" i="18"/>
  <c r="AY22" i="18"/>
  <c r="BO22" i="18"/>
  <c r="BW22" i="18"/>
  <c r="AT20" i="18"/>
  <c r="BA21" i="18"/>
  <c r="BQ21" i="18"/>
  <c r="L22" i="18"/>
  <c r="AZ22" i="18"/>
  <c r="BH22" i="18"/>
  <c r="BP22" i="18"/>
  <c r="BD20" i="18"/>
  <c r="BK21" i="18"/>
  <c r="BB22" i="18"/>
  <c r="BD18" i="18"/>
  <c r="BL18" i="18"/>
  <c r="BC19" i="18"/>
  <c r="BK19" i="18"/>
  <c r="I18" i="18"/>
  <c r="AW18" i="18"/>
  <c r="BM18" i="18"/>
  <c r="BD19" i="18"/>
  <c r="BL19" i="18"/>
  <c r="BC20" i="18"/>
  <c r="BK20" i="18"/>
  <c r="AT21" i="18"/>
  <c r="BB21" i="18"/>
  <c r="BJ21" i="18"/>
  <c r="AS22" i="18"/>
  <c r="BA22" i="18"/>
  <c r="BI22" i="18"/>
  <c r="BQ22" i="18"/>
  <c r="AX18" i="18"/>
  <c r="BF18" i="18"/>
  <c r="BN18" i="18"/>
  <c r="I19" i="18"/>
  <c r="AW19" i="18"/>
  <c r="BM19" i="18"/>
  <c r="BL20" i="18"/>
  <c r="BC21" i="18"/>
  <c r="AT22" i="18"/>
  <c r="BJ22" i="18"/>
  <c r="BG22" i="18" l="1"/>
  <c r="BT20" i="18"/>
  <c r="BS22" i="18"/>
  <c r="BE22" i="18"/>
  <c r="BR22" i="18" s="1"/>
  <c r="BG21" i="18"/>
  <c r="BT19" i="18"/>
  <c r="BT18" i="18"/>
  <c r="BU22" i="18"/>
  <c r="AE22" i="18"/>
  <c r="BE20" i="18"/>
  <c r="BR20" i="18" s="1"/>
  <c r="BS20" i="18"/>
  <c r="BG19" i="18"/>
  <c r="BE21" i="18"/>
  <c r="BR21" i="18" s="1"/>
  <c r="BS21" i="18"/>
  <c r="BG20" i="18"/>
  <c r="BU21" i="18"/>
  <c r="AE21" i="18"/>
  <c r="BS19" i="18"/>
  <c r="BE19" i="18"/>
  <c r="BR19" i="18" s="1"/>
  <c r="BG18" i="18"/>
  <c r="BU20" i="18"/>
  <c r="AE20" i="18"/>
  <c r="BS18" i="18"/>
  <c r="BE18" i="18"/>
  <c r="BR18" i="18" s="1"/>
  <c r="BU19" i="18"/>
  <c r="AE19" i="18"/>
  <c r="BT22" i="18"/>
  <c r="BT21" i="18"/>
  <c r="BU18" i="18"/>
  <c r="AE18" i="18"/>
  <c r="U4" i="150" l="1"/>
  <c r="O75" i="161" l="1"/>
  <c r="AM3" i="36" l="1"/>
  <c r="D19" i="111" l="1"/>
  <c r="D24" i="111"/>
  <c r="D25" i="111"/>
  <c r="D26" i="111"/>
  <c r="D27" i="111"/>
  <c r="D28" i="111"/>
  <c r="D29" i="111"/>
  <c r="D30" i="111"/>
  <c r="D31" i="111"/>
  <c r="D32" i="111"/>
  <c r="D33" i="111"/>
  <c r="D34" i="111"/>
  <c r="D35" i="111"/>
  <c r="D36" i="111"/>
  <c r="D18" i="111"/>
  <c r="AO2" i="150"/>
  <c r="AO3" i="150"/>
  <c r="O19" i="111" l="1"/>
  <c r="O24" i="111"/>
  <c r="O25" i="111"/>
  <c r="O26" i="111"/>
  <c r="O27" i="111"/>
  <c r="O30" i="111"/>
  <c r="O31" i="111"/>
  <c r="O33" i="111"/>
  <c r="O35" i="111"/>
  <c r="O18" i="111"/>
  <c r="O28" i="111"/>
  <c r="O29" i="111"/>
  <c r="O32" i="111"/>
  <c r="O34" i="111"/>
  <c r="O36" i="111"/>
  <c r="E18" i="111"/>
  <c r="F18" i="111"/>
  <c r="M55" i="111" s="1"/>
  <c r="G18" i="111"/>
  <c r="H18" i="111"/>
  <c r="I18" i="111"/>
  <c r="J18" i="111"/>
  <c r="K18" i="111"/>
  <c r="L18" i="111"/>
  <c r="M18" i="111"/>
  <c r="N18" i="111"/>
  <c r="P18" i="111"/>
  <c r="Q18" i="111"/>
  <c r="R18" i="111"/>
  <c r="S18" i="111"/>
  <c r="T18" i="111"/>
  <c r="U18" i="111"/>
  <c r="W18" i="111"/>
  <c r="X18" i="111"/>
  <c r="Y18" i="111"/>
  <c r="Z18" i="111"/>
  <c r="AA18" i="111"/>
  <c r="AB18" i="111"/>
  <c r="AC18" i="111"/>
  <c r="AD18" i="111"/>
  <c r="AE18" i="111"/>
  <c r="AF18" i="111"/>
  <c r="AG18" i="111"/>
  <c r="AK18" i="111"/>
  <c r="E19" i="111"/>
  <c r="F19" i="111"/>
  <c r="M56" i="111" s="1"/>
  <c r="G19" i="111"/>
  <c r="H19" i="111"/>
  <c r="I19" i="111"/>
  <c r="J19" i="111"/>
  <c r="K19" i="111"/>
  <c r="L19" i="111"/>
  <c r="M19" i="111"/>
  <c r="N19" i="111"/>
  <c r="P19" i="111"/>
  <c r="Q19" i="111"/>
  <c r="R19" i="111"/>
  <c r="S19" i="111"/>
  <c r="T19" i="111"/>
  <c r="U19" i="111"/>
  <c r="W19" i="111"/>
  <c r="X19" i="111"/>
  <c r="Y19" i="111"/>
  <c r="Z19" i="111"/>
  <c r="AA19" i="111"/>
  <c r="AB19" i="111"/>
  <c r="AC19" i="111"/>
  <c r="AD19" i="111"/>
  <c r="AE19" i="111"/>
  <c r="AF19" i="111"/>
  <c r="AG19" i="111"/>
  <c r="AK19" i="111"/>
  <c r="O20" i="111"/>
  <c r="E20" i="111"/>
  <c r="F20" i="111"/>
  <c r="G20" i="111"/>
  <c r="H20" i="111"/>
  <c r="I20" i="111"/>
  <c r="J20" i="111"/>
  <c r="K20" i="111"/>
  <c r="L20" i="111"/>
  <c r="M20" i="111"/>
  <c r="N20" i="111"/>
  <c r="P20" i="111"/>
  <c r="Q20" i="111"/>
  <c r="R20" i="111"/>
  <c r="S20" i="111"/>
  <c r="T20" i="111"/>
  <c r="U20" i="111"/>
  <c r="W20" i="111"/>
  <c r="X20" i="111"/>
  <c r="Y20" i="111"/>
  <c r="Z20" i="111"/>
  <c r="AA20" i="111"/>
  <c r="AB20" i="111"/>
  <c r="AC20" i="111"/>
  <c r="AD20" i="111"/>
  <c r="AE20" i="111"/>
  <c r="AF20" i="111"/>
  <c r="AG20" i="111"/>
  <c r="AK20" i="111"/>
  <c r="E21" i="111"/>
  <c r="F21" i="111"/>
  <c r="G21" i="111"/>
  <c r="H21" i="111"/>
  <c r="I21" i="111"/>
  <c r="J21" i="111"/>
  <c r="K21" i="111"/>
  <c r="L21" i="111"/>
  <c r="M21" i="111"/>
  <c r="N21" i="111"/>
  <c r="O21" i="111"/>
  <c r="P21" i="111"/>
  <c r="Q21" i="111"/>
  <c r="R21" i="111"/>
  <c r="S21" i="111"/>
  <c r="T21" i="111"/>
  <c r="U21" i="111"/>
  <c r="W21" i="111"/>
  <c r="X21" i="111"/>
  <c r="Y21" i="111"/>
  <c r="Z21" i="111"/>
  <c r="AA21" i="111"/>
  <c r="AB21" i="111"/>
  <c r="AC21" i="111"/>
  <c r="AD21" i="111"/>
  <c r="AE21" i="111"/>
  <c r="AF21" i="111"/>
  <c r="AG21" i="111"/>
  <c r="AK21" i="111"/>
  <c r="E22" i="111"/>
  <c r="F22" i="111"/>
  <c r="G22" i="111"/>
  <c r="H22" i="111"/>
  <c r="I22" i="111"/>
  <c r="J22" i="111"/>
  <c r="K22" i="111"/>
  <c r="L22" i="111"/>
  <c r="M22" i="111"/>
  <c r="N22" i="111"/>
  <c r="O22" i="111"/>
  <c r="P22" i="111"/>
  <c r="Q22" i="111"/>
  <c r="R22" i="111"/>
  <c r="S22" i="111"/>
  <c r="T22" i="111"/>
  <c r="U22" i="111"/>
  <c r="W22" i="111"/>
  <c r="X22" i="111"/>
  <c r="Y22" i="111"/>
  <c r="Z22" i="111"/>
  <c r="AA22" i="111"/>
  <c r="AB22" i="111"/>
  <c r="AC22" i="111"/>
  <c r="AD22" i="111"/>
  <c r="AE22" i="111"/>
  <c r="AF22" i="111"/>
  <c r="AG22" i="111"/>
  <c r="AK22" i="111"/>
  <c r="F23" i="111"/>
  <c r="G23" i="111"/>
  <c r="H23" i="111"/>
  <c r="I23" i="111"/>
  <c r="J23" i="111"/>
  <c r="K23" i="111"/>
  <c r="L23" i="111"/>
  <c r="M23" i="111"/>
  <c r="N23" i="111"/>
  <c r="O23" i="111"/>
  <c r="P23" i="111"/>
  <c r="Q23" i="111"/>
  <c r="R23" i="111"/>
  <c r="S23" i="111"/>
  <c r="T23" i="111"/>
  <c r="U23" i="111"/>
  <c r="W23" i="111"/>
  <c r="X23" i="111"/>
  <c r="Y23" i="111"/>
  <c r="Z23" i="111"/>
  <c r="AA23" i="111"/>
  <c r="AB23" i="111"/>
  <c r="AC23" i="111"/>
  <c r="AD23" i="111"/>
  <c r="AE23" i="111"/>
  <c r="AF23" i="111"/>
  <c r="AG23" i="111"/>
  <c r="AK23" i="111"/>
  <c r="E24" i="111"/>
  <c r="F24" i="111"/>
  <c r="M61" i="111" s="1"/>
  <c r="G24" i="111"/>
  <c r="H24" i="111"/>
  <c r="I24" i="111"/>
  <c r="J24" i="111"/>
  <c r="K24" i="111"/>
  <c r="L24" i="111"/>
  <c r="M24" i="111"/>
  <c r="N24" i="111"/>
  <c r="P24" i="111"/>
  <c r="Q24" i="111"/>
  <c r="R24" i="111"/>
  <c r="S24" i="111"/>
  <c r="T24" i="111"/>
  <c r="U24" i="111"/>
  <c r="W24" i="111"/>
  <c r="X24" i="111"/>
  <c r="Y24" i="111"/>
  <c r="Z24" i="111"/>
  <c r="AA24" i="111"/>
  <c r="AB24" i="111"/>
  <c r="AC24" i="111"/>
  <c r="AD24" i="111"/>
  <c r="AE24" i="111"/>
  <c r="AF24" i="111"/>
  <c r="AG24" i="111"/>
  <c r="AK24" i="111"/>
  <c r="E25" i="111"/>
  <c r="F25" i="111"/>
  <c r="M62" i="111" s="1"/>
  <c r="G25" i="111"/>
  <c r="H25" i="111"/>
  <c r="I25" i="111"/>
  <c r="J25" i="111"/>
  <c r="K25" i="111"/>
  <c r="L25" i="111"/>
  <c r="M25" i="111"/>
  <c r="N25" i="111"/>
  <c r="P25" i="111"/>
  <c r="Q25" i="111"/>
  <c r="R25" i="111"/>
  <c r="S25" i="111"/>
  <c r="T25" i="111"/>
  <c r="U25" i="111"/>
  <c r="W25" i="111"/>
  <c r="X25" i="111"/>
  <c r="Y25" i="111"/>
  <c r="Z25" i="111"/>
  <c r="AA25" i="111"/>
  <c r="AB25" i="111"/>
  <c r="AC25" i="111"/>
  <c r="AD25" i="111"/>
  <c r="AE25" i="111"/>
  <c r="AF25" i="111"/>
  <c r="AG25" i="111"/>
  <c r="AK25" i="111"/>
  <c r="E26" i="111"/>
  <c r="F26" i="111"/>
  <c r="M63" i="111" s="1"/>
  <c r="G26" i="111"/>
  <c r="H26" i="111"/>
  <c r="I26" i="111"/>
  <c r="J26" i="111"/>
  <c r="K26" i="111"/>
  <c r="L26" i="111"/>
  <c r="M26" i="111"/>
  <c r="N26" i="111"/>
  <c r="P26" i="111"/>
  <c r="Q26" i="111"/>
  <c r="R26" i="111"/>
  <c r="S26" i="111"/>
  <c r="T26" i="111"/>
  <c r="U26" i="111"/>
  <c r="W26" i="111"/>
  <c r="X26" i="111"/>
  <c r="Y26" i="111"/>
  <c r="Z26" i="111"/>
  <c r="AA26" i="111"/>
  <c r="AB26" i="111"/>
  <c r="AC26" i="111"/>
  <c r="AD26" i="111"/>
  <c r="AE26" i="111"/>
  <c r="AF26" i="111"/>
  <c r="AG26" i="111"/>
  <c r="AK26" i="111"/>
  <c r="E27" i="111"/>
  <c r="F27" i="111"/>
  <c r="M64" i="111" s="1"/>
  <c r="G27" i="111"/>
  <c r="H27" i="111"/>
  <c r="I27" i="111"/>
  <c r="J27" i="111"/>
  <c r="K27" i="111"/>
  <c r="L27" i="111"/>
  <c r="M27" i="111"/>
  <c r="N27" i="111"/>
  <c r="P27" i="111"/>
  <c r="Q27" i="111"/>
  <c r="R27" i="111"/>
  <c r="S27" i="111"/>
  <c r="T27" i="111"/>
  <c r="U27" i="111"/>
  <c r="W27" i="111"/>
  <c r="X27" i="111"/>
  <c r="Y27" i="111"/>
  <c r="Z27" i="111"/>
  <c r="AA27" i="111"/>
  <c r="AB27" i="111"/>
  <c r="AC27" i="111"/>
  <c r="AD27" i="111"/>
  <c r="AE27" i="111"/>
  <c r="AF27" i="111"/>
  <c r="AG27" i="111"/>
  <c r="AK27" i="111"/>
  <c r="E28" i="111"/>
  <c r="F28" i="111"/>
  <c r="M65" i="111" s="1"/>
  <c r="G28" i="111"/>
  <c r="H28" i="111"/>
  <c r="I28" i="111"/>
  <c r="J28" i="111"/>
  <c r="K28" i="111"/>
  <c r="L28" i="111"/>
  <c r="M28" i="111"/>
  <c r="N28" i="111"/>
  <c r="P28" i="111"/>
  <c r="Q28" i="111"/>
  <c r="R28" i="111"/>
  <c r="S28" i="111"/>
  <c r="T28" i="111"/>
  <c r="U28" i="111"/>
  <c r="W28" i="111"/>
  <c r="X28" i="111"/>
  <c r="Y28" i="111"/>
  <c r="Z28" i="111"/>
  <c r="AA28" i="111"/>
  <c r="AB28" i="111"/>
  <c r="AC28" i="111"/>
  <c r="AD28" i="111"/>
  <c r="AE28" i="111"/>
  <c r="AF28" i="111"/>
  <c r="AG28" i="111"/>
  <c r="AK28" i="111"/>
  <c r="E29" i="111"/>
  <c r="F29" i="111"/>
  <c r="M66" i="111" s="1"/>
  <c r="G29" i="111"/>
  <c r="H29" i="111"/>
  <c r="I29" i="111"/>
  <c r="J29" i="111"/>
  <c r="K29" i="111"/>
  <c r="L29" i="111"/>
  <c r="M29" i="111"/>
  <c r="N29" i="111"/>
  <c r="P29" i="111"/>
  <c r="Q29" i="111"/>
  <c r="R29" i="111"/>
  <c r="S29" i="111"/>
  <c r="T29" i="111"/>
  <c r="U29" i="111"/>
  <c r="W29" i="111"/>
  <c r="X29" i="111"/>
  <c r="Y29" i="111"/>
  <c r="Z29" i="111"/>
  <c r="AA29" i="111"/>
  <c r="AB29" i="111"/>
  <c r="AC29" i="111"/>
  <c r="AD29" i="111"/>
  <c r="AE29" i="111"/>
  <c r="AF29" i="111"/>
  <c r="AG29" i="111"/>
  <c r="AK29" i="111"/>
  <c r="E30" i="111"/>
  <c r="F30" i="111"/>
  <c r="M67" i="111" s="1"/>
  <c r="G30" i="111"/>
  <c r="H30" i="111"/>
  <c r="I30" i="111"/>
  <c r="J30" i="111"/>
  <c r="K30" i="111"/>
  <c r="L30" i="111"/>
  <c r="M30" i="111"/>
  <c r="N30" i="111"/>
  <c r="P30" i="111"/>
  <c r="Q30" i="111"/>
  <c r="R30" i="111"/>
  <c r="S30" i="111"/>
  <c r="T30" i="111"/>
  <c r="U30" i="111"/>
  <c r="W30" i="111"/>
  <c r="X30" i="111"/>
  <c r="Y30" i="111"/>
  <c r="Z30" i="111"/>
  <c r="AA30" i="111"/>
  <c r="AB30" i="111"/>
  <c r="AC30" i="111"/>
  <c r="AD30" i="111"/>
  <c r="AE30" i="111"/>
  <c r="AF30" i="111"/>
  <c r="AG30" i="111"/>
  <c r="AK30" i="111"/>
  <c r="E31" i="111"/>
  <c r="F31" i="111"/>
  <c r="M68" i="111" s="1"/>
  <c r="G31" i="111"/>
  <c r="H31" i="111"/>
  <c r="I31" i="111"/>
  <c r="J31" i="111"/>
  <c r="K31" i="111"/>
  <c r="L31" i="111"/>
  <c r="M31" i="111"/>
  <c r="N31" i="111"/>
  <c r="P31" i="111"/>
  <c r="Q31" i="111"/>
  <c r="R31" i="111"/>
  <c r="S31" i="111"/>
  <c r="T31" i="111"/>
  <c r="U31" i="111"/>
  <c r="W31" i="111"/>
  <c r="X31" i="111"/>
  <c r="Y31" i="111"/>
  <c r="Z31" i="111"/>
  <c r="AA31" i="111"/>
  <c r="AB31" i="111"/>
  <c r="AC31" i="111"/>
  <c r="AD31" i="111"/>
  <c r="AE31" i="111"/>
  <c r="AF31" i="111"/>
  <c r="AG31" i="111"/>
  <c r="AK31" i="111"/>
  <c r="E32" i="111"/>
  <c r="F32" i="111"/>
  <c r="M69" i="111" s="1"/>
  <c r="G32" i="111"/>
  <c r="H32" i="111"/>
  <c r="I32" i="111"/>
  <c r="J32" i="111"/>
  <c r="K32" i="111"/>
  <c r="L32" i="111"/>
  <c r="M32" i="111"/>
  <c r="N32" i="111"/>
  <c r="P32" i="111"/>
  <c r="Q32" i="111"/>
  <c r="R32" i="111"/>
  <c r="S32" i="111"/>
  <c r="T32" i="111"/>
  <c r="U32" i="111"/>
  <c r="W32" i="111"/>
  <c r="X32" i="111"/>
  <c r="Y32" i="111"/>
  <c r="Z32" i="111"/>
  <c r="AA32" i="111"/>
  <c r="AB32" i="111"/>
  <c r="AC32" i="111"/>
  <c r="AD32" i="111"/>
  <c r="AE32" i="111"/>
  <c r="AF32" i="111"/>
  <c r="AG32" i="111"/>
  <c r="AK32" i="111"/>
  <c r="E33" i="111"/>
  <c r="F33" i="111"/>
  <c r="M70" i="111" s="1"/>
  <c r="G33" i="111"/>
  <c r="H33" i="111"/>
  <c r="I33" i="111"/>
  <c r="J33" i="111"/>
  <c r="K33" i="111"/>
  <c r="L33" i="111"/>
  <c r="M33" i="111"/>
  <c r="N33" i="111"/>
  <c r="P33" i="111"/>
  <c r="Q33" i="111"/>
  <c r="R33" i="111"/>
  <c r="S33" i="111"/>
  <c r="T33" i="111"/>
  <c r="U33" i="111"/>
  <c r="W33" i="111"/>
  <c r="X33" i="111"/>
  <c r="Y33" i="111"/>
  <c r="Z33" i="111"/>
  <c r="AA33" i="111"/>
  <c r="AB33" i="111"/>
  <c r="AC33" i="111"/>
  <c r="AD33" i="111"/>
  <c r="AE33" i="111"/>
  <c r="AF33" i="111"/>
  <c r="AG33" i="111"/>
  <c r="AK33" i="111"/>
  <c r="E34" i="111"/>
  <c r="F34" i="111"/>
  <c r="M71" i="111" s="1"/>
  <c r="G34" i="111"/>
  <c r="H34" i="111"/>
  <c r="I34" i="111"/>
  <c r="J34" i="111"/>
  <c r="K34" i="111"/>
  <c r="L34" i="111"/>
  <c r="M34" i="111"/>
  <c r="N34" i="111"/>
  <c r="P34" i="111"/>
  <c r="Q34" i="111"/>
  <c r="R34" i="111"/>
  <c r="S34" i="111"/>
  <c r="T34" i="111"/>
  <c r="U34" i="111"/>
  <c r="W34" i="111"/>
  <c r="X34" i="111"/>
  <c r="Y34" i="111"/>
  <c r="Z34" i="111"/>
  <c r="AA34" i="111"/>
  <c r="AB34" i="111"/>
  <c r="AC34" i="111"/>
  <c r="AD34" i="111"/>
  <c r="AE34" i="111"/>
  <c r="AF34" i="111"/>
  <c r="AG34" i="111"/>
  <c r="AK34" i="111"/>
  <c r="E35" i="111"/>
  <c r="F35" i="111"/>
  <c r="M72" i="111" s="1"/>
  <c r="G35" i="111"/>
  <c r="H35" i="111"/>
  <c r="I35" i="111"/>
  <c r="J35" i="111"/>
  <c r="K35" i="111"/>
  <c r="L35" i="111"/>
  <c r="M35" i="111"/>
  <c r="N35" i="111"/>
  <c r="P35" i="111"/>
  <c r="Q35" i="111"/>
  <c r="R35" i="111"/>
  <c r="S35" i="111"/>
  <c r="T35" i="111"/>
  <c r="U35" i="111"/>
  <c r="W35" i="111"/>
  <c r="X35" i="111"/>
  <c r="Y35" i="111"/>
  <c r="Z35" i="111"/>
  <c r="AA35" i="111"/>
  <c r="AB35" i="111"/>
  <c r="AC35" i="111"/>
  <c r="AD35" i="111"/>
  <c r="AE35" i="111"/>
  <c r="AF35" i="111"/>
  <c r="AG35" i="111"/>
  <c r="AK35" i="111"/>
  <c r="E36" i="111"/>
  <c r="G36" i="111"/>
  <c r="H36" i="111"/>
  <c r="I36" i="111"/>
  <c r="J36" i="111"/>
  <c r="K36" i="111"/>
  <c r="L36" i="111"/>
  <c r="M36" i="111"/>
  <c r="N36" i="111"/>
  <c r="P36" i="111"/>
  <c r="Q36" i="111"/>
  <c r="R36" i="111"/>
  <c r="S36" i="111"/>
  <c r="T36" i="111"/>
  <c r="U36" i="111"/>
  <c r="W36" i="111"/>
  <c r="X36" i="111"/>
  <c r="Y36" i="111"/>
  <c r="Z36" i="111"/>
  <c r="AA36" i="111"/>
  <c r="AB36" i="111"/>
  <c r="AC36" i="111"/>
  <c r="AD36" i="111"/>
  <c r="AE36" i="111"/>
  <c r="AF36" i="111"/>
  <c r="AG36" i="111"/>
  <c r="AK36" i="111"/>
  <c r="AS15" i="18"/>
  <c r="AT15" i="18"/>
  <c r="AW15" i="18"/>
  <c r="AX15" i="18"/>
  <c r="AY15" i="18"/>
  <c r="AE15" i="18" s="1"/>
  <c r="AZ15" i="18"/>
  <c r="BA15" i="18"/>
  <c r="BB15" i="18"/>
  <c r="BC15" i="18"/>
  <c r="BD15" i="18"/>
  <c r="BF15" i="18"/>
  <c r="BH15" i="18"/>
  <c r="BI15" i="18"/>
  <c r="BJ15" i="18"/>
  <c r="BG15" i="18" s="1"/>
  <c r="BK15" i="18"/>
  <c r="BL15" i="18"/>
  <c r="BT15" i="18" s="1"/>
  <c r="BM15" i="18"/>
  <c r="BN15" i="18"/>
  <c r="BO15" i="18"/>
  <c r="BU15" i="18" s="1"/>
  <c r="BP15" i="18"/>
  <c r="BQ15" i="18"/>
  <c r="BW15" i="18"/>
  <c r="I15" i="18"/>
  <c r="L15" i="18"/>
  <c r="BS11" i="18"/>
  <c r="BS12" i="18"/>
  <c r="BS13" i="18"/>
  <c r="D143" i="147"/>
  <c r="C143" i="147"/>
  <c r="C19" i="150"/>
  <c r="AF15" i="36"/>
  <c r="AI16" i="36" s="1"/>
  <c r="AF14" i="36"/>
  <c r="H38" i="111"/>
  <c r="J38" i="111"/>
  <c r="I38" i="111"/>
  <c r="D131" i="147"/>
  <c r="D132" i="147"/>
  <c r="C132" i="147"/>
  <c r="C131" i="147"/>
  <c r="P19" i="150"/>
  <c r="AH16" i="111" s="1"/>
  <c r="AI16" i="111" s="1"/>
  <c r="AJ16" i="111" s="1"/>
  <c r="AM16" i="111" s="1"/>
  <c r="AI13" i="36"/>
  <c r="AJ13" i="36"/>
  <c r="AJ14" i="36"/>
  <c r="AI18" i="36"/>
  <c r="AI21" i="36"/>
  <c r="AI22" i="36"/>
  <c r="AI23" i="36"/>
  <c r="AI24" i="36"/>
  <c r="AI25" i="36"/>
  <c r="AI27" i="36"/>
  <c r="AI28" i="36"/>
  <c r="AI29" i="36"/>
  <c r="AI30" i="36"/>
  <c r="AI35" i="36"/>
  <c r="AI14" i="36"/>
  <c r="D46" i="151"/>
  <c r="D47" i="151"/>
  <c r="O15" i="111"/>
  <c r="M46" i="111"/>
  <c r="O11" i="111"/>
  <c r="E11" i="111"/>
  <c r="F11" i="111"/>
  <c r="M48" i="111" s="1"/>
  <c r="G11" i="111"/>
  <c r="H11" i="111"/>
  <c r="I11" i="111"/>
  <c r="J11" i="111"/>
  <c r="K11" i="111"/>
  <c r="L11" i="111"/>
  <c r="M11" i="111"/>
  <c r="N11" i="111"/>
  <c r="P11" i="111"/>
  <c r="Q11" i="111"/>
  <c r="R11" i="111"/>
  <c r="S11" i="111"/>
  <c r="T11" i="111"/>
  <c r="U11" i="111"/>
  <c r="W11" i="111"/>
  <c r="X11" i="111"/>
  <c r="Y11" i="111"/>
  <c r="Z11" i="111"/>
  <c r="AA11" i="111"/>
  <c r="AB11" i="111"/>
  <c r="AC11" i="111"/>
  <c r="AD11" i="111"/>
  <c r="AE11" i="111"/>
  <c r="AF11" i="111"/>
  <c r="AG11" i="111"/>
  <c r="AH11" i="111"/>
  <c r="AI11" i="111"/>
  <c r="AJ11" i="111"/>
  <c r="AK11" i="111"/>
  <c r="AM11" i="111"/>
  <c r="O12" i="111"/>
  <c r="E12" i="111"/>
  <c r="F12" i="111"/>
  <c r="M49" i="111" s="1"/>
  <c r="G12" i="111"/>
  <c r="H12" i="111"/>
  <c r="I12" i="111"/>
  <c r="J12" i="111"/>
  <c r="K12" i="111"/>
  <c r="L12" i="111"/>
  <c r="M12" i="111"/>
  <c r="N12" i="111"/>
  <c r="P12" i="111"/>
  <c r="Q12" i="111"/>
  <c r="R12" i="111"/>
  <c r="S12" i="111"/>
  <c r="T12" i="111"/>
  <c r="U12" i="111"/>
  <c r="W12" i="111"/>
  <c r="X12" i="111"/>
  <c r="Y12" i="111"/>
  <c r="Z12" i="111"/>
  <c r="AA12" i="111"/>
  <c r="AB12" i="111"/>
  <c r="AC12" i="111"/>
  <c r="AD12" i="111"/>
  <c r="AE12" i="111"/>
  <c r="AF12" i="111"/>
  <c r="AG12" i="111"/>
  <c r="AH12" i="111"/>
  <c r="AI12" i="111"/>
  <c r="AJ12" i="111" s="1"/>
  <c r="AM12" i="111" s="1"/>
  <c r="AK12" i="111"/>
  <c r="E13" i="111"/>
  <c r="F13" i="111"/>
  <c r="M50" i="111" s="1"/>
  <c r="G13" i="111"/>
  <c r="H13" i="111"/>
  <c r="I13" i="111"/>
  <c r="J13" i="111"/>
  <c r="K13" i="111"/>
  <c r="L13" i="111"/>
  <c r="M13" i="111"/>
  <c r="N13" i="111"/>
  <c r="O13" i="111"/>
  <c r="P13" i="111"/>
  <c r="Q13" i="111"/>
  <c r="R13" i="111"/>
  <c r="S13" i="111"/>
  <c r="T13" i="111"/>
  <c r="U13" i="111"/>
  <c r="W13" i="111"/>
  <c r="X13" i="111"/>
  <c r="Y13" i="111"/>
  <c r="Z13" i="111"/>
  <c r="AA13" i="111"/>
  <c r="AB13" i="111"/>
  <c r="AC13" i="111"/>
  <c r="AD13" i="111"/>
  <c r="AE13" i="111"/>
  <c r="AF13" i="111"/>
  <c r="AG13" i="111"/>
  <c r="AH13" i="111"/>
  <c r="AI13" i="111" s="1"/>
  <c r="AJ13" i="111" s="1"/>
  <c r="AM13" i="111" s="1"/>
  <c r="AK13" i="111"/>
  <c r="O14" i="111"/>
  <c r="F14" i="111"/>
  <c r="G14" i="111"/>
  <c r="H14" i="111"/>
  <c r="I14" i="111"/>
  <c r="J14" i="111"/>
  <c r="K14" i="111"/>
  <c r="L14" i="111"/>
  <c r="M14" i="111"/>
  <c r="N14" i="111"/>
  <c r="P14" i="111"/>
  <c r="Q14" i="111"/>
  <c r="R14" i="111"/>
  <c r="S14" i="111"/>
  <c r="T14" i="111"/>
  <c r="U14" i="111"/>
  <c r="W14" i="111"/>
  <c r="X14" i="111"/>
  <c r="Y14" i="111"/>
  <c r="Z14" i="111"/>
  <c r="AA14" i="111"/>
  <c r="AB14" i="111"/>
  <c r="AC14" i="111"/>
  <c r="AD14" i="111"/>
  <c r="AE14" i="111"/>
  <c r="AF14" i="111"/>
  <c r="AG14" i="111"/>
  <c r="AH14" i="111"/>
  <c r="AI14" i="111" s="1"/>
  <c r="AJ14" i="111" s="1"/>
  <c r="AM14" i="111" s="1"/>
  <c r="AK14" i="111"/>
  <c r="E15" i="111"/>
  <c r="F15" i="111"/>
  <c r="M52" i="111" s="1"/>
  <c r="G15" i="111"/>
  <c r="H15" i="111"/>
  <c r="I15" i="111"/>
  <c r="J15" i="111"/>
  <c r="K15" i="111"/>
  <c r="L15" i="111"/>
  <c r="M15" i="111"/>
  <c r="N15" i="111"/>
  <c r="P15" i="111"/>
  <c r="Q15" i="111"/>
  <c r="R15" i="111"/>
  <c r="S15" i="111"/>
  <c r="T15" i="111"/>
  <c r="U15" i="111"/>
  <c r="W15" i="111"/>
  <c r="X15" i="111"/>
  <c r="Y15" i="111"/>
  <c r="Z15" i="111"/>
  <c r="AA15" i="111"/>
  <c r="AB15" i="111"/>
  <c r="AC15" i="111"/>
  <c r="AD15" i="111"/>
  <c r="AE15" i="111"/>
  <c r="AF15" i="111"/>
  <c r="AG15" i="111"/>
  <c r="AH15" i="111"/>
  <c r="AI15" i="111" s="1"/>
  <c r="AJ15" i="111" s="1"/>
  <c r="AM15" i="111" s="1"/>
  <c r="AK15" i="111"/>
  <c r="E16" i="111"/>
  <c r="F16" i="111"/>
  <c r="G16" i="111"/>
  <c r="H16" i="111"/>
  <c r="I16" i="111"/>
  <c r="J16" i="111"/>
  <c r="K16" i="111"/>
  <c r="L16" i="111"/>
  <c r="M16" i="111"/>
  <c r="N16" i="111"/>
  <c r="O16" i="111"/>
  <c r="P16" i="111"/>
  <c r="Q16" i="111"/>
  <c r="R16" i="111"/>
  <c r="S16" i="111"/>
  <c r="T16" i="111"/>
  <c r="U16" i="111"/>
  <c r="W16" i="111"/>
  <c r="X16" i="111"/>
  <c r="Y16" i="111"/>
  <c r="Z16" i="111"/>
  <c r="AA16" i="111"/>
  <c r="AB16" i="111"/>
  <c r="AC16" i="111"/>
  <c r="AD16" i="111"/>
  <c r="AE16" i="111"/>
  <c r="AF16" i="111"/>
  <c r="AG16" i="111"/>
  <c r="AK16" i="111"/>
  <c r="O17" i="111"/>
  <c r="E17" i="111"/>
  <c r="F17" i="111"/>
  <c r="M54" i="111" s="1"/>
  <c r="G17" i="111"/>
  <c r="H17" i="111"/>
  <c r="I17" i="111"/>
  <c r="J17" i="111"/>
  <c r="K17" i="111"/>
  <c r="L17" i="111"/>
  <c r="M17" i="111"/>
  <c r="N17" i="111"/>
  <c r="P17" i="111"/>
  <c r="Q17" i="111"/>
  <c r="R17" i="111"/>
  <c r="S17" i="111"/>
  <c r="T17" i="111"/>
  <c r="U17" i="111"/>
  <c r="W17" i="111"/>
  <c r="X17" i="111"/>
  <c r="Y17" i="111"/>
  <c r="Z17" i="111"/>
  <c r="AA17" i="111"/>
  <c r="AB17" i="111"/>
  <c r="AC17" i="111"/>
  <c r="AD17" i="111"/>
  <c r="AE17" i="111"/>
  <c r="AF17" i="111"/>
  <c r="AG17" i="111"/>
  <c r="AH17" i="111"/>
  <c r="AI17" i="111" s="1"/>
  <c r="AJ17" i="111" s="1"/>
  <c r="AM17" i="111" s="1"/>
  <c r="AK17" i="111"/>
  <c r="D7" i="34"/>
  <c r="AS11" i="18"/>
  <c r="AT11" i="18"/>
  <c r="AW11" i="18"/>
  <c r="AX11" i="18"/>
  <c r="AY11" i="18"/>
  <c r="AE11" i="18" s="1"/>
  <c r="AZ11" i="18"/>
  <c r="BA11" i="18"/>
  <c r="BB11" i="18"/>
  <c r="BC11" i="18"/>
  <c r="BD11" i="18"/>
  <c r="BF11" i="18"/>
  <c r="BH11" i="18"/>
  <c r="BI11" i="18"/>
  <c r="BJ11" i="18"/>
  <c r="BG11" i="18" s="1"/>
  <c r="BK11" i="18"/>
  <c r="BL11" i="18"/>
  <c r="BT11" i="18" s="1"/>
  <c r="BM11" i="18"/>
  <c r="BN11" i="18"/>
  <c r="BO11" i="18"/>
  <c r="BU11" i="18" s="1"/>
  <c r="BP11" i="18"/>
  <c r="BQ11" i="18"/>
  <c r="BW11" i="18"/>
  <c r="I11" i="18"/>
  <c r="L11" i="18"/>
  <c r="V70" i="111"/>
  <c r="W70" i="111" s="1"/>
  <c r="X70" i="111" s="1"/>
  <c r="AB70" i="111" s="1"/>
  <c r="Y70" i="111"/>
  <c r="Z70" i="111"/>
  <c r="AA70" i="111" s="1"/>
  <c r="V71" i="111"/>
  <c r="W71" i="111"/>
  <c r="X71" i="111"/>
  <c r="Y71" i="111"/>
  <c r="Z71" i="111" s="1"/>
  <c r="AA71" i="111" s="1"/>
  <c r="V72" i="111"/>
  <c r="W72" i="111" s="1"/>
  <c r="X72" i="111" s="1"/>
  <c r="AB72" i="111" s="1"/>
  <c r="Y72" i="111"/>
  <c r="Z72" i="111" s="1"/>
  <c r="AA72" i="111" s="1"/>
  <c r="V73" i="111"/>
  <c r="W73" i="111"/>
  <c r="X73" i="111"/>
  <c r="AB73" i="111" s="1"/>
  <c r="Y73" i="111"/>
  <c r="Z73" i="111"/>
  <c r="AA73" i="111" s="1"/>
  <c r="AW10" i="18"/>
  <c r="AX10" i="18"/>
  <c r="AY10" i="18"/>
  <c r="AZ10" i="18"/>
  <c r="BA10" i="18"/>
  <c r="AX9" i="18"/>
  <c r="AY9" i="18"/>
  <c r="AW9" i="18"/>
  <c r="BA9" i="18"/>
  <c r="AZ9" i="18"/>
  <c r="L10" i="18"/>
  <c r="BM10" i="18"/>
  <c r="AS10" i="18"/>
  <c r="BF10" i="18"/>
  <c r="BN10" i="18"/>
  <c r="AT10" i="18"/>
  <c r="BO10" i="18"/>
  <c r="BW10" i="18"/>
  <c r="BL10" i="18"/>
  <c r="BH10" i="18"/>
  <c r="BP10" i="18"/>
  <c r="BK10" i="18"/>
  <c r="BD10" i="18"/>
  <c r="BI10" i="18"/>
  <c r="BQ10" i="18"/>
  <c r="BC10" i="18"/>
  <c r="I10" i="18"/>
  <c r="BB10" i="18"/>
  <c r="BJ10" i="18"/>
  <c r="AY12" i="18"/>
  <c r="BO12" i="18"/>
  <c r="BW12" i="18"/>
  <c r="AX13" i="18"/>
  <c r="BF13" i="18"/>
  <c r="BN13" i="18"/>
  <c r="BM13" i="18"/>
  <c r="AZ12" i="18"/>
  <c r="BH12" i="18"/>
  <c r="BP12" i="18"/>
  <c r="AY13" i="18"/>
  <c r="BO13" i="18"/>
  <c r="BW13" i="18"/>
  <c r="BC13" i="18"/>
  <c r="AS12" i="18"/>
  <c r="BA12" i="18"/>
  <c r="BI12" i="18"/>
  <c r="BQ12" i="18"/>
  <c r="AZ13" i="18"/>
  <c r="BH13" i="18"/>
  <c r="BP13" i="18"/>
  <c r="BL12" i="18"/>
  <c r="AT12" i="18"/>
  <c r="BB12" i="18"/>
  <c r="BJ12" i="18"/>
  <c r="AS13" i="18"/>
  <c r="BA13" i="18"/>
  <c r="BI13" i="18"/>
  <c r="BQ13" i="18"/>
  <c r="BC12" i="18"/>
  <c r="BK12" i="18"/>
  <c r="AT13" i="18"/>
  <c r="BB13" i="18"/>
  <c r="BJ13" i="18"/>
  <c r="BD12" i="18"/>
  <c r="BK13" i="18"/>
  <c r="AW12" i="18"/>
  <c r="BM12" i="18"/>
  <c r="BD13" i="18"/>
  <c r="BL13" i="18"/>
  <c r="AX12" i="18"/>
  <c r="BF12" i="18"/>
  <c r="BN12" i="18"/>
  <c r="AW13" i="18"/>
  <c r="I12" i="18"/>
  <c r="I13" i="18"/>
  <c r="L12" i="18"/>
  <c r="L13" i="18"/>
  <c r="AZ14" i="18"/>
  <c r="BH14" i="18"/>
  <c r="BP14" i="18"/>
  <c r="BO14" i="18"/>
  <c r="AS14" i="18"/>
  <c r="BA14" i="18"/>
  <c r="BI14" i="18"/>
  <c r="BQ14" i="18"/>
  <c r="AT14" i="18"/>
  <c r="BB14" i="18"/>
  <c r="BJ14" i="18"/>
  <c r="AW14" i="18"/>
  <c r="BC14" i="18"/>
  <c r="BK14" i="18"/>
  <c r="BM14" i="18"/>
  <c r="BD14" i="18"/>
  <c r="BL14" i="18"/>
  <c r="BW14" i="18"/>
  <c r="AX14" i="18"/>
  <c r="BF14" i="18"/>
  <c r="BN14" i="18"/>
  <c r="AY14" i="18"/>
  <c r="I14" i="18"/>
  <c r="L14" i="18"/>
  <c r="L16" i="18"/>
  <c r="I16" i="18"/>
  <c r="AY16" i="18"/>
  <c r="BO16" i="18"/>
  <c r="BW16" i="18"/>
  <c r="AT16" i="18"/>
  <c r="AZ16" i="18"/>
  <c r="BH16" i="18"/>
  <c r="BP16" i="18"/>
  <c r="BJ16" i="18"/>
  <c r="BL16" i="18"/>
  <c r="AS16" i="18"/>
  <c r="BA16" i="18"/>
  <c r="BI16" i="18"/>
  <c r="BQ16" i="18"/>
  <c r="BB16" i="18"/>
  <c r="BC16" i="18"/>
  <c r="BK16" i="18"/>
  <c r="BD16" i="18"/>
  <c r="AW16" i="18"/>
  <c r="BM16" i="18"/>
  <c r="AX16" i="18"/>
  <c r="BF16" i="18"/>
  <c r="BN16" i="18"/>
  <c r="AY17" i="18"/>
  <c r="BO17" i="18"/>
  <c r="BW17" i="18"/>
  <c r="L17" i="18"/>
  <c r="AZ17" i="18"/>
  <c r="BH17" i="18"/>
  <c r="BP17" i="18"/>
  <c r="AW17" i="18"/>
  <c r="AX17" i="18"/>
  <c r="AS17" i="18"/>
  <c r="BA17" i="18"/>
  <c r="BI17" i="18"/>
  <c r="BQ17" i="18"/>
  <c r="BM17" i="18"/>
  <c r="AT17" i="18"/>
  <c r="BB17" i="18"/>
  <c r="BJ17" i="18"/>
  <c r="BC17" i="18"/>
  <c r="BK17" i="18"/>
  <c r="BF17" i="18"/>
  <c r="BD17" i="18"/>
  <c r="BL17" i="18"/>
  <c r="I17" i="18"/>
  <c r="BN17" i="18"/>
  <c r="BT17" i="18" l="1"/>
  <c r="BG17" i="18"/>
  <c r="BE17" i="18"/>
  <c r="BR17" i="18" s="1"/>
  <c r="BS17" i="18"/>
  <c r="BU17" i="18"/>
  <c r="AE17" i="18"/>
  <c r="BS16" i="18"/>
  <c r="BE16" i="18"/>
  <c r="BR16" i="18" s="1"/>
  <c r="BT16" i="18"/>
  <c r="BG16" i="18"/>
  <c r="BU16" i="18"/>
  <c r="AE16" i="18"/>
  <c r="BS15" i="18"/>
  <c r="BE15" i="18"/>
  <c r="BR15" i="18" s="1"/>
  <c r="BT14" i="18"/>
  <c r="BG14" i="18"/>
  <c r="BS14" i="18"/>
  <c r="BE14" i="18"/>
  <c r="BR14" i="18" s="1"/>
  <c r="BU14" i="18"/>
  <c r="BT13" i="18"/>
  <c r="BG13" i="18"/>
  <c r="BE13" i="18"/>
  <c r="BR13" i="18" s="1"/>
  <c r="BG12" i="18"/>
  <c r="BT12" i="18"/>
  <c r="BE12" i="18"/>
  <c r="BR12" i="18" s="1"/>
  <c r="BU13" i="18"/>
  <c r="BU12" i="18"/>
  <c r="AI15" i="36"/>
  <c r="AK14" i="36"/>
  <c r="BE11" i="18"/>
  <c r="BR11" i="18" s="1"/>
  <c r="AB71" i="111"/>
  <c r="BG10" i="18"/>
  <c r="AE10" i="18"/>
  <c r="BE10" i="18"/>
  <c r="BR10" i="18" s="1"/>
  <c r="BS10" i="18"/>
  <c r="BT10" i="18"/>
  <c r="BU10" i="18"/>
  <c r="AK10" i="111" l="1"/>
  <c r="AG10" i="111"/>
  <c r="AF10" i="111"/>
  <c r="AE10" i="111"/>
  <c r="AD10" i="111"/>
  <c r="AC10" i="111"/>
  <c r="AB10" i="111"/>
  <c r="AA10" i="111"/>
  <c r="Z10" i="111"/>
  <c r="Y10" i="111"/>
  <c r="X10" i="111"/>
  <c r="W10" i="111"/>
  <c r="U10" i="111"/>
  <c r="T10" i="111"/>
  <c r="S10" i="111"/>
  <c r="R10" i="111"/>
  <c r="Q10" i="111"/>
  <c r="P10" i="111"/>
  <c r="N10" i="111"/>
  <c r="M10" i="111"/>
  <c r="L10" i="111"/>
  <c r="K10" i="111"/>
  <c r="J10" i="111"/>
  <c r="I10" i="111"/>
  <c r="H10" i="111"/>
  <c r="G10" i="111"/>
  <c r="F10" i="111"/>
  <c r="M47" i="111" s="1"/>
  <c r="E10" i="111"/>
  <c r="O10" i="111"/>
  <c r="AK9" i="111"/>
  <c r="AG9" i="111"/>
  <c r="AF9" i="111"/>
  <c r="AE9" i="111"/>
  <c r="AD9" i="111"/>
  <c r="AC9" i="111"/>
  <c r="AB9" i="111"/>
  <c r="AA9" i="111"/>
  <c r="Z9" i="111"/>
  <c r="Y9" i="111"/>
  <c r="X9" i="111"/>
  <c r="W9" i="111"/>
  <c r="U9" i="111"/>
  <c r="T9" i="111"/>
  <c r="S9" i="111"/>
  <c r="R9" i="111"/>
  <c r="Q9" i="111"/>
  <c r="P9" i="111"/>
  <c r="N9" i="111"/>
  <c r="M9" i="111"/>
  <c r="L9" i="111"/>
  <c r="K9" i="111"/>
  <c r="J9" i="111"/>
  <c r="I9" i="111"/>
  <c r="H9" i="111"/>
  <c r="G9" i="111"/>
  <c r="F9" i="111"/>
  <c r="O9" i="111"/>
  <c r="AK8" i="111"/>
  <c r="AG8" i="111"/>
  <c r="AF8" i="111"/>
  <c r="AE8" i="111"/>
  <c r="AD8" i="111"/>
  <c r="AC8" i="111"/>
  <c r="AB8" i="111"/>
  <c r="AA8" i="111"/>
  <c r="Z8" i="111"/>
  <c r="Y8" i="111"/>
  <c r="X8" i="111"/>
  <c r="W8" i="111"/>
  <c r="U8" i="111"/>
  <c r="T8" i="111"/>
  <c r="S8" i="111"/>
  <c r="R8" i="111"/>
  <c r="Q8" i="111"/>
  <c r="P8" i="111"/>
  <c r="N8" i="111"/>
  <c r="M8" i="111"/>
  <c r="L8" i="111"/>
  <c r="K8" i="111"/>
  <c r="J8" i="111"/>
  <c r="I8" i="111"/>
  <c r="H8" i="111"/>
  <c r="G8" i="111"/>
  <c r="F8" i="111"/>
  <c r="E8" i="111"/>
  <c r="O8" i="111"/>
  <c r="AK7" i="111"/>
  <c r="AG7" i="111"/>
  <c r="AF7" i="111"/>
  <c r="AE7" i="111"/>
  <c r="AD7" i="111"/>
  <c r="AC7" i="111"/>
  <c r="AB7" i="111"/>
  <c r="AA7" i="111"/>
  <c r="Z7" i="111"/>
  <c r="Y7" i="111"/>
  <c r="X7" i="111"/>
  <c r="W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G7" i="111"/>
  <c r="F7" i="111"/>
  <c r="M44" i="111" s="1"/>
  <c r="E7" i="111"/>
  <c r="O7" i="111"/>
  <c r="AK6" i="111"/>
  <c r="AG6" i="111"/>
  <c r="AF6" i="111"/>
  <c r="AE6" i="111"/>
  <c r="AD6" i="111"/>
  <c r="AC6" i="111"/>
  <c r="AB6" i="111"/>
  <c r="AA6" i="111"/>
  <c r="Z6" i="111"/>
  <c r="Y6" i="111"/>
  <c r="X6" i="111"/>
  <c r="W6" i="111"/>
  <c r="U6" i="111"/>
  <c r="T6" i="111"/>
  <c r="S6" i="111"/>
  <c r="R6" i="111"/>
  <c r="Q6" i="111"/>
  <c r="P6" i="111"/>
  <c r="N6" i="111"/>
  <c r="M6" i="111"/>
  <c r="L6" i="111"/>
  <c r="K6" i="111"/>
  <c r="J6" i="111"/>
  <c r="I6" i="111"/>
  <c r="H6" i="111"/>
  <c r="G6" i="111"/>
  <c r="F6" i="111"/>
  <c r="M43" i="111" s="1"/>
  <c r="E6" i="111"/>
  <c r="O6" i="111"/>
  <c r="A8" i="111"/>
  <c r="A9" i="111" s="1"/>
  <c r="A10" i="111" s="1"/>
  <c r="A7" i="111"/>
  <c r="AK43" i="158" l="1"/>
  <c r="AT9" i="18"/>
  <c r="AS9" i="18"/>
  <c r="BD9" i="18"/>
  <c r="BM9" i="18"/>
  <c r="BF9" i="18"/>
  <c r="BO9" i="18"/>
  <c r="BW9" i="18"/>
  <c r="BH9" i="18"/>
  <c r="BP9" i="18"/>
  <c r="BN9" i="18"/>
  <c r="BI9" i="18"/>
  <c r="BQ9" i="18"/>
  <c r="BJ9" i="18"/>
  <c r="BL9" i="18"/>
  <c r="BB9" i="18"/>
  <c r="BC9" i="18"/>
  <c r="BK9" i="18"/>
  <c r="L9" i="18"/>
  <c r="I9" i="18"/>
  <c r="BT9" i="18" l="1"/>
  <c r="BG9" i="18"/>
  <c r="BE9" i="18"/>
  <c r="BR9" i="18" s="1"/>
  <c r="BS9" i="18"/>
  <c r="BU9" i="18"/>
  <c r="AE9" i="18"/>
  <c r="AO9" i="158"/>
  <c r="AO10" i="158"/>
  <c r="AK8" i="158"/>
  <c r="AK9" i="158"/>
  <c r="AK16" i="158"/>
  <c r="AK20" i="158"/>
  <c r="AK21" i="158"/>
  <c r="AK28" i="158"/>
  <c r="AK29" i="158"/>
  <c r="AK30" i="158"/>
  <c r="AK32" i="158"/>
  <c r="AK33" i="158"/>
  <c r="AK34" i="158"/>
  <c r="AK35" i="158"/>
  <c r="AU11" i="149" l="1"/>
  <c r="AT11" i="149"/>
  <c r="E40" i="161" l="1"/>
  <c r="D18" i="163" l="1"/>
  <c r="EL38" i="158"/>
  <c r="EK38" i="158"/>
  <c r="EJ38" i="158"/>
  <c r="EI38" i="158"/>
  <c r="H23" i="28"/>
  <c r="EL8" i="158" l="1"/>
  <c r="EK8" i="158"/>
  <c r="EJ8" i="158"/>
  <c r="EI8" i="158"/>
  <c r="K4" i="171" l="1"/>
  <c r="K5" i="171"/>
  <c r="K12" i="171"/>
  <c r="DT40" i="158" l="1"/>
  <c r="AV9" i="158"/>
  <c r="AV10" i="158"/>
  <c r="AV11" i="158"/>
  <c r="AV12" i="158"/>
  <c r="AV13" i="158"/>
  <c r="AV14" i="158"/>
  <c r="AV15" i="158"/>
  <c r="AV16" i="158"/>
  <c r="AV17" i="158"/>
  <c r="AV18" i="158"/>
  <c r="AV19" i="158"/>
  <c r="AV20" i="158"/>
  <c r="AV21" i="158"/>
  <c r="AV22" i="158"/>
  <c r="AV23" i="158"/>
  <c r="AV24" i="158"/>
  <c r="AV25" i="158"/>
  <c r="AV26" i="158"/>
  <c r="AV27" i="158"/>
  <c r="AV28" i="158"/>
  <c r="AV29" i="158"/>
  <c r="AV30" i="158"/>
  <c r="AV31" i="158"/>
  <c r="AV32" i="158"/>
  <c r="AV33" i="158"/>
  <c r="AV34" i="158"/>
  <c r="AV35" i="158"/>
  <c r="AV36" i="158"/>
  <c r="AV37" i="158"/>
  <c r="AV38" i="158"/>
  <c r="AV8" i="158"/>
  <c r="AU39" i="149"/>
  <c r="AT39" i="149"/>
  <c r="AE39" i="149"/>
  <c r="AF39" i="149"/>
  <c r="AG39" i="149"/>
  <c r="AH39" i="149"/>
  <c r="AI39" i="149"/>
  <c r="AJ39" i="149"/>
  <c r="AK39" i="149"/>
  <c r="AL39" i="149"/>
  <c r="AM39" i="149"/>
  <c r="AN39" i="149"/>
  <c r="AO39" i="149"/>
  <c r="AP39" i="149"/>
  <c r="AQ39" i="149"/>
  <c r="AR39" i="149"/>
  <c r="AS39" i="149"/>
  <c r="AD39" i="149"/>
  <c r="W39" i="149"/>
  <c r="X39" i="149"/>
  <c r="Y39" i="149"/>
  <c r="Z39" i="149"/>
  <c r="AA39" i="149"/>
  <c r="AB39" i="149"/>
  <c r="AC39" i="149"/>
  <c r="D39" i="149"/>
  <c r="E39" i="149"/>
  <c r="F39" i="149"/>
  <c r="G39" i="149"/>
  <c r="H39" i="149"/>
  <c r="I39" i="149"/>
  <c r="J39" i="149"/>
  <c r="K39" i="149"/>
  <c r="L39" i="149"/>
  <c r="M39" i="149"/>
  <c r="N39" i="149"/>
  <c r="O39" i="149"/>
  <c r="P39" i="149"/>
  <c r="Q39" i="149"/>
  <c r="R39" i="149"/>
  <c r="S39" i="149"/>
  <c r="T39" i="149"/>
  <c r="U39" i="149"/>
  <c r="V39" i="149"/>
  <c r="AT38" i="149"/>
  <c r="AE38" i="149"/>
  <c r="AF38" i="149"/>
  <c r="AG38" i="149"/>
  <c r="AH38" i="149"/>
  <c r="AI38" i="149"/>
  <c r="AJ38" i="149"/>
  <c r="AK38" i="149"/>
  <c r="AL38" i="149"/>
  <c r="AM38" i="149"/>
  <c r="AN38" i="149"/>
  <c r="AO38" i="149"/>
  <c r="AP38" i="149"/>
  <c r="AQ38" i="149"/>
  <c r="AR38" i="149"/>
  <c r="AS38" i="149"/>
  <c r="AD38" i="149"/>
  <c r="D38" i="149"/>
  <c r="E38" i="149"/>
  <c r="F38" i="149"/>
  <c r="G38" i="149"/>
  <c r="H38" i="149"/>
  <c r="I38" i="149"/>
  <c r="J38" i="149"/>
  <c r="K38" i="149"/>
  <c r="L38" i="149"/>
  <c r="M38" i="149"/>
  <c r="N38" i="149"/>
  <c r="O38" i="149"/>
  <c r="P38" i="149"/>
  <c r="Q38" i="149"/>
  <c r="R38" i="149"/>
  <c r="S38" i="149"/>
  <c r="T38" i="149"/>
  <c r="U38" i="149"/>
  <c r="V38" i="149"/>
  <c r="C38" i="149"/>
  <c r="B39" i="149"/>
  <c r="D7" i="161" l="1"/>
  <c r="D8" i="161"/>
  <c r="D9" i="161"/>
  <c r="D10" i="161"/>
  <c r="D11" i="161"/>
  <c r="D12" i="161"/>
  <c r="D13" i="161"/>
  <c r="D14" i="161"/>
  <c r="D15" i="161"/>
  <c r="D16" i="161"/>
  <c r="D17" i="161"/>
  <c r="D18" i="161"/>
  <c r="D19" i="161"/>
  <c r="D20" i="161"/>
  <c r="D21" i="161"/>
  <c r="D22" i="161"/>
  <c r="D23" i="161"/>
  <c r="D24" i="161"/>
  <c r="D25" i="161"/>
  <c r="D26" i="161"/>
  <c r="D27" i="161"/>
  <c r="D28" i="161"/>
  <c r="D29" i="161"/>
  <c r="D30" i="161"/>
  <c r="D31" i="161"/>
  <c r="D32" i="161"/>
  <c r="D33" i="161"/>
  <c r="D34" i="161"/>
  <c r="D35" i="161"/>
  <c r="D36" i="161"/>
  <c r="V1" i="163" l="1"/>
  <c r="D59" i="163"/>
  <c r="H59" i="163" s="1"/>
  <c r="M32" i="155"/>
  <c r="M31" i="155"/>
  <c r="M29" i="155"/>
  <c r="M26" i="155"/>
  <c r="M25" i="155"/>
  <c r="M23" i="155"/>
  <c r="M22" i="155"/>
  <c r="M21" i="155"/>
  <c r="M20" i="155"/>
  <c r="M16" i="155"/>
  <c r="M15" i="155"/>
  <c r="M14" i="155"/>
  <c r="M13" i="155"/>
  <c r="M12" i="155"/>
  <c r="M11" i="155"/>
  <c r="M10" i="155"/>
  <c r="M8" i="155"/>
  <c r="M7" i="155"/>
  <c r="M6" i="155"/>
  <c r="M5" i="155"/>
  <c r="G10" i="150"/>
  <c r="G11" i="150"/>
  <c r="G12" i="150"/>
  <c r="G13" i="150"/>
  <c r="G14" i="150"/>
  <c r="G15" i="150"/>
  <c r="G16" i="150"/>
  <c r="G17" i="150"/>
  <c r="G18" i="150"/>
  <c r="G19" i="150"/>
  <c r="G20" i="150"/>
  <c r="G21" i="150"/>
  <c r="G22" i="150"/>
  <c r="G23" i="150"/>
  <c r="G24" i="150"/>
  <c r="G25" i="150"/>
  <c r="G26" i="150"/>
  <c r="G27" i="150"/>
  <c r="G28" i="150"/>
  <c r="F43" i="150" s="1"/>
  <c r="H43" i="150" s="1"/>
  <c r="G29" i="150"/>
  <c r="F44" i="150" s="1"/>
  <c r="H44" i="150" s="1"/>
  <c r="G30" i="150"/>
  <c r="F45" i="150" s="1"/>
  <c r="H45" i="150" s="1"/>
  <c r="G31" i="150"/>
  <c r="F46" i="150" s="1"/>
  <c r="H46" i="150" s="1"/>
  <c r="G32" i="150"/>
  <c r="F47" i="150" s="1"/>
  <c r="H47" i="150" s="1"/>
  <c r="G33" i="150"/>
  <c r="F48" i="150" s="1"/>
  <c r="H48" i="150" s="1"/>
  <c r="G34" i="150"/>
  <c r="F49" i="150" s="1"/>
  <c r="H49" i="150" s="1"/>
  <c r="G35" i="150"/>
  <c r="F50" i="150" s="1"/>
  <c r="H50" i="150" s="1"/>
  <c r="G36" i="150"/>
  <c r="F51" i="150" s="1"/>
  <c r="H51" i="150" s="1"/>
  <c r="G37" i="150"/>
  <c r="F52" i="150" s="1"/>
  <c r="H52" i="150" s="1"/>
  <c r="G38" i="150"/>
  <c r="F53" i="150" s="1"/>
  <c r="H53" i="150" s="1"/>
  <c r="G39" i="150"/>
  <c r="F54" i="150" s="1"/>
  <c r="H54" i="150" s="1"/>
  <c r="U10" i="150"/>
  <c r="AL10" i="150"/>
  <c r="AM10" i="150"/>
  <c r="AN10" i="150"/>
  <c r="AO10" i="150"/>
  <c r="AP10" i="150"/>
  <c r="AQ10" i="150"/>
  <c r="AR10" i="150"/>
  <c r="U11" i="150"/>
  <c r="AL11" i="150"/>
  <c r="AM11" i="150"/>
  <c r="AN11" i="150"/>
  <c r="AO11" i="150"/>
  <c r="AP11" i="150"/>
  <c r="AQ11" i="150"/>
  <c r="AR11" i="150"/>
  <c r="U12" i="150"/>
  <c r="AL12" i="150"/>
  <c r="AM12" i="150"/>
  <c r="AN12" i="150"/>
  <c r="AO12" i="150"/>
  <c r="AP12" i="150"/>
  <c r="AQ12" i="150"/>
  <c r="AR12" i="150"/>
  <c r="U13" i="150"/>
  <c r="AL13" i="150"/>
  <c r="AM13" i="150"/>
  <c r="AN13" i="150"/>
  <c r="AO13" i="150"/>
  <c r="AP13" i="150"/>
  <c r="AQ13" i="150"/>
  <c r="AR13" i="150"/>
  <c r="U14" i="150"/>
  <c r="AL14" i="150"/>
  <c r="AM14" i="150"/>
  <c r="AN14" i="150"/>
  <c r="AO14" i="150"/>
  <c r="AP14" i="150"/>
  <c r="AQ14" i="150"/>
  <c r="AR14" i="150"/>
  <c r="U15" i="150"/>
  <c r="AL15" i="150"/>
  <c r="AM15" i="150"/>
  <c r="AN15" i="150"/>
  <c r="AO15" i="150"/>
  <c r="AP15" i="150"/>
  <c r="AQ15" i="150"/>
  <c r="AR15" i="150"/>
  <c r="U16" i="150"/>
  <c r="AL16" i="150"/>
  <c r="AM16" i="150"/>
  <c r="AN16" i="150"/>
  <c r="AO16" i="150"/>
  <c r="AP16" i="150"/>
  <c r="AQ16" i="150"/>
  <c r="AR16" i="150"/>
  <c r="U17" i="150"/>
  <c r="AL17" i="150"/>
  <c r="AM17" i="150"/>
  <c r="AN17" i="150"/>
  <c r="AO17" i="150"/>
  <c r="AP17" i="150"/>
  <c r="AQ17" i="150"/>
  <c r="AR17" i="150"/>
  <c r="U18" i="150"/>
  <c r="AL18" i="150"/>
  <c r="AM18" i="150"/>
  <c r="AN18" i="150"/>
  <c r="AO18" i="150"/>
  <c r="AP18" i="150"/>
  <c r="AQ18" i="150"/>
  <c r="AR18" i="150"/>
  <c r="U19" i="150"/>
  <c r="AL19" i="150"/>
  <c r="AM19" i="150"/>
  <c r="AN19" i="150"/>
  <c r="AO19" i="150"/>
  <c r="AP19" i="150"/>
  <c r="AQ19" i="150"/>
  <c r="AR19" i="150"/>
  <c r="U20" i="150"/>
  <c r="AL20" i="150"/>
  <c r="AM20" i="150"/>
  <c r="AN20" i="150"/>
  <c r="AO20" i="150"/>
  <c r="AP20" i="150"/>
  <c r="AQ20" i="150"/>
  <c r="AR20" i="150"/>
  <c r="U21" i="150"/>
  <c r="AL21" i="150"/>
  <c r="AM21" i="150"/>
  <c r="AN21" i="150"/>
  <c r="AO21" i="150"/>
  <c r="AP21" i="150"/>
  <c r="AQ21" i="150"/>
  <c r="AR21" i="150"/>
  <c r="U22" i="150"/>
  <c r="AL22" i="150"/>
  <c r="AM22" i="150"/>
  <c r="AN22" i="150"/>
  <c r="AO22" i="150"/>
  <c r="AP22" i="150"/>
  <c r="AQ22" i="150"/>
  <c r="AR22" i="150"/>
  <c r="U23" i="150"/>
  <c r="AL23" i="150"/>
  <c r="AM23" i="150"/>
  <c r="AN23" i="150"/>
  <c r="AO23" i="150"/>
  <c r="AP23" i="150"/>
  <c r="AQ23" i="150"/>
  <c r="AR23" i="150"/>
  <c r="U24" i="150"/>
  <c r="AL24" i="150"/>
  <c r="AM24" i="150"/>
  <c r="AN24" i="150"/>
  <c r="AO24" i="150"/>
  <c r="AP24" i="150"/>
  <c r="AQ24" i="150"/>
  <c r="AR24" i="150"/>
  <c r="U25" i="150"/>
  <c r="AL25" i="150"/>
  <c r="AM25" i="150"/>
  <c r="AN25" i="150"/>
  <c r="AO25" i="150"/>
  <c r="AP25" i="150"/>
  <c r="AQ25" i="150"/>
  <c r="AR25" i="150"/>
  <c r="U26" i="150"/>
  <c r="AL26" i="150"/>
  <c r="AM26" i="150"/>
  <c r="AN26" i="150"/>
  <c r="AO26" i="150"/>
  <c r="AP26" i="150"/>
  <c r="AQ26" i="150"/>
  <c r="AR26" i="150"/>
  <c r="U27" i="150"/>
  <c r="AL27" i="150"/>
  <c r="AM27" i="150"/>
  <c r="AN27" i="150"/>
  <c r="AO27" i="150"/>
  <c r="AP27" i="150"/>
  <c r="AQ27" i="150"/>
  <c r="AR27" i="150"/>
  <c r="U28" i="150"/>
  <c r="AL28" i="150"/>
  <c r="AM28" i="150"/>
  <c r="AN28" i="150"/>
  <c r="AO28" i="150"/>
  <c r="AP28" i="150"/>
  <c r="AQ28" i="150"/>
  <c r="AR28" i="150"/>
  <c r="U29" i="150"/>
  <c r="AL29" i="150"/>
  <c r="AM29" i="150"/>
  <c r="AN29" i="150"/>
  <c r="AO29" i="150"/>
  <c r="AP29" i="150"/>
  <c r="AQ29" i="150"/>
  <c r="AR29" i="150"/>
  <c r="U30" i="150"/>
  <c r="AL30" i="150"/>
  <c r="AM30" i="150"/>
  <c r="AN30" i="150"/>
  <c r="AO30" i="150"/>
  <c r="AP30" i="150"/>
  <c r="AQ30" i="150"/>
  <c r="AR30" i="150"/>
  <c r="U31" i="150"/>
  <c r="AL31" i="150"/>
  <c r="AM31" i="150"/>
  <c r="AN31" i="150"/>
  <c r="AO31" i="150"/>
  <c r="AP31" i="150"/>
  <c r="AQ31" i="150"/>
  <c r="AR31" i="150"/>
  <c r="U32" i="150"/>
  <c r="AL32" i="150"/>
  <c r="AM32" i="150"/>
  <c r="AN32" i="150"/>
  <c r="AO32" i="150"/>
  <c r="AP32" i="150"/>
  <c r="AQ32" i="150"/>
  <c r="AR32" i="150"/>
  <c r="U33" i="150"/>
  <c r="AL33" i="150"/>
  <c r="AM33" i="150"/>
  <c r="AN33" i="150"/>
  <c r="AO33" i="150"/>
  <c r="AP33" i="150"/>
  <c r="AQ33" i="150"/>
  <c r="AR33" i="150"/>
  <c r="U34" i="150"/>
  <c r="AL34" i="150"/>
  <c r="AM34" i="150"/>
  <c r="AN34" i="150"/>
  <c r="AO34" i="150"/>
  <c r="AP34" i="150"/>
  <c r="AQ34" i="150"/>
  <c r="AR34" i="150"/>
  <c r="U35" i="150"/>
  <c r="AL35" i="150"/>
  <c r="AM35" i="150"/>
  <c r="AN35" i="150"/>
  <c r="AO35" i="150"/>
  <c r="AP35" i="150"/>
  <c r="AQ35" i="150"/>
  <c r="AR35" i="150"/>
  <c r="U36" i="150"/>
  <c r="AL36" i="150"/>
  <c r="AM36" i="150"/>
  <c r="AN36" i="150"/>
  <c r="AO36" i="150"/>
  <c r="AP36" i="150"/>
  <c r="AQ36" i="150"/>
  <c r="AR36" i="150"/>
  <c r="U37" i="150"/>
  <c r="AL37" i="150"/>
  <c r="AM37" i="150"/>
  <c r="AN37" i="150"/>
  <c r="AO37" i="150"/>
  <c r="AP37" i="150"/>
  <c r="AQ37" i="150"/>
  <c r="AR37" i="150"/>
  <c r="U38" i="150"/>
  <c r="AL38" i="150"/>
  <c r="AM38" i="150"/>
  <c r="AN38" i="150"/>
  <c r="AO38" i="150"/>
  <c r="AP38" i="150"/>
  <c r="AQ38" i="150"/>
  <c r="AR38" i="150"/>
  <c r="U39" i="150"/>
  <c r="AL39" i="150"/>
  <c r="AM39" i="150"/>
  <c r="AN39" i="150"/>
  <c r="AO39" i="150"/>
  <c r="AP39" i="150"/>
  <c r="AQ39" i="150"/>
  <c r="AR39" i="150"/>
  <c r="U10" i="148"/>
  <c r="U11" i="148"/>
  <c r="U12" i="148"/>
  <c r="U13" i="148"/>
  <c r="U14" i="148"/>
  <c r="U15" i="148"/>
  <c r="U16" i="148"/>
  <c r="U17" i="148"/>
  <c r="U18" i="148"/>
  <c r="U19" i="148"/>
  <c r="U20" i="148"/>
  <c r="U21" i="148"/>
  <c r="U22" i="148"/>
  <c r="U23" i="148"/>
  <c r="U24" i="148"/>
  <c r="U25" i="148"/>
  <c r="U26" i="148"/>
  <c r="U27" i="148"/>
  <c r="U28" i="148"/>
  <c r="U29" i="148"/>
  <c r="U30" i="148"/>
  <c r="U31" i="148"/>
  <c r="U32" i="148"/>
  <c r="U33" i="148"/>
  <c r="U34" i="148"/>
  <c r="U35" i="148"/>
  <c r="U36" i="148"/>
  <c r="U37" i="148"/>
  <c r="U38" i="148"/>
  <c r="U39" i="148"/>
  <c r="N48" i="148"/>
  <c r="N49" i="148"/>
  <c r="N50" i="148"/>
  <c r="N51" i="148"/>
  <c r="N52" i="148"/>
  <c r="N53" i="148"/>
  <c r="N54" i="148"/>
  <c r="N55" i="148"/>
  <c r="N56" i="148"/>
  <c r="N57" i="148"/>
  <c r="N58" i="148"/>
  <c r="N59" i="148"/>
  <c r="N60" i="148"/>
  <c r="N61" i="148"/>
  <c r="N62" i="148"/>
  <c r="N63" i="148"/>
  <c r="N64" i="148"/>
  <c r="N65" i="148"/>
  <c r="N66" i="148"/>
  <c r="N67" i="148"/>
  <c r="N68" i="148"/>
  <c r="N69" i="148"/>
  <c r="N70" i="148"/>
  <c r="N71" i="148"/>
  <c r="N72" i="148"/>
  <c r="N73" i="148"/>
  <c r="N74" i="148"/>
  <c r="N75" i="148"/>
  <c r="N76" i="148"/>
  <c r="N77" i="148"/>
  <c r="N47" i="148"/>
  <c r="E10" i="150"/>
  <c r="F10" i="150" s="1"/>
  <c r="E11" i="150"/>
  <c r="F11" i="150" s="1"/>
  <c r="E12" i="150"/>
  <c r="F12" i="150" s="1"/>
  <c r="E13" i="150"/>
  <c r="F13" i="150" s="1"/>
  <c r="E14" i="150"/>
  <c r="F14" i="150" s="1"/>
  <c r="E15" i="150"/>
  <c r="F15" i="150" s="1"/>
  <c r="E16" i="150"/>
  <c r="F16" i="150" s="1"/>
  <c r="E17" i="150"/>
  <c r="F17" i="150" s="1"/>
  <c r="E18" i="150"/>
  <c r="F18" i="150" s="1"/>
  <c r="E19" i="150"/>
  <c r="F19" i="150" s="1"/>
  <c r="E20" i="150"/>
  <c r="F20" i="150" s="1"/>
  <c r="E21" i="150"/>
  <c r="F21" i="150" s="1"/>
  <c r="E22" i="150"/>
  <c r="F22" i="150" s="1"/>
  <c r="E23" i="150"/>
  <c r="F23" i="150" s="1"/>
  <c r="E24" i="150"/>
  <c r="F24" i="150" s="1"/>
  <c r="E25" i="150"/>
  <c r="F25" i="150" s="1"/>
  <c r="E26" i="150"/>
  <c r="F26" i="150" s="1"/>
  <c r="E27" i="150"/>
  <c r="F27" i="150" s="1"/>
  <c r="E28" i="150"/>
  <c r="E29" i="150"/>
  <c r="E30" i="150"/>
  <c r="E31" i="150"/>
  <c r="E32" i="150"/>
  <c r="E33" i="150"/>
  <c r="E34" i="150"/>
  <c r="E35" i="150"/>
  <c r="E36" i="150"/>
  <c r="E37" i="150"/>
  <c r="E38" i="150"/>
  <c r="E39" i="150"/>
  <c r="G10" i="148"/>
  <c r="H10" i="148"/>
  <c r="I10" i="148"/>
  <c r="J10" i="148"/>
  <c r="K10" i="148"/>
  <c r="L10" i="148"/>
  <c r="M10" i="148"/>
  <c r="G11" i="148"/>
  <c r="H11" i="148"/>
  <c r="I11" i="148"/>
  <c r="J11" i="148"/>
  <c r="K11" i="148"/>
  <c r="L11" i="148"/>
  <c r="M11" i="148"/>
  <c r="G12" i="148"/>
  <c r="H12" i="148"/>
  <c r="I12" i="148"/>
  <c r="J12" i="148"/>
  <c r="K12" i="148"/>
  <c r="L12" i="148"/>
  <c r="M12" i="148"/>
  <c r="G13" i="148"/>
  <c r="H13" i="148"/>
  <c r="I13" i="148"/>
  <c r="J13" i="148"/>
  <c r="K13" i="148"/>
  <c r="L13" i="148"/>
  <c r="M13" i="148"/>
  <c r="G14" i="148"/>
  <c r="H14" i="148"/>
  <c r="I14" i="148"/>
  <c r="J14" i="148"/>
  <c r="K14" i="148"/>
  <c r="L14" i="148"/>
  <c r="M14" i="148"/>
  <c r="G15" i="148"/>
  <c r="H15" i="148"/>
  <c r="I15" i="148"/>
  <c r="J15" i="148"/>
  <c r="K15" i="148"/>
  <c r="L15" i="148"/>
  <c r="M15" i="148"/>
  <c r="G16" i="148"/>
  <c r="H16" i="148"/>
  <c r="I16" i="148"/>
  <c r="J16" i="148"/>
  <c r="K16" i="148"/>
  <c r="L16" i="148"/>
  <c r="M16" i="148"/>
  <c r="G17" i="148"/>
  <c r="H17" i="148"/>
  <c r="I17" i="148"/>
  <c r="J17" i="148"/>
  <c r="K17" i="148"/>
  <c r="L17" i="148"/>
  <c r="M17" i="148"/>
  <c r="G18" i="148"/>
  <c r="H18" i="148"/>
  <c r="I18" i="148"/>
  <c r="J18" i="148"/>
  <c r="K18" i="148"/>
  <c r="L18" i="148"/>
  <c r="M18" i="148"/>
  <c r="G19" i="148"/>
  <c r="H19" i="148"/>
  <c r="I19" i="148"/>
  <c r="J19" i="148"/>
  <c r="K19" i="148"/>
  <c r="L19" i="148"/>
  <c r="M19" i="148"/>
  <c r="G20" i="148"/>
  <c r="H20" i="148"/>
  <c r="I20" i="148"/>
  <c r="J20" i="148"/>
  <c r="K20" i="148"/>
  <c r="L20" i="148"/>
  <c r="M20" i="148"/>
  <c r="G21" i="148"/>
  <c r="H21" i="148"/>
  <c r="I21" i="148"/>
  <c r="J21" i="148"/>
  <c r="K21" i="148"/>
  <c r="L21" i="148"/>
  <c r="M21" i="148"/>
  <c r="G22" i="148"/>
  <c r="H22" i="148"/>
  <c r="I22" i="148"/>
  <c r="J22" i="148"/>
  <c r="K22" i="148"/>
  <c r="L22" i="148"/>
  <c r="M22" i="148"/>
  <c r="G23" i="148"/>
  <c r="H23" i="148"/>
  <c r="I23" i="148"/>
  <c r="J23" i="148"/>
  <c r="K23" i="148"/>
  <c r="L23" i="148"/>
  <c r="M23" i="148"/>
  <c r="G24" i="148"/>
  <c r="H24" i="148"/>
  <c r="I24" i="148"/>
  <c r="J24" i="148"/>
  <c r="K24" i="148"/>
  <c r="L24" i="148"/>
  <c r="M24" i="148"/>
  <c r="G25" i="148"/>
  <c r="H25" i="148"/>
  <c r="I25" i="148"/>
  <c r="J25" i="148"/>
  <c r="K25" i="148"/>
  <c r="L25" i="148"/>
  <c r="M25" i="148"/>
  <c r="G26" i="148"/>
  <c r="H26" i="148"/>
  <c r="I26" i="148"/>
  <c r="J26" i="148"/>
  <c r="K26" i="148"/>
  <c r="L26" i="148"/>
  <c r="M26" i="148"/>
  <c r="G27" i="148"/>
  <c r="H27" i="148"/>
  <c r="I27" i="148"/>
  <c r="J27" i="148"/>
  <c r="K27" i="148"/>
  <c r="L27" i="148"/>
  <c r="M27" i="148"/>
  <c r="G28" i="148"/>
  <c r="H28" i="148"/>
  <c r="I28" i="148"/>
  <c r="J28" i="148"/>
  <c r="K28" i="148"/>
  <c r="L28" i="148"/>
  <c r="M28" i="148"/>
  <c r="G29" i="148"/>
  <c r="H29" i="148"/>
  <c r="I29" i="148"/>
  <c r="J29" i="148"/>
  <c r="K29" i="148"/>
  <c r="L29" i="148"/>
  <c r="M29" i="148"/>
  <c r="G30" i="148"/>
  <c r="H30" i="148"/>
  <c r="I30" i="148"/>
  <c r="J30" i="148"/>
  <c r="K30" i="148"/>
  <c r="L30" i="148"/>
  <c r="M30" i="148"/>
  <c r="G31" i="148"/>
  <c r="H31" i="148"/>
  <c r="I31" i="148"/>
  <c r="J31" i="148"/>
  <c r="K31" i="148"/>
  <c r="L31" i="148"/>
  <c r="M31" i="148"/>
  <c r="G32" i="148"/>
  <c r="H32" i="148"/>
  <c r="I32" i="148"/>
  <c r="J32" i="148"/>
  <c r="K32" i="148"/>
  <c r="L32" i="148"/>
  <c r="M32" i="148"/>
  <c r="G33" i="148"/>
  <c r="H33" i="148"/>
  <c r="I33" i="148"/>
  <c r="J33" i="148"/>
  <c r="K33" i="148"/>
  <c r="L33" i="148"/>
  <c r="M33" i="148"/>
  <c r="G34" i="148"/>
  <c r="H34" i="148"/>
  <c r="I34" i="148"/>
  <c r="J34" i="148"/>
  <c r="K34" i="148"/>
  <c r="L34" i="148"/>
  <c r="M34" i="148"/>
  <c r="G35" i="148"/>
  <c r="H35" i="148"/>
  <c r="I35" i="148"/>
  <c r="J35" i="148"/>
  <c r="K35" i="148"/>
  <c r="L35" i="148"/>
  <c r="M35" i="148"/>
  <c r="G36" i="148"/>
  <c r="H36" i="148"/>
  <c r="I36" i="148"/>
  <c r="J36" i="148"/>
  <c r="K36" i="148"/>
  <c r="L36" i="148"/>
  <c r="M36" i="148"/>
  <c r="G37" i="148"/>
  <c r="H37" i="148"/>
  <c r="I37" i="148"/>
  <c r="J37" i="148"/>
  <c r="K37" i="148"/>
  <c r="L37" i="148"/>
  <c r="M37" i="148"/>
  <c r="G38" i="148"/>
  <c r="H38" i="148"/>
  <c r="I38" i="148"/>
  <c r="J38" i="148"/>
  <c r="K38" i="148"/>
  <c r="L38" i="148"/>
  <c r="M38" i="148"/>
  <c r="G39" i="148"/>
  <c r="H39" i="148"/>
  <c r="I39" i="148"/>
  <c r="J39" i="148"/>
  <c r="K39" i="148"/>
  <c r="L39" i="148"/>
  <c r="M39" i="148"/>
  <c r="E10" i="148"/>
  <c r="E11" i="148"/>
  <c r="E12" i="148"/>
  <c r="E13" i="148"/>
  <c r="E14" i="148"/>
  <c r="E15" i="148"/>
  <c r="E16" i="148"/>
  <c r="E17" i="148"/>
  <c r="E18" i="148"/>
  <c r="E19" i="148"/>
  <c r="E20" i="148"/>
  <c r="E21" i="148"/>
  <c r="E22" i="148"/>
  <c r="E23" i="148"/>
  <c r="E24" i="148"/>
  <c r="E25" i="148"/>
  <c r="E26" i="148"/>
  <c r="E27" i="148"/>
  <c r="E28" i="148"/>
  <c r="E29" i="148"/>
  <c r="E30" i="148"/>
  <c r="E31" i="148"/>
  <c r="E32" i="148"/>
  <c r="E33" i="148"/>
  <c r="E34" i="148"/>
  <c r="E35" i="148"/>
  <c r="E36" i="148"/>
  <c r="E37" i="148"/>
  <c r="AT36" i="158" s="1"/>
  <c r="E38" i="148"/>
  <c r="AT37" i="158" s="1"/>
  <c r="E39" i="148"/>
  <c r="AT38" i="158" s="1"/>
  <c r="C10" i="148"/>
  <c r="C11" i="148"/>
  <c r="C12" i="148"/>
  <c r="C13" i="148"/>
  <c r="C14" i="148"/>
  <c r="C15" i="148"/>
  <c r="C16" i="148"/>
  <c r="C17" i="148"/>
  <c r="C18" i="148"/>
  <c r="C19" i="148"/>
  <c r="C20" i="148"/>
  <c r="C21" i="148"/>
  <c r="C22" i="148"/>
  <c r="C23" i="148"/>
  <c r="C24" i="148"/>
  <c r="C25" i="148"/>
  <c r="C26" i="148"/>
  <c r="C27" i="148"/>
  <c r="C28" i="148"/>
  <c r="C29" i="148"/>
  <c r="C30" i="148"/>
  <c r="C31" i="148"/>
  <c r="C32" i="148"/>
  <c r="C33" i="148"/>
  <c r="C34" i="148"/>
  <c r="C35" i="148"/>
  <c r="C36" i="148"/>
  <c r="C37" i="148"/>
  <c r="C38" i="148"/>
  <c r="C39" i="148"/>
  <c r="CT10" i="36"/>
  <c r="CT11" i="36"/>
  <c r="CT12" i="36"/>
  <c r="CT13" i="36"/>
  <c r="CT14" i="36"/>
  <c r="CT15" i="36"/>
  <c r="CT16" i="36"/>
  <c r="CT17" i="36"/>
  <c r="CT18" i="36"/>
  <c r="CT19" i="36"/>
  <c r="CT20" i="36"/>
  <c r="CT21" i="36"/>
  <c r="CT22" i="36"/>
  <c r="CT23" i="36"/>
  <c r="CT24" i="36"/>
  <c r="CT25" i="36"/>
  <c r="CT26" i="36"/>
  <c r="CT27" i="36"/>
  <c r="CT28" i="36"/>
  <c r="CT29" i="36"/>
  <c r="CT30" i="36"/>
  <c r="CT31" i="36"/>
  <c r="CT32" i="36"/>
  <c r="CT33" i="36"/>
  <c r="CT34" i="36"/>
  <c r="CT35" i="36"/>
  <c r="CT36" i="36"/>
  <c r="CT37" i="36"/>
  <c r="CT38" i="36"/>
  <c r="CT39" i="36"/>
  <c r="BS10" i="36"/>
  <c r="BT10" i="36"/>
  <c r="BU10" i="36"/>
  <c r="BV10" i="36"/>
  <c r="BW10" i="36"/>
  <c r="BX10" i="36"/>
  <c r="BY10" i="36"/>
  <c r="BZ10" i="36"/>
  <c r="CA10" i="36"/>
  <c r="CB10" i="36"/>
  <c r="CC10" i="36"/>
  <c r="BS11" i="36"/>
  <c r="BT11" i="36"/>
  <c r="BU11" i="36"/>
  <c r="BV11" i="36"/>
  <c r="BW11" i="36"/>
  <c r="BX11" i="36"/>
  <c r="BY11" i="36"/>
  <c r="BZ11" i="36"/>
  <c r="CA11" i="36"/>
  <c r="CB11" i="36"/>
  <c r="CC11" i="36"/>
  <c r="BS12" i="36"/>
  <c r="BT12" i="36"/>
  <c r="BU12" i="36"/>
  <c r="BV12" i="36"/>
  <c r="BW12" i="36"/>
  <c r="BX12" i="36"/>
  <c r="BY12" i="36"/>
  <c r="BZ12" i="36"/>
  <c r="CA12" i="36"/>
  <c r="CC12" i="36"/>
  <c r="BS13" i="36"/>
  <c r="BT13" i="36"/>
  <c r="BU13" i="36"/>
  <c r="BV13" i="36"/>
  <c r="BW13" i="36"/>
  <c r="BX13" i="36"/>
  <c r="BY13" i="36"/>
  <c r="BZ13" i="36"/>
  <c r="CA13" i="36"/>
  <c r="CB13" i="36"/>
  <c r="CC13" i="36"/>
  <c r="BS14" i="36"/>
  <c r="BT14" i="36"/>
  <c r="BU14" i="36"/>
  <c r="BV14" i="36"/>
  <c r="BW14" i="36"/>
  <c r="BX14" i="36"/>
  <c r="BY14" i="36"/>
  <c r="BZ14" i="36"/>
  <c r="CA14" i="36"/>
  <c r="CB14" i="36"/>
  <c r="CC14" i="36"/>
  <c r="BT15" i="36"/>
  <c r="BU15" i="36"/>
  <c r="BV15" i="36"/>
  <c r="BW15" i="36"/>
  <c r="BX15" i="36"/>
  <c r="BY15" i="36"/>
  <c r="BZ15" i="36"/>
  <c r="CA15" i="36"/>
  <c r="CB15" i="36"/>
  <c r="CC15" i="36"/>
  <c r="BT16" i="36"/>
  <c r="BU16" i="36"/>
  <c r="BV16" i="36"/>
  <c r="BW16" i="36"/>
  <c r="BX16" i="36"/>
  <c r="BY16" i="36"/>
  <c r="BZ16" i="36"/>
  <c r="CA16" i="36"/>
  <c r="CB16" i="36"/>
  <c r="CC16" i="36"/>
  <c r="BT17" i="36"/>
  <c r="BU17" i="36"/>
  <c r="BV17" i="36"/>
  <c r="BW17" i="36"/>
  <c r="BX17" i="36"/>
  <c r="BY17" i="36"/>
  <c r="BZ17" i="36"/>
  <c r="CA17" i="36"/>
  <c r="CB17" i="36"/>
  <c r="CC17" i="36"/>
  <c r="BT18" i="36"/>
  <c r="BU18" i="36"/>
  <c r="BV18" i="36"/>
  <c r="BW18" i="36"/>
  <c r="BX18" i="36"/>
  <c r="BY18" i="36"/>
  <c r="BZ18" i="36"/>
  <c r="CA18" i="36"/>
  <c r="CB18" i="36"/>
  <c r="CC18" i="36"/>
  <c r="BT19" i="36"/>
  <c r="BU19" i="36"/>
  <c r="BV19" i="36"/>
  <c r="BW19" i="36"/>
  <c r="BX19" i="36"/>
  <c r="BY19" i="36"/>
  <c r="BZ19" i="36"/>
  <c r="CA19" i="36"/>
  <c r="CC19" i="36"/>
  <c r="BT20" i="36"/>
  <c r="BU20" i="36"/>
  <c r="BV20" i="36"/>
  <c r="BW20" i="36"/>
  <c r="BX20" i="36"/>
  <c r="BY20" i="36"/>
  <c r="BZ20" i="36"/>
  <c r="CA20" i="36"/>
  <c r="CB20" i="36"/>
  <c r="CC20" i="36"/>
  <c r="BS21" i="36"/>
  <c r="BT21" i="36"/>
  <c r="BU21" i="36"/>
  <c r="BV21" i="36"/>
  <c r="BW21" i="36"/>
  <c r="BX21" i="36"/>
  <c r="BY21" i="36"/>
  <c r="BZ21" i="36"/>
  <c r="CA21" i="36"/>
  <c r="CB21" i="36"/>
  <c r="CC21" i="36"/>
  <c r="BS22" i="36"/>
  <c r="BT22" i="36"/>
  <c r="BU22" i="36"/>
  <c r="BV22" i="36"/>
  <c r="BW22" i="36"/>
  <c r="BX22" i="36"/>
  <c r="BY22" i="36"/>
  <c r="BZ22" i="36"/>
  <c r="CA22" i="36"/>
  <c r="CB22" i="36"/>
  <c r="CC22" i="36"/>
  <c r="BS23" i="36"/>
  <c r="BT23" i="36"/>
  <c r="BU23" i="36"/>
  <c r="BV23" i="36"/>
  <c r="BW23" i="36"/>
  <c r="BX23" i="36"/>
  <c r="BY23" i="36"/>
  <c r="BZ23" i="36"/>
  <c r="CA23" i="36"/>
  <c r="CB23" i="36"/>
  <c r="CC23" i="36"/>
  <c r="BS24" i="36"/>
  <c r="BT24" i="36"/>
  <c r="BV24" i="36"/>
  <c r="BW24" i="36"/>
  <c r="BX24" i="36"/>
  <c r="BY24" i="36"/>
  <c r="BZ24" i="36"/>
  <c r="CA24" i="36"/>
  <c r="CC24" i="36"/>
  <c r="BU25" i="36"/>
  <c r="BV25" i="36"/>
  <c r="BW25" i="36"/>
  <c r="BX25" i="36"/>
  <c r="BY25" i="36"/>
  <c r="BZ25" i="36"/>
  <c r="CA25" i="36"/>
  <c r="CC25" i="36"/>
  <c r="BS26" i="36"/>
  <c r="BT26" i="36"/>
  <c r="BU26" i="36"/>
  <c r="BV26" i="36"/>
  <c r="BW26" i="36"/>
  <c r="BX26" i="36"/>
  <c r="BY26" i="36"/>
  <c r="BZ26" i="36"/>
  <c r="CA26" i="36"/>
  <c r="CC26" i="36"/>
  <c r="BS27" i="36"/>
  <c r="BT27" i="36"/>
  <c r="BU27" i="36"/>
  <c r="BV27" i="36"/>
  <c r="BW27" i="36"/>
  <c r="BX27" i="36"/>
  <c r="BY27" i="36"/>
  <c r="BZ27" i="36"/>
  <c r="CA27" i="36"/>
  <c r="CB27" i="36"/>
  <c r="CC27" i="36"/>
  <c r="BS28" i="36"/>
  <c r="BT28" i="36"/>
  <c r="BU28" i="36"/>
  <c r="BV28" i="36"/>
  <c r="BW28" i="36"/>
  <c r="BX28" i="36"/>
  <c r="BY28" i="36"/>
  <c r="BZ28" i="36"/>
  <c r="CA28" i="36"/>
  <c r="CB28" i="36"/>
  <c r="CC28" i="36"/>
  <c r="BS29" i="36"/>
  <c r="BT29" i="36"/>
  <c r="BU29" i="36"/>
  <c r="BV29" i="36"/>
  <c r="BW29" i="36"/>
  <c r="BX29" i="36"/>
  <c r="BY29" i="36"/>
  <c r="BZ29" i="36"/>
  <c r="CA29" i="36"/>
  <c r="CB29" i="36"/>
  <c r="CC29" i="36"/>
  <c r="BS30" i="36"/>
  <c r="BT30" i="36"/>
  <c r="BU30" i="36"/>
  <c r="BV30" i="36"/>
  <c r="BW30" i="36"/>
  <c r="BX30" i="36"/>
  <c r="BY30" i="36"/>
  <c r="BZ30" i="36"/>
  <c r="CA30" i="36"/>
  <c r="CB30" i="36"/>
  <c r="CC30" i="36"/>
  <c r="BS31" i="36"/>
  <c r="BT31" i="36"/>
  <c r="BU31" i="36"/>
  <c r="BV31" i="36"/>
  <c r="BW31" i="36"/>
  <c r="BX31" i="36"/>
  <c r="BY31" i="36"/>
  <c r="BZ31" i="36"/>
  <c r="CA31" i="36"/>
  <c r="CC31" i="36"/>
  <c r="BS32" i="36"/>
  <c r="BT32" i="36"/>
  <c r="BU32" i="36"/>
  <c r="BV32" i="36"/>
  <c r="BW32" i="36"/>
  <c r="BX32" i="36"/>
  <c r="BY32" i="36"/>
  <c r="BZ32" i="36"/>
  <c r="CA32" i="36"/>
  <c r="CB32" i="36"/>
  <c r="CC32" i="36"/>
  <c r="BS33" i="36"/>
  <c r="BT33" i="36"/>
  <c r="BU33" i="36"/>
  <c r="BV33" i="36"/>
  <c r="BW33" i="36"/>
  <c r="BX33" i="36"/>
  <c r="BY33" i="36"/>
  <c r="BZ33" i="36"/>
  <c r="CA33" i="36"/>
  <c r="CC33" i="36"/>
  <c r="BS34" i="36"/>
  <c r="BT34" i="36"/>
  <c r="BU34" i="36"/>
  <c r="BV34" i="36"/>
  <c r="BW34" i="36"/>
  <c r="BX34" i="36"/>
  <c r="BY34" i="36"/>
  <c r="BZ34" i="36"/>
  <c r="CA34" i="36"/>
  <c r="CB34" i="36"/>
  <c r="CC34" i="36"/>
  <c r="BS35" i="36"/>
  <c r="BT35" i="36"/>
  <c r="BU35" i="36"/>
  <c r="BV35" i="36"/>
  <c r="BW35" i="36"/>
  <c r="BX35" i="36"/>
  <c r="BY35" i="36"/>
  <c r="BZ35" i="36"/>
  <c r="CA35" i="36"/>
  <c r="CB35" i="36"/>
  <c r="CC35" i="36"/>
  <c r="BS36" i="36"/>
  <c r="BT36" i="36"/>
  <c r="BU36" i="36"/>
  <c r="BV36" i="36"/>
  <c r="BW36" i="36"/>
  <c r="BX36" i="36"/>
  <c r="BY36" i="36"/>
  <c r="BZ36" i="36"/>
  <c r="CA36" i="36"/>
  <c r="CB36" i="36"/>
  <c r="CC36" i="36"/>
  <c r="BS37" i="36"/>
  <c r="BT37" i="36"/>
  <c r="BU37" i="36"/>
  <c r="BV37" i="36"/>
  <c r="BW37" i="36"/>
  <c r="BX37" i="36"/>
  <c r="BY37" i="36"/>
  <c r="BZ37" i="36"/>
  <c r="CA37" i="36"/>
  <c r="CB37" i="36"/>
  <c r="CC37" i="36"/>
  <c r="BS38" i="36"/>
  <c r="BT38" i="36"/>
  <c r="BU38" i="36"/>
  <c r="BV38" i="36"/>
  <c r="BW38" i="36"/>
  <c r="BX38" i="36"/>
  <c r="BY38" i="36"/>
  <c r="BZ38" i="36"/>
  <c r="CA38" i="36"/>
  <c r="CC38" i="36"/>
  <c r="BS39" i="36"/>
  <c r="BT39" i="36"/>
  <c r="BU39" i="36"/>
  <c r="BV39" i="36"/>
  <c r="BW39" i="36"/>
  <c r="BX39" i="36"/>
  <c r="BY39" i="36"/>
  <c r="BZ39" i="36"/>
  <c r="CA39" i="36"/>
  <c r="CB39" i="36"/>
  <c r="CC39" i="36"/>
  <c r="BT9" i="36"/>
  <c r="BU9" i="36"/>
  <c r="BV9" i="36"/>
  <c r="BW9" i="36"/>
  <c r="BX9" i="36"/>
  <c r="BY9" i="36"/>
  <c r="BZ9" i="36"/>
  <c r="CA9" i="36"/>
  <c r="CB9" i="36"/>
  <c r="CC9" i="36"/>
  <c r="BS9" i="36"/>
  <c r="CZ37" i="36"/>
  <c r="DD37" i="36"/>
  <c r="DH37" i="36"/>
  <c r="DI37" i="36" s="1"/>
  <c r="AX37" i="36" s="1"/>
  <c r="BC37" i="36"/>
  <c r="BC36" i="77"/>
  <c r="BC128" i="77" s="1"/>
  <c r="CZ38" i="36"/>
  <c r="DD38" i="36"/>
  <c r="DH38" i="36"/>
  <c r="DI38" i="36" s="1"/>
  <c r="AX38" i="36" s="1"/>
  <c r="BC38" i="36"/>
  <c r="BC37" i="77"/>
  <c r="BC129" i="77" s="1"/>
  <c r="CZ39" i="36"/>
  <c r="DD39" i="36"/>
  <c r="DH39" i="36"/>
  <c r="DI39" i="36" s="1"/>
  <c r="AX39" i="36" s="1"/>
  <c r="BC38" i="77"/>
  <c r="BC130" i="77" s="1"/>
  <c r="K39" i="36"/>
  <c r="Y37" i="36"/>
  <c r="AC37" i="36"/>
  <c r="BB37" i="36"/>
  <c r="BD37" i="36"/>
  <c r="Y38" i="36"/>
  <c r="AC38" i="36"/>
  <c r="BB38" i="36"/>
  <c r="BD38" i="36"/>
  <c r="Y39" i="36"/>
  <c r="AC39" i="36"/>
  <c r="BB39" i="36"/>
  <c r="BC39" i="36"/>
  <c r="BD39" i="36"/>
  <c r="B37" i="150"/>
  <c r="C37" i="150"/>
  <c r="D37" i="150"/>
  <c r="H37" i="150"/>
  <c r="I37" i="150"/>
  <c r="J37" i="150"/>
  <c r="K37" i="150"/>
  <c r="L37" i="150"/>
  <c r="M37" i="150"/>
  <c r="AW37" i="150"/>
  <c r="AX37" i="150"/>
  <c r="AY37" i="150" s="1"/>
  <c r="BA37" i="150"/>
  <c r="BB37" i="150"/>
  <c r="BC37" i="150"/>
  <c r="BD37" i="150"/>
  <c r="BJ37" i="150"/>
  <c r="BN37" i="150"/>
  <c r="BY37" i="150"/>
  <c r="BZ37" i="150" s="1"/>
  <c r="CB37" i="150"/>
  <c r="B38" i="150"/>
  <c r="C38" i="150"/>
  <c r="D38" i="150"/>
  <c r="H38" i="150"/>
  <c r="I38" i="150"/>
  <c r="J38" i="150"/>
  <c r="K38" i="150"/>
  <c r="L38" i="150"/>
  <c r="M38" i="150"/>
  <c r="AW38" i="150"/>
  <c r="AX38" i="150"/>
  <c r="AY38" i="150" s="1"/>
  <c r="BA38" i="150"/>
  <c r="BB38" i="150"/>
  <c r="BC38" i="150"/>
  <c r="BD38" i="150"/>
  <c r="BJ38" i="150"/>
  <c r="BN38" i="150"/>
  <c r="C35" i="111"/>
  <c r="BY38" i="150"/>
  <c r="CB38" i="150"/>
  <c r="B39" i="150"/>
  <c r="C39" i="150"/>
  <c r="D39" i="150"/>
  <c r="H39" i="150"/>
  <c r="I39" i="150"/>
  <c r="J39" i="150"/>
  <c r="K39" i="150"/>
  <c r="L39" i="150"/>
  <c r="M39" i="150"/>
  <c r="AW39" i="150"/>
  <c r="AX39" i="150"/>
  <c r="AY39" i="150" s="1"/>
  <c r="BA39" i="150"/>
  <c r="BB39" i="150"/>
  <c r="BC39" i="150"/>
  <c r="BD39" i="150"/>
  <c r="BJ39" i="150"/>
  <c r="BN39" i="150"/>
  <c r="C36" i="111"/>
  <c r="BY39" i="150"/>
  <c r="BZ39" i="150" s="1"/>
  <c r="CA39" i="150" s="1"/>
  <c r="CB39" i="150"/>
  <c r="N40" i="111"/>
  <c r="K36" i="158"/>
  <c r="L36" i="158"/>
  <c r="AU36" i="158"/>
  <c r="K37" i="158"/>
  <c r="L37" i="158"/>
  <c r="AU37" i="158"/>
  <c r="K38" i="158"/>
  <c r="L38" i="158"/>
  <c r="AU38" i="158"/>
  <c r="AF71" i="161"/>
  <c r="AG71" i="161" s="1"/>
  <c r="AF72" i="161"/>
  <c r="AG72" i="161" s="1"/>
  <c r="AF73" i="161"/>
  <c r="AG73" i="161"/>
  <c r="AC71" i="161"/>
  <c r="AD71" i="161" s="1"/>
  <c r="AC72" i="161"/>
  <c r="AD72" i="161" s="1"/>
  <c r="AC73" i="161"/>
  <c r="AD73" i="161" s="1"/>
  <c r="EI36" i="158"/>
  <c r="CP37" i="36" s="1"/>
  <c r="EJ36" i="158"/>
  <c r="CQ37" i="36" s="1"/>
  <c r="EK36" i="158"/>
  <c r="CR37" i="36" s="1"/>
  <c r="EL36" i="158"/>
  <c r="CS37" i="36" s="1"/>
  <c r="EI37" i="158"/>
  <c r="CP38" i="36" s="1"/>
  <c r="EJ37" i="158"/>
  <c r="CQ38" i="36" s="1"/>
  <c r="EK37" i="158"/>
  <c r="CR38" i="36" s="1"/>
  <c r="EL37" i="158"/>
  <c r="CS38" i="36" s="1"/>
  <c r="CP39" i="36"/>
  <c r="CQ39" i="36"/>
  <c r="CR39" i="36"/>
  <c r="CS39" i="36"/>
  <c r="CX36" i="158"/>
  <c r="CY36" i="158"/>
  <c r="CZ36" i="158"/>
  <c r="DA36" i="158"/>
  <c r="CX37" i="158"/>
  <c r="CY37" i="158"/>
  <c r="CZ37" i="158"/>
  <c r="DA37" i="158"/>
  <c r="CX38" i="158"/>
  <c r="CY38" i="158"/>
  <c r="CZ38" i="158"/>
  <c r="DA38" i="158"/>
  <c r="B37" i="148"/>
  <c r="AN37" i="148"/>
  <c r="AM37" i="148" s="1"/>
  <c r="AO37" i="148"/>
  <c r="AP37" i="148"/>
  <c r="AQ37" i="148"/>
  <c r="AR37" i="148"/>
  <c r="AS37" i="148"/>
  <c r="AX37" i="148"/>
  <c r="AY37" i="148"/>
  <c r="AZ37" i="148" s="1"/>
  <c r="BB37" i="148"/>
  <c r="BC37" i="148"/>
  <c r="BD37" i="148"/>
  <c r="BE37" i="148"/>
  <c r="BK37" i="148"/>
  <c r="BM37" i="148"/>
  <c r="BQ37" i="148"/>
  <c r="BU37" i="148"/>
  <c r="BY37" i="148"/>
  <c r="CD37" i="148" s="1"/>
  <c r="CE37" i="148"/>
  <c r="CF37" i="148" s="1"/>
  <c r="CG37" i="148" s="1"/>
  <c r="CH37" i="148"/>
  <c r="B38" i="148"/>
  <c r="AN38" i="148"/>
  <c r="AM38" i="148" s="1"/>
  <c r="AO38" i="148"/>
  <c r="AP38" i="148"/>
  <c r="AQ38" i="148"/>
  <c r="AR38" i="148"/>
  <c r="AS38" i="148"/>
  <c r="AX38" i="148"/>
  <c r="AY38" i="148"/>
  <c r="AZ38" i="148" s="1"/>
  <c r="BB38" i="148"/>
  <c r="BC38" i="148"/>
  <c r="BD38" i="148"/>
  <c r="BE38" i="148"/>
  <c r="BK38" i="148"/>
  <c r="BM38" i="148"/>
  <c r="BQ38" i="148"/>
  <c r="BU38" i="148"/>
  <c r="BY38" i="148"/>
  <c r="CD38" i="148" s="1"/>
  <c r="CE38" i="148"/>
  <c r="CF38" i="148" s="1"/>
  <c r="CH38" i="148"/>
  <c r="B39" i="148"/>
  <c r="AN39" i="148"/>
  <c r="AM39" i="148" s="1"/>
  <c r="AO39" i="148"/>
  <c r="AP39" i="148"/>
  <c r="AQ39" i="148"/>
  <c r="AR39" i="148"/>
  <c r="AS39" i="148"/>
  <c r="AX39" i="148"/>
  <c r="AY39" i="148"/>
  <c r="AZ39" i="148" s="1"/>
  <c r="BB39" i="148"/>
  <c r="BC39" i="148"/>
  <c r="BD39" i="148"/>
  <c r="BE39" i="148"/>
  <c r="BK39" i="148"/>
  <c r="BM39" i="148"/>
  <c r="BQ39" i="148"/>
  <c r="BU39" i="148"/>
  <c r="BY39" i="148"/>
  <c r="CD39" i="148" s="1"/>
  <c r="CE39" i="148"/>
  <c r="CF39" i="148" s="1"/>
  <c r="CG39" i="148" s="1"/>
  <c r="CH39" i="148"/>
  <c r="F34" i="161"/>
  <c r="N71" i="161" s="1"/>
  <c r="C37" i="36" s="1"/>
  <c r="G34" i="161"/>
  <c r="H34" i="161"/>
  <c r="I34" i="161"/>
  <c r="E34" i="161" s="1"/>
  <c r="R37" i="36" s="1"/>
  <c r="S37" i="36" s="1"/>
  <c r="J34" i="161"/>
  <c r="GK36" i="158" s="1"/>
  <c r="K34" i="161"/>
  <c r="GO36" i="158" s="1"/>
  <c r="L34" i="161"/>
  <c r="M34" i="161"/>
  <c r="N34" i="161"/>
  <c r="O34" i="161"/>
  <c r="R34" i="161"/>
  <c r="T34" i="161"/>
  <c r="U34" i="161"/>
  <c r="V34" i="161"/>
  <c r="GS36" i="158" s="1"/>
  <c r="GT36" i="158" s="1"/>
  <c r="W34" i="161"/>
  <c r="Y34" i="161"/>
  <c r="Z34" i="161"/>
  <c r="AA34" i="161"/>
  <c r="AB34" i="161"/>
  <c r="AC34" i="161"/>
  <c r="AD34" i="161"/>
  <c r="AE34" i="161"/>
  <c r="AF34" i="161"/>
  <c r="AG34" i="161"/>
  <c r="AH34" i="161"/>
  <c r="AI34" i="161"/>
  <c r="GW36" i="158" s="1"/>
  <c r="AM34" i="161"/>
  <c r="F35" i="161"/>
  <c r="N72" i="161" s="1"/>
  <c r="G35" i="161"/>
  <c r="H35" i="161"/>
  <c r="I35" i="161"/>
  <c r="E35" i="161" s="1"/>
  <c r="W37" i="158" s="1"/>
  <c r="J35" i="161"/>
  <c r="BE37" i="158" s="1"/>
  <c r="BF37" i="158" s="1"/>
  <c r="K35" i="161"/>
  <c r="BG37" i="158" s="1"/>
  <c r="BH37" i="158" s="1"/>
  <c r="L35" i="161"/>
  <c r="M35" i="161"/>
  <c r="N35" i="161"/>
  <c r="O35" i="161"/>
  <c r="R35" i="161"/>
  <c r="T35" i="161"/>
  <c r="U35" i="161"/>
  <c r="V35" i="161"/>
  <c r="BI37" i="158" s="1"/>
  <c r="W35" i="161"/>
  <c r="Y35" i="161"/>
  <c r="Z35" i="161"/>
  <c r="AA35" i="161"/>
  <c r="AB35" i="161"/>
  <c r="AC35" i="161"/>
  <c r="AD35" i="161"/>
  <c r="AE35" i="161"/>
  <c r="AF35" i="161"/>
  <c r="AG35" i="161"/>
  <c r="AH35" i="161"/>
  <c r="AI35" i="161"/>
  <c r="GW37" i="158" s="1"/>
  <c r="AM35" i="161"/>
  <c r="F36" i="161"/>
  <c r="N73" i="161" s="1"/>
  <c r="G36" i="161"/>
  <c r="H36" i="161"/>
  <c r="I36" i="161"/>
  <c r="E36" i="161" s="1"/>
  <c r="R39" i="36" s="1"/>
  <c r="J36" i="161"/>
  <c r="BE38" i="158" s="1"/>
  <c r="BF38" i="158" s="1"/>
  <c r="K36" i="161"/>
  <c r="BG38" i="158" s="1"/>
  <c r="BH38" i="158" s="1"/>
  <c r="L36" i="161"/>
  <c r="M36" i="161"/>
  <c r="N36" i="161"/>
  <c r="O36" i="161"/>
  <c r="R36" i="161"/>
  <c r="T36" i="161"/>
  <c r="U36" i="161"/>
  <c r="V36" i="161"/>
  <c r="BI38" i="158" s="1"/>
  <c r="W36" i="161"/>
  <c r="Y36" i="161"/>
  <c r="Z36" i="161"/>
  <c r="AA36" i="161"/>
  <c r="AB36" i="161"/>
  <c r="AC36" i="161"/>
  <c r="AD36" i="161"/>
  <c r="AE36" i="161"/>
  <c r="AF36" i="161"/>
  <c r="AG36" i="161"/>
  <c r="AH36" i="161"/>
  <c r="AI36" i="161"/>
  <c r="BK38" i="158" s="1"/>
  <c r="AM36" i="161"/>
  <c r="B7" i="151"/>
  <c r="B8" i="151" s="1"/>
  <c r="B9" i="151" s="1"/>
  <c r="B10" i="151" s="1"/>
  <c r="B11" i="151" s="1"/>
  <c r="B12" i="151" s="1"/>
  <c r="B13" i="151" s="1"/>
  <c r="B14" i="151" s="1"/>
  <c r="B15" i="151" s="1"/>
  <c r="B16" i="151" s="1"/>
  <c r="B17" i="151" s="1"/>
  <c r="B18" i="151" s="1"/>
  <c r="B19" i="151" s="1"/>
  <c r="B20" i="151" s="1"/>
  <c r="B21" i="151" s="1"/>
  <c r="B22" i="151" s="1"/>
  <c r="B23" i="151" s="1"/>
  <c r="B24" i="151" s="1"/>
  <c r="B25" i="151" s="1"/>
  <c r="B26" i="151" s="1"/>
  <c r="B27" i="151" s="1"/>
  <c r="B28" i="151" s="1"/>
  <c r="B29" i="151" s="1"/>
  <c r="B30" i="151" s="1"/>
  <c r="B31" i="151" s="1"/>
  <c r="B32" i="151" s="1"/>
  <c r="A34" i="161"/>
  <c r="A35" i="161"/>
  <c r="A36" i="161"/>
  <c r="A4" i="149"/>
  <c r="A5" i="149" s="1"/>
  <c r="A6" i="149" s="1"/>
  <c r="A7" i="149" s="1"/>
  <c r="A8" i="149" s="1"/>
  <c r="A9" i="149" s="1"/>
  <c r="A10" i="149" s="1"/>
  <c r="A11" i="149" s="1"/>
  <c r="A12" i="149" s="1"/>
  <c r="A13" i="149" s="1"/>
  <c r="A14" i="149" s="1"/>
  <c r="A15" i="149" s="1"/>
  <c r="A16" i="149" s="1"/>
  <c r="A17" i="149" s="1"/>
  <c r="A18" i="149" s="1"/>
  <c r="A19" i="149" s="1"/>
  <c r="A20" i="149" s="1"/>
  <c r="A21" i="149" s="1"/>
  <c r="A22" i="149" s="1"/>
  <c r="A23" i="149" s="1"/>
  <c r="A24" i="149" s="1"/>
  <c r="A25" i="149" s="1"/>
  <c r="A26" i="149" s="1"/>
  <c r="A27" i="149" s="1"/>
  <c r="A28" i="149" s="1"/>
  <c r="A29" i="149" s="1"/>
  <c r="A30" i="149" s="1"/>
  <c r="A31" i="149" s="1"/>
  <c r="A32" i="149" s="1"/>
  <c r="A3" i="149"/>
  <c r="B40" i="123"/>
  <c r="B41" i="123" s="1"/>
  <c r="B42" i="123" s="1"/>
  <c r="B37" i="18"/>
  <c r="B38" i="18" s="1"/>
  <c r="B39" i="18" s="1"/>
  <c r="L16" i="163"/>
  <c r="H29" i="163"/>
  <c r="H28" i="163"/>
  <c r="H26" i="163"/>
  <c r="H25" i="163"/>
  <c r="H23" i="163"/>
  <c r="H22" i="163"/>
  <c r="H21" i="163"/>
  <c r="H20" i="163"/>
  <c r="H18" i="163"/>
  <c r="H17" i="163"/>
  <c r="H16" i="163"/>
  <c r="H15" i="163"/>
  <c r="H14" i="163"/>
  <c r="H13" i="163"/>
  <c r="H12" i="163"/>
  <c r="H11" i="163"/>
  <c r="H10" i="163"/>
  <c r="H8" i="163"/>
  <c r="H7" i="163"/>
  <c r="H6" i="163"/>
  <c r="H5" i="163"/>
  <c r="E18" i="163"/>
  <c r="J18" i="155"/>
  <c r="E17" i="163"/>
  <c r="E12" i="163"/>
  <c r="J17" i="155"/>
  <c r="J32" i="155"/>
  <c r="J31" i="155"/>
  <c r="J29" i="155"/>
  <c r="J28" i="155"/>
  <c r="J27" i="155"/>
  <c r="J26" i="155"/>
  <c r="J25" i="155"/>
  <c r="J23" i="155"/>
  <c r="J22" i="155"/>
  <c r="J21" i="155"/>
  <c r="J20" i="155"/>
  <c r="J16" i="155"/>
  <c r="J15" i="155"/>
  <c r="J14" i="155"/>
  <c r="J13" i="155"/>
  <c r="J12" i="155"/>
  <c r="J11" i="155"/>
  <c r="J10" i="155"/>
  <c r="J8" i="155"/>
  <c r="J7" i="155"/>
  <c r="J6" i="155"/>
  <c r="J5" i="155"/>
  <c r="F18" i="155"/>
  <c r="AB1" i="155"/>
  <c r="C18" i="155"/>
  <c r="C87" i="155"/>
  <c r="C75" i="155"/>
  <c r="C63" i="155"/>
  <c r="C51" i="155"/>
  <c r="F35" i="150" l="1"/>
  <c r="D50" i="150"/>
  <c r="F36" i="150"/>
  <c r="D51" i="150"/>
  <c r="F37" i="150"/>
  <c r="D52" i="150"/>
  <c r="F38" i="150"/>
  <c r="D53" i="150"/>
  <c r="F39" i="150"/>
  <c r="D54" i="150"/>
  <c r="F28" i="150"/>
  <c r="D43" i="150"/>
  <c r="F29" i="150"/>
  <c r="D44" i="150"/>
  <c r="F30" i="150"/>
  <c r="D45" i="150"/>
  <c r="F31" i="150"/>
  <c r="D46" i="150"/>
  <c r="F32" i="150"/>
  <c r="D47" i="150"/>
  <c r="F33" i="150"/>
  <c r="D48" i="150"/>
  <c r="F34" i="150"/>
  <c r="D49" i="150"/>
  <c r="IH38" i="158"/>
  <c r="N34" i="177"/>
  <c r="IH37" i="158"/>
  <c r="N33" i="177"/>
  <c r="IH36" i="158"/>
  <c r="N32" i="177"/>
  <c r="P37" i="150"/>
  <c r="AH34" i="111" s="1"/>
  <c r="AI34" i="111" s="1"/>
  <c r="AJ34" i="111" s="1"/>
  <c r="AM34" i="111" s="1"/>
  <c r="P39" i="150"/>
  <c r="AH36" i="111" s="1"/>
  <c r="AI36" i="111" s="1"/>
  <c r="AJ36" i="111" s="1"/>
  <c r="AM36" i="111" s="1"/>
  <c r="P38" i="150"/>
  <c r="AH35" i="111" s="1"/>
  <c r="AI35" i="111" s="1"/>
  <c r="AJ35" i="111" s="1"/>
  <c r="AM35" i="111" s="1"/>
  <c r="K38" i="36"/>
  <c r="AV37" i="36"/>
  <c r="AW38" i="36"/>
  <c r="F38" i="148"/>
  <c r="R38" i="148" s="1"/>
  <c r="S38" i="148" s="1"/>
  <c r="F37" i="148"/>
  <c r="R37" i="148" s="1"/>
  <c r="S37" i="148" s="1"/>
  <c r="S39" i="36"/>
  <c r="X37" i="158"/>
  <c r="AW39" i="36"/>
  <c r="K37" i="36"/>
  <c r="BF38" i="148"/>
  <c r="BX38" i="148" s="1"/>
  <c r="BZ38" i="148" s="1"/>
  <c r="BI38" i="148"/>
  <c r="B35" i="161" s="1"/>
  <c r="N37" i="158" s="1"/>
  <c r="AL38" i="158" s="1"/>
  <c r="AT38" i="148"/>
  <c r="W36" i="158"/>
  <c r="W38" i="158"/>
  <c r="Y38" i="158" s="1"/>
  <c r="BI39" i="148"/>
  <c r="AT39" i="148"/>
  <c r="BF37" i="148"/>
  <c r="BX37" i="148" s="1"/>
  <c r="BZ37" i="148" s="1"/>
  <c r="BI37" i="148"/>
  <c r="B34" i="161" s="1"/>
  <c r="N36" i="158" s="1"/>
  <c r="AL37" i="158" s="1"/>
  <c r="CA37" i="150"/>
  <c r="R39" i="150"/>
  <c r="S39" i="150" s="1"/>
  <c r="R38" i="150"/>
  <c r="S38" i="150" s="1"/>
  <c r="R37" i="150"/>
  <c r="S37" i="150" s="1"/>
  <c r="AW37" i="36"/>
  <c r="AV38" i="36"/>
  <c r="BZ38" i="150"/>
  <c r="CA38" i="150" s="1"/>
  <c r="CC38" i="150" s="1"/>
  <c r="AV39" i="36"/>
  <c r="BE37" i="150"/>
  <c r="BU37" i="150" s="1"/>
  <c r="CC39" i="150"/>
  <c r="BF38" i="150"/>
  <c r="BV38" i="150" s="1"/>
  <c r="BF39" i="150"/>
  <c r="BV39" i="150" s="1"/>
  <c r="BF37" i="150"/>
  <c r="BV37" i="150" s="1"/>
  <c r="AS39" i="150"/>
  <c r="CC37" i="150"/>
  <c r="BK37" i="158"/>
  <c r="BK36" i="158"/>
  <c r="CI37" i="148"/>
  <c r="GW38" i="158"/>
  <c r="CI39" i="148"/>
  <c r="AT37" i="148"/>
  <c r="AU37" i="148"/>
  <c r="AU38" i="148"/>
  <c r="AU39" i="148"/>
  <c r="BJ38" i="158"/>
  <c r="BJ37" i="158"/>
  <c r="BI36" i="158"/>
  <c r="GS38" i="158"/>
  <c r="GT38" i="158" s="1"/>
  <c r="GS37" i="158"/>
  <c r="GT37" i="158" s="1"/>
  <c r="BJ39" i="148"/>
  <c r="C38" i="36"/>
  <c r="C37" i="158"/>
  <c r="C39" i="36"/>
  <c r="C38" i="158"/>
  <c r="BF39" i="148"/>
  <c r="BX39" i="148" s="1"/>
  <c r="BZ39" i="148" s="1"/>
  <c r="BH38" i="148"/>
  <c r="BG36" i="158"/>
  <c r="BH36" i="158" s="1"/>
  <c r="GO37" i="158"/>
  <c r="R38" i="36"/>
  <c r="S38" i="36" s="1"/>
  <c r="BE36" i="158"/>
  <c r="BF36" i="158" s="1"/>
  <c r="GK37" i="158"/>
  <c r="BJ38" i="148"/>
  <c r="C36" i="158"/>
  <c r="GO38" i="158"/>
  <c r="BG38" i="148"/>
  <c r="GK38" i="158"/>
  <c r="BJ37" i="148"/>
  <c r="AH72" i="161"/>
  <c r="AH73" i="161"/>
  <c r="AH71" i="161"/>
  <c r="AT39" i="150"/>
  <c r="AT37" i="150"/>
  <c r="AS37" i="150"/>
  <c r="AT38" i="150"/>
  <c r="AS38" i="150"/>
  <c r="F39" i="148"/>
  <c r="T37" i="36"/>
  <c r="T39" i="36"/>
  <c r="BG39" i="150"/>
  <c r="B36" i="111" s="1"/>
  <c r="BG38" i="150"/>
  <c r="B35" i="111" s="1"/>
  <c r="BG37" i="150"/>
  <c r="B34" i="111" s="1"/>
  <c r="BE39" i="150"/>
  <c r="BU39" i="150" s="1"/>
  <c r="BE38" i="150"/>
  <c r="BU38" i="150" s="1"/>
  <c r="Y37" i="158"/>
  <c r="BH39" i="148"/>
  <c r="BH37" i="148"/>
  <c r="B36" i="161"/>
  <c r="N38" i="158" s="1"/>
  <c r="BG39" i="148"/>
  <c r="CG38" i="148"/>
  <c r="CI38" i="148" s="1"/>
  <c r="BG37" i="148"/>
  <c r="AA137" i="155"/>
  <c r="X133" i="155"/>
  <c r="BW38" i="150" l="1"/>
  <c r="BW39" i="150"/>
  <c r="BW37" i="150"/>
  <c r="P38" i="148"/>
  <c r="Q38" i="148" s="1"/>
  <c r="BL38" i="148" s="1"/>
  <c r="BN38" i="148" s="1"/>
  <c r="P37" i="148"/>
  <c r="AY37" i="36" s="1"/>
  <c r="X38" i="158"/>
  <c r="X36" i="158"/>
  <c r="Y36" i="158"/>
  <c r="T38" i="36"/>
  <c r="R39" i="148"/>
  <c r="S39" i="148" s="1"/>
  <c r="P39" i="148"/>
  <c r="BJ36" i="158"/>
  <c r="M39" i="36"/>
  <c r="AG39" i="36" s="1"/>
  <c r="M37" i="36"/>
  <c r="AG37" i="36" s="1"/>
  <c r="M38" i="36"/>
  <c r="AG38" i="36" s="1"/>
  <c r="U39" i="36"/>
  <c r="U37" i="36"/>
  <c r="Z37" i="158"/>
  <c r="AL16" i="177"/>
  <c r="AK16" i="177"/>
  <c r="AJ16" i="177"/>
  <c r="AI16" i="177"/>
  <c r="AH16" i="177"/>
  <c r="AG16" i="177"/>
  <c r="AF16" i="177"/>
  <c r="AE16" i="177"/>
  <c r="AE13" i="177"/>
  <c r="AE10" i="177"/>
  <c r="B5" i="177"/>
  <c r="B6" i="177" s="1"/>
  <c r="B7" i="177" s="1"/>
  <c r="A5" i="177"/>
  <c r="A6" i="177" s="1"/>
  <c r="A7" i="177" s="1"/>
  <c r="A8" i="177" s="1"/>
  <c r="A9" i="177" s="1"/>
  <c r="A10" i="177" s="1"/>
  <c r="A11" i="177" s="1"/>
  <c r="A12" i="177" s="1"/>
  <c r="A13" i="177" s="1"/>
  <c r="A14" i="177" s="1"/>
  <c r="A15" i="177" s="1"/>
  <c r="A16" i="177" s="1"/>
  <c r="A17" i="177" s="1"/>
  <c r="A18" i="177" s="1"/>
  <c r="A19" i="177" s="1"/>
  <c r="A20" i="177" s="1"/>
  <c r="A21" i="177" s="1"/>
  <c r="A22" i="177" s="1"/>
  <c r="A23" i="177" s="1"/>
  <c r="A24" i="177" s="1"/>
  <c r="A25" i="177" s="1"/>
  <c r="A26" i="177" s="1"/>
  <c r="A27" i="177" s="1"/>
  <c r="A28" i="177" s="1"/>
  <c r="A29" i="177" s="1"/>
  <c r="A30" i="177" s="1"/>
  <c r="A31" i="177" s="1"/>
  <c r="A32" i="177" s="1"/>
  <c r="A33" i="177" s="1"/>
  <c r="A34" i="177" s="1"/>
  <c r="CB4" i="177"/>
  <c r="CF4" i="177" s="1"/>
  <c r="CJ4" i="177" s="1"/>
  <c r="CN4" i="177" s="1"/>
  <c r="CR4" i="177" s="1"/>
  <c r="B3" i="177"/>
  <c r="AJ39" i="36" l="1"/>
  <c r="AJ38" i="36"/>
  <c r="AJ35" i="161"/>
  <c r="AK35" i="161" s="1"/>
  <c r="AL35" i="161" s="1"/>
  <c r="T38" i="148"/>
  <c r="V38" i="148" s="1"/>
  <c r="X38" i="148" s="1"/>
  <c r="Z38" i="148" s="1"/>
  <c r="AA38" i="148" s="1"/>
  <c r="AB38" i="148" s="1"/>
  <c r="Z38" i="158"/>
  <c r="AJ36" i="161"/>
  <c r="AK36" i="161" s="1"/>
  <c r="AL36" i="161" s="1"/>
  <c r="Q39" i="148"/>
  <c r="BL39" i="148" s="1"/>
  <c r="BN39" i="148" s="1"/>
  <c r="T37" i="148"/>
  <c r="Q37" i="148"/>
  <c r="BL37" i="148" s="1"/>
  <c r="BN37" i="148" s="1"/>
  <c r="AJ34" i="161"/>
  <c r="AK34" i="161" s="1"/>
  <c r="Q37" i="150"/>
  <c r="BI37" i="150" s="1"/>
  <c r="BK37" i="150" s="1"/>
  <c r="Z36" i="158"/>
  <c r="U38" i="36"/>
  <c r="T37" i="150"/>
  <c r="T39" i="148"/>
  <c r="CB5" i="177"/>
  <c r="CF5" i="177" s="1"/>
  <c r="CJ5" i="177" s="1"/>
  <c r="CN5" i="177" s="1"/>
  <c r="CR5" i="177" s="1"/>
  <c r="CB6" i="177"/>
  <c r="CB7" i="177"/>
  <c r="B8" i="177"/>
  <c r="CW4" i="177"/>
  <c r="DA4" i="177" s="1"/>
  <c r="DE4" i="177" s="1"/>
  <c r="DI4" i="177" s="1"/>
  <c r="DM4" i="177" s="1"/>
  <c r="DQ4" i="177" s="1"/>
  <c r="DU4" i="177" s="1"/>
  <c r="CW5" i="177" l="1"/>
  <c r="DA5" i="177" s="1"/>
  <c r="DE5" i="177" s="1"/>
  <c r="DI5" i="177" s="1"/>
  <c r="DM5" i="177" s="1"/>
  <c r="DQ5" i="177" s="1"/>
  <c r="DU5" i="177" s="1"/>
  <c r="T38" i="150"/>
  <c r="AC38" i="150" s="1"/>
  <c r="AD38" i="150" s="1"/>
  <c r="E72" i="111" s="1"/>
  <c r="Q38" i="150"/>
  <c r="BI38" i="150" s="1"/>
  <c r="BK38" i="150" s="1"/>
  <c r="AY38" i="36"/>
  <c r="AX37" i="158"/>
  <c r="AC38" i="148"/>
  <c r="AD38" i="148" s="1"/>
  <c r="E72" i="161" s="1"/>
  <c r="BL37" i="158"/>
  <c r="AX38" i="158"/>
  <c r="AC37" i="148"/>
  <c r="AD37" i="148" s="1"/>
  <c r="E71" i="161" s="1"/>
  <c r="BL36" i="158"/>
  <c r="V37" i="148"/>
  <c r="AL34" i="161"/>
  <c r="AX36" i="158"/>
  <c r="AC37" i="150"/>
  <c r="AD37" i="150" s="1"/>
  <c r="E71" i="111" s="1"/>
  <c r="V37" i="150"/>
  <c r="Q39" i="150"/>
  <c r="BI39" i="150" s="1"/>
  <c r="BK39" i="150" s="1"/>
  <c r="T39" i="150"/>
  <c r="AC39" i="148"/>
  <c r="AD39" i="148" s="1"/>
  <c r="E73" i="161" s="1"/>
  <c r="V39" i="148"/>
  <c r="BL38" i="158"/>
  <c r="A72" i="161"/>
  <c r="CB8" i="177"/>
  <c r="B9" i="177"/>
  <c r="CW7" i="177"/>
  <c r="DA7" i="177" s="1"/>
  <c r="DE7" i="177" s="1"/>
  <c r="DI7" i="177" s="1"/>
  <c r="DM7" i="177" s="1"/>
  <c r="DQ7" i="177" s="1"/>
  <c r="DU7" i="177" s="1"/>
  <c r="CF7" i="177"/>
  <c r="CJ7" i="177" s="1"/>
  <c r="CN7" i="177" s="1"/>
  <c r="CR7" i="177" s="1"/>
  <c r="CW6" i="177"/>
  <c r="DA6" i="177" s="1"/>
  <c r="DE6" i="177" s="1"/>
  <c r="DI6" i="177" s="1"/>
  <c r="DM6" i="177" s="1"/>
  <c r="DQ6" i="177" s="1"/>
  <c r="DU6" i="177" s="1"/>
  <c r="CF6" i="177"/>
  <c r="CJ6" i="177" s="1"/>
  <c r="CN6" i="177" s="1"/>
  <c r="CR6" i="177" s="1"/>
  <c r="Z37" i="150" l="1"/>
  <c r="AA37" i="150" s="1"/>
  <c r="AB37" i="150" s="1"/>
  <c r="A71" i="111"/>
  <c r="AD71" i="111" s="1"/>
  <c r="V38" i="150"/>
  <c r="X37" i="148"/>
  <c r="Z37" i="148" s="1"/>
  <c r="AA37" i="148" s="1"/>
  <c r="AB37" i="148" s="1"/>
  <c r="A71" i="161"/>
  <c r="AY39" i="36"/>
  <c r="AC39" i="150"/>
  <c r="AD39" i="150" s="1"/>
  <c r="E73" i="111" s="1"/>
  <c r="V39" i="150"/>
  <c r="X39" i="148"/>
  <c r="Z39" i="148" s="1"/>
  <c r="AA39" i="148" s="1"/>
  <c r="AB39" i="148" s="1"/>
  <c r="A73" i="161"/>
  <c r="AJ72" i="161"/>
  <c r="B10" i="177"/>
  <c r="CB9" i="177"/>
  <c r="CF8" i="177"/>
  <c r="CJ8" i="177" s="1"/>
  <c r="CN8" i="177" s="1"/>
  <c r="CR8" i="177" s="1"/>
  <c r="CW8" i="177"/>
  <c r="DA8" i="177" s="1"/>
  <c r="DE8" i="177" s="1"/>
  <c r="DI8" i="177" s="1"/>
  <c r="DM8" i="177" s="1"/>
  <c r="DQ8" i="177" s="1"/>
  <c r="DU8" i="177" s="1"/>
  <c r="Z39" i="150" l="1"/>
  <c r="AA39" i="150" s="1"/>
  <c r="AB39" i="150" s="1"/>
  <c r="A73" i="111"/>
  <c r="AD73" i="111" s="1"/>
  <c r="Z38" i="150"/>
  <c r="AA38" i="150" s="1"/>
  <c r="AB38" i="150" s="1"/>
  <c r="A72" i="111"/>
  <c r="AD72" i="111" s="1"/>
  <c r="AE71" i="111"/>
  <c r="AF71" i="111"/>
  <c r="AJ71" i="161"/>
  <c r="AJ73" i="161"/>
  <c r="AK72" i="161"/>
  <c r="AN72" i="161" s="1"/>
  <c r="GI37" i="158" s="1"/>
  <c r="AL72" i="161"/>
  <c r="CF9" i="177"/>
  <c r="CJ9" i="177" s="1"/>
  <c r="CN9" i="177" s="1"/>
  <c r="CR9" i="177" s="1"/>
  <c r="CW9" i="177"/>
  <c r="DA9" i="177" s="1"/>
  <c r="DE9" i="177" s="1"/>
  <c r="DI9" i="177" s="1"/>
  <c r="DM9" i="177" s="1"/>
  <c r="DQ9" i="177" s="1"/>
  <c r="DU9" i="177" s="1"/>
  <c r="CB10" i="177"/>
  <c r="B11" i="177"/>
  <c r="AG71" i="111" l="1"/>
  <c r="AH71" i="111"/>
  <c r="DJ37" i="36" s="1"/>
  <c r="AE72" i="111"/>
  <c r="AF72" i="111"/>
  <c r="AE73" i="111"/>
  <c r="AH73" i="111" s="1"/>
  <c r="DJ39" i="36" s="1"/>
  <c r="AF73" i="111"/>
  <c r="AL71" i="161"/>
  <c r="AK71" i="161"/>
  <c r="AK73" i="161"/>
  <c r="AL73" i="161"/>
  <c r="AM72" i="161"/>
  <c r="AO72" i="161" s="1"/>
  <c r="AP72" i="161" s="1"/>
  <c r="B12" i="177"/>
  <c r="CB12" i="177" s="1"/>
  <c r="CB11" i="177"/>
  <c r="CF10" i="177"/>
  <c r="CJ10" i="177" s="1"/>
  <c r="CN10" i="177" s="1"/>
  <c r="CR10" i="177" s="1"/>
  <c r="CW10" i="177"/>
  <c r="DA10" i="177" s="1"/>
  <c r="DE10" i="177" s="1"/>
  <c r="DI10" i="177" s="1"/>
  <c r="DM10" i="177" s="1"/>
  <c r="DQ10" i="177" s="1"/>
  <c r="DU10" i="177" s="1"/>
  <c r="CF12" i="177" l="1"/>
  <c r="CJ12" i="177" s="1"/>
  <c r="CN12" i="177" s="1"/>
  <c r="CR12" i="177" s="1"/>
  <c r="CW12" i="177"/>
  <c r="DA12" i="177" s="1"/>
  <c r="DE12" i="177" s="1"/>
  <c r="DI12" i="177" s="1"/>
  <c r="DM12" i="177" s="1"/>
  <c r="DQ12" i="177" s="1"/>
  <c r="DU12" i="177" s="1"/>
  <c r="AG73" i="111"/>
  <c r="AI73" i="111" s="1"/>
  <c r="AG72" i="111"/>
  <c r="AH72" i="111"/>
  <c r="AI71" i="111"/>
  <c r="AN71" i="161"/>
  <c r="GI36" i="158" s="1"/>
  <c r="AM71" i="161"/>
  <c r="D72" i="161"/>
  <c r="AN73" i="161"/>
  <c r="GI38" i="158" s="1"/>
  <c r="AM73" i="161"/>
  <c r="B13" i="177"/>
  <c r="CB13" i="177" s="1"/>
  <c r="CW11" i="177"/>
  <c r="DA11" i="177" s="1"/>
  <c r="DE11" i="177" s="1"/>
  <c r="DI11" i="177" s="1"/>
  <c r="DM11" i="177" s="1"/>
  <c r="DQ11" i="177" s="1"/>
  <c r="DU11" i="177" s="1"/>
  <c r="CF11" i="177"/>
  <c r="CJ11" i="177" s="1"/>
  <c r="CN11" i="177" s="1"/>
  <c r="CR11" i="177" s="1"/>
  <c r="CW13" i="177" l="1"/>
  <c r="DA13" i="177" s="1"/>
  <c r="DE13" i="177" s="1"/>
  <c r="DI13" i="177" s="1"/>
  <c r="DM13" i="177" s="1"/>
  <c r="DQ13" i="177" s="1"/>
  <c r="DU13" i="177" s="1"/>
  <c r="CF13" i="177"/>
  <c r="CJ13" i="177" s="1"/>
  <c r="CN13" i="177" s="1"/>
  <c r="CR13" i="177" s="1"/>
  <c r="D71" i="111"/>
  <c r="AJ71" i="111"/>
  <c r="AI72" i="111"/>
  <c r="DJ38" i="36"/>
  <c r="D73" i="111"/>
  <c r="AJ73" i="111"/>
  <c r="AO73" i="161"/>
  <c r="AP73" i="161" s="1"/>
  <c r="AO71" i="161"/>
  <c r="B14" i="177"/>
  <c r="CB14" i="177" s="1"/>
  <c r="CF14" i="177" l="1"/>
  <c r="CJ14" i="177" s="1"/>
  <c r="CN14" i="177" s="1"/>
  <c r="CR14" i="177" s="1"/>
  <c r="CW14" i="177"/>
  <c r="DA14" i="177" s="1"/>
  <c r="DE14" i="177" s="1"/>
  <c r="DI14" i="177" s="1"/>
  <c r="DM14" i="177" s="1"/>
  <c r="DQ14" i="177" s="1"/>
  <c r="DU14" i="177" s="1"/>
  <c r="D72" i="111"/>
  <c r="AJ72" i="111"/>
  <c r="D73" i="161"/>
  <c r="AP71" i="161"/>
  <c r="D71" i="161"/>
  <c r="B15" i="177"/>
  <c r="CB15" i="177" s="1"/>
  <c r="CW15" i="177" l="1"/>
  <c r="DA15" i="177" s="1"/>
  <c r="DE15" i="177" s="1"/>
  <c r="DI15" i="177" s="1"/>
  <c r="DM15" i="177" s="1"/>
  <c r="DQ15" i="177" s="1"/>
  <c r="DU15" i="177" s="1"/>
  <c r="CF15" i="177"/>
  <c r="CJ15" i="177" s="1"/>
  <c r="CN15" i="177" s="1"/>
  <c r="CR15" i="177" s="1"/>
  <c r="B16" i="177"/>
  <c r="CB16" i="177" s="1"/>
  <c r="CF16" i="177" l="1"/>
  <c r="CJ16" i="177" s="1"/>
  <c r="CN16" i="177" s="1"/>
  <c r="CR16" i="177" s="1"/>
  <c r="CW16" i="177"/>
  <c r="DA16" i="177" s="1"/>
  <c r="DE16" i="177" s="1"/>
  <c r="DI16" i="177" s="1"/>
  <c r="DM16" i="177" s="1"/>
  <c r="DQ16" i="177" s="1"/>
  <c r="DU16" i="177" s="1"/>
  <c r="B17" i="177"/>
  <c r="CB17" i="177" s="1"/>
  <c r="CW17" i="177" l="1"/>
  <c r="DA17" i="177" s="1"/>
  <c r="DE17" i="177" s="1"/>
  <c r="DI17" i="177" s="1"/>
  <c r="DM17" i="177" s="1"/>
  <c r="DQ17" i="177" s="1"/>
  <c r="DU17" i="177" s="1"/>
  <c r="CF17" i="177"/>
  <c r="CJ17" i="177" s="1"/>
  <c r="CN17" i="177" s="1"/>
  <c r="CR17" i="177" s="1"/>
  <c r="B18" i="177"/>
  <c r="CB18" i="177" s="1"/>
  <c r="CF18" i="177" l="1"/>
  <c r="CJ18" i="177" s="1"/>
  <c r="CN18" i="177" s="1"/>
  <c r="CR18" i="177" s="1"/>
  <c r="CW18" i="177"/>
  <c r="DA18" i="177" s="1"/>
  <c r="DE18" i="177" s="1"/>
  <c r="DI18" i="177" s="1"/>
  <c r="DM18" i="177" s="1"/>
  <c r="DQ18" i="177" s="1"/>
  <c r="DU18" i="177" s="1"/>
  <c r="B19" i="177"/>
  <c r="CB19" i="177" s="1"/>
  <c r="CW19" i="177" l="1"/>
  <c r="DA19" i="177" s="1"/>
  <c r="DE19" i="177" s="1"/>
  <c r="DI19" i="177" s="1"/>
  <c r="DM19" i="177" s="1"/>
  <c r="DQ19" i="177" s="1"/>
  <c r="DU19" i="177" s="1"/>
  <c r="CF19" i="177"/>
  <c r="CJ19" i="177" s="1"/>
  <c r="CN19" i="177" s="1"/>
  <c r="CR19" i="177" s="1"/>
  <c r="B20" i="177"/>
  <c r="CB20" i="177" s="1"/>
  <c r="CF20" i="177" l="1"/>
  <c r="CJ20" i="177" s="1"/>
  <c r="CN20" i="177" s="1"/>
  <c r="CR20" i="177" s="1"/>
  <c r="CW20" i="177"/>
  <c r="DA20" i="177" s="1"/>
  <c r="DE20" i="177" s="1"/>
  <c r="DI20" i="177" s="1"/>
  <c r="DM20" i="177" s="1"/>
  <c r="DQ20" i="177" s="1"/>
  <c r="DU20" i="177" s="1"/>
  <c r="B21" i="177"/>
  <c r="CB21" i="177" s="1"/>
  <c r="CW21" i="177" l="1"/>
  <c r="DA21" i="177" s="1"/>
  <c r="DE21" i="177" s="1"/>
  <c r="DI21" i="177" s="1"/>
  <c r="DM21" i="177" s="1"/>
  <c r="DQ21" i="177" s="1"/>
  <c r="DU21" i="177" s="1"/>
  <c r="CF21" i="177"/>
  <c r="CJ21" i="177" s="1"/>
  <c r="CN21" i="177" s="1"/>
  <c r="CR21" i="177" s="1"/>
  <c r="B22" i="177"/>
  <c r="CB22" i="177" s="1"/>
  <c r="CF22" i="177" l="1"/>
  <c r="CJ22" i="177" s="1"/>
  <c r="CN22" i="177" s="1"/>
  <c r="CR22" i="177" s="1"/>
  <c r="CW22" i="177"/>
  <c r="DA22" i="177" s="1"/>
  <c r="DE22" i="177" s="1"/>
  <c r="DI22" i="177" s="1"/>
  <c r="DM22" i="177" s="1"/>
  <c r="DQ22" i="177" s="1"/>
  <c r="DU22" i="177" s="1"/>
  <c r="B23" i="177"/>
  <c r="CB23" i="177" s="1"/>
  <c r="CW23" i="177" l="1"/>
  <c r="DA23" i="177" s="1"/>
  <c r="DE23" i="177" s="1"/>
  <c r="DI23" i="177" s="1"/>
  <c r="DM23" i="177" s="1"/>
  <c r="DQ23" i="177" s="1"/>
  <c r="DU23" i="177" s="1"/>
  <c r="CF23" i="177"/>
  <c r="CJ23" i="177" s="1"/>
  <c r="CN23" i="177" s="1"/>
  <c r="CR23" i="177" s="1"/>
  <c r="B24" i="177"/>
  <c r="CB24" i="177" s="1"/>
  <c r="CF24" i="177" l="1"/>
  <c r="CJ24" i="177" s="1"/>
  <c r="CN24" i="177" s="1"/>
  <c r="CR24" i="177" s="1"/>
  <c r="CW24" i="177"/>
  <c r="DA24" i="177" s="1"/>
  <c r="DE24" i="177" s="1"/>
  <c r="DI24" i="177" s="1"/>
  <c r="DM24" i="177" s="1"/>
  <c r="DQ24" i="177" s="1"/>
  <c r="DU24" i="177" s="1"/>
  <c r="B25" i="177"/>
  <c r="B26" i="177" l="1"/>
  <c r="CB25" i="177"/>
  <c r="J150" i="144"/>
  <c r="I150" i="144"/>
  <c r="E150" i="144"/>
  <c r="D150" i="144"/>
  <c r="C150" i="144"/>
  <c r="J149" i="144"/>
  <c r="I149" i="144"/>
  <c r="E149" i="144"/>
  <c r="D149" i="144"/>
  <c r="C149" i="144"/>
  <c r="J148" i="144"/>
  <c r="I148" i="144"/>
  <c r="J147" i="144"/>
  <c r="I147" i="144"/>
  <c r="E147" i="144"/>
  <c r="D147" i="144"/>
  <c r="C147" i="144"/>
  <c r="J146" i="144"/>
  <c r="I146" i="144"/>
  <c r="E146" i="144"/>
  <c r="D146" i="144"/>
  <c r="C146" i="144"/>
  <c r="J145" i="144"/>
  <c r="I145" i="144"/>
  <c r="E145" i="144"/>
  <c r="J144" i="144"/>
  <c r="I144" i="144"/>
  <c r="E144" i="144"/>
  <c r="I143" i="144"/>
  <c r="D143" i="144"/>
  <c r="C143" i="144"/>
  <c r="I142" i="144"/>
  <c r="E142" i="144"/>
  <c r="J142" i="144" s="1"/>
  <c r="D142" i="144"/>
  <c r="C142" i="144"/>
  <c r="J141" i="144"/>
  <c r="I141" i="144"/>
  <c r="I140" i="144"/>
  <c r="D140" i="144"/>
  <c r="C140" i="144"/>
  <c r="I139" i="144"/>
  <c r="D139" i="144"/>
  <c r="C139" i="144"/>
  <c r="I138" i="144"/>
  <c r="D138" i="144"/>
  <c r="C138" i="144"/>
  <c r="I137" i="144"/>
  <c r="D137" i="144"/>
  <c r="C137" i="144"/>
  <c r="J136" i="144"/>
  <c r="I136" i="144"/>
  <c r="J135" i="144"/>
  <c r="I135" i="144"/>
  <c r="E135" i="144"/>
  <c r="D135" i="144"/>
  <c r="C135" i="144"/>
  <c r="I134" i="144"/>
  <c r="D134" i="144"/>
  <c r="C134" i="144"/>
  <c r="I133" i="144"/>
  <c r="D133" i="144"/>
  <c r="C133" i="144"/>
  <c r="I132" i="144"/>
  <c r="D132" i="144"/>
  <c r="C132" i="144"/>
  <c r="I131" i="144"/>
  <c r="D131" i="144"/>
  <c r="C131" i="144"/>
  <c r="I130" i="144"/>
  <c r="D130" i="144"/>
  <c r="C130" i="144"/>
  <c r="I129" i="144"/>
  <c r="D129" i="144"/>
  <c r="C129" i="144"/>
  <c r="J128" i="144"/>
  <c r="I128" i="144"/>
  <c r="J127" i="144"/>
  <c r="I127" i="144"/>
  <c r="I126" i="144"/>
  <c r="D126" i="144"/>
  <c r="I125" i="144"/>
  <c r="D125" i="144"/>
  <c r="C125" i="144"/>
  <c r="J124" i="144"/>
  <c r="I124" i="144"/>
  <c r="I123" i="144"/>
  <c r="D123" i="144"/>
  <c r="C123" i="144"/>
  <c r="E122" i="144"/>
  <c r="J122" i="144" s="1"/>
  <c r="J121" i="144"/>
  <c r="I121" i="144"/>
  <c r="E121" i="144"/>
  <c r="D121" i="144"/>
  <c r="C121" i="144"/>
  <c r="I120" i="144"/>
  <c r="D120" i="144"/>
  <c r="C120" i="144"/>
  <c r="J119" i="144"/>
  <c r="I119" i="144"/>
  <c r="J118" i="144"/>
  <c r="I118" i="144"/>
  <c r="C118" i="144"/>
  <c r="J117" i="144"/>
  <c r="I117" i="144"/>
  <c r="C117" i="144"/>
  <c r="L113" i="144"/>
  <c r="K113" i="144"/>
  <c r="J113" i="144"/>
  <c r="I113" i="144"/>
  <c r="L112" i="144"/>
  <c r="J112" i="144"/>
  <c r="F112" i="144"/>
  <c r="K112" i="144" s="1"/>
  <c r="E112" i="144"/>
  <c r="C112" i="144"/>
  <c r="L111" i="144"/>
  <c r="J111" i="144"/>
  <c r="F111" i="144"/>
  <c r="K111" i="144" s="1"/>
  <c r="E111" i="144"/>
  <c r="C111" i="144"/>
  <c r="L110" i="144"/>
  <c r="K110" i="144"/>
  <c r="J110" i="144"/>
  <c r="I110" i="144"/>
  <c r="L109" i="144"/>
  <c r="J109" i="144"/>
  <c r="F109" i="144"/>
  <c r="K109" i="144" s="1"/>
  <c r="E109" i="144"/>
  <c r="C109" i="144"/>
  <c r="L108" i="144"/>
  <c r="J108" i="144"/>
  <c r="F108" i="144"/>
  <c r="K108" i="144" s="1"/>
  <c r="E108" i="144"/>
  <c r="C108" i="144"/>
  <c r="K107" i="144"/>
  <c r="J107" i="144"/>
  <c r="F107" i="144"/>
  <c r="E107" i="144"/>
  <c r="J106" i="144"/>
  <c r="F106" i="144"/>
  <c r="K106" i="144" s="1"/>
  <c r="E106" i="144"/>
  <c r="K105" i="144"/>
  <c r="J105" i="144"/>
  <c r="F105" i="144"/>
  <c r="E105" i="144"/>
  <c r="C105" i="144"/>
  <c r="K104" i="144"/>
  <c r="J104" i="144"/>
  <c r="F104" i="144"/>
  <c r="E104" i="144"/>
  <c r="C104" i="144"/>
  <c r="L103" i="144"/>
  <c r="K103" i="144"/>
  <c r="J103" i="144"/>
  <c r="I103" i="144"/>
  <c r="J102" i="144"/>
  <c r="F102" i="144"/>
  <c r="K102" i="144" s="1"/>
  <c r="E102" i="144"/>
  <c r="C102" i="144"/>
  <c r="J101" i="144"/>
  <c r="F101" i="144"/>
  <c r="K101" i="144" s="1"/>
  <c r="E101" i="144"/>
  <c r="C101" i="144"/>
  <c r="K100" i="144"/>
  <c r="J100" i="144"/>
  <c r="F100" i="144"/>
  <c r="E100" i="144"/>
  <c r="C100" i="144"/>
  <c r="K99" i="144"/>
  <c r="J99" i="144"/>
  <c r="F99" i="144"/>
  <c r="E99" i="144"/>
  <c r="C99" i="144"/>
  <c r="L98" i="144"/>
  <c r="K98" i="144"/>
  <c r="J98" i="144"/>
  <c r="I98" i="144"/>
  <c r="J97" i="144"/>
  <c r="F97" i="144"/>
  <c r="K97" i="144" s="1"/>
  <c r="E97" i="144"/>
  <c r="C97" i="144"/>
  <c r="L96" i="144"/>
  <c r="J96" i="144"/>
  <c r="I96" i="144"/>
  <c r="F96" i="144"/>
  <c r="K96" i="144" s="1"/>
  <c r="E96" i="144"/>
  <c r="L95" i="144"/>
  <c r="J95" i="144"/>
  <c r="I95" i="144"/>
  <c r="F95" i="144"/>
  <c r="K95" i="144" s="1"/>
  <c r="E95" i="144"/>
  <c r="C95" i="144"/>
  <c r="J94" i="144"/>
  <c r="F94" i="144"/>
  <c r="K94" i="144" s="1"/>
  <c r="E94" i="144"/>
  <c r="C94" i="144"/>
  <c r="K93" i="144"/>
  <c r="J93" i="144"/>
  <c r="E93" i="144"/>
  <c r="C93" i="144"/>
  <c r="J92" i="144"/>
  <c r="F92" i="144"/>
  <c r="K92" i="144" s="1"/>
  <c r="E92" i="144"/>
  <c r="C92" i="144"/>
  <c r="J91" i="144"/>
  <c r="F91" i="144"/>
  <c r="K91" i="144" s="1"/>
  <c r="E91" i="144"/>
  <c r="C91" i="144"/>
  <c r="L90" i="144"/>
  <c r="K90" i="144"/>
  <c r="J90" i="144"/>
  <c r="I90" i="144"/>
  <c r="L89" i="144"/>
  <c r="K89" i="144"/>
  <c r="J89" i="144"/>
  <c r="I89" i="144"/>
  <c r="L88" i="144"/>
  <c r="K88" i="144"/>
  <c r="J88" i="144"/>
  <c r="E88" i="144"/>
  <c r="C88" i="144"/>
  <c r="L87" i="144"/>
  <c r="K87" i="144"/>
  <c r="J87" i="144"/>
  <c r="E87" i="144"/>
  <c r="C87" i="144"/>
  <c r="L86" i="144"/>
  <c r="J86" i="144"/>
  <c r="I86" i="144"/>
  <c r="F86" i="144"/>
  <c r="K86" i="144" s="1"/>
  <c r="C86" i="144"/>
  <c r="J85" i="144"/>
  <c r="F85" i="144"/>
  <c r="K85" i="144" s="1"/>
  <c r="E85" i="144"/>
  <c r="C85" i="144"/>
  <c r="L84" i="144"/>
  <c r="K84" i="144"/>
  <c r="J84" i="144"/>
  <c r="E84" i="144"/>
  <c r="C84" i="144"/>
  <c r="K83" i="144"/>
  <c r="J83" i="144"/>
  <c r="C83" i="144"/>
  <c r="J82" i="144"/>
  <c r="F82" i="144"/>
  <c r="K82" i="144" s="1"/>
  <c r="E82" i="144"/>
  <c r="C82" i="144"/>
  <c r="L81" i="144"/>
  <c r="K81" i="144"/>
  <c r="J81" i="144"/>
  <c r="C81" i="144"/>
  <c r="L80" i="144"/>
  <c r="K80" i="144"/>
  <c r="J80" i="144"/>
  <c r="C80" i="144"/>
  <c r="J79" i="144"/>
  <c r="F79" i="144"/>
  <c r="K79" i="144" s="1"/>
  <c r="C79" i="144"/>
  <c r="M74" i="144"/>
  <c r="L74" i="144"/>
  <c r="J74" i="144"/>
  <c r="M73" i="144"/>
  <c r="L73" i="144"/>
  <c r="J73" i="144"/>
  <c r="M72" i="144"/>
  <c r="L72" i="144"/>
  <c r="K72" i="144"/>
  <c r="J72" i="144"/>
  <c r="I72" i="144"/>
  <c r="M71" i="144"/>
  <c r="L71" i="144"/>
  <c r="J71" i="144"/>
  <c r="M70" i="144"/>
  <c r="L70" i="144"/>
  <c r="J70" i="144"/>
  <c r="M69" i="144"/>
  <c r="L69" i="144"/>
  <c r="M68" i="144"/>
  <c r="L68" i="144"/>
  <c r="M67" i="144"/>
  <c r="L67" i="144"/>
  <c r="M66" i="144"/>
  <c r="L66" i="144"/>
  <c r="M65" i="144"/>
  <c r="L65" i="144"/>
  <c r="K65" i="144"/>
  <c r="J65" i="144"/>
  <c r="I65" i="144"/>
  <c r="M64" i="144"/>
  <c r="L64" i="144"/>
  <c r="M63" i="144"/>
  <c r="L63" i="144"/>
  <c r="M62" i="144"/>
  <c r="L62" i="144"/>
  <c r="M61" i="144"/>
  <c r="L61" i="144"/>
  <c r="M60" i="144"/>
  <c r="L60" i="144"/>
  <c r="K60" i="144"/>
  <c r="J60" i="144"/>
  <c r="I60" i="144"/>
  <c r="M59" i="144"/>
  <c r="L59" i="144"/>
  <c r="M58" i="144"/>
  <c r="L58" i="144"/>
  <c r="K58" i="144"/>
  <c r="J58" i="144"/>
  <c r="M57" i="144"/>
  <c r="L57" i="144"/>
  <c r="K57" i="144"/>
  <c r="J57" i="144"/>
  <c r="I57" i="144"/>
  <c r="M56" i="144"/>
  <c r="L56" i="144"/>
  <c r="J56" i="144"/>
  <c r="E56" i="144"/>
  <c r="C56" i="144"/>
  <c r="M55" i="144"/>
  <c r="L55" i="144"/>
  <c r="M54" i="144"/>
  <c r="L54" i="144"/>
  <c r="M53" i="144"/>
  <c r="L53" i="144"/>
  <c r="M52" i="144"/>
  <c r="L52" i="144"/>
  <c r="K52" i="144"/>
  <c r="J52" i="144"/>
  <c r="I52" i="144"/>
  <c r="M51" i="144"/>
  <c r="L51" i="144"/>
  <c r="K51" i="144"/>
  <c r="J51" i="144"/>
  <c r="I51" i="144"/>
  <c r="M50" i="144"/>
  <c r="L50" i="144"/>
  <c r="M49" i="144"/>
  <c r="L49" i="144"/>
  <c r="J49" i="144"/>
  <c r="M48" i="144"/>
  <c r="L48" i="144"/>
  <c r="K48" i="144"/>
  <c r="J48" i="144"/>
  <c r="I48" i="144"/>
  <c r="M47" i="144"/>
  <c r="L47" i="144"/>
  <c r="M46" i="144"/>
  <c r="L46" i="144"/>
  <c r="J46" i="144"/>
  <c r="M45" i="144"/>
  <c r="L45" i="144"/>
  <c r="J45" i="144"/>
  <c r="I45" i="144"/>
  <c r="M44" i="144"/>
  <c r="L44" i="144"/>
  <c r="K44" i="144"/>
  <c r="J44" i="144"/>
  <c r="I44" i="144"/>
  <c r="M43" i="144"/>
  <c r="L43" i="144"/>
  <c r="M42" i="144"/>
  <c r="L42" i="144"/>
  <c r="J42" i="144"/>
  <c r="I42" i="144"/>
  <c r="M41" i="144"/>
  <c r="L41" i="144"/>
  <c r="I41" i="144"/>
  <c r="M40" i="144"/>
  <c r="L40" i="144"/>
  <c r="I40" i="144"/>
  <c r="L36" i="144"/>
  <c r="J36" i="144"/>
  <c r="F36" i="144"/>
  <c r="K36" i="144" s="1"/>
  <c r="E36" i="144"/>
  <c r="C36" i="144"/>
  <c r="L35" i="144"/>
  <c r="J35" i="144"/>
  <c r="F35" i="144"/>
  <c r="K35" i="144" s="1"/>
  <c r="E35" i="144"/>
  <c r="C35" i="144"/>
  <c r="M34" i="144"/>
  <c r="L34" i="144"/>
  <c r="K34" i="144"/>
  <c r="J34" i="144"/>
  <c r="I34" i="144"/>
  <c r="L33" i="144"/>
  <c r="J33" i="144"/>
  <c r="F33" i="144"/>
  <c r="K33" i="144" s="1"/>
  <c r="E33" i="144"/>
  <c r="C33" i="144"/>
  <c r="L32" i="144"/>
  <c r="K32" i="144"/>
  <c r="J32" i="144"/>
  <c r="F32" i="144"/>
  <c r="E32" i="144"/>
  <c r="C32" i="144"/>
  <c r="F31" i="144"/>
  <c r="K31" i="144" s="1"/>
  <c r="C31" i="144"/>
  <c r="F30" i="144"/>
  <c r="K30" i="144" s="1"/>
  <c r="C30" i="144"/>
  <c r="F29" i="144"/>
  <c r="K29" i="144" s="1"/>
  <c r="C29" i="144"/>
  <c r="F28" i="144"/>
  <c r="K28" i="144" s="1"/>
  <c r="C28" i="144"/>
  <c r="M27" i="144"/>
  <c r="L27" i="144"/>
  <c r="K27" i="144"/>
  <c r="J27" i="144"/>
  <c r="I27" i="144"/>
  <c r="F26" i="144"/>
  <c r="K26" i="144" s="1"/>
  <c r="C26" i="144"/>
  <c r="K25" i="144"/>
  <c r="F25" i="144"/>
  <c r="C25" i="144"/>
  <c r="F24" i="144"/>
  <c r="K24" i="144" s="1"/>
  <c r="C24" i="144"/>
  <c r="F23" i="144"/>
  <c r="K23" i="144" s="1"/>
  <c r="E23" i="144"/>
  <c r="J23" i="144" s="1"/>
  <c r="C23" i="144"/>
  <c r="M22" i="144"/>
  <c r="L22" i="144"/>
  <c r="K22" i="144"/>
  <c r="J22" i="144"/>
  <c r="I22" i="144"/>
  <c r="F21" i="144"/>
  <c r="K21" i="144" s="1"/>
  <c r="C21" i="144"/>
  <c r="M20" i="144"/>
  <c r="L20" i="144"/>
  <c r="F20" i="144"/>
  <c r="K20" i="144" s="1"/>
  <c r="C20" i="144"/>
  <c r="M19" i="144"/>
  <c r="L19" i="144"/>
  <c r="K19" i="144"/>
  <c r="F19" i="144"/>
  <c r="C19" i="144"/>
  <c r="F18" i="144"/>
  <c r="K18" i="144" s="1"/>
  <c r="C18" i="144"/>
  <c r="K17" i="144"/>
  <c r="C17" i="144"/>
  <c r="K16" i="144"/>
  <c r="F16" i="144"/>
  <c r="C16" i="144"/>
  <c r="F15" i="144"/>
  <c r="K15" i="144" s="1"/>
  <c r="C15" i="144"/>
  <c r="M14" i="144"/>
  <c r="L14" i="144"/>
  <c r="K14" i="144"/>
  <c r="J14" i="144"/>
  <c r="I14" i="144"/>
  <c r="M13" i="144"/>
  <c r="L13" i="144"/>
  <c r="K13" i="144"/>
  <c r="J13" i="144"/>
  <c r="I13" i="144"/>
  <c r="M12" i="144"/>
  <c r="L12" i="144"/>
  <c r="K12" i="144"/>
  <c r="I12" i="144"/>
  <c r="H12" i="144"/>
  <c r="D12" i="144"/>
  <c r="C12" i="144"/>
  <c r="M11" i="144"/>
  <c r="L11" i="144"/>
  <c r="K11" i="144"/>
  <c r="I11" i="144"/>
  <c r="H11" i="144"/>
  <c r="G11" i="144"/>
  <c r="D11" i="144"/>
  <c r="C11" i="144"/>
  <c r="M10" i="144"/>
  <c r="L10" i="144"/>
  <c r="J10" i="144"/>
  <c r="I10" i="144"/>
  <c r="F10" i="144"/>
  <c r="K10" i="144" s="1"/>
  <c r="C10" i="144"/>
  <c r="M9" i="144"/>
  <c r="L9" i="144"/>
  <c r="K9" i="144"/>
  <c r="I9" i="144"/>
  <c r="H9" i="144"/>
  <c r="G9" i="144"/>
  <c r="F9" i="144"/>
  <c r="D9" i="144"/>
  <c r="C9" i="144"/>
  <c r="L8" i="144"/>
  <c r="K8" i="144"/>
  <c r="C8" i="144"/>
  <c r="M7" i="144"/>
  <c r="L7" i="144"/>
  <c r="K7" i="144"/>
  <c r="J7" i="144"/>
  <c r="I7" i="144"/>
  <c r="H7" i="144"/>
  <c r="G7" i="144"/>
  <c r="E7" i="144"/>
  <c r="D7" i="144"/>
  <c r="C7" i="144"/>
  <c r="M6" i="144"/>
  <c r="L6" i="144"/>
  <c r="I6" i="144"/>
  <c r="H6" i="144"/>
  <c r="G6" i="144"/>
  <c r="F6" i="144"/>
  <c r="K6" i="144" s="1"/>
  <c r="D6" i="144"/>
  <c r="C6" i="144"/>
  <c r="L5" i="144"/>
  <c r="K5" i="144"/>
  <c r="J5" i="144"/>
  <c r="C5" i="144"/>
  <c r="M4" i="144"/>
  <c r="L4" i="144"/>
  <c r="K4" i="144"/>
  <c r="J4" i="144"/>
  <c r="I4" i="144"/>
  <c r="H4" i="144"/>
  <c r="D4" i="144"/>
  <c r="C4" i="144"/>
  <c r="M3" i="144"/>
  <c r="L3" i="144"/>
  <c r="J3" i="144"/>
  <c r="I3" i="144"/>
  <c r="H3" i="144"/>
  <c r="G3" i="144"/>
  <c r="F3" i="144"/>
  <c r="K3" i="144" s="1"/>
  <c r="D3" i="144"/>
  <c r="C3" i="144"/>
  <c r="E72" i="119"/>
  <c r="F72" i="119" s="1"/>
  <c r="G72" i="119" s="1"/>
  <c r="E71" i="119"/>
  <c r="F71" i="119" s="1"/>
  <c r="G71" i="119" s="1"/>
  <c r="E70" i="119"/>
  <c r="F70" i="119" s="1"/>
  <c r="G70" i="119" s="1"/>
  <c r="L32" i="168"/>
  <c r="X32" i="168" s="1"/>
  <c r="K32" i="168"/>
  <c r="W32" i="168" s="1"/>
  <c r="J32" i="168"/>
  <c r="V32" i="168" s="1"/>
  <c r="I32" i="168"/>
  <c r="U32" i="168" s="1"/>
  <c r="H32" i="168"/>
  <c r="T32" i="168" s="1"/>
  <c r="G32" i="168"/>
  <c r="S32" i="168" s="1"/>
  <c r="F32" i="168"/>
  <c r="R32" i="168" s="1"/>
  <c r="E32" i="168"/>
  <c r="Q32" i="168" s="1"/>
  <c r="D32" i="168"/>
  <c r="P32" i="168" s="1"/>
  <c r="C32" i="168"/>
  <c r="O32" i="168" s="1"/>
  <c r="B32" i="168"/>
  <c r="N32" i="168" s="1"/>
  <c r="L31" i="168"/>
  <c r="X31" i="168" s="1"/>
  <c r="K31" i="168"/>
  <c r="W31" i="168" s="1"/>
  <c r="J31" i="168"/>
  <c r="V31" i="168" s="1"/>
  <c r="I31" i="168"/>
  <c r="U31" i="168" s="1"/>
  <c r="H31" i="168"/>
  <c r="T31" i="168" s="1"/>
  <c r="G31" i="168"/>
  <c r="S31" i="168" s="1"/>
  <c r="F31" i="168"/>
  <c r="R31" i="168" s="1"/>
  <c r="E31" i="168"/>
  <c r="Q31" i="168" s="1"/>
  <c r="D31" i="168"/>
  <c r="P31" i="168" s="1"/>
  <c r="C31" i="168"/>
  <c r="O31" i="168" s="1"/>
  <c r="B31" i="168"/>
  <c r="N31" i="168" s="1"/>
  <c r="L30" i="168"/>
  <c r="X30" i="168" s="1"/>
  <c r="K30" i="168"/>
  <c r="W30" i="168" s="1"/>
  <c r="J30" i="168"/>
  <c r="V30" i="168" s="1"/>
  <c r="I30" i="168"/>
  <c r="U30" i="168" s="1"/>
  <c r="H30" i="168"/>
  <c r="T30" i="168" s="1"/>
  <c r="G30" i="168"/>
  <c r="S30" i="168" s="1"/>
  <c r="F30" i="168"/>
  <c r="R30" i="168" s="1"/>
  <c r="E30" i="168"/>
  <c r="Q30" i="168" s="1"/>
  <c r="D30" i="168"/>
  <c r="P30" i="168" s="1"/>
  <c r="C30" i="168"/>
  <c r="O30" i="168" s="1"/>
  <c r="B30" i="168"/>
  <c r="N30" i="168" s="1"/>
  <c r="L29" i="168"/>
  <c r="X29" i="168" s="1"/>
  <c r="K29" i="168"/>
  <c r="W29" i="168" s="1"/>
  <c r="J29" i="168"/>
  <c r="V29" i="168" s="1"/>
  <c r="I29" i="168"/>
  <c r="U29" i="168" s="1"/>
  <c r="H29" i="168"/>
  <c r="T29" i="168" s="1"/>
  <c r="G29" i="168"/>
  <c r="S29" i="168" s="1"/>
  <c r="F29" i="168"/>
  <c r="R29" i="168" s="1"/>
  <c r="E29" i="168"/>
  <c r="Q29" i="168" s="1"/>
  <c r="D29" i="168"/>
  <c r="P29" i="168" s="1"/>
  <c r="C29" i="168"/>
  <c r="O29" i="168" s="1"/>
  <c r="B29" i="168"/>
  <c r="N29" i="168" s="1"/>
  <c r="L28" i="168"/>
  <c r="X28" i="168" s="1"/>
  <c r="K28" i="168"/>
  <c r="W28" i="168" s="1"/>
  <c r="J28" i="168"/>
  <c r="V28" i="168" s="1"/>
  <c r="I28" i="168"/>
  <c r="U28" i="168" s="1"/>
  <c r="H28" i="168"/>
  <c r="T28" i="168" s="1"/>
  <c r="G28" i="168"/>
  <c r="S28" i="168" s="1"/>
  <c r="F28" i="168"/>
  <c r="R28" i="168" s="1"/>
  <c r="E28" i="168"/>
  <c r="Q28" i="168" s="1"/>
  <c r="D28" i="168"/>
  <c r="P28" i="168" s="1"/>
  <c r="C28" i="168"/>
  <c r="O28" i="168" s="1"/>
  <c r="B28" i="168"/>
  <c r="N28" i="168" s="1"/>
  <c r="L27" i="168"/>
  <c r="X27" i="168" s="1"/>
  <c r="K27" i="168"/>
  <c r="W27" i="168" s="1"/>
  <c r="J27" i="168"/>
  <c r="V27" i="168" s="1"/>
  <c r="I27" i="168"/>
  <c r="U27" i="168" s="1"/>
  <c r="H27" i="168"/>
  <c r="T27" i="168" s="1"/>
  <c r="G27" i="168"/>
  <c r="S27" i="168" s="1"/>
  <c r="F27" i="168"/>
  <c r="R27" i="168" s="1"/>
  <c r="E27" i="168"/>
  <c r="Q27" i="168" s="1"/>
  <c r="D27" i="168"/>
  <c r="P27" i="168" s="1"/>
  <c r="C27" i="168"/>
  <c r="O27" i="168" s="1"/>
  <c r="B27" i="168"/>
  <c r="N27" i="168" s="1"/>
  <c r="L26" i="168"/>
  <c r="X26" i="168" s="1"/>
  <c r="K26" i="168"/>
  <c r="W26" i="168" s="1"/>
  <c r="J26" i="168"/>
  <c r="V26" i="168" s="1"/>
  <c r="I26" i="168"/>
  <c r="U26" i="168" s="1"/>
  <c r="H26" i="168"/>
  <c r="T26" i="168" s="1"/>
  <c r="G26" i="168"/>
  <c r="S26" i="168" s="1"/>
  <c r="F26" i="168"/>
  <c r="R26" i="168" s="1"/>
  <c r="E26" i="168"/>
  <c r="Q26" i="168" s="1"/>
  <c r="D26" i="168"/>
  <c r="P26" i="168" s="1"/>
  <c r="C26" i="168"/>
  <c r="O26" i="168" s="1"/>
  <c r="B26" i="168"/>
  <c r="N26" i="168" s="1"/>
  <c r="L25" i="168"/>
  <c r="X25" i="168" s="1"/>
  <c r="K25" i="168"/>
  <c r="W25" i="168" s="1"/>
  <c r="J25" i="168"/>
  <c r="V25" i="168" s="1"/>
  <c r="I25" i="168"/>
  <c r="U25" i="168" s="1"/>
  <c r="H25" i="168"/>
  <c r="T25" i="168" s="1"/>
  <c r="G25" i="168"/>
  <c r="S25" i="168" s="1"/>
  <c r="F25" i="168"/>
  <c r="R25" i="168" s="1"/>
  <c r="E25" i="168"/>
  <c r="Q25" i="168" s="1"/>
  <c r="D25" i="168"/>
  <c r="P25" i="168" s="1"/>
  <c r="C25" i="168"/>
  <c r="O25" i="168" s="1"/>
  <c r="B25" i="168"/>
  <c r="N25" i="168" s="1"/>
  <c r="L24" i="168"/>
  <c r="X24" i="168" s="1"/>
  <c r="K24" i="168"/>
  <c r="W24" i="168" s="1"/>
  <c r="J24" i="168"/>
  <c r="V24" i="168" s="1"/>
  <c r="I24" i="168"/>
  <c r="U24" i="168" s="1"/>
  <c r="H24" i="168"/>
  <c r="T24" i="168" s="1"/>
  <c r="G24" i="168"/>
  <c r="S24" i="168" s="1"/>
  <c r="F24" i="168"/>
  <c r="R24" i="168" s="1"/>
  <c r="E24" i="168"/>
  <c r="Q24" i="168" s="1"/>
  <c r="D24" i="168"/>
  <c r="P24" i="168" s="1"/>
  <c r="C24" i="168"/>
  <c r="O24" i="168" s="1"/>
  <c r="B24" i="168"/>
  <c r="N24" i="168" s="1"/>
  <c r="L23" i="168"/>
  <c r="X23" i="168" s="1"/>
  <c r="K23" i="168"/>
  <c r="W23" i="168" s="1"/>
  <c r="J23" i="168"/>
  <c r="V23" i="168" s="1"/>
  <c r="I23" i="168"/>
  <c r="U23" i="168" s="1"/>
  <c r="H23" i="168"/>
  <c r="T23" i="168" s="1"/>
  <c r="G23" i="168"/>
  <c r="S23" i="168" s="1"/>
  <c r="F23" i="168"/>
  <c r="R23" i="168" s="1"/>
  <c r="E23" i="168"/>
  <c r="Q23" i="168" s="1"/>
  <c r="D23" i="168"/>
  <c r="P23" i="168" s="1"/>
  <c r="C23" i="168"/>
  <c r="O23" i="168" s="1"/>
  <c r="B23" i="168"/>
  <c r="N23" i="168" s="1"/>
  <c r="X22" i="168"/>
  <c r="L22" i="168"/>
  <c r="K22" i="168"/>
  <c r="W22" i="168" s="1"/>
  <c r="J22" i="168"/>
  <c r="V22" i="168" s="1"/>
  <c r="I22" i="168"/>
  <c r="U22" i="168" s="1"/>
  <c r="H22" i="168"/>
  <c r="T22" i="168" s="1"/>
  <c r="G22" i="168"/>
  <c r="S22" i="168" s="1"/>
  <c r="F22" i="168"/>
  <c r="R22" i="168" s="1"/>
  <c r="E22" i="168"/>
  <c r="Q22" i="168" s="1"/>
  <c r="D22" i="168"/>
  <c r="P22" i="168" s="1"/>
  <c r="C22" i="168"/>
  <c r="O22" i="168" s="1"/>
  <c r="B22" i="168"/>
  <c r="N22" i="168" s="1"/>
  <c r="L21" i="168"/>
  <c r="X21" i="168" s="1"/>
  <c r="K21" i="168"/>
  <c r="W21" i="168" s="1"/>
  <c r="J21" i="168"/>
  <c r="V21" i="168" s="1"/>
  <c r="I21" i="168"/>
  <c r="U21" i="168" s="1"/>
  <c r="H21" i="168"/>
  <c r="T21" i="168" s="1"/>
  <c r="G21" i="168"/>
  <c r="S21" i="168" s="1"/>
  <c r="F21" i="168"/>
  <c r="R21" i="168" s="1"/>
  <c r="E21" i="168"/>
  <c r="Q21" i="168" s="1"/>
  <c r="D21" i="168"/>
  <c r="P21" i="168" s="1"/>
  <c r="C21" i="168"/>
  <c r="O21" i="168" s="1"/>
  <c r="B21" i="168"/>
  <c r="N21" i="168" s="1"/>
  <c r="L20" i="168"/>
  <c r="X20" i="168" s="1"/>
  <c r="K20" i="168"/>
  <c r="W20" i="168" s="1"/>
  <c r="J20" i="168"/>
  <c r="V20" i="168" s="1"/>
  <c r="I20" i="168"/>
  <c r="U20" i="168" s="1"/>
  <c r="H20" i="168"/>
  <c r="T20" i="168" s="1"/>
  <c r="G20" i="168"/>
  <c r="S20" i="168" s="1"/>
  <c r="F20" i="168"/>
  <c r="R20" i="168" s="1"/>
  <c r="E20" i="168"/>
  <c r="Q20" i="168" s="1"/>
  <c r="D20" i="168"/>
  <c r="P20" i="168" s="1"/>
  <c r="C20" i="168"/>
  <c r="O20" i="168" s="1"/>
  <c r="B20" i="168"/>
  <c r="N20" i="168" s="1"/>
  <c r="L19" i="168"/>
  <c r="X19" i="168" s="1"/>
  <c r="K19" i="168"/>
  <c r="W19" i="168" s="1"/>
  <c r="J19" i="168"/>
  <c r="V19" i="168" s="1"/>
  <c r="I19" i="168"/>
  <c r="U19" i="168" s="1"/>
  <c r="H19" i="168"/>
  <c r="T19" i="168" s="1"/>
  <c r="G19" i="168"/>
  <c r="S19" i="168" s="1"/>
  <c r="F19" i="168"/>
  <c r="R19" i="168" s="1"/>
  <c r="E19" i="168"/>
  <c r="Q19" i="168" s="1"/>
  <c r="D19" i="168"/>
  <c r="P19" i="168" s="1"/>
  <c r="C19" i="168"/>
  <c r="O19" i="168" s="1"/>
  <c r="B19" i="168"/>
  <c r="N19" i="168" s="1"/>
  <c r="L18" i="168"/>
  <c r="X18" i="168" s="1"/>
  <c r="K18" i="168"/>
  <c r="W18" i="168" s="1"/>
  <c r="J18" i="168"/>
  <c r="V18" i="168" s="1"/>
  <c r="I18" i="168"/>
  <c r="U18" i="168" s="1"/>
  <c r="H18" i="168"/>
  <c r="T18" i="168" s="1"/>
  <c r="G18" i="168"/>
  <c r="S18" i="168" s="1"/>
  <c r="F18" i="168"/>
  <c r="R18" i="168" s="1"/>
  <c r="E18" i="168"/>
  <c r="Q18" i="168" s="1"/>
  <c r="D18" i="168"/>
  <c r="P18" i="168" s="1"/>
  <c r="C18" i="168"/>
  <c r="O18" i="168" s="1"/>
  <c r="B18" i="168"/>
  <c r="N18" i="168" s="1"/>
  <c r="L17" i="168"/>
  <c r="X17" i="168" s="1"/>
  <c r="K17" i="168"/>
  <c r="W17" i="168" s="1"/>
  <c r="J17" i="168"/>
  <c r="V17" i="168" s="1"/>
  <c r="I17" i="168"/>
  <c r="U17" i="168" s="1"/>
  <c r="H17" i="168"/>
  <c r="T17" i="168" s="1"/>
  <c r="G17" i="168"/>
  <c r="S17" i="168" s="1"/>
  <c r="F17" i="168"/>
  <c r="R17" i="168" s="1"/>
  <c r="E17" i="168"/>
  <c r="Q17" i="168" s="1"/>
  <c r="D17" i="168"/>
  <c r="P17" i="168" s="1"/>
  <c r="C17" i="168"/>
  <c r="O17" i="168" s="1"/>
  <c r="B17" i="168"/>
  <c r="N17" i="168" s="1"/>
  <c r="L16" i="168"/>
  <c r="X16" i="168" s="1"/>
  <c r="K16" i="168"/>
  <c r="W16" i="168" s="1"/>
  <c r="J16" i="168"/>
  <c r="V16" i="168" s="1"/>
  <c r="I16" i="168"/>
  <c r="U16" i="168" s="1"/>
  <c r="H16" i="168"/>
  <c r="T16" i="168" s="1"/>
  <c r="G16" i="168"/>
  <c r="S16" i="168" s="1"/>
  <c r="F16" i="168"/>
  <c r="R16" i="168" s="1"/>
  <c r="E16" i="168"/>
  <c r="Q16" i="168" s="1"/>
  <c r="D16" i="168"/>
  <c r="P16" i="168" s="1"/>
  <c r="C16" i="168"/>
  <c r="O16" i="168" s="1"/>
  <c r="B16" i="168"/>
  <c r="N16" i="168" s="1"/>
  <c r="L15" i="168"/>
  <c r="X15" i="168" s="1"/>
  <c r="K15" i="168"/>
  <c r="W15" i="168" s="1"/>
  <c r="J15" i="168"/>
  <c r="V15" i="168" s="1"/>
  <c r="I15" i="168"/>
  <c r="U15" i="168" s="1"/>
  <c r="H15" i="168"/>
  <c r="T15" i="168" s="1"/>
  <c r="G15" i="168"/>
  <c r="S15" i="168" s="1"/>
  <c r="F15" i="168"/>
  <c r="R15" i="168" s="1"/>
  <c r="E15" i="168"/>
  <c r="Q15" i="168" s="1"/>
  <c r="D15" i="168"/>
  <c r="P15" i="168" s="1"/>
  <c r="C15" i="168"/>
  <c r="O15" i="168" s="1"/>
  <c r="B15" i="168"/>
  <c r="N15" i="168" s="1"/>
  <c r="L14" i="168"/>
  <c r="X14" i="168" s="1"/>
  <c r="K14" i="168"/>
  <c r="W14" i="168" s="1"/>
  <c r="J14" i="168"/>
  <c r="V14" i="168" s="1"/>
  <c r="I14" i="168"/>
  <c r="U14" i="168" s="1"/>
  <c r="H14" i="168"/>
  <c r="T14" i="168" s="1"/>
  <c r="G14" i="168"/>
  <c r="S14" i="168" s="1"/>
  <c r="F14" i="168"/>
  <c r="R14" i="168" s="1"/>
  <c r="E14" i="168"/>
  <c r="Q14" i="168" s="1"/>
  <c r="D14" i="168"/>
  <c r="P14" i="168" s="1"/>
  <c r="C14" i="168"/>
  <c r="O14" i="168" s="1"/>
  <c r="B14" i="168"/>
  <c r="N14" i="168" s="1"/>
  <c r="V13" i="168"/>
  <c r="L13" i="168"/>
  <c r="X13" i="168" s="1"/>
  <c r="K13" i="168"/>
  <c r="W13" i="168" s="1"/>
  <c r="J13" i="168"/>
  <c r="I13" i="168"/>
  <c r="U13" i="168" s="1"/>
  <c r="H13" i="168"/>
  <c r="T13" i="168" s="1"/>
  <c r="G13" i="168"/>
  <c r="S13" i="168" s="1"/>
  <c r="F13" i="168"/>
  <c r="R13" i="168" s="1"/>
  <c r="E13" i="168"/>
  <c r="Q13" i="168" s="1"/>
  <c r="D13" i="168"/>
  <c r="P13" i="168" s="1"/>
  <c r="C13" i="168"/>
  <c r="O13" i="168" s="1"/>
  <c r="B13" i="168"/>
  <c r="N13" i="168" s="1"/>
  <c r="L12" i="168"/>
  <c r="X12" i="168" s="1"/>
  <c r="K12" i="168"/>
  <c r="W12" i="168" s="1"/>
  <c r="J12" i="168"/>
  <c r="V12" i="168" s="1"/>
  <c r="I12" i="168"/>
  <c r="U12" i="168" s="1"/>
  <c r="H12" i="168"/>
  <c r="T12" i="168" s="1"/>
  <c r="G12" i="168"/>
  <c r="S12" i="168" s="1"/>
  <c r="F12" i="168"/>
  <c r="R12" i="168" s="1"/>
  <c r="E12" i="168"/>
  <c r="Q12" i="168" s="1"/>
  <c r="D12" i="168"/>
  <c r="P12" i="168" s="1"/>
  <c r="C12" i="168"/>
  <c r="O12" i="168" s="1"/>
  <c r="B12" i="168"/>
  <c r="N12" i="168" s="1"/>
  <c r="L11" i="168"/>
  <c r="X11" i="168" s="1"/>
  <c r="K11" i="168"/>
  <c r="W11" i="168" s="1"/>
  <c r="J11" i="168"/>
  <c r="V11" i="168" s="1"/>
  <c r="I11" i="168"/>
  <c r="U11" i="168" s="1"/>
  <c r="H11" i="168"/>
  <c r="T11" i="168" s="1"/>
  <c r="G11" i="168"/>
  <c r="S11" i="168" s="1"/>
  <c r="F11" i="168"/>
  <c r="R11" i="168" s="1"/>
  <c r="E11" i="168"/>
  <c r="Q11" i="168" s="1"/>
  <c r="D11" i="168"/>
  <c r="P11" i="168" s="1"/>
  <c r="C11" i="168"/>
  <c r="O11" i="168" s="1"/>
  <c r="B11" i="168"/>
  <c r="N11" i="168" s="1"/>
  <c r="L10" i="168"/>
  <c r="X10" i="168" s="1"/>
  <c r="K10" i="168"/>
  <c r="W10" i="168" s="1"/>
  <c r="J10" i="168"/>
  <c r="V10" i="168" s="1"/>
  <c r="I10" i="168"/>
  <c r="U10" i="168" s="1"/>
  <c r="H10" i="168"/>
  <c r="T10" i="168" s="1"/>
  <c r="G10" i="168"/>
  <c r="S10" i="168" s="1"/>
  <c r="F10" i="168"/>
  <c r="R10" i="168" s="1"/>
  <c r="E10" i="168"/>
  <c r="Q10" i="168" s="1"/>
  <c r="D10" i="168"/>
  <c r="P10" i="168" s="1"/>
  <c r="C10" i="168"/>
  <c r="O10" i="168" s="1"/>
  <c r="B10" i="168"/>
  <c r="N10" i="168" s="1"/>
  <c r="L9" i="168"/>
  <c r="X9" i="168" s="1"/>
  <c r="K9" i="168"/>
  <c r="W9" i="168" s="1"/>
  <c r="J9" i="168"/>
  <c r="V9" i="168" s="1"/>
  <c r="I9" i="168"/>
  <c r="U9" i="168" s="1"/>
  <c r="H9" i="168"/>
  <c r="T9" i="168" s="1"/>
  <c r="G9" i="168"/>
  <c r="S9" i="168" s="1"/>
  <c r="F9" i="168"/>
  <c r="R9" i="168" s="1"/>
  <c r="E9" i="168"/>
  <c r="Q9" i="168" s="1"/>
  <c r="D9" i="168"/>
  <c r="P9" i="168" s="1"/>
  <c r="C9" i="168"/>
  <c r="O9" i="168" s="1"/>
  <c r="B9" i="168"/>
  <c r="N9" i="168" s="1"/>
  <c r="T8" i="168"/>
  <c r="L8" i="168"/>
  <c r="X8" i="168" s="1"/>
  <c r="K8" i="168"/>
  <c r="W8" i="168" s="1"/>
  <c r="J8" i="168"/>
  <c r="V8" i="168" s="1"/>
  <c r="I8" i="168"/>
  <c r="U8" i="168" s="1"/>
  <c r="H8" i="168"/>
  <c r="G8" i="168"/>
  <c r="S8" i="168" s="1"/>
  <c r="F8" i="168"/>
  <c r="R8" i="168" s="1"/>
  <c r="E8" i="168"/>
  <c r="Q8" i="168" s="1"/>
  <c r="D8" i="168"/>
  <c r="P8" i="168" s="1"/>
  <c r="C8" i="168"/>
  <c r="O8" i="168" s="1"/>
  <c r="B8" i="168"/>
  <c r="N8" i="168" s="1"/>
  <c r="L7" i="168"/>
  <c r="X7" i="168" s="1"/>
  <c r="K7" i="168"/>
  <c r="W7" i="168" s="1"/>
  <c r="J7" i="168"/>
  <c r="V7" i="168" s="1"/>
  <c r="I7" i="168"/>
  <c r="U7" i="168" s="1"/>
  <c r="H7" i="168"/>
  <c r="T7" i="168" s="1"/>
  <c r="G7" i="168"/>
  <c r="S7" i="168" s="1"/>
  <c r="F7" i="168"/>
  <c r="R7" i="168" s="1"/>
  <c r="E7" i="168"/>
  <c r="Q7" i="168" s="1"/>
  <c r="D7" i="168"/>
  <c r="P7" i="168" s="1"/>
  <c r="C7" i="168"/>
  <c r="O7" i="168" s="1"/>
  <c r="B7" i="168"/>
  <c r="N7" i="168" s="1"/>
  <c r="L6" i="168"/>
  <c r="X6" i="168" s="1"/>
  <c r="K6" i="168"/>
  <c r="W6" i="168" s="1"/>
  <c r="J6" i="168"/>
  <c r="V6" i="168" s="1"/>
  <c r="I6" i="168"/>
  <c r="U6" i="168" s="1"/>
  <c r="H6" i="168"/>
  <c r="T6" i="168" s="1"/>
  <c r="G6" i="168"/>
  <c r="S6" i="168" s="1"/>
  <c r="F6" i="168"/>
  <c r="R6" i="168" s="1"/>
  <c r="E6" i="168"/>
  <c r="Q6" i="168" s="1"/>
  <c r="D6" i="168"/>
  <c r="P6" i="168" s="1"/>
  <c r="C6" i="168"/>
  <c r="O6" i="168" s="1"/>
  <c r="B6" i="168"/>
  <c r="N6" i="168" s="1"/>
  <c r="V5" i="168"/>
  <c r="L5" i="168"/>
  <c r="X5" i="168" s="1"/>
  <c r="K5" i="168"/>
  <c r="W5" i="168" s="1"/>
  <c r="J5" i="168"/>
  <c r="I5" i="168"/>
  <c r="U5" i="168" s="1"/>
  <c r="H5" i="168"/>
  <c r="T5" i="168" s="1"/>
  <c r="G5" i="168"/>
  <c r="S5" i="168" s="1"/>
  <c r="F5" i="168"/>
  <c r="R5" i="168" s="1"/>
  <c r="E5" i="168"/>
  <c r="Q5" i="168" s="1"/>
  <c r="D5" i="168"/>
  <c r="P5" i="168" s="1"/>
  <c r="C5" i="168"/>
  <c r="O5" i="168" s="1"/>
  <c r="B5" i="168"/>
  <c r="N5" i="168" s="1"/>
  <c r="L4" i="168"/>
  <c r="X4" i="168" s="1"/>
  <c r="K4" i="168"/>
  <c r="W4" i="168" s="1"/>
  <c r="J4" i="168"/>
  <c r="V4" i="168" s="1"/>
  <c r="I4" i="168"/>
  <c r="U4" i="168" s="1"/>
  <c r="H4" i="168"/>
  <c r="T4" i="168" s="1"/>
  <c r="G4" i="168"/>
  <c r="S4" i="168" s="1"/>
  <c r="F4" i="168"/>
  <c r="R4" i="168" s="1"/>
  <c r="E4" i="168"/>
  <c r="Q4" i="168" s="1"/>
  <c r="D4" i="168"/>
  <c r="P4" i="168" s="1"/>
  <c r="C4" i="168"/>
  <c r="O4" i="168" s="1"/>
  <c r="B4" i="168"/>
  <c r="N4" i="168" s="1"/>
  <c r="L3" i="168"/>
  <c r="X3" i="168" s="1"/>
  <c r="K3" i="168"/>
  <c r="W3" i="168" s="1"/>
  <c r="J3" i="168"/>
  <c r="V3" i="168" s="1"/>
  <c r="I3" i="168"/>
  <c r="U3" i="168" s="1"/>
  <c r="H3" i="168"/>
  <c r="T3" i="168" s="1"/>
  <c r="G3" i="168"/>
  <c r="S3" i="168" s="1"/>
  <c r="F3" i="168"/>
  <c r="R3" i="168" s="1"/>
  <c r="E3" i="168"/>
  <c r="Q3" i="168" s="1"/>
  <c r="D3" i="168"/>
  <c r="P3" i="168" s="1"/>
  <c r="C3" i="168"/>
  <c r="O3" i="168" s="1"/>
  <c r="B3" i="168"/>
  <c r="N3" i="168" s="1"/>
  <c r="L2" i="168"/>
  <c r="X2" i="168" s="1"/>
  <c r="K2" i="168"/>
  <c r="W2" i="168" s="1"/>
  <c r="J2" i="168"/>
  <c r="V2" i="168" s="1"/>
  <c r="I2" i="168"/>
  <c r="U2" i="168" s="1"/>
  <c r="H2" i="168"/>
  <c r="T2" i="168" s="1"/>
  <c r="G2" i="168"/>
  <c r="S2" i="168" s="1"/>
  <c r="F2" i="168"/>
  <c r="R2" i="168" s="1"/>
  <c r="E2" i="168"/>
  <c r="Q2" i="168" s="1"/>
  <c r="D2" i="168"/>
  <c r="P2" i="168" s="1"/>
  <c r="C2" i="168"/>
  <c r="O2" i="168" s="1"/>
  <c r="B2" i="168"/>
  <c r="N2" i="168" s="1"/>
  <c r="A2" i="168"/>
  <c r="M134" i="147"/>
  <c r="L134" i="147"/>
  <c r="N134" i="147" s="1"/>
  <c r="K134" i="147"/>
  <c r="J134" i="147"/>
  <c r="I134" i="147"/>
  <c r="H134" i="147"/>
  <c r="G134" i="147"/>
  <c r="F134" i="147"/>
  <c r="E134" i="147"/>
  <c r="O117" i="147"/>
  <c r="D111" i="147"/>
  <c r="C111" i="147"/>
  <c r="AC63" i="147"/>
  <c r="AC62" i="147"/>
  <c r="AC61" i="147"/>
  <c r="AC60" i="147"/>
  <c r="AC59" i="147"/>
  <c r="AC58" i="147"/>
  <c r="AC57" i="147"/>
  <c r="AC56" i="147"/>
  <c r="AC65" i="147" s="1"/>
  <c r="B55" i="147"/>
  <c r="B54" i="147"/>
  <c r="B51" i="147"/>
  <c r="O48" i="147"/>
  <c r="M46" i="147"/>
  <c r="O46" i="147" s="1"/>
  <c r="O36" i="147"/>
  <c r="O134" i="147" s="1"/>
  <c r="E4" i="147"/>
  <c r="E107" i="117"/>
  <c r="E106" i="117"/>
  <c r="E104" i="117"/>
  <c r="E96" i="117"/>
  <c r="D91" i="117"/>
  <c r="E88" i="117"/>
  <c r="G87" i="117"/>
  <c r="F87" i="117"/>
  <c r="E87" i="117"/>
  <c r="D87" i="117"/>
  <c r="E49" i="117"/>
  <c r="E48" i="117"/>
  <c r="E47" i="117"/>
  <c r="E45" i="117"/>
  <c r="E44" i="117"/>
  <c r="E42" i="117"/>
  <c r="E41" i="117"/>
  <c r="C39" i="117"/>
  <c r="C75" i="117" s="1"/>
  <c r="C3" i="117"/>
  <c r="D294" i="100"/>
  <c r="T292" i="100"/>
  <c r="J292" i="100"/>
  <c r="T290" i="100"/>
  <c r="P290" i="100"/>
  <c r="J290" i="100"/>
  <c r="C283" i="100"/>
  <c r="W282" i="100"/>
  <c r="U268" i="100"/>
  <c r="K268" i="100"/>
  <c r="AI264" i="100"/>
  <c r="V264" i="100"/>
  <c r="T264" i="100"/>
  <c r="J264" i="100"/>
  <c r="D262" i="100"/>
  <c r="T260" i="100"/>
  <c r="J260" i="100"/>
  <c r="T258" i="100"/>
  <c r="J258" i="100"/>
  <c r="E257" i="100"/>
  <c r="E256" i="100"/>
  <c r="E255" i="100"/>
  <c r="E254" i="100"/>
  <c r="E253" i="100"/>
  <c r="Z252" i="100"/>
  <c r="T252" i="100"/>
  <c r="P252" i="100"/>
  <c r="J252" i="100"/>
  <c r="C251" i="100"/>
  <c r="W250" i="100"/>
  <c r="D235" i="100"/>
  <c r="J234" i="100"/>
  <c r="J232" i="100"/>
  <c r="E230" i="100"/>
  <c r="E229" i="100"/>
  <c r="E228" i="100"/>
  <c r="E227" i="100"/>
  <c r="E226" i="100"/>
  <c r="P224" i="100"/>
  <c r="J224" i="100"/>
  <c r="E211" i="100"/>
  <c r="D211" i="100"/>
  <c r="D209" i="100"/>
  <c r="T207" i="100"/>
  <c r="J207" i="100"/>
  <c r="T205" i="100"/>
  <c r="J205" i="100"/>
  <c r="C198" i="100"/>
  <c r="V177" i="100"/>
  <c r="T177" i="100"/>
  <c r="J177" i="100"/>
  <c r="D175" i="100"/>
  <c r="T173" i="100"/>
  <c r="J173" i="100"/>
  <c r="T171" i="100"/>
  <c r="J171" i="100"/>
  <c r="E170" i="100"/>
  <c r="E169" i="100"/>
  <c r="E168" i="100"/>
  <c r="E167" i="100"/>
  <c r="E166" i="100"/>
  <c r="Z165" i="100"/>
  <c r="T165" i="100"/>
  <c r="P165" i="100"/>
  <c r="J165" i="100"/>
  <c r="D148" i="100"/>
  <c r="T147" i="100"/>
  <c r="J147" i="100"/>
  <c r="T145" i="100"/>
  <c r="J145" i="100"/>
  <c r="J122" i="100"/>
  <c r="D122" i="100"/>
  <c r="J120" i="100"/>
  <c r="J95" i="100"/>
  <c r="D95" i="100"/>
  <c r="J93" i="100"/>
  <c r="J68" i="100"/>
  <c r="D67" i="100"/>
  <c r="J66" i="100"/>
  <c r="AX44" i="100"/>
  <c r="AG44" i="100"/>
  <c r="J42" i="100"/>
  <c r="D42" i="100"/>
  <c r="J40" i="100"/>
  <c r="E37" i="100"/>
  <c r="E36" i="100"/>
  <c r="E35" i="100"/>
  <c r="E34" i="100"/>
  <c r="E33" i="100"/>
  <c r="AX32" i="100"/>
  <c r="AG32" i="100"/>
  <c r="P32" i="100"/>
  <c r="J32" i="100"/>
  <c r="J15" i="100"/>
  <c r="D15" i="100"/>
  <c r="J13" i="100"/>
  <c r="C4" i="100"/>
  <c r="C31" i="100" s="1"/>
  <c r="Q64" i="10"/>
  <c r="P64" i="10"/>
  <c r="O64" i="10"/>
  <c r="N64" i="10"/>
  <c r="M64" i="10"/>
  <c r="L64" i="10"/>
  <c r="K64" i="10"/>
  <c r="J64" i="10"/>
  <c r="I64" i="10"/>
  <c r="Q63" i="10"/>
  <c r="P63" i="10"/>
  <c r="O63" i="10"/>
  <c r="N63" i="10"/>
  <c r="M63" i="10"/>
  <c r="L63" i="10"/>
  <c r="K63" i="10"/>
  <c r="J63" i="10"/>
  <c r="I63" i="10"/>
  <c r="Q61" i="10"/>
  <c r="P61" i="10"/>
  <c r="O61" i="10"/>
  <c r="N61" i="10"/>
  <c r="M61" i="10"/>
  <c r="L61" i="10"/>
  <c r="K61" i="10"/>
  <c r="J61" i="10"/>
  <c r="I61" i="10"/>
  <c r="Q60" i="10"/>
  <c r="P60" i="10"/>
  <c r="O60" i="10"/>
  <c r="N60" i="10"/>
  <c r="M60" i="10"/>
  <c r="L60" i="10"/>
  <c r="K60" i="10"/>
  <c r="J60" i="10"/>
  <c r="I60" i="10"/>
  <c r="D57" i="10"/>
  <c r="D56" i="10"/>
  <c r="D55" i="10"/>
  <c r="Q53" i="10"/>
  <c r="P53" i="10"/>
  <c r="O53" i="10"/>
  <c r="N53" i="10"/>
  <c r="M53" i="10"/>
  <c r="L53" i="10"/>
  <c r="K53" i="10"/>
  <c r="J53" i="10"/>
  <c r="I53" i="10"/>
  <c r="Q52" i="10"/>
  <c r="P52" i="10"/>
  <c r="O52" i="10"/>
  <c r="N52" i="10"/>
  <c r="M52" i="10"/>
  <c r="L52" i="10"/>
  <c r="K52" i="10"/>
  <c r="J52" i="10"/>
  <c r="I52" i="10"/>
  <c r="Q50" i="10"/>
  <c r="P50" i="10"/>
  <c r="O50" i="10"/>
  <c r="N50" i="10"/>
  <c r="M50" i="10"/>
  <c r="L50" i="10"/>
  <c r="K50" i="10"/>
  <c r="J50" i="10"/>
  <c r="I50" i="10"/>
  <c r="Q49" i="10"/>
  <c r="P49" i="10"/>
  <c r="O49" i="10"/>
  <c r="N49" i="10"/>
  <c r="M49" i="10"/>
  <c r="L49" i="10"/>
  <c r="K49" i="10"/>
  <c r="J49" i="10"/>
  <c r="I49" i="10"/>
  <c r="H49" i="10"/>
  <c r="Q48" i="10"/>
  <c r="P48" i="10"/>
  <c r="O48" i="10"/>
  <c r="N48" i="10"/>
  <c r="M48" i="10"/>
  <c r="L48" i="10"/>
  <c r="K48" i="10"/>
  <c r="J48" i="10"/>
  <c r="I48" i="10"/>
  <c r="Q46" i="10"/>
  <c r="P46" i="10"/>
  <c r="O46" i="10"/>
  <c r="N46" i="10"/>
  <c r="M46" i="10"/>
  <c r="L46" i="10"/>
  <c r="K46" i="10"/>
  <c r="J46" i="10"/>
  <c r="I46" i="10"/>
  <c r="Q45" i="10"/>
  <c r="P45" i="10"/>
  <c r="O45" i="10"/>
  <c r="N45" i="10"/>
  <c r="M45" i="10"/>
  <c r="L45" i="10"/>
  <c r="K45" i="10"/>
  <c r="J45" i="10"/>
  <c r="I45" i="10"/>
  <c r="Q44" i="10"/>
  <c r="P44" i="10"/>
  <c r="O44" i="10"/>
  <c r="N44" i="10"/>
  <c r="M44" i="10"/>
  <c r="L44" i="10"/>
  <c r="K44" i="10"/>
  <c r="J44" i="10"/>
  <c r="I44" i="10"/>
  <c r="H44" i="10"/>
  <c r="Q42" i="10"/>
  <c r="P42" i="10"/>
  <c r="O42" i="10"/>
  <c r="N42" i="10"/>
  <c r="M42" i="10"/>
  <c r="L42" i="10"/>
  <c r="K42" i="10"/>
  <c r="J42" i="10"/>
  <c r="I42" i="10"/>
  <c r="Q41" i="10"/>
  <c r="P41" i="10"/>
  <c r="O41" i="10"/>
  <c r="N41" i="10"/>
  <c r="M41" i="10"/>
  <c r="L41" i="10"/>
  <c r="K41" i="10"/>
  <c r="J41" i="10"/>
  <c r="I41" i="10"/>
  <c r="Q40" i="10"/>
  <c r="P40" i="10"/>
  <c r="O40" i="10"/>
  <c r="N40" i="10"/>
  <c r="M40" i="10"/>
  <c r="L40" i="10"/>
  <c r="K40" i="10"/>
  <c r="J40" i="10"/>
  <c r="I40" i="10"/>
  <c r="Q39" i="10"/>
  <c r="P39" i="10"/>
  <c r="O39" i="10"/>
  <c r="N39" i="10"/>
  <c r="M39" i="10"/>
  <c r="L39" i="10"/>
  <c r="K39" i="10"/>
  <c r="J39" i="10"/>
  <c r="I39" i="10"/>
  <c r="Q38" i="10"/>
  <c r="P38" i="10"/>
  <c r="O38" i="10"/>
  <c r="N38" i="10"/>
  <c r="M38" i="10"/>
  <c r="L38" i="10"/>
  <c r="K38" i="10"/>
  <c r="J38" i="10"/>
  <c r="I38" i="10"/>
  <c r="Q37" i="10"/>
  <c r="P37" i="10"/>
  <c r="O37" i="10"/>
  <c r="N37" i="10"/>
  <c r="M37" i="10"/>
  <c r="L37" i="10"/>
  <c r="K37" i="10"/>
  <c r="J37" i="10"/>
  <c r="I37" i="10"/>
  <c r="Q35" i="10"/>
  <c r="P35" i="10"/>
  <c r="O35" i="10"/>
  <c r="N35" i="10"/>
  <c r="M35" i="10"/>
  <c r="L35" i="10"/>
  <c r="K35" i="10"/>
  <c r="J35" i="10"/>
  <c r="I35" i="10"/>
  <c r="Q34" i="10"/>
  <c r="P34" i="10"/>
  <c r="O34" i="10"/>
  <c r="N34" i="10"/>
  <c r="M34" i="10"/>
  <c r="L34" i="10"/>
  <c r="K34" i="10"/>
  <c r="J34" i="10"/>
  <c r="I34" i="10"/>
  <c r="Q33" i="10"/>
  <c r="P33" i="10"/>
  <c r="O33" i="10"/>
  <c r="N33" i="10"/>
  <c r="M33" i="10"/>
  <c r="L33" i="10"/>
  <c r="K33" i="10"/>
  <c r="J33" i="10"/>
  <c r="I33" i="10"/>
  <c r="Q32" i="10"/>
  <c r="P32" i="10"/>
  <c r="O32" i="10"/>
  <c r="N32" i="10"/>
  <c r="M32" i="10"/>
  <c r="L32" i="10"/>
  <c r="K32" i="10"/>
  <c r="J32" i="10"/>
  <c r="I32" i="10"/>
  <c r="Q24" i="10"/>
  <c r="P24" i="10"/>
  <c r="O24" i="10"/>
  <c r="N24" i="10"/>
  <c r="M24" i="10"/>
  <c r="L24" i="10"/>
  <c r="K24" i="10"/>
  <c r="J24" i="10"/>
  <c r="I24" i="10"/>
  <c r="Q23" i="10"/>
  <c r="P23" i="10"/>
  <c r="O23" i="10"/>
  <c r="N23" i="10"/>
  <c r="M23" i="10"/>
  <c r="L23" i="10"/>
  <c r="K23" i="10"/>
  <c r="J23" i="10"/>
  <c r="I23" i="10"/>
  <c r="Q22" i="10"/>
  <c r="P22" i="10"/>
  <c r="O22" i="10"/>
  <c r="N22" i="10"/>
  <c r="M22" i="10"/>
  <c r="L22" i="10"/>
  <c r="K22" i="10"/>
  <c r="J22" i="10"/>
  <c r="I22" i="10"/>
  <c r="Q21" i="10"/>
  <c r="P21" i="10"/>
  <c r="O21" i="10"/>
  <c r="N21" i="10"/>
  <c r="M21" i="10"/>
  <c r="L21" i="10"/>
  <c r="K21" i="10"/>
  <c r="J21" i="10"/>
  <c r="I21" i="10"/>
  <c r="Q20" i="10"/>
  <c r="P20" i="10"/>
  <c r="O20" i="10"/>
  <c r="N20" i="10"/>
  <c r="M20" i="10"/>
  <c r="L20" i="10"/>
  <c r="K20" i="10"/>
  <c r="J20" i="10"/>
  <c r="I20" i="10"/>
  <c r="Q18" i="10"/>
  <c r="P18" i="10"/>
  <c r="O18" i="10"/>
  <c r="N18" i="10"/>
  <c r="M18" i="10"/>
  <c r="L18" i="10"/>
  <c r="K18" i="10"/>
  <c r="J18" i="10"/>
  <c r="I18" i="10"/>
  <c r="C18" i="10"/>
  <c r="Q17" i="10"/>
  <c r="P17" i="10"/>
  <c r="O17" i="10"/>
  <c r="N17" i="10"/>
  <c r="M17" i="10"/>
  <c r="L17" i="10"/>
  <c r="K17" i="10"/>
  <c r="J17" i="10"/>
  <c r="I17" i="10"/>
  <c r="C17" i="10"/>
  <c r="Q16" i="10"/>
  <c r="P16" i="10"/>
  <c r="O16" i="10"/>
  <c r="N16" i="10"/>
  <c r="M16" i="10"/>
  <c r="L16" i="10"/>
  <c r="K16" i="10"/>
  <c r="J16" i="10"/>
  <c r="I16" i="10"/>
  <c r="C16" i="10"/>
  <c r="Q15" i="10"/>
  <c r="P15" i="10"/>
  <c r="O15" i="10"/>
  <c r="N15" i="10"/>
  <c r="M15" i="10"/>
  <c r="L15" i="10"/>
  <c r="K15" i="10"/>
  <c r="J15" i="10"/>
  <c r="I15" i="10"/>
  <c r="C15" i="10"/>
  <c r="Q14" i="10"/>
  <c r="P14" i="10"/>
  <c r="O14" i="10"/>
  <c r="N14" i="10"/>
  <c r="M14" i="10"/>
  <c r="L14" i="10"/>
  <c r="K14" i="10"/>
  <c r="J14" i="10"/>
  <c r="I14" i="10"/>
  <c r="C14" i="10"/>
  <c r="Q13" i="10"/>
  <c r="P13" i="10"/>
  <c r="O13" i="10"/>
  <c r="N13" i="10"/>
  <c r="M13" i="10"/>
  <c r="L13" i="10"/>
  <c r="K13" i="10"/>
  <c r="J13" i="10"/>
  <c r="I13" i="10"/>
  <c r="C13" i="10"/>
  <c r="Q11" i="10"/>
  <c r="P11" i="10"/>
  <c r="O11" i="10"/>
  <c r="N11" i="10"/>
  <c r="M11" i="10"/>
  <c r="L11" i="10"/>
  <c r="K11" i="10"/>
  <c r="J11" i="10"/>
  <c r="I11" i="10"/>
  <c r="C11" i="10"/>
  <c r="C10" i="10"/>
  <c r="C9" i="10"/>
  <c r="C8" i="10"/>
  <c r="C7" i="10"/>
  <c r="Q6" i="10"/>
  <c r="P6" i="10"/>
  <c r="O6" i="10"/>
  <c r="N6" i="10"/>
  <c r="M6" i="10"/>
  <c r="L6" i="10"/>
  <c r="K6" i="10"/>
  <c r="J6" i="10"/>
  <c r="I6" i="10"/>
  <c r="H6" i="10"/>
  <c r="G6" i="10"/>
  <c r="V6" i="10" s="1"/>
  <c r="F6" i="10"/>
  <c r="C6" i="10"/>
  <c r="Q5" i="10"/>
  <c r="P5" i="10"/>
  <c r="O5" i="10"/>
  <c r="N5" i="10"/>
  <c r="M5" i="10"/>
  <c r="L5" i="10"/>
  <c r="K5" i="10"/>
  <c r="J5" i="10"/>
  <c r="I5" i="10"/>
  <c r="H5" i="10"/>
  <c r="H50" i="10" s="1"/>
  <c r="Q4" i="10"/>
  <c r="P4" i="10"/>
  <c r="O4" i="10"/>
  <c r="N4" i="10"/>
  <c r="M4" i="10"/>
  <c r="L4" i="10"/>
  <c r="K4" i="10"/>
  <c r="J4" i="10"/>
  <c r="I4" i="10"/>
  <c r="H4" i="10"/>
  <c r="G4" i="10"/>
  <c r="F4" i="10"/>
  <c r="I3" i="10"/>
  <c r="V67" i="30"/>
  <c r="U67" i="30"/>
  <c r="V66" i="30"/>
  <c r="U66" i="30"/>
  <c r="Q66" i="30"/>
  <c r="P66" i="30"/>
  <c r="O66" i="30"/>
  <c r="N66" i="30"/>
  <c r="V65" i="30"/>
  <c r="U65" i="30"/>
  <c r="Q65" i="30"/>
  <c r="P65" i="30"/>
  <c r="O65" i="30"/>
  <c r="N65" i="30"/>
  <c r="V64" i="30"/>
  <c r="U64" i="30"/>
  <c r="V63" i="30"/>
  <c r="U63" i="30"/>
  <c r="Q63" i="30"/>
  <c r="P63" i="30"/>
  <c r="O63" i="30"/>
  <c r="N63" i="30"/>
  <c r="V62" i="30"/>
  <c r="U62" i="30"/>
  <c r="Q62" i="30"/>
  <c r="P62" i="30"/>
  <c r="O62" i="30"/>
  <c r="N62" i="30"/>
  <c r="D59" i="30"/>
  <c r="D58" i="30"/>
  <c r="D57" i="30"/>
  <c r="V55" i="30"/>
  <c r="U55" i="30"/>
  <c r="Q55" i="30"/>
  <c r="P55" i="30"/>
  <c r="O55" i="30"/>
  <c r="N55" i="30"/>
  <c r="V54" i="30"/>
  <c r="U54" i="30"/>
  <c r="Q54" i="30"/>
  <c r="P54" i="30"/>
  <c r="O54" i="30"/>
  <c r="N54" i="30"/>
  <c r="V52" i="30"/>
  <c r="U52" i="30"/>
  <c r="S52" i="30"/>
  <c r="Q52" i="30"/>
  <c r="P52" i="30"/>
  <c r="O52" i="30"/>
  <c r="N52" i="30"/>
  <c r="V51" i="30"/>
  <c r="U51" i="30"/>
  <c r="Q51" i="30"/>
  <c r="P51" i="30"/>
  <c r="O51" i="30"/>
  <c r="N51" i="30"/>
  <c r="V50" i="30"/>
  <c r="U50" i="30"/>
  <c r="Q50" i="30"/>
  <c r="P50" i="30"/>
  <c r="O50" i="30"/>
  <c r="N50" i="30"/>
  <c r="V48" i="30"/>
  <c r="U48" i="30"/>
  <c r="S48" i="30"/>
  <c r="Q48" i="30"/>
  <c r="P48" i="30"/>
  <c r="O48" i="30"/>
  <c r="N48" i="30"/>
  <c r="V47" i="30"/>
  <c r="U47" i="30"/>
  <c r="Q47" i="30"/>
  <c r="P47" i="30"/>
  <c r="O47" i="30"/>
  <c r="N47" i="30"/>
  <c r="V46" i="30"/>
  <c r="U46" i="30"/>
  <c r="Q46" i="30"/>
  <c r="P46" i="30"/>
  <c r="O46" i="30"/>
  <c r="N46" i="30"/>
  <c r="Q44" i="30"/>
  <c r="P44" i="30"/>
  <c r="O44" i="30"/>
  <c r="N44" i="30"/>
  <c r="V43" i="30"/>
  <c r="U43" i="30"/>
  <c r="Q43" i="30"/>
  <c r="P43" i="30"/>
  <c r="O43" i="30"/>
  <c r="N43" i="30"/>
  <c r="V42" i="30"/>
  <c r="U42" i="30"/>
  <c r="Q42" i="30"/>
  <c r="P42" i="30"/>
  <c r="O42" i="30"/>
  <c r="N42" i="30"/>
  <c r="V41" i="30"/>
  <c r="U41" i="30"/>
  <c r="Q41" i="30"/>
  <c r="P41" i="30"/>
  <c r="O41" i="30"/>
  <c r="N41" i="30"/>
  <c r="V40" i="30"/>
  <c r="U40" i="30"/>
  <c r="Q40" i="30"/>
  <c r="P40" i="30"/>
  <c r="O40" i="30"/>
  <c r="N40" i="30"/>
  <c r="V39" i="30"/>
  <c r="U39" i="30"/>
  <c r="Q39" i="30"/>
  <c r="P39" i="30"/>
  <c r="O39" i="30"/>
  <c r="N39" i="30"/>
  <c r="Q37" i="30"/>
  <c r="P37" i="30"/>
  <c r="O37" i="30"/>
  <c r="N37" i="30"/>
  <c r="V36" i="30"/>
  <c r="U36" i="30"/>
  <c r="Q36" i="30"/>
  <c r="P36" i="30"/>
  <c r="O36" i="30"/>
  <c r="N36" i="30"/>
  <c r="V35" i="30"/>
  <c r="U35" i="30"/>
  <c r="Q35" i="30"/>
  <c r="P35" i="30"/>
  <c r="O35" i="30"/>
  <c r="N35" i="30"/>
  <c r="V34" i="30"/>
  <c r="U34" i="30"/>
  <c r="Q34" i="30"/>
  <c r="P34" i="30"/>
  <c r="O34" i="30"/>
  <c r="N34" i="30"/>
  <c r="Q26" i="30"/>
  <c r="P26" i="30"/>
  <c r="O26" i="30"/>
  <c r="N26" i="30"/>
  <c r="M26" i="30"/>
  <c r="L26" i="30"/>
  <c r="K26" i="30"/>
  <c r="J26" i="30"/>
  <c r="I26" i="30"/>
  <c r="V25" i="30"/>
  <c r="U25" i="30"/>
  <c r="V24" i="30"/>
  <c r="U24" i="30"/>
  <c r="V23" i="30"/>
  <c r="U23" i="30"/>
  <c r="Q23" i="30"/>
  <c r="P23" i="30"/>
  <c r="O23" i="30"/>
  <c r="N23" i="30"/>
  <c r="Q22" i="30"/>
  <c r="P22" i="30"/>
  <c r="O22" i="30"/>
  <c r="N22" i="30"/>
  <c r="Q21" i="30"/>
  <c r="P21" i="30"/>
  <c r="O21" i="30"/>
  <c r="N21" i="30"/>
  <c r="V20" i="30"/>
  <c r="U20" i="30"/>
  <c r="Q20" i="30"/>
  <c r="P20" i="30"/>
  <c r="O20" i="30"/>
  <c r="N20" i="30"/>
  <c r="V18" i="30"/>
  <c r="U18" i="30"/>
  <c r="Q18" i="30"/>
  <c r="P18" i="30"/>
  <c r="O18" i="30"/>
  <c r="N18" i="30"/>
  <c r="C18" i="30"/>
  <c r="V17" i="30"/>
  <c r="U17" i="30"/>
  <c r="Q17" i="30"/>
  <c r="P17" i="30"/>
  <c r="O17" i="30"/>
  <c r="N17" i="30"/>
  <c r="C17" i="30"/>
  <c r="V16" i="30"/>
  <c r="U16" i="30"/>
  <c r="Q16" i="30"/>
  <c r="P16" i="30"/>
  <c r="O16" i="30"/>
  <c r="N16" i="30"/>
  <c r="C16" i="30"/>
  <c r="V15" i="30"/>
  <c r="U15" i="30"/>
  <c r="Q15" i="30"/>
  <c r="P15" i="30"/>
  <c r="O15" i="30"/>
  <c r="N15" i="30"/>
  <c r="C15" i="30"/>
  <c r="V14" i="30"/>
  <c r="U14" i="30"/>
  <c r="Q14" i="30"/>
  <c r="P14" i="30"/>
  <c r="O14" i="30"/>
  <c r="N14" i="30"/>
  <c r="C14" i="30"/>
  <c r="V13" i="30"/>
  <c r="U13" i="30"/>
  <c r="Q13" i="30"/>
  <c r="P13" i="30"/>
  <c r="O13" i="30"/>
  <c r="N13" i="30"/>
  <c r="C13" i="30"/>
  <c r="C11" i="30"/>
  <c r="C10" i="30"/>
  <c r="C9" i="30"/>
  <c r="C8" i="30"/>
  <c r="C7" i="30"/>
  <c r="Q6" i="30"/>
  <c r="P6" i="30"/>
  <c r="O6" i="30"/>
  <c r="N6" i="30"/>
  <c r="M6" i="30"/>
  <c r="L6" i="30"/>
  <c r="K6" i="30"/>
  <c r="J6" i="30"/>
  <c r="I6" i="30"/>
  <c r="H6" i="30"/>
  <c r="G6" i="30"/>
  <c r="F6" i="30"/>
  <c r="C6" i="30"/>
  <c r="Q5" i="30"/>
  <c r="P5" i="30"/>
  <c r="O5" i="30"/>
  <c r="N5" i="30"/>
  <c r="M5" i="30"/>
  <c r="L5" i="30"/>
  <c r="K5" i="30"/>
  <c r="J5" i="30"/>
  <c r="I5" i="30"/>
  <c r="H5" i="30"/>
  <c r="G5" i="30"/>
  <c r="F5" i="30"/>
  <c r="F26" i="30" s="1"/>
  <c r="Q4" i="30"/>
  <c r="P4" i="30"/>
  <c r="O4" i="30"/>
  <c r="N4" i="30"/>
  <c r="M4" i="30"/>
  <c r="L4" i="30"/>
  <c r="K4" i="30"/>
  <c r="J4" i="30"/>
  <c r="I4" i="30"/>
  <c r="H4" i="30"/>
  <c r="G4" i="30"/>
  <c r="F4" i="30"/>
  <c r="I3" i="30"/>
  <c r="C1" i="30"/>
  <c r="Q64" i="20"/>
  <c r="P64" i="20"/>
  <c r="O64" i="20"/>
  <c r="N64" i="20"/>
  <c r="M64" i="20"/>
  <c r="L64" i="20"/>
  <c r="K64" i="20"/>
  <c r="J64" i="20"/>
  <c r="I64" i="20"/>
  <c r="Q61" i="20"/>
  <c r="P61" i="20"/>
  <c r="O61" i="20"/>
  <c r="N61" i="20"/>
  <c r="M61" i="20"/>
  <c r="L61" i="20"/>
  <c r="K61" i="20"/>
  <c r="J61" i="20"/>
  <c r="I61" i="20"/>
  <c r="F61" i="20"/>
  <c r="D57" i="20"/>
  <c r="D56" i="20"/>
  <c r="D55" i="20"/>
  <c r="Q53" i="20"/>
  <c r="P53" i="20"/>
  <c r="O53" i="20"/>
  <c r="N53" i="20"/>
  <c r="M53" i="20"/>
  <c r="L53" i="20"/>
  <c r="K53" i="20"/>
  <c r="J53" i="20"/>
  <c r="I53" i="20"/>
  <c r="D35" i="117" s="1"/>
  <c r="F53" i="20"/>
  <c r="Q52" i="20"/>
  <c r="P52" i="20"/>
  <c r="O52" i="20"/>
  <c r="N52" i="20"/>
  <c r="M52" i="20"/>
  <c r="L52" i="20"/>
  <c r="K52" i="20"/>
  <c r="J52" i="20"/>
  <c r="I52" i="20"/>
  <c r="D34" i="117" s="1"/>
  <c r="F52" i="20"/>
  <c r="R50" i="20"/>
  <c r="Q50" i="20"/>
  <c r="P50" i="20"/>
  <c r="O50" i="20"/>
  <c r="N50" i="20"/>
  <c r="M50" i="20"/>
  <c r="L50" i="20"/>
  <c r="K50" i="20"/>
  <c r="J50" i="20"/>
  <c r="I50" i="20"/>
  <c r="H50" i="20"/>
  <c r="U50" i="20" s="1"/>
  <c r="G50" i="20"/>
  <c r="V50" i="20" s="1"/>
  <c r="F50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V46" i="20"/>
  <c r="R46" i="20"/>
  <c r="Q46" i="20"/>
  <c r="P46" i="20"/>
  <c r="O46" i="20"/>
  <c r="N46" i="20"/>
  <c r="M46" i="20"/>
  <c r="L46" i="20"/>
  <c r="K46" i="20"/>
  <c r="J46" i="20"/>
  <c r="I46" i="20"/>
  <c r="H46" i="20"/>
  <c r="U46" i="20" s="1"/>
  <c r="G46" i="20"/>
  <c r="S46" i="20" s="1"/>
  <c r="F46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Q42" i="20"/>
  <c r="P42" i="20"/>
  <c r="O42" i="20"/>
  <c r="N42" i="20"/>
  <c r="M42" i="20"/>
  <c r="L42" i="20"/>
  <c r="K42" i="20"/>
  <c r="J42" i="20"/>
  <c r="I42" i="20"/>
  <c r="D32" i="117" s="1"/>
  <c r="Q41" i="20"/>
  <c r="P41" i="20"/>
  <c r="O41" i="20"/>
  <c r="N41" i="20"/>
  <c r="M41" i="20"/>
  <c r="L41" i="20"/>
  <c r="K41" i="20"/>
  <c r="J41" i="20"/>
  <c r="I41" i="20"/>
  <c r="D31" i="117" s="1"/>
  <c r="Q40" i="20"/>
  <c r="P40" i="20"/>
  <c r="O40" i="20"/>
  <c r="N40" i="20"/>
  <c r="M40" i="20"/>
  <c r="L40" i="20"/>
  <c r="K40" i="20"/>
  <c r="J40" i="20"/>
  <c r="I40" i="20"/>
  <c r="D30" i="117" s="1"/>
  <c r="Q39" i="20"/>
  <c r="P39" i="20"/>
  <c r="O39" i="20"/>
  <c r="N39" i="20"/>
  <c r="M39" i="20"/>
  <c r="L39" i="20"/>
  <c r="K39" i="20"/>
  <c r="J39" i="20"/>
  <c r="I39" i="20"/>
  <c r="D29" i="117" s="1"/>
  <c r="Q38" i="20"/>
  <c r="P38" i="20"/>
  <c r="O38" i="20"/>
  <c r="N38" i="20"/>
  <c r="M38" i="20"/>
  <c r="L38" i="20"/>
  <c r="K38" i="20"/>
  <c r="J38" i="20"/>
  <c r="I38" i="20"/>
  <c r="D28" i="117" s="1"/>
  <c r="Q37" i="20"/>
  <c r="P37" i="20"/>
  <c r="O37" i="20"/>
  <c r="N37" i="20"/>
  <c r="M37" i="20"/>
  <c r="L37" i="20"/>
  <c r="K37" i="20"/>
  <c r="J37" i="20"/>
  <c r="I37" i="20"/>
  <c r="Q35" i="20"/>
  <c r="P35" i="20"/>
  <c r="O35" i="20"/>
  <c r="N35" i="20"/>
  <c r="M35" i="20"/>
  <c r="L35" i="20"/>
  <c r="K35" i="20"/>
  <c r="J35" i="20"/>
  <c r="I35" i="20"/>
  <c r="D25" i="117" s="1"/>
  <c r="Q34" i="20"/>
  <c r="P34" i="20"/>
  <c r="O34" i="20"/>
  <c r="N34" i="20"/>
  <c r="M34" i="20"/>
  <c r="L34" i="20"/>
  <c r="K34" i="20"/>
  <c r="J34" i="20"/>
  <c r="I34" i="20"/>
  <c r="D24" i="117" s="1"/>
  <c r="Q33" i="20"/>
  <c r="P33" i="20"/>
  <c r="O33" i="20"/>
  <c r="N33" i="20"/>
  <c r="M33" i="20"/>
  <c r="L33" i="20"/>
  <c r="K33" i="20"/>
  <c r="J33" i="20"/>
  <c r="I33" i="20"/>
  <c r="D23" i="117" s="1"/>
  <c r="Q32" i="20"/>
  <c r="P32" i="20"/>
  <c r="O32" i="20"/>
  <c r="N32" i="20"/>
  <c r="M32" i="20"/>
  <c r="L32" i="20"/>
  <c r="K32" i="20"/>
  <c r="J32" i="20"/>
  <c r="I32" i="20"/>
  <c r="D22" i="117" s="1"/>
  <c r="Q30" i="20"/>
  <c r="P30" i="20"/>
  <c r="O30" i="20"/>
  <c r="N30" i="20"/>
  <c r="M30" i="20"/>
  <c r="L30" i="20"/>
  <c r="K30" i="20"/>
  <c r="J30" i="20"/>
  <c r="I30" i="20"/>
  <c r="H30" i="20"/>
  <c r="G30" i="20"/>
  <c r="F30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Q24" i="20"/>
  <c r="P24" i="20"/>
  <c r="O24" i="20"/>
  <c r="N24" i="20"/>
  <c r="M24" i="20"/>
  <c r="L24" i="20"/>
  <c r="K24" i="20"/>
  <c r="J24" i="20"/>
  <c r="I24" i="20"/>
  <c r="D20" i="117" s="1"/>
  <c r="Q23" i="20"/>
  <c r="P23" i="20"/>
  <c r="O23" i="20"/>
  <c r="N23" i="20"/>
  <c r="M23" i="20"/>
  <c r="L23" i="20"/>
  <c r="K23" i="20"/>
  <c r="J23" i="20"/>
  <c r="I23" i="20"/>
  <c r="D19" i="117" s="1"/>
  <c r="Q20" i="20"/>
  <c r="Q21" i="20" s="1"/>
  <c r="P20" i="20"/>
  <c r="O20" i="20"/>
  <c r="N20" i="20"/>
  <c r="N21" i="20" s="1"/>
  <c r="M20" i="20"/>
  <c r="L20" i="20"/>
  <c r="L21" i="20" s="1"/>
  <c r="K20" i="20"/>
  <c r="K21" i="20" s="1"/>
  <c r="J20" i="20"/>
  <c r="I20" i="20"/>
  <c r="D16" i="117" s="1"/>
  <c r="F20" i="20"/>
  <c r="Q18" i="20"/>
  <c r="P18" i="20"/>
  <c r="O18" i="20"/>
  <c r="N18" i="20"/>
  <c r="M18" i="20"/>
  <c r="L18" i="20"/>
  <c r="K18" i="20"/>
  <c r="J18" i="20"/>
  <c r="I18" i="20"/>
  <c r="D12" i="117" s="1"/>
  <c r="Q17" i="20"/>
  <c r="Q63" i="20" s="1"/>
  <c r="P17" i="20"/>
  <c r="P63" i="20" s="1"/>
  <c r="O17" i="20"/>
  <c r="O63" i="20" s="1"/>
  <c r="N17" i="20"/>
  <c r="N63" i="20" s="1"/>
  <c r="M17" i="20"/>
  <c r="M63" i="20" s="1"/>
  <c r="L17" i="20"/>
  <c r="L63" i="20" s="1"/>
  <c r="K17" i="20"/>
  <c r="K63" i="20" s="1"/>
  <c r="J17" i="20"/>
  <c r="J63" i="20" s="1"/>
  <c r="I17" i="20"/>
  <c r="I63" i="20" s="1"/>
  <c r="Q15" i="20"/>
  <c r="Q60" i="20" s="1"/>
  <c r="P15" i="20"/>
  <c r="P60" i="20" s="1"/>
  <c r="O15" i="20"/>
  <c r="O60" i="20" s="1"/>
  <c r="N15" i="20"/>
  <c r="N60" i="20" s="1"/>
  <c r="M15" i="20"/>
  <c r="M60" i="20" s="1"/>
  <c r="L15" i="20"/>
  <c r="L60" i="20" s="1"/>
  <c r="K15" i="20"/>
  <c r="K60" i="20" s="1"/>
  <c r="J15" i="20"/>
  <c r="J60" i="20" s="1"/>
  <c r="I15" i="20"/>
  <c r="I60" i="20" s="1"/>
  <c r="F15" i="20"/>
  <c r="Q11" i="20"/>
  <c r="P11" i="20"/>
  <c r="O11" i="20"/>
  <c r="N11" i="20"/>
  <c r="M11" i="20"/>
  <c r="L11" i="20"/>
  <c r="K11" i="20"/>
  <c r="J11" i="20"/>
  <c r="I11" i="20"/>
  <c r="D15" i="117" s="1"/>
  <c r="F11" i="20"/>
  <c r="S11" i="20" s="1"/>
  <c r="C141" i="32" s="1"/>
  <c r="E141" i="32" s="1"/>
  <c r="F141" i="32" s="1"/>
  <c r="C11" i="20"/>
  <c r="C10" i="20"/>
  <c r="C9" i="20"/>
  <c r="C8" i="20"/>
  <c r="C7" i="20"/>
  <c r="Q6" i="20"/>
  <c r="P6" i="20"/>
  <c r="N6" i="20"/>
  <c r="M6" i="20"/>
  <c r="L6" i="20"/>
  <c r="K6" i="20"/>
  <c r="J6" i="20"/>
  <c r="I6" i="20"/>
  <c r="H6" i="20"/>
  <c r="G6" i="20"/>
  <c r="F6" i="20"/>
  <c r="C6" i="20"/>
  <c r="Q5" i="20"/>
  <c r="P5" i="20"/>
  <c r="O5" i="20"/>
  <c r="N5" i="20"/>
  <c r="M5" i="20"/>
  <c r="L5" i="20"/>
  <c r="K5" i="20"/>
  <c r="J5" i="20"/>
  <c r="I5" i="20"/>
  <c r="H5" i="20"/>
  <c r="G5" i="20"/>
  <c r="G5" i="10" s="1"/>
  <c r="F5" i="20"/>
  <c r="F5" i="10" s="1"/>
  <c r="Q4" i="20"/>
  <c r="P4" i="20"/>
  <c r="O4" i="20"/>
  <c r="N4" i="20"/>
  <c r="M4" i="20"/>
  <c r="L4" i="20"/>
  <c r="K4" i="20"/>
  <c r="J4" i="20"/>
  <c r="I4" i="20"/>
  <c r="H4" i="20"/>
  <c r="G4" i="20"/>
  <c r="F4" i="20"/>
  <c r="F40" i="20" s="1"/>
  <c r="I3" i="20"/>
  <c r="D71" i="92"/>
  <c r="C71" i="92"/>
  <c r="B71" i="92"/>
  <c r="A71" i="92"/>
  <c r="D70" i="92"/>
  <c r="C70" i="92"/>
  <c r="B70" i="92"/>
  <c r="A70" i="92"/>
  <c r="D34" i="92"/>
  <c r="C34" i="92"/>
  <c r="B34" i="92"/>
  <c r="A34" i="92"/>
  <c r="D33" i="92"/>
  <c r="C33" i="92"/>
  <c r="B33" i="92"/>
  <c r="A33" i="92"/>
  <c r="C32" i="92"/>
  <c r="E89" i="115"/>
  <c r="I87" i="115"/>
  <c r="G87" i="115"/>
  <c r="I86" i="115"/>
  <c r="G86" i="115"/>
  <c r="I85" i="115"/>
  <c r="G85" i="115"/>
  <c r="D50" i="115"/>
  <c r="M42" i="115"/>
  <c r="K42" i="115"/>
  <c r="I42" i="115"/>
  <c r="I38" i="136"/>
  <c r="F38" i="136"/>
  <c r="G38" i="136" s="1"/>
  <c r="H38" i="136" s="1"/>
  <c r="E38" i="136"/>
  <c r="D38" i="136"/>
  <c r="I37" i="136"/>
  <c r="F37" i="136"/>
  <c r="E37" i="136"/>
  <c r="D37" i="136"/>
  <c r="I36" i="136"/>
  <c r="I21" i="136"/>
  <c r="I20" i="136"/>
  <c r="I19" i="136"/>
  <c r="P14" i="136"/>
  <c r="AE42" i="153"/>
  <c r="AD42" i="153"/>
  <c r="AC42" i="153"/>
  <c r="AB42" i="153"/>
  <c r="AA42" i="153"/>
  <c r="Z42" i="153"/>
  <c r="Y42" i="153"/>
  <c r="X42" i="153"/>
  <c r="W42" i="153"/>
  <c r="V42" i="153"/>
  <c r="U42" i="153"/>
  <c r="T42" i="153"/>
  <c r="AE41" i="153"/>
  <c r="AD41" i="153"/>
  <c r="AC41" i="153"/>
  <c r="AB41" i="153"/>
  <c r="AA41" i="153"/>
  <c r="Z41" i="153"/>
  <c r="Y41" i="153"/>
  <c r="X41" i="153"/>
  <c r="W41" i="153"/>
  <c r="V41" i="153"/>
  <c r="U41" i="153"/>
  <c r="T41" i="153"/>
  <c r="AE40" i="153"/>
  <c r="AD40" i="153"/>
  <c r="AC40" i="153"/>
  <c r="AB40" i="153"/>
  <c r="AA40" i="153"/>
  <c r="Z40" i="153"/>
  <c r="Y40" i="153"/>
  <c r="X40" i="153"/>
  <c r="W40" i="153"/>
  <c r="V40" i="153"/>
  <c r="U40" i="153"/>
  <c r="T40" i="153"/>
  <c r="AE39" i="153"/>
  <c r="AD39" i="153"/>
  <c r="AC39" i="153"/>
  <c r="AB39" i="153"/>
  <c r="AA39" i="153"/>
  <c r="Z39" i="153"/>
  <c r="Y39" i="153"/>
  <c r="X39" i="153"/>
  <c r="W39" i="153"/>
  <c r="V39" i="153"/>
  <c r="U39" i="153"/>
  <c r="T39" i="153"/>
  <c r="AE38" i="153"/>
  <c r="AD38" i="153"/>
  <c r="AC38" i="153"/>
  <c r="AB38" i="153"/>
  <c r="AA38" i="153"/>
  <c r="Z38" i="153"/>
  <c r="Y38" i="153"/>
  <c r="X38" i="153"/>
  <c r="W38" i="153"/>
  <c r="V38" i="153"/>
  <c r="U38" i="153"/>
  <c r="T38" i="153"/>
  <c r="AE37" i="153"/>
  <c r="AD37" i="153"/>
  <c r="AC37" i="153"/>
  <c r="AB37" i="153"/>
  <c r="AA37" i="153"/>
  <c r="Z37" i="153"/>
  <c r="Y37" i="153"/>
  <c r="X37" i="153"/>
  <c r="W37" i="153"/>
  <c r="V37" i="153"/>
  <c r="U37" i="153"/>
  <c r="T37" i="153"/>
  <c r="AE36" i="153"/>
  <c r="AD36" i="153"/>
  <c r="AC36" i="153"/>
  <c r="AB36" i="153"/>
  <c r="AA36" i="153"/>
  <c r="Z36" i="153"/>
  <c r="Y36" i="153"/>
  <c r="X36" i="153"/>
  <c r="W36" i="153"/>
  <c r="V36" i="153"/>
  <c r="U36" i="153"/>
  <c r="T36" i="153"/>
  <c r="AE35" i="153"/>
  <c r="AD35" i="153"/>
  <c r="AC35" i="153"/>
  <c r="AB35" i="153"/>
  <c r="AA35" i="153"/>
  <c r="Z35" i="153"/>
  <c r="Y35" i="153"/>
  <c r="X35" i="153"/>
  <c r="W35" i="153"/>
  <c r="V35" i="153"/>
  <c r="U35" i="153"/>
  <c r="T35" i="153"/>
  <c r="AE34" i="153"/>
  <c r="AD34" i="153"/>
  <c r="AC34" i="153"/>
  <c r="AB34" i="153"/>
  <c r="AA34" i="153"/>
  <c r="Z34" i="153"/>
  <c r="Y34" i="153"/>
  <c r="X34" i="153"/>
  <c r="W34" i="153"/>
  <c r="V34" i="153"/>
  <c r="U34" i="153"/>
  <c r="T34" i="153"/>
  <c r="AE33" i="153"/>
  <c r="AD33" i="153"/>
  <c r="AC33" i="153"/>
  <c r="AB33" i="153"/>
  <c r="AA33" i="153"/>
  <c r="Z33" i="153"/>
  <c r="Y33" i="153"/>
  <c r="X33" i="153"/>
  <c r="W33" i="153"/>
  <c r="V33" i="153"/>
  <c r="U33" i="153"/>
  <c r="T33" i="153"/>
  <c r="AE32" i="153"/>
  <c r="AD32" i="153"/>
  <c r="AC32" i="153"/>
  <c r="AB32" i="153"/>
  <c r="AA32" i="153"/>
  <c r="Z32" i="153"/>
  <c r="Y32" i="153"/>
  <c r="X32" i="153"/>
  <c r="W32" i="153"/>
  <c r="V32" i="153"/>
  <c r="U32" i="153"/>
  <c r="T32" i="153"/>
  <c r="AE31" i="153"/>
  <c r="AD31" i="153"/>
  <c r="AC31" i="153"/>
  <c r="AB31" i="153"/>
  <c r="AA31" i="153"/>
  <c r="Z31" i="153"/>
  <c r="Y31" i="153"/>
  <c r="X31" i="153"/>
  <c r="W31" i="153"/>
  <c r="V31" i="153"/>
  <c r="U31" i="153"/>
  <c r="T31" i="153"/>
  <c r="AE30" i="153"/>
  <c r="AD30" i="153"/>
  <c r="AC30" i="153"/>
  <c r="AB30" i="153"/>
  <c r="AA30" i="153"/>
  <c r="Z30" i="153"/>
  <c r="Y30" i="153"/>
  <c r="X30" i="153"/>
  <c r="W30" i="153"/>
  <c r="V30" i="153"/>
  <c r="U30" i="153"/>
  <c r="T30" i="153"/>
  <c r="AE29" i="153"/>
  <c r="AD29" i="153"/>
  <c r="AC29" i="153"/>
  <c r="AB29" i="153"/>
  <c r="AA29" i="153"/>
  <c r="Z29" i="153"/>
  <c r="Y29" i="153"/>
  <c r="X29" i="153"/>
  <c r="W29" i="153"/>
  <c r="V29" i="153"/>
  <c r="U29" i="153"/>
  <c r="T29" i="153"/>
  <c r="AE28" i="153"/>
  <c r="AD28" i="153"/>
  <c r="AC28" i="153"/>
  <c r="AB28" i="153"/>
  <c r="AA28" i="153"/>
  <c r="Z28" i="153"/>
  <c r="Y28" i="153"/>
  <c r="X28" i="153"/>
  <c r="W28" i="153"/>
  <c r="V28" i="153"/>
  <c r="U28" i="153"/>
  <c r="T28" i="153"/>
  <c r="AE27" i="153"/>
  <c r="AD27" i="153"/>
  <c r="AC27" i="153"/>
  <c r="AB27" i="153"/>
  <c r="AA27" i="153"/>
  <c r="Z27" i="153"/>
  <c r="Y27" i="153"/>
  <c r="X27" i="153"/>
  <c r="W27" i="153"/>
  <c r="V27" i="153"/>
  <c r="U27" i="153"/>
  <c r="T27" i="153"/>
  <c r="AE26" i="153"/>
  <c r="AD26" i="153"/>
  <c r="AC26" i="153"/>
  <c r="AB26" i="153"/>
  <c r="AA26" i="153"/>
  <c r="Z26" i="153"/>
  <c r="Y26" i="153"/>
  <c r="X26" i="153"/>
  <c r="W26" i="153"/>
  <c r="V26" i="153"/>
  <c r="U26" i="153"/>
  <c r="T26" i="153"/>
  <c r="AE25" i="153"/>
  <c r="AD25" i="153"/>
  <c r="AC25" i="153"/>
  <c r="AB25" i="153"/>
  <c r="AA25" i="153"/>
  <c r="Z25" i="153"/>
  <c r="Y25" i="153"/>
  <c r="X25" i="153"/>
  <c r="W25" i="153"/>
  <c r="V25" i="153"/>
  <c r="U25" i="153"/>
  <c r="T25" i="153"/>
  <c r="AE24" i="153"/>
  <c r="AD24" i="153"/>
  <c r="AC24" i="153"/>
  <c r="AB24" i="153"/>
  <c r="AA24" i="153"/>
  <c r="Z24" i="153"/>
  <c r="Y24" i="153"/>
  <c r="X24" i="153"/>
  <c r="W24" i="153"/>
  <c r="V24" i="153"/>
  <c r="U24" i="153"/>
  <c r="T24" i="153"/>
  <c r="AE23" i="153"/>
  <c r="AD23" i="153"/>
  <c r="AC23" i="153"/>
  <c r="AB23" i="153"/>
  <c r="AA23" i="153"/>
  <c r="Z23" i="153"/>
  <c r="Y23" i="153"/>
  <c r="X23" i="153"/>
  <c r="W23" i="153"/>
  <c r="V23" i="153"/>
  <c r="U23" i="153"/>
  <c r="T23" i="153"/>
  <c r="AE22" i="153"/>
  <c r="AD22" i="153"/>
  <c r="AC22" i="153"/>
  <c r="AB22" i="153"/>
  <c r="AA22" i="153"/>
  <c r="Z22" i="153"/>
  <c r="Y22" i="153"/>
  <c r="X22" i="153"/>
  <c r="W22" i="153"/>
  <c r="V22" i="153"/>
  <c r="U22" i="153"/>
  <c r="T22" i="153"/>
  <c r="AE21" i="153"/>
  <c r="AD21" i="153"/>
  <c r="AC21" i="153"/>
  <c r="AB21" i="153"/>
  <c r="AA21" i="153"/>
  <c r="Z21" i="153"/>
  <c r="Y21" i="153"/>
  <c r="X21" i="153"/>
  <c r="W21" i="153"/>
  <c r="V21" i="153"/>
  <c r="U21" i="153"/>
  <c r="T21" i="153"/>
  <c r="AE20" i="153"/>
  <c r="AD20" i="153"/>
  <c r="AC20" i="153"/>
  <c r="AB20" i="153"/>
  <c r="AA20" i="153"/>
  <c r="Z20" i="153"/>
  <c r="Y20" i="153"/>
  <c r="X20" i="153"/>
  <c r="W20" i="153"/>
  <c r="V20" i="153"/>
  <c r="U20" i="153"/>
  <c r="T20" i="153"/>
  <c r="AE19" i="153"/>
  <c r="AD19" i="153"/>
  <c r="AC19" i="153"/>
  <c r="AB19" i="153"/>
  <c r="AA19" i="153"/>
  <c r="Z19" i="153"/>
  <c r="Y19" i="153"/>
  <c r="X19" i="153"/>
  <c r="W19" i="153"/>
  <c r="V19" i="153"/>
  <c r="U19" i="153"/>
  <c r="T19" i="153"/>
  <c r="AE18" i="153"/>
  <c r="AD18" i="153"/>
  <c r="AC18" i="153"/>
  <c r="AB18" i="153"/>
  <c r="AA18" i="153"/>
  <c r="Z18" i="153"/>
  <c r="Y18" i="153"/>
  <c r="X18" i="153"/>
  <c r="W18" i="153"/>
  <c r="V18" i="153"/>
  <c r="U18" i="153"/>
  <c r="T18" i="153"/>
  <c r="AE17" i="153"/>
  <c r="AD17" i="153"/>
  <c r="AC17" i="153"/>
  <c r="AB17" i="153"/>
  <c r="AA17" i="153"/>
  <c r="Z17" i="153"/>
  <c r="Y17" i="153"/>
  <c r="X17" i="153"/>
  <c r="W17" i="153"/>
  <c r="V17" i="153"/>
  <c r="U17" i="153"/>
  <c r="T17" i="153"/>
  <c r="AE16" i="153"/>
  <c r="AD16" i="153"/>
  <c r="AC16" i="153"/>
  <c r="AB16" i="153"/>
  <c r="AA16" i="153"/>
  <c r="Z16" i="153"/>
  <c r="Y16" i="153"/>
  <c r="X16" i="153"/>
  <c r="W16" i="153"/>
  <c r="V16" i="153"/>
  <c r="U16" i="153"/>
  <c r="T16" i="153"/>
  <c r="AE15" i="153"/>
  <c r="AD15" i="153"/>
  <c r="AC15" i="153"/>
  <c r="AB15" i="153"/>
  <c r="AA15" i="153"/>
  <c r="Z15" i="153"/>
  <c r="Y15" i="153"/>
  <c r="X15" i="153"/>
  <c r="W15" i="153"/>
  <c r="V15" i="153"/>
  <c r="U15" i="153"/>
  <c r="T15" i="153"/>
  <c r="AE14" i="153"/>
  <c r="AD14" i="153"/>
  <c r="AC14" i="153"/>
  <c r="AB14" i="153"/>
  <c r="AA14" i="153"/>
  <c r="Z14" i="153"/>
  <c r="Y14" i="153"/>
  <c r="X14" i="153"/>
  <c r="W14" i="153"/>
  <c r="V14" i="153"/>
  <c r="U14" i="153"/>
  <c r="T14" i="153"/>
  <c r="AE13" i="153"/>
  <c r="AD13" i="153"/>
  <c r="AC13" i="153"/>
  <c r="AB13" i="153"/>
  <c r="AA13" i="153"/>
  <c r="Z13" i="153"/>
  <c r="Y13" i="153"/>
  <c r="X13" i="153"/>
  <c r="W13" i="153"/>
  <c r="V13" i="153"/>
  <c r="U13" i="153"/>
  <c r="T13" i="153"/>
  <c r="AE12" i="153"/>
  <c r="AD12" i="153"/>
  <c r="AC12" i="153"/>
  <c r="AB12" i="153"/>
  <c r="AA12" i="153"/>
  <c r="Z12" i="153"/>
  <c r="Y12" i="153"/>
  <c r="X12" i="153"/>
  <c r="W12" i="153"/>
  <c r="V12" i="153"/>
  <c r="U12" i="153"/>
  <c r="T12" i="153"/>
  <c r="AE11" i="153"/>
  <c r="AD11" i="153"/>
  <c r="AC11" i="153"/>
  <c r="AB11" i="153"/>
  <c r="AA11" i="153"/>
  <c r="Z11" i="153"/>
  <c r="Y11" i="153"/>
  <c r="X11" i="153"/>
  <c r="W11" i="153"/>
  <c r="V11" i="153"/>
  <c r="U11" i="153"/>
  <c r="T11" i="153"/>
  <c r="AE10" i="153"/>
  <c r="AD10" i="153"/>
  <c r="AC10" i="153"/>
  <c r="AB10" i="153"/>
  <c r="AA10" i="153"/>
  <c r="Z10" i="153"/>
  <c r="Y10" i="153"/>
  <c r="X10" i="153"/>
  <c r="W10" i="153"/>
  <c r="V10" i="153"/>
  <c r="U10" i="153"/>
  <c r="T10" i="153"/>
  <c r="BA474" i="152"/>
  <c r="AW474" i="152"/>
  <c r="BL472" i="152"/>
  <c r="BK472" i="152"/>
  <c r="BJ472" i="152"/>
  <c r="BI472" i="152"/>
  <c r="BH472" i="152"/>
  <c r="BG472" i="152"/>
  <c r="BF472" i="152"/>
  <c r="BE472" i="152"/>
  <c r="BD472" i="152"/>
  <c r="BC472" i="152"/>
  <c r="BB472" i="152"/>
  <c r="BA472" i="152"/>
  <c r="AZ472" i="152"/>
  <c r="AY472" i="152"/>
  <c r="AX472" i="152"/>
  <c r="A472" i="152"/>
  <c r="BL471" i="152"/>
  <c r="BK471" i="152"/>
  <c r="BJ471" i="152"/>
  <c r="BI471" i="152"/>
  <c r="BH471" i="152"/>
  <c r="BG471" i="152"/>
  <c r="BF471" i="152"/>
  <c r="BE471" i="152"/>
  <c r="BD471" i="152"/>
  <c r="BC471" i="152"/>
  <c r="BB471" i="152"/>
  <c r="BA471" i="152"/>
  <c r="AZ471" i="152"/>
  <c r="AY471" i="152"/>
  <c r="AX471" i="152"/>
  <c r="A471" i="152"/>
  <c r="BL470" i="152"/>
  <c r="BK470" i="152"/>
  <c r="BJ470" i="152"/>
  <c r="BI470" i="152"/>
  <c r="BH470" i="152"/>
  <c r="BG470" i="152"/>
  <c r="BF470" i="152"/>
  <c r="BE470" i="152"/>
  <c r="BD470" i="152"/>
  <c r="BC470" i="152"/>
  <c r="BB470" i="152"/>
  <c r="BA470" i="152"/>
  <c r="AZ470" i="152"/>
  <c r="AY470" i="152"/>
  <c r="AX470" i="152"/>
  <c r="A470" i="152"/>
  <c r="BL469" i="152"/>
  <c r="BK469" i="152"/>
  <c r="BJ469" i="152"/>
  <c r="BI469" i="152"/>
  <c r="BH469" i="152"/>
  <c r="BG469" i="152"/>
  <c r="BF469" i="152"/>
  <c r="BE469" i="152"/>
  <c r="BD469" i="152"/>
  <c r="BC469" i="152"/>
  <c r="BB469" i="152"/>
  <c r="BA469" i="152"/>
  <c r="AZ469" i="152"/>
  <c r="AY469" i="152"/>
  <c r="AX469" i="152"/>
  <c r="A469" i="152"/>
  <c r="BL468" i="152"/>
  <c r="BK468" i="152"/>
  <c r="BJ468" i="152"/>
  <c r="BI468" i="152"/>
  <c r="BH468" i="152"/>
  <c r="BG468" i="152"/>
  <c r="BF468" i="152"/>
  <c r="BE468" i="152"/>
  <c r="BD468" i="152"/>
  <c r="BC468" i="152"/>
  <c r="BB468" i="152"/>
  <c r="BA468" i="152"/>
  <c r="AZ468" i="152"/>
  <c r="AY468" i="152"/>
  <c r="AX468" i="152"/>
  <c r="A468" i="152"/>
  <c r="BL467" i="152"/>
  <c r="BK467" i="152"/>
  <c r="BJ467" i="152"/>
  <c r="BI467" i="152"/>
  <c r="BH467" i="152"/>
  <c r="BG467" i="152"/>
  <c r="BF467" i="152"/>
  <c r="BE467" i="152"/>
  <c r="BD467" i="152"/>
  <c r="BC467" i="152"/>
  <c r="BB467" i="152"/>
  <c r="BA467" i="152"/>
  <c r="AZ467" i="152"/>
  <c r="AY467" i="152"/>
  <c r="AX467" i="152"/>
  <c r="A467" i="152"/>
  <c r="BL466" i="152"/>
  <c r="BK466" i="152"/>
  <c r="BJ466" i="152"/>
  <c r="BI466" i="152"/>
  <c r="BH466" i="152"/>
  <c r="BG466" i="152"/>
  <c r="BF466" i="152"/>
  <c r="BE466" i="152"/>
  <c r="BD466" i="152"/>
  <c r="BC466" i="152"/>
  <c r="BB466" i="152"/>
  <c r="BA466" i="152"/>
  <c r="AZ466" i="152"/>
  <c r="AY466" i="152"/>
  <c r="AX466" i="152"/>
  <c r="A466" i="152"/>
  <c r="BL465" i="152"/>
  <c r="BK465" i="152"/>
  <c r="BJ465" i="152"/>
  <c r="BI465" i="152"/>
  <c r="BH465" i="152"/>
  <c r="BG465" i="152"/>
  <c r="BF465" i="152"/>
  <c r="BE465" i="152"/>
  <c r="BD465" i="152"/>
  <c r="BC465" i="152"/>
  <c r="BB465" i="152"/>
  <c r="BA465" i="152"/>
  <c r="AZ465" i="152"/>
  <c r="AY465" i="152"/>
  <c r="AX465" i="152"/>
  <c r="A465" i="152"/>
  <c r="BL464" i="152"/>
  <c r="BK464" i="152"/>
  <c r="BJ464" i="152"/>
  <c r="BI464" i="152"/>
  <c r="BH464" i="152"/>
  <c r="BG464" i="152"/>
  <c r="BF464" i="152"/>
  <c r="BE464" i="152"/>
  <c r="BD464" i="152"/>
  <c r="BC464" i="152"/>
  <c r="BB464" i="152"/>
  <c r="BA464" i="152"/>
  <c r="AZ464" i="152"/>
  <c r="AY464" i="152"/>
  <c r="AX464" i="152"/>
  <c r="A464" i="152"/>
  <c r="BL463" i="152"/>
  <c r="BK463" i="152"/>
  <c r="BJ463" i="152"/>
  <c r="BI463" i="152"/>
  <c r="BH463" i="152"/>
  <c r="BG463" i="152"/>
  <c r="BF463" i="152"/>
  <c r="BE463" i="152"/>
  <c r="BD463" i="152"/>
  <c r="BC463" i="152"/>
  <c r="BB463" i="152"/>
  <c r="BA463" i="152"/>
  <c r="AZ463" i="152"/>
  <c r="AY463" i="152"/>
  <c r="AX463" i="152"/>
  <c r="A463" i="152"/>
  <c r="BL462" i="152"/>
  <c r="BK462" i="152"/>
  <c r="BJ462" i="152"/>
  <c r="BI462" i="152"/>
  <c r="BH462" i="152"/>
  <c r="BG462" i="152"/>
  <c r="BF462" i="152"/>
  <c r="BE462" i="152"/>
  <c r="BD462" i="152"/>
  <c r="BC462" i="152"/>
  <c r="BB462" i="152"/>
  <c r="BA462" i="152"/>
  <c r="AZ462" i="152"/>
  <c r="AY462" i="152"/>
  <c r="AX462" i="152"/>
  <c r="A462" i="152"/>
  <c r="BL461" i="152"/>
  <c r="BK461" i="152"/>
  <c r="BJ461" i="152"/>
  <c r="BI461" i="152"/>
  <c r="BH461" i="152"/>
  <c r="BG461" i="152"/>
  <c r="BF461" i="152"/>
  <c r="BE461" i="152"/>
  <c r="BD461" i="152"/>
  <c r="BC461" i="152"/>
  <c r="BB461" i="152"/>
  <c r="BA461" i="152"/>
  <c r="AZ461" i="152"/>
  <c r="AY461" i="152"/>
  <c r="AX461" i="152"/>
  <c r="A461" i="152"/>
  <c r="BL460" i="152"/>
  <c r="BK460" i="152"/>
  <c r="BJ460" i="152"/>
  <c r="BI460" i="152"/>
  <c r="BH460" i="152"/>
  <c r="BG460" i="152"/>
  <c r="BF460" i="152"/>
  <c r="BE460" i="152"/>
  <c r="BD460" i="152"/>
  <c r="BC460" i="152"/>
  <c r="BB460" i="152"/>
  <c r="BA460" i="152"/>
  <c r="AZ460" i="152"/>
  <c r="AY460" i="152"/>
  <c r="AX460" i="152"/>
  <c r="A460" i="152"/>
  <c r="BL459" i="152"/>
  <c r="BK459" i="152"/>
  <c r="BJ459" i="152"/>
  <c r="BI459" i="152"/>
  <c r="BH459" i="152"/>
  <c r="BG459" i="152"/>
  <c r="BF459" i="152"/>
  <c r="BE459" i="152"/>
  <c r="BD459" i="152"/>
  <c r="BC459" i="152"/>
  <c r="BB459" i="152"/>
  <c r="BA459" i="152"/>
  <c r="AZ459" i="152"/>
  <c r="AY459" i="152"/>
  <c r="AX459" i="152"/>
  <c r="A459" i="152"/>
  <c r="BL458" i="152"/>
  <c r="BK458" i="152"/>
  <c r="BJ458" i="152"/>
  <c r="BI458" i="152"/>
  <c r="BH458" i="152"/>
  <c r="BG458" i="152"/>
  <c r="BF458" i="152"/>
  <c r="BE458" i="152"/>
  <c r="BD458" i="152"/>
  <c r="BC458" i="152"/>
  <c r="BB458" i="152"/>
  <c r="BA458" i="152"/>
  <c r="AZ458" i="152"/>
  <c r="AY458" i="152"/>
  <c r="AX458" i="152"/>
  <c r="A458" i="152"/>
  <c r="BL457" i="152"/>
  <c r="BK457" i="152"/>
  <c r="BJ457" i="152"/>
  <c r="BI457" i="152"/>
  <c r="BH457" i="152"/>
  <c r="BG457" i="152"/>
  <c r="BF457" i="152"/>
  <c r="BE457" i="152"/>
  <c r="BD457" i="152"/>
  <c r="BC457" i="152"/>
  <c r="BB457" i="152"/>
  <c r="BA457" i="152"/>
  <c r="AZ457" i="152"/>
  <c r="AY457" i="152"/>
  <c r="AX457" i="152"/>
  <c r="A457" i="152"/>
  <c r="BL456" i="152"/>
  <c r="BK456" i="152"/>
  <c r="BJ456" i="152"/>
  <c r="BI456" i="152"/>
  <c r="BH456" i="152"/>
  <c r="BG456" i="152"/>
  <c r="BF456" i="152"/>
  <c r="BE456" i="152"/>
  <c r="BD456" i="152"/>
  <c r="BC456" i="152"/>
  <c r="BB456" i="152"/>
  <c r="BA456" i="152"/>
  <c r="AZ456" i="152"/>
  <c r="AY456" i="152"/>
  <c r="AX456" i="152"/>
  <c r="A456" i="152"/>
  <c r="BL455" i="152"/>
  <c r="BK455" i="152"/>
  <c r="BJ455" i="152"/>
  <c r="BI455" i="152"/>
  <c r="BH455" i="152"/>
  <c r="BG455" i="152"/>
  <c r="BF455" i="152"/>
  <c r="BE455" i="152"/>
  <c r="BD455" i="152"/>
  <c r="BC455" i="152"/>
  <c r="BB455" i="152"/>
  <c r="BA455" i="152"/>
  <c r="AZ455" i="152"/>
  <c r="AY455" i="152"/>
  <c r="AX455" i="152"/>
  <c r="A455" i="152"/>
  <c r="BL454" i="152"/>
  <c r="BK454" i="152"/>
  <c r="BJ454" i="152"/>
  <c r="BI454" i="152"/>
  <c r="BH454" i="152"/>
  <c r="BG454" i="152"/>
  <c r="BF454" i="152"/>
  <c r="BE454" i="152"/>
  <c r="BD454" i="152"/>
  <c r="BC454" i="152"/>
  <c r="BB454" i="152"/>
  <c r="BA454" i="152"/>
  <c r="AZ454" i="152"/>
  <c r="AY454" i="152"/>
  <c r="AX454" i="152"/>
  <c r="A454" i="152"/>
  <c r="BL453" i="152"/>
  <c r="BK453" i="152"/>
  <c r="BJ453" i="152"/>
  <c r="BI453" i="152"/>
  <c r="BH453" i="152"/>
  <c r="BG453" i="152"/>
  <c r="BF453" i="152"/>
  <c r="BE453" i="152"/>
  <c r="BD453" i="152"/>
  <c r="BC453" i="152"/>
  <c r="BB453" i="152"/>
  <c r="BA453" i="152"/>
  <c r="AZ453" i="152"/>
  <c r="AY453" i="152"/>
  <c r="AX453" i="152"/>
  <c r="A453" i="152"/>
  <c r="BL452" i="152"/>
  <c r="BK452" i="152"/>
  <c r="BJ452" i="152"/>
  <c r="BI452" i="152"/>
  <c r="BH452" i="152"/>
  <c r="BG452" i="152"/>
  <c r="BF452" i="152"/>
  <c r="BE452" i="152"/>
  <c r="BD452" i="152"/>
  <c r="BC452" i="152"/>
  <c r="BB452" i="152"/>
  <c r="BA452" i="152"/>
  <c r="AZ452" i="152"/>
  <c r="AY452" i="152"/>
  <c r="AX452" i="152"/>
  <c r="A452" i="152"/>
  <c r="BL451" i="152"/>
  <c r="BK451" i="152"/>
  <c r="BJ451" i="152"/>
  <c r="BI451" i="152"/>
  <c r="BH451" i="152"/>
  <c r="BG451" i="152"/>
  <c r="BF451" i="152"/>
  <c r="BE451" i="152"/>
  <c r="BD451" i="152"/>
  <c r="BC451" i="152"/>
  <c r="BB451" i="152"/>
  <c r="BA451" i="152"/>
  <c r="AZ451" i="152"/>
  <c r="AY451" i="152"/>
  <c r="AX451" i="152"/>
  <c r="A451" i="152"/>
  <c r="BL450" i="152"/>
  <c r="BK450" i="152"/>
  <c r="BJ450" i="152"/>
  <c r="BI450" i="152"/>
  <c r="BH450" i="152"/>
  <c r="BG450" i="152"/>
  <c r="BF450" i="152"/>
  <c r="BE450" i="152"/>
  <c r="BD450" i="152"/>
  <c r="BC450" i="152"/>
  <c r="BB450" i="152"/>
  <c r="BA450" i="152"/>
  <c r="AZ450" i="152"/>
  <c r="AY450" i="152"/>
  <c r="AX450" i="152"/>
  <c r="A450" i="152"/>
  <c r="BL449" i="152"/>
  <c r="BK449" i="152"/>
  <c r="BJ449" i="152"/>
  <c r="BI449" i="152"/>
  <c r="BH449" i="152"/>
  <c r="BG449" i="152"/>
  <c r="BF449" i="152"/>
  <c r="BE449" i="152"/>
  <c r="BD449" i="152"/>
  <c r="BC449" i="152"/>
  <c r="BB449" i="152"/>
  <c r="BA449" i="152"/>
  <c r="AZ449" i="152"/>
  <c r="AY449" i="152"/>
  <c r="AX449" i="152"/>
  <c r="A449" i="152"/>
  <c r="BL448" i="152"/>
  <c r="BK448" i="152"/>
  <c r="BJ448" i="152"/>
  <c r="BI448" i="152"/>
  <c r="BH448" i="152"/>
  <c r="BG448" i="152"/>
  <c r="BF448" i="152"/>
  <c r="BE448" i="152"/>
  <c r="BD448" i="152"/>
  <c r="BC448" i="152"/>
  <c r="BB448" i="152"/>
  <c r="BA448" i="152"/>
  <c r="AZ448" i="152"/>
  <c r="AY448" i="152"/>
  <c r="AX448" i="152"/>
  <c r="A448" i="152"/>
  <c r="BL447" i="152"/>
  <c r="BK447" i="152"/>
  <c r="BJ447" i="152"/>
  <c r="BI447" i="152"/>
  <c r="BH447" i="152"/>
  <c r="BG447" i="152"/>
  <c r="BF447" i="152"/>
  <c r="BE447" i="152"/>
  <c r="BD447" i="152"/>
  <c r="BC447" i="152"/>
  <c r="BB447" i="152"/>
  <c r="BA447" i="152"/>
  <c r="AZ447" i="152"/>
  <c r="AY447" i="152"/>
  <c r="AX447" i="152"/>
  <c r="A447" i="152"/>
  <c r="BL446" i="152"/>
  <c r="BK446" i="152"/>
  <c r="BJ446" i="152"/>
  <c r="BI446" i="152"/>
  <c r="BH446" i="152"/>
  <c r="BG446" i="152"/>
  <c r="BF446" i="152"/>
  <c r="BE446" i="152"/>
  <c r="BD446" i="152"/>
  <c r="BC446" i="152"/>
  <c r="BB446" i="152"/>
  <c r="BA446" i="152"/>
  <c r="AZ446" i="152"/>
  <c r="AY446" i="152"/>
  <c r="AX446" i="152"/>
  <c r="A446" i="152"/>
  <c r="BL445" i="152"/>
  <c r="BK445" i="152"/>
  <c r="BJ445" i="152"/>
  <c r="BI445" i="152"/>
  <c r="BH445" i="152"/>
  <c r="BG445" i="152"/>
  <c r="BF445" i="152"/>
  <c r="BE445" i="152"/>
  <c r="BD445" i="152"/>
  <c r="BC445" i="152"/>
  <c r="BB445" i="152"/>
  <c r="BA445" i="152"/>
  <c r="AZ445" i="152"/>
  <c r="AY445" i="152"/>
  <c r="AX445" i="152"/>
  <c r="A445" i="152"/>
  <c r="BL444" i="152"/>
  <c r="BK444" i="152"/>
  <c r="BJ444" i="152"/>
  <c r="BI444" i="152"/>
  <c r="BH444" i="152"/>
  <c r="BG444" i="152"/>
  <c r="BF444" i="152"/>
  <c r="BE444" i="152"/>
  <c r="BD444" i="152"/>
  <c r="BC444" i="152"/>
  <c r="BB444" i="152"/>
  <c r="BA444" i="152"/>
  <c r="AZ444" i="152"/>
  <c r="AY444" i="152"/>
  <c r="AX444" i="152"/>
  <c r="A444" i="152"/>
  <c r="BL443" i="152"/>
  <c r="BK443" i="152"/>
  <c r="BJ443" i="152"/>
  <c r="BI443" i="152"/>
  <c r="BH443" i="152"/>
  <c r="BG443" i="152"/>
  <c r="BF443" i="152"/>
  <c r="BE443" i="152"/>
  <c r="BD443" i="152"/>
  <c r="BC443" i="152"/>
  <c r="BB443" i="152"/>
  <c r="BA443" i="152"/>
  <c r="AZ443" i="152"/>
  <c r="AY443" i="152"/>
  <c r="AX443" i="152"/>
  <c r="A443" i="152"/>
  <c r="BL442" i="152"/>
  <c r="BK442" i="152"/>
  <c r="BJ442" i="152"/>
  <c r="BI442" i="152"/>
  <c r="BH442" i="152"/>
  <c r="BG442" i="152"/>
  <c r="BF442" i="152"/>
  <c r="BE442" i="152"/>
  <c r="BD442" i="152"/>
  <c r="BC442" i="152"/>
  <c r="BB442" i="152"/>
  <c r="BA442" i="152"/>
  <c r="AZ442" i="152"/>
  <c r="AY442" i="152"/>
  <c r="AX442" i="152"/>
  <c r="A442" i="152"/>
  <c r="BL441" i="152"/>
  <c r="BK441" i="152"/>
  <c r="BJ441" i="152"/>
  <c r="BI441" i="152"/>
  <c r="BH441" i="152"/>
  <c r="BG441" i="152"/>
  <c r="BF441" i="152"/>
  <c r="BE441" i="152"/>
  <c r="BD441" i="152"/>
  <c r="BC441" i="152"/>
  <c r="BB441" i="152"/>
  <c r="BA441" i="152"/>
  <c r="AZ441" i="152"/>
  <c r="AY441" i="152"/>
  <c r="AX441" i="152"/>
  <c r="A441" i="152"/>
  <c r="BL440" i="152"/>
  <c r="BK440" i="152"/>
  <c r="BJ440" i="152"/>
  <c r="BI440" i="152"/>
  <c r="BH440" i="152"/>
  <c r="BG440" i="152"/>
  <c r="BF440" i="152"/>
  <c r="BE440" i="152"/>
  <c r="BD440" i="152"/>
  <c r="BC440" i="152"/>
  <c r="BB440" i="152"/>
  <c r="BA440" i="152"/>
  <c r="AZ440" i="152"/>
  <c r="AY440" i="152"/>
  <c r="AX440" i="152"/>
  <c r="A440" i="152"/>
  <c r="BL439" i="152"/>
  <c r="BK439" i="152"/>
  <c r="BJ439" i="152"/>
  <c r="BI439" i="152"/>
  <c r="BH439" i="152"/>
  <c r="BG439" i="152"/>
  <c r="BF439" i="152"/>
  <c r="BE439" i="152"/>
  <c r="BD439" i="152"/>
  <c r="BC439" i="152"/>
  <c r="BB439" i="152"/>
  <c r="BA439" i="152"/>
  <c r="AZ439" i="152"/>
  <c r="AY439" i="152"/>
  <c r="AX439" i="152"/>
  <c r="A439" i="152"/>
  <c r="BL438" i="152"/>
  <c r="BK438" i="152"/>
  <c r="BJ438" i="152"/>
  <c r="BI438" i="152"/>
  <c r="BH438" i="152"/>
  <c r="BG438" i="152"/>
  <c r="BF438" i="152"/>
  <c r="BE438" i="152"/>
  <c r="BD438" i="152"/>
  <c r="BC438" i="152"/>
  <c r="BB438" i="152"/>
  <c r="BA438" i="152"/>
  <c r="AZ438" i="152"/>
  <c r="AY438" i="152"/>
  <c r="AX438" i="152"/>
  <c r="A438" i="152"/>
  <c r="BL437" i="152"/>
  <c r="BK437" i="152"/>
  <c r="BJ437" i="152"/>
  <c r="BI437" i="152"/>
  <c r="BH437" i="152"/>
  <c r="BG437" i="152"/>
  <c r="BF437" i="152"/>
  <c r="BE437" i="152"/>
  <c r="BD437" i="152"/>
  <c r="BC437" i="152"/>
  <c r="BB437" i="152"/>
  <c r="BA437" i="152"/>
  <c r="AZ437" i="152"/>
  <c r="AY437" i="152"/>
  <c r="AX437" i="152"/>
  <c r="A437" i="152"/>
  <c r="BL436" i="152"/>
  <c r="BK436" i="152"/>
  <c r="BJ436" i="152"/>
  <c r="BI436" i="152"/>
  <c r="BH436" i="152"/>
  <c r="BG436" i="152"/>
  <c r="BF436" i="152"/>
  <c r="BE436" i="152"/>
  <c r="BD436" i="152"/>
  <c r="BC436" i="152"/>
  <c r="BB436" i="152"/>
  <c r="BA436" i="152"/>
  <c r="AZ436" i="152"/>
  <c r="AY436" i="152"/>
  <c r="AX436" i="152"/>
  <c r="A436" i="152"/>
  <c r="BL435" i="152"/>
  <c r="BK435" i="152"/>
  <c r="BJ435" i="152"/>
  <c r="BI435" i="152"/>
  <c r="BH435" i="152"/>
  <c r="BG435" i="152"/>
  <c r="BF435" i="152"/>
  <c r="BE435" i="152"/>
  <c r="BD435" i="152"/>
  <c r="BC435" i="152"/>
  <c r="BB435" i="152"/>
  <c r="BA435" i="152"/>
  <c r="AZ435" i="152"/>
  <c r="AY435" i="152"/>
  <c r="AX435" i="152"/>
  <c r="A435" i="152"/>
  <c r="BL434" i="152"/>
  <c r="BK434" i="152"/>
  <c r="BJ434" i="152"/>
  <c r="BI434" i="152"/>
  <c r="BH434" i="152"/>
  <c r="BG434" i="152"/>
  <c r="BF434" i="152"/>
  <c r="BE434" i="152"/>
  <c r="BD434" i="152"/>
  <c r="BC434" i="152"/>
  <c r="BB434" i="152"/>
  <c r="BA434" i="152"/>
  <c r="AZ434" i="152"/>
  <c r="AY434" i="152"/>
  <c r="AX434" i="152"/>
  <c r="A434" i="152"/>
  <c r="BL433" i="152"/>
  <c r="BK433" i="152"/>
  <c r="BJ433" i="152"/>
  <c r="BI433" i="152"/>
  <c r="BH433" i="152"/>
  <c r="BG433" i="152"/>
  <c r="BF433" i="152"/>
  <c r="BE433" i="152"/>
  <c r="BD433" i="152"/>
  <c r="BC433" i="152"/>
  <c r="BB433" i="152"/>
  <c r="BA433" i="152"/>
  <c r="AZ433" i="152"/>
  <c r="AY433" i="152"/>
  <c r="AX433" i="152"/>
  <c r="A433" i="152"/>
  <c r="BL432" i="152"/>
  <c r="BK432" i="152"/>
  <c r="BJ432" i="152"/>
  <c r="BI432" i="152"/>
  <c r="BH432" i="152"/>
  <c r="BG432" i="152"/>
  <c r="BF432" i="152"/>
  <c r="BE432" i="152"/>
  <c r="BD432" i="152"/>
  <c r="BC432" i="152"/>
  <c r="BB432" i="152"/>
  <c r="BA432" i="152"/>
  <c r="AZ432" i="152"/>
  <c r="AY432" i="152"/>
  <c r="AX432" i="152"/>
  <c r="A432" i="152"/>
  <c r="BL431" i="152"/>
  <c r="BK431" i="152"/>
  <c r="BJ431" i="152"/>
  <c r="BI431" i="152"/>
  <c r="BH431" i="152"/>
  <c r="BG431" i="152"/>
  <c r="BF431" i="152"/>
  <c r="BE431" i="152"/>
  <c r="BD431" i="152"/>
  <c r="BC431" i="152"/>
  <c r="BB431" i="152"/>
  <c r="BA431" i="152"/>
  <c r="AZ431" i="152"/>
  <c r="AY431" i="152"/>
  <c r="AX431" i="152"/>
  <c r="A431" i="152"/>
  <c r="BL430" i="152"/>
  <c r="BK430" i="152"/>
  <c r="BJ430" i="152"/>
  <c r="BI430" i="152"/>
  <c r="BH430" i="152"/>
  <c r="BG430" i="152"/>
  <c r="BF430" i="152"/>
  <c r="BE430" i="152"/>
  <c r="BD430" i="152"/>
  <c r="BC430" i="152"/>
  <c r="BB430" i="152"/>
  <c r="BA430" i="152"/>
  <c r="AZ430" i="152"/>
  <c r="AY430" i="152"/>
  <c r="AX430" i="152"/>
  <c r="A430" i="152"/>
  <c r="BL429" i="152"/>
  <c r="BK429" i="152"/>
  <c r="BJ429" i="152"/>
  <c r="BI429" i="152"/>
  <c r="BH429" i="152"/>
  <c r="BG429" i="152"/>
  <c r="BF429" i="152"/>
  <c r="BE429" i="152"/>
  <c r="BD429" i="152"/>
  <c r="BC429" i="152"/>
  <c r="BB429" i="152"/>
  <c r="BA429" i="152"/>
  <c r="AZ429" i="152"/>
  <c r="AY429" i="152"/>
  <c r="AX429" i="152"/>
  <c r="A429" i="152"/>
  <c r="BL428" i="152"/>
  <c r="BK428" i="152"/>
  <c r="BJ428" i="152"/>
  <c r="BI428" i="152"/>
  <c r="BH428" i="152"/>
  <c r="BG428" i="152"/>
  <c r="BF428" i="152"/>
  <c r="BE428" i="152"/>
  <c r="BD428" i="152"/>
  <c r="BC428" i="152"/>
  <c r="BB428" i="152"/>
  <c r="BA428" i="152"/>
  <c r="AZ428" i="152"/>
  <c r="AY428" i="152"/>
  <c r="AX428" i="152"/>
  <c r="A428" i="152"/>
  <c r="BL427" i="152"/>
  <c r="BK427" i="152"/>
  <c r="BJ427" i="152"/>
  <c r="BI427" i="152"/>
  <c r="BH427" i="152"/>
  <c r="BG427" i="152"/>
  <c r="BF427" i="152"/>
  <c r="BE427" i="152"/>
  <c r="BD427" i="152"/>
  <c r="BC427" i="152"/>
  <c r="BB427" i="152"/>
  <c r="BA427" i="152"/>
  <c r="AZ427" i="152"/>
  <c r="AY427" i="152"/>
  <c r="AX427" i="152"/>
  <c r="A427" i="152"/>
  <c r="BL426" i="152"/>
  <c r="BK426" i="152"/>
  <c r="BJ426" i="152"/>
  <c r="BI426" i="152"/>
  <c r="BH426" i="152"/>
  <c r="BG426" i="152"/>
  <c r="BF426" i="152"/>
  <c r="BE426" i="152"/>
  <c r="BD426" i="152"/>
  <c r="BC426" i="152"/>
  <c r="BB426" i="152"/>
  <c r="BA426" i="152"/>
  <c r="AZ426" i="152"/>
  <c r="AY426" i="152"/>
  <c r="AX426" i="152"/>
  <c r="A426" i="152"/>
  <c r="BL425" i="152"/>
  <c r="BK425" i="152"/>
  <c r="BJ425" i="152"/>
  <c r="BI425" i="152"/>
  <c r="BH425" i="152"/>
  <c r="BG425" i="152"/>
  <c r="BF425" i="152"/>
  <c r="BE425" i="152"/>
  <c r="BD425" i="152"/>
  <c r="BC425" i="152"/>
  <c r="BB425" i="152"/>
  <c r="BA425" i="152"/>
  <c r="AZ425" i="152"/>
  <c r="AY425" i="152"/>
  <c r="AX425" i="152"/>
  <c r="A425" i="152"/>
  <c r="BL424" i="152"/>
  <c r="BK424" i="152"/>
  <c r="BJ424" i="152"/>
  <c r="BI424" i="152"/>
  <c r="BH424" i="152"/>
  <c r="BG424" i="152"/>
  <c r="BF424" i="152"/>
  <c r="BE424" i="152"/>
  <c r="BD424" i="152"/>
  <c r="BC424" i="152"/>
  <c r="BB424" i="152"/>
  <c r="BA424" i="152"/>
  <c r="AZ424" i="152"/>
  <c r="AY424" i="152"/>
  <c r="AX424" i="152"/>
  <c r="A424" i="152"/>
  <c r="BL423" i="152"/>
  <c r="BK423" i="152"/>
  <c r="BJ423" i="152"/>
  <c r="BI423" i="152"/>
  <c r="BH423" i="152"/>
  <c r="BG423" i="152"/>
  <c r="BF423" i="152"/>
  <c r="BE423" i="152"/>
  <c r="BD423" i="152"/>
  <c r="BC423" i="152"/>
  <c r="BB423" i="152"/>
  <c r="BA423" i="152"/>
  <c r="AZ423" i="152"/>
  <c r="AY423" i="152"/>
  <c r="AX423" i="152"/>
  <c r="A423" i="152"/>
  <c r="BL422" i="152"/>
  <c r="BK422" i="152"/>
  <c r="BJ422" i="152"/>
  <c r="BI422" i="152"/>
  <c r="BH422" i="152"/>
  <c r="BG422" i="152"/>
  <c r="BF422" i="152"/>
  <c r="BE422" i="152"/>
  <c r="BD422" i="152"/>
  <c r="BC422" i="152"/>
  <c r="BB422" i="152"/>
  <c r="BA422" i="152"/>
  <c r="AZ422" i="152"/>
  <c r="AY422" i="152"/>
  <c r="AX422" i="152"/>
  <c r="A422" i="152"/>
  <c r="BL421" i="152"/>
  <c r="BK421" i="152"/>
  <c r="BJ421" i="152"/>
  <c r="BI421" i="152"/>
  <c r="BH421" i="152"/>
  <c r="BG421" i="152"/>
  <c r="BF421" i="152"/>
  <c r="BE421" i="152"/>
  <c r="BD421" i="152"/>
  <c r="BC421" i="152"/>
  <c r="BB421" i="152"/>
  <c r="BA421" i="152"/>
  <c r="AZ421" i="152"/>
  <c r="AY421" i="152"/>
  <c r="AX421" i="152"/>
  <c r="A421" i="152"/>
  <c r="BL420" i="152"/>
  <c r="BK420" i="152"/>
  <c r="BJ420" i="152"/>
  <c r="BI420" i="152"/>
  <c r="BH420" i="152"/>
  <c r="BG420" i="152"/>
  <c r="BF420" i="152"/>
  <c r="BE420" i="152"/>
  <c r="BD420" i="152"/>
  <c r="BC420" i="152"/>
  <c r="BB420" i="152"/>
  <c r="BA420" i="152"/>
  <c r="AZ420" i="152"/>
  <c r="AY420" i="152"/>
  <c r="AX420" i="152"/>
  <c r="A420" i="152"/>
  <c r="BL419" i="152"/>
  <c r="BK419" i="152"/>
  <c r="BJ419" i="152"/>
  <c r="BI419" i="152"/>
  <c r="BH419" i="152"/>
  <c r="BG419" i="152"/>
  <c r="BF419" i="152"/>
  <c r="BE419" i="152"/>
  <c r="BD419" i="152"/>
  <c r="BC419" i="152"/>
  <c r="BB419" i="152"/>
  <c r="BA419" i="152"/>
  <c r="AZ419" i="152"/>
  <c r="AY419" i="152"/>
  <c r="AX419" i="152"/>
  <c r="A419" i="152"/>
  <c r="BL418" i="152"/>
  <c r="BK418" i="152"/>
  <c r="BJ418" i="152"/>
  <c r="BI418" i="152"/>
  <c r="BH418" i="152"/>
  <c r="BG418" i="152"/>
  <c r="BF418" i="152"/>
  <c r="BE418" i="152"/>
  <c r="BD418" i="152"/>
  <c r="BC418" i="152"/>
  <c r="BB418" i="152"/>
  <c r="BA418" i="152"/>
  <c r="AZ418" i="152"/>
  <c r="AY418" i="152"/>
  <c r="AX418" i="152"/>
  <c r="A418" i="152"/>
  <c r="BL417" i="152"/>
  <c r="BK417" i="152"/>
  <c r="BJ417" i="152"/>
  <c r="BI417" i="152"/>
  <c r="BH417" i="152"/>
  <c r="BG417" i="152"/>
  <c r="BF417" i="152"/>
  <c r="BE417" i="152"/>
  <c r="BD417" i="152"/>
  <c r="BC417" i="152"/>
  <c r="BB417" i="152"/>
  <c r="BA417" i="152"/>
  <c r="AZ417" i="152"/>
  <c r="AY417" i="152"/>
  <c r="AX417" i="152"/>
  <c r="A417" i="152"/>
  <c r="BL416" i="152"/>
  <c r="BK416" i="152"/>
  <c r="BJ416" i="152"/>
  <c r="BI416" i="152"/>
  <c r="BH416" i="152"/>
  <c r="BG416" i="152"/>
  <c r="BF416" i="152"/>
  <c r="BE416" i="152"/>
  <c r="BD416" i="152"/>
  <c r="BC416" i="152"/>
  <c r="BB416" i="152"/>
  <c r="BA416" i="152"/>
  <c r="AZ416" i="152"/>
  <c r="AY416" i="152"/>
  <c r="AX416" i="152"/>
  <c r="A416" i="152"/>
  <c r="BL415" i="152"/>
  <c r="BK415" i="152"/>
  <c r="BJ415" i="152"/>
  <c r="BI415" i="152"/>
  <c r="BH415" i="152"/>
  <c r="BG415" i="152"/>
  <c r="BF415" i="152"/>
  <c r="BE415" i="152"/>
  <c r="BD415" i="152"/>
  <c r="BC415" i="152"/>
  <c r="BB415" i="152"/>
  <c r="BA415" i="152"/>
  <c r="AZ415" i="152"/>
  <c r="AY415" i="152"/>
  <c r="AX415" i="152"/>
  <c r="A415" i="152"/>
  <c r="BL414" i="152"/>
  <c r="BK414" i="152"/>
  <c r="BJ414" i="152"/>
  <c r="BI414" i="152"/>
  <c r="BH414" i="152"/>
  <c r="BG414" i="152"/>
  <c r="BF414" i="152"/>
  <c r="BE414" i="152"/>
  <c r="BD414" i="152"/>
  <c r="BC414" i="152"/>
  <c r="BB414" i="152"/>
  <c r="BA414" i="152"/>
  <c r="AZ414" i="152"/>
  <c r="AY414" i="152"/>
  <c r="AX414" i="152"/>
  <c r="A414" i="152"/>
  <c r="BL413" i="152"/>
  <c r="BK413" i="152"/>
  <c r="BJ413" i="152"/>
  <c r="BI413" i="152"/>
  <c r="BH413" i="152"/>
  <c r="BG413" i="152"/>
  <c r="BF413" i="152"/>
  <c r="BE413" i="152"/>
  <c r="BD413" i="152"/>
  <c r="BC413" i="152"/>
  <c r="BB413" i="152"/>
  <c r="BA413" i="152"/>
  <c r="AZ413" i="152"/>
  <c r="AY413" i="152"/>
  <c r="AX413" i="152"/>
  <c r="A413" i="152"/>
  <c r="BL412" i="152"/>
  <c r="BK412" i="152"/>
  <c r="BJ412" i="152"/>
  <c r="BI412" i="152"/>
  <c r="BH412" i="152"/>
  <c r="BG412" i="152"/>
  <c r="BF412" i="152"/>
  <c r="BE412" i="152"/>
  <c r="BD412" i="152"/>
  <c r="BC412" i="152"/>
  <c r="BB412" i="152"/>
  <c r="BA412" i="152"/>
  <c r="AZ412" i="152"/>
  <c r="AY412" i="152"/>
  <c r="AX412" i="152"/>
  <c r="A412" i="152"/>
  <c r="BL411" i="152"/>
  <c r="BK411" i="152"/>
  <c r="BJ411" i="152"/>
  <c r="BI411" i="152"/>
  <c r="BH411" i="152"/>
  <c r="BG411" i="152"/>
  <c r="BF411" i="152"/>
  <c r="BE411" i="152"/>
  <c r="BD411" i="152"/>
  <c r="BC411" i="152"/>
  <c r="BB411" i="152"/>
  <c r="BA411" i="152"/>
  <c r="AZ411" i="152"/>
  <c r="AY411" i="152"/>
  <c r="AX411" i="152"/>
  <c r="A411" i="152"/>
  <c r="BL410" i="152"/>
  <c r="BK410" i="152"/>
  <c r="BJ410" i="152"/>
  <c r="BI410" i="152"/>
  <c r="BH410" i="152"/>
  <c r="BG410" i="152"/>
  <c r="BF410" i="152"/>
  <c r="BE410" i="152"/>
  <c r="BD410" i="152"/>
  <c r="BC410" i="152"/>
  <c r="BB410" i="152"/>
  <c r="BA410" i="152"/>
  <c r="AZ410" i="152"/>
  <c r="AY410" i="152"/>
  <c r="AX410" i="152"/>
  <c r="A410" i="152"/>
  <c r="BL409" i="152"/>
  <c r="BK409" i="152"/>
  <c r="BJ409" i="152"/>
  <c r="BI409" i="152"/>
  <c r="BH409" i="152"/>
  <c r="BG409" i="152"/>
  <c r="BF409" i="152"/>
  <c r="BE409" i="152"/>
  <c r="BD409" i="152"/>
  <c r="BC409" i="152"/>
  <c r="BB409" i="152"/>
  <c r="BA409" i="152"/>
  <c r="AZ409" i="152"/>
  <c r="AY409" i="152"/>
  <c r="AX409" i="152"/>
  <c r="A409" i="152"/>
  <c r="BL408" i="152"/>
  <c r="BK408" i="152"/>
  <c r="BJ408" i="152"/>
  <c r="BI408" i="152"/>
  <c r="BH408" i="152"/>
  <c r="BG408" i="152"/>
  <c r="BF408" i="152"/>
  <c r="BE408" i="152"/>
  <c r="BD408" i="152"/>
  <c r="BC408" i="152"/>
  <c r="BB408" i="152"/>
  <c r="BA408" i="152"/>
  <c r="AZ408" i="152"/>
  <c r="AY408" i="152"/>
  <c r="AX408" i="152"/>
  <c r="A408" i="152"/>
  <c r="BL407" i="152"/>
  <c r="BK407" i="152"/>
  <c r="BJ407" i="152"/>
  <c r="BI407" i="152"/>
  <c r="BH407" i="152"/>
  <c r="BG407" i="152"/>
  <c r="BF407" i="152"/>
  <c r="BE407" i="152"/>
  <c r="BD407" i="152"/>
  <c r="BC407" i="152"/>
  <c r="BB407" i="152"/>
  <c r="BA407" i="152"/>
  <c r="AZ407" i="152"/>
  <c r="AY407" i="152"/>
  <c r="AX407" i="152"/>
  <c r="A407" i="152"/>
  <c r="BL406" i="152"/>
  <c r="BK406" i="152"/>
  <c r="BJ406" i="152"/>
  <c r="BI406" i="152"/>
  <c r="BH406" i="152"/>
  <c r="BG406" i="152"/>
  <c r="BF406" i="152"/>
  <c r="BE406" i="152"/>
  <c r="BD406" i="152"/>
  <c r="BC406" i="152"/>
  <c r="BB406" i="152"/>
  <c r="BA406" i="152"/>
  <c r="AZ406" i="152"/>
  <c r="AY406" i="152"/>
  <c r="AX406" i="152"/>
  <c r="A406" i="152"/>
  <c r="BL405" i="152"/>
  <c r="BK405" i="152"/>
  <c r="BJ405" i="152"/>
  <c r="BI405" i="152"/>
  <c r="BH405" i="152"/>
  <c r="BG405" i="152"/>
  <c r="BF405" i="152"/>
  <c r="BE405" i="152"/>
  <c r="BD405" i="152"/>
  <c r="BC405" i="152"/>
  <c r="BB405" i="152"/>
  <c r="BA405" i="152"/>
  <c r="AZ405" i="152"/>
  <c r="AY405" i="152"/>
  <c r="AX405" i="152"/>
  <c r="A405" i="152"/>
  <c r="BL404" i="152"/>
  <c r="BK404" i="152"/>
  <c r="BJ404" i="152"/>
  <c r="BI404" i="152"/>
  <c r="BH404" i="152"/>
  <c r="BG404" i="152"/>
  <c r="BF404" i="152"/>
  <c r="BE404" i="152"/>
  <c r="BD404" i="152"/>
  <c r="BC404" i="152"/>
  <c r="BB404" i="152"/>
  <c r="BA404" i="152"/>
  <c r="AZ404" i="152"/>
  <c r="AY404" i="152"/>
  <c r="AX404" i="152"/>
  <c r="A404" i="152"/>
  <c r="BL403" i="152"/>
  <c r="BK403" i="152"/>
  <c r="BJ403" i="152"/>
  <c r="BI403" i="152"/>
  <c r="BH403" i="152"/>
  <c r="BG403" i="152"/>
  <c r="BF403" i="152"/>
  <c r="BE403" i="152"/>
  <c r="BD403" i="152"/>
  <c r="BC403" i="152"/>
  <c r="BB403" i="152"/>
  <c r="BA403" i="152"/>
  <c r="AZ403" i="152"/>
  <c r="AY403" i="152"/>
  <c r="AX403" i="152"/>
  <c r="A403" i="152"/>
  <c r="BL402" i="152"/>
  <c r="BK402" i="152"/>
  <c r="BJ402" i="152"/>
  <c r="BI402" i="152"/>
  <c r="BH402" i="152"/>
  <c r="BG402" i="152"/>
  <c r="BF402" i="152"/>
  <c r="BE402" i="152"/>
  <c r="BD402" i="152"/>
  <c r="BC402" i="152"/>
  <c r="BB402" i="152"/>
  <c r="BA402" i="152"/>
  <c r="AZ402" i="152"/>
  <c r="AY402" i="152"/>
  <c r="AX402" i="152"/>
  <c r="A402" i="152"/>
  <c r="BL401" i="152"/>
  <c r="BK401" i="152"/>
  <c r="BJ401" i="152"/>
  <c r="BI401" i="152"/>
  <c r="BH401" i="152"/>
  <c r="BG401" i="152"/>
  <c r="BF401" i="152"/>
  <c r="BE401" i="152"/>
  <c r="BD401" i="152"/>
  <c r="BC401" i="152"/>
  <c r="BB401" i="152"/>
  <c r="BA401" i="152"/>
  <c r="AZ401" i="152"/>
  <c r="AY401" i="152"/>
  <c r="AX401" i="152"/>
  <c r="A401" i="152"/>
  <c r="BL400" i="152"/>
  <c r="BK400" i="152"/>
  <c r="BJ400" i="152"/>
  <c r="BI400" i="152"/>
  <c r="BH400" i="152"/>
  <c r="BG400" i="152"/>
  <c r="BF400" i="152"/>
  <c r="BE400" i="152"/>
  <c r="BD400" i="152"/>
  <c r="BC400" i="152"/>
  <c r="BB400" i="152"/>
  <c r="BA400" i="152"/>
  <c r="AZ400" i="152"/>
  <c r="AY400" i="152"/>
  <c r="AX400" i="152"/>
  <c r="A400" i="152"/>
  <c r="BL399" i="152"/>
  <c r="BK399" i="152"/>
  <c r="BJ399" i="152"/>
  <c r="BI399" i="152"/>
  <c r="BH399" i="152"/>
  <c r="BG399" i="152"/>
  <c r="BF399" i="152"/>
  <c r="BE399" i="152"/>
  <c r="BD399" i="152"/>
  <c r="BC399" i="152"/>
  <c r="BB399" i="152"/>
  <c r="BA399" i="152"/>
  <c r="AZ399" i="152"/>
  <c r="AY399" i="152"/>
  <c r="AX399" i="152"/>
  <c r="A399" i="152"/>
  <c r="BL398" i="152"/>
  <c r="BK398" i="152"/>
  <c r="BJ398" i="152"/>
  <c r="BI398" i="152"/>
  <c r="BH398" i="152"/>
  <c r="BG398" i="152"/>
  <c r="BF398" i="152"/>
  <c r="BE398" i="152"/>
  <c r="BD398" i="152"/>
  <c r="BC398" i="152"/>
  <c r="BB398" i="152"/>
  <c r="BA398" i="152"/>
  <c r="AZ398" i="152"/>
  <c r="AY398" i="152"/>
  <c r="AX398" i="152"/>
  <c r="A398" i="152"/>
  <c r="BL397" i="152"/>
  <c r="BK397" i="152"/>
  <c r="BJ397" i="152"/>
  <c r="BI397" i="152"/>
  <c r="BH397" i="152"/>
  <c r="BG397" i="152"/>
  <c r="BF397" i="152"/>
  <c r="BE397" i="152"/>
  <c r="BD397" i="152"/>
  <c r="BC397" i="152"/>
  <c r="BB397" i="152"/>
  <c r="BA397" i="152"/>
  <c r="AZ397" i="152"/>
  <c r="AY397" i="152"/>
  <c r="AX397" i="152"/>
  <c r="A397" i="152"/>
  <c r="BL396" i="152"/>
  <c r="BK396" i="152"/>
  <c r="BJ396" i="152"/>
  <c r="BI396" i="152"/>
  <c r="BH396" i="152"/>
  <c r="BG396" i="152"/>
  <c r="BF396" i="152"/>
  <c r="BE396" i="152"/>
  <c r="BD396" i="152"/>
  <c r="BC396" i="152"/>
  <c r="BB396" i="152"/>
  <c r="BA396" i="152"/>
  <c r="AZ396" i="152"/>
  <c r="AY396" i="152"/>
  <c r="AX396" i="152"/>
  <c r="A396" i="152"/>
  <c r="BL395" i="152"/>
  <c r="BK395" i="152"/>
  <c r="BJ395" i="152"/>
  <c r="BI395" i="152"/>
  <c r="BH395" i="152"/>
  <c r="BG395" i="152"/>
  <c r="BF395" i="152"/>
  <c r="BE395" i="152"/>
  <c r="BD395" i="152"/>
  <c r="BC395" i="152"/>
  <c r="BB395" i="152"/>
  <c r="BA395" i="152"/>
  <c r="AZ395" i="152"/>
  <c r="AY395" i="152"/>
  <c r="AX395" i="152"/>
  <c r="A395" i="152"/>
  <c r="BL394" i="152"/>
  <c r="BK394" i="152"/>
  <c r="BJ394" i="152"/>
  <c r="BI394" i="152"/>
  <c r="BH394" i="152"/>
  <c r="BG394" i="152"/>
  <c r="BF394" i="152"/>
  <c r="BE394" i="152"/>
  <c r="BD394" i="152"/>
  <c r="BC394" i="152"/>
  <c r="BB394" i="152"/>
  <c r="BA394" i="152"/>
  <c r="AZ394" i="152"/>
  <c r="AY394" i="152"/>
  <c r="AX394" i="152"/>
  <c r="A394" i="152"/>
  <c r="BL393" i="152"/>
  <c r="BK393" i="152"/>
  <c r="BJ393" i="152"/>
  <c r="BI393" i="152"/>
  <c r="BH393" i="152"/>
  <c r="BG393" i="152"/>
  <c r="BF393" i="152"/>
  <c r="BE393" i="152"/>
  <c r="BD393" i="152"/>
  <c r="BC393" i="152"/>
  <c r="BB393" i="152"/>
  <c r="BA393" i="152"/>
  <c r="AZ393" i="152"/>
  <c r="AY393" i="152"/>
  <c r="AX393" i="152"/>
  <c r="A393" i="152"/>
  <c r="BL392" i="152"/>
  <c r="BK392" i="152"/>
  <c r="BJ392" i="152"/>
  <c r="BI392" i="152"/>
  <c r="BH392" i="152"/>
  <c r="BG392" i="152"/>
  <c r="BF392" i="152"/>
  <c r="BE392" i="152"/>
  <c r="BD392" i="152"/>
  <c r="BC392" i="152"/>
  <c r="BB392" i="152"/>
  <c r="BA392" i="152"/>
  <c r="AZ392" i="152"/>
  <c r="AY392" i="152"/>
  <c r="AX392" i="152"/>
  <c r="A392" i="152"/>
  <c r="BL391" i="152"/>
  <c r="BK391" i="152"/>
  <c r="BJ391" i="152"/>
  <c r="BI391" i="152"/>
  <c r="BH391" i="152"/>
  <c r="BG391" i="152"/>
  <c r="BF391" i="152"/>
  <c r="BE391" i="152"/>
  <c r="BD391" i="152"/>
  <c r="BC391" i="152"/>
  <c r="BB391" i="152"/>
  <c r="BA391" i="152"/>
  <c r="AZ391" i="152"/>
  <c r="AY391" i="152"/>
  <c r="AX391" i="152"/>
  <c r="A391" i="152"/>
  <c r="BL390" i="152"/>
  <c r="BK390" i="152"/>
  <c r="BJ390" i="152"/>
  <c r="BI390" i="152"/>
  <c r="BH390" i="152"/>
  <c r="BG390" i="152"/>
  <c r="BF390" i="152"/>
  <c r="BE390" i="152"/>
  <c r="BD390" i="152"/>
  <c r="BC390" i="152"/>
  <c r="BB390" i="152"/>
  <c r="BA390" i="152"/>
  <c r="AZ390" i="152"/>
  <c r="AY390" i="152"/>
  <c r="AX390" i="152"/>
  <c r="A390" i="152"/>
  <c r="BL389" i="152"/>
  <c r="BK389" i="152"/>
  <c r="BJ389" i="152"/>
  <c r="BI389" i="152"/>
  <c r="BH389" i="152"/>
  <c r="BG389" i="152"/>
  <c r="BF389" i="152"/>
  <c r="BE389" i="152"/>
  <c r="BD389" i="152"/>
  <c r="BC389" i="152"/>
  <c r="BB389" i="152"/>
  <c r="BA389" i="152"/>
  <c r="AZ389" i="152"/>
  <c r="AY389" i="152"/>
  <c r="AX389" i="152"/>
  <c r="A389" i="152"/>
  <c r="BL388" i="152"/>
  <c r="BK388" i="152"/>
  <c r="BJ388" i="152"/>
  <c r="BI388" i="152"/>
  <c r="BH388" i="152"/>
  <c r="BG388" i="152"/>
  <c r="BF388" i="152"/>
  <c r="BE388" i="152"/>
  <c r="BD388" i="152"/>
  <c r="BC388" i="152"/>
  <c r="BB388" i="152"/>
  <c r="BA388" i="152"/>
  <c r="AZ388" i="152"/>
  <c r="AY388" i="152"/>
  <c r="AX388" i="152"/>
  <c r="A388" i="152"/>
  <c r="BL387" i="152"/>
  <c r="BK387" i="152"/>
  <c r="BJ387" i="152"/>
  <c r="BI387" i="152"/>
  <c r="BH387" i="152"/>
  <c r="BG387" i="152"/>
  <c r="BF387" i="152"/>
  <c r="BE387" i="152"/>
  <c r="BD387" i="152"/>
  <c r="BC387" i="152"/>
  <c r="BB387" i="152"/>
  <c r="BA387" i="152"/>
  <c r="AZ387" i="152"/>
  <c r="AY387" i="152"/>
  <c r="AX387" i="152"/>
  <c r="A387" i="152"/>
  <c r="BL386" i="152"/>
  <c r="BK386" i="152"/>
  <c r="BJ386" i="152"/>
  <c r="BI386" i="152"/>
  <c r="BH386" i="152"/>
  <c r="BG386" i="152"/>
  <c r="BF386" i="152"/>
  <c r="BE386" i="152"/>
  <c r="BD386" i="152"/>
  <c r="BC386" i="152"/>
  <c r="BB386" i="152"/>
  <c r="BA386" i="152"/>
  <c r="AZ386" i="152"/>
  <c r="AY386" i="152"/>
  <c r="AX386" i="152"/>
  <c r="A386" i="152"/>
  <c r="BL385" i="152"/>
  <c r="BK385" i="152"/>
  <c r="BJ385" i="152"/>
  <c r="BI385" i="152"/>
  <c r="BH385" i="152"/>
  <c r="BG385" i="152"/>
  <c r="BF385" i="152"/>
  <c r="BE385" i="152"/>
  <c r="BD385" i="152"/>
  <c r="BC385" i="152"/>
  <c r="BB385" i="152"/>
  <c r="BA385" i="152"/>
  <c r="AZ385" i="152"/>
  <c r="AY385" i="152"/>
  <c r="AX385" i="152"/>
  <c r="A385" i="152"/>
  <c r="BL384" i="152"/>
  <c r="BK384" i="152"/>
  <c r="BJ384" i="152"/>
  <c r="BI384" i="152"/>
  <c r="BH384" i="152"/>
  <c r="BG384" i="152"/>
  <c r="BF384" i="152"/>
  <c r="BE384" i="152"/>
  <c r="BD384" i="152"/>
  <c r="BC384" i="152"/>
  <c r="BB384" i="152"/>
  <c r="BA384" i="152"/>
  <c r="AZ384" i="152"/>
  <c r="AY384" i="152"/>
  <c r="AX384" i="152"/>
  <c r="A384" i="152"/>
  <c r="BL383" i="152"/>
  <c r="BK383" i="152"/>
  <c r="BJ383" i="152"/>
  <c r="BI383" i="152"/>
  <c r="BH383" i="152"/>
  <c r="BG383" i="152"/>
  <c r="BF383" i="152"/>
  <c r="BE383" i="152"/>
  <c r="BD383" i="152"/>
  <c r="BC383" i="152"/>
  <c r="BB383" i="152"/>
  <c r="BA383" i="152"/>
  <c r="AZ383" i="152"/>
  <c r="AY383" i="152"/>
  <c r="AX383" i="152"/>
  <c r="A383" i="152"/>
  <c r="BL382" i="152"/>
  <c r="BK382" i="152"/>
  <c r="BJ382" i="152"/>
  <c r="BI382" i="152"/>
  <c r="BH382" i="152"/>
  <c r="BG382" i="152"/>
  <c r="BF382" i="152"/>
  <c r="BE382" i="152"/>
  <c r="BD382" i="152"/>
  <c r="BC382" i="152"/>
  <c r="BB382" i="152"/>
  <c r="BA382" i="152"/>
  <c r="AZ382" i="152"/>
  <c r="AY382" i="152"/>
  <c r="AX382" i="152"/>
  <c r="A382" i="152"/>
  <c r="BL381" i="152"/>
  <c r="BK381" i="152"/>
  <c r="BJ381" i="152"/>
  <c r="BI381" i="152"/>
  <c r="BH381" i="152"/>
  <c r="BG381" i="152"/>
  <c r="BF381" i="152"/>
  <c r="BE381" i="152"/>
  <c r="BD381" i="152"/>
  <c r="BC381" i="152"/>
  <c r="BB381" i="152"/>
  <c r="BA381" i="152"/>
  <c r="AZ381" i="152"/>
  <c r="AY381" i="152"/>
  <c r="AX381" i="152"/>
  <c r="A381" i="152"/>
  <c r="BL380" i="152"/>
  <c r="BK380" i="152"/>
  <c r="BJ380" i="152"/>
  <c r="BI380" i="152"/>
  <c r="BH380" i="152"/>
  <c r="BG380" i="152"/>
  <c r="BF380" i="152"/>
  <c r="BE380" i="152"/>
  <c r="BD380" i="152"/>
  <c r="BC380" i="152"/>
  <c r="BB380" i="152"/>
  <c r="BA380" i="152"/>
  <c r="AZ380" i="152"/>
  <c r="AY380" i="152"/>
  <c r="AX380" i="152"/>
  <c r="A380" i="152"/>
  <c r="BL379" i="152"/>
  <c r="BK379" i="152"/>
  <c r="BJ379" i="152"/>
  <c r="BI379" i="152"/>
  <c r="BH379" i="152"/>
  <c r="BG379" i="152"/>
  <c r="BF379" i="152"/>
  <c r="BE379" i="152"/>
  <c r="BD379" i="152"/>
  <c r="BC379" i="152"/>
  <c r="BB379" i="152"/>
  <c r="BA379" i="152"/>
  <c r="AZ379" i="152"/>
  <c r="AY379" i="152"/>
  <c r="AX379" i="152"/>
  <c r="A379" i="152"/>
  <c r="BL378" i="152"/>
  <c r="BK378" i="152"/>
  <c r="BJ378" i="152"/>
  <c r="BI378" i="152"/>
  <c r="BH378" i="152"/>
  <c r="BG378" i="152"/>
  <c r="BF378" i="152"/>
  <c r="BE378" i="152"/>
  <c r="BD378" i="152"/>
  <c r="BC378" i="152"/>
  <c r="BB378" i="152"/>
  <c r="BA378" i="152"/>
  <c r="AZ378" i="152"/>
  <c r="AY378" i="152"/>
  <c r="AX378" i="152"/>
  <c r="A378" i="152"/>
  <c r="BL377" i="152"/>
  <c r="BK377" i="152"/>
  <c r="BJ377" i="152"/>
  <c r="BI377" i="152"/>
  <c r="BH377" i="152"/>
  <c r="BG377" i="152"/>
  <c r="BF377" i="152"/>
  <c r="BE377" i="152"/>
  <c r="BD377" i="152"/>
  <c r="BC377" i="152"/>
  <c r="BB377" i="152"/>
  <c r="BA377" i="152"/>
  <c r="AZ377" i="152"/>
  <c r="AY377" i="152"/>
  <c r="AX377" i="152"/>
  <c r="A377" i="152"/>
  <c r="BL376" i="152"/>
  <c r="BK376" i="152"/>
  <c r="BJ376" i="152"/>
  <c r="BI376" i="152"/>
  <c r="BH376" i="152"/>
  <c r="BG376" i="152"/>
  <c r="BF376" i="152"/>
  <c r="BE376" i="152"/>
  <c r="BD376" i="152"/>
  <c r="BC376" i="152"/>
  <c r="BB376" i="152"/>
  <c r="BA376" i="152"/>
  <c r="AZ376" i="152"/>
  <c r="AY376" i="152"/>
  <c r="AX376" i="152"/>
  <c r="A376" i="152"/>
  <c r="BL375" i="152"/>
  <c r="BK375" i="152"/>
  <c r="BJ375" i="152"/>
  <c r="BI375" i="152"/>
  <c r="BH375" i="152"/>
  <c r="BG375" i="152"/>
  <c r="BF375" i="152"/>
  <c r="BE375" i="152"/>
  <c r="BD375" i="152"/>
  <c r="BC375" i="152"/>
  <c r="BB375" i="152"/>
  <c r="BA375" i="152"/>
  <c r="AZ375" i="152"/>
  <c r="AY375" i="152"/>
  <c r="AX375" i="152"/>
  <c r="A375" i="152"/>
  <c r="BL374" i="152"/>
  <c r="BK374" i="152"/>
  <c r="BJ374" i="152"/>
  <c r="BI374" i="152"/>
  <c r="BH374" i="152"/>
  <c r="BG374" i="152"/>
  <c r="BF374" i="152"/>
  <c r="BE374" i="152"/>
  <c r="BD374" i="152"/>
  <c r="BC374" i="152"/>
  <c r="BB374" i="152"/>
  <c r="BA374" i="152"/>
  <c r="AZ374" i="152"/>
  <c r="AY374" i="152"/>
  <c r="AX374" i="152"/>
  <c r="A374" i="152"/>
  <c r="BL373" i="152"/>
  <c r="BK373" i="152"/>
  <c r="BJ373" i="152"/>
  <c r="BI373" i="152"/>
  <c r="BH373" i="152"/>
  <c r="BG373" i="152"/>
  <c r="BF373" i="152"/>
  <c r="BE373" i="152"/>
  <c r="BD373" i="152"/>
  <c r="BC373" i="152"/>
  <c r="BB373" i="152"/>
  <c r="BA373" i="152"/>
  <c r="AZ373" i="152"/>
  <c r="AY373" i="152"/>
  <c r="AX373" i="152"/>
  <c r="A373" i="152"/>
  <c r="BL372" i="152"/>
  <c r="BK372" i="152"/>
  <c r="BJ372" i="152"/>
  <c r="BI372" i="152"/>
  <c r="BH372" i="152"/>
  <c r="BG372" i="152"/>
  <c r="BF372" i="152"/>
  <c r="BE372" i="152"/>
  <c r="BD372" i="152"/>
  <c r="BC372" i="152"/>
  <c r="BB372" i="152"/>
  <c r="BA372" i="152"/>
  <c r="AZ372" i="152"/>
  <c r="AY372" i="152"/>
  <c r="AX372" i="152"/>
  <c r="A372" i="152"/>
  <c r="BL371" i="152"/>
  <c r="BK371" i="152"/>
  <c r="BJ371" i="152"/>
  <c r="BI371" i="152"/>
  <c r="BH371" i="152"/>
  <c r="BG371" i="152"/>
  <c r="BF371" i="152"/>
  <c r="BE371" i="152"/>
  <c r="BD371" i="152"/>
  <c r="BC371" i="152"/>
  <c r="BB371" i="152"/>
  <c r="BA371" i="152"/>
  <c r="AZ371" i="152"/>
  <c r="AY371" i="152"/>
  <c r="AX371" i="152"/>
  <c r="A371" i="152"/>
  <c r="BL370" i="152"/>
  <c r="BK370" i="152"/>
  <c r="BJ370" i="152"/>
  <c r="BI370" i="152"/>
  <c r="BH370" i="152"/>
  <c r="BG370" i="152"/>
  <c r="BF370" i="152"/>
  <c r="BE370" i="152"/>
  <c r="BD370" i="152"/>
  <c r="BC370" i="152"/>
  <c r="BB370" i="152"/>
  <c r="BA370" i="152"/>
  <c r="AZ370" i="152"/>
  <c r="AY370" i="152"/>
  <c r="AX370" i="152"/>
  <c r="A370" i="152"/>
  <c r="BL369" i="152"/>
  <c r="BK369" i="152"/>
  <c r="BJ369" i="152"/>
  <c r="BI369" i="152"/>
  <c r="BH369" i="152"/>
  <c r="BG369" i="152"/>
  <c r="BF369" i="152"/>
  <c r="BE369" i="152"/>
  <c r="BD369" i="152"/>
  <c r="BC369" i="152"/>
  <c r="BB369" i="152"/>
  <c r="BA369" i="152"/>
  <c r="AZ369" i="152"/>
  <c r="AY369" i="152"/>
  <c r="AX369" i="152"/>
  <c r="A369" i="152"/>
  <c r="BL368" i="152"/>
  <c r="BK368" i="152"/>
  <c r="BJ368" i="152"/>
  <c r="BI368" i="152"/>
  <c r="BH368" i="152"/>
  <c r="BG368" i="152"/>
  <c r="BF368" i="152"/>
  <c r="BE368" i="152"/>
  <c r="BD368" i="152"/>
  <c r="BC368" i="152"/>
  <c r="BB368" i="152"/>
  <c r="BA368" i="152"/>
  <c r="AZ368" i="152"/>
  <c r="AY368" i="152"/>
  <c r="AX368" i="152"/>
  <c r="A368" i="152"/>
  <c r="BL367" i="152"/>
  <c r="BK367" i="152"/>
  <c r="BJ367" i="152"/>
  <c r="BI367" i="152"/>
  <c r="BH367" i="152"/>
  <c r="BG367" i="152"/>
  <c r="BF367" i="152"/>
  <c r="BE367" i="152"/>
  <c r="BD367" i="152"/>
  <c r="BC367" i="152"/>
  <c r="BB367" i="152"/>
  <c r="BA367" i="152"/>
  <c r="AZ367" i="152"/>
  <c r="AY367" i="152"/>
  <c r="AX367" i="152"/>
  <c r="A367" i="152"/>
  <c r="BL366" i="152"/>
  <c r="BK366" i="152"/>
  <c r="BJ366" i="152"/>
  <c r="BI366" i="152"/>
  <c r="BH366" i="152"/>
  <c r="BG366" i="152"/>
  <c r="BF366" i="152"/>
  <c r="BE366" i="152"/>
  <c r="BD366" i="152"/>
  <c r="BC366" i="152"/>
  <c r="BB366" i="152"/>
  <c r="BA366" i="152"/>
  <c r="AZ366" i="152"/>
  <c r="AY366" i="152"/>
  <c r="AX366" i="152"/>
  <c r="A366" i="152"/>
  <c r="BL365" i="152"/>
  <c r="BK365" i="152"/>
  <c r="BJ365" i="152"/>
  <c r="BI365" i="152"/>
  <c r="BH365" i="152"/>
  <c r="BG365" i="152"/>
  <c r="BF365" i="152"/>
  <c r="BE365" i="152"/>
  <c r="BD365" i="152"/>
  <c r="BC365" i="152"/>
  <c r="BB365" i="152"/>
  <c r="BA365" i="152"/>
  <c r="AZ365" i="152"/>
  <c r="AY365" i="152"/>
  <c r="AX365" i="152"/>
  <c r="A365" i="152"/>
  <c r="BL364" i="152"/>
  <c r="BK364" i="152"/>
  <c r="BJ364" i="152"/>
  <c r="BI364" i="152"/>
  <c r="BH364" i="152"/>
  <c r="BG364" i="152"/>
  <c r="BF364" i="152"/>
  <c r="BE364" i="152"/>
  <c r="BD364" i="152"/>
  <c r="BC364" i="152"/>
  <c r="BB364" i="152"/>
  <c r="BA364" i="152"/>
  <c r="AZ364" i="152"/>
  <c r="AY364" i="152"/>
  <c r="AX364" i="152"/>
  <c r="A364" i="152"/>
  <c r="BL363" i="152"/>
  <c r="BK363" i="152"/>
  <c r="BJ363" i="152"/>
  <c r="BI363" i="152"/>
  <c r="BH363" i="152"/>
  <c r="BG363" i="152"/>
  <c r="BF363" i="152"/>
  <c r="BE363" i="152"/>
  <c r="BD363" i="152"/>
  <c r="BC363" i="152"/>
  <c r="BB363" i="152"/>
  <c r="BA363" i="152"/>
  <c r="AZ363" i="152"/>
  <c r="AY363" i="152"/>
  <c r="AX363" i="152"/>
  <c r="A363" i="152"/>
  <c r="BL362" i="152"/>
  <c r="BK362" i="152"/>
  <c r="BJ362" i="152"/>
  <c r="BI362" i="152"/>
  <c r="BH362" i="152"/>
  <c r="BG362" i="152"/>
  <c r="BF362" i="152"/>
  <c r="BE362" i="152"/>
  <c r="BD362" i="152"/>
  <c r="BC362" i="152"/>
  <c r="BB362" i="152"/>
  <c r="BA362" i="152"/>
  <c r="AZ362" i="152"/>
  <c r="AY362" i="152"/>
  <c r="AX362" i="152"/>
  <c r="A362" i="152"/>
  <c r="BL361" i="152"/>
  <c r="BK361" i="152"/>
  <c r="BJ361" i="152"/>
  <c r="BI361" i="152"/>
  <c r="BH361" i="152"/>
  <c r="BG361" i="152"/>
  <c r="BF361" i="152"/>
  <c r="BE361" i="152"/>
  <c r="BD361" i="152"/>
  <c r="BC361" i="152"/>
  <c r="BB361" i="152"/>
  <c r="BA361" i="152"/>
  <c r="AZ361" i="152"/>
  <c r="AY361" i="152"/>
  <c r="AX361" i="152"/>
  <c r="A361" i="152"/>
  <c r="BL360" i="152"/>
  <c r="BK360" i="152"/>
  <c r="BJ360" i="152"/>
  <c r="BI360" i="152"/>
  <c r="BH360" i="152"/>
  <c r="BG360" i="152"/>
  <c r="BF360" i="152"/>
  <c r="BE360" i="152"/>
  <c r="BD360" i="152"/>
  <c r="BC360" i="152"/>
  <c r="BB360" i="152"/>
  <c r="BA360" i="152"/>
  <c r="AZ360" i="152"/>
  <c r="AY360" i="152"/>
  <c r="AX360" i="152"/>
  <c r="A360" i="152"/>
  <c r="BL359" i="152"/>
  <c r="BK359" i="152"/>
  <c r="BJ359" i="152"/>
  <c r="BI359" i="152"/>
  <c r="BH359" i="152"/>
  <c r="BG359" i="152"/>
  <c r="BF359" i="152"/>
  <c r="BE359" i="152"/>
  <c r="BD359" i="152"/>
  <c r="BC359" i="152"/>
  <c r="BB359" i="152"/>
  <c r="BA359" i="152"/>
  <c r="AZ359" i="152"/>
  <c r="AY359" i="152"/>
  <c r="AX359" i="152"/>
  <c r="A359" i="152"/>
  <c r="BL358" i="152"/>
  <c r="BK358" i="152"/>
  <c r="BJ358" i="152"/>
  <c r="BI358" i="152"/>
  <c r="BH358" i="152"/>
  <c r="BG358" i="152"/>
  <c r="BF358" i="152"/>
  <c r="BE358" i="152"/>
  <c r="BD358" i="152"/>
  <c r="BC358" i="152"/>
  <c r="BB358" i="152"/>
  <c r="BA358" i="152"/>
  <c r="AZ358" i="152"/>
  <c r="AY358" i="152"/>
  <c r="AX358" i="152"/>
  <c r="A358" i="152"/>
  <c r="BL357" i="152"/>
  <c r="BK357" i="152"/>
  <c r="BJ357" i="152"/>
  <c r="BI357" i="152"/>
  <c r="BH357" i="152"/>
  <c r="BG357" i="152"/>
  <c r="BF357" i="152"/>
  <c r="BE357" i="152"/>
  <c r="BD357" i="152"/>
  <c r="BC357" i="152"/>
  <c r="BB357" i="152"/>
  <c r="BA357" i="152"/>
  <c r="AZ357" i="152"/>
  <c r="AY357" i="152"/>
  <c r="AX357" i="152"/>
  <c r="A357" i="152"/>
  <c r="BL356" i="152"/>
  <c r="BK356" i="152"/>
  <c r="BJ356" i="152"/>
  <c r="BI356" i="152"/>
  <c r="BH356" i="152"/>
  <c r="BG356" i="152"/>
  <c r="BF356" i="152"/>
  <c r="BE356" i="152"/>
  <c r="BD356" i="152"/>
  <c r="BC356" i="152"/>
  <c r="BB356" i="152"/>
  <c r="BA356" i="152"/>
  <c r="AZ356" i="152"/>
  <c r="AY356" i="152"/>
  <c r="AX356" i="152"/>
  <c r="A356" i="152"/>
  <c r="BL355" i="152"/>
  <c r="BK355" i="152"/>
  <c r="BJ355" i="152"/>
  <c r="BI355" i="152"/>
  <c r="BH355" i="152"/>
  <c r="BG355" i="152"/>
  <c r="BF355" i="152"/>
  <c r="BE355" i="152"/>
  <c r="BD355" i="152"/>
  <c r="BC355" i="152"/>
  <c r="BB355" i="152"/>
  <c r="BA355" i="152"/>
  <c r="AZ355" i="152"/>
  <c r="AY355" i="152"/>
  <c r="AX355" i="152"/>
  <c r="A355" i="152"/>
  <c r="BL354" i="152"/>
  <c r="BK354" i="152"/>
  <c r="BJ354" i="152"/>
  <c r="BI354" i="152"/>
  <c r="BH354" i="152"/>
  <c r="BG354" i="152"/>
  <c r="BF354" i="152"/>
  <c r="BE354" i="152"/>
  <c r="BD354" i="152"/>
  <c r="BC354" i="152"/>
  <c r="BB354" i="152"/>
  <c r="BA354" i="152"/>
  <c r="AZ354" i="152"/>
  <c r="AY354" i="152"/>
  <c r="AX354" i="152"/>
  <c r="A354" i="152"/>
  <c r="BL353" i="152"/>
  <c r="BK353" i="152"/>
  <c r="BJ353" i="152"/>
  <c r="BI353" i="152"/>
  <c r="BH353" i="152"/>
  <c r="BG353" i="152"/>
  <c r="BF353" i="152"/>
  <c r="BE353" i="152"/>
  <c r="BD353" i="152"/>
  <c r="BC353" i="152"/>
  <c r="BB353" i="152"/>
  <c r="BA353" i="152"/>
  <c r="AZ353" i="152"/>
  <c r="AY353" i="152"/>
  <c r="AX353" i="152"/>
  <c r="A353" i="152"/>
  <c r="BL352" i="152"/>
  <c r="BK352" i="152"/>
  <c r="BJ352" i="152"/>
  <c r="BI352" i="152"/>
  <c r="BH352" i="152"/>
  <c r="BG352" i="152"/>
  <c r="BF352" i="152"/>
  <c r="BE352" i="152"/>
  <c r="BD352" i="152"/>
  <c r="BC352" i="152"/>
  <c r="BB352" i="152"/>
  <c r="BA352" i="152"/>
  <c r="AZ352" i="152"/>
  <c r="AY352" i="152"/>
  <c r="AX352" i="152"/>
  <c r="A352" i="152"/>
  <c r="BL351" i="152"/>
  <c r="BK351" i="152"/>
  <c r="BJ351" i="152"/>
  <c r="BI351" i="152"/>
  <c r="BH351" i="152"/>
  <c r="BG351" i="152"/>
  <c r="BF351" i="152"/>
  <c r="BE351" i="152"/>
  <c r="BD351" i="152"/>
  <c r="BC351" i="152"/>
  <c r="BB351" i="152"/>
  <c r="BA351" i="152"/>
  <c r="AZ351" i="152"/>
  <c r="AY351" i="152"/>
  <c r="AX351" i="152"/>
  <c r="A351" i="152"/>
  <c r="BL350" i="152"/>
  <c r="BK350" i="152"/>
  <c r="BJ350" i="152"/>
  <c r="BI350" i="152"/>
  <c r="BH350" i="152"/>
  <c r="BG350" i="152"/>
  <c r="BF350" i="152"/>
  <c r="BE350" i="152"/>
  <c r="BD350" i="152"/>
  <c r="BC350" i="152"/>
  <c r="BB350" i="152"/>
  <c r="BA350" i="152"/>
  <c r="AZ350" i="152"/>
  <c r="AY350" i="152"/>
  <c r="AX350" i="152"/>
  <c r="A350" i="152"/>
  <c r="BL349" i="152"/>
  <c r="BK349" i="152"/>
  <c r="BJ349" i="152"/>
  <c r="BI349" i="152"/>
  <c r="BH349" i="152"/>
  <c r="BG349" i="152"/>
  <c r="BF349" i="152"/>
  <c r="BE349" i="152"/>
  <c r="BD349" i="152"/>
  <c r="BC349" i="152"/>
  <c r="BB349" i="152"/>
  <c r="BA349" i="152"/>
  <c r="AZ349" i="152"/>
  <c r="AY349" i="152"/>
  <c r="AX349" i="152"/>
  <c r="A349" i="152"/>
  <c r="BL348" i="152"/>
  <c r="BK348" i="152"/>
  <c r="BJ348" i="152"/>
  <c r="BI348" i="152"/>
  <c r="BH348" i="152"/>
  <c r="BG348" i="152"/>
  <c r="BF348" i="152"/>
  <c r="BE348" i="152"/>
  <c r="BD348" i="152"/>
  <c r="BC348" i="152"/>
  <c r="BB348" i="152"/>
  <c r="BA348" i="152"/>
  <c r="AZ348" i="152"/>
  <c r="AY348" i="152"/>
  <c r="AX348" i="152"/>
  <c r="A348" i="152"/>
  <c r="BL347" i="152"/>
  <c r="BK347" i="152"/>
  <c r="BJ347" i="152"/>
  <c r="BI347" i="152"/>
  <c r="BH347" i="152"/>
  <c r="BG347" i="152"/>
  <c r="BF347" i="152"/>
  <c r="BE347" i="152"/>
  <c r="BD347" i="152"/>
  <c r="BC347" i="152"/>
  <c r="BB347" i="152"/>
  <c r="BA347" i="152"/>
  <c r="AZ347" i="152"/>
  <c r="AY347" i="152"/>
  <c r="AX347" i="152"/>
  <c r="A347" i="152"/>
  <c r="BL346" i="152"/>
  <c r="BK346" i="152"/>
  <c r="BJ346" i="152"/>
  <c r="BI346" i="152"/>
  <c r="BH346" i="152"/>
  <c r="BG346" i="152"/>
  <c r="BF346" i="152"/>
  <c r="BE346" i="152"/>
  <c r="BD346" i="152"/>
  <c r="BC346" i="152"/>
  <c r="BB346" i="152"/>
  <c r="BA346" i="152"/>
  <c r="AZ346" i="152"/>
  <c r="AY346" i="152"/>
  <c r="AX346" i="152"/>
  <c r="A346" i="152"/>
  <c r="BL345" i="152"/>
  <c r="BK345" i="152"/>
  <c r="BJ345" i="152"/>
  <c r="BI345" i="152"/>
  <c r="BH345" i="152"/>
  <c r="BG345" i="152"/>
  <c r="BF345" i="152"/>
  <c r="BE345" i="152"/>
  <c r="BD345" i="152"/>
  <c r="BC345" i="152"/>
  <c r="BB345" i="152"/>
  <c r="BA345" i="152"/>
  <c r="AZ345" i="152"/>
  <c r="AY345" i="152"/>
  <c r="AX345" i="152"/>
  <c r="A345" i="152"/>
  <c r="BL344" i="152"/>
  <c r="BK344" i="152"/>
  <c r="BJ344" i="152"/>
  <c r="BI344" i="152"/>
  <c r="BH344" i="152"/>
  <c r="BG344" i="152"/>
  <c r="BF344" i="152"/>
  <c r="BE344" i="152"/>
  <c r="BD344" i="152"/>
  <c r="BC344" i="152"/>
  <c r="BB344" i="152"/>
  <c r="BA344" i="152"/>
  <c r="AZ344" i="152"/>
  <c r="AY344" i="152"/>
  <c r="AX344" i="152"/>
  <c r="A344" i="152"/>
  <c r="BL343" i="152"/>
  <c r="BK343" i="152"/>
  <c r="BJ343" i="152"/>
  <c r="BI343" i="152"/>
  <c r="BH343" i="152"/>
  <c r="BG343" i="152"/>
  <c r="BF343" i="152"/>
  <c r="BE343" i="152"/>
  <c r="BD343" i="152"/>
  <c r="BC343" i="152"/>
  <c r="BB343" i="152"/>
  <c r="BA343" i="152"/>
  <c r="AZ343" i="152"/>
  <c r="AY343" i="152"/>
  <c r="AX343" i="152"/>
  <c r="A343" i="152"/>
  <c r="BL342" i="152"/>
  <c r="BK342" i="152"/>
  <c r="BJ342" i="152"/>
  <c r="BI342" i="152"/>
  <c r="BH342" i="152"/>
  <c r="BG342" i="152"/>
  <c r="BF342" i="152"/>
  <c r="BE342" i="152"/>
  <c r="BD342" i="152"/>
  <c r="BC342" i="152"/>
  <c r="BB342" i="152"/>
  <c r="BA342" i="152"/>
  <c r="AZ342" i="152"/>
  <c r="AY342" i="152"/>
  <c r="AX342" i="152"/>
  <c r="A342" i="152"/>
  <c r="BL341" i="152"/>
  <c r="BK341" i="152"/>
  <c r="BJ341" i="152"/>
  <c r="BI341" i="152"/>
  <c r="BH341" i="152"/>
  <c r="BG341" i="152"/>
  <c r="BF341" i="152"/>
  <c r="BE341" i="152"/>
  <c r="BD341" i="152"/>
  <c r="BC341" i="152"/>
  <c r="BB341" i="152"/>
  <c r="BA341" i="152"/>
  <c r="AZ341" i="152"/>
  <c r="AY341" i="152"/>
  <c r="AX341" i="152"/>
  <c r="A341" i="152"/>
  <c r="BL340" i="152"/>
  <c r="BK340" i="152"/>
  <c r="BJ340" i="152"/>
  <c r="BI340" i="152"/>
  <c r="BH340" i="152"/>
  <c r="BG340" i="152"/>
  <c r="BF340" i="152"/>
  <c r="BE340" i="152"/>
  <c r="BD340" i="152"/>
  <c r="BC340" i="152"/>
  <c r="BB340" i="152"/>
  <c r="BA340" i="152"/>
  <c r="AZ340" i="152"/>
  <c r="AY340" i="152"/>
  <c r="AX340" i="152"/>
  <c r="A340" i="152"/>
  <c r="BL339" i="152"/>
  <c r="BK339" i="152"/>
  <c r="BJ339" i="152"/>
  <c r="BI339" i="152"/>
  <c r="BH339" i="152"/>
  <c r="BG339" i="152"/>
  <c r="BF339" i="152"/>
  <c r="BE339" i="152"/>
  <c r="BD339" i="152"/>
  <c r="BC339" i="152"/>
  <c r="BB339" i="152"/>
  <c r="BA339" i="152"/>
  <c r="AZ339" i="152"/>
  <c r="AY339" i="152"/>
  <c r="AX339" i="152"/>
  <c r="A339" i="152"/>
  <c r="BL338" i="152"/>
  <c r="BK338" i="152"/>
  <c r="BJ338" i="152"/>
  <c r="BI338" i="152"/>
  <c r="BH338" i="152"/>
  <c r="BG338" i="152"/>
  <c r="BF338" i="152"/>
  <c r="BE338" i="152"/>
  <c r="BD338" i="152"/>
  <c r="BC338" i="152"/>
  <c r="BB338" i="152"/>
  <c r="BA338" i="152"/>
  <c r="AZ338" i="152"/>
  <c r="AY338" i="152"/>
  <c r="AX338" i="152"/>
  <c r="A338" i="152"/>
  <c r="BL337" i="152"/>
  <c r="BK337" i="152"/>
  <c r="BJ337" i="152"/>
  <c r="BI337" i="152"/>
  <c r="BH337" i="152"/>
  <c r="BG337" i="152"/>
  <c r="BF337" i="152"/>
  <c r="BE337" i="152"/>
  <c r="BD337" i="152"/>
  <c r="BC337" i="152"/>
  <c r="BB337" i="152"/>
  <c r="BA337" i="152"/>
  <c r="AZ337" i="152"/>
  <c r="AY337" i="152"/>
  <c r="AX337" i="152"/>
  <c r="A337" i="152"/>
  <c r="BL336" i="152"/>
  <c r="BK336" i="152"/>
  <c r="BJ336" i="152"/>
  <c r="BI336" i="152"/>
  <c r="BH336" i="152"/>
  <c r="BG336" i="152"/>
  <c r="BF336" i="152"/>
  <c r="BE336" i="152"/>
  <c r="BD336" i="152"/>
  <c r="BC336" i="152"/>
  <c r="BB336" i="152"/>
  <c r="BA336" i="152"/>
  <c r="AZ336" i="152"/>
  <c r="AY336" i="152"/>
  <c r="AX336" i="152"/>
  <c r="A336" i="152"/>
  <c r="BL335" i="152"/>
  <c r="BK335" i="152"/>
  <c r="BJ335" i="152"/>
  <c r="BI335" i="152"/>
  <c r="BH335" i="152"/>
  <c r="BG335" i="152"/>
  <c r="BF335" i="152"/>
  <c r="BE335" i="152"/>
  <c r="BD335" i="152"/>
  <c r="BC335" i="152"/>
  <c r="BB335" i="152"/>
  <c r="BA335" i="152"/>
  <c r="AZ335" i="152"/>
  <c r="AY335" i="152"/>
  <c r="AX335" i="152"/>
  <c r="A335" i="152"/>
  <c r="BL334" i="152"/>
  <c r="BK334" i="152"/>
  <c r="BJ334" i="152"/>
  <c r="BI334" i="152"/>
  <c r="BH334" i="152"/>
  <c r="BG334" i="152"/>
  <c r="BF334" i="152"/>
  <c r="BE334" i="152"/>
  <c r="BD334" i="152"/>
  <c r="BC334" i="152"/>
  <c r="BB334" i="152"/>
  <c r="BA334" i="152"/>
  <c r="AZ334" i="152"/>
  <c r="AY334" i="152"/>
  <c r="AX334" i="152"/>
  <c r="A334" i="152"/>
  <c r="BL333" i="152"/>
  <c r="BK333" i="152"/>
  <c r="BJ333" i="152"/>
  <c r="BI333" i="152"/>
  <c r="BH333" i="152"/>
  <c r="BG333" i="152"/>
  <c r="BF333" i="152"/>
  <c r="BE333" i="152"/>
  <c r="BD333" i="152"/>
  <c r="BC333" i="152"/>
  <c r="BB333" i="152"/>
  <c r="BA333" i="152"/>
  <c r="AZ333" i="152"/>
  <c r="AY333" i="152"/>
  <c r="AX333" i="152"/>
  <c r="A333" i="152"/>
  <c r="BL332" i="152"/>
  <c r="BK332" i="152"/>
  <c r="BJ332" i="152"/>
  <c r="BI332" i="152"/>
  <c r="BH332" i="152"/>
  <c r="BG332" i="152"/>
  <c r="BF332" i="152"/>
  <c r="BE332" i="152"/>
  <c r="BD332" i="152"/>
  <c r="BC332" i="152"/>
  <c r="BB332" i="152"/>
  <c r="BA332" i="152"/>
  <c r="AZ332" i="152"/>
  <c r="AY332" i="152"/>
  <c r="AX332" i="152"/>
  <c r="A332" i="152"/>
  <c r="BL331" i="152"/>
  <c r="BK331" i="152"/>
  <c r="BJ331" i="152"/>
  <c r="BI331" i="152"/>
  <c r="BH331" i="152"/>
  <c r="BG331" i="152"/>
  <c r="BF331" i="152"/>
  <c r="BE331" i="152"/>
  <c r="BD331" i="152"/>
  <c r="BC331" i="152"/>
  <c r="BB331" i="152"/>
  <c r="BA331" i="152"/>
  <c r="AZ331" i="152"/>
  <c r="AY331" i="152"/>
  <c r="AX331" i="152"/>
  <c r="A331" i="152"/>
  <c r="BL330" i="152"/>
  <c r="BK330" i="152"/>
  <c r="BJ330" i="152"/>
  <c r="BI330" i="152"/>
  <c r="BH330" i="152"/>
  <c r="BG330" i="152"/>
  <c r="BF330" i="152"/>
  <c r="BE330" i="152"/>
  <c r="BD330" i="152"/>
  <c r="BC330" i="152"/>
  <c r="BB330" i="152"/>
  <c r="BA330" i="152"/>
  <c r="AZ330" i="152"/>
  <c r="AY330" i="152"/>
  <c r="AX330" i="152"/>
  <c r="A330" i="152"/>
  <c r="BL329" i="152"/>
  <c r="BK329" i="152"/>
  <c r="BJ329" i="152"/>
  <c r="BI329" i="152"/>
  <c r="BH329" i="152"/>
  <c r="BG329" i="152"/>
  <c r="BF329" i="152"/>
  <c r="BE329" i="152"/>
  <c r="BD329" i="152"/>
  <c r="BC329" i="152"/>
  <c r="BB329" i="152"/>
  <c r="BA329" i="152"/>
  <c r="AZ329" i="152"/>
  <c r="AY329" i="152"/>
  <c r="AX329" i="152"/>
  <c r="A329" i="152"/>
  <c r="BL328" i="152"/>
  <c r="BK328" i="152"/>
  <c r="BJ328" i="152"/>
  <c r="BI328" i="152"/>
  <c r="BH328" i="152"/>
  <c r="BG328" i="152"/>
  <c r="BF328" i="152"/>
  <c r="BE328" i="152"/>
  <c r="BD328" i="152"/>
  <c r="BC328" i="152"/>
  <c r="BB328" i="152"/>
  <c r="BA328" i="152"/>
  <c r="AZ328" i="152"/>
  <c r="AY328" i="152"/>
  <c r="AX328" i="152"/>
  <c r="A328" i="152"/>
  <c r="BL327" i="152"/>
  <c r="BK327" i="152"/>
  <c r="BJ327" i="152"/>
  <c r="BI327" i="152"/>
  <c r="BH327" i="152"/>
  <c r="BG327" i="152"/>
  <c r="BF327" i="152"/>
  <c r="BE327" i="152"/>
  <c r="BD327" i="152"/>
  <c r="BC327" i="152"/>
  <c r="BB327" i="152"/>
  <c r="BA327" i="152"/>
  <c r="AZ327" i="152"/>
  <c r="AY327" i="152"/>
  <c r="AX327" i="152"/>
  <c r="A327" i="152"/>
  <c r="BL326" i="152"/>
  <c r="BK326" i="152"/>
  <c r="BJ326" i="152"/>
  <c r="BI326" i="152"/>
  <c r="BH326" i="152"/>
  <c r="BG326" i="152"/>
  <c r="BF326" i="152"/>
  <c r="BE326" i="152"/>
  <c r="BD326" i="152"/>
  <c r="BC326" i="152"/>
  <c r="BB326" i="152"/>
  <c r="BA326" i="152"/>
  <c r="AZ326" i="152"/>
  <c r="AY326" i="152"/>
  <c r="AX326" i="152"/>
  <c r="A326" i="152"/>
  <c r="BL325" i="152"/>
  <c r="BK325" i="152"/>
  <c r="BJ325" i="152"/>
  <c r="BI325" i="152"/>
  <c r="BH325" i="152"/>
  <c r="BG325" i="152"/>
  <c r="BF325" i="152"/>
  <c r="BE325" i="152"/>
  <c r="BD325" i="152"/>
  <c r="BC325" i="152"/>
  <c r="BB325" i="152"/>
  <c r="BA325" i="152"/>
  <c r="AZ325" i="152"/>
  <c r="AY325" i="152"/>
  <c r="AX325" i="152"/>
  <c r="A325" i="152"/>
  <c r="BL324" i="152"/>
  <c r="BK324" i="152"/>
  <c r="BJ324" i="152"/>
  <c r="BI324" i="152"/>
  <c r="BH324" i="152"/>
  <c r="BG324" i="152"/>
  <c r="BF324" i="152"/>
  <c r="BE324" i="152"/>
  <c r="BD324" i="152"/>
  <c r="BC324" i="152"/>
  <c r="BB324" i="152"/>
  <c r="BA324" i="152"/>
  <c r="AZ324" i="152"/>
  <c r="AY324" i="152"/>
  <c r="AX324" i="152"/>
  <c r="A324" i="152"/>
  <c r="BL323" i="152"/>
  <c r="BK323" i="152"/>
  <c r="BJ323" i="152"/>
  <c r="BI323" i="152"/>
  <c r="BH323" i="152"/>
  <c r="BG323" i="152"/>
  <c r="BF323" i="152"/>
  <c r="BE323" i="152"/>
  <c r="BD323" i="152"/>
  <c r="BC323" i="152"/>
  <c r="BB323" i="152"/>
  <c r="BA323" i="152"/>
  <c r="AZ323" i="152"/>
  <c r="AY323" i="152"/>
  <c r="AX323" i="152"/>
  <c r="A323" i="152"/>
  <c r="BL322" i="152"/>
  <c r="BK322" i="152"/>
  <c r="BJ322" i="152"/>
  <c r="BI322" i="152"/>
  <c r="BH322" i="152"/>
  <c r="BG322" i="152"/>
  <c r="BF322" i="152"/>
  <c r="BE322" i="152"/>
  <c r="BD322" i="152"/>
  <c r="BC322" i="152"/>
  <c r="BB322" i="152"/>
  <c r="BA322" i="152"/>
  <c r="AZ322" i="152"/>
  <c r="AY322" i="152"/>
  <c r="AX322" i="152"/>
  <c r="A322" i="152"/>
  <c r="BL321" i="152"/>
  <c r="BK321" i="152"/>
  <c r="BJ321" i="152"/>
  <c r="BI321" i="152"/>
  <c r="BH321" i="152"/>
  <c r="BG321" i="152"/>
  <c r="BF321" i="152"/>
  <c r="BE321" i="152"/>
  <c r="BD321" i="152"/>
  <c r="BC321" i="152"/>
  <c r="BB321" i="152"/>
  <c r="BA321" i="152"/>
  <c r="AZ321" i="152"/>
  <c r="AY321" i="152"/>
  <c r="AX321" i="152"/>
  <c r="A321" i="152"/>
  <c r="BL320" i="152"/>
  <c r="BK320" i="152"/>
  <c r="BJ320" i="152"/>
  <c r="BI320" i="152"/>
  <c r="BH320" i="152"/>
  <c r="BG320" i="152"/>
  <c r="BF320" i="152"/>
  <c r="BE320" i="152"/>
  <c r="BD320" i="152"/>
  <c r="BC320" i="152"/>
  <c r="BB320" i="152"/>
  <c r="BA320" i="152"/>
  <c r="AZ320" i="152"/>
  <c r="AY320" i="152"/>
  <c r="AX320" i="152"/>
  <c r="A320" i="152"/>
  <c r="BL319" i="152"/>
  <c r="BK319" i="152"/>
  <c r="BJ319" i="152"/>
  <c r="BI319" i="152"/>
  <c r="BH319" i="152"/>
  <c r="BG319" i="152"/>
  <c r="BF319" i="152"/>
  <c r="BE319" i="152"/>
  <c r="BD319" i="152"/>
  <c r="BC319" i="152"/>
  <c r="BB319" i="152"/>
  <c r="BA319" i="152"/>
  <c r="AZ319" i="152"/>
  <c r="AY319" i="152"/>
  <c r="AX319" i="152"/>
  <c r="A319" i="152"/>
  <c r="BL318" i="152"/>
  <c r="BK318" i="152"/>
  <c r="BJ318" i="152"/>
  <c r="BI318" i="152"/>
  <c r="BH318" i="152"/>
  <c r="BG318" i="152"/>
  <c r="BF318" i="152"/>
  <c r="BE318" i="152"/>
  <c r="BD318" i="152"/>
  <c r="BC318" i="152"/>
  <c r="BB318" i="152"/>
  <c r="BA318" i="152"/>
  <c r="AZ318" i="152"/>
  <c r="AY318" i="152"/>
  <c r="AX318" i="152"/>
  <c r="A318" i="152"/>
  <c r="BL317" i="152"/>
  <c r="BK317" i="152"/>
  <c r="BJ317" i="152"/>
  <c r="BI317" i="152"/>
  <c r="BH317" i="152"/>
  <c r="BG317" i="152"/>
  <c r="BF317" i="152"/>
  <c r="BE317" i="152"/>
  <c r="BD317" i="152"/>
  <c r="BC317" i="152"/>
  <c r="BB317" i="152"/>
  <c r="BA317" i="152"/>
  <c r="AZ317" i="152"/>
  <c r="AY317" i="152"/>
  <c r="AX317" i="152"/>
  <c r="A317" i="152"/>
  <c r="BL316" i="152"/>
  <c r="BK316" i="152"/>
  <c r="BJ316" i="152"/>
  <c r="BI316" i="152"/>
  <c r="BH316" i="152"/>
  <c r="BG316" i="152"/>
  <c r="BF316" i="152"/>
  <c r="BE316" i="152"/>
  <c r="BD316" i="152"/>
  <c r="BC316" i="152"/>
  <c r="BB316" i="152"/>
  <c r="BA316" i="152"/>
  <c r="AZ316" i="152"/>
  <c r="AY316" i="152"/>
  <c r="AX316" i="152"/>
  <c r="A316" i="152"/>
  <c r="BL315" i="152"/>
  <c r="BK315" i="152"/>
  <c r="BJ315" i="152"/>
  <c r="BI315" i="152"/>
  <c r="BH315" i="152"/>
  <c r="BG315" i="152"/>
  <c r="BF315" i="152"/>
  <c r="BE315" i="152"/>
  <c r="BD315" i="152"/>
  <c r="BC315" i="152"/>
  <c r="BB315" i="152"/>
  <c r="BA315" i="152"/>
  <c r="AZ315" i="152"/>
  <c r="AY315" i="152"/>
  <c r="AX315" i="152"/>
  <c r="A315" i="152"/>
  <c r="BL314" i="152"/>
  <c r="BK314" i="152"/>
  <c r="BJ314" i="152"/>
  <c r="BI314" i="152"/>
  <c r="BH314" i="152"/>
  <c r="BG314" i="152"/>
  <c r="BF314" i="152"/>
  <c r="BE314" i="152"/>
  <c r="BD314" i="152"/>
  <c r="BC314" i="152"/>
  <c r="BB314" i="152"/>
  <c r="BA314" i="152"/>
  <c r="AZ314" i="152"/>
  <c r="AY314" i="152"/>
  <c r="AX314" i="152"/>
  <c r="A314" i="152"/>
  <c r="BL313" i="152"/>
  <c r="BK313" i="152"/>
  <c r="BJ313" i="152"/>
  <c r="BI313" i="152"/>
  <c r="BH313" i="152"/>
  <c r="BG313" i="152"/>
  <c r="BF313" i="152"/>
  <c r="BE313" i="152"/>
  <c r="BD313" i="152"/>
  <c r="BC313" i="152"/>
  <c r="BB313" i="152"/>
  <c r="BA313" i="152"/>
  <c r="AZ313" i="152"/>
  <c r="AY313" i="152"/>
  <c r="AX313" i="152"/>
  <c r="A313" i="152"/>
  <c r="BL312" i="152"/>
  <c r="BK312" i="152"/>
  <c r="BJ312" i="152"/>
  <c r="BI312" i="152"/>
  <c r="BH312" i="152"/>
  <c r="BG312" i="152"/>
  <c r="BF312" i="152"/>
  <c r="BE312" i="152"/>
  <c r="BD312" i="152"/>
  <c r="BC312" i="152"/>
  <c r="BB312" i="152"/>
  <c r="BA312" i="152"/>
  <c r="AZ312" i="152"/>
  <c r="AY312" i="152"/>
  <c r="AX312" i="152"/>
  <c r="A312" i="152"/>
  <c r="BL311" i="152"/>
  <c r="BK311" i="152"/>
  <c r="BJ311" i="152"/>
  <c r="BI311" i="152"/>
  <c r="BH311" i="152"/>
  <c r="BG311" i="152"/>
  <c r="BF311" i="152"/>
  <c r="BE311" i="152"/>
  <c r="BD311" i="152"/>
  <c r="BC311" i="152"/>
  <c r="BB311" i="152"/>
  <c r="BA311" i="152"/>
  <c r="AZ311" i="152"/>
  <c r="AY311" i="152"/>
  <c r="AX311" i="152"/>
  <c r="A311" i="152"/>
  <c r="BL310" i="152"/>
  <c r="BK310" i="152"/>
  <c r="BJ310" i="152"/>
  <c r="BI310" i="152"/>
  <c r="BH310" i="152"/>
  <c r="BG310" i="152"/>
  <c r="BF310" i="152"/>
  <c r="BE310" i="152"/>
  <c r="BD310" i="152"/>
  <c r="BC310" i="152"/>
  <c r="BB310" i="152"/>
  <c r="BA310" i="152"/>
  <c r="AZ310" i="152"/>
  <c r="AY310" i="152"/>
  <c r="AX310" i="152"/>
  <c r="A310" i="152"/>
  <c r="BL309" i="152"/>
  <c r="BK309" i="152"/>
  <c r="BJ309" i="152"/>
  <c r="BI309" i="152"/>
  <c r="BH309" i="152"/>
  <c r="BG309" i="152"/>
  <c r="BF309" i="152"/>
  <c r="BE309" i="152"/>
  <c r="BD309" i="152"/>
  <c r="BC309" i="152"/>
  <c r="BB309" i="152"/>
  <c r="BA309" i="152"/>
  <c r="AZ309" i="152"/>
  <c r="AY309" i="152"/>
  <c r="AX309" i="152"/>
  <c r="A309" i="152"/>
  <c r="BL308" i="152"/>
  <c r="BK308" i="152"/>
  <c r="BJ308" i="152"/>
  <c r="BI308" i="152"/>
  <c r="BH308" i="152"/>
  <c r="BG308" i="152"/>
  <c r="BF308" i="152"/>
  <c r="BE308" i="152"/>
  <c r="BD308" i="152"/>
  <c r="BC308" i="152"/>
  <c r="BB308" i="152"/>
  <c r="BA308" i="152"/>
  <c r="AZ308" i="152"/>
  <c r="AY308" i="152"/>
  <c r="AX308" i="152"/>
  <c r="A308" i="152"/>
  <c r="BL307" i="152"/>
  <c r="BK307" i="152"/>
  <c r="BJ307" i="152"/>
  <c r="BI307" i="152"/>
  <c r="BH307" i="152"/>
  <c r="BG307" i="152"/>
  <c r="BF307" i="152"/>
  <c r="BE307" i="152"/>
  <c r="BD307" i="152"/>
  <c r="BC307" i="152"/>
  <c r="BB307" i="152"/>
  <c r="BA307" i="152"/>
  <c r="AZ307" i="152"/>
  <c r="AY307" i="152"/>
  <c r="AX307" i="152"/>
  <c r="A307" i="152"/>
  <c r="BL306" i="152"/>
  <c r="BK306" i="152"/>
  <c r="BJ306" i="152"/>
  <c r="BI306" i="152"/>
  <c r="BH306" i="152"/>
  <c r="BG306" i="152"/>
  <c r="BF306" i="152"/>
  <c r="BE306" i="152"/>
  <c r="BD306" i="152"/>
  <c r="BC306" i="152"/>
  <c r="BB306" i="152"/>
  <c r="BA306" i="152"/>
  <c r="AZ306" i="152"/>
  <c r="AY306" i="152"/>
  <c r="AX306" i="152"/>
  <c r="A306" i="152"/>
  <c r="BL305" i="152"/>
  <c r="BK305" i="152"/>
  <c r="BJ305" i="152"/>
  <c r="BI305" i="152"/>
  <c r="BH305" i="152"/>
  <c r="BG305" i="152"/>
  <c r="BF305" i="152"/>
  <c r="BE305" i="152"/>
  <c r="BD305" i="152"/>
  <c r="BC305" i="152"/>
  <c r="BB305" i="152"/>
  <c r="BA305" i="152"/>
  <c r="AZ305" i="152"/>
  <c r="AY305" i="152"/>
  <c r="AX305" i="152"/>
  <c r="A305" i="152"/>
  <c r="BL304" i="152"/>
  <c r="BK304" i="152"/>
  <c r="BJ304" i="152"/>
  <c r="BI304" i="152"/>
  <c r="BH304" i="152"/>
  <c r="BG304" i="152"/>
  <c r="BF304" i="152"/>
  <c r="BE304" i="152"/>
  <c r="BD304" i="152"/>
  <c r="BC304" i="152"/>
  <c r="BB304" i="152"/>
  <c r="BA304" i="152"/>
  <c r="AZ304" i="152"/>
  <c r="AY304" i="152"/>
  <c r="AX304" i="152"/>
  <c r="A304" i="152"/>
  <c r="BL303" i="152"/>
  <c r="BK303" i="152"/>
  <c r="BJ303" i="152"/>
  <c r="BI303" i="152"/>
  <c r="BH303" i="152"/>
  <c r="BG303" i="152"/>
  <c r="BF303" i="152"/>
  <c r="BE303" i="152"/>
  <c r="BD303" i="152"/>
  <c r="BC303" i="152"/>
  <c r="BB303" i="152"/>
  <c r="BA303" i="152"/>
  <c r="AZ303" i="152"/>
  <c r="AY303" i="152"/>
  <c r="AX303" i="152"/>
  <c r="A303" i="152"/>
  <c r="BL302" i="152"/>
  <c r="BK302" i="152"/>
  <c r="BJ302" i="152"/>
  <c r="BI302" i="152"/>
  <c r="BH302" i="152"/>
  <c r="BG302" i="152"/>
  <c r="BF302" i="152"/>
  <c r="BE302" i="152"/>
  <c r="BD302" i="152"/>
  <c r="BC302" i="152"/>
  <c r="BB302" i="152"/>
  <c r="BA302" i="152"/>
  <c r="AZ302" i="152"/>
  <c r="AY302" i="152"/>
  <c r="AX302" i="152"/>
  <c r="A302" i="152"/>
  <c r="BL301" i="152"/>
  <c r="BK301" i="152"/>
  <c r="BJ301" i="152"/>
  <c r="BI301" i="152"/>
  <c r="BH301" i="152"/>
  <c r="BG301" i="152"/>
  <c r="BF301" i="152"/>
  <c r="BE301" i="152"/>
  <c r="BD301" i="152"/>
  <c r="BC301" i="152"/>
  <c r="BB301" i="152"/>
  <c r="BA301" i="152"/>
  <c r="AZ301" i="152"/>
  <c r="AY301" i="152"/>
  <c r="AX301" i="152"/>
  <c r="A301" i="152"/>
  <c r="BL300" i="152"/>
  <c r="BK300" i="152"/>
  <c r="BJ300" i="152"/>
  <c r="BI300" i="152"/>
  <c r="BH300" i="152"/>
  <c r="BG300" i="152"/>
  <c r="BF300" i="152"/>
  <c r="BE300" i="152"/>
  <c r="BD300" i="152"/>
  <c r="BC300" i="152"/>
  <c r="BB300" i="152"/>
  <c r="BA300" i="152"/>
  <c r="AZ300" i="152"/>
  <c r="AY300" i="152"/>
  <c r="AX300" i="152"/>
  <c r="A300" i="152"/>
  <c r="BL299" i="152"/>
  <c r="BK299" i="152"/>
  <c r="BJ299" i="152"/>
  <c r="BI299" i="152"/>
  <c r="BH299" i="152"/>
  <c r="BG299" i="152"/>
  <c r="BF299" i="152"/>
  <c r="BE299" i="152"/>
  <c r="BD299" i="152"/>
  <c r="BC299" i="152"/>
  <c r="BB299" i="152"/>
  <c r="BA299" i="152"/>
  <c r="AZ299" i="152"/>
  <c r="AY299" i="152"/>
  <c r="AX299" i="152"/>
  <c r="A299" i="152"/>
  <c r="BL298" i="152"/>
  <c r="BK298" i="152"/>
  <c r="BJ298" i="152"/>
  <c r="BI298" i="152"/>
  <c r="BH298" i="152"/>
  <c r="BG298" i="152"/>
  <c r="BF298" i="152"/>
  <c r="BE298" i="152"/>
  <c r="BD298" i="152"/>
  <c r="BC298" i="152"/>
  <c r="BB298" i="152"/>
  <c r="BA298" i="152"/>
  <c r="AZ298" i="152"/>
  <c r="AY298" i="152"/>
  <c r="AX298" i="152"/>
  <c r="A298" i="152"/>
  <c r="BL297" i="152"/>
  <c r="BK297" i="152"/>
  <c r="BJ297" i="152"/>
  <c r="BI297" i="152"/>
  <c r="BH297" i="152"/>
  <c r="BG297" i="152"/>
  <c r="BF297" i="152"/>
  <c r="BE297" i="152"/>
  <c r="BD297" i="152"/>
  <c r="BC297" i="152"/>
  <c r="BB297" i="152"/>
  <c r="BA297" i="152"/>
  <c r="AZ297" i="152"/>
  <c r="AY297" i="152"/>
  <c r="AX297" i="152"/>
  <c r="A297" i="152"/>
  <c r="BL296" i="152"/>
  <c r="BK296" i="152"/>
  <c r="BJ296" i="152"/>
  <c r="BI296" i="152"/>
  <c r="BH296" i="152"/>
  <c r="BG296" i="152"/>
  <c r="BF296" i="152"/>
  <c r="BE296" i="152"/>
  <c r="BD296" i="152"/>
  <c r="BC296" i="152"/>
  <c r="BB296" i="152"/>
  <c r="BA296" i="152"/>
  <c r="AZ296" i="152"/>
  <c r="AY296" i="152"/>
  <c r="AX296" i="152"/>
  <c r="A296" i="152"/>
  <c r="BL295" i="152"/>
  <c r="BK295" i="152"/>
  <c r="BJ295" i="152"/>
  <c r="BI295" i="152"/>
  <c r="BH295" i="152"/>
  <c r="BG295" i="152"/>
  <c r="BF295" i="152"/>
  <c r="BE295" i="152"/>
  <c r="BD295" i="152"/>
  <c r="BC295" i="152"/>
  <c r="BB295" i="152"/>
  <c r="BA295" i="152"/>
  <c r="AZ295" i="152"/>
  <c r="AY295" i="152"/>
  <c r="AX295" i="152"/>
  <c r="A295" i="152"/>
  <c r="BL294" i="152"/>
  <c r="BK294" i="152"/>
  <c r="BJ294" i="152"/>
  <c r="BI294" i="152"/>
  <c r="BH294" i="152"/>
  <c r="BG294" i="152"/>
  <c r="BF294" i="152"/>
  <c r="BE294" i="152"/>
  <c r="BD294" i="152"/>
  <c r="BC294" i="152"/>
  <c r="BB294" i="152"/>
  <c r="BA294" i="152"/>
  <c r="AZ294" i="152"/>
  <c r="AY294" i="152"/>
  <c r="AX294" i="152"/>
  <c r="A294" i="152"/>
  <c r="BL293" i="152"/>
  <c r="BK293" i="152"/>
  <c r="BJ293" i="152"/>
  <c r="BI293" i="152"/>
  <c r="BH293" i="152"/>
  <c r="BG293" i="152"/>
  <c r="BF293" i="152"/>
  <c r="BE293" i="152"/>
  <c r="BD293" i="152"/>
  <c r="BC293" i="152"/>
  <c r="BB293" i="152"/>
  <c r="BA293" i="152"/>
  <c r="AZ293" i="152"/>
  <c r="AY293" i="152"/>
  <c r="AX293" i="152"/>
  <c r="A293" i="152"/>
  <c r="BL292" i="152"/>
  <c r="BK292" i="152"/>
  <c r="BJ292" i="152"/>
  <c r="BI292" i="152"/>
  <c r="BH292" i="152"/>
  <c r="BG292" i="152"/>
  <c r="BF292" i="152"/>
  <c r="BE292" i="152"/>
  <c r="BD292" i="152"/>
  <c r="BC292" i="152"/>
  <c r="BB292" i="152"/>
  <c r="BA292" i="152"/>
  <c r="AZ292" i="152"/>
  <c r="AY292" i="152"/>
  <c r="AX292" i="152"/>
  <c r="A292" i="152"/>
  <c r="BL291" i="152"/>
  <c r="BK291" i="152"/>
  <c r="BJ291" i="152"/>
  <c r="BI291" i="152"/>
  <c r="BH291" i="152"/>
  <c r="BG291" i="152"/>
  <c r="BF291" i="152"/>
  <c r="BE291" i="152"/>
  <c r="BD291" i="152"/>
  <c r="BC291" i="152"/>
  <c r="BB291" i="152"/>
  <c r="BA291" i="152"/>
  <c r="AZ291" i="152"/>
  <c r="AY291" i="152"/>
  <c r="AX291" i="152"/>
  <c r="A291" i="152"/>
  <c r="BL290" i="152"/>
  <c r="BK290" i="152"/>
  <c r="BJ290" i="152"/>
  <c r="BI290" i="152"/>
  <c r="BH290" i="152"/>
  <c r="BG290" i="152"/>
  <c r="BF290" i="152"/>
  <c r="BE290" i="152"/>
  <c r="BD290" i="152"/>
  <c r="BC290" i="152"/>
  <c r="BB290" i="152"/>
  <c r="BA290" i="152"/>
  <c r="AZ290" i="152"/>
  <c r="AY290" i="152"/>
  <c r="AX290" i="152"/>
  <c r="A290" i="152"/>
  <c r="BL289" i="152"/>
  <c r="BK289" i="152"/>
  <c r="BJ289" i="152"/>
  <c r="BI289" i="152"/>
  <c r="BH289" i="152"/>
  <c r="BG289" i="152"/>
  <c r="BF289" i="152"/>
  <c r="BE289" i="152"/>
  <c r="BD289" i="152"/>
  <c r="BC289" i="152"/>
  <c r="BB289" i="152"/>
  <c r="BA289" i="152"/>
  <c r="AZ289" i="152"/>
  <c r="AY289" i="152"/>
  <c r="AX289" i="152"/>
  <c r="A289" i="152"/>
  <c r="BL288" i="152"/>
  <c r="BK288" i="152"/>
  <c r="BJ288" i="152"/>
  <c r="BI288" i="152"/>
  <c r="BH288" i="152"/>
  <c r="BG288" i="152"/>
  <c r="BF288" i="152"/>
  <c r="BE288" i="152"/>
  <c r="BD288" i="152"/>
  <c r="BC288" i="152"/>
  <c r="BB288" i="152"/>
  <c r="BA288" i="152"/>
  <c r="AZ288" i="152"/>
  <c r="AY288" i="152"/>
  <c r="AX288" i="152"/>
  <c r="A288" i="152"/>
  <c r="BL287" i="152"/>
  <c r="BK287" i="152"/>
  <c r="BJ287" i="152"/>
  <c r="BI287" i="152"/>
  <c r="BH287" i="152"/>
  <c r="BG287" i="152"/>
  <c r="BF287" i="152"/>
  <c r="BE287" i="152"/>
  <c r="BD287" i="152"/>
  <c r="BC287" i="152"/>
  <c r="BB287" i="152"/>
  <c r="BA287" i="152"/>
  <c r="AZ287" i="152"/>
  <c r="AY287" i="152"/>
  <c r="AX287" i="152"/>
  <c r="A287" i="152"/>
  <c r="BL286" i="152"/>
  <c r="BK286" i="152"/>
  <c r="BJ286" i="152"/>
  <c r="BI286" i="152"/>
  <c r="BH286" i="152"/>
  <c r="BG286" i="152"/>
  <c r="BF286" i="152"/>
  <c r="BE286" i="152"/>
  <c r="BD286" i="152"/>
  <c r="BC286" i="152"/>
  <c r="BB286" i="152"/>
  <c r="BA286" i="152"/>
  <c r="AZ286" i="152"/>
  <c r="AY286" i="152"/>
  <c r="AX286" i="152"/>
  <c r="A286" i="152"/>
  <c r="BL285" i="152"/>
  <c r="BK285" i="152"/>
  <c r="BJ285" i="152"/>
  <c r="BI285" i="152"/>
  <c r="BH285" i="152"/>
  <c r="BG285" i="152"/>
  <c r="BF285" i="152"/>
  <c r="BE285" i="152"/>
  <c r="BD285" i="152"/>
  <c r="BC285" i="152"/>
  <c r="BB285" i="152"/>
  <c r="BA285" i="152"/>
  <c r="AZ285" i="152"/>
  <c r="AY285" i="152"/>
  <c r="AX285" i="152"/>
  <c r="A285" i="152"/>
  <c r="BL284" i="152"/>
  <c r="BK284" i="152"/>
  <c r="BJ284" i="152"/>
  <c r="BI284" i="152"/>
  <c r="BH284" i="152"/>
  <c r="BG284" i="152"/>
  <c r="BF284" i="152"/>
  <c r="BE284" i="152"/>
  <c r="BD284" i="152"/>
  <c r="BC284" i="152"/>
  <c r="BB284" i="152"/>
  <c r="BA284" i="152"/>
  <c r="AZ284" i="152"/>
  <c r="AY284" i="152"/>
  <c r="AX284" i="152"/>
  <c r="A284" i="152"/>
  <c r="BL283" i="152"/>
  <c r="BK283" i="152"/>
  <c r="BJ283" i="152"/>
  <c r="BI283" i="152"/>
  <c r="BH283" i="152"/>
  <c r="BG283" i="152"/>
  <c r="BF283" i="152"/>
  <c r="BE283" i="152"/>
  <c r="BD283" i="152"/>
  <c r="BC283" i="152"/>
  <c r="BB283" i="152"/>
  <c r="BA283" i="152"/>
  <c r="AZ283" i="152"/>
  <c r="AY283" i="152"/>
  <c r="AX283" i="152"/>
  <c r="A283" i="152"/>
  <c r="BL282" i="152"/>
  <c r="BK282" i="152"/>
  <c r="BJ282" i="152"/>
  <c r="BI282" i="152"/>
  <c r="BH282" i="152"/>
  <c r="BG282" i="152"/>
  <c r="BF282" i="152"/>
  <c r="BE282" i="152"/>
  <c r="BD282" i="152"/>
  <c r="BC282" i="152"/>
  <c r="BB282" i="152"/>
  <c r="BA282" i="152"/>
  <c r="AZ282" i="152"/>
  <c r="AY282" i="152"/>
  <c r="AX282" i="152"/>
  <c r="A282" i="152"/>
  <c r="BL281" i="152"/>
  <c r="BK281" i="152"/>
  <c r="BJ281" i="152"/>
  <c r="BI281" i="152"/>
  <c r="BH281" i="152"/>
  <c r="BG281" i="152"/>
  <c r="BF281" i="152"/>
  <c r="BE281" i="152"/>
  <c r="BD281" i="152"/>
  <c r="BC281" i="152"/>
  <c r="BB281" i="152"/>
  <c r="BA281" i="152"/>
  <c r="AZ281" i="152"/>
  <c r="AY281" i="152"/>
  <c r="AX281" i="152"/>
  <c r="A281" i="152"/>
  <c r="BL280" i="152"/>
  <c r="BK280" i="152"/>
  <c r="BJ280" i="152"/>
  <c r="BI280" i="152"/>
  <c r="BH280" i="152"/>
  <c r="BG280" i="152"/>
  <c r="BF280" i="152"/>
  <c r="BE280" i="152"/>
  <c r="BD280" i="152"/>
  <c r="BC280" i="152"/>
  <c r="BB280" i="152"/>
  <c r="BA280" i="152"/>
  <c r="AZ280" i="152"/>
  <c r="AY280" i="152"/>
  <c r="AX280" i="152"/>
  <c r="A280" i="152"/>
  <c r="BL279" i="152"/>
  <c r="BK279" i="152"/>
  <c r="BJ279" i="152"/>
  <c r="BI279" i="152"/>
  <c r="BH279" i="152"/>
  <c r="BG279" i="152"/>
  <c r="BF279" i="152"/>
  <c r="BE279" i="152"/>
  <c r="BD279" i="152"/>
  <c r="BC279" i="152"/>
  <c r="BB279" i="152"/>
  <c r="BA279" i="152"/>
  <c r="AZ279" i="152"/>
  <c r="AY279" i="152"/>
  <c r="AX279" i="152"/>
  <c r="A279" i="152"/>
  <c r="BL278" i="152"/>
  <c r="BK278" i="152"/>
  <c r="BJ278" i="152"/>
  <c r="BI278" i="152"/>
  <c r="BH278" i="152"/>
  <c r="BG278" i="152"/>
  <c r="BF278" i="152"/>
  <c r="BE278" i="152"/>
  <c r="BD278" i="152"/>
  <c r="BC278" i="152"/>
  <c r="BB278" i="152"/>
  <c r="BA278" i="152"/>
  <c r="AZ278" i="152"/>
  <c r="AY278" i="152"/>
  <c r="AX278" i="152"/>
  <c r="A278" i="152"/>
  <c r="BL277" i="152"/>
  <c r="BK277" i="152"/>
  <c r="BJ277" i="152"/>
  <c r="BI277" i="152"/>
  <c r="BH277" i="152"/>
  <c r="BG277" i="152"/>
  <c r="BF277" i="152"/>
  <c r="BE277" i="152"/>
  <c r="BD277" i="152"/>
  <c r="BC277" i="152"/>
  <c r="BB277" i="152"/>
  <c r="BA277" i="152"/>
  <c r="AZ277" i="152"/>
  <c r="AY277" i="152"/>
  <c r="AX277" i="152"/>
  <c r="A277" i="152"/>
  <c r="BL276" i="152"/>
  <c r="BK276" i="152"/>
  <c r="BJ276" i="152"/>
  <c r="BI276" i="152"/>
  <c r="BH276" i="152"/>
  <c r="BG276" i="152"/>
  <c r="BF276" i="152"/>
  <c r="BE276" i="152"/>
  <c r="BD276" i="152"/>
  <c r="BC276" i="152"/>
  <c r="BB276" i="152"/>
  <c r="BA276" i="152"/>
  <c r="AZ276" i="152"/>
  <c r="AY276" i="152"/>
  <c r="AX276" i="152"/>
  <c r="A276" i="152"/>
  <c r="BL275" i="152"/>
  <c r="BK275" i="152"/>
  <c r="BJ275" i="152"/>
  <c r="BI275" i="152"/>
  <c r="BH275" i="152"/>
  <c r="BG275" i="152"/>
  <c r="BF275" i="152"/>
  <c r="BE275" i="152"/>
  <c r="BD275" i="152"/>
  <c r="BC275" i="152"/>
  <c r="BB275" i="152"/>
  <c r="BA275" i="152"/>
  <c r="AZ275" i="152"/>
  <c r="AY275" i="152"/>
  <c r="AX275" i="152"/>
  <c r="A275" i="152"/>
  <c r="BL274" i="152"/>
  <c r="BK274" i="152"/>
  <c r="BJ274" i="152"/>
  <c r="BI274" i="152"/>
  <c r="BH274" i="152"/>
  <c r="BG274" i="152"/>
  <c r="BF274" i="152"/>
  <c r="BE274" i="152"/>
  <c r="BD274" i="152"/>
  <c r="BC274" i="152"/>
  <c r="BB274" i="152"/>
  <c r="BA274" i="152"/>
  <c r="AZ274" i="152"/>
  <c r="AY274" i="152"/>
  <c r="AX274" i="152"/>
  <c r="A274" i="152"/>
  <c r="BL273" i="152"/>
  <c r="BK273" i="152"/>
  <c r="BJ273" i="152"/>
  <c r="BI273" i="152"/>
  <c r="BH273" i="152"/>
  <c r="BG273" i="152"/>
  <c r="BF273" i="152"/>
  <c r="BE273" i="152"/>
  <c r="BD273" i="152"/>
  <c r="BC273" i="152"/>
  <c r="BB273" i="152"/>
  <c r="BA273" i="152"/>
  <c r="AZ273" i="152"/>
  <c r="AY273" i="152"/>
  <c r="AX273" i="152"/>
  <c r="A273" i="152"/>
  <c r="BL272" i="152"/>
  <c r="BK272" i="152"/>
  <c r="BJ272" i="152"/>
  <c r="BI272" i="152"/>
  <c r="BH272" i="152"/>
  <c r="BG272" i="152"/>
  <c r="BF272" i="152"/>
  <c r="BE272" i="152"/>
  <c r="BD272" i="152"/>
  <c r="BC272" i="152"/>
  <c r="BB272" i="152"/>
  <c r="BA272" i="152"/>
  <c r="AZ272" i="152"/>
  <c r="AY272" i="152"/>
  <c r="AX272" i="152"/>
  <c r="A272" i="152"/>
  <c r="BL271" i="152"/>
  <c r="BK271" i="152"/>
  <c r="BJ271" i="152"/>
  <c r="BI271" i="152"/>
  <c r="BH271" i="152"/>
  <c r="BG271" i="152"/>
  <c r="BF271" i="152"/>
  <c r="BE271" i="152"/>
  <c r="BD271" i="152"/>
  <c r="BC271" i="152"/>
  <c r="BB271" i="152"/>
  <c r="BA271" i="152"/>
  <c r="AZ271" i="152"/>
  <c r="AY271" i="152"/>
  <c r="AX271" i="152"/>
  <c r="A271" i="152"/>
  <c r="BL270" i="152"/>
  <c r="BK270" i="152"/>
  <c r="BJ270" i="152"/>
  <c r="BI270" i="152"/>
  <c r="BH270" i="152"/>
  <c r="BG270" i="152"/>
  <c r="BF270" i="152"/>
  <c r="BE270" i="152"/>
  <c r="BD270" i="152"/>
  <c r="BC270" i="152"/>
  <c r="BB270" i="152"/>
  <c r="BA270" i="152"/>
  <c r="AZ270" i="152"/>
  <c r="AY270" i="152"/>
  <c r="AX270" i="152"/>
  <c r="A270" i="152"/>
  <c r="BL269" i="152"/>
  <c r="BK269" i="152"/>
  <c r="BJ269" i="152"/>
  <c r="BI269" i="152"/>
  <c r="BH269" i="152"/>
  <c r="BG269" i="152"/>
  <c r="BF269" i="152"/>
  <c r="BE269" i="152"/>
  <c r="BD269" i="152"/>
  <c r="BC269" i="152"/>
  <c r="BB269" i="152"/>
  <c r="BA269" i="152"/>
  <c r="AZ269" i="152"/>
  <c r="AY269" i="152"/>
  <c r="AX269" i="152"/>
  <c r="A269" i="152"/>
  <c r="BL268" i="152"/>
  <c r="BK268" i="152"/>
  <c r="BJ268" i="152"/>
  <c r="BI268" i="152"/>
  <c r="BH268" i="152"/>
  <c r="BG268" i="152"/>
  <c r="BF268" i="152"/>
  <c r="BE268" i="152"/>
  <c r="BD268" i="152"/>
  <c r="BC268" i="152"/>
  <c r="BB268" i="152"/>
  <c r="BA268" i="152"/>
  <c r="AZ268" i="152"/>
  <c r="AY268" i="152"/>
  <c r="AX268" i="152"/>
  <c r="A268" i="152"/>
  <c r="BL267" i="152"/>
  <c r="BK267" i="152"/>
  <c r="BJ267" i="152"/>
  <c r="BI267" i="152"/>
  <c r="BH267" i="152"/>
  <c r="BG267" i="152"/>
  <c r="BF267" i="152"/>
  <c r="BE267" i="152"/>
  <c r="BD267" i="152"/>
  <c r="BC267" i="152"/>
  <c r="BB267" i="152"/>
  <c r="BA267" i="152"/>
  <c r="AZ267" i="152"/>
  <c r="AY267" i="152"/>
  <c r="AX267" i="152"/>
  <c r="A267" i="152"/>
  <c r="BL266" i="152"/>
  <c r="BK266" i="152"/>
  <c r="BJ266" i="152"/>
  <c r="BI266" i="152"/>
  <c r="BH266" i="152"/>
  <c r="BG266" i="152"/>
  <c r="BF266" i="152"/>
  <c r="BE266" i="152"/>
  <c r="BD266" i="152"/>
  <c r="BC266" i="152"/>
  <c r="BB266" i="152"/>
  <c r="BA266" i="152"/>
  <c r="AZ266" i="152"/>
  <c r="AY266" i="152"/>
  <c r="AX266" i="152"/>
  <c r="A266" i="152"/>
  <c r="BL265" i="152"/>
  <c r="BK265" i="152"/>
  <c r="BJ265" i="152"/>
  <c r="BI265" i="152"/>
  <c r="BH265" i="152"/>
  <c r="BG265" i="152"/>
  <c r="BF265" i="152"/>
  <c r="BE265" i="152"/>
  <c r="BD265" i="152"/>
  <c r="BC265" i="152"/>
  <c r="BB265" i="152"/>
  <c r="BA265" i="152"/>
  <c r="AZ265" i="152"/>
  <c r="AY265" i="152"/>
  <c r="AX265" i="152"/>
  <c r="A265" i="152"/>
  <c r="BL264" i="152"/>
  <c r="BK264" i="152"/>
  <c r="BJ264" i="152"/>
  <c r="BI264" i="152"/>
  <c r="BH264" i="152"/>
  <c r="BG264" i="152"/>
  <c r="BF264" i="152"/>
  <c r="BE264" i="152"/>
  <c r="BD264" i="152"/>
  <c r="BC264" i="152"/>
  <c r="BB264" i="152"/>
  <c r="BA264" i="152"/>
  <c r="AZ264" i="152"/>
  <c r="AY264" i="152"/>
  <c r="AX264" i="152"/>
  <c r="A264" i="152"/>
  <c r="BL263" i="152"/>
  <c r="BK263" i="152"/>
  <c r="BJ263" i="152"/>
  <c r="BI263" i="152"/>
  <c r="BH263" i="152"/>
  <c r="BG263" i="152"/>
  <c r="BF263" i="152"/>
  <c r="BE263" i="152"/>
  <c r="BD263" i="152"/>
  <c r="BC263" i="152"/>
  <c r="BB263" i="152"/>
  <c r="BA263" i="152"/>
  <c r="AZ263" i="152"/>
  <c r="AY263" i="152"/>
  <c r="AX263" i="152"/>
  <c r="A263" i="152"/>
  <c r="BL262" i="152"/>
  <c r="BK262" i="152"/>
  <c r="BJ262" i="152"/>
  <c r="BI262" i="152"/>
  <c r="BH262" i="152"/>
  <c r="BG262" i="152"/>
  <c r="BF262" i="152"/>
  <c r="BE262" i="152"/>
  <c r="BD262" i="152"/>
  <c r="BC262" i="152"/>
  <c r="BB262" i="152"/>
  <c r="BA262" i="152"/>
  <c r="AZ262" i="152"/>
  <c r="AY262" i="152"/>
  <c r="AX262" i="152"/>
  <c r="A262" i="152"/>
  <c r="BL261" i="152"/>
  <c r="BK261" i="152"/>
  <c r="BJ261" i="152"/>
  <c r="BI261" i="152"/>
  <c r="BH261" i="152"/>
  <c r="BG261" i="152"/>
  <c r="BF261" i="152"/>
  <c r="BE261" i="152"/>
  <c r="BD261" i="152"/>
  <c r="BC261" i="152"/>
  <c r="BB261" i="152"/>
  <c r="BA261" i="152"/>
  <c r="AZ261" i="152"/>
  <c r="AY261" i="152"/>
  <c r="AX261" i="152"/>
  <c r="A261" i="152"/>
  <c r="BL260" i="152"/>
  <c r="BK260" i="152"/>
  <c r="BJ260" i="152"/>
  <c r="BI260" i="152"/>
  <c r="BH260" i="152"/>
  <c r="BG260" i="152"/>
  <c r="BF260" i="152"/>
  <c r="BE260" i="152"/>
  <c r="BD260" i="152"/>
  <c r="BC260" i="152"/>
  <c r="BB260" i="152"/>
  <c r="BA260" i="152"/>
  <c r="AZ260" i="152"/>
  <c r="AY260" i="152"/>
  <c r="AX260" i="152"/>
  <c r="A260" i="152"/>
  <c r="BL259" i="152"/>
  <c r="BK259" i="152"/>
  <c r="BJ259" i="152"/>
  <c r="BI259" i="152"/>
  <c r="BH259" i="152"/>
  <c r="BG259" i="152"/>
  <c r="BF259" i="152"/>
  <c r="BE259" i="152"/>
  <c r="BD259" i="152"/>
  <c r="BC259" i="152"/>
  <c r="BB259" i="152"/>
  <c r="BA259" i="152"/>
  <c r="AZ259" i="152"/>
  <c r="AY259" i="152"/>
  <c r="AX259" i="152"/>
  <c r="A259" i="152"/>
  <c r="BL258" i="152"/>
  <c r="BK258" i="152"/>
  <c r="BJ258" i="152"/>
  <c r="BI258" i="152"/>
  <c r="BH258" i="152"/>
  <c r="BG258" i="152"/>
  <c r="BF258" i="152"/>
  <c r="BE258" i="152"/>
  <c r="BD258" i="152"/>
  <c r="BC258" i="152"/>
  <c r="BB258" i="152"/>
  <c r="BA258" i="152"/>
  <c r="AZ258" i="152"/>
  <c r="AY258" i="152"/>
  <c r="AX258" i="152"/>
  <c r="A258" i="152"/>
  <c r="BL257" i="152"/>
  <c r="BK257" i="152"/>
  <c r="BJ257" i="152"/>
  <c r="BI257" i="152"/>
  <c r="BH257" i="152"/>
  <c r="BG257" i="152"/>
  <c r="BF257" i="152"/>
  <c r="BE257" i="152"/>
  <c r="BD257" i="152"/>
  <c r="BC257" i="152"/>
  <c r="BB257" i="152"/>
  <c r="BA257" i="152"/>
  <c r="AZ257" i="152"/>
  <c r="AY257" i="152"/>
  <c r="AX257" i="152"/>
  <c r="A257" i="152"/>
  <c r="BL256" i="152"/>
  <c r="BK256" i="152"/>
  <c r="BJ256" i="152"/>
  <c r="BI256" i="152"/>
  <c r="BH256" i="152"/>
  <c r="BG256" i="152"/>
  <c r="BF256" i="152"/>
  <c r="BE256" i="152"/>
  <c r="BD256" i="152"/>
  <c r="BC256" i="152"/>
  <c r="BB256" i="152"/>
  <c r="BA256" i="152"/>
  <c r="AZ256" i="152"/>
  <c r="AY256" i="152"/>
  <c r="AX256" i="152"/>
  <c r="A256" i="152"/>
  <c r="BL255" i="152"/>
  <c r="BK255" i="152"/>
  <c r="BJ255" i="152"/>
  <c r="BI255" i="152"/>
  <c r="BH255" i="152"/>
  <c r="BG255" i="152"/>
  <c r="BF255" i="152"/>
  <c r="BE255" i="152"/>
  <c r="BD255" i="152"/>
  <c r="BC255" i="152"/>
  <c r="BB255" i="152"/>
  <c r="BA255" i="152"/>
  <c r="AZ255" i="152"/>
  <c r="AY255" i="152"/>
  <c r="AX255" i="152"/>
  <c r="A255" i="152"/>
  <c r="BL254" i="152"/>
  <c r="BK254" i="152"/>
  <c r="BJ254" i="152"/>
  <c r="BI254" i="152"/>
  <c r="BH254" i="152"/>
  <c r="BG254" i="152"/>
  <c r="BF254" i="152"/>
  <c r="BE254" i="152"/>
  <c r="BD254" i="152"/>
  <c r="BC254" i="152"/>
  <c r="BB254" i="152"/>
  <c r="BA254" i="152"/>
  <c r="AZ254" i="152"/>
  <c r="AY254" i="152"/>
  <c r="AX254" i="152"/>
  <c r="A254" i="152"/>
  <c r="BL253" i="152"/>
  <c r="BK253" i="152"/>
  <c r="BJ253" i="152"/>
  <c r="BI253" i="152"/>
  <c r="BH253" i="152"/>
  <c r="BG253" i="152"/>
  <c r="BF253" i="152"/>
  <c r="BE253" i="152"/>
  <c r="BD253" i="152"/>
  <c r="BC253" i="152"/>
  <c r="BB253" i="152"/>
  <c r="BA253" i="152"/>
  <c r="AZ253" i="152"/>
  <c r="AY253" i="152"/>
  <c r="AX253" i="152"/>
  <c r="A253" i="152"/>
  <c r="BL252" i="152"/>
  <c r="BK252" i="152"/>
  <c r="BJ252" i="152"/>
  <c r="BI252" i="152"/>
  <c r="BH252" i="152"/>
  <c r="BG252" i="152"/>
  <c r="BF252" i="152"/>
  <c r="BE252" i="152"/>
  <c r="BD252" i="152"/>
  <c r="BC252" i="152"/>
  <c r="BB252" i="152"/>
  <c r="BA252" i="152"/>
  <c r="AZ252" i="152"/>
  <c r="AY252" i="152"/>
  <c r="AX252" i="152"/>
  <c r="A252" i="152"/>
  <c r="BL251" i="152"/>
  <c r="BK251" i="152"/>
  <c r="BJ251" i="152"/>
  <c r="BI251" i="152"/>
  <c r="BH251" i="152"/>
  <c r="BG251" i="152"/>
  <c r="BF251" i="152"/>
  <c r="BE251" i="152"/>
  <c r="BD251" i="152"/>
  <c r="BC251" i="152"/>
  <c r="BB251" i="152"/>
  <c r="BA251" i="152"/>
  <c r="AZ251" i="152"/>
  <c r="AY251" i="152"/>
  <c r="AX251" i="152"/>
  <c r="A251" i="152"/>
  <c r="BL250" i="152"/>
  <c r="BK250" i="152"/>
  <c r="BJ250" i="152"/>
  <c r="BI250" i="152"/>
  <c r="BH250" i="152"/>
  <c r="BG250" i="152"/>
  <c r="BF250" i="152"/>
  <c r="BE250" i="152"/>
  <c r="BD250" i="152"/>
  <c r="BC250" i="152"/>
  <c r="BB250" i="152"/>
  <c r="BA250" i="152"/>
  <c r="AZ250" i="152"/>
  <c r="AY250" i="152"/>
  <c r="AX250" i="152"/>
  <c r="A250" i="152"/>
  <c r="BL249" i="152"/>
  <c r="BK249" i="152"/>
  <c r="BJ249" i="152"/>
  <c r="BI249" i="152"/>
  <c r="BH249" i="152"/>
  <c r="BG249" i="152"/>
  <c r="BF249" i="152"/>
  <c r="BE249" i="152"/>
  <c r="BD249" i="152"/>
  <c r="BC249" i="152"/>
  <c r="BB249" i="152"/>
  <c r="BA249" i="152"/>
  <c r="AZ249" i="152"/>
  <c r="AY249" i="152"/>
  <c r="AX249" i="152"/>
  <c r="A249" i="152"/>
  <c r="BL248" i="152"/>
  <c r="BK248" i="152"/>
  <c r="BJ248" i="152"/>
  <c r="BI248" i="152"/>
  <c r="BH248" i="152"/>
  <c r="BG248" i="152"/>
  <c r="BF248" i="152"/>
  <c r="BE248" i="152"/>
  <c r="BD248" i="152"/>
  <c r="BC248" i="152"/>
  <c r="BB248" i="152"/>
  <c r="BA248" i="152"/>
  <c r="AZ248" i="152"/>
  <c r="AY248" i="152"/>
  <c r="AX248" i="152"/>
  <c r="A248" i="152"/>
  <c r="BL247" i="152"/>
  <c r="BK247" i="152"/>
  <c r="BJ247" i="152"/>
  <c r="BI247" i="152"/>
  <c r="BH247" i="152"/>
  <c r="BG247" i="152"/>
  <c r="BF247" i="152"/>
  <c r="BE247" i="152"/>
  <c r="BD247" i="152"/>
  <c r="BC247" i="152"/>
  <c r="BB247" i="152"/>
  <c r="BA247" i="152"/>
  <c r="AZ247" i="152"/>
  <c r="AY247" i="152"/>
  <c r="AX247" i="152"/>
  <c r="A247" i="152"/>
  <c r="BL246" i="152"/>
  <c r="BK246" i="152"/>
  <c r="BJ246" i="152"/>
  <c r="BI246" i="152"/>
  <c r="BH246" i="152"/>
  <c r="BG246" i="152"/>
  <c r="BF246" i="152"/>
  <c r="BE246" i="152"/>
  <c r="BD246" i="152"/>
  <c r="BC246" i="152"/>
  <c r="BB246" i="152"/>
  <c r="BA246" i="152"/>
  <c r="AZ246" i="152"/>
  <c r="AY246" i="152"/>
  <c r="AX246" i="152"/>
  <c r="A246" i="152"/>
  <c r="BL245" i="152"/>
  <c r="BK245" i="152"/>
  <c r="BJ245" i="152"/>
  <c r="BI245" i="152"/>
  <c r="BH245" i="152"/>
  <c r="BG245" i="152"/>
  <c r="BF245" i="152"/>
  <c r="BE245" i="152"/>
  <c r="BD245" i="152"/>
  <c r="BC245" i="152"/>
  <c r="BB245" i="152"/>
  <c r="BA245" i="152"/>
  <c r="AZ245" i="152"/>
  <c r="AY245" i="152"/>
  <c r="AX245" i="152"/>
  <c r="A245" i="152"/>
  <c r="BL244" i="152"/>
  <c r="BK244" i="152"/>
  <c r="BJ244" i="152"/>
  <c r="BI244" i="152"/>
  <c r="BH244" i="152"/>
  <c r="BG244" i="152"/>
  <c r="BF244" i="152"/>
  <c r="BE244" i="152"/>
  <c r="BD244" i="152"/>
  <c r="BC244" i="152"/>
  <c r="BB244" i="152"/>
  <c r="BA244" i="152"/>
  <c r="AZ244" i="152"/>
  <c r="AY244" i="152"/>
  <c r="AX244" i="152"/>
  <c r="A244" i="152"/>
  <c r="BL243" i="152"/>
  <c r="BK243" i="152"/>
  <c r="BJ243" i="152"/>
  <c r="BI243" i="152"/>
  <c r="BH243" i="152"/>
  <c r="BG243" i="152"/>
  <c r="BF243" i="152"/>
  <c r="BE243" i="152"/>
  <c r="BD243" i="152"/>
  <c r="BC243" i="152"/>
  <c r="BB243" i="152"/>
  <c r="BA243" i="152"/>
  <c r="AZ243" i="152"/>
  <c r="AY243" i="152"/>
  <c r="AX243" i="152"/>
  <c r="A243" i="152"/>
  <c r="BL242" i="152"/>
  <c r="BK242" i="152"/>
  <c r="BJ242" i="152"/>
  <c r="BI242" i="152"/>
  <c r="BH242" i="152"/>
  <c r="BG242" i="152"/>
  <c r="BF242" i="152"/>
  <c r="BE242" i="152"/>
  <c r="BD242" i="152"/>
  <c r="BC242" i="152"/>
  <c r="BB242" i="152"/>
  <c r="BA242" i="152"/>
  <c r="AZ242" i="152"/>
  <c r="AY242" i="152"/>
  <c r="AX242" i="152"/>
  <c r="A242" i="152"/>
  <c r="BL241" i="152"/>
  <c r="BK241" i="152"/>
  <c r="BJ241" i="152"/>
  <c r="BI241" i="152"/>
  <c r="BH241" i="152"/>
  <c r="BG241" i="152"/>
  <c r="BF241" i="152"/>
  <c r="BE241" i="152"/>
  <c r="BD241" i="152"/>
  <c r="BC241" i="152"/>
  <c r="BB241" i="152"/>
  <c r="BA241" i="152"/>
  <c r="AZ241" i="152"/>
  <c r="AY241" i="152"/>
  <c r="AX241" i="152"/>
  <c r="A241" i="152"/>
  <c r="BL240" i="152"/>
  <c r="BK240" i="152"/>
  <c r="BJ240" i="152"/>
  <c r="BI240" i="152"/>
  <c r="BH240" i="152"/>
  <c r="BG240" i="152"/>
  <c r="BF240" i="152"/>
  <c r="BE240" i="152"/>
  <c r="BD240" i="152"/>
  <c r="BC240" i="152"/>
  <c r="BB240" i="152"/>
  <c r="BA240" i="152"/>
  <c r="AZ240" i="152"/>
  <c r="AY240" i="152"/>
  <c r="AX240" i="152"/>
  <c r="A240" i="152"/>
  <c r="BL239" i="152"/>
  <c r="BK239" i="152"/>
  <c r="BJ239" i="152"/>
  <c r="BI239" i="152"/>
  <c r="BH239" i="152"/>
  <c r="BG239" i="152"/>
  <c r="BF239" i="152"/>
  <c r="BE239" i="152"/>
  <c r="BD239" i="152"/>
  <c r="BC239" i="152"/>
  <c r="BB239" i="152"/>
  <c r="BA239" i="152"/>
  <c r="AZ239" i="152"/>
  <c r="AY239" i="152"/>
  <c r="AX239" i="152"/>
  <c r="A239" i="152"/>
  <c r="BL238" i="152"/>
  <c r="BK238" i="152"/>
  <c r="BJ238" i="152"/>
  <c r="BI238" i="152"/>
  <c r="BH238" i="152"/>
  <c r="BG238" i="152"/>
  <c r="BF238" i="152"/>
  <c r="BE238" i="152"/>
  <c r="BD238" i="152"/>
  <c r="BC238" i="152"/>
  <c r="BB238" i="152"/>
  <c r="BA238" i="152"/>
  <c r="AZ238" i="152"/>
  <c r="AY238" i="152"/>
  <c r="AX238" i="152"/>
  <c r="A238" i="152"/>
  <c r="BL237" i="152"/>
  <c r="BK237" i="152"/>
  <c r="BJ237" i="152"/>
  <c r="BI237" i="152"/>
  <c r="BH237" i="152"/>
  <c r="BG237" i="152"/>
  <c r="BF237" i="152"/>
  <c r="BE237" i="152"/>
  <c r="BD237" i="152"/>
  <c r="BC237" i="152"/>
  <c r="BB237" i="152"/>
  <c r="BA237" i="152"/>
  <c r="AZ237" i="152"/>
  <c r="AY237" i="152"/>
  <c r="AX237" i="152"/>
  <c r="A237" i="152"/>
  <c r="BL236" i="152"/>
  <c r="BK236" i="152"/>
  <c r="BJ236" i="152"/>
  <c r="BI236" i="152"/>
  <c r="BH236" i="152"/>
  <c r="BG236" i="152"/>
  <c r="BF236" i="152"/>
  <c r="BE236" i="152"/>
  <c r="BD236" i="152"/>
  <c r="BC236" i="152"/>
  <c r="BB236" i="152"/>
  <c r="BA236" i="152"/>
  <c r="AZ236" i="152"/>
  <c r="AY236" i="152"/>
  <c r="AX236" i="152"/>
  <c r="A236" i="152"/>
  <c r="BL235" i="152"/>
  <c r="BK235" i="152"/>
  <c r="BJ235" i="152"/>
  <c r="BI235" i="152"/>
  <c r="BH235" i="152"/>
  <c r="BG235" i="152"/>
  <c r="BF235" i="152"/>
  <c r="BE235" i="152"/>
  <c r="BD235" i="152"/>
  <c r="BC235" i="152"/>
  <c r="BB235" i="152"/>
  <c r="BA235" i="152"/>
  <c r="AZ235" i="152"/>
  <c r="AY235" i="152"/>
  <c r="AX235" i="152"/>
  <c r="A235" i="152"/>
  <c r="BL234" i="152"/>
  <c r="BK234" i="152"/>
  <c r="BJ234" i="152"/>
  <c r="BI234" i="152"/>
  <c r="BH234" i="152"/>
  <c r="BG234" i="152"/>
  <c r="BF234" i="152"/>
  <c r="BE234" i="152"/>
  <c r="BD234" i="152"/>
  <c r="BC234" i="152"/>
  <c r="BB234" i="152"/>
  <c r="BA234" i="152"/>
  <c r="AZ234" i="152"/>
  <c r="AY234" i="152"/>
  <c r="AX234" i="152"/>
  <c r="A234" i="152"/>
  <c r="BL233" i="152"/>
  <c r="BK233" i="152"/>
  <c r="BJ233" i="152"/>
  <c r="BI233" i="152"/>
  <c r="BH233" i="152"/>
  <c r="BG233" i="152"/>
  <c r="BF233" i="152"/>
  <c r="BE233" i="152"/>
  <c r="BD233" i="152"/>
  <c r="BC233" i="152"/>
  <c r="BB233" i="152"/>
  <c r="BA233" i="152"/>
  <c r="AZ233" i="152"/>
  <c r="AY233" i="152"/>
  <c r="AX233" i="152"/>
  <c r="A233" i="152"/>
  <c r="BL232" i="152"/>
  <c r="BK232" i="152"/>
  <c r="BJ232" i="152"/>
  <c r="BI232" i="152"/>
  <c r="BH232" i="152"/>
  <c r="BG232" i="152"/>
  <c r="BF232" i="152"/>
  <c r="BE232" i="152"/>
  <c r="BD232" i="152"/>
  <c r="BC232" i="152"/>
  <c r="BB232" i="152"/>
  <c r="BA232" i="152"/>
  <c r="AZ232" i="152"/>
  <c r="AY232" i="152"/>
  <c r="AX232" i="152"/>
  <c r="A232" i="152"/>
  <c r="BL231" i="152"/>
  <c r="BK231" i="152"/>
  <c r="BJ231" i="152"/>
  <c r="BI231" i="152"/>
  <c r="BH231" i="152"/>
  <c r="BG231" i="152"/>
  <c r="BF231" i="152"/>
  <c r="BE231" i="152"/>
  <c r="BD231" i="152"/>
  <c r="BC231" i="152"/>
  <c r="BB231" i="152"/>
  <c r="BA231" i="152"/>
  <c r="AZ231" i="152"/>
  <c r="AY231" i="152"/>
  <c r="AX231" i="152"/>
  <c r="A231" i="152"/>
  <c r="BL230" i="152"/>
  <c r="BK230" i="152"/>
  <c r="BJ230" i="152"/>
  <c r="BI230" i="152"/>
  <c r="BH230" i="152"/>
  <c r="BG230" i="152"/>
  <c r="BF230" i="152"/>
  <c r="BE230" i="152"/>
  <c r="BD230" i="152"/>
  <c r="BC230" i="152"/>
  <c r="BB230" i="152"/>
  <c r="BA230" i="152"/>
  <c r="AZ230" i="152"/>
  <c r="AY230" i="152"/>
  <c r="AX230" i="152"/>
  <c r="A230" i="152"/>
  <c r="BL229" i="152"/>
  <c r="BK229" i="152"/>
  <c r="BJ229" i="152"/>
  <c r="BI229" i="152"/>
  <c r="BH229" i="152"/>
  <c r="BG229" i="152"/>
  <c r="BF229" i="152"/>
  <c r="BE229" i="152"/>
  <c r="BD229" i="152"/>
  <c r="BC229" i="152"/>
  <c r="BB229" i="152"/>
  <c r="BA229" i="152"/>
  <c r="AZ229" i="152"/>
  <c r="AY229" i="152"/>
  <c r="AX229" i="152"/>
  <c r="A229" i="152"/>
  <c r="BL228" i="152"/>
  <c r="BK228" i="152"/>
  <c r="BJ228" i="152"/>
  <c r="BI228" i="152"/>
  <c r="BH228" i="152"/>
  <c r="BG228" i="152"/>
  <c r="BF228" i="152"/>
  <c r="BE228" i="152"/>
  <c r="BD228" i="152"/>
  <c r="BC228" i="152"/>
  <c r="BB228" i="152"/>
  <c r="BA228" i="152"/>
  <c r="AZ228" i="152"/>
  <c r="AY228" i="152"/>
  <c r="AX228" i="152"/>
  <c r="A228" i="152"/>
  <c r="BL227" i="152"/>
  <c r="BK227" i="152"/>
  <c r="BJ227" i="152"/>
  <c r="BI227" i="152"/>
  <c r="BH227" i="152"/>
  <c r="BG227" i="152"/>
  <c r="BF227" i="152"/>
  <c r="BE227" i="152"/>
  <c r="BD227" i="152"/>
  <c r="BC227" i="152"/>
  <c r="BB227" i="152"/>
  <c r="BA227" i="152"/>
  <c r="AZ227" i="152"/>
  <c r="AY227" i="152"/>
  <c r="AX227" i="152"/>
  <c r="A227" i="152"/>
  <c r="BL226" i="152"/>
  <c r="BK226" i="152"/>
  <c r="BJ226" i="152"/>
  <c r="BI226" i="152"/>
  <c r="BH226" i="152"/>
  <c r="BG226" i="152"/>
  <c r="BF226" i="152"/>
  <c r="BE226" i="152"/>
  <c r="BD226" i="152"/>
  <c r="BC226" i="152"/>
  <c r="BB226" i="152"/>
  <c r="BA226" i="152"/>
  <c r="AZ226" i="152"/>
  <c r="AY226" i="152"/>
  <c r="AX226" i="152"/>
  <c r="A226" i="152"/>
  <c r="BL225" i="152"/>
  <c r="BK225" i="152"/>
  <c r="BJ225" i="152"/>
  <c r="BI225" i="152"/>
  <c r="BH225" i="152"/>
  <c r="BG225" i="152"/>
  <c r="BF225" i="152"/>
  <c r="BE225" i="152"/>
  <c r="BD225" i="152"/>
  <c r="BC225" i="152"/>
  <c r="BB225" i="152"/>
  <c r="BA225" i="152"/>
  <c r="AZ225" i="152"/>
  <c r="AY225" i="152"/>
  <c r="AX225" i="152"/>
  <c r="A225" i="152"/>
  <c r="BL224" i="152"/>
  <c r="BK224" i="152"/>
  <c r="BJ224" i="152"/>
  <c r="BI224" i="152"/>
  <c r="BH224" i="152"/>
  <c r="BG224" i="152"/>
  <c r="BF224" i="152"/>
  <c r="BE224" i="152"/>
  <c r="BD224" i="152"/>
  <c r="BC224" i="152"/>
  <c r="BB224" i="152"/>
  <c r="BA224" i="152"/>
  <c r="AZ224" i="152"/>
  <c r="AY224" i="152"/>
  <c r="AX224" i="152"/>
  <c r="A224" i="152"/>
  <c r="BL223" i="152"/>
  <c r="BK223" i="152"/>
  <c r="BJ223" i="152"/>
  <c r="BI223" i="152"/>
  <c r="BH223" i="152"/>
  <c r="BG223" i="152"/>
  <c r="BF223" i="152"/>
  <c r="BE223" i="152"/>
  <c r="BD223" i="152"/>
  <c r="BC223" i="152"/>
  <c r="BB223" i="152"/>
  <c r="BA223" i="152"/>
  <c r="AZ223" i="152"/>
  <c r="AY223" i="152"/>
  <c r="AX223" i="152"/>
  <c r="A223" i="152"/>
  <c r="BL222" i="152"/>
  <c r="BK222" i="152"/>
  <c r="BJ222" i="152"/>
  <c r="BI222" i="152"/>
  <c r="BH222" i="152"/>
  <c r="BG222" i="152"/>
  <c r="BF222" i="152"/>
  <c r="BE222" i="152"/>
  <c r="BD222" i="152"/>
  <c r="BC222" i="152"/>
  <c r="BB222" i="152"/>
  <c r="BA222" i="152"/>
  <c r="AZ222" i="152"/>
  <c r="AY222" i="152"/>
  <c r="AX222" i="152"/>
  <c r="A222" i="152"/>
  <c r="BL221" i="152"/>
  <c r="BK221" i="152"/>
  <c r="BJ221" i="152"/>
  <c r="BI221" i="152"/>
  <c r="BH221" i="152"/>
  <c r="BG221" i="152"/>
  <c r="BF221" i="152"/>
  <c r="BE221" i="152"/>
  <c r="BD221" i="152"/>
  <c r="BC221" i="152"/>
  <c r="BB221" i="152"/>
  <c r="BA221" i="152"/>
  <c r="AZ221" i="152"/>
  <c r="AY221" i="152"/>
  <c r="AX221" i="152"/>
  <c r="A221" i="152"/>
  <c r="BL220" i="152"/>
  <c r="BK220" i="152"/>
  <c r="BJ220" i="152"/>
  <c r="BI220" i="152"/>
  <c r="BH220" i="152"/>
  <c r="BG220" i="152"/>
  <c r="BF220" i="152"/>
  <c r="BE220" i="152"/>
  <c r="BD220" i="152"/>
  <c r="BC220" i="152"/>
  <c r="BB220" i="152"/>
  <c r="BA220" i="152"/>
  <c r="AZ220" i="152"/>
  <c r="AY220" i="152"/>
  <c r="AX220" i="152"/>
  <c r="A220" i="152"/>
  <c r="BL219" i="152"/>
  <c r="BK219" i="152"/>
  <c r="BJ219" i="152"/>
  <c r="BI219" i="152"/>
  <c r="BH219" i="152"/>
  <c r="BG219" i="152"/>
  <c r="BF219" i="152"/>
  <c r="BE219" i="152"/>
  <c r="BD219" i="152"/>
  <c r="BC219" i="152"/>
  <c r="BB219" i="152"/>
  <c r="BA219" i="152"/>
  <c r="AZ219" i="152"/>
  <c r="AY219" i="152"/>
  <c r="AX219" i="152"/>
  <c r="A219" i="152"/>
  <c r="BL218" i="152"/>
  <c r="BK218" i="152"/>
  <c r="BJ218" i="152"/>
  <c r="BI218" i="152"/>
  <c r="BH218" i="152"/>
  <c r="BG218" i="152"/>
  <c r="BF218" i="152"/>
  <c r="BE218" i="152"/>
  <c r="BD218" i="152"/>
  <c r="BC218" i="152"/>
  <c r="BB218" i="152"/>
  <c r="BA218" i="152"/>
  <c r="AZ218" i="152"/>
  <c r="AY218" i="152"/>
  <c r="AX218" i="152"/>
  <c r="A218" i="152"/>
  <c r="BL217" i="152"/>
  <c r="BK217" i="152"/>
  <c r="BJ217" i="152"/>
  <c r="BI217" i="152"/>
  <c r="BH217" i="152"/>
  <c r="BG217" i="152"/>
  <c r="BF217" i="152"/>
  <c r="BE217" i="152"/>
  <c r="BD217" i="152"/>
  <c r="BC217" i="152"/>
  <c r="BB217" i="152"/>
  <c r="BA217" i="152"/>
  <c r="AZ217" i="152"/>
  <c r="AY217" i="152"/>
  <c r="AX217" i="152"/>
  <c r="A217" i="152"/>
  <c r="BL216" i="152"/>
  <c r="BK216" i="152"/>
  <c r="BJ216" i="152"/>
  <c r="BI216" i="152"/>
  <c r="BH216" i="152"/>
  <c r="BG216" i="152"/>
  <c r="BF216" i="152"/>
  <c r="BE216" i="152"/>
  <c r="BD216" i="152"/>
  <c r="BC216" i="152"/>
  <c r="BB216" i="152"/>
  <c r="BA216" i="152"/>
  <c r="AZ216" i="152"/>
  <c r="AY216" i="152"/>
  <c r="AX216" i="152"/>
  <c r="A216" i="152"/>
  <c r="BL215" i="152"/>
  <c r="BK215" i="152"/>
  <c r="BJ215" i="152"/>
  <c r="BI215" i="152"/>
  <c r="BH215" i="152"/>
  <c r="BG215" i="152"/>
  <c r="BF215" i="152"/>
  <c r="BE215" i="152"/>
  <c r="BD215" i="152"/>
  <c r="BC215" i="152"/>
  <c r="BB215" i="152"/>
  <c r="BA215" i="152"/>
  <c r="AZ215" i="152"/>
  <c r="AY215" i="152"/>
  <c r="AX215" i="152"/>
  <c r="A215" i="152"/>
  <c r="BL214" i="152"/>
  <c r="BK214" i="152"/>
  <c r="BJ214" i="152"/>
  <c r="BI214" i="152"/>
  <c r="BH214" i="152"/>
  <c r="BG214" i="152"/>
  <c r="BF214" i="152"/>
  <c r="BE214" i="152"/>
  <c r="BD214" i="152"/>
  <c r="BC214" i="152"/>
  <c r="BB214" i="152"/>
  <c r="BA214" i="152"/>
  <c r="AZ214" i="152"/>
  <c r="AY214" i="152"/>
  <c r="AX214" i="152"/>
  <c r="A214" i="152"/>
  <c r="BL213" i="152"/>
  <c r="BK213" i="152"/>
  <c r="BJ213" i="152"/>
  <c r="BI213" i="152"/>
  <c r="BH213" i="152"/>
  <c r="BG213" i="152"/>
  <c r="BF213" i="152"/>
  <c r="BE213" i="152"/>
  <c r="BD213" i="152"/>
  <c r="BC213" i="152"/>
  <c r="BB213" i="152"/>
  <c r="BA213" i="152"/>
  <c r="AZ213" i="152"/>
  <c r="AY213" i="152"/>
  <c r="AX213" i="152"/>
  <c r="A213" i="152"/>
  <c r="BL212" i="152"/>
  <c r="BK212" i="152"/>
  <c r="BJ212" i="152"/>
  <c r="BI212" i="152"/>
  <c r="BH212" i="152"/>
  <c r="BG212" i="152"/>
  <c r="BF212" i="152"/>
  <c r="BE212" i="152"/>
  <c r="BD212" i="152"/>
  <c r="BC212" i="152"/>
  <c r="BB212" i="152"/>
  <c r="BA212" i="152"/>
  <c r="AZ212" i="152"/>
  <c r="AY212" i="152"/>
  <c r="AX212" i="152"/>
  <c r="A212" i="152"/>
  <c r="BL211" i="152"/>
  <c r="BK211" i="152"/>
  <c r="BJ211" i="152"/>
  <c r="BI211" i="152"/>
  <c r="BH211" i="152"/>
  <c r="BG211" i="152"/>
  <c r="BF211" i="152"/>
  <c r="BE211" i="152"/>
  <c r="BD211" i="152"/>
  <c r="BC211" i="152"/>
  <c r="BB211" i="152"/>
  <c r="BA211" i="152"/>
  <c r="AZ211" i="152"/>
  <c r="AY211" i="152"/>
  <c r="AX211" i="152"/>
  <c r="A211" i="152"/>
  <c r="BL210" i="152"/>
  <c r="BK210" i="152"/>
  <c r="BJ210" i="152"/>
  <c r="BI210" i="152"/>
  <c r="BH210" i="152"/>
  <c r="BG210" i="152"/>
  <c r="BF210" i="152"/>
  <c r="BE210" i="152"/>
  <c r="BD210" i="152"/>
  <c r="BC210" i="152"/>
  <c r="BB210" i="152"/>
  <c r="BA210" i="152"/>
  <c r="AZ210" i="152"/>
  <c r="AY210" i="152"/>
  <c r="AX210" i="152"/>
  <c r="A210" i="152"/>
  <c r="BL209" i="152"/>
  <c r="BK209" i="152"/>
  <c r="BJ209" i="152"/>
  <c r="BI209" i="152"/>
  <c r="BH209" i="152"/>
  <c r="BG209" i="152"/>
  <c r="BF209" i="152"/>
  <c r="BE209" i="152"/>
  <c r="BD209" i="152"/>
  <c r="BC209" i="152"/>
  <c r="BB209" i="152"/>
  <c r="BA209" i="152"/>
  <c r="AZ209" i="152"/>
  <c r="AY209" i="152"/>
  <c r="AX209" i="152"/>
  <c r="A209" i="152"/>
  <c r="BL208" i="152"/>
  <c r="BK208" i="152"/>
  <c r="BJ208" i="152"/>
  <c r="BI208" i="152"/>
  <c r="BH208" i="152"/>
  <c r="BG208" i="152"/>
  <c r="BF208" i="152"/>
  <c r="BE208" i="152"/>
  <c r="BD208" i="152"/>
  <c r="BC208" i="152"/>
  <c r="BB208" i="152"/>
  <c r="BA208" i="152"/>
  <c r="AZ208" i="152"/>
  <c r="AY208" i="152"/>
  <c r="AX208" i="152"/>
  <c r="A208" i="152"/>
  <c r="BL207" i="152"/>
  <c r="BK207" i="152"/>
  <c r="BJ207" i="152"/>
  <c r="BI207" i="152"/>
  <c r="BH207" i="152"/>
  <c r="BG207" i="152"/>
  <c r="BF207" i="152"/>
  <c r="BE207" i="152"/>
  <c r="BD207" i="152"/>
  <c r="BC207" i="152"/>
  <c r="BB207" i="152"/>
  <c r="BA207" i="152"/>
  <c r="AZ207" i="152"/>
  <c r="AY207" i="152"/>
  <c r="AX207" i="152"/>
  <c r="A207" i="152"/>
  <c r="BL206" i="152"/>
  <c r="BK206" i="152"/>
  <c r="BJ206" i="152"/>
  <c r="BI206" i="152"/>
  <c r="BH206" i="152"/>
  <c r="BG206" i="152"/>
  <c r="BF206" i="152"/>
  <c r="BE206" i="152"/>
  <c r="BD206" i="152"/>
  <c r="BC206" i="152"/>
  <c r="BB206" i="152"/>
  <c r="BA206" i="152"/>
  <c r="AZ206" i="152"/>
  <c r="AY206" i="152"/>
  <c r="AX206" i="152"/>
  <c r="A206" i="152"/>
  <c r="BL205" i="152"/>
  <c r="BK205" i="152"/>
  <c r="BJ205" i="152"/>
  <c r="BI205" i="152"/>
  <c r="BH205" i="152"/>
  <c r="BG205" i="152"/>
  <c r="BF205" i="152"/>
  <c r="BE205" i="152"/>
  <c r="BD205" i="152"/>
  <c r="BC205" i="152"/>
  <c r="BB205" i="152"/>
  <c r="BA205" i="152"/>
  <c r="AZ205" i="152"/>
  <c r="AY205" i="152"/>
  <c r="AX205" i="152"/>
  <c r="A205" i="152"/>
  <c r="BL204" i="152"/>
  <c r="BK204" i="152"/>
  <c r="BJ204" i="152"/>
  <c r="BI204" i="152"/>
  <c r="BH204" i="152"/>
  <c r="BG204" i="152"/>
  <c r="BF204" i="152"/>
  <c r="BE204" i="152"/>
  <c r="BD204" i="152"/>
  <c r="BC204" i="152"/>
  <c r="BB204" i="152"/>
  <c r="BA204" i="152"/>
  <c r="AZ204" i="152"/>
  <c r="AY204" i="152"/>
  <c r="AX204" i="152"/>
  <c r="A204" i="152"/>
  <c r="BL203" i="152"/>
  <c r="BK203" i="152"/>
  <c r="BJ203" i="152"/>
  <c r="BI203" i="152"/>
  <c r="BH203" i="152"/>
  <c r="BG203" i="152"/>
  <c r="BF203" i="152"/>
  <c r="BE203" i="152"/>
  <c r="BD203" i="152"/>
  <c r="BC203" i="152"/>
  <c r="BB203" i="152"/>
  <c r="BA203" i="152"/>
  <c r="AZ203" i="152"/>
  <c r="AY203" i="152"/>
  <c r="AX203" i="152"/>
  <c r="A203" i="152"/>
  <c r="BL202" i="152"/>
  <c r="BK202" i="152"/>
  <c r="BJ202" i="152"/>
  <c r="BI202" i="152"/>
  <c r="BH202" i="152"/>
  <c r="BG202" i="152"/>
  <c r="BF202" i="152"/>
  <c r="BE202" i="152"/>
  <c r="BD202" i="152"/>
  <c r="BC202" i="152"/>
  <c r="BB202" i="152"/>
  <c r="BA202" i="152"/>
  <c r="AZ202" i="152"/>
  <c r="AY202" i="152"/>
  <c r="AX202" i="152"/>
  <c r="A202" i="152"/>
  <c r="BL201" i="152"/>
  <c r="BK201" i="152"/>
  <c r="BJ201" i="152"/>
  <c r="BI201" i="152"/>
  <c r="BH201" i="152"/>
  <c r="BG201" i="152"/>
  <c r="BF201" i="152"/>
  <c r="BE201" i="152"/>
  <c r="BD201" i="152"/>
  <c r="BC201" i="152"/>
  <c r="BB201" i="152"/>
  <c r="BA201" i="152"/>
  <c r="AZ201" i="152"/>
  <c r="AY201" i="152"/>
  <c r="AX201" i="152"/>
  <c r="A201" i="152"/>
  <c r="BL200" i="152"/>
  <c r="BK200" i="152"/>
  <c r="BJ200" i="152"/>
  <c r="BI200" i="152"/>
  <c r="BH200" i="152"/>
  <c r="BG200" i="152"/>
  <c r="BF200" i="152"/>
  <c r="BE200" i="152"/>
  <c r="BD200" i="152"/>
  <c r="BC200" i="152"/>
  <c r="BB200" i="152"/>
  <c r="BA200" i="152"/>
  <c r="AZ200" i="152"/>
  <c r="AY200" i="152"/>
  <c r="AX200" i="152"/>
  <c r="A200" i="152"/>
  <c r="BL199" i="152"/>
  <c r="BK199" i="152"/>
  <c r="BJ199" i="152"/>
  <c r="BI199" i="152"/>
  <c r="BH199" i="152"/>
  <c r="BG199" i="152"/>
  <c r="BF199" i="152"/>
  <c r="BE199" i="152"/>
  <c r="BD199" i="152"/>
  <c r="BC199" i="152"/>
  <c r="BB199" i="152"/>
  <c r="BA199" i="152"/>
  <c r="AZ199" i="152"/>
  <c r="AY199" i="152"/>
  <c r="AX199" i="152"/>
  <c r="A199" i="152"/>
  <c r="BL198" i="152"/>
  <c r="BK198" i="152"/>
  <c r="BJ198" i="152"/>
  <c r="BI198" i="152"/>
  <c r="BH198" i="152"/>
  <c r="BG198" i="152"/>
  <c r="BF198" i="152"/>
  <c r="BE198" i="152"/>
  <c r="BD198" i="152"/>
  <c r="BC198" i="152"/>
  <c r="BB198" i="152"/>
  <c r="BA198" i="152"/>
  <c r="AZ198" i="152"/>
  <c r="AY198" i="152"/>
  <c r="AX198" i="152"/>
  <c r="A198" i="152"/>
  <c r="BL197" i="152"/>
  <c r="BK197" i="152"/>
  <c r="BJ197" i="152"/>
  <c r="BI197" i="152"/>
  <c r="BH197" i="152"/>
  <c r="BG197" i="152"/>
  <c r="BF197" i="152"/>
  <c r="BE197" i="152"/>
  <c r="BD197" i="152"/>
  <c r="BC197" i="152"/>
  <c r="BB197" i="152"/>
  <c r="BA197" i="152"/>
  <c r="AZ197" i="152"/>
  <c r="AY197" i="152"/>
  <c r="AX197" i="152"/>
  <c r="A197" i="152"/>
  <c r="BL196" i="152"/>
  <c r="BK196" i="152"/>
  <c r="BJ196" i="152"/>
  <c r="BI196" i="152"/>
  <c r="BH196" i="152"/>
  <c r="BG196" i="152"/>
  <c r="BF196" i="152"/>
  <c r="BE196" i="152"/>
  <c r="BD196" i="152"/>
  <c r="BC196" i="152"/>
  <c r="BB196" i="152"/>
  <c r="BA196" i="152"/>
  <c r="AZ196" i="152"/>
  <c r="AY196" i="152"/>
  <c r="AX196" i="152"/>
  <c r="A196" i="152"/>
  <c r="BL195" i="152"/>
  <c r="BK195" i="152"/>
  <c r="BJ195" i="152"/>
  <c r="BI195" i="152"/>
  <c r="BH195" i="152"/>
  <c r="BG195" i="152"/>
  <c r="BF195" i="152"/>
  <c r="BE195" i="152"/>
  <c r="BD195" i="152"/>
  <c r="BC195" i="152"/>
  <c r="BB195" i="152"/>
  <c r="BA195" i="152"/>
  <c r="AZ195" i="152"/>
  <c r="AY195" i="152"/>
  <c r="AX195" i="152"/>
  <c r="A195" i="152"/>
  <c r="BL194" i="152"/>
  <c r="BK194" i="152"/>
  <c r="BJ194" i="152"/>
  <c r="BI194" i="152"/>
  <c r="BH194" i="152"/>
  <c r="BG194" i="152"/>
  <c r="BF194" i="152"/>
  <c r="BE194" i="152"/>
  <c r="BD194" i="152"/>
  <c r="BC194" i="152"/>
  <c r="BB194" i="152"/>
  <c r="BA194" i="152"/>
  <c r="AZ194" i="152"/>
  <c r="AY194" i="152"/>
  <c r="AX194" i="152"/>
  <c r="A194" i="152"/>
  <c r="BL193" i="152"/>
  <c r="BK193" i="152"/>
  <c r="BJ193" i="152"/>
  <c r="BI193" i="152"/>
  <c r="BH193" i="152"/>
  <c r="BG193" i="152"/>
  <c r="BF193" i="152"/>
  <c r="BE193" i="152"/>
  <c r="BD193" i="152"/>
  <c r="BC193" i="152"/>
  <c r="BB193" i="152"/>
  <c r="BA193" i="152"/>
  <c r="AZ193" i="152"/>
  <c r="AY193" i="152"/>
  <c r="AX193" i="152"/>
  <c r="A193" i="152"/>
  <c r="BL192" i="152"/>
  <c r="BK192" i="152"/>
  <c r="BJ192" i="152"/>
  <c r="BI192" i="152"/>
  <c r="BH192" i="152"/>
  <c r="BG192" i="152"/>
  <c r="BF192" i="152"/>
  <c r="BE192" i="152"/>
  <c r="BD192" i="152"/>
  <c r="BC192" i="152"/>
  <c r="BB192" i="152"/>
  <c r="BA192" i="152"/>
  <c r="AZ192" i="152"/>
  <c r="AY192" i="152"/>
  <c r="AX192" i="152"/>
  <c r="A192" i="152"/>
  <c r="BL191" i="152"/>
  <c r="BK191" i="152"/>
  <c r="BJ191" i="152"/>
  <c r="BI191" i="152"/>
  <c r="BH191" i="152"/>
  <c r="BG191" i="152"/>
  <c r="BF191" i="152"/>
  <c r="BE191" i="152"/>
  <c r="BD191" i="152"/>
  <c r="BC191" i="152"/>
  <c r="BB191" i="152"/>
  <c r="BA191" i="152"/>
  <c r="AZ191" i="152"/>
  <c r="AY191" i="152"/>
  <c r="AX191" i="152"/>
  <c r="A191" i="152"/>
  <c r="BL190" i="152"/>
  <c r="BK190" i="152"/>
  <c r="BJ190" i="152"/>
  <c r="BI190" i="152"/>
  <c r="BH190" i="152"/>
  <c r="BG190" i="152"/>
  <c r="BF190" i="152"/>
  <c r="BE190" i="152"/>
  <c r="BD190" i="152"/>
  <c r="BC190" i="152"/>
  <c r="BB190" i="152"/>
  <c r="BA190" i="152"/>
  <c r="AZ190" i="152"/>
  <c r="AY190" i="152"/>
  <c r="AX190" i="152"/>
  <c r="A190" i="152"/>
  <c r="BL189" i="152"/>
  <c r="BK189" i="152"/>
  <c r="BJ189" i="152"/>
  <c r="BI189" i="152"/>
  <c r="BH189" i="152"/>
  <c r="BG189" i="152"/>
  <c r="BF189" i="152"/>
  <c r="BE189" i="152"/>
  <c r="BD189" i="152"/>
  <c r="BC189" i="152"/>
  <c r="BB189" i="152"/>
  <c r="BA189" i="152"/>
  <c r="AZ189" i="152"/>
  <c r="AY189" i="152"/>
  <c r="AX189" i="152"/>
  <c r="A189" i="152"/>
  <c r="BL188" i="152"/>
  <c r="BK188" i="152"/>
  <c r="BJ188" i="152"/>
  <c r="BI188" i="152"/>
  <c r="BH188" i="152"/>
  <c r="BG188" i="152"/>
  <c r="BF188" i="152"/>
  <c r="BE188" i="152"/>
  <c r="BD188" i="152"/>
  <c r="BC188" i="152"/>
  <c r="BB188" i="152"/>
  <c r="BA188" i="152"/>
  <c r="AZ188" i="152"/>
  <c r="AY188" i="152"/>
  <c r="AX188" i="152"/>
  <c r="A188" i="152"/>
  <c r="BL187" i="152"/>
  <c r="BK187" i="152"/>
  <c r="BJ187" i="152"/>
  <c r="BI187" i="152"/>
  <c r="BH187" i="152"/>
  <c r="BG187" i="152"/>
  <c r="BF187" i="152"/>
  <c r="BE187" i="152"/>
  <c r="BD187" i="152"/>
  <c r="BC187" i="152"/>
  <c r="BB187" i="152"/>
  <c r="BA187" i="152"/>
  <c r="AZ187" i="152"/>
  <c r="AY187" i="152"/>
  <c r="AX187" i="152"/>
  <c r="A187" i="152"/>
  <c r="BL186" i="152"/>
  <c r="BK186" i="152"/>
  <c r="BJ186" i="152"/>
  <c r="BI186" i="152"/>
  <c r="BH186" i="152"/>
  <c r="BG186" i="152"/>
  <c r="BF186" i="152"/>
  <c r="BE186" i="152"/>
  <c r="BD186" i="152"/>
  <c r="BC186" i="152"/>
  <c r="BB186" i="152"/>
  <c r="BA186" i="152"/>
  <c r="AZ186" i="152"/>
  <c r="AY186" i="152"/>
  <c r="AX186" i="152"/>
  <c r="A186" i="152"/>
  <c r="BL185" i="152"/>
  <c r="BK185" i="152"/>
  <c r="BJ185" i="152"/>
  <c r="BI185" i="152"/>
  <c r="BH185" i="152"/>
  <c r="BG185" i="152"/>
  <c r="BF185" i="152"/>
  <c r="BE185" i="152"/>
  <c r="BD185" i="152"/>
  <c r="BC185" i="152"/>
  <c r="BB185" i="152"/>
  <c r="BA185" i="152"/>
  <c r="AZ185" i="152"/>
  <c r="AY185" i="152"/>
  <c r="AX185" i="152"/>
  <c r="A185" i="152"/>
  <c r="BL184" i="152"/>
  <c r="BK184" i="152"/>
  <c r="BJ184" i="152"/>
  <c r="BI184" i="152"/>
  <c r="BH184" i="152"/>
  <c r="BG184" i="152"/>
  <c r="BF184" i="152"/>
  <c r="BE184" i="152"/>
  <c r="BD184" i="152"/>
  <c r="BC184" i="152"/>
  <c r="BB184" i="152"/>
  <c r="BA184" i="152"/>
  <c r="AZ184" i="152"/>
  <c r="AY184" i="152"/>
  <c r="AX184" i="152"/>
  <c r="A184" i="152"/>
  <c r="BL183" i="152"/>
  <c r="BK183" i="152"/>
  <c r="BJ183" i="152"/>
  <c r="BI183" i="152"/>
  <c r="BH183" i="152"/>
  <c r="BG183" i="152"/>
  <c r="BF183" i="152"/>
  <c r="BE183" i="152"/>
  <c r="BD183" i="152"/>
  <c r="BC183" i="152"/>
  <c r="BB183" i="152"/>
  <c r="BA183" i="152"/>
  <c r="AZ183" i="152"/>
  <c r="AY183" i="152"/>
  <c r="AX183" i="152"/>
  <c r="A183" i="152"/>
  <c r="BL182" i="152"/>
  <c r="BK182" i="152"/>
  <c r="BJ182" i="152"/>
  <c r="BI182" i="152"/>
  <c r="BH182" i="152"/>
  <c r="BG182" i="152"/>
  <c r="BF182" i="152"/>
  <c r="BE182" i="152"/>
  <c r="BD182" i="152"/>
  <c r="BC182" i="152"/>
  <c r="BB182" i="152"/>
  <c r="BA182" i="152"/>
  <c r="AZ182" i="152"/>
  <c r="AY182" i="152"/>
  <c r="AX182" i="152"/>
  <c r="A182" i="152"/>
  <c r="BL181" i="152"/>
  <c r="BK181" i="152"/>
  <c r="BJ181" i="152"/>
  <c r="BI181" i="152"/>
  <c r="BH181" i="152"/>
  <c r="BG181" i="152"/>
  <c r="BF181" i="152"/>
  <c r="BE181" i="152"/>
  <c r="BD181" i="152"/>
  <c r="BC181" i="152"/>
  <c r="BB181" i="152"/>
  <c r="BA181" i="152"/>
  <c r="AZ181" i="152"/>
  <c r="AY181" i="152"/>
  <c r="AX181" i="152"/>
  <c r="A181" i="152"/>
  <c r="BL180" i="152"/>
  <c r="BK180" i="152"/>
  <c r="BJ180" i="152"/>
  <c r="BI180" i="152"/>
  <c r="BH180" i="152"/>
  <c r="BG180" i="152"/>
  <c r="BF180" i="152"/>
  <c r="BE180" i="152"/>
  <c r="BD180" i="152"/>
  <c r="BC180" i="152"/>
  <c r="BB180" i="152"/>
  <c r="BA180" i="152"/>
  <c r="AZ180" i="152"/>
  <c r="AY180" i="152"/>
  <c r="AX180" i="152"/>
  <c r="A180" i="152"/>
  <c r="BL179" i="152"/>
  <c r="BK179" i="152"/>
  <c r="BJ179" i="152"/>
  <c r="BI179" i="152"/>
  <c r="BH179" i="152"/>
  <c r="BG179" i="152"/>
  <c r="BF179" i="152"/>
  <c r="BE179" i="152"/>
  <c r="BD179" i="152"/>
  <c r="BC179" i="152"/>
  <c r="BB179" i="152"/>
  <c r="BA179" i="152"/>
  <c r="AZ179" i="152"/>
  <c r="AY179" i="152"/>
  <c r="AX179" i="152"/>
  <c r="A179" i="152"/>
  <c r="BL178" i="152"/>
  <c r="BK178" i="152"/>
  <c r="BJ178" i="152"/>
  <c r="BI178" i="152"/>
  <c r="BH178" i="152"/>
  <c r="BG178" i="152"/>
  <c r="BF178" i="152"/>
  <c r="BE178" i="152"/>
  <c r="BD178" i="152"/>
  <c r="BC178" i="152"/>
  <c r="BB178" i="152"/>
  <c r="BA178" i="152"/>
  <c r="AZ178" i="152"/>
  <c r="AY178" i="152"/>
  <c r="AX178" i="152"/>
  <c r="A178" i="152"/>
  <c r="BL177" i="152"/>
  <c r="BK177" i="152"/>
  <c r="BJ177" i="152"/>
  <c r="BI177" i="152"/>
  <c r="BH177" i="152"/>
  <c r="BG177" i="152"/>
  <c r="BF177" i="152"/>
  <c r="BE177" i="152"/>
  <c r="BD177" i="152"/>
  <c r="BC177" i="152"/>
  <c r="BB177" i="152"/>
  <c r="BA177" i="152"/>
  <c r="AZ177" i="152"/>
  <c r="AY177" i="152"/>
  <c r="AX177" i="152"/>
  <c r="A177" i="152"/>
  <c r="BL176" i="152"/>
  <c r="BK176" i="152"/>
  <c r="BJ176" i="152"/>
  <c r="BI176" i="152"/>
  <c r="BH176" i="152"/>
  <c r="BG176" i="152"/>
  <c r="BF176" i="152"/>
  <c r="BE176" i="152"/>
  <c r="BD176" i="152"/>
  <c r="BC176" i="152"/>
  <c r="BB176" i="152"/>
  <c r="BA176" i="152"/>
  <c r="AZ176" i="152"/>
  <c r="AY176" i="152"/>
  <c r="AX176" i="152"/>
  <c r="A176" i="152"/>
  <c r="BL175" i="152"/>
  <c r="BK175" i="152"/>
  <c r="BJ175" i="152"/>
  <c r="BI175" i="152"/>
  <c r="BH175" i="152"/>
  <c r="BG175" i="152"/>
  <c r="BF175" i="152"/>
  <c r="BE175" i="152"/>
  <c r="BD175" i="152"/>
  <c r="BC175" i="152"/>
  <c r="BB175" i="152"/>
  <c r="BA175" i="152"/>
  <c r="AZ175" i="152"/>
  <c r="AY175" i="152"/>
  <c r="AX175" i="152"/>
  <c r="A175" i="152"/>
  <c r="BL174" i="152"/>
  <c r="BK174" i="152"/>
  <c r="BJ174" i="152"/>
  <c r="BI174" i="152"/>
  <c r="BH174" i="152"/>
  <c r="BG174" i="152"/>
  <c r="BF174" i="152"/>
  <c r="BE174" i="152"/>
  <c r="BD174" i="152"/>
  <c r="BC174" i="152"/>
  <c r="BB174" i="152"/>
  <c r="BA174" i="152"/>
  <c r="AZ174" i="152"/>
  <c r="AY174" i="152"/>
  <c r="AX174" i="152"/>
  <c r="A174" i="152"/>
  <c r="BL173" i="152"/>
  <c r="BK173" i="152"/>
  <c r="BJ173" i="152"/>
  <c r="BI173" i="152"/>
  <c r="BH173" i="152"/>
  <c r="BG173" i="152"/>
  <c r="BF173" i="152"/>
  <c r="BE173" i="152"/>
  <c r="BD173" i="152"/>
  <c r="BC173" i="152"/>
  <c r="BB173" i="152"/>
  <c r="BA173" i="152"/>
  <c r="AZ173" i="152"/>
  <c r="AY173" i="152"/>
  <c r="AX173" i="152"/>
  <c r="A173" i="152"/>
  <c r="BL172" i="152"/>
  <c r="BK172" i="152"/>
  <c r="BJ172" i="152"/>
  <c r="BI172" i="152"/>
  <c r="BH172" i="152"/>
  <c r="BG172" i="152"/>
  <c r="BF172" i="152"/>
  <c r="BE172" i="152"/>
  <c r="BD172" i="152"/>
  <c r="BC172" i="152"/>
  <c r="BB172" i="152"/>
  <c r="BA172" i="152"/>
  <c r="AZ172" i="152"/>
  <c r="AY172" i="152"/>
  <c r="AX172" i="152"/>
  <c r="A172" i="152"/>
  <c r="BL171" i="152"/>
  <c r="BK171" i="152"/>
  <c r="BJ171" i="152"/>
  <c r="BI171" i="152"/>
  <c r="BH171" i="152"/>
  <c r="BG171" i="152"/>
  <c r="BF171" i="152"/>
  <c r="BE171" i="152"/>
  <c r="BD171" i="152"/>
  <c r="BC171" i="152"/>
  <c r="BB171" i="152"/>
  <c r="BA171" i="152"/>
  <c r="AZ171" i="152"/>
  <c r="AY171" i="152"/>
  <c r="AX171" i="152"/>
  <c r="A171" i="152"/>
  <c r="BL170" i="152"/>
  <c r="BK170" i="152"/>
  <c r="BJ170" i="152"/>
  <c r="BI170" i="152"/>
  <c r="BH170" i="152"/>
  <c r="BG170" i="152"/>
  <c r="BF170" i="152"/>
  <c r="BE170" i="152"/>
  <c r="BD170" i="152"/>
  <c r="BC170" i="152"/>
  <c r="BB170" i="152"/>
  <c r="BA170" i="152"/>
  <c r="AZ170" i="152"/>
  <c r="AY170" i="152"/>
  <c r="AX170" i="152"/>
  <c r="A170" i="152"/>
  <c r="BL169" i="152"/>
  <c r="BK169" i="152"/>
  <c r="BJ169" i="152"/>
  <c r="BI169" i="152"/>
  <c r="BH169" i="152"/>
  <c r="BG169" i="152"/>
  <c r="BF169" i="152"/>
  <c r="BE169" i="152"/>
  <c r="BD169" i="152"/>
  <c r="BC169" i="152"/>
  <c r="BB169" i="152"/>
  <c r="BA169" i="152"/>
  <c r="AZ169" i="152"/>
  <c r="AY169" i="152"/>
  <c r="AX169" i="152"/>
  <c r="A169" i="152"/>
  <c r="BL168" i="152"/>
  <c r="BK168" i="152"/>
  <c r="BJ168" i="152"/>
  <c r="BI168" i="152"/>
  <c r="BH168" i="152"/>
  <c r="BG168" i="152"/>
  <c r="BF168" i="152"/>
  <c r="BE168" i="152"/>
  <c r="BD168" i="152"/>
  <c r="BC168" i="152"/>
  <c r="BB168" i="152"/>
  <c r="BA168" i="152"/>
  <c r="AZ168" i="152"/>
  <c r="AY168" i="152"/>
  <c r="AX168" i="152"/>
  <c r="A168" i="152"/>
  <c r="BL167" i="152"/>
  <c r="BK167" i="152"/>
  <c r="BJ167" i="152"/>
  <c r="BI167" i="152"/>
  <c r="BH167" i="152"/>
  <c r="BG167" i="152"/>
  <c r="BF167" i="152"/>
  <c r="BE167" i="152"/>
  <c r="BD167" i="152"/>
  <c r="BC167" i="152"/>
  <c r="BB167" i="152"/>
  <c r="BA167" i="152"/>
  <c r="AZ167" i="152"/>
  <c r="AY167" i="152"/>
  <c r="AX167" i="152"/>
  <c r="A167" i="152"/>
  <c r="BL166" i="152"/>
  <c r="BK166" i="152"/>
  <c r="BJ166" i="152"/>
  <c r="BI166" i="152"/>
  <c r="BH166" i="152"/>
  <c r="BG166" i="152"/>
  <c r="BF166" i="152"/>
  <c r="BE166" i="152"/>
  <c r="BD166" i="152"/>
  <c r="BC166" i="152"/>
  <c r="BB166" i="152"/>
  <c r="BA166" i="152"/>
  <c r="AZ166" i="152"/>
  <c r="AY166" i="152"/>
  <c r="AX166" i="152"/>
  <c r="A166" i="152"/>
  <c r="BL165" i="152"/>
  <c r="BK165" i="152"/>
  <c r="BJ165" i="152"/>
  <c r="BI165" i="152"/>
  <c r="BH165" i="152"/>
  <c r="BG165" i="152"/>
  <c r="BF165" i="152"/>
  <c r="BE165" i="152"/>
  <c r="BD165" i="152"/>
  <c r="BC165" i="152"/>
  <c r="BB165" i="152"/>
  <c r="BA165" i="152"/>
  <c r="AZ165" i="152"/>
  <c r="AY165" i="152"/>
  <c r="AX165" i="152"/>
  <c r="A165" i="152"/>
  <c r="BL164" i="152"/>
  <c r="BK164" i="152"/>
  <c r="BJ164" i="152"/>
  <c r="BI164" i="152"/>
  <c r="BH164" i="152"/>
  <c r="BG164" i="152"/>
  <c r="BF164" i="152"/>
  <c r="BE164" i="152"/>
  <c r="BD164" i="152"/>
  <c r="BC164" i="152"/>
  <c r="BB164" i="152"/>
  <c r="BA164" i="152"/>
  <c r="AZ164" i="152"/>
  <c r="AY164" i="152"/>
  <c r="AX164" i="152"/>
  <c r="A164" i="152"/>
  <c r="BL163" i="152"/>
  <c r="BK163" i="152"/>
  <c r="BJ163" i="152"/>
  <c r="BI163" i="152"/>
  <c r="BH163" i="152"/>
  <c r="BG163" i="152"/>
  <c r="BF163" i="152"/>
  <c r="BE163" i="152"/>
  <c r="BD163" i="152"/>
  <c r="BC163" i="152"/>
  <c r="BB163" i="152"/>
  <c r="BA163" i="152"/>
  <c r="AZ163" i="152"/>
  <c r="AY163" i="152"/>
  <c r="AX163" i="152"/>
  <c r="A163" i="152"/>
  <c r="BL162" i="152"/>
  <c r="BK162" i="152"/>
  <c r="BJ162" i="152"/>
  <c r="BI162" i="152"/>
  <c r="BH162" i="152"/>
  <c r="BG162" i="152"/>
  <c r="BF162" i="152"/>
  <c r="BE162" i="152"/>
  <c r="BD162" i="152"/>
  <c r="BC162" i="152"/>
  <c r="BB162" i="152"/>
  <c r="BA162" i="152"/>
  <c r="AZ162" i="152"/>
  <c r="AY162" i="152"/>
  <c r="AX162" i="152"/>
  <c r="A162" i="152"/>
  <c r="BL161" i="152"/>
  <c r="BK161" i="152"/>
  <c r="BJ161" i="152"/>
  <c r="BI161" i="152"/>
  <c r="BH161" i="152"/>
  <c r="BG161" i="152"/>
  <c r="BF161" i="152"/>
  <c r="BE161" i="152"/>
  <c r="BD161" i="152"/>
  <c r="BC161" i="152"/>
  <c r="BB161" i="152"/>
  <c r="BA161" i="152"/>
  <c r="AZ161" i="152"/>
  <c r="AY161" i="152"/>
  <c r="AX161" i="152"/>
  <c r="A161" i="152"/>
  <c r="BL160" i="152"/>
  <c r="BK160" i="152"/>
  <c r="BJ160" i="152"/>
  <c r="BI160" i="152"/>
  <c r="BH160" i="152"/>
  <c r="BG160" i="152"/>
  <c r="BF160" i="152"/>
  <c r="BE160" i="152"/>
  <c r="BD160" i="152"/>
  <c r="BC160" i="152"/>
  <c r="BB160" i="152"/>
  <c r="BA160" i="152"/>
  <c r="AZ160" i="152"/>
  <c r="AY160" i="152"/>
  <c r="AX160" i="152"/>
  <c r="A160" i="152"/>
  <c r="BL159" i="152"/>
  <c r="BK159" i="152"/>
  <c r="BJ159" i="152"/>
  <c r="BI159" i="152"/>
  <c r="BH159" i="152"/>
  <c r="BG159" i="152"/>
  <c r="BF159" i="152"/>
  <c r="BE159" i="152"/>
  <c r="BD159" i="152"/>
  <c r="BC159" i="152"/>
  <c r="BB159" i="152"/>
  <c r="BA159" i="152"/>
  <c r="AZ159" i="152"/>
  <c r="AY159" i="152"/>
  <c r="AX159" i="152"/>
  <c r="A159" i="152"/>
  <c r="BL158" i="152"/>
  <c r="BK158" i="152"/>
  <c r="BJ158" i="152"/>
  <c r="BI158" i="152"/>
  <c r="BH158" i="152"/>
  <c r="BG158" i="152"/>
  <c r="BF158" i="152"/>
  <c r="BE158" i="152"/>
  <c r="BD158" i="152"/>
  <c r="BC158" i="152"/>
  <c r="BB158" i="152"/>
  <c r="BA158" i="152"/>
  <c r="AZ158" i="152"/>
  <c r="AY158" i="152"/>
  <c r="AX158" i="152"/>
  <c r="A158" i="152"/>
  <c r="BL157" i="152"/>
  <c r="BK157" i="152"/>
  <c r="BJ157" i="152"/>
  <c r="BI157" i="152"/>
  <c r="BH157" i="152"/>
  <c r="BG157" i="152"/>
  <c r="BF157" i="152"/>
  <c r="BE157" i="152"/>
  <c r="BD157" i="152"/>
  <c r="BC157" i="152"/>
  <c r="BB157" i="152"/>
  <c r="BA157" i="152"/>
  <c r="AZ157" i="152"/>
  <c r="AY157" i="152"/>
  <c r="AX157" i="152"/>
  <c r="A157" i="152"/>
  <c r="BL156" i="152"/>
  <c r="BK156" i="152"/>
  <c r="BJ156" i="152"/>
  <c r="BI156" i="152"/>
  <c r="BH156" i="152"/>
  <c r="BG156" i="152"/>
  <c r="BF156" i="152"/>
  <c r="BE156" i="152"/>
  <c r="BD156" i="152"/>
  <c r="BC156" i="152"/>
  <c r="BB156" i="152"/>
  <c r="BA156" i="152"/>
  <c r="AZ156" i="152"/>
  <c r="AY156" i="152"/>
  <c r="AX156" i="152"/>
  <c r="A156" i="152"/>
  <c r="BL155" i="152"/>
  <c r="BK155" i="152"/>
  <c r="BJ155" i="152"/>
  <c r="BI155" i="152"/>
  <c r="BH155" i="152"/>
  <c r="BG155" i="152"/>
  <c r="BF155" i="152"/>
  <c r="BE155" i="152"/>
  <c r="BD155" i="152"/>
  <c r="BC155" i="152"/>
  <c r="BB155" i="152"/>
  <c r="BA155" i="152"/>
  <c r="AZ155" i="152"/>
  <c r="AY155" i="152"/>
  <c r="AX155" i="152"/>
  <c r="A155" i="152"/>
  <c r="BL154" i="152"/>
  <c r="BK154" i="152"/>
  <c r="BJ154" i="152"/>
  <c r="BI154" i="152"/>
  <c r="BH154" i="152"/>
  <c r="BG154" i="152"/>
  <c r="BF154" i="152"/>
  <c r="BE154" i="152"/>
  <c r="BD154" i="152"/>
  <c r="BC154" i="152"/>
  <c r="BB154" i="152"/>
  <c r="BA154" i="152"/>
  <c r="AZ154" i="152"/>
  <c r="AY154" i="152"/>
  <c r="AX154" i="152"/>
  <c r="A154" i="152"/>
  <c r="BL153" i="152"/>
  <c r="BK153" i="152"/>
  <c r="BJ153" i="152"/>
  <c r="BI153" i="152"/>
  <c r="BH153" i="152"/>
  <c r="BG153" i="152"/>
  <c r="BF153" i="152"/>
  <c r="BE153" i="152"/>
  <c r="BD153" i="152"/>
  <c r="BC153" i="152"/>
  <c r="BB153" i="152"/>
  <c r="BA153" i="152"/>
  <c r="AZ153" i="152"/>
  <c r="AY153" i="152"/>
  <c r="AX153" i="152"/>
  <c r="A153" i="152"/>
  <c r="BL152" i="152"/>
  <c r="BK152" i="152"/>
  <c r="BJ152" i="152"/>
  <c r="BI152" i="152"/>
  <c r="BH152" i="152"/>
  <c r="BG152" i="152"/>
  <c r="BF152" i="152"/>
  <c r="BE152" i="152"/>
  <c r="BD152" i="152"/>
  <c r="BC152" i="152"/>
  <c r="BB152" i="152"/>
  <c r="BA152" i="152"/>
  <c r="AZ152" i="152"/>
  <c r="AY152" i="152"/>
  <c r="AX152" i="152"/>
  <c r="A152" i="152"/>
  <c r="BL151" i="152"/>
  <c r="BK151" i="152"/>
  <c r="BJ151" i="152"/>
  <c r="BI151" i="152"/>
  <c r="BH151" i="152"/>
  <c r="BG151" i="152"/>
  <c r="BF151" i="152"/>
  <c r="BE151" i="152"/>
  <c r="BD151" i="152"/>
  <c r="BC151" i="152"/>
  <c r="BB151" i="152"/>
  <c r="BA151" i="152"/>
  <c r="AZ151" i="152"/>
  <c r="AY151" i="152"/>
  <c r="AX151" i="152"/>
  <c r="A151" i="152"/>
  <c r="BL150" i="152"/>
  <c r="BK150" i="152"/>
  <c r="BJ150" i="152"/>
  <c r="BI150" i="152"/>
  <c r="BH150" i="152"/>
  <c r="BG150" i="152"/>
  <c r="BF150" i="152"/>
  <c r="BE150" i="152"/>
  <c r="BD150" i="152"/>
  <c r="BC150" i="152"/>
  <c r="BB150" i="152"/>
  <c r="BA150" i="152"/>
  <c r="AZ150" i="152"/>
  <c r="AY150" i="152"/>
  <c r="AX150" i="152"/>
  <c r="A150" i="152"/>
  <c r="BL149" i="152"/>
  <c r="BK149" i="152"/>
  <c r="BJ149" i="152"/>
  <c r="BI149" i="152"/>
  <c r="BH149" i="152"/>
  <c r="BG149" i="152"/>
  <c r="BF149" i="152"/>
  <c r="BE149" i="152"/>
  <c r="BD149" i="152"/>
  <c r="BC149" i="152"/>
  <c r="BB149" i="152"/>
  <c r="BA149" i="152"/>
  <c r="AZ149" i="152"/>
  <c r="AY149" i="152"/>
  <c r="AX149" i="152"/>
  <c r="A149" i="152"/>
  <c r="BL148" i="152"/>
  <c r="BK148" i="152"/>
  <c r="BJ148" i="152"/>
  <c r="BI148" i="152"/>
  <c r="BH148" i="152"/>
  <c r="BG148" i="152"/>
  <c r="BF148" i="152"/>
  <c r="BE148" i="152"/>
  <c r="BD148" i="152"/>
  <c r="BC148" i="152"/>
  <c r="BB148" i="152"/>
  <c r="BA148" i="152"/>
  <c r="AZ148" i="152"/>
  <c r="AY148" i="152"/>
  <c r="AX148" i="152"/>
  <c r="A148" i="152"/>
  <c r="BL147" i="152"/>
  <c r="BK147" i="152"/>
  <c r="BJ147" i="152"/>
  <c r="BI147" i="152"/>
  <c r="BH147" i="152"/>
  <c r="BG147" i="152"/>
  <c r="BF147" i="152"/>
  <c r="BE147" i="152"/>
  <c r="BD147" i="152"/>
  <c r="BC147" i="152"/>
  <c r="BB147" i="152"/>
  <c r="BA147" i="152"/>
  <c r="AZ147" i="152"/>
  <c r="AY147" i="152"/>
  <c r="AX147" i="152"/>
  <c r="A147" i="152"/>
  <c r="BL146" i="152"/>
  <c r="BK146" i="152"/>
  <c r="BJ146" i="152"/>
  <c r="BI146" i="152"/>
  <c r="BH146" i="152"/>
  <c r="BG146" i="152"/>
  <c r="BF146" i="152"/>
  <c r="BE146" i="152"/>
  <c r="BD146" i="152"/>
  <c r="BC146" i="152"/>
  <c r="BB146" i="152"/>
  <c r="BA146" i="152"/>
  <c r="AZ146" i="152"/>
  <c r="AY146" i="152"/>
  <c r="AX146" i="152"/>
  <c r="A146" i="152"/>
  <c r="BL145" i="152"/>
  <c r="BK145" i="152"/>
  <c r="BJ145" i="152"/>
  <c r="BI145" i="152"/>
  <c r="BH145" i="152"/>
  <c r="BG145" i="152"/>
  <c r="BF145" i="152"/>
  <c r="BE145" i="152"/>
  <c r="BD145" i="152"/>
  <c r="BC145" i="152"/>
  <c r="BB145" i="152"/>
  <c r="BA145" i="152"/>
  <c r="AZ145" i="152"/>
  <c r="AY145" i="152"/>
  <c r="AX145" i="152"/>
  <c r="A145" i="152"/>
  <c r="BL144" i="152"/>
  <c r="BK144" i="152"/>
  <c r="BJ144" i="152"/>
  <c r="BI144" i="152"/>
  <c r="BH144" i="152"/>
  <c r="BG144" i="152"/>
  <c r="BF144" i="152"/>
  <c r="BE144" i="152"/>
  <c r="BD144" i="152"/>
  <c r="BC144" i="152"/>
  <c r="BB144" i="152"/>
  <c r="BA144" i="152"/>
  <c r="AZ144" i="152"/>
  <c r="AY144" i="152"/>
  <c r="AX144" i="152"/>
  <c r="A144" i="152"/>
  <c r="BL143" i="152"/>
  <c r="BK143" i="152"/>
  <c r="BJ143" i="152"/>
  <c r="BI143" i="152"/>
  <c r="BH143" i="152"/>
  <c r="BG143" i="152"/>
  <c r="BF143" i="152"/>
  <c r="BE143" i="152"/>
  <c r="BD143" i="152"/>
  <c r="BC143" i="152"/>
  <c r="BB143" i="152"/>
  <c r="BA143" i="152"/>
  <c r="AZ143" i="152"/>
  <c r="AY143" i="152"/>
  <c r="AX143" i="152"/>
  <c r="A143" i="152"/>
  <c r="BL142" i="152"/>
  <c r="BK142" i="152"/>
  <c r="BJ142" i="152"/>
  <c r="BI142" i="152"/>
  <c r="BH142" i="152"/>
  <c r="BG142" i="152"/>
  <c r="BF142" i="152"/>
  <c r="BE142" i="152"/>
  <c r="BD142" i="152"/>
  <c r="BC142" i="152"/>
  <c r="BB142" i="152"/>
  <c r="BA142" i="152"/>
  <c r="AZ142" i="152"/>
  <c r="AY142" i="152"/>
  <c r="AX142" i="152"/>
  <c r="A142" i="152"/>
  <c r="BL141" i="152"/>
  <c r="BK141" i="152"/>
  <c r="BJ141" i="152"/>
  <c r="BI141" i="152"/>
  <c r="BH141" i="152"/>
  <c r="BG141" i="152"/>
  <c r="BF141" i="152"/>
  <c r="BE141" i="152"/>
  <c r="BD141" i="152"/>
  <c r="BC141" i="152"/>
  <c r="BB141" i="152"/>
  <c r="BA141" i="152"/>
  <c r="AZ141" i="152"/>
  <c r="AY141" i="152"/>
  <c r="AX141" i="152"/>
  <c r="A141" i="152"/>
  <c r="BL140" i="152"/>
  <c r="BK140" i="152"/>
  <c r="BJ140" i="152"/>
  <c r="BI140" i="152"/>
  <c r="BH140" i="152"/>
  <c r="BG140" i="152"/>
  <c r="BF140" i="152"/>
  <c r="BE140" i="152"/>
  <c r="BD140" i="152"/>
  <c r="BC140" i="152"/>
  <c r="BB140" i="152"/>
  <c r="BA140" i="152"/>
  <c r="AZ140" i="152"/>
  <c r="AY140" i="152"/>
  <c r="AX140" i="152"/>
  <c r="A140" i="152"/>
  <c r="BL139" i="152"/>
  <c r="BK139" i="152"/>
  <c r="BJ139" i="152"/>
  <c r="BI139" i="152"/>
  <c r="BH139" i="152"/>
  <c r="BG139" i="152"/>
  <c r="BF139" i="152"/>
  <c r="BE139" i="152"/>
  <c r="BD139" i="152"/>
  <c r="BC139" i="152"/>
  <c r="BB139" i="152"/>
  <c r="BA139" i="152"/>
  <c r="AZ139" i="152"/>
  <c r="AY139" i="152"/>
  <c r="AX139" i="152"/>
  <c r="A139" i="152"/>
  <c r="BL138" i="152"/>
  <c r="BK138" i="152"/>
  <c r="BJ138" i="152"/>
  <c r="BI138" i="152"/>
  <c r="BH138" i="152"/>
  <c r="BG138" i="152"/>
  <c r="BF138" i="152"/>
  <c r="BE138" i="152"/>
  <c r="BD138" i="152"/>
  <c r="BC138" i="152"/>
  <c r="BB138" i="152"/>
  <c r="BA138" i="152"/>
  <c r="AZ138" i="152"/>
  <c r="AY138" i="152"/>
  <c r="AX138" i="152"/>
  <c r="A138" i="152"/>
  <c r="BL137" i="152"/>
  <c r="BK137" i="152"/>
  <c r="BJ137" i="152"/>
  <c r="BI137" i="152"/>
  <c r="BH137" i="152"/>
  <c r="BG137" i="152"/>
  <c r="BF137" i="152"/>
  <c r="BE137" i="152"/>
  <c r="BD137" i="152"/>
  <c r="BC137" i="152"/>
  <c r="BB137" i="152"/>
  <c r="BA137" i="152"/>
  <c r="AZ137" i="152"/>
  <c r="AY137" i="152"/>
  <c r="AX137" i="152"/>
  <c r="A137" i="152"/>
  <c r="BL136" i="152"/>
  <c r="BK136" i="152"/>
  <c r="BJ136" i="152"/>
  <c r="BI136" i="152"/>
  <c r="BH136" i="152"/>
  <c r="BG136" i="152"/>
  <c r="BF136" i="152"/>
  <c r="BE136" i="152"/>
  <c r="BD136" i="152"/>
  <c r="BC136" i="152"/>
  <c r="BB136" i="152"/>
  <c r="BA136" i="152"/>
  <c r="AZ136" i="152"/>
  <c r="AY136" i="152"/>
  <c r="AX136" i="152"/>
  <c r="A136" i="152"/>
  <c r="BL135" i="152"/>
  <c r="BK135" i="152"/>
  <c r="BJ135" i="152"/>
  <c r="BI135" i="152"/>
  <c r="BH135" i="152"/>
  <c r="BG135" i="152"/>
  <c r="BF135" i="152"/>
  <c r="BE135" i="152"/>
  <c r="BD135" i="152"/>
  <c r="BC135" i="152"/>
  <c r="BB135" i="152"/>
  <c r="BA135" i="152"/>
  <c r="AZ135" i="152"/>
  <c r="AY135" i="152"/>
  <c r="AX135" i="152"/>
  <c r="A135" i="152"/>
  <c r="BL134" i="152"/>
  <c r="BK134" i="152"/>
  <c r="BJ134" i="152"/>
  <c r="BI134" i="152"/>
  <c r="BH134" i="152"/>
  <c r="BG134" i="152"/>
  <c r="BF134" i="152"/>
  <c r="BE134" i="152"/>
  <c r="BD134" i="152"/>
  <c r="BC134" i="152"/>
  <c r="BB134" i="152"/>
  <c r="BA134" i="152"/>
  <c r="AZ134" i="152"/>
  <c r="AY134" i="152"/>
  <c r="AX134" i="152"/>
  <c r="A134" i="152"/>
  <c r="BL133" i="152"/>
  <c r="BK133" i="152"/>
  <c r="BJ133" i="152"/>
  <c r="BI133" i="152"/>
  <c r="BH133" i="152"/>
  <c r="BG133" i="152"/>
  <c r="BF133" i="152"/>
  <c r="BE133" i="152"/>
  <c r="BD133" i="152"/>
  <c r="BC133" i="152"/>
  <c r="BB133" i="152"/>
  <c r="BA133" i="152"/>
  <c r="AZ133" i="152"/>
  <c r="AY133" i="152"/>
  <c r="AX133" i="152"/>
  <c r="A133" i="152"/>
  <c r="BL132" i="152"/>
  <c r="BK132" i="152"/>
  <c r="BJ132" i="152"/>
  <c r="BI132" i="152"/>
  <c r="BH132" i="152"/>
  <c r="BG132" i="152"/>
  <c r="BF132" i="152"/>
  <c r="BE132" i="152"/>
  <c r="BD132" i="152"/>
  <c r="BC132" i="152"/>
  <c r="BB132" i="152"/>
  <c r="BA132" i="152"/>
  <c r="AZ132" i="152"/>
  <c r="AY132" i="152"/>
  <c r="AX132" i="152"/>
  <c r="A132" i="152"/>
  <c r="BL131" i="152"/>
  <c r="BK131" i="152"/>
  <c r="BJ131" i="152"/>
  <c r="BI131" i="152"/>
  <c r="BH131" i="152"/>
  <c r="BG131" i="152"/>
  <c r="BF131" i="152"/>
  <c r="BE131" i="152"/>
  <c r="BD131" i="152"/>
  <c r="BC131" i="152"/>
  <c r="BB131" i="152"/>
  <c r="BA131" i="152"/>
  <c r="AZ131" i="152"/>
  <c r="AY131" i="152"/>
  <c r="AX131" i="152"/>
  <c r="A131" i="152"/>
  <c r="BL130" i="152"/>
  <c r="BK130" i="152"/>
  <c r="BJ130" i="152"/>
  <c r="BI130" i="152"/>
  <c r="BH130" i="152"/>
  <c r="BG130" i="152"/>
  <c r="BF130" i="152"/>
  <c r="BE130" i="152"/>
  <c r="BD130" i="152"/>
  <c r="BC130" i="152"/>
  <c r="BB130" i="152"/>
  <c r="BA130" i="152"/>
  <c r="AZ130" i="152"/>
  <c r="AY130" i="152"/>
  <c r="AX130" i="152"/>
  <c r="A130" i="152"/>
  <c r="BL129" i="152"/>
  <c r="BK129" i="152"/>
  <c r="BJ129" i="152"/>
  <c r="BI129" i="152"/>
  <c r="BH129" i="152"/>
  <c r="BG129" i="152"/>
  <c r="BF129" i="152"/>
  <c r="BE129" i="152"/>
  <c r="BD129" i="152"/>
  <c r="BC129" i="152"/>
  <c r="BB129" i="152"/>
  <c r="BA129" i="152"/>
  <c r="AZ129" i="152"/>
  <c r="AY129" i="152"/>
  <c r="AX129" i="152"/>
  <c r="A129" i="152"/>
  <c r="BL128" i="152"/>
  <c r="BK128" i="152"/>
  <c r="BJ128" i="152"/>
  <c r="BI128" i="152"/>
  <c r="BH128" i="152"/>
  <c r="BG128" i="152"/>
  <c r="BF128" i="152"/>
  <c r="BE128" i="152"/>
  <c r="BD128" i="152"/>
  <c r="BC128" i="152"/>
  <c r="BB128" i="152"/>
  <c r="BA128" i="152"/>
  <c r="AZ128" i="152"/>
  <c r="AY128" i="152"/>
  <c r="AX128" i="152"/>
  <c r="A128" i="152"/>
  <c r="BL127" i="152"/>
  <c r="BK127" i="152"/>
  <c r="BJ127" i="152"/>
  <c r="BI127" i="152"/>
  <c r="BH127" i="152"/>
  <c r="BG127" i="152"/>
  <c r="BF127" i="152"/>
  <c r="BE127" i="152"/>
  <c r="BD127" i="152"/>
  <c r="BC127" i="152"/>
  <c r="BB127" i="152"/>
  <c r="BA127" i="152"/>
  <c r="AZ127" i="152"/>
  <c r="AY127" i="152"/>
  <c r="AX127" i="152"/>
  <c r="A127" i="152"/>
  <c r="BL126" i="152"/>
  <c r="BK126" i="152"/>
  <c r="BJ126" i="152"/>
  <c r="BI126" i="152"/>
  <c r="BH126" i="152"/>
  <c r="BG126" i="152"/>
  <c r="BF126" i="152"/>
  <c r="BE126" i="152"/>
  <c r="BD126" i="152"/>
  <c r="BC126" i="152"/>
  <c r="BB126" i="152"/>
  <c r="BA126" i="152"/>
  <c r="AZ126" i="152"/>
  <c r="AY126" i="152"/>
  <c r="AX126" i="152"/>
  <c r="A126" i="152"/>
  <c r="BL125" i="152"/>
  <c r="BK125" i="152"/>
  <c r="BJ125" i="152"/>
  <c r="BI125" i="152"/>
  <c r="BH125" i="152"/>
  <c r="BG125" i="152"/>
  <c r="BF125" i="152"/>
  <c r="BE125" i="152"/>
  <c r="BD125" i="152"/>
  <c r="BC125" i="152"/>
  <c r="BB125" i="152"/>
  <c r="BA125" i="152"/>
  <c r="AZ125" i="152"/>
  <c r="AY125" i="152"/>
  <c r="AX125" i="152"/>
  <c r="A125" i="152"/>
  <c r="BL124" i="152"/>
  <c r="BK124" i="152"/>
  <c r="BJ124" i="152"/>
  <c r="BI124" i="152"/>
  <c r="BH124" i="152"/>
  <c r="BG124" i="152"/>
  <c r="BF124" i="152"/>
  <c r="BE124" i="152"/>
  <c r="BD124" i="152"/>
  <c r="BC124" i="152"/>
  <c r="BB124" i="152"/>
  <c r="BA124" i="152"/>
  <c r="AZ124" i="152"/>
  <c r="AY124" i="152"/>
  <c r="AX124" i="152"/>
  <c r="A124" i="152"/>
  <c r="BL123" i="152"/>
  <c r="BK123" i="152"/>
  <c r="BJ123" i="152"/>
  <c r="BI123" i="152"/>
  <c r="BH123" i="152"/>
  <c r="BG123" i="152"/>
  <c r="BF123" i="152"/>
  <c r="BE123" i="152"/>
  <c r="BD123" i="152"/>
  <c r="BC123" i="152"/>
  <c r="BB123" i="152"/>
  <c r="BA123" i="152"/>
  <c r="AZ123" i="152"/>
  <c r="AY123" i="152"/>
  <c r="AX123" i="152"/>
  <c r="A123" i="152"/>
  <c r="BL122" i="152"/>
  <c r="BK122" i="152"/>
  <c r="BJ122" i="152"/>
  <c r="BI122" i="152"/>
  <c r="BH122" i="152"/>
  <c r="BG122" i="152"/>
  <c r="BF122" i="152"/>
  <c r="BE122" i="152"/>
  <c r="BD122" i="152"/>
  <c r="BC122" i="152"/>
  <c r="BB122" i="152"/>
  <c r="BA122" i="152"/>
  <c r="AZ122" i="152"/>
  <c r="AY122" i="152"/>
  <c r="AX122" i="152"/>
  <c r="A122" i="152"/>
  <c r="BL121" i="152"/>
  <c r="BK121" i="152"/>
  <c r="BJ121" i="152"/>
  <c r="BI121" i="152"/>
  <c r="BH121" i="152"/>
  <c r="BG121" i="152"/>
  <c r="BF121" i="152"/>
  <c r="BE121" i="152"/>
  <c r="BD121" i="152"/>
  <c r="BC121" i="152"/>
  <c r="BB121" i="152"/>
  <c r="BA121" i="152"/>
  <c r="AZ121" i="152"/>
  <c r="AY121" i="152"/>
  <c r="AX121" i="152"/>
  <c r="A121" i="152"/>
  <c r="BL120" i="152"/>
  <c r="BK120" i="152"/>
  <c r="BJ120" i="152"/>
  <c r="BI120" i="152"/>
  <c r="BH120" i="152"/>
  <c r="BG120" i="152"/>
  <c r="BF120" i="152"/>
  <c r="BE120" i="152"/>
  <c r="BD120" i="152"/>
  <c r="BC120" i="152"/>
  <c r="BB120" i="152"/>
  <c r="BA120" i="152"/>
  <c r="AZ120" i="152"/>
  <c r="AY120" i="152"/>
  <c r="AX120" i="152"/>
  <c r="A120" i="152"/>
  <c r="BL119" i="152"/>
  <c r="BK119" i="152"/>
  <c r="BJ119" i="152"/>
  <c r="BI119" i="152"/>
  <c r="BH119" i="152"/>
  <c r="BG119" i="152"/>
  <c r="BF119" i="152"/>
  <c r="BE119" i="152"/>
  <c r="BD119" i="152"/>
  <c r="BC119" i="152"/>
  <c r="BB119" i="152"/>
  <c r="BA119" i="152"/>
  <c r="AZ119" i="152"/>
  <c r="AY119" i="152"/>
  <c r="AX119" i="152"/>
  <c r="A119" i="152"/>
  <c r="BL118" i="152"/>
  <c r="BK118" i="152"/>
  <c r="BJ118" i="152"/>
  <c r="BI118" i="152"/>
  <c r="BH118" i="152"/>
  <c r="BG118" i="152"/>
  <c r="BF118" i="152"/>
  <c r="BE118" i="152"/>
  <c r="BD118" i="152"/>
  <c r="BC118" i="152"/>
  <c r="BB118" i="152"/>
  <c r="BA118" i="152"/>
  <c r="AZ118" i="152"/>
  <c r="AY118" i="152"/>
  <c r="AX118" i="152"/>
  <c r="A118" i="152"/>
  <c r="BL117" i="152"/>
  <c r="BK117" i="152"/>
  <c r="BJ117" i="152"/>
  <c r="BI117" i="152"/>
  <c r="BH117" i="152"/>
  <c r="BG117" i="152"/>
  <c r="BF117" i="152"/>
  <c r="BE117" i="152"/>
  <c r="BD117" i="152"/>
  <c r="BC117" i="152"/>
  <c r="BB117" i="152"/>
  <c r="BA117" i="152"/>
  <c r="AZ117" i="152"/>
  <c r="AY117" i="152"/>
  <c r="AX117" i="152"/>
  <c r="A117" i="152"/>
  <c r="BL116" i="152"/>
  <c r="BK116" i="152"/>
  <c r="BJ116" i="152"/>
  <c r="BI116" i="152"/>
  <c r="BH116" i="152"/>
  <c r="BG116" i="152"/>
  <c r="BF116" i="152"/>
  <c r="BE116" i="152"/>
  <c r="BD116" i="152"/>
  <c r="BC116" i="152"/>
  <c r="BB116" i="152"/>
  <c r="BA116" i="152"/>
  <c r="AZ116" i="152"/>
  <c r="AY116" i="152"/>
  <c r="AX116" i="152"/>
  <c r="A116" i="152"/>
  <c r="BL115" i="152"/>
  <c r="BK115" i="152"/>
  <c r="BJ115" i="152"/>
  <c r="BI115" i="152"/>
  <c r="BH115" i="152"/>
  <c r="BG115" i="152"/>
  <c r="BF115" i="152"/>
  <c r="BE115" i="152"/>
  <c r="BD115" i="152"/>
  <c r="BC115" i="152"/>
  <c r="BB115" i="152"/>
  <c r="BA115" i="152"/>
  <c r="AZ115" i="152"/>
  <c r="AY115" i="152"/>
  <c r="AX115" i="152"/>
  <c r="A115" i="152"/>
  <c r="BL114" i="152"/>
  <c r="BK114" i="152"/>
  <c r="BJ114" i="152"/>
  <c r="BI114" i="152"/>
  <c r="BH114" i="152"/>
  <c r="BG114" i="152"/>
  <c r="BF114" i="152"/>
  <c r="BE114" i="152"/>
  <c r="BD114" i="152"/>
  <c r="BC114" i="152"/>
  <c r="BB114" i="152"/>
  <c r="BA114" i="152"/>
  <c r="AZ114" i="152"/>
  <c r="AY114" i="152"/>
  <c r="AX114" i="152"/>
  <c r="A114" i="152"/>
  <c r="BL113" i="152"/>
  <c r="BK113" i="152"/>
  <c r="BJ113" i="152"/>
  <c r="BI113" i="152"/>
  <c r="BH113" i="152"/>
  <c r="BG113" i="152"/>
  <c r="BF113" i="152"/>
  <c r="BE113" i="152"/>
  <c r="BD113" i="152"/>
  <c r="BC113" i="152"/>
  <c r="BB113" i="152"/>
  <c r="BA113" i="152"/>
  <c r="AZ113" i="152"/>
  <c r="AY113" i="152"/>
  <c r="AX113" i="152"/>
  <c r="A113" i="152"/>
  <c r="BL112" i="152"/>
  <c r="BK112" i="152"/>
  <c r="BJ112" i="152"/>
  <c r="BI112" i="152"/>
  <c r="BH112" i="152"/>
  <c r="BG112" i="152"/>
  <c r="BF112" i="152"/>
  <c r="BE112" i="152"/>
  <c r="BD112" i="152"/>
  <c r="BC112" i="152"/>
  <c r="BB112" i="152"/>
  <c r="BA112" i="152"/>
  <c r="AZ112" i="152"/>
  <c r="AY112" i="152"/>
  <c r="AX112" i="152"/>
  <c r="A112" i="152"/>
  <c r="BL111" i="152"/>
  <c r="BK111" i="152"/>
  <c r="BJ111" i="152"/>
  <c r="BI111" i="152"/>
  <c r="BH111" i="152"/>
  <c r="BG111" i="152"/>
  <c r="BF111" i="152"/>
  <c r="BE111" i="152"/>
  <c r="BD111" i="152"/>
  <c r="BC111" i="152"/>
  <c r="BB111" i="152"/>
  <c r="BA111" i="152"/>
  <c r="AZ111" i="152"/>
  <c r="AY111" i="152"/>
  <c r="AX111" i="152"/>
  <c r="A111" i="152"/>
  <c r="BL110" i="152"/>
  <c r="BK110" i="152"/>
  <c r="BJ110" i="152"/>
  <c r="BI110" i="152"/>
  <c r="BH110" i="152"/>
  <c r="BG110" i="152"/>
  <c r="BF110" i="152"/>
  <c r="BE110" i="152"/>
  <c r="BD110" i="152"/>
  <c r="BC110" i="152"/>
  <c r="BB110" i="152"/>
  <c r="BA110" i="152"/>
  <c r="AZ110" i="152"/>
  <c r="AY110" i="152"/>
  <c r="AX110" i="152"/>
  <c r="A110" i="152"/>
  <c r="BL109" i="152"/>
  <c r="BK109" i="152"/>
  <c r="BJ109" i="152"/>
  <c r="BI109" i="152"/>
  <c r="BH109" i="152"/>
  <c r="BG109" i="152"/>
  <c r="BF109" i="152"/>
  <c r="BE109" i="152"/>
  <c r="BD109" i="152"/>
  <c r="BC109" i="152"/>
  <c r="BB109" i="152"/>
  <c r="BA109" i="152"/>
  <c r="AZ109" i="152"/>
  <c r="AY109" i="152"/>
  <c r="AX109" i="152"/>
  <c r="A109" i="152"/>
  <c r="BL108" i="152"/>
  <c r="BK108" i="152"/>
  <c r="BJ108" i="152"/>
  <c r="BI108" i="152"/>
  <c r="BH108" i="152"/>
  <c r="BG108" i="152"/>
  <c r="BF108" i="152"/>
  <c r="BE108" i="152"/>
  <c r="BD108" i="152"/>
  <c r="BC108" i="152"/>
  <c r="BB108" i="152"/>
  <c r="BA108" i="152"/>
  <c r="AZ108" i="152"/>
  <c r="AY108" i="152"/>
  <c r="AX108" i="152"/>
  <c r="A108" i="152"/>
  <c r="BL107" i="152"/>
  <c r="BK107" i="152"/>
  <c r="BJ107" i="152"/>
  <c r="BI107" i="152"/>
  <c r="BH107" i="152"/>
  <c r="BG107" i="152"/>
  <c r="BF107" i="152"/>
  <c r="BE107" i="152"/>
  <c r="BD107" i="152"/>
  <c r="BC107" i="152"/>
  <c r="BB107" i="152"/>
  <c r="BA107" i="152"/>
  <c r="AZ107" i="152"/>
  <c r="AY107" i="152"/>
  <c r="AX107" i="152"/>
  <c r="A107" i="152"/>
  <c r="BL106" i="152"/>
  <c r="BK106" i="152"/>
  <c r="BJ106" i="152"/>
  <c r="BI106" i="152"/>
  <c r="BH106" i="152"/>
  <c r="BG106" i="152"/>
  <c r="BF106" i="152"/>
  <c r="BE106" i="152"/>
  <c r="BD106" i="152"/>
  <c r="BC106" i="152"/>
  <c r="BB106" i="152"/>
  <c r="BA106" i="152"/>
  <c r="AZ106" i="152"/>
  <c r="AY106" i="152"/>
  <c r="AX106" i="152"/>
  <c r="A106" i="152"/>
  <c r="BL105" i="152"/>
  <c r="BK105" i="152"/>
  <c r="BJ105" i="152"/>
  <c r="BI105" i="152"/>
  <c r="BH105" i="152"/>
  <c r="BG105" i="152"/>
  <c r="BF105" i="152"/>
  <c r="BE105" i="152"/>
  <c r="BD105" i="152"/>
  <c r="BC105" i="152"/>
  <c r="BB105" i="152"/>
  <c r="BA105" i="152"/>
  <c r="AZ105" i="152"/>
  <c r="AY105" i="152"/>
  <c r="AX105" i="152"/>
  <c r="A105" i="152"/>
  <c r="BL104" i="152"/>
  <c r="BK104" i="152"/>
  <c r="BJ104" i="152"/>
  <c r="BI104" i="152"/>
  <c r="BH104" i="152"/>
  <c r="BG104" i="152"/>
  <c r="BF104" i="152"/>
  <c r="BE104" i="152"/>
  <c r="BD104" i="152"/>
  <c r="BC104" i="152"/>
  <c r="BB104" i="152"/>
  <c r="BA104" i="152"/>
  <c r="AZ104" i="152"/>
  <c r="AY104" i="152"/>
  <c r="AX104" i="152"/>
  <c r="A104" i="152"/>
  <c r="BL103" i="152"/>
  <c r="BK103" i="152"/>
  <c r="BJ103" i="152"/>
  <c r="BI103" i="152"/>
  <c r="BH103" i="152"/>
  <c r="BG103" i="152"/>
  <c r="BF103" i="152"/>
  <c r="BE103" i="152"/>
  <c r="BD103" i="152"/>
  <c r="BC103" i="152"/>
  <c r="BB103" i="152"/>
  <c r="BA103" i="152"/>
  <c r="AZ103" i="152"/>
  <c r="AY103" i="152"/>
  <c r="AX103" i="152"/>
  <c r="A103" i="152"/>
  <c r="BL102" i="152"/>
  <c r="BK102" i="152"/>
  <c r="BJ102" i="152"/>
  <c r="BI102" i="152"/>
  <c r="BH102" i="152"/>
  <c r="BG102" i="152"/>
  <c r="BF102" i="152"/>
  <c r="BE102" i="152"/>
  <c r="BD102" i="152"/>
  <c r="BC102" i="152"/>
  <c r="BB102" i="152"/>
  <c r="BA102" i="152"/>
  <c r="AZ102" i="152"/>
  <c r="AY102" i="152"/>
  <c r="AX102" i="152"/>
  <c r="A102" i="152"/>
  <c r="BL101" i="152"/>
  <c r="BK101" i="152"/>
  <c r="BJ101" i="152"/>
  <c r="BI101" i="152"/>
  <c r="BH101" i="152"/>
  <c r="BG101" i="152"/>
  <c r="BF101" i="152"/>
  <c r="BE101" i="152"/>
  <c r="BD101" i="152"/>
  <c r="BC101" i="152"/>
  <c r="BB101" i="152"/>
  <c r="BA101" i="152"/>
  <c r="AZ101" i="152"/>
  <c r="AY101" i="152"/>
  <c r="AX101" i="152"/>
  <c r="A101" i="152"/>
  <c r="BL100" i="152"/>
  <c r="BK100" i="152"/>
  <c r="BJ100" i="152"/>
  <c r="BI100" i="152"/>
  <c r="BH100" i="152"/>
  <c r="BG100" i="152"/>
  <c r="BF100" i="152"/>
  <c r="BE100" i="152"/>
  <c r="BD100" i="152"/>
  <c r="BC100" i="152"/>
  <c r="BB100" i="152"/>
  <c r="BA100" i="152"/>
  <c r="AZ100" i="152"/>
  <c r="AY100" i="152"/>
  <c r="AX100" i="152"/>
  <c r="A100" i="152"/>
  <c r="BL99" i="152"/>
  <c r="BK99" i="152"/>
  <c r="BJ99" i="152"/>
  <c r="BI99" i="152"/>
  <c r="BH99" i="152"/>
  <c r="BG99" i="152"/>
  <c r="BF99" i="152"/>
  <c r="BE99" i="152"/>
  <c r="BD99" i="152"/>
  <c r="BC99" i="152"/>
  <c r="BB99" i="152"/>
  <c r="BA99" i="152"/>
  <c r="AZ99" i="152"/>
  <c r="AY99" i="152"/>
  <c r="AX99" i="152"/>
  <c r="A99" i="152"/>
  <c r="BL98" i="152"/>
  <c r="BK98" i="152"/>
  <c r="BJ98" i="152"/>
  <c r="BI98" i="152"/>
  <c r="BH98" i="152"/>
  <c r="BG98" i="152"/>
  <c r="BF98" i="152"/>
  <c r="BE98" i="152"/>
  <c r="BD98" i="152"/>
  <c r="BC98" i="152"/>
  <c r="BB98" i="152"/>
  <c r="BA98" i="152"/>
  <c r="AZ98" i="152"/>
  <c r="AY98" i="152"/>
  <c r="AX98" i="152"/>
  <c r="A98" i="152"/>
  <c r="BL97" i="152"/>
  <c r="BK97" i="152"/>
  <c r="BJ97" i="152"/>
  <c r="BI97" i="152"/>
  <c r="BH97" i="152"/>
  <c r="BG97" i="152"/>
  <c r="BF97" i="152"/>
  <c r="BE97" i="152"/>
  <c r="BD97" i="152"/>
  <c r="BC97" i="152"/>
  <c r="BB97" i="152"/>
  <c r="BA97" i="152"/>
  <c r="AZ97" i="152"/>
  <c r="AY97" i="152"/>
  <c r="AX97" i="152"/>
  <c r="A97" i="152"/>
  <c r="BL96" i="152"/>
  <c r="BK96" i="152"/>
  <c r="BJ96" i="152"/>
  <c r="BI96" i="152"/>
  <c r="BH96" i="152"/>
  <c r="BG96" i="152"/>
  <c r="BF96" i="152"/>
  <c r="BE96" i="152"/>
  <c r="BD96" i="152"/>
  <c r="BC96" i="152"/>
  <c r="BB96" i="152"/>
  <c r="BA96" i="152"/>
  <c r="AZ96" i="152"/>
  <c r="AY96" i="152"/>
  <c r="AX96" i="152"/>
  <c r="A96" i="152"/>
  <c r="BL95" i="152"/>
  <c r="BK95" i="152"/>
  <c r="BJ95" i="152"/>
  <c r="BI95" i="152"/>
  <c r="BH95" i="152"/>
  <c r="BG95" i="152"/>
  <c r="BF95" i="152"/>
  <c r="BE95" i="152"/>
  <c r="BD95" i="152"/>
  <c r="BC95" i="152"/>
  <c r="BB95" i="152"/>
  <c r="BA95" i="152"/>
  <c r="AZ95" i="152"/>
  <c r="AY95" i="152"/>
  <c r="AX95" i="152"/>
  <c r="A95" i="152"/>
  <c r="BL94" i="152"/>
  <c r="BK94" i="152"/>
  <c r="BJ94" i="152"/>
  <c r="BI94" i="152"/>
  <c r="BH94" i="152"/>
  <c r="BG94" i="152"/>
  <c r="BF94" i="152"/>
  <c r="BE94" i="152"/>
  <c r="BD94" i="152"/>
  <c r="BC94" i="152"/>
  <c r="BB94" i="152"/>
  <c r="BA94" i="152"/>
  <c r="AZ94" i="152"/>
  <c r="AY94" i="152"/>
  <c r="AX94" i="152"/>
  <c r="A94" i="152"/>
  <c r="BL93" i="152"/>
  <c r="BK93" i="152"/>
  <c r="BJ93" i="152"/>
  <c r="BI93" i="152"/>
  <c r="BH93" i="152"/>
  <c r="BG93" i="152"/>
  <c r="BF93" i="152"/>
  <c r="BE93" i="152"/>
  <c r="BD93" i="152"/>
  <c r="BC93" i="152"/>
  <c r="BB93" i="152"/>
  <c r="BA93" i="152"/>
  <c r="AZ93" i="152"/>
  <c r="AY93" i="152"/>
  <c r="AX93" i="152"/>
  <c r="A93" i="152"/>
  <c r="BL92" i="152"/>
  <c r="BK92" i="152"/>
  <c r="BJ92" i="152"/>
  <c r="BI92" i="152"/>
  <c r="BH92" i="152"/>
  <c r="BG92" i="152"/>
  <c r="BF92" i="152"/>
  <c r="BE92" i="152"/>
  <c r="BD92" i="152"/>
  <c r="BC92" i="152"/>
  <c r="BB92" i="152"/>
  <c r="BA92" i="152"/>
  <c r="AZ92" i="152"/>
  <c r="AY92" i="152"/>
  <c r="AX92" i="152"/>
  <c r="A92" i="152"/>
  <c r="BL91" i="152"/>
  <c r="BK91" i="152"/>
  <c r="BJ91" i="152"/>
  <c r="BI91" i="152"/>
  <c r="BH91" i="152"/>
  <c r="BG91" i="152"/>
  <c r="BF91" i="152"/>
  <c r="BE91" i="152"/>
  <c r="BD91" i="152"/>
  <c r="BC91" i="152"/>
  <c r="BB91" i="152"/>
  <c r="BA91" i="152"/>
  <c r="AZ91" i="152"/>
  <c r="AY91" i="152"/>
  <c r="AX91" i="152"/>
  <c r="A91" i="152"/>
  <c r="BL90" i="152"/>
  <c r="BK90" i="152"/>
  <c r="BJ90" i="152"/>
  <c r="BI90" i="152"/>
  <c r="BH90" i="152"/>
  <c r="BG90" i="152"/>
  <c r="BF90" i="152"/>
  <c r="BE90" i="152"/>
  <c r="BD90" i="152"/>
  <c r="BC90" i="152"/>
  <c r="BB90" i="152"/>
  <c r="BA90" i="152"/>
  <c r="AZ90" i="152"/>
  <c r="AY90" i="152"/>
  <c r="AX90" i="152"/>
  <c r="A90" i="152"/>
  <c r="BL89" i="152"/>
  <c r="BK89" i="152"/>
  <c r="BJ89" i="152"/>
  <c r="BI89" i="152"/>
  <c r="BH89" i="152"/>
  <c r="BG89" i="152"/>
  <c r="BF89" i="152"/>
  <c r="BE89" i="152"/>
  <c r="BD89" i="152"/>
  <c r="BC89" i="152"/>
  <c r="BB89" i="152"/>
  <c r="BA89" i="152"/>
  <c r="AZ89" i="152"/>
  <c r="AY89" i="152"/>
  <c r="AX89" i="152"/>
  <c r="A89" i="152"/>
  <c r="BL88" i="152"/>
  <c r="BK88" i="152"/>
  <c r="BJ88" i="152"/>
  <c r="BI88" i="152"/>
  <c r="BH88" i="152"/>
  <c r="BG88" i="152"/>
  <c r="BF88" i="152"/>
  <c r="BE88" i="152"/>
  <c r="BD88" i="152"/>
  <c r="BC88" i="152"/>
  <c r="BB88" i="152"/>
  <c r="BA88" i="152"/>
  <c r="AZ88" i="152"/>
  <c r="AY88" i="152"/>
  <c r="AX88" i="152"/>
  <c r="A88" i="152"/>
  <c r="BL87" i="152"/>
  <c r="BK87" i="152"/>
  <c r="BJ87" i="152"/>
  <c r="BI87" i="152"/>
  <c r="BH87" i="152"/>
  <c r="BG87" i="152"/>
  <c r="BF87" i="152"/>
  <c r="BE87" i="152"/>
  <c r="BD87" i="152"/>
  <c r="BC87" i="152"/>
  <c r="BB87" i="152"/>
  <c r="BA87" i="152"/>
  <c r="AZ87" i="152"/>
  <c r="AY87" i="152"/>
  <c r="AX87" i="152"/>
  <c r="A87" i="152"/>
  <c r="BL86" i="152"/>
  <c r="BK86" i="152"/>
  <c r="BJ86" i="152"/>
  <c r="BI86" i="152"/>
  <c r="BH86" i="152"/>
  <c r="BG86" i="152"/>
  <c r="BF86" i="152"/>
  <c r="BE86" i="152"/>
  <c r="BD86" i="152"/>
  <c r="BC86" i="152"/>
  <c r="BB86" i="152"/>
  <c r="BA86" i="152"/>
  <c r="AZ86" i="152"/>
  <c r="AY86" i="152"/>
  <c r="AX86" i="152"/>
  <c r="A86" i="152"/>
  <c r="BL85" i="152"/>
  <c r="BK85" i="152"/>
  <c r="BJ85" i="152"/>
  <c r="BI85" i="152"/>
  <c r="BH85" i="152"/>
  <c r="BG85" i="152"/>
  <c r="BF85" i="152"/>
  <c r="BE85" i="152"/>
  <c r="BD85" i="152"/>
  <c r="BC85" i="152"/>
  <c r="BB85" i="152"/>
  <c r="BA85" i="152"/>
  <c r="AZ85" i="152"/>
  <c r="AY85" i="152"/>
  <c r="AX85" i="152"/>
  <c r="A85" i="152"/>
  <c r="BL84" i="152"/>
  <c r="BK84" i="152"/>
  <c r="BJ84" i="152"/>
  <c r="BI84" i="152"/>
  <c r="BH84" i="152"/>
  <c r="BG84" i="152"/>
  <c r="BF84" i="152"/>
  <c r="BE84" i="152"/>
  <c r="BD84" i="152"/>
  <c r="BC84" i="152"/>
  <c r="BB84" i="152"/>
  <c r="BA84" i="152"/>
  <c r="AZ84" i="152"/>
  <c r="AY84" i="152"/>
  <c r="AX84" i="152"/>
  <c r="A84" i="152"/>
  <c r="BL83" i="152"/>
  <c r="BK83" i="152"/>
  <c r="BJ83" i="152"/>
  <c r="BI83" i="152"/>
  <c r="BH83" i="152"/>
  <c r="BG83" i="152"/>
  <c r="BF83" i="152"/>
  <c r="BE83" i="152"/>
  <c r="BD83" i="152"/>
  <c r="BC83" i="152"/>
  <c r="BB83" i="152"/>
  <c r="BA83" i="152"/>
  <c r="AZ83" i="152"/>
  <c r="AY83" i="152"/>
  <c r="AX83" i="152"/>
  <c r="A83" i="152"/>
  <c r="BL82" i="152"/>
  <c r="BK82" i="152"/>
  <c r="BJ82" i="152"/>
  <c r="BI82" i="152"/>
  <c r="BH82" i="152"/>
  <c r="BG82" i="152"/>
  <c r="BF82" i="152"/>
  <c r="BE82" i="152"/>
  <c r="BD82" i="152"/>
  <c r="BC82" i="152"/>
  <c r="BB82" i="152"/>
  <c r="BA82" i="152"/>
  <c r="AZ82" i="152"/>
  <c r="AY82" i="152"/>
  <c r="AX82" i="152"/>
  <c r="A82" i="152"/>
  <c r="BL81" i="152"/>
  <c r="BK81" i="152"/>
  <c r="BJ81" i="152"/>
  <c r="BI81" i="152"/>
  <c r="BH81" i="152"/>
  <c r="BG81" i="152"/>
  <c r="BF81" i="152"/>
  <c r="BE81" i="152"/>
  <c r="BD81" i="152"/>
  <c r="BC81" i="152"/>
  <c r="BB81" i="152"/>
  <c r="BA81" i="152"/>
  <c r="AZ81" i="152"/>
  <c r="AY81" i="152"/>
  <c r="AX81" i="152"/>
  <c r="A81" i="152"/>
  <c r="BL80" i="152"/>
  <c r="BK80" i="152"/>
  <c r="BJ80" i="152"/>
  <c r="BI80" i="152"/>
  <c r="BH80" i="152"/>
  <c r="BG80" i="152"/>
  <c r="BF80" i="152"/>
  <c r="BE80" i="152"/>
  <c r="BD80" i="152"/>
  <c r="BC80" i="152"/>
  <c r="BB80" i="152"/>
  <c r="BA80" i="152"/>
  <c r="AZ80" i="152"/>
  <c r="AY80" i="152"/>
  <c r="AX80" i="152"/>
  <c r="A80" i="152"/>
  <c r="BL79" i="152"/>
  <c r="BK79" i="152"/>
  <c r="BJ79" i="152"/>
  <c r="BI79" i="152"/>
  <c r="BH79" i="152"/>
  <c r="BG79" i="152"/>
  <c r="BF79" i="152"/>
  <c r="BE79" i="152"/>
  <c r="BD79" i="152"/>
  <c r="BC79" i="152"/>
  <c r="BB79" i="152"/>
  <c r="BA79" i="152"/>
  <c r="AZ79" i="152"/>
  <c r="AY79" i="152"/>
  <c r="AX79" i="152"/>
  <c r="A79" i="152"/>
  <c r="BL78" i="152"/>
  <c r="BK78" i="152"/>
  <c r="BJ78" i="152"/>
  <c r="BI78" i="152"/>
  <c r="BH78" i="152"/>
  <c r="BG78" i="152"/>
  <c r="BF78" i="152"/>
  <c r="BE78" i="152"/>
  <c r="BD78" i="152"/>
  <c r="BC78" i="152"/>
  <c r="BB78" i="152"/>
  <c r="BA78" i="152"/>
  <c r="AZ78" i="152"/>
  <c r="AY78" i="152"/>
  <c r="AX78" i="152"/>
  <c r="A78" i="152"/>
  <c r="BL77" i="152"/>
  <c r="BK77" i="152"/>
  <c r="BJ77" i="152"/>
  <c r="BI77" i="152"/>
  <c r="BH77" i="152"/>
  <c r="BG77" i="152"/>
  <c r="BF77" i="152"/>
  <c r="BE77" i="152"/>
  <c r="BD77" i="152"/>
  <c r="BC77" i="152"/>
  <c r="BB77" i="152"/>
  <c r="BA77" i="152"/>
  <c r="AZ77" i="152"/>
  <c r="AY77" i="152"/>
  <c r="AX77" i="152"/>
  <c r="A77" i="152"/>
  <c r="BL76" i="152"/>
  <c r="BK76" i="152"/>
  <c r="BJ76" i="152"/>
  <c r="BI76" i="152"/>
  <c r="BH76" i="152"/>
  <c r="BG76" i="152"/>
  <c r="BF76" i="152"/>
  <c r="BE76" i="152"/>
  <c r="BD76" i="152"/>
  <c r="BC76" i="152"/>
  <c r="BB76" i="152"/>
  <c r="BA76" i="152"/>
  <c r="AZ76" i="152"/>
  <c r="AY76" i="152"/>
  <c r="AX76" i="152"/>
  <c r="A76" i="152"/>
  <c r="BL75" i="152"/>
  <c r="BK75" i="152"/>
  <c r="BJ75" i="152"/>
  <c r="BI75" i="152"/>
  <c r="BH75" i="152"/>
  <c r="BG75" i="152"/>
  <c r="BF75" i="152"/>
  <c r="BE75" i="152"/>
  <c r="BD75" i="152"/>
  <c r="BC75" i="152"/>
  <c r="BB75" i="152"/>
  <c r="BA75" i="152"/>
  <c r="AZ75" i="152"/>
  <c r="AY75" i="152"/>
  <c r="AX75" i="152"/>
  <c r="A75" i="152"/>
  <c r="BL74" i="152"/>
  <c r="BK74" i="152"/>
  <c r="BJ74" i="152"/>
  <c r="BI74" i="152"/>
  <c r="BH74" i="152"/>
  <c r="BG74" i="152"/>
  <c r="BF74" i="152"/>
  <c r="BE74" i="152"/>
  <c r="BD74" i="152"/>
  <c r="BC74" i="152"/>
  <c r="BB74" i="152"/>
  <c r="BA74" i="152"/>
  <c r="AZ74" i="152"/>
  <c r="AY74" i="152"/>
  <c r="AX74" i="152"/>
  <c r="A74" i="152"/>
  <c r="BL73" i="152"/>
  <c r="BK73" i="152"/>
  <c r="BJ73" i="152"/>
  <c r="BI73" i="152"/>
  <c r="BH73" i="152"/>
  <c r="BG73" i="152"/>
  <c r="BF73" i="152"/>
  <c r="BE73" i="152"/>
  <c r="BD73" i="152"/>
  <c r="BC73" i="152"/>
  <c r="BB73" i="152"/>
  <c r="BA73" i="152"/>
  <c r="AZ73" i="152"/>
  <c r="AY73" i="152"/>
  <c r="AX73" i="152"/>
  <c r="A73" i="152"/>
  <c r="BL72" i="152"/>
  <c r="BK72" i="152"/>
  <c r="BJ72" i="152"/>
  <c r="BI72" i="152"/>
  <c r="BH72" i="152"/>
  <c r="BG72" i="152"/>
  <c r="BF72" i="152"/>
  <c r="BE72" i="152"/>
  <c r="BD72" i="152"/>
  <c r="BC72" i="152"/>
  <c r="BB72" i="152"/>
  <c r="BA72" i="152"/>
  <c r="AZ72" i="152"/>
  <c r="AY72" i="152"/>
  <c r="AX72" i="152"/>
  <c r="A72" i="152"/>
  <c r="BL71" i="152"/>
  <c r="BK71" i="152"/>
  <c r="BJ71" i="152"/>
  <c r="BI71" i="152"/>
  <c r="BH71" i="152"/>
  <c r="BG71" i="152"/>
  <c r="BF71" i="152"/>
  <c r="BE71" i="152"/>
  <c r="BD71" i="152"/>
  <c r="BC71" i="152"/>
  <c r="BB71" i="152"/>
  <c r="BA71" i="152"/>
  <c r="AZ71" i="152"/>
  <c r="AY71" i="152"/>
  <c r="AX71" i="152"/>
  <c r="A71" i="152"/>
  <c r="BL70" i="152"/>
  <c r="BK70" i="152"/>
  <c r="BJ70" i="152"/>
  <c r="BI70" i="152"/>
  <c r="BH70" i="152"/>
  <c r="BG70" i="152"/>
  <c r="BF70" i="152"/>
  <c r="BE70" i="152"/>
  <c r="BD70" i="152"/>
  <c r="BC70" i="152"/>
  <c r="BB70" i="152"/>
  <c r="BA70" i="152"/>
  <c r="AZ70" i="152"/>
  <c r="AY70" i="152"/>
  <c r="AX70" i="152"/>
  <c r="A70" i="152"/>
  <c r="BL69" i="152"/>
  <c r="BK69" i="152"/>
  <c r="BJ69" i="152"/>
  <c r="BI69" i="152"/>
  <c r="BH69" i="152"/>
  <c r="BG69" i="152"/>
  <c r="BF69" i="152"/>
  <c r="BE69" i="152"/>
  <c r="BD69" i="152"/>
  <c r="BC69" i="152"/>
  <c r="BB69" i="152"/>
  <c r="BA69" i="152"/>
  <c r="AZ69" i="152"/>
  <c r="AY69" i="152"/>
  <c r="AX69" i="152"/>
  <c r="A69" i="152"/>
  <c r="BL68" i="152"/>
  <c r="BK68" i="152"/>
  <c r="BJ68" i="152"/>
  <c r="BI68" i="152"/>
  <c r="BH68" i="152"/>
  <c r="BG68" i="152"/>
  <c r="BF68" i="152"/>
  <c r="BE68" i="152"/>
  <c r="BD68" i="152"/>
  <c r="BC68" i="152"/>
  <c r="BB68" i="152"/>
  <c r="BA68" i="152"/>
  <c r="AZ68" i="152"/>
  <c r="AY68" i="152"/>
  <c r="AX68" i="152"/>
  <c r="A68" i="152"/>
  <c r="BL67" i="152"/>
  <c r="BK67" i="152"/>
  <c r="BJ67" i="152"/>
  <c r="BI67" i="152"/>
  <c r="BH67" i="152"/>
  <c r="BG67" i="152"/>
  <c r="BF67" i="152"/>
  <c r="BE67" i="152"/>
  <c r="BD67" i="152"/>
  <c r="BC67" i="152"/>
  <c r="BB67" i="152"/>
  <c r="BA67" i="152"/>
  <c r="AZ67" i="152"/>
  <c r="AY67" i="152"/>
  <c r="AX67" i="152"/>
  <c r="A67" i="152"/>
  <c r="BL66" i="152"/>
  <c r="BK66" i="152"/>
  <c r="BJ66" i="152"/>
  <c r="BI66" i="152"/>
  <c r="BH66" i="152"/>
  <c r="BG66" i="152"/>
  <c r="BF66" i="152"/>
  <c r="BE66" i="152"/>
  <c r="BD66" i="152"/>
  <c r="BC66" i="152"/>
  <c r="BB66" i="152"/>
  <c r="BA66" i="152"/>
  <c r="AZ66" i="152"/>
  <c r="AY66" i="152"/>
  <c r="AX66" i="152"/>
  <c r="A66" i="152"/>
  <c r="BL65" i="152"/>
  <c r="BK65" i="152"/>
  <c r="BJ65" i="152"/>
  <c r="BI65" i="152"/>
  <c r="BH65" i="152"/>
  <c r="BG65" i="152"/>
  <c r="BF65" i="152"/>
  <c r="BE65" i="152"/>
  <c r="BD65" i="152"/>
  <c r="BC65" i="152"/>
  <c r="BB65" i="152"/>
  <c r="BA65" i="152"/>
  <c r="AZ65" i="152"/>
  <c r="AY65" i="152"/>
  <c r="AX65" i="152"/>
  <c r="A65" i="152"/>
  <c r="BL64" i="152"/>
  <c r="BK64" i="152"/>
  <c r="BJ64" i="152"/>
  <c r="BI64" i="152"/>
  <c r="BH64" i="152"/>
  <c r="BG64" i="152"/>
  <c r="BF64" i="152"/>
  <c r="BE64" i="152"/>
  <c r="BD64" i="152"/>
  <c r="BC64" i="152"/>
  <c r="BB64" i="152"/>
  <c r="BA64" i="152"/>
  <c r="AZ64" i="152"/>
  <c r="AY64" i="152"/>
  <c r="AX64" i="152"/>
  <c r="A64" i="152"/>
  <c r="BL63" i="152"/>
  <c r="BK63" i="152"/>
  <c r="BJ63" i="152"/>
  <c r="BI63" i="152"/>
  <c r="BH63" i="152"/>
  <c r="BG63" i="152"/>
  <c r="BF63" i="152"/>
  <c r="BE63" i="152"/>
  <c r="BD63" i="152"/>
  <c r="BC63" i="152"/>
  <c r="BB63" i="152"/>
  <c r="BA63" i="152"/>
  <c r="AZ63" i="152"/>
  <c r="AY63" i="152"/>
  <c r="AX63" i="152"/>
  <c r="A63" i="152"/>
  <c r="BL62" i="152"/>
  <c r="BK62" i="152"/>
  <c r="BJ62" i="152"/>
  <c r="BI62" i="152"/>
  <c r="BH62" i="152"/>
  <c r="BG62" i="152"/>
  <c r="BF62" i="152"/>
  <c r="BE62" i="152"/>
  <c r="BD62" i="152"/>
  <c r="BC62" i="152"/>
  <c r="BB62" i="152"/>
  <c r="BA62" i="152"/>
  <c r="AZ62" i="152"/>
  <c r="AY62" i="152"/>
  <c r="AX62" i="152"/>
  <c r="A62" i="152"/>
  <c r="BL61" i="152"/>
  <c r="BK61" i="152"/>
  <c r="BJ61" i="152"/>
  <c r="BI61" i="152"/>
  <c r="BH61" i="152"/>
  <c r="BG61" i="152"/>
  <c r="BF61" i="152"/>
  <c r="BE61" i="152"/>
  <c r="BD61" i="152"/>
  <c r="BC61" i="152"/>
  <c r="BB61" i="152"/>
  <c r="BA61" i="152"/>
  <c r="AZ61" i="152"/>
  <c r="AY61" i="152"/>
  <c r="AX61" i="152"/>
  <c r="A61" i="152"/>
  <c r="BL60" i="152"/>
  <c r="BK60" i="152"/>
  <c r="BJ60" i="152"/>
  <c r="BI60" i="152"/>
  <c r="BH60" i="152"/>
  <c r="BG60" i="152"/>
  <c r="BF60" i="152"/>
  <c r="BE60" i="152"/>
  <c r="BD60" i="152"/>
  <c r="BC60" i="152"/>
  <c r="BB60" i="152"/>
  <c r="BA60" i="152"/>
  <c r="AZ60" i="152"/>
  <c r="AY60" i="152"/>
  <c r="AX60" i="152"/>
  <c r="A60" i="152"/>
  <c r="BL59" i="152"/>
  <c r="BK59" i="152"/>
  <c r="BJ59" i="152"/>
  <c r="BI59" i="152"/>
  <c r="BH59" i="152"/>
  <c r="BG59" i="152"/>
  <c r="BF59" i="152"/>
  <c r="BE59" i="152"/>
  <c r="BD59" i="152"/>
  <c r="BC59" i="152"/>
  <c r="BB59" i="152"/>
  <c r="BA59" i="152"/>
  <c r="AZ59" i="152"/>
  <c r="AY59" i="152"/>
  <c r="AX59" i="152"/>
  <c r="A59" i="152"/>
  <c r="BL58" i="152"/>
  <c r="BK58" i="152"/>
  <c r="BJ58" i="152"/>
  <c r="BI58" i="152"/>
  <c r="BH58" i="152"/>
  <c r="BG58" i="152"/>
  <c r="BF58" i="152"/>
  <c r="BE58" i="152"/>
  <c r="BD58" i="152"/>
  <c r="BC58" i="152"/>
  <c r="BB58" i="152"/>
  <c r="BA58" i="152"/>
  <c r="AZ58" i="152"/>
  <c r="AY58" i="152"/>
  <c r="AX58" i="152"/>
  <c r="A58" i="152"/>
  <c r="BL57" i="152"/>
  <c r="BK57" i="152"/>
  <c r="BJ57" i="152"/>
  <c r="BI57" i="152"/>
  <c r="BH57" i="152"/>
  <c r="BG57" i="152"/>
  <c r="BF57" i="152"/>
  <c r="BE57" i="152"/>
  <c r="BD57" i="152"/>
  <c r="BC57" i="152"/>
  <c r="BB57" i="152"/>
  <c r="BA57" i="152"/>
  <c r="AZ57" i="152"/>
  <c r="AY57" i="152"/>
  <c r="AX57" i="152"/>
  <c r="A57" i="152"/>
  <c r="BL56" i="152"/>
  <c r="BK56" i="152"/>
  <c r="BJ56" i="152"/>
  <c r="BI56" i="152"/>
  <c r="BH56" i="152"/>
  <c r="BG56" i="152"/>
  <c r="BF56" i="152"/>
  <c r="BE56" i="152"/>
  <c r="BD56" i="152"/>
  <c r="BC56" i="152"/>
  <c r="BB56" i="152"/>
  <c r="BA56" i="152"/>
  <c r="AZ56" i="152"/>
  <c r="AY56" i="152"/>
  <c r="AX56" i="152"/>
  <c r="A56" i="152"/>
  <c r="BL55" i="152"/>
  <c r="BK55" i="152"/>
  <c r="BJ55" i="152"/>
  <c r="BI55" i="152"/>
  <c r="BH55" i="152"/>
  <c r="BG55" i="152"/>
  <c r="BF55" i="152"/>
  <c r="BE55" i="152"/>
  <c r="BD55" i="152"/>
  <c r="BC55" i="152"/>
  <c r="BB55" i="152"/>
  <c r="BA55" i="152"/>
  <c r="AZ55" i="152"/>
  <c r="AY55" i="152"/>
  <c r="AX55" i="152"/>
  <c r="A55" i="152"/>
  <c r="BL54" i="152"/>
  <c r="BK54" i="152"/>
  <c r="BJ54" i="152"/>
  <c r="BI54" i="152"/>
  <c r="BH54" i="152"/>
  <c r="BG54" i="152"/>
  <c r="BF54" i="152"/>
  <c r="BE54" i="152"/>
  <c r="BD54" i="152"/>
  <c r="BC54" i="152"/>
  <c r="BB54" i="152"/>
  <c r="BA54" i="152"/>
  <c r="AZ54" i="152"/>
  <c r="AY54" i="152"/>
  <c r="AX54" i="152"/>
  <c r="A54" i="152"/>
  <c r="BL53" i="152"/>
  <c r="BK53" i="152"/>
  <c r="BJ53" i="152"/>
  <c r="BI53" i="152"/>
  <c r="BH53" i="152"/>
  <c r="BG53" i="152"/>
  <c r="BF53" i="152"/>
  <c r="BE53" i="152"/>
  <c r="BD53" i="152"/>
  <c r="BC53" i="152"/>
  <c r="BB53" i="152"/>
  <c r="BA53" i="152"/>
  <c r="AZ53" i="152"/>
  <c r="AY53" i="152"/>
  <c r="AX53" i="152"/>
  <c r="A53" i="152"/>
  <c r="BL52" i="152"/>
  <c r="BK52" i="152"/>
  <c r="BJ52" i="152"/>
  <c r="BI52" i="152"/>
  <c r="BH52" i="152"/>
  <c r="BG52" i="152"/>
  <c r="BF52" i="152"/>
  <c r="BE52" i="152"/>
  <c r="BD52" i="152"/>
  <c r="BC52" i="152"/>
  <c r="BB52" i="152"/>
  <c r="BA52" i="152"/>
  <c r="AZ52" i="152"/>
  <c r="AY52" i="152"/>
  <c r="AX52" i="152"/>
  <c r="A52" i="152"/>
  <c r="BL51" i="152"/>
  <c r="BK51" i="152"/>
  <c r="BJ51" i="152"/>
  <c r="BI51" i="152"/>
  <c r="BH51" i="152"/>
  <c r="BG51" i="152"/>
  <c r="BF51" i="152"/>
  <c r="BE51" i="152"/>
  <c r="BD51" i="152"/>
  <c r="BC51" i="152"/>
  <c r="BB51" i="152"/>
  <c r="BA51" i="152"/>
  <c r="AZ51" i="152"/>
  <c r="AY51" i="152"/>
  <c r="AX51" i="152"/>
  <c r="A51" i="152"/>
  <c r="BL50" i="152"/>
  <c r="BK50" i="152"/>
  <c r="BJ50" i="152"/>
  <c r="BI50" i="152"/>
  <c r="BH50" i="152"/>
  <c r="BG50" i="152"/>
  <c r="BF50" i="152"/>
  <c r="BE50" i="152"/>
  <c r="BD50" i="152"/>
  <c r="BC50" i="152"/>
  <c r="BB50" i="152"/>
  <c r="BA50" i="152"/>
  <c r="AZ50" i="152"/>
  <c r="AY50" i="152"/>
  <c r="AX50" i="152"/>
  <c r="A50" i="152"/>
  <c r="BL49" i="152"/>
  <c r="BK49" i="152"/>
  <c r="BJ49" i="152"/>
  <c r="BI49" i="152"/>
  <c r="BH49" i="152"/>
  <c r="BG49" i="152"/>
  <c r="BF49" i="152"/>
  <c r="BE49" i="152"/>
  <c r="BD49" i="152"/>
  <c r="BC49" i="152"/>
  <c r="BB49" i="152"/>
  <c r="BA49" i="152"/>
  <c r="AZ49" i="152"/>
  <c r="AY49" i="152"/>
  <c r="AX49" i="152"/>
  <c r="A49" i="152"/>
  <c r="BL48" i="152"/>
  <c r="BK48" i="152"/>
  <c r="BJ48" i="152"/>
  <c r="BI48" i="152"/>
  <c r="BH48" i="152"/>
  <c r="BG48" i="152"/>
  <c r="BF48" i="152"/>
  <c r="BE48" i="152"/>
  <c r="BD48" i="152"/>
  <c r="BC48" i="152"/>
  <c r="BB48" i="152"/>
  <c r="BA48" i="152"/>
  <c r="AZ48" i="152"/>
  <c r="AY48" i="152"/>
  <c r="AX48" i="152"/>
  <c r="A48" i="152"/>
  <c r="BL47" i="152"/>
  <c r="BK47" i="152"/>
  <c r="BJ47" i="152"/>
  <c r="BI47" i="152"/>
  <c r="BH47" i="152"/>
  <c r="BG47" i="152"/>
  <c r="BF47" i="152"/>
  <c r="BE47" i="152"/>
  <c r="BD47" i="152"/>
  <c r="BC47" i="152"/>
  <c r="BB47" i="152"/>
  <c r="BA47" i="152"/>
  <c r="AZ47" i="152"/>
  <c r="AY47" i="152"/>
  <c r="AX47" i="152"/>
  <c r="A47" i="152"/>
  <c r="BL46" i="152"/>
  <c r="BK46" i="152"/>
  <c r="BJ46" i="152"/>
  <c r="BI46" i="152"/>
  <c r="BH46" i="152"/>
  <c r="BG46" i="152"/>
  <c r="BF46" i="152"/>
  <c r="BE46" i="152"/>
  <c r="BD46" i="152"/>
  <c r="BC46" i="152"/>
  <c r="BB46" i="152"/>
  <c r="BA46" i="152"/>
  <c r="AZ46" i="152"/>
  <c r="AY46" i="152"/>
  <c r="AX46" i="152"/>
  <c r="A46" i="152"/>
  <c r="BL45" i="152"/>
  <c r="BK45" i="152"/>
  <c r="BJ45" i="152"/>
  <c r="BI45" i="152"/>
  <c r="BH45" i="152"/>
  <c r="BG45" i="152"/>
  <c r="BF45" i="152"/>
  <c r="BE45" i="152"/>
  <c r="BD45" i="152"/>
  <c r="BC45" i="152"/>
  <c r="BB45" i="152"/>
  <c r="BA45" i="152"/>
  <c r="AZ45" i="152"/>
  <c r="AY45" i="152"/>
  <c r="AX45" i="152"/>
  <c r="A45" i="152"/>
  <c r="BL44" i="152"/>
  <c r="BK44" i="152"/>
  <c r="BJ44" i="152"/>
  <c r="BI44" i="152"/>
  <c r="BH44" i="152"/>
  <c r="BG44" i="152"/>
  <c r="BF44" i="152"/>
  <c r="BE44" i="152"/>
  <c r="BD44" i="152"/>
  <c r="BC44" i="152"/>
  <c r="BB44" i="152"/>
  <c r="BA44" i="152"/>
  <c r="AZ44" i="152"/>
  <c r="AY44" i="152"/>
  <c r="AX44" i="152"/>
  <c r="A44" i="152"/>
  <c r="BL43" i="152"/>
  <c r="BK43" i="152"/>
  <c r="BJ43" i="152"/>
  <c r="BI43" i="152"/>
  <c r="BH43" i="152"/>
  <c r="BG43" i="152"/>
  <c r="BF43" i="152"/>
  <c r="BE43" i="152"/>
  <c r="BD43" i="152"/>
  <c r="BC43" i="152"/>
  <c r="BB43" i="152"/>
  <c r="BA43" i="152"/>
  <c r="AZ43" i="152"/>
  <c r="AY43" i="152"/>
  <c r="AX43" i="152"/>
  <c r="A43" i="152"/>
  <c r="BL42" i="152"/>
  <c r="BK42" i="152"/>
  <c r="BJ42" i="152"/>
  <c r="BI42" i="152"/>
  <c r="BH42" i="152"/>
  <c r="BG42" i="152"/>
  <c r="BF42" i="152"/>
  <c r="BE42" i="152"/>
  <c r="BD42" i="152"/>
  <c r="BC42" i="152"/>
  <c r="BB42" i="152"/>
  <c r="BA42" i="152"/>
  <c r="AZ42" i="152"/>
  <c r="AY42" i="152"/>
  <c r="AX42" i="152"/>
  <c r="A42" i="152"/>
  <c r="BL41" i="152"/>
  <c r="BK41" i="152"/>
  <c r="BJ41" i="152"/>
  <c r="BI41" i="152"/>
  <c r="BH41" i="152"/>
  <c r="BG41" i="152"/>
  <c r="BF41" i="152"/>
  <c r="BE41" i="152"/>
  <c r="BD41" i="152"/>
  <c r="BC41" i="152"/>
  <c r="BB41" i="152"/>
  <c r="BA41" i="152"/>
  <c r="AZ41" i="152"/>
  <c r="AY41" i="152"/>
  <c r="AX41" i="152"/>
  <c r="A41" i="152"/>
  <c r="BL40" i="152"/>
  <c r="BK40" i="152"/>
  <c r="BJ40" i="152"/>
  <c r="BI40" i="152"/>
  <c r="BH40" i="152"/>
  <c r="BG40" i="152"/>
  <c r="BF40" i="152"/>
  <c r="BE40" i="152"/>
  <c r="BD40" i="152"/>
  <c r="BC40" i="152"/>
  <c r="BB40" i="152"/>
  <c r="BA40" i="152"/>
  <c r="AZ40" i="152"/>
  <c r="AY40" i="152"/>
  <c r="AX40" i="152"/>
  <c r="A40" i="152"/>
  <c r="BL39" i="152"/>
  <c r="BK39" i="152"/>
  <c r="BJ39" i="152"/>
  <c r="BI39" i="152"/>
  <c r="BH39" i="152"/>
  <c r="BG39" i="152"/>
  <c r="BF39" i="152"/>
  <c r="BE39" i="152"/>
  <c r="BD39" i="152"/>
  <c r="BC39" i="152"/>
  <c r="BB39" i="152"/>
  <c r="BA39" i="152"/>
  <c r="AZ39" i="152"/>
  <c r="AY39" i="152"/>
  <c r="AX39" i="152"/>
  <c r="A39" i="152"/>
  <c r="BL38" i="152"/>
  <c r="BK38" i="152"/>
  <c r="BJ38" i="152"/>
  <c r="BI38" i="152"/>
  <c r="BH38" i="152"/>
  <c r="BG38" i="152"/>
  <c r="BF38" i="152"/>
  <c r="BE38" i="152"/>
  <c r="BD38" i="152"/>
  <c r="BC38" i="152"/>
  <c r="BB38" i="152"/>
  <c r="BA38" i="152"/>
  <c r="AZ38" i="152"/>
  <c r="AY38" i="152"/>
  <c r="AX38" i="152"/>
  <c r="A38" i="152"/>
  <c r="BL37" i="152"/>
  <c r="BK37" i="152"/>
  <c r="BJ37" i="152"/>
  <c r="BI37" i="152"/>
  <c r="BH37" i="152"/>
  <c r="BG37" i="152"/>
  <c r="BF37" i="152"/>
  <c r="BE37" i="152"/>
  <c r="BD37" i="152"/>
  <c r="BC37" i="152"/>
  <c r="BB37" i="152"/>
  <c r="BA37" i="152"/>
  <c r="AZ37" i="152"/>
  <c r="AY37" i="152"/>
  <c r="AX37" i="152"/>
  <c r="A37" i="152"/>
  <c r="BL36" i="152"/>
  <c r="BK36" i="152"/>
  <c r="BJ36" i="152"/>
  <c r="BI36" i="152"/>
  <c r="BH36" i="152"/>
  <c r="BG36" i="152"/>
  <c r="BF36" i="152"/>
  <c r="BE36" i="152"/>
  <c r="BD36" i="152"/>
  <c r="BC36" i="152"/>
  <c r="BB36" i="152"/>
  <c r="BA36" i="152"/>
  <c r="AZ36" i="152"/>
  <c r="AY36" i="152"/>
  <c r="AX36" i="152"/>
  <c r="A36" i="152"/>
  <c r="BL35" i="152"/>
  <c r="BK35" i="152"/>
  <c r="BJ35" i="152"/>
  <c r="BI35" i="152"/>
  <c r="BH35" i="152"/>
  <c r="BG35" i="152"/>
  <c r="BF35" i="152"/>
  <c r="BE35" i="152"/>
  <c r="BD35" i="152"/>
  <c r="BC35" i="152"/>
  <c r="BB35" i="152"/>
  <c r="BA35" i="152"/>
  <c r="AZ35" i="152"/>
  <c r="AY35" i="152"/>
  <c r="AX35" i="152"/>
  <c r="A35" i="152"/>
  <c r="BL34" i="152"/>
  <c r="BK34" i="152"/>
  <c r="BJ34" i="152"/>
  <c r="BI34" i="152"/>
  <c r="BH34" i="152"/>
  <c r="BG34" i="152"/>
  <c r="BF34" i="152"/>
  <c r="BE34" i="152"/>
  <c r="BD34" i="152"/>
  <c r="BC34" i="152"/>
  <c r="BB34" i="152"/>
  <c r="BA34" i="152"/>
  <c r="AZ34" i="152"/>
  <c r="AY34" i="152"/>
  <c r="AX34" i="152"/>
  <c r="A34" i="152"/>
  <c r="BL33" i="152"/>
  <c r="BK33" i="152"/>
  <c r="BJ33" i="152"/>
  <c r="BI33" i="152"/>
  <c r="BH33" i="152"/>
  <c r="BG33" i="152"/>
  <c r="BF33" i="152"/>
  <c r="BE33" i="152"/>
  <c r="BD33" i="152"/>
  <c r="BC33" i="152"/>
  <c r="BB33" i="152"/>
  <c r="BA33" i="152"/>
  <c r="AZ33" i="152"/>
  <c r="AY33" i="152"/>
  <c r="AX33" i="152"/>
  <c r="A33" i="152"/>
  <c r="BL32" i="152"/>
  <c r="BK32" i="152"/>
  <c r="BJ32" i="152"/>
  <c r="BI32" i="152"/>
  <c r="BH32" i="152"/>
  <c r="BG32" i="152"/>
  <c r="BF32" i="152"/>
  <c r="BE32" i="152"/>
  <c r="BD32" i="152"/>
  <c r="BC32" i="152"/>
  <c r="BB32" i="152"/>
  <c r="BA32" i="152"/>
  <c r="AZ32" i="152"/>
  <c r="AY32" i="152"/>
  <c r="AX32" i="152"/>
  <c r="A32" i="152"/>
  <c r="BL31" i="152"/>
  <c r="BK31" i="152"/>
  <c r="BJ31" i="152"/>
  <c r="BI31" i="152"/>
  <c r="BH31" i="152"/>
  <c r="BG31" i="152"/>
  <c r="BF31" i="152"/>
  <c r="BE31" i="152"/>
  <c r="BD31" i="152"/>
  <c r="BC31" i="152"/>
  <c r="BB31" i="152"/>
  <c r="BA31" i="152"/>
  <c r="AZ31" i="152"/>
  <c r="AY31" i="152"/>
  <c r="AX31" i="152"/>
  <c r="A31" i="152"/>
  <c r="BL30" i="152"/>
  <c r="BK30" i="152"/>
  <c r="BJ30" i="152"/>
  <c r="BI30" i="152"/>
  <c r="BH30" i="152"/>
  <c r="BG30" i="152"/>
  <c r="BF30" i="152"/>
  <c r="BE30" i="152"/>
  <c r="BD30" i="152"/>
  <c r="BC30" i="152"/>
  <c r="BB30" i="152"/>
  <c r="BA30" i="152"/>
  <c r="AZ30" i="152"/>
  <c r="AY30" i="152"/>
  <c r="AX30" i="152"/>
  <c r="A30" i="152"/>
  <c r="BL29" i="152"/>
  <c r="BK29" i="152"/>
  <c r="BJ29" i="152"/>
  <c r="BI29" i="152"/>
  <c r="BH29" i="152"/>
  <c r="BG29" i="152"/>
  <c r="BF29" i="152"/>
  <c r="BE29" i="152"/>
  <c r="BD29" i="152"/>
  <c r="BC29" i="152"/>
  <c r="BB29" i="152"/>
  <c r="BA29" i="152"/>
  <c r="AZ29" i="152"/>
  <c r="AY29" i="152"/>
  <c r="AX29" i="152"/>
  <c r="A29" i="152"/>
  <c r="BL28" i="152"/>
  <c r="BK28" i="152"/>
  <c r="BJ28" i="152"/>
  <c r="BI28" i="152"/>
  <c r="BH28" i="152"/>
  <c r="BG28" i="152"/>
  <c r="BF28" i="152"/>
  <c r="BE28" i="152"/>
  <c r="BD28" i="152"/>
  <c r="BC28" i="152"/>
  <c r="BB28" i="152"/>
  <c r="BA28" i="152"/>
  <c r="AZ28" i="152"/>
  <c r="AY28" i="152"/>
  <c r="AX28" i="152"/>
  <c r="A28" i="152"/>
  <c r="BL27" i="152"/>
  <c r="BK27" i="152"/>
  <c r="BJ27" i="152"/>
  <c r="BI27" i="152"/>
  <c r="BH27" i="152"/>
  <c r="BG27" i="152"/>
  <c r="BF27" i="152"/>
  <c r="BE27" i="152"/>
  <c r="BD27" i="152"/>
  <c r="BC27" i="152"/>
  <c r="BB27" i="152"/>
  <c r="BA27" i="152"/>
  <c r="AZ27" i="152"/>
  <c r="AY27" i="152"/>
  <c r="AX27" i="152"/>
  <c r="A27" i="152"/>
  <c r="BL26" i="152"/>
  <c r="BK26" i="152"/>
  <c r="BJ26" i="152"/>
  <c r="BI26" i="152"/>
  <c r="BH26" i="152"/>
  <c r="BG26" i="152"/>
  <c r="BF26" i="152"/>
  <c r="BE26" i="152"/>
  <c r="BD26" i="152"/>
  <c r="BC26" i="152"/>
  <c r="BB26" i="152"/>
  <c r="BA26" i="152"/>
  <c r="AZ26" i="152"/>
  <c r="AY26" i="152"/>
  <c r="AX26" i="152"/>
  <c r="A26" i="152"/>
  <c r="BL25" i="152"/>
  <c r="BK25" i="152"/>
  <c r="BJ25" i="152"/>
  <c r="BI25" i="152"/>
  <c r="BH25" i="152"/>
  <c r="BG25" i="152"/>
  <c r="BF25" i="152"/>
  <c r="BE25" i="152"/>
  <c r="BD25" i="152"/>
  <c r="BC25" i="152"/>
  <c r="BB25" i="152"/>
  <c r="BA25" i="152"/>
  <c r="AZ25" i="152"/>
  <c r="AY25" i="152"/>
  <c r="AX25" i="152"/>
  <c r="A25" i="152"/>
  <c r="BL24" i="152"/>
  <c r="BK24" i="152"/>
  <c r="BJ24" i="152"/>
  <c r="BI24" i="152"/>
  <c r="BH24" i="152"/>
  <c r="BG24" i="152"/>
  <c r="BF24" i="152"/>
  <c r="BE24" i="152"/>
  <c r="BD24" i="152"/>
  <c r="BC24" i="152"/>
  <c r="BB24" i="152"/>
  <c r="BA24" i="152"/>
  <c r="AZ24" i="152"/>
  <c r="AY24" i="152"/>
  <c r="AX24" i="152"/>
  <c r="A24" i="152"/>
  <c r="BL23" i="152"/>
  <c r="BK23" i="152"/>
  <c r="BJ23" i="152"/>
  <c r="BI23" i="152"/>
  <c r="BH23" i="152"/>
  <c r="BG23" i="152"/>
  <c r="BF23" i="152"/>
  <c r="BE23" i="152"/>
  <c r="BD23" i="152"/>
  <c r="BC23" i="152"/>
  <c r="BB23" i="152"/>
  <c r="BA23" i="152"/>
  <c r="AZ23" i="152"/>
  <c r="AY23" i="152"/>
  <c r="AX23" i="152"/>
  <c r="A23" i="152"/>
  <c r="BL22" i="152"/>
  <c r="BK22" i="152"/>
  <c r="BJ22" i="152"/>
  <c r="BI22" i="152"/>
  <c r="BH22" i="152"/>
  <c r="BG22" i="152"/>
  <c r="BF22" i="152"/>
  <c r="BE22" i="152"/>
  <c r="BD22" i="152"/>
  <c r="BC22" i="152"/>
  <c r="BB22" i="152"/>
  <c r="BA22" i="152"/>
  <c r="AZ22" i="152"/>
  <c r="AY22" i="152"/>
  <c r="AX22" i="152"/>
  <c r="A22" i="152"/>
  <c r="BL21" i="152"/>
  <c r="BK21" i="152"/>
  <c r="BJ21" i="152"/>
  <c r="BI21" i="152"/>
  <c r="BH21" i="152"/>
  <c r="BG21" i="152"/>
  <c r="BF21" i="152"/>
  <c r="BE21" i="152"/>
  <c r="BD21" i="152"/>
  <c r="BC21" i="152"/>
  <c r="BB21" i="152"/>
  <c r="BA21" i="152"/>
  <c r="AZ21" i="152"/>
  <c r="AY21" i="152"/>
  <c r="AX21" i="152"/>
  <c r="A21" i="152"/>
  <c r="BL20" i="152"/>
  <c r="BK20" i="152"/>
  <c r="BJ20" i="152"/>
  <c r="BI20" i="152"/>
  <c r="BH20" i="152"/>
  <c r="BG20" i="152"/>
  <c r="BF20" i="152"/>
  <c r="BE20" i="152"/>
  <c r="BD20" i="152"/>
  <c r="BC20" i="152"/>
  <c r="BB20" i="152"/>
  <c r="BA20" i="152"/>
  <c r="AZ20" i="152"/>
  <c r="AY20" i="152"/>
  <c r="AX20" i="152"/>
  <c r="A20" i="152"/>
  <c r="BL19" i="152"/>
  <c r="BK19" i="152"/>
  <c r="BJ19" i="152"/>
  <c r="BI19" i="152"/>
  <c r="BH19" i="152"/>
  <c r="BG19" i="152"/>
  <c r="BF19" i="152"/>
  <c r="BE19" i="152"/>
  <c r="BD19" i="152"/>
  <c r="BC19" i="152"/>
  <c r="BB19" i="152"/>
  <c r="BA19" i="152"/>
  <c r="AZ19" i="152"/>
  <c r="AY19" i="152"/>
  <c r="AX19" i="152"/>
  <c r="A19" i="152"/>
  <c r="BL18" i="152"/>
  <c r="BK18" i="152"/>
  <c r="BJ18" i="152"/>
  <c r="BI18" i="152"/>
  <c r="BH18" i="152"/>
  <c r="BG18" i="152"/>
  <c r="BF18" i="152"/>
  <c r="BE18" i="152"/>
  <c r="BD18" i="152"/>
  <c r="BC18" i="152"/>
  <c r="BB18" i="152"/>
  <c r="BA18" i="152"/>
  <c r="AZ18" i="152"/>
  <c r="AY18" i="152"/>
  <c r="AX18" i="152"/>
  <c r="A18" i="152"/>
  <c r="BL17" i="152"/>
  <c r="BK17" i="152"/>
  <c r="BJ17" i="152"/>
  <c r="BI17" i="152"/>
  <c r="BH17" i="152"/>
  <c r="BG17" i="152"/>
  <c r="BF17" i="152"/>
  <c r="BE17" i="152"/>
  <c r="BD17" i="152"/>
  <c r="BC17" i="152"/>
  <c r="BB17" i="152"/>
  <c r="BA17" i="152"/>
  <c r="AZ17" i="152"/>
  <c r="AY17" i="152"/>
  <c r="AX17" i="152"/>
  <c r="A17" i="152"/>
  <c r="BL16" i="152"/>
  <c r="BK16" i="152"/>
  <c r="BJ16" i="152"/>
  <c r="BI16" i="152"/>
  <c r="BH16" i="152"/>
  <c r="BG16" i="152"/>
  <c r="BF16" i="152"/>
  <c r="BE16" i="152"/>
  <c r="BD16" i="152"/>
  <c r="BC16" i="152"/>
  <c r="BB16" i="152"/>
  <c r="BA16" i="152"/>
  <c r="AZ16" i="152"/>
  <c r="AY16" i="152"/>
  <c r="AX16" i="152"/>
  <c r="A16" i="152"/>
  <c r="BL15" i="152"/>
  <c r="BK15" i="152"/>
  <c r="BJ15" i="152"/>
  <c r="BI15" i="152"/>
  <c r="BH15" i="152"/>
  <c r="BG15" i="152"/>
  <c r="BF15" i="152"/>
  <c r="BE15" i="152"/>
  <c r="BD15" i="152"/>
  <c r="BC15" i="152"/>
  <c r="BB15" i="152"/>
  <c r="BA15" i="152"/>
  <c r="AZ15" i="152"/>
  <c r="AY15" i="152"/>
  <c r="AX15" i="152"/>
  <c r="A15" i="152"/>
  <c r="BL14" i="152"/>
  <c r="BK14" i="152"/>
  <c r="BJ14" i="152"/>
  <c r="BI14" i="152"/>
  <c r="BH14" i="152"/>
  <c r="BG14" i="152"/>
  <c r="BF14" i="152"/>
  <c r="BE14" i="152"/>
  <c r="BD14" i="152"/>
  <c r="BC14" i="152"/>
  <c r="BB14" i="152"/>
  <c r="BA14" i="152"/>
  <c r="AZ14" i="152"/>
  <c r="AY14" i="152"/>
  <c r="AX14" i="152"/>
  <c r="A14" i="152"/>
  <c r="BL13" i="152"/>
  <c r="BK13" i="152"/>
  <c r="BJ13" i="152"/>
  <c r="BI13" i="152"/>
  <c r="BH13" i="152"/>
  <c r="BG13" i="152"/>
  <c r="BF13" i="152"/>
  <c r="BE13" i="152"/>
  <c r="BD13" i="152"/>
  <c r="BC13" i="152"/>
  <c r="BB13" i="152"/>
  <c r="BA13" i="152"/>
  <c r="AZ13" i="152"/>
  <c r="AY13" i="152"/>
  <c r="AX13" i="152"/>
  <c r="A13" i="152"/>
  <c r="BL12" i="152"/>
  <c r="BK12" i="152"/>
  <c r="BJ12" i="152"/>
  <c r="BI12" i="152"/>
  <c r="BH12" i="152"/>
  <c r="BG12" i="152"/>
  <c r="BF12" i="152"/>
  <c r="BE12" i="152"/>
  <c r="BD12" i="152"/>
  <c r="BC12" i="152"/>
  <c r="BB12" i="152"/>
  <c r="BA12" i="152"/>
  <c r="AZ12" i="152"/>
  <c r="AY12" i="152"/>
  <c r="AX12" i="152"/>
  <c r="A12" i="152"/>
  <c r="BL11" i="152"/>
  <c r="BK11" i="152"/>
  <c r="BJ11" i="152"/>
  <c r="BI11" i="152"/>
  <c r="BH11" i="152"/>
  <c r="BG11" i="152"/>
  <c r="BF11" i="152"/>
  <c r="BE11" i="152"/>
  <c r="BD11" i="152"/>
  <c r="BC11" i="152"/>
  <c r="BB11" i="152"/>
  <c r="BA11" i="152"/>
  <c r="AZ11" i="152"/>
  <c r="AY11" i="152"/>
  <c r="AX11" i="152"/>
  <c r="A11" i="152"/>
  <c r="BL10" i="152"/>
  <c r="BK10" i="152"/>
  <c r="BJ10" i="152"/>
  <c r="BI10" i="152"/>
  <c r="BH10" i="152"/>
  <c r="BG10" i="152"/>
  <c r="BF10" i="152"/>
  <c r="BE10" i="152"/>
  <c r="BD10" i="152"/>
  <c r="BC10" i="152"/>
  <c r="BB10" i="152"/>
  <c r="BA10" i="152"/>
  <c r="AZ10" i="152"/>
  <c r="AY10" i="152"/>
  <c r="AX10" i="152"/>
  <c r="A10" i="152"/>
  <c r="BL9" i="152"/>
  <c r="BK9" i="152"/>
  <c r="BJ9" i="152"/>
  <c r="BI9" i="152"/>
  <c r="BH9" i="152"/>
  <c r="BG9" i="152"/>
  <c r="BF9" i="152"/>
  <c r="BE9" i="152"/>
  <c r="BD9" i="152"/>
  <c r="BC9" i="152"/>
  <c r="BB9" i="152"/>
  <c r="BA9" i="152"/>
  <c r="AZ9" i="152"/>
  <c r="AY9" i="152"/>
  <c r="AX9" i="152"/>
  <c r="A9" i="152"/>
  <c r="BL8" i="152"/>
  <c r="BK8" i="152"/>
  <c r="BJ8" i="152"/>
  <c r="BI8" i="152"/>
  <c r="BH8" i="152"/>
  <c r="BG8" i="152"/>
  <c r="BF8" i="152"/>
  <c r="BE8" i="152"/>
  <c r="BD8" i="152"/>
  <c r="BC8" i="152"/>
  <c r="BB8" i="152"/>
  <c r="BA8" i="152"/>
  <c r="AZ8" i="152"/>
  <c r="AY8" i="152"/>
  <c r="AX8" i="152"/>
  <c r="A8" i="152"/>
  <c r="BL7" i="152"/>
  <c r="BK7" i="152"/>
  <c r="BJ7" i="152"/>
  <c r="BI7" i="152"/>
  <c r="BH7" i="152"/>
  <c r="BG7" i="152"/>
  <c r="BF7" i="152"/>
  <c r="BE7" i="152"/>
  <c r="BD7" i="152"/>
  <c r="BC7" i="152"/>
  <c r="BB7" i="152"/>
  <c r="BA7" i="152"/>
  <c r="AZ7" i="152"/>
  <c r="AY7" i="152"/>
  <c r="AX7" i="152"/>
  <c r="A7" i="152"/>
  <c r="BL6" i="152"/>
  <c r="BK6" i="152"/>
  <c r="BJ6" i="152"/>
  <c r="BI6" i="152"/>
  <c r="BH6" i="152"/>
  <c r="BG6" i="152"/>
  <c r="BF6" i="152"/>
  <c r="BE6" i="152"/>
  <c r="BD6" i="152"/>
  <c r="BC6" i="152"/>
  <c r="BB6" i="152"/>
  <c r="BA6" i="152"/>
  <c r="AZ6" i="152"/>
  <c r="AY6" i="152"/>
  <c r="AX6" i="152"/>
  <c r="A6" i="152"/>
  <c r="BL5" i="152"/>
  <c r="BK5" i="152"/>
  <c r="BJ5" i="152"/>
  <c r="BI5" i="152"/>
  <c r="BH5" i="152"/>
  <c r="BG5" i="152"/>
  <c r="BF5" i="152"/>
  <c r="BE5" i="152"/>
  <c r="BD5" i="152"/>
  <c r="BC5" i="152"/>
  <c r="BB5" i="152"/>
  <c r="BA5" i="152"/>
  <c r="AZ5" i="152"/>
  <c r="AY5" i="152"/>
  <c r="AX5" i="152"/>
  <c r="A5" i="152"/>
  <c r="BL4" i="152"/>
  <c r="BK4" i="152"/>
  <c r="BJ4" i="152"/>
  <c r="BI4" i="152"/>
  <c r="BH4" i="152"/>
  <c r="BG4" i="152"/>
  <c r="BF4" i="152"/>
  <c r="BE4" i="152"/>
  <c r="BD4" i="152"/>
  <c r="BC4" i="152"/>
  <c r="BB4" i="152"/>
  <c r="BA4" i="152"/>
  <c r="AZ4" i="152"/>
  <c r="AY4" i="152"/>
  <c r="AX4" i="152"/>
  <c r="A4" i="152"/>
  <c r="BL3" i="152"/>
  <c r="BK3" i="152"/>
  <c r="BJ3" i="152"/>
  <c r="BI3" i="152"/>
  <c r="BH3" i="152"/>
  <c r="BG3" i="152"/>
  <c r="BF3" i="152"/>
  <c r="BE3" i="152"/>
  <c r="BD3" i="152"/>
  <c r="BC3" i="152"/>
  <c r="BB3" i="152"/>
  <c r="BA3" i="152"/>
  <c r="AZ3" i="152"/>
  <c r="AY3" i="152"/>
  <c r="AX3" i="152"/>
  <c r="A3" i="152"/>
  <c r="BL2" i="152"/>
  <c r="BK2" i="152"/>
  <c r="BJ2" i="152"/>
  <c r="BI2" i="152"/>
  <c r="BH2" i="152"/>
  <c r="BG2" i="152"/>
  <c r="BF2" i="152"/>
  <c r="BE2" i="152"/>
  <c r="BD2" i="152"/>
  <c r="BC2" i="152"/>
  <c r="BB2" i="152"/>
  <c r="BA2" i="152"/>
  <c r="AZ2" i="152"/>
  <c r="AY2" i="152"/>
  <c r="AX2" i="152"/>
  <c r="A2" i="152"/>
  <c r="CP47" i="22"/>
  <c r="AV47" i="22"/>
  <c r="AU47" i="22"/>
  <c r="AM47" i="22"/>
  <c r="AA47" i="22"/>
  <c r="V47" i="22"/>
  <c r="T47" i="22"/>
  <c r="S47" i="22"/>
  <c r="P47" i="22"/>
  <c r="O47" i="22"/>
  <c r="M47" i="22"/>
  <c r="K47" i="22"/>
  <c r="J47" i="22"/>
  <c r="I47" i="22"/>
  <c r="G47" i="22"/>
  <c r="F47" i="22"/>
  <c r="E47" i="22"/>
  <c r="CP46" i="22"/>
  <c r="AV46" i="22"/>
  <c r="AU46" i="22"/>
  <c r="AM46" i="22"/>
  <c r="AA46" i="22"/>
  <c r="V46" i="22"/>
  <c r="T46" i="22"/>
  <c r="S46" i="22"/>
  <c r="P46" i="22"/>
  <c r="O46" i="22"/>
  <c r="M46" i="22"/>
  <c r="K46" i="22"/>
  <c r="J46" i="22"/>
  <c r="I46" i="22"/>
  <c r="G46" i="22"/>
  <c r="F46" i="22"/>
  <c r="E46" i="22"/>
  <c r="CK9" i="22"/>
  <c r="CJ9" i="22"/>
  <c r="CK8" i="22"/>
  <c r="AP8" i="22"/>
  <c r="B8" i="22"/>
  <c r="CK7" i="22"/>
  <c r="CJ7" i="22"/>
  <c r="CJ5" i="22"/>
  <c r="AB4" i="22"/>
  <c r="K3" i="22"/>
  <c r="K2" i="22"/>
  <c r="BG42" i="150"/>
  <c r="BG41" i="150"/>
  <c r="BG40" i="150"/>
  <c r="U40" i="150"/>
  <c r="O40" i="150"/>
  <c r="D40" i="150"/>
  <c r="CB36" i="150"/>
  <c r="BY36" i="150"/>
  <c r="BZ36" i="150" s="1"/>
  <c r="BN36" i="150"/>
  <c r="BJ36" i="150"/>
  <c r="BD36" i="150"/>
  <c r="BC36" i="150"/>
  <c r="BB36" i="150"/>
  <c r="BA36" i="150"/>
  <c r="AX36" i="150"/>
  <c r="AW36" i="150"/>
  <c r="AS36" i="150"/>
  <c r="AT36" i="150"/>
  <c r="M36" i="150"/>
  <c r="L36" i="150"/>
  <c r="K36" i="150"/>
  <c r="J36" i="150"/>
  <c r="I36" i="150"/>
  <c r="H36" i="150"/>
  <c r="P36" i="150" s="1"/>
  <c r="AH33" i="111" s="1"/>
  <c r="AI33" i="111" s="1"/>
  <c r="AJ33" i="111" s="1"/>
  <c r="AM33" i="111" s="1"/>
  <c r="D36" i="150"/>
  <c r="C36" i="150"/>
  <c r="B36" i="150"/>
  <c r="CB35" i="150"/>
  <c r="BY35" i="150"/>
  <c r="BN35" i="150"/>
  <c r="BJ35" i="150"/>
  <c r="BD35" i="150"/>
  <c r="BC35" i="150"/>
  <c r="BB35" i="150"/>
  <c r="BA35" i="150"/>
  <c r="AX35" i="150"/>
  <c r="AY35" i="150" s="1"/>
  <c r="AW35" i="150"/>
  <c r="AT35" i="150"/>
  <c r="M35" i="150"/>
  <c r="L35" i="150"/>
  <c r="K35" i="150"/>
  <c r="J35" i="150"/>
  <c r="I35" i="150"/>
  <c r="H35" i="150"/>
  <c r="D35" i="150"/>
  <c r="C35" i="150"/>
  <c r="B35" i="150"/>
  <c r="CB34" i="150"/>
  <c r="BY34" i="150"/>
  <c r="C31" i="111"/>
  <c r="BN34" i="150"/>
  <c r="BJ34" i="150"/>
  <c r="BD34" i="150"/>
  <c r="BC34" i="150"/>
  <c r="BB34" i="150"/>
  <c r="BA34" i="150"/>
  <c r="AX34" i="150"/>
  <c r="AY34" i="150" s="1"/>
  <c r="AW34" i="150"/>
  <c r="AT34" i="150"/>
  <c r="M34" i="150"/>
  <c r="L34" i="150"/>
  <c r="K34" i="150"/>
  <c r="J34" i="150"/>
  <c r="I34" i="150"/>
  <c r="H34" i="150"/>
  <c r="D34" i="150"/>
  <c r="C34" i="150"/>
  <c r="B34" i="150"/>
  <c r="CB33" i="150"/>
  <c r="BY33" i="150"/>
  <c r="BZ33" i="150" s="1"/>
  <c r="C30" i="111"/>
  <c r="BN33" i="150"/>
  <c r="BJ33" i="150"/>
  <c r="BD33" i="150"/>
  <c r="BC33" i="150"/>
  <c r="BB33" i="150"/>
  <c r="BA33" i="150"/>
  <c r="AX33" i="150"/>
  <c r="AW33" i="150"/>
  <c r="AT33" i="150"/>
  <c r="M33" i="150"/>
  <c r="L33" i="150"/>
  <c r="K33" i="150"/>
  <c r="J33" i="150"/>
  <c r="I33" i="150"/>
  <c r="H33" i="150"/>
  <c r="P33" i="150" s="1"/>
  <c r="AH30" i="111" s="1"/>
  <c r="AI30" i="111" s="1"/>
  <c r="AJ30" i="111" s="1"/>
  <c r="AM30" i="111" s="1"/>
  <c r="D33" i="150"/>
  <c r="C33" i="150"/>
  <c r="B33" i="150"/>
  <c r="CB32" i="150"/>
  <c r="BY32" i="150"/>
  <c r="BZ32" i="150" s="1"/>
  <c r="CA32" i="150" s="1"/>
  <c r="CC32" i="150" s="1"/>
  <c r="BN32" i="150"/>
  <c r="BJ32" i="150"/>
  <c r="BD32" i="150"/>
  <c r="BC32" i="150"/>
  <c r="BB32" i="150"/>
  <c r="BA32" i="150"/>
  <c r="AX32" i="150"/>
  <c r="AY32" i="150" s="1"/>
  <c r="AW32" i="150"/>
  <c r="AS32" i="150"/>
  <c r="M32" i="150"/>
  <c r="L32" i="150"/>
  <c r="K32" i="150"/>
  <c r="J32" i="150"/>
  <c r="I32" i="150"/>
  <c r="H32" i="150"/>
  <c r="D32" i="150"/>
  <c r="C32" i="150"/>
  <c r="B32" i="150"/>
  <c r="CB31" i="150"/>
  <c r="BY31" i="150"/>
  <c r="BZ31" i="150" s="1"/>
  <c r="C28" i="111"/>
  <c r="BN31" i="150"/>
  <c r="BJ31" i="150"/>
  <c r="BD31" i="150"/>
  <c r="BC31" i="150"/>
  <c r="BB31" i="150"/>
  <c r="BA31" i="150"/>
  <c r="AX31" i="150"/>
  <c r="AY31" i="150" s="1"/>
  <c r="AW31" i="150"/>
  <c r="AS31" i="150"/>
  <c r="AT31" i="150"/>
  <c r="M31" i="150"/>
  <c r="L31" i="150"/>
  <c r="K31" i="150"/>
  <c r="J31" i="150"/>
  <c r="I31" i="150"/>
  <c r="H31" i="150"/>
  <c r="D31" i="150"/>
  <c r="C31" i="150"/>
  <c r="B31" i="150"/>
  <c r="CB30" i="150"/>
  <c r="BY30" i="150"/>
  <c r="BZ30" i="150" s="1"/>
  <c r="CA30" i="150" s="1"/>
  <c r="CC30" i="150" s="1"/>
  <c r="BN30" i="150"/>
  <c r="BJ30" i="150"/>
  <c r="BD30" i="150"/>
  <c r="BC30" i="150"/>
  <c r="BB30" i="150"/>
  <c r="BA30" i="150"/>
  <c r="AX30" i="150"/>
  <c r="AY30" i="150" s="1"/>
  <c r="AW30" i="150"/>
  <c r="AT30" i="150"/>
  <c r="Y40" i="150"/>
  <c r="M30" i="150"/>
  <c r="L30" i="150"/>
  <c r="K30" i="150"/>
  <c r="J30" i="150"/>
  <c r="I30" i="150"/>
  <c r="H30" i="150"/>
  <c r="P30" i="150" s="1"/>
  <c r="AH27" i="111" s="1"/>
  <c r="AI27" i="111" s="1"/>
  <c r="AJ27" i="111" s="1"/>
  <c r="AM27" i="111" s="1"/>
  <c r="D30" i="150"/>
  <c r="C30" i="150"/>
  <c r="B30" i="150"/>
  <c r="CB29" i="150"/>
  <c r="BY29" i="150"/>
  <c r="BZ29" i="150" s="1"/>
  <c r="CA29" i="150" s="1"/>
  <c r="CC29" i="150" s="1"/>
  <c r="C26" i="111"/>
  <c r="BN29" i="150"/>
  <c r="BJ29" i="150"/>
  <c r="BD29" i="150"/>
  <c r="BC29" i="150"/>
  <c r="BB29" i="150"/>
  <c r="BA29" i="150"/>
  <c r="AX29" i="150"/>
  <c r="AY29" i="150" s="1"/>
  <c r="AW29" i="150"/>
  <c r="AS29" i="150"/>
  <c r="AT29" i="150"/>
  <c r="M29" i="150"/>
  <c r="L29" i="150"/>
  <c r="K29" i="150"/>
  <c r="J29" i="150"/>
  <c r="I29" i="150"/>
  <c r="H29" i="150"/>
  <c r="D29" i="150"/>
  <c r="C29" i="150"/>
  <c r="B29" i="150"/>
  <c r="CB28" i="150"/>
  <c r="BY28" i="150"/>
  <c r="C25" i="111"/>
  <c r="BN28" i="150"/>
  <c r="BJ28" i="150"/>
  <c r="BD28" i="150"/>
  <c r="BC28" i="150"/>
  <c r="BB28" i="150"/>
  <c r="BA28" i="150"/>
  <c r="AX28" i="150"/>
  <c r="AY28" i="150" s="1"/>
  <c r="AW28" i="150"/>
  <c r="AT28" i="150"/>
  <c r="M28" i="150"/>
  <c r="L28" i="150"/>
  <c r="K28" i="150"/>
  <c r="J28" i="150"/>
  <c r="I28" i="150"/>
  <c r="H28" i="150"/>
  <c r="D28" i="150"/>
  <c r="C28" i="150"/>
  <c r="B28" i="150"/>
  <c r="CB27" i="150"/>
  <c r="BY27" i="150"/>
  <c r="BZ27" i="150" s="1"/>
  <c r="C24" i="111"/>
  <c r="BN27" i="150"/>
  <c r="BJ27" i="150"/>
  <c r="BD27" i="150"/>
  <c r="BC27" i="150"/>
  <c r="BB27" i="150"/>
  <c r="BA27" i="150"/>
  <c r="AX27" i="150"/>
  <c r="AW27" i="150"/>
  <c r="AS27" i="150"/>
  <c r="AT27" i="150"/>
  <c r="M27" i="150"/>
  <c r="L27" i="150"/>
  <c r="K27" i="150"/>
  <c r="J27" i="150"/>
  <c r="I27" i="150"/>
  <c r="H27" i="150"/>
  <c r="D27" i="150"/>
  <c r="C27" i="150"/>
  <c r="B27" i="150"/>
  <c r="CB26" i="150"/>
  <c r="BY26" i="150"/>
  <c r="BJ26" i="150"/>
  <c r="AX26" i="150"/>
  <c r="AY26" i="150" s="1"/>
  <c r="AT26" i="150"/>
  <c r="M26" i="150"/>
  <c r="L26" i="150"/>
  <c r="K26" i="150"/>
  <c r="J26" i="150"/>
  <c r="I26" i="150"/>
  <c r="H26" i="150"/>
  <c r="P26" i="150" s="1"/>
  <c r="AH23" i="111" s="1"/>
  <c r="AI23" i="111" s="1"/>
  <c r="AJ23" i="111" s="1"/>
  <c r="AM23" i="111" s="1"/>
  <c r="D26" i="150"/>
  <c r="B26" i="150"/>
  <c r="CB25" i="150"/>
  <c r="BY25" i="150"/>
  <c r="BN25" i="150"/>
  <c r="BJ25" i="150"/>
  <c r="BD25" i="150"/>
  <c r="BC25" i="150"/>
  <c r="BB25" i="150"/>
  <c r="BA25" i="150"/>
  <c r="AX25" i="150"/>
  <c r="AY25" i="150" s="1"/>
  <c r="AW25" i="150"/>
  <c r="AS25" i="150"/>
  <c r="AT25" i="150"/>
  <c r="M25" i="150"/>
  <c r="L25" i="150"/>
  <c r="K25" i="150"/>
  <c r="J25" i="150"/>
  <c r="I25" i="150"/>
  <c r="H25" i="150"/>
  <c r="D25" i="150"/>
  <c r="C25" i="150"/>
  <c r="B25" i="150"/>
  <c r="CB24" i="150"/>
  <c r="BY24" i="150"/>
  <c r="BZ24" i="150" s="1"/>
  <c r="BN24" i="150"/>
  <c r="BJ24" i="150"/>
  <c r="BD24" i="150"/>
  <c r="BC24" i="150"/>
  <c r="BB24" i="150"/>
  <c r="BA24" i="150"/>
  <c r="AX24" i="150"/>
  <c r="AY24" i="150" s="1"/>
  <c r="AW24" i="150"/>
  <c r="AT24" i="150"/>
  <c r="M24" i="150"/>
  <c r="L24" i="150"/>
  <c r="K24" i="150"/>
  <c r="J24" i="150"/>
  <c r="I24" i="150"/>
  <c r="H24" i="150"/>
  <c r="P24" i="150" s="1"/>
  <c r="AH21" i="111" s="1"/>
  <c r="AI21" i="111" s="1"/>
  <c r="AJ21" i="111" s="1"/>
  <c r="AM21" i="111" s="1"/>
  <c r="D24" i="150"/>
  <c r="C24" i="150"/>
  <c r="B24" i="150"/>
  <c r="CB23" i="150"/>
  <c r="BY23" i="150"/>
  <c r="BN23" i="150"/>
  <c r="BJ23" i="150"/>
  <c r="BD23" i="150"/>
  <c r="BC23" i="150"/>
  <c r="BB23" i="150"/>
  <c r="BA23" i="150"/>
  <c r="AX23" i="150"/>
  <c r="AY23" i="150" s="1"/>
  <c r="AW23" i="150"/>
  <c r="AT23" i="150"/>
  <c r="M23" i="150"/>
  <c r="L23" i="150"/>
  <c r="K23" i="150"/>
  <c r="J23" i="150"/>
  <c r="I23" i="150"/>
  <c r="H23" i="150"/>
  <c r="D23" i="150"/>
  <c r="C23" i="150"/>
  <c r="B23" i="150"/>
  <c r="CB22" i="150"/>
  <c r="BY22" i="150"/>
  <c r="BN22" i="150"/>
  <c r="BJ22" i="150"/>
  <c r="BD22" i="150"/>
  <c r="BC22" i="150"/>
  <c r="BB22" i="150"/>
  <c r="BA22" i="150"/>
  <c r="AX22" i="150"/>
  <c r="AY22" i="150" s="1"/>
  <c r="AW22" i="150"/>
  <c r="AT22" i="150"/>
  <c r="M22" i="150"/>
  <c r="L22" i="150"/>
  <c r="K22" i="150"/>
  <c r="J22" i="150"/>
  <c r="I22" i="150"/>
  <c r="H22" i="150"/>
  <c r="AH19" i="111" s="1"/>
  <c r="AI19" i="111" s="1"/>
  <c r="AJ19" i="111" s="1"/>
  <c r="AM19" i="111" s="1"/>
  <c r="D22" i="150"/>
  <c r="C22" i="150"/>
  <c r="B22" i="150"/>
  <c r="CB21" i="150"/>
  <c r="BY21" i="150"/>
  <c r="BZ21" i="150" s="1"/>
  <c r="CA21" i="150" s="1"/>
  <c r="BN21" i="150"/>
  <c r="BJ21" i="150"/>
  <c r="BD21" i="150"/>
  <c r="BC21" i="150"/>
  <c r="BB21" i="150"/>
  <c r="BA21" i="150"/>
  <c r="AX21" i="150"/>
  <c r="AY21" i="150" s="1"/>
  <c r="AW21" i="150"/>
  <c r="AS21" i="150"/>
  <c r="AT21" i="150"/>
  <c r="M21" i="150"/>
  <c r="L21" i="150"/>
  <c r="K21" i="150"/>
  <c r="J21" i="150"/>
  <c r="I21" i="150"/>
  <c r="H21" i="150"/>
  <c r="D21" i="150"/>
  <c r="C21" i="150"/>
  <c r="B21" i="150"/>
  <c r="CB20" i="150"/>
  <c r="BY20" i="150"/>
  <c r="BZ20" i="150" s="1"/>
  <c r="CA20" i="150" s="1"/>
  <c r="BN20" i="150"/>
  <c r="BJ20" i="150"/>
  <c r="BD20" i="150"/>
  <c r="BC20" i="150"/>
  <c r="BB20" i="150"/>
  <c r="BA20" i="150"/>
  <c r="AX20" i="150"/>
  <c r="AY20" i="150" s="1"/>
  <c r="AW20" i="150"/>
  <c r="AT20" i="150"/>
  <c r="M20" i="150"/>
  <c r="L20" i="150"/>
  <c r="K20" i="150"/>
  <c r="J20" i="150"/>
  <c r="I20" i="150"/>
  <c r="H20" i="150"/>
  <c r="D20" i="150"/>
  <c r="C20" i="150"/>
  <c r="B20" i="150"/>
  <c r="CB19" i="150"/>
  <c r="BY19" i="150"/>
  <c r="BZ19" i="150" s="1"/>
  <c r="CA19" i="150" s="1"/>
  <c r="BN19" i="150"/>
  <c r="BJ19" i="150"/>
  <c r="BD19" i="150"/>
  <c r="BC19" i="150"/>
  <c r="BB19" i="150"/>
  <c r="BA19" i="150"/>
  <c r="AX19" i="150"/>
  <c r="AY19" i="150" s="1"/>
  <c r="AW19" i="150"/>
  <c r="AT19" i="150"/>
  <c r="M19" i="150"/>
  <c r="L19" i="150"/>
  <c r="K19" i="150"/>
  <c r="J19" i="150"/>
  <c r="I19" i="150"/>
  <c r="H19" i="150"/>
  <c r="D19" i="150"/>
  <c r="B19" i="150"/>
  <c r="CB18" i="150"/>
  <c r="BY18" i="150"/>
  <c r="BN18" i="150"/>
  <c r="BJ18" i="150"/>
  <c r="BD18" i="150"/>
  <c r="BC18" i="150"/>
  <c r="BB18" i="150"/>
  <c r="BA18" i="150"/>
  <c r="AX18" i="150"/>
  <c r="AY18" i="150" s="1"/>
  <c r="AW18" i="150"/>
  <c r="AT18" i="150"/>
  <c r="AS18" i="150"/>
  <c r="M18" i="150"/>
  <c r="L18" i="150"/>
  <c r="K18" i="150"/>
  <c r="J18" i="150"/>
  <c r="I18" i="150"/>
  <c r="H18" i="150"/>
  <c r="D18" i="150"/>
  <c r="C18" i="150"/>
  <c r="B18" i="150"/>
  <c r="CB17" i="150"/>
  <c r="BY17" i="150"/>
  <c r="BN17" i="150"/>
  <c r="BJ17" i="150"/>
  <c r="BD17" i="150"/>
  <c r="BC17" i="150"/>
  <c r="BB17" i="150"/>
  <c r="BA17" i="150"/>
  <c r="AX17" i="150"/>
  <c r="AY17" i="150" s="1"/>
  <c r="AW17" i="150"/>
  <c r="AT17" i="150"/>
  <c r="M17" i="150"/>
  <c r="L17" i="150"/>
  <c r="K17" i="150"/>
  <c r="J17" i="150"/>
  <c r="I17" i="150"/>
  <c r="H17" i="150"/>
  <c r="D17" i="150"/>
  <c r="C17" i="150"/>
  <c r="B17" i="150"/>
  <c r="CB16" i="150"/>
  <c r="BY16" i="150"/>
  <c r="BZ16" i="150" s="1"/>
  <c r="CA16" i="150" s="1"/>
  <c r="BN16" i="150"/>
  <c r="BJ16" i="150"/>
  <c r="BD16" i="150"/>
  <c r="BC16" i="150"/>
  <c r="BB16" i="150"/>
  <c r="BA16" i="150"/>
  <c r="AX16" i="150"/>
  <c r="AY16" i="150" s="1"/>
  <c r="AW16" i="150"/>
  <c r="AS16" i="150"/>
  <c r="AT16" i="150"/>
  <c r="M16" i="150"/>
  <c r="L16" i="150"/>
  <c r="K16" i="150"/>
  <c r="J16" i="150"/>
  <c r="I16" i="150"/>
  <c r="H16" i="150"/>
  <c r="D16" i="150"/>
  <c r="C16" i="150"/>
  <c r="B16" i="150"/>
  <c r="CB15" i="150"/>
  <c r="BY15" i="150"/>
  <c r="BN15" i="150"/>
  <c r="BJ15" i="150"/>
  <c r="BD15" i="150"/>
  <c r="BC15" i="150"/>
  <c r="BB15" i="150"/>
  <c r="BA15" i="150"/>
  <c r="AX15" i="150"/>
  <c r="AY15" i="150" s="1"/>
  <c r="AW15" i="150"/>
  <c r="AS15" i="150"/>
  <c r="M15" i="150"/>
  <c r="L15" i="150"/>
  <c r="K15" i="150"/>
  <c r="J15" i="150"/>
  <c r="I15" i="150"/>
  <c r="H15" i="150"/>
  <c r="D15" i="150"/>
  <c r="C15" i="150"/>
  <c r="B15" i="150"/>
  <c r="CB14" i="150"/>
  <c r="BY14" i="150"/>
  <c r="BN14" i="150"/>
  <c r="BJ14" i="150"/>
  <c r="BD14" i="150"/>
  <c r="BC14" i="150"/>
  <c r="BB14" i="150"/>
  <c r="BA14" i="150"/>
  <c r="AX14" i="150"/>
  <c r="AY14" i="150" s="1"/>
  <c r="AW14" i="150"/>
  <c r="AT14" i="150"/>
  <c r="M14" i="150"/>
  <c r="L14" i="150"/>
  <c r="K14" i="150"/>
  <c r="J14" i="150"/>
  <c r="I14" i="150"/>
  <c r="H14" i="150"/>
  <c r="D14" i="150"/>
  <c r="C14" i="150"/>
  <c r="B14" i="150"/>
  <c r="CB13" i="150"/>
  <c r="BY13" i="150"/>
  <c r="BN13" i="150"/>
  <c r="BJ13" i="150"/>
  <c r="BD13" i="150"/>
  <c r="BC13" i="150"/>
  <c r="BB13" i="150"/>
  <c r="BA13" i="150"/>
  <c r="AX13" i="150"/>
  <c r="AY13" i="150" s="1"/>
  <c r="AW13" i="150"/>
  <c r="AT13" i="150"/>
  <c r="M13" i="150"/>
  <c r="L13" i="150"/>
  <c r="K13" i="150"/>
  <c r="J13" i="150"/>
  <c r="I13" i="150"/>
  <c r="H13" i="150"/>
  <c r="P13" i="150" s="1"/>
  <c r="AH10" i="111" s="1"/>
  <c r="AI10" i="111" s="1"/>
  <c r="AJ10" i="111" s="1"/>
  <c r="AM10" i="111" s="1"/>
  <c r="D13" i="150"/>
  <c r="C13" i="150"/>
  <c r="B13" i="150"/>
  <c r="CB12" i="150"/>
  <c r="BY12" i="150"/>
  <c r="BZ12" i="150" s="1"/>
  <c r="BN12" i="150"/>
  <c r="BJ12" i="150"/>
  <c r="BD12" i="150"/>
  <c r="BC12" i="150"/>
  <c r="BB12" i="150"/>
  <c r="BA12" i="150"/>
  <c r="AX12" i="150"/>
  <c r="AY12" i="150" s="1"/>
  <c r="AW12" i="150"/>
  <c r="AT12" i="150"/>
  <c r="M12" i="150"/>
  <c r="L12" i="150"/>
  <c r="K12" i="150"/>
  <c r="J12" i="150"/>
  <c r="I12" i="150"/>
  <c r="H12" i="150"/>
  <c r="P12" i="150" s="1"/>
  <c r="AH9" i="111" s="1"/>
  <c r="AI9" i="111" s="1"/>
  <c r="AJ9" i="111" s="1"/>
  <c r="AM9" i="111" s="1"/>
  <c r="D12" i="150"/>
  <c r="C12" i="150"/>
  <c r="B12" i="150"/>
  <c r="CB11" i="150"/>
  <c r="BY11" i="150"/>
  <c r="BZ11" i="150" s="1"/>
  <c r="BN11" i="150"/>
  <c r="BJ11" i="150"/>
  <c r="BD11" i="150"/>
  <c r="BC11" i="150"/>
  <c r="BB11" i="150"/>
  <c r="BA11" i="150"/>
  <c r="AX11" i="150"/>
  <c r="AY11" i="150" s="1"/>
  <c r="AW11" i="150"/>
  <c r="AS11" i="150"/>
  <c r="AT11" i="150"/>
  <c r="M11" i="150"/>
  <c r="L11" i="150"/>
  <c r="K11" i="150"/>
  <c r="J11" i="150"/>
  <c r="I11" i="150"/>
  <c r="H11" i="150"/>
  <c r="P11" i="150" s="1"/>
  <c r="AH8" i="111" s="1"/>
  <c r="AI8" i="111" s="1"/>
  <c r="AJ8" i="111" s="1"/>
  <c r="AM8" i="111" s="1"/>
  <c r="D11" i="150"/>
  <c r="C11" i="150"/>
  <c r="B11" i="150"/>
  <c r="A11" i="150"/>
  <c r="A12" i="150" s="1"/>
  <c r="A13" i="150" s="1"/>
  <c r="A14" i="150" s="1"/>
  <c r="A15" i="150" s="1"/>
  <c r="A16" i="150" s="1"/>
  <c r="A17" i="150" s="1"/>
  <c r="A18" i="150" s="1"/>
  <c r="A19" i="150" s="1"/>
  <c r="A20" i="150" s="1"/>
  <c r="A21" i="150" s="1"/>
  <c r="A22" i="150" s="1"/>
  <c r="A23" i="150" s="1"/>
  <c r="A24" i="150" s="1"/>
  <c r="A25" i="150" s="1"/>
  <c r="A26" i="150" s="1"/>
  <c r="A27" i="150" s="1"/>
  <c r="A28" i="150" s="1"/>
  <c r="A29" i="150" s="1"/>
  <c r="A30" i="150" s="1"/>
  <c r="A31" i="150" s="1"/>
  <c r="A32" i="150" s="1"/>
  <c r="A33" i="150" s="1"/>
  <c r="A34" i="150" s="1"/>
  <c r="A35" i="150" s="1"/>
  <c r="A36" i="150" s="1"/>
  <c r="A37" i="150" s="1"/>
  <c r="A38" i="150" s="1"/>
  <c r="A39" i="150" s="1"/>
  <c r="CB10" i="150"/>
  <c r="BY10" i="150"/>
  <c r="BZ10" i="150" s="1"/>
  <c r="CA10" i="150" s="1"/>
  <c r="BN10" i="150"/>
  <c r="BJ10" i="150"/>
  <c r="BD10" i="150"/>
  <c r="BC10" i="150"/>
  <c r="BB10" i="150"/>
  <c r="BA10" i="150"/>
  <c r="AX10" i="150"/>
  <c r="AY10" i="150" s="1"/>
  <c r="AW10" i="150"/>
  <c r="AT10" i="150"/>
  <c r="M10" i="150"/>
  <c r="L10" i="150"/>
  <c r="K10" i="150"/>
  <c r="J10" i="150"/>
  <c r="I10" i="150"/>
  <c r="H10" i="150"/>
  <c r="P10" i="150" s="1"/>
  <c r="AH7" i="111" s="1"/>
  <c r="AI7" i="111" s="1"/>
  <c r="AJ7" i="111" s="1"/>
  <c r="AM7" i="111" s="1"/>
  <c r="D10" i="150"/>
  <c r="C10" i="150"/>
  <c r="B10" i="150"/>
  <c r="A10" i="150"/>
  <c r="CB9" i="150"/>
  <c r="BY9" i="150"/>
  <c r="BZ9" i="150" s="1"/>
  <c r="CA9" i="150" s="1"/>
  <c r="BN9" i="150"/>
  <c r="BJ9" i="150"/>
  <c r="BD9" i="150"/>
  <c r="BC9" i="150"/>
  <c r="BB9" i="150"/>
  <c r="BA9" i="150"/>
  <c r="AX9" i="150"/>
  <c r="AY9" i="150" s="1"/>
  <c r="AW9" i="150"/>
  <c r="AR9" i="150"/>
  <c r="AQ9" i="150"/>
  <c r="AP9" i="150"/>
  <c r="AO9" i="150"/>
  <c r="AN9" i="150"/>
  <c r="AM9" i="150"/>
  <c r="AL9" i="150"/>
  <c r="U9" i="150"/>
  <c r="M9" i="150"/>
  <c r="L9" i="150"/>
  <c r="K9" i="150"/>
  <c r="J9" i="150"/>
  <c r="I9" i="150"/>
  <c r="H9" i="150"/>
  <c r="G9" i="150"/>
  <c r="G40" i="150" s="1"/>
  <c r="E9" i="150"/>
  <c r="F9" i="150" s="1"/>
  <c r="D9" i="150"/>
  <c r="C9" i="150"/>
  <c r="B9" i="150"/>
  <c r="BD8" i="150"/>
  <c r="BC8" i="150"/>
  <c r="BB8" i="150"/>
  <c r="BA8" i="150"/>
  <c r="AJ6" i="150"/>
  <c r="AJ5" i="150"/>
  <c r="Q5" i="150"/>
  <c r="AJ4" i="150"/>
  <c r="AN3" i="150"/>
  <c r="AJ3" i="150"/>
  <c r="AN2" i="150"/>
  <c r="AJ2" i="150"/>
  <c r="C39" i="151"/>
  <c r="AV38" i="151"/>
  <c r="AU38" i="151"/>
  <c r="AT38" i="151"/>
  <c r="AS38" i="151"/>
  <c r="AR38" i="151"/>
  <c r="AQ38" i="151"/>
  <c r="AP38" i="151"/>
  <c r="AO38" i="151"/>
  <c r="AN38" i="151"/>
  <c r="AM38" i="151"/>
  <c r="H103" i="126"/>
  <c r="H101" i="126"/>
  <c r="H100" i="126"/>
  <c r="H98" i="126"/>
  <c r="H97" i="126"/>
  <c r="H96" i="126"/>
  <c r="H95" i="126"/>
  <c r="H93" i="126"/>
  <c r="H92" i="126"/>
  <c r="H91" i="126"/>
  <c r="H90" i="126"/>
  <c r="H89" i="126"/>
  <c r="H88" i="126"/>
  <c r="H87" i="126"/>
  <c r="H86" i="126"/>
  <c r="H85" i="126"/>
  <c r="H84" i="126"/>
  <c r="H83" i="126"/>
  <c r="H81" i="126"/>
  <c r="H80" i="126"/>
  <c r="H79" i="126"/>
  <c r="H77" i="126"/>
  <c r="H76" i="126"/>
  <c r="N73" i="126"/>
  <c r="K73" i="126"/>
  <c r="H73" i="126"/>
  <c r="N72" i="126"/>
  <c r="K72" i="126"/>
  <c r="H72" i="126"/>
  <c r="N70" i="126"/>
  <c r="K70" i="126"/>
  <c r="H70" i="126"/>
  <c r="D70" i="126"/>
  <c r="D71" i="144" s="1"/>
  <c r="N69" i="126"/>
  <c r="L69" i="126"/>
  <c r="M69" i="126" s="1"/>
  <c r="K69" i="126"/>
  <c r="D69" i="126"/>
  <c r="D70" i="144" s="1"/>
  <c r="Q68" i="126"/>
  <c r="P68" i="126"/>
  <c r="O68" i="126"/>
  <c r="N68" i="126"/>
  <c r="K68" i="126"/>
  <c r="H68" i="126"/>
  <c r="D68" i="126"/>
  <c r="I68" i="126" s="1"/>
  <c r="J68" i="126" s="1"/>
  <c r="Q67" i="126"/>
  <c r="P67" i="126"/>
  <c r="O67" i="126"/>
  <c r="N67" i="126"/>
  <c r="K67" i="126"/>
  <c r="H67" i="126"/>
  <c r="D67" i="126"/>
  <c r="D68" i="144" s="1"/>
  <c r="Q66" i="126"/>
  <c r="P66" i="126"/>
  <c r="O66" i="126"/>
  <c r="N66" i="126"/>
  <c r="K66" i="126"/>
  <c r="D66" i="126"/>
  <c r="D67" i="144" s="1"/>
  <c r="Q65" i="126"/>
  <c r="P65" i="126"/>
  <c r="O65" i="126"/>
  <c r="N65" i="126"/>
  <c r="K65" i="126"/>
  <c r="D65" i="126"/>
  <c r="D66" i="144" s="1"/>
  <c r="Q63" i="126"/>
  <c r="P63" i="126"/>
  <c r="O63" i="126"/>
  <c r="N63" i="126"/>
  <c r="K63" i="126"/>
  <c r="D63" i="126"/>
  <c r="D64" i="144" s="1"/>
  <c r="Q62" i="126"/>
  <c r="P62" i="126"/>
  <c r="O62" i="126"/>
  <c r="N62" i="126"/>
  <c r="K62" i="126"/>
  <c r="D62" i="126"/>
  <c r="D63" i="144" s="1"/>
  <c r="Q61" i="126"/>
  <c r="P61" i="126"/>
  <c r="O61" i="126"/>
  <c r="N61" i="126"/>
  <c r="K61" i="126"/>
  <c r="D61" i="126"/>
  <c r="D62" i="144" s="1"/>
  <c r="Q60" i="126"/>
  <c r="P60" i="126"/>
  <c r="O60" i="126"/>
  <c r="N60" i="126"/>
  <c r="K60" i="126"/>
  <c r="D60" i="126"/>
  <c r="D61" i="144" s="1"/>
  <c r="Q58" i="126"/>
  <c r="P58" i="126"/>
  <c r="O58" i="126"/>
  <c r="N58" i="126"/>
  <c r="L58" i="126"/>
  <c r="M58" i="126" s="1"/>
  <c r="K58" i="126"/>
  <c r="H58" i="126"/>
  <c r="D58" i="126"/>
  <c r="D59" i="144" s="1"/>
  <c r="Q57" i="126"/>
  <c r="P57" i="126"/>
  <c r="O57" i="126"/>
  <c r="N57" i="126"/>
  <c r="K57" i="126"/>
  <c r="D57" i="126"/>
  <c r="L57" i="126" s="1"/>
  <c r="M57" i="126" s="1"/>
  <c r="Q56" i="126"/>
  <c r="P56" i="126"/>
  <c r="O56" i="126"/>
  <c r="N56" i="126"/>
  <c r="K56" i="126"/>
  <c r="Q55" i="126"/>
  <c r="P55" i="126"/>
  <c r="O55" i="126"/>
  <c r="N55" i="126"/>
  <c r="K55" i="126"/>
  <c r="D55" i="126"/>
  <c r="D55" i="144" s="1"/>
  <c r="Q54" i="126"/>
  <c r="P54" i="126"/>
  <c r="O54" i="126"/>
  <c r="N54" i="126"/>
  <c r="K54" i="126"/>
  <c r="D54" i="126"/>
  <c r="D54" i="144" s="1"/>
  <c r="Q53" i="126"/>
  <c r="P53" i="126"/>
  <c r="O53" i="126"/>
  <c r="N53" i="126"/>
  <c r="K53" i="126"/>
  <c r="D53" i="126"/>
  <c r="D53" i="144" s="1"/>
  <c r="Q52" i="126"/>
  <c r="P52" i="126"/>
  <c r="O52" i="126"/>
  <c r="N52" i="126"/>
  <c r="M52" i="126"/>
  <c r="L52" i="126"/>
  <c r="K52" i="126"/>
  <c r="J52" i="126"/>
  <c r="I52" i="126"/>
  <c r="H52" i="126"/>
  <c r="G52" i="126"/>
  <c r="F52" i="126"/>
  <c r="E52" i="126"/>
  <c r="D52" i="126"/>
  <c r="Q50" i="126"/>
  <c r="P50" i="126"/>
  <c r="O50" i="126"/>
  <c r="N50" i="126"/>
  <c r="K50" i="126"/>
  <c r="D50" i="126"/>
  <c r="L50" i="126" s="1"/>
  <c r="M50" i="126" s="1"/>
  <c r="Q49" i="126"/>
  <c r="P49" i="126"/>
  <c r="O49" i="126"/>
  <c r="N49" i="126"/>
  <c r="K49" i="126"/>
  <c r="D49" i="126"/>
  <c r="D49" i="144" s="1"/>
  <c r="I49" i="144" s="1"/>
  <c r="Q48" i="126"/>
  <c r="P48" i="126"/>
  <c r="O48" i="126"/>
  <c r="N48" i="126"/>
  <c r="K48" i="126"/>
  <c r="D48" i="126"/>
  <c r="D47" i="144" s="1"/>
  <c r="Q47" i="126"/>
  <c r="P47" i="126"/>
  <c r="O47" i="126"/>
  <c r="K47" i="126"/>
  <c r="D47" i="126"/>
  <c r="L47" i="126" s="1"/>
  <c r="M47" i="126" s="1"/>
  <c r="Q46" i="126"/>
  <c r="P46" i="126"/>
  <c r="O46" i="126"/>
  <c r="K46" i="126"/>
  <c r="H46" i="126"/>
  <c r="D46" i="126"/>
  <c r="L46" i="126" s="1"/>
  <c r="M46" i="126" s="1"/>
  <c r="Q45" i="126"/>
  <c r="P45" i="126"/>
  <c r="O45" i="126"/>
  <c r="N45" i="126"/>
  <c r="K45" i="126"/>
  <c r="D45" i="126"/>
  <c r="D43" i="144" s="1"/>
  <c r="B43" i="126"/>
  <c r="Q35" i="126"/>
  <c r="K35" i="126"/>
  <c r="H35" i="126"/>
  <c r="Q34" i="126"/>
  <c r="K34" i="126"/>
  <c r="H34" i="126"/>
  <c r="Q32" i="126"/>
  <c r="H32" i="126"/>
  <c r="Q31" i="126"/>
  <c r="N31" i="126"/>
  <c r="K31" i="126"/>
  <c r="H31" i="126"/>
  <c r="T30" i="126"/>
  <c r="S30" i="126"/>
  <c r="N30" i="126"/>
  <c r="K30" i="126"/>
  <c r="H30" i="126"/>
  <c r="T29" i="126"/>
  <c r="S29" i="126"/>
  <c r="N29" i="126"/>
  <c r="K29" i="126"/>
  <c r="H29" i="126"/>
  <c r="K28" i="126"/>
  <c r="H28" i="126" s="1"/>
  <c r="K27" i="126"/>
  <c r="E28" i="144" s="1"/>
  <c r="J28" i="144" s="1"/>
  <c r="H27" i="126"/>
  <c r="H65" i="126" s="1"/>
  <c r="I65" i="126" s="1"/>
  <c r="J65" i="126" s="1"/>
  <c r="I26" i="126"/>
  <c r="H26" i="126"/>
  <c r="F26" i="126"/>
  <c r="K25" i="126"/>
  <c r="E26" i="144" s="1"/>
  <c r="J26" i="144" s="1"/>
  <c r="K22" i="126"/>
  <c r="AC23" i="126" s="1"/>
  <c r="F21" i="126"/>
  <c r="K18" i="126"/>
  <c r="E21" i="144" s="1"/>
  <c r="J21" i="144" s="1"/>
  <c r="K17" i="126"/>
  <c r="E20" i="144" s="1"/>
  <c r="J20" i="144" s="1"/>
  <c r="K16" i="126"/>
  <c r="H16" i="126" s="1"/>
  <c r="E133" i="144" s="1"/>
  <c r="J133" i="144" s="1"/>
  <c r="N15" i="126"/>
  <c r="K15" i="126"/>
  <c r="E18" i="144" s="1"/>
  <c r="J18" i="144" s="1"/>
  <c r="K13" i="126"/>
  <c r="H13" i="126" s="1"/>
  <c r="K12" i="126"/>
  <c r="E17" i="144" s="1"/>
  <c r="J17" i="144" s="1"/>
  <c r="K11" i="126"/>
  <c r="E16" i="144" s="1"/>
  <c r="J16" i="144" s="1"/>
  <c r="H11" i="126"/>
  <c r="H54" i="126" s="1"/>
  <c r="K10" i="126"/>
  <c r="E15" i="144" s="1"/>
  <c r="J15" i="144" s="1"/>
  <c r="K8" i="126"/>
  <c r="H8" i="126" s="1"/>
  <c r="K7" i="126"/>
  <c r="H7" i="126" s="1"/>
  <c r="K6" i="126"/>
  <c r="E9" i="144" s="1"/>
  <c r="J9" i="144" s="1"/>
  <c r="K5" i="126"/>
  <c r="E8" i="144" s="1"/>
  <c r="J8" i="144" s="1"/>
  <c r="H5" i="126"/>
  <c r="H47" i="126" s="1"/>
  <c r="K4" i="126"/>
  <c r="E6" i="144" s="1"/>
  <c r="J6" i="144" s="1"/>
  <c r="H4" i="126"/>
  <c r="H45" i="126" s="1"/>
  <c r="I45" i="126" s="1"/>
  <c r="J45" i="126" s="1"/>
  <c r="B95" i="36"/>
  <c r="B94" i="36"/>
  <c r="BC72" i="36"/>
  <c r="BC71" i="36"/>
  <c r="BC70" i="36"/>
  <c r="AH70" i="36"/>
  <c r="BC69" i="36"/>
  <c r="AH69" i="36"/>
  <c r="AG69" i="36"/>
  <c r="BC68" i="36"/>
  <c r="AI68" i="36"/>
  <c r="BC67" i="36"/>
  <c r="AI67" i="36"/>
  <c r="BC66" i="36"/>
  <c r="AI66" i="36"/>
  <c r="BC65" i="36"/>
  <c r="AI65" i="36"/>
  <c r="BC64" i="36"/>
  <c r="AI64" i="36"/>
  <c r="BC63" i="36"/>
  <c r="AI63" i="36"/>
  <c r="BC62" i="36"/>
  <c r="AI62" i="36"/>
  <c r="BC61" i="36"/>
  <c r="AI61" i="36"/>
  <c r="BC60" i="36"/>
  <c r="AE60" i="36"/>
  <c r="BC59" i="36"/>
  <c r="BC58" i="36"/>
  <c r="BC57" i="36"/>
  <c r="AD57" i="36"/>
  <c r="BC56" i="36"/>
  <c r="AD56" i="36"/>
  <c r="BC55" i="36"/>
  <c r="AD55" i="36"/>
  <c r="BC54" i="36"/>
  <c r="BC53" i="36"/>
  <c r="AD53" i="36"/>
  <c r="BC52" i="36"/>
  <c r="AD52" i="36"/>
  <c r="BC51" i="36"/>
  <c r="AD51" i="36"/>
  <c r="BC50" i="36"/>
  <c r="BC49" i="36"/>
  <c r="BN48" i="36"/>
  <c r="BC48" i="36"/>
  <c r="AE48" i="36"/>
  <c r="AA48" i="36"/>
  <c r="X48" i="36"/>
  <c r="V48" i="36"/>
  <c r="U48" i="36"/>
  <c r="R48" i="36"/>
  <c r="Q48" i="36"/>
  <c r="O48" i="36"/>
  <c r="M48" i="36"/>
  <c r="L48" i="36"/>
  <c r="K48" i="36"/>
  <c r="H48" i="36"/>
  <c r="F48" i="36"/>
  <c r="E48" i="36"/>
  <c r="BH47" i="36"/>
  <c r="BC47" i="36"/>
  <c r="AE47" i="36"/>
  <c r="AA47" i="36"/>
  <c r="X47" i="36"/>
  <c r="V47" i="36"/>
  <c r="U47" i="36"/>
  <c r="R47" i="36"/>
  <c r="Q47" i="36"/>
  <c r="O47" i="36"/>
  <c r="M47" i="36"/>
  <c r="L47" i="36"/>
  <c r="K47" i="36"/>
  <c r="H47" i="36"/>
  <c r="F47" i="36"/>
  <c r="E47" i="36"/>
  <c r="BH46" i="36"/>
  <c r="BE46" i="36"/>
  <c r="BC46" i="36"/>
  <c r="BN45" i="36"/>
  <c r="BL45" i="36"/>
  <c r="BH45" i="36"/>
  <c r="BE45" i="36"/>
  <c r="BD45" i="36"/>
  <c r="BC45" i="36"/>
  <c r="BN44" i="36"/>
  <c r="BM44" i="36"/>
  <c r="BL44" i="36"/>
  <c r="BC44" i="36"/>
  <c r="BC43" i="36"/>
  <c r="AO43" i="36"/>
  <c r="AM43" i="36"/>
  <c r="AL43" i="36"/>
  <c r="DH36" i="36"/>
  <c r="DI36" i="36" s="1"/>
  <c r="AX36" i="36" s="1"/>
  <c r="CZ36" i="36"/>
  <c r="BD36" i="36"/>
  <c r="BB36" i="36"/>
  <c r="Y36" i="36"/>
  <c r="DD35" i="36"/>
  <c r="BD35" i="36"/>
  <c r="BB35" i="36"/>
  <c r="Y35" i="36"/>
  <c r="DD34" i="36"/>
  <c r="BD34" i="36"/>
  <c r="AW34" i="36"/>
  <c r="AC34" i="36"/>
  <c r="Y34" i="36"/>
  <c r="BD33" i="36"/>
  <c r="AC33" i="36"/>
  <c r="DD32" i="36"/>
  <c r="BD32" i="36"/>
  <c r="BB32" i="36"/>
  <c r="AC32" i="36"/>
  <c r="DH31" i="36"/>
  <c r="DI31" i="36" s="1"/>
  <c r="AX31" i="36" s="1"/>
  <c r="CZ31" i="36"/>
  <c r="BD31" i="36"/>
  <c r="AW31" i="36"/>
  <c r="DD30" i="36"/>
  <c r="BD30" i="36"/>
  <c r="BC30" i="36"/>
  <c r="Y30" i="36"/>
  <c r="BD29" i="36"/>
  <c r="BB29" i="36"/>
  <c r="AW29" i="36"/>
  <c r="Y29" i="36"/>
  <c r="BD28" i="36"/>
  <c r="Y28" i="36"/>
  <c r="BD27" i="36"/>
  <c r="AW27" i="36"/>
  <c r="Y27" i="36"/>
  <c r="BD26" i="36"/>
  <c r="Y26" i="36"/>
  <c r="DH25" i="36"/>
  <c r="DI25" i="36" s="1"/>
  <c r="AX25" i="36" s="1"/>
  <c r="CZ25" i="36"/>
  <c r="BD25" i="36"/>
  <c r="Y25" i="36"/>
  <c r="DD24" i="36"/>
  <c r="BD24" i="36"/>
  <c r="Y24" i="36"/>
  <c r="DH23" i="36"/>
  <c r="DI23" i="36" s="1"/>
  <c r="AX23" i="36" s="1"/>
  <c r="BD23" i="36"/>
  <c r="AW23" i="36"/>
  <c r="Y23" i="36"/>
  <c r="DH22" i="36"/>
  <c r="DI22" i="36" s="1"/>
  <c r="AX22" i="36" s="1"/>
  <c r="BD22" i="36"/>
  <c r="BB22" i="36"/>
  <c r="AW22" i="36"/>
  <c r="AC22" i="36"/>
  <c r="Y22" i="36"/>
  <c r="DH21" i="36"/>
  <c r="DI21" i="36" s="1"/>
  <c r="AX21" i="36" s="1"/>
  <c r="BD21" i="36"/>
  <c r="AW21" i="36"/>
  <c r="AC21" i="36"/>
  <c r="Y21" i="36"/>
  <c r="K21" i="36"/>
  <c r="DH20" i="36"/>
  <c r="DI20" i="36" s="1"/>
  <c r="AX20" i="36" s="1"/>
  <c r="BD20" i="36"/>
  <c r="BB20" i="36"/>
  <c r="AC20" i="36"/>
  <c r="Y20" i="36"/>
  <c r="DH19" i="36"/>
  <c r="DI19" i="36" s="1"/>
  <c r="AX19" i="36" s="1"/>
  <c r="DD19" i="36"/>
  <c r="BD19" i="36"/>
  <c r="BC19" i="36"/>
  <c r="AC19" i="36"/>
  <c r="Y19" i="36"/>
  <c r="K19" i="36"/>
  <c r="BD18" i="36"/>
  <c r="BB18" i="36"/>
  <c r="AC18" i="36"/>
  <c r="Y18" i="36"/>
  <c r="BD17" i="36"/>
  <c r="BC17" i="36"/>
  <c r="AC17" i="36"/>
  <c r="K17" i="36"/>
  <c r="CZ16" i="36"/>
  <c r="BD16" i="36"/>
  <c r="BB16" i="36"/>
  <c r="K16" i="36"/>
  <c r="BD15" i="36"/>
  <c r="DD14" i="36"/>
  <c r="BD14" i="36"/>
  <c r="DH13" i="36"/>
  <c r="DI13" i="36" s="1"/>
  <c r="AX13" i="36" s="1"/>
  <c r="BD13" i="36"/>
  <c r="BB13" i="36"/>
  <c r="BD12" i="36"/>
  <c r="AW12" i="36"/>
  <c r="K12" i="36"/>
  <c r="DH11" i="36"/>
  <c r="DI11" i="36" s="1"/>
  <c r="AX11" i="36" s="1"/>
  <c r="BD11" i="36"/>
  <c r="AW11" i="36"/>
  <c r="DD10" i="36"/>
  <c r="BD10" i="36"/>
  <c r="BB10" i="36"/>
  <c r="CT9" i="36"/>
  <c r="BD9" i="36"/>
  <c r="DJ6" i="36"/>
  <c r="CW6" i="36"/>
  <c r="CW5" i="36"/>
  <c r="CW4" i="36"/>
  <c r="CS4" i="36"/>
  <c r="CR4" i="36"/>
  <c r="CQ4" i="36"/>
  <c r="AH4" i="36"/>
  <c r="AH3" i="36"/>
  <c r="AD3" i="36"/>
  <c r="AB3" i="36"/>
  <c r="AA3" i="36"/>
  <c r="Z3" i="36"/>
  <c r="S3" i="36"/>
  <c r="R3" i="36"/>
  <c r="M3" i="36"/>
  <c r="BM2" i="36"/>
  <c r="AL2" i="36"/>
  <c r="AK2" i="36"/>
  <c r="AJ2" i="36"/>
  <c r="AH2" i="36"/>
  <c r="AD2" i="36"/>
  <c r="W2" i="36"/>
  <c r="V2" i="36"/>
  <c r="M2" i="36"/>
  <c r="CW2" i="36" s="1"/>
  <c r="X1" i="36"/>
  <c r="P94" i="111"/>
  <c r="N94" i="111"/>
  <c r="H94" i="111"/>
  <c r="I93" i="111"/>
  <c r="H93" i="111"/>
  <c r="H92" i="111"/>
  <c r="M90" i="111"/>
  <c r="L90" i="111"/>
  <c r="M89" i="111"/>
  <c r="L89" i="111"/>
  <c r="M88" i="111"/>
  <c r="L88" i="111"/>
  <c r="M87" i="111"/>
  <c r="L87" i="111"/>
  <c r="M86" i="111"/>
  <c r="L86" i="111"/>
  <c r="M85" i="111"/>
  <c r="L85" i="111"/>
  <c r="M84" i="111"/>
  <c r="L84" i="111"/>
  <c r="N83" i="111"/>
  <c r="M83" i="111"/>
  <c r="L83" i="111"/>
  <c r="P82" i="111"/>
  <c r="P81" i="111"/>
  <c r="I81" i="111"/>
  <c r="L79" i="111"/>
  <c r="J78" i="111"/>
  <c r="L77" i="111"/>
  <c r="N76" i="111"/>
  <c r="H76" i="111"/>
  <c r="Z74" i="111"/>
  <c r="Y74" i="111"/>
  <c r="X74" i="111"/>
  <c r="W74" i="111"/>
  <c r="Y69" i="111"/>
  <c r="Z69" i="111" s="1"/>
  <c r="AA69" i="111" s="1"/>
  <c r="V69" i="111"/>
  <c r="W69" i="111" s="1"/>
  <c r="X69" i="111" s="1"/>
  <c r="Y68" i="111"/>
  <c r="Z68" i="111" s="1"/>
  <c r="AA68" i="111" s="1"/>
  <c r="W68" i="111"/>
  <c r="X68" i="111" s="1"/>
  <c r="Y67" i="111"/>
  <c r="Z67" i="111" s="1"/>
  <c r="AA67" i="111" s="1"/>
  <c r="W67" i="111"/>
  <c r="X67" i="111" s="1"/>
  <c r="V67" i="111"/>
  <c r="Y66" i="111"/>
  <c r="Z66" i="111" s="1"/>
  <c r="AA66" i="111" s="1"/>
  <c r="W66" i="111"/>
  <c r="X66" i="111" s="1"/>
  <c r="V66" i="111"/>
  <c r="Z65" i="111"/>
  <c r="AA65" i="111" s="1"/>
  <c r="Y65" i="111"/>
  <c r="W65" i="111"/>
  <c r="X65" i="111" s="1"/>
  <c r="V65" i="111"/>
  <c r="Z64" i="111"/>
  <c r="AA64" i="111" s="1"/>
  <c r="Y64" i="111"/>
  <c r="V64" i="111"/>
  <c r="W64" i="111" s="1"/>
  <c r="X64" i="111" s="1"/>
  <c r="Y63" i="111"/>
  <c r="Z63" i="111" s="1"/>
  <c r="AA63" i="111" s="1"/>
  <c r="W63" i="111"/>
  <c r="X63" i="111" s="1"/>
  <c r="V63" i="111"/>
  <c r="Y62" i="111"/>
  <c r="Z62" i="111" s="1"/>
  <c r="AA62" i="111" s="1"/>
  <c r="V62" i="111"/>
  <c r="W62" i="111" s="1"/>
  <c r="X62" i="111" s="1"/>
  <c r="Z61" i="111"/>
  <c r="AA61" i="111" s="1"/>
  <c r="Y61" i="111"/>
  <c r="W61" i="111"/>
  <c r="X61" i="111" s="1"/>
  <c r="V61" i="111"/>
  <c r="Y60" i="111"/>
  <c r="Z60" i="111" s="1"/>
  <c r="AA60" i="111" s="1"/>
  <c r="W60" i="111"/>
  <c r="X60" i="111" s="1"/>
  <c r="V60" i="111"/>
  <c r="Y59" i="111"/>
  <c r="Z59" i="111" s="1"/>
  <c r="AA59" i="111" s="1"/>
  <c r="V59" i="111"/>
  <c r="W59" i="111" s="1"/>
  <c r="X59" i="111" s="1"/>
  <c r="Y58" i="111"/>
  <c r="Z58" i="111" s="1"/>
  <c r="AA58" i="111" s="1"/>
  <c r="V58" i="111"/>
  <c r="W58" i="111" s="1"/>
  <c r="X58" i="111" s="1"/>
  <c r="Z57" i="111"/>
  <c r="AA57" i="111" s="1"/>
  <c r="W57" i="111"/>
  <c r="X57" i="111" s="1"/>
  <c r="Z56" i="111"/>
  <c r="AA56" i="111" s="1"/>
  <c r="W56" i="111"/>
  <c r="X56" i="111" s="1"/>
  <c r="Z55" i="111"/>
  <c r="AA55" i="111" s="1"/>
  <c r="W55" i="111"/>
  <c r="X55" i="111" s="1"/>
  <c r="Y54" i="111"/>
  <c r="Z54" i="111" s="1"/>
  <c r="AA54" i="111" s="1"/>
  <c r="V54" i="111"/>
  <c r="W54" i="111" s="1"/>
  <c r="X54" i="111" s="1"/>
  <c r="Z53" i="111"/>
  <c r="AA53" i="111" s="1"/>
  <c r="Y53" i="111"/>
  <c r="V53" i="111"/>
  <c r="W53" i="111" s="1"/>
  <c r="X53" i="111" s="1"/>
  <c r="Y52" i="111"/>
  <c r="Z52" i="111" s="1"/>
  <c r="AA52" i="111" s="1"/>
  <c r="V52" i="111"/>
  <c r="W52" i="111" s="1"/>
  <c r="X52" i="111" s="1"/>
  <c r="Y51" i="111"/>
  <c r="Z51" i="111" s="1"/>
  <c r="AA51" i="111" s="1"/>
  <c r="V51" i="111"/>
  <c r="W51" i="111" s="1"/>
  <c r="X51" i="111" s="1"/>
  <c r="Y50" i="111"/>
  <c r="Z50" i="111" s="1"/>
  <c r="AA50" i="111" s="1"/>
  <c r="W50" i="111"/>
  <c r="X50" i="111" s="1"/>
  <c r="V50" i="111"/>
  <c r="Y49" i="111"/>
  <c r="Z49" i="111" s="1"/>
  <c r="AA49" i="111" s="1"/>
  <c r="V49" i="111"/>
  <c r="W49" i="111" s="1"/>
  <c r="X49" i="111" s="1"/>
  <c r="Y48" i="111"/>
  <c r="Z48" i="111" s="1"/>
  <c r="AA48" i="111" s="1"/>
  <c r="V48" i="111"/>
  <c r="W48" i="111" s="1"/>
  <c r="X48" i="111" s="1"/>
  <c r="Y47" i="111"/>
  <c r="Z47" i="111" s="1"/>
  <c r="AA47" i="111" s="1"/>
  <c r="V47" i="111"/>
  <c r="W47" i="111" s="1"/>
  <c r="X47" i="111" s="1"/>
  <c r="Y46" i="111"/>
  <c r="Z46" i="111" s="1"/>
  <c r="AA46" i="111" s="1"/>
  <c r="V46" i="111"/>
  <c r="W46" i="111" s="1"/>
  <c r="X46" i="111" s="1"/>
  <c r="Z45" i="111"/>
  <c r="AA45" i="111" s="1"/>
  <c r="Y45" i="111"/>
  <c r="V45" i="111"/>
  <c r="W45" i="111" s="1"/>
  <c r="X45" i="111" s="1"/>
  <c r="Y44" i="111"/>
  <c r="Z44" i="111" s="1"/>
  <c r="AA44" i="111" s="1"/>
  <c r="V44" i="111"/>
  <c r="W44" i="111" s="1"/>
  <c r="X44" i="111" s="1"/>
  <c r="Z43" i="111"/>
  <c r="AA43" i="111" s="1"/>
  <c r="Y43" i="111"/>
  <c r="W43" i="111"/>
  <c r="X43" i="111" s="1"/>
  <c r="V43" i="111"/>
  <c r="G41" i="111"/>
  <c r="F41" i="111"/>
  <c r="E41" i="111"/>
  <c r="S40" i="111"/>
  <c r="F40" i="111"/>
  <c r="B39" i="111"/>
  <c r="M38" i="111"/>
  <c r="AV36" i="36"/>
  <c r="BC36" i="36"/>
  <c r="AW36" i="36"/>
  <c r="DD36" i="36"/>
  <c r="K36" i="36"/>
  <c r="AV35" i="36"/>
  <c r="BC35" i="36"/>
  <c r="AW35" i="36"/>
  <c r="CZ35" i="36"/>
  <c r="K35" i="36"/>
  <c r="AV34" i="36"/>
  <c r="BC34" i="36"/>
  <c r="BB34" i="36"/>
  <c r="DH34" i="36"/>
  <c r="DI34" i="36" s="1"/>
  <c r="AX34" i="36" s="1"/>
  <c r="CZ34" i="36"/>
  <c r="K34" i="36"/>
  <c r="AV33" i="36"/>
  <c r="BC33" i="36"/>
  <c r="BB33" i="36"/>
  <c r="DH33" i="36"/>
  <c r="DI33" i="36" s="1"/>
  <c r="AX33" i="36" s="1"/>
  <c r="DD33" i="36"/>
  <c r="CZ33" i="36"/>
  <c r="AV32" i="36"/>
  <c r="BC32" i="36"/>
  <c r="DH32" i="36"/>
  <c r="DI32" i="36" s="1"/>
  <c r="AX32" i="36" s="1"/>
  <c r="CZ32" i="36"/>
  <c r="K32" i="36"/>
  <c r="AV31" i="36"/>
  <c r="BC31" i="36"/>
  <c r="BB31" i="36"/>
  <c r="DD31" i="36"/>
  <c r="K31" i="36"/>
  <c r="AV30" i="36"/>
  <c r="BB30" i="36"/>
  <c r="DH30" i="36"/>
  <c r="DI30" i="36" s="1"/>
  <c r="AX30" i="36" s="1"/>
  <c r="CZ30" i="36"/>
  <c r="K30" i="36"/>
  <c r="AV29" i="36"/>
  <c r="BC29" i="36"/>
  <c r="DH29" i="36"/>
  <c r="DI29" i="36" s="1"/>
  <c r="AX29" i="36" s="1"/>
  <c r="DD29" i="36"/>
  <c r="CZ29" i="36"/>
  <c r="K29" i="36"/>
  <c r="AV28" i="36"/>
  <c r="BC28" i="36"/>
  <c r="BB28" i="36"/>
  <c r="DD28" i="36"/>
  <c r="CZ28" i="36"/>
  <c r="K28" i="36"/>
  <c r="AV27" i="36"/>
  <c r="BC27" i="36"/>
  <c r="BB27" i="36"/>
  <c r="DH27" i="36"/>
  <c r="DI27" i="36" s="1"/>
  <c r="AX27" i="36" s="1"/>
  <c r="DD27" i="36"/>
  <c r="CZ27" i="36"/>
  <c r="K27" i="36"/>
  <c r="AV26" i="36"/>
  <c r="AV25" i="36"/>
  <c r="BC25" i="36"/>
  <c r="BB25" i="36"/>
  <c r="AW25" i="36"/>
  <c r="DD25" i="36"/>
  <c r="K25" i="36"/>
  <c r="AV24" i="36"/>
  <c r="BC24" i="36"/>
  <c r="BB24" i="36"/>
  <c r="DH24" i="36"/>
  <c r="DI24" i="36" s="1"/>
  <c r="AX24" i="36" s="1"/>
  <c r="CZ24" i="36"/>
  <c r="K24" i="36"/>
  <c r="AV23" i="36"/>
  <c r="BC23" i="36"/>
  <c r="BB23" i="36"/>
  <c r="DD23" i="36"/>
  <c r="CZ23" i="36"/>
  <c r="K23" i="36"/>
  <c r="AV22" i="36"/>
  <c r="BC22" i="36"/>
  <c r="DD22" i="36"/>
  <c r="CZ22" i="36"/>
  <c r="K22" i="36"/>
  <c r="BC20" i="77"/>
  <c r="BC21" i="36"/>
  <c r="BB21" i="36"/>
  <c r="DD21" i="36"/>
  <c r="CZ21" i="36"/>
  <c r="AV20" i="36"/>
  <c r="BC20" i="36"/>
  <c r="AW20" i="36"/>
  <c r="DD20" i="36"/>
  <c r="CZ20" i="36"/>
  <c r="K20" i="36"/>
  <c r="AV19" i="36"/>
  <c r="BB19" i="36"/>
  <c r="AW19" i="36"/>
  <c r="CZ19" i="36"/>
  <c r="AV18" i="36"/>
  <c r="BC18" i="36"/>
  <c r="AW18" i="36"/>
  <c r="DD18" i="36"/>
  <c r="CZ18" i="36"/>
  <c r="K18" i="36"/>
  <c r="AV17" i="36"/>
  <c r="BB17" i="36"/>
  <c r="DD17" i="36"/>
  <c r="CZ17" i="36"/>
  <c r="AV16" i="36"/>
  <c r="BC16" i="36"/>
  <c r="AW16" i="36"/>
  <c r="DD16" i="36"/>
  <c r="AV15" i="36"/>
  <c r="BC15" i="36"/>
  <c r="BB15" i="36"/>
  <c r="DH15" i="36"/>
  <c r="DI15" i="36" s="1"/>
  <c r="AX15" i="36" s="1"/>
  <c r="DD15" i="36"/>
  <c r="CZ15" i="36"/>
  <c r="K15" i="36"/>
  <c r="AV14" i="36"/>
  <c r="BC14" i="36"/>
  <c r="BB14" i="36"/>
  <c r="DH14" i="36"/>
  <c r="DI14" i="36" s="1"/>
  <c r="AX14" i="36" s="1"/>
  <c r="CZ14" i="36"/>
  <c r="K14" i="36"/>
  <c r="AV13" i="36"/>
  <c r="BC13" i="36"/>
  <c r="AW13" i="36"/>
  <c r="DD13" i="36"/>
  <c r="CZ13" i="36"/>
  <c r="K13" i="36"/>
  <c r="AV12" i="36"/>
  <c r="BC12" i="36"/>
  <c r="BB12" i="36"/>
  <c r="DH12" i="36"/>
  <c r="DI12" i="36" s="1"/>
  <c r="AX12" i="36" s="1"/>
  <c r="DD12" i="36"/>
  <c r="CZ12" i="36"/>
  <c r="BC10" i="77"/>
  <c r="BC11" i="36"/>
  <c r="BB11" i="36"/>
  <c r="DD11" i="36"/>
  <c r="CZ11" i="36"/>
  <c r="K11" i="36"/>
  <c r="A11" i="111"/>
  <c r="A12" i="111" s="1"/>
  <c r="A13" i="111" s="1"/>
  <c r="A14" i="111" s="1"/>
  <c r="A15" i="111" s="1"/>
  <c r="A16" i="111" s="1"/>
  <c r="A17" i="111" s="1"/>
  <c r="A18" i="111" s="1"/>
  <c r="A19" i="111" s="1"/>
  <c r="A20" i="111" s="1"/>
  <c r="A21" i="111" s="1"/>
  <c r="A22" i="111" s="1"/>
  <c r="A23" i="111" s="1"/>
  <c r="A24" i="111" s="1"/>
  <c r="A25" i="111" s="1"/>
  <c r="A26" i="111" s="1"/>
  <c r="A27" i="111" s="1"/>
  <c r="A28" i="111" s="1"/>
  <c r="A29" i="111" s="1"/>
  <c r="A30" i="111" s="1"/>
  <c r="A31" i="111" s="1"/>
  <c r="A32" i="111" s="1"/>
  <c r="A33" i="111" s="1"/>
  <c r="A34" i="111" s="1"/>
  <c r="A35" i="111" s="1"/>
  <c r="A36" i="111" s="1"/>
  <c r="AV10" i="36"/>
  <c r="BC10" i="36"/>
  <c r="DH10" i="36"/>
  <c r="DI10" i="36" s="1"/>
  <c r="AX10" i="36" s="1"/>
  <c r="CZ10" i="36"/>
  <c r="K10" i="36"/>
  <c r="AV9" i="36"/>
  <c r="BC9" i="36"/>
  <c r="BB9" i="36"/>
  <c r="AW9" i="36"/>
  <c r="DD9" i="36"/>
  <c r="CZ9" i="36"/>
  <c r="E4" i="111"/>
  <c r="G1" i="111"/>
  <c r="W134" i="77"/>
  <c r="F58" i="77"/>
  <c r="E58" i="77"/>
  <c r="D58" i="77"/>
  <c r="C58" i="77"/>
  <c r="BB46" i="77"/>
  <c r="BA46" i="77"/>
  <c r="AD46" i="77"/>
  <c r="Y46" i="77"/>
  <c r="W46" i="77"/>
  <c r="V46" i="77"/>
  <c r="S46" i="77"/>
  <c r="R46" i="77"/>
  <c r="P46" i="77"/>
  <c r="N46" i="77"/>
  <c r="M46" i="77"/>
  <c r="L46" i="77"/>
  <c r="H46" i="77"/>
  <c r="F46" i="77"/>
  <c r="E46" i="77"/>
  <c r="BB45" i="77"/>
  <c r="BA45" i="77"/>
  <c r="AD45" i="77"/>
  <c r="Y45" i="77"/>
  <c r="W45" i="77"/>
  <c r="V45" i="77"/>
  <c r="S45" i="77"/>
  <c r="R45" i="77"/>
  <c r="P45" i="77"/>
  <c r="N45" i="77"/>
  <c r="M45" i="77"/>
  <c r="L45" i="77"/>
  <c r="H45" i="77"/>
  <c r="F45" i="77"/>
  <c r="E45" i="77"/>
  <c r="J42" i="77"/>
  <c r="DB39" i="77"/>
  <c r="BC35" i="77"/>
  <c r="BC127" i="77" s="1"/>
  <c r="BC34" i="77"/>
  <c r="BC126" i="77" s="1"/>
  <c r="BC33" i="77"/>
  <c r="BC32" i="77"/>
  <c r="BC31" i="77"/>
  <c r="BC30" i="77"/>
  <c r="BC29" i="77"/>
  <c r="BC28" i="77"/>
  <c r="BC27" i="77"/>
  <c r="BC26" i="77"/>
  <c r="BC25" i="77"/>
  <c r="BC24" i="77"/>
  <c r="BC23" i="77"/>
  <c r="BC22" i="77"/>
  <c r="BC21" i="77"/>
  <c r="BC19" i="77"/>
  <c r="BC18" i="77"/>
  <c r="BC17" i="77"/>
  <c r="BC16" i="77"/>
  <c r="BC15" i="77"/>
  <c r="BC14" i="77"/>
  <c r="BC13" i="77"/>
  <c r="BC12" i="77"/>
  <c r="BC11" i="77"/>
  <c r="CU9" i="77"/>
  <c r="CT9" i="77"/>
  <c r="BC9" i="77"/>
  <c r="CU8" i="77"/>
  <c r="BC8" i="77"/>
  <c r="CU7" i="77"/>
  <c r="CT7" i="77"/>
  <c r="CT5" i="77"/>
  <c r="N3" i="77"/>
  <c r="N2" i="77"/>
  <c r="T1" i="77"/>
  <c r="R291" i="175"/>
  <c r="Q291" i="175"/>
  <c r="P291" i="175"/>
  <c r="O291" i="175"/>
  <c r="N291" i="175"/>
  <c r="M291" i="175"/>
  <c r="L291" i="175"/>
  <c r="J291" i="175"/>
  <c r="I291" i="175"/>
  <c r="Q290" i="175"/>
  <c r="P290" i="175"/>
  <c r="O290" i="175"/>
  <c r="N290" i="175"/>
  <c r="M290" i="175"/>
  <c r="L290" i="175"/>
  <c r="J290" i="175"/>
  <c r="I290" i="175"/>
  <c r="Q289" i="175"/>
  <c r="P289" i="175"/>
  <c r="O289" i="175"/>
  <c r="N289" i="175"/>
  <c r="M289" i="175"/>
  <c r="L289" i="175"/>
  <c r="J289" i="175"/>
  <c r="I289" i="175"/>
  <c r="Q288" i="175"/>
  <c r="P288" i="175"/>
  <c r="O288" i="175"/>
  <c r="N288" i="175"/>
  <c r="M288" i="175"/>
  <c r="L288" i="175"/>
  <c r="J288" i="175"/>
  <c r="I288" i="175"/>
  <c r="Q287" i="175"/>
  <c r="P287" i="175"/>
  <c r="O287" i="175"/>
  <c r="N287" i="175"/>
  <c r="M287" i="175"/>
  <c r="L287" i="175"/>
  <c r="J287" i="175"/>
  <c r="I287" i="175"/>
  <c r="Q286" i="175"/>
  <c r="P286" i="175"/>
  <c r="O286" i="175"/>
  <c r="N286" i="175"/>
  <c r="M286" i="175"/>
  <c r="L286" i="175"/>
  <c r="J286" i="175"/>
  <c r="I286" i="175"/>
  <c r="Q285" i="175"/>
  <c r="P285" i="175"/>
  <c r="O285" i="175"/>
  <c r="N285" i="175"/>
  <c r="M285" i="175"/>
  <c r="L285" i="175"/>
  <c r="J285" i="175"/>
  <c r="I285" i="175"/>
  <c r="Q284" i="175"/>
  <c r="P284" i="175"/>
  <c r="O284" i="175"/>
  <c r="N284" i="175"/>
  <c r="M284" i="175"/>
  <c r="L284" i="175"/>
  <c r="J284" i="175"/>
  <c r="I284" i="175"/>
  <c r="Q283" i="175"/>
  <c r="P283" i="175"/>
  <c r="O283" i="175"/>
  <c r="N283" i="175"/>
  <c r="M283" i="175"/>
  <c r="L283" i="175"/>
  <c r="J283" i="175"/>
  <c r="I283" i="175"/>
  <c r="Q282" i="175"/>
  <c r="P282" i="175"/>
  <c r="O282" i="175"/>
  <c r="N282" i="175"/>
  <c r="M282" i="175"/>
  <c r="L282" i="175"/>
  <c r="J282" i="175"/>
  <c r="I282" i="175"/>
  <c r="Q281" i="175"/>
  <c r="P281" i="175"/>
  <c r="O281" i="175"/>
  <c r="N281" i="175"/>
  <c r="M281" i="175"/>
  <c r="L281" i="175"/>
  <c r="J281" i="175"/>
  <c r="I281" i="175"/>
  <c r="Q280" i="175"/>
  <c r="P280" i="175"/>
  <c r="O280" i="175"/>
  <c r="N280" i="175"/>
  <c r="M280" i="175"/>
  <c r="L280" i="175"/>
  <c r="J280" i="175"/>
  <c r="I280" i="175"/>
  <c r="Q279" i="175"/>
  <c r="P279" i="175"/>
  <c r="O279" i="175"/>
  <c r="N279" i="175"/>
  <c r="M279" i="175"/>
  <c r="L279" i="175"/>
  <c r="J279" i="175"/>
  <c r="I279" i="175"/>
  <c r="Q278" i="175"/>
  <c r="P278" i="175"/>
  <c r="O278" i="175"/>
  <c r="N278" i="175"/>
  <c r="M278" i="175"/>
  <c r="L278" i="175"/>
  <c r="J278" i="175"/>
  <c r="I278" i="175"/>
  <c r="Q277" i="175"/>
  <c r="P277" i="175"/>
  <c r="O277" i="175"/>
  <c r="N277" i="175"/>
  <c r="M277" i="175"/>
  <c r="L277" i="175"/>
  <c r="J277" i="175"/>
  <c r="I277" i="175"/>
  <c r="Q276" i="175"/>
  <c r="P276" i="175"/>
  <c r="O276" i="175"/>
  <c r="N276" i="175"/>
  <c r="M276" i="175"/>
  <c r="L276" i="175"/>
  <c r="J276" i="175"/>
  <c r="I276" i="175"/>
  <c r="Q275" i="175"/>
  <c r="P275" i="175"/>
  <c r="O275" i="175"/>
  <c r="N275" i="175"/>
  <c r="M275" i="175"/>
  <c r="L275" i="175"/>
  <c r="J275" i="175"/>
  <c r="I275" i="175"/>
  <c r="Q274" i="175"/>
  <c r="P274" i="175"/>
  <c r="O274" i="175"/>
  <c r="N274" i="175"/>
  <c r="M274" i="175"/>
  <c r="L274" i="175"/>
  <c r="J274" i="175"/>
  <c r="I274" i="175"/>
  <c r="Q273" i="175"/>
  <c r="P273" i="175"/>
  <c r="O273" i="175"/>
  <c r="N273" i="175"/>
  <c r="M273" i="175"/>
  <c r="L273" i="175"/>
  <c r="J273" i="175"/>
  <c r="I273" i="175"/>
  <c r="Q272" i="175"/>
  <c r="P272" i="175"/>
  <c r="O272" i="175"/>
  <c r="N272" i="175"/>
  <c r="M272" i="175"/>
  <c r="L272" i="175"/>
  <c r="J272" i="175"/>
  <c r="I272" i="175"/>
  <c r="Q271" i="175"/>
  <c r="P271" i="175"/>
  <c r="O271" i="175"/>
  <c r="N271" i="175"/>
  <c r="M271" i="175"/>
  <c r="L271" i="175"/>
  <c r="J271" i="175"/>
  <c r="I271" i="175"/>
  <c r="Q270" i="175"/>
  <c r="P270" i="175"/>
  <c r="O270" i="175"/>
  <c r="N270" i="175"/>
  <c r="M270" i="175"/>
  <c r="L270" i="175"/>
  <c r="J270" i="175"/>
  <c r="I270" i="175"/>
  <c r="Q269" i="175"/>
  <c r="P269" i="175"/>
  <c r="O269" i="175"/>
  <c r="N269" i="175"/>
  <c r="M269" i="175"/>
  <c r="L269" i="175"/>
  <c r="J269" i="175"/>
  <c r="I269" i="175"/>
  <c r="Q268" i="175"/>
  <c r="P268" i="175"/>
  <c r="O268" i="175"/>
  <c r="N268" i="175"/>
  <c r="M268" i="175"/>
  <c r="L268" i="175"/>
  <c r="J268" i="175"/>
  <c r="I268" i="175"/>
  <c r="R267" i="175"/>
  <c r="Q267" i="175"/>
  <c r="P267" i="175"/>
  <c r="O267" i="175"/>
  <c r="N267" i="175"/>
  <c r="M267" i="175"/>
  <c r="L267" i="175"/>
  <c r="J267" i="175"/>
  <c r="I267" i="175"/>
  <c r="Q266" i="175"/>
  <c r="P266" i="175"/>
  <c r="O266" i="175"/>
  <c r="N266" i="175"/>
  <c r="M266" i="175"/>
  <c r="L266" i="175"/>
  <c r="J266" i="175"/>
  <c r="I266" i="175"/>
  <c r="Q265" i="175"/>
  <c r="P265" i="175"/>
  <c r="O265" i="175"/>
  <c r="N265" i="175"/>
  <c r="M265" i="175"/>
  <c r="L265" i="175"/>
  <c r="J265" i="175"/>
  <c r="I265" i="175"/>
  <c r="Q264" i="175"/>
  <c r="P264" i="175"/>
  <c r="O264" i="175"/>
  <c r="N264" i="175"/>
  <c r="M264" i="175"/>
  <c r="L264" i="175"/>
  <c r="J264" i="175"/>
  <c r="I264" i="175"/>
  <c r="Q263" i="175"/>
  <c r="P263" i="175"/>
  <c r="O263" i="175"/>
  <c r="N263" i="175"/>
  <c r="M263" i="175"/>
  <c r="L263" i="175"/>
  <c r="J263" i="175"/>
  <c r="I263" i="175"/>
  <c r="Q262" i="175"/>
  <c r="P262" i="175"/>
  <c r="O262" i="175"/>
  <c r="N262" i="175"/>
  <c r="M262" i="175"/>
  <c r="L262" i="175"/>
  <c r="J262" i="175"/>
  <c r="I262" i="175"/>
  <c r="Q261" i="175"/>
  <c r="P261" i="175"/>
  <c r="O261" i="175"/>
  <c r="N261" i="175"/>
  <c r="M261" i="175"/>
  <c r="L261" i="175"/>
  <c r="J261" i="175"/>
  <c r="I261" i="175"/>
  <c r="Q260" i="175"/>
  <c r="P260" i="175"/>
  <c r="O260" i="175"/>
  <c r="N260" i="175"/>
  <c r="M260" i="175"/>
  <c r="L260" i="175"/>
  <c r="J260" i="175"/>
  <c r="I260" i="175"/>
  <c r="Q259" i="175"/>
  <c r="P259" i="175"/>
  <c r="O259" i="175"/>
  <c r="N259" i="175"/>
  <c r="M259" i="175"/>
  <c r="L259" i="175"/>
  <c r="J259" i="175"/>
  <c r="I259" i="175"/>
  <c r="Q258" i="175"/>
  <c r="P258" i="175"/>
  <c r="O258" i="175"/>
  <c r="N258" i="175"/>
  <c r="M258" i="175"/>
  <c r="L258" i="175"/>
  <c r="J258" i="175"/>
  <c r="I258" i="175"/>
  <c r="Q257" i="175"/>
  <c r="P257" i="175"/>
  <c r="O257" i="175"/>
  <c r="N257" i="175"/>
  <c r="M257" i="175"/>
  <c r="L257" i="175"/>
  <c r="J257" i="175"/>
  <c r="I257" i="175"/>
  <c r="Q256" i="175"/>
  <c r="P256" i="175"/>
  <c r="O256" i="175"/>
  <c r="N256" i="175"/>
  <c r="M256" i="175"/>
  <c r="L256" i="175"/>
  <c r="J256" i="175"/>
  <c r="I256" i="175"/>
  <c r="Q255" i="175"/>
  <c r="P255" i="175"/>
  <c r="O255" i="175"/>
  <c r="N255" i="175"/>
  <c r="M255" i="175"/>
  <c r="L255" i="175"/>
  <c r="J255" i="175"/>
  <c r="I255" i="175"/>
  <c r="Q254" i="175"/>
  <c r="P254" i="175"/>
  <c r="O254" i="175"/>
  <c r="N254" i="175"/>
  <c r="M254" i="175"/>
  <c r="L254" i="175"/>
  <c r="J254" i="175"/>
  <c r="I254" i="175"/>
  <c r="Q253" i="175"/>
  <c r="P253" i="175"/>
  <c r="O253" i="175"/>
  <c r="N253" i="175"/>
  <c r="M253" i="175"/>
  <c r="L253" i="175"/>
  <c r="J253" i="175"/>
  <c r="I253" i="175"/>
  <c r="Q252" i="175"/>
  <c r="P252" i="175"/>
  <c r="O252" i="175"/>
  <c r="N252" i="175"/>
  <c r="M252" i="175"/>
  <c r="L252" i="175"/>
  <c r="J252" i="175"/>
  <c r="I252" i="175"/>
  <c r="Q251" i="175"/>
  <c r="P251" i="175"/>
  <c r="O251" i="175"/>
  <c r="N251" i="175"/>
  <c r="M251" i="175"/>
  <c r="L251" i="175"/>
  <c r="J251" i="175"/>
  <c r="I251" i="175"/>
  <c r="Q250" i="175"/>
  <c r="P250" i="175"/>
  <c r="O250" i="175"/>
  <c r="N250" i="175"/>
  <c r="M250" i="175"/>
  <c r="L250" i="175"/>
  <c r="J250" i="175"/>
  <c r="I250" i="175"/>
  <c r="Q249" i="175"/>
  <c r="P249" i="175"/>
  <c r="O249" i="175"/>
  <c r="N249" i="175"/>
  <c r="M249" i="175"/>
  <c r="L249" i="175"/>
  <c r="J249" i="175"/>
  <c r="I249" i="175"/>
  <c r="Q248" i="175"/>
  <c r="P248" i="175"/>
  <c r="O248" i="175"/>
  <c r="N248" i="175"/>
  <c r="M248" i="175"/>
  <c r="L248" i="175"/>
  <c r="J248" i="175"/>
  <c r="I248" i="175"/>
  <c r="Q247" i="175"/>
  <c r="P247" i="175"/>
  <c r="O247" i="175"/>
  <c r="N247" i="175"/>
  <c r="M247" i="175"/>
  <c r="L247" i="175"/>
  <c r="J247" i="175"/>
  <c r="I247" i="175"/>
  <c r="Q246" i="175"/>
  <c r="P246" i="175"/>
  <c r="O246" i="175"/>
  <c r="N246" i="175"/>
  <c r="M246" i="175"/>
  <c r="L246" i="175"/>
  <c r="J246" i="175"/>
  <c r="I246" i="175"/>
  <c r="Q245" i="175"/>
  <c r="P245" i="175"/>
  <c r="O245" i="175"/>
  <c r="N245" i="175"/>
  <c r="M245" i="175"/>
  <c r="L245" i="175"/>
  <c r="J245" i="175"/>
  <c r="I245" i="175"/>
  <c r="Q244" i="175"/>
  <c r="P244" i="175"/>
  <c r="O244" i="175"/>
  <c r="N244" i="175"/>
  <c r="M244" i="175"/>
  <c r="L244" i="175"/>
  <c r="J244" i="175"/>
  <c r="I244" i="175"/>
  <c r="R243" i="175"/>
  <c r="Q243" i="175"/>
  <c r="P243" i="175"/>
  <c r="O243" i="175"/>
  <c r="N243" i="175"/>
  <c r="M243" i="175"/>
  <c r="L243" i="175"/>
  <c r="J243" i="175"/>
  <c r="I243" i="175"/>
  <c r="Q242" i="175"/>
  <c r="P242" i="175"/>
  <c r="O242" i="175"/>
  <c r="N242" i="175"/>
  <c r="M242" i="175"/>
  <c r="L242" i="175"/>
  <c r="J242" i="175"/>
  <c r="I242" i="175"/>
  <c r="Q241" i="175"/>
  <c r="P241" i="175"/>
  <c r="O241" i="175"/>
  <c r="N241" i="175"/>
  <c r="M241" i="175"/>
  <c r="L241" i="175"/>
  <c r="J241" i="175"/>
  <c r="I241" i="175"/>
  <c r="Q240" i="175"/>
  <c r="P240" i="175"/>
  <c r="O240" i="175"/>
  <c r="N240" i="175"/>
  <c r="M240" i="175"/>
  <c r="L240" i="175"/>
  <c r="J240" i="175"/>
  <c r="I240" i="175"/>
  <c r="Q239" i="175"/>
  <c r="P239" i="175"/>
  <c r="O239" i="175"/>
  <c r="N239" i="175"/>
  <c r="M239" i="175"/>
  <c r="L239" i="175"/>
  <c r="J239" i="175"/>
  <c r="I239" i="175"/>
  <c r="Q238" i="175"/>
  <c r="P238" i="175"/>
  <c r="O238" i="175"/>
  <c r="N238" i="175"/>
  <c r="M238" i="175"/>
  <c r="L238" i="175"/>
  <c r="J238" i="175"/>
  <c r="I238" i="175"/>
  <c r="Q237" i="175"/>
  <c r="P237" i="175"/>
  <c r="O237" i="175"/>
  <c r="N237" i="175"/>
  <c r="M237" i="175"/>
  <c r="L237" i="175"/>
  <c r="J237" i="175"/>
  <c r="I237" i="175"/>
  <c r="Q236" i="175"/>
  <c r="P236" i="175"/>
  <c r="O236" i="175"/>
  <c r="N236" i="175"/>
  <c r="M236" i="175"/>
  <c r="L236" i="175"/>
  <c r="J236" i="175"/>
  <c r="I236" i="175"/>
  <c r="Q235" i="175"/>
  <c r="P235" i="175"/>
  <c r="O235" i="175"/>
  <c r="N235" i="175"/>
  <c r="M235" i="175"/>
  <c r="L235" i="175"/>
  <c r="J235" i="175"/>
  <c r="I235" i="175"/>
  <c r="Q234" i="175"/>
  <c r="P234" i="175"/>
  <c r="O234" i="175"/>
  <c r="N234" i="175"/>
  <c r="M234" i="175"/>
  <c r="L234" i="175"/>
  <c r="J234" i="175"/>
  <c r="I234" i="175"/>
  <c r="Q233" i="175"/>
  <c r="P233" i="175"/>
  <c r="O233" i="175"/>
  <c r="N233" i="175"/>
  <c r="L233" i="175"/>
  <c r="J233" i="175"/>
  <c r="I233" i="175"/>
  <c r="Q232" i="175"/>
  <c r="P232" i="175"/>
  <c r="O232" i="175"/>
  <c r="N232" i="175"/>
  <c r="L232" i="175"/>
  <c r="J232" i="175"/>
  <c r="I232" i="175"/>
  <c r="Q231" i="175"/>
  <c r="P231" i="175"/>
  <c r="O231" i="175"/>
  <c r="N231" i="175"/>
  <c r="L231" i="175"/>
  <c r="J231" i="175"/>
  <c r="I231" i="175"/>
  <c r="Q230" i="175"/>
  <c r="P230" i="175"/>
  <c r="O230" i="175"/>
  <c r="N230" i="175"/>
  <c r="L230" i="175"/>
  <c r="J230" i="175"/>
  <c r="I230" i="175"/>
  <c r="Q229" i="175"/>
  <c r="P229" i="175"/>
  <c r="O229" i="175"/>
  <c r="N229" i="175"/>
  <c r="L229" i="175"/>
  <c r="J229" i="175"/>
  <c r="I229" i="175"/>
  <c r="Q228" i="175"/>
  <c r="P228" i="175"/>
  <c r="O228" i="175"/>
  <c r="N228" i="175"/>
  <c r="L228" i="175"/>
  <c r="J228" i="175"/>
  <c r="I228" i="175"/>
  <c r="Q227" i="175"/>
  <c r="P227" i="175"/>
  <c r="O227" i="175"/>
  <c r="N227" i="175"/>
  <c r="L227" i="175"/>
  <c r="J227" i="175"/>
  <c r="I227" i="175"/>
  <c r="Q226" i="175"/>
  <c r="P226" i="175"/>
  <c r="O226" i="175"/>
  <c r="N226" i="175"/>
  <c r="L226" i="175"/>
  <c r="J226" i="175"/>
  <c r="I226" i="175"/>
  <c r="Q225" i="175"/>
  <c r="P225" i="175"/>
  <c r="O225" i="175"/>
  <c r="N225" i="175"/>
  <c r="L225" i="175"/>
  <c r="J225" i="175"/>
  <c r="I225" i="175"/>
  <c r="Q224" i="175"/>
  <c r="P224" i="175"/>
  <c r="O224" i="175"/>
  <c r="N224" i="175"/>
  <c r="L224" i="175"/>
  <c r="J224" i="175"/>
  <c r="I224" i="175"/>
  <c r="Q223" i="175"/>
  <c r="P223" i="175"/>
  <c r="O223" i="175"/>
  <c r="N223" i="175"/>
  <c r="L223" i="175"/>
  <c r="J223" i="175"/>
  <c r="I223" i="175"/>
  <c r="Q222" i="175"/>
  <c r="P222" i="175"/>
  <c r="O222" i="175"/>
  <c r="N222" i="175"/>
  <c r="L222" i="175"/>
  <c r="J222" i="175"/>
  <c r="I222" i="175"/>
  <c r="Q221" i="175"/>
  <c r="P221" i="175"/>
  <c r="O221" i="175"/>
  <c r="N221" i="175"/>
  <c r="L221" i="175"/>
  <c r="J221" i="175"/>
  <c r="I221" i="175"/>
  <c r="Q220" i="175"/>
  <c r="P220" i="175"/>
  <c r="O220" i="175"/>
  <c r="N220" i="175"/>
  <c r="L220" i="175"/>
  <c r="J220" i="175"/>
  <c r="I220" i="175"/>
  <c r="R219" i="175"/>
  <c r="Q219" i="175"/>
  <c r="P219" i="175"/>
  <c r="O219" i="175"/>
  <c r="N219" i="175"/>
  <c r="L219" i="175"/>
  <c r="J219" i="175"/>
  <c r="I219" i="175"/>
  <c r="Q218" i="175"/>
  <c r="P218" i="175"/>
  <c r="O218" i="175"/>
  <c r="N218" i="175"/>
  <c r="L218" i="175"/>
  <c r="J218" i="175"/>
  <c r="I218" i="175"/>
  <c r="Q217" i="175"/>
  <c r="P217" i="175"/>
  <c r="O217" i="175"/>
  <c r="N217" i="175"/>
  <c r="L217" i="175"/>
  <c r="J217" i="175"/>
  <c r="I217" i="175"/>
  <c r="Q216" i="175"/>
  <c r="P216" i="175"/>
  <c r="O216" i="175"/>
  <c r="N216" i="175"/>
  <c r="L216" i="175"/>
  <c r="J216" i="175"/>
  <c r="I216" i="175"/>
  <c r="Q215" i="175"/>
  <c r="P215" i="175"/>
  <c r="O215" i="175"/>
  <c r="N215" i="175"/>
  <c r="L215" i="175"/>
  <c r="J215" i="175"/>
  <c r="I215" i="175"/>
  <c r="Q214" i="175"/>
  <c r="P214" i="175"/>
  <c r="O214" i="175"/>
  <c r="N214" i="175"/>
  <c r="L214" i="175"/>
  <c r="J214" i="175"/>
  <c r="I214" i="175"/>
  <c r="Q213" i="175"/>
  <c r="P213" i="175"/>
  <c r="O213" i="175"/>
  <c r="N213" i="175"/>
  <c r="L213" i="175"/>
  <c r="J213" i="175"/>
  <c r="I213" i="175"/>
  <c r="Q212" i="175"/>
  <c r="P212" i="175"/>
  <c r="O212" i="175"/>
  <c r="N212" i="175"/>
  <c r="L212" i="175"/>
  <c r="J212" i="175"/>
  <c r="I212" i="175"/>
  <c r="Q211" i="175"/>
  <c r="P211" i="175"/>
  <c r="O211" i="175"/>
  <c r="N211" i="175"/>
  <c r="L211" i="175"/>
  <c r="J211" i="175"/>
  <c r="I211" i="175"/>
  <c r="Q210" i="175"/>
  <c r="P210" i="175"/>
  <c r="O210" i="175"/>
  <c r="N210" i="175"/>
  <c r="L210" i="175"/>
  <c r="J210" i="175"/>
  <c r="I210" i="175"/>
  <c r="Q209" i="175"/>
  <c r="P209" i="175"/>
  <c r="O209" i="175"/>
  <c r="N209" i="175"/>
  <c r="L209" i="175"/>
  <c r="J209" i="175"/>
  <c r="I209" i="175"/>
  <c r="Q208" i="175"/>
  <c r="P208" i="175"/>
  <c r="O208" i="175"/>
  <c r="N208" i="175"/>
  <c r="L208" i="175"/>
  <c r="J208" i="175"/>
  <c r="I208" i="175"/>
  <c r="Q207" i="175"/>
  <c r="P207" i="175"/>
  <c r="O207" i="175"/>
  <c r="N207" i="175"/>
  <c r="L207" i="175"/>
  <c r="J207" i="175"/>
  <c r="I207" i="175"/>
  <c r="Q206" i="175"/>
  <c r="P206" i="175"/>
  <c r="O206" i="175"/>
  <c r="N206" i="175"/>
  <c r="L206" i="175"/>
  <c r="J206" i="175"/>
  <c r="I206" i="175"/>
  <c r="Q205" i="175"/>
  <c r="P205" i="175"/>
  <c r="O205" i="175"/>
  <c r="N205" i="175"/>
  <c r="L205" i="175"/>
  <c r="J205" i="175"/>
  <c r="I205" i="175"/>
  <c r="Q204" i="175"/>
  <c r="P204" i="175"/>
  <c r="O204" i="175"/>
  <c r="N204" i="175"/>
  <c r="L204" i="175"/>
  <c r="J204" i="175"/>
  <c r="I204" i="175"/>
  <c r="Q203" i="175"/>
  <c r="P203" i="175"/>
  <c r="O203" i="175"/>
  <c r="N203" i="175"/>
  <c r="L203" i="175"/>
  <c r="J203" i="175"/>
  <c r="I203" i="175"/>
  <c r="Q202" i="175"/>
  <c r="P202" i="175"/>
  <c r="O202" i="175"/>
  <c r="N202" i="175"/>
  <c r="L202" i="175"/>
  <c r="J202" i="175"/>
  <c r="I202" i="175"/>
  <c r="Q201" i="175"/>
  <c r="P201" i="175"/>
  <c r="O201" i="175"/>
  <c r="N201" i="175"/>
  <c r="L201" i="175"/>
  <c r="J201" i="175"/>
  <c r="I201" i="175"/>
  <c r="Q200" i="175"/>
  <c r="P200" i="175"/>
  <c r="O200" i="175"/>
  <c r="N200" i="175"/>
  <c r="L200" i="175"/>
  <c r="J200" i="175"/>
  <c r="I200" i="175"/>
  <c r="Q199" i="175"/>
  <c r="P199" i="175"/>
  <c r="O199" i="175"/>
  <c r="N199" i="175"/>
  <c r="L199" i="175"/>
  <c r="J199" i="175"/>
  <c r="I199" i="175"/>
  <c r="Q198" i="175"/>
  <c r="P198" i="175"/>
  <c r="O198" i="175"/>
  <c r="N198" i="175"/>
  <c r="L198" i="175"/>
  <c r="J198" i="175"/>
  <c r="I198" i="175"/>
  <c r="Q197" i="175"/>
  <c r="P197" i="175"/>
  <c r="O197" i="175"/>
  <c r="N197" i="175"/>
  <c r="L197" i="175"/>
  <c r="J197" i="175"/>
  <c r="I197" i="175"/>
  <c r="Q196" i="175"/>
  <c r="P196" i="175"/>
  <c r="O196" i="175"/>
  <c r="N196" i="175"/>
  <c r="L196" i="175"/>
  <c r="J196" i="175"/>
  <c r="I196" i="175"/>
  <c r="R195" i="175"/>
  <c r="Q195" i="175"/>
  <c r="P195" i="175"/>
  <c r="O195" i="175"/>
  <c r="N195" i="175"/>
  <c r="L195" i="175"/>
  <c r="J195" i="175"/>
  <c r="I195" i="175"/>
  <c r="Q194" i="175"/>
  <c r="P194" i="175"/>
  <c r="O194" i="175"/>
  <c r="N194" i="175"/>
  <c r="L194" i="175"/>
  <c r="J194" i="175"/>
  <c r="I194" i="175"/>
  <c r="Q193" i="175"/>
  <c r="P193" i="175"/>
  <c r="O193" i="175"/>
  <c r="N193" i="175"/>
  <c r="L193" i="175"/>
  <c r="J193" i="175"/>
  <c r="I193" i="175"/>
  <c r="Q192" i="175"/>
  <c r="P192" i="175"/>
  <c r="O192" i="175"/>
  <c r="N192" i="175"/>
  <c r="L192" i="175"/>
  <c r="J192" i="175"/>
  <c r="I192" i="175"/>
  <c r="Q191" i="175"/>
  <c r="P191" i="175"/>
  <c r="O191" i="175"/>
  <c r="N191" i="175"/>
  <c r="L191" i="175"/>
  <c r="J191" i="175"/>
  <c r="I191" i="175"/>
  <c r="Q190" i="175"/>
  <c r="P190" i="175"/>
  <c r="O190" i="175"/>
  <c r="N190" i="175"/>
  <c r="L190" i="175"/>
  <c r="J190" i="175"/>
  <c r="I190" i="175"/>
  <c r="Q189" i="175"/>
  <c r="P189" i="175"/>
  <c r="O189" i="175"/>
  <c r="N189" i="175"/>
  <c r="L189" i="175"/>
  <c r="J189" i="175"/>
  <c r="I189" i="175"/>
  <c r="Q188" i="175"/>
  <c r="P188" i="175"/>
  <c r="O188" i="175"/>
  <c r="N188" i="175"/>
  <c r="M188" i="175"/>
  <c r="L188" i="175"/>
  <c r="J188" i="175"/>
  <c r="I188" i="175"/>
  <c r="Q187" i="175"/>
  <c r="P187" i="175"/>
  <c r="O187" i="175"/>
  <c r="N187" i="175"/>
  <c r="M187" i="175"/>
  <c r="L187" i="175"/>
  <c r="J187" i="175"/>
  <c r="I187" i="175"/>
  <c r="Q186" i="175"/>
  <c r="P186" i="175"/>
  <c r="O186" i="175"/>
  <c r="N186" i="175"/>
  <c r="M186" i="175"/>
  <c r="L186" i="175"/>
  <c r="J186" i="175"/>
  <c r="I186" i="175"/>
  <c r="Q185" i="175"/>
  <c r="P185" i="175"/>
  <c r="O185" i="175"/>
  <c r="N185" i="175"/>
  <c r="M185" i="175"/>
  <c r="L185" i="175"/>
  <c r="J185" i="175"/>
  <c r="I185" i="175"/>
  <c r="Q184" i="175"/>
  <c r="P184" i="175"/>
  <c r="O184" i="175"/>
  <c r="N184" i="175"/>
  <c r="L184" i="175"/>
  <c r="J184" i="175"/>
  <c r="I184" i="175"/>
  <c r="Q183" i="175"/>
  <c r="P183" i="175"/>
  <c r="O183" i="175"/>
  <c r="N183" i="175"/>
  <c r="M183" i="175"/>
  <c r="L183" i="175"/>
  <c r="J183" i="175"/>
  <c r="I183" i="175"/>
  <c r="Q182" i="175"/>
  <c r="P182" i="175"/>
  <c r="O182" i="175"/>
  <c r="N182" i="175"/>
  <c r="M182" i="175"/>
  <c r="L182" i="175"/>
  <c r="J182" i="175"/>
  <c r="I182" i="175"/>
  <c r="Q181" i="175"/>
  <c r="P181" i="175"/>
  <c r="O181" i="175"/>
  <c r="N181" i="175"/>
  <c r="M181" i="175"/>
  <c r="L181" i="175"/>
  <c r="J181" i="175"/>
  <c r="I181" i="175"/>
  <c r="Q180" i="175"/>
  <c r="P180" i="175"/>
  <c r="O180" i="175"/>
  <c r="N180" i="175"/>
  <c r="M180" i="175"/>
  <c r="L180" i="175"/>
  <c r="J180" i="175"/>
  <c r="I180" i="175"/>
  <c r="Q179" i="175"/>
  <c r="P179" i="175"/>
  <c r="O179" i="175"/>
  <c r="N179" i="175"/>
  <c r="M179" i="175"/>
  <c r="L179" i="175"/>
  <c r="J179" i="175"/>
  <c r="I179" i="175"/>
  <c r="Q178" i="175"/>
  <c r="P178" i="175"/>
  <c r="O178" i="175"/>
  <c r="N178" i="175"/>
  <c r="M178" i="175"/>
  <c r="L178" i="175"/>
  <c r="J178" i="175"/>
  <c r="I178" i="175"/>
  <c r="Q177" i="175"/>
  <c r="P177" i="175"/>
  <c r="O177" i="175"/>
  <c r="N177" i="175"/>
  <c r="M177" i="175"/>
  <c r="L177" i="175"/>
  <c r="J177" i="175"/>
  <c r="I177" i="175"/>
  <c r="Q176" i="175"/>
  <c r="P176" i="175"/>
  <c r="O176" i="175"/>
  <c r="N176" i="175"/>
  <c r="M176" i="175"/>
  <c r="L176" i="175"/>
  <c r="J176" i="175"/>
  <c r="I176" i="175"/>
  <c r="Q175" i="175"/>
  <c r="P175" i="175"/>
  <c r="O175" i="175"/>
  <c r="N175" i="175"/>
  <c r="M175" i="175"/>
  <c r="L175" i="175"/>
  <c r="J175" i="175"/>
  <c r="I175" i="175"/>
  <c r="Q174" i="175"/>
  <c r="P174" i="175"/>
  <c r="O174" i="175"/>
  <c r="N174" i="175"/>
  <c r="M174" i="175"/>
  <c r="L174" i="175"/>
  <c r="J174" i="175"/>
  <c r="I174" i="175"/>
  <c r="Q173" i="175"/>
  <c r="P173" i="175"/>
  <c r="O173" i="175"/>
  <c r="N173" i="175"/>
  <c r="M173" i="175"/>
  <c r="L173" i="175"/>
  <c r="J173" i="175"/>
  <c r="I173" i="175"/>
  <c r="Q172" i="175"/>
  <c r="N172" i="175"/>
  <c r="L172" i="175"/>
  <c r="J172" i="175"/>
  <c r="I172" i="175"/>
  <c r="R171" i="175"/>
  <c r="Q171" i="175"/>
  <c r="P171" i="175"/>
  <c r="O171" i="175"/>
  <c r="N171" i="175"/>
  <c r="M171" i="175"/>
  <c r="L171" i="175"/>
  <c r="J171" i="175"/>
  <c r="I171" i="175"/>
  <c r="Q170" i="175"/>
  <c r="P170" i="175"/>
  <c r="O170" i="175"/>
  <c r="N170" i="175"/>
  <c r="L170" i="175"/>
  <c r="J170" i="175"/>
  <c r="I170" i="175"/>
  <c r="Q169" i="175"/>
  <c r="P169" i="175"/>
  <c r="O169" i="175"/>
  <c r="N169" i="175"/>
  <c r="M169" i="175"/>
  <c r="L169" i="175"/>
  <c r="J169" i="175"/>
  <c r="I169" i="175"/>
  <c r="Q168" i="175"/>
  <c r="P168" i="175"/>
  <c r="O168" i="175"/>
  <c r="N168" i="175"/>
  <c r="M168" i="175"/>
  <c r="L168" i="175"/>
  <c r="J168" i="175"/>
  <c r="I168" i="175"/>
  <c r="Q167" i="175"/>
  <c r="P167" i="175"/>
  <c r="O167" i="175"/>
  <c r="N167" i="175"/>
  <c r="M167" i="175"/>
  <c r="L167" i="175"/>
  <c r="J167" i="175"/>
  <c r="I167" i="175"/>
  <c r="Q166" i="175"/>
  <c r="P166" i="175"/>
  <c r="O166" i="175"/>
  <c r="N166" i="175"/>
  <c r="M166" i="175"/>
  <c r="L166" i="175"/>
  <c r="J166" i="175"/>
  <c r="I166" i="175"/>
  <c r="Q165" i="175"/>
  <c r="P165" i="175"/>
  <c r="O165" i="175"/>
  <c r="N165" i="175"/>
  <c r="M165" i="175"/>
  <c r="L165" i="175"/>
  <c r="J165" i="175"/>
  <c r="I165" i="175"/>
  <c r="Q164" i="175"/>
  <c r="P164" i="175"/>
  <c r="O164" i="175"/>
  <c r="N164" i="175"/>
  <c r="M164" i="175"/>
  <c r="L164" i="175"/>
  <c r="J164" i="175"/>
  <c r="I164" i="175"/>
  <c r="Q163" i="175"/>
  <c r="P163" i="175"/>
  <c r="O163" i="175"/>
  <c r="N163" i="175"/>
  <c r="M163" i="175"/>
  <c r="L163" i="175"/>
  <c r="J163" i="175"/>
  <c r="I163" i="175"/>
  <c r="Q162" i="175"/>
  <c r="P162" i="175"/>
  <c r="O162" i="175"/>
  <c r="N162" i="175"/>
  <c r="M162" i="175"/>
  <c r="L162" i="175"/>
  <c r="J162" i="175"/>
  <c r="I162" i="175"/>
  <c r="Q161" i="175"/>
  <c r="P161" i="175"/>
  <c r="O161" i="175"/>
  <c r="N161" i="175"/>
  <c r="M161" i="175"/>
  <c r="L161" i="175"/>
  <c r="J161" i="175"/>
  <c r="I161" i="175"/>
  <c r="Q160" i="175"/>
  <c r="P160" i="175"/>
  <c r="O160" i="175"/>
  <c r="N160" i="175"/>
  <c r="M160" i="175"/>
  <c r="L160" i="175"/>
  <c r="J160" i="175"/>
  <c r="I160" i="175"/>
  <c r="Q159" i="175"/>
  <c r="N159" i="175"/>
  <c r="M159" i="175"/>
  <c r="L159" i="175"/>
  <c r="J159" i="175"/>
  <c r="I159" i="175"/>
  <c r="Q158" i="175"/>
  <c r="P158" i="175"/>
  <c r="N158" i="175"/>
  <c r="L158" i="175"/>
  <c r="J158" i="175"/>
  <c r="I158" i="175"/>
  <c r="Q157" i="175"/>
  <c r="P157" i="175"/>
  <c r="N157" i="175"/>
  <c r="L157" i="175"/>
  <c r="J157" i="175"/>
  <c r="I157" i="175"/>
  <c r="S156" i="175"/>
  <c r="Q156" i="175"/>
  <c r="P156" i="175"/>
  <c r="N156" i="175"/>
  <c r="L156" i="175"/>
  <c r="J156" i="175"/>
  <c r="I156" i="175"/>
  <c r="Q155" i="175"/>
  <c r="P155" i="175"/>
  <c r="N155" i="175"/>
  <c r="L155" i="175"/>
  <c r="J155" i="175"/>
  <c r="I155" i="175"/>
  <c r="Q154" i="175"/>
  <c r="P154" i="175"/>
  <c r="N154" i="175"/>
  <c r="L154" i="175"/>
  <c r="J154" i="175"/>
  <c r="I154" i="175"/>
  <c r="Q153" i="175"/>
  <c r="P153" i="175"/>
  <c r="N153" i="175"/>
  <c r="L153" i="175"/>
  <c r="J153" i="175"/>
  <c r="I153" i="175"/>
  <c r="Q152" i="175"/>
  <c r="P152" i="175"/>
  <c r="N152" i="175"/>
  <c r="L152" i="175"/>
  <c r="J152" i="175"/>
  <c r="I152" i="175"/>
  <c r="Q151" i="175"/>
  <c r="P151" i="175"/>
  <c r="N151" i="175"/>
  <c r="L151" i="175"/>
  <c r="J151" i="175"/>
  <c r="I151" i="175"/>
  <c r="Q150" i="175"/>
  <c r="P150" i="175"/>
  <c r="N150" i="175"/>
  <c r="L150" i="175"/>
  <c r="J150" i="175"/>
  <c r="I150" i="175"/>
  <c r="Q149" i="175"/>
  <c r="P149" i="175"/>
  <c r="N149" i="175"/>
  <c r="L149" i="175"/>
  <c r="J149" i="175"/>
  <c r="I149" i="175"/>
  <c r="Q148" i="175"/>
  <c r="P148" i="175"/>
  <c r="N148" i="175"/>
  <c r="L148" i="175"/>
  <c r="J148" i="175"/>
  <c r="I148" i="175"/>
  <c r="R147" i="175"/>
  <c r="Q147" i="175"/>
  <c r="P147" i="175"/>
  <c r="N147" i="175"/>
  <c r="L147" i="175"/>
  <c r="J147" i="175"/>
  <c r="I147" i="175"/>
  <c r="Q146" i="175"/>
  <c r="P146" i="175"/>
  <c r="N146" i="175"/>
  <c r="L146" i="175"/>
  <c r="J146" i="175"/>
  <c r="I146" i="175"/>
  <c r="Q145" i="175"/>
  <c r="P145" i="175"/>
  <c r="N145" i="175"/>
  <c r="L145" i="175"/>
  <c r="J145" i="175"/>
  <c r="I145" i="175"/>
  <c r="Q144" i="175"/>
  <c r="P144" i="175"/>
  <c r="N144" i="175"/>
  <c r="L144" i="175"/>
  <c r="J144" i="175"/>
  <c r="I144" i="175"/>
  <c r="Q143" i="175"/>
  <c r="P143" i="175"/>
  <c r="N143" i="175"/>
  <c r="L143" i="175"/>
  <c r="J143" i="175"/>
  <c r="I143" i="175"/>
  <c r="Q142" i="175"/>
  <c r="P142" i="175"/>
  <c r="N142" i="175"/>
  <c r="L142" i="175"/>
  <c r="J142" i="175"/>
  <c r="I142" i="175"/>
  <c r="Q141" i="175"/>
  <c r="P141" i="175"/>
  <c r="N141" i="175"/>
  <c r="L141" i="175"/>
  <c r="J141" i="175"/>
  <c r="I141" i="175"/>
  <c r="Q140" i="175"/>
  <c r="P140" i="175"/>
  <c r="N140" i="175"/>
  <c r="L140" i="175"/>
  <c r="J140" i="175"/>
  <c r="I140" i="175"/>
  <c r="Q139" i="175"/>
  <c r="P139" i="175"/>
  <c r="N139" i="175"/>
  <c r="L139" i="175"/>
  <c r="J139" i="175"/>
  <c r="I139" i="175"/>
  <c r="Q138" i="175"/>
  <c r="P138" i="175"/>
  <c r="N138" i="175"/>
  <c r="L138" i="175"/>
  <c r="J138" i="175"/>
  <c r="I138" i="175"/>
  <c r="Q137" i="175"/>
  <c r="P137" i="175"/>
  <c r="N137" i="175"/>
  <c r="L137" i="175"/>
  <c r="J137" i="175"/>
  <c r="I137" i="175"/>
  <c r="Q136" i="175"/>
  <c r="P136" i="175"/>
  <c r="N136" i="175"/>
  <c r="L136" i="175"/>
  <c r="J136" i="175"/>
  <c r="I136" i="175"/>
  <c r="Q135" i="175"/>
  <c r="P135" i="175"/>
  <c r="N135" i="175"/>
  <c r="L135" i="175"/>
  <c r="J135" i="175"/>
  <c r="I135" i="175"/>
  <c r="Q134" i="175"/>
  <c r="P134" i="175"/>
  <c r="N134" i="175"/>
  <c r="L134" i="175"/>
  <c r="J134" i="175"/>
  <c r="I134" i="175"/>
  <c r="Q133" i="175"/>
  <c r="P133" i="175"/>
  <c r="N133" i="175"/>
  <c r="L133" i="175"/>
  <c r="J133" i="175"/>
  <c r="I133" i="175"/>
  <c r="Q132" i="175"/>
  <c r="P132" i="175"/>
  <c r="N132" i="175"/>
  <c r="L132" i="175"/>
  <c r="J132" i="175"/>
  <c r="I132" i="175"/>
  <c r="Q131" i="175"/>
  <c r="P131" i="175"/>
  <c r="N131" i="175"/>
  <c r="L131" i="175"/>
  <c r="J131" i="175"/>
  <c r="I131" i="175"/>
  <c r="Q130" i="175"/>
  <c r="P130" i="175"/>
  <c r="N130" i="175"/>
  <c r="L130" i="175"/>
  <c r="J130" i="175"/>
  <c r="I130" i="175"/>
  <c r="Q129" i="175"/>
  <c r="P129" i="175"/>
  <c r="N129" i="175"/>
  <c r="L129" i="175"/>
  <c r="J129" i="175"/>
  <c r="I129" i="175"/>
  <c r="Q128" i="175"/>
  <c r="P128" i="175"/>
  <c r="N128" i="175"/>
  <c r="L128" i="175"/>
  <c r="J128" i="175"/>
  <c r="I128" i="175"/>
  <c r="Q127" i="175"/>
  <c r="P127" i="175"/>
  <c r="N127" i="175"/>
  <c r="L127" i="175"/>
  <c r="J127" i="175"/>
  <c r="I127" i="175"/>
  <c r="Q126" i="175"/>
  <c r="P126" i="175"/>
  <c r="N126" i="175"/>
  <c r="L126" i="175"/>
  <c r="J126" i="175"/>
  <c r="I126" i="175"/>
  <c r="Q125" i="175"/>
  <c r="P125" i="175"/>
  <c r="N125" i="175"/>
  <c r="L125" i="175"/>
  <c r="J125" i="175"/>
  <c r="I125" i="175"/>
  <c r="Q124" i="175"/>
  <c r="P124" i="175"/>
  <c r="N124" i="175"/>
  <c r="L124" i="175"/>
  <c r="J124" i="175"/>
  <c r="I124" i="175"/>
  <c r="R123" i="175"/>
  <c r="Q123" i="175"/>
  <c r="P123" i="175"/>
  <c r="N123" i="175"/>
  <c r="L123" i="175"/>
  <c r="J123" i="175"/>
  <c r="I123" i="175"/>
  <c r="Q122" i="175"/>
  <c r="P122" i="175"/>
  <c r="N122" i="175"/>
  <c r="L122" i="175"/>
  <c r="J122" i="175"/>
  <c r="I122" i="175"/>
  <c r="Q121" i="175"/>
  <c r="P121" i="175"/>
  <c r="N121" i="175"/>
  <c r="L121" i="175"/>
  <c r="J121" i="175"/>
  <c r="I121" i="175"/>
  <c r="Q120" i="175"/>
  <c r="P120" i="175"/>
  <c r="N120" i="175"/>
  <c r="L120" i="175"/>
  <c r="J120" i="175"/>
  <c r="I120" i="175"/>
  <c r="Q119" i="175"/>
  <c r="P119" i="175"/>
  <c r="N119" i="175"/>
  <c r="L119" i="175"/>
  <c r="J119" i="175"/>
  <c r="I119" i="175"/>
  <c r="Q118" i="175"/>
  <c r="P118" i="175"/>
  <c r="N118" i="175"/>
  <c r="L118" i="175"/>
  <c r="J118" i="175"/>
  <c r="I118" i="175"/>
  <c r="Q117" i="175"/>
  <c r="P117" i="175"/>
  <c r="N117" i="175"/>
  <c r="L117" i="175"/>
  <c r="J117" i="175"/>
  <c r="I117" i="175"/>
  <c r="Q116" i="175"/>
  <c r="P116" i="175"/>
  <c r="N116" i="175"/>
  <c r="L116" i="175"/>
  <c r="J116" i="175"/>
  <c r="I116" i="175"/>
  <c r="Q115" i="175"/>
  <c r="P115" i="175"/>
  <c r="N115" i="175"/>
  <c r="L115" i="175"/>
  <c r="J115" i="175"/>
  <c r="I115" i="175"/>
  <c r="Q114" i="175"/>
  <c r="P114" i="175"/>
  <c r="N114" i="175"/>
  <c r="L114" i="175"/>
  <c r="J114" i="175"/>
  <c r="I114" i="175"/>
  <c r="Q113" i="175"/>
  <c r="P113" i="175"/>
  <c r="N113" i="175"/>
  <c r="L113" i="175"/>
  <c r="J113" i="175"/>
  <c r="I113" i="175"/>
  <c r="T112" i="175"/>
  <c r="Q112" i="175"/>
  <c r="P112" i="175"/>
  <c r="N112" i="175"/>
  <c r="L112" i="175"/>
  <c r="J112" i="175"/>
  <c r="I112" i="175"/>
  <c r="Q111" i="175"/>
  <c r="P111" i="175"/>
  <c r="N111" i="175"/>
  <c r="L111" i="175"/>
  <c r="J111" i="175"/>
  <c r="I111" i="175"/>
  <c r="Q110" i="175"/>
  <c r="P110" i="175"/>
  <c r="N110" i="175"/>
  <c r="L110" i="175"/>
  <c r="J110" i="175"/>
  <c r="I110" i="175"/>
  <c r="Q109" i="175"/>
  <c r="P109" i="175"/>
  <c r="N109" i="175"/>
  <c r="L109" i="175"/>
  <c r="J109" i="175"/>
  <c r="I109" i="175"/>
  <c r="Q108" i="175"/>
  <c r="P108" i="175"/>
  <c r="N108" i="175"/>
  <c r="L108" i="175"/>
  <c r="J108" i="175"/>
  <c r="I108" i="175"/>
  <c r="Q107" i="175"/>
  <c r="P107" i="175"/>
  <c r="N107" i="175"/>
  <c r="L107" i="175"/>
  <c r="J107" i="175"/>
  <c r="I107" i="175"/>
  <c r="Q106" i="175"/>
  <c r="P106" i="175"/>
  <c r="N106" i="175"/>
  <c r="L106" i="175"/>
  <c r="J106" i="175"/>
  <c r="I106" i="175"/>
  <c r="Q105" i="175"/>
  <c r="P105" i="175"/>
  <c r="N105" i="175"/>
  <c r="L105" i="175"/>
  <c r="J105" i="175"/>
  <c r="I105" i="175"/>
  <c r="Q104" i="175"/>
  <c r="P104" i="175"/>
  <c r="N104" i="175"/>
  <c r="L104" i="175"/>
  <c r="J104" i="175"/>
  <c r="I104" i="175"/>
  <c r="Q103" i="175"/>
  <c r="P103" i="175"/>
  <c r="N103" i="175"/>
  <c r="L103" i="175"/>
  <c r="J103" i="175"/>
  <c r="I103" i="175"/>
  <c r="Q102" i="175"/>
  <c r="P102" i="175"/>
  <c r="N102" i="175"/>
  <c r="L102" i="175"/>
  <c r="J102" i="175"/>
  <c r="I102" i="175"/>
  <c r="Q101" i="175"/>
  <c r="P101" i="175"/>
  <c r="N101" i="175"/>
  <c r="L101" i="175"/>
  <c r="J101" i="175"/>
  <c r="I101" i="175"/>
  <c r="Q100" i="175"/>
  <c r="P100" i="175"/>
  <c r="N100" i="175"/>
  <c r="L100" i="175"/>
  <c r="J100" i="175"/>
  <c r="I100" i="175"/>
  <c r="R99" i="175"/>
  <c r="Q99" i="175"/>
  <c r="P99" i="175"/>
  <c r="N99" i="175"/>
  <c r="L99" i="175"/>
  <c r="J99" i="175"/>
  <c r="I99" i="175"/>
  <c r="Q98" i="175"/>
  <c r="P98" i="175"/>
  <c r="N98" i="175"/>
  <c r="L98" i="175"/>
  <c r="J98" i="175"/>
  <c r="I98" i="175"/>
  <c r="Q97" i="175"/>
  <c r="P97" i="175"/>
  <c r="N97" i="175"/>
  <c r="L97" i="175"/>
  <c r="J97" i="175"/>
  <c r="I97" i="175"/>
  <c r="Q96" i="175"/>
  <c r="P96" i="175"/>
  <c r="N96" i="175"/>
  <c r="L96" i="175"/>
  <c r="J96" i="175"/>
  <c r="I96" i="175"/>
  <c r="Q95" i="175"/>
  <c r="P95" i="175"/>
  <c r="N95" i="175"/>
  <c r="L95" i="175"/>
  <c r="J95" i="175"/>
  <c r="I95" i="175"/>
  <c r="Q94" i="175"/>
  <c r="P94" i="175"/>
  <c r="N94" i="175"/>
  <c r="L94" i="175"/>
  <c r="J94" i="175"/>
  <c r="I94" i="175"/>
  <c r="Q93" i="175"/>
  <c r="P93" i="175"/>
  <c r="N93" i="175"/>
  <c r="L93" i="175"/>
  <c r="J93" i="175"/>
  <c r="I93" i="175"/>
  <c r="Q92" i="175"/>
  <c r="P92" i="175"/>
  <c r="N92" i="175"/>
  <c r="M92" i="175"/>
  <c r="L92" i="175"/>
  <c r="J92" i="175"/>
  <c r="I92" i="175"/>
  <c r="S91" i="175"/>
  <c r="Q91" i="175"/>
  <c r="P91" i="175"/>
  <c r="N91" i="175"/>
  <c r="M91" i="175"/>
  <c r="L91" i="175"/>
  <c r="J91" i="175"/>
  <c r="I91" i="175"/>
  <c r="Q90" i="175"/>
  <c r="P90" i="175"/>
  <c r="N90" i="175"/>
  <c r="M90" i="175"/>
  <c r="L90" i="175"/>
  <c r="J90" i="175"/>
  <c r="I90" i="175"/>
  <c r="Q89" i="175"/>
  <c r="P89" i="175"/>
  <c r="N89" i="175"/>
  <c r="M89" i="175"/>
  <c r="L89" i="175"/>
  <c r="J89" i="175"/>
  <c r="I89" i="175"/>
  <c r="Q88" i="175"/>
  <c r="P88" i="175"/>
  <c r="N88" i="175"/>
  <c r="M88" i="175"/>
  <c r="L88" i="175"/>
  <c r="J88" i="175"/>
  <c r="I88" i="175"/>
  <c r="Q87" i="175"/>
  <c r="P87" i="175"/>
  <c r="N87" i="175"/>
  <c r="M87" i="175"/>
  <c r="L87" i="175"/>
  <c r="J87" i="175"/>
  <c r="I87" i="175"/>
  <c r="Q86" i="175"/>
  <c r="P86" i="175"/>
  <c r="N86" i="175"/>
  <c r="M86" i="175"/>
  <c r="L86" i="175"/>
  <c r="J86" i="175"/>
  <c r="I86" i="175"/>
  <c r="Q85" i="175"/>
  <c r="P85" i="175"/>
  <c r="O85" i="175"/>
  <c r="N85" i="175"/>
  <c r="M85" i="175"/>
  <c r="L85" i="175"/>
  <c r="J85" i="175"/>
  <c r="I85" i="175"/>
  <c r="Q84" i="175"/>
  <c r="P84" i="175"/>
  <c r="O84" i="175"/>
  <c r="N84" i="175"/>
  <c r="M84" i="175"/>
  <c r="L84" i="175"/>
  <c r="J84" i="175"/>
  <c r="I84" i="175"/>
  <c r="Q83" i="175"/>
  <c r="P83" i="175"/>
  <c r="O83" i="175"/>
  <c r="N83" i="175"/>
  <c r="M83" i="175"/>
  <c r="L83" i="175"/>
  <c r="J83" i="175"/>
  <c r="I83" i="175"/>
  <c r="Q82" i="175"/>
  <c r="P82" i="175"/>
  <c r="O82" i="175"/>
  <c r="N82" i="175"/>
  <c r="M82" i="175"/>
  <c r="L82" i="175"/>
  <c r="J82" i="175"/>
  <c r="I82" i="175"/>
  <c r="Q81" i="175"/>
  <c r="P81" i="175"/>
  <c r="O81" i="175"/>
  <c r="N81" i="175"/>
  <c r="M81" i="175"/>
  <c r="L81" i="175"/>
  <c r="J81" i="175"/>
  <c r="I81" i="175"/>
  <c r="Q80" i="175"/>
  <c r="P80" i="175"/>
  <c r="O80" i="175"/>
  <c r="N80" i="175"/>
  <c r="M80" i="175"/>
  <c r="L80" i="175"/>
  <c r="J80" i="175"/>
  <c r="I80" i="175"/>
  <c r="Q79" i="175"/>
  <c r="P79" i="175"/>
  <c r="O79" i="175"/>
  <c r="N79" i="175"/>
  <c r="M79" i="175"/>
  <c r="L79" i="175"/>
  <c r="J79" i="175"/>
  <c r="I79" i="175"/>
  <c r="Q78" i="175"/>
  <c r="P78" i="175"/>
  <c r="O78" i="175"/>
  <c r="N78" i="175"/>
  <c r="M78" i="175"/>
  <c r="L78" i="175"/>
  <c r="J78" i="175"/>
  <c r="I78" i="175"/>
  <c r="Q77" i="175"/>
  <c r="P77" i="175"/>
  <c r="O77" i="175"/>
  <c r="N77" i="175"/>
  <c r="M77" i="175"/>
  <c r="L77" i="175"/>
  <c r="J77" i="175"/>
  <c r="I77" i="175"/>
  <c r="Q76" i="175"/>
  <c r="P76" i="175"/>
  <c r="O76" i="175"/>
  <c r="N76" i="175"/>
  <c r="L76" i="175"/>
  <c r="J76" i="175"/>
  <c r="I76" i="175"/>
  <c r="R75" i="175"/>
  <c r="Q75" i="175"/>
  <c r="P75" i="175"/>
  <c r="O75" i="175"/>
  <c r="N75" i="175"/>
  <c r="L75" i="175"/>
  <c r="J75" i="175"/>
  <c r="I75" i="175"/>
  <c r="Q74" i="175"/>
  <c r="P74" i="175"/>
  <c r="O74" i="175"/>
  <c r="N74" i="175"/>
  <c r="M74" i="175"/>
  <c r="L74" i="175"/>
  <c r="J74" i="175"/>
  <c r="I74" i="175"/>
  <c r="Q73" i="175"/>
  <c r="P73" i="175"/>
  <c r="O73" i="175"/>
  <c r="N73" i="175"/>
  <c r="M73" i="175"/>
  <c r="L73" i="175"/>
  <c r="J73" i="175"/>
  <c r="I73" i="175"/>
  <c r="Q72" i="175"/>
  <c r="P72" i="175"/>
  <c r="O72" i="175"/>
  <c r="N72" i="175"/>
  <c r="M72" i="175"/>
  <c r="L72" i="175"/>
  <c r="J72" i="175"/>
  <c r="I72" i="175"/>
  <c r="Q71" i="175"/>
  <c r="P71" i="175"/>
  <c r="O71" i="175"/>
  <c r="N71" i="175"/>
  <c r="M71" i="175"/>
  <c r="L71" i="175"/>
  <c r="J71" i="175"/>
  <c r="I71" i="175"/>
  <c r="Q70" i="175"/>
  <c r="P70" i="175"/>
  <c r="O70" i="175"/>
  <c r="N70" i="175"/>
  <c r="M70" i="175"/>
  <c r="L70" i="175"/>
  <c r="J70" i="175"/>
  <c r="I70" i="175"/>
  <c r="Q69" i="175"/>
  <c r="P69" i="175"/>
  <c r="O69" i="175"/>
  <c r="N69" i="175"/>
  <c r="M69" i="175"/>
  <c r="L69" i="175"/>
  <c r="J69" i="175"/>
  <c r="I69" i="175"/>
  <c r="Q68" i="175"/>
  <c r="P68" i="175"/>
  <c r="O68" i="175"/>
  <c r="N68" i="175"/>
  <c r="M68" i="175"/>
  <c r="L68" i="175"/>
  <c r="J68" i="175"/>
  <c r="I68" i="175"/>
  <c r="Q67" i="175"/>
  <c r="P67" i="175"/>
  <c r="O67" i="175"/>
  <c r="N67" i="175"/>
  <c r="M67" i="175"/>
  <c r="L67" i="175"/>
  <c r="J67" i="175"/>
  <c r="I67" i="175"/>
  <c r="Q66" i="175"/>
  <c r="P66" i="175"/>
  <c r="O66" i="175"/>
  <c r="N66" i="175"/>
  <c r="M66" i="175"/>
  <c r="L66" i="175"/>
  <c r="J66" i="175"/>
  <c r="I66" i="175"/>
  <c r="S65" i="175"/>
  <c r="Q65" i="175"/>
  <c r="P65" i="175"/>
  <c r="O65" i="175"/>
  <c r="N65" i="175"/>
  <c r="M65" i="175"/>
  <c r="L65" i="175"/>
  <c r="J65" i="175"/>
  <c r="I65" i="175"/>
  <c r="Q64" i="175"/>
  <c r="P64" i="175"/>
  <c r="O64" i="175"/>
  <c r="N64" i="175"/>
  <c r="M64" i="175"/>
  <c r="L64" i="175"/>
  <c r="J64" i="175"/>
  <c r="I64" i="175"/>
  <c r="Q63" i="175"/>
  <c r="P63" i="175"/>
  <c r="O63" i="175"/>
  <c r="N63" i="175"/>
  <c r="M63" i="175"/>
  <c r="L63" i="175"/>
  <c r="J63" i="175"/>
  <c r="I63" i="175"/>
  <c r="Q62" i="175"/>
  <c r="P62" i="175"/>
  <c r="O62" i="175"/>
  <c r="N62" i="175"/>
  <c r="M62" i="175"/>
  <c r="L62" i="175"/>
  <c r="J62" i="175"/>
  <c r="I62" i="175"/>
  <c r="Q61" i="175"/>
  <c r="P61" i="175"/>
  <c r="O61" i="175"/>
  <c r="N61" i="175"/>
  <c r="M61" i="175"/>
  <c r="L61" i="175"/>
  <c r="J61" i="175"/>
  <c r="I61" i="175"/>
  <c r="Q60" i="175"/>
  <c r="P60" i="175"/>
  <c r="O60" i="175"/>
  <c r="N60" i="175"/>
  <c r="M60" i="175"/>
  <c r="L60" i="175"/>
  <c r="J60" i="175"/>
  <c r="I60" i="175"/>
  <c r="Q59" i="175"/>
  <c r="P59" i="175"/>
  <c r="O59" i="175"/>
  <c r="N59" i="175"/>
  <c r="M59" i="175"/>
  <c r="L59" i="175"/>
  <c r="J59" i="175"/>
  <c r="I59" i="175"/>
  <c r="Q58" i="175"/>
  <c r="P58" i="175"/>
  <c r="O58" i="175"/>
  <c r="N58" i="175"/>
  <c r="M58" i="175"/>
  <c r="L58" i="175"/>
  <c r="J58" i="175"/>
  <c r="I58" i="175"/>
  <c r="Q57" i="175"/>
  <c r="P57" i="175"/>
  <c r="O57" i="175"/>
  <c r="N57" i="175"/>
  <c r="M57" i="175"/>
  <c r="L57" i="175"/>
  <c r="J57" i="175"/>
  <c r="I57" i="175"/>
  <c r="Q56" i="175"/>
  <c r="P56" i="175"/>
  <c r="O56" i="175"/>
  <c r="N56" i="175"/>
  <c r="M56" i="175"/>
  <c r="L56" i="175"/>
  <c r="J56" i="175"/>
  <c r="I56" i="175"/>
  <c r="Q55" i="175"/>
  <c r="P55" i="175"/>
  <c r="O55" i="175"/>
  <c r="N55" i="175"/>
  <c r="M55" i="175"/>
  <c r="L55" i="175"/>
  <c r="J55" i="175"/>
  <c r="I55" i="175"/>
  <c r="Q54" i="175"/>
  <c r="P54" i="175"/>
  <c r="O54" i="175"/>
  <c r="N54" i="175"/>
  <c r="M54" i="175"/>
  <c r="L54" i="175"/>
  <c r="J54" i="175"/>
  <c r="I54" i="175"/>
  <c r="Q53" i="175"/>
  <c r="P53" i="175"/>
  <c r="O53" i="175"/>
  <c r="N53" i="175"/>
  <c r="M53" i="175"/>
  <c r="L53" i="175"/>
  <c r="J53" i="175"/>
  <c r="I53" i="175"/>
  <c r="Q52" i="175"/>
  <c r="P52" i="175"/>
  <c r="O52" i="175"/>
  <c r="N52" i="175"/>
  <c r="L52" i="175"/>
  <c r="J52" i="175"/>
  <c r="I52" i="175"/>
  <c r="R51" i="175"/>
  <c r="Q51" i="175"/>
  <c r="P51" i="175"/>
  <c r="O51" i="175"/>
  <c r="N51" i="175"/>
  <c r="M51" i="175"/>
  <c r="L51" i="175"/>
  <c r="J51" i="175"/>
  <c r="I51" i="175"/>
  <c r="Q50" i="175"/>
  <c r="P50" i="175"/>
  <c r="O50" i="175"/>
  <c r="N50" i="175"/>
  <c r="M50" i="175"/>
  <c r="L50" i="175"/>
  <c r="J50" i="175"/>
  <c r="I50" i="175"/>
  <c r="Q49" i="175"/>
  <c r="P49" i="175"/>
  <c r="O49" i="175"/>
  <c r="N49" i="175"/>
  <c r="M49" i="175"/>
  <c r="L49" i="175"/>
  <c r="J49" i="175"/>
  <c r="I49" i="175"/>
  <c r="Q48" i="175"/>
  <c r="P48" i="175"/>
  <c r="O48" i="175"/>
  <c r="N48" i="175"/>
  <c r="M48" i="175"/>
  <c r="L48" i="175"/>
  <c r="J48" i="175"/>
  <c r="I48" i="175"/>
  <c r="Q47" i="175"/>
  <c r="P47" i="175"/>
  <c r="O47" i="175"/>
  <c r="N47" i="175"/>
  <c r="M47" i="175"/>
  <c r="L47" i="175"/>
  <c r="J47" i="175"/>
  <c r="I47" i="175"/>
  <c r="Q46" i="175"/>
  <c r="P46" i="175"/>
  <c r="O46" i="175"/>
  <c r="N46" i="175"/>
  <c r="M46" i="175"/>
  <c r="L46" i="175"/>
  <c r="J46" i="175"/>
  <c r="I46" i="175"/>
  <c r="Q45" i="175"/>
  <c r="P45" i="175"/>
  <c r="O45" i="175"/>
  <c r="N45" i="175"/>
  <c r="M45" i="175"/>
  <c r="L45" i="175"/>
  <c r="J45" i="175"/>
  <c r="I45" i="175"/>
  <c r="Q44" i="175"/>
  <c r="P44" i="175"/>
  <c r="O44" i="175"/>
  <c r="N44" i="175"/>
  <c r="M44" i="175"/>
  <c r="L44" i="175"/>
  <c r="J44" i="175"/>
  <c r="I44" i="175"/>
  <c r="Q43" i="175"/>
  <c r="P43" i="175"/>
  <c r="O43" i="175"/>
  <c r="N43" i="175"/>
  <c r="M43" i="175"/>
  <c r="L43" i="175"/>
  <c r="J43" i="175"/>
  <c r="I43" i="175"/>
  <c r="Q42" i="175"/>
  <c r="P42" i="175"/>
  <c r="O42" i="175"/>
  <c r="N42" i="175"/>
  <c r="M42" i="175"/>
  <c r="L42" i="175"/>
  <c r="J42" i="175"/>
  <c r="I42" i="175"/>
  <c r="Q41" i="175"/>
  <c r="P41" i="175"/>
  <c r="O41" i="175"/>
  <c r="N41" i="175"/>
  <c r="M41" i="175"/>
  <c r="L41" i="175"/>
  <c r="J41" i="175"/>
  <c r="I41" i="175"/>
  <c r="Q40" i="175"/>
  <c r="P40" i="175"/>
  <c r="O40" i="175"/>
  <c r="N40" i="175"/>
  <c r="M40" i="175"/>
  <c r="L40" i="175"/>
  <c r="J40" i="175"/>
  <c r="I40" i="175"/>
  <c r="Q39" i="175"/>
  <c r="N39" i="175"/>
  <c r="L39" i="175"/>
  <c r="K39" i="175"/>
  <c r="J39" i="175"/>
  <c r="I39" i="175"/>
  <c r="Q38" i="175"/>
  <c r="P38" i="175"/>
  <c r="O38" i="175"/>
  <c r="N38" i="175"/>
  <c r="M38" i="175"/>
  <c r="L38" i="175"/>
  <c r="J38" i="175"/>
  <c r="I38" i="175"/>
  <c r="Q37" i="175"/>
  <c r="P37" i="175"/>
  <c r="O37" i="175"/>
  <c r="N37" i="175"/>
  <c r="M37" i="175"/>
  <c r="L37" i="175"/>
  <c r="J37" i="175"/>
  <c r="I37" i="175"/>
  <c r="Q36" i="175"/>
  <c r="P36" i="175"/>
  <c r="O36" i="175"/>
  <c r="N36" i="175"/>
  <c r="M36" i="175"/>
  <c r="L36" i="175"/>
  <c r="J36" i="175"/>
  <c r="I36" i="175"/>
  <c r="Q35" i="175"/>
  <c r="P35" i="175"/>
  <c r="O35" i="175"/>
  <c r="N35" i="175"/>
  <c r="M35" i="175"/>
  <c r="L35" i="175"/>
  <c r="J35" i="175"/>
  <c r="I35" i="175"/>
  <c r="Q34" i="175"/>
  <c r="P34" i="175"/>
  <c r="O34" i="175"/>
  <c r="N34" i="175"/>
  <c r="M34" i="175"/>
  <c r="L34" i="175"/>
  <c r="J34" i="175"/>
  <c r="I34" i="175"/>
  <c r="Q33" i="175"/>
  <c r="P33" i="175"/>
  <c r="O33" i="175"/>
  <c r="N33" i="175"/>
  <c r="M33" i="175"/>
  <c r="L33" i="175"/>
  <c r="J33" i="175"/>
  <c r="I33" i="175"/>
  <c r="Q32" i="175"/>
  <c r="P32" i="175"/>
  <c r="O32" i="175"/>
  <c r="N32" i="175"/>
  <c r="M32" i="175"/>
  <c r="L32" i="175"/>
  <c r="J32" i="175"/>
  <c r="I32" i="175"/>
  <c r="Q31" i="175"/>
  <c r="P31" i="175"/>
  <c r="O31" i="175"/>
  <c r="N31" i="175"/>
  <c r="M31" i="175"/>
  <c r="L31" i="175"/>
  <c r="J31" i="175"/>
  <c r="I31" i="175"/>
  <c r="Q30" i="175"/>
  <c r="P30" i="175"/>
  <c r="O30" i="175"/>
  <c r="N30" i="175"/>
  <c r="M30" i="175"/>
  <c r="L30" i="175"/>
  <c r="J30" i="175"/>
  <c r="I30" i="175"/>
  <c r="Q29" i="175"/>
  <c r="P29" i="175"/>
  <c r="O29" i="175"/>
  <c r="N29" i="175"/>
  <c r="M29" i="175"/>
  <c r="L29" i="175"/>
  <c r="J29" i="175"/>
  <c r="I29" i="175"/>
  <c r="Q28" i="175"/>
  <c r="P28" i="175"/>
  <c r="O28" i="175"/>
  <c r="N28" i="175"/>
  <c r="M28" i="175"/>
  <c r="L28" i="175"/>
  <c r="J28" i="175"/>
  <c r="I28" i="175"/>
  <c r="R27" i="175"/>
  <c r="Q27" i="175"/>
  <c r="N27" i="175"/>
  <c r="M27" i="175"/>
  <c r="L27" i="175"/>
  <c r="J27" i="175"/>
  <c r="I27" i="175"/>
  <c r="Q26" i="175"/>
  <c r="P26" i="175"/>
  <c r="O26" i="175"/>
  <c r="N26" i="175"/>
  <c r="M26" i="175"/>
  <c r="L26" i="175"/>
  <c r="J26" i="175"/>
  <c r="I26" i="175"/>
  <c r="Q25" i="175"/>
  <c r="P25" i="175"/>
  <c r="O25" i="175"/>
  <c r="N25" i="175"/>
  <c r="M25" i="175"/>
  <c r="L25" i="175"/>
  <c r="J25" i="175"/>
  <c r="I25" i="175"/>
  <c r="Q24" i="175"/>
  <c r="P24" i="175"/>
  <c r="O24" i="175"/>
  <c r="N24" i="175"/>
  <c r="M24" i="175"/>
  <c r="L24" i="175"/>
  <c r="J24" i="175"/>
  <c r="I24" i="175"/>
  <c r="Q23" i="175"/>
  <c r="P23" i="175"/>
  <c r="O23" i="175"/>
  <c r="N23" i="175"/>
  <c r="M23" i="175"/>
  <c r="L23" i="175"/>
  <c r="J23" i="175"/>
  <c r="I23" i="175"/>
  <c r="Q22" i="175"/>
  <c r="P22" i="175"/>
  <c r="O22" i="175"/>
  <c r="N22" i="175"/>
  <c r="M22" i="175"/>
  <c r="L22" i="175"/>
  <c r="J22" i="175"/>
  <c r="I22" i="175"/>
  <c r="Q21" i="175"/>
  <c r="P21" i="175"/>
  <c r="O21" i="175"/>
  <c r="N21" i="175"/>
  <c r="M21" i="175"/>
  <c r="L21" i="175"/>
  <c r="J21" i="175"/>
  <c r="I21" i="175"/>
  <c r="E21" i="175"/>
  <c r="Q20" i="175"/>
  <c r="P20" i="175"/>
  <c r="O20" i="175"/>
  <c r="N20" i="175"/>
  <c r="M20" i="175"/>
  <c r="L20" i="175"/>
  <c r="J20" i="175"/>
  <c r="I20" i="175"/>
  <c r="Q19" i="175"/>
  <c r="P19" i="175"/>
  <c r="O19" i="175"/>
  <c r="N19" i="175"/>
  <c r="M19" i="175"/>
  <c r="L19" i="175"/>
  <c r="J19" i="175"/>
  <c r="I19" i="175"/>
  <c r="Q18" i="175"/>
  <c r="P18" i="175"/>
  <c r="O18" i="175"/>
  <c r="N18" i="175"/>
  <c r="M18" i="175"/>
  <c r="L18" i="175"/>
  <c r="J18" i="175"/>
  <c r="I18" i="175"/>
  <c r="Q17" i="175"/>
  <c r="P17" i="175"/>
  <c r="O17" i="175"/>
  <c r="N17" i="175"/>
  <c r="M17" i="175"/>
  <c r="L17" i="175"/>
  <c r="J17" i="175"/>
  <c r="I17" i="175"/>
  <c r="Q16" i="175"/>
  <c r="P16" i="175"/>
  <c r="O16" i="175"/>
  <c r="N16" i="175"/>
  <c r="M16" i="175"/>
  <c r="L16" i="175"/>
  <c r="J16" i="175"/>
  <c r="I16" i="175"/>
  <c r="Q15" i="175"/>
  <c r="P15" i="175"/>
  <c r="O15" i="175"/>
  <c r="N15" i="175"/>
  <c r="M15" i="175"/>
  <c r="L15" i="175"/>
  <c r="J15" i="175"/>
  <c r="I15" i="175"/>
  <c r="Q14" i="175"/>
  <c r="P14" i="175"/>
  <c r="O14" i="175"/>
  <c r="N14" i="175"/>
  <c r="M14" i="175"/>
  <c r="L14" i="175"/>
  <c r="J14" i="175"/>
  <c r="I14" i="175"/>
  <c r="Q13" i="175"/>
  <c r="P13" i="175"/>
  <c r="O13" i="175"/>
  <c r="N13" i="175"/>
  <c r="M13" i="175"/>
  <c r="L13" i="175"/>
  <c r="J13" i="175"/>
  <c r="I13" i="175"/>
  <c r="Q12" i="175"/>
  <c r="P12" i="175"/>
  <c r="O12" i="175"/>
  <c r="N12" i="175"/>
  <c r="M12" i="175"/>
  <c r="L12" i="175"/>
  <c r="J12" i="175"/>
  <c r="I12" i="175"/>
  <c r="Q11" i="175"/>
  <c r="P11" i="175"/>
  <c r="O11" i="175"/>
  <c r="N11" i="175"/>
  <c r="M11" i="175"/>
  <c r="L11" i="175"/>
  <c r="J11" i="175"/>
  <c r="I11" i="175"/>
  <c r="Q10" i="175"/>
  <c r="P10" i="175"/>
  <c r="O10" i="175"/>
  <c r="N10" i="175"/>
  <c r="M10" i="175"/>
  <c r="L10" i="175"/>
  <c r="J10" i="175"/>
  <c r="I10" i="175"/>
  <c r="Q9" i="175"/>
  <c r="P9" i="175"/>
  <c r="O9" i="175"/>
  <c r="N9" i="175"/>
  <c r="M9" i="175"/>
  <c r="L9" i="175"/>
  <c r="J9" i="175"/>
  <c r="I9" i="175"/>
  <c r="Q8" i="175"/>
  <c r="P8" i="175"/>
  <c r="O8" i="175"/>
  <c r="N8" i="175"/>
  <c r="M8" i="175"/>
  <c r="L8" i="175"/>
  <c r="J8" i="175"/>
  <c r="I8" i="175"/>
  <c r="Q7" i="175"/>
  <c r="P7" i="175"/>
  <c r="O7" i="175"/>
  <c r="N7" i="175"/>
  <c r="M7" i="175"/>
  <c r="L7" i="175"/>
  <c r="J7" i="175"/>
  <c r="I7" i="175"/>
  <c r="Q6" i="175"/>
  <c r="P6" i="175"/>
  <c r="O6" i="175"/>
  <c r="N6" i="175"/>
  <c r="M6" i="175"/>
  <c r="L6" i="175"/>
  <c r="J6" i="175"/>
  <c r="I6" i="175"/>
  <c r="Q5" i="175"/>
  <c r="P5" i="175"/>
  <c r="O5" i="175"/>
  <c r="N5" i="175"/>
  <c r="M5" i="175"/>
  <c r="L5" i="175"/>
  <c r="J5" i="175"/>
  <c r="I5" i="175"/>
  <c r="Q4" i="175"/>
  <c r="N4" i="175"/>
  <c r="L4" i="175"/>
  <c r="N1" i="175"/>
  <c r="M1" i="175"/>
  <c r="L1" i="175"/>
  <c r="F1" i="175"/>
  <c r="N116" i="161"/>
  <c r="M115" i="161"/>
  <c r="M114" i="161"/>
  <c r="M113" i="161"/>
  <c r="K112" i="161"/>
  <c r="K111" i="161"/>
  <c r="K110" i="161"/>
  <c r="V81" i="161"/>
  <c r="W80" i="161"/>
  <c r="V80" i="161"/>
  <c r="V79" i="161"/>
  <c r="V78" i="161"/>
  <c r="V77" i="161"/>
  <c r="O77" i="161"/>
  <c r="N77" i="161"/>
  <c r="V76" i="161"/>
  <c r="V75" i="161"/>
  <c r="AF70" i="161"/>
  <c r="AC70" i="161"/>
  <c r="AD70" i="161" s="1"/>
  <c r="AF69" i="161"/>
  <c r="AG69" i="161" s="1"/>
  <c r="AD69" i="161"/>
  <c r="AC69" i="161"/>
  <c r="AG68" i="161"/>
  <c r="AF68" i="161"/>
  <c r="AC68" i="161"/>
  <c r="AD68" i="161" s="1"/>
  <c r="AF67" i="161"/>
  <c r="AG67" i="161" s="1"/>
  <c r="AC67" i="161"/>
  <c r="AD67" i="161" s="1"/>
  <c r="AG66" i="161"/>
  <c r="AF66" i="161"/>
  <c r="AC66" i="161"/>
  <c r="AD66" i="161" s="1"/>
  <c r="AF65" i="161"/>
  <c r="AG65" i="161" s="1"/>
  <c r="AD65" i="161"/>
  <c r="AC65" i="161"/>
  <c r="AF64" i="161"/>
  <c r="AG64" i="161" s="1"/>
  <c r="AC64" i="161"/>
  <c r="AD64" i="161" s="1"/>
  <c r="AF63" i="161"/>
  <c r="AG63" i="161" s="1"/>
  <c r="AC63" i="161"/>
  <c r="AD63" i="161" s="1"/>
  <c r="AG62" i="161"/>
  <c r="AH62" i="161" s="1"/>
  <c r="AF62" i="161"/>
  <c r="AD62" i="161"/>
  <c r="AC62" i="161"/>
  <c r="AF61" i="161"/>
  <c r="AG61" i="161" s="1"/>
  <c r="AC61" i="161"/>
  <c r="AD61" i="161" s="1"/>
  <c r="AG60" i="161"/>
  <c r="AF60" i="161"/>
  <c r="AC60" i="161"/>
  <c r="AD60" i="161" s="1"/>
  <c r="AF59" i="161"/>
  <c r="AG59" i="161" s="1"/>
  <c r="AC59" i="161"/>
  <c r="AD59" i="161" s="1"/>
  <c r="AF58" i="161"/>
  <c r="AG58" i="161" s="1"/>
  <c r="AC58" i="161"/>
  <c r="AD58" i="161" s="1"/>
  <c r="AF57" i="161"/>
  <c r="AG57" i="161" s="1"/>
  <c r="AD57" i="161"/>
  <c r="AC57" i="161"/>
  <c r="AF56" i="161"/>
  <c r="AG56" i="161" s="1"/>
  <c r="AC56" i="161"/>
  <c r="AD56" i="161" s="1"/>
  <c r="AF55" i="161"/>
  <c r="AG55" i="161" s="1"/>
  <c r="AD55" i="161"/>
  <c r="AC55" i="161"/>
  <c r="AG54" i="161"/>
  <c r="AF54" i="161"/>
  <c r="AC54" i="161"/>
  <c r="AD54" i="161" s="1"/>
  <c r="AF53" i="161"/>
  <c r="AG53" i="161" s="1"/>
  <c r="AC53" i="161"/>
  <c r="AD53" i="161" s="1"/>
  <c r="AG52" i="161"/>
  <c r="AF52" i="161"/>
  <c r="AC52" i="161"/>
  <c r="AD52" i="161" s="1"/>
  <c r="AF51" i="161"/>
  <c r="AG51" i="161" s="1"/>
  <c r="AC51" i="161"/>
  <c r="AD51" i="161" s="1"/>
  <c r="AF50" i="161"/>
  <c r="AG50" i="161" s="1"/>
  <c r="AC50" i="161"/>
  <c r="AD50" i="161" s="1"/>
  <c r="AF49" i="161"/>
  <c r="AG49" i="161" s="1"/>
  <c r="AC49" i="161"/>
  <c r="AD49" i="161" s="1"/>
  <c r="AF48" i="161"/>
  <c r="AG48" i="161" s="1"/>
  <c r="AC48" i="161"/>
  <c r="AD48" i="161" s="1"/>
  <c r="AF47" i="161"/>
  <c r="AG47" i="161" s="1"/>
  <c r="AD47" i="161"/>
  <c r="AC47" i="161"/>
  <c r="AG46" i="161"/>
  <c r="AF46" i="161"/>
  <c r="AC46" i="161"/>
  <c r="AD46" i="161" s="1"/>
  <c r="AF45" i="161"/>
  <c r="AG45" i="161" s="1"/>
  <c r="AC45" i="161"/>
  <c r="AD45" i="161" s="1"/>
  <c r="AG44" i="161"/>
  <c r="AF44" i="161"/>
  <c r="AC44" i="161"/>
  <c r="AD44" i="161" s="1"/>
  <c r="AF43" i="161"/>
  <c r="AG43" i="161" s="1"/>
  <c r="AD43" i="161"/>
  <c r="AC43" i="161"/>
  <c r="AD74" i="161" s="1"/>
  <c r="J41" i="161"/>
  <c r="E41" i="161"/>
  <c r="S40" i="161"/>
  <c r="J40" i="161"/>
  <c r="U39" i="161"/>
  <c r="T39" i="161"/>
  <c r="U38" i="161"/>
  <c r="M38" i="161"/>
  <c r="AI33" i="161"/>
  <c r="AH33" i="161"/>
  <c r="AG33" i="161"/>
  <c r="AF33" i="161"/>
  <c r="AE33" i="161"/>
  <c r="AD33" i="161"/>
  <c r="AC33" i="161"/>
  <c r="AB33" i="161"/>
  <c r="AA33" i="161"/>
  <c r="Z33" i="161"/>
  <c r="Y33" i="161"/>
  <c r="W33" i="161"/>
  <c r="V33" i="161"/>
  <c r="E69" i="119" s="1"/>
  <c r="F69" i="119" s="1"/>
  <c r="G69" i="119" s="1"/>
  <c r="U33" i="161"/>
  <c r="T33" i="161"/>
  <c r="R33" i="161"/>
  <c r="O33" i="161"/>
  <c r="N33" i="161"/>
  <c r="M33" i="161"/>
  <c r="L33" i="161"/>
  <c r="K33" i="161"/>
  <c r="J33" i="161"/>
  <c r="GK35" i="158" s="1"/>
  <c r="I33" i="161"/>
  <c r="E33" i="161" s="1"/>
  <c r="R36" i="36" s="1"/>
  <c r="S36" i="36" s="1"/>
  <c r="H33" i="161"/>
  <c r="G33" i="161"/>
  <c r="F33" i="161"/>
  <c r="N70" i="161" s="1"/>
  <c r="C36" i="36" s="1"/>
  <c r="A33" i="161"/>
  <c r="AI32" i="161"/>
  <c r="GW34" i="158" s="1"/>
  <c r="AH32" i="161"/>
  <c r="AG32" i="161"/>
  <c r="AF32" i="161"/>
  <c r="AE32" i="161"/>
  <c r="AD32" i="161"/>
  <c r="AC32" i="161"/>
  <c r="AB32" i="161"/>
  <c r="AA32" i="161"/>
  <c r="Z32" i="161"/>
  <c r="Y32" i="161"/>
  <c r="W32" i="161"/>
  <c r="V32" i="161"/>
  <c r="E68" i="119" s="1"/>
  <c r="F68" i="119" s="1"/>
  <c r="G68" i="119" s="1"/>
  <c r="U32" i="161"/>
  <c r="T32" i="161"/>
  <c r="R32" i="161"/>
  <c r="O32" i="161"/>
  <c r="N32" i="161"/>
  <c r="M32" i="161"/>
  <c r="L32" i="161"/>
  <c r="K32" i="161"/>
  <c r="GO34" i="158" s="1"/>
  <c r="J32" i="161"/>
  <c r="BE34" i="158" s="1"/>
  <c r="BF34" i="158" s="1"/>
  <c r="I32" i="161"/>
  <c r="E32" i="161" s="1"/>
  <c r="R35" i="36" s="1"/>
  <c r="S35" i="36" s="1"/>
  <c r="H32" i="161"/>
  <c r="G32" i="161"/>
  <c r="F32" i="161"/>
  <c r="N69" i="161" s="1"/>
  <c r="C35" i="36" s="1"/>
  <c r="A32" i="161"/>
  <c r="AI31" i="161"/>
  <c r="AH31" i="161"/>
  <c r="AG31" i="161"/>
  <c r="AF31" i="161"/>
  <c r="AE31" i="161"/>
  <c r="AD31" i="161"/>
  <c r="AC31" i="161"/>
  <c r="AB31" i="161"/>
  <c r="AA31" i="161"/>
  <c r="Z31" i="161"/>
  <c r="Y31" i="161"/>
  <c r="W31" i="161"/>
  <c r="V31" i="161"/>
  <c r="E67" i="119" s="1"/>
  <c r="F67" i="119" s="1"/>
  <c r="G67" i="119" s="1"/>
  <c r="U31" i="161"/>
  <c r="T31" i="161"/>
  <c r="R31" i="161"/>
  <c r="O31" i="161"/>
  <c r="N31" i="161"/>
  <c r="M31" i="161"/>
  <c r="L31" i="161"/>
  <c r="K31" i="161"/>
  <c r="J31" i="161"/>
  <c r="I31" i="161"/>
  <c r="E31" i="161" s="1"/>
  <c r="R34" i="36" s="1"/>
  <c r="S34" i="36" s="1"/>
  <c r="H31" i="161"/>
  <c r="G31" i="161"/>
  <c r="F31" i="161"/>
  <c r="N68" i="161" s="1"/>
  <c r="C34" i="36" s="1"/>
  <c r="A31" i="161"/>
  <c r="AI30" i="161"/>
  <c r="GW32" i="158" s="1"/>
  <c r="AH30" i="161"/>
  <c r="AG30" i="161"/>
  <c r="AF30" i="161"/>
  <c r="AE30" i="161"/>
  <c r="AD30" i="161"/>
  <c r="AC30" i="161"/>
  <c r="AB30" i="161"/>
  <c r="AA30" i="161"/>
  <c r="Z30" i="161"/>
  <c r="Y30" i="161"/>
  <c r="W30" i="161"/>
  <c r="V30" i="161"/>
  <c r="E66" i="119" s="1"/>
  <c r="F66" i="119" s="1"/>
  <c r="G66" i="119" s="1"/>
  <c r="U30" i="161"/>
  <c r="T30" i="161"/>
  <c r="R30" i="161"/>
  <c r="O30" i="161"/>
  <c r="N30" i="161"/>
  <c r="M30" i="161"/>
  <c r="L30" i="161"/>
  <c r="K30" i="161"/>
  <c r="GO32" i="158" s="1"/>
  <c r="J30" i="161"/>
  <c r="I30" i="161"/>
  <c r="E30" i="161" s="1"/>
  <c r="R33" i="36" s="1"/>
  <c r="S33" i="36" s="1"/>
  <c r="H30" i="161"/>
  <c r="G30" i="161"/>
  <c r="F30" i="161"/>
  <c r="N67" i="161" s="1"/>
  <c r="C33" i="36" s="1"/>
  <c r="A30" i="161"/>
  <c r="AI29" i="161"/>
  <c r="AH29" i="161"/>
  <c r="AG29" i="161"/>
  <c r="AF29" i="161"/>
  <c r="AE29" i="161"/>
  <c r="AD29" i="161"/>
  <c r="AC29" i="161"/>
  <c r="AB29" i="161"/>
  <c r="AA29" i="161"/>
  <c r="Z29" i="161"/>
  <c r="Y29" i="161"/>
  <c r="W29" i="161"/>
  <c r="V29" i="161"/>
  <c r="E65" i="119" s="1"/>
  <c r="F65" i="119" s="1"/>
  <c r="G65" i="119" s="1"/>
  <c r="U29" i="161"/>
  <c r="T29" i="161"/>
  <c r="R29" i="161"/>
  <c r="O29" i="161"/>
  <c r="N29" i="161"/>
  <c r="M29" i="161"/>
  <c r="L29" i="161"/>
  <c r="K29" i="161"/>
  <c r="BG31" i="158" s="1"/>
  <c r="BH31" i="158" s="1"/>
  <c r="J29" i="161"/>
  <c r="BE31" i="158" s="1"/>
  <c r="BF31" i="158" s="1"/>
  <c r="I29" i="161"/>
  <c r="E29" i="161" s="1"/>
  <c r="R32" i="36" s="1"/>
  <c r="S32" i="36" s="1"/>
  <c r="H29" i="161"/>
  <c r="G29" i="161"/>
  <c r="F29" i="161"/>
  <c r="N66" i="161" s="1"/>
  <c r="C32" i="36" s="1"/>
  <c r="A29" i="161"/>
  <c r="AI28" i="161"/>
  <c r="BK30" i="158" s="1"/>
  <c r="AH28" i="161"/>
  <c r="AG28" i="161"/>
  <c r="AF28" i="161"/>
  <c r="AE28" i="161"/>
  <c r="AD28" i="161"/>
  <c r="AC28" i="161"/>
  <c r="AB28" i="161"/>
  <c r="AA28" i="161"/>
  <c r="Z28" i="161"/>
  <c r="Y28" i="161"/>
  <c r="W28" i="161"/>
  <c r="V28" i="161"/>
  <c r="E64" i="119" s="1"/>
  <c r="F64" i="119" s="1"/>
  <c r="G64" i="119" s="1"/>
  <c r="U28" i="161"/>
  <c r="T28" i="161"/>
  <c r="R28" i="161"/>
  <c r="O28" i="161"/>
  <c r="N28" i="161"/>
  <c r="M28" i="161"/>
  <c r="L28" i="161"/>
  <c r="K28" i="161"/>
  <c r="J28" i="161"/>
  <c r="I28" i="161"/>
  <c r="E28" i="161" s="1"/>
  <c r="R31" i="36" s="1"/>
  <c r="S31" i="36" s="1"/>
  <c r="H28" i="161"/>
  <c r="G28" i="161"/>
  <c r="F28" i="161"/>
  <c r="N65" i="161" s="1"/>
  <c r="C31" i="36" s="1"/>
  <c r="A28" i="161"/>
  <c r="AI27" i="161"/>
  <c r="AH27" i="161"/>
  <c r="AG27" i="161"/>
  <c r="AF27" i="161"/>
  <c r="AE27" i="161"/>
  <c r="AD27" i="161"/>
  <c r="AC27" i="161"/>
  <c r="AB27" i="161"/>
  <c r="AA27" i="161"/>
  <c r="Z27" i="161"/>
  <c r="Y27" i="161"/>
  <c r="W27" i="161"/>
  <c r="V27" i="161"/>
  <c r="E63" i="119" s="1"/>
  <c r="F63" i="119" s="1"/>
  <c r="G63" i="119" s="1"/>
  <c r="U27" i="161"/>
  <c r="T27" i="161"/>
  <c r="R27" i="161"/>
  <c r="O27" i="161"/>
  <c r="N27" i="161"/>
  <c r="M27" i="161"/>
  <c r="L27" i="161"/>
  <c r="K27" i="161"/>
  <c r="J27" i="161"/>
  <c r="GK29" i="158" s="1"/>
  <c r="I27" i="161"/>
  <c r="E27" i="161" s="1"/>
  <c r="R30" i="36" s="1"/>
  <c r="S30" i="36" s="1"/>
  <c r="H27" i="161"/>
  <c r="G27" i="161"/>
  <c r="F27" i="161"/>
  <c r="N64" i="161" s="1"/>
  <c r="C30" i="36" s="1"/>
  <c r="A27" i="161"/>
  <c r="AI26" i="161"/>
  <c r="BK28" i="158" s="1"/>
  <c r="AH26" i="161"/>
  <c r="AG26" i="161"/>
  <c r="AF26" i="161"/>
  <c r="AE26" i="161"/>
  <c r="AD26" i="161"/>
  <c r="AC26" i="161"/>
  <c r="AB26" i="161"/>
  <c r="AA26" i="161"/>
  <c r="Z26" i="161"/>
  <c r="Y26" i="161"/>
  <c r="W26" i="161"/>
  <c r="V26" i="161"/>
  <c r="E62" i="119" s="1"/>
  <c r="F62" i="119" s="1"/>
  <c r="G62" i="119" s="1"/>
  <c r="U26" i="161"/>
  <c r="T26" i="161"/>
  <c r="R26" i="161"/>
  <c r="O26" i="161"/>
  <c r="N26" i="161"/>
  <c r="M26" i="161"/>
  <c r="L26" i="161"/>
  <c r="K26" i="161"/>
  <c r="GO28" i="158" s="1"/>
  <c r="J26" i="161"/>
  <c r="I26" i="161"/>
  <c r="E26" i="161" s="1"/>
  <c r="R29" i="36" s="1"/>
  <c r="S29" i="36" s="1"/>
  <c r="H26" i="161"/>
  <c r="G26" i="161"/>
  <c r="F26" i="161"/>
  <c r="N63" i="161" s="1"/>
  <c r="C29" i="36" s="1"/>
  <c r="A26" i="161"/>
  <c r="AI25" i="161"/>
  <c r="AH25" i="161"/>
  <c r="AG25" i="161"/>
  <c r="AF25" i="161"/>
  <c r="AE25" i="161"/>
  <c r="AD25" i="161"/>
  <c r="AC25" i="161"/>
  <c r="AB25" i="161"/>
  <c r="AA25" i="161"/>
  <c r="Z25" i="161"/>
  <c r="Y25" i="161"/>
  <c r="W25" i="161"/>
  <c r="V25" i="161"/>
  <c r="E61" i="119" s="1"/>
  <c r="F61" i="119" s="1"/>
  <c r="G61" i="119" s="1"/>
  <c r="U25" i="161"/>
  <c r="T25" i="161"/>
  <c r="R25" i="161"/>
  <c r="O25" i="161"/>
  <c r="N25" i="161"/>
  <c r="M25" i="161"/>
  <c r="L25" i="161"/>
  <c r="K25" i="161"/>
  <c r="J25" i="161"/>
  <c r="GK27" i="158" s="1"/>
  <c r="I25" i="161"/>
  <c r="E25" i="161" s="1"/>
  <c r="R28" i="36" s="1"/>
  <c r="S28" i="36" s="1"/>
  <c r="H25" i="161"/>
  <c r="G25" i="161"/>
  <c r="F25" i="161"/>
  <c r="N62" i="161" s="1"/>
  <c r="C28" i="36" s="1"/>
  <c r="A25" i="161"/>
  <c r="AI24" i="161"/>
  <c r="GW26" i="158" s="1"/>
  <c r="AH24" i="161"/>
  <c r="AG24" i="161"/>
  <c r="AF24" i="161"/>
  <c r="AE24" i="161"/>
  <c r="AD24" i="161"/>
  <c r="AC24" i="161"/>
  <c r="AB24" i="161"/>
  <c r="AA24" i="161"/>
  <c r="Z24" i="161"/>
  <c r="Y24" i="161"/>
  <c r="W24" i="161"/>
  <c r="V24" i="161"/>
  <c r="E60" i="119" s="1"/>
  <c r="F60" i="119" s="1"/>
  <c r="G60" i="119" s="1"/>
  <c r="U24" i="161"/>
  <c r="T24" i="161"/>
  <c r="R24" i="161"/>
  <c r="O24" i="161"/>
  <c r="N24" i="161"/>
  <c r="M24" i="161"/>
  <c r="L24" i="161"/>
  <c r="K24" i="161"/>
  <c r="GO26" i="158" s="1"/>
  <c r="J24" i="161"/>
  <c r="BE26" i="158" s="1"/>
  <c r="BF26" i="158" s="1"/>
  <c r="I24" i="161"/>
  <c r="E24" i="161" s="1"/>
  <c r="R27" i="36" s="1"/>
  <c r="T27" i="36" s="1"/>
  <c r="H24" i="161"/>
  <c r="G24" i="161"/>
  <c r="F24" i="161"/>
  <c r="N61" i="161" s="1"/>
  <c r="C27" i="36" s="1"/>
  <c r="A24" i="161"/>
  <c r="AI23" i="161"/>
  <c r="AH23" i="161"/>
  <c r="AG23" i="161"/>
  <c r="AF23" i="161"/>
  <c r="AE23" i="161"/>
  <c r="AD23" i="161"/>
  <c r="AC23" i="161"/>
  <c r="AB23" i="161"/>
  <c r="F23" i="161"/>
  <c r="N60" i="161" s="1"/>
  <c r="C26" i="36" s="1"/>
  <c r="A23" i="161"/>
  <c r="AI22" i="161"/>
  <c r="AH22" i="161"/>
  <c r="AG22" i="161"/>
  <c r="AF22" i="161"/>
  <c r="AE22" i="161"/>
  <c r="AD22" i="161"/>
  <c r="AC22" i="161"/>
  <c r="AB22" i="161"/>
  <c r="AA22" i="161"/>
  <c r="Z22" i="161"/>
  <c r="Y22" i="161"/>
  <c r="W22" i="161"/>
  <c r="V22" i="161"/>
  <c r="E58" i="119" s="1"/>
  <c r="F58" i="119" s="1"/>
  <c r="G58" i="119" s="1"/>
  <c r="U22" i="161"/>
  <c r="T22" i="161"/>
  <c r="R22" i="161"/>
  <c r="O22" i="161"/>
  <c r="N22" i="161"/>
  <c r="M22" i="161"/>
  <c r="L22" i="161"/>
  <c r="K22" i="161"/>
  <c r="J22" i="161"/>
  <c r="GK24" i="158" s="1"/>
  <c r="I22" i="161"/>
  <c r="E22" i="161" s="1"/>
  <c r="R25" i="36" s="1"/>
  <c r="H22" i="161"/>
  <c r="G22" i="161"/>
  <c r="F22" i="161"/>
  <c r="N59" i="161" s="1"/>
  <c r="C25" i="36" s="1"/>
  <c r="A22" i="161"/>
  <c r="AI21" i="161"/>
  <c r="GW23" i="158" s="1"/>
  <c r="AH21" i="161"/>
  <c r="AG21" i="161"/>
  <c r="AF21" i="161"/>
  <c r="AE21" i="161"/>
  <c r="AD21" i="161"/>
  <c r="AC21" i="161"/>
  <c r="AB21" i="161"/>
  <c r="AA21" i="161"/>
  <c r="Z21" i="161"/>
  <c r="Y21" i="161"/>
  <c r="W21" i="161"/>
  <c r="V21" i="161"/>
  <c r="E57" i="119" s="1"/>
  <c r="F57" i="119" s="1"/>
  <c r="G57" i="119" s="1"/>
  <c r="U21" i="161"/>
  <c r="T21" i="161"/>
  <c r="R21" i="161"/>
  <c r="O21" i="161"/>
  <c r="N21" i="161"/>
  <c r="M21" i="161"/>
  <c r="L21" i="161"/>
  <c r="K21" i="161"/>
  <c r="BG23" i="158" s="1"/>
  <c r="BH23" i="158" s="1"/>
  <c r="J21" i="161"/>
  <c r="BE23" i="158" s="1"/>
  <c r="BF23" i="158" s="1"/>
  <c r="I21" i="161"/>
  <c r="E21" i="161" s="1"/>
  <c r="R24" i="36" s="1"/>
  <c r="H21" i="161"/>
  <c r="G21" i="161"/>
  <c r="F21" i="161"/>
  <c r="N58" i="161" s="1"/>
  <c r="C24" i="36" s="1"/>
  <c r="A21" i="161"/>
  <c r="AI20" i="161"/>
  <c r="AH20" i="161"/>
  <c r="AG20" i="161"/>
  <c r="AF20" i="161"/>
  <c r="AE20" i="161"/>
  <c r="AD20" i="161"/>
  <c r="AC20" i="161"/>
  <c r="AB20" i="161"/>
  <c r="AA20" i="161"/>
  <c r="Z20" i="161"/>
  <c r="Y20" i="161"/>
  <c r="W20" i="161"/>
  <c r="V20" i="161"/>
  <c r="E56" i="119" s="1"/>
  <c r="F56" i="119" s="1"/>
  <c r="G56" i="119" s="1"/>
  <c r="U20" i="161"/>
  <c r="T20" i="161"/>
  <c r="R20" i="161"/>
  <c r="O20" i="161"/>
  <c r="N20" i="161"/>
  <c r="M20" i="161"/>
  <c r="L20" i="161"/>
  <c r="K20" i="161"/>
  <c r="J20" i="161"/>
  <c r="I20" i="161"/>
  <c r="E20" i="161" s="1"/>
  <c r="R23" i="36" s="1"/>
  <c r="T23" i="36" s="1"/>
  <c r="H20" i="161"/>
  <c r="G20" i="161"/>
  <c r="F20" i="161"/>
  <c r="N57" i="161" s="1"/>
  <c r="C23" i="36" s="1"/>
  <c r="A20" i="161"/>
  <c r="AI19" i="161"/>
  <c r="BK21" i="158" s="1"/>
  <c r="AH19" i="161"/>
  <c r="AG19" i="161"/>
  <c r="AF19" i="161"/>
  <c r="AE19" i="161"/>
  <c r="AD19" i="161"/>
  <c r="AC19" i="161"/>
  <c r="AB19" i="161"/>
  <c r="AA19" i="161"/>
  <c r="Z19" i="161"/>
  <c r="Y19" i="161"/>
  <c r="W19" i="161"/>
  <c r="V19" i="161"/>
  <c r="E55" i="119" s="1"/>
  <c r="F55" i="119" s="1"/>
  <c r="G55" i="119" s="1"/>
  <c r="U19" i="161"/>
  <c r="T19" i="161"/>
  <c r="R19" i="161"/>
  <c r="O19" i="161"/>
  <c r="N19" i="161"/>
  <c r="M19" i="161"/>
  <c r="L19" i="161"/>
  <c r="K19" i="161"/>
  <c r="BG21" i="158" s="1"/>
  <c r="BH21" i="158" s="1"/>
  <c r="J19" i="161"/>
  <c r="I19" i="161"/>
  <c r="E19" i="161" s="1"/>
  <c r="R22" i="36" s="1"/>
  <c r="S22" i="36" s="1"/>
  <c r="H19" i="161"/>
  <c r="G19" i="161"/>
  <c r="F19" i="161"/>
  <c r="N56" i="161" s="1"/>
  <c r="C22" i="36" s="1"/>
  <c r="A19" i="161"/>
  <c r="AI18" i="161"/>
  <c r="AH18" i="161"/>
  <c r="AG18" i="161"/>
  <c r="AF18" i="161"/>
  <c r="AE18" i="161"/>
  <c r="AD18" i="161"/>
  <c r="AC18" i="161"/>
  <c r="AB18" i="161"/>
  <c r="AA18" i="161"/>
  <c r="Z18" i="161"/>
  <c r="Y18" i="161"/>
  <c r="W18" i="161"/>
  <c r="V18" i="161"/>
  <c r="E54" i="119" s="1"/>
  <c r="F54" i="119" s="1"/>
  <c r="G54" i="119" s="1"/>
  <c r="U18" i="161"/>
  <c r="T18" i="161"/>
  <c r="R18" i="161"/>
  <c r="O18" i="161"/>
  <c r="N18" i="161"/>
  <c r="M18" i="161"/>
  <c r="L18" i="161"/>
  <c r="K18" i="161"/>
  <c r="BG20" i="158" s="1"/>
  <c r="BH20" i="158" s="1"/>
  <c r="J18" i="161"/>
  <c r="BE20" i="158" s="1"/>
  <c r="BF20" i="158" s="1"/>
  <c r="I18" i="161"/>
  <c r="E18" i="161" s="1"/>
  <c r="R21" i="36" s="1"/>
  <c r="S21" i="36" s="1"/>
  <c r="H18" i="161"/>
  <c r="G18" i="161"/>
  <c r="F18" i="161"/>
  <c r="N55" i="161" s="1"/>
  <c r="C21" i="36" s="1"/>
  <c r="A18" i="161"/>
  <c r="AI17" i="161"/>
  <c r="BK19" i="158" s="1"/>
  <c r="AH17" i="161"/>
  <c r="AG17" i="161"/>
  <c r="AF17" i="161"/>
  <c r="AE17" i="161"/>
  <c r="AD17" i="161"/>
  <c r="AC17" i="161"/>
  <c r="AB17" i="161"/>
  <c r="AA17" i="161"/>
  <c r="Z17" i="161"/>
  <c r="Y17" i="161"/>
  <c r="W17" i="161"/>
  <c r="V17" i="161"/>
  <c r="E53" i="119" s="1"/>
  <c r="F53" i="119" s="1"/>
  <c r="G53" i="119" s="1"/>
  <c r="U17" i="161"/>
  <c r="T17" i="161"/>
  <c r="R17" i="161"/>
  <c r="O17" i="161"/>
  <c r="N17" i="161"/>
  <c r="M17" i="161"/>
  <c r="L17" i="161"/>
  <c r="K17" i="161"/>
  <c r="J17" i="161"/>
  <c r="I17" i="161"/>
  <c r="E17" i="161" s="1"/>
  <c r="R20" i="36" s="1"/>
  <c r="S20" i="36" s="1"/>
  <c r="H17" i="161"/>
  <c r="G17" i="161"/>
  <c r="F17" i="161"/>
  <c r="N54" i="161" s="1"/>
  <c r="C20" i="36" s="1"/>
  <c r="A17" i="161"/>
  <c r="AI16" i="161"/>
  <c r="AH16" i="161"/>
  <c r="AG16" i="161"/>
  <c r="AF16" i="161"/>
  <c r="AE16" i="161"/>
  <c r="AD16" i="161"/>
  <c r="AC16" i="161"/>
  <c r="AB16" i="161"/>
  <c r="AA16" i="161"/>
  <c r="Z16" i="161"/>
  <c r="Y16" i="161"/>
  <c r="W16" i="161"/>
  <c r="V16" i="161"/>
  <c r="E52" i="119" s="1"/>
  <c r="F52" i="119" s="1"/>
  <c r="G52" i="119" s="1"/>
  <c r="U16" i="161"/>
  <c r="T16" i="161"/>
  <c r="R16" i="161"/>
  <c r="O16" i="161"/>
  <c r="N16" i="161"/>
  <c r="M16" i="161"/>
  <c r="L16" i="161"/>
  <c r="K16" i="161"/>
  <c r="J16" i="161"/>
  <c r="BE18" i="158" s="1"/>
  <c r="BF18" i="158" s="1"/>
  <c r="I16" i="161"/>
  <c r="E16" i="161" s="1"/>
  <c r="R19" i="36" s="1"/>
  <c r="S19" i="36" s="1"/>
  <c r="H16" i="161"/>
  <c r="G16" i="161"/>
  <c r="F16" i="161"/>
  <c r="N53" i="161" s="1"/>
  <c r="C19" i="36" s="1"/>
  <c r="A16" i="161"/>
  <c r="AI15" i="161"/>
  <c r="GW17" i="158" s="1"/>
  <c r="AH15" i="161"/>
  <c r="AG15" i="161"/>
  <c r="AF15" i="161"/>
  <c r="AE15" i="161"/>
  <c r="AD15" i="161"/>
  <c r="AC15" i="161"/>
  <c r="AB15" i="161"/>
  <c r="AA15" i="161"/>
  <c r="Z15" i="161"/>
  <c r="Y15" i="161"/>
  <c r="W15" i="161"/>
  <c r="V15" i="161"/>
  <c r="E51" i="119" s="1"/>
  <c r="F51" i="119" s="1"/>
  <c r="G51" i="119" s="1"/>
  <c r="U15" i="161"/>
  <c r="T15" i="161"/>
  <c r="R15" i="161"/>
  <c r="O15" i="161"/>
  <c r="N15" i="161"/>
  <c r="M15" i="161"/>
  <c r="L15" i="161"/>
  <c r="K15" i="161"/>
  <c r="GO17" i="158" s="1"/>
  <c r="J15" i="161"/>
  <c r="BE17" i="158" s="1"/>
  <c r="BF17" i="158" s="1"/>
  <c r="I15" i="161"/>
  <c r="E15" i="161" s="1"/>
  <c r="R18" i="36" s="1"/>
  <c r="S18" i="36" s="1"/>
  <c r="H15" i="161"/>
  <c r="F15" i="161"/>
  <c r="N52" i="161" s="1"/>
  <c r="C18" i="36" s="1"/>
  <c r="A15" i="161"/>
  <c r="AI14" i="161"/>
  <c r="BK16" i="158" s="1"/>
  <c r="AH14" i="161"/>
  <c r="AG14" i="161"/>
  <c r="AF14" i="161"/>
  <c r="AE14" i="161"/>
  <c r="AD14" i="161"/>
  <c r="AC14" i="161"/>
  <c r="AB14" i="161"/>
  <c r="AA14" i="161"/>
  <c r="Z14" i="161"/>
  <c r="Y14" i="161"/>
  <c r="W14" i="161"/>
  <c r="V14" i="161"/>
  <c r="E50" i="119" s="1"/>
  <c r="F50" i="119" s="1"/>
  <c r="G50" i="119" s="1"/>
  <c r="U14" i="161"/>
  <c r="T14" i="161"/>
  <c r="R14" i="161"/>
  <c r="O14" i="161"/>
  <c r="N14" i="161"/>
  <c r="M14" i="161"/>
  <c r="L14" i="161"/>
  <c r="K14" i="161"/>
  <c r="J14" i="161"/>
  <c r="I14" i="161"/>
  <c r="E14" i="161" s="1"/>
  <c r="R17" i="36" s="1"/>
  <c r="H14" i="161"/>
  <c r="G14" i="161"/>
  <c r="F14" i="161"/>
  <c r="N51" i="161" s="1"/>
  <c r="C17" i="36" s="1"/>
  <c r="A14" i="161"/>
  <c r="AI13" i="161"/>
  <c r="AH13" i="161"/>
  <c r="AG13" i="161"/>
  <c r="AF13" i="161"/>
  <c r="AE13" i="161"/>
  <c r="AD13" i="161"/>
  <c r="AC13" i="161"/>
  <c r="AB13" i="161"/>
  <c r="AA13" i="161"/>
  <c r="Z13" i="161"/>
  <c r="Y13" i="161"/>
  <c r="W13" i="161"/>
  <c r="V13" i="161"/>
  <c r="E49" i="119" s="1"/>
  <c r="F49" i="119" s="1"/>
  <c r="G49" i="119" s="1"/>
  <c r="U13" i="161"/>
  <c r="T13" i="161"/>
  <c r="R13" i="161"/>
  <c r="O13" i="161"/>
  <c r="N13" i="161"/>
  <c r="M13" i="161"/>
  <c r="L13" i="161"/>
  <c r="K13" i="161"/>
  <c r="BG15" i="158" s="1"/>
  <c r="BH15" i="158" s="1"/>
  <c r="J13" i="161"/>
  <c r="GK15" i="158" s="1"/>
  <c r="I13" i="161"/>
  <c r="E13" i="161" s="1"/>
  <c r="R16" i="36" s="1"/>
  <c r="T16" i="36" s="1"/>
  <c r="H13" i="161"/>
  <c r="G13" i="161"/>
  <c r="F13" i="161"/>
  <c r="N50" i="161" s="1"/>
  <c r="C16" i="36" s="1"/>
  <c r="A13" i="161"/>
  <c r="AI12" i="161"/>
  <c r="GW14" i="158" s="1"/>
  <c r="AH12" i="161"/>
  <c r="AG12" i="161"/>
  <c r="AF12" i="161"/>
  <c r="AE12" i="161"/>
  <c r="AD12" i="161"/>
  <c r="AC12" i="161"/>
  <c r="AB12" i="161"/>
  <c r="AA12" i="161"/>
  <c r="Z12" i="161"/>
  <c r="Y12" i="161"/>
  <c r="W12" i="161"/>
  <c r="V12" i="161"/>
  <c r="E48" i="119" s="1"/>
  <c r="F48" i="119" s="1"/>
  <c r="G48" i="119" s="1"/>
  <c r="U12" i="161"/>
  <c r="T12" i="161"/>
  <c r="R12" i="161"/>
  <c r="O12" i="161"/>
  <c r="N12" i="161"/>
  <c r="M12" i="161"/>
  <c r="L12" i="161"/>
  <c r="K12" i="161"/>
  <c r="GO14" i="158" s="1"/>
  <c r="J12" i="161"/>
  <c r="BE14" i="158" s="1"/>
  <c r="BF14" i="158" s="1"/>
  <c r="I12" i="161"/>
  <c r="E12" i="161" s="1"/>
  <c r="R15" i="36" s="1"/>
  <c r="H12" i="161"/>
  <c r="G12" i="161"/>
  <c r="F12" i="161"/>
  <c r="N49" i="161" s="1"/>
  <c r="C15" i="36" s="1"/>
  <c r="A12" i="161"/>
  <c r="AI11" i="161"/>
  <c r="AH11" i="161"/>
  <c r="AG11" i="161"/>
  <c r="AF11" i="161"/>
  <c r="AE11" i="161"/>
  <c r="AD11" i="161"/>
  <c r="AC11" i="161"/>
  <c r="AB11" i="161"/>
  <c r="AA11" i="161"/>
  <c r="Z11" i="161"/>
  <c r="Y11" i="161"/>
  <c r="W11" i="161"/>
  <c r="V11" i="161"/>
  <c r="E47" i="119" s="1"/>
  <c r="F47" i="119" s="1"/>
  <c r="G47" i="119" s="1"/>
  <c r="U11" i="161"/>
  <c r="T11" i="161"/>
  <c r="R11" i="161"/>
  <c r="O11" i="161"/>
  <c r="N11" i="161"/>
  <c r="M11" i="161"/>
  <c r="L11" i="161"/>
  <c r="K11" i="161"/>
  <c r="J11" i="161"/>
  <c r="GK13" i="158" s="1"/>
  <c r="I11" i="161"/>
  <c r="E11" i="161" s="1"/>
  <c r="R14" i="36" s="1"/>
  <c r="H11" i="161"/>
  <c r="G11" i="161"/>
  <c r="F11" i="161"/>
  <c r="N48" i="161" s="1"/>
  <c r="C14" i="36" s="1"/>
  <c r="A11" i="161"/>
  <c r="AI10" i="161"/>
  <c r="BK12" i="158" s="1"/>
  <c r="AH10" i="161"/>
  <c r="AG10" i="161"/>
  <c r="AF10" i="161"/>
  <c r="AE10" i="161"/>
  <c r="AD10" i="161"/>
  <c r="AC10" i="161"/>
  <c r="AB10" i="161"/>
  <c r="AA10" i="161"/>
  <c r="Z10" i="161"/>
  <c r="Y10" i="161"/>
  <c r="W10" i="161"/>
  <c r="V10" i="161"/>
  <c r="E46" i="119" s="1"/>
  <c r="F46" i="119" s="1"/>
  <c r="G46" i="119" s="1"/>
  <c r="U10" i="161"/>
  <c r="T10" i="161"/>
  <c r="R10" i="161"/>
  <c r="O10" i="161"/>
  <c r="N10" i="161"/>
  <c r="M10" i="161"/>
  <c r="L10" i="161"/>
  <c r="K10" i="161"/>
  <c r="GO12" i="158" s="1"/>
  <c r="J10" i="161"/>
  <c r="BE12" i="158" s="1"/>
  <c r="BF12" i="158" s="1"/>
  <c r="I10" i="161"/>
  <c r="E10" i="161" s="1"/>
  <c r="R13" i="36" s="1"/>
  <c r="H10" i="161"/>
  <c r="G10" i="161"/>
  <c r="F10" i="161"/>
  <c r="N47" i="161" s="1"/>
  <c r="C13" i="36" s="1"/>
  <c r="A10" i="161"/>
  <c r="AI9" i="161"/>
  <c r="BK11" i="158" s="1"/>
  <c r="AH9" i="161"/>
  <c r="AG9" i="161"/>
  <c r="AF9" i="161"/>
  <c r="AE9" i="161"/>
  <c r="AD9" i="161"/>
  <c r="AC9" i="161"/>
  <c r="AB9" i="161"/>
  <c r="AA9" i="161"/>
  <c r="Z9" i="161"/>
  <c r="Y9" i="161"/>
  <c r="W9" i="161"/>
  <c r="V9" i="161"/>
  <c r="GS11" i="158" s="1"/>
  <c r="GT11" i="158" s="1"/>
  <c r="U9" i="161"/>
  <c r="T9" i="161"/>
  <c r="R9" i="161"/>
  <c r="O9" i="161"/>
  <c r="N9" i="161"/>
  <c r="M9" i="161"/>
  <c r="L9" i="161"/>
  <c r="K9" i="161"/>
  <c r="BG11" i="158" s="1"/>
  <c r="BH11" i="158" s="1"/>
  <c r="J9" i="161"/>
  <c r="I9" i="161"/>
  <c r="E9" i="161" s="1"/>
  <c r="R12" i="36" s="1"/>
  <c r="T12" i="36" s="1"/>
  <c r="H9" i="161"/>
  <c r="G9" i="161"/>
  <c r="F9" i="161"/>
  <c r="N46" i="161" s="1"/>
  <c r="C12" i="36" s="1"/>
  <c r="A9" i="161"/>
  <c r="AI8" i="161"/>
  <c r="BK10" i="158" s="1"/>
  <c r="AH8" i="161"/>
  <c r="AG8" i="161"/>
  <c r="AF8" i="161"/>
  <c r="AE8" i="161"/>
  <c r="AD8" i="161"/>
  <c r="AC8" i="161"/>
  <c r="AB8" i="161"/>
  <c r="AA8" i="161"/>
  <c r="Z8" i="161"/>
  <c r="Y8" i="161"/>
  <c r="W8" i="161"/>
  <c r="V8" i="161"/>
  <c r="E44" i="119" s="1"/>
  <c r="F44" i="119" s="1"/>
  <c r="G44" i="119" s="1"/>
  <c r="U8" i="161"/>
  <c r="T8" i="161"/>
  <c r="R8" i="161"/>
  <c r="O8" i="161"/>
  <c r="N8" i="161"/>
  <c r="M8" i="161"/>
  <c r="L8" i="161"/>
  <c r="K8" i="161"/>
  <c r="BG10" i="158" s="1"/>
  <c r="BH10" i="158" s="1"/>
  <c r="J8" i="161"/>
  <c r="GK10" i="158" s="1"/>
  <c r="I8" i="161"/>
  <c r="E8" i="161" s="1"/>
  <c r="R11" i="36" s="1"/>
  <c r="H8" i="161"/>
  <c r="G8" i="161"/>
  <c r="F8" i="161"/>
  <c r="N45" i="161" s="1"/>
  <c r="C11" i="36" s="1"/>
  <c r="A8" i="161"/>
  <c r="AI7" i="161"/>
  <c r="AH7" i="161"/>
  <c r="AG7" i="161"/>
  <c r="AF7" i="161"/>
  <c r="AE7" i="161"/>
  <c r="AD7" i="161"/>
  <c r="AC7" i="161"/>
  <c r="AB7" i="161"/>
  <c r="AA7" i="161"/>
  <c r="Z7" i="161"/>
  <c r="Y7" i="161"/>
  <c r="W7" i="161"/>
  <c r="V7" i="161"/>
  <c r="E43" i="119" s="1"/>
  <c r="F43" i="119" s="1"/>
  <c r="G43" i="119" s="1"/>
  <c r="U7" i="161"/>
  <c r="T7" i="161"/>
  <c r="R7" i="161"/>
  <c r="O7" i="161"/>
  <c r="N7" i="161"/>
  <c r="M7" i="161"/>
  <c r="L7" i="161"/>
  <c r="K7" i="161"/>
  <c r="J7" i="161"/>
  <c r="GK9" i="158" s="1"/>
  <c r="I7" i="161"/>
  <c r="E7" i="161" s="1"/>
  <c r="R10" i="36" s="1"/>
  <c r="S10" i="36" s="1"/>
  <c r="H7" i="161"/>
  <c r="G7" i="161"/>
  <c r="F7" i="161"/>
  <c r="N44" i="161" s="1"/>
  <c r="C10" i="36" s="1"/>
  <c r="A7" i="161"/>
  <c r="AI6" i="161"/>
  <c r="BK8" i="158" s="1"/>
  <c r="AH6" i="161"/>
  <c r="AG6" i="161"/>
  <c r="AF6" i="161"/>
  <c r="AE6" i="161"/>
  <c r="AD6" i="161"/>
  <c r="AC6" i="161"/>
  <c r="AB6" i="161"/>
  <c r="AA6" i="161"/>
  <c r="Z6" i="161"/>
  <c r="Y6" i="161"/>
  <c r="W6" i="161"/>
  <c r="V6" i="161"/>
  <c r="E42" i="119" s="1"/>
  <c r="F42" i="119" s="1"/>
  <c r="G42" i="119" s="1"/>
  <c r="U6" i="161"/>
  <c r="T6" i="161"/>
  <c r="R6" i="161"/>
  <c r="O6" i="161"/>
  <c r="N6" i="161"/>
  <c r="M6" i="161"/>
  <c r="L6" i="161"/>
  <c r="K6" i="161"/>
  <c r="J6" i="161"/>
  <c r="I6" i="161"/>
  <c r="E6" i="161" s="1"/>
  <c r="H6" i="161"/>
  <c r="G6" i="161"/>
  <c r="F6" i="161"/>
  <c r="N43" i="161" s="1"/>
  <c r="D6" i="161"/>
  <c r="K9" i="36" s="1"/>
  <c r="I49" i="158"/>
  <c r="J49" i="158" s="1"/>
  <c r="J48" i="158"/>
  <c r="I48" i="158"/>
  <c r="I47" i="158"/>
  <c r="J47" i="158" s="1"/>
  <c r="DS42" i="158"/>
  <c r="DA42" i="158"/>
  <c r="CC42" i="158"/>
  <c r="EK41" i="158"/>
  <c r="DZ40" i="158"/>
  <c r="CS40" i="158"/>
  <c r="AR40" i="158"/>
  <c r="DV39" i="158"/>
  <c r="DU39" i="158"/>
  <c r="DT39" i="158"/>
  <c r="DS39" i="158"/>
  <c r="DR39" i="158"/>
  <c r="DQ39" i="158"/>
  <c r="DP39" i="158"/>
  <c r="DO39" i="158"/>
  <c r="DN39" i="158"/>
  <c r="DM39" i="158"/>
  <c r="DL39" i="158"/>
  <c r="EZ38" i="158"/>
  <c r="ER38" i="158"/>
  <c r="EZ37" i="158"/>
  <c r="ER37" i="158"/>
  <c r="EZ36" i="158"/>
  <c r="ER36" i="158"/>
  <c r="GW35" i="158"/>
  <c r="GS35" i="158"/>
  <c r="GT35" i="158" s="1"/>
  <c r="GO35" i="158"/>
  <c r="ER35" i="158"/>
  <c r="EL35" i="158"/>
  <c r="CS36" i="36" s="1"/>
  <c r="EK35" i="158"/>
  <c r="CR36" i="36" s="1"/>
  <c r="EJ35" i="158"/>
  <c r="CQ36" i="36" s="1"/>
  <c r="EI35" i="158"/>
  <c r="CP36" i="36" s="1"/>
  <c r="DA35" i="158"/>
  <c r="CZ35" i="158"/>
  <c r="CY35" i="158"/>
  <c r="CX35" i="158"/>
  <c r="BK35" i="158"/>
  <c r="BI35" i="158"/>
  <c r="BJ35" i="158" s="1"/>
  <c r="BG35" i="158"/>
  <c r="BH35" i="158" s="1"/>
  <c r="BE35" i="158"/>
  <c r="BF35" i="158" s="1"/>
  <c r="AU35" i="158"/>
  <c r="W35" i="158"/>
  <c r="L35" i="158"/>
  <c r="ER34" i="158"/>
  <c r="EL34" i="158"/>
  <c r="CS35" i="36" s="1"/>
  <c r="EK34" i="158"/>
  <c r="CR35" i="36" s="1"/>
  <c r="EJ34" i="158"/>
  <c r="CQ35" i="36" s="1"/>
  <c r="EI34" i="158"/>
  <c r="CP35" i="36" s="1"/>
  <c r="DA34" i="158"/>
  <c r="CZ34" i="158"/>
  <c r="CY34" i="158"/>
  <c r="CX34" i="158"/>
  <c r="AU34" i="158"/>
  <c r="L34" i="158"/>
  <c r="C34" i="158"/>
  <c r="C30" i="92" s="1"/>
  <c r="GW33" i="158"/>
  <c r="GS33" i="158"/>
  <c r="GT33" i="158" s="1"/>
  <c r="GO33" i="158"/>
  <c r="GK33" i="158"/>
  <c r="ER33" i="158"/>
  <c r="EL33" i="158"/>
  <c r="CS34" i="36" s="1"/>
  <c r="EK33" i="158"/>
  <c r="CR34" i="36" s="1"/>
  <c r="EJ33" i="158"/>
  <c r="CQ34" i="36" s="1"/>
  <c r="EI33" i="158"/>
  <c r="CP34" i="36" s="1"/>
  <c r="DA33" i="158"/>
  <c r="CZ33" i="158"/>
  <c r="CY33" i="158"/>
  <c r="CX33" i="158"/>
  <c r="BK33" i="158"/>
  <c r="BI33" i="158"/>
  <c r="BJ33" i="158" s="1"/>
  <c r="BG33" i="158"/>
  <c r="BH33" i="158" s="1"/>
  <c r="BE33" i="158"/>
  <c r="BF33" i="158" s="1"/>
  <c r="AU33" i="158"/>
  <c r="AD33" i="158"/>
  <c r="W33" i="158"/>
  <c r="L33" i="158"/>
  <c r="GK32" i="158"/>
  <c r="ER32" i="158"/>
  <c r="EL32" i="158"/>
  <c r="CS33" i="36" s="1"/>
  <c r="EK32" i="158"/>
  <c r="CR33" i="36" s="1"/>
  <c r="EJ32" i="158"/>
  <c r="CQ33" i="36" s="1"/>
  <c r="EI32" i="158"/>
  <c r="CP33" i="36" s="1"/>
  <c r="DA32" i="158"/>
  <c r="CZ32" i="158"/>
  <c r="CY32" i="158"/>
  <c r="CX32" i="158"/>
  <c r="BE32" i="158"/>
  <c r="BF32" i="158" s="1"/>
  <c r="AU32" i="158"/>
  <c r="AD32" i="158"/>
  <c r="L32" i="158"/>
  <c r="C32" i="158"/>
  <c r="C28" i="92" s="1"/>
  <c r="GW31" i="158"/>
  <c r="ER31" i="158"/>
  <c r="EL31" i="158"/>
  <c r="CS32" i="36" s="1"/>
  <c r="EK31" i="158"/>
  <c r="CR32" i="36" s="1"/>
  <c r="EJ31" i="158"/>
  <c r="CQ32" i="36" s="1"/>
  <c r="EI31" i="158"/>
  <c r="CP32" i="36" s="1"/>
  <c r="DA31" i="158"/>
  <c r="CZ31" i="158"/>
  <c r="CY31" i="158"/>
  <c r="CX31" i="158"/>
  <c r="BK31" i="158"/>
  <c r="AU31" i="158"/>
  <c r="AT31" i="158"/>
  <c r="R66" i="161" s="1"/>
  <c r="AD31" i="158"/>
  <c r="W31" i="158"/>
  <c r="L31" i="158"/>
  <c r="GS30" i="158"/>
  <c r="GT30" i="158" s="1"/>
  <c r="GO30" i="158"/>
  <c r="GK30" i="158"/>
  <c r="ER30" i="158"/>
  <c r="EL30" i="158"/>
  <c r="CS31" i="36" s="1"/>
  <c r="EK30" i="158"/>
  <c r="CR31" i="36" s="1"/>
  <c r="EJ30" i="158"/>
  <c r="CQ31" i="36" s="1"/>
  <c r="EI30" i="158"/>
  <c r="CP31" i="36" s="1"/>
  <c r="DA30" i="158"/>
  <c r="CZ30" i="158"/>
  <c r="CY30" i="158"/>
  <c r="CX30" i="158"/>
  <c r="BI30" i="158"/>
  <c r="BJ30" i="158" s="1"/>
  <c r="BG30" i="158"/>
  <c r="BH30" i="158" s="1"/>
  <c r="BE30" i="158"/>
  <c r="BF30" i="158" s="1"/>
  <c r="AU30" i="158"/>
  <c r="L30" i="158"/>
  <c r="GW29" i="158"/>
  <c r="GS29" i="158"/>
  <c r="GT29" i="158" s="1"/>
  <c r="GO29" i="158"/>
  <c r="ER29" i="158"/>
  <c r="EL29" i="158"/>
  <c r="CS30" i="36" s="1"/>
  <c r="EK29" i="158"/>
  <c r="CR30" i="36" s="1"/>
  <c r="EJ29" i="158"/>
  <c r="CQ30" i="36" s="1"/>
  <c r="EI29" i="158"/>
  <c r="CP30" i="36" s="1"/>
  <c r="DA29" i="158"/>
  <c r="CZ29" i="158"/>
  <c r="CY29" i="158"/>
  <c r="CX29" i="158"/>
  <c r="BK29" i="158"/>
  <c r="BI29" i="158"/>
  <c r="BJ29" i="158" s="1"/>
  <c r="BG29" i="158"/>
  <c r="BH29" i="158" s="1"/>
  <c r="AU29" i="158"/>
  <c r="W29" i="158"/>
  <c r="X29" i="158" s="1"/>
  <c r="L29" i="158"/>
  <c r="C29" i="158"/>
  <c r="C25" i="92" s="1"/>
  <c r="GK28" i="158"/>
  <c r="ER28" i="158"/>
  <c r="EL28" i="158"/>
  <c r="CS29" i="36" s="1"/>
  <c r="EK28" i="158"/>
  <c r="CR29" i="36" s="1"/>
  <c r="EJ28" i="158"/>
  <c r="CQ29" i="36" s="1"/>
  <c r="EI28" i="158"/>
  <c r="CP29" i="36" s="1"/>
  <c r="DA28" i="158"/>
  <c r="CZ28" i="158"/>
  <c r="CY28" i="158"/>
  <c r="CX28" i="158"/>
  <c r="BE28" i="158"/>
  <c r="BF28" i="158" s="1"/>
  <c r="AU28" i="158"/>
  <c r="W28" i="158"/>
  <c r="L28" i="158"/>
  <c r="C28" i="158"/>
  <c r="C24" i="92" s="1"/>
  <c r="GW27" i="158"/>
  <c r="GS27" i="158"/>
  <c r="GT27" i="158" s="1"/>
  <c r="GO27" i="158"/>
  <c r="ER27" i="158"/>
  <c r="EL27" i="158"/>
  <c r="CS28" i="36" s="1"/>
  <c r="EK27" i="158"/>
  <c r="CR28" i="36" s="1"/>
  <c r="EJ27" i="158"/>
  <c r="CQ28" i="36" s="1"/>
  <c r="EI27" i="158"/>
  <c r="CP28" i="36" s="1"/>
  <c r="DA27" i="158"/>
  <c r="CZ27" i="158"/>
  <c r="CY27" i="158"/>
  <c r="CX27" i="158"/>
  <c r="BK27" i="158"/>
  <c r="BI27" i="158"/>
  <c r="BJ27" i="158" s="1"/>
  <c r="BG27" i="158"/>
  <c r="BH27" i="158" s="1"/>
  <c r="AU27" i="158"/>
  <c r="AT27" i="158"/>
  <c r="R62" i="161" s="1"/>
  <c r="W27" i="158"/>
  <c r="L27" i="158"/>
  <c r="ER26" i="158"/>
  <c r="EL26" i="158"/>
  <c r="CS27" i="36" s="1"/>
  <c r="EK26" i="158"/>
  <c r="CR27" i="36" s="1"/>
  <c r="EJ26" i="158"/>
  <c r="CQ27" i="36" s="1"/>
  <c r="EI26" i="158"/>
  <c r="CP27" i="36" s="1"/>
  <c r="DA26" i="158"/>
  <c r="CZ26" i="158"/>
  <c r="CY26" i="158"/>
  <c r="CX26" i="158"/>
  <c r="BK26" i="158"/>
  <c r="AU26" i="158"/>
  <c r="AT26" i="158"/>
  <c r="R61" i="161" s="1"/>
  <c r="L26" i="158"/>
  <c r="C26" i="158"/>
  <c r="C22" i="92" s="1"/>
  <c r="GW25" i="158"/>
  <c r="EL25" i="158"/>
  <c r="CS26" i="36" s="1"/>
  <c r="EK25" i="158"/>
  <c r="CR26" i="36" s="1"/>
  <c r="EJ25" i="158"/>
  <c r="CQ26" i="36" s="1"/>
  <c r="EI25" i="158"/>
  <c r="CP26" i="36" s="1"/>
  <c r="DA25" i="158"/>
  <c r="CZ25" i="158"/>
  <c r="CY25" i="158"/>
  <c r="CX25" i="158"/>
  <c r="BK25" i="158"/>
  <c r="GW24" i="158"/>
  <c r="GS24" i="158"/>
  <c r="GT24" i="158" s="1"/>
  <c r="GO24" i="158"/>
  <c r="ER24" i="158"/>
  <c r="EL24" i="158"/>
  <c r="CS25" i="36" s="1"/>
  <c r="EK24" i="158"/>
  <c r="CR25" i="36" s="1"/>
  <c r="EJ24" i="158"/>
  <c r="CQ25" i="36" s="1"/>
  <c r="EI24" i="158"/>
  <c r="CP25" i="36" s="1"/>
  <c r="DA24" i="158"/>
  <c r="CZ24" i="158"/>
  <c r="CY24" i="158"/>
  <c r="CX24" i="158"/>
  <c r="BK24" i="158"/>
  <c r="BI24" i="158"/>
  <c r="BJ24" i="158" s="1"/>
  <c r="BG24" i="158"/>
  <c r="BH24" i="158" s="1"/>
  <c r="AU24" i="158"/>
  <c r="W24" i="158"/>
  <c r="L24" i="158"/>
  <c r="GK23" i="158"/>
  <c r="ER23" i="158"/>
  <c r="EL23" i="158"/>
  <c r="CS24" i="36" s="1"/>
  <c r="EK23" i="158"/>
  <c r="CR24" i="36" s="1"/>
  <c r="EJ23" i="158"/>
  <c r="CQ24" i="36" s="1"/>
  <c r="EI23" i="158"/>
  <c r="CP24" i="36" s="1"/>
  <c r="DA23" i="158"/>
  <c r="CZ23" i="158"/>
  <c r="CY23" i="158"/>
  <c r="CX23" i="158"/>
  <c r="BK23" i="158"/>
  <c r="AU23" i="158"/>
  <c r="L23" i="158"/>
  <c r="C23" i="158"/>
  <c r="C19" i="92" s="1"/>
  <c r="GW22" i="158"/>
  <c r="GS22" i="158"/>
  <c r="GT22" i="158" s="1"/>
  <c r="GO22" i="158"/>
  <c r="GK22" i="158"/>
  <c r="ER22" i="158"/>
  <c r="EL22" i="158"/>
  <c r="CS23" i="36" s="1"/>
  <c r="EK22" i="158"/>
  <c r="CR23" i="36" s="1"/>
  <c r="EJ22" i="158"/>
  <c r="CQ23" i="36" s="1"/>
  <c r="EI22" i="158"/>
  <c r="CP23" i="36" s="1"/>
  <c r="DA22" i="158"/>
  <c r="CZ22" i="158"/>
  <c r="CY22" i="158"/>
  <c r="CX22" i="158"/>
  <c r="BK22" i="158"/>
  <c r="BI22" i="158"/>
  <c r="BJ22" i="158" s="1"/>
  <c r="BG22" i="158"/>
  <c r="BH22" i="158" s="1"/>
  <c r="BE22" i="158"/>
  <c r="BF22" i="158" s="1"/>
  <c r="AU22" i="158"/>
  <c r="L22" i="158"/>
  <c r="GK21" i="158"/>
  <c r="ER21" i="158"/>
  <c r="EL21" i="158"/>
  <c r="CS22" i="36" s="1"/>
  <c r="EK21" i="158"/>
  <c r="CR22" i="36" s="1"/>
  <c r="EJ21" i="158"/>
  <c r="CQ22" i="36" s="1"/>
  <c r="EI21" i="158"/>
  <c r="CP22" i="36" s="1"/>
  <c r="DA21" i="158"/>
  <c r="CZ21" i="158"/>
  <c r="CY21" i="158"/>
  <c r="CX21" i="158"/>
  <c r="BE21" i="158"/>
  <c r="BF21" i="158" s="1"/>
  <c r="AU21" i="158"/>
  <c r="AD21" i="158"/>
  <c r="W21" i="158"/>
  <c r="X21" i="158" s="1"/>
  <c r="L21" i="158"/>
  <c r="C21" i="158"/>
  <c r="C17" i="92" s="1"/>
  <c r="GW20" i="158"/>
  <c r="ER20" i="158"/>
  <c r="EL20" i="158"/>
  <c r="CS21" i="36" s="1"/>
  <c r="EK20" i="158"/>
  <c r="CR21" i="36" s="1"/>
  <c r="EJ20" i="158"/>
  <c r="CQ21" i="36" s="1"/>
  <c r="EI20" i="158"/>
  <c r="CP21" i="36" s="1"/>
  <c r="DA20" i="158"/>
  <c r="CZ20" i="158"/>
  <c r="CY20" i="158"/>
  <c r="CX20" i="158"/>
  <c r="BK20" i="158"/>
  <c r="AU20" i="158"/>
  <c r="AD20" i="158"/>
  <c r="L20" i="158"/>
  <c r="GS19" i="158"/>
  <c r="GT19" i="158" s="1"/>
  <c r="GO19" i="158"/>
  <c r="GK19" i="158"/>
  <c r="ER19" i="158"/>
  <c r="EL19" i="158"/>
  <c r="CS20" i="36" s="1"/>
  <c r="EK19" i="158"/>
  <c r="CR20" i="36" s="1"/>
  <c r="EJ19" i="158"/>
  <c r="CQ20" i="36" s="1"/>
  <c r="EI19" i="158"/>
  <c r="CP20" i="36" s="1"/>
  <c r="DA19" i="158"/>
  <c r="CZ19" i="158"/>
  <c r="CY19" i="158"/>
  <c r="CX19" i="158"/>
  <c r="BI19" i="158"/>
  <c r="BJ19" i="158" s="1"/>
  <c r="BG19" i="158"/>
  <c r="BH19" i="158" s="1"/>
  <c r="BE19" i="158"/>
  <c r="BF19" i="158" s="1"/>
  <c r="AU19" i="158"/>
  <c r="AD19" i="158"/>
  <c r="L19" i="158"/>
  <c r="GW18" i="158"/>
  <c r="GS18" i="158"/>
  <c r="GT18" i="158" s="1"/>
  <c r="GO18" i="158"/>
  <c r="ER18" i="158"/>
  <c r="EL18" i="158"/>
  <c r="CS19" i="36" s="1"/>
  <c r="EK18" i="158"/>
  <c r="CR19" i="36" s="1"/>
  <c r="EJ18" i="158"/>
  <c r="CQ19" i="36" s="1"/>
  <c r="EI18" i="158"/>
  <c r="CP19" i="36" s="1"/>
  <c r="DA18" i="158"/>
  <c r="CZ18" i="158"/>
  <c r="CY18" i="158"/>
  <c r="CX18" i="158"/>
  <c r="BK18" i="158"/>
  <c r="BI18" i="158"/>
  <c r="BJ18" i="158" s="1"/>
  <c r="BG18" i="158"/>
  <c r="BH18" i="158" s="1"/>
  <c r="AU18" i="158"/>
  <c r="AD18" i="158"/>
  <c r="L18" i="158"/>
  <c r="C18" i="158"/>
  <c r="C14" i="92" s="1"/>
  <c r="ER17" i="158"/>
  <c r="EL17" i="158"/>
  <c r="CS18" i="36" s="1"/>
  <c r="EK17" i="158"/>
  <c r="CR18" i="36" s="1"/>
  <c r="EJ17" i="158"/>
  <c r="CQ18" i="36" s="1"/>
  <c r="EI17" i="158"/>
  <c r="CP18" i="36" s="1"/>
  <c r="DA17" i="158"/>
  <c r="CZ17" i="158"/>
  <c r="CY17" i="158"/>
  <c r="CX17" i="158"/>
  <c r="AU17" i="158"/>
  <c r="AN17" i="158"/>
  <c r="AD17" i="158"/>
  <c r="L17" i="158"/>
  <c r="GS16" i="158"/>
  <c r="GT16" i="158" s="1"/>
  <c r="GO16" i="158"/>
  <c r="GK16" i="158"/>
  <c r="ER16" i="158"/>
  <c r="EL16" i="158"/>
  <c r="CS17" i="36" s="1"/>
  <c r="EK16" i="158"/>
  <c r="CR17" i="36" s="1"/>
  <c r="EJ16" i="158"/>
  <c r="CQ17" i="36" s="1"/>
  <c r="EI16" i="158"/>
  <c r="CP17" i="36" s="1"/>
  <c r="DA16" i="158"/>
  <c r="CZ16" i="158"/>
  <c r="CY16" i="158"/>
  <c r="CX16" i="158"/>
  <c r="BI16" i="158"/>
  <c r="BJ16" i="158" s="1"/>
  <c r="BG16" i="158"/>
  <c r="BH16" i="158" s="1"/>
  <c r="BE16" i="158"/>
  <c r="BF16" i="158" s="1"/>
  <c r="AU16" i="158"/>
  <c r="AD16" i="158"/>
  <c r="L16" i="158"/>
  <c r="GW15" i="158"/>
  <c r="GS15" i="158"/>
  <c r="GT15" i="158" s="1"/>
  <c r="GO15" i="158"/>
  <c r="ER15" i="158"/>
  <c r="EL15" i="158"/>
  <c r="CS16" i="36" s="1"/>
  <c r="EK15" i="158"/>
  <c r="CR16" i="36" s="1"/>
  <c r="EJ15" i="158"/>
  <c r="CQ16" i="36" s="1"/>
  <c r="EI15" i="158"/>
  <c r="CP16" i="36" s="1"/>
  <c r="DA15" i="158"/>
  <c r="CZ15" i="158"/>
  <c r="CY15" i="158"/>
  <c r="CX15" i="158"/>
  <c r="BK15" i="158"/>
  <c r="BI15" i="158"/>
  <c r="BJ15" i="158" s="1"/>
  <c r="AU15" i="158"/>
  <c r="L15" i="158"/>
  <c r="C15" i="158"/>
  <c r="C11" i="92" s="1"/>
  <c r="ER14" i="158"/>
  <c r="EL14" i="158"/>
  <c r="CS15" i="36" s="1"/>
  <c r="EK14" i="158"/>
  <c r="CR15" i="36" s="1"/>
  <c r="EJ14" i="158"/>
  <c r="CQ15" i="36" s="1"/>
  <c r="EI14" i="158"/>
  <c r="CP15" i="36" s="1"/>
  <c r="DA14" i="158"/>
  <c r="CZ14" i="158"/>
  <c r="CY14" i="158"/>
  <c r="CX14" i="158"/>
  <c r="AU14" i="158"/>
  <c r="L14" i="158"/>
  <c r="GW13" i="158"/>
  <c r="GS13" i="158"/>
  <c r="GT13" i="158" s="1"/>
  <c r="GO13" i="158"/>
  <c r="ER13" i="158"/>
  <c r="EL13" i="158"/>
  <c r="CS14" i="36" s="1"/>
  <c r="EK13" i="158"/>
  <c r="CR14" i="36" s="1"/>
  <c r="EJ13" i="158"/>
  <c r="CQ14" i="36" s="1"/>
  <c r="EI13" i="158"/>
  <c r="CP14" i="36" s="1"/>
  <c r="EE13" i="158"/>
  <c r="CL14" i="36" s="1"/>
  <c r="DW13" i="158"/>
  <c r="CD14" i="36" s="1"/>
  <c r="DA13" i="158"/>
  <c r="CZ13" i="158"/>
  <c r="CY13" i="158"/>
  <c r="CX13" i="158"/>
  <c r="BK13" i="158"/>
  <c r="BI13" i="158"/>
  <c r="BJ13" i="158" s="1"/>
  <c r="BG13" i="158"/>
  <c r="BH13" i="158" s="1"/>
  <c r="BE13" i="158"/>
  <c r="BF13" i="158" s="1"/>
  <c r="AU13" i="158"/>
  <c r="W13" i="158"/>
  <c r="L13" i="158"/>
  <c r="GW12" i="158"/>
  <c r="ER12" i="158"/>
  <c r="EL12" i="158"/>
  <c r="CS13" i="36" s="1"/>
  <c r="EK12" i="158"/>
  <c r="CR13" i="36" s="1"/>
  <c r="EJ12" i="158"/>
  <c r="CQ13" i="36" s="1"/>
  <c r="EI12" i="158"/>
  <c r="CP13" i="36" s="1"/>
  <c r="EE12" i="158"/>
  <c r="CL13" i="36" s="1"/>
  <c r="DW12" i="158"/>
  <c r="CD13" i="36" s="1"/>
  <c r="DA12" i="158"/>
  <c r="CZ12" i="158"/>
  <c r="CY12" i="158"/>
  <c r="CX12" i="158"/>
  <c r="AU12" i="158"/>
  <c r="L12" i="158"/>
  <c r="C12" i="158"/>
  <c r="C8" i="92" s="1"/>
  <c r="GW11" i="158"/>
  <c r="GK11" i="158"/>
  <c r="ER11" i="158"/>
  <c r="EL11" i="158"/>
  <c r="CS12" i="36" s="1"/>
  <c r="EK11" i="158"/>
  <c r="CR12" i="36" s="1"/>
  <c r="EJ11" i="158"/>
  <c r="CQ12" i="36" s="1"/>
  <c r="EI11" i="158"/>
  <c r="CP12" i="36" s="1"/>
  <c r="EE11" i="158"/>
  <c r="CL12" i="36" s="1"/>
  <c r="DW11" i="158"/>
  <c r="CD12" i="36" s="1"/>
  <c r="DA11" i="158"/>
  <c r="CZ11" i="158"/>
  <c r="CY11" i="158"/>
  <c r="CX11" i="158"/>
  <c r="BE11" i="158"/>
  <c r="BF11" i="158" s="1"/>
  <c r="AU11" i="158"/>
  <c r="W11" i="158"/>
  <c r="L11" i="158"/>
  <c r="ER10" i="158"/>
  <c r="EL10" i="158"/>
  <c r="CS11" i="36" s="1"/>
  <c r="EK10" i="158"/>
  <c r="CR11" i="36" s="1"/>
  <c r="EJ10" i="158"/>
  <c r="CQ11" i="36" s="1"/>
  <c r="EI10" i="158"/>
  <c r="CP11" i="36" s="1"/>
  <c r="EE10" i="158"/>
  <c r="CL11" i="36" s="1"/>
  <c r="DW10" i="158"/>
  <c r="CD11" i="36" s="1"/>
  <c r="DA10" i="158"/>
  <c r="CZ10" i="158"/>
  <c r="CY10" i="158"/>
  <c r="CX10" i="158"/>
  <c r="AU10" i="158"/>
  <c r="AN10" i="158"/>
  <c r="L10" i="158"/>
  <c r="GW9" i="158"/>
  <c r="GS9" i="158"/>
  <c r="GT9" i="158" s="1"/>
  <c r="GO9" i="158"/>
  <c r="EX9" i="158"/>
  <c r="EW9" i="158"/>
  <c r="ER9" i="158"/>
  <c r="EL9" i="158"/>
  <c r="CS10" i="36" s="1"/>
  <c r="EK9" i="158"/>
  <c r="CR10" i="36" s="1"/>
  <c r="EJ9" i="158"/>
  <c r="CQ10" i="36" s="1"/>
  <c r="EI9" i="158"/>
  <c r="CP10" i="36" s="1"/>
  <c r="DA9" i="158"/>
  <c r="CZ9" i="158"/>
  <c r="CY9" i="158"/>
  <c r="CX9" i="158"/>
  <c r="BK9" i="158"/>
  <c r="BG9" i="158"/>
  <c r="BH9" i="158" s="1"/>
  <c r="AU9" i="158"/>
  <c r="AN9" i="158"/>
  <c r="L9" i="158"/>
  <c r="C9" i="158"/>
  <c r="C5" i="92" s="1"/>
  <c r="GS8" i="158"/>
  <c r="GT8" i="158" s="1"/>
  <c r="GO8" i="158"/>
  <c r="GK8" i="158"/>
  <c r="EX8" i="158"/>
  <c r="ER8" i="158"/>
  <c r="CS9" i="36"/>
  <c r="CR9" i="36"/>
  <c r="CQ9" i="36"/>
  <c r="CP9" i="36"/>
  <c r="DA8" i="158"/>
  <c r="CZ8" i="158"/>
  <c r="CY8" i="158"/>
  <c r="CX8" i="158"/>
  <c r="BI8" i="158"/>
  <c r="BJ8" i="158" s="1"/>
  <c r="BG8" i="158"/>
  <c r="BH8" i="158" s="1"/>
  <c r="BE8" i="158"/>
  <c r="BF8" i="158" s="1"/>
  <c r="AU8" i="158"/>
  <c r="AP8" i="158"/>
  <c r="EX7" i="158"/>
  <c r="EW7" i="158"/>
  <c r="DJ7" i="158"/>
  <c r="DE7" i="158"/>
  <c r="DA7" i="158"/>
  <c r="GI6" i="158"/>
  <c r="EW5" i="158"/>
  <c r="DV4" i="158"/>
  <c r="DU4" i="158"/>
  <c r="DT4" i="158"/>
  <c r="DS4" i="158"/>
  <c r="DR4" i="158"/>
  <c r="DQ4" i="158"/>
  <c r="DP4" i="158"/>
  <c r="DO4" i="158"/>
  <c r="DN4" i="158"/>
  <c r="DM4" i="158"/>
  <c r="DL4" i="158"/>
  <c r="BT3" i="158" s="1"/>
  <c r="BT4" i="158" s="1"/>
  <c r="AN4" i="158"/>
  <c r="AQ3" i="158"/>
  <c r="AQ4" i="158" s="1"/>
  <c r="AM3" i="158"/>
  <c r="O3" i="158"/>
  <c r="E3" i="158"/>
  <c r="EK2" i="158"/>
  <c r="EJ2" i="158"/>
  <c r="AU2" i="158"/>
  <c r="AR2" i="158"/>
  <c r="AN2" i="158"/>
  <c r="AM2" i="158"/>
  <c r="AK2" i="158"/>
  <c r="AK4" i="158" s="1"/>
  <c r="AJ2" i="158"/>
  <c r="AB2" i="158"/>
  <c r="N2" i="158"/>
  <c r="M2" i="158"/>
  <c r="E2" i="158"/>
  <c r="B8" i="158" s="1"/>
  <c r="DW3" i="158" s="1"/>
  <c r="AO1" i="158"/>
  <c r="AP1" i="158" s="1"/>
  <c r="AN1" i="158"/>
  <c r="AK1" i="158"/>
  <c r="BG39" i="149"/>
  <c r="BF39" i="149"/>
  <c r="BC39" i="149"/>
  <c r="BB39" i="149"/>
  <c r="BG29" i="149"/>
  <c r="BF29" i="149"/>
  <c r="BC29" i="149"/>
  <c r="BB29" i="149"/>
  <c r="AV29" i="149"/>
  <c r="AU29" i="149"/>
  <c r="AM33" i="161" s="1"/>
  <c r="BG28" i="149"/>
  <c r="BF28" i="149"/>
  <c r="BC28" i="149"/>
  <c r="BB28" i="149"/>
  <c r="AV28" i="149"/>
  <c r="AU28" i="149"/>
  <c r="AM32" i="161" s="1"/>
  <c r="BG27" i="149"/>
  <c r="BF27" i="149"/>
  <c r="BC27" i="149"/>
  <c r="BB27" i="149"/>
  <c r="AV27" i="149"/>
  <c r="AU27" i="149"/>
  <c r="AM31" i="161" s="1"/>
  <c r="BG26" i="149"/>
  <c r="BF26" i="149"/>
  <c r="BC26" i="149"/>
  <c r="BB26" i="149"/>
  <c r="AV26" i="149"/>
  <c r="AU26" i="149"/>
  <c r="AM30" i="161" s="1"/>
  <c r="BG25" i="149"/>
  <c r="BF25" i="149"/>
  <c r="BC25" i="149"/>
  <c r="BB25" i="149"/>
  <c r="AV25" i="149"/>
  <c r="AU25" i="149"/>
  <c r="AM29" i="161" s="1"/>
  <c r="BG24" i="149"/>
  <c r="BF24" i="149"/>
  <c r="BC24" i="149"/>
  <c r="BB24" i="149"/>
  <c r="AV24" i="149"/>
  <c r="AU24" i="149"/>
  <c r="AM28" i="161" s="1"/>
  <c r="BG23" i="149"/>
  <c r="BF23" i="149"/>
  <c r="BC23" i="149"/>
  <c r="BB23" i="149"/>
  <c r="AV23" i="149"/>
  <c r="AU23" i="149"/>
  <c r="AM27" i="161" s="1"/>
  <c r="BG22" i="149"/>
  <c r="BF22" i="149"/>
  <c r="BC22" i="149"/>
  <c r="BB22" i="149"/>
  <c r="AV22" i="149"/>
  <c r="AU22" i="149"/>
  <c r="AM26" i="161" s="1"/>
  <c r="BG21" i="149"/>
  <c r="BF21" i="149"/>
  <c r="BC21" i="149"/>
  <c r="BB21" i="149"/>
  <c r="AV21" i="149"/>
  <c r="AU21" i="149"/>
  <c r="AM25" i="161" s="1"/>
  <c r="BG20" i="149"/>
  <c r="BF20" i="149"/>
  <c r="BC20" i="149"/>
  <c r="BB20" i="149"/>
  <c r="AV20" i="149"/>
  <c r="AU20" i="149"/>
  <c r="AM24" i="161" s="1"/>
  <c r="BG19" i="149"/>
  <c r="BF19" i="149"/>
  <c r="BC19" i="149"/>
  <c r="BB19" i="149"/>
  <c r="BG18" i="149"/>
  <c r="BF18" i="149"/>
  <c r="BC18" i="149"/>
  <c r="BB18" i="149"/>
  <c r="AV18" i="149"/>
  <c r="AU18" i="149"/>
  <c r="AM22" i="161" s="1"/>
  <c r="BG17" i="149"/>
  <c r="BF17" i="149"/>
  <c r="BC17" i="149"/>
  <c r="BB17" i="149"/>
  <c r="AV17" i="149"/>
  <c r="AU17" i="149"/>
  <c r="AM21" i="161" s="1"/>
  <c r="BG16" i="149"/>
  <c r="BF16" i="149"/>
  <c r="BC16" i="149"/>
  <c r="BB16" i="149"/>
  <c r="AV16" i="149"/>
  <c r="AU16" i="149"/>
  <c r="AM20" i="161" s="1"/>
  <c r="BG15" i="149"/>
  <c r="BF15" i="149"/>
  <c r="BC15" i="149"/>
  <c r="BB15" i="149"/>
  <c r="AV15" i="149"/>
  <c r="AU15" i="149"/>
  <c r="AM19" i="161" s="1"/>
  <c r="BG14" i="149"/>
  <c r="BF14" i="149"/>
  <c r="BC14" i="149"/>
  <c r="BB14" i="149"/>
  <c r="AV14" i="149"/>
  <c r="AU14" i="149"/>
  <c r="AM18" i="161" s="1"/>
  <c r="BG13" i="149"/>
  <c r="BF13" i="149"/>
  <c r="BC13" i="149"/>
  <c r="BB13" i="149"/>
  <c r="AV13" i="149"/>
  <c r="AU13" i="149"/>
  <c r="AM17" i="161" s="1"/>
  <c r="BG12" i="149"/>
  <c r="BF12" i="149"/>
  <c r="BC12" i="149"/>
  <c r="AV12" i="149"/>
  <c r="AU12" i="149"/>
  <c r="AM16" i="161" s="1"/>
  <c r="BG11" i="149"/>
  <c r="BF11" i="149"/>
  <c r="BC11" i="149"/>
  <c r="AV11" i="149"/>
  <c r="AM15" i="161"/>
  <c r="BG10" i="149"/>
  <c r="BF10" i="149"/>
  <c r="BC10" i="149"/>
  <c r="AV10" i="149"/>
  <c r="AU10" i="149"/>
  <c r="AM14" i="161" s="1"/>
  <c r="BG9" i="149"/>
  <c r="BF9" i="149"/>
  <c r="BC9" i="149"/>
  <c r="AV9" i="149"/>
  <c r="AU9" i="149"/>
  <c r="AM13" i="161" s="1"/>
  <c r="BG8" i="149"/>
  <c r="BF8" i="149"/>
  <c r="BC8" i="149"/>
  <c r="AV8" i="149"/>
  <c r="AU8" i="149"/>
  <c r="AM12" i="161" s="1"/>
  <c r="BG7" i="149"/>
  <c r="BF7" i="149"/>
  <c r="BC7" i="149"/>
  <c r="AV7" i="149"/>
  <c r="AU7" i="149"/>
  <c r="AM11" i="161" s="1"/>
  <c r="BG6" i="149"/>
  <c r="BF6" i="149"/>
  <c r="BC6" i="149"/>
  <c r="AV6" i="149"/>
  <c r="AU6" i="149"/>
  <c r="AM10" i="161" s="1"/>
  <c r="BG5" i="149"/>
  <c r="BF5" i="149"/>
  <c r="BC5" i="149"/>
  <c r="AV5" i="149"/>
  <c r="AU5" i="149"/>
  <c r="AM9" i="161" s="1"/>
  <c r="AV4" i="149"/>
  <c r="AU4" i="149"/>
  <c r="AV3" i="149"/>
  <c r="AU3" i="149"/>
  <c r="AM7" i="161" s="1"/>
  <c r="AV2" i="149"/>
  <c r="AU2" i="149"/>
  <c r="AM6" i="161" s="1"/>
  <c r="F81" i="148"/>
  <c r="C78" i="148"/>
  <c r="AS77" i="148"/>
  <c r="AR77" i="148"/>
  <c r="AP77" i="148"/>
  <c r="AO77" i="148"/>
  <c r="AN77" i="148"/>
  <c r="AM77" i="148"/>
  <c r="AS76" i="148"/>
  <c r="AR76" i="148"/>
  <c r="H76" i="148"/>
  <c r="D76" i="148"/>
  <c r="C76" i="148"/>
  <c r="E76" i="148" s="1"/>
  <c r="AS75" i="148"/>
  <c r="AR75" i="148"/>
  <c r="H75" i="148"/>
  <c r="D75" i="148"/>
  <c r="C75" i="148"/>
  <c r="E75" i="148" s="1"/>
  <c r="AS74" i="148"/>
  <c r="AR74" i="148"/>
  <c r="D74" i="148"/>
  <c r="C74" i="148"/>
  <c r="E74" i="148" s="1"/>
  <c r="AS73" i="148"/>
  <c r="AR73" i="148"/>
  <c r="D73" i="148"/>
  <c r="C73" i="148"/>
  <c r="E73" i="148" s="1"/>
  <c r="AS72" i="148"/>
  <c r="AR72" i="148"/>
  <c r="D72" i="148"/>
  <c r="C72" i="148"/>
  <c r="E72" i="148" s="1"/>
  <c r="AS71" i="148"/>
  <c r="AR71" i="148"/>
  <c r="E71" i="148"/>
  <c r="D71" i="148"/>
  <c r="C71" i="148"/>
  <c r="AS70" i="148"/>
  <c r="AR70" i="148"/>
  <c r="D70" i="148"/>
  <c r="C70" i="148"/>
  <c r="E70" i="148" s="1"/>
  <c r="AS69" i="148"/>
  <c r="AR69" i="148"/>
  <c r="D69" i="148"/>
  <c r="C69" i="148"/>
  <c r="E69" i="148" s="1"/>
  <c r="AS68" i="148"/>
  <c r="AR68" i="148"/>
  <c r="D68" i="148"/>
  <c r="C68" i="148"/>
  <c r="E68" i="148" s="1"/>
  <c r="AS67" i="148"/>
  <c r="AR67" i="148"/>
  <c r="D67" i="148"/>
  <c r="C67" i="148"/>
  <c r="E67" i="148" s="1"/>
  <c r="AS66" i="148"/>
  <c r="AR66" i="148"/>
  <c r="D66" i="148"/>
  <c r="C66" i="148"/>
  <c r="E66" i="148" s="1"/>
  <c r="AS65" i="148"/>
  <c r="AR65" i="148"/>
  <c r="AS64" i="148"/>
  <c r="AR64" i="148"/>
  <c r="AS63" i="148"/>
  <c r="AR63" i="148"/>
  <c r="AS62" i="148"/>
  <c r="AR62" i="148"/>
  <c r="AS61" i="148"/>
  <c r="AR61" i="148"/>
  <c r="AS60" i="148"/>
  <c r="AR60" i="148"/>
  <c r="AS59" i="148"/>
  <c r="AR59" i="148"/>
  <c r="AS58" i="148"/>
  <c r="AR58" i="148"/>
  <c r="AS57" i="148"/>
  <c r="AR57" i="148"/>
  <c r="AS56" i="148"/>
  <c r="AR56" i="148"/>
  <c r="AS55" i="148"/>
  <c r="AR55" i="148"/>
  <c r="AS54" i="148"/>
  <c r="AR54" i="148"/>
  <c r="AS53" i="148"/>
  <c r="AR53" i="148"/>
  <c r="AZ52" i="148"/>
  <c r="AS52" i="148"/>
  <c r="AR52" i="148"/>
  <c r="AZ51" i="148"/>
  <c r="AS51" i="148"/>
  <c r="AR51" i="148"/>
  <c r="AZ50" i="148"/>
  <c r="AS50" i="148"/>
  <c r="AR50" i="148"/>
  <c r="AZ49" i="148"/>
  <c r="AS49" i="148"/>
  <c r="AR49" i="148"/>
  <c r="AZ48" i="148"/>
  <c r="AS48" i="148"/>
  <c r="AR48" i="148"/>
  <c r="AZ47" i="148"/>
  <c r="AS47" i="148"/>
  <c r="AR47" i="148"/>
  <c r="G47" i="148"/>
  <c r="E47" i="148"/>
  <c r="AZ46" i="148"/>
  <c r="AS46" i="148"/>
  <c r="AR46" i="148"/>
  <c r="G46" i="148"/>
  <c r="E46" i="148"/>
  <c r="G45" i="148"/>
  <c r="AR44" i="148"/>
  <c r="AN44" i="148"/>
  <c r="AS42" i="148"/>
  <c r="AS44" i="148" s="1"/>
  <c r="AR42" i="148"/>
  <c r="AQ42" i="148"/>
  <c r="AQ44" i="148" s="1"/>
  <c r="AP42" i="148"/>
  <c r="AP44" i="148" s="1"/>
  <c r="AO42" i="148"/>
  <c r="AO44" i="148" s="1"/>
  <c r="AN42" i="148"/>
  <c r="AM42" i="148"/>
  <c r="AM44" i="148" s="1"/>
  <c r="B42" i="148"/>
  <c r="U41" i="148"/>
  <c r="O41" i="148"/>
  <c r="N41" i="148"/>
  <c r="D41" i="148"/>
  <c r="AA40" i="148"/>
  <c r="Z40" i="148"/>
  <c r="Y40" i="148"/>
  <c r="CH36" i="148"/>
  <c r="CE36" i="148"/>
  <c r="BY36" i="148"/>
  <c r="CD36" i="148" s="1"/>
  <c r="BU36" i="148"/>
  <c r="BQ36" i="148"/>
  <c r="BM36" i="148"/>
  <c r="BK36" i="148"/>
  <c r="BE36" i="148"/>
  <c r="BD36" i="148"/>
  <c r="BC36" i="148"/>
  <c r="BB36" i="148"/>
  <c r="AY36" i="148"/>
  <c r="AX36" i="148"/>
  <c r="AS36" i="148"/>
  <c r="AR36" i="148"/>
  <c r="AQ36" i="148"/>
  <c r="AP36" i="148"/>
  <c r="AO36" i="148"/>
  <c r="AN36" i="148"/>
  <c r="AM36" i="148" s="1"/>
  <c r="F36" i="148"/>
  <c r="AT35" i="158"/>
  <c r="R70" i="161" s="1"/>
  <c r="B36" i="148"/>
  <c r="CH35" i="148"/>
  <c r="CE35" i="148"/>
  <c r="BY35" i="148"/>
  <c r="CD35" i="148" s="1"/>
  <c r="BU35" i="148"/>
  <c r="BQ35" i="148"/>
  <c r="BM35" i="148"/>
  <c r="BK35" i="148"/>
  <c r="BE35" i="148"/>
  <c r="BD35" i="148"/>
  <c r="BC35" i="148"/>
  <c r="BB35" i="148"/>
  <c r="AY35" i="148"/>
  <c r="AZ35" i="148" s="1"/>
  <c r="AX35" i="148"/>
  <c r="AS35" i="148"/>
  <c r="AR35" i="148"/>
  <c r="AQ35" i="148"/>
  <c r="AP35" i="148"/>
  <c r="AO35" i="148"/>
  <c r="AN35" i="148"/>
  <c r="AM35" i="148" s="1"/>
  <c r="F35" i="148"/>
  <c r="AT34" i="158"/>
  <c r="R69" i="161" s="1"/>
  <c r="B35" i="148"/>
  <c r="CH34" i="148"/>
  <c r="CE34" i="148"/>
  <c r="BY34" i="148"/>
  <c r="CD34" i="148" s="1"/>
  <c r="BU34" i="148"/>
  <c r="BQ34" i="148"/>
  <c r="BM34" i="148"/>
  <c r="BK34" i="148"/>
  <c r="BE34" i="148"/>
  <c r="BD34" i="148"/>
  <c r="BC34" i="148"/>
  <c r="BB34" i="148"/>
  <c r="AY34" i="148"/>
  <c r="AZ34" i="148" s="1"/>
  <c r="AX34" i="148"/>
  <c r="AS34" i="148"/>
  <c r="AR34" i="148"/>
  <c r="AQ34" i="148"/>
  <c r="AP34" i="148"/>
  <c r="AO34" i="148"/>
  <c r="AN34" i="148"/>
  <c r="AM34" i="148" s="1"/>
  <c r="B34" i="148"/>
  <c r="CH33" i="148"/>
  <c r="CE33" i="148"/>
  <c r="BY33" i="148"/>
  <c r="CD33" i="148" s="1"/>
  <c r="BU33" i="148"/>
  <c r="BQ33" i="148"/>
  <c r="BM33" i="148"/>
  <c r="BK33" i="148"/>
  <c r="BE33" i="148"/>
  <c r="BD33" i="148"/>
  <c r="BC33" i="148"/>
  <c r="BB33" i="148"/>
  <c r="AY33" i="148"/>
  <c r="AX33" i="148"/>
  <c r="AS33" i="148"/>
  <c r="AR33" i="148"/>
  <c r="AQ33" i="148"/>
  <c r="AP33" i="148"/>
  <c r="AO33" i="148"/>
  <c r="AN33" i="148"/>
  <c r="AM33" i="148" s="1"/>
  <c r="F33" i="148"/>
  <c r="AT32" i="158"/>
  <c r="R67" i="161" s="1"/>
  <c r="B33" i="148"/>
  <c r="CH32" i="148"/>
  <c r="CE32" i="148"/>
  <c r="CF32" i="148" s="1"/>
  <c r="CG32" i="148" s="1"/>
  <c r="BY32" i="148"/>
  <c r="CD32" i="148" s="1"/>
  <c r="BU32" i="148"/>
  <c r="BQ32" i="148"/>
  <c r="BM32" i="148"/>
  <c r="BK32" i="148"/>
  <c r="BE32" i="148"/>
  <c r="BD32" i="148"/>
  <c r="BC32" i="148"/>
  <c r="BB32" i="148"/>
  <c r="AY32" i="148"/>
  <c r="AZ32" i="148" s="1"/>
  <c r="AX32" i="148"/>
  <c r="AS32" i="148"/>
  <c r="AR32" i="148"/>
  <c r="AQ32" i="148"/>
  <c r="AP32" i="148"/>
  <c r="AO32" i="148"/>
  <c r="AN32" i="148"/>
  <c r="AM32" i="148"/>
  <c r="F32" i="148"/>
  <c r="B32" i="148"/>
  <c r="CH31" i="148"/>
  <c r="CE31" i="148"/>
  <c r="BY31" i="148"/>
  <c r="CD31" i="148" s="1"/>
  <c r="BU31" i="148"/>
  <c r="BQ31" i="148"/>
  <c r="BM31" i="148"/>
  <c r="BK31" i="148"/>
  <c r="BE31" i="148"/>
  <c r="BD31" i="148"/>
  <c r="BC31" i="148"/>
  <c r="BB31" i="148"/>
  <c r="AY31" i="148"/>
  <c r="AZ31" i="148" s="1"/>
  <c r="AX31" i="148"/>
  <c r="AS31" i="148"/>
  <c r="AR31" i="148"/>
  <c r="AQ31" i="148"/>
  <c r="AP31" i="148"/>
  <c r="AO31" i="148"/>
  <c r="AN31" i="148"/>
  <c r="AM31" i="148"/>
  <c r="F31" i="148"/>
  <c r="AT30" i="158"/>
  <c r="R65" i="161" s="1"/>
  <c r="B31" i="148"/>
  <c r="CH30" i="148"/>
  <c r="CE30" i="148"/>
  <c r="BY30" i="148"/>
  <c r="CD30" i="148" s="1"/>
  <c r="BU30" i="148"/>
  <c r="BQ30" i="148"/>
  <c r="BM30" i="148"/>
  <c r="BK30" i="148"/>
  <c r="BE30" i="148"/>
  <c r="BD30" i="148"/>
  <c r="BC30" i="148"/>
  <c r="BB30" i="148"/>
  <c r="AY30" i="148"/>
  <c r="AZ30" i="148" s="1"/>
  <c r="AX30" i="148"/>
  <c r="AS30" i="148"/>
  <c r="AR30" i="148"/>
  <c r="AQ30" i="148"/>
  <c r="AP30" i="148"/>
  <c r="AO30" i="148"/>
  <c r="AN30" i="148"/>
  <c r="AM30" i="148"/>
  <c r="F30" i="148"/>
  <c r="AT29" i="158"/>
  <c r="R64" i="161" s="1"/>
  <c r="B30" i="148"/>
  <c r="CH29" i="148"/>
  <c r="CE29" i="148"/>
  <c r="CF29" i="148" s="1"/>
  <c r="CG29" i="148" s="1"/>
  <c r="BY29" i="148"/>
  <c r="CD29" i="148" s="1"/>
  <c r="BU29" i="148"/>
  <c r="BQ29" i="148"/>
  <c r="BM29" i="148"/>
  <c r="BK29" i="148"/>
  <c r="BE29" i="148"/>
  <c r="BD29" i="148"/>
  <c r="BC29" i="148"/>
  <c r="BB29" i="148"/>
  <c r="AY29" i="148"/>
  <c r="AZ29" i="148" s="1"/>
  <c r="AX29" i="148"/>
  <c r="AS29" i="148"/>
  <c r="AR29" i="148"/>
  <c r="AQ29" i="148"/>
  <c r="AP29" i="148"/>
  <c r="AO29" i="148"/>
  <c r="AN29" i="148"/>
  <c r="AM29" i="148"/>
  <c r="F29" i="148"/>
  <c r="AT28" i="158"/>
  <c r="R63" i="161" s="1"/>
  <c r="B29" i="148"/>
  <c r="CH28" i="148"/>
  <c r="CE28" i="148"/>
  <c r="BY28" i="148"/>
  <c r="CD28" i="148" s="1"/>
  <c r="BU28" i="148"/>
  <c r="BQ28" i="148"/>
  <c r="BM28" i="148"/>
  <c r="BK28" i="148"/>
  <c r="BE28" i="148"/>
  <c r="BD28" i="148"/>
  <c r="BC28" i="148"/>
  <c r="BB28" i="148"/>
  <c r="AY28" i="148"/>
  <c r="AZ28" i="148" s="1"/>
  <c r="AX28" i="148"/>
  <c r="AS28" i="148"/>
  <c r="AR28" i="148"/>
  <c r="AQ28" i="148"/>
  <c r="AP28" i="148"/>
  <c r="AO28" i="148"/>
  <c r="AN28" i="148"/>
  <c r="AM28" i="148"/>
  <c r="F28" i="148"/>
  <c r="B28" i="148"/>
  <c r="CH27" i="148"/>
  <c r="CE27" i="148"/>
  <c r="CF27" i="148" s="1"/>
  <c r="CG27" i="148" s="1"/>
  <c r="BY27" i="148"/>
  <c r="CD27" i="148" s="1"/>
  <c r="BU27" i="148"/>
  <c r="BQ27" i="148"/>
  <c r="BM27" i="148"/>
  <c r="BK27" i="148"/>
  <c r="BE27" i="148"/>
  <c r="BD27" i="148"/>
  <c r="BC27" i="148"/>
  <c r="BB27" i="148"/>
  <c r="AY27" i="148"/>
  <c r="AZ27" i="148" s="1"/>
  <c r="AX27" i="148"/>
  <c r="AS27" i="148"/>
  <c r="AR27" i="148"/>
  <c r="AQ27" i="148"/>
  <c r="AP27" i="148"/>
  <c r="AO27" i="148"/>
  <c r="AN27" i="148"/>
  <c r="AM27" i="148"/>
  <c r="F27" i="148"/>
  <c r="B27" i="148"/>
  <c r="CH26" i="148"/>
  <c r="B26" i="148"/>
  <c r="CH25" i="148"/>
  <c r="CE25" i="148"/>
  <c r="BY25" i="148"/>
  <c r="CD25" i="148" s="1"/>
  <c r="BU25" i="148"/>
  <c r="BQ25" i="148"/>
  <c r="BM25" i="148"/>
  <c r="BK25" i="148"/>
  <c r="BE25" i="148"/>
  <c r="BD25" i="148"/>
  <c r="BC25" i="148"/>
  <c r="BB25" i="148"/>
  <c r="AY25" i="148"/>
  <c r="AZ25" i="148" s="1"/>
  <c r="AX25" i="148"/>
  <c r="AS25" i="148"/>
  <c r="AR25" i="148"/>
  <c r="AQ25" i="148"/>
  <c r="AP25" i="148"/>
  <c r="AO25" i="148"/>
  <c r="AN25" i="148"/>
  <c r="AM25" i="148"/>
  <c r="F25" i="148"/>
  <c r="AT24" i="158"/>
  <c r="R59" i="161" s="1"/>
  <c r="B25" i="148"/>
  <c r="CH24" i="148"/>
  <c r="CE24" i="148"/>
  <c r="BY24" i="148"/>
  <c r="CD24" i="148" s="1"/>
  <c r="BU24" i="148"/>
  <c r="BQ24" i="148"/>
  <c r="BM24" i="148"/>
  <c r="BK24" i="148"/>
  <c r="BE24" i="148"/>
  <c r="BD24" i="148"/>
  <c r="BC24" i="148"/>
  <c r="BB24" i="148"/>
  <c r="AY24" i="148"/>
  <c r="AZ24" i="148" s="1"/>
  <c r="AX24" i="148"/>
  <c r="AS24" i="148"/>
  <c r="AR24" i="148"/>
  <c r="AQ24" i="148"/>
  <c r="AP24" i="148"/>
  <c r="AO24" i="148"/>
  <c r="AN24" i="148"/>
  <c r="AM24" i="148"/>
  <c r="F24" i="148"/>
  <c r="B24" i="148"/>
  <c r="CH23" i="148"/>
  <c r="CE23" i="148"/>
  <c r="CF23" i="148" s="1"/>
  <c r="CG23" i="148" s="1"/>
  <c r="BY23" i="148"/>
  <c r="CD23" i="148" s="1"/>
  <c r="BU23" i="148"/>
  <c r="BQ23" i="148"/>
  <c r="BM23" i="148"/>
  <c r="BK23" i="148"/>
  <c r="BE23" i="148"/>
  <c r="BD23" i="148"/>
  <c r="BC23" i="148"/>
  <c r="BB23" i="148"/>
  <c r="AY23" i="148"/>
  <c r="AZ23" i="148" s="1"/>
  <c r="AX23" i="148"/>
  <c r="AS23" i="148"/>
  <c r="AR23" i="148"/>
  <c r="AQ23" i="148"/>
  <c r="AP23" i="148"/>
  <c r="AO23" i="148"/>
  <c r="AN23" i="148"/>
  <c r="AM23" i="148"/>
  <c r="F23" i="148"/>
  <c r="AT22" i="158"/>
  <c r="R57" i="161" s="1"/>
  <c r="B23" i="148"/>
  <c r="CH22" i="148"/>
  <c r="CE22" i="148"/>
  <c r="BY22" i="148"/>
  <c r="CD22" i="148" s="1"/>
  <c r="BU22" i="148"/>
  <c r="BQ22" i="148"/>
  <c r="BM22" i="148"/>
  <c r="BK22" i="148"/>
  <c r="BE22" i="148"/>
  <c r="BD22" i="148"/>
  <c r="BC22" i="148"/>
  <c r="BB22" i="148"/>
  <c r="AY22" i="148"/>
  <c r="AZ22" i="148" s="1"/>
  <c r="AX22" i="148"/>
  <c r="AS22" i="148"/>
  <c r="AR22" i="148"/>
  <c r="AQ22" i="148"/>
  <c r="AP22" i="148"/>
  <c r="AO22" i="148"/>
  <c r="AN22" i="148"/>
  <c r="AM22" i="148"/>
  <c r="B22" i="148"/>
  <c r="CH21" i="148"/>
  <c r="CE21" i="148"/>
  <c r="BY21" i="148"/>
  <c r="CD21" i="148" s="1"/>
  <c r="BU21" i="148"/>
  <c r="BQ21" i="148"/>
  <c r="BM21" i="148"/>
  <c r="BK21" i="148"/>
  <c r="BE21" i="148"/>
  <c r="BD21" i="148"/>
  <c r="BC21" i="148"/>
  <c r="BB21" i="148"/>
  <c r="AY21" i="148"/>
  <c r="AZ21" i="148" s="1"/>
  <c r="AX21" i="148"/>
  <c r="AS21" i="148"/>
  <c r="AR21" i="148"/>
  <c r="AQ21" i="148"/>
  <c r="AP21" i="148"/>
  <c r="AO21" i="148"/>
  <c r="AN21" i="148"/>
  <c r="AM21" i="148"/>
  <c r="F21" i="148"/>
  <c r="AT20" i="158"/>
  <c r="R55" i="161" s="1"/>
  <c r="B21" i="148"/>
  <c r="CH20" i="148"/>
  <c r="CE20" i="148"/>
  <c r="BY20" i="148"/>
  <c r="CD20" i="148" s="1"/>
  <c r="BU20" i="148"/>
  <c r="BQ20" i="148"/>
  <c r="BM20" i="148"/>
  <c r="BK20" i="148"/>
  <c r="BE20" i="148"/>
  <c r="BD20" i="148"/>
  <c r="BC20" i="148"/>
  <c r="BB20" i="148"/>
  <c r="AY20" i="148"/>
  <c r="AZ20" i="148" s="1"/>
  <c r="AX20" i="148"/>
  <c r="AS20" i="148"/>
  <c r="AR20" i="148"/>
  <c r="AQ20" i="148"/>
  <c r="AP20" i="148"/>
  <c r="AO20" i="148"/>
  <c r="AN20" i="148"/>
  <c r="AM20" i="148"/>
  <c r="B20" i="148"/>
  <c r="CH19" i="148"/>
  <c r="CE19" i="148"/>
  <c r="CF19" i="148" s="1"/>
  <c r="CG19" i="148" s="1"/>
  <c r="BY19" i="148"/>
  <c r="CD19" i="148" s="1"/>
  <c r="BU19" i="148"/>
  <c r="BQ19" i="148"/>
  <c r="BM19" i="148"/>
  <c r="BK19" i="148"/>
  <c r="BE19" i="148"/>
  <c r="BD19" i="148"/>
  <c r="BC19" i="148"/>
  <c r="BB19" i="148"/>
  <c r="AY19" i="148"/>
  <c r="AZ19" i="148" s="1"/>
  <c r="AX19" i="148"/>
  <c r="AS19" i="148"/>
  <c r="AR19" i="148"/>
  <c r="AQ19" i="148"/>
  <c r="AP19" i="148"/>
  <c r="AO19" i="148"/>
  <c r="AN19" i="148"/>
  <c r="AM19" i="148"/>
  <c r="F19" i="148"/>
  <c r="AT18" i="158"/>
  <c r="R53" i="161" s="1"/>
  <c r="B19" i="148"/>
  <c r="CH18" i="148"/>
  <c r="CE18" i="148"/>
  <c r="BY18" i="148"/>
  <c r="CD18" i="148" s="1"/>
  <c r="BU18" i="148"/>
  <c r="BQ18" i="148"/>
  <c r="BM18" i="148"/>
  <c r="BK18" i="148"/>
  <c r="BE18" i="148"/>
  <c r="BD18" i="148"/>
  <c r="BC18" i="148"/>
  <c r="BB18" i="148"/>
  <c r="AY18" i="148"/>
  <c r="AZ18" i="148" s="1"/>
  <c r="AX18" i="148"/>
  <c r="AS18" i="148"/>
  <c r="AR18" i="148"/>
  <c r="AQ18" i="148"/>
  <c r="AP18" i="148"/>
  <c r="AO18" i="148"/>
  <c r="AN18" i="148"/>
  <c r="AM18" i="148"/>
  <c r="B18" i="148"/>
  <c r="CH17" i="148"/>
  <c r="CE17" i="148"/>
  <c r="BY17" i="148"/>
  <c r="CD17" i="148" s="1"/>
  <c r="BU17" i="148"/>
  <c r="BQ17" i="148"/>
  <c r="BM17" i="148"/>
  <c r="BK17" i="148"/>
  <c r="BE17" i="148"/>
  <c r="BD17" i="148"/>
  <c r="BC17" i="148"/>
  <c r="BB17" i="148"/>
  <c r="AY17" i="148"/>
  <c r="AZ17" i="148" s="1"/>
  <c r="AX17" i="148"/>
  <c r="AS17" i="148"/>
  <c r="AR17" i="148"/>
  <c r="AQ17" i="148"/>
  <c r="AP17" i="148"/>
  <c r="AO17" i="148"/>
  <c r="AN17" i="148"/>
  <c r="AM17" i="148"/>
  <c r="AT16" i="158"/>
  <c r="R51" i="161" s="1"/>
  <c r="B17" i="148"/>
  <c r="CH16" i="148"/>
  <c r="CE16" i="148"/>
  <c r="CF16" i="148" s="1"/>
  <c r="CG16" i="148" s="1"/>
  <c r="BY16" i="148"/>
  <c r="CD16" i="148" s="1"/>
  <c r="BU16" i="148"/>
  <c r="BQ16" i="148"/>
  <c r="BM16" i="148"/>
  <c r="BK16" i="148"/>
  <c r="BE16" i="148"/>
  <c r="BD16" i="148"/>
  <c r="BC16" i="148"/>
  <c r="BB16" i="148"/>
  <c r="AY16" i="148"/>
  <c r="AZ16" i="148" s="1"/>
  <c r="AX16" i="148"/>
  <c r="AS16" i="148"/>
  <c r="AR16" i="148"/>
  <c r="AQ16" i="148"/>
  <c r="AP16" i="148"/>
  <c r="AO16" i="148"/>
  <c r="AN16" i="148"/>
  <c r="AM16" i="148"/>
  <c r="B16" i="148"/>
  <c r="CH15" i="148"/>
  <c r="CE15" i="148"/>
  <c r="BY15" i="148"/>
  <c r="CD15" i="148" s="1"/>
  <c r="BU15" i="148"/>
  <c r="BQ15" i="148"/>
  <c r="BM15" i="148"/>
  <c r="BK15" i="148"/>
  <c r="BE15" i="148"/>
  <c r="BD15" i="148"/>
  <c r="BC15" i="148"/>
  <c r="BB15" i="148"/>
  <c r="AY15" i="148"/>
  <c r="AZ15" i="148" s="1"/>
  <c r="AX15" i="148"/>
  <c r="AS15" i="148"/>
  <c r="AR15" i="148"/>
  <c r="AQ15" i="148"/>
  <c r="AP15" i="148"/>
  <c r="AO15" i="148"/>
  <c r="AN15" i="148"/>
  <c r="AM15" i="148"/>
  <c r="F15" i="148"/>
  <c r="AT14" i="158"/>
  <c r="R49" i="161" s="1"/>
  <c r="B15" i="148"/>
  <c r="CH14" i="148"/>
  <c r="CE14" i="148"/>
  <c r="CF14" i="148" s="1"/>
  <c r="CG14" i="148" s="1"/>
  <c r="BY14" i="148"/>
  <c r="CD14" i="148" s="1"/>
  <c r="BU14" i="148"/>
  <c r="BQ14" i="148"/>
  <c r="BM14" i="148"/>
  <c r="BK14" i="148"/>
  <c r="BE14" i="148"/>
  <c r="BD14" i="148"/>
  <c r="BC14" i="148"/>
  <c r="BB14" i="148"/>
  <c r="AY14" i="148"/>
  <c r="AZ14" i="148" s="1"/>
  <c r="AX14" i="148"/>
  <c r="AS14" i="148"/>
  <c r="AR14" i="148"/>
  <c r="AQ14" i="148"/>
  <c r="AP14" i="148"/>
  <c r="AO14" i="148"/>
  <c r="AN14" i="148"/>
  <c r="AM14" i="148"/>
  <c r="B14" i="148"/>
  <c r="CH13" i="148"/>
  <c r="CE13" i="148"/>
  <c r="BY13" i="148"/>
  <c r="CD13" i="148" s="1"/>
  <c r="BU13" i="148"/>
  <c r="BQ13" i="148"/>
  <c r="BM13" i="148"/>
  <c r="BK13" i="148"/>
  <c r="BE13" i="148"/>
  <c r="BD13" i="148"/>
  <c r="BC13" i="148"/>
  <c r="BB13" i="148"/>
  <c r="AY13" i="148"/>
  <c r="AZ13" i="148" s="1"/>
  <c r="AX13" i="148"/>
  <c r="AS13" i="148"/>
  <c r="AR13" i="148"/>
  <c r="AQ13" i="148"/>
  <c r="AP13" i="148"/>
  <c r="AO13" i="148"/>
  <c r="AN13" i="148"/>
  <c r="AM13" i="148"/>
  <c r="F13" i="148"/>
  <c r="AT12" i="158"/>
  <c r="R47" i="161" s="1"/>
  <c r="B13" i="148"/>
  <c r="CH12" i="148"/>
  <c r="CE12" i="148"/>
  <c r="BY12" i="148"/>
  <c r="CD12" i="148" s="1"/>
  <c r="BU12" i="148"/>
  <c r="BQ12" i="148"/>
  <c r="BM12" i="148"/>
  <c r="BK12" i="148"/>
  <c r="BE12" i="148"/>
  <c r="BD12" i="148"/>
  <c r="BC12" i="148"/>
  <c r="BB12" i="148"/>
  <c r="AY12" i="148"/>
  <c r="AZ12" i="148" s="1"/>
  <c r="AX12" i="148"/>
  <c r="AS12" i="148"/>
  <c r="AR12" i="148"/>
  <c r="AQ12" i="148"/>
  <c r="AP12" i="148"/>
  <c r="AO12" i="148"/>
  <c r="AN12" i="148"/>
  <c r="AM12" i="148"/>
  <c r="B12" i="148"/>
  <c r="CH11" i="148"/>
  <c r="CE11" i="148"/>
  <c r="BY11" i="148"/>
  <c r="CD11" i="148" s="1"/>
  <c r="BU11" i="148"/>
  <c r="BQ11" i="148"/>
  <c r="BM11" i="148"/>
  <c r="BK11" i="148"/>
  <c r="BE11" i="148"/>
  <c r="BD11" i="148"/>
  <c r="BC11" i="148"/>
  <c r="BB11" i="148"/>
  <c r="AY11" i="148"/>
  <c r="AZ11" i="148" s="1"/>
  <c r="AX11" i="148"/>
  <c r="AS11" i="148"/>
  <c r="AR11" i="148"/>
  <c r="AQ11" i="148"/>
  <c r="AP11" i="148"/>
  <c r="AO11" i="148"/>
  <c r="AN11" i="148"/>
  <c r="AM11" i="148"/>
  <c r="F11" i="148"/>
  <c r="AT10" i="158"/>
  <c r="R45" i="161" s="1"/>
  <c r="B11" i="148"/>
  <c r="CH10" i="148"/>
  <c r="CE10" i="148"/>
  <c r="BY10" i="148"/>
  <c r="CD10" i="148" s="1"/>
  <c r="BU10" i="148"/>
  <c r="BQ10" i="148"/>
  <c r="BM10" i="148"/>
  <c r="BK10" i="148"/>
  <c r="BE10" i="148"/>
  <c r="BD10" i="148"/>
  <c r="BC10" i="148"/>
  <c r="BB10" i="148"/>
  <c r="AY10" i="148"/>
  <c r="AZ10" i="148" s="1"/>
  <c r="AX10" i="148"/>
  <c r="AS10" i="148"/>
  <c r="AR10" i="148"/>
  <c r="AQ10" i="148"/>
  <c r="AP10" i="148"/>
  <c r="AO10" i="148"/>
  <c r="AN10" i="148"/>
  <c r="AM10" i="148"/>
  <c r="B10" i="148"/>
  <c r="CH9" i="148"/>
  <c r="CE9" i="148"/>
  <c r="CF9" i="148" s="1"/>
  <c r="CG9" i="148" s="1"/>
  <c r="BY9" i="148"/>
  <c r="CD9" i="148" s="1"/>
  <c r="BU9" i="148"/>
  <c r="BQ9" i="148"/>
  <c r="BM9" i="148"/>
  <c r="BK9" i="148"/>
  <c r="BE9" i="148"/>
  <c r="BD9" i="148"/>
  <c r="BC9" i="148"/>
  <c r="BB9" i="148"/>
  <c r="AY9" i="148"/>
  <c r="AZ9" i="148" s="1"/>
  <c r="AX9" i="148"/>
  <c r="AS9" i="148"/>
  <c r="AR9" i="148"/>
  <c r="AQ9" i="148"/>
  <c r="AP9" i="148"/>
  <c r="AO9" i="148"/>
  <c r="AN9" i="148"/>
  <c r="AM9" i="148"/>
  <c r="U9" i="148"/>
  <c r="M9" i="148"/>
  <c r="M41" i="148" s="1"/>
  <c r="L9" i="148"/>
  <c r="L41" i="148" s="1"/>
  <c r="K9" i="148"/>
  <c r="K41" i="148" s="1"/>
  <c r="J9" i="148"/>
  <c r="J41" i="148" s="1"/>
  <c r="I9" i="148"/>
  <c r="I41" i="148" s="1"/>
  <c r="H9" i="148"/>
  <c r="H41" i="148" s="1"/>
  <c r="G9" i="148"/>
  <c r="G41" i="148" s="1"/>
  <c r="E9" i="148"/>
  <c r="AT8" i="158" s="1"/>
  <c r="R43" i="161" s="1"/>
  <c r="C9" i="148"/>
  <c r="C41" i="148" s="1"/>
  <c r="B9" i="148"/>
  <c r="BE8" i="148"/>
  <c r="BD8" i="148"/>
  <c r="BC8" i="148"/>
  <c r="BB8" i="148"/>
  <c r="M7" i="148"/>
  <c r="J7" i="148"/>
  <c r="I7" i="148"/>
  <c r="I43" i="123"/>
  <c r="H43" i="123"/>
  <c r="B14" i="123"/>
  <c r="B15" i="123" s="1"/>
  <c r="B16" i="123" s="1"/>
  <c r="B17" i="123" s="1"/>
  <c r="B18" i="123" s="1"/>
  <c r="B19" i="123" s="1"/>
  <c r="B20" i="123" s="1"/>
  <c r="B21" i="123" s="1"/>
  <c r="B22" i="123" s="1"/>
  <c r="B23" i="123" s="1"/>
  <c r="B24" i="123" s="1"/>
  <c r="B25" i="123" s="1"/>
  <c r="B26" i="123" s="1"/>
  <c r="B27" i="123" s="1"/>
  <c r="B28" i="123" s="1"/>
  <c r="B29" i="123" s="1"/>
  <c r="B30" i="123" s="1"/>
  <c r="B31" i="123" s="1"/>
  <c r="B32" i="123" s="1"/>
  <c r="B33" i="123" s="1"/>
  <c r="B34" i="123" s="1"/>
  <c r="B35" i="123" s="1"/>
  <c r="B36" i="123" s="1"/>
  <c r="B37" i="123" s="1"/>
  <c r="B38" i="123" s="1"/>
  <c r="B39" i="123" s="1"/>
  <c r="G5" i="123"/>
  <c r="G4" i="123"/>
  <c r="B12" i="123" s="1"/>
  <c r="B13" i="123" s="1"/>
  <c r="F76" i="167"/>
  <c r="Q75" i="167"/>
  <c r="O75" i="167"/>
  <c r="N75" i="167"/>
  <c r="M75" i="167"/>
  <c r="J75" i="167"/>
  <c r="H75" i="167"/>
  <c r="G75" i="167"/>
  <c r="F75" i="167"/>
  <c r="D75" i="167"/>
  <c r="C75" i="167"/>
  <c r="B75" i="167"/>
  <c r="R73" i="167"/>
  <c r="O73" i="167"/>
  <c r="N73" i="167"/>
  <c r="L73" i="167"/>
  <c r="K73" i="167"/>
  <c r="J73" i="167"/>
  <c r="C73" i="167"/>
  <c r="R72" i="167"/>
  <c r="Q72" i="167"/>
  <c r="O72" i="167"/>
  <c r="N72" i="167"/>
  <c r="L72" i="167"/>
  <c r="K72" i="167"/>
  <c r="J72" i="167"/>
  <c r="C72" i="167"/>
  <c r="R71" i="167"/>
  <c r="Q71" i="167"/>
  <c r="O71" i="167"/>
  <c r="N71" i="167"/>
  <c r="L71" i="167"/>
  <c r="K71" i="167"/>
  <c r="J71" i="167"/>
  <c r="C71" i="167"/>
  <c r="R70" i="167"/>
  <c r="Q70" i="167"/>
  <c r="O70" i="167"/>
  <c r="N70" i="167"/>
  <c r="L70" i="167"/>
  <c r="K70" i="167"/>
  <c r="J70" i="167"/>
  <c r="C70" i="167"/>
  <c r="R69" i="167"/>
  <c r="Q69" i="167"/>
  <c r="O69" i="167"/>
  <c r="N69" i="167"/>
  <c r="L69" i="167"/>
  <c r="K69" i="167"/>
  <c r="J69" i="167"/>
  <c r="C69" i="167"/>
  <c r="R68" i="167"/>
  <c r="Q68" i="167"/>
  <c r="O68" i="167"/>
  <c r="N68" i="167"/>
  <c r="L68" i="167"/>
  <c r="K68" i="167"/>
  <c r="J68" i="167"/>
  <c r="C68" i="167"/>
  <c r="R67" i="167"/>
  <c r="Q67" i="167"/>
  <c r="O67" i="167"/>
  <c r="N67" i="167"/>
  <c r="L67" i="167"/>
  <c r="K67" i="167"/>
  <c r="J67" i="167"/>
  <c r="C67" i="167"/>
  <c r="R66" i="167"/>
  <c r="Q66" i="167"/>
  <c r="O66" i="167"/>
  <c r="N66" i="167"/>
  <c r="L66" i="167"/>
  <c r="K66" i="167"/>
  <c r="J66" i="167"/>
  <c r="C66" i="167"/>
  <c r="R65" i="167"/>
  <c r="Q65" i="167"/>
  <c r="O65" i="167"/>
  <c r="N65" i="167"/>
  <c r="L65" i="167"/>
  <c r="K65" i="167"/>
  <c r="J65" i="167"/>
  <c r="C65" i="167"/>
  <c r="R64" i="167"/>
  <c r="Q64" i="167"/>
  <c r="O64" i="167"/>
  <c r="N64" i="167"/>
  <c r="L64" i="167"/>
  <c r="K64" i="167"/>
  <c r="J64" i="167"/>
  <c r="C64" i="167"/>
  <c r="R63" i="167"/>
  <c r="Q63" i="167"/>
  <c r="O63" i="167"/>
  <c r="N63" i="167"/>
  <c r="L63" i="167"/>
  <c r="K63" i="167"/>
  <c r="J63" i="167"/>
  <c r="C63" i="167"/>
  <c r="R62" i="167"/>
  <c r="Q62" i="167"/>
  <c r="O62" i="167"/>
  <c r="N62" i="167"/>
  <c r="L62" i="167"/>
  <c r="K62" i="167"/>
  <c r="J62" i="167"/>
  <c r="C62" i="167"/>
  <c r="R61" i="167"/>
  <c r="Q61" i="167"/>
  <c r="O61" i="167"/>
  <c r="N61" i="167"/>
  <c r="L61" i="167"/>
  <c r="K61" i="167"/>
  <c r="J61" i="167"/>
  <c r="C61" i="167"/>
  <c r="R60" i="167"/>
  <c r="Q60" i="167"/>
  <c r="O60" i="167"/>
  <c r="N60" i="167"/>
  <c r="L60" i="167"/>
  <c r="K60" i="167"/>
  <c r="J60" i="167"/>
  <c r="C60" i="167"/>
  <c r="R59" i="167"/>
  <c r="Q59" i="167"/>
  <c r="O59" i="167"/>
  <c r="N59" i="167"/>
  <c r="L59" i="167"/>
  <c r="K59" i="167"/>
  <c r="J59" i="167"/>
  <c r="C59" i="167"/>
  <c r="R58" i="167"/>
  <c r="O58" i="167"/>
  <c r="N58" i="167"/>
  <c r="L58" i="167"/>
  <c r="K58" i="167"/>
  <c r="J58" i="167"/>
  <c r="C58" i="167"/>
  <c r="O57" i="167"/>
  <c r="N57" i="167"/>
  <c r="L57" i="167"/>
  <c r="K57" i="167"/>
  <c r="J57" i="167"/>
  <c r="C57" i="167"/>
  <c r="O56" i="167"/>
  <c r="N56" i="167"/>
  <c r="L56" i="167"/>
  <c r="K56" i="167"/>
  <c r="J56" i="167"/>
  <c r="C56" i="167"/>
  <c r="O55" i="167"/>
  <c r="N55" i="167"/>
  <c r="L55" i="167"/>
  <c r="K55" i="167"/>
  <c r="J55" i="167"/>
  <c r="C55" i="167"/>
  <c r="O54" i="167"/>
  <c r="N54" i="167"/>
  <c r="L54" i="167"/>
  <c r="K54" i="167"/>
  <c r="J54" i="167"/>
  <c r="C54" i="167"/>
  <c r="O53" i="167"/>
  <c r="N53" i="167"/>
  <c r="L53" i="167"/>
  <c r="K53" i="167"/>
  <c r="J53" i="167"/>
  <c r="C53" i="167"/>
  <c r="O52" i="167"/>
  <c r="N52" i="167"/>
  <c r="L52" i="167"/>
  <c r="K52" i="167"/>
  <c r="J52" i="167"/>
  <c r="C52" i="167"/>
  <c r="O51" i="167"/>
  <c r="N51" i="167"/>
  <c r="L51" i="167"/>
  <c r="K51" i="167"/>
  <c r="J51" i="167"/>
  <c r="C51" i="167"/>
  <c r="O50" i="167"/>
  <c r="N50" i="167"/>
  <c r="L50" i="167"/>
  <c r="K50" i="167"/>
  <c r="J50" i="167"/>
  <c r="C50" i="167"/>
  <c r="O49" i="167"/>
  <c r="N49" i="167"/>
  <c r="L49" i="167"/>
  <c r="K49" i="167"/>
  <c r="J49" i="167"/>
  <c r="C49" i="167"/>
  <c r="O48" i="167"/>
  <c r="N48" i="167"/>
  <c r="L48" i="167"/>
  <c r="K48" i="167"/>
  <c r="J48" i="167"/>
  <c r="C48" i="167"/>
  <c r="O47" i="167"/>
  <c r="N47" i="167"/>
  <c r="L47" i="167"/>
  <c r="K47" i="167"/>
  <c r="J47" i="167"/>
  <c r="C47" i="167"/>
  <c r="O46" i="167"/>
  <c r="N46" i="167"/>
  <c r="L46" i="167"/>
  <c r="K46" i="167"/>
  <c r="J46" i="167"/>
  <c r="H46" i="167"/>
  <c r="C46" i="167"/>
  <c r="D38" i="167"/>
  <c r="D37" i="167"/>
  <c r="E35" i="167"/>
  <c r="E2" i="167"/>
  <c r="Q61" i="28"/>
  <c r="P61" i="28"/>
  <c r="O61" i="28"/>
  <c r="N61" i="28"/>
  <c r="M61" i="28"/>
  <c r="L61" i="28"/>
  <c r="K61" i="28"/>
  <c r="J61" i="28"/>
  <c r="I61" i="28"/>
  <c r="C48" i="144" s="1"/>
  <c r="Q58" i="28"/>
  <c r="P58" i="28"/>
  <c r="O58" i="28"/>
  <c r="N58" i="28"/>
  <c r="M58" i="28"/>
  <c r="L58" i="28"/>
  <c r="K58" i="28"/>
  <c r="J58" i="28"/>
  <c r="I58" i="28"/>
  <c r="X55" i="28"/>
  <c r="V55" i="28"/>
  <c r="U55" i="28"/>
  <c r="Q55" i="28"/>
  <c r="P55" i="28"/>
  <c r="O55" i="28"/>
  <c r="N55" i="28"/>
  <c r="M55" i="28"/>
  <c r="L55" i="28"/>
  <c r="K55" i="28"/>
  <c r="J55" i="28"/>
  <c r="I55" i="28"/>
  <c r="H55" i="28"/>
  <c r="X54" i="28"/>
  <c r="V54" i="28"/>
  <c r="U54" i="28"/>
  <c r="X53" i="28"/>
  <c r="Q53" i="28"/>
  <c r="P53" i="28"/>
  <c r="O53" i="28"/>
  <c r="N53" i="28"/>
  <c r="M53" i="28"/>
  <c r="L53" i="28"/>
  <c r="K53" i="28"/>
  <c r="J53" i="28"/>
  <c r="I53" i="28"/>
  <c r="Q50" i="28"/>
  <c r="P50" i="28"/>
  <c r="O50" i="28"/>
  <c r="N50" i="28"/>
  <c r="M50" i="28"/>
  <c r="L50" i="28"/>
  <c r="K50" i="28"/>
  <c r="J50" i="28"/>
  <c r="I50" i="28"/>
  <c r="C74" i="144" s="1"/>
  <c r="Q49" i="28"/>
  <c r="P49" i="28"/>
  <c r="O49" i="28"/>
  <c r="N49" i="28"/>
  <c r="M49" i="28"/>
  <c r="L49" i="28"/>
  <c r="K49" i="28"/>
  <c r="J49" i="28"/>
  <c r="I49" i="28"/>
  <c r="C73" i="144" s="1"/>
  <c r="U47" i="28"/>
  <c r="Q47" i="28"/>
  <c r="P47" i="28"/>
  <c r="O47" i="28"/>
  <c r="N47" i="28"/>
  <c r="M47" i="28"/>
  <c r="L47" i="28"/>
  <c r="K47" i="28"/>
  <c r="J47" i="28"/>
  <c r="I47" i="28"/>
  <c r="H47" i="28"/>
  <c r="S47" i="28" s="1"/>
  <c r="V47" i="28"/>
  <c r="Q46" i="28"/>
  <c r="P46" i="28"/>
  <c r="O46" i="28"/>
  <c r="N46" i="28"/>
  <c r="M46" i="28"/>
  <c r="L46" i="28"/>
  <c r="K46" i="28"/>
  <c r="J46" i="28"/>
  <c r="I46" i="28"/>
  <c r="H46" i="28"/>
  <c r="Q45" i="28"/>
  <c r="P45" i="28"/>
  <c r="O45" i="28"/>
  <c r="N45" i="28"/>
  <c r="M45" i="28"/>
  <c r="L45" i="28"/>
  <c r="K45" i="28"/>
  <c r="J45" i="28"/>
  <c r="I45" i="28"/>
  <c r="H45" i="28"/>
  <c r="Q43" i="28"/>
  <c r="P43" i="28"/>
  <c r="O43" i="28"/>
  <c r="N43" i="28"/>
  <c r="M43" i="28"/>
  <c r="L43" i="28"/>
  <c r="K43" i="28"/>
  <c r="J43" i="28"/>
  <c r="I43" i="28"/>
  <c r="H43" i="28"/>
  <c r="U43" i="28" s="1"/>
  <c r="V43" i="28"/>
  <c r="Q42" i="28"/>
  <c r="P42" i="28"/>
  <c r="O42" i="28"/>
  <c r="N42" i="28"/>
  <c r="M42" i="28"/>
  <c r="L42" i="28"/>
  <c r="K42" i="28"/>
  <c r="J42" i="28"/>
  <c r="I42" i="28"/>
  <c r="H42" i="28"/>
  <c r="Q41" i="28"/>
  <c r="P41" i="28"/>
  <c r="O41" i="28"/>
  <c r="N41" i="28"/>
  <c r="M41" i="28"/>
  <c r="L41" i="28"/>
  <c r="K41" i="28"/>
  <c r="J41" i="28"/>
  <c r="I41" i="28"/>
  <c r="H41" i="28"/>
  <c r="X39" i="28"/>
  <c r="Q39" i="28"/>
  <c r="P39" i="28"/>
  <c r="O39" i="28"/>
  <c r="N39" i="28"/>
  <c r="M39" i="28"/>
  <c r="D29" i="156" s="1"/>
  <c r="L29" i="156" s="1"/>
  <c r="M29" i="156" s="1"/>
  <c r="L39" i="28"/>
  <c r="K39" i="28"/>
  <c r="J39" i="28"/>
  <c r="I39" i="28"/>
  <c r="C71" i="144" s="1"/>
  <c r="AC38" i="28"/>
  <c r="Q38" i="28"/>
  <c r="P38" i="28"/>
  <c r="O38" i="28"/>
  <c r="N38" i="28"/>
  <c r="M38" i="28"/>
  <c r="D28" i="156" s="1"/>
  <c r="L28" i="156" s="1"/>
  <c r="M28" i="156" s="1"/>
  <c r="L38" i="28"/>
  <c r="K38" i="28"/>
  <c r="J38" i="28"/>
  <c r="I38" i="28"/>
  <c r="C70" i="144" s="1"/>
  <c r="AC37" i="28"/>
  <c r="Q37" i="28"/>
  <c r="P37" i="28"/>
  <c r="O37" i="28"/>
  <c r="N37" i="28"/>
  <c r="M37" i="28"/>
  <c r="D27" i="156" s="1"/>
  <c r="L27" i="156" s="1"/>
  <c r="M27" i="156" s="1"/>
  <c r="L37" i="28"/>
  <c r="K37" i="28"/>
  <c r="J37" i="28"/>
  <c r="I37" i="28"/>
  <c r="AC36" i="28"/>
  <c r="Q36" i="28"/>
  <c r="P36" i="28"/>
  <c r="O36" i="28"/>
  <c r="N36" i="28"/>
  <c r="M36" i="28"/>
  <c r="D26" i="156" s="1"/>
  <c r="L36" i="28"/>
  <c r="K36" i="28"/>
  <c r="J36" i="28"/>
  <c r="I36" i="28"/>
  <c r="AC35" i="28"/>
  <c r="X35" i="28"/>
  <c r="Q35" i="28"/>
  <c r="P35" i="28"/>
  <c r="O35" i="28"/>
  <c r="N35" i="28"/>
  <c r="M35" i="28"/>
  <c r="D25" i="156" s="1"/>
  <c r="L25" i="156" s="1"/>
  <c r="M25" i="156" s="1"/>
  <c r="L35" i="28"/>
  <c r="K35" i="28"/>
  <c r="J35" i="28"/>
  <c r="I35" i="28"/>
  <c r="X34" i="28"/>
  <c r="Q34" i="28"/>
  <c r="P34" i="28"/>
  <c r="O34" i="28"/>
  <c r="N34" i="28"/>
  <c r="M34" i="28"/>
  <c r="D24" i="156" s="1"/>
  <c r="L24" i="156" s="1"/>
  <c r="M24" i="156" s="1"/>
  <c r="L34" i="28"/>
  <c r="K34" i="28"/>
  <c r="J34" i="28"/>
  <c r="I34" i="28"/>
  <c r="X32" i="28"/>
  <c r="Q32" i="28"/>
  <c r="P32" i="28"/>
  <c r="O32" i="28"/>
  <c r="N32" i="28"/>
  <c r="M32" i="28"/>
  <c r="D22" i="156" s="1"/>
  <c r="L22" i="156" s="1"/>
  <c r="M22" i="156" s="1"/>
  <c r="L32" i="28"/>
  <c r="K32" i="28"/>
  <c r="J32" i="28"/>
  <c r="I32" i="28"/>
  <c r="AC31" i="28"/>
  <c r="X31" i="28"/>
  <c r="Q31" i="28"/>
  <c r="P31" i="28"/>
  <c r="O31" i="28"/>
  <c r="N31" i="28"/>
  <c r="M31" i="28"/>
  <c r="D21" i="156" s="1"/>
  <c r="L21" i="156" s="1"/>
  <c r="M21" i="156" s="1"/>
  <c r="L31" i="28"/>
  <c r="K31" i="28"/>
  <c r="J31" i="28"/>
  <c r="I31" i="28"/>
  <c r="AC30" i="28"/>
  <c r="X30" i="28"/>
  <c r="Q30" i="28"/>
  <c r="P30" i="28"/>
  <c r="O30" i="28"/>
  <c r="N30" i="28"/>
  <c r="M30" i="28"/>
  <c r="D20" i="156" s="1"/>
  <c r="AN52" i="156" s="1"/>
  <c r="L30" i="28"/>
  <c r="K30" i="28"/>
  <c r="J30" i="28"/>
  <c r="I30" i="28"/>
  <c r="X29" i="28"/>
  <c r="Q29" i="28"/>
  <c r="P29" i="28"/>
  <c r="O29" i="28"/>
  <c r="N29" i="28"/>
  <c r="M29" i="28"/>
  <c r="D19" i="156" s="1"/>
  <c r="L29" i="28"/>
  <c r="K29" i="28"/>
  <c r="J29" i="28"/>
  <c r="I29" i="28"/>
  <c r="Q27" i="28"/>
  <c r="P27" i="28"/>
  <c r="O27" i="28"/>
  <c r="N27" i="28"/>
  <c r="M27" i="28"/>
  <c r="L27" i="28"/>
  <c r="K27" i="28"/>
  <c r="J27" i="28"/>
  <c r="I27" i="28"/>
  <c r="Q23" i="28"/>
  <c r="P23" i="28"/>
  <c r="O23" i="28"/>
  <c r="N23" i="28"/>
  <c r="M23" i="28"/>
  <c r="L23" i="28"/>
  <c r="K23" i="28"/>
  <c r="J23" i="28"/>
  <c r="I23" i="28"/>
  <c r="U23" i="28"/>
  <c r="K18" i="163" s="1"/>
  <c r="X21" i="28"/>
  <c r="Q21" i="28"/>
  <c r="P21" i="28"/>
  <c r="O21" i="28"/>
  <c r="N21" i="28"/>
  <c r="M21" i="28"/>
  <c r="D17" i="156" s="1"/>
  <c r="L21" i="28"/>
  <c r="K21" i="28"/>
  <c r="J21" i="28"/>
  <c r="I21" i="28"/>
  <c r="X20" i="28"/>
  <c r="Q20" i="28"/>
  <c r="Q25" i="30" s="1"/>
  <c r="P20" i="28"/>
  <c r="P25" i="30" s="1"/>
  <c r="O20" i="28"/>
  <c r="O25" i="30" s="1"/>
  <c r="N20" i="28"/>
  <c r="N25" i="30" s="1"/>
  <c r="M20" i="28"/>
  <c r="D16" i="156" s="1"/>
  <c r="L16" i="156" s="1"/>
  <c r="M16" i="156" s="1"/>
  <c r="L20" i="28"/>
  <c r="K20" i="28"/>
  <c r="J20" i="28"/>
  <c r="I20" i="28"/>
  <c r="C58" i="144" s="1"/>
  <c r="X19" i="28"/>
  <c r="Q19" i="28"/>
  <c r="Q24" i="30" s="1"/>
  <c r="P19" i="28"/>
  <c r="P24" i="30" s="1"/>
  <c r="O19" i="28"/>
  <c r="O24" i="30" s="1"/>
  <c r="N19" i="28"/>
  <c r="N24" i="30" s="1"/>
  <c r="M19" i="28"/>
  <c r="L19" i="28"/>
  <c r="K19" i="28"/>
  <c r="J19" i="28"/>
  <c r="I19" i="28"/>
  <c r="C57" i="144" s="1"/>
  <c r="X17" i="28"/>
  <c r="X16" i="28"/>
  <c r="AC15" i="28"/>
  <c r="AC19" i="28" s="1"/>
  <c r="X15" i="28"/>
  <c r="Q15" i="28"/>
  <c r="P15" i="28"/>
  <c r="O15" i="28"/>
  <c r="N15" i="28"/>
  <c r="M15" i="28"/>
  <c r="L15" i="28"/>
  <c r="K15" i="28"/>
  <c r="J15" i="28"/>
  <c r="I15" i="28"/>
  <c r="AC13" i="28"/>
  <c r="X13" i="28"/>
  <c r="Q13" i="28"/>
  <c r="P13" i="28"/>
  <c r="O13" i="28"/>
  <c r="N13" i="28"/>
  <c r="M13" i="28"/>
  <c r="D8" i="156" s="1"/>
  <c r="L8" i="156" s="1"/>
  <c r="M8" i="156" s="1"/>
  <c r="L13" i="28"/>
  <c r="K13" i="28"/>
  <c r="J13" i="28"/>
  <c r="I13" i="28"/>
  <c r="AC12" i="28"/>
  <c r="X12" i="28"/>
  <c r="Q12" i="28"/>
  <c r="Q60" i="28" s="1"/>
  <c r="P12" i="28"/>
  <c r="P60" i="28" s="1"/>
  <c r="O12" i="28"/>
  <c r="O60" i="28" s="1"/>
  <c r="N12" i="28"/>
  <c r="N60" i="28" s="1"/>
  <c r="M12" i="28"/>
  <c r="M60" i="28" s="1"/>
  <c r="L12" i="28"/>
  <c r="L60" i="28" s="1"/>
  <c r="K12" i="28"/>
  <c r="K60" i="28" s="1"/>
  <c r="J12" i="28"/>
  <c r="J60" i="28" s="1"/>
  <c r="I12" i="28"/>
  <c r="AC11" i="28"/>
  <c r="X11" i="28"/>
  <c r="Q11" i="28"/>
  <c r="P11" i="28"/>
  <c r="O11" i="28"/>
  <c r="N11" i="28"/>
  <c r="M11" i="28"/>
  <c r="D6" i="156" s="1"/>
  <c r="L6" i="156" s="1"/>
  <c r="M6" i="156" s="1"/>
  <c r="L11" i="28"/>
  <c r="K11" i="28"/>
  <c r="J11" i="28"/>
  <c r="I11" i="28"/>
  <c r="C46" i="144" s="1"/>
  <c r="AC10" i="28"/>
  <c r="X10" i="28"/>
  <c r="Q10" i="28"/>
  <c r="P10" i="28"/>
  <c r="O10" i="28"/>
  <c r="O57" i="28" s="1"/>
  <c r="N10" i="28"/>
  <c r="N57" i="28" s="1"/>
  <c r="M10" i="28"/>
  <c r="M57" i="28" s="1"/>
  <c r="L10" i="28"/>
  <c r="K10" i="28"/>
  <c r="K57" i="28" s="1"/>
  <c r="J10" i="28"/>
  <c r="J57" i="28" s="1"/>
  <c r="I10" i="28"/>
  <c r="AC9" i="28"/>
  <c r="X9" i="28"/>
  <c r="AC8" i="28"/>
  <c r="X8" i="28"/>
  <c r="AC6" i="28"/>
  <c r="AC21" i="28" s="1"/>
  <c r="X6" i="28"/>
  <c r="V6" i="28"/>
  <c r="U6" i="28"/>
  <c r="O1" i="100" s="1"/>
  <c r="S6" i="28"/>
  <c r="FJ98" i="18"/>
  <c r="FI98" i="18"/>
  <c r="FH98" i="18"/>
  <c r="FG98" i="18"/>
  <c r="FF98" i="18"/>
  <c r="FE98" i="18"/>
  <c r="FD98" i="18"/>
  <c r="FC98" i="18"/>
  <c r="FB98" i="18"/>
  <c r="FA98" i="18"/>
  <c r="EZ98" i="18"/>
  <c r="EY98" i="18"/>
  <c r="EX98" i="18"/>
  <c r="EW98" i="18"/>
  <c r="EV98" i="18"/>
  <c r="EU98" i="18"/>
  <c r="ET98" i="18"/>
  <c r="ES98" i="18"/>
  <c r="ER98" i="18"/>
  <c r="EQ98" i="18"/>
  <c r="EP98" i="18"/>
  <c r="EO98" i="18"/>
  <c r="EN98" i="18"/>
  <c r="EM98" i="18"/>
  <c r="EL98" i="18"/>
  <c r="EK98" i="18"/>
  <c r="EJ98" i="18"/>
  <c r="EI98" i="18"/>
  <c r="EH98" i="18"/>
  <c r="EG98" i="18"/>
  <c r="EF98" i="18"/>
  <c r="EE98" i="18"/>
  <c r="ED98" i="18"/>
  <c r="EC98" i="18"/>
  <c r="EB98" i="18"/>
  <c r="EA98" i="18"/>
  <c r="DZ98" i="18"/>
  <c r="DY98" i="18"/>
  <c r="DX98" i="18"/>
  <c r="DW98" i="18"/>
  <c r="DV98" i="18"/>
  <c r="DU98" i="18"/>
  <c r="DT98" i="18"/>
  <c r="DS98" i="18"/>
  <c r="DR98" i="18"/>
  <c r="DQ98" i="18"/>
  <c r="DP98" i="18"/>
  <c r="DO98" i="18"/>
  <c r="DN98" i="18"/>
  <c r="DM98" i="18"/>
  <c r="DL98" i="18"/>
  <c r="DK98" i="18"/>
  <c r="DJ98" i="18"/>
  <c r="DI98" i="18"/>
  <c r="DH98" i="18"/>
  <c r="DG98" i="18"/>
  <c r="DF98" i="18"/>
  <c r="DE98" i="18"/>
  <c r="DD98" i="18"/>
  <c r="DC98" i="18"/>
  <c r="DB98" i="18"/>
  <c r="DA98" i="18"/>
  <c r="CZ98" i="18"/>
  <c r="CY98" i="18"/>
  <c r="CX98" i="18"/>
  <c r="CW98" i="18"/>
  <c r="CV98" i="18"/>
  <c r="CU98" i="18"/>
  <c r="CT98" i="18"/>
  <c r="CS98" i="18"/>
  <c r="CR98" i="18"/>
  <c r="CQ98" i="18"/>
  <c r="CP98" i="18"/>
  <c r="CO98" i="18"/>
  <c r="CN98" i="18"/>
  <c r="CM98" i="18"/>
  <c r="CL98" i="18"/>
  <c r="CK98" i="18"/>
  <c r="CJ98" i="18"/>
  <c r="CI98" i="18"/>
  <c r="CH98" i="18"/>
  <c r="CG98" i="18"/>
  <c r="CF98" i="18"/>
  <c r="CE98" i="18"/>
  <c r="CD98" i="18"/>
  <c r="CC98" i="18"/>
  <c r="CB98" i="18"/>
  <c r="CA98" i="18"/>
  <c r="BZ98" i="18"/>
  <c r="BY98" i="18"/>
  <c r="BX98" i="18"/>
  <c r="BW98" i="18"/>
  <c r="BV98" i="18"/>
  <c r="BU98" i="18"/>
  <c r="BT98" i="18"/>
  <c r="BS98" i="18"/>
  <c r="BR98" i="18"/>
  <c r="BQ98" i="18"/>
  <c r="BP98" i="18"/>
  <c r="BO98" i="18"/>
  <c r="BN98" i="18"/>
  <c r="BM98" i="18"/>
  <c r="BL98" i="18"/>
  <c r="BK98" i="18"/>
  <c r="BJ98" i="18"/>
  <c r="BI98" i="18"/>
  <c r="BH98" i="18"/>
  <c r="BG98" i="18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5" i="18"/>
  <c r="B94" i="18"/>
  <c r="B93" i="18"/>
  <c r="AX92" i="18"/>
  <c r="H92" i="18"/>
  <c r="AX90" i="18"/>
  <c r="H90" i="18"/>
  <c r="AX85" i="18"/>
  <c r="AX83" i="18"/>
  <c r="AB48" i="18"/>
  <c r="X48" i="18"/>
  <c r="V48" i="18"/>
  <c r="U48" i="18"/>
  <c r="R48" i="18"/>
  <c r="Q48" i="18"/>
  <c r="O48" i="18"/>
  <c r="M48" i="18"/>
  <c r="L48" i="18"/>
  <c r="K48" i="18"/>
  <c r="H48" i="18"/>
  <c r="E48" i="18"/>
  <c r="AU47" i="18"/>
  <c r="AB47" i="18"/>
  <c r="X47" i="18"/>
  <c r="V47" i="18"/>
  <c r="U47" i="18"/>
  <c r="R47" i="18"/>
  <c r="Q47" i="18"/>
  <c r="O47" i="18"/>
  <c r="M47" i="18"/>
  <c r="L47" i="18"/>
  <c r="K47" i="18"/>
  <c r="H47" i="18"/>
  <c r="E47" i="18"/>
  <c r="AE36" i="18"/>
  <c r="AE35" i="18"/>
  <c r="AE34" i="18"/>
  <c r="AE33" i="18"/>
  <c r="AE32" i="18"/>
  <c r="AE31" i="18"/>
  <c r="AE30" i="18"/>
  <c r="AE29" i="18"/>
  <c r="AE28" i="18"/>
  <c r="AE27" i="18"/>
  <c r="AE26" i="18"/>
  <c r="AM4" i="18"/>
  <c r="AL4" i="18"/>
  <c r="M3" i="18"/>
  <c r="M2" i="18"/>
  <c r="B9" i="18" s="1"/>
  <c r="D2" i="18"/>
  <c r="T1" i="18"/>
  <c r="D28" i="173"/>
  <c r="D27" i="173"/>
  <c r="D26" i="173"/>
  <c r="D25" i="173"/>
  <c r="D24" i="173"/>
  <c r="D23" i="173"/>
  <c r="D22" i="173"/>
  <c r="D21" i="173"/>
  <c r="AAV20" i="173"/>
  <c r="AAU20" i="173"/>
  <c r="AAT20" i="173"/>
  <c r="AAS20" i="173"/>
  <c r="AAR20" i="173"/>
  <c r="AAQ20" i="173"/>
  <c r="AAP20" i="173"/>
  <c r="AAO20" i="173"/>
  <c r="AAN20" i="173"/>
  <c r="AAM20" i="173"/>
  <c r="AAL20" i="173"/>
  <c r="AAK20" i="173"/>
  <c r="AAJ20" i="173"/>
  <c r="AAI20" i="173"/>
  <c r="AAH20" i="173"/>
  <c r="AAG20" i="173"/>
  <c r="AAF20" i="173"/>
  <c r="AAE20" i="173"/>
  <c r="AAD20" i="173"/>
  <c r="AAC20" i="173"/>
  <c r="AAB20" i="173"/>
  <c r="AAA20" i="173"/>
  <c r="ZZ20" i="173"/>
  <c r="ZY20" i="173"/>
  <c r="ZX20" i="173"/>
  <c r="ZW20" i="173"/>
  <c r="ZV20" i="173"/>
  <c r="ZU20" i="173"/>
  <c r="ZT20" i="173"/>
  <c r="ZS20" i="173"/>
  <c r="ZR20" i="173"/>
  <c r="ZQ20" i="173"/>
  <c r="ZP20" i="173"/>
  <c r="ZO20" i="173"/>
  <c r="ZN20" i="173"/>
  <c r="ZM20" i="173"/>
  <c r="ZL20" i="173"/>
  <c r="ZK20" i="173"/>
  <c r="ZJ20" i="173"/>
  <c r="ZI20" i="173"/>
  <c r="ZH20" i="173"/>
  <c r="ZG20" i="173"/>
  <c r="ZF20" i="173"/>
  <c r="ZE20" i="173"/>
  <c r="ZD20" i="173"/>
  <c r="ZC20" i="173"/>
  <c r="ZB20" i="173"/>
  <c r="ZA20" i="173"/>
  <c r="YZ20" i="173"/>
  <c r="YY20" i="173"/>
  <c r="YX20" i="173"/>
  <c r="YW20" i="173"/>
  <c r="YV20" i="173"/>
  <c r="YU20" i="173"/>
  <c r="YT20" i="173"/>
  <c r="YS20" i="173"/>
  <c r="YR20" i="173"/>
  <c r="YQ20" i="173"/>
  <c r="YP20" i="173"/>
  <c r="YO20" i="173"/>
  <c r="YN20" i="173"/>
  <c r="YM20" i="173"/>
  <c r="YL20" i="173"/>
  <c r="YK20" i="173"/>
  <c r="YJ20" i="173"/>
  <c r="YI20" i="173"/>
  <c r="YH20" i="173"/>
  <c r="YG20" i="173"/>
  <c r="YF20" i="173"/>
  <c r="YE20" i="173"/>
  <c r="YD20" i="173"/>
  <c r="YC20" i="173"/>
  <c r="YB20" i="173"/>
  <c r="YA20" i="173"/>
  <c r="XZ20" i="173"/>
  <c r="XY20" i="173"/>
  <c r="XX20" i="173"/>
  <c r="XW20" i="173"/>
  <c r="XV20" i="173"/>
  <c r="XU20" i="173"/>
  <c r="XT20" i="173"/>
  <c r="XS20" i="173"/>
  <c r="XR20" i="173"/>
  <c r="XQ20" i="173"/>
  <c r="XP20" i="173"/>
  <c r="XO20" i="173"/>
  <c r="XN20" i="173"/>
  <c r="XM20" i="173"/>
  <c r="XL20" i="173"/>
  <c r="XK20" i="173"/>
  <c r="XJ20" i="173"/>
  <c r="XI20" i="173"/>
  <c r="XH20" i="173"/>
  <c r="XG20" i="173"/>
  <c r="XF20" i="173"/>
  <c r="XE20" i="173"/>
  <c r="XD20" i="173"/>
  <c r="XC20" i="173"/>
  <c r="XB20" i="173"/>
  <c r="XA20" i="173"/>
  <c r="WZ20" i="173"/>
  <c r="WY20" i="173"/>
  <c r="WX20" i="173"/>
  <c r="WW20" i="173"/>
  <c r="WV20" i="173"/>
  <c r="WU20" i="173"/>
  <c r="WT20" i="173"/>
  <c r="WS20" i="173"/>
  <c r="WR20" i="173"/>
  <c r="WQ20" i="173"/>
  <c r="WP20" i="173"/>
  <c r="WO20" i="173"/>
  <c r="WN20" i="173"/>
  <c r="WM20" i="173"/>
  <c r="WL20" i="173"/>
  <c r="WK20" i="173"/>
  <c r="WJ20" i="173"/>
  <c r="WI20" i="173"/>
  <c r="WH20" i="173"/>
  <c r="WG20" i="173"/>
  <c r="WF20" i="173"/>
  <c r="WE20" i="173"/>
  <c r="WD20" i="173"/>
  <c r="WC20" i="173"/>
  <c r="WB20" i="173"/>
  <c r="WA20" i="173"/>
  <c r="VZ20" i="173"/>
  <c r="VY20" i="173"/>
  <c r="VX20" i="173"/>
  <c r="VW20" i="173"/>
  <c r="VV20" i="173"/>
  <c r="VU20" i="173"/>
  <c r="VT20" i="173"/>
  <c r="VS20" i="173"/>
  <c r="VR20" i="173"/>
  <c r="VQ20" i="173"/>
  <c r="VP20" i="173"/>
  <c r="VO20" i="173"/>
  <c r="VN20" i="173"/>
  <c r="VM20" i="173"/>
  <c r="VL20" i="173"/>
  <c r="VK20" i="173"/>
  <c r="VJ20" i="173"/>
  <c r="VI20" i="173"/>
  <c r="VH20" i="173"/>
  <c r="VG20" i="173"/>
  <c r="VF20" i="173"/>
  <c r="VE20" i="173"/>
  <c r="VD20" i="173"/>
  <c r="VC20" i="173"/>
  <c r="VB20" i="173"/>
  <c r="VA20" i="173"/>
  <c r="UZ20" i="173"/>
  <c r="UY20" i="173"/>
  <c r="UX20" i="173"/>
  <c r="UW20" i="173"/>
  <c r="UV20" i="173"/>
  <c r="UU20" i="173"/>
  <c r="UT20" i="173"/>
  <c r="US20" i="173"/>
  <c r="UR20" i="173"/>
  <c r="UQ20" i="173"/>
  <c r="UP20" i="173"/>
  <c r="UO20" i="173"/>
  <c r="UN20" i="173"/>
  <c r="UM20" i="173"/>
  <c r="UL20" i="173"/>
  <c r="UK20" i="173"/>
  <c r="UJ20" i="173"/>
  <c r="UI20" i="173"/>
  <c r="UH20" i="173"/>
  <c r="UG20" i="173"/>
  <c r="UF20" i="173"/>
  <c r="UE20" i="173"/>
  <c r="UD20" i="173"/>
  <c r="UC20" i="173"/>
  <c r="UB20" i="173"/>
  <c r="UA20" i="173"/>
  <c r="TZ20" i="173"/>
  <c r="TY20" i="173"/>
  <c r="TX20" i="173"/>
  <c r="TW20" i="173"/>
  <c r="TV20" i="173"/>
  <c r="TU20" i="173"/>
  <c r="TT20" i="173"/>
  <c r="TS20" i="173"/>
  <c r="TR20" i="173"/>
  <c r="TQ20" i="173"/>
  <c r="TP20" i="173"/>
  <c r="TO20" i="173"/>
  <c r="TN20" i="173"/>
  <c r="TM20" i="173"/>
  <c r="TL20" i="173"/>
  <c r="TK20" i="173"/>
  <c r="TJ20" i="173"/>
  <c r="TI20" i="173"/>
  <c r="TH20" i="173"/>
  <c r="TG20" i="173"/>
  <c r="TF20" i="173"/>
  <c r="TE20" i="173"/>
  <c r="TD20" i="173"/>
  <c r="TC20" i="173"/>
  <c r="TB20" i="173"/>
  <c r="TA20" i="173"/>
  <c r="SZ20" i="173"/>
  <c r="SY20" i="173"/>
  <c r="SX20" i="173"/>
  <c r="SW20" i="173"/>
  <c r="SV20" i="173"/>
  <c r="SU20" i="173"/>
  <c r="ST20" i="173"/>
  <c r="SS20" i="173"/>
  <c r="SR20" i="173"/>
  <c r="SQ20" i="173"/>
  <c r="SP20" i="173"/>
  <c r="SO20" i="173"/>
  <c r="SN20" i="173"/>
  <c r="SM20" i="173"/>
  <c r="SL20" i="173"/>
  <c r="SK20" i="173"/>
  <c r="SJ20" i="173"/>
  <c r="SI20" i="173"/>
  <c r="SH20" i="173"/>
  <c r="SG20" i="173"/>
  <c r="SF20" i="173"/>
  <c r="SE20" i="173"/>
  <c r="SD20" i="173"/>
  <c r="SC20" i="173"/>
  <c r="SB20" i="173"/>
  <c r="SA20" i="173"/>
  <c r="RZ20" i="173"/>
  <c r="RY20" i="173"/>
  <c r="RX20" i="173"/>
  <c r="RW20" i="173"/>
  <c r="RV20" i="173"/>
  <c r="RU20" i="173"/>
  <c r="RT20" i="173"/>
  <c r="RS20" i="173"/>
  <c r="RR20" i="173"/>
  <c r="RQ20" i="173"/>
  <c r="RP20" i="173"/>
  <c r="RO20" i="173"/>
  <c r="RN20" i="173"/>
  <c r="RM20" i="173"/>
  <c r="RL20" i="173"/>
  <c r="RK20" i="173"/>
  <c r="RJ20" i="173"/>
  <c r="RI20" i="173"/>
  <c r="RH20" i="173"/>
  <c r="RG20" i="173"/>
  <c r="RF20" i="173"/>
  <c r="RE20" i="173"/>
  <c r="RD20" i="173"/>
  <c r="RC20" i="173"/>
  <c r="RB20" i="173"/>
  <c r="RA20" i="173"/>
  <c r="QZ20" i="173"/>
  <c r="QY20" i="173"/>
  <c r="QX20" i="173"/>
  <c r="QW20" i="173"/>
  <c r="QV20" i="173"/>
  <c r="QU20" i="173"/>
  <c r="QT20" i="173"/>
  <c r="QS20" i="173"/>
  <c r="QR20" i="173"/>
  <c r="QQ20" i="173"/>
  <c r="QP20" i="173"/>
  <c r="QO20" i="173"/>
  <c r="QN20" i="173"/>
  <c r="QM20" i="173"/>
  <c r="QL20" i="173"/>
  <c r="QK20" i="173"/>
  <c r="QJ20" i="173"/>
  <c r="QI20" i="173"/>
  <c r="QH20" i="173"/>
  <c r="QG20" i="173"/>
  <c r="QF20" i="173"/>
  <c r="QE20" i="173"/>
  <c r="QD20" i="173"/>
  <c r="QC20" i="173"/>
  <c r="QB20" i="173"/>
  <c r="QA20" i="173"/>
  <c r="PZ20" i="173"/>
  <c r="PY20" i="173"/>
  <c r="PX20" i="173"/>
  <c r="PW20" i="173"/>
  <c r="PV20" i="173"/>
  <c r="PU20" i="173"/>
  <c r="PT20" i="173"/>
  <c r="PS20" i="173"/>
  <c r="PR20" i="173"/>
  <c r="PQ20" i="173"/>
  <c r="PP20" i="173"/>
  <c r="PO20" i="173"/>
  <c r="PN20" i="173"/>
  <c r="PM20" i="173"/>
  <c r="PL20" i="173"/>
  <c r="PK20" i="173"/>
  <c r="PJ20" i="173"/>
  <c r="PI20" i="173"/>
  <c r="PH20" i="173"/>
  <c r="PG20" i="173"/>
  <c r="PF20" i="173"/>
  <c r="PE20" i="173"/>
  <c r="PD20" i="173"/>
  <c r="PC20" i="173"/>
  <c r="PB20" i="173"/>
  <c r="PA20" i="173"/>
  <c r="OZ20" i="173"/>
  <c r="OY20" i="173"/>
  <c r="OX20" i="173"/>
  <c r="OW20" i="173"/>
  <c r="OV20" i="173"/>
  <c r="OU20" i="173"/>
  <c r="OT20" i="173"/>
  <c r="OS20" i="173"/>
  <c r="OR20" i="173"/>
  <c r="OQ20" i="173"/>
  <c r="OP20" i="173"/>
  <c r="OO20" i="173"/>
  <c r="ON20" i="173"/>
  <c r="OM20" i="173"/>
  <c r="OL20" i="173"/>
  <c r="OK20" i="173"/>
  <c r="OJ20" i="173"/>
  <c r="OI20" i="173"/>
  <c r="OH20" i="173"/>
  <c r="OG20" i="173"/>
  <c r="OF20" i="173"/>
  <c r="OE20" i="173"/>
  <c r="OD20" i="173"/>
  <c r="OC20" i="173"/>
  <c r="OB20" i="173"/>
  <c r="OA20" i="173"/>
  <c r="NZ20" i="173"/>
  <c r="NY20" i="173"/>
  <c r="NX20" i="173"/>
  <c r="NW20" i="173"/>
  <c r="NV20" i="173"/>
  <c r="NU20" i="173"/>
  <c r="NT20" i="173"/>
  <c r="NS20" i="173"/>
  <c r="NR20" i="173"/>
  <c r="NQ20" i="173"/>
  <c r="NP20" i="173"/>
  <c r="NO20" i="173"/>
  <c r="NN20" i="173"/>
  <c r="NM20" i="173"/>
  <c r="NL20" i="173"/>
  <c r="NK20" i="173"/>
  <c r="NJ20" i="173"/>
  <c r="NI20" i="173"/>
  <c r="NH20" i="173"/>
  <c r="NG20" i="173"/>
  <c r="NF20" i="173"/>
  <c r="NE20" i="173"/>
  <c r="ND20" i="173"/>
  <c r="NC20" i="173"/>
  <c r="NB20" i="173"/>
  <c r="NA20" i="173"/>
  <c r="MZ20" i="173"/>
  <c r="MY20" i="173"/>
  <c r="MX20" i="173"/>
  <c r="MW20" i="173"/>
  <c r="MV20" i="173"/>
  <c r="MU20" i="173"/>
  <c r="MT20" i="173"/>
  <c r="MS20" i="173"/>
  <c r="MR20" i="173"/>
  <c r="MQ20" i="173"/>
  <c r="MP20" i="173"/>
  <c r="MO20" i="173"/>
  <c r="MN20" i="173"/>
  <c r="MM20" i="173"/>
  <c r="ML20" i="173"/>
  <c r="MK20" i="173"/>
  <c r="MJ20" i="173"/>
  <c r="MI20" i="173"/>
  <c r="MH20" i="173"/>
  <c r="MG20" i="173"/>
  <c r="MF20" i="173"/>
  <c r="ME20" i="173"/>
  <c r="MD20" i="173"/>
  <c r="MC20" i="173"/>
  <c r="MB20" i="173"/>
  <c r="MA20" i="173"/>
  <c r="LZ20" i="173"/>
  <c r="LY20" i="173"/>
  <c r="LX20" i="173"/>
  <c r="LW20" i="173"/>
  <c r="LV20" i="173"/>
  <c r="LU20" i="173"/>
  <c r="LT20" i="173"/>
  <c r="LS20" i="173"/>
  <c r="LR20" i="173"/>
  <c r="LQ20" i="173"/>
  <c r="LP20" i="173"/>
  <c r="LO20" i="173"/>
  <c r="LN20" i="173"/>
  <c r="LM20" i="173"/>
  <c r="LL20" i="173"/>
  <c r="LK20" i="173"/>
  <c r="LJ20" i="173"/>
  <c r="LI20" i="173"/>
  <c r="LH20" i="173"/>
  <c r="LG20" i="173"/>
  <c r="LF20" i="173"/>
  <c r="LE20" i="173"/>
  <c r="LD20" i="173"/>
  <c r="LC20" i="173"/>
  <c r="LB20" i="173"/>
  <c r="LA20" i="173"/>
  <c r="KZ20" i="173"/>
  <c r="KY20" i="173"/>
  <c r="KX20" i="173"/>
  <c r="KW20" i="173"/>
  <c r="KV20" i="173"/>
  <c r="KU20" i="173"/>
  <c r="KT20" i="173"/>
  <c r="KS20" i="173"/>
  <c r="KR20" i="173"/>
  <c r="KQ20" i="173"/>
  <c r="KP20" i="173"/>
  <c r="KO20" i="173"/>
  <c r="KN20" i="173"/>
  <c r="KM20" i="173"/>
  <c r="KL20" i="173"/>
  <c r="KK20" i="173"/>
  <c r="KJ20" i="173"/>
  <c r="KI20" i="173"/>
  <c r="KH20" i="173"/>
  <c r="KG20" i="173"/>
  <c r="KF20" i="173"/>
  <c r="KE20" i="173"/>
  <c r="KD20" i="173"/>
  <c r="KC20" i="173"/>
  <c r="KB20" i="173"/>
  <c r="KA20" i="173"/>
  <c r="JZ20" i="173"/>
  <c r="JY20" i="173"/>
  <c r="JX20" i="173"/>
  <c r="JW20" i="173"/>
  <c r="JV20" i="173"/>
  <c r="JU20" i="173"/>
  <c r="JT20" i="173"/>
  <c r="JS20" i="173"/>
  <c r="JR20" i="173"/>
  <c r="JQ20" i="173"/>
  <c r="JP20" i="173"/>
  <c r="JO20" i="173"/>
  <c r="JN20" i="173"/>
  <c r="JM20" i="173"/>
  <c r="JL20" i="173"/>
  <c r="JK20" i="173"/>
  <c r="JJ20" i="173"/>
  <c r="JI20" i="173"/>
  <c r="JH20" i="173"/>
  <c r="JG20" i="173"/>
  <c r="JF20" i="173"/>
  <c r="JE20" i="173"/>
  <c r="JD20" i="173"/>
  <c r="JC20" i="173"/>
  <c r="JB20" i="173"/>
  <c r="JA20" i="173"/>
  <c r="IZ20" i="173"/>
  <c r="IY20" i="173"/>
  <c r="IX20" i="173"/>
  <c r="IW20" i="173"/>
  <c r="IV20" i="173"/>
  <c r="IU20" i="173"/>
  <c r="IT20" i="173"/>
  <c r="IS20" i="173"/>
  <c r="IR20" i="173"/>
  <c r="IQ20" i="173"/>
  <c r="IP20" i="173"/>
  <c r="IO20" i="173"/>
  <c r="IN20" i="173"/>
  <c r="IM20" i="173"/>
  <c r="IL20" i="173"/>
  <c r="IK20" i="173"/>
  <c r="IJ20" i="173"/>
  <c r="II20" i="173"/>
  <c r="IH20" i="173"/>
  <c r="IG20" i="173"/>
  <c r="IF20" i="173"/>
  <c r="IE20" i="173"/>
  <c r="ID20" i="173"/>
  <c r="IC20" i="173"/>
  <c r="IB20" i="173"/>
  <c r="IA20" i="173"/>
  <c r="HZ20" i="173"/>
  <c r="HY20" i="173"/>
  <c r="HX20" i="173"/>
  <c r="HW20" i="173"/>
  <c r="HV20" i="173"/>
  <c r="HU20" i="173"/>
  <c r="HT20" i="173"/>
  <c r="HS20" i="173"/>
  <c r="HR20" i="173"/>
  <c r="HQ20" i="173"/>
  <c r="HP20" i="173"/>
  <c r="HO20" i="173"/>
  <c r="HN20" i="173"/>
  <c r="HM20" i="173"/>
  <c r="HL20" i="173"/>
  <c r="HK20" i="173"/>
  <c r="HJ20" i="173"/>
  <c r="HI20" i="173"/>
  <c r="HH20" i="173"/>
  <c r="HG20" i="173"/>
  <c r="HF20" i="173"/>
  <c r="HE20" i="173"/>
  <c r="HD20" i="173"/>
  <c r="HC20" i="173"/>
  <c r="HB20" i="173"/>
  <c r="HA20" i="173"/>
  <c r="GZ20" i="173"/>
  <c r="GY20" i="173"/>
  <c r="GX20" i="173"/>
  <c r="GW20" i="173"/>
  <c r="GV20" i="173"/>
  <c r="GU20" i="173"/>
  <c r="GT20" i="173"/>
  <c r="GS20" i="173"/>
  <c r="GR20" i="173"/>
  <c r="GQ20" i="173"/>
  <c r="GP20" i="173"/>
  <c r="GO20" i="173"/>
  <c r="GN20" i="173"/>
  <c r="GM20" i="173"/>
  <c r="GL20" i="173"/>
  <c r="GK20" i="173"/>
  <c r="GJ20" i="173"/>
  <c r="GI20" i="173"/>
  <c r="GH20" i="173"/>
  <c r="GG20" i="173"/>
  <c r="GF20" i="173"/>
  <c r="GE20" i="173"/>
  <c r="GD20" i="173"/>
  <c r="GC20" i="173"/>
  <c r="GB20" i="173"/>
  <c r="GA20" i="173"/>
  <c r="FZ20" i="173"/>
  <c r="FY20" i="173"/>
  <c r="FX20" i="173"/>
  <c r="FW20" i="173"/>
  <c r="FV20" i="173"/>
  <c r="FU20" i="173"/>
  <c r="FT20" i="173"/>
  <c r="FS20" i="173"/>
  <c r="FR20" i="173"/>
  <c r="FQ20" i="173"/>
  <c r="FP20" i="173"/>
  <c r="FO20" i="173"/>
  <c r="FN20" i="173"/>
  <c r="FM20" i="173"/>
  <c r="FL20" i="173"/>
  <c r="FK20" i="173"/>
  <c r="FJ20" i="173"/>
  <c r="FI20" i="173"/>
  <c r="FH20" i="173"/>
  <c r="FG20" i="173"/>
  <c r="FF20" i="173"/>
  <c r="FE20" i="173"/>
  <c r="FD20" i="173"/>
  <c r="FC20" i="173"/>
  <c r="FB20" i="173"/>
  <c r="FA20" i="173"/>
  <c r="EZ20" i="173"/>
  <c r="EY20" i="173"/>
  <c r="EX20" i="173"/>
  <c r="EW20" i="173"/>
  <c r="EV20" i="173"/>
  <c r="EU20" i="173"/>
  <c r="ET20" i="173"/>
  <c r="ES20" i="173"/>
  <c r="ER20" i="173"/>
  <c r="EQ20" i="173"/>
  <c r="EP20" i="173"/>
  <c r="EO20" i="173"/>
  <c r="EN20" i="173"/>
  <c r="EM20" i="173"/>
  <c r="EL20" i="173"/>
  <c r="EK20" i="173"/>
  <c r="EJ20" i="173"/>
  <c r="EI20" i="173"/>
  <c r="EH20" i="173"/>
  <c r="EG20" i="173"/>
  <c r="EF20" i="173"/>
  <c r="EE20" i="173"/>
  <c r="ED20" i="173"/>
  <c r="EC20" i="173"/>
  <c r="EB20" i="173"/>
  <c r="EA20" i="173"/>
  <c r="DZ20" i="173"/>
  <c r="DY20" i="173"/>
  <c r="DX20" i="173"/>
  <c r="DW20" i="173"/>
  <c r="DV20" i="173"/>
  <c r="DU20" i="173"/>
  <c r="DT20" i="173"/>
  <c r="DS20" i="173"/>
  <c r="DR20" i="173"/>
  <c r="DQ20" i="173"/>
  <c r="DP20" i="173"/>
  <c r="DO20" i="173"/>
  <c r="DN20" i="173"/>
  <c r="DM20" i="173"/>
  <c r="DL20" i="173"/>
  <c r="DK20" i="173"/>
  <c r="DJ20" i="173"/>
  <c r="DI20" i="173"/>
  <c r="DH20" i="173"/>
  <c r="DG20" i="173"/>
  <c r="DF20" i="173"/>
  <c r="DE20" i="173"/>
  <c r="DD20" i="173"/>
  <c r="DC20" i="173"/>
  <c r="DB20" i="173"/>
  <c r="DA20" i="173"/>
  <c r="CZ20" i="173"/>
  <c r="CY20" i="173"/>
  <c r="CX20" i="173"/>
  <c r="CW20" i="173"/>
  <c r="CV20" i="173"/>
  <c r="CU20" i="173"/>
  <c r="CT20" i="173"/>
  <c r="CS20" i="173"/>
  <c r="CR20" i="173"/>
  <c r="CQ20" i="173"/>
  <c r="CP20" i="173"/>
  <c r="CO20" i="173"/>
  <c r="CN20" i="173"/>
  <c r="CM20" i="173"/>
  <c r="CL20" i="173"/>
  <c r="CK20" i="173"/>
  <c r="CJ20" i="173"/>
  <c r="CI20" i="173"/>
  <c r="CH20" i="173"/>
  <c r="CG20" i="173"/>
  <c r="CF20" i="173"/>
  <c r="CE20" i="173"/>
  <c r="CD20" i="173"/>
  <c r="CC20" i="173"/>
  <c r="CB20" i="173"/>
  <c r="CA20" i="173"/>
  <c r="BZ20" i="173"/>
  <c r="BY20" i="173"/>
  <c r="BX20" i="173"/>
  <c r="BW20" i="173"/>
  <c r="BV20" i="173"/>
  <c r="BU20" i="173"/>
  <c r="BT20" i="173"/>
  <c r="BS20" i="173"/>
  <c r="BR20" i="173"/>
  <c r="BQ20" i="173"/>
  <c r="BP20" i="173"/>
  <c r="BO20" i="173"/>
  <c r="BN20" i="173"/>
  <c r="BM20" i="173"/>
  <c r="BL20" i="173"/>
  <c r="BK20" i="173"/>
  <c r="BJ20" i="173"/>
  <c r="BI20" i="173"/>
  <c r="BH20" i="173"/>
  <c r="BG20" i="173"/>
  <c r="BF20" i="173"/>
  <c r="BE20" i="173"/>
  <c r="BD20" i="173"/>
  <c r="BC20" i="173"/>
  <c r="BB20" i="173"/>
  <c r="BA20" i="173"/>
  <c r="AZ20" i="173"/>
  <c r="AY20" i="173"/>
  <c r="AX20" i="173"/>
  <c r="AW20" i="173"/>
  <c r="AV20" i="173"/>
  <c r="AU20" i="173"/>
  <c r="AT20" i="173"/>
  <c r="AS20" i="173"/>
  <c r="AR20" i="173"/>
  <c r="AQ20" i="173"/>
  <c r="AP20" i="173"/>
  <c r="AO20" i="173"/>
  <c r="AN20" i="173"/>
  <c r="AM20" i="173"/>
  <c r="AL20" i="173"/>
  <c r="AK20" i="173"/>
  <c r="AJ20" i="173"/>
  <c r="AI20" i="173"/>
  <c r="AH20" i="173"/>
  <c r="AG20" i="173"/>
  <c r="AF20" i="173"/>
  <c r="AE20" i="173"/>
  <c r="AD20" i="173"/>
  <c r="AC20" i="173"/>
  <c r="AB20" i="173"/>
  <c r="AA20" i="173"/>
  <c r="Z20" i="173"/>
  <c r="Y20" i="173"/>
  <c r="X20" i="173"/>
  <c r="W20" i="173"/>
  <c r="V20" i="173"/>
  <c r="U20" i="173"/>
  <c r="T20" i="173"/>
  <c r="S20" i="173"/>
  <c r="R20" i="173"/>
  <c r="Q20" i="173"/>
  <c r="P20" i="173"/>
  <c r="O20" i="173"/>
  <c r="N20" i="173"/>
  <c r="M20" i="173"/>
  <c r="L20" i="173"/>
  <c r="K20" i="173"/>
  <c r="J20" i="173"/>
  <c r="I20" i="173"/>
  <c r="H20" i="173"/>
  <c r="G20" i="173"/>
  <c r="F20" i="173"/>
  <c r="D20" i="173"/>
  <c r="AAV19" i="173"/>
  <c r="AAU19" i="173"/>
  <c r="AAT19" i="173"/>
  <c r="AAS19" i="173"/>
  <c r="AAR19" i="173"/>
  <c r="AAQ19" i="173"/>
  <c r="AAP19" i="173"/>
  <c r="AAO19" i="173"/>
  <c r="AAN19" i="173"/>
  <c r="AAM19" i="173"/>
  <c r="AAL19" i="173"/>
  <c r="AAK19" i="173"/>
  <c r="AAJ19" i="173"/>
  <c r="AAI19" i="173"/>
  <c r="AAH19" i="173"/>
  <c r="AAG19" i="173"/>
  <c r="AAF19" i="173"/>
  <c r="AAE19" i="173"/>
  <c r="AAD19" i="173"/>
  <c r="AAC19" i="173"/>
  <c r="AAB19" i="173"/>
  <c r="AAA19" i="173"/>
  <c r="ZZ19" i="173"/>
  <c r="ZY19" i="173"/>
  <c r="ZX19" i="173"/>
  <c r="ZW19" i="173"/>
  <c r="ZV19" i="173"/>
  <c r="ZU19" i="173"/>
  <c r="ZT19" i="173"/>
  <c r="ZS19" i="173"/>
  <c r="ZR19" i="173"/>
  <c r="ZQ19" i="173"/>
  <c r="ZP19" i="173"/>
  <c r="ZO19" i="173"/>
  <c r="ZN19" i="173"/>
  <c r="ZM19" i="173"/>
  <c r="ZL19" i="173"/>
  <c r="ZK19" i="173"/>
  <c r="ZJ19" i="173"/>
  <c r="ZI19" i="173"/>
  <c r="ZH19" i="173"/>
  <c r="ZG19" i="173"/>
  <c r="ZF19" i="173"/>
  <c r="ZE19" i="173"/>
  <c r="ZD19" i="173"/>
  <c r="ZC19" i="173"/>
  <c r="ZB19" i="173"/>
  <c r="ZA19" i="173"/>
  <c r="YZ19" i="173"/>
  <c r="YY19" i="173"/>
  <c r="YX19" i="173"/>
  <c r="YW19" i="173"/>
  <c r="YV19" i="173"/>
  <c r="YU19" i="173"/>
  <c r="YT19" i="173"/>
  <c r="YS19" i="173"/>
  <c r="YR19" i="173"/>
  <c r="YQ19" i="173"/>
  <c r="YP19" i="173"/>
  <c r="YO19" i="173"/>
  <c r="YN19" i="173"/>
  <c r="YM19" i="173"/>
  <c r="YL19" i="173"/>
  <c r="YK19" i="173"/>
  <c r="YJ19" i="173"/>
  <c r="YI19" i="173"/>
  <c r="YH19" i="173"/>
  <c r="YG19" i="173"/>
  <c r="YF19" i="173"/>
  <c r="YE19" i="173"/>
  <c r="YD19" i="173"/>
  <c r="YC19" i="173"/>
  <c r="YB19" i="173"/>
  <c r="YA19" i="173"/>
  <c r="XZ19" i="173"/>
  <c r="XY19" i="173"/>
  <c r="XX19" i="173"/>
  <c r="XW19" i="173"/>
  <c r="XV19" i="173"/>
  <c r="XU19" i="173"/>
  <c r="XT19" i="173"/>
  <c r="XS19" i="173"/>
  <c r="XR19" i="173"/>
  <c r="XQ19" i="173"/>
  <c r="XP19" i="173"/>
  <c r="XO19" i="173"/>
  <c r="XN19" i="173"/>
  <c r="XM19" i="173"/>
  <c r="XL19" i="173"/>
  <c r="XK19" i="173"/>
  <c r="XJ19" i="173"/>
  <c r="XI19" i="173"/>
  <c r="XH19" i="173"/>
  <c r="XG19" i="173"/>
  <c r="XF19" i="173"/>
  <c r="XE19" i="173"/>
  <c r="XD19" i="173"/>
  <c r="XC19" i="173"/>
  <c r="XB19" i="173"/>
  <c r="XA19" i="173"/>
  <c r="WZ19" i="173"/>
  <c r="WY19" i="173"/>
  <c r="WX19" i="173"/>
  <c r="WW19" i="173"/>
  <c r="WV19" i="173"/>
  <c r="WU19" i="173"/>
  <c r="WT19" i="173"/>
  <c r="WS19" i="173"/>
  <c r="WR19" i="173"/>
  <c r="WQ19" i="173"/>
  <c r="WP19" i="173"/>
  <c r="WO19" i="173"/>
  <c r="WN19" i="173"/>
  <c r="WM19" i="173"/>
  <c r="WL19" i="173"/>
  <c r="WK19" i="173"/>
  <c r="WJ19" i="173"/>
  <c r="WI19" i="173"/>
  <c r="WH19" i="173"/>
  <c r="WG19" i="173"/>
  <c r="WF19" i="173"/>
  <c r="WE19" i="173"/>
  <c r="WD19" i="173"/>
  <c r="WC19" i="173"/>
  <c r="WB19" i="173"/>
  <c r="WA19" i="173"/>
  <c r="VZ19" i="173"/>
  <c r="VY19" i="173"/>
  <c r="VX19" i="173"/>
  <c r="VW19" i="173"/>
  <c r="VV19" i="173"/>
  <c r="VU19" i="173"/>
  <c r="VT19" i="173"/>
  <c r="VS19" i="173"/>
  <c r="VR19" i="173"/>
  <c r="VQ19" i="173"/>
  <c r="VP19" i="173"/>
  <c r="VO19" i="173"/>
  <c r="VN19" i="173"/>
  <c r="VM19" i="173"/>
  <c r="VL19" i="173"/>
  <c r="VK19" i="173"/>
  <c r="VJ19" i="173"/>
  <c r="VI19" i="173"/>
  <c r="VH19" i="173"/>
  <c r="VG19" i="173"/>
  <c r="VF19" i="173"/>
  <c r="VE19" i="173"/>
  <c r="VD19" i="173"/>
  <c r="VC19" i="173"/>
  <c r="VB19" i="173"/>
  <c r="VA19" i="173"/>
  <c r="UZ19" i="173"/>
  <c r="UY19" i="173"/>
  <c r="UX19" i="173"/>
  <c r="UW19" i="173"/>
  <c r="UV19" i="173"/>
  <c r="UU19" i="173"/>
  <c r="UT19" i="173"/>
  <c r="US19" i="173"/>
  <c r="UR19" i="173"/>
  <c r="UQ19" i="173"/>
  <c r="UP19" i="173"/>
  <c r="UO19" i="173"/>
  <c r="UN19" i="173"/>
  <c r="UM19" i="173"/>
  <c r="UL19" i="173"/>
  <c r="UK19" i="173"/>
  <c r="UJ19" i="173"/>
  <c r="UI19" i="173"/>
  <c r="UH19" i="173"/>
  <c r="UG19" i="173"/>
  <c r="UF19" i="173"/>
  <c r="UE19" i="173"/>
  <c r="UD19" i="173"/>
  <c r="UC19" i="173"/>
  <c r="UB19" i="173"/>
  <c r="UA19" i="173"/>
  <c r="TZ19" i="173"/>
  <c r="TY19" i="173"/>
  <c r="TX19" i="173"/>
  <c r="TW19" i="173"/>
  <c r="TV19" i="173"/>
  <c r="TU19" i="173"/>
  <c r="TT19" i="173"/>
  <c r="TS19" i="173"/>
  <c r="TR19" i="173"/>
  <c r="TQ19" i="173"/>
  <c r="TP19" i="173"/>
  <c r="TO19" i="173"/>
  <c r="TN19" i="173"/>
  <c r="TM19" i="173"/>
  <c r="TL19" i="173"/>
  <c r="TK19" i="173"/>
  <c r="TJ19" i="173"/>
  <c r="TI19" i="173"/>
  <c r="TH19" i="173"/>
  <c r="TG19" i="173"/>
  <c r="TF19" i="173"/>
  <c r="TE19" i="173"/>
  <c r="TD19" i="173"/>
  <c r="TC19" i="173"/>
  <c r="TB19" i="173"/>
  <c r="TA19" i="173"/>
  <c r="SZ19" i="173"/>
  <c r="SY19" i="173"/>
  <c r="SX19" i="173"/>
  <c r="SW19" i="173"/>
  <c r="SV19" i="173"/>
  <c r="SU19" i="173"/>
  <c r="ST19" i="173"/>
  <c r="SS19" i="173"/>
  <c r="SR19" i="173"/>
  <c r="SQ19" i="173"/>
  <c r="SP19" i="173"/>
  <c r="SO19" i="173"/>
  <c r="SN19" i="173"/>
  <c r="SM19" i="173"/>
  <c r="SL19" i="173"/>
  <c r="SK19" i="173"/>
  <c r="SJ19" i="173"/>
  <c r="SI19" i="173"/>
  <c r="SH19" i="173"/>
  <c r="SG19" i="173"/>
  <c r="SF19" i="173"/>
  <c r="SE19" i="173"/>
  <c r="SD19" i="173"/>
  <c r="SC19" i="173"/>
  <c r="SB19" i="173"/>
  <c r="SA19" i="173"/>
  <c r="RZ19" i="173"/>
  <c r="RY19" i="173"/>
  <c r="RX19" i="173"/>
  <c r="RW19" i="173"/>
  <c r="RV19" i="173"/>
  <c r="RU19" i="173"/>
  <c r="RT19" i="173"/>
  <c r="RS19" i="173"/>
  <c r="RR19" i="173"/>
  <c r="RQ19" i="173"/>
  <c r="RP19" i="173"/>
  <c r="RO19" i="173"/>
  <c r="RN19" i="173"/>
  <c r="RM19" i="173"/>
  <c r="RL19" i="173"/>
  <c r="RK19" i="173"/>
  <c r="RJ19" i="173"/>
  <c r="RI19" i="173"/>
  <c r="RH19" i="173"/>
  <c r="RG19" i="173"/>
  <c r="RF19" i="173"/>
  <c r="RE19" i="173"/>
  <c r="RD19" i="173"/>
  <c r="RC19" i="173"/>
  <c r="RB19" i="173"/>
  <c r="RA19" i="173"/>
  <c r="QZ19" i="173"/>
  <c r="QY19" i="173"/>
  <c r="QX19" i="173"/>
  <c r="QW19" i="173"/>
  <c r="QV19" i="173"/>
  <c r="QU19" i="173"/>
  <c r="QT19" i="173"/>
  <c r="QS19" i="173"/>
  <c r="QR19" i="173"/>
  <c r="QQ19" i="173"/>
  <c r="QP19" i="173"/>
  <c r="QO19" i="173"/>
  <c r="QN19" i="173"/>
  <c r="QM19" i="173"/>
  <c r="QL19" i="173"/>
  <c r="QK19" i="173"/>
  <c r="QJ19" i="173"/>
  <c r="QI19" i="173"/>
  <c r="QH19" i="173"/>
  <c r="QG19" i="173"/>
  <c r="QF19" i="173"/>
  <c r="QE19" i="173"/>
  <c r="QD19" i="173"/>
  <c r="QC19" i="173"/>
  <c r="QB19" i="173"/>
  <c r="QA19" i="173"/>
  <c r="PZ19" i="173"/>
  <c r="PY19" i="173"/>
  <c r="PX19" i="173"/>
  <c r="PW19" i="173"/>
  <c r="PV19" i="173"/>
  <c r="PU19" i="173"/>
  <c r="PT19" i="173"/>
  <c r="PS19" i="173"/>
  <c r="PR19" i="173"/>
  <c r="PQ19" i="173"/>
  <c r="PP19" i="173"/>
  <c r="PO19" i="173"/>
  <c r="PN19" i="173"/>
  <c r="PM19" i="173"/>
  <c r="PL19" i="173"/>
  <c r="PK19" i="173"/>
  <c r="PJ19" i="173"/>
  <c r="PI19" i="173"/>
  <c r="PH19" i="173"/>
  <c r="PG19" i="173"/>
  <c r="PF19" i="173"/>
  <c r="PE19" i="173"/>
  <c r="PD19" i="173"/>
  <c r="PC19" i="173"/>
  <c r="PB19" i="173"/>
  <c r="PA19" i="173"/>
  <c r="OZ19" i="173"/>
  <c r="OY19" i="173"/>
  <c r="OX19" i="173"/>
  <c r="OW19" i="173"/>
  <c r="OV19" i="173"/>
  <c r="OU19" i="173"/>
  <c r="OT19" i="173"/>
  <c r="OS19" i="173"/>
  <c r="OR19" i="173"/>
  <c r="OQ19" i="173"/>
  <c r="OP19" i="173"/>
  <c r="OO19" i="173"/>
  <c r="ON19" i="173"/>
  <c r="OM19" i="173"/>
  <c r="OL19" i="173"/>
  <c r="OK19" i="173"/>
  <c r="OJ19" i="173"/>
  <c r="OI19" i="173"/>
  <c r="OH19" i="173"/>
  <c r="OG19" i="173"/>
  <c r="OF19" i="173"/>
  <c r="OE19" i="173"/>
  <c r="OD19" i="173"/>
  <c r="OC19" i="173"/>
  <c r="OB19" i="173"/>
  <c r="OA19" i="173"/>
  <c r="NZ19" i="173"/>
  <c r="NY19" i="173"/>
  <c r="NX19" i="173"/>
  <c r="NW19" i="173"/>
  <c r="NV19" i="173"/>
  <c r="NU19" i="173"/>
  <c r="NT19" i="173"/>
  <c r="NS19" i="173"/>
  <c r="NR19" i="173"/>
  <c r="NQ19" i="173"/>
  <c r="NP19" i="173"/>
  <c r="NO19" i="173"/>
  <c r="NN19" i="173"/>
  <c r="NM19" i="173"/>
  <c r="NL19" i="173"/>
  <c r="NK19" i="173"/>
  <c r="NJ19" i="173"/>
  <c r="NI19" i="173"/>
  <c r="NH19" i="173"/>
  <c r="NG19" i="173"/>
  <c r="NF19" i="173"/>
  <c r="NE19" i="173"/>
  <c r="ND19" i="173"/>
  <c r="NC19" i="173"/>
  <c r="NB19" i="173"/>
  <c r="NA19" i="173"/>
  <c r="MZ19" i="173"/>
  <c r="MY19" i="173"/>
  <c r="MX19" i="173"/>
  <c r="MW19" i="173"/>
  <c r="MV19" i="173"/>
  <c r="MU19" i="173"/>
  <c r="MT19" i="173"/>
  <c r="MS19" i="173"/>
  <c r="MR19" i="173"/>
  <c r="MQ19" i="173"/>
  <c r="MP19" i="173"/>
  <c r="MO19" i="173"/>
  <c r="MN19" i="173"/>
  <c r="MM19" i="173"/>
  <c r="ML19" i="173"/>
  <c r="MK19" i="173"/>
  <c r="MJ19" i="173"/>
  <c r="MI19" i="173"/>
  <c r="MH19" i="173"/>
  <c r="MG19" i="173"/>
  <c r="MF19" i="173"/>
  <c r="ME19" i="173"/>
  <c r="MD19" i="173"/>
  <c r="MC19" i="173"/>
  <c r="MB19" i="173"/>
  <c r="MA19" i="173"/>
  <c r="LZ19" i="173"/>
  <c r="LY19" i="173"/>
  <c r="LX19" i="173"/>
  <c r="LW19" i="173"/>
  <c r="LV19" i="173"/>
  <c r="LU19" i="173"/>
  <c r="LT19" i="173"/>
  <c r="LS19" i="173"/>
  <c r="LR19" i="173"/>
  <c r="LQ19" i="173"/>
  <c r="LP19" i="173"/>
  <c r="LO19" i="173"/>
  <c r="LN19" i="173"/>
  <c r="LM19" i="173"/>
  <c r="LL19" i="173"/>
  <c r="LK19" i="173"/>
  <c r="LJ19" i="173"/>
  <c r="LI19" i="173"/>
  <c r="LH19" i="173"/>
  <c r="LG19" i="173"/>
  <c r="LF19" i="173"/>
  <c r="LE19" i="173"/>
  <c r="LD19" i="173"/>
  <c r="LC19" i="173"/>
  <c r="LB19" i="173"/>
  <c r="LA19" i="173"/>
  <c r="KZ19" i="173"/>
  <c r="KY19" i="173"/>
  <c r="KX19" i="173"/>
  <c r="KW19" i="173"/>
  <c r="KV19" i="173"/>
  <c r="KU19" i="173"/>
  <c r="KT19" i="173"/>
  <c r="KS19" i="173"/>
  <c r="KR19" i="173"/>
  <c r="KQ19" i="173"/>
  <c r="KP19" i="173"/>
  <c r="KO19" i="173"/>
  <c r="KN19" i="173"/>
  <c r="KM19" i="173"/>
  <c r="KL19" i="173"/>
  <c r="KK19" i="173"/>
  <c r="KJ19" i="173"/>
  <c r="KI19" i="173"/>
  <c r="KH19" i="173"/>
  <c r="KG19" i="173"/>
  <c r="KF19" i="173"/>
  <c r="KE19" i="173"/>
  <c r="KD19" i="173"/>
  <c r="KC19" i="173"/>
  <c r="KB19" i="173"/>
  <c r="KA19" i="173"/>
  <c r="JZ19" i="173"/>
  <c r="JY19" i="173"/>
  <c r="JX19" i="173"/>
  <c r="JW19" i="173"/>
  <c r="JV19" i="173"/>
  <c r="JU19" i="173"/>
  <c r="JT19" i="173"/>
  <c r="JS19" i="173"/>
  <c r="JR19" i="173"/>
  <c r="JQ19" i="173"/>
  <c r="JP19" i="173"/>
  <c r="JO19" i="173"/>
  <c r="JN19" i="173"/>
  <c r="JM19" i="173"/>
  <c r="JL19" i="173"/>
  <c r="JK19" i="173"/>
  <c r="JJ19" i="173"/>
  <c r="JI19" i="173"/>
  <c r="JH19" i="173"/>
  <c r="JG19" i="173"/>
  <c r="JF19" i="173"/>
  <c r="JE19" i="173"/>
  <c r="JD19" i="173"/>
  <c r="JC19" i="173"/>
  <c r="JB19" i="173"/>
  <c r="JA19" i="173"/>
  <c r="IZ19" i="173"/>
  <c r="IY19" i="173"/>
  <c r="IX19" i="173"/>
  <c r="IW19" i="173"/>
  <c r="IV19" i="173"/>
  <c r="IU19" i="173"/>
  <c r="IT19" i="173"/>
  <c r="IS19" i="173"/>
  <c r="IR19" i="173"/>
  <c r="IQ19" i="173"/>
  <c r="IP19" i="173"/>
  <c r="IO19" i="173"/>
  <c r="IN19" i="173"/>
  <c r="IM19" i="173"/>
  <c r="IL19" i="173"/>
  <c r="IK19" i="173"/>
  <c r="IJ19" i="173"/>
  <c r="II19" i="173"/>
  <c r="IH19" i="173"/>
  <c r="IG19" i="173"/>
  <c r="IF19" i="173"/>
  <c r="IE19" i="173"/>
  <c r="ID19" i="173"/>
  <c r="IC19" i="173"/>
  <c r="IB19" i="173"/>
  <c r="IA19" i="173"/>
  <c r="HZ19" i="173"/>
  <c r="HY19" i="173"/>
  <c r="HX19" i="173"/>
  <c r="HW19" i="173"/>
  <c r="HV19" i="173"/>
  <c r="HU19" i="173"/>
  <c r="HT19" i="173"/>
  <c r="HS19" i="173"/>
  <c r="HR19" i="173"/>
  <c r="HQ19" i="173"/>
  <c r="HP19" i="173"/>
  <c r="HO19" i="173"/>
  <c r="HN19" i="173"/>
  <c r="HM19" i="173"/>
  <c r="HL19" i="173"/>
  <c r="HK19" i="173"/>
  <c r="HJ19" i="173"/>
  <c r="HI19" i="173"/>
  <c r="HH19" i="173"/>
  <c r="HG19" i="173"/>
  <c r="HF19" i="173"/>
  <c r="HE19" i="173"/>
  <c r="HD19" i="173"/>
  <c r="HC19" i="173"/>
  <c r="HB19" i="173"/>
  <c r="HA19" i="173"/>
  <c r="GZ19" i="173"/>
  <c r="GY19" i="173"/>
  <c r="GX19" i="173"/>
  <c r="GW19" i="173"/>
  <c r="GV19" i="173"/>
  <c r="GU19" i="173"/>
  <c r="GT19" i="173"/>
  <c r="GS19" i="173"/>
  <c r="GR19" i="173"/>
  <c r="GQ19" i="173"/>
  <c r="GP19" i="173"/>
  <c r="GO19" i="173"/>
  <c r="GN19" i="173"/>
  <c r="GM19" i="173"/>
  <c r="GL19" i="173"/>
  <c r="GK19" i="173"/>
  <c r="GJ19" i="173"/>
  <c r="GI19" i="173"/>
  <c r="GH19" i="173"/>
  <c r="GG19" i="173"/>
  <c r="GF19" i="173"/>
  <c r="GE19" i="173"/>
  <c r="GD19" i="173"/>
  <c r="GC19" i="173"/>
  <c r="GB19" i="173"/>
  <c r="GA19" i="173"/>
  <c r="FZ19" i="173"/>
  <c r="FY19" i="173"/>
  <c r="FX19" i="173"/>
  <c r="FW19" i="173"/>
  <c r="FV19" i="173"/>
  <c r="FU19" i="173"/>
  <c r="FT19" i="173"/>
  <c r="FS19" i="173"/>
  <c r="FR19" i="173"/>
  <c r="FQ19" i="173"/>
  <c r="FP19" i="173"/>
  <c r="FO19" i="173"/>
  <c r="FN19" i="173"/>
  <c r="FM19" i="173"/>
  <c r="FL19" i="173"/>
  <c r="FK19" i="173"/>
  <c r="FJ19" i="173"/>
  <c r="FI19" i="173"/>
  <c r="FH19" i="173"/>
  <c r="FG19" i="173"/>
  <c r="FF19" i="173"/>
  <c r="FE19" i="173"/>
  <c r="FD19" i="173"/>
  <c r="FC19" i="173"/>
  <c r="FB19" i="173"/>
  <c r="FA19" i="173"/>
  <c r="EZ19" i="173"/>
  <c r="EY19" i="173"/>
  <c r="EX19" i="173"/>
  <c r="EW19" i="173"/>
  <c r="EV19" i="173"/>
  <c r="EU19" i="173"/>
  <c r="ET19" i="173"/>
  <c r="ES19" i="173"/>
  <c r="ER19" i="173"/>
  <c r="EQ19" i="173"/>
  <c r="EP19" i="173"/>
  <c r="EO19" i="173"/>
  <c r="EN19" i="173"/>
  <c r="EM19" i="173"/>
  <c r="EL19" i="173"/>
  <c r="EK19" i="173"/>
  <c r="EJ19" i="173"/>
  <c r="EI19" i="173"/>
  <c r="EH19" i="173"/>
  <c r="EG19" i="173"/>
  <c r="EF19" i="173"/>
  <c r="EE19" i="173"/>
  <c r="ED19" i="173"/>
  <c r="EC19" i="173"/>
  <c r="EB19" i="173"/>
  <c r="EA19" i="173"/>
  <c r="DZ19" i="173"/>
  <c r="DY19" i="173"/>
  <c r="DX19" i="173"/>
  <c r="DW19" i="173"/>
  <c r="DV19" i="173"/>
  <c r="DU19" i="173"/>
  <c r="DT19" i="173"/>
  <c r="DS19" i="173"/>
  <c r="DR19" i="173"/>
  <c r="DQ19" i="173"/>
  <c r="DP19" i="173"/>
  <c r="DO19" i="173"/>
  <c r="DN19" i="173"/>
  <c r="DM19" i="173"/>
  <c r="DL19" i="173"/>
  <c r="DK19" i="173"/>
  <c r="DJ19" i="173"/>
  <c r="DI19" i="173"/>
  <c r="DH19" i="173"/>
  <c r="DG19" i="173"/>
  <c r="DF19" i="173"/>
  <c r="DE19" i="173"/>
  <c r="DD19" i="173"/>
  <c r="DC19" i="173"/>
  <c r="DB19" i="173"/>
  <c r="DA19" i="173"/>
  <c r="CZ19" i="173"/>
  <c r="CY19" i="173"/>
  <c r="CX19" i="173"/>
  <c r="CW19" i="173"/>
  <c r="CV19" i="173"/>
  <c r="CU19" i="173"/>
  <c r="CT19" i="173"/>
  <c r="CS19" i="173"/>
  <c r="CR19" i="173"/>
  <c r="CQ19" i="173"/>
  <c r="CP19" i="173"/>
  <c r="CO19" i="173"/>
  <c r="CN19" i="173"/>
  <c r="CM19" i="173"/>
  <c r="CL19" i="173"/>
  <c r="CK19" i="173"/>
  <c r="CJ19" i="173"/>
  <c r="CI19" i="173"/>
  <c r="CH19" i="173"/>
  <c r="CG19" i="173"/>
  <c r="CF19" i="173"/>
  <c r="CE19" i="173"/>
  <c r="CD19" i="173"/>
  <c r="CC19" i="173"/>
  <c r="CB19" i="173"/>
  <c r="CA19" i="173"/>
  <c r="BZ19" i="173"/>
  <c r="BY19" i="173"/>
  <c r="BX19" i="173"/>
  <c r="BW19" i="173"/>
  <c r="BV19" i="173"/>
  <c r="BU19" i="173"/>
  <c r="BT19" i="173"/>
  <c r="BS19" i="173"/>
  <c r="BR19" i="173"/>
  <c r="BQ19" i="173"/>
  <c r="BP19" i="173"/>
  <c r="BO19" i="173"/>
  <c r="BN19" i="173"/>
  <c r="BM19" i="173"/>
  <c r="BL19" i="173"/>
  <c r="BK19" i="173"/>
  <c r="BJ19" i="173"/>
  <c r="BI19" i="173"/>
  <c r="BH19" i="173"/>
  <c r="BG19" i="173"/>
  <c r="BF19" i="173"/>
  <c r="BE19" i="173"/>
  <c r="BD19" i="173"/>
  <c r="BC19" i="173"/>
  <c r="BB19" i="173"/>
  <c r="BA19" i="173"/>
  <c r="AZ19" i="173"/>
  <c r="AY19" i="173"/>
  <c r="AX19" i="173"/>
  <c r="AW19" i="173"/>
  <c r="AV19" i="173"/>
  <c r="AU19" i="173"/>
  <c r="AT19" i="173"/>
  <c r="AS19" i="173"/>
  <c r="AR19" i="173"/>
  <c r="AQ19" i="173"/>
  <c r="AP19" i="173"/>
  <c r="AO19" i="173"/>
  <c r="AN19" i="173"/>
  <c r="AM19" i="173"/>
  <c r="AL19" i="173"/>
  <c r="AK19" i="173"/>
  <c r="AJ19" i="173"/>
  <c r="AI19" i="173"/>
  <c r="AH19" i="173"/>
  <c r="AG19" i="173"/>
  <c r="AF19" i="173"/>
  <c r="AE19" i="173"/>
  <c r="AD19" i="173"/>
  <c r="AC19" i="173"/>
  <c r="AB19" i="173"/>
  <c r="AA19" i="173"/>
  <c r="Z19" i="173"/>
  <c r="Y19" i="173"/>
  <c r="X19" i="173"/>
  <c r="W19" i="173"/>
  <c r="V19" i="173"/>
  <c r="U19" i="173"/>
  <c r="T19" i="173"/>
  <c r="S19" i="173"/>
  <c r="R19" i="173"/>
  <c r="Q19" i="173"/>
  <c r="P19" i="173"/>
  <c r="O19" i="173"/>
  <c r="N19" i="173"/>
  <c r="M19" i="173"/>
  <c r="L19" i="173"/>
  <c r="K19" i="173"/>
  <c r="J19" i="173"/>
  <c r="I19" i="173"/>
  <c r="H19" i="173"/>
  <c r="G19" i="173"/>
  <c r="F19" i="173"/>
  <c r="D19" i="173"/>
  <c r="AAV18" i="173"/>
  <c r="AAU18" i="173"/>
  <c r="AAT18" i="173"/>
  <c r="AAS18" i="173"/>
  <c r="AAR18" i="173"/>
  <c r="AAQ18" i="173"/>
  <c r="AAP18" i="173"/>
  <c r="AAO18" i="173"/>
  <c r="AAN18" i="173"/>
  <c r="AAM18" i="173"/>
  <c r="AAL18" i="173"/>
  <c r="AAK18" i="173"/>
  <c r="AAJ18" i="173"/>
  <c r="AAI18" i="173"/>
  <c r="AAH18" i="173"/>
  <c r="AAG18" i="173"/>
  <c r="AAF18" i="173"/>
  <c r="AAE18" i="173"/>
  <c r="AAD18" i="173"/>
  <c r="AAC18" i="173"/>
  <c r="AAB18" i="173"/>
  <c r="AAA18" i="173"/>
  <c r="ZZ18" i="173"/>
  <c r="ZY18" i="173"/>
  <c r="ZX18" i="173"/>
  <c r="ZW18" i="173"/>
  <c r="ZV18" i="173"/>
  <c r="ZU18" i="173"/>
  <c r="ZT18" i="173"/>
  <c r="ZS18" i="173"/>
  <c r="ZR18" i="173"/>
  <c r="ZQ18" i="173"/>
  <c r="ZP18" i="173"/>
  <c r="ZO18" i="173"/>
  <c r="ZN18" i="173"/>
  <c r="ZM18" i="173"/>
  <c r="ZL18" i="173"/>
  <c r="ZK18" i="173"/>
  <c r="ZJ18" i="173"/>
  <c r="ZI18" i="173"/>
  <c r="ZH18" i="173"/>
  <c r="ZG18" i="173"/>
  <c r="ZF18" i="173"/>
  <c r="ZE18" i="173"/>
  <c r="ZD18" i="173"/>
  <c r="ZC18" i="173"/>
  <c r="ZB18" i="173"/>
  <c r="ZA18" i="173"/>
  <c r="YZ18" i="173"/>
  <c r="YY18" i="173"/>
  <c r="YX18" i="173"/>
  <c r="YW18" i="173"/>
  <c r="YV18" i="173"/>
  <c r="YU18" i="173"/>
  <c r="YT18" i="173"/>
  <c r="YS18" i="173"/>
  <c r="YR18" i="173"/>
  <c r="YQ18" i="173"/>
  <c r="YP18" i="173"/>
  <c r="YO18" i="173"/>
  <c r="YN18" i="173"/>
  <c r="YM18" i="173"/>
  <c r="YL18" i="173"/>
  <c r="YK18" i="173"/>
  <c r="YJ18" i="173"/>
  <c r="YI18" i="173"/>
  <c r="YH18" i="173"/>
  <c r="YG18" i="173"/>
  <c r="YF18" i="173"/>
  <c r="YE18" i="173"/>
  <c r="YD18" i="173"/>
  <c r="YC18" i="173"/>
  <c r="YB18" i="173"/>
  <c r="YA18" i="173"/>
  <c r="XZ18" i="173"/>
  <c r="XY18" i="173"/>
  <c r="XX18" i="173"/>
  <c r="XW18" i="173"/>
  <c r="XV18" i="173"/>
  <c r="XU18" i="173"/>
  <c r="XT18" i="173"/>
  <c r="XS18" i="173"/>
  <c r="XR18" i="173"/>
  <c r="XQ18" i="173"/>
  <c r="XP18" i="173"/>
  <c r="XO18" i="173"/>
  <c r="XN18" i="173"/>
  <c r="XM18" i="173"/>
  <c r="XL18" i="173"/>
  <c r="XK18" i="173"/>
  <c r="XJ18" i="173"/>
  <c r="XI18" i="173"/>
  <c r="XH18" i="173"/>
  <c r="XG18" i="173"/>
  <c r="XF18" i="173"/>
  <c r="XE18" i="173"/>
  <c r="XD18" i="173"/>
  <c r="XC18" i="173"/>
  <c r="XB18" i="173"/>
  <c r="XA18" i="173"/>
  <c r="WZ18" i="173"/>
  <c r="WY18" i="173"/>
  <c r="WX18" i="173"/>
  <c r="WW18" i="173"/>
  <c r="WV18" i="173"/>
  <c r="WU18" i="173"/>
  <c r="WT18" i="173"/>
  <c r="WS18" i="173"/>
  <c r="WR18" i="173"/>
  <c r="WQ18" i="173"/>
  <c r="WP18" i="173"/>
  <c r="WO18" i="173"/>
  <c r="WN18" i="173"/>
  <c r="WM18" i="173"/>
  <c r="WL18" i="173"/>
  <c r="WK18" i="173"/>
  <c r="WJ18" i="173"/>
  <c r="WI18" i="173"/>
  <c r="WH18" i="173"/>
  <c r="WG18" i="173"/>
  <c r="WF18" i="173"/>
  <c r="WE18" i="173"/>
  <c r="WD18" i="173"/>
  <c r="WC18" i="173"/>
  <c r="WB18" i="173"/>
  <c r="WA18" i="173"/>
  <c r="VZ18" i="173"/>
  <c r="VY18" i="173"/>
  <c r="VX18" i="173"/>
  <c r="VW18" i="173"/>
  <c r="VV18" i="173"/>
  <c r="VU18" i="173"/>
  <c r="VT18" i="173"/>
  <c r="VS18" i="173"/>
  <c r="VR18" i="173"/>
  <c r="VQ18" i="173"/>
  <c r="VP18" i="173"/>
  <c r="VO18" i="173"/>
  <c r="VN18" i="173"/>
  <c r="VM18" i="173"/>
  <c r="VL18" i="173"/>
  <c r="VK18" i="173"/>
  <c r="VJ18" i="173"/>
  <c r="VI18" i="173"/>
  <c r="VH18" i="173"/>
  <c r="VG18" i="173"/>
  <c r="VF18" i="173"/>
  <c r="VE18" i="173"/>
  <c r="VD18" i="173"/>
  <c r="VC18" i="173"/>
  <c r="VB18" i="173"/>
  <c r="VA18" i="173"/>
  <c r="UZ18" i="173"/>
  <c r="UY18" i="173"/>
  <c r="UX18" i="173"/>
  <c r="UW18" i="173"/>
  <c r="UV18" i="173"/>
  <c r="UU18" i="173"/>
  <c r="UT18" i="173"/>
  <c r="US18" i="173"/>
  <c r="UR18" i="173"/>
  <c r="UQ18" i="173"/>
  <c r="UP18" i="173"/>
  <c r="UO18" i="173"/>
  <c r="UN18" i="173"/>
  <c r="UM18" i="173"/>
  <c r="UL18" i="173"/>
  <c r="UK18" i="173"/>
  <c r="UJ18" i="173"/>
  <c r="UI18" i="173"/>
  <c r="UH18" i="173"/>
  <c r="UG18" i="173"/>
  <c r="UF18" i="173"/>
  <c r="UE18" i="173"/>
  <c r="UD18" i="173"/>
  <c r="UC18" i="173"/>
  <c r="UB18" i="173"/>
  <c r="UA18" i="173"/>
  <c r="TZ18" i="173"/>
  <c r="TY18" i="173"/>
  <c r="TX18" i="173"/>
  <c r="TW18" i="173"/>
  <c r="TV18" i="173"/>
  <c r="TU18" i="173"/>
  <c r="TT18" i="173"/>
  <c r="TS18" i="173"/>
  <c r="TR18" i="173"/>
  <c r="TQ18" i="173"/>
  <c r="TP18" i="173"/>
  <c r="TO18" i="173"/>
  <c r="TN18" i="173"/>
  <c r="TM18" i="173"/>
  <c r="TL18" i="173"/>
  <c r="TK18" i="173"/>
  <c r="TJ18" i="173"/>
  <c r="TI18" i="173"/>
  <c r="TH18" i="173"/>
  <c r="TG18" i="173"/>
  <c r="TF18" i="173"/>
  <c r="TE18" i="173"/>
  <c r="TD18" i="173"/>
  <c r="TC18" i="173"/>
  <c r="TB18" i="173"/>
  <c r="TA18" i="173"/>
  <c r="SZ18" i="173"/>
  <c r="SY18" i="173"/>
  <c r="SX18" i="173"/>
  <c r="SW18" i="173"/>
  <c r="SV18" i="173"/>
  <c r="SU18" i="173"/>
  <c r="ST18" i="173"/>
  <c r="SS18" i="173"/>
  <c r="SR18" i="173"/>
  <c r="SQ18" i="173"/>
  <c r="SP18" i="173"/>
  <c r="SO18" i="173"/>
  <c r="SN18" i="173"/>
  <c r="SM18" i="173"/>
  <c r="SL18" i="173"/>
  <c r="SK18" i="173"/>
  <c r="SJ18" i="173"/>
  <c r="SI18" i="173"/>
  <c r="SH18" i="173"/>
  <c r="SG18" i="173"/>
  <c r="SF18" i="173"/>
  <c r="SE18" i="173"/>
  <c r="SD18" i="173"/>
  <c r="SC18" i="173"/>
  <c r="SB18" i="173"/>
  <c r="SA18" i="173"/>
  <c r="RZ18" i="173"/>
  <c r="RY18" i="173"/>
  <c r="RX18" i="173"/>
  <c r="RW18" i="173"/>
  <c r="RV18" i="173"/>
  <c r="RU18" i="173"/>
  <c r="RT18" i="173"/>
  <c r="RS18" i="173"/>
  <c r="RR18" i="173"/>
  <c r="RQ18" i="173"/>
  <c r="RP18" i="173"/>
  <c r="RO18" i="173"/>
  <c r="RN18" i="173"/>
  <c r="RM18" i="173"/>
  <c r="RL18" i="173"/>
  <c r="RK18" i="173"/>
  <c r="RJ18" i="173"/>
  <c r="RI18" i="173"/>
  <c r="RH18" i="173"/>
  <c r="RG18" i="173"/>
  <c r="RF18" i="173"/>
  <c r="RE18" i="173"/>
  <c r="RD18" i="173"/>
  <c r="RC18" i="173"/>
  <c r="RB18" i="173"/>
  <c r="RA18" i="173"/>
  <c r="QZ18" i="173"/>
  <c r="QY18" i="173"/>
  <c r="QX18" i="173"/>
  <c r="QW18" i="173"/>
  <c r="QV18" i="173"/>
  <c r="QU18" i="173"/>
  <c r="QT18" i="173"/>
  <c r="QS18" i="173"/>
  <c r="QR18" i="173"/>
  <c r="QQ18" i="173"/>
  <c r="QP18" i="173"/>
  <c r="QO18" i="173"/>
  <c r="QN18" i="173"/>
  <c r="QM18" i="173"/>
  <c r="QL18" i="173"/>
  <c r="QK18" i="173"/>
  <c r="QJ18" i="173"/>
  <c r="QI18" i="173"/>
  <c r="QH18" i="173"/>
  <c r="QG18" i="173"/>
  <c r="QF18" i="173"/>
  <c r="QE18" i="173"/>
  <c r="QD18" i="173"/>
  <c r="QC18" i="173"/>
  <c r="QB18" i="173"/>
  <c r="QA18" i="173"/>
  <c r="PZ18" i="173"/>
  <c r="PY18" i="173"/>
  <c r="PX18" i="173"/>
  <c r="PW18" i="173"/>
  <c r="PV18" i="173"/>
  <c r="PU18" i="173"/>
  <c r="PT18" i="173"/>
  <c r="PS18" i="173"/>
  <c r="PR18" i="173"/>
  <c r="PQ18" i="173"/>
  <c r="PP18" i="173"/>
  <c r="PO18" i="173"/>
  <c r="PN18" i="173"/>
  <c r="PM18" i="173"/>
  <c r="PL18" i="173"/>
  <c r="PK18" i="173"/>
  <c r="PJ18" i="173"/>
  <c r="PI18" i="173"/>
  <c r="PH18" i="173"/>
  <c r="PG18" i="173"/>
  <c r="PF18" i="173"/>
  <c r="PE18" i="173"/>
  <c r="PD18" i="173"/>
  <c r="PC18" i="173"/>
  <c r="PB18" i="173"/>
  <c r="PA18" i="173"/>
  <c r="OZ18" i="173"/>
  <c r="OY18" i="173"/>
  <c r="OX18" i="173"/>
  <c r="OW18" i="173"/>
  <c r="OV18" i="173"/>
  <c r="OU18" i="173"/>
  <c r="OT18" i="173"/>
  <c r="OS18" i="173"/>
  <c r="OR18" i="173"/>
  <c r="OQ18" i="173"/>
  <c r="OP18" i="173"/>
  <c r="OO18" i="173"/>
  <c r="ON18" i="173"/>
  <c r="OM18" i="173"/>
  <c r="OL18" i="173"/>
  <c r="OK18" i="173"/>
  <c r="OJ18" i="173"/>
  <c r="OI18" i="173"/>
  <c r="OH18" i="173"/>
  <c r="OG18" i="173"/>
  <c r="OF18" i="173"/>
  <c r="OE18" i="173"/>
  <c r="OD18" i="173"/>
  <c r="OC18" i="173"/>
  <c r="OB18" i="173"/>
  <c r="OA18" i="173"/>
  <c r="NZ18" i="173"/>
  <c r="NY18" i="173"/>
  <c r="NX18" i="173"/>
  <c r="NW18" i="173"/>
  <c r="NV18" i="173"/>
  <c r="NU18" i="173"/>
  <c r="NT18" i="173"/>
  <c r="NS18" i="173"/>
  <c r="NR18" i="173"/>
  <c r="NQ18" i="173"/>
  <c r="NP18" i="173"/>
  <c r="NO18" i="173"/>
  <c r="NN18" i="173"/>
  <c r="NM18" i="173"/>
  <c r="NL18" i="173"/>
  <c r="NK18" i="173"/>
  <c r="NJ18" i="173"/>
  <c r="NI18" i="173"/>
  <c r="NH18" i="173"/>
  <c r="NG18" i="173"/>
  <c r="NF18" i="173"/>
  <c r="NE18" i="173"/>
  <c r="ND18" i="173"/>
  <c r="NC18" i="173"/>
  <c r="NB18" i="173"/>
  <c r="NA18" i="173"/>
  <c r="MZ18" i="173"/>
  <c r="MY18" i="173"/>
  <c r="MX18" i="173"/>
  <c r="MW18" i="173"/>
  <c r="MV18" i="173"/>
  <c r="MU18" i="173"/>
  <c r="MT18" i="173"/>
  <c r="MS18" i="173"/>
  <c r="MR18" i="173"/>
  <c r="MQ18" i="173"/>
  <c r="MP18" i="173"/>
  <c r="MO18" i="173"/>
  <c r="MN18" i="173"/>
  <c r="MM18" i="173"/>
  <c r="ML18" i="173"/>
  <c r="MK18" i="173"/>
  <c r="MJ18" i="173"/>
  <c r="MI18" i="173"/>
  <c r="MH18" i="173"/>
  <c r="MG18" i="173"/>
  <c r="MF18" i="173"/>
  <c r="ME18" i="173"/>
  <c r="MD18" i="173"/>
  <c r="MC18" i="173"/>
  <c r="MB18" i="173"/>
  <c r="MA18" i="173"/>
  <c r="LZ18" i="173"/>
  <c r="LY18" i="173"/>
  <c r="LX18" i="173"/>
  <c r="LW18" i="173"/>
  <c r="LV18" i="173"/>
  <c r="LU18" i="173"/>
  <c r="LT18" i="173"/>
  <c r="LS18" i="173"/>
  <c r="LR18" i="173"/>
  <c r="LQ18" i="173"/>
  <c r="LP18" i="173"/>
  <c r="LO18" i="173"/>
  <c r="LN18" i="173"/>
  <c r="LM18" i="173"/>
  <c r="LL18" i="173"/>
  <c r="LK18" i="173"/>
  <c r="LJ18" i="173"/>
  <c r="LI18" i="173"/>
  <c r="LH18" i="173"/>
  <c r="LG18" i="173"/>
  <c r="LF18" i="173"/>
  <c r="LE18" i="173"/>
  <c r="LD18" i="173"/>
  <c r="LC18" i="173"/>
  <c r="LB18" i="173"/>
  <c r="LA18" i="173"/>
  <c r="KZ18" i="173"/>
  <c r="KY18" i="173"/>
  <c r="KX18" i="173"/>
  <c r="KW18" i="173"/>
  <c r="KV18" i="173"/>
  <c r="KU18" i="173"/>
  <c r="KT18" i="173"/>
  <c r="KS18" i="173"/>
  <c r="KR18" i="173"/>
  <c r="KQ18" i="173"/>
  <c r="KP18" i="173"/>
  <c r="KO18" i="173"/>
  <c r="KN18" i="173"/>
  <c r="KM18" i="173"/>
  <c r="KL18" i="173"/>
  <c r="KK18" i="173"/>
  <c r="KJ18" i="173"/>
  <c r="KI18" i="173"/>
  <c r="KH18" i="173"/>
  <c r="KG18" i="173"/>
  <c r="KF18" i="173"/>
  <c r="KE18" i="173"/>
  <c r="KD18" i="173"/>
  <c r="KC18" i="173"/>
  <c r="KB18" i="173"/>
  <c r="KA18" i="173"/>
  <c r="JZ18" i="173"/>
  <c r="JY18" i="173"/>
  <c r="JX18" i="173"/>
  <c r="JW18" i="173"/>
  <c r="JV18" i="173"/>
  <c r="JU18" i="173"/>
  <c r="JT18" i="173"/>
  <c r="JS18" i="173"/>
  <c r="JR18" i="173"/>
  <c r="JQ18" i="173"/>
  <c r="JP18" i="173"/>
  <c r="JO18" i="173"/>
  <c r="JN18" i="173"/>
  <c r="JM18" i="173"/>
  <c r="JL18" i="173"/>
  <c r="JK18" i="173"/>
  <c r="JJ18" i="173"/>
  <c r="JI18" i="173"/>
  <c r="JH18" i="173"/>
  <c r="JG18" i="173"/>
  <c r="JF18" i="173"/>
  <c r="JE18" i="173"/>
  <c r="JD18" i="173"/>
  <c r="JC18" i="173"/>
  <c r="JB18" i="173"/>
  <c r="JA18" i="173"/>
  <c r="IZ18" i="173"/>
  <c r="IY18" i="173"/>
  <c r="IX18" i="173"/>
  <c r="IW18" i="173"/>
  <c r="IV18" i="173"/>
  <c r="IU18" i="173"/>
  <c r="IT18" i="173"/>
  <c r="IS18" i="173"/>
  <c r="IR18" i="173"/>
  <c r="IQ18" i="173"/>
  <c r="IP18" i="173"/>
  <c r="IO18" i="173"/>
  <c r="IN18" i="173"/>
  <c r="IM18" i="173"/>
  <c r="IL18" i="173"/>
  <c r="IK18" i="173"/>
  <c r="IJ18" i="173"/>
  <c r="II18" i="173"/>
  <c r="IH18" i="173"/>
  <c r="IG18" i="173"/>
  <c r="IF18" i="173"/>
  <c r="IE18" i="173"/>
  <c r="ID18" i="173"/>
  <c r="IC18" i="173"/>
  <c r="IB18" i="173"/>
  <c r="IA18" i="173"/>
  <c r="HZ18" i="173"/>
  <c r="HY18" i="173"/>
  <c r="HX18" i="173"/>
  <c r="HW18" i="173"/>
  <c r="HV18" i="173"/>
  <c r="HU18" i="173"/>
  <c r="HT18" i="173"/>
  <c r="HS18" i="173"/>
  <c r="HR18" i="173"/>
  <c r="HQ18" i="173"/>
  <c r="HP18" i="173"/>
  <c r="HO18" i="173"/>
  <c r="HN18" i="173"/>
  <c r="HM18" i="173"/>
  <c r="HL18" i="173"/>
  <c r="HK18" i="173"/>
  <c r="HJ18" i="173"/>
  <c r="HI18" i="173"/>
  <c r="HH18" i="173"/>
  <c r="HG18" i="173"/>
  <c r="HF18" i="173"/>
  <c r="HE18" i="173"/>
  <c r="HD18" i="173"/>
  <c r="HC18" i="173"/>
  <c r="HB18" i="173"/>
  <c r="HA18" i="173"/>
  <c r="GZ18" i="173"/>
  <c r="GY18" i="173"/>
  <c r="GX18" i="173"/>
  <c r="GW18" i="173"/>
  <c r="GV18" i="173"/>
  <c r="GU18" i="173"/>
  <c r="GT18" i="173"/>
  <c r="GS18" i="173"/>
  <c r="GR18" i="173"/>
  <c r="GQ18" i="173"/>
  <c r="GP18" i="173"/>
  <c r="GO18" i="173"/>
  <c r="GN18" i="173"/>
  <c r="GM18" i="173"/>
  <c r="GL18" i="173"/>
  <c r="GK18" i="173"/>
  <c r="GJ18" i="173"/>
  <c r="GI18" i="173"/>
  <c r="GH18" i="173"/>
  <c r="GG18" i="173"/>
  <c r="GF18" i="173"/>
  <c r="GE18" i="173"/>
  <c r="GD18" i="173"/>
  <c r="GC18" i="173"/>
  <c r="GB18" i="173"/>
  <c r="GA18" i="173"/>
  <c r="FZ18" i="173"/>
  <c r="FY18" i="173"/>
  <c r="FX18" i="173"/>
  <c r="FW18" i="173"/>
  <c r="FV18" i="173"/>
  <c r="FU18" i="173"/>
  <c r="FT18" i="173"/>
  <c r="FS18" i="173"/>
  <c r="FR18" i="173"/>
  <c r="FQ18" i="173"/>
  <c r="FP18" i="173"/>
  <c r="FO18" i="173"/>
  <c r="FN18" i="173"/>
  <c r="FM18" i="173"/>
  <c r="FL18" i="173"/>
  <c r="FK18" i="173"/>
  <c r="FJ18" i="173"/>
  <c r="FI18" i="173"/>
  <c r="FH18" i="173"/>
  <c r="FG18" i="173"/>
  <c r="FF18" i="173"/>
  <c r="FE18" i="173"/>
  <c r="FD18" i="173"/>
  <c r="FC18" i="173"/>
  <c r="FB18" i="173"/>
  <c r="FA18" i="173"/>
  <c r="EZ18" i="173"/>
  <c r="EY18" i="173"/>
  <c r="EX18" i="173"/>
  <c r="EW18" i="173"/>
  <c r="EV18" i="173"/>
  <c r="EU18" i="173"/>
  <c r="ET18" i="173"/>
  <c r="ES18" i="173"/>
  <c r="ER18" i="173"/>
  <c r="EQ18" i="173"/>
  <c r="EP18" i="173"/>
  <c r="EO18" i="173"/>
  <c r="EN18" i="173"/>
  <c r="EM18" i="173"/>
  <c r="EL18" i="173"/>
  <c r="EK18" i="173"/>
  <c r="EJ18" i="173"/>
  <c r="EI18" i="173"/>
  <c r="EH18" i="173"/>
  <c r="EG18" i="173"/>
  <c r="EF18" i="173"/>
  <c r="EE18" i="173"/>
  <c r="ED18" i="173"/>
  <c r="EC18" i="173"/>
  <c r="EB18" i="173"/>
  <c r="EA18" i="173"/>
  <c r="DZ18" i="173"/>
  <c r="DY18" i="173"/>
  <c r="DX18" i="173"/>
  <c r="DW18" i="173"/>
  <c r="DV18" i="173"/>
  <c r="DU18" i="173"/>
  <c r="DT18" i="173"/>
  <c r="DS18" i="173"/>
  <c r="DR18" i="173"/>
  <c r="DQ18" i="173"/>
  <c r="DP18" i="173"/>
  <c r="DO18" i="173"/>
  <c r="DN18" i="173"/>
  <c r="DM18" i="173"/>
  <c r="DL18" i="173"/>
  <c r="DK18" i="173"/>
  <c r="DJ18" i="173"/>
  <c r="DI18" i="173"/>
  <c r="DH18" i="173"/>
  <c r="DG18" i="173"/>
  <c r="DF18" i="173"/>
  <c r="DE18" i="173"/>
  <c r="DD18" i="173"/>
  <c r="DC18" i="173"/>
  <c r="DB18" i="173"/>
  <c r="DA18" i="173"/>
  <c r="CZ18" i="173"/>
  <c r="CY18" i="173"/>
  <c r="CX18" i="173"/>
  <c r="CW18" i="173"/>
  <c r="CV18" i="173"/>
  <c r="CU18" i="173"/>
  <c r="CT18" i="173"/>
  <c r="CS18" i="173"/>
  <c r="CR18" i="173"/>
  <c r="CQ18" i="173"/>
  <c r="CP18" i="173"/>
  <c r="CO18" i="173"/>
  <c r="CN18" i="173"/>
  <c r="CM18" i="173"/>
  <c r="CL18" i="173"/>
  <c r="CK18" i="173"/>
  <c r="CJ18" i="173"/>
  <c r="CI18" i="173"/>
  <c r="CH18" i="173"/>
  <c r="CG18" i="173"/>
  <c r="CF18" i="173"/>
  <c r="CE18" i="173"/>
  <c r="CD18" i="173"/>
  <c r="CC18" i="173"/>
  <c r="CB18" i="173"/>
  <c r="CA18" i="173"/>
  <c r="BZ18" i="173"/>
  <c r="BY18" i="173"/>
  <c r="BX18" i="173"/>
  <c r="BW18" i="173"/>
  <c r="BV18" i="173"/>
  <c r="BU18" i="173"/>
  <c r="BT18" i="173"/>
  <c r="BS18" i="173"/>
  <c r="BR18" i="173"/>
  <c r="BQ18" i="173"/>
  <c r="BP18" i="173"/>
  <c r="BO18" i="173"/>
  <c r="BN18" i="173"/>
  <c r="BM18" i="173"/>
  <c r="BL18" i="173"/>
  <c r="BK18" i="173"/>
  <c r="BJ18" i="173"/>
  <c r="BI18" i="173"/>
  <c r="BH18" i="173"/>
  <c r="BG18" i="173"/>
  <c r="BF18" i="173"/>
  <c r="BE18" i="173"/>
  <c r="BD18" i="173"/>
  <c r="BC18" i="173"/>
  <c r="BB18" i="173"/>
  <c r="BA18" i="173"/>
  <c r="AZ18" i="173"/>
  <c r="AY18" i="173"/>
  <c r="AX18" i="173"/>
  <c r="AW18" i="173"/>
  <c r="AV18" i="173"/>
  <c r="AU18" i="173"/>
  <c r="AT18" i="173"/>
  <c r="AS18" i="173"/>
  <c r="AR18" i="173"/>
  <c r="AQ18" i="173"/>
  <c r="AP18" i="173"/>
  <c r="AO18" i="173"/>
  <c r="AN18" i="173"/>
  <c r="AM18" i="173"/>
  <c r="AL18" i="173"/>
  <c r="AK18" i="173"/>
  <c r="AJ18" i="173"/>
  <c r="AI18" i="173"/>
  <c r="AH18" i="173"/>
  <c r="AG18" i="173"/>
  <c r="AF18" i="173"/>
  <c r="AE18" i="173"/>
  <c r="AD18" i="173"/>
  <c r="AC18" i="173"/>
  <c r="AB18" i="173"/>
  <c r="AA18" i="173"/>
  <c r="Z18" i="173"/>
  <c r="Y18" i="173"/>
  <c r="X18" i="173"/>
  <c r="W18" i="173"/>
  <c r="V18" i="173"/>
  <c r="U18" i="173"/>
  <c r="T18" i="173"/>
  <c r="S18" i="173"/>
  <c r="R18" i="173"/>
  <c r="Q18" i="173"/>
  <c r="P18" i="173"/>
  <c r="O18" i="173"/>
  <c r="N18" i="173"/>
  <c r="M18" i="173"/>
  <c r="L18" i="173"/>
  <c r="K18" i="173"/>
  <c r="J18" i="173"/>
  <c r="I18" i="173"/>
  <c r="H18" i="173"/>
  <c r="G18" i="173"/>
  <c r="F18" i="173"/>
  <c r="D18" i="173"/>
  <c r="AAV17" i="173"/>
  <c r="AAU17" i="173"/>
  <c r="AAT17" i="173"/>
  <c r="AAS17" i="173"/>
  <c r="AAR17" i="173"/>
  <c r="AAQ17" i="173"/>
  <c r="AAP17" i="173"/>
  <c r="AAO17" i="173"/>
  <c r="AAN17" i="173"/>
  <c r="AAM17" i="173"/>
  <c r="AAL17" i="173"/>
  <c r="AAK17" i="173"/>
  <c r="AAJ17" i="173"/>
  <c r="AAI17" i="173"/>
  <c r="AAH17" i="173"/>
  <c r="AAG17" i="173"/>
  <c r="AAF17" i="173"/>
  <c r="AAE17" i="173"/>
  <c r="AAD17" i="173"/>
  <c r="AAC17" i="173"/>
  <c r="AAB17" i="173"/>
  <c r="AAA17" i="173"/>
  <c r="ZZ17" i="173"/>
  <c r="ZY17" i="173"/>
  <c r="ZX17" i="173"/>
  <c r="ZW17" i="173"/>
  <c r="ZV17" i="173"/>
  <c r="ZU17" i="173"/>
  <c r="ZT17" i="173"/>
  <c r="ZS17" i="173"/>
  <c r="ZR17" i="173"/>
  <c r="ZQ17" i="173"/>
  <c r="ZP17" i="173"/>
  <c r="ZO17" i="173"/>
  <c r="ZN17" i="173"/>
  <c r="ZM17" i="173"/>
  <c r="ZL17" i="173"/>
  <c r="ZK17" i="173"/>
  <c r="ZJ17" i="173"/>
  <c r="ZI17" i="173"/>
  <c r="ZH17" i="173"/>
  <c r="ZG17" i="173"/>
  <c r="ZF17" i="173"/>
  <c r="ZE17" i="173"/>
  <c r="ZD17" i="173"/>
  <c r="ZC17" i="173"/>
  <c r="ZB17" i="173"/>
  <c r="ZA17" i="173"/>
  <c r="YZ17" i="173"/>
  <c r="YY17" i="173"/>
  <c r="YX17" i="173"/>
  <c r="YW17" i="173"/>
  <c r="YV17" i="173"/>
  <c r="YU17" i="173"/>
  <c r="YT17" i="173"/>
  <c r="YS17" i="173"/>
  <c r="YR17" i="173"/>
  <c r="YQ17" i="173"/>
  <c r="YP17" i="173"/>
  <c r="YO17" i="173"/>
  <c r="YN17" i="173"/>
  <c r="YM17" i="173"/>
  <c r="YL17" i="173"/>
  <c r="YK17" i="173"/>
  <c r="YJ17" i="173"/>
  <c r="YI17" i="173"/>
  <c r="YH17" i="173"/>
  <c r="YG17" i="173"/>
  <c r="YF17" i="173"/>
  <c r="YE17" i="173"/>
  <c r="YD17" i="173"/>
  <c r="YC17" i="173"/>
  <c r="YB17" i="173"/>
  <c r="YA17" i="173"/>
  <c r="XZ17" i="173"/>
  <c r="XY17" i="173"/>
  <c r="XX17" i="173"/>
  <c r="XW17" i="173"/>
  <c r="XV17" i="173"/>
  <c r="XU17" i="173"/>
  <c r="XT17" i="173"/>
  <c r="XS17" i="173"/>
  <c r="XR17" i="173"/>
  <c r="XQ17" i="173"/>
  <c r="XP17" i="173"/>
  <c r="XO17" i="173"/>
  <c r="XN17" i="173"/>
  <c r="XM17" i="173"/>
  <c r="XL17" i="173"/>
  <c r="XK17" i="173"/>
  <c r="XJ17" i="173"/>
  <c r="XI17" i="173"/>
  <c r="XH17" i="173"/>
  <c r="XG17" i="173"/>
  <c r="XF17" i="173"/>
  <c r="XE17" i="173"/>
  <c r="XD17" i="173"/>
  <c r="XC17" i="173"/>
  <c r="XB17" i="173"/>
  <c r="XA17" i="173"/>
  <c r="WZ17" i="173"/>
  <c r="WY17" i="173"/>
  <c r="WX17" i="173"/>
  <c r="WW17" i="173"/>
  <c r="WV17" i="173"/>
  <c r="WU17" i="173"/>
  <c r="WT17" i="173"/>
  <c r="WS17" i="173"/>
  <c r="WR17" i="173"/>
  <c r="WQ17" i="173"/>
  <c r="WP17" i="173"/>
  <c r="WO17" i="173"/>
  <c r="WN17" i="173"/>
  <c r="WM17" i="173"/>
  <c r="WL17" i="173"/>
  <c r="WK17" i="173"/>
  <c r="WJ17" i="173"/>
  <c r="WI17" i="173"/>
  <c r="WH17" i="173"/>
  <c r="WG17" i="173"/>
  <c r="WF17" i="173"/>
  <c r="WE17" i="173"/>
  <c r="WD17" i="173"/>
  <c r="WC17" i="173"/>
  <c r="WB17" i="173"/>
  <c r="WA17" i="173"/>
  <c r="VZ17" i="173"/>
  <c r="VY17" i="173"/>
  <c r="VX17" i="173"/>
  <c r="VW17" i="173"/>
  <c r="VV17" i="173"/>
  <c r="VU17" i="173"/>
  <c r="VT17" i="173"/>
  <c r="VS17" i="173"/>
  <c r="VR17" i="173"/>
  <c r="VQ17" i="173"/>
  <c r="VP17" i="173"/>
  <c r="VO17" i="173"/>
  <c r="VN17" i="173"/>
  <c r="VM17" i="173"/>
  <c r="VL17" i="173"/>
  <c r="VK17" i="173"/>
  <c r="VJ17" i="173"/>
  <c r="VI17" i="173"/>
  <c r="VH17" i="173"/>
  <c r="VG17" i="173"/>
  <c r="VF17" i="173"/>
  <c r="VE17" i="173"/>
  <c r="VD17" i="173"/>
  <c r="VC17" i="173"/>
  <c r="VB17" i="173"/>
  <c r="VA17" i="173"/>
  <c r="UZ17" i="173"/>
  <c r="UY17" i="173"/>
  <c r="UX17" i="173"/>
  <c r="UW17" i="173"/>
  <c r="UV17" i="173"/>
  <c r="UU17" i="173"/>
  <c r="UT17" i="173"/>
  <c r="US17" i="173"/>
  <c r="UR17" i="173"/>
  <c r="UQ17" i="173"/>
  <c r="UP17" i="173"/>
  <c r="UO17" i="173"/>
  <c r="UN17" i="173"/>
  <c r="UM17" i="173"/>
  <c r="UL17" i="173"/>
  <c r="UK17" i="173"/>
  <c r="UJ17" i="173"/>
  <c r="UI17" i="173"/>
  <c r="UH17" i="173"/>
  <c r="UG17" i="173"/>
  <c r="UF17" i="173"/>
  <c r="UE17" i="173"/>
  <c r="UD17" i="173"/>
  <c r="UC17" i="173"/>
  <c r="UB17" i="173"/>
  <c r="UA17" i="173"/>
  <c r="TZ17" i="173"/>
  <c r="TY17" i="173"/>
  <c r="TX17" i="173"/>
  <c r="TW17" i="173"/>
  <c r="TV17" i="173"/>
  <c r="TU17" i="173"/>
  <c r="TT17" i="173"/>
  <c r="TS17" i="173"/>
  <c r="TR17" i="173"/>
  <c r="TQ17" i="173"/>
  <c r="TP17" i="173"/>
  <c r="TO17" i="173"/>
  <c r="TN17" i="173"/>
  <c r="TM17" i="173"/>
  <c r="TL17" i="173"/>
  <c r="TK17" i="173"/>
  <c r="TJ17" i="173"/>
  <c r="TI17" i="173"/>
  <c r="TH17" i="173"/>
  <c r="TG17" i="173"/>
  <c r="TF17" i="173"/>
  <c r="TE17" i="173"/>
  <c r="TD17" i="173"/>
  <c r="TC17" i="173"/>
  <c r="TB17" i="173"/>
  <c r="TA17" i="173"/>
  <c r="SZ17" i="173"/>
  <c r="SY17" i="173"/>
  <c r="SX17" i="173"/>
  <c r="SW17" i="173"/>
  <c r="SV17" i="173"/>
  <c r="SU17" i="173"/>
  <c r="ST17" i="173"/>
  <c r="SS17" i="173"/>
  <c r="SR17" i="173"/>
  <c r="SQ17" i="173"/>
  <c r="SP17" i="173"/>
  <c r="SO17" i="173"/>
  <c r="SN17" i="173"/>
  <c r="SM17" i="173"/>
  <c r="SL17" i="173"/>
  <c r="SK17" i="173"/>
  <c r="SJ17" i="173"/>
  <c r="SI17" i="173"/>
  <c r="SH17" i="173"/>
  <c r="SG17" i="173"/>
  <c r="SF17" i="173"/>
  <c r="SE17" i="173"/>
  <c r="SD17" i="173"/>
  <c r="SC17" i="173"/>
  <c r="SB17" i="173"/>
  <c r="SA17" i="173"/>
  <c r="RZ17" i="173"/>
  <c r="RY17" i="173"/>
  <c r="RX17" i="173"/>
  <c r="RW17" i="173"/>
  <c r="RV17" i="173"/>
  <c r="RU17" i="173"/>
  <c r="RT17" i="173"/>
  <c r="RS17" i="173"/>
  <c r="RR17" i="173"/>
  <c r="RQ17" i="173"/>
  <c r="RP17" i="173"/>
  <c r="RO17" i="173"/>
  <c r="RN17" i="173"/>
  <c r="RM17" i="173"/>
  <c r="RL17" i="173"/>
  <c r="RK17" i="173"/>
  <c r="RJ17" i="173"/>
  <c r="RI17" i="173"/>
  <c r="RH17" i="173"/>
  <c r="RG17" i="173"/>
  <c r="RF17" i="173"/>
  <c r="RE17" i="173"/>
  <c r="RD17" i="173"/>
  <c r="RC17" i="173"/>
  <c r="RB17" i="173"/>
  <c r="RA17" i="173"/>
  <c r="QZ17" i="173"/>
  <c r="QY17" i="173"/>
  <c r="QX17" i="173"/>
  <c r="QW17" i="173"/>
  <c r="QV17" i="173"/>
  <c r="QU17" i="173"/>
  <c r="QT17" i="173"/>
  <c r="QS17" i="173"/>
  <c r="QR17" i="173"/>
  <c r="QQ17" i="173"/>
  <c r="QP17" i="173"/>
  <c r="QO17" i="173"/>
  <c r="QN17" i="173"/>
  <c r="QM17" i="173"/>
  <c r="QL17" i="173"/>
  <c r="QK17" i="173"/>
  <c r="QJ17" i="173"/>
  <c r="QI17" i="173"/>
  <c r="QH17" i="173"/>
  <c r="QG17" i="173"/>
  <c r="QF17" i="173"/>
  <c r="QE17" i="173"/>
  <c r="QD17" i="173"/>
  <c r="QC17" i="173"/>
  <c r="QB17" i="173"/>
  <c r="QA17" i="173"/>
  <c r="PZ17" i="173"/>
  <c r="PY17" i="173"/>
  <c r="PX17" i="173"/>
  <c r="PW17" i="173"/>
  <c r="PV17" i="173"/>
  <c r="PU17" i="173"/>
  <c r="PT17" i="173"/>
  <c r="PS17" i="173"/>
  <c r="PR17" i="173"/>
  <c r="PQ17" i="173"/>
  <c r="PP17" i="173"/>
  <c r="PO17" i="173"/>
  <c r="PN17" i="173"/>
  <c r="PM17" i="173"/>
  <c r="PL17" i="173"/>
  <c r="PK17" i="173"/>
  <c r="PJ17" i="173"/>
  <c r="PI17" i="173"/>
  <c r="PH17" i="173"/>
  <c r="PG17" i="173"/>
  <c r="PF17" i="173"/>
  <c r="PE17" i="173"/>
  <c r="PD17" i="173"/>
  <c r="PC17" i="173"/>
  <c r="PB17" i="173"/>
  <c r="PA17" i="173"/>
  <c r="OZ17" i="173"/>
  <c r="OY17" i="173"/>
  <c r="OX17" i="173"/>
  <c r="OW17" i="173"/>
  <c r="OV17" i="173"/>
  <c r="OU17" i="173"/>
  <c r="OT17" i="173"/>
  <c r="OS17" i="173"/>
  <c r="OR17" i="173"/>
  <c r="OQ17" i="173"/>
  <c r="OP17" i="173"/>
  <c r="OO17" i="173"/>
  <c r="ON17" i="173"/>
  <c r="OM17" i="173"/>
  <c r="OL17" i="173"/>
  <c r="OK17" i="173"/>
  <c r="OJ17" i="173"/>
  <c r="OI17" i="173"/>
  <c r="OH17" i="173"/>
  <c r="OG17" i="173"/>
  <c r="OF17" i="173"/>
  <c r="OE17" i="173"/>
  <c r="OD17" i="173"/>
  <c r="OC17" i="173"/>
  <c r="OB17" i="173"/>
  <c r="OA17" i="173"/>
  <c r="NZ17" i="173"/>
  <c r="NY17" i="173"/>
  <c r="NX17" i="173"/>
  <c r="NW17" i="173"/>
  <c r="NV17" i="173"/>
  <c r="NU17" i="173"/>
  <c r="NT17" i="173"/>
  <c r="NS17" i="173"/>
  <c r="NR17" i="173"/>
  <c r="NQ17" i="173"/>
  <c r="NP17" i="173"/>
  <c r="NO17" i="173"/>
  <c r="NN17" i="173"/>
  <c r="NM17" i="173"/>
  <c r="NL17" i="173"/>
  <c r="NK17" i="173"/>
  <c r="NJ17" i="173"/>
  <c r="NI17" i="173"/>
  <c r="NH17" i="173"/>
  <c r="NG17" i="173"/>
  <c r="NF17" i="173"/>
  <c r="NE17" i="173"/>
  <c r="ND17" i="173"/>
  <c r="NC17" i="173"/>
  <c r="NB17" i="173"/>
  <c r="NA17" i="173"/>
  <c r="MZ17" i="173"/>
  <c r="MY17" i="173"/>
  <c r="MX17" i="173"/>
  <c r="MW17" i="173"/>
  <c r="MV17" i="173"/>
  <c r="MU17" i="173"/>
  <c r="MT17" i="173"/>
  <c r="MS17" i="173"/>
  <c r="MR17" i="173"/>
  <c r="MQ17" i="173"/>
  <c r="MP17" i="173"/>
  <c r="MO17" i="173"/>
  <c r="MN17" i="173"/>
  <c r="MM17" i="173"/>
  <c r="ML17" i="173"/>
  <c r="MK17" i="173"/>
  <c r="MJ17" i="173"/>
  <c r="MI17" i="173"/>
  <c r="MH17" i="173"/>
  <c r="MG17" i="173"/>
  <c r="MF17" i="173"/>
  <c r="ME17" i="173"/>
  <c r="MD17" i="173"/>
  <c r="MC17" i="173"/>
  <c r="MB17" i="173"/>
  <c r="MA17" i="173"/>
  <c r="LZ17" i="173"/>
  <c r="LY17" i="173"/>
  <c r="LX17" i="173"/>
  <c r="LW17" i="173"/>
  <c r="LV17" i="173"/>
  <c r="LU17" i="173"/>
  <c r="LT17" i="173"/>
  <c r="LS17" i="173"/>
  <c r="LR17" i="173"/>
  <c r="LQ17" i="173"/>
  <c r="LP17" i="173"/>
  <c r="LO17" i="173"/>
  <c r="LN17" i="173"/>
  <c r="LM17" i="173"/>
  <c r="LL17" i="173"/>
  <c r="LK17" i="173"/>
  <c r="LJ17" i="173"/>
  <c r="LI17" i="173"/>
  <c r="LH17" i="173"/>
  <c r="LG17" i="173"/>
  <c r="LF17" i="173"/>
  <c r="LE17" i="173"/>
  <c r="LD17" i="173"/>
  <c r="LC17" i="173"/>
  <c r="LB17" i="173"/>
  <c r="LA17" i="173"/>
  <c r="KZ17" i="173"/>
  <c r="KY17" i="173"/>
  <c r="KX17" i="173"/>
  <c r="KW17" i="173"/>
  <c r="KV17" i="173"/>
  <c r="KU17" i="173"/>
  <c r="KT17" i="173"/>
  <c r="KS17" i="173"/>
  <c r="KR17" i="173"/>
  <c r="KQ17" i="173"/>
  <c r="KP17" i="173"/>
  <c r="KO17" i="173"/>
  <c r="KN17" i="173"/>
  <c r="KM17" i="173"/>
  <c r="KL17" i="173"/>
  <c r="KK17" i="173"/>
  <c r="KJ17" i="173"/>
  <c r="KI17" i="173"/>
  <c r="KH17" i="173"/>
  <c r="KG17" i="173"/>
  <c r="KF17" i="173"/>
  <c r="KE17" i="173"/>
  <c r="KD17" i="173"/>
  <c r="KC17" i="173"/>
  <c r="KB17" i="173"/>
  <c r="KA17" i="173"/>
  <c r="JZ17" i="173"/>
  <c r="JY17" i="173"/>
  <c r="JX17" i="173"/>
  <c r="JW17" i="173"/>
  <c r="JV17" i="173"/>
  <c r="JU17" i="173"/>
  <c r="JT17" i="173"/>
  <c r="JS17" i="173"/>
  <c r="JR17" i="173"/>
  <c r="JQ17" i="173"/>
  <c r="JP17" i="173"/>
  <c r="JO17" i="173"/>
  <c r="JN17" i="173"/>
  <c r="JM17" i="173"/>
  <c r="JL17" i="173"/>
  <c r="JK17" i="173"/>
  <c r="JJ17" i="173"/>
  <c r="JI17" i="173"/>
  <c r="JH17" i="173"/>
  <c r="JG17" i="173"/>
  <c r="JF17" i="173"/>
  <c r="JE17" i="173"/>
  <c r="JD17" i="173"/>
  <c r="JC17" i="173"/>
  <c r="JB17" i="173"/>
  <c r="JA17" i="173"/>
  <c r="IZ17" i="173"/>
  <c r="IY17" i="173"/>
  <c r="IX17" i="173"/>
  <c r="IW17" i="173"/>
  <c r="IV17" i="173"/>
  <c r="IU17" i="173"/>
  <c r="IT17" i="173"/>
  <c r="IS17" i="173"/>
  <c r="IR17" i="173"/>
  <c r="IQ17" i="173"/>
  <c r="IP17" i="173"/>
  <c r="IO17" i="173"/>
  <c r="IN17" i="173"/>
  <c r="IM17" i="173"/>
  <c r="IL17" i="173"/>
  <c r="IK17" i="173"/>
  <c r="IJ17" i="173"/>
  <c r="II17" i="173"/>
  <c r="IH17" i="173"/>
  <c r="IG17" i="173"/>
  <c r="IF17" i="173"/>
  <c r="IE17" i="173"/>
  <c r="ID17" i="173"/>
  <c r="IC17" i="173"/>
  <c r="IB17" i="173"/>
  <c r="IA17" i="173"/>
  <c r="HZ17" i="173"/>
  <c r="HY17" i="173"/>
  <c r="HX17" i="173"/>
  <c r="HW17" i="173"/>
  <c r="HV17" i="173"/>
  <c r="HU17" i="173"/>
  <c r="HT17" i="173"/>
  <c r="HS17" i="173"/>
  <c r="HR17" i="173"/>
  <c r="HQ17" i="173"/>
  <c r="HP17" i="173"/>
  <c r="HO17" i="173"/>
  <c r="HN17" i="173"/>
  <c r="HM17" i="173"/>
  <c r="HL17" i="173"/>
  <c r="HK17" i="173"/>
  <c r="HJ17" i="173"/>
  <c r="HI17" i="173"/>
  <c r="HH17" i="173"/>
  <c r="HG17" i="173"/>
  <c r="HF17" i="173"/>
  <c r="HE17" i="173"/>
  <c r="HD17" i="173"/>
  <c r="HC17" i="173"/>
  <c r="HB17" i="173"/>
  <c r="HA17" i="173"/>
  <c r="GZ17" i="173"/>
  <c r="GY17" i="173"/>
  <c r="GX17" i="173"/>
  <c r="GW17" i="173"/>
  <c r="GV17" i="173"/>
  <c r="GU17" i="173"/>
  <c r="GT17" i="173"/>
  <c r="GS17" i="173"/>
  <c r="GR17" i="173"/>
  <c r="GQ17" i="173"/>
  <c r="GP17" i="173"/>
  <c r="GO17" i="173"/>
  <c r="GN17" i="173"/>
  <c r="GM17" i="173"/>
  <c r="GL17" i="173"/>
  <c r="GK17" i="173"/>
  <c r="GJ17" i="173"/>
  <c r="GI17" i="173"/>
  <c r="GH17" i="173"/>
  <c r="GG17" i="173"/>
  <c r="GF17" i="173"/>
  <c r="GE17" i="173"/>
  <c r="GD17" i="173"/>
  <c r="GC17" i="173"/>
  <c r="GB17" i="173"/>
  <c r="GA17" i="173"/>
  <c r="FZ17" i="173"/>
  <c r="FY17" i="173"/>
  <c r="FX17" i="173"/>
  <c r="FW17" i="173"/>
  <c r="FV17" i="173"/>
  <c r="FU17" i="173"/>
  <c r="FT17" i="173"/>
  <c r="FS17" i="173"/>
  <c r="FR17" i="173"/>
  <c r="FQ17" i="173"/>
  <c r="FP17" i="173"/>
  <c r="FO17" i="173"/>
  <c r="FN17" i="173"/>
  <c r="FM17" i="173"/>
  <c r="FL17" i="173"/>
  <c r="FK17" i="173"/>
  <c r="FJ17" i="173"/>
  <c r="FI17" i="173"/>
  <c r="FH17" i="173"/>
  <c r="FG17" i="173"/>
  <c r="FF17" i="173"/>
  <c r="FE17" i="173"/>
  <c r="FD17" i="173"/>
  <c r="FC17" i="173"/>
  <c r="FB17" i="173"/>
  <c r="FA17" i="173"/>
  <c r="EZ17" i="173"/>
  <c r="EY17" i="173"/>
  <c r="EX17" i="173"/>
  <c r="EW17" i="173"/>
  <c r="EV17" i="173"/>
  <c r="EU17" i="173"/>
  <c r="ET17" i="173"/>
  <c r="ES17" i="173"/>
  <c r="ER17" i="173"/>
  <c r="EQ17" i="173"/>
  <c r="EP17" i="173"/>
  <c r="EO17" i="173"/>
  <c r="EN17" i="173"/>
  <c r="EM17" i="173"/>
  <c r="EL17" i="173"/>
  <c r="EK17" i="173"/>
  <c r="EJ17" i="173"/>
  <c r="EI17" i="173"/>
  <c r="EH17" i="173"/>
  <c r="EG17" i="173"/>
  <c r="EF17" i="173"/>
  <c r="EE17" i="173"/>
  <c r="ED17" i="173"/>
  <c r="EC17" i="173"/>
  <c r="EB17" i="173"/>
  <c r="EA17" i="173"/>
  <c r="DZ17" i="173"/>
  <c r="DY17" i="173"/>
  <c r="DX17" i="173"/>
  <c r="DW17" i="173"/>
  <c r="DV17" i="173"/>
  <c r="DU17" i="173"/>
  <c r="DT17" i="173"/>
  <c r="DS17" i="173"/>
  <c r="DR17" i="173"/>
  <c r="DQ17" i="173"/>
  <c r="DP17" i="173"/>
  <c r="DO17" i="173"/>
  <c r="DN17" i="173"/>
  <c r="DM17" i="173"/>
  <c r="DL17" i="173"/>
  <c r="DK17" i="173"/>
  <c r="DJ17" i="173"/>
  <c r="DI17" i="173"/>
  <c r="DH17" i="173"/>
  <c r="DG17" i="173"/>
  <c r="DF17" i="173"/>
  <c r="DE17" i="173"/>
  <c r="DD17" i="173"/>
  <c r="DC17" i="173"/>
  <c r="DB17" i="173"/>
  <c r="DA17" i="173"/>
  <c r="CZ17" i="173"/>
  <c r="CY17" i="173"/>
  <c r="CX17" i="173"/>
  <c r="CW17" i="173"/>
  <c r="CV17" i="173"/>
  <c r="CU17" i="173"/>
  <c r="CT17" i="173"/>
  <c r="CS17" i="173"/>
  <c r="CR17" i="173"/>
  <c r="CQ17" i="173"/>
  <c r="CP17" i="173"/>
  <c r="CO17" i="173"/>
  <c r="CN17" i="173"/>
  <c r="CM17" i="173"/>
  <c r="CL17" i="173"/>
  <c r="CK17" i="173"/>
  <c r="CJ17" i="173"/>
  <c r="CI17" i="173"/>
  <c r="CH17" i="173"/>
  <c r="CG17" i="173"/>
  <c r="CF17" i="173"/>
  <c r="CE17" i="173"/>
  <c r="CD17" i="173"/>
  <c r="CC17" i="173"/>
  <c r="CB17" i="173"/>
  <c r="CA17" i="173"/>
  <c r="BZ17" i="173"/>
  <c r="BY17" i="173"/>
  <c r="BX17" i="173"/>
  <c r="BW17" i="173"/>
  <c r="BV17" i="173"/>
  <c r="BU17" i="173"/>
  <c r="BT17" i="173"/>
  <c r="BS17" i="173"/>
  <c r="BR17" i="173"/>
  <c r="BQ17" i="173"/>
  <c r="BP17" i="173"/>
  <c r="BO17" i="173"/>
  <c r="BN17" i="173"/>
  <c r="BM17" i="173"/>
  <c r="BL17" i="173"/>
  <c r="BK17" i="173"/>
  <c r="BJ17" i="173"/>
  <c r="BI17" i="173"/>
  <c r="BH17" i="173"/>
  <c r="BG17" i="173"/>
  <c r="BF17" i="173"/>
  <c r="BE17" i="173"/>
  <c r="BD17" i="173"/>
  <c r="BC17" i="173"/>
  <c r="BB17" i="173"/>
  <c r="BA17" i="173"/>
  <c r="AZ17" i="173"/>
  <c r="AY17" i="173"/>
  <c r="AX17" i="173"/>
  <c r="AW17" i="173"/>
  <c r="AV17" i="173"/>
  <c r="AU17" i="173"/>
  <c r="AT17" i="173"/>
  <c r="AS17" i="173"/>
  <c r="AR17" i="173"/>
  <c r="AQ17" i="173"/>
  <c r="AP17" i="173"/>
  <c r="AO17" i="173"/>
  <c r="AN17" i="173"/>
  <c r="AM17" i="173"/>
  <c r="AL17" i="173"/>
  <c r="AK17" i="173"/>
  <c r="AJ17" i="173"/>
  <c r="AI17" i="173"/>
  <c r="AH17" i="173"/>
  <c r="AG17" i="173"/>
  <c r="AF17" i="173"/>
  <c r="AE17" i="173"/>
  <c r="AD17" i="173"/>
  <c r="AC17" i="173"/>
  <c r="AB17" i="173"/>
  <c r="AA17" i="173"/>
  <c r="Z17" i="173"/>
  <c r="Y17" i="173"/>
  <c r="X17" i="173"/>
  <c r="W17" i="173"/>
  <c r="V17" i="173"/>
  <c r="U17" i="173"/>
  <c r="T17" i="173"/>
  <c r="S17" i="173"/>
  <c r="R17" i="173"/>
  <c r="Q17" i="173"/>
  <c r="P17" i="173"/>
  <c r="O17" i="173"/>
  <c r="N17" i="173"/>
  <c r="M17" i="173"/>
  <c r="L17" i="173"/>
  <c r="K17" i="173"/>
  <c r="J17" i="173"/>
  <c r="I17" i="173"/>
  <c r="H17" i="173"/>
  <c r="G17" i="173"/>
  <c r="F17" i="173"/>
  <c r="D17" i="173"/>
  <c r="AAV16" i="173"/>
  <c r="AAU16" i="173"/>
  <c r="AAT16" i="173"/>
  <c r="AAS16" i="173"/>
  <c r="AAR16" i="173"/>
  <c r="AAQ16" i="173"/>
  <c r="AAP16" i="173"/>
  <c r="AAO16" i="173"/>
  <c r="AAN16" i="173"/>
  <c r="AAM16" i="173"/>
  <c r="AAL16" i="173"/>
  <c r="AAK16" i="173"/>
  <c r="AAJ16" i="173"/>
  <c r="AAI16" i="173"/>
  <c r="AAH16" i="173"/>
  <c r="AAG16" i="173"/>
  <c r="AAF16" i="173"/>
  <c r="AAE16" i="173"/>
  <c r="AAD16" i="173"/>
  <c r="AAC16" i="173"/>
  <c r="AAB16" i="173"/>
  <c r="AAA16" i="173"/>
  <c r="ZZ16" i="173"/>
  <c r="ZY16" i="173"/>
  <c r="ZX16" i="173"/>
  <c r="ZW16" i="173"/>
  <c r="ZV16" i="173"/>
  <c r="ZU16" i="173"/>
  <c r="ZT16" i="173"/>
  <c r="ZS16" i="173"/>
  <c r="ZR16" i="173"/>
  <c r="ZQ16" i="173"/>
  <c r="ZP16" i="173"/>
  <c r="ZO16" i="173"/>
  <c r="ZN16" i="173"/>
  <c r="ZM16" i="173"/>
  <c r="ZL16" i="173"/>
  <c r="ZK16" i="173"/>
  <c r="ZJ16" i="173"/>
  <c r="ZI16" i="173"/>
  <c r="ZH16" i="173"/>
  <c r="ZG16" i="173"/>
  <c r="ZF16" i="173"/>
  <c r="ZE16" i="173"/>
  <c r="ZD16" i="173"/>
  <c r="ZC16" i="173"/>
  <c r="ZB16" i="173"/>
  <c r="ZA16" i="173"/>
  <c r="YZ16" i="173"/>
  <c r="YY16" i="173"/>
  <c r="YX16" i="173"/>
  <c r="YW16" i="173"/>
  <c r="YV16" i="173"/>
  <c r="YU16" i="173"/>
  <c r="YT16" i="173"/>
  <c r="YS16" i="173"/>
  <c r="YR16" i="173"/>
  <c r="YQ16" i="173"/>
  <c r="YP16" i="173"/>
  <c r="YO16" i="173"/>
  <c r="YN16" i="173"/>
  <c r="YM16" i="173"/>
  <c r="YL16" i="173"/>
  <c r="YK16" i="173"/>
  <c r="YJ16" i="173"/>
  <c r="YI16" i="173"/>
  <c r="YH16" i="173"/>
  <c r="YG16" i="173"/>
  <c r="YF16" i="173"/>
  <c r="YE16" i="173"/>
  <c r="YD16" i="173"/>
  <c r="YC16" i="173"/>
  <c r="YB16" i="173"/>
  <c r="YA16" i="173"/>
  <c r="XZ16" i="173"/>
  <c r="XY16" i="173"/>
  <c r="XX16" i="173"/>
  <c r="XW16" i="173"/>
  <c r="XV16" i="173"/>
  <c r="XU16" i="173"/>
  <c r="XT16" i="173"/>
  <c r="XS16" i="173"/>
  <c r="XR16" i="173"/>
  <c r="XQ16" i="173"/>
  <c r="XP16" i="173"/>
  <c r="XO16" i="173"/>
  <c r="XN16" i="173"/>
  <c r="XM16" i="173"/>
  <c r="XL16" i="173"/>
  <c r="XK16" i="173"/>
  <c r="XJ16" i="173"/>
  <c r="XI16" i="173"/>
  <c r="XH16" i="173"/>
  <c r="XG16" i="173"/>
  <c r="XF16" i="173"/>
  <c r="XE16" i="173"/>
  <c r="XD16" i="173"/>
  <c r="XC16" i="173"/>
  <c r="XB16" i="173"/>
  <c r="XA16" i="173"/>
  <c r="WZ16" i="173"/>
  <c r="WY16" i="173"/>
  <c r="WX16" i="173"/>
  <c r="WW16" i="173"/>
  <c r="WV16" i="173"/>
  <c r="WU16" i="173"/>
  <c r="WT16" i="173"/>
  <c r="WS16" i="173"/>
  <c r="WR16" i="173"/>
  <c r="WQ16" i="173"/>
  <c r="WP16" i="173"/>
  <c r="WO16" i="173"/>
  <c r="WN16" i="173"/>
  <c r="WM16" i="173"/>
  <c r="WL16" i="173"/>
  <c r="WK16" i="173"/>
  <c r="WJ16" i="173"/>
  <c r="WI16" i="173"/>
  <c r="WH16" i="173"/>
  <c r="WG16" i="173"/>
  <c r="WF16" i="173"/>
  <c r="WE16" i="173"/>
  <c r="WD16" i="173"/>
  <c r="WC16" i="173"/>
  <c r="WB16" i="173"/>
  <c r="WA16" i="173"/>
  <c r="VZ16" i="173"/>
  <c r="VY16" i="173"/>
  <c r="VX16" i="173"/>
  <c r="VW16" i="173"/>
  <c r="VV16" i="173"/>
  <c r="VU16" i="173"/>
  <c r="VT16" i="173"/>
  <c r="VS16" i="173"/>
  <c r="VR16" i="173"/>
  <c r="VQ16" i="173"/>
  <c r="VP16" i="173"/>
  <c r="VO16" i="173"/>
  <c r="VN16" i="173"/>
  <c r="VM16" i="173"/>
  <c r="VL16" i="173"/>
  <c r="VK16" i="173"/>
  <c r="VJ16" i="173"/>
  <c r="VI16" i="173"/>
  <c r="VH16" i="173"/>
  <c r="VG16" i="173"/>
  <c r="VF16" i="173"/>
  <c r="VE16" i="173"/>
  <c r="VD16" i="173"/>
  <c r="VC16" i="173"/>
  <c r="VB16" i="173"/>
  <c r="VA16" i="173"/>
  <c r="UZ16" i="173"/>
  <c r="UY16" i="173"/>
  <c r="UX16" i="173"/>
  <c r="UW16" i="173"/>
  <c r="UV16" i="173"/>
  <c r="UU16" i="173"/>
  <c r="UT16" i="173"/>
  <c r="US16" i="173"/>
  <c r="UR16" i="173"/>
  <c r="UQ16" i="173"/>
  <c r="UP16" i="173"/>
  <c r="UO16" i="173"/>
  <c r="UN16" i="173"/>
  <c r="UM16" i="173"/>
  <c r="UL16" i="173"/>
  <c r="UK16" i="173"/>
  <c r="UJ16" i="173"/>
  <c r="UI16" i="173"/>
  <c r="UH16" i="173"/>
  <c r="UG16" i="173"/>
  <c r="UF16" i="173"/>
  <c r="UE16" i="173"/>
  <c r="UD16" i="173"/>
  <c r="UC16" i="173"/>
  <c r="UB16" i="173"/>
  <c r="UA16" i="173"/>
  <c r="TZ16" i="173"/>
  <c r="TY16" i="173"/>
  <c r="TX16" i="173"/>
  <c r="TW16" i="173"/>
  <c r="TV16" i="173"/>
  <c r="TU16" i="173"/>
  <c r="TT16" i="173"/>
  <c r="TS16" i="173"/>
  <c r="TR16" i="173"/>
  <c r="TQ16" i="173"/>
  <c r="TP16" i="173"/>
  <c r="TO16" i="173"/>
  <c r="TN16" i="173"/>
  <c r="TM16" i="173"/>
  <c r="TL16" i="173"/>
  <c r="TK16" i="173"/>
  <c r="TJ16" i="173"/>
  <c r="TI16" i="173"/>
  <c r="TH16" i="173"/>
  <c r="TG16" i="173"/>
  <c r="TF16" i="173"/>
  <c r="TE16" i="173"/>
  <c r="TD16" i="173"/>
  <c r="TC16" i="173"/>
  <c r="TB16" i="173"/>
  <c r="TA16" i="173"/>
  <c r="SZ16" i="173"/>
  <c r="SY16" i="173"/>
  <c r="SX16" i="173"/>
  <c r="SW16" i="173"/>
  <c r="SV16" i="173"/>
  <c r="SU16" i="173"/>
  <c r="ST16" i="173"/>
  <c r="SS16" i="173"/>
  <c r="SR16" i="173"/>
  <c r="SQ16" i="173"/>
  <c r="SP16" i="173"/>
  <c r="SO16" i="173"/>
  <c r="SN16" i="173"/>
  <c r="SM16" i="173"/>
  <c r="SL16" i="173"/>
  <c r="SK16" i="173"/>
  <c r="SJ16" i="173"/>
  <c r="SI16" i="173"/>
  <c r="SH16" i="173"/>
  <c r="SG16" i="173"/>
  <c r="SF16" i="173"/>
  <c r="SE16" i="173"/>
  <c r="SD16" i="173"/>
  <c r="SC16" i="173"/>
  <c r="SB16" i="173"/>
  <c r="SA16" i="173"/>
  <c r="RZ16" i="173"/>
  <c r="RY16" i="173"/>
  <c r="RX16" i="173"/>
  <c r="RW16" i="173"/>
  <c r="RV16" i="173"/>
  <c r="RU16" i="173"/>
  <c r="RT16" i="173"/>
  <c r="RS16" i="173"/>
  <c r="RR16" i="173"/>
  <c r="RQ16" i="173"/>
  <c r="RP16" i="173"/>
  <c r="RO16" i="173"/>
  <c r="RN16" i="173"/>
  <c r="RM16" i="173"/>
  <c r="RL16" i="173"/>
  <c r="RK16" i="173"/>
  <c r="RJ16" i="173"/>
  <c r="RI16" i="173"/>
  <c r="RH16" i="173"/>
  <c r="RG16" i="173"/>
  <c r="RF16" i="173"/>
  <c r="RE16" i="173"/>
  <c r="RD16" i="173"/>
  <c r="RC16" i="173"/>
  <c r="RB16" i="173"/>
  <c r="RA16" i="173"/>
  <c r="QZ16" i="173"/>
  <c r="QY16" i="173"/>
  <c r="QX16" i="173"/>
  <c r="QW16" i="173"/>
  <c r="QV16" i="173"/>
  <c r="QU16" i="173"/>
  <c r="QT16" i="173"/>
  <c r="QS16" i="173"/>
  <c r="QR16" i="173"/>
  <c r="QQ16" i="173"/>
  <c r="QP16" i="173"/>
  <c r="QO16" i="173"/>
  <c r="QN16" i="173"/>
  <c r="QM16" i="173"/>
  <c r="QL16" i="173"/>
  <c r="QK16" i="173"/>
  <c r="QJ16" i="173"/>
  <c r="QI16" i="173"/>
  <c r="QH16" i="173"/>
  <c r="QG16" i="173"/>
  <c r="QF16" i="173"/>
  <c r="QE16" i="173"/>
  <c r="QD16" i="173"/>
  <c r="QC16" i="173"/>
  <c r="QB16" i="173"/>
  <c r="QA16" i="173"/>
  <c r="PZ16" i="173"/>
  <c r="PY16" i="173"/>
  <c r="PX16" i="173"/>
  <c r="PW16" i="173"/>
  <c r="PV16" i="173"/>
  <c r="PU16" i="173"/>
  <c r="PT16" i="173"/>
  <c r="PS16" i="173"/>
  <c r="PR16" i="173"/>
  <c r="PQ16" i="173"/>
  <c r="PP16" i="173"/>
  <c r="PO16" i="173"/>
  <c r="PN16" i="173"/>
  <c r="PM16" i="173"/>
  <c r="PL16" i="173"/>
  <c r="PK16" i="173"/>
  <c r="PJ16" i="173"/>
  <c r="PI16" i="173"/>
  <c r="PH16" i="173"/>
  <c r="PG16" i="173"/>
  <c r="PF16" i="173"/>
  <c r="PE16" i="173"/>
  <c r="PD16" i="173"/>
  <c r="PC16" i="173"/>
  <c r="PB16" i="173"/>
  <c r="PA16" i="173"/>
  <c r="OZ16" i="173"/>
  <c r="OY16" i="173"/>
  <c r="OX16" i="173"/>
  <c r="OW16" i="173"/>
  <c r="OV16" i="173"/>
  <c r="OU16" i="173"/>
  <c r="OT16" i="173"/>
  <c r="OS16" i="173"/>
  <c r="OR16" i="173"/>
  <c r="OQ16" i="173"/>
  <c r="OP16" i="173"/>
  <c r="OO16" i="173"/>
  <c r="ON16" i="173"/>
  <c r="OM16" i="173"/>
  <c r="OL16" i="173"/>
  <c r="OK16" i="173"/>
  <c r="OJ16" i="173"/>
  <c r="OI16" i="173"/>
  <c r="OH16" i="173"/>
  <c r="OG16" i="173"/>
  <c r="OF16" i="173"/>
  <c r="OE16" i="173"/>
  <c r="OD16" i="173"/>
  <c r="OC16" i="173"/>
  <c r="OB16" i="173"/>
  <c r="OA16" i="173"/>
  <c r="NZ16" i="173"/>
  <c r="NY16" i="173"/>
  <c r="NX16" i="173"/>
  <c r="NW16" i="173"/>
  <c r="NV16" i="173"/>
  <c r="NU16" i="173"/>
  <c r="NT16" i="173"/>
  <c r="NS16" i="173"/>
  <c r="NR16" i="173"/>
  <c r="NQ16" i="173"/>
  <c r="NP16" i="173"/>
  <c r="NO16" i="173"/>
  <c r="NN16" i="173"/>
  <c r="NM16" i="173"/>
  <c r="NL16" i="173"/>
  <c r="NK16" i="173"/>
  <c r="NJ16" i="173"/>
  <c r="NI16" i="173"/>
  <c r="NH16" i="173"/>
  <c r="NG16" i="173"/>
  <c r="NF16" i="173"/>
  <c r="NE16" i="173"/>
  <c r="ND16" i="173"/>
  <c r="NC16" i="173"/>
  <c r="NB16" i="173"/>
  <c r="NA16" i="173"/>
  <c r="MZ16" i="173"/>
  <c r="MY16" i="173"/>
  <c r="MX16" i="173"/>
  <c r="MW16" i="173"/>
  <c r="MV16" i="173"/>
  <c r="MU16" i="173"/>
  <c r="MT16" i="173"/>
  <c r="MS16" i="173"/>
  <c r="MR16" i="173"/>
  <c r="MQ16" i="173"/>
  <c r="MP16" i="173"/>
  <c r="MO16" i="173"/>
  <c r="MN16" i="173"/>
  <c r="MM16" i="173"/>
  <c r="ML16" i="173"/>
  <c r="MK16" i="173"/>
  <c r="MJ16" i="173"/>
  <c r="MI16" i="173"/>
  <c r="MH16" i="173"/>
  <c r="MG16" i="173"/>
  <c r="MF16" i="173"/>
  <c r="ME16" i="173"/>
  <c r="MD16" i="173"/>
  <c r="MC16" i="173"/>
  <c r="MB16" i="173"/>
  <c r="MA16" i="173"/>
  <c r="LZ16" i="173"/>
  <c r="LY16" i="173"/>
  <c r="LX16" i="173"/>
  <c r="LW16" i="173"/>
  <c r="LV16" i="173"/>
  <c r="LU16" i="173"/>
  <c r="LT16" i="173"/>
  <c r="LS16" i="173"/>
  <c r="LR16" i="173"/>
  <c r="LQ16" i="173"/>
  <c r="LP16" i="173"/>
  <c r="LO16" i="173"/>
  <c r="LN16" i="173"/>
  <c r="LM16" i="173"/>
  <c r="LL16" i="173"/>
  <c r="LK16" i="173"/>
  <c r="LJ16" i="173"/>
  <c r="LI16" i="173"/>
  <c r="LH16" i="173"/>
  <c r="LG16" i="173"/>
  <c r="LF16" i="173"/>
  <c r="LE16" i="173"/>
  <c r="LD16" i="173"/>
  <c r="LC16" i="173"/>
  <c r="LB16" i="173"/>
  <c r="LA16" i="173"/>
  <c r="KZ16" i="173"/>
  <c r="KY16" i="173"/>
  <c r="KX16" i="173"/>
  <c r="KW16" i="173"/>
  <c r="KV16" i="173"/>
  <c r="KU16" i="173"/>
  <c r="KT16" i="173"/>
  <c r="KS16" i="173"/>
  <c r="KR16" i="173"/>
  <c r="KQ16" i="173"/>
  <c r="KP16" i="173"/>
  <c r="KO16" i="173"/>
  <c r="KN16" i="173"/>
  <c r="KM16" i="173"/>
  <c r="KL16" i="173"/>
  <c r="KK16" i="173"/>
  <c r="KJ16" i="173"/>
  <c r="KI16" i="173"/>
  <c r="KH16" i="173"/>
  <c r="KG16" i="173"/>
  <c r="KF16" i="173"/>
  <c r="KE16" i="173"/>
  <c r="KD16" i="173"/>
  <c r="KC16" i="173"/>
  <c r="KB16" i="173"/>
  <c r="KA16" i="173"/>
  <c r="JZ16" i="173"/>
  <c r="JY16" i="173"/>
  <c r="JX16" i="173"/>
  <c r="JW16" i="173"/>
  <c r="JV16" i="173"/>
  <c r="JU16" i="173"/>
  <c r="JT16" i="173"/>
  <c r="JS16" i="173"/>
  <c r="JR16" i="173"/>
  <c r="JQ16" i="173"/>
  <c r="JP16" i="173"/>
  <c r="JO16" i="173"/>
  <c r="JN16" i="173"/>
  <c r="JM16" i="173"/>
  <c r="JL16" i="173"/>
  <c r="JK16" i="173"/>
  <c r="JJ16" i="173"/>
  <c r="JI16" i="173"/>
  <c r="JH16" i="173"/>
  <c r="JG16" i="173"/>
  <c r="JF16" i="173"/>
  <c r="JE16" i="173"/>
  <c r="JD16" i="173"/>
  <c r="JC16" i="173"/>
  <c r="JB16" i="173"/>
  <c r="JA16" i="173"/>
  <c r="IZ16" i="173"/>
  <c r="IY16" i="173"/>
  <c r="IX16" i="173"/>
  <c r="IW16" i="173"/>
  <c r="IV16" i="173"/>
  <c r="IU16" i="173"/>
  <c r="IT16" i="173"/>
  <c r="IS16" i="173"/>
  <c r="IR16" i="173"/>
  <c r="IQ16" i="173"/>
  <c r="IP16" i="173"/>
  <c r="IO16" i="173"/>
  <c r="IN16" i="173"/>
  <c r="IM16" i="173"/>
  <c r="IL16" i="173"/>
  <c r="IK16" i="173"/>
  <c r="IJ16" i="173"/>
  <c r="II16" i="173"/>
  <c r="IH16" i="173"/>
  <c r="IG16" i="173"/>
  <c r="IF16" i="173"/>
  <c r="IE16" i="173"/>
  <c r="ID16" i="173"/>
  <c r="IC16" i="173"/>
  <c r="IB16" i="173"/>
  <c r="IA16" i="173"/>
  <c r="HZ16" i="173"/>
  <c r="HY16" i="173"/>
  <c r="HX16" i="173"/>
  <c r="HW16" i="173"/>
  <c r="HV16" i="173"/>
  <c r="HU16" i="173"/>
  <c r="HT16" i="173"/>
  <c r="HS16" i="173"/>
  <c r="HR16" i="173"/>
  <c r="HQ16" i="173"/>
  <c r="HP16" i="173"/>
  <c r="HO16" i="173"/>
  <c r="HN16" i="173"/>
  <c r="HM16" i="173"/>
  <c r="HL16" i="173"/>
  <c r="HK16" i="173"/>
  <c r="HJ16" i="173"/>
  <c r="HI16" i="173"/>
  <c r="HH16" i="173"/>
  <c r="HG16" i="173"/>
  <c r="HF16" i="173"/>
  <c r="HE16" i="173"/>
  <c r="HD16" i="173"/>
  <c r="HC16" i="173"/>
  <c r="HB16" i="173"/>
  <c r="HA16" i="173"/>
  <c r="GZ16" i="173"/>
  <c r="GY16" i="173"/>
  <c r="GX16" i="173"/>
  <c r="GW16" i="173"/>
  <c r="GV16" i="173"/>
  <c r="GU16" i="173"/>
  <c r="GT16" i="173"/>
  <c r="GS16" i="173"/>
  <c r="GR16" i="173"/>
  <c r="GQ16" i="173"/>
  <c r="GP16" i="173"/>
  <c r="GO16" i="173"/>
  <c r="GN16" i="173"/>
  <c r="GM16" i="173"/>
  <c r="GL16" i="173"/>
  <c r="GK16" i="173"/>
  <c r="GJ16" i="173"/>
  <c r="GI16" i="173"/>
  <c r="GH16" i="173"/>
  <c r="GG16" i="173"/>
  <c r="GF16" i="173"/>
  <c r="GE16" i="173"/>
  <c r="GD16" i="173"/>
  <c r="GC16" i="173"/>
  <c r="GB16" i="173"/>
  <c r="GA16" i="173"/>
  <c r="FZ16" i="173"/>
  <c r="FY16" i="173"/>
  <c r="FX16" i="173"/>
  <c r="FW16" i="173"/>
  <c r="FV16" i="173"/>
  <c r="FU16" i="173"/>
  <c r="FT16" i="173"/>
  <c r="FS16" i="173"/>
  <c r="FR16" i="173"/>
  <c r="FQ16" i="173"/>
  <c r="FP16" i="173"/>
  <c r="FO16" i="173"/>
  <c r="FN16" i="173"/>
  <c r="FM16" i="173"/>
  <c r="FL16" i="173"/>
  <c r="FK16" i="173"/>
  <c r="FJ16" i="173"/>
  <c r="FI16" i="173"/>
  <c r="FH16" i="173"/>
  <c r="FG16" i="173"/>
  <c r="FF16" i="173"/>
  <c r="FE16" i="173"/>
  <c r="FD16" i="173"/>
  <c r="FC16" i="173"/>
  <c r="FB16" i="173"/>
  <c r="FA16" i="173"/>
  <c r="EZ16" i="173"/>
  <c r="EY16" i="173"/>
  <c r="EX16" i="173"/>
  <c r="EW16" i="173"/>
  <c r="EV16" i="173"/>
  <c r="EU16" i="173"/>
  <c r="ET16" i="173"/>
  <c r="ES16" i="173"/>
  <c r="ER16" i="173"/>
  <c r="EQ16" i="173"/>
  <c r="EP16" i="173"/>
  <c r="EO16" i="173"/>
  <c r="EN16" i="173"/>
  <c r="EM16" i="173"/>
  <c r="EL16" i="173"/>
  <c r="EK16" i="173"/>
  <c r="EJ16" i="173"/>
  <c r="EI16" i="173"/>
  <c r="EH16" i="173"/>
  <c r="EG16" i="173"/>
  <c r="EF16" i="173"/>
  <c r="EE16" i="173"/>
  <c r="ED16" i="173"/>
  <c r="EC16" i="173"/>
  <c r="EB16" i="173"/>
  <c r="EA16" i="173"/>
  <c r="DZ16" i="173"/>
  <c r="DY16" i="173"/>
  <c r="DX16" i="173"/>
  <c r="DW16" i="173"/>
  <c r="DV16" i="173"/>
  <c r="DU16" i="173"/>
  <c r="DT16" i="173"/>
  <c r="DS16" i="173"/>
  <c r="DR16" i="173"/>
  <c r="DQ16" i="173"/>
  <c r="DP16" i="173"/>
  <c r="DO16" i="173"/>
  <c r="DN16" i="173"/>
  <c r="DM16" i="173"/>
  <c r="DL16" i="173"/>
  <c r="DK16" i="173"/>
  <c r="DJ16" i="173"/>
  <c r="DI16" i="173"/>
  <c r="DH16" i="173"/>
  <c r="DG16" i="173"/>
  <c r="DF16" i="173"/>
  <c r="DE16" i="173"/>
  <c r="DD16" i="173"/>
  <c r="DC16" i="173"/>
  <c r="DB16" i="173"/>
  <c r="DA16" i="173"/>
  <c r="CZ16" i="173"/>
  <c r="CY16" i="173"/>
  <c r="CX16" i="173"/>
  <c r="CW16" i="173"/>
  <c r="CV16" i="173"/>
  <c r="CU16" i="173"/>
  <c r="CT16" i="173"/>
  <c r="CS16" i="173"/>
  <c r="CR16" i="173"/>
  <c r="CQ16" i="173"/>
  <c r="CP16" i="173"/>
  <c r="CO16" i="173"/>
  <c r="CN16" i="173"/>
  <c r="CM16" i="173"/>
  <c r="CL16" i="173"/>
  <c r="CK16" i="173"/>
  <c r="CJ16" i="173"/>
  <c r="CI16" i="173"/>
  <c r="CH16" i="173"/>
  <c r="CG16" i="173"/>
  <c r="CF16" i="173"/>
  <c r="CE16" i="173"/>
  <c r="CD16" i="173"/>
  <c r="CC16" i="173"/>
  <c r="CB16" i="173"/>
  <c r="CA16" i="173"/>
  <c r="BZ16" i="173"/>
  <c r="BY16" i="173"/>
  <c r="BX16" i="173"/>
  <c r="BW16" i="173"/>
  <c r="BV16" i="173"/>
  <c r="BU16" i="173"/>
  <c r="BT16" i="173"/>
  <c r="BS16" i="173"/>
  <c r="BR16" i="173"/>
  <c r="BQ16" i="173"/>
  <c r="BP16" i="173"/>
  <c r="BO16" i="173"/>
  <c r="BN16" i="173"/>
  <c r="BM16" i="173"/>
  <c r="BL16" i="173"/>
  <c r="BK16" i="173"/>
  <c r="BJ16" i="173"/>
  <c r="BI16" i="173"/>
  <c r="BH16" i="173"/>
  <c r="BG16" i="173"/>
  <c r="BF16" i="173"/>
  <c r="BE16" i="173"/>
  <c r="BD16" i="173"/>
  <c r="BC16" i="173"/>
  <c r="BB16" i="173"/>
  <c r="BA16" i="173"/>
  <c r="AZ16" i="173"/>
  <c r="AY16" i="173"/>
  <c r="AX16" i="173"/>
  <c r="AW16" i="173"/>
  <c r="AV16" i="173"/>
  <c r="AU16" i="173"/>
  <c r="AT16" i="173"/>
  <c r="AS16" i="173"/>
  <c r="AR16" i="173"/>
  <c r="AQ16" i="173"/>
  <c r="AP16" i="173"/>
  <c r="AO16" i="173"/>
  <c r="AN16" i="173"/>
  <c r="AM16" i="173"/>
  <c r="AL16" i="173"/>
  <c r="AK16" i="173"/>
  <c r="AJ16" i="173"/>
  <c r="AI16" i="173"/>
  <c r="AH16" i="173"/>
  <c r="AG16" i="173"/>
  <c r="AF16" i="173"/>
  <c r="AE16" i="173"/>
  <c r="AD16" i="173"/>
  <c r="AC16" i="173"/>
  <c r="AB16" i="173"/>
  <c r="AA16" i="173"/>
  <c r="Z16" i="173"/>
  <c r="Y16" i="173"/>
  <c r="X16" i="173"/>
  <c r="W16" i="173"/>
  <c r="V16" i="173"/>
  <c r="U16" i="173"/>
  <c r="T16" i="173"/>
  <c r="S16" i="173"/>
  <c r="R16" i="173"/>
  <c r="Q16" i="173"/>
  <c r="P16" i="173"/>
  <c r="O16" i="173"/>
  <c r="N16" i="173"/>
  <c r="M16" i="173"/>
  <c r="L16" i="173"/>
  <c r="K16" i="173"/>
  <c r="J16" i="173"/>
  <c r="I16" i="173"/>
  <c r="H16" i="173"/>
  <c r="G16" i="173"/>
  <c r="F16" i="173"/>
  <c r="D16" i="173"/>
  <c r="AAV15" i="173"/>
  <c r="AAU15" i="173"/>
  <c r="AAT15" i="173"/>
  <c r="AAS15" i="173"/>
  <c r="AAR15" i="173"/>
  <c r="AAQ15" i="173"/>
  <c r="AAP15" i="173"/>
  <c r="AAO15" i="173"/>
  <c r="AAN15" i="173"/>
  <c r="AAM15" i="173"/>
  <c r="AAL15" i="173"/>
  <c r="AAK15" i="173"/>
  <c r="AAJ15" i="173"/>
  <c r="AAI15" i="173"/>
  <c r="AAH15" i="173"/>
  <c r="AAG15" i="173"/>
  <c r="AAF15" i="173"/>
  <c r="AAE15" i="173"/>
  <c r="AAD15" i="173"/>
  <c r="AAC15" i="173"/>
  <c r="AAB15" i="173"/>
  <c r="AAA15" i="173"/>
  <c r="ZZ15" i="173"/>
  <c r="ZY15" i="173"/>
  <c r="ZX15" i="173"/>
  <c r="ZW15" i="173"/>
  <c r="ZV15" i="173"/>
  <c r="ZU15" i="173"/>
  <c r="ZT15" i="173"/>
  <c r="ZS15" i="173"/>
  <c r="ZR15" i="173"/>
  <c r="ZQ15" i="173"/>
  <c r="ZP15" i="173"/>
  <c r="ZO15" i="173"/>
  <c r="ZN15" i="173"/>
  <c r="ZM15" i="173"/>
  <c r="ZL15" i="173"/>
  <c r="ZK15" i="173"/>
  <c r="ZJ15" i="173"/>
  <c r="ZI15" i="173"/>
  <c r="ZH15" i="173"/>
  <c r="ZG15" i="173"/>
  <c r="ZF15" i="173"/>
  <c r="ZE15" i="173"/>
  <c r="ZD15" i="173"/>
  <c r="ZC15" i="173"/>
  <c r="ZB15" i="173"/>
  <c r="ZA15" i="173"/>
  <c r="YZ15" i="173"/>
  <c r="YY15" i="173"/>
  <c r="YX15" i="173"/>
  <c r="YW15" i="173"/>
  <c r="YV15" i="173"/>
  <c r="YU15" i="173"/>
  <c r="YT15" i="173"/>
  <c r="YS15" i="173"/>
  <c r="YR15" i="173"/>
  <c r="YQ15" i="173"/>
  <c r="YP15" i="173"/>
  <c r="YO15" i="173"/>
  <c r="YN15" i="173"/>
  <c r="YM15" i="173"/>
  <c r="YL15" i="173"/>
  <c r="YK15" i="173"/>
  <c r="YJ15" i="173"/>
  <c r="YI15" i="173"/>
  <c r="YH15" i="173"/>
  <c r="YG15" i="173"/>
  <c r="YF15" i="173"/>
  <c r="YE15" i="173"/>
  <c r="YD15" i="173"/>
  <c r="YC15" i="173"/>
  <c r="YB15" i="173"/>
  <c r="YA15" i="173"/>
  <c r="XZ15" i="173"/>
  <c r="XY15" i="173"/>
  <c r="XX15" i="173"/>
  <c r="XW15" i="173"/>
  <c r="XV15" i="173"/>
  <c r="XU15" i="173"/>
  <c r="XT15" i="173"/>
  <c r="XS15" i="173"/>
  <c r="XR15" i="173"/>
  <c r="XQ15" i="173"/>
  <c r="XP15" i="173"/>
  <c r="XO15" i="173"/>
  <c r="XN15" i="173"/>
  <c r="XM15" i="173"/>
  <c r="XL15" i="173"/>
  <c r="XK15" i="173"/>
  <c r="XJ15" i="173"/>
  <c r="XI15" i="173"/>
  <c r="XH15" i="173"/>
  <c r="XG15" i="173"/>
  <c r="XF15" i="173"/>
  <c r="XE15" i="173"/>
  <c r="XD15" i="173"/>
  <c r="XC15" i="173"/>
  <c r="XB15" i="173"/>
  <c r="XA15" i="173"/>
  <c r="WZ15" i="173"/>
  <c r="WY15" i="173"/>
  <c r="WX15" i="173"/>
  <c r="WW15" i="173"/>
  <c r="WV15" i="173"/>
  <c r="WU15" i="173"/>
  <c r="WT15" i="173"/>
  <c r="WS15" i="173"/>
  <c r="WR15" i="173"/>
  <c r="WQ15" i="173"/>
  <c r="WP15" i="173"/>
  <c r="WO15" i="173"/>
  <c r="WN15" i="173"/>
  <c r="WM15" i="173"/>
  <c r="WL15" i="173"/>
  <c r="WK15" i="173"/>
  <c r="WJ15" i="173"/>
  <c r="WI15" i="173"/>
  <c r="WH15" i="173"/>
  <c r="WG15" i="173"/>
  <c r="WF15" i="173"/>
  <c r="WE15" i="173"/>
  <c r="WD15" i="173"/>
  <c r="WC15" i="173"/>
  <c r="WB15" i="173"/>
  <c r="WA15" i="173"/>
  <c r="VZ15" i="173"/>
  <c r="VY15" i="173"/>
  <c r="VX15" i="173"/>
  <c r="VW15" i="173"/>
  <c r="VV15" i="173"/>
  <c r="VU15" i="173"/>
  <c r="VT15" i="173"/>
  <c r="VS15" i="173"/>
  <c r="VR15" i="173"/>
  <c r="VQ15" i="173"/>
  <c r="VP15" i="173"/>
  <c r="VO15" i="173"/>
  <c r="VN15" i="173"/>
  <c r="VM15" i="173"/>
  <c r="VL15" i="173"/>
  <c r="VK15" i="173"/>
  <c r="VJ15" i="173"/>
  <c r="VI15" i="173"/>
  <c r="VH15" i="173"/>
  <c r="VG15" i="173"/>
  <c r="VF15" i="173"/>
  <c r="VE15" i="173"/>
  <c r="VD15" i="173"/>
  <c r="VC15" i="173"/>
  <c r="VB15" i="173"/>
  <c r="VA15" i="173"/>
  <c r="UZ15" i="173"/>
  <c r="UY15" i="173"/>
  <c r="UX15" i="173"/>
  <c r="UW15" i="173"/>
  <c r="UV15" i="173"/>
  <c r="UU15" i="173"/>
  <c r="UT15" i="173"/>
  <c r="US15" i="173"/>
  <c r="UR15" i="173"/>
  <c r="UQ15" i="173"/>
  <c r="UP15" i="173"/>
  <c r="UO15" i="173"/>
  <c r="UN15" i="173"/>
  <c r="UM15" i="173"/>
  <c r="UL15" i="173"/>
  <c r="UK15" i="173"/>
  <c r="UJ15" i="173"/>
  <c r="UI15" i="173"/>
  <c r="UH15" i="173"/>
  <c r="UG15" i="173"/>
  <c r="UF15" i="173"/>
  <c r="UE15" i="173"/>
  <c r="UD15" i="173"/>
  <c r="UC15" i="173"/>
  <c r="UB15" i="173"/>
  <c r="UA15" i="173"/>
  <c r="TZ15" i="173"/>
  <c r="TY15" i="173"/>
  <c r="TX15" i="173"/>
  <c r="TW15" i="173"/>
  <c r="TV15" i="173"/>
  <c r="TU15" i="173"/>
  <c r="TT15" i="173"/>
  <c r="TS15" i="173"/>
  <c r="TR15" i="173"/>
  <c r="TQ15" i="173"/>
  <c r="TP15" i="173"/>
  <c r="TO15" i="173"/>
  <c r="TN15" i="173"/>
  <c r="TM15" i="173"/>
  <c r="TL15" i="173"/>
  <c r="TK15" i="173"/>
  <c r="TJ15" i="173"/>
  <c r="TI15" i="173"/>
  <c r="TH15" i="173"/>
  <c r="TG15" i="173"/>
  <c r="TF15" i="173"/>
  <c r="TE15" i="173"/>
  <c r="TD15" i="173"/>
  <c r="TC15" i="173"/>
  <c r="TB15" i="173"/>
  <c r="TA15" i="173"/>
  <c r="SZ15" i="173"/>
  <c r="SY15" i="173"/>
  <c r="SX15" i="173"/>
  <c r="SW15" i="173"/>
  <c r="SV15" i="173"/>
  <c r="SU15" i="173"/>
  <c r="ST15" i="173"/>
  <c r="SS15" i="173"/>
  <c r="SR15" i="173"/>
  <c r="SQ15" i="173"/>
  <c r="SP15" i="173"/>
  <c r="SO15" i="173"/>
  <c r="SN15" i="173"/>
  <c r="SM15" i="173"/>
  <c r="SL15" i="173"/>
  <c r="SK15" i="173"/>
  <c r="SJ15" i="173"/>
  <c r="SI15" i="173"/>
  <c r="SH15" i="173"/>
  <c r="SG15" i="173"/>
  <c r="SF15" i="173"/>
  <c r="SE15" i="173"/>
  <c r="SD15" i="173"/>
  <c r="SC15" i="173"/>
  <c r="SB15" i="173"/>
  <c r="SA15" i="173"/>
  <c r="RZ15" i="173"/>
  <c r="RY15" i="173"/>
  <c r="RX15" i="173"/>
  <c r="RW15" i="173"/>
  <c r="RV15" i="173"/>
  <c r="RU15" i="173"/>
  <c r="RT15" i="173"/>
  <c r="RS15" i="173"/>
  <c r="RR15" i="173"/>
  <c r="RQ15" i="173"/>
  <c r="RP15" i="173"/>
  <c r="RO15" i="173"/>
  <c r="RN15" i="173"/>
  <c r="RM15" i="173"/>
  <c r="RL15" i="173"/>
  <c r="RK15" i="173"/>
  <c r="RJ15" i="173"/>
  <c r="RI15" i="173"/>
  <c r="RH15" i="173"/>
  <c r="RG15" i="173"/>
  <c r="RF15" i="173"/>
  <c r="RE15" i="173"/>
  <c r="RD15" i="173"/>
  <c r="RC15" i="173"/>
  <c r="RB15" i="173"/>
  <c r="RA15" i="173"/>
  <c r="QZ15" i="173"/>
  <c r="QY15" i="173"/>
  <c r="QX15" i="173"/>
  <c r="QW15" i="173"/>
  <c r="QV15" i="173"/>
  <c r="QU15" i="173"/>
  <c r="QT15" i="173"/>
  <c r="QS15" i="173"/>
  <c r="QR15" i="173"/>
  <c r="QQ15" i="173"/>
  <c r="QP15" i="173"/>
  <c r="QO15" i="173"/>
  <c r="QN15" i="173"/>
  <c r="QM15" i="173"/>
  <c r="QL15" i="173"/>
  <c r="QK15" i="173"/>
  <c r="QJ15" i="173"/>
  <c r="QI15" i="173"/>
  <c r="QH15" i="173"/>
  <c r="QG15" i="173"/>
  <c r="QF15" i="173"/>
  <c r="QE15" i="173"/>
  <c r="QD15" i="173"/>
  <c r="QC15" i="173"/>
  <c r="QB15" i="173"/>
  <c r="QA15" i="173"/>
  <c r="PZ15" i="173"/>
  <c r="PY15" i="173"/>
  <c r="PX15" i="173"/>
  <c r="PW15" i="173"/>
  <c r="PV15" i="173"/>
  <c r="PU15" i="173"/>
  <c r="PT15" i="173"/>
  <c r="PS15" i="173"/>
  <c r="PR15" i="173"/>
  <c r="PQ15" i="173"/>
  <c r="PP15" i="173"/>
  <c r="PO15" i="173"/>
  <c r="PN15" i="173"/>
  <c r="PM15" i="173"/>
  <c r="PL15" i="173"/>
  <c r="PK15" i="173"/>
  <c r="PJ15" i="173"/>
  <c r="PI15" i="173"/>
  <c r="PH15" i="173"/>
  <c r="PG15" i="173"/>
  <c r="PF15" i="173"/>
  <c r="PE15" i="173"/>
  <c r="PD15" i="173"/>
  <c r="PC15" i="173"/>
  <c r="PB15" i="173"/>
  <c r="PA15" i="173"/>
  <c r="OZ15" i="173"/>
  <c r="OY15" i="173"/>
  <c r="OX15" i="173"/>
  <c r="OW15" i="173"/>
  <c r="OV15" i="173"/>
  <c r="OU15" i="173"/>
  <c r="OT15" i="173"/>
  <c r="OS15" i="173"/>
  <c r="OR15" i="173"/>
  <c r="OQ15" i="173"/>
  <c r="OP15" i="173"/>
  <c r="OO15" i="173"/>
  <c r="ON15" i="173"/>
  <c r="OM15" i="173"/>
  <c r="OL15" i="173"/>
  <c r="OK15" i="173"/>
  <c r="OJ15" i="173"/>
  <c r="OI15" i="173"/>
  <c r="OH15" i="173"/>
  <c r="OG15" i="173"/>
  <c r="OF15" i="173"/>
  <c r="OE15" i="173"/>
  <c r="OD15" i="173"/>
  <c r="OC15" i="173"/>
  <c r="OB15" i="173"/>
  <c r="OA15" i="173"/>
  <c r="NZ15" i="173"/>
  <c r="NY15" i="173"/>
  <c r="NX15" i="173"/>
  <c r="NW15" i="173"/>
  <c r="NV15" i="173"/>
  <c r="NU15" i="173"/>
  <c r="NT15" i="173"/>
  <c r="NS15" i="173"/>
  <c r="NR15" i="173"/>
  <c r="NQ15" i="173"/>
  <c r="NP15" i="173"/>
  <c r="NO15" i="173"/>
  <c r="NN15" i="173"/>
  <c r="NM15" i="173"/>
  <c r="NL15" i="173"/>
  <c r="NK15" i="173"/>
  <c r="NJ15" i="173"/>
  <c r="NI15" i="173"/>
  <c r="NH15" i="173"/>
  <c r="NG15" i="173"/>
  <c r="NF15" i="173"/>
  <c r="NE15" i="173"/>
  <c r="ND15" i="173"/>
  <c r="NC15" i="173"/>
  <c r="NB15" i="173"/>
  <c r="NA15" i="173"/>
  <c r="MZ15" i="173"/>
  <c r="MY15" i="173"/>
  <c r="MX15" i="173"/>
  <c r="MW15" i="173"/>
  <c r="MV15" i="173"/>
  <c r="MU15" i="173"/>
  <c r="MT15" i="173"/>
  <c r="MS15" i="173"/>
  <c r="MR15" i="173"/>
  <c r="MQ15" i="173"/>
  <c r="MP15" i="173"/>
  <c r="MO15" i="173"/>
  <c r="MN15" i="173"/>
  <c r="MM15" i="173"/>
  <c r="ML15" i="173"/>
  <c r="MK15" i="173"/>
  <c r="MJ15" i="173"/>
  <c r="MI15" i="173"/>
  <c r="MH15" i="173"/>
  <c r="MG15" i="173"/>
  <c r="MF15" i="173"/>
  <c r="ME15" i="173"/>
  <c r="MD15" i="173"/>
  <c r="MC15" i="173"/>
  <c r="MB15" i="173"/>
  <c r="MA15" i="173"/>
  <c r="LZ15" i="173"/>
  <c r="LY15" i="173"/>
  <c r="LX15" i="173"/>
  <c r="LW15" i="173"/>
  <c r="LV15" i="173"/>
  <c r="LU15" i="173"/>
  <c r="LT15" i="173"/>
  <c r="LS15" i="173"/>
  <c r="LR15" i="173"/>
  <c r="LQ15" i="173"/>
  <c r="LP15" i="173"/>
  <c r="LO15" i="173"/>
  <c r="LN15" i="173"/>
  <c r="LM15" i="173"/>
  <c r="LL15" i="173"/>
  <c r="LK15" i="173"/>
  <c r="LJ15" i="173"/>
  <c r="LI15" i="173"/>
  <c r="LH15" i="173"/>
  <c r="LG15" i="173"/>
  <c r="LF15" i="173"/>
  <c r="LE15" i="173"/>
  <c r="LD15" i="173"/>
  <c r="LC15" i="173"/>
  <c r="LB15" i="173"/>
  <c r="LA15" i="173"/>
  <c r="KZ15" i="173"/>
  <c r="KY15" i="173"/>
  <c r="KX15" i="173"/>
  <c r="KW15" i="173"/>
  <c r="KV15" i="173"/>
  <c r="KU15" i="173"/>
  <c r="KT15" i="173"/>
  <c r="KS15" i="173"/>
  <c r="KR15" i="173"/>
  <c r="KQ15" i="173"/>
  <c r="KP15" i="173"/>
  <c r="KO15" i="173"/>
  <c r="KN15" i="173"/>
  <c r="KM15" i="173"/>
  <c r="KL15" i="173"/>
  <c r="KK15" i="173"/>
  <c r="KJ15" i="173"/>
  <c r="KI15" i="173"/>
  <c r="KH15" i="173"/>
  <c r="KG15" i="173"/>
  <c r="KF15" i="173"/>
  <c r="KE15" i="173"/>
  <c r="KD15" i="173"/>
  <c r="KC15" i="173"/>
  <c r="KB15" i="173"/>
  <c r="KA15" i="173"/>
  <c r="JZ15" i="173"/>
  <c r="JY15" i="173"/>
  <c r="JX15" i="173"/>
  <c r="JW15" i="173"/>
  <c r="JV15" i="173"/>
  <c r="JU15" i="173"/>
  <c r="JT15" i="173"/>
  <c r="JS15" i="173"/>
  <c r="JR15" i="173"/>
  <c r="JQ15" i="173"/>
  <c r="JP15" i="173"/>
  <c r="JO15" i="173"/>
  <c r="JN15" i="173"/>
  <c r="JM15" i="173"/>
  <c r="JL15" i="173"/>
  <c r="JK15" i="173"/>
  <c r="JJ15" i="173"/>
  <c r="JI15" i="173"/>
  <c r="JH15" i="173"/>
  <c r="JG15" i="173"/>
  <c r="JF15" i="173"/>
  <c r="JE15" i="173"/>
  <c r="JD15" i="173"/>
  <c r="JC15" i="173"/>
  <c r="JB15" i="173"/>
  <c r="JA15" i="173"/>
  <c r="IZ15" i="173"/>
  <c r="IY15" i="173"/>
  <c r="IX15" i="173"/>
  <c r="IW15" i="173"/>
  <c r="IV15" i="173"/>
  <c r="IU15" i="173"/>
  <c r="IT15" i="173"/>
  <c r="IS15" i="173"/>
  <c r="IR15" i="173"/>
  <c r="IQ15" i="173"/>
  <c r="IP15" i="173"/>
  <c r="IO15" i="173"/>
  <c r="IN15" i="173"/>
  <c r="IM15" i="173"/>
  <c r="IL15" i="173"/>
  <c r="IK15" i="173"/>
  <c r="IJ15" i="173"/>
  <c r="II15" i="173"/>
  <c r="IH15" i="173"/>
  <c r="IG15" i="173"/>
  <c r="IF15" i="173"/>
  <c r="IE15" i="173"/>
  <c r="ID15" i="173"/>
  <c r="IC15" i="173"/>
  <c r="IB15" i="173"/>
  <c r="IA15" i="173"/>
  <c r="HZ15" i="173"/>
  <c r="HY15" i="173"/>
  <c r="HX15" i="173"/>
  <c r="HW15" i="173"/>
  <c r="HV15" i="173"/>
  <c r="HU15" i="173"/>
  <c r="HT15" i="173"/>
  <c r="HS15" i="173"/>
  <c r="HR15" i="173"/>
  <c r="HQ15" i="173"/>
  <c r="HP15" i="173"/>
  <c r="HO15" i="173"/>
  <c r="HN15" i="173"/>
  <c r="HM15" i="173"/>
  <c r="HL15" i="173"/>
  <c r="HK15" i="173"/>
  <c r="HJ15" i="173"/>
  <c r="HI15" i="173"/>
  <c r="HH15" i="173"/>
  <c r="HG15" i="173"/>
  <c r="HF15" i="173"/>
  <c r="HE15" i="173"/>
  <c r="HD15" i="173"/>
  <c r="HC15" i="173"/>
  <c r="HB15" i="173"/>
  <c r="HA15" i="173"/>
  <c r="GZ15" i="173"/>
  <c r="GY15" i="173"/>
  <c r="GX15" i="173"/>
  <c r="GW15" i="173"/>
  <c r="GV15" i="173"/>
  <c r="GU15" i="173"/>
  <c r="GT15" i="173"/>
  <c r="GS15" i="173"/>
  <c r="GR15" i="173"/>
  <c r="GQ15" i="173"/>
  <c r="GP15" i="173"/>
  <c r="GO15" i="173"/>
  <c r="GN15" i="173"/>
  <c r="GM15" i="173"/>
  <c r="GL15" i="173"/>
  <c r="GK15" i="173"/>
  <c r="GJ15" i="173"/>
  <c r="GI15" i="173"/>
  <c r="GH15" i="173"/>
  <c r="GG15" i="173"/>
  <c r="GF15" i="173"/>
  <c r="GE15" i="173"/>
  <c r="GD15" i="173"/>
  <c r="GC15" i="173"/>
  <c r="GB15" i="173"/>
  <c r="GA15" i="173"/>
  <c r="FZ15" i="173"/>
  <c r="FY15" i="173"/>
  <c r="FX15" i="173"/>
  <c r="FW15" i="173"/>
  <c r="FV15" i="173"/>
  <c r="FU15" i="173"/>
  <c r="FT15" i="173"/>
  <c r="FS15" i="173"/>
  <c r="FR15" i="173"/>
  <c r="FQ15" i="173"/>
  <c r="FP15" i="173"/>
  <c r="FO15" i="173"/>
  <c r="FN15" i="173"/>
  <c r="FM15" i="173"/>
  <c r="FL15" i="173"/>
  <c r="FK15" i="173"/>
  <c r="FJ15" i="173"/>
  <c r="FI15" i="173"/>
  <c r="FH15" i="173"/>
  <c r="FG15" i="173"/>
  <c r="FF15" i="173"/>
  <c r="FE15" i="173"/>
  <c r="FD15" i="173"/>
  <c r="FC15" i="173"/>
  <c r="FB15" i="173"/>
  <c r="FA15" i="173"/>
  <c r="EZ15" i="173"/>
  <c r="EY15" i="173"/>
  <c r="EX15" i="173"/>
  <c r="EW15" i="173"/>
  <c r="EV15" i="173"/>
  <c r="EU15" i="173"/>
  <c r="ET15" i="173"/>
  <c r="ES15" i="173"/>
  <c r="ER15" i="173"/>
  <c r="EQ15" i="173"/>
  <c r="EP15" i="173"/>
  <c r="EO15" i="173"/>
  <c r="EN15" i="173"/>
  <c r="EM15" i="173"/>
  <c r="EL15" i="173"/>
  <c r="EK15" i="173"/>
  <c r="EJ15" i="173"/>
  <c r="EI15" i="173"/>
  <c r="EH15" i="173"/>
  <c r="EG15" i="173"/>
  <c r="EF15" i="173"/>
  <c r="EE15" i="173"/>
  <c r="ED15" i="173"/>
  <c r="EC15" i="173"/>
  <c r="EB15" i="173"/>
  <c r="EA15" i="173"/>
  <c r="DZ15" i="173"/>
  <c r="DY15" i="173"/>
  <c r="DX15" i="173"/>
  <c r="DW15" i="173"/>
  <c r="DV15" i="173"/>
  <c r="DU15" i="173"/>
  <c r="DT15" i="173"/>
  <c r="DS15" i="173"/>
  <c r="DR15" i="173"/>
  <c r="DQ15" i="173"/>
  <c r="DP15" i="173"/>
  <c r="DO15" i="173"/>
  <c r="DN15" i="173"/>
  <c r="DM15" i="173"/>
  <c r="DL15" i="173"/>
  <c r="DK15" i="173"/>
  <c r="DJ15" i="173"/>
  <c r="DI15" i="173"/>
  <c r="DH15" i="173"/>
  <c r="DG15" i="173"/>
  <c r="DF15" i="173"/>
  <c r="DE15" i="173"/>
  <c r="DD15" i="173"/>
  <c r="DC15" i="173"/>
  <c r="DB15" i="173"/>
  <c r="DA15" i="173"/>
  <c r="CZ15" i="173"/>
  <c r="CY15" i="173"/>
  <c r="CX15" i="173"/>
  <c r="CW15" i="173"/>
  <c r="CV15" i="173"/>
  <c r="CU15" i="173"/>
  <c r="CT15" i="173"/>
  <c r="CS15" i="173"/>
  <c r="CR15" i="173"/>
  <c r="CQ15" i="173"/>
  <c r="CP15" i="173"/>
  <c r="CO15" i="173"/>
  <c r="CN15" i="173"/>
  <c r="CM15" i="173"/>
  <c r="CL15" i="173"/>
  <c r="CK15" i="173"/>
  <c r="CJ15" i="173"/>
  <c r="CI15" i="173"/>
  <c r="CH15" i="173"/>
  <c r="CG15" i="173"/>
  <c r="CF15" i="173"/>
  <c r="CE15" i="173"/>
  <c r="CD15" i="173"/>
  <c r="CC15" i="173"/>
  <c r="CB15" i="173"/>
  <c r="CA15" i="173"/>
  <c r="BZ15" i="173"/>
  <c r="BY15" i="173"/>
  <c r="BX15" i="173"/>
  <c r="BW15" i="173"/>
  <c r="BV15" i="173"/>
  <c r="BU15" i="173"/>
  <c r="BT15" i="173"/>
  <c r="BS15" i="173"/>
  <c r="BR15" i="173"/>
  <c r="BQ15" i="173"/>
  <c r="BP15" i="173"/>
  <c r="BO15" i="173"/>
  <c r="BN15" i="173"/>
  <c r="BM15" i="173"/>
  <c r="BL15" i="173"/>
  <c r="BK15" i="173"/>
  <c r="BJ15" i="173"/>
  <c r="BI15" i="173"/>
  <c r="BH15" i="173"/>
  <c r="BG15" i="173"/>
  <c r="BF15" i="173"/>
  <c r="BE15" i="173"/>
  <c r="BD15" i="173"/>
  <c r="BC15" i="173"/>
  <c r="BB15" i="173"/>
  <c r="BA15" i="173"/>
  <c r="AZ15" i="173"/>
  <c r="AY15" i="173"/>
  <c r="AX15" i="173"/>
  <c r="AW15" i="173"/>
  <c r="AV15" i="173"/>
  <c r="AU15" i="173"/>
  <c r="AT15" i="173"/>
  <c r="AS15" i="173"/>
  <c r="AR15" i="173"/>
  <c r="AQ15" i="173"/>
  <c r="AP15" i="173"/>
  <c r="AO15" i="173"/>
  <c r="AN15" i="173"/>
  <c r="AM15" i="173"/>
  <c r="AL15" i="173"/>
  <c r="AK15" i="173"/>
  <c r="AJ15" i="173"/>
  <c r="AI15" i="173"/>
  <c r="AH15" i="173"/>
  <c r="AG15" i="173"/>
  <c r="AF15" i="173"/>
  <c r="AE15" i="173"/>
  <c r="AD15" i="173"/>
  <c r="AC15" i="173"/>
  <c r="AB15" i="173"/>
  <c r="AA15" i="173"/>
  <c r="Z15" i="173"/>
  <c r="Y15" i="173"/>
  <c r="X15" i="173"/>
  <c r="W15" i="173"/>
  <c r="V15" i="173"/>
  <c r="U15" i="173"/>
  <c r="T15" i="173"/>
  <c r="S15" i="173"/>
  <c r="R15" i="173"/>
  <c r="Q15" i="173"/>
  <c r="P15" i="173"/>
  <c r="O15" i="173"/>
  <c r="N15" i="173"/>
  <c r="M15" i="173"/>
  <c r="L15" i="173"/>
  <c r="K15" i="173"/>
  <c r="J15" i="173"/>
  <c r="I15" i="173"/>
  <c r="H15" i="173"/>
  <c r="G15" i="173"/>
  <c r="F15" i="173"/>
  <c r="D15" i="173"/>
  <c r="AAV14" i="173"/>
  <c r="AAU14" i="173"/>
  <c r="AAT14" i="173"/>
  <c r="AAS14" i="173"/>
  <c r="AAR14" i="173"/>
  <c r="AAQ14" i="173"/>
  <c r="AAP14" i="173"/>
  <c r="AAO14" i="173"/>
  <c r="AAN14" i="173"/>
  <c r="AAM14" i="173"/>
  <c r="AAL14" i="173"/>
  <c r="AAK14" i="173"/>
  <c r="AAJ14" i="173"/>
  <c r="AAI14" i="173"/>
  <c r="AAH14" i="173"/>
  <c r="AAG14" i="173"/>
  <c r="AAF14" i="173"/>
  <c r="AAE14" i="173"/>
  <c r="AAD14" i="173"/>
  <c r="AAC14" i="173"/>
  <c r="AAB14" i="173"/>
  <c r="AAA14" i="173"/>
  <c r="ZZ14" i="173"/>
  <c r="ZY14" i="173"/>
  <c r="ZX14" i="173"/>
  <c r="ZW14" i="173"/>
  <c r="ZV14" i="173"/>
  <c r="ZU14" i="173"/>
  <c r="ZT14" i="173"/>
  <c r="ZS14" i="173"/>
  <c r="ZR14" i="173"/>
  <c r="ZQ14" i="173"/>
  <c r="ZP14" i="173"/>
  <c r="ZO14" i="173"/>
  <c r="ZN14" i="173"/>
  <c r="ZM14" i="173"/>
  <c r="ZL14" i="173"/>
  <c r="ZK14" i="173"/>
  <c r="ZJ14" i="173"/>
  <c r="ZI14" i="173"/>
  <c r="ZH14" i="173"/>
  <c r="ZG14" i="173"/>
  <c r="ZF14" i="173"/>
  <c r="ZE14" i="173"/>
  <c r="ZD14" i="173"/>
  <c r="ZC14" i="173"/>
  <c r="ZB14" i="173"/>
  <c r="ZA14" i="173"/>
  <c r="YZ14" i="173"/>
  <c r="YY14" i="173"/>
  <c r="YX14" i="173"/>
  <c r="YW14" i="173"/>
  <c r="YV14" i="173"/>
  <c r="YU14" i="173"/>
  <c r="YT14" i="173"/>
  <c r="YS14" i="173"/>
  <c r="YR14" i="173"/>
  <c r="YQ14" i="173"/>
  <c r="YP14" i="173"/>
  <c r="YO14" i="173"/>
  <c r="YN14" i="173"/>
  <c r="YM14" i="173"/>
  <c r="YL14" i="173"/>
  <c r="YK14" i="173"/>
  <c r="YJ14" i="173"/>
  <c r="YI14" i="173"/>
  <c r="YH14" i="173"/>
  <c r="YG14" i="173"/>
  <c r="YF14" i="173"/>
  <c r="YE14" i="173"/>
  <c r="YD14" i="173"/>
  <c r="YC14" i="173"/>
  <c r="YB14" i="173"/>
  <c r="YA14" i="173"/>
  <c r="XZ14" i="173"/>
  <c r="XY14" i="173"/>
  <c r="XX14" i="173"/>
  <c r="XW14" i="173"/>
  <c r="XV14" i="173"/>
  <c r="XU14" i="173"/>
  <c r="XT14" i="173"/>
  <c r="XS14" i="173"/>
  <c r="XR14" i="173"/>
  <c r="XQ14" i="173"/>
  <c r="XP14" i="173"/>
  <c r="XO14" i="173"/>
  <c r="XN14" i="173"/>
  <c r="XM14" i="173"/>
  <c r="XL14" i="173"/>
  <c r="XK14" i="173"/>
  <c r="XJ14" i="173"/>
  <c r="XI14" i="173"/>
  <c r="XH14" i="173"/>
  <c r="XG14" i="173"/>
  <c r="XF14" i="173"/>
  <c r="XE14" i="173"/>
  <c r="XD14" i="173"/>
  <c r="XC14" i="173"/>
  <c r="XB14" i="173"/>
  <c r="XA14" i="173"/>
  <c r="WZ14" i="173"/>
  <c r="WY14" i="173"/>
  <c r="WX14" i="173"/>
  <c r="WW14" i="173"/>
  <c r="WV14" i="173"/>
  <c r="WU14" i="173"/>
  <c r="WT14" i="173"/>
  <c r="WS14" i="173"/>
  <c r="WR14" i="173"/>
  <c r="WQ14" i="173"/>
  <c r="WP14" i="173"/>
  <c r="WO14" i="173"/>
  <c r="WN14" i="173"/>
  <c r="WM14" i="173"/>
  <c r="WL14" i="173"/>
  <c r="WK14" i="173"/>
  <c r="WJ14" i="173"/>
  <c r="WI14" i="173"/>
  <c r="WH14" i="173"/>
  <c r="WG14" i="173"/>
  <c r="WF14" i="173"/>
  <c r="WE14" i="173"/>
  <c r="WD14" i="173"/>
  <c r="WC14" i="173"/>
  <c r="WB14" i="173"/>
  <c r="WA14" i="173"/>
  <c r="VZ14" i="173"/>
  <c r="VY14" i="173"/>
  <c r="VX14" i="173"/>
  <c r="VW14" i="173"/>
  <c r="VV14" i="173"/>
  <c r="VU14" i="173"/>
  <c r="VT14" i="173"/>
  <c r="VS14" i="173"/>
  <c r="VR14" i="173"/>
  <c r="VQ14" i="173"/>
  <c r="VP14" i="173"/>
  <c r="VO14" i="173"/>
  <c r="VN14" i="173"/>
  <c r="VM14" i="173"/>
  <c r="VL14" i="173"/>
  <c r="VK14" i="173"/>
  <c r="VJ14" i="173"/>
  <c r="VI14" i="173"/>
  <c r="VH14" i="173"/>
  <c r="VG14" i="173"/>
  <c r="VF14" i="173"/>
  <c r="VE14" i="173"/>
  <c r="VD14" i="173"/>
  <c r="VC14" i="173"/>
  <c r="VB14" i="173"/>
  <c r="VA14" i="173"/>
  <c r="UZ14" i="173"/>
  <c r="UY14" i="173"/>
  <c r="UX14" i="173"/>
  <c r="UW14" i="173"/>
  <c r="UV14" i="173"/>
  <c r="UU14" i="173"/>
  <c r="UT14" i="173"/>
  <c r="US14" i="173"/>
  <c r="UR14" i="173"/>
  <c r="UQ14" i="173"/>
  <c r="UP14" i="173"/>
  <c r="UO14" i="173"/>
  <c r="UN14" i="173"/>
  <c r="UM14" i="173"/>
  <c r="UL14" i="173"/>
  <c r="UK14" i="173"/>
  <c r="UJ14" i="173"/>
  <c r="UI14" i="173"/>
  <c r="UH14" i="173"/>
  <c r="UG14" i="173"/>
  <c r="UF14" i="173"/>
  <c r="UE14" i="173"/>
  <c r="UD14" i="173"/>
  <c r="UC14" i="173"/>
  <c r="UB14" i="173"/>
  <c r="UA14" i="173"/>
  <c r="TZ14" i="173"/>
  <c r="TY14" i="173"/>
  <c r="TX14" i="173"/>
  <c r="TW14" i="173"/>
  <c r="TV14" i="173"/>
  <c r="TU14" i="173"/>
  <c r="TT14" i="173"/>
  <c r="TS14" i="173"/>
  <c r="TR14" i="173"/>
  <c r="TQ14" i="173"/>
  <c r="TP14" i="173"/>
  <c r="TO14" i="173"/>
  <c r="TN14" i="173"/>
  <c r="TM14" i="173"/>
  <c r="TL14" i="173"/>
  <c r="TK14" i="173"/>
  <c r="TJ14" i="173"/>
  <c r="TI14" i="173"/>
  <c r="TH14" i="173"/>
  <c r="TG14" i="173"/>
  <c r="TF14" i="173"/>
  <c r="TE14" i="173"/>
  <c r="TD14" i="173"/>
  <c r="TC14" i="173"/>
  <c r="TB14" i="173"/>
  <c r="TA14" i="173"/>
  <c r="SZ14" i="173"/>
  <c r="SY14" i="173"/>
  <c r="SX14" i="173"/>
  <c r="SW14" i="173"/>
  <c r="SV14" i="173"/>
  <c r="SU14" i="173"/>
  <c r="ST14" i="173"/>
  <c r="SS14" i="173"/>
  <c r="SR14" i="173"/>
  <c r="SQ14" i="173"/>
  <c r="SP14" i="173"/>
  <c r="SO14" i="173"/>
  <c r="SN14" i="173"/>
  <c r="SM14" i="173"/>
  <c r="SL14" i="173"/>
  <c r="SK14" i="173"/>
  <c r="SJ14" i="173"/>
  <c r="SI14" i="173"/>
  <c r="SH14" i="173"/>
  <c r="SG14" i="173"/>
  <c r="SF14" i="173"/>
  <c r="SE14" i="173"/>
  <c r="SD14" i="173"/>
  <c r="SC14" i="173"/>
  <c r="SB14" i="173"/>
  <c r="SA14" i="173"/>
  <c r="RZ14" i="173"/>
  <c r="RY14" i="173"/>
  <c r="RX14" i="173"/>
  <c r="RW14" i="173"/>
  <c r="RV14" i="173"/>
  <c r="RU14" i="173"/>
  <c r="RT14" i="173"/>
  <c r="RS14" i="173"/>
  <c r="RR14" i="173"/>
  <c r="RQ14" i="173"/>
  <c r="RP14" i="173"/>
  <c r="RO14" i="173"/>
  <c r="RN14" i="173"/>
  <c r="RM14" i="173"/>
  <c r="RL14" i="173"/>
  <c r="RK14" i="173"/>
  <c r="RJ14" i="173"/>
  <c r="RI14" i="173"/>
  <c r="RH14" i="173"/>
  <c r="RG14" i="173"/>
  <c r="RF14" i="173"/>
  <c r="RE14" i="173"/>
  <c r="RD14" i="173"/>
  <c r="RC14" i="173"/>
  <c r="RB14" i="173"/>
  <c r="RA14" i="173"/>
  <c r="QZ14" i="173"/>
  <c r="QY14" i="173"/>
  <c r="QX14" i="173"/>
  <c r="QW14" i="173"/>
  <c r="QV14" i="173"/>
  <c r="QU14" i="173"/>
  <c r="QT14" i="173"/>
  <c r="QS14" i="173"/>
  <c r="QR14" i="173"/>
  <c r="QQ14" i="173"/>
  <c r="QP14" i="173"/>
  <c r="QO14" i="173"/>
  <c r="QN14" i="173"/>
  <c r="QM14" i="173"/>
  <c r="QL14" i="173"/>
  <c r="QK14" i="173"/>
  <c r="QJ14" i="173"/>
  <c r="QI14" i="173"/>
  <c r="QH14" i="173"/>
  <c r="QG14" i="173"/>
  <c r="QF14" i="173"/>
  <c r="QE14" i="173"/>
  <c r="QD14" i="173"/>
  <c r="QC14" i="173"/>
  <c r="QB14" i="173"/>
  <c r="QA14" i="173"/>
  <c r="PZ14" i="173"/>
  <c r="PY14" i="173"/>
  <c r="PX14" i="173"/>
  <c r="PW14" i="173"/>
  <c r="PV14" i="173"/>
  <c r="PU14" i="173"/>
  <c r="PT14" i="173"/>
  <c r="PS14" i="173"/>
  <c r="PR14" i="173"/>
  <c r="PQ14" i="173"/>
  <c r="PP14" i="173"/>
  <c r="PO14" i="173"/>
  <c r="PN14" i="173"/>
  <c r="PM14" i="173"/>
  <c r="PL14" i="173"/>
  <c r="PK14" i="173"/>
  <c r="PJ14" i="173"/>
  <c r="PI14" i="173"/>
  <c r="PH14" i="173"/>
  <c r="PG14" i="173"/>
  <c r="PF14" i="173"/>
  <c r="PE14" i="173"/>
  <c r="PD14" i="173"/>
  <c r="PC14" i="173"/>
  <c r="PB14" i="173"/>
  <c r="PA14" i="173"/>
  <c r="OZ14" i="173"/>
  <c r="OY14" i="173"/>
  <c r="OX14" i="173"/>
  <c r="OW14" i="173"/>
  <c r="OV14" i="173"/>
  <c r="OU14" i="173"/>
  <c r="OT14" i="173"/>
  <c r="OS14" i="173"/>
  <c r="OR14" i="173"/>
  <c r="OQ14" i="173"/>
  <c r="OP14" i="173"/>
  <c r="OO14" i="173"/>
  <c r="ON14" i="173"/>
  <c r="OM14" i="173"/>
  <c r="OL14" i="173"/>
  <c r="OK14" i="173"/>
  <c r="OJ14" i="173"/>
  <c r="OI14" i="173"/>
  <c r="OH14" i="173"/>
  <c r="OG14" i="173"/>
  <c r="OF14" i="173"/>
  <c r="OE14" i="173"/>
  <c r="OD14" i="173"/>
  <c r="OC14" i="173"/>
  <c r="OB14" i="173"/>
  <c r="OA14" i="173"/>
  <c r="NZ14" i="173"/>
  <c r="NY14" i="173"/>
  <c r="NX14" i="173"/>
  <c r="NW14" i="173"/>
  <c r="NV14" i="173"/>
  <c r="NU14" i="173"/>
  <c r="NT14" i="173"/>
  <c r="NS14" i="173"/>
  <c r="NR14" i="173"/>
  <c r="NQ14" i="173"/>
  <c r="NP14" i="173"/>
  <c r="NO14" i="173"/>
  <c r="NN14" i="173"/>
  <c r="NM14" i="173"/>
  <c r="NL14" i="173"/>
  <c r="NK14" i="173"/>
  <c r="NJ14" i="173"/>
  <c r="NI14" i="173"/>
  <c r="NH14" i="173"/>
  <c r="NG14" i="173"/>
  <c r="NF14" i="173"/>
  <c r="NE14" i="173"/>
  <c r="ND14" i="173"/>
  <c r="NC14" i="173"/>
  <c r="NB14" i="173"/>
  <c r="NA14" i="173"/>
  <c r="MZ14" i="173"/>
  <c r="MY14" i="173"/>
  <c r="MX14" i="173"/>
  <c r="MW14" i="173"/>
  <c r="MV14" i="173"/>
  <c r="MU14" i="173"/>
  <c r="MT14" i="173"/>
  <c r="MS14" i="173"/>
  <c r="MR14" i="173"/>
  <c r="MQ14" i="173"/>
  <c r="MP14" i="173"/>
  <c r="MO14" i="173"/>
  <c r="MN14" i="173"/>
  <c r="MM14" i="173"/>
  <c r="ML14" i="173"/>
  <c r="MK14" i="173"/>
  <c r="MJ14" i="173"/>
  <c r="MI14" i="173"/>
  <c r="MH14" i="173"/>
  <c r="MG14" i="173"/>
  <c r="MF14" i="173"/>
  <c r="ME14" i="173"/>
  <c r="MD14" i="173"/>
  <c r="MC14" i="173"/>
  <c r="MB14" i="173"/>
  <c r="MA14" i="173"/>
  <c r="LZ14" i="173"/>
  <c r="LY14" i="173"/>
  <c r="LX14" i="173"/>
  <c r="LW14" i="173"/>
  <c r="LV14" i="173"/>
  <c r="LU14" i="173"/>
  <c r="LT14" i="173"/>
  <c r="LS14" i="173"/>
  <c r="LR14" i="173"/>
  <c r="LQ14" i="173"/>
  <c r="LP14" i="173"/>
  <c r="LO14" i="173"/>
  <c r="LN14" i="173"/>
  <c r="LM14" i="173"/>
  <c r="LL14" i="173"/>
  <c r="LK14" i="173"/>
  <c r="LJ14" i="173"/>
  <c r="LI14" i="173"/>
  <c r="LH14" i="173"/>
  <c r="LG14" i="173"/>
  <c r="LF14" i="173"/>
  <c r="LE14" i="173"/>
  <c r="LD14" i="173"/>
  <c r="LC14" i="173"/>
  <c r="LB14" i="173"/>
  <c r="LA14" i="173"/>
  <c r="KZ14" i="173"/>
  <c r="KY14" i="173"/>
  <c r="KX14" i="173"/>
  <c r="KW14" i="173"/>
  <c r="KV14" i="173"/>
  <c r="KU14" i="173"/>
  <c r="KT14" i="173"/>
  <c r="KS14" i="173"/>
  <c r="KR14" i="173"/>
  <c r="KQ14" i="173"/>
  <c r="KP14" i="173"/>
  <c r="KO14" i="173"/>
  <c r="KN14" i="173"/>
  <c r="KM14" i="173"/>
  <c r="KL14" i="173"/>
  <c r="KK14" i="173"/>
  <c r="KJ14" i="173"/>
  <c r="KI14" i="173"/>
  <c r="KH14" i="173"/>
  <c r="KG14" i="173"/>
  <c r="KF14" i="173"/>
  <c r="KE14" i="173"/>
  <c r="KD14" i="173"/>
  <c r="KC14" i="173"/>
  <c r="KB14" i="173"/>
  <c r="KA14" i="173"/>
  <c r="JZ14" i="173"/>
  <c r="JY14" i="173"/>
  <c r="JX14" i="173"/>
  <c r="JW14" i="173"/>
  <c r="JV14" i="173"/>
  <c r="JU14" i="173"/>
  <c r="JT14" i="173"/>
  <c r="JS14" i="173"/>
  <c r="JR14" i="173"/>
  <c r="JQ14" i="173"/>
  <c r="JP14" i="173"/>
  <c r="JO14" i="173"/>
  <c r="JN14" i="173"/>
  <c r="JM14" i="173"/>
  <c r="JL14" i="173"/>
  <c r="JK14" i="173"/>
  <c r="JJ14" i="173"/>
  <c r="JI14" i="173"/>
  <c r="JH14" i="173"/>
  <c r="JG14" i="173"/>
  <c r="JF14" i="173"/>
  <c r="JE14" i="173"/>
  <c r="JD14" i="173"/>
  <c r="JC14" i="173"/>
  <c r="JB14" i="173"/>
  <c r="JA14" i="173"/>
  <c r="IZ14" i="173"/>
  <c r="IY14" i="173"/>
  <c r="IX14" i="173"/>
  <c r="IW14" i="173"/>
  <c r="IV14" i="173"/>
  <c r="IU14" i="173"/>
  <c r="IT14" i="173"/>
  <c r="IS14" i="173"/>
  <c r="IR14" i="173"/>
  <c r="IQ14" i="173"/>
  <c r="IP14" i="173"/>
  <c r="IO14" i="173"/>
  <c r="IN14" i="173"/>
  <c r="IM14" i="173"/>
  <c r="IL14" i="173"/>
  <c r="IK14" i="173"/>
  <c r="IJ14" i="173"/>
  <c r="II14" i="173"/>
  <c r="IH14" i="173"/>
  <c r="IG14" i="173"/>
  <c r="IF14" i="173"/>
  <c r="IE14" i="173"/>
  <c r="ID14" i="173"/>
  <c r="IC14" i="173"/>
  <c r="IB14" i="173"/>
  <c r="IA14" i="173"/>
  <c r="HZ14" i="173"/>
  <c r="HY14" i="173"/>
  <c r="HX14" i="173"/>
  <c r="HW14" i="173"/>
  <c r="HV14" i="173"/>
  <c r="HU14" i="173"/>
  <c r="HT14" i="173"/>
  <c r="HS14" i="173"/>
  <c r="HR14" i="173"/>
  <c r="HQ14" i="173"/>
  <c r="HP14" i="173"/>
  <c r="HO14" i="173"/>
  <c r="HN14" i="173"/>
  <c r="HM14" i="173"/>
  <c r="HL14" i="173"/>
  <c r="HK14" i="173"/>
  <c r="HJ14" i="173"/>
  <c r="HI14" i="173"/>
  <c r="HH14" i="173"/>
  <c r="HG14" i="173"/>
  <c r="HF14" i="173"/>
  <c r="HE14" i="173"/>
  <c r="HD14" i="173"/>
  <c r="HC14" i="173"/>
  <c r="HB14" i="173"/>
  <c r="HA14" i="173"/>
  <c r="GZ14" i="173"/>
  <c r="GY14" i="173"/>
  <c r="GX14" i="173"/>
  <c r="GW14" i="173"/>
  <c r="GV14" i="173"/>
  <c r="GU14" i="173"/>
  <c r="GT14" i="173"/>
  <c r="GS14" i="173"/>
  <c r="GR14" i="173"/>
  <c r="GQ14" i="173"/>
  <c r="GP14" i="173"/>
  <c r="GO14" i="173"/>
  <c r="GN14" i="173"/>
  <c r="GM14" i="173"/>
  <c r="GL14" i="173"/>
  <c r="GK14" i="173"/>
  <c r="GJ14" i="173"/>
  <c r="GI14" i="173"/>
  <c r="GH14" i="173"/>
  <c r="GG14" i="173"/>
  <c r="GF14" i="173"/>
  <c r="GE14" i="173"/>
  <c r="GD14" i="173"/>
  <c r="GC14" i="173"/>
  <c r="GB14" i="173"/>
  <c r="GA14" i="173"/>
  <c r="FZ14" i="173"/>
  <c r="FY14" i="173"/>
  <c r="FX14" i="173"/>
  <c r="FW14" i="173"/>
  <c r="FV14" i="173"/>
  <c r="FU14" i="173"/>
  <c r="FT14" i="173"/>
  <c r="FS14" i="173"/>
  <c r="FR14" i="173"/>
  <c r="FQ14" i="173"/>
  <c r="FP14" i="173"/>
  <c r="FO14" i="173"/>
  <c r="FN14" i="173"/>
  <c r="FM14" i="173"/>
  <c r="FL14" i="173"/>
  <c r="FK14" i="173"/>
  <c r="FJ14" i="173"/>
  <c r="FI14" i="173"/>
  <c r="FH14" i="173"/>
  <c r="FG14" i="173"/>
  <c r="FF14" i="173"/>
  <c r="FE14" i="173"/>
  <c r="FD14" i="173"/>
  <c r="FC14" i="173"/>
  <c r="FB14" i="173"/>
  <c r="FA14" i="173"/>
  <c r="EZ14" i="173"/>
  <c r="EY14" i="173"/>
  <c r="EX14" i="173"/>
  <c r="EW14" i="173"/>
  <c r="EV14" i="173"/>
  <c r="EU14" i="173"/>
  <c r="ET14" i="173"/>
  <c r="ES14" i="173"/>
  <c r="ER14" i="173"/>
  <c r="EQ14" i="173"/>
  <c r="EP14" i="173"/>
  <c r="EO14" i="173"/>
  <c r="EN14" i="173"/>
  <c r="EM14" i="173"/>
  <c r="EL14" i="173"/>
  <c r="EK14" i="173"/>
  <c r="EJ14" i="173"/>
  <c r="EI14" i="173"/>
  <c r="EH14" i="173"/>
  <c r="EG14" i="173"/>
  <c r="EF14" i="173"/>
  <c r="EE14" i="173"/>
  <c r="ED14" i="173"/>
  <c r="EC14" i="173"/>
  <c r="EB14" i="173"/>
  <c r="EA14" i="173"/>
  <c r="DZ14" i="173"/>
  <c r="DY14" i="173"/>
  <c r="DX14" i="173"/>
  <c r="DW14" i="173"/>
  <c r="DV14" i="173"/>
  <c r="DU14" i="173"/>
  <c r="DT14" i="173"/>
  <c r="DS14" i="173"/>
  <c r="DR14" i="173"/>
  <c r="DQ14" i="173"/>
  <c r="DP14" i="173"/>
  <c r="DO14" i="173"/>
  <c r="DN14" i="173"/>
  <c r="DM14" i="173"/>
  <c r="DL14" i="173"/>
  <c r="DK14" i="173"/>
  <c r="DJ14" i="173"/>
  <c r="DI14" i="173"/>
  <c r="DH14" i="173"/>
  <c r="DG14" i="173"/>
  <c r="DF14" i="173"/>
  <c r="DE14" i="173"/>
  <c r="DD14" i="173"/>
  <c r="DC14" i="173"/>
  <c r="DB14" i="173"/>
  <c r="DA14" i="173"/>
  <c r="CZ14" i="173"/>
  <c r="CY14" i="173"/>
  <c r="CX14" i="173"/>
  <c r="CW14" i="173"/>
  <c r="CV14" i="173"/>
  <c r="CU14" i="173"/>
  <c r="CT14" i="173"/>
  <c r="CS14" i="173"/>
  <c r="CR14" i="173"/>
  <c r="CQ14" i="173"/>
  <c r="CP14" i="173"/>
  <c r="CO14" i="173"/>
  <c r="CN14" i="173"/>
  <c r="CM14" i="173"/>
  <c r="CL14" i="173"/>
  <c r="CK14" i="173"/>
  <c r="CJ14" i="173"/>
  <c r="CI14" i="173"/>
  <c r="CH14" i="173"/>
  <c r="CG14" i="173"/>
  <c r="CF14" i="173"/>
  <c r="CE14" i="173"/>
  <c r="CD14" i="173"/>
  <c r="CC14" i="173"/>
  <c r="CB14" i="173"/>
  <c r="CA14" i="173"/>
  <c r="BZ14" i="173"/>
  <c r="BY14" i="173"/>
  <c r="BX14" i="173"/>
  <c r="BW14" i="173"/>
  <c r="BV14" i="173"/>
  <c r="BU14" i="173"/>
  <c r="BT14" i="173"/>
  <c r="BS14" i="173"/>
  <c r="BR14" i="173"/>
  <c r="BQ14" i="173"/>
  <c r="BP14" i="173"/>
  <c r="BO14" i="173"/>
  <c r="BN14" i="173"/>
  <c r="BM14" i="173"/>
  <c r="BL14" i="173"/>
  <c r="BK14" i="173"/>
  <c r="BJ14" i="173"/>
  <c r="BI14" i="173"/>
  <c r="BH14" i="173"/>
  <c r="BG14" i="173"/>
  <c r="BF14" i="173"/>
  <c r="BE14" i="173"/>
  <c r="BD14" i="173"/>
  <c r="BC14" i="173"/>
  <c r="BB14" i="173"/>
  <c r="BA14" i="173"/>
  <c r="AZ14" i="173"/>
  <c r="AY14" i="173"/>
  <c r="AX14" i="173"/>
  <c r="AW14" i="173"/>
  <c r="AV14" i="173"/>
  <c r="AU14" i="173"/>
  <c r="AT14" i="173"/>
  <c r="AS14" i="173"/>
  <c r="AR14" i="173"/>
  <c r="AQ14" i="173"/>
  <c r="AP14" i="173"/>
  <c r="AO14" i="173"/>
  <c r="AN14" i="173"/>
  <c r="AM14" i="173"/>
  <c r="AL14" i="173"/>
  <c r="AK14" i="173"/>
  <c r="AJ14" i="173"/>
  <c r="AI14" i="173"/>
  <c r="AH14" i="173"/>
  <c r="AG14" i="173"/>
  <c r="AF14" i="173"/>
  <c r="AE14" i="173"/>
  <c r="AD14" i="173"/>
  <c r="AC14" i="173"/>
  <c r="AB14" i="173"/>
  <c r="AA14" i="173"/>
  <c r="Z14" i="173"/>
  <c r="Y14" i="173"/>
  <c r="X14" i="173"/>
  <c r="W14" i="173"/>
  <c r="V14" i="173"/>
  <c r="U14" i="173"/>
  <c r="T14" i="173"/>
  <c r="S14" i="173"/>
  <c r="R14" i="173"/>
  <c r="Q14" i="173"/>
  <c r="P14" i="173"/>
  <c r="O14" i="173"/>
  <c r="N14" i="173"/>
  <c r="M14" i="173"/>
  <c r="L14" i="173"/>
  <c r="K14" i="173"/>
  <c r="J14" i="173"/>
  <c r="I14" i="173"/>
  <c r="H14" i="173"/>
  <c r="G14" i="173"/>
  <c r="F14" i="173"/>
  <c r="D14" i="173"/>
  <c r="AAV13" i="173"/>
  <c r="AAU13" i="173"/>
  <c r="AAT13" i="173"/>
  <c r="AAS13" i="173"/>
  <c r="AAR13" i="173"/>
  <c r="AAQ13" i="173"/>
  <c r="AAP13" i="173"/>
  <c r="AAO13" i="173"/>
  <c r="AAN13" i="173"/>
  <c r="AAM13" i="173"/>
  <c r="AAL13" i="173"/>
  <c r="AAK13" i="173"/>
  <c r="AAJ13" i="173"/>
  <c r="AAI13" i="173"/>
  <c r="AAH13" i="173"/>
  <c r="AAG13" i="173"/>
  <c r="AAF13" i="173"/>
  <c r="AAE13" i="173"/>
  <c r="AAD13" i="173"/>
  <c r="AAC13" i="173"/>
  <c r="AAB13" i="173"/>
  <c r="AAA13" i="173"/>
  <c r="ZZ13" i="173"/>
  <c r="ZY13" i="173"/>
  <c r="ZX13" i="173"/>
  <c r="ZW13" i="173"/>
  <c r="ZV13" i="173"/>
  <c r="ZU13" i="173"/>
  <c r="ZT13" i="173"/>
  <c r="ZS13" i="173"/>
  <c r="ZR13" i="173"/>
  <c r="ZQ13" i="173"/>
  <c r="ZP13" i="173"/>
  <c r="ZO13" i="173"/>
  <c r="ZN13" i="173"/>
  <c r="ZM13" i="173"/>
  <c r="ZL13" i="173"/>
  <c r="ZK13" i="173"/>
  <c r="ZJ13" i="173"/>
  <c r="ZI13" i="173"/>
  <c r="ZH13" i="173"/>
  <c r="ZG13" i="173"/>
  <c r="ZF13" i="173"/>
  <c r="ZE13" i="173"/>
  <c r="ZD13" i="173"/>
  <c r="ZC13" i="173"/>
  <c r="ZB13" i="173"/>
  <c r="ZA13" i="173"/>
  <c r="YZ13" i="173"/>
  <c r="YY13" i="173"/>
  <c r="YX13" i="173"/>
  <c r="YW13" i="173"/>
  <c r="YV13" i="173"/>
  <c r="YU13" i="173"/>
  <c r="YT13" i="173"/>
  <c r="YS13" i="173"/>
  <c r="YR13" i="173"/>
  <c r="YQ13" i="173"/>
  <c r="YP13" i="173"/>
  <c r="YO13" i="173"/>
  <c r="YN13" i="173"/>
  <c r="YM13" i="173"/>
  <c r="YL13" i="173"/>
  <c r="YK13" i="173"/>
  <c r="YJ13" i="173"/>
  <c r="YI13" i="173"/>
  <c r="YH13" i="173"/>
  <c r="YG13" i="173"/>
  <c r="YF13" i="173"/>
  <c r="YE13" i="173"/>
  <c r="YD13" i="173"/>
  <c r="YC13" i="173"/>
  <c r="YB13" i="173"/>
  <c r="YA13" i="173"/>
  <c r="XZ13" i="173"/>
  <c r="XY13" i="173"/>
  <c r="XX13" i="173"/>
  <c r="XW13" i="173"/>
  <c r="XV13" i="173"/>
  <c r="XU13" i="173"/>
  <c r="XT13" i="173"/>
  <c r="XS13" i="173"/>
  <c r="XR13" i="173"/>
  <c r="XQ13" i="173"/>
  <c r="XP13" i="173"/>
  <c r="XO13" i="173"/>
  <c r="XN13" i="173"/>
  <c r="XM13" i="173"/>
  <c r="XL13" i="173"/>
  <c r="XK13" i="173"/>
  <c r="XJ13" i="173"/>
  <c r="XI13" i="173"/>
  <c r="XH13" i="173"/>
  <c r="XG13" i="173"/>
  <c r="XF13" i="173"/>
  <c r="XE13" i="173"/>
  <c r="XD13" i="173"/>
  <c r="XC13" i="173"/>
  <c r="XB13" i="173"/>
  <c r="XA13" i="173"/>
  <c r="WZ13" i="173"/>
  <c r="WY13" i="173"/>
  <c r="WX13" i="173"/>
  <c r="WW13" i="173"/>
  <c r="WV13" i="173"/>
  <c r="WU13" i="173"/>
  <c r="WT13" i="173"/>
  <c r="WS13" i="173"/>
  <c r="WR13" i="173"/>
  <c r="WQ13" i="173"/>
  <c r="WP13" i="173"/>
  <c r="WO13" i="173"/>
  <c r="WN13" i="173"/>
  <c r="WM13" i="173"/>
  <c r="WL13" i="173"/>
  <c r="WK13" i="173"/>
  <c r="WJ13" i="173"/>
  <c r="WI13" i="173"/>
  <c r="WH13" i="173"/>
  <c r="WG13" i="173"/>
  <c r="WF13" i="173"/>
  <c r="WE13" i="173"/>
  <c r="WD13" i="173"/>
  <c r="WC13" i="173"/>
  <c r="WB13" i="173"/>
  <c r="WA13" i="173"/>
  <c r="VZ13" i="173"/>
  <c r="VY13" i="173"/>
  <c r="VX13" i="173"/>
  <c r="VW13" i="173"/>
  <c r="VV13" i="173"/>
  <c r="VU13" i="173"/>
  <c r="VT13" i="173"/>
  <c r="VS13" i="173"/>
  <c r="VR13" i="173"/>
  <c r="VQ13" i="173"/>
  <c r="VP13" i="173"/>
  <c r="VO13" i="173"/>
  <c r="VN13" i="173"/>
  <c r="VM13" i="173"/>
  <c r="VL13" i="173"/>
  <c r="VK13" i="173"/>
  <c r="VJ13" i="173"/>
  <c r="VI13" i="173"/>
  <c r="VH13" i="173"/>
  <c r="VG13" i="173"/>
  <c r="VF13" i="173"/>
  <c r="VE13" i="173"/>
  <c r="VD13" i="173"/>
  <c r="VC13" i="173"/>
  <c r="VB13" i="173"/>
  <c r="VA13" i="173"/>
  <c r="UZ13" i="173"/>
  <c r="UY13" i="173"/>
  <c r="UX13" i="173"/>
  <c r="UW13" i="173"/>
  <c r="UV13" i="173"/>
  <c r="UU13" i="173"/>
  <c r="UT13" i="173"/>
  <c r="US13" i="173"/>
  <c r="UR13" i="173"/>
  <c r="UQ13" i="173"/>
  <c r="UP13" i="173"/>
  <c r="UO13" i="173"/>
  <c r="UN13" i="173"/>
  <c r="UM13" i="173"/>
  <c r="UL13" i="173"/>
  <c r="UK13" i="173"/>
  <c r="UJ13" i="173"/>
  <c r="UI13" i="173"/>
  <c r="UH13" i="173"/>
  <c r="UG13" i="173"/>
  <c r="UF13" i="173"/>
  <c r="UE13" i="173"/>
  <c r="UD13" i="173"/>
  <c r="UC13" i="173"/>
  <c r="UB13" i="173"/>
  <c r="UA13" i="173"/>
  <c r="TZ13" i="173"/>
  <c r="TY13" i="173"/>
  <c r="TX13" i="173"/>
  <c r="TW13" i="173"/>
  <c r="TV13" i="173"/>
  <c r="TU13" i="173"/>
  <c r="TT13" i="173"/>
  <c r="TS13" i="173"/>
  <c r="TR13" i="173"/>
  <c r="TQ13" i="173"/>
  <c r="TP13" i="173"/>
  <c r="TO13" i="173"/>
  <c r="TN13" i="173"/>
  <c r="TM13" i="173"/>
  <c r="TL13" i="173"/>
  <c r="TK13" i="173"/>
  <c r="TJ13" i="173"/>
  <c r="TI13" i="173"/>
  <c r="TH13" i="173"/>
  <c r="TG13" i="173"/>
  <c r="TF13" i="173"/>
  <c r="TE13" i="173"/>
  <c r="TD13" i="173"/>
  <c r="TC13" i="173"/>
  <c r="TB13" i="173"/>
  <c r="TA13" i="173"/>
  <c r="SZ13" i="173"/>
  <c r="SY13" i="173"/>
  <c r="SX13" i="173"/>
  <c r="SW13" i="173"/>
  <c r="SV13" i="173"/>
  <c r="SU13" i="173"/>
  <c r="ST13" i="173"/>
  <c r="SS13" i="173"/>
  <c r="SR13" i="173"/>
  <c r="SQ13" i="173"/>
  <c r="SP13" i="173"/>
  <c r="SO13" i="173"/>
  <c r="SN13" i="173"/>
  <c r="SM13" i="173"/>
  <c r="SL13" i="173"/>
  <c r="SK13" i="173"/>
  <c r="SJ13" i="173"/>
  <c r="SI13" i="173"/>
  <c r="SH13" i="173"/>
  <c r="SG13" i="173"/>
  <c r="SF13" i="173"/>
  <c r="SE13" i="173"/>
  <c r="SD13" i="173"/>
  <c r="SC13" i="173"/>
  <c r="SB13" i="173"/>
  <c r="SA13" i="173"/>
  <c r="RZ13" i="173"/>
  <c r="RY13" i="173"/>
  <c r="RX13" i="173"/>
  <c r="RW13" i="173"/>
  <c r="RV13" i="173"/>
  <c r="RU13" i="173"/>
  <c r="RT13" i="173"/>
  <c r="RS13" i="173"/>
  <c r="RR13" i="173"/>
  <c r="RQ13" i="173"/>
  <c r="RP13" i="173"/>
  <c r="RO13" i="173"/>
  <c r="RN13" i="173"/>
  <c r="RM13" i="173"/>
  <c r="RL13" i="173"/>
  <c r="RK13" i="173"/>
  <c r="RJ13" i="173"/>
  <c r="RI13" i="173"/>
  <c r="RH13" i="173"/>
  <c r="RG13" i="173"/>
  <c r="RF13" i="173"/>
  <c r="RE13" i="173"/>
  <c r="RD13" i="173"/>
  <c r="RC13" i="173"/>
  <c r="RB13" i="173"/>
  <c r="RA13" i="173"/>
  <c r="QZ13" i="173"/>
  <c r="QY13" i="173"/>
  <c r="QX13" i="173"/>
  <c r="QW13" i="173"/>
  <c r="QV13" i="173"/>
  <c r="QU13" i="173"/>
  <c r="QT13" i="173"/>
  <c r="QS13" i="173"/>
  <c r="QR13" i="173"/>
  <c r="QQ13" i="173"/>
  <c r="QP13" i="173"/>
  <c r="QO13" i="173"/>
  <c r="QN13" i="173"/>
  <c r="QM13" i="173"/>
  <c r="QL13" i="173"/>
  <c r="QK13" i="173"/>
  <c r="QJ13" i="173"/>
  <c r="QI13" i="173"/>
  <c r="QH13" i="173"/>
  <c r="QG13" i="173"/>
  <c r="QF13" i="173"/>
  <c r="QE13" i="173"/>
  <c r="QD13" i="173"/>
  <c r="QC13" i="173"/>
  <c r="QB13" i="173"/>
  <c r="QA13" i="173"/>
  <c r="PZ13" i="173"/>
  <c r="PY13" i="173"/>
  <c r="PX13" i="173"/>
  <c r="PW13" i="173"/>
  <c r="PV13" i="173"/>
  <c r="PU13" i="173"/>
  <c r="PT13" i="173"/>
  <c r="PS13" i="173"/>
  <c r="PR13" i="173"/>
  <c r="PQ13" i="173"/>
  <c r="PP13" i="173"/>
  <c r="PO13" i="173"/>
  <c r="PN13" i="173"/>
  <c r="PM13" i="173"/>
  <c r="PL13" i="173"/>
  <c r="PK13" i="173"/>
  <c r="PJ13" i="173"/>
  <c r="PI13" i="173"/>
  <c r="PH13" i="173"/>
  <c r="PG13" i="173"/>
  <c r="PF13" i="173"/>
  <c r="PE13" i="173"/>
  <c r="PD13" i="173"/>
  <c r="PC13" i="173"/>
  <c r="PB13" i="173"/>
  <c r="PA13" i="173"/>
  <c r="OZ13" i="173"/>
  <c r="OY13" i="173"/>
  <c r="OX13" i="173"/>
  <c r="OW13" i="173"/>
  <c r="OV13" i="173"/>
  <c r="OU13" i="173"/>
  <c r="OT13" i="173"/>
  <c r="OS13" i="173"/>
  <c r="OR13" i="173"/>
  <c r="OQ13" i="173"/>
  <c r="OP13" i="173"/>
  <c r="OO13" i="173"/>
  <c r="ON13" i="173"/>
  <c r="OM13" i="173"/>
  <c r="OL13" i="173"/>
  <c r="OK13" i="173"/>
  <c r="OJ13" i="173"/>
  <c r="OI13" i="173"/>
  <c r="OH13" i="173"/>
  <c r="OG13" i="173"/>
  <c r="OF13" i="173"/>
  <c r="OE13" i="173"/>
  <c r="OD13" i="173"/>
  <c r="OC13" i="173"/>
  <c r="OB13" i="173"/>
  <c r="OA13" i="173"/>
  <c r="NZ13" i="173"/>
  <c r="NY13" i="173"/>
  <c r="NX13" i="173"/>
  <c r="NW13" i="173"/>
  <c r="NV13" i="173"/>
  <c r="NU13" i="173"/>
  <c r="NT13" i="173"/>
  <c r="NS13" i="173"/>
  <c r="NR13" i="173"/>
  <c r="NQ13" i="173"/>
  <c r="NP13" i="173"/>
  <c r="NO13" i="173"/>
  <c r="NN13" i="173"/>
  <c r="NM13" i="173"/>
  <c r="NL13" i="173"/>
  <c r="NK13" i="173"/>
  <c r="NJ13" i="173"/>
  <c r="NI13" i="173"/>
  <c r="NH13" i="173"/>
  <c r="NG13" i="173"/>
  <c r="NF13" i="173"/>
  <c r="NE13" i="173"/>
  <c r="ND13" i="173"/>
  <c r="NC13" i="173"/>
  <c r="NB13" i="173"/>
  <c r="NA13" i="173"/>
  <c r="MZ13" i="173"/>
  <c r="MY13" i="173"/>
  <c r="MX13" i="173"/>
  <c r="MW13" i="173"/>
  <c r="MV13" i="173"/>
  <c r="MU13" i="173"/>
  <c r="MT13" i="173"/>
  <c r="MS13" i="173"/>
  <c r="MR13" i="173"/>
  <c r="MQ13" i="173"/>
  <c r="MP13" i="173"/>
  <c r="MO13" i="173"/>
  <c r="MN13" i="173"/>
  <c r="MM13" i="173"/>
  <c r="ML13" i="173"/>
  <c r="MK13" i="173"/>
  <c r="MJ13" i="173"/>
  <c r="MI13" i="173"/>
  <c r="MH13" i="173"/>
  <c r="MG13" i="173"/>
  <c r="MF13" i="173"/>
  <c r="ME13" i="173"/>
  <c r="MD13" i="173"/>
  <c r="MC13" i="173"/>
  <c r="MB13" i="173"/>
  <c r="MA13" i="173"/>
  <c r="LZ13" i="173"/>
  <c r="LY13" i="173"/>
  <c r="LX13" i="173"/>
  <c r="LW13" i="173"/>
  <c r="LV13" i="173"/>
  <c r="LU13" i="173"/>
  <c r="LT13" i="173"/>
  <c r="LS13" i="173"/>
  <c r="LR13" i="173"/>
  <c r="LQ13" i="173"/>
  <c r="LP13" i="173"/>
  <c r="LO13" i="173"/>
  <c r="LN13" i="173"/>
  <c r="LM13" i="173"/>
  <c r="LL13" i="173"/>
  <c r="LK13" i="173"/>
  <c r="LJ13" i="173"/>
  <c r="LI13" i="173"/>
  <c r="LH13" i="173"/>
  <c r="LG13" i="173"/>
  <c r="LF13" i="173"/>
  <c r="LE13" i="173"/>
  <c r="LD13" i="173"/>
  <c r="LC13" i="173"/>
  <c r="LB13" i="173"/>
  <c r="LA13" i="173"/>
  <c r="KZ13" i="173"/>
  <c r="KY13" i="173"/>
  <c r="KX13" i="173"/>
  <c r="KW13" i="173"/>
  <c r="KV13" i="173"/>
  <c r="KU13" i="173"/>
  <c r="KT13" i="173"/>
  <c r="KS13" i="173"/>
  <c r="KR13" i="173"/>
  <c r="KQ13" i="173"/>
  <c r="KP13" i="173"/>
  <c r="KO13" i="173"/>
  <c r="KN13" i="173"/>
  <c r="KM13" i="173"/>
  <c r="KL13" i="173"/>
  <c r="KK13" i="173"/>
  <c r="KJ13" i="173"/>
  <c r="KI13" i="173"/>
  <c r="KH13" i="173"/>
  <c r="KG13" i="173"/>
  <c r="KF13" i="173"/>
  <c r="KE13" i="173"/>
  <c r="KD13" i="173"/>
  <c r="KC13" i="173"/>
  <c r="KB13" i="173"/>
  <c r="KA13" i="173"/>
  <c r="JZ13" i="173"/>
  <c r="JY13" i="173"/>
  <c r="JX13" i="173"/>
  <c r="JW13" i="173"/>
  <c r="JV13" i="173"/>
  <c r="JU13" i="173"/>
  <c r="JT13" i="173"/>
  <c r="JS13" i="173"/>
  <c r="JR13" i="173"/>
  <c r="JQ13" i="173"/>
  <c r="JP13" i="173"/>
  <c r="JO13" i="173"/>
  <c r="JN13" i="173"/>
  <c r="JM13" i="173"/>
  <c r="JL13" i="173"/>
  <c r="JK13" i="173"/>
  <c r="JJ13" i="173"/>
  <c r="JI13" i="173"/>
  <c r="JH13" i="173"/>
  <c r="JG13" i="173"/>
  <c r="JF13" i="173"/>
  <c r="JE13" i="173"/>
  <c r="JD13" i="173"/>
  <c r="JC13" i="173"/>
  <c r="JB13" i="173"/>
  <c r="JA13" i="173"/>
  <c r="IZ13" i="173"/>
  <c r="IY13" i="173"/>
  <c r="IX13" i="173"/>
  <c r="IW13" i="173"/>
  <c r="IV13" i="173"/>
  <c r="IU13" i="173"/>
  <c r="IT13" i="173"/>
  <c r="IS13" i="173"/>
  <c r="IR13" i="173"/>
  <c r="IQ13" i="173"/>
  <c r="IP13" i="173"/>
  <c r="IO13" i="173"/>
  <c r="IN13" i="173"/>
  <c r="IM13" i="173"/>
  <c r="IL13" i="173"/>
  <c r="IK13" i="173"/>
  <c r="IJ13" i="173"/>
  <c r="II13" i="173"/>
  <c r="IH13" i="173"/>
  <c r="IG13" i="173"/>
  <c r="IF13" i="173"/>
  <c r="IE13" i="173"/>
  <c r="ID13" i="173"/>
  <c r="IC13" i="173"/>
  <c r="IB13" i="173"/>
  <c r="IA13" i="173"/>
  <c r="HZ13" i="173"/>
  <c r="HY13" i="173"/>
  <c r="HX13" i="173"/>
  <c r="HW13" i="173"/>
  <c r="HV13" i="173"/>
  <c r="HU13" i="173"/>
  <c r="HT13" i="173"/>
  <c r="HS13" i="173"/>
  <c r="HR13" i="173"/>
  <c r="HQ13" i="173"/>
  <c r="HP13" i="173"/>
  <c r="HO13" i="173"/>
  <c r="HN13" i="173"/>
  <c r="HM13" i="173"/>
  <c r="HL13" i="173"/>
  <c r="HK13" i="173"/>
  <c r="HJ13" i="173"/>
  <c r="HI13" i="173"/>
  <c r="HH13" i="173"/>
  <c r="HG13" i="173"/>
  <c r="HF13" i="173"/>
  <c r="HE13" i="173"/>
  <c r="HD13" i="173"/>
  <c r="HC13" i="173"/>
  <c r="HB13" i="173"/>
  <c r="HA13" i="173"/>
  <c r="GZ13" i="173"/>
  <c r="GY13" i="173"/>
  <c r="GX13" i="173"/>
  <c r="GW13" i="173"/>
  <c r="GV13" i="173"/>
  <c r="GU13" i="173"/>
  <c r="GT13" i="173"/>
  <c r="GS13" i="173"/>
  <c r="GR13" i="173"/>
  <c r="GQ13" i="173"/>
  <c r="GP13" i="173"/>
  <c r="GO13" i="173"/>
  <c r="GN13" i="173"/>
  <c r="GM13" i="173"/>
  <c r="GL13" i="173"/>
  <c r="GK13" i="173"/>
  <c r="GJ13" i="173"/>
  <c r="GI13" i="173"/>
  <c r="GH13" i="173"/>
  <c r="GG13" i="173"/>
  <c r="GF13" i="173"/>
  <c r="GE13" i="173"/>
  <c r="GD13" i="173"/>
  <c r="GC13" i="173"/>
  <c r="GB13" i="173"/>
  <c r="GA13" i="173"/>
  <c r="FZ13" i="173"/>
  <c r="FY13" i="173"/>
  <c r="FX13" i="173"/>
  <c r="FW13" i="173"/>
  <c r="FV13" i="173"/>
  <c r="FU13" i="173"/>
  <c r="FT13" i="173"/>
  <c r="FS13" i="173"/>
  <c r="FR13" i="173"/>
  <c r="FQ13" i="173"/>
  <c r="FP13" i="173"/>
  <c r="FO13" i="173"/>
  <c r="FN13" i="173"/>
  <c r="FM13" i="173"/>
  <c r="FL13" i="173"/>
  <c r="FK13" i="173"/>
  <c r="FJ13" i="173"/>
  <c r="FI13" i="173"/>
  <c r="FH13" i="173"/>
  <c r="FG13" i="173"/>
  <c r="FF13" i="173"/>
  <c r="FE13" i="173"/>
  <c r="FD13" i="173"/>
  <c r="FC13" i="173"/>
  <c r="FB13" i="173"/>
  <c r="FA13" i="173"/>
  <c r="EZ13" i="173"/>
  <c r="EY13" i="173"/>
  <c r="EX13" i="173"/>
  <c r="EW13" i="173"/>
  <c r="EV13" i="173"/>
  <c r="EU13" i="173"/>
  <c r="ET13" i="173"/>
  <c r="ES13" i="173"/>
  <c r="ER13" i="173"/>
  <c r="EQ13" i="173"/>
  <c r="EP13" i="173"/>
  <c r="EO13" i="173"/>
  <c r="EN13" i="173"/>
  <c r="EM13" i="173"/>
  <c r="EL13" i="173"/>
  <c r="EK13" i="173"/>
  <c r="EJ13" i="173"/>
  <c r="EI13" i="173"/>
  <c r="EH13" i="173"/>
  <c r="EG13" i="173"/>
  <c r="EF13" i="173"/>
  <c r="EE13" i="173"/>
  <c r="ED13" i="173"/>
  <c r="EC13" i="173"/>
  <c r="EB13" i="173"/>
  <c r="EA13" i="173"/>
  <c r="DZ13" i="173"/>
  <c r="DY13" i="173"/>
  <c r="DX13" i="173"/>
  <c r="DW13" i="173"/>
  <c r="DV13" i="173"/>
  <c r="DU13" i="173"/>
  <c r="DT13" i="173"/>
  <c r="DS13" i="173"/>
  <c r="DR13" i="173"/>
  <c r="DQ13" i="173"/>
  <c r="DP13" i="173"/>
  <c r="DO13" i="173"/>
  <c r="DN13" i="173"/>
  <c r="DM13" i="173"/>
  <c r="DL13" i="173"/>
  <c r="DK13" i="173"/>
  <c r="DJ13" i="173"/>
  <c r="DI13" i="173"/>
  <c r="DH13" i="173"/>
  <c r="DG13" i="173"/>
  <c r="DF13" i="173"/>
  <c r="DE13" i="173"/>
  <c r="DD13" i="173"/>
  <c r="DC13" i="173"/>
  <c r="DB13" i="173"/>
  <c r="DA13" i="173"/>
  <c r="CZ13" i="173"/>
  <c r="CY13" i="173"/>
  <c r="CX13" i="173"/>
  <c r="CW13" i="173"/>
  <c r="CV13" i="173"/>
  <c r="CU13" i="173"/>
  <c r="CT13" i="173"/>
  <c r="CS13" i="173"/>
  <c r="CR13" i="173"/>
  <c r="CQ13" i="173"/>
  <c r="CP13" i="173"/>
  <c r="CO13" i="173"/>
  <c r="CN13" i="173"/>
  <c r="CM13" i="173"/>
  <c r="CL13" i="173"/>
  <c r="CK13" i="173"/>
  <c r="CJ13" i="173"/>
  <c r="CI13" i="173"/>
  <c r="CH13" i="173"/>
  <c r="CG13" i="173"/>
  <c r="CF13" i="173"/>
  <c r="CE13" i="173"/>
  <c r="CD13" i="173"/>
  <c r="CC13" i="173"/>
  <c r="CB13" i="173"/>
  <c r="CA13" i="173"/>
  <c r="BZ13" i="173"/>
  <c r="BY13" i="173"/>
  <c r="BX13" i="173"/>
  <c r="BW13" i="173"/>
  <c r="BV13" i="173"/>
  <c r="BU13" i="173"/>
  <c r="BT13" i="173"/>
  <c r="BS13" i="173"/>
  <c r="BR13" i="173"/>
  <c r="BQ13" i="173"/>
  <c r="BP13" i="173"/>
  <c r="BO13" i="173"/>
  <c r="BN13" i="173"/>
  <c r="BM13" i="173"/>
  <c r="BL13" i="173"/>
  <c r="BK13" i="173"/>
  <c r="BJ13" i="173"/>
  <c r="BI13" i="173"/>
  <c r="BH13" i="173"/>
  <c r="BG13" i="173"/>
  <c r="BF13" i="173"/>
  <c r="BE13" i="173"/>
  <c r="BD13" i="173"/>
  <c r="BC13" i="173"/>
  <c r="BB13" i="173"/>
  <c r="BA13" i="173"/>
  <c r="AZ13" i="173"/>
  <c r="AY13" i="173"/>
  <c r="AX13" i="173"/>
  <c r="AW13" i="173"/>
  <c r="AV13" i="173"/>
  <c r="AU13" i="173"/>
  <c r="AT13" i="173"/>
  <c r="AS13" i="173"/>
  <c r="AR13" i="173"/>
  <c r="AQ13" i="173"/>
  <c r="AP13" i="173"/>
  <c r="AO13" i="173"/>
  <c r="AN13" i="173"/>
  <c r="AM13" i="173"/>
  <c r="AL13" i="173"/>
  <c r="AK13" i="173"/>
  <c r="AJ13" i="173"/>
  <c r="AI13" i="173"/>
  <c r="AH13" i="173"/>
  <c r="AG13" i="173"/>
  <c r="AF13" i="173"/>
  <c r="AE13" i="173"/>
  <c r="AD13" i="173"/>
  <c r="AC13" i="173"/>
  <c r="AB13" i="173"/>
  <c r="AA13" i="173"/>
  <c r="Z13" i="173"/>
  <c r="Y13" i="173"/>
  <c r="X13" i="173"/>
  <c r="W13" i="173"/>
  <c r="V13" i="173"/>
  <c r="U13" i="173"/>
  <c r="T13" i="173"/>
  <c r="S13" i="173"/>
  <c r="R13" i="173"/>
  <c r="Q13" i="173"/>
  <c r="P13" i="173"/>
  <c r="O13" i="173"/>
  <c r="N13" i="173"/>
  <c r="M13" i="173"/>
  <c r="L13" i="173"/>
  <c r="K13" i="173"/>
  <c r="J13" i="173"/>
  <c r="I13" i="173"/>
  <c r="H13" i="173"/>
  <c r="G13" i="173"/>
  <c r="F13" i="173"/>
  <c r="D13" i="173"/>
  <c r="AAV12" i="173"/>
  <c r="AAU12" i="173"/>
  <c r="AAT12" i="173"/>
  <c r="AAS12" i="173"/>
  <c r="AAR12" i="173"/>
  <c r="AAQ12" i="173"/>
  <c r="AAP12" i="173"/>
  <c r="AAO12" i="173"/>
  <c r="AAN12" i="173"/>
  <c r="AAM12" i="173"/>
  <c r="AAL12" i="173"/>
  <c r="AAK12" i="173"/>
  <c r="AAJ12" i="173"/>
  <c r="AAI12" i="173"/>
  <c r="AAH12" i="173"/>
  <c r="AAG12" i="173"/>
  <c r="AAF12" i="173"/>
  <c r="AAE12" i="173"/>
  <c r="AAD12" i="173"/>
  <c r="AAC12" i="173"/>
  <c r="AAB12" i="173"/>
  <c r="AAA12" i="173"/>
  <c r="ZZ12" i="173"/>
  <c r="ZY12" i="173"/>
  <c r="ZX12" i="173"/>
  <c r="ZW12" i="173"/>
  <c r="ZV12" i="173"/>
  <c r="ZU12" i="173"/>
  <c r="ZT12" i="173"/>
  <c r="ZS12" i="173"/>
  <c r="ZR12" i="173"/>
  <c r="ZQ12" i="173"/>
  <c r="ZP12" i="173"/>
  <c r="ZO12" i="173"/>
  <c r="ZN12" i="173"/>
  <c r="ZM12" i="173"/>
  <c r="ZL12" i="173"/>
  <c r="ZK12" i="173"/>
  <c r="ZJ12" i="173"/>
  <c r="ZI12" i="173"/>
  <c r="ZH12" i="173"/>
  <c r="ZG12" i="173"/>
  <c r="ZF12" i="173"/>
  <c r="ZE12" i="173"/>
  <c r="ZD12" i="173"/>
  <c r="ZC12" i="173"/>
  <c r="ZB12" i="173"/>
  <c r="ZA12" i="173"/>
  <c r="YZ12" i="173"/>
  <c r="YY12" i="173"/>
  <c r="YX12" i="173"/>
  <c r="YW12" i="173"/>
  <c r="YV12" i="173"/>
  <c r="YU12" i="173"/>
  <c r="YT12" i="173"/>
  <c r="YS12" i="173"/>
  <c r="YR12" i="173"/>
  <c r="YQ12" i="173"/>
  <c r="YP12" i="173"/>
  <c r="YO12" i="173"/>
  <c r="YN12" i="173"/>
  <c r="YM12" i="173"/>
  <c r="YL12" i="173"/>
  <c r="YK12" i="173"/>
  <c r="YJ12" i="173"/>
  <c r="YI12" i="173"/>
  <c r="YH12" i="173"/>
  <c r="YG12" i="173"/>
  <c r="YF12" i="173"/>
  <c r="YE12" i="173"/>
  <c r="YD12" i="173"/>
  <c r="YC12" i="173"/>
  <c r="YB12" i="173"/>
  <c r="YA12" i="173"/>
  <c r="XZ12" i="173"/>
  <c r="XY12" i="173"/>
  <c r="XX12" i="173"/>
  <c r="XW12" i="173"/>
  <c r="XV12" i="173"/>
  <c r="XU12" i="173"/>
  <c r="XT12" i="173"/>
  <c r="XS12" i="173"/>
  <c r="XR12" i="173"/>
  <c r="XQ12" i="173"/>
  <c r="XP12" i="173"/>
  <c r="XO12" i="173"/>
  <c r="XN12" i="173"/>
  <c r="XM12" i="173"/>
  <c r="XL12" i="173"/>
  <c r="XK12" i="173"/>
  <c r="XJ12" i="173"/>
  <c r="XI12" i="173"/>
  <c r="XH12" i="173"/>
  <c r="XG12" i="173"/>
  <c r="XF12" i="173"/>
  <c r="XE12" i="173"/>
  <c r="XD12" i="173"/>
  <c r="XC12" i="173"/>
  <c r="XB12" i="173"/>
  <c r="XA12" i="173"/>
  <c r="WZ12" i="173"/>
  <c r="WY12" i="173"/>
  <c r="WX12" i="173"/>
  <c r="WW12" i="173"/>
  <c r="WV12" i="173"/>
  <c r="WU12" i="173"/>
  <c r="WT12" i="173"/>
  <c r="WS12" i="173"/>
  <c r="WR12" i="173"/>
  <c r="WQ12" i="173"/>
  <c r="WP12" i="173"/>
  <c r="WO12" i="173"/>
  <c r="WN12" i="173"/>
  <c r="WM12" i="173"/>
  <c r="WL12" i="173"/>
  <c r="WK12" i="173"/>
  <c r="WJ12" i="173"/>
  <c r="WI12" i="173"/>
  <c r="WH12" i="173"/>
  <c r="WG12" i="173"/>
  <c r="WF12" i="173"/>
  <c r="WE12" i="173"/>
  <c r="WD12" i="173"/>
  <c r="WC12" i="173"/>
  <c r="WB12" i="173"/>
  <c r="WA12" i="173"/>
  <c r="VZ12" i="173"/>
  <c r="VY12" i="173"/>
  <c r="VX12" i="173"/>
  <c r="VW12" i="173"/>
  <c r="VV12" i="173"/>
  <c r="VU12" i="173"/>
  <c r="VT12" i="173"/>
  <c r="VS12" i="173"/>
  <c r="VR12" i="173"/>
  <c r="VQ12" i="173"/>
  <c r="VP12" i="173"/>
  <c r="VO12" i="173"/>
  <c r="VN12" i="173"/>
  <c r="VM12" i="173"/>
  <c r="VL12" i="173"/>
  <c r="VK12" i="173"/>
  <c r="VJ12" i="173"/>
  <c r="VI12" i="173"/>
  <c r="VH12" i="173"/>
  <c r="VG12" i="173"/>
  <c r="VF12" i="173"/>
  <c r="VE12" i="173"/>
  <c r="VD12" i="173"/>
  <c r="VC12" i="173"/>
  <c r="VB12" i="173"/>
  <c r="VA12" i="173"/>
  <c r="UZ12" i="173"/>
  <c r="UY12" i="173"/>
  <c r="UX12" i="173"/>
  <c r="UW12" i="173"/>
  <c r="UV12" i="173"/>
  <c r="UU12" i="173"/>
  <c r="UT12" i="173"/>
  <c r="US12" i="173"/>
  <c r="UR12" i="173"/>
  <c r="UQ12" i="173"/>
  <c r="UP12" i="173"/>
  <c r="UO12" i="173"/>
  <c r="UN12" i="173"/>
  <c r="UM12" i="173"/>
  <c r="UL12" i="173"/>
  <c r="UK12" i="173"/>
  <c r="UJ12" i="173"/>
  <c r="UI12" i="173"/>
  <c r="UH12" i="173"/>
  <c r="UG12" i="173"/>
  <c r="UF12" i="173"/>
  <c r="UE12" i="173"/>
  <c r="UD12" i="173"/>
  <c r="UC12" i="173"/>
  <c r="UB12" i="173"/>
  <c r="UA12" i="173"/>
  <c r="TZ12" i="173"/>
  <c r="TY12" i="173"/>
  <c r="TX12" i="173"/>
  <c r="TW12" i="173"/>
  <c r="TV12" i="173"/>
  <c r="TU12" i="173"/>
  <c r="TT12" i="173"/>
  <c r="TS12" i="173"/>
  <c r="TR12" i="173"/>
  <c r="TQ12" i="173"/>
  <c r="TP12" i="173"/>
  <c r="TO12" i="173"/>
  <c r="TN12" i="173"/>
  <c r="TM12" i="173"/>
  <c r="TL12" i="173"/>
  <c r="TK12" i="173"/>
  <c r="TJ12" i="173"/>
  <c r="TI12" i="173"/>
  <c r="TH12" i="173"/>
  <c r="TG12" i="173"/>
  <c r="TF12" i="173"/>
  <c r="TE12" i="173"/>
  <c r="TD12" i="173"/>
  <c r="TC12" i="173"/>
  <c r="TB12" i="173"/>
  <c r="TA12" i="173"/>
  <c r="SZ12" i="173"/>
  <c r="SY12" i="173"/>
  <c r="SX12" i="173"/>
  <c r="SW12" i="173"/>
  <c r="SV12" i="173"/>
  <c r="SU12" i="173"/>
  <c r="ST12" i="173"/>
  <c r="SS12" i="173"/>
  <c r="SR12" i="173"/>
  <c r="SQ12" i="173"/>
  <c r="SP12" i="173"/>
  <c r="SO12" i="173"/>
  <c r="SN12" i="173"/>
  <c r="SM12" i="173"/>
  <c r="SL12" i="173"/>
  <c r="SK12" i="173"/>
  <c r="SJ12" i="173"/>
  <c r="SI12" i="173"/>
  <c r="SH12" i="173"/>
  <c r="SG12" i="173"/>
  <c r="SF12" i="173"/>
  <c r="SE12" i="173"/>
  <c r="SD12" i="173"/>
  <c r="SC12" i="173"/>
  <c r="SB12" i="173"/>
  <c r="SA12" i="173"/>
  <c r="RZ12" i="173"/>
  <c r="RY12" i="173"/>
  <c r="RX12" i="173"/>
  <c r="RW12" i="173"/>
  <c r="RV12" i="173"/>
  <c r="RU12" i="173"/>
  <c r="RT12" i="173"/>
  <c r="RS12" i="173"/>
  <c r="RR12" i="173"/>
  <c r="RQ12" i="173"/>
  <c r="RP12" i="173"/>
  <c r="RO12" i="173"/>
  <c r="RN12" i="173"/>
  <c r="RM12" i="173"/>
  <c r="RL12" i="173"/>
  <c r="RK12" i="173"/>
  <c r="RJ12" i="173"/>
  <c r="RI12" i="173"/>
  <c r="RH12" i="173"/>
  <c r="RG12" i="173"/>
  <c r="RF12" i="173"/>
  <c r="RE12" i="173"/>
  <c r="RD12" i="173"/>
  <c r="RC12" i="173"/>
  <c r="RB12" i="173"/>
  <c r="RA12" i="173"/>
  <c r="QZ12" i="173"/>
  <c r="QY12" i="173"/>
  <c r="QX12" i="173"/>
  <c r="QW12" i="173"/>
  <c r="QV12" i="173"/>
  <c r="QU12" i="173"/>
  <c r="QT12" i="173"/>
  <c r="QS12" i="173"/>
  <c r="QR12" i="173"/>
  <c r="QQ12" i="173"/>
  <c r="QP12" i="173"/>
  <c r="QO12" i="173"/>
  <c r="QN12" i="173"/>
  <c r="QM12" i="173"/>
  <c r="QL12" i="173"/>
  <c r="QK12" i="173"/>
  <c r="QJ12" i="173"/>
  <c r="QI12" i="173"/>
  <c r="QH12" i="173"/>
  <c r="QG12" i="173"/>
  <c r="QF12" i="173"/>
  <c r="QE12" i="173"/>
  <c r="QD12" i="173"/>
  <c r="QC12" i="173"/>
  <c r="QB12" i="173"/>
  <c r="QA12" i="173"/>
  <c r="PZ12" i="173"/>
  <c r="PY12" i="173"/>
  <c r="PX12" i="173"/>
  <c r="PW12" i="173"/>
  <c r="PV12" i="173"/>
  <c r="PU12" i="173"/>
  <c r="PT12" i="173"/>
  <c r="PS12" i="173"/>
  <c r="PR12" i="173"/>
  <c r="PQ12" i="173"/>
  <c r="PP12" i="173"/>
  <c r="PO12" i="173"/>
  <c r="PN12" i="173"/>
  <c r="PM12" i="173"/>
  <c r="PL12" i="173"/>
  <c r="PK12" i="173"/>
  <c r="PJ12" i="173"/>
  <c r="PI12" i="173"/>
  <c r="PH12" i="173"/>
  <c r="PG12" i="173"/>
  <c r="PF12" i="173"/>
  <c r="PE12" i="173"/>
  <c r="PD12" i="173"/>
  <c r="PC12" i="173"/>
  <c r="PB12" i="173"/>
  <c r="PA12" i="173"/>
  <c r="OZ12" i="173"/>
  <c r="OY12" i="173"/>
  <c r="OX12" i="173"/>
  <c r="OW12" i="173"/>
  <c r="OV12" i="173"/>
  <c r="OU12" i="173"/>
  <c r="OT12" i="173"/>
  <c r="OS12" i="173"/>
  <c r="OR12" i="173"/>
  <c r="OQ12" i="173"/>
  <c r="OP12" i="173"/>
  <c r="OO12" i="173"/>
  <c r="ON12" i="173"/>
  <c r="OM12" i="173"/>
  <c r="OL12" i="173"/>
  <c r="OK12" i="173"/>
  <c r="OJ12" i="173"/>
  <c r="OI12" i="173"/>
  <c r="OH12" i="173"/>
  <c r="OG12" i="173"/>
  <c r="OF12" i="173"/>
  <c r="OE12" i="173"/>
  <c r="OD12" i="173"/>
  <c r="OC12" i="173"/>
  <c r="OB12" i="173"/>
  <c r="OA12" i="173"/>
  <c r="NZ12" i="173"/>
  <c r="NY12" i="173"/>
  <c r="NX12" i="173"/>
  <c r="NW12" i="173"/>
  <c r="NV12" i="173"/>
  <c r="NU12" i="173"/>
  <c r="NT12" i="173"/>
  <c r="NS12" i="173"/>
  <c r="NR12" i="173"/>
  <c r="NQ12" i="173"/>
  <c r="NP12" i="173"/>
  <c r="NO12" i="173"/>
  <c r="NN12" i="173"/>
  <c r="NM12" i="173"/>
  <c r="NL12" i="173"/>
  <c r="NK12" i="173"/>
  <c r="NJ12" i="173"/>
  <c r="NI12" i="173"/>
  <c r="NH12" i="173"/>
  <c r="NG12" i="173"/>
  <c r="NF12" i="173"/>
  <c r="NE12" i="173"/>
  <c r="ND12" i="173"/>
  <c r="NC12" i="173"/>
  <c r="NB12" i="173"/>
  <c r="NA12" i="173"/>
  <c r="MZ12" i="173"/>
  <c r="MY12" i="173"/>
  <c r="MX12" i="173"/>
  <c r="MW12" i="173"/>
  <c r="MV12" i="173"/>
  <c r="MU12" i="173"/>
  <c r="MT12" i="173"/>
  <c r="MS12" i="173"/>
  <c r="MR12" i="173"/>
  <c r="MQ12" i="173"/>
  <c r="MP12" i="173"/>
  <c r="MO12" i="173"/>
  <c r="MN12" i="173"/>
  <c r="MM12" i="173"/>
  <c r="ML12" i="173"/>
  <c r="MK12" i="173"/>
  <c r="MJ12" i="173"/>
  <c r="MI12" i="173"/>
  <c r="MH12" i="173"/>
  <c r="MG12" i="173"/>
  <c r="MF12" i="173"/>
  <c r="ME12" i="173"/>
  <c r="MD12" i="173"/>
  <c r="MC12" i="173"/>
  <c r="MB12" i="173"/>
  <c r="MA12" i="173"/>
  <c r="LZ12" i="173"/>
  <c r="LY12" i="173"/>
  <c r="LX12" i="173"/>
  <c r="LW12" i="173"/>
  <c r="LV12" i="173"/>
  <c r="LU12" i="173"/>
  <c r="LT12" i="173"/>
  <c r="LS12" i="173"/>
  <c r="LR12" i="173"/>
  <c r="LQ12" i="173"/>
  <c r="LP12" i="173"/>
  <c r="LO12" i="173"/>
  <c r="LN12" i="173"/>
  <c r="LM12" i="173"/>
  <c r="LL12" i="173"/>
  <c r="LK12" i="173"/>
  <c r="LJ12" i="173"/>
  <c r="LI12" i="173"/>
  <c r="LH12" i="173"/>
  <c r="LG12" i="173"/>
  <c r="LF12" i="173"/>
  <c r="LE12" i="173"/>
  <c r="LD12" i="173"/>
  <c r="LC12" i="173"/>
  <c r="LB12" i="173"/>
  <c r="LA12" i="173"/>
  <c r="KZ12" i="173"/>
  <c r="KY12" i="173"/>
  <c r="KX12" i="173"/>
  <c r="KW12" i="173"/>
  <c r="KV12" i="173"/>
  <c r="KU12" i="173"/>
  <c r="KT12" i="173"/>
  <c r="KS12" i="173"/>
  <c r="KR12" i="173"/>
  <c r="KQ12" i="173"/>
  <c r="KP12" i="173"/>
  <c r="KO12" i="173"/>
  <c r="KN12" i="173"/>
  <c r="KM12" i="173"/>
  <c r="KL12" i="173"/>
  <c r="KK12" i="173"/>
  <c r="KJ12" i="173"/>
  <c r="KI12" i="173"/>
  <c r="KH12" i="173"/>
  <c r="KG12" i="173"/>
  <c r="KF12" i="173"/>
  <c r="KE12" i="173"/>
  <c r="KD12" i="173"/>
  <c r="KC12" i="173"/>
  <c r="KB12" i="173"/>
  <c r="KA12" i="173"/>
  <c r="JZ12" i="173"/>
  <c r="JY12" i="173"/>
  <c r="JX12" i="173"/>
  <c r="JW12" i="173"/>
  <c r="JV12" i="173"/>
  <c r="JU12" i="173"/>
  <c r="JT12" i="173"/>
  <c r="JS12" i="173"/>
  <c r="JR12" i="173"/>
  <c r="JQ12" i="173"/>
  <c r="JP12" i="173"/>
  <c r="JO12" i="173"/>
  <c r="JN12" i="173"/>
  <c r="JM12" i="173"/>
  <c r="JL12" i="173"/>
  <c r="JK12" i="173"/>
  <c r="JJ12" i="173"/>
  <c r="JI12" i="173"/>
  <c r="JH12" i="173"/>
  <c r="JG12" i="173"/>
  <c r="JF12" i="173"/>
  <c r="JE12" i="173"/>
  <c r="JD12" i="173"/>
  <c r="JC12" i="173"/>
  <c r="JB12" i="173"/>
  <c r="JA12" i="173"/>
  <c r="IZ12" i="173"/>
  <c r="IY12" i="173"/>
  <c r="IX12" i="173"/>
  <c r="IW12" i="173"/>
  <c r="IV12" i="173"/>
  <c r="IU12" i="173"/>
  <c r="IT12" i="173"/>
  <c r="IS12" i="173"/>
  <c r="IR12" i="173"/>
  <c r="IQ12" i="173"/>
  <c r="IP12" i="173"/>
  <c r="IO12" i="173"/>
  <c r="IN12" i="173"/>
  <c r="IM12" i="173"/>
  <c r="IL12" i="173"/>
  <c r="IK12" i="173"/>
  <c r="IJ12" i="173"/>
  <c r="II12" i="173"/>
  <c r="IH12" i="173"/>
  <c r="IG12" i="173"/>
  <c r="IF12" i="173"/>
  <c r="IE12" i="173"/>
  <c r="ID12" i="173"/>
  <c r="IC12" i="173"/>
  <c r="IB12" i="173"/>
  <c r="IA12" i="173"/>
  <c r="HZ12" i="173"/>
  <c r="HY12" i="173"/>
  <c r="HX12" i="173"/>
  <c r="HW12" i="173"/>
  <c r="HV12" i="173"/>
  <c r="HU12" i="173"/>
  <c r="HT12" i="173"/>
  <c r="HS12" i="173"/>
  <c r="HR12" i="173"/>
  <c r="HQ12" i="173"/>
  <c r="HP12" i="173"/>
  <c r="HO12" i="173"/>
  <c r="HN12" i="173"/>
  <c r="HM12" i="173"/>
  <c r="HL12" i="173"/>
  <c r="HK12" i="173"/>
  <c r="HJ12" i="173"/>
  <c r="HI12" i="173"/>
  <c r="HH12" i="173"/>
  <c r="HG12" i="173"/>
  <c r="HF12" i="173"/>
  <c r="HE12" i="173"/>
  <c r="HD12" i="173"/>
  <c r="HC12" i="173"/>
  <c r="HB12" i="173"/>
  <c r="HA12" i="173"/>
  <c r="GZ12" i="173"/>
  <c r="GY12" i="173"/>
  <c r="GX12" i="173"/>
  <c r="GW12" i="173"/>
  <c r="GV12" i="173"/>
  <c r="GU12" i="173"/>
  <c r="GT12" i="173"/>
  <c r="GS12" i="173"/>
  <c r="GR12" i="173"/>
  <c r="GQ12" i="173"/>
  <c r="GP12" i="173"/>
  <c r="GO12" i="173"/>
  <c r="GN12" i="173"/>
  <c r="GM12" i="173"/>
  <c r="GL12" i="173"/>
  <c r="GK12" i="173"/>
  <c r="GJ12" i="173"/>
  <c r="GI12" i="173"/>
  <c r="GH12" i="173"/>
  <c r="GG12" i="173"/>
  <c r="GF12" i="173"/>
  <c r="GE12" i="173"/>
  <c r="GD12" i="173"/>
  <c r="GC12" i="173"/>
  <c r="GB12" i="173"/>
  <c r="GA12" i="173"/>
  <c r="FZ12" i="173"/>
  <c r="FY12" i="173"/>
  <c r="FX12" i="173"/>
  <c r="FW12" i="173"/>
  <c r="FV12" i="173"/>
  <c r="FU12" i="173"/>
  <c r="FT12" i="173"/>
  <c r="FS12" i="173"/>
  <c r="FR12" i="173"/>
  <c r="FQ12" i="173"/>
  <c r="FP12" i="173"/>
  <c r="FO12" i="173"/>
  <c r="FN12" i="173"/>
  <c r="FM12" i="173"/>
  <c r="FL12" i="173"/>
  <c r="FK12" i="173"/>
  <c r="FJ12" i="173"/>
  <c r="FI12" i="173"/>
  <c r="FH12" i="173"/>
  <c r="FG12" i="173"/>
  <c r="FF12" i="173"/>
  <c r="FE12" i="173"/>
  <c r="FD12" i="173"/>
  <c r="FC12" i="173"/>
  <c r="FB12" i="173"/>
  <c r="FA12" i="173"/>
  <c r="EZ12" i="173"/>
  <c r="EY12" i="173"/>
  <c r="EX12" i="173"/>
  <c r="EW12" i="173"/>
  <c r="EV12" i="173"/>
  <c r="EU12" i="173"/>
  <c r="ET12" i="173"/>
  <c r="ES12" i="173"/>
  <c r="ER12" i="173"/>
  <c r="EQ12" i="173"/>
  <c r="EP12" i="173"/>
  <c r="EO12" i="173"/>
  <c r="EN12" i="173"/>
  <c r="EM12" i="173"/>
  <c r="EL12" i="173"/>
  <c r="EK12" i="173"/>
  <c r="EJ12" i="173"/>
  <c r="EI12" i="173"/>
  <c r="EH12" i="173"/>
  <c r="EG12" i="173"/>
  <c r="EF12" i="173"/>
  <c r="EE12" i="173"/>
  <c r="ED12" i="173"/>
  <c r="EC12" i="173"/>
  <c r="EB12" i="173"/>
  <c r="EA12" i="173"/>
  <c r="DZ12" i="173"/>
  <c r="DY12" i="173"/>
  <c r="DX12" i="173"/>
  <c r="DW12" i="173"/>
  <c r="DV12" i="173"/>
  <c r="DU12" i="173"/>
  <c r="DT12" i="173"/>
  <c r="DS12" i="173"/>
  <c r="DR12" i="173"/>
  <c r="DQ12" i="173"/>
  <c r="DP12" i="173"/>
  <c r="DO12" i="173"/>
  <c r="DN12" i="173"/>
  <c r="DM12" i="173"/>
  <c r="DL12" i="173"/>
  <c r="DK12" i="173"/>
  <c r="DJ12" i="173"/>
  <c r="DI12" i="173"/>
  <c r="DH12" i="173"/>
  <c r="DG12" i="173"/>
  <c r="DF12" i="173"/>
  <c r="DE12" i="173"/>
  <c r="DD12" i="173"/>
  <c r="DC12" i="173"/>
  <c r="DB12" i="173"/>
  <c r="DA12" i="173"/>
  <c r="CZ12" i="173"/>
  <c r="CY12" i="173"/>
  <c r="CX12" i="173"/>
  <c r="CW12" i="173"/>
  <c r="CV12" i="173"/>
  <c r="CU12" i="173"/>
  <c r="CT12" i="173"/>
  <c r="CS12" i="173"/>
  <c r="CR12" i="173"/>
  <c r="CQ12" i="173"/>
  <c r="CP12" i="173"/>
  <c r="CO12" i="173"/>
  <c r="CN12" i="173"/>
  <c r="CM12" i="173"/>
  <c r="CL12" i="173"/>
  <c r="CK12" i="173"/>
  <c r="CJ12" i="173"/>
  <c r="CI12" i="173"/>
  <c r="CH12" i="173"/>
  <c r="CG12" i="173"/>
  <c r="CF12" i="173"/>
  <c r="CE12" i="173"/>
  <c r="CD12" i="173"/>
  <c r="CC12" i="173"/>
  <c r="CB12" i="173"/>
  <c r="CA12" i="173"/>
  <c r="BZ12" i="173"/>
  <c r="BY12" i="173"/>
  <c r="BX12" i="173"/>
  <c r="BW12" i="173"/>
  <c r="BV12" i="173"/>
  <c r="BU12" i="173"/>
  <c r="BT12" i="173"/>
  <c r="BS12" i="173"/>
  <c r="BR12" i="173"/>
  <c r="BQ12" i="173"/>
  <c r="BP12" i="173"/>
  <c r="BO12" i="173"/>
  <c r="BN12" i="173"/>
  <c r="BM12" i="173"/>
  <c r="BL12" i="173"/>
  <c r="BK12" i="173"/>
  <c r="BJ12" i="173"/>
  <c r="BI12" i="173"/>
  <c r="BH12" i="173"/>
  <c r="BG12" i="173"/>
  <c r="BF12" i="173"/>
  <c r="BE12" i="173"/>
  <c r="BD12" i="173"/>
  <c r="BC12" i="173"/>
  <c r="BB12" i="173"/>
  <c r="BA12" i="173"/>
  <c r="AZ12" i="173"/>
  <c r="AY12" i="173"/>
  <c r="AX12" i="173"/>
  <c r="AW12" i="173"/>
  <c r="AV12" i="173"/>
  <c r="AU12" i="173"/>
  <c r="AT12" i="173"/>
  <c r="AS12" i="173"/>
  <c r="AR12" i="173"/>
  <c r="AQ12" i="173"/>
  <c r="AP12" i="173"/>
  <c r="AO12" i="173"/>
  <c r="AN12" i="173"/>
  <c r="AM12" i="173"/>
  <c r="AL12" i="173"/>
  <c r="AK12" i="173"/>
  <c r="AJ12" i="173"/>
  <c r="AI12" i="173"/>
  <c r="AH12" i="173"/>
  <c r="AG12" i="173"/>
  <c r="AF12" i="173"/>
  <c r="AE12" i="173"/>
  <c r="AD12" i="173"/>
  <c r="AC12" i="173"/>
  <c r="AB12" i="173"/>
  <c r="AA12" i="173"/>
  <c r="Z12" i="173"/>
  <c r="Y12" i="173"/>
  <c r="X12" i="173"/>
  <c r="W12" i="173"/>
  <c r="V12" i="173"/>
  <c r="U12" i="173"/>
  <c r="T12" i="173"/>
  <c r="S12" i="173"/>
  <c r="R12" i="173"/>
  <c r="Q12" i="173"/>
  <c r="P12" i="173"/>
  <c r="O12" i="173"/>
  <c r="N12" i="173"/>
  <c r="M12" i="173"/>
  <c r="L12" i="173"/>
  <c r="K12" i="173"/>
  <c r="J12" i="173"/>
  <c r="I12" i="173"/>
  <c r="H12" i="173"/>
  <c r="G12" i="173"/>
  <c r="F12" i="173"/>
  <c r="D12" i="173"/>
  <c r="AAV11" i="173"/>
  <c r="AAU11" i="173"/>
  <c r="AAT11" i="173"/>
  <c r="AAS11" i="173"/>
  <c r="AAR11" i="173"/>
  <c r="AAQ11" i="173"/>
  <c r="AAP11" i="173"/>
  <c r="AAO11" i="173"/>
  <c r="AAN11" i="173"/>
  <c r="AAM11" i="173"/>
  <c r="AAL11" i="173"/>
  <c r="AAK11" i="173"/>
  <c r="AAJ11" i="173"/>
  <c r="AAI11" i="173"/>
  <c r="AAH11" i="173"/>
  <c r="AAG11" i="173"/>
  <c r="AAF11" i="173"/>
  <c r="AAE11" i="173"/>
  <c r="AAD11" i="173"/>
  <c r="AAC11" i="173"/>
  <c r="AAB11" i="173"/>
  <c r="AAA11" i="173"/>
  <c r="ZZ11" i="173"/>
  <c r="ZY11" i="173"/>
  <c r="ZX11" i="173"/>
  <c r="ZW11" i="173"/>
  <c r="ZV11" i="173"/>
  <c r="ZU11" i="173"/>
  <c r="ZT11" i="173"/>
  <c r="ZS11" i="173"/>
  <c r="ZR11" i="173"/>
  <c r="ZQ11" i="173"/>
  <c r="ZP11" i="173"/>
  <c r="ZO11" i="173"/>
  <c r="ZN11" i="173"/>
  <c r="ZM11" i="173"/>
  <c r="ZL11" i="173"/>
  <c r="ZK11" i="173"/>
  <c r="ZJ11" i="173"/>
  <c r="ZI11" i="173"/>
  <c r="ZH11" i="173"/>
  <c r="ZG11" i="173"/>
  <c r="ZF11" i="173"/>
  <c r="ZE11" i="173"/>
  <c r="ZD11" i="173"/>
  <c r="ZC11" i="173"/>
  <c r="ZB11" i="173"/>
  <c r="ZA11" i="173"/>
  <c r="YZ11" i="173"/>
  <c r="YY11" i="173"/>
  <c r="YX11" i="173"/>
  <c r="YW11" i="173"/>
  <c r="YV11" i="173"/>
  <c r="YU11" i="173"/>
  <c r="YT11" i="173"/>
  <c r="YS11" i="173"/>
  <c r="YR11" i="173"/>
  <c r="YQ11" i="173"/>
  <c r="YP11" i="173"/>
  <c r="YO11" i="173"/>
  <c r="YN11" i="173"/>
  <c r="YM11" i="173"/>
  <c r="YL11" i="173"/>
  <c r="YK11" i="173"/>
  <c r="YJ11" i="173"/>
  <c r="YI11" i="173"/>
  <c r="YH11" i="173"/>
  <c r="YG11" i="173"/>
  <c r="YF11" i="173"/>
  <c r="YE11" i="173"/>
  <c r="YD11" i="173"/>
  <c r="YC11" i="173"/>
  <c r="YB11" i="173"/>
  <c r="YA11" i="173"/>
  <c r="XZ11" i="173"/>
  <c r="XY11" i="173"/>
  <c r="XX11" i="173"/>
  <c r="XW11" i="173"/>
  <c r="XV11" i="173"/>
  <c r="XU11" i="173"/>
  <c r="XT11" i="173"/>
  <c r="XS11" i="173"/>
  <c r="XR11" i="173"/>
  <c r="XQ11" i="173"/>
  <c r="XP11" i="173"/>
  <c r="XO11" i="173"/>
  <c r="XN11" i="173"/>
  <c r="XM11" i="173"/>
  <c r="XL11" i="173"/>
  <c r="XK11" i="173"/>
  <c r="XJ11" i="173"/>
  <c r="XI11" i="173"/>
  <c r="XH11" i="173"/>
  <c r="XG11" i="173"/>
  <c r="XF11" i="173"/>
  <c r="XE11" i="173"/>
  <c r="XD11" i="173"/>
  <c r="XC11" i="173"/>
  <c r="XB11" i="173"/>
  <c r="XA11" i="173"/>
  <c r="WZ11" i="173"/>
  <c r="WY11" i="173"/>
  <c r="WX11" i="173"/>
  <c r="WW11" i="173"/>
  <c r="WV11" i="173"/>
  <c r="WU11" i="173"/>
  <c r="WT11" i="173"/>
  <c r="WS11" i="173"/>
  <c r="WR11" i="173"/>
  <c r="WQ11" i="173"/>
  <c r="WP11" i="173"/>
  <c r="WO11" i="173"/>
  <c r="WN11" i="173"/>
  <c r="WM11" i="173"/>
  <c r="WL11" i="173"/>
  <c r="WK11" i="173"/>
  <c r="WJ11" i="173"/>
  <c r="WI11" i="173"/>
  <c r="WH11" i="173"/>
  <c r="WG11" i="173"/>
  <c r="WF11" i="173"/>
  <c r="WE11" i="173"/>
  <c r="WD11" i="173"/>
  <c r="WC11" i="173"/>
  <c r="WB11" i="173"/>
  <c r="WA11" i="173"/>
  <c r="VZ11" i="173"/>
  <c r="VY11" i="173"/>
  <c r="VX11" i="173"/>
  <c r="VW11" i="173"/>
  <c r="VV11" i="173"/>
  <c r="VU11" i="173"/>
  <c r="VT11" i="173"/>
  <c r="VS11" i="173"/>
  <c r="VR11" i="173"/>
  <c r="VQ11" i="173"/>
  <c r="VP11" i="173"/>
  <c r="VO11" i="173"/>
  <c r="VN11" i="173"/>
  <c r="VM11" i="173"/>
  <c r="VL11" i="173"/>
  <c r="VK11" i="173"/>
  <c r="VJ11" i="173"/>
  <c r="VI11" i="173"/>
  <c r="VH11" i="173"/>
  <c r="VG11" i="173"/>
  <c r="VF11" i="173"/>
  <c r="VE11" i="173"/>
  <c r="VD11" i="173"/>
  <c r="VC11" i="173"/>
  <c r="VB11" i="173"/>
  <c r="VA11" i="173"/>
  <c r="UZ11" i="173"/>
  <c r="UY11" i="173"/>
  <c r="UX11" i="173"/>
  <c r="UW11" i="173"/>
  <c r="UV11" i="173"/>
  <c r="UU11" i="173"/>
  <c r="UT11" i="173"/>
  <c r="US11" i="173"/>
  <c r="UR11" i="173"/>
  <c r="UQ11" i="173"/>
  <c r="UP11" i="173"/>
  <c r="UO11" i="173"/>
  <c r="UN11" i="173"/>
  <c r="UM11" i="173"/>
  <c r="UL11" i="173"/>
  <c r="UK11" i="173"/>
  <c r="UJ11" i="173"/>
  <c r="UI11" i="173"/>
  <c r="UH11" i="173"/>
  <c r="UG11" i="173"/>
  <c r="UF11" i="173"/>
  <c r="UE11" i="173"/>
  <c r="UD11" i="173"/>
  <c r="UC11" i="173"/>
  <c r="UB11" i="173"/>
  <c r="UA11" i="173"/>
  <c r="TZ11" i="173"/>
  <c r="TY11" i="173"/>
  <c r="TX11" i="173"/>
  <c r="TW11" i="173"/>
  <c r="TV11" i="173"/>
  <c r="TU11" i="173"/>
  <c r="TT11" i="173"/>
  <c r="TS11" i="173"/>
  <c r="TR11" i="173"/>
  <c r="TQ11" i="173"/>
  <c r="TP11" i="173"/>
  <c r="TO11" i="173"/>
  <c r="TN11" i="173"/>
  <c r="TM11" i="173"/>
  <c r="TL11" i="173"/>
  <c r="TK11" i="173"/>
  <c r="TJ11" i="173"/>
  <c r="TI11" i="173"/>
  <c r="TH11" i="173"/>
  <c r="TG11" i="173"/>
  <c r="TF11" i="173"/>
  <c r="TE11" i="173"/>
  <c r="TD11" i="173"/>
  <c r="TC11" i="173"/>
  <c r="TB11" i="173"/>
  <c r="TA11" i="173"/>
  <c r="SZ11" i="173"/>
  <c r="SY11" i="173"/>
  <c r="SX11" i="173"/>
  <c r="SW11" i="173"/>
  <c r="SV11" i="173"/>
  <c r="SU11" i="173"/>
  <c r="ST11" i="173"/>
  <c r="SS11" i="173"/>
  <c r="SR11" i="173"/>
  <c r="SQ11" i="173"/>
  <c r="SP11" i="173"/>
  <c r="SO11" i="173"/>
  <c r="SN11" i="173"/>
  <c r="SM11" i="173"/>
  <c r="SL11" i="173"/>
  <c r="SK11" i="173"/>
  <c r="SJ11" i="173"/>
  <c r="SI11" i="173"/>
  <c r="SH11" i="173"/>
  <c r="SG11" i="173"/>
  <c r="SF11" i="173"/>
  <c r="SE11" i="173"/>
  <c r="SD11" i="173"/>
  <c r="SC11" i="173"/>
  <c r="SB11" i="173"/>
  <c r="SA11" i="173"/>
  <c r="RZ11" i="173"/>
  <c r="RY11" i="173"/>
  <c r="RX11" i="173"/>
  <c r="RW11" i="173"/>
  <c r="RV11" i="173"/>
  <c r="RU11" i="173"/>
  <c r="RT11" i="173"/>
  <c r="RS11" i="173"/>
  <c r="RR11" i="173"/>
  <c r="RQ11" i="173"/>
  <c r="RP11" i="173"/>
  <c r="RO11" i="173"/>
  <c r="RN11" i="173"/>
  <c r="RM11" i="173"/>
  <c r="RL11" i="173"/>
  <c r="RK11" i="173"/>
  <c r="RJ11" i="173"/>
  <c r="RI11" i="173"/>
  <c r="RH11" i="173"/>
  <c r="RG11" i="173"/>
  <c r="RF11" i="173"/>
  <c r="RE11" i="173"/>
  <c r="RD11" i="173"/>
  <c r="RC11" i="173"/>
  <c r="RB11" i="173"/>
  <c r="RA11" i="173"/>
  <c r="QZ11" i="173"/>
  <c r="QY11" i="173"/>
  <c r="QX11" i="173"/>
  <c r="QW11" i="173"/>
  <c r="QV11" i="173"/>
  <c r="QU11" i="173"/>
  <c r="QT11" i="173"/>
  <c r="QS11" i="173"/>
  <c r="QR11" i="173"/>
  <c r="QQ11" i="173"/>
  <c r="QP11" i="173"/>
  <c r="QO11" i="173"/>
  <c r="QN11" i="173"/>
  <c r="QM11" i="173"/>
  <c r="QL11" i="173"/>
  <c r="QK11" i="173"/>
  <c r="QJ11" i="173"/>
  <c r="QI11" i="173"/>
  <c r="QH11" i="173"/>
  <c r="QG11" i="173"/>
  <c r="QF11" i="173"/>
  <c r="QE11" i="173"/>
  <c r="QD11" i="173"/>
  <c r="QC11" i="173"/>
  <c r="QB11" i="173"/>
  <c r="QA11" i="173"/>
  <c r="PZ11" i="173"/>
  <c r="PY11" i="173"/>
  <c r="PX11" i="173"/>
  <c r="PW11" i="173"/>
  <c r="PV11" i="173"/>
  <c r="PU11" i="173"/>
  <c r="PT11" i="173"/>
  <c r="PS11" i="173"/>
  <c r="PR11" i="173"/>
  <c r="PQ11" i="173"/>
  <c r="PP11" i="173"/>
  <c r="PO11" i="173"/>
  <c r="PN11" i="173"/>
  <c r="PM11" i="173"/>
  <c r="PL11" i="173"/>
  <c r="PK11" i="173"/>
  <c r="PJ11" i="173"/>
  <c r="PI11" i="173"/>
  <c r="PH11" i="173"/>
  <c r="PG11" i="173"/>
  <c r="PF11" i="173"/>
  <c r="PE11" i="173"/>
  <c r="PD11" i="173"/>
  <c r="PC11" i="173"/>
  <c r="PB11" i="173"/>
  <c r="PA11" i="173"/>
  <c r="OZ11" i="173"/>
  <c r="OY11" i="173"/>
  <c r="OX11" i="173"/>
  <c r="OW11" i="173"/>
  <c r="OV11" i="173"/>
  <c r="OU11" i="173"/>
  <c r="OT11" i="173"/>
  <c r="OS11" i="173"/>
  <c r="OR11" i="173"/>
  <c r="OQ11" i="173"/>
  <c r="OP11" i="173"/>
  <c r="OO11" i="173"/>
  <c r="ON11" i="173"/>
  <c r="OM11" i="173"/>
  <c r="OL11" i="173"/>
  <c r="OK11" i="173"/>
  <c r="OJ11" i="173"/>
  <c r="OI11" i="173"/>
  <c r="OH11" i="173"/>
  <c r="OG11" i="173"/>
  <c r="OF11" i="173"/>
  <c r="OE11" i="173"/>
  <c r="OD11" i="173"/>
  <c r="OC11" i="173"/>
  <c r="OB11" i="173"/>
  <c r="OA11" i="173"/>
  <c r="NZ11" i="173"/>
  <c r="NY11" i="173"/>
  <c r="NX11" i="173"/>
  <c r="NW11" i="173"/>
  <c r="NV11" i="173"/>
  <c r="NU11" i="173"/>
  <c r="NT11" i="173"/>
  <c r="NS11" i="173"/>
  <c r="NR11" i="173"/>
  <c r="NQ11" i="173"/>
  <c r="NP11" i="173"/>
  <c r="NO11" i="173"/>
  <c r="NN11" i="173"/>
  <c r="NM11" i="173"/>
  <c r="NL11" i="173"/>
  <c r="NK11" i="173"/>
  <c r="NJ11" i="173"/>
  <c r="NI11" i="173"/>
  <c r="NH11" i="173"/>
  <c r="NG11" i="173"/>
  <c r="NF11" i="173"/>
  <c r="NE11" i="173"/>
  <c r="ND11" i="173"/>
  <c r="NC11" i="173"/>
  <c r="NB11" i="173"/>
  <c r="NA11" i="173"/>
  <c r="MZ11" i="173"/>
  <c r="MY11" i="173"/>
  <c r="MX11" i="173"/>
  <c r="MW11" i="173"/>
  <c r="MV11" i="173"/>
  <c r="MU11" i="173"/>
  <c r="MT11" i="173"/>
  <c r="MS11" i="173"/>
  <c r="MR11" i="173"/>
  <c r="MQ11" i="173"/>
  <c r="MP11" i="173"/>
  <c r="MO11" i="173"/>
  <c r="MN11" i="173"/>
  <c r="MM11" i="173"/>
  <c r="ML11" i="173"/>
  <c r="MK11" i="173"/>
  <c r="MJ11" i="173"/>
  <c r="MI11" i="173"/>
  <c r="MH11" i="173"/>
  <c r="MG11" i="173"/>
  <c r="MF11" i="173"/>
  <c r="ME11" i="173"/>
  <c r="MD11" i="173"/>
  <c r="MC11" i="173"/>
  <c r="MB11" i="173"/>
  <c r="MA11" i="173"/>
  <c r="LZ11" i="173"/>
  <c r="LY11" i="173"/>
  <c r="LX11" i="173"/>
  <c r="LW11" i="173"/>
  <c r="LV11" i="173"/>
  <c r="LU11" i="173"/>
  <c r="LT11" i="173"/>
  <c r="LS11" i="173"/>
  <c r="LR11" i="173"/>
  <c r="LQ11" i="173"/>
  <c r="LP11" i="173"/>
  <c r="LO11" i="173"/>
  <c r="LN11" i="173"/>
  <c r="LM11" i="173"/>
  <c r="LL11" i="173"/>
  <c r="LK11" i="173"/>
  <c r="LJ11" i="173"/>
  <c r="LI11" i="173"/>
  <c r="LH11" i="173"/>
  <c r="LG11" i="173"/>
  <c r="LF11" i="173"/>
  <c r="LE11" i="173"/>
  <c r="LD11" i="173"/>
  <c r="LC11" i="173"/>
  <c r="LB11" i="173"/>
  <c r="LA11" i="173"/>
  <c r="KZ11" i="173"/>
  <c r="KY11" i="173"/>
  <c r="KX11" i="173"/>
  <c r="KW11" i="173"/>
  <c r="KV11" i="173"/>
  <c r="KU11" i="173"/>
  <c r="KT11" i="173"/>
  <c r="KS11" i="173"/>
  <c r="KR11" i="173"/>
  <c r="KQ11" i="173"/>
  <c r="KP11" i="173"/>
  <c r="KO11" i="173"/>
  <c r="KN11" i="173"/>
  <c r="KM11" i="173"/>
  <c r="KL11" i="173"/>
  <c r="KK11" i="173"/>
  <c r="KJ11" i="173"/>
  <c r="KI11" i="173"/>
  <c r="KH11" i="173"/>
  <c r="KG11" i="173"/>
  <c r="KF11" i="173"/>
  <c r="KE11" i="173"/>
  <c r="KD11" i="173"/>
  <c r="KC11" i="173"/>
  <c r="KB11" i="173"/>
  <c r="KA11" i="173"/>
  <c r="JZ11" i="173"/>
  <c r="JY11" i="173"/>
  <c r="JX11" i="173"/>
  <c r="JW11" i="173"/>
  <c r="JV11" i="173"/>
  <c r="JU11" i="173"/>
  <c r="JT11" i="173"/>
  <c r="JS11" i="173"/>
  <c r="JR11" i="173"/>
  <c r="JQ11" i="173"/>
  <c r="JP11" i="173"/>
  <c r="JO11" i="173"/>
  <c r="JN11" i="173"/>
  <c r="JM11" i="173"/>
  <c r="JL11" i="173"/>
  <c r="JK11" i="173"/>
  <c r="JJ11" i="173"/>
  <c r="JI11" i="173"/>
  <c r="JH11" i="173"/>
  <c r="JG11" i="173"/>
  <c r="JF11" i="173"/>
  <c r="JE11" i="173"/>
  <c r="JD11" i="173"/>
  <c r="JC11" i="173"/>
  <c r="JB11" i="173"/>
  <c r="JA11" i="173"/>
  <c r="IZ11" i="173"/>
  <c r="IY11" i="173"/>
  <c r="IX11" i="173"/>
  <c r="IW11" i="173"/>
  <c r="IV11" i="173"/>
  <c r="IU11" i="173"/>
  <c r="IT11" i="173"/>
  <c r="IS11" i="173"/>
  <c r="IR11" i="173"/>
  <c r="IQ11" i="173"/>
  <c r="IP11" i="173"/>
  <c r="IO11" i="173"/>
  <c r="IN11" i="173"/>
  <c r="IM11" i="173"/>
  <c r="IL11" i="173"/>
  <c r="IK11" i="173"/>
  <c r="IJ11" i="173"/>
  <c r="II11" i="173"/>
  <c r="IH11" i="173"/>
  <c r="IG11" i="173"/>
  <c r="IF11" i="173"/>
  <c r="IE11" i="173"/>
  <c r="ID11" i="173"/>
  <c r="IC11" i="173"/>
  <c r="IB11" i="173"/>
  <c r="IA11" i="173"/>
  <c r="HZ11" i="173"/>
  <c r="HY11" i="173"/>
  <c r="HX11" i="173"/>
  <c r="HW11" i="173"/>
  <c r="HV11" i="173"/>
  <c r="HU11" i="173"/>
  <c r="HT11" i="173"/>
  <c r="HS11" i="173"/>
  <c r="HR11" i="173"/>
  <c r="HQ11" i="173"/>
  <c r="HP11" i="173"/>
  <c r="HO11" i="173"/>
  <c r="HN11" i="173"/>
  <c r="HM11" i="173"/>
  <c r="HL11" i="173"/>
  <c r="HK11" i="173"/>
  <c r="HJ11" i="173"/>
  <c r="HI11" i="173"/>
  <c r="HH11" i="173"/>
  <c r="HG11" i="173"/>
  <c r="HF11" i="173"/>
  <c r="HE11" i="173"/>
  <c r="HD11" i="173"/>
  <c r="HC11" i="173"/>
  <c r="HB11" i="173"/>
  <c r="HA11" i="173"/>
  <c r="GZ11" i="173"/>
  <c r="GY11" i="173"/>
  <c r="GX11" i="173"/>
  <c r="GW11" i="173"/>
  <c r="GV11" i="173"/>
  <c r="GU11" i="173"/>
  <c r="GT11" i="173"/>
  <c r="GS11" i="173"/>
  <c r="GR11" i="173"/>
  <c r="GQ11" i="173"/>
  <c r="GP11" i="173"/>
  <c r="GO11" i="173"/>
  <c r="GN11" i="173"/>
  <c r="GM11" i="173"/>
  <c r="GL11" i="173"/>
  <c r="GK11" i="173"/>
  <c r="GJ11" i="173"/>
  <c r="GI11" i="173"/>
  <c r="GH11" i="173"/>
  <c r="GG11" i="173"/>
  <c r="GF11" i="173"/>
  <c r="GE11" i="173"/>
  <c r="GD11" i="173"/>
  <c r="GC11" i="173"/>
  <c r="GB11" i="173"/>
  <c r="GA11" i="173"/>
  <c r="FZ11" i="173"/>
  <c r="FY11" i="173"/>
  <c r="FX11" i="173"/>
  <c r="FW11" i="173"/>
  <c r="FV11" i="173"/>
  <c r="FU11" i="173"/>
  <c r="FT11" i="173"/>
  <c r="FS11" i="173"/>
  <c r="FR11" i="173"/>
  <c r="FQ11" i="173"/>
  <c r="FP11" i="173"/>
  <c r="FO11" i="173"/>
  <c r="FN11" i="173"/>
  <c r="FM11" i="173"/>
  <c r="FL11" i="173"/>
  <c r="FK11" i="173"/>
  <c r="FJ11" i="173"/>
  <c r="FI11" i="173"/>
  <c r="FH11" i="173"/>
  <c r="FG11" i="173"/>
  <c r="FF11" i="173"/>
  <c r="FE11" i="173"/>
  <c r="FD11" i="173"/>
  <c r="FC11" i="173"/>
  <c r="FB11" i="173"/>
  <c r="FA11" i="173"/>
  <c r="EZ11" i="173"/>
  <c r="EY11" i="173"/>
  <c r="EX11" i="173"/>
  <c r="EW11" i="173"/>
  <c r="EV11" i="173"/>
  <c r="EU11" i="173"/>
  <c r="ET11" i="173"/>
  <c r="ES11" i="173"/>
  <c r="ER11" i="173"/>
  <c r="EQ11" i="173"/>
  <c r="EP11" i="173"/>
  <c r="EO11" i="173"/>
  <c r="EN11" i="173"/>
  <c r="EM11" i="173"/>
  <c r="EL11" i="173"/>
  <c r="EK11" i="173"/>
  <c r="EJ11" i="173"/>
  <c r="EI11" i="173"/>
  <c r="EH11" i="173"/>
  <c r="EG11" i="173"/>
  <c r="EF11" i="173"/>
  <c r="EE11" i="173"/>
  <c r="ED11" i="173"/>
  <c r="EC11" i="173"/>
  <c r="EB11" i="173"/>
  <c r="EA11" i="173"/>
  <c r="DZ11" i="173"/>
  <c r="DY11" i="173"/>
  <c r="DX11" i="173"/>
  <c r="DW11" i="173"/>
  <c r="DV11" i="173"/>
  <c r="DU11" i="173"/>
  <c r="DT11" i="173"/>
  <c r="DS11" i="173"/>
  <c r="DR11" i="173"/>
  <c r="DQ11" i="173"/>
  <c r="DP11" i="173"/>
  <c r="DO11" i="173"/>
  <c r="DN11" i="173"/>
  <c r="DM11" i="173"/>
  <c r="DL11" i="173"/>
  <c r="DK11" i="173"/>
  <c r="DJ11" i="173"/>
  <c r="DI11" i="173"/>
  <c r="DH11" i="173"/>
  <c r="DG11" i="173"/>
  <c r="DF11" i="173"/>
  <c r="DE11" i="173"/>
  <c r="DD11" i="173"/>
  <c r="DC11" i="173"/>
  <c r="DB11" i="173"/>
  <c r="DA11" i="173"/>
  <c r="CZ11" i="173"/>
  <c r="CY11" i="173"/>
  <c r="CX11" i="173"/>
  <c r="CW11" i="173"/>
  <c r="CV11" i="173"/>
  <c r="CU11" i="173"/>
  <c r="CT11" i="173"/>
  <c r="CS11" i="173"/>
  <c r="CR11" i="173"/>
  <c r="CQ11" i="173"/>
  <c r="CP11" i="173"/>
  <c r="CO11" i="173"/>
  <c r="CN11" i="173"/>
  <c r="CM11" i="173"/>
  <c r="CL11" i="173"/>
  <c r="CK11" i="173"/>
  <c r="CJ11" i="173"/>
  <c r="CI11" i="173"/>
  <c r="CH11" i="173"/>
  <c r="CG11" i="173"/>
  <c r="CF11" i="173"/>
  <c r="CE11" i="173"/>
  <c r="CD11" i="173"/>
  <c r="CC11" i="173"/>
  <c r="CB11" i="173"/>
  <c r="CA11" i="173"/>
  <c r="BZ11" i="173"/>
  <c r="BY11" i="173"/>
  <c r="BX11" i="173"/>
  <c r="BW11" i="173"/>
  <c r="BV11" i="173"/>
  <c r="BU11" i="173"/>
  <c r="BT11" i="173"/>
  <c r="BS11" i="173"/>
  <c r="BR11" i="173"/>
  <c r="BQ11" i="173"/>
  <c r="BP11" i="173"/>
  <c r="BO11" i="173"/>
  <c r="BN11" i="173"/>
  <c r="BM11" i="173"/>
  <c r="BL11" i="173"/>
  <c r="BK11" i="173"/>
  <c r="BJ11" i="173"/>
  <c r="BI11" i="173"/>
  <c r="BH11" i="173"/>
  <c r="BG11" i="173"/>
  <c r="BF11" i="173"/>
  <c r="BE11" i="173"/>
  <c r="BD11" i="173"/>
  <c r="BC11" i="173"/>
  <c r="BB11" i="173"/>
  <c r="BA11" i="173"/>
  <c r="AZ11" i="173"/>
  <c r="AY11" i="173"/>
  <c r="AX11" i="173"/>
  <c r="AW11" i="173"/>
  <c r="AV11" i="173"/>
  <c r="AU11" i="173"/>
  <c r="AT11" i="173"/>
  <c r="AS11" i="173"/>
  <c r="AR11" i="173"/>
  <c r="AQ11" i="173"/>
  <c r="AP11" i="173"/>
  <c r="AO11" i="173"/>
  <c r="AN11" i="173"/>
  <c r="AM11" i="173"/>
  <c r="AL11" i="173"/>
  <c r="AK11" i="173"/>
  <c r="AJ11" i="173"/>
  <c r="AI11" i="173"/>
  <c r="AH11" i="173"/>
  <c r="AG11" i="173"/>
  <c r="AF11" i="173"/>
  <c r="AE11" i="173"/>
  <c r="AD11" i="173"/>
  <c r="AC11" i="173"/>
  <c r="AB11" i="173"/>
  <c r="AA11" i="173"/>
  <c r="Z11" i="173"/>
  <c r="Y11" i="173"/>
  <c r="X11" i="173"/>
  <c r="W11" i="173"/>
  <c r="V11" i="173"/>
  <c r="U11" i="173"/>
  <c r="T11" i="173"/>
  <c r="S11" i="173"/>
  <c r="R11" i="173"/>
  <c r="Q11" i="173"/>
  <c r="P11" i="173"/>
  <c r="O11" i="173"/>
  <c r="N11" i="173"/>
  <c r="M11" i="173"/>
  <c r="L11" i="173"/>
  <c r="K11" i="173"/>
  <c r="J11" i="173"/>
  <c r="I11" i="173"/>
  <c r="H11" i="173"/>
  <c r="G11" i="173"/>
  <c r="F11" i="173"/>
  <c r="D11" i="173"/>
  <c r="AAV10" i="173"/>
  <c r="AAU10" i="173"/>
  <c r="AAT10" i="173"/>
  <c r="AAS10" i="173"/>
  <c r="AAR10" i="173"/>
  <c r="AAQ10" i="173"/>
  <c r="AAP10" i="173"/>
  <c r="AAO10" i="173"/>
  <c r="AAN10" i="173"/>
  <c r="AAM10" i="173"/>
  <c r="AAL10" i="173"/>
  <c r="AAK10" i="173"/>
  <c r="AAJ10" i="173"/>
  <c r="AAI10" i="173"/>
  <c r="AAH10" i="173"/>
  <c r="AAG10" i="173"/>
  <c r="AAF10" i="173"/>
  <c r="AAE10" i="173"/>
  <c r="AAD10" i="173"/>
  <c r="AAC10" i="173"/>
  <c r="AAB10" i="173"/>
  <c r="AAA10" i="173"/>
  <c r="ZZ10" i="173"/>
  <c r="ZY10" i="173"/>
  <c r="ZX10" i="173"/>
  <c r="ZW10" i="173"/>
  <c r="ZV10" i="173"/>
  <c r="ZU10" i="173"/>
  <c r="ZT10" i="173"/>
  <c r="ZS10" i="173"/>
  <c r="ZR10" i="173"/>
  <c r="ZQ10" i="173"/>
  <c r="ZP10" i="173"/>
  <c r="ZO10" i="173"/>
  <c r="ZN10" i="173"/>
  <c r="ZM10" i="173"/>
  <c r="ZL10" i="173"/>
  <c r="ZK10" i="173"/>
  <c r="ZJ10" i="173"/>
  <c r="ZI10" i="173"/>
  <c r="ZH10" i="173"/>
  <c r="ZG10" i="173"/>
  <c r="ZF10" i="173"/>
  <c r="ZE10" i="173"/>
  <c r="ZD10" i="173"/>
  <c r="ZC10" i="173"/>
  <c r="ZB10" i="173"/>
  <c r="ZA10" i="173"/>
  <c r="YZ10" i="173"/>
  <c r="YY10" i="173"/>
  <c r="YX10" i="173"/>
  <c r="YW10" i="173"/>
  <c r="YV10" i="173"/>
  <c r="YU10" i="173"/>
  <c r="YT10" i="173"/>
  <c r="YS10" i="173"/>
  <c r="YR10" i="173"/>
  <c r="YQ10" i="173"/>
  <c r="YP10" i="173"/>
  <c r="YO10" i="173"/>
  <c r="YN10" i="173"/>
  <c r="YM10" i="173"/>
  <c r="YL10" i="173"/>
  <c r="YK10" i="173"/>
  <c r="YJ10" i="173"/>
  <c r="YI10" i="173"/>
  <c r="YH10" i="173"/>
  <c r="YG10" i="173"/>
  <c r="YF10" i="173"/>
  <c r="YE10" i="173"/>
  <c r="YD10" i="173"/>
  <c r="YC10" i="173"/>
  <c r="YB10" i="173"/>
  <c r="YA10" i="173"/>
  <c r="XZ10" i="173"/>
  <c r="XY10" i="173"/>
  <c r="XX10" i="173"/>
  <c r="XW10" i="173"/>
  <c r="XV10" i="173"/>
  <c r="XU10" i="173"/>
  <c r="XT10" i="173"/>
  <c r="XS10" i="173"/>
  <c r="XR10" i="173"/>
  <c r="XQ10" i="173"/>
  <c r="XP10" i="173"/>
  <c r="XO10" i="173"/>
  <c r="XN10" i="173"/>
  <c r="XM10" i="173"/>
  <c r="XL10" i="173"/>
  <c r="XK10" i="173"/>
  <c r="XJ10" i="173"/>
  <c r="XI10" i="173"/>
  <c r="XH10" i="173"/>
  <c r="XG10" i="173"/>
  <c r="XF10" i="173"/>
  <c r="XE10" i="173"/>
  <c r="XD10" i="173"/>
  <c r="XC10" i="173"/>
  <c r="XB10" i="173"/>
  <c r="XA10" i="173"/>
  <c r="WZ10" i="173"/>
  <c r="WY10" i="173"/>
  <c r="WX10" i="173"/>
  <c r="WW10" i="173"/>
  <c r="WV10" i="173"/>
  <c r="WU10" i="173"/>
  <c r="WT10" i="173"/>
  <c r="WS10" i="173"/>
  <c r="WR10" i="173"/>
  <c r="WQ10" i="173"/>
  <c r="WP10" i="173"/>
  <c r="WO10" i="173"/>
  <c r="WN10" i="173"/>
  <c r="WM10" i="173"/>
  <c r="WL10" i="173"/>
  <c r="WK10" i="173"/>
  <c r="WJ10" i="173"/>
  <c r="WI10" i="173"/>
  <c r="WH10" i="173"/>
  <c r="WG10" i="173"/>
  <c r="WF10" i="173"/>
  <c r="WE10" i="173"/>
  <c r="WD10" i="173"/>
  <c r="WC10" i="173"/>
  <c r="WB10" i="173"/>
  <c r="WA10" i="173"/>
  <c r="VZ10" i="173"/>
  <c r="VY10" i="173"/>
  <c r="VX10" i="173"/>
  <c r="VW10" i="173"/>
  <c r="VV10" i="173"/>
  <c r="VU10" i="173"/>
  <c r="VT10" i="173"/>
  <c r="VS10" i="173"/>
  <c r="VR10" i="173"/>
  <c r="VQ10" i="173"/>
  <c r="VP10" i="173"/>
  <c r="VO10" i="173"/>
  <c r="VN10" i="173"/>
  <c r="VM10" i="173"/>
  <c r="VL10" i="173"/>
  <c r="VK10" i="173"/>
  <c r="VJ10" i="173"/>
  <c r="VI10" i="173"/>
  <c r="VH10" i="173"/>
  <c r="VG10" i="173"/>
  <c r="VF10" i="173"/>
  <c r="VE10" i="173"/>
  <c r="VD10" i="173"/>
  <c r="VC10" i="173"/>
  <c r="VB10" i="173"/>
  <c r="VA10" i="173"/>
  <c r="UZ10" i="173"/>
  <c r="UY10" i="173"/>
  <c r="UX10" i="173"/>
  <c r="UW10" i="173"/>
  <c r="UV10" i="173"/>
  <c r="UU10" i="173"/>
  <c r="UT10" i="173"/>
  <c r="US10" i="173"/>
  <c r="UR10" i="173"/>
  <c r="UQ10" i="173"/>
  <c r="UP10" i="173"/>
  <c r="UO10" i="173"/>
  <c r="UN10" i="173"/>
  <c r="UM10" i="173"/>
  <c r="UL10" i="173"/>
  <c r="UK10" i="173"/>
  <c r="UJ10" i="173"/>
  <c r="UI10" i="173"/>
  <c r="UH10" i="173"/>
  <c r="UG10" i="173"/>
  <c r="UF10" i="173"/>
  <c r="UE10" i="173"/>
  <c r="UD10" i="173"/>
  <c r="UC10" i="173"/>
  <c r="UB10" i="173"/>
  <c r="UA10" i="173"/>
  <c r="TZ10" i="173"/>
  <c r="TY10" i="173"/>
  <c r="TX10" i="173"/>
  <c r="TW10" i="173"/>
  <c r="TV10" i="173"/>
  <c r="TU10" i="173"/>
  <c r="TT10" i="173"/>
  <c r="TS10" i="173"/>
  <c r="TR10" i="173"/>
  <c r="TQ10" i="173"/>
  <c r="TP10" i="173"/>
  <c r="TO10" i="173"/>
  <c r="TN10" i="173"/>
  <c r="TM10" i="173"/>
  <c r="TL10" i="173"/>
  <c r="TK10" i="173"/>
  <c r="TJ10" i="173"/>
  <c r="TI10" i="173"/>
  <c r="TH10" i="173"/>
  <c r="TG10" i="173"/>
  <c r="TF10" i="173"/>
  <c r="TE10" i="173"/>
  <c r="TD10" i="173"/>
  <c r="TC10" i="173"/>
  <c r="TB10" i="173"/>
  <c r="TA10" i="173"/>
  <c r="SZ10" i="173"/>
  <c r="SY10" i="173"/>
  <c r="SX10" i="173"/>
  <c r="SW10" i="173"/>
  <c r="SV10" i="173"/>
  <c r="SU10" i="173"/>
  <c r="ST10" i="173"/>
  <c r="SS10" i="173"/>
  <c r="SR10" i="173"/>
  <c r="SQ10" i="173"/>
  <c r="SP10" i="173"/>
  <c r="SO10" i="173"/>
  <c r="SN10" i="173"/>
  <c r="SM10" i="173"/>
  <c r="SL10" i="173"/>
  <c r="SK10" i="173"/>
  <c r="SJ10" i="173"/>
  <c r="SI10" i="173"/>
  <c r="SH10" i="173"/>
  <c r="SG10" i="173"/>
  <c r="SF10" i="173"/>
  <c r="SE10" i="173"/>
  <c r="SD10" i="173"/>
  <c r="SC10" i="173"/>
  <c r="SB10" i="173"/>
  <c r="SA10" i="173"/>
  <c r="RZ10" i="173"/>
  <c r="RY10" i="173"/>
  <c r="RX10" i="173"/>
  <c r="RW10" i="173"/>
  <c r="RV10" i="173"/>
  <c r="RU10" i="173"/>
  <c r="RT10" i="173"/>
  <c r="RS10" i="173"/>
  <c r="RR10" i="173"/>
  <c r="RQ10" i="173"/>
  <c r="RP10" i="173"/>
  <c r="RO10" i="173"/>
  <c r="RN10" i="173"/>
  <c r="RM10" i="173"/>
  <c r="RL10" i="173"/>
  <c r="RK10" i="173"/>
  <c r="RJ10" i="173"/>
  <c r="RI10" i="173"/>
  <c r="RH10" i="173"/>
  <c r="RG10" i="173"/>
  <c r="RF10" i="173"/>
  <c r="RE10" i="173"/>
  <c r="RD10" i="173"/>
  <c r="RC10" i="173"/>
  <c r="RB10" i="173"/>
  <c r="RA10" i="173"/>
  <c r="QZ10" i="173"/>
  <c r="QY10" i="173"/>
  <c r="QX10" i="173"/>
  <c r="QW10" i="173"/>
  <c r="QV10" i="173"/>
  <c r="QU10" i="173"/>
  <c r="QT10" i="173"/>
  <c r="QS10" i="173"/>
  <c r="QR10" i="173"/>
  <c r="QQ10" i="173"/>
  <c r="QP10" i="173"/>
  <c r="QO10" i="173"/>
  <c r="QN10" i="173"/>
  <c r="QM10" i="173"/>
  <c r="QL10" i="173"/>
  <c r="QK10" i="173"/>
  <c r="QJ10" i="173"/>
  <c r="QI10" i="173"/>
  <c r="QH10" i="173"/>
  <c r="QG10" i="173"/>
  <c r="QF10" i="173"/>
  <c r="QE10" i="173"/>
  <c r="QD10" i="173"/>
  <c r="QC10" i="173"/>
  <c r="QB10" i="173"/>
  <c r="QA10" i="173"/>
  <c r="PZ10" i="173"/>
  <c r="PY10" i="173"/>
  <c r="PX10" i="173"/>
  <c r="PW10" i="173"/>
  <c r="PV10" i="173"/>
  <c r="PU10" i="173"/>
  <c r="PT10" i="173"/>
  <c r="PS10" i="173"/>
  <c r="PR10" i="173"/>
  <c r="PQ10" i="173"/>
  <c r="PP10" i="173"/>
  <c r="PO10" i="173"/>
  <c r="PN10" i="173"/>
  <c r="PM10" i="173"/>
  <c r="PL10" i="173"/>
  <c r="PK10" i="173"/>
  <c r="PJ10" i="173"/>
  <c r="PI10" i="173"/>
  <c r="PH10" i="173"/>
  <c r="PG10" i="173"/>
  <c r="PF10" i="173"/>
  <c r="PE10" i="173"/>
  <c r="PD10" i="173"/>
  <c r="PC10" i="173"/>
  <c r="PB10" i="173"/>
  <c r="PA10" i="173"/>
  <c r="OZ10" i="173"/>
  <c r="OY10" i="173"/>
  <c r="OX10" i="173"/>
  <c r="OW10" i="173"/>
  <c r="OV10" i="173"/>
  <c r="OU10" i="173"/>
  <c r="OT10" i="173"/>
  <c r="OS10" i="173"/>
  <c r="OR10" i="173"/>
  <c r="OQ10" i="173"/>
  <c r="OP10" i="173"/>
  <c r="OO10" i="173"/>
  <c r="ON10" i="173"/>
  <c r="OM10" i="173"/>
  <c r="OL10" i="173"/>
  <c r="OK10" i="173"/>
  <c r="OJ10" i="173"/>
  <c r="OI10" i="173"/>
  <c r="OH10" i="173"/>
  <c r="OG10" i="173"/>
  <c r="OF10" i="173"/>
  <c r="OE10" i="173"/>
  <c r="OD10" i="173"/>
  <c r="OC10" i="173"/>
  <c r="OB10" i="173"/>
  <c r="OA10" i="173"/>
  <c r="NZ10" i="173"/>
  <c r="NY10" i="173"/>
  <c r="NX10" i="173"/>
  <c r="NW10" i="173"/>
  <c r="NV10" i="173"/>
  <c r="NU10" i="173"/>
  <c r="NT10" i="173"/>
  <c r="NS10" i="173"/>
  <c r="NR10" i="173"/>
  <c r="NQ10" i="173"/>
  <c r="NP10" i="173"/>
  <c r="NO10" i="173"/>
  <c r="NN10" i="173"/>
  <c r="NM10" i="173"/>
  <c r="NL10" i="173"/>
  <c r="NK10" i="173"/>
  <c r="NJ10" i="173"/>
  <c r="NI10" i="173"/>
  <c r="NH10" i="173"/>
  <c r="NG10" i="173"/>
  <c r="NF10" i="173"/>
  <c r="NE10" i="173"/>
  <c r="ND10" i="173"/>
  <c r="NC10" i="173"/>
  <c r="NB10" i="173"/>
  <c r="NA10" i="173"/>
  <c r="MZ10" i="173"/>
  <c r="MY10" i="173"/>
  <c r="MX10" i="173"/>
  <c r="MW10" i="173"/>
  <c r="MV10" i="173"/>
  <c r="MU10" i="173"/>
  <c r="MT10" i="173"/>
  <c r="MS10" i="173"/>
  <c r="MR10" i="173"/>
  <c r="MQ10" i="173"/>
  <c r="MP10" i="173"/>
  <c r="MO10" i="173"/>
  <c r="MN10" i="173"/>
  <c r="MM10" i="173"/>
  <c r="ML10" i="173"/>
  <c r="MK10" i="173"/>
  <c r="MJ10" i="173"/>
  <c r="MI10" i="173"/>
  <c r="MH10" i="173"/>
  <c r="MG10" i="173"/>
  <c r="MF10" i="173"/>
  <c r="ME10" i="173"/>
  <c r="MD10" i="173"/>
  <c r="MC10" i="173"/>
  <c r="MB10" i="173"/>
  <c r="MA10" i="173"/>
  <c r="LZ10" i="173"/>
  <c r="LY10" i="173"/>
  <c r="LX10" i="173"/>
  <c r="LW10" i="173"/>
  <c r="LV10" i="173"/>
  <c r="LU10" i="173"/>
  <c r="LT10" i="173"/>
  <c r="LS10" i="173"/>
  <c r="LR10" i="173"/>
  <c r="LQ10" i="173"/>
  <c r="LP10" i="173"/>
  <c r="LO10" i="173"/>
  <c r="LN10" i="173"/>
  <c r="LM10" i="173"/>
  <c r="LL10" i="173"/>
  <c r="LK10" i="173"/>
  <c r="LJ10" i="173"/>
  <c r="LI10" i="173"/>
  <c r="LH10" i="173"/>
  <c r="LG10" i="173"/>
  <c r="LF10" i="173"/>
  <c r="LE10" i="173"/>
  <c r="LD10" i="173"/>
  <c r="LC10" i="173"/>
  <c r="LB10" i="173"/>
  <c r="LA10" i="173"/>
  <c r="KZ10" i="173"/>
  <c r="KY10" i="173"/>
  <c r="KX10" i="173"/>
  <c r="KW10" i="173"/>
  <c r="KV10" i="173"/>
  <c r="KU10" i="173"/>
  <c r="KT10" i="173"/>
  <c r="KS10" i="173"/>
  <c r="KR10" i="173"/>
  <c r="KQ10" i="173"/>
  <c r="KP10" i="173"/>
  <c r="KO10" i="173"/>
  <c r="KN10" i="173"/>
  <c r="KM10" i="173"/>
  <c r="KL10" i="173"/>
  <c r="KK10" i="173"/>
  <c r="KJ10" i="173"/>
  <c r="KI10" i="173"/>
  <c r="KH10" i="173"/>
  <c r="KG10" i="173"/>
  <c r="KF10" i="173"/>
  <c r="KE10" i="173"/>
  <c r="KD10" i="173"/>
  <c r="KC10" i="173"/>
  <c r="KB10" i="173"/>
  <c r="KA10" i="173"/>
  <c r="JZ10" i="173"/>
  <c r="JY10" i="173"/>
  <c r="JX10" i="173"/>
  <c r="JW10" i="173"/>
  <c r="JV10" i="173"/>
  <c r="JU10" i="173"/>
  <c r="JT10" i="173"/>
  <c r="JS10" i="173"/>
  <c r="JR10" i="173"/>
  <c r="JQ10" i="173"/>
  <c r="JP10" i="173"/>
  <c r="JO10" i="173"/>
  <c r="JN10" i="173"/>
  <c r="JM10" i="173"/>
  <c r="JL10" i="173"/>
  <c r="JK10" i="173"/>
  <c r="JJ10" i="173"/>
  <c r="JI10" i="173"/>
  <c r="JH10" i="173"/>
  <c r="JG10" i="173"/>
  <c r="JF10" i="173"/>
  <c r="JE10" i="173"/>
  <c r="JD10" i="173"/>
  <c r="JC10" i="173"/>
  <c r="JB10" i="173"/>
  <c r="JA10" i="173"/>
  <c r="IZ10" i="173"/>
  <c r="IY10" i="173"/>
  <c r="IX10" i="173"/>
  <c r="IW10" i="173"/>
  <c r="IV10" i="173"/>
  <c r="IU10" i="173"/>
  <c r="IT10" i="173"/>
  <c r="IS10" i="173"/>
  <c r="IR10" i="173"/>
  <c r="IQ10" i="173"/>
  <c r="IP10" i="173"/>
  <c r="IO10" i="173"/>
  <c r="IN10" i="173"/>
  <c r="IM10" i="173"/>
  <c r="IL10" i="173"/>
  <c r="IK10" i="173"/>
  <c r="IJ10" i="173"/>
  <c r="II10" i="173"/>
  <c r="IH10" i="173"/>
  <c r="IG10" i="173"/>
  <c r="IF10" i="173"/>
  <c r="IE10" i="173"/>
  <c r="ID10" i="173"/>
  <c r="IC10" i="173"/>
  <c r="IB10" i="173"/>
  <c r="IA10" i="173"/>
  <c r="HZ10" i="173"/>
  <c r="HY10" i="173"/>
  <c r="HX10" i="173"/>
  <c r="HW10" i="173"/>
  <c r="HV10" i="173"/>
  <c r="HU10" i="173"/>
  <c r="HT10" i="173"/>
  <c r="HS10" i="173"/>
  <c r="HR10" i="173"/>
  <c r="HQ10" i="173"/>
  <c r="HP10" i="173"/>
  <c r="HO10" i="173"/>
  <c r="HN10" i="173"/>
  <c r="HM10" i="173"/>
  <c r="HL10" i="173"/>
  <c r="HK10" i="173"/>
  <c r="HJ10" i="173"/>
  <c r="HI10" i="173"/>
  <c r="HH10" i="173"/>
  <c r="HG10" i="173"/>
  <c r="HF10" i="173"/>
  <c r="HE10" i="173"/>
  <c r="HD10" i="173"/>
  <c r="HC10" i="173"/>
  <c r="HB10" i="173"/>
  <c r="HA10" i="173"/>
  <c r="GZ10" i="173"/>
  <c r="GY10" i="173"/>
  <c r="GX10" i="173"/>
  <c r="GW10" i="173"/>
  <c r="GV10" i="173"/>
  <c r="GU10" i="173"/>
  <c r="GT10" i="173"/>
  <c r="GS10" i="173"/>
  <c r="GR10" i="173"/>
  <c r="GQ10" i="173"/>
  <c r="GP10" i="173"/>
  <c r="GO10" i="173"/>
  <c r="GN10" i="173"/>
  <c r="GM10" i="173"/>
  <c r="GL10" i="173"/>
  <c r="GK10" i="173"/>
  <c r="GJ10" i="173"/>
  <c r="GI10" i="173"/>
  <c r="GH10" i="173"/>
  <c r="GG10" i="173"/>
  <c r="GF10" i="173"/>
  <c r="GE10" i="173"/>
  <c r="GD10" i="173"/>
  <c r="GC10" i="173"/>
  <c r="GB10" i="173"/>
  <c r="GA10" i="173"/>
  <c r="FZ10" i="173"/>
  <c r="FY10" i="173"/>
  <c r="FX10" i="173"/>
  <c r="FW10" i="173"/>
  <c r="FV10" i="173"/>
  <c r="FU10" i="173"/>
  <c r="FT10" i="173"/>
  <c r="FS10" i="173"/>
  <c r="FR10" i="173"/>
  <c r="FQ10" i="173"/>
  <c r="FP10" i="173"/>
  <c r="FO10" i="173"/>
  <c r="FN10" i="173"/>
  <c r="FM10" i="173"/>
  <c r="FL10" i="173"/>
  <c r="FK10" i="173"/>
  <c r="FJ10" i="173"/>
  <c r="FI10" i="173"/>
  <c r="FH10" i="173"/>
  <c r="FG10" i="173"/>
  <c r="FF10" i="173"/>
  <c r="FE10" i="173"/>
  <c r="FD10" i="173"/>
  <c r="FC10" i="173"/>
  <c r="FB10" i="173"/>
  <c r="FA10" i="173"/>
  <c r="EZ10" i="173"/>
  <c r="EY10" i="173"/>
  <c r="EX10" i="173"/>
  <c r="EW10" i="173"/>
  <c r="EV10" i="173"/>
  <c r="EU10" i="173"/>
  <c r="ET10" i="173"/>
  <c r="ES10" i="173"/>
  <c r="ER10" i="173"/>
  <c r="EQ10" i="173"/>
  <c r="EP10" i="173"/>
  <c r="EO10" i="173"/>
  <c r="EN10" i="173"/>
  <c r="EM10" i="173"/>
  <c r="EL10" i="173"/>
  <c r="EK10" i="173"/>
  <c r="EJ10" i="173"/>
  <c r="EI10" i="173"/>
  <c r="EH10" i="173"/>
  <c r="EG10" i="173"/>
  <c r="EF10" i="173"/>
  <c r="EE10" i="173"/>
  <c r="ED10" i="173"/>
  <c r="EC10" i="173"/>
  <c r="EB10" i="173"/>
  <c r="EA10" i="173"/>
  <c r="DZ10" i="173"/>
  <c r="DY10" i="173"/>
  <c r="DX10" i="173"/>
  <c r="DW10" i="173"/>
  <c r="DV10" i="173"/>
  <c r="DU10" i="173"/>
  <c r="DT10" i="173"/>
  <c r="DS10" i="173"/>
  <c r="DR10" i="173"/>
  <c r="DQ10" i="173"/>
  <c r="DP10" i="173"/>
  <c r="DO10" i="173"/>
  <c r="DN10" i="173"/>
  <c r="DM10" i="173"/>
  <c r="DL10" i="173"/>
  <c r="DK10" i="173"/>
  <c r="DJ10" i="173"/>
  <c r="DI10" i="173"/>
  <c r="DH10" i="173"/>
  <c r="DG10" i="173"/>
  <c r="DF10" i="173"/>
  <c r="DE10" i="173"/>
  <c r="DD10" i="173"/>
  <c r="DC10" i="173"/>
  <c r="DB10" i="173"/>
  <c r="DA10" i="173"/>
  <c r="CZ10" i="173"/>
  <c r="CY10" i="173"/>
  <c r="CX10" i="173"/>
  <c r="CW10" i="173"/>
  <c r="CV10" i="173"/>
  <c r="CU10" i="173"/>
  <c r="CT10" i="173"/>
  <c r="CS10" i="173"/>
  <c r="CR10" i="173"/>
  <c r="CQ10" i="173"/>
  <c r="CP10" i="173"/>
  <c r="CO10" i="173"/>
  <c r="CN10" i="173"/>
  <c r="CM10" i="173"/>
  <c r="CL10" i="173"/>
  <c r="CK10" i="173"/>
  <c r="CJ10" i="173"/>
  <c r="CI10" i="173"/>
  <c r="CH10" i="173"/>
  <c r="CG10" i="173"/>
  <c r="CF10" i="173"/>
  <c r="CE10" i="173"/>
  <c r="CD10" i="173"/>
  <c r="CC10" i="173"/>
  <c r="CB10" i="173"/>
  <c r="CA10" i="173"/>
  <c r="BZ10" i="173"/>
  <c r="BY10" i="173"/>
  <c r="BX10" i="173"/>
  <c r="BW10" i="173"/>
  <c r="BV10" i="173"/>
  <c r="BU10" i="173"/>
  <c r="BT10" i="173"/>
  <c r="BS10" i="173"/>
  <c r="BR10" i="173"/>
  <c r="BQ10" i="173"/>
  <c r="BP10" i="173"/>
  <c r="BO10" i="173"/>
  <c r="BN10" i="173"/>
  <c r="BM10" i="173"/>
  <c r="BL10" i="173"/>
  <c r="BK10" i="173"/>
  <c r="BJ10" i="173"/>
  <c r="BI10" i="173"/>
  <c r="BH10" i="173"/>
  <c r="BG10" i="173"/>
  <c r="BF10" i="173"/>
  <c r="BE10" i="173"/>
  <c r="BD10" i="173"/>
  <c r="BC10" i="173"/>
  <c r="BB10" i="173"/>
  <c r="BA10" i="173"/>
  <c r="AZ10" i="173"/>
  <c r="AY10" i="173"/>
  <c r="AX10" i="173"/>
  <c r="AW10" i="173"/>
  <c r="AV10" i="173"/>
  <c r="AU10" i="173"/>
  <c r="AT10" i="173"/>
  <c r="AS10" i="173"/>
  <c r="AR10" i="173"/>
  <c r="AQ10" i="173"/>
  <c r="AP10" i="173"/>
  <c r="AO10" i="173"/>
  <c r="AN10" i="173"/>
  <c r="AM10" i="173"/>
  <c r="AL10" i="173"/>
  <c r="AK10" i="173"/>
  <c r="AJ10" i="173"/>
  <c r="AI10" i="173"/>
  <c r="AH10" i="173"/>
  <c r="AG10" i="173"/>
  <c r="AF10" i="173"/>
  <c r="AE10" i="173"/>
  <c r="AD10" i="173"/>
  <c r="AC10" i="173"/>
  <c r="AB10" i="173"/>
  <c r="AA10" i="173"/>
  <c r="Z10" i="173"/>
  <c r="Y10" i="173"/>
  <c r="X10" i="173"/>
  <c r="W10" i="173"/>
  <c r="V10" i="173"/>
  <c r="U10" i="173"/>
  <c r="T10" i="173"/>
  <c r="S10" i="173"/>
  <c r="R10" i="173"/>
  <c r="Q10" i="173"/>
  <c r="P10" i="173"/>
  <c r="O10" i="173"/>
  <c r="N10" i="173"/>
  <c r="M10" i="173"/>
  <c r="L10" i="173"/>
  <c r="K10" i="173"/>
  <c r="J10" i="173"/>
  <c r="I10" i="173"/>
  <c r="H10" i="173"/>
  <c r="G10" i="173"/>
  <c r="F10" i="173"/>
  <c r="D10" i="173"/>
  <c r="AAV9" i="173"/>
  <c r="AAU9" i="173"/>
  <c r="AAT9" i="173"/>
  <c r="AAS9" i="173"/>
  <c r="AAR9" i="173"/>
  <c r="AAQ9" i="173"/>
  <c r="AAP9" i="173"/>
  <c r="AAO9" i="173"/>
  <c r="AAN9" i="173"/>
  <c r="AAM9" i="173"/>
  <c r="AAL9" i="173"/>
  <c r="AAK9" i="173"/>
  <c r="AAJ9" i="173"/>
  <c r="AAI9" i="173"/>
  <c r="AAH9" i="173"/>
  <c r="AAG9" i="173"/>
  <c r="AAF9" i="173"/>
  <c r="AAE9" i="173"/>
  <c r="AAD9" i="173"/>
  <c r="AAC9" i="173"/>
  <c r="AAB9" i="173"/>
  <c r="AAA9" i="173"/>
  <c r="ZZ9" i="173"/>
  <c r="ZY9" i="173"/>
  <c r="ZX9" i="173"/>
  <c r="ZW9" i="173"/>
  <c r="ZV9" i="173"/>
  <c r="ZU9" i="173"/>
  <c r="ZT9" i="173"/>
  <c r="ZS9" i="173"/>
  <c r="ZR9" i="173"/>
  <c r="ZQ9" i="173"/>
  <c r="ZP9" i="173"/>
  <c r="ZO9" i="173"/>
  <c r="ZN9" i="173"/>
  <c r="ZM9" i="173"/>
  <c r="ZL9" i="173"/>
  <c r="ZK9" i="173"/>
  <c r="ZJ9" i="173"/>
  <c r="ZI9" i="173"/>
  <c r="ZH9" i="173"/>
  <c r="ZG9" i="173"/>
  <c r="ZF9" i="173"/>
  <c r="ZE9" i="173"/>
  <c r="ZD9" i="173"/>
  <c r="ZC9" i="173"/>
  <c r="ZB9" i="173"/>
  <c r="ZA9" i="173"/>
  <c r="YZ9" i="173"/>
  <c r="YY9" i="173"/>
  <c r="YX9" i="173"/>
  <c r="YW9" i="173"/>
  <c r="YV9" i="173"/>
  <c r="YU9" i="173"/>
  <c r="YT9" i="173"/>
  <c r="YS9" i="173"/>
  <c r="YR9" i="173"/>
  <c r="YQ9" i="173"/>
  <c r="YP9" i="173"/>
  <c r="YO9" i="173"/>
  <c r="YN9" i="173"/>
  <c r="YM9" i="173"/>
  <c r="YL9" i="173"/>
  <c r="YK9" i="173"/>
  <c r="YJ9" i="173"/>
  <c r="YI9" i="173"/>
  <c r="YH9" i="173"/>
  <c r="YG9" i="173"/>
  <c r="YF9" i="173"/>
  <c r="YE9" i="173"/>
  <c r="YD9" i="173"/>
  <c r="YC9" i="173"/>
  <c r="YB9" i="173"/>
  <c r="YA9" i="173"/>
  <c r="XZ9" i="173"/>
  <c r="XY9" i="173"/>
  <c r="XX9" i="173"/>
  <c r="XW9" i="173"/>
  <c r="XV9" i="173"/>
  <c r="XU9" i="173"/>
  <c r="XT9" i="173"/>
  <c r="XS9" i="173"/>
  <c r="XR9" i="173"/>
  <c r="XQ9" i="173"/>
  <c r="XP9" i="173"/>
  <c r="XO9" i="173"/>
  <c r="XN9" i="173"/>
  <c r="XM9" i="173"/>
  <c r="XL9" i="173"/>
  <c r="XK9" i="173"/>
  <c r="XJ9" i="173"/>
  <c r="XI9" i="173"/>
  <c r="XH9" i="173"/>
  <c r="XG9" i="173"/>
  <c r="XF9" i="173"/>
  <c r="XE9" i="173"/>
  <c r="XD9" i="173"/>
  <c r="XC9" i="173"/>
  <c r="XB9" i="173"/>
  <c r="XA9" i="173"/>
  <c r="WZ9" i="173"/>
  <c r="WY9" i="173"/>
  <c r="WX9" i="173"/>
  <c r="WW9" i="173"/>
  <c r="WV9" i="173"/>
  <c r="WU9" i="173"/>
  <c r="WT9" i="173"/>
  <c r="WS9" i="173"/>
  <c r="WR9" i="173"/>
  <c r="WQ9" i="173"/>
  <c r="WP9" i="173"/>
  <c r="WO9" i="173"/>
  <c r="WN9" i="173"/>
  <c r="WM9" i="173"/>
  <c r="WL9" i="173"/>
  <c r="WK9" i="173"/>
  <c r="WJ9" i="173"/>
  <c r="WI9" i="173"/>
  <c r="WH9" i="173"/>
  <c r="WG9" i="173"/>
  <c r="WF9" i="173"/>
  <c r="WE9" i="173"/>
  <c r="WD9" i="173"/>
  <c r="WC9" i="173"/>
  <c r="WB9" i="173"/>
  <c r="WA9" i="173"/>
  <c r="VZ9" i="173"/>
  <c r="VY9" i="173"/>
  <c r="VX9" i="173"/>
  <c r="VW9" i="173"/>
  <c r="VV9" i="173"/>
  <c r="VU9" i="173"/>
  <c r="VT9" i="173"/>
  <c r="VS9" i="173"/>
  <c r="VR9" i="173"/>
  <c r="VQ9" i="173"/>
  <c r="VP9" i="173"/>
  <c r="VO9" i="173"/>
  <c r="VN9" i="173"/>
  <c r="VM9" i="173"/>
  <c r="VL9" i="173"/>
  <c r="VK9" i="173"/>
  <c r="VJ9" i="173"/>
  <c r="VI9" i="173"/>
  <c r="VH9" i="173"/>
  <c r="VG9" i="173"/>
  <c r="VF9" i="173"/>
  <c r="VE9" i="173"/>
  <c r="VD9" i="173"/>
  <c r="VC9" i="173"/>
  <c r="VB9" i="173"/>
  <c r="VA9" i="173"/>
  <c r="UZ9" i="173"/>
  <c r="UY9" i="173"/>
  <c r="UX9" i="173"/>
  <c r="UW9" i="173"/>
  <c r="UV9" i="173"/>
  <c r="UU9" i="173"/>
  <c r="UT9" i="173"/>
  <c r="US9" i="173"/>
  <c r="UR9" i="173"/>
  <c r="UQ9" i="173"/>
  <c r="UP9" i="173"/>
  <c r="UO9" i="173"/>
  <c r="UN9" i="173"/>
  <c r="UM9" i="173"/>
  <c r="UL9" i="173"/>
  <c r="UK9" i="173"/>
  <c r="UJ9" i="173"/>
  <c r="UI9" i="173"/>
  <c r="UH9" i="173"/>
  <c r="UG9" i="173"/>
  <c r="UF9" i="173"/>
  <c r="UE9" i="173"/>
  <c r="UD9" i="173"/>
  <c r="UC9" i="173"/>
  <c r="UB9" i="173"/>
  <c r="UA9" i="173"/>
  <c r="TZ9" i="173"/>
  <c r="TY9" i="173"/>
  <c r="TX9" i="173"/>
  <c r="TW9" i="173"/>
  <c r="TV9" i="173"/>
  <c r="TU9" i="173"/>
  <c r="TT9" i="173"/>
  <c r="TS9" i="173"/>
  <c r="TR9" i="173"/>
  <c r="TQ9" i="173"/>
  <c r="TP9" i="173"/>
  <c r="TO9" i="173"/>
  <c r="TN9" i="173"/>
  <c r="TM9" i="173"/>
  <c r="TL9" i="173"/>
  <c r="TK9" i="173"/>
  <c r="TJ9" i="173"/>
  <c r="TI9" i="173"/>
  <c r="TH9" i="173"/>
  <c r="TG9" i="173"/>
  <c r="TF9" i="173"/>
  <c r="TE9" i="173"/>
  <c r="TD9" i="173"/>
  <c r="TC9" i="173"/>
  <c r="TB9" i="173"/>
  <c r="TA9" i="173"/>
  <c r="SZ9" i="173"/>
  <c r="SY9" i="173"/>
  <c r="SX9" i="173"/>
  <c r="SW9" i="173"/>
  <c r="SV9" i="173"/>
  <c r="SU9" i="173"/>
  <c r="ST9" i="173"/>
  <c r="SS9" i="173"/>
  <c r="SR9" i="173"/>
  <c r="SQ9" i="173"/>
  <c r="SP9" i="173"/>
  <c r="SO9" i="173"/>
  <c r="SN9" i="173"/>
  <c r="SM9" i="173"/>
  <c r="SL9" i="173"/>
  <c r="SK9" i="173"/>
  <c r="SJ9" i="173"/>
  <c r="SI9" i="173"/>
  <c r="SH9" i="173"/>
  <c r="SG9" i="173"/>
  <c r="SF9" i="173"/>
  <c r="SE9" i="173"/>
  <c r="SD9" i="173"/>
  <c r="SC9" i="173"/>
  <c r="SB9" i="173"/>
  <c r="SA9" i="173"/>
  <c r="RZ9" i="173"/>
  <c r="RY9" i="173"/>
  <c r="RX9" i="173"/>
  <c r="RW9" i="173"/>
  <c r="RV9" i="173"/>
  <c r="RU9" i="173"/>
  <c r="RT9" i="173"/>
  <c r="RS9" i="173"/>
  <c r="RR9" i="173"/>
  <c r="RQ9" i="173"/>
  <c r="RP9" i="173"/>
  <c r="RO9" i="173"/>
  <c r="RN9" i="173"/>
  <c r="RM9" i="173"/>
  <c r="RL9" i="173"/>
  <c r="RK9" i="173"/>
  <c r="RJ9" i="173"/>
  <c r="RI9" i="173"/>
  <c r="RH9" i="173"/>
  <c r="RG9" i="173"/>
  <c r="RF9" i="173"/>
  <c r="RE9" i="173"/>
  <c r="RD9" i="173"/>
  <c r="RC9" i="173"/>
  <c r="RB9" i="173"/>
  <c r="RA9" i="173"/>
  <c r="QZ9" i="173"/>
  <c r="QY9" i="173"/>
  <c r="QX9" i="173"/>
  <c r="QW9" i="173"/>
  <c r="QV9" i="173"/>
  <c r="QU9" i="173"/>
  <c r="QT9" i="173"/>
  <c r="QS9" i="173"/>
  <c r="QR9" i="173"/>
  <c r="QQ9" i="173"/>
  <c r="QP9" i="173"/>
  <c r="QO9" i="173"/>
  <c r="QN9" i="173"/>
  <c r="QM9" i="173"/>
  <c r="QL9" i="173"/>
  <c r="QK9" i="173"/>
  <c r="QJ9" i="173"/>
  <c r="QI9" i="173"/>
  <c r="QH9" i="173"/>
  <c r="QG9" i="173"/>
  <c r="QF9" i="173"/>
  <c r="QE9" i="173"/>
  <c r="QD9" i="173"/>
  <c r="QC9" i="173"/>
  <c r="QB9" i="173"/>
  <c r="QA9" i="173"/>
  <c r="PZ9" i="173"/>
  <c r="PY9" i="173"/>
  <c r="PX9" i="173"/>
  <c r="PW9" i="173"/>
  <c r="PV9" i="173"/>
  <c r="PU9" i="173"/>
  <c r="PT9" i="173"/>
  <c r="PS9" i="173"/>
  <c r="PR9" i="173"/>
  <c r="PQ9" i="173"/>
  <c r="PP9" i="173"/>
  <c r="PO9" i="173"/>
  <c r="PN9" i="173"/>
  <c r="PM9" i="173"/>
  <c r="PL9" i="173"/>
  <c r="PK9" i="173"/>
  <c r="PJ9" i="173"/>
  <c r="PI9" i="173"/>
  <c r="PH9" i="173"/>
  <c r="PG9" i="173"/>
  <c r="PF9" i="173"/>
  <c r="PE9" i="173"/>
  <c r="PD9" i="173"/>
  <c r="PC9" i="173"/>
  <c r="PB9" i="173"/>
  <c r="PA9" i="173"/>
  <c r="OZ9" i="173"/>
  <c r="OY9" i="173"/>
  <c r="OX9" i="173"/>
  <c r="OW9" i="173"/>
  <c r="OV9" i="173"/>
  <c r="OU9" i="173"/>
  <c r="OT9" i="173"/>
  <c r="OS9" i="173"/>
  <c r="OR9" i="173"/>
  <c r="OQ9" i="173"/>
  <c r="OP9" i="173"/>
  <c r="OO9" i="173"/>
  <c r="ON9" i="173"/>
  <c r="OM9" i="173"/>
  <c r="OL9" i="173"/>
  <c r="OK9" i="173"/>
  <c r="OJ9" i="173"/>
  <c r="OI9" i="173"/>
  <c r="OH9" i="173"/>
  <c r="OG9" i="173"/>
  <c r="OF9" i="173"/>
  <c r="OE9" i="173"/>
  <c r="OD9" i="173"/>
  <c r="OC9" i="173"/>
  <c r="OB9" i="173"/>
  <c r="OA9" i="173"/>
  <c r="NZ9" i="173"/>
  <c r="NY9" i="173"/>
  <c r="NX9" i="173"/>
  <c r="NW9" i="173"/>
  <c r="NV9" i="173"/>
  <c r="NU9" i="173"/>
  <c r="NT9" i="173"/>
  <c r="NS9" i="173"/>
  <c r="NR9" i="173"/>
  <c r="NQ9" i="173"/>
  <c r="NP9" i="173"/>
  <c r="NO9" i="173"/>
  <c r="NN9" i="173"/>
  <c r="NM9" i="173"/>
  <c r="NL9" i="173"/>
  <c r="NK9" i="173"/>
  <c r="NJ9" i="173"/>
  <c r="NI9" i="173"/>
  <c r="NH9" i="173"/>
  <c r="NG9" i="173"/>
  <c r="NF9" i="173"/>
  <c r="NE9" i="173"/>
  <c r="ND9" i="173"/>
  <c r="NC9" i="173"/>
  <c r="NB9" i="173"/>
  <c r="NA9" i="173"/>
  <c r="MZ9" i="173"/>
  <c r="MY9" i="173"/>
  <c r="MX9" i="173"/>
  <c r="MW9" i="173"/>
  <c r="MV9" i="173"/>
  <c r="MU9" i="173"/>
  <c r="MT9" i="173"/>
  <c r="MS9" i="173"/>
  <c r="MR9" i="173"/>
  <c r="MQ9" i="173"/>
  <c r="MP9" i="173"/>
  <c r="MO9" i="173"/>
  <c r="MN9" i="173"/>
  <c r="MM9" i="173"/>
  <c r="ML9" i="173"/>
  <c r="MK9" i="173"/>
  <c r="MJ9" i="173"/>
  <c r="MI9" i="173"/>
  <c r="MH9" i="173"/>
  <c r="MG9" i="173"/>
  <c r="MF9" i="173"/>
  <c r="ME9" i="173"/>
  <c r="MD9" i="173"/>
  <c r="MC9" i="173"/>
  <c r="MB9" i="173"/>
  <c r="MA9" i="173"/>
  <c r="LZ9" i="173"/>
  <c r="LY9" i="173"/>
  <c r="LX9" i="173"/>
  <c r="LW9" i="173"/>
  <c r="LV9" i="173"/>
  <c r="LU9" i="173"/>
  <c r="LT9" i="173"/>
  <c r="LS9" i="173"/>
  <c r="LR9" i="173"/>
  <c r="LQ9" i="173"/>
  <c r="LP9" i="173"/>
  <c r="LO9" i="173"/>
  <c r="LN9" i="173"/>
  <c r="LM9" i="173"/>
  <c r="LL9" i="173"/>
  <c r="LK9" i="173"/>
  <c r="LJ9" i="173"/>
  <c r="LI9" i="173"/>
  <c r="LH9" i="173"/>
  <c r="LG9" i="173"/>
  <c r="LF9" i="173"/>
  <c r="LE9" i="173"/>
  <c r="LD9" i="173"/>
  <c r="LC9" i="173"/>
  <c r="LB9" i="173"/>
  <c r="LA9" i="173"/>
  <c r="KZ9" i="173"/>
  <c r="KY9" i="173"/>
  <c r="KX9" i="173"/>
  <c r="KW9" i="173"/>
  <c r="KV9" i="173"/>
  <c r="KU9" i="173"/>
  <c r="KT9" i="173"/>
  <c r="KS9" i="173"/>
  <c r="KR9" i="173"/>
  <c r="KQ9" i="173"/>
  <c r="KP9" i="173"/>
  <c r="KO9" i="173"/>
  <c r="KN9" i="173"/>
  <c r="KM9" i="173"/>
  <c r="KL9" i="173"/>
  <c r="KK9" i="173"/>
  <c r="KJ9" i="173"/>
  <c r="KI9" i="173"/>
  <c r="KH9" i="173"/>
  <c r="KG9" i="173"/>
  <c r="KF9" i="173"/>
  <c r="KE9" i="173"/>
  <c r="KD9" i="173"/>
  <c r="KC9" i="173"/>
  <c r="KB9" i="173"/>
  <c r="KA9" i="173"/>
  <c r="JZ9" i="173"/>
  <c r="JY9" i="173"/>
  <c r="JX9" i="173"/>
  <c r="JW9" i="173"/>
  <c r="JV9" i="173"/>
  <c r="JU9" i="173"/>
  <c r="JT9" i="173"/>
  <c r="JS9" i="173"/>
  <c r="JR9" i="173"/>
  <c r="JQ9" i="173"/>
  <c r="JP9" i="173"/>
  <c r="JO9" i="173"/>
  <c r="JN9" i="173"/>
  <c r="JM9" i="173"/>
  <c r="JL9" i="173"/>
  <c r="JK9" i="173"/>
  <c r="JJ9" i="173"/>
  <c r="JI9" i="173"/>
  <c r="JH9" i="173"/>
  <c r="JG9" i="173"/>
  <c r="JF9" i="173"/>
  <c r="JE9" i="173"/>
  <c r="JD9" i="173"/>
  <c r="JC9" i="173"/>
  <c r="JB9" i="173"/>
  <c r="JA9" i="173"/>
  <c r="IZ9" i="173"/>
  <c r="IY9" i="173"/>
  <c r="IX9" i="173"/>
  <c r="IW9" i="173"/>
  <c r="IV9" i="173"/>
  <c r="IU9" i="173"/>
  <c r="IT9" i="173"/>
  <c r="IS9" i="173"/>
  <c r="IR9" i="173"/>
  <c r="IQ9" i="173"/>
  <c r="IP9" i="173"/>
  <c r="IO9" i="173"/>
  <c r="IN9" i="173"/>
  <c r="IM9" i="173"/>
  <c r="IL9" i="173"/>
  <c r="IK9" i="173"/>
  <c r="IJ9" i="173"/>
  <c r="II9" i="173"/>
  <c r="IH9" i="173"/>
  <c r="IG9" i="173"/>
  <c r="IF9" i="173"/>
  <c r="IE9" i="173"/>
  <c r="ID9" i="173"/>
  <c r="IC9" i="173"/>
  <c r="IB9" i="173"/>
  <c r="IA9" i="173"/>
  <c r="HZ9" i="173"/>
  <c r="HY9" i="173"/>
  <c r="HX9" i="173"/>
  <c r="HW9" i="173"/>
  <c r="HV9" i="173"/>
  <c r="HU9" i="173"/>
  <c r="HT9" i="173"/>
  <c r="HS9" i="173"/>
  <c r="HR9" i="173"/>
  <c r="HQ9" i="173"/>
  <c r="HP9" i="173"/>
  <c r="HO9" i="173"/>
  <c r="HN9" i="173"/>
  <c r="HM9" i="173"/>
  <c r="HL9" i="173"/>
  <c r="HK9" i="173"/>
  <c r="HJ9" i="173"/>
  <c r="HI9" i="173"/>
  <c r="HH9" i="173"/>
  <c r="HG9" i="173"/>
  <c r="HF9" i="173"/>
  <c r="HE9" i="173"/>
  <c r="HD9" i="173"/>
  <c r="HC9" i="173"/>
  <c r="HB9" i="173"/>
  <c r="HA9" i="173"/>
  <c r="GZ9" i="173"/>
  <c r="GY9" i="173"/>
  <c r="GX9" i="173"/>
  <c r="GW9" i="173"/>
  <c r="GV9" i="173"/>
  <c r="GU9" i="173"/>
  <c r="GT9" i="173"/>
  <c r="GS9" i="173"/>
  <c r="GR9" i="173"/>
  <c r="GQ9" i="173"/>
  <c r="GP9" i="173"/>
  <c r="GO9" i="173"/>
  <c r="GN9" i="173"/>
  <c r="GM9" i="173"/>
  <c r="GL9" i="173"/>
  <c r="GK9" i="173"/>
  <c r="GJ9" i="173"/>
  <c r="GI9" i="173"/>
  <c r="GH9" i="173"/>
  <c r="GG9" i="173"/>
  <c r="GF9" i="173"/>
  <c r="GE9" i="173"/>
  <c r="GD9" i="173"/>
  <c r="GC9" i="173"/>
  <c r="GB9" i="173"/>
  <c r="GA9" i="173"/>
  <c r="FZ9" i="173"/>
  <c r="FY9" i="173"/>
  <c r="FX9" i="173"/>
  <c r="FW9" i="173"/>
  <c r="FV9" i="173"/>
  <c r="FU9" i="173"/>
  <c r="FT9" i="173"/>
  <c r="FS9" i="173"/>
  <c r="FR9" i="173"/>
  <c r="FQ9" i="173"/>
  <c r="FP9" i="173"/>
  <c r="FO9" i="173"/>
  <c r="FN9" i="173"/>
  <c r="FM9" i="173"/>
  <c r="FL9" i="173"/>
  <c r="FK9" i="173"/>
  <c r="FJ9" i="173"/>
  <c r="FI9" i="173"/>
  <c r="FH9" i="173"/>
  <c r="FG9" i="173"/>
  <c r="FF9" i="173"/>
  <c r="FE9" i="173"/>
  <c r="FD9" i="173"/>
  <c r="FC9" i="173"/>
  <c r="FB9" i="173"/>
  <c r="FA9" i="173"/>
  <c r="EZ9" i="173"/>
  <c r="EY9" i="173"/>
  <c r="EX9" i="173"/>
  <c r="EW9" i="173"/>
  <c r="EV9" i="173"/>
  <c r="EU9" i="173"/>
  <c r="ET9" i="173"/>
  <c r="ES9" i="173"/>
  <c r="ER9" i="173"/>
  <c r="EQ9" i="173"/>
  <c r="EP9" i="173"/>
  <c r="EO9" i="173"/>
  <c r="EN9" i="173"/>
  <c r="EM9" i="173"/>
  <c r="EL9" i="173"/>
  <c r="EK9" i="173"/>
  <c r="EJ9" i="173"/>
  <c r="EI9" i="173"/>
  <c r="EH9" i="173"/>
  <c r="EG9" i="173"/>
  <c r="EF9" i="173"/>
  <c r="EE9" i="173"/>
  <c r="ED9" i="173"/>
  <c r="EC9" i="173"/>
  <c r="EB9" i="173"/>
  <c r="EA9" i="173"/>
  <c r="DZ9" i="173"/>
  <c r="DY9" i="173"/>
  <c r="DX9" i="173"/>
  <c r="DW9" i="173"/>
  <c r="DV9" i="173"/>
  <c r="DU9" i="173"/>
  <c r="DT9" i="173"/>
  <c r="DS9" i="173"/>
  <c r="DR9" i="173"/>
  <c r="DQ9" i="173"/>
  <c r="DP9" i="173"/>
  <c r="DO9" i="173"/>
  <c r="DN9" i="173"/>
  <c r="DM9" i="173"/>
  <c r="DL9" i="173"/>
  <c r="DK9" i="173"/>
  <c r="DJ9" i="173"/>
  <c r="DI9" i="173"/>
  <c r="DH9" i="173"/>
  <c r="DG9" i="173"/>
  <c r="DF9" i="173"/>
  <c r="DE9" i="173"/>
  <c r="DD9" i="173"/>
  <c r="DC9" i="173"/>
  <c r="DB9" i="173"/>
  <c r="DA9" i="173"/>
  <c r="CZ9" i="173"/>
  <c r="CY9" i="173"/>
  <c r="CX9" i="173"/>
  <c r="CW9" i="173"/>
  <c r="CV9" i="173"/>
  <c r="CU9" i="173"/>
  <c r="CT9" i="173"/>
  <c r="CS9" i="173"/>
  <c r="CR9" i="173"/>
  <c r="CQ9" i="173"/>
  <c r="CP9" i="173"/>
  <c r="CO9" i="173"/>
  <c r="CN9" i="173"/>
  <c r="CM9" i="173"/>
  <c r="CL9" i="173"/>
  <c r="CK9" i="173"/>
  <c r="CJ9" i="173"/>
  <c r="CI9" i="173"/>
  <c r="CH9" i="173"/>
  <c r="CG9" i="173"/>
  <c r="CF9" i="173"/>
  <c r="CE9" i="173"/>
  <c r="CD9" i="173"/>
  <c r="CC9" i="173"/>
  <c r="CB9" i="173"/>
  <c r="CA9" i="173"/>
  <c r="BZ9" i="173"/>
  <c r="BY9" i="173"/>
  <c r="BX9" i="173"/>
  <c r="BW9" i="173"/>
  <c r="BV9" i="173"/>
  <c r="BU9" i="173"/>
  <c r="BT9" i="173"/>
  <c r="BS9" i="173"/>
  <c r="BR9" i="173"/>
  <c r="BQ9" i="173"/>
  <c r="BP9" i="173"/>
  <c r="BO9" i="173"/>
  <c r="BN9" i="173"/>
  <c r="BM9" i="173"/>
  <c r="BL9" i="173"/>
  <c r="BK9" i="173"/>
  <c r="BJ9" i="173"/>
  <c r="BI9" i="173"/>
  <c r="BH9" i="173"/>
  <c r="BG9" i="173"/>
  <c r="BF9" i="173"/>
  <c r="BE9" i="173"/>
  <c r="BD9" i="173"/>
  <c r="BC9" i="173"/>
  <c r="BB9" i="173"/>
  <c r="BA9" i="173"/>
  <c r="AZ9" i="173"/>
  <c r="AY9" i="173"/>
  <c r="AX9" i="173"/>
  <c r="AW9" i="173"/>
  <c r="AV9" i="173"/>
  <c r="AU9" i="173"/>
  <c r="AT9" i="173"/>
  <c r="AS9" i="173"/>
  <c r="AR9" i="173"/>
  <c r="AQ9" i="173"/>
  <c r="AP9" i="173"/>
  <c r="AO9" i="173"/>
  <c r="AN9" i="173"/>
  <c r="AM9" i="173"/>
  <c r="AL9" i="173"/>
  <c r="AK9" i="173"/>
  <c r="AJ9" i="173"/>
  <c r="AI9" i="173"/>
  <c r="AH9" i="173"/>
  <c r="AG9" i="173"/>
  <c r="AF9" i="173"/>
  <c r="AE9" i="173"/>
  <c r="AD9" i="173"/>
  <c r="AC9" i="173"/>
  <c r="AB9" i="173"/>
  <c r="AA9" i="173"/>
  <c r="Z9" i="173"/>
  <c r="Y9" i="173"/>
  <c r="X9" i="173"/>
  <c r="W9" i="173"/>
  <c r="V9" i="173"/>
  <c r="U9" i="173"/>
  <c r="T9" i="173"/>
  <c r="S9" i="173"/>
  <c r="R9" i="173"/>
  <c r="Q9" i="173"/>
  <c r="P9" i="173"/>
  <c r="O9" i="173"/>
  <c r="N9" i="173"/>
  <c r="M9" i="173"/>
  <c r="L9" i="173"/>
  <c r="K9" i="173"/>
  <c r="J9" i="173"/>
  <c r="I9" i="173"/>
  <c r="H9" i="173"/>
  <c r="G9" i="173"/>
  <c r="F9" i="173"/>
  <c r="D9" i="173"/>
  <c r="AAV8" i="173"/>
  <c r="AAU8" i="173"/>
  <c r="AAT8" i="173"/>
  <c r="AAS8" i="173"/>
  <c r="AAR8" i="173"/>
  <c r="AAQ8" i="173"/>
  <c r="AAP8" i="173"/>
  <c r="AAO8" i="173"/>
  <c r="AAN8" i="173"/>
  <c r="AAM8" i="173"/>
  <c r="AAL8" i="173"/>
  <c r="AAK8" i="173"/>
  <c r="AAJ8" i="173"/>
  <c r="AAI8" i="173"/>
  <c r="AAH8" i="173"/>
  <c r="AAG8" i="173"/>
  <c r="AAF8" i="173"/>
  <c r="AAE8" i="173"/>
  <c r="AAD8" i="173"/>
  <c r="AAC8" i="173"/>
  <c r="AAB8" i="173"/>
  <c r="AAA8" i="173"/>
  <c r="ZZ8" i="173"/>
  <c r="ZY8" i="173"/>
  <c r="ZX8" i="173"/>
  <c r="ZW8" i="173"/>
  <c r="ZV8" i="173"/>
  <c r="ZU8" i="173"/>
  <c r="ZT8" i="173"/>
  <c r="ZS8" i="173"/>
  <c r="ZR8" i="173"/>
  <c r="ZQ8" i="173"/>
  <c r="ZP8" i="173"/>
  <c r="ZO8" i="173"/>
  <c r="ZN8" i="173"/>
  <c r="ZM8" i="173"/>
  <c r="ZL8" i="173"/>
  <c r="ZK8" i="173"/>
  <c r="ZJ8" i="173"/>
  <c r="ZI8" i="173"/>
  <c r="ZH8" i="173"/>
  <c r="ZG8" i="173"/>
  <c r="ZF8" i="173"/>
  <c r="ZE8" i="173"/>
  <c r="ZD8" i="173"/>
  <c r="ZC8" i="173"/>
  <c r="ZB8" i="173"/>
  <c r="ZA8" i="173"/>
  <c r="YZ8" i="173"/>
  <c r="YY8" i="173"/>
  <c r="YX8" i="173"/>
  <c r="YW8" i="173"/>
  <c r="YV8" i="173"/>
  <c r="YU8" i="173"/>
  <c r="YT8" i="173"/>
  <c r="YS8" i="173"/>
  <c r="YR8" i="173"/>
  <c r="YQ8" i="173"/>
  <c r="YP8" i="173"/>
  <c r="YO8" i="173"/>
  <c r="YN8" i="173"/>
  <c r="YM8" i="173"/>
  <c r="YL8" i="173"/>
  <c r="YK8" i="173"/>
  <c r="YJ8" i="173"/>
  <c r="YI8" i="173"/>
  <c r="YH8" i="173"/>
  <c r="YG8" i="173"/>
  <c r="YF8" i="173"/>
  <c r="YE8" i="173"/>
  <c r="YD8" i="173"/>
  <c r="YC8" i="173"/>
  <c r="YB8" i="173"/>
  <c r="YA8" i="173"/>
  <c r="XZ8" i="173"/>
  <c r="XY8" i="173"/>
  <c r="XX8" i="173"/>
  <c r="XW8" i="173"/>
  <c r="XV8" i="173"/>
  <c r="XU8" i="173"/>
  <c r="XT8" i="173"/>
  <c r="XS8" i="173"/>
  <c r="XR8" i="173"/>
  <c r="XQ8" i="173"/>
  <c r="XP8" i="173"/>
  <c r="XO8" i="173"/>
  <c r="XN8" i="173"/>
  <c r="XM8" i="173"/>
  <c r="XL8" i="173"/>
  <c r="XK8" i="173"/>
  <c r="XJ8" i="173"/>
  <c r="XI8" i="173"/>
  <c r="XH8" i="173"/>
  <c r="XG8" i="173"/>
  <c r="XF8" i="173"/>
  <c r="XE8" i="173"/>
  <c r="XD8" i="173"/>
  <c r="XC8" i="173"/>
  <c r="XB8" i="173"/>
  <c r="XA8" i="173"/>
  <c r="WZ8" i="173"/>
  <c r="WY8" i="173"/>
  <c r="WX8" i="173"/>
  <c r="WW8" i="173"/>
  <c r="WV8" i="173"/>
  <c r="WU8" i="173"/>
  <c r="WT8" i="173"/>
  <c r="WS8" i="173"/>
  <c r="WR8" i="173"/>
  <c r="WQ8" i="173"/>
  <c r="WP8" i="173"/>
  <c r="WO8" i="173"/>
  <c r="WN8" i="173"/>
  <c r="WM8" i="173"/>
  <c r="WL8" i="173"/>
  <c r="WK8" i="173"/>
  <c r="WJ8" i="173"/>
  <c r="WI8" i="173"/>
  <c r="WH8" i="173"/>
  <c r="WG8" i="173"/>
  <c r="WF8" i="173"/>
  <c r="WE8" i="173"/>
  <c r="WD8" i="173"/>
  <c r="WC8" i="173"/>
  <c r="WB8" i="173"/>
  <c r="WA8" i="173"/>
  <c r="VZ8" i="173"/>
  <c r="VY8" i="173"/>
  <c r="VX8" i="173"/>
  <c r="VW8" i="173"/>
  <c r="VV8" i="173"/>
  <c r="VU8" i="173"/>
  <c r="VT8" i="173"/>
  <c r="VS8" i="173"/>
  <c r="VR8" i="173"/>
  <c r="VQ8" i="173"/>
  <c r="VP8" i="173"/>
  <c r="VO8" i="173"/>
  <c r="VN8" i="173"/>
  <c r="VM8" i="173"/>
  <c r="VL8" i="173"/>
  <c r="VK8" i="173"/>
  <c r="VJ8" i="173"/>
  <c r="VI8" i="173"/>
  <c r="VH8" i="173"/>
  <c r="VG8" i="173"/>
  <c r="VF8" i="173"/>
  <c r="VE8" i="173"/>
  <c r="VD8" i="173"/>
  <c r="VC8" i="173"/>
  <c r="VB8" i="173"/>
  <c r="VA8" i="173"/>
  <c r="UZ8" i="173"/>
  <c r="UY8" i="173"/>
  <c r="UX8" i="173"/>
  <c r="UW8" i="173"/>
  <c r="UV8" i="173"/>
  <c r="UU8" i="173"/>
  <c r="UT8" i="173"/>
  <c r="US8" i="173"/>
  <c r="UR8" i="173"/>
  <c r="UQ8" i="173"/>
  <c r="UP8" i="173"/>
  <c r="UO8" i="173"/>
  <c r="UN8" i="173"/>
  <c r="UM8" i="173"/>
  <c r="UL8" i="173"/>
  <c r="UK8" i="173"/>
  <c r="UJ8" i="173"/>
  <c r="UI8" i="173"/>
  <c r="UH8" i="173"/>
  <c r="UG8" i="173"/>
  <c r="UF8" i="173"/>
  <c r="UE8" i="173"/>
  <c r="UD8" i="173"/>
  <c r="UC8" i="173"/>
  <c r="UB8" i="173"/>
  <c r="UA8" i="173"/>
  <c r="TZ8" i="173"/>
  <c r="TY8" i="173"/>
  <c r="TX8" i="173"/>
  <c r="TW8" i="173"/>
  <c r="TV8" i="173"/>
  <c r="TU8" i="173"/>
  <c r="TT8" i="173"/>
  <c r="TS8" i="173"/>
  <c r="TR8" i="173"/>
  <c r="TQ8" i="173"/>
  <c r="TP8" i="173"/>
  <c r="TO8" i="173"/>
  <c r="TN8" i="173"/>
  <c r="TM8" i="173"/>
  <c r="TL8" i="173"/>
  <c r="TK8" i="173"/>
  <c r="TJ8" i="173"/>
  <c r="TI8" i="173"/>
  <c r="TH8" i="173"/>
  <c r="TG8" i="173"/>
  <c r="TF8" i="173"/>
  <c r="TE8" i="173"/>
  <c r="TD8" i="173"/>
  <c r="TC8" i="173"/>
  <c r="TB8" i="173"/>
  <c r="TA8" i="173"/>
  <c r="SZ8" i="173"/>
  <c r="SY8" i="173"/>
  <c r="SX8" i="173"/>
  <c r="SW8" i="173"/>
  <c r="SV8" i="173"/>
  <c r="SU8" i="173"/>
  <c r="ST8" i="173"/>
  <c r="SS8" i="173"/>
  <c r="SR8" i="173"/>
  <c r="SQ8" i="173"/>
  <c r="SP8" i="173"/>
  <c r="SO8" i="173"/>
  <c r="SN8" i="173"/>
  <c r="SM8" i="173"/>
  <c r="SL8" i="173"/>
  <c r="SK8" i="173"/>
  <c r="SJ8" i="173"/>
  <c r="SI8" i="173"/>
  <c r="SH8" i="173"/>
  <c r="SG8" i="173"/>
  <c r="SF8" i="173"/>
  <c r="SE8" i="173"/>
  <c r="SD8" i="173"/>
  <c r="SC8" i="173"/>
  <c r="SB8" i="173"/>
  <c r="SA8" i="173"/>
  <c r="RZ8" i="173"/>
  <c r="RY8" i="173"/>
  <c r="RX8" i="173"/>
  <c r="RW8" i="173"/>
  <c r="RV8" i="173"/>
  <c r="RU8" i="173"/>
  <c r="RT8" i="173"/>
  <c r="RS8" i="173"/>
  <c r="RR8" i="173"/>
  <c r="RQ8" i="173"/>
  <c r="RP8" i="173"/>
  <c r="RO8" i="173"/>
  <c r="RN8" i="173"/>
  <c r="RM8" i="173"/>
  <c r="RL8" i="173"/>
  <c r="RK8" i="173"/>
  <c r="RJ8" i="173"/>
  <c r="RI8" i="173"/>
  <c r="RH8" i="173"/>
  <c r="RG8" i="173"/>
  <c r="RF8" i="173"/>
  <c r="RE8" i="173"/>
  <c r="RD8" i="173"/>
  <c r="RC8" i="173"/>
  <c r="RB8" i="173"/>
  <c r="RA8" i="173"/>
  <c r="QZ8" i="173"/>
  <c r="QY8" i="173"/>
  <c r="QX8" i="173"/>
  <c r="QW8" i="173"/>
  <c r="QV8" i="173"/>
  <c r="QU8" i="173"/>
  <c r="QT8" i="173"/>
  <c r="QS8" i="173"/>
  <c r="QR8" i="173"/>
  <c r="QQ8" i="173"/>
  <c r="QP8" i="173"/>
  <c r="QO8" i="173"/>
  <c r="QN8" i="173"/>
  <c r="QM8" i="173"/>
  <c r="QL8" i="173"/>
  <c r="QK8" i="173"/>
  <c r="QJ8" i="173"/>
  <c r="QI8" i="173"/>
  <c r="QH8" i="173"/>
  <c r="QG8" i="173"/>
  <c r="QF8" i="173"/>
  <c r="QE8" i="173"/>
  <c r="QD8" i="173"/>
  <c r="QC8" i="173"/>
  <c r="QB8" i="173"/>
  <c r="QA8" i="173"/>
  <c r="PZ8" i="173"/>
  <c r="PY8" i="173"/>
  <c r="PX8" i="173"/>
  <c r="PW8" i="173"/>
  <c r="PV8" i="173"/>
  <c r="PU8" i="173"/>
  <c r="PT8" i="173"/>
  <c r="PS8" i="173"/>
  <c r="PR8" i="173"/>
  <c r="PQ8" i="173"/>
  <c r="PP8" i="173"/>
  <c r="PO8" i="173"/>
  <c r="PN8" i="173"/>
  <c r="PM8" i="173"/>
  <c r="PL8" i="173"/>
  <c r="PK8" i="173"/>
  <c r="PJ8" i="173"/>
  <c r="PI8" i="173"/>
  <c r="PH8" i="173"/>
  <c r="PG8" i="173"/>
  <c r="PF8" i="173"/>
  <c r="PE8" i="173"/>
  <c r="PD8" i="173"/>
  <c r="PC8" i="173"/>
  <c r="PB8" i="173"/>
  <c r="PA8" i="173"/>
  <c r="OZ8" i="173"/>
  <c r="OY8" i="173"/>
  <c r="OX8" i="173"/>
  <c r="OW8" i="173"/>
  <c r="OV8" i="173"/>
  <c r="OU8" i="173"/>
  <c r="OT8" i="173"/>
  <c r="OS8" i="173"/>
  <c r="OR8" i="173"/>
  <c r="OQ8" i="173"/>
  <c r="OP8" i="173"/>
  <c r="OO8" i="173"/>
  <c r="ON8" i="173"/>
  <c r="OM8" i="173"/>
  <c r="OL8" i="173"/>
  <c r="OK8" i="173"/>
  <c r="OJ8" i="173"/>
  <c r="OI8" i="173"/>
  <c r="OH8" i="173"/>
  <c r="OG8" i="173"/>
  <c r="OF8" i="173"/>
  <c r="OE8" i="173"/>
  <c r="OD8" i="173"/>
  <c r="OC8" i="173"/>
  <c r="OB8" i="173"/>
  <c r="OA8" i="173"/>
  <c r="NZ8" i="173"/>
  <c r="NY8" i="173"/>
  <c r="NX8" i="173"/>
  <c r="NW8" i="173"/>
  <c r="NV8" i="173"/>
  <c r="NU8" i="173"/>
  <c r="NT8" i="173"/>
  <c r="NS8" i="173"/>
  <c r="NR8" i="173"/>
  <c r="NQ8" i="173"/>
  <c r="NP8" i="173"/>
  <c r="NO8" i="173"/>
  <c r="NN8" i="173"/>
  <c r="NM8" i="173"/>
  <c r="NL8" i="173"/>
  <c r="NK8" i="173"/>
  <c r="NJ8" i="173"/>
  <c r="NI8" i="173"/>
  <c r="NH8" i="173"/>
  <c r="NG8" i="173"/>
  <c r="NF8" i="173"/>
  <c r="NE8" i="173"/>
  <c r="ND8" i="173"/>
  <c r="NC8" i="173"/>
  <c r="NB8" i="173"/>
  <c r="NA8" i="173"/>
  <c r="MZ8" i="173"/>
  <c r="MY8" i="173"/>
  <c r="MX8" i="173"/>
  <c r="MW8" i="173"/>
  <c r="MV8" i="173"/>
  <c r="MU8" i="173"/>
  <c r="MT8" i="173"/>
  <c r="MS8" i="173"/>
  <c r="MR8" i="173"/>
  <c r="MQ8" i="173"/>
  <c r="MP8" i="173"/>
  <c r="MO8" i="173"/>
  <c r="MN8" i="173"/>
  <c r="MM8" i="173"/>
  <c r="ML8" i="173"/>
  <c r="MK8" i="173"/>
  <c r="MJ8" i="173"/>
  <c r="MI8" i="173"/>
  <c r="MH8" i="173"/>
  <c r="MG8" i="173"/>
  <c r="MF8" i="173"/>
  <c r="ME8" i="173"/>
  <c r="MD8" i="173"/>
  <c r="MC8" i="173"/>
  <c r="MB8" i="173"/>
  <c r="MA8" i="173"/>
  <c r="LZ8" i="173"/>
  <c r="LY8" i="173"/>
  <c r="LX8" i="173"/>
  <c r="LW8" i="173"/>
  <c r="LV8" i="173"/>
  <c r="LU8" i="173"/>
  <c r="LT8" i="173"/>
  <c r="LS8" i="173"/>
  <c r="LR8" i="173"/>
  <c r="LQ8" i="173"/>
  <c r="LP8" i="173"/>
  <c r="LO8" i="173"/>
  <c r="LN8" i="173"/>
  <c r="LM8" i="173"/>
  <c r="LL8" i="173"/>
  <c r="LK8" i="173"/>
  <c r="LJ8" i="173"/>
  <c r="LI8" i="173"/>
  <c r="LH8" i="173"/>
  <c r="LG8" i="173"/>
  <c r="LF8" i="173"/>
  <c r="LE8" i="173"/>
  <c r="LD8" i="173"/>
  <c r="LC8" i="173"/>
  <c r="LB8" i="173"/>
  <c r="LA8" i="173"/>
  <c r="KZ8" i="173"/>
  <c r="KY8" i="173"/>
  <c r="KX8" i="173"/>
  <c r="KW8" i="173"/>
  <c r="KV8" i="173"/>
  <c r="KU8" i="173"/>
  <c r="KT8" i="173"/>
  <c r="KS8" i="173"/>
  <c r="KR8" i="173"/>
  <c r="KQ8" i="173"/>
  <c r="KP8" i="173"/>
  <c r="KO8" i="173"/>
  <c r="KN8" i="173"/>
  <c r="KM8" i="173"/>
  <c r="KL8" i="173"/>
  <c r="KK8" i="173"/>
  <c r="KJ8" i="173"/>
  <c r="KI8" i="173"/>
  <c r="KH8" i="173"/>
  <c r="KG8" i="173"/>
  <c r="KF8" i="173"/>
  <c r="KE8" i="173"/>
  <c r="KD8" i="173"/>
  <c r="KC8" i="173"/>
  <c r="KB8" i="173"/>
  <c r="KA8" i="173"/>
  <c r="JZ8" i="173"/>
  <c r="JY8" i="173"/>
  <c r="JX8" i="173"/>
  <c r="JW8" i="173"/>
  <c r="JV8" i="173"/>
  <c r="JU8" i="173"/>
  <c r="JT8" i="173"/>
  <c r="JS8" i="173"/>
  <c r="JR8" i="173"/>
  <c r="JQ8" i="173"/>
  <c r="JP8" i="173"/>
  <c r="JO8" i="173"/>
  <c r="JN8" i="173"/>
  <c r="JM8" i="173"/>
  <c r="JL8" i="173"/>
  <c r="JK8" i="173"/>
  <c r="JJ8" i="173"/>
  <c r="JI8" i="173"/>
  <c r="JH8" i="173"/>
  <c r="JG8" i="173"/>
  <c r="JF8" i="173"/>
  <c r="JE8" i="173"/>
  <c r="JD8" i="173"/>
  <c r="JC8" i="173"/>
  <c r="JB8" i="173"/>
  <c r="JA8" i="173"/>
  <c r="IZ8" i="173"/>
  <c r="IY8" i="173"/>
  <c r="IX8" i="173"/>
  <c r="IW8" i="173"/>
  <c r="IV8" i="173"/>
  <c r="IU8" i="173"/>
  <c r="IT8" i="173"/>
  <c r="IS8" i="173"/>
  <c r="IR8" i="173"/>
  <c r="IQ8" i="173"/>
  <c r="IP8" i="173"/>
  <c r="IO8" i="173"/>
  <c r="IN8" i="173"/>
  <c r="IM8" i="173"/>
  <c r="IL8" i="173"/>
  <c r="IK8" i="173"/>
  <c r="IJ8" i="173"/>
  <c r="II8" i="173"/>
  <c r="IH8" i="173"/>
  <c r="IG8" i="173"/>
  <c r="IF8" i="173"/>
  <c r="IE8" i="173"/>
  <c r="ID8" i="173"/>
  <c r="IC8" i="173"/>
  <c r="IB8" i="173"/>
  <c r="IA8" i="173"/>
  <c r="HZ8" i="173"/>
  <c r="HY8" i="173"/>
  <c r="HX8" i="173"/>
  <c r="HW8" i="173"/>
  <c r="HV8" i="173"/>
  <c r="HU8" i="173"/>
  <c r="HT8" i="173"/>
  <c r="HS8" i="173"/>
  <c r="HR8" i="173"/>
  <c r="HQ8" i="173"/>
  <c r="HP8" i="173"/>
  <c r="HO8" i="173"/>
  <c r="HN8" i="173"/>
  <c r="HM8" i="173"/>
  <c r="HL8" i="173"/>
  <c r="HK8" i="173"/>
  <c r="HJ8" i="173"/>
  <c r="HI8" i="173"/>
  <c r="HH8" i="173"/>
  <c r="HG8" i="173"/>
  <c r="HF8" i="173"/>
  <c r="HE8" i="173"/>
  <c r="HD8" i="173"/>
  <c r="HC8" i="173"/>
  <c r="HB8" i="173"/>
  <c r="HA8" i="173"/>
  <c r="GZ8" i="173"/>
  <c r="GY8" i="173"/>
  <c r="GX8" i="173"/>
  <c r="GW8" i="173"/>
  <c r="GV8" i="173"/>
  <c r="GU8" i="173"/>
  <c r="GT8" i="173"/>
  <c r="GS8" i="173"/>
  <c r="GR8" i="173"/>
  <c r="GQ8" i="173"/>
  <c r="GP8" i="173"/>
  <c r="GO8" i="173"/>
  <c r="GN8" i="173"/>
  <c r="GM8" i="173"/>
  <c r="GL8" i="173"/>
  <c r="GK8" i="173"/>
  <c r="GJ8" i="173"/>
  <c r="GI8" i="173"/>
  <c r="GH8" i="173"/>
  <c r="GG8" i="173"/>
  <c r="GF8" i="173"/>
  <c r="GE8" i="173"/>
  <c r="GD8" i="173"/>
  <c r="GC8" i="173"/>
  <c r="GB8" i="173"/>
  <c r="GA8" i="173"/>
  <c r="FZ8" i="173"/>
  <c r="FY8" i="173"/>
  <c r="FX8" i="173"/>
  <c r="FW8" i="173"/>
  <c r="FV8" i="173"/>
  <c r="FU8" i="173"/>
  <c r="FT8" i="173"/>
  <c r="FS8" i="173"/>
  <c r="FR8" i="173"/>
  <c r="FQ8" i="173"/>
  <c r="FP8" i="173"/>
  <c r="FO8" i="173"/>
  <c r="FN8" i="173"/>
  <c r="FM8" i="173"/>
  <c r="FL8" i="173"/>
  <c r="FK8" i="173"/>
  <c r="FJ8" i="173"/>
  <c r="FI8" i="173"/>
  <c r="FH8" i="173"/>
  <c r="FG8" i="173"/>
  <c r="FF8" i="173"/>
  <c r="FE8" i="173"/>
  <c r="FD8" i="173"/>
  <c r="FC8" i="173"/>
  <c r="FB8" i="173"/>
  <c r="FA8" i="173"/>
  <c r="EZ8" i="173"/>
  <c r="EY8" i="173"/>
  <c r="EX8" i="173"/>
  <c r="EW8" i="173"/>
  <c r="EV8" i="173"/>
  <c r="EU8" i="173"/>
  <c r="ET8" i="173"/>
  <c r="ES8" i="173"/>
  <c r="ER8" i="173"/>
  <c r="EQ8" i="173"/>
  <c r="EP8" i="173"/>
  <c r="EO8" i="173"/>
  <c r="EN8" i="173"/>
  <c r="EM8" i="173"/>
  <c r="EL8" i="173"/>
  <c r="EK8" i="173"/>
  <c r="EJ8" i="173"/>
  <c r="EI8" i="173"/>
  <c r="EH8" i="173"/>
  <c r="EG8" i="173"/>
  <c r="EF8" i="173"/>
  <c r="EE8" i="173"/>
  <c r="ED8" i="173"/>
  <c r="EC8" i="173"/>
  <c r="EB8" i="173"/>
  <c r="EA8" i="173"/>
  <c r="DZ8" i="173"/>
  <c r="DY8" i="173"/>
  <c r="DX8" i="173"/>
  <c r="DW8" i="173"/>
  <c r="DV8" i="173"/>
  <c r="DU8" i="173"/>
  <c r="DT8" i="173"/>
  <c r="DS8" i="173"/>
  <c r="DR8" i="173"/>
  <c r="DQ8" i="173"/>
  <c r="DP8" i="173"/>
  <c r="DO8" i="173"/>
  <c r="DN8" i="173"/>
  <c r="DM8" i="173"/>
  <c r="DL8" i="173"/>
  <c r="DK8" i="173"/>
  <c r="DJ8" i="173"/>
  <c r="DI8" i="173"/>
  <c r="DH8" i="173"/>
  <c r="DG8" i="173"/>
  <c r="DF8" i="173"/>
  <c r="DE8" i="173"/>
  <c r="DD8" i="173"/>
  <c r="DC8" i="173"/>
  <c r="DB8" i="173"/>
  <c r="DA8" i="173"/>
  <c r="CZ8" i="173"/>
  <c r="CY8" i="173"/>
  <c r="CX8" i="173"/>
  <c r="CW8" i="173"/>
  <c r="CV8" i="173"/>
  <c r="CU8" i="173"/>
  <c r="CT8" i="173"/>
  <c r="CS8" i="173"/>
  <c r="CR8" i="173"/>
  <c r="CQ8" i="173"/>
  <c r="CP8" i="173"/>
  <c r="CO8" i="173"/>
  <c r="CN8" i="173"/>
  <c r="CM8" i="173"/>
  <c r="CL8" i="173"/>
  <c r="CK8" i="173"/>
  <c r="CJ8" i="173"/>
  <c r="CI8" i="173"/>
  <c r="CH8" i="173"/>
  <c r="CG8" i="173"/>
  <c r="CF8" i="173"/>
  <c r="CE8" i="173"/>
  <c r="CD8" i="173"/>
  <c r="CC8" i="173"/>
  <c r="CB8" i="173"/>
  <c r="CA8" i="173"/>
  <c r="BZ8" i="173"/>
  <c r="BY8" i="173"/>
  <c r="BX8" i="173"/>
  <c r="BW8" i="173"/>
  <c r="BV8" i="173"/>
  <c r="BU8" i="173"/>
  <c r="BT8" i="173"/>
  <c r="BS8" i="173"/>
  <c r="BR8" i="173"/>
  <c r="BQ8" i="173"/>
  <c r="BP8" i="173"/>
  <c r="BO8" i="173"/>
  <c r="BN8" i="173"/>
  <c r="BM8" i="173"/>
  <c r="BL8" i="173"/>
  <c r="BK8" i="173"/>
  <c r="BJ8" i="173"/>
  <c r="BI8" i="173"/>
  <c r="BH8" i="173"/>
  <c r="BG8" i="173"/>
  <c r="BF8" i="173"/>
  <c r="BE8" i="173"/>
  <c r="BD8" i="173"/>
  <c r="BC8" i="173"/>
  <c r="BB8" i="173"/>
  <c r="BA8" i="173"/>
  <c r="AZ8" i="173"/>
  <c r="AY8" i="173"/>
  <c r="AX8" i="173"/>
  <c r="AW8" i="173"/>
  <c r="AV8" i="173"/>
  <c r="AU8" i="173"/>
  <c r="AT8" i="173"/>
  <c r="AS8" i="173"/>
  <c r="AR8" i="173"/>
  <c r="AQ8" i="173"/>
  <c r="AP8" i="173"/>
  <c r="AO8" i="173"/>
  <c r="AN8" i="173"/>
  <c r="AM8" i="173"/>
  <c r="AL8" i="173"/>
  <c r="AK8" i="173"/>
  <c r="AJ8" i="173"/>
  <c r="AI8" i="173"/>
  <c r="AH8" i="173"/>
  <c r="AG8" i="173"/>
  <c r="AF8" i="173"/>
  <c r="AE8" i="173"/>
  <c r="AD8" i="173"/>
  <c r="AC8" i="173"/>
  <c r="AB8" i="173"/>
  <c r="AA8" i="173"/>
  <c r="Z8" i="173"/>
  <c r="Y8" i="173"/>
  <c r="X8" i="173"/>
  <c r="W8" i="173"/>
  <c r="V8" i="173"/>
  <c r="U8" i="173"/>
  <c r="T8" i="173"/>
  <c r="S8" i="173"/>
  <c r="R8" i="173"/>
  <c r="Q8" i="173"/>
  <c r="P8" i="173"/>
  <c r="O8" i="173"/>
  <c r="N8" i="173"/>
  <c r="M8" i="173"/>
  <c r="L8" i="173"/>
  <c r="K8" i="173"/>
  <c r="J8" i="173"/>
  <c r="I8" i="173"/>
  <c r="H8" i="173"/>
  <c r="G8" i="173"/>
  <c r="F8" i="173"/>
  <c r="D8" i="173"/>
  <c r="AAV7" i="173"/>
  <c r="AAU7" i="173"/>
  <c r="AAT7" i="173"/>
  <c r="AAS7" i="173"/>
  <c r="AAR7" i="173"/>
  <c r="AAQ7" i="173"/>
  <c r="AAP7" i="173"/>
  <c r="AAO7" i="173"/>
  <c r="AAN7" i="173"/>
  <c r="AAM7" i="173"/>
  <c r="AAL7" i="173"/>
  <c r="AAK7" i="173"/>
  <c r="AAJ7" i="173"/>
  <c r="AAI7" i="173"/>
  <c r="AAH7" i="173"/>
  <c r="AAG7" i="173"/>
  <c r="AAF7" i="173"/>
  <c r="AAE7" i="173"/>
  <c r="AAD7" i="173"/>
  <c r="AAC7" i="173"/>
  <c r="AAB7" i="173"/>
  <c r="AAA7" i="173"/>
  <c r="ZZ7" i="173"/>
  <c r="ZY7" i="173"/>
  <c r="ZX7" i="173"/>
  <c r="ZW7" i="173"/>
  <c r="ZV7" i="173"/>
  <c r="ZU7" i="173"/>
  <c r="ZT7" i="173"/>
  <c r="ZS7" i="173"/>
  <c r="ZR7" i="173"/>
  <c r="ZQ7" i="173"/>
  <c r="ZP7" i="173"/>
  <c r="ZO7" i="173"/>
  <c r="ZN7" i="173"/>
  <c r="ZM7" i="173"/>
  <c r="ZL7" i="173"/>
  <c r="ZK7" i="173"/>
  <c r="ZJ7" i="173"/>
  <c r="ZI7" i="173"/>
  <c r="ZH7" i="173"/>
  <c r="ZG7" i="173"/>
  <c r="ZF7" i="173"/>
  <c r="ZE7" i="173"/>
  <c r="ZD7" i="173"/>
  <c r="ZC7" i="173"/>
  <c r="ZB7" i="173"/>
  <c r="ZA7" i="173"/>
  <c r="YZ7" i="173"/>
  <c r="YY7" i="173"/>
  <c r="YX7" i="173"/>
  <c r="YW7" i="173"/>
  <c r="YV7" i="173"/>
  <c r="YU7" i="173"/>
  <c r="YT7" i="173"/>
  <c r="YS7" i="173"/>
  <c r="YR7" i="173"/>
  <c r="YQ7" i="173"/>
  <c r="YP7" i="173"/>
  <c r="YO7" i="173"/>
  <c r="YN7" i="173"/>
  <c r="YM7" i="173"/>
  <c r="YL7" i="173"/>
  <c r="YK7" i="173"/>
  <c r="YJ7" i="173"/>
  <c r="YI7" i="173"/>
  <c r="YH7" i="173"/>
  <c r="YG7" i="173"/>
  <c r="YF7" i="173"/>
  <c r="YE7" i="173"/>
  <c r="YD7" i="173"/>
  <c r="YC7" i="173"/>
  <c r="YB7" i="173"/>
  <c r="YA7" i="173"/>
  <c r="XZ7" i="173"/>
  <c r="XY7" i="173"/>
  <c r="XX7" i="173"/>
  <c r="XW7" i="173"/>
  <c r="XV7" i="173"/>
  <c r="XU7" i="173"/>
  <c r="XT7" i="173"/>
  <c r="XS7" i="173"/>
  <c r="XR7" i="173"/>
  <c r="XQ7" i="173"/>
  <c r="XP7" i="173"/>
  <c r="XO7" i="173"/>
  <c r="XN7" i="173"/>
  <c r="XM7" i="173"/>
  <c r="XL7" i="173"/>
  <c r="XK7" i="173"/>
  <c r="XJ7" i="173"/>
  <c r="XI7" i="173"/>
  <c r="XH7" i="173"/>
  <c r="XG7" i="173"/>
  <c r="XF7" i="173"/>
  <c r="XE7" i="173"/>
  <c r="XD7" i="173"/>
  <c r="XC7" i="173"/>
  <c r="XB7" i="173"/>
  <c r="XA7" i="173"/>
  <c r="WZ7" i="173"/>
  <c r="WY7" i="173"/>
  <c r="WX7" i="173"/>
  <c r="WW7" i="173"/>
  <c r="WV7" i="173"/>
  <c r="WU7" i="173"/>
  <c r="WT7" i="173"/>
  <c r="WS7" i="173"/>
  <c r="WR7" i="173"/>
  <c r="WQ7" i="173"/>
  <c r="WP7" i="173"/>
  <c r="WO7" i="173"/>
  <c r="WN7" i="173"/>
  <c r="WM7" i="173"/>
  <c r="WL7" i="173"/>
  <c r="WK7" i="173"/>
  <c r="WJ7" i="173"/>
  <c r="WI7" i="173"/>
  <c r="WH7" i="173"/>
  <c r="WG7" i="173"/>
  <c r="WF7" i="173"/>
  <c r="WE7" i="173"/>
  <c r="WD7" i="173"/>
  <c r="WC7" i="173"/>
  <c r="WB7" i="173"/>
  <c r="WA7" i="173"/>
  <c r="VZ7" i="173"/>
  <c r="VY7" i="173"/>
  <c r="VX7" i="173"/>
  <c r="VW7" i="173"/>
  <c r="VV7" i="173"/>
  <c r="VU7" i="173"/>
  <c r="VT7" i="173"/>
  <c r="VS7" i="173"/>
  <c r="VR7" i="173"/>
  <c r="VQ7" i="173"/>
  <c r="VP7" i="173"/>
  <c r="VO7" i="173"/>
  <c r="VN7" i="173"/>
  <c r="VM7" i="173"/>
  <c r="VL7" i="173"/>
  <c r="VK7" i="173"/>
  <c r="VJ7" i="173"/>
  <c r="VI7" i="173"/>
  <c r="VH7" i="173"/>
  <c r="VG7" i="173"/>
  <c r="VF7" i="173"/>
  <c r="VE7" i="173"/>
  <c r="VD7" i="173"/>
  <c r="VC7" i="173"/>
  <c r="VB7" i="173"/>
  <c r="VA7" i="173"/>
  <c r="UZ7" i="173"/>
  <c r="UY7" i="173"/>
  <c r="UX7" i="173"/>
  <c r="UW7" i="173"/>
  <c r="UV7" i="173"/>
  <c r="UU7" i="173"/>
  <c r="UT7" i="173"/>
  <c r="US7" i="173"/>
  <c r="UR7" i="173"/>
  <c r="UQ7" i="173"/>
  <c r="UP7" i="173"/>
  <c r="UO7" i="173"/>
  <c r="UN7" i="173"/>
  <c r="UM7" i="173"/>
  <c r="UL7" i="173"/>
  <c r="UK7" i="173"/>
  <c r="UJ7" i="173"/>
  <c r="UI7" i="173"/>
  <c r="UH7" i="173"/>
  <c r="UG7" i="173"/>
  <c r="UF7" i="173"/>
  <c r="UE7" i="173"/>
  <c r="UD7" i="173"/>
  <c r="UC7" i="173"/>
  <c r="UB7" i="173"/>
  <c r="UA7" i="173"/>
  <c r="TZ7" i="173"/>
  <c r="TY7" i="173"/>
  <c r="TX7" i="173"/>
  <c r="TW7" i="173"/>
  <c r="TV7" i="173"/>
  <c r="TU7" i="173"/>
  <c r="TT7" i="173"/>
  <c r="TS7" i="173"/>
  <c r="TR7" i="173"/>
  <c r="TQ7" i="173"/>
  <c r="TP7" i="173"/>
  <c r="TO7" i="173"/>
  <c r="TN7" i="173"/>
  <c r="TM7" i="173"/>
  <c r="TL7" i="173"/>
  <c r="TK7" i="173"/>
  <c r="TJ7" i="173"/>
  <c r="TI7" i="173"/>
  <c r="TH7" i="173"/>
  <c r="TG7" i="173"/>
  <c r="TF7" i="173"/>
  <c r="TE7" i="173"/>
  <c r="TD7" i="173"/>
  <c r="TC7" i="173"/>
  <c r="TB7" i="173"/>
  <c r="TA7" i="173"/>
  <c r="SZ7" i="173"/>
  <c r="SY7" i="173"/>
  <c r="SX7" i="173"/>
  <c r="SW7" i="173"/>
  <c r="SV7" i="173"/>
  <c r="SU7" i="173"/>
  <c r="ST7" i="173"/>
  <c r="SS7" i="173"/>
  <c r="SR7" i="173"/>
  <c r="SQ7" i="173"/>
  <c r="SP7" i="173"/>
  <c r="SO7" i="173"/>
  <c r="SN7" i="173"/>
  <c r="SM7" i="173"/>
  <c r="SL7" i="173"/>
  <c r="SK7" i="173"/>
  <c r="SJ7" i="173"/>
  <c r="SI7" i="173"/>
  <c r="SH7" i="173"/>
  <c r="SG7" i="173"/>
  <c r="SF7" i="173"/>
  <c r="SE7" i="173"/>
  <c r="SD7" i="173"/>
  <c r="SC7" i="173"/>
  <c r="SB7" i="173"/>
  <c r="SA7" i="173"/>
  <c r="RZ7" i="173"/>
  <c r="RY7" i="173"/>
  <c r="RX7" i="173"/>
  <c r="RW7" i="173"/>
  <c r="RV7" i="173"/>
  <c r="RU7" i="173"/>
  <c r="RT7" i="173"/>
  <c r="RS7" i="173"/>
  <c r="RR7" i="173"/>
  <c r="RQ7" i="173"/>
  <c r="RP7" i="173"/>
  <c r="RO7" i="173"/>
  <c r="RN7" i="173"/>
  <c r="RM7" i="173"/>
  <c r="RL7" i="173"/>
  <c r="RK7" i="173"/>
  <c r="RJ7" i="173"/>
  <c r="RI7" i="173"/>
  <c r="RH7" i="173"/>
  <c r="RG7" i="173"/>
  <c r="RF7" i="173"/>
  <c r="RE7" i="173"/>
  <c r="RD7" i="173"/>
  <c r="RC7" i="173"/>
  <c r="RB7" i="173"/>
  <c r="RA7" i="173"/>
  <c r="QZ7" i="173"/>
  <c r="QY7" i="173"/>
  <c r="QX7" i="173"/>
  <c r="QW7" i="173"/>
  <c r="QV7" i="173"/>
  <c r="QU7" i="173"/>
  <c r="QT7" i="173"/>
  <c r="QS7" i="173"/>
  <c r="QR7" i="173"/>
  <c r="QQ7" i="173"/>
  <c r="QP7" i="173"/>
  <c r="QO7" i="173"/>
  <c r="QN7" i="173"/>
  <c r="QM7" i="173"/>
  <c r="QL7" i="173"/>
  <c r="QK7" i="173"/>
  <c r="QJ7" i="173"/>
  <c r="QI7" i="173"/>
  <c r="QH7" i="173"/>
  <c r="QG7" i="173"/>
  <c r="QF7" i="173"/>
  <c r="QE7" i="173"/>
  <c r="QD7" i="173"/>
  <c r="QC7" i="173"/>
  <c r="QB7" i="173"/>
  <c r="QA7" i="173"/>
  <c r="PZ7" i="173"/>
  <c r="PY7" i="173"/>
  <c r="PX7" i="173"/>
  <c r="PW7" i="173"/>
  <c r="PV7" i="173"/>
  <c r="PU7" i="173"/>
  <c r="PT7" i="173"/>
  <c r="PS7" i="173"/>
  <c r="PR7" i="173"/>
  <c r="PQ7" i="173"/>
  <c r="PP7" i="173"/>
  <c r="PO7" i="173"/>
  <c r="PN7" i="173"/>
  <c r="PM7" i="173"/>
  <c r="PL7" i="173"/>
  <c r="PK7" i="173"/>
  <c r="PJ7" i="173"/>
  <c r="PI7" i="173"/>
  <c r="PH7" i="173"/>
  <c r="PG7" i="173"/>
  <c r="PF7" i="173"/>
  <c r="PE7" i="173"/>
  <c r="PD7" i="173"/>
  <c r="PC7" i="173"/>
  <c r="PB7" i="173"/>
  <c r="PA7" i="173"/>
  <c r="OZ7" i="173"/>
  <c r="OY7" i="173"/>
  <c r="OX7" i="173"/>
  <c r="OW7" i="173"/>
  <c r="OV7" i="173"/>
  <c r="OU7" i="173"/>
  <c r="OT7" i="173"/>
  <c r="OS7" i="173"/>
  <c r="OR7" i="173"/>
  <c r="OQ7" i="173"/>
  <c r="OP7" i="173"/>
  <c r="OO7" i="173"/>
  <c r="ON7" i="173"/>
  <c r="OM7" i="173"/>
  <c r="OL7" i="173"/>
  <c r="OK7" i="173"/>
  <c r="OJ7" i="173"/>
  <c r="OI7" i="173"/>
  <c r="OH7" i="173"/>
  <c r="OG7" i="173"/>
  <c r="OF7" i="173"/>
  <c r="OE7" i="173"/>
  <c r="OD7" i="173"/>
  <c r="OC7" i="173"/>
  <c r="OB7" i="173"/>
  <c r="OA7" i="173"/>
  <c r="NZ7" i="173"/>
  <c r="NY7" i="173"/>
  <c r="NX7" i="173"/>
  <c r="NW7" i="173"/>
  <c r="NV7" i="173"/>
  <c r="NU7" i="173"/>
  <c r="NT7" i="173"/>
  <c r="NS7" i="173"/>
  <c r="NR7" i="173"/>
  <c r="NQ7" i="173"/>
  <c r="NP7" i="173"/>
  <c r="NO7" i="173"/>
  <c r="NN7" i="173"/>
  <c r="NM7" i="173"/>
  <c r="NL7" i="173"/>
  <c r="NK7" i="173"/>
  <c r="NJ7" i="173"/>
  <c r="NI7" i="173"/>
  <c r="NH7" i="173"/>
  <c r="NG7" i="173"/>
  <c r="NF7" i="173"/>
  <c r="NE7" i="173"/>
  <c r="ND7" i="173"/>
  <c r="NC7" i="173"/>
  <c r="NB7" i="173"/>
  <c r="NA7" i="173"/>
  <c r="MZ7" i="173"/>
  <c r="MY7" i="173"/>
  <c r="MX7" i="173"/>
  <c r="MW7" i="173"/>
  <c r="MV7" i="173"/>
  <c r="MU7" i="173"/>
  <c r="MT7" i="173"/>
  <c r="MS7" i="173"/>
  <c r="MR7" i="173"/>
  <c r="MQ7" i="173"/>
  <c r="MP7" i="173"/>
  <c r="MO7" i="173"/>
  <c r="MN7" i="173"/>
  <c r="MM7" i="173"/>
  <c r="ML7" i="173"/>
  <c r="MK7" i="173"/>
  <c r="MJ7" i="173"/>
  <c r="MI7" i="173"/>
  <c r="MH7" i="173"/>
  <c r="MG7" i="173"/>
  <c r="MF7" i="173"/>
  <c r="ME7" i="173"/>
  <c r="MD7" i="173"/>
  <c r="MC7" i="173"/>
  <c r="MB7" i="173"/>
  <c r="MA7" i="173"/>
  <c r="LZ7" i="173"/>
  <c r="LY7" i="173"/>
  <c r="LX7" i="173"/>
  <c r="LW7" i="173"/>
  <c r="LV7" i="173"/>
  <c r="LU7" i="173"/>
  <c r="LT7" i="173"/>
  <c r="LS7" i="173"/>
  <c r="LR7" i="173"/>
  <c r="LQ7" i="173"/>
  <c r="LP7" i="173"/>
  <c r="LO7" i="173"/>
  <c r="LN7" i="173"/>
  <c r="LM7" i="173"/>
  <c r="LL7" i="173"/>
  <c r="LK7" i="173"/>
  <c r="LJ7" i="173"/>
  <c r="LI7" i="173"/>
  <c r="LH7" i="173"/>
  <c r="LG7" i="173"/>
  <c r="LF7" i="173"/>
  <c r="LE7" i="173"/>
  <c r="LD7" i="173"/>
  <c r="LC7" i="173"/>
  <c r="LB7" i="173"/>
  <c r="LA7" i="173"/>
  <c r="KZ7" i="173"/>
  <c r="KY7" i="173"/>
  <c r="KX7" i="173"/>
  <c r="KW7" i="173"/>
  <c r="KV7" i="173"/>
  <c r="KU7" i="173"/>
  <c r="KT7" i="173"/>
  <c r="KS7" i="173"/>
  <c r="KR7" i="173"/>
  <c r="KQ7" i="173"/>
  <c r="KP7" i="173"/>
  <c r="KO7" i="173"/>
  <c r="KN7" i="173"/>
  <c r="KM7" i="173"/>
  <c r="KL7" i="173"/>
  <c r="KK7" i="173"/>
  <c r="KJ7" i="173"/>
  <c r="KI7" i="173"/>
  <c r="KH7" i="173"/>
  <c r="KG7" i="173"/>
  <c r="KF7" i="173"/>
  <c r="KE7" i="173"/>
  <c r="KD7" i="173"/>
  <c r="KC7" i="173"/>
  <c r="KB7" i="173"/>
  <c r="KA7" i="173"/>
  <c r="JZ7" i="173"/>
  <c r="JY7" i="173"/>
  <c r="JX7" i="173"/>
  <c r="JW7" i="173"/>
  <c r="JV7" i="173"/>
  <c r="JU7" i="173"/>
  <c r="JT7" i="173"/>
  <c r="JS7" i="173"/>
  <c r="JR7" i="173"/>
  <c r="JQ7" i="173"/>
  <c r="JP7" i="173"/>
  <c r="JO7" i="173"/>
  <c r="JN7" i="173"/>
  <c r="JM7" i="173"/>
  <c r="JL7" i="173"/>
  <c r="JK7" i="173"/>
  <c r="JJ7" i="173"/>
  <c r="JI7" i="173"/>
  <c r="JH7" i="173"/>
  <c r="JG7" i="173"/>
  <c r="JF7" i="173"/>
  <c r="JE7" i="173"/>
  <c r="JD7" i="173"/>
  <c r="JC7" i="173"/>
  <c r="JB7" i="173"/>
  <c r="JA7" i="173"/>
  <c r="IZ7" i="173"/>
  <c r="IY7" i="173"/>
  <c r="IX7" i="173"/>
  <c r="IW7" i="173"/>
  <c r="IV7" i="173"/>
  <c r="IU7" i="173"/>
  <c r="IT7" i="173"/>
  <c r="IS7" i="173"/>
  <c r="IR7" i="173"/>
  <c r="IQ7" i="173"/>
  <c r="IP7" i="173"/>
  <c r="IO7" i="173"/>
  <c r="IN7" i="173"/>
  <c r="IM7" i="173"/>
  <c r="IL7" i="173"/>
  <c r="IK7" i="173"/>
  <c r="IJ7" i="173"/>
  <c r="II7" i="173"/>
  <c r="IH7" i="173"/>
  <c r="IG7" i="173"/>
  <c r="IF7" i="173"/>
  <c r="IE7" i="173"/>
  <c r="ID7" i="173"/>
  <c r="IC7" i="173"/>
  <c r="IB7" i="173"/>
  <c r="IA7" i="173"/>
  <c r="HZ7" i="173"/>
  <c r="HY7" i="173"/>
  <c r="HX7" i="173"/>
  <c r="HW7" i="173"/>
  <c r="HV7" i="173"/>
  <c r="HU7" i="173"/>
  <c r="HT7" i="173"/>
  <c r="HS7" i="173"/>
  <c r="HR7" i="173"/>
  <c r="HQ7" i="173"/>
  <c r="HP7" i="173"/>
  <c r="HO7" i="173"/>
  <c r="HN7" i="173"/>
  <c r="HM7" i="173"/>
  <c r="HL7" i="173"/>
  <c r="HK7" i="173"/>
  <c r="HJ7" i="173"/>
  <c r="HI7" i="173"/>
  <c r="HH7" i="173"/>
  <c r="HG7" i="173"/>
  <c r="HF7" i="173"/>
  <c r="HE7" i="173"/>
  <c r="HD7" i="173"/>
  <c r="HC7" i="173"/>
  <c r="HB7" i="173"/>
  <c r="HA7" i="173"/>
  <c r="GZ7" i="173"/>
  <c r="GY7" i="173"/>
  <c r="GX7" i="173"/>
  <c r="GW7" i="173"/>
  <c r="GV7" i="173"/>
  <c r="GU7" i="173"/>
  <c r="GT7" i="173"/>
  <c r="GS7" i="173"/>
  <c r="GR7" i="173"/>
  <c r="GQ7" i="173"/>
  <c r="GP7" i="173"/>
  <c r="GO7" i="173"/>
  <c r="GN7" i="173"/>
  <c r="GM7" i="173"/>
  <c r="GL7" i="173"/>
  <c r="GK7" i="173"/>
  <c r="GJ7" i="173"/>
  <c r="GI7" i="173"/>
  <c r="GH7" i="173"/>
  <c r="GG7" i="173"/>
  <c r="GF7" i="173"/>
  <c r="GE7" i="173"/>
  <c r="GD7" i="173"/>
  <c r="GC7" i="173"/>
  <c r="GB7" i="173"/>
  <c r="GA7" i="173"/>
  <c r="FZ7" i="173"/>
  <c r="FY7" i="173"/>
  <c r="FX7" i="173"/>
  <c r="FW7" i="173"/>
  <c r="FV7" i="173"/>
  <c r="FU7" i="173"/>
  <c r="FT7" i="173"/>
  <c r="FS7" i="173"/>
  <c r="FR7" i="173"/>
  <c r="FQ7" i="173"/>
  <c r="FP7" i="173"/>
  <c r="FO7" i="173"/>
  <c r="FN7" i="173"/>
  <c r="FM7" i="173"/>
  <c r="FL7" i="173"/>
  <c r="FK7" i="173"/>
  <c r="FJ7" i="173"/>
  <c r="FI7" i="173"/>
  <c r="FH7" i="173"/>
  <c r="FG7" i="173"/>
  <c r="FF7" i="173"/>
  <c r="FE7" i="173"/>
  <c r="FD7" i="173"/>
  <c r="FC7" i="173"/>
  <c r="FB7" i="173"/>
  <c r="FA7" i="173"/>
  <c r="EZ7" i="173"/>
  <c r="EY7" i="173"/>
  <c r="EX7" i="173"/>
  <c r="EW7" i="173"/>
  <c r="EV7" i="173"/>
  <c r="EU7" i="173"/>
  <c r="ET7" i="173"/>
  <c r="ES7" i="173"/>
  <c r="ER7" i="173"/>
  <c r="EQ7" i="173"/>
  <c r="EP7" i="173"/>
  <c r="EO7" i="173"/>
  <c r="EN7" i="173"/>
  <c r="EM7" i="173"/>
  <c r="EL7" i="173"/>
  <c r="EK7" i="173"/>
  <c r="EJ7" i="173"/>
  <c r="EI7" i="173"/>
  <c r="EH7" i="173"/>
  <c r="EG7" i="173"/>
  <c r="EF7" i="173"/>
  <c r="EE7" i="173"/>
  <c r="ED7" i="173"/>
  <c r="EC7" i="173"/>
  <c r="EB7" i="173"/>
  <c r="EA7" i="173"/>
  <c r="DZ7" i="173"/>
  <c r="DY7" i="173"/>
  <c r="DX7" i="173"/>
  <c r="DW7" i="173"/>
  <c r="DV7" i="173"/>
  <c r="DU7" i="173"/>
  <c r="DT7" i="173"/>
  <c r="DS7" i="173"/>
  <c r="DR7" i="173"/>
  <c r="DQ7" i="173"/>
  <c r="DP7" i="173"/>
  <c r="DO7" i="173"/>
  <c r="DN7" i="173"/>
  <c r="DM7" i="173"/>
  <c r="DL7" i="173"/>
  <c r="DK7" i="173"/>
  <c r="DJ7" i="173"/>
  <c r="DI7" i="173"/>
  <c r="DH7" i="173"/>
  <c r="DG7" i="173"/>
  <c r="DF7" i="173"/>
  <c r="DE7" i="173"/>
  <c r="DD7" i="173"/>
  <c r="DC7" i="173"/>
  <c r="DB7" i="173"/>
  <c r="DA7" i="173"/>
  <c r="CZ7" i="173"/>
  <c r="CY7" i="173"/>
  <c r="CX7" i="173"/>
  <c r="CW7" i="173"/>
  <c r="CV7" i="173"/>
  <c r="CU7" i="173"/>
  <c r="CT7" i="173"/>
  <c r="CS7" i="173"/>
  <c r="CR7" i="173"/>
  <c r="CQ7" i="173"/>
  <c r="CP7" i="173"/>
  <c r="CO7" i="173"/>
  <c r="CN7" i="173"/>
  <c r="CM7" i="173"/>
  <c r="CL7" i="173"/>
  <c r="CK7" i="173"/>
  <c r="CJ7" i="173"/>
  <c r="CI7" i="173"/>
  <c r="CH7" i="173"/>
  <c r="CG7" i="173"/>
  <c r="CF7" i="173"/>
  <c r="CE7" i="173"/>
  <c r="CD7" i="173"/>
  <c r="CC7" i="173"/>
  <c r="CB7" i="173"/>
  <c r="CA7" i="173"/>
  <c r="BZ7" i="173"/>
  <c r="BY7" i="173"/>
  <c r="BX7" i="173"/>
  <c r="BW7" i="173"/>
  <c r="BV7" i="173"/>
  <c r="BU7" i="173"/>
  <c r="BT7" i="173"/>
  <c r="BS7" i="173"/>
  <c r="BR7" i="173"/>
  <c r="BQ7" i="173"/>
  <c r="BP7" i="173"/>
  <c r="BO7" i="173"/>
  <c r="BN7" i="173"/>
  <c r="BM7" i="173"/>
  <c r="BL7" i="173"/>
  <c r="BK7" i="173"/>
  <c r="BJ7" i="173"/>
  <c r="BI7" i="173"/>
  <c r="BH7" i="173"/>
  <c r="BG7" i="173"/>
  <c r="BF7" i="173"/>
  <c r="BE7" i="173"/>
  <c r="BD7" i="173"/>
  <c r="BC7" i="173"/>
  <c r="BB7" i="173"/>
  <c r="BA7" i="173"/>
  <c r="AZ7" i="173"/>
  <c r="AY7" i="173"/>
  <c r="AX7" i="173"/>
  <c r="AW7" i="173"/>
  <c r="AV7" i="173"/>
  <c r="AU7" i="173"/>
  <c r="AT7" i="173"/>
  <c r="AS7" i="173"/>
  <c r="AR7" i="173"/>
  <c r="AQ7" i="173"/>
  <c r="AP7" i="173"/>
  <c r="AO7" i="173"/>
  <c r="AN7" i="173"/>
  <c r="AM7" i="173"/>
  <c r="AL7" i="173"/>
  <c r="AK7" i="173"/>
  <c r="AJ7" i="173"/>
  <c r="AI7" i="173"/>
  <c r="AH7" i="173"/>
  <c r="AG7" i="173"/>
  <c r="AF7" i="173"/>
  <c r="AE7" i="173"/>
  <c r="AD7" i="173"/>
  <c r="AC7" i="173"/>
  <c r="AB7" i="173"/>
  <c r="AA7" i="173"/>
  <c r="Z7" i="173"/>
  <c r="Y7" i="173"/>
  <c r="X7" i="173"/>
  <c r="W7" i="173"/>
  <c r="V7" i="173"/>
  <c r="U7" i="173"/>
  <c r="T7" i="173"/>
  <c r="S7" i="173"/>
  <c r="R7" i="173"/>
  <c r="Q7" i="173"/>
  <c r="P7" i="173"/>
  <c r="O7" i="173"/>
  <c r="N7" i="173"/>
  <c r="M7" i="173"/>
  <c r="L7" i="173"/>
  <c r="K7" i="173"/>
  <c r="J7" i="173"/>
  <c r="I7" i="173"/>
  <c r="H7" i="173"/>
  <c r="G7" i="173"/>
  <c r="F7" i="173"/>
  <c r="D7" i="173"/>
  <c r="AAV6" i="173"/>
  <c r="AAU6" i="173"/>
  <c r="AAT6" i="173"/>
  <c r="AAS6" i="173"/>
  <c r="AAR6" i="173"/>
  <c r="AAQ6" i="173"/>
  <c r="AAP6" i="173"/>
  <c r="AAO6" i="173"/>
  <c r="AAN6" i="173"/>
  <c r="AAM6" i="173"/>
  <c r="AAL6" i="173"/>
  <c r="AAK6" i="173"/>
  <c r="AAJ6" i="173"/>
  <c r="AAI6" i="173"/>
  <c r="AAH6" i="173"/>
  <c r="AAG6" i="173"/>
  <c r="AAF6" i="173"/>
  <c r="AAE6" i="173"/>
  <c r="AAD6" i="173"/>
  <c r="AAC6" i="173"/>
  <c r="AAB6" i="173"/>
  <c r="AAA6" i="173"/>
  <c r="ZZ6" i="173"/>
  <c r="ZY6" i="173"/>
  <c r="ZX6" i="173"/>
  <c r="ZW6" i="173"/>
  <c r="ZV6" i="173"/>
  <c r="ZU6" i="173"/>
  <c r="ZT6" i="173"/>
  <c r="ZS6" i="173"/>
  <c r="ZR6" i="173"/>
  <c r="ZQ6" i="173"/>
  <c r="ZP6" i="173"/>
  <c r="ZO6" i="173"/>
  <c r="ZN6" i="173"/>
  <c r="ZM6" i="173"/>
  <c r="ZL6" i="173"/>
  <c r="ZK6" i="173"/>
  <c r="ZJ6" i="173"/>
  <c r="ZI6" i="173"/>
  <c r="ZH6" i="173"/>
  <c r="ZG6" i="173"/>
  <c r="ZF6" i="173"/>
  <c r="ZE6" i="173"/>
  <c r="ZD6" i="173"/>
  <c r="ZC6" i="173"/>
  <c r="ZB6" i="173"/>
  <c r="ZA6" i="173"/>
  <c r="YZ6" i="173"/>
  <c r="YY6" i="173"/>
  <c r="YX6" i="173"/>
  <c r="YW6" i="173"/>
  <c r="YV6" i="173"/>
  <c r="YU6" i="173"/>
  <c r="YT6" i="173"/>
  <c r="YS6" i="173"/>
  <c r="YR6" i="173"/>
  <c r="YQ6" i="173"/>
  <c r="YP6" i="173"/>
  <c r="YO6" i="173"/>
  <c r="YN6" i="173"/>
  <c r="YM6" i="173"/>
  <c r="YL6" i="173"/>
  <c r="YK6" i="173"/>
  <c r="YJ6" i="173"/>
  <c r="YI6" i="173"/>
  <c r="YH6" i="173"/>
  <c r="YG6" i="173"/>
  <c r="YF6" i="173"/>
  <c r="YE6" i="173"/>
  <c r="YD6" i="173"/>
  <c r="YC6" i="173"/>
  <c r="YB6" i="173"/>
  <c r="YA6" i="173"/>
  <c r="XZ6" i="173"/>
  <c r="XY6" i="173"/>
  <c r="XX6" i="173"/>
  <c r="XW6" i="173"/>
  <c r="XV6" i="173"/>
  <c r="XU6" i="173"/>
  <c r="XT6" i="173"/>
  <c r="XS6" i="173"/>
  <c r="XR6" i="173"/>
  <c r="XQ6" i="173"/>
  <c r="XP6" i="173"/>
  <c r="XO6" i="173"/>
  <c r="XN6" i="173"/>
  <c r="XM6" i="173"/>
  <c r="XL6" i="173"/>
  <c r="XK6" i="173"/>
  <c r="XJ6" i="173"/>
  <c r="XI6" i="173"/>
  <c r="XH6" i="173"/>
  <c r="XG6" i="173"/>
  <c r="XF6" i="173"/>
  <c r="XE6" i="173"/>
  <c r="XD6" i="173"/>
  <c r="XC6" i="173"/>
  <c r="XB6" i="173"/>
  <c r="XA6" i="173"/>
  <c r="WZ6" i="173"/>
  <c r="WY6" i="173"/>
  <c r="WX6" i="173"/>
  <c r="WW6" i="173"/>
  <c r="WV6" i="173"/>
  <c r="WU6" i="173"/>
  <c r="WT6" i="173"/>
  <c r="WS6" i="173"/>
  <c r="WR6" i="173"/>
  <c r="WQ6" i="173"/>
  <c r="WP6" i="173"/>
  <c r="WO6" i="173"/>
  <c r="WN6" i="173"/>
  <c r="WM6" i="173"/>
  <c r="WL6" i="173"/>
  <c r="WK6" i="173"/>
  <c r="WJ6" i="173"/>
  <c r="WI6" i="173"/>
  <c r="WH6" i="173"/>
  <c r="WG6" i="173"/>
  <c r="WF6" i="173"/>
  <c r="WE6" i="173"/>
  <c r="WD6" i="173"/>
  <c r="WC6" i="173"/>
  <c r="WB6" i="173"/>
  <c r="WA6" i="173"/>
  <c r="VZ6" i="173"/>
  <c r="VY6" i="173"/>
  <c r="VX6" i="173"/>
  <c r="VW6" i="173"/>
  <c r="VV6" i="173"/>
  <c r="VU6" i="173"/>
  <c r="VT6" i="173"/>
  <c r="VS6" i="173"/>
  <c r="VR6" i="173"/>
  <c r="VQ6" i="173"/>
  <c r="VP6" i="173"/>
  <c r="VO6" i="173"/>
  <c r="VN6" i="173"/>
  <c r="VM6" i="173"/>
  <c r="VL6" i="173"/>
  <c r="VK6" i="173"/>
  <c r="VJ6" i="173"/>
  <c r="VI6" i="173"/>
  <c r="VH6" i="173"/>
  <c r="VG6" i="173"/>
  <c r="VF6" i="173"/>
  <c r="VE6" i="173"/>
  <c r="VD6" i="173"/>
  <c r="VC6" i="173"/>
  <c r="VB6" i="173"/>
  <c r="VA6" i="173"/>
  <c r="UZ6" i="173"/>
  <c r="UY6" i="173"/>
  <c r="UX6" i="173"/>
  <c r="UW6" i="173"/>
  <c r="UV6" i="173"/>
  <c r="UU6" i="173"/>
  <c r="UT6" i="173"/>
  <c r="US6" i="173"/>
  <c r="UR6" i="173"/>
  <c r="UQ6" i="173"/>
  <c r="UP6" i="173"/>
  <c r="UO6" i="173"/>
  <c r="UN6" i="173"/>
  <c r="UM6" i="173"/>
  <c r="UL6" i="173"/>
  <c r="UK6" i="173"/>
  <c r="UJ6" i="173"/>
  <c r="UI6" i="173"/>
  <c r="UH6" i="173"/>
  <c r="UG6" i="173"/>
  <c r="UF6" i="173"/>
  <c r="UE6" i="173"/>
  <c r="UD6" i="173"/>
  <c r="UC6" i="173"/>
  <c r="UB6" i="173"/>
  <c r="UA6" i="173"/>
  <c r="TZ6" i="173"/>
  <c r="TY6" i="173"/>
  <c r="TX6" i="173"/>
  <c r="TW6" i="173"/>
  <c r="TV6" i="173"/>
  <c r="TU6" i="173"/>
  <c r="TT6" i="173"/>
  <c r="TS6" i="173"/>
  <c r="TR6" i="173"/>
  <c r="TQ6" i="173"/>
  <c r="TP6" i="173"/>
  <c r="TO6" i="173"/>
  <c r="TN6" i="173"/>
  <c r="TM6" i="173"/>
  <c r="TL6" i="173"/>
  <c r="TK6" i="173"/>
  <c r="TJ6" i="173"/>
  <c r="TI6" i="173"/>
  <c r="TH6" i="173"/>
  <c r="TG6" i="173"/>
  <c r="TF6" i="173"/>
  <c r="TE6" i="173"/>
  <c r="TD6" i="173"/>
  <c r="TC6" i="173"/>
  <c r="TB6" i="173"/>
  <c r="TA6" i="173"/>
  <c r="SZ6" i="173"/>
  <c r="SY6" i="173"/>
  <c r="SX6" i="173"/>
  <c r="SW6" i="173"/>
  <c r="SV6" i="173"/>
  <c r="SU6" i="173"/>
  <c r="ST6" i="173"/>
  <c r="SS6" i="173"/>
  <c r="SR6" i="173"/>
  <c r="SQ6" i="173"/>
  <c r="SP6" i="173"/>
  <c r="SO6" i="173"/>
  <c r="SN6" i="173"/>
  <c r="SM6" i="173"/>
  <c r="SL6" i="173"/>
  <c r="SK6" i="173"/>
  <c r="SJ6" i="173"/>
  <c r="SI6" i="173"/>
  <c r="SH6" i="173"/>
  <c r="SG6" i="173"/>
  <c r="SF6" i="173"/>
  <c r="SE6" i="173"/>
  <c r="SD6" i="173"/>
  <c r="SC6" i="173"/>
  <c r="SB6" i="173"/>
  <c r="SA6" i="173"/>
  <c r="RZ6" i="173"/>
  <c r="RY6" i="173"/>
  <c r="RX6" i="173"/>
  <c r="RW6" i="173"/>
  <c r="RV6" i="173"/>
  <c r="RU6" i="173"/>
  <c r="RT6" i="173"/>
  <c r="RS6" i="173"/>
  <c r="RR6" i="173"/>
  <c r="RQ6" i="173"/>
  <c r="RP6" i="173"/>
  <c r="RO6" i="173"/>
  <c r="RN6" i="173"/>
  <c r="RM6" i="173"/>
  <c r="RL6" i="173"/>
  <c r="RK6" i="173"/>
  <c r="RJ6" i="173"/>
  <c r="RI6" i="173"/>
  <c r="RH6" i="173"/>
  <c r="RG6" i="173"/>
  <c r="RF6" i="173"/>
  <c r="RE6" i="173"/>
  <c r="RD6" i="173"/>
  <c r="RC6" i="173"/>
  <c r="RB6" i="173"/>
  <c r="RA6" i="173"/>
  <c r="QZ6" i="173"/>
  <c r="QY6" i="173"/>
  <c r="QX6" i="173"/>
  <c r="QW6" i="173"/>
  <c r="QV6" i="173"/>
  <c r="QU6" i="173"/>
  <c r="QT6" i="173"/>
  <c r="QS6" i="173"/>
  <c r="QR6" i="173"/>
  <c r="QQ6" i="173"/>
  <c r="QP6" i="173"/>
  <c r="QO6" i="173"/>
  <c r="QN6" i="173"/>
  <c r="QM6" i="173"/>
  <c r="QL6" i="173"/>
  <c r="QK6" i="173"/>
  <c r="QJ6" i="173"/>
  <c r="QI6" i="173"/>
  <c r="QH6" i="173"/>
  <c r="QG6" i="173"/>
  <c r="QF6" i="173"/>
  <c r="QE6" i="173"/>
  <c r="QD6" i="173"/>
  <c r="QC6" i="173"/>
  <c r="QB6" i="173"/>
  <c r="QA6" i="173"/>
  <c r="PZ6" i="173"/>
  <c r="PY6" i="173"/>
  <c r="PX6" i="173"/>
  <c r="PW6" i="173"/>
  <c r="PV6" i="173"/>
  <c r="PU6" i="173"/>
  <c r="PT6" i="173"/>
  <c r="PS6" i="173"/>
  <c r="PR6" i="173"/>
  <c r="PQ6" i="173"/>
  <c r="PP6" i="173"/>
  <c r="PO6" i="173"/>
  <c r="PN6" i="173"/>
  <c r="PM6" i="173"/>
  <c r="PL6" i="173"/>
  <c r="PK6" i="173"/>
  <c r="PJ6" i="173"/>
  <c r="PI6" i="173"/>
  <c r="PH6" i="173"/>
  <c r="PG6" i="173"/>
  <c r="PF6" i="173"/>
  <c r="PE6" i="173"/>
  <c r="PD6" i="173"/>
  <c r="PC6" i="173"/>
  <c r="PB6" i="173"/>
  <c r="PA6" i="173"/>
  <c r="OZ6" i="173"/>
  <c r="OY6" i="173"/>
  <c r="OX6" i="173"/>
  <c r="OW6" i="173"/>
  <c r="OV6" i="173"/>
  <c r="OU6" i="173"/>
  <c r="OT6" i="173"/>
  <c r="OS6" i="173"/>
  <c r="OR6" i="173"/>
  <c r="OQ6" i="173"/>
  <c r="OP6" i="173"/>
  <c r="OO6" i="173"/>
  <c r="ON6" i="173"/>
  <c r="OM6" i="173"/>
  <c r="OL6" i="173"/>
  <c r="OK6" i="173"/>
  <c r="OJ6" i="173"/>
  <c r="OI6" i="173"/>
  <c r="OH6" i="173"/>
  <c r="OG6" i="173"/>
  <c r="OF6" i="173"/>
  <c r="OE6" i="173"/>
  <c r="OD6" i="173"/>
  <c r="OC6" i="173"/>
  <c r="OB6" i="173"/>
  <c r="OA6" i="173"/>
  <c r="NZ6" i="173"/>
  <c r="NY6" i="173"/>
  <c r="NX6" i="173"/>
  <c r="NW6" i="173"/>
  <c r="NV6" i="173"/>
  <c r="NU6" i="173"/>
  <c r="NT6" i="173"/>
  <c r="NS6" i="173"/>
  <c r="NR6" i="173"/>
  <c r="NQ6" i="173"/>
  <c r="NP6" i="173"/>
  <c r="NO6" i="173"/>
  <c r="NN6" i="173"/>
  <c r="NM6" i="173"/>
  <c r="NL6" i="173"/>
  <c r="NK6" i="173"/>
  <c r="NJ6" i="173"/>
  <c r="NI6" i="173"/>
  <c r="NH6" i="173"/>
  <c r="NG6" i="173"/>
  <c r="NF6" i="173"/>
  <c r="NE6" i="173"/>
  <c r="ND6" i="173"/>
  <c r="NC6" i="173"/>
  <c r="NB6" i="173"/>
  <c r="NA6" i="173"/>
  <c r="MZ6" i="173"/>
  <c r="MY6" i="173"/>
  <c r="MX6" i="173"/>
  <c r="MW6" i="173"/>
  <c r="MV6" i="173"/>
  <c r="MU6" i="173"/>
  <c r="MT6" i="173"/>
  <c r="MS6" i="173"/>
  <c r="MR6" i="173"/>
  <c r="MQ6" i="173"/>
  <c r="MP6" i="173"/>
  <c r="MO6" i="173"/>
  <c r="MN6" i="173"/>
  <c r="MM6" i="173"/>
  <c r="ML6" i="173"/>
  <c r="MK6" i="173"/>
  <c r="MJ6" i="173"/>
  <c r="MI6" i="173"/>
  <c r="MH6" i="173"/>
  <c r="MG6" i="173"/>
  <c r="MF6" i="173"/>
  <c r="ME6" i="173"/>
  <c r="MD6" i="173"/>
  <c r="MC6" i="173"/>
  <c r="MB6" i="173"/>
  <c r="MA6" i="173"/>
  <c r="LZ6" i="173"/>
  <c r="LY6" i="173"/>
  <c r="LX6" i="173"/>
  <c r="LW6" i="173"/>
  <c r="LV6" i="173"/>
  <c r="LU6" i="173"/>
  <c r="LT6" i="173"/>
  <c r="LS6" i="173"/>
  <c r="LR6" i="173"/>
  <c r="LQ6" i="173"/>
  <c r="LP6" i="173"/>
  <c r="LO6" i="173"/>
  <c r="LN6" i="173"/>
  <c r="LM6" i="173"/>
  <c r="LL6" i="173"/>
  <c r="LK6" i="173"/>
  <c r="LJ6" i="173"/>
  <c r="LI6" i="173"/>
  <c r="LH6" i="173"/>
  <c r="LG6" i="173"/>
  <c r="LF6" i="173"/>
  <c r="LE6" i="173"/>
  <c r="LD6" i="173"/>
  <c r="LC6" i="173"/>
  <c r="LB6" i="173"/>
  <c r="LA6" i="173"/>
  <c r="KZ6" i="173"/>
  <c r="KY6" i="173"/>
  <c r="KX6" i="173"/>
  <c r="KW6" i="173"/>
  <c r="KV6" i="173"/>
  <c r="KU6" i="173"/>
  <c r="KT6" i="173"/>
  <c r="KS6" i="173"/>
  <c r="KR6" i="173"/>
  <c r="KQ6" i="173"/>
  <c r="KP6" i="173"/>
  <c r="KO6" i="173"/>
  <c r="KN6" i="173"/>
  <c r="KM6" i="173"/>
  <c r="KL6" i="173"/>
  <c r="KK6" i="173"/>
  <c r="KJ6" i="173"/>
  <c r="KI6" i="173"/>
  <c r="KH6" i="173"/>
  <c r="KG6" i="173"/>
  <c r="KF6" i="173"/>
  <c r="KE6" i="173"/>
  <c r="KD6" i="173"/>
  <c r="KC6" i="173"/>
  <c r="KB6" i="173"/>
  <c r="KA6" i="173"/>
  <c r="JZ6" i="173"/>
  <c r="JY6" i="173"/>
  <c r="JX6" i="173"/>
  <c r="JW6" i="173"/>
  <c r="JV6" i="173"/>
  <c r="JU6" i="173"/>
  <c r="JT6" i="173"/>
  <c r="JS6" i="173"/>
  <c r="JR6" i="173"/>
  <c r="JQ6" i="173"/>
  <c r="JP6" i="173"/>
  <c r="JO6" i="173"/>
  <c r="JN6" i="173"/>
  <c r="JM6" i="173"/>
  <c r="JL6" i="173"/>
  <c r="JK6" i="173"/>
  <c r="JJ6" i="173"/>
  <c r="JI6" i="173"/>
  <c r="JH6" i="173"/>
  <c r="JG6" i="173"/>
  <c r="JF6" i="173"/>
  <c r="JE6" i="173"/>
  <c r="JD6" i="173"/>
  <c r="JC6" i="173"/>
  <c r="JB6" i="173"/>
  <c r="JA6" i="173"/>
  <c r="IZ6" i="173"/>
  <c r="IY6" i="173"/>
  <c r="IX6" i="173"/>
  <c r="IW6" i="173"/>
  <c r="IV6" i="173"/>
  <c r="IU6" i="173"/>
  <c r="IT6" i="173"/>
  <c r="IS6" i="173"/>
  <c r="IR6" i="173"/>
  <c r="IQ6" i="173"/>
  <c r="IP6" i="173"/>
  <c r="IO6" i="173"/>
  <c r="IN6" i="173"/>
  <c r="IM6" i="173"/>
  <c r="IL6" i="173"/>
  <c r="IK6" i="173"/>
  <c r="IJ6" i="173"/>
  <c r="II6" i="173"/>
  <c r="IH6" i="173"/>
  <c r="IG6" i="173"/>
  <c r="IF6" i="173"/>
  <c r="IE6" i="173"/>
  <c r="ID6" i="173"/>
  <c r="IC6" i="173"/>
  <c r="IB6" i="173"/>
  <c r="IA6" i="173"/>
  <c r="HZ6" i="173"/>
  <c r="HY6" i="173"/>
  <c r="HX6" i="173"/>
  <c r="HW6" i="173"/>
  <c r="HV6" i="173"/>
  <c r="HU6" i="173"/>
  <c r="HT6" i="173"/>
  <c r="HS6" i="173"/>
  <c r="HR6" i="173"/>
  <c r="HQ6" i="173"/>
  <c r="HP6" i="173"/>
  <c r="HO6" i="173"/>
  <c r="HN6" i="173"/>
  <c r="HM6" i="173"/>
  <c r="HL6" i="173"/>
  <c r="HK6" i="173"/>
  <c r="HJ6" i="173"/>
  <c r="HI6" i="173"/>
  <c r="HH6" i="173"/>
  <c r="HG6" i="173"/>
  <c r="HF6" i="173"/>
  <c r="HE6" i="173"/>
  <c r="HD6" i="173"/>
  <c r="HC6" i="173"/>
  <c r="HB6" i="173"/>
  <c r="HA6" i="173"/>
  <c r="GZ6" i="173"/>
  <c r="GY6" i="173"/>
  <c r="GX6" i="173"/>
  <c r="GW6" i="173"/>
  <c r="GV6" i="173"/>
  <c r="GU6" i="173"/>
  <c r="GT6" i="173"/>
  <c r="GS6" i="173"/>
  <c r="GR6" i="173"/>
  <c r="GQ6" i="173"/>
  <c r="GP6" i="173"/>
  <c r="GO6" i="173"/>
  <c r="GN6" i="173"/>
  <c r="GM6" i="173"/>
  <c r="GL6" i="173"/>
  <c r="GK6" i="173"/>
  <c r="GJ6" i="173"/>
  <c r="GI6" i="173"/>
  <c r="GH6" i="173"/>
  <c r="GG6" i="173"/>
  <c r="GF6" i="173"/>
  <c r="GE6" i="173"/>
  <c r="GD6" i="173"/>
  <c r="GC6" i="173"/>
  <c r="GB6" i="173"/>
  <c r="GA6" i="173"/>
  <c r="FZ6" i="173"/>
  <c r="FY6" i="173"/>
  <c r="FX6" i="173"/>
  <c r="FW6" i="173"/>
  <c r="FV6" i="173"/>
  <c r="FU6" i="173"/>
  <c r="FT6" i="173"/>
  <c r="FS6" i="173"/>
  <c r="FR6" i="173"/>
  <c r="FQ6" i="173"/>
  <c r="FP6" i="173"/>
  <c r="FO6" i="173"/>
  <c r="FN6" i="173"/>
  <c r="FM6" i="173"/>
  <c r="FL6" i="173"/>
  <c r="FK6" i="173"/>
  <c r="FJ6" i="173"/>
  <c r="FI6" i="173"/>
  <c r="FH6" i="173"/>
  <c r="FG6" i="173"/>
  <c r="FF6" i="173"/>
  <c r="FE6" i="173"/>
  <c r="FD6" i="173"/>
  <c r="FC6" i="173"/>
  <c r="FB6" i="173"/>
  <c r="FA6" i="173"/>
  <c r="EZ6" i="173"/>
  <c r="EY6" i="173"/>
  <c r="EX6" i="173"/>
  <c r="EW6" i="173"/>
  <c r="EV6" i="173"/>
  <c r="EU6" i="173"/>
  <c r="ET6" i="173"/>
  <c r="ES6" i="173"/>
  <c r="ER6" i="173"/>
  <c r="EQ6" i="173"/>
  <c r="EP6" i="173"/>
  <c r="EO6" i="173"/>
  <c r="EN6" i="173"/>
  <c r="EM6" i="173"/>
  <c r="EL6" i="173"/>
  <c r="EK6" i="173"/>
  <c r="EJ6" i="173"/>
  <c r="EI6" i="173"/>
  <c r="EH6" i="173"/>
  <c r="EG6" i="173"/>
  <c r="EF6" i="173"/>
  <c r="EE6" i="173"/>
  <c r="ED6" i="173"/>
  <c r="EC6" i="173"/>
  <c r="EB6" i="173"/>
  <c r="EA6" i="173"/>
  <c r="DZ6" i="173"/>
  <c r="DY6" i="173"/>
  <c r="DX6" i="173"/>
  <c r="DW6" i="173"/>
  <c r="DV6" i="173"/>
  <c r="DU6" i="173"/>
  <c r="DT6" i="173"/>
  <c r="DS6" i="173"/>
  <c r="DR6" i="173"/>
  <c r="DQ6" i="173"/>
  <c r="DP6" i="173"/>
  <c r="DO6" i="173"/>
  <c r="DN6" i="173"/>
  <c r="DM6" i="173"/>
  <c r="DL6" i="173"/>
  <c r="DK6" i="173"/>
  <c r="DJ6" i="173"/>
  <c r="DI6" i="173"/>
  <c r="DH6" i="173"/>
  <c r="DG6" i="173"/>
  <c r="DF6" i="173"/>
  <c r="DE6" i="173"/>
  <c r="DD6" i="173"/>
  <c r="DC6" i="173"/>
  <c r="DB6" i="173"/>
  <c r="DA6" i="173"/>
  <c r="CZ6" i="173"/>
  <c r="CY6" i="173"/>
  <c r="CX6" i="173"/>
  <c r="CW6" i="173"/>
  <c r="CV6" i="173"/>
  <c r="CU6" i="173"/>
  <c r="CT6" i="173"/>
  <c r="CS6" i="173"/>
  <c r="CR6" i="173"/>
  <c r="CQ6" i="173"/>
  <c r="CP6" i="173"/>
  <c r="CO6" i="173"/>
  <c r="CN6" i="173"/>
  <c r="CM6" i="173"/>
  <c r="CL6" i="173"/>
  <c r="CK6" i="173"/>
  <c r="CJ6" i="173"/>
  <c r="CI6" i="173"/>
  <c r="CH6" i="173"/>
  <c r="CG6" i="173"/>
  <c r="CF6" i="173"/>
  <c r="CE6" i="173"/>
  <c r="CD6" i="173"/>
  <c r="CC6" i="173"/>
  <c r="CB6" i="173"/>
  <c r="CA6" i="173"/>
  <c r="BZ6" i="173"/>
  <c r="BY6" i="173"/>
  <c r="BX6" i="173"/>
  <c r="BW6" i="173"/>
  <c r="BV6" i="173"/>
  <c r="BU6" i="173"/>
  <c r="BT6" i="173"/>
  <c r="BS6" i="173"/>
  <c r="BR6" i="173"/>
  <c r="BQ6" i="173"/>
  <c r="BP6" i="173"/>
  <c r="BO6" i="173"/>
  <c r="BN6" i="173"/>
  <c r="BM6" i="173"/>
  <c r="BL6" i="173"/>
  <c r="BK6" i="173"/>
  <c r="BJ6" i="173"/>
  <c r="BI6" i="173"/>
  <c r="BH6" i="173"/>
  <c r="BG6" i="173"/>
  <c r="BF6" i="173"/>
  <c r="BE6" i="173"/>
  <c r="BD6" i="173"/>
  <c r="BC6" i="173"/>
  <c r="BB6" i="173"/>
  <c r="BA6" i="173"/>
  <c r="AZ6" i="173"/>
  <c r="AY6" i="173"/>
  <c r="AX6" i="173"/>
  <c r="AW6" i="173"/>
  <c r="AV6" i="173"/>
  <c r="AU6" i="173"/>
  <c r="AT6" i="173"/>
  <c r="AS6" i="173"/>
  <c r="AR6" i="173"/>
  <c r="AQ6" i="173"/>
  <c r="AP6" i="173"/>
  <c r="AO6" i="173"/>
  <c r="AN6" i="173"/>
  <c r="AM6" i="173"/>
  <c r="AL6" i="173"/>
  <c r="AK6" i="173"/>
  <c r="AJ6" i="173"/>
  <c r="AI6" i="173"/>
  <c r="AH6" i="173"/>
  <c r="AG6" i="173"/>
  <c r="AF6" i="173"/>
  <c r="AE6" i="173"/>
  <c r="AD6" i="173"/>
  <c r="AC6" i="173"/>
  <c r="AB6" i="173"/>
  <c r="AA6" i="173"/>
  <c r="Z6" i="173"/>
  <c r="Y6" i="173"/>
  <c r="X6" i="173"/>
  <c r="W6" i="173"/>
  <c r="V6" i="173"/>
  <c r="U6" i="173"/>
  <c r="T6" i="173"/>
  <c r="S6" i="173"/>
  <c r="R6" i="173"/>
  <c r="Q6" i="173"/>
  <c r="P6" i="173"/>
  <c r="O6" i="173"/>
  <c r="N6" i="173"/>
  <c r="M6" i="173"/>
  <c r="L6" i="173"/>
  <c r="K6" i="173"/>
  <c r="J6" i="173"/>
  <c r="I6" i="173"/>
  <c r="H6" i="173"/>
  <c r="G6" i="173"/>
  <c r="F6" i="173"/>
  <c r="D6" i="173"/>
  <c r="AAV5" i="173"/>
  <c r="AAU5" i="173"/>
  <c r="AAT5" i="173"/>
  <c r="AAS5" i="173"/>
  <c r="AAR5" i="173"/>
  <c r="AAQ5" i="173"/>
  <c r="AAP5" i="173"/>
  <c r="AAO5" i="173"/>
  <c r="AAN5" i="173"/>
  <c r="AAM5" i="173"/>
  <c r="AAL5" i="173"/>
  <c r="AAK5" i="173"/>
  <c r="AAJ5" i="173"/>
  <c r="AAI5" i="173"/>
  <c r="AAH5" i="173"/>
  <c r="AAG5" i="173"/>
  <c r="AAF5" i="173"/>
  <c r="AAE5" i="173"/>
  <c r="AAD5" i="173"/>
  <c r="AAC5" i="173"/>
  <c r="AAB5" i="173"/>
  <c r="AAA5" i="173"/>
  <c r="ZZ5" i="173"/>
  <c r="ZY5" i="173"/>
  <c r="ZX5" i="173"/>
  <c r="ZW5" i="173"/>
  <c r="ZV5" i="173"/>
  <c r="ZU5" i="173"/>
  <c r="ZT5" i="173"/>
  <c r="ZS5" i="173"/>
  <c r="ZR5" i="173"/>
  <c r="ZQ5" i="173"/>
  <c r="ZP5" i="173"/>
  <c r="ZO5" i="173"/>
  <c r="ZN5" i="173"/>
  <c r="ZM5" i="173"/>
  <c r="ZL5" i="173"/>
  <c r="ZK5" i="173"/>
  <c r="ZJ5" i="173"/>
  <c r="ZI5" i="173"/>
  <c r="ZH5" i="173"/>
  <c r="ZG5" i="173"/>
  <c r="ZF5" i="173"/>
  <c r="ZE5" i="173"/>
  <c r="ZD5" i="173"/>
  <c r="ZC5" i="173"/>
  <c r="ZB5" i="173"/>
  <c r="ZA5" i="173"/>
  <c r="YZ5" i="173"/>
  <c r="YY5" i="173"/>
  <c r="YX5" i="173"/>
  <c r="YW5" i="173"/>
  <c r="YV5" i="173"/>
  <c r="YU5" i="173"/>
  <c r="YT5" i="173"/>
  <c r="YS5" i="173"/>
  <c r="YR5" i="173"/>
  <c r="YQ5" i="173"/>
  <c r="YP5" i="173"/>
  <c r="YO5" i="173"/>
  <c r="YN5" i="173"/>
  <c r="YM5" i="173"/>
  <c r="YL5" i="173"/>
  <c r="YK5" i="173"/>
  <c r="YJ5" i="173"/>
  <c r="YI5" i="173"/>
  <c r="YH5" i="173"/>
  <c r="YG5" i="173"/>
  <c r="YF5" i="173"/>
  <c r="YE5" i="173"/>
  <c r="YD5" i="173"/>
  <c r="YC5" i="173"/>
  <c r="YB5" i="173"/>
  <c r="YA5" i="173"/>
  <c r="XZ5" i="173"/>
  <c r="XY5" i="173"/>
  <c r="XX5" i="173"/>
  <c r="XW5" i="173"/>
  <c r="XV5" i="173"/>
  <c r="XU5" i="173"/>
  <c r="XT5" i="173"/>
  <c r="XS5" i="173"/>
  <c r="XR5" i="173"/>
  <c r="XQ5" i="173"/>
  <c r="XP5" i="173"/>
  <c r="XO5" i="173"/>
  <c r="XN5" i="173"/>
  <c r="XM5" i="173"/>
  <c r="XL5" i="173"/>
  <c r="XK5" i="173"/>
  <c r="XJ5" i="173"/>
  <c r="XI5" i="173"/>
  <c r="XH5" i="173"/>
  <c r="XG5" i="173"/>
  <c r="XF5" i="173"/>
  <c r="XE5" i="173"/>
  <c r="XD5" i="173"/>
  <c r="XC5" i="173"/>
  <c r="XB5" i="173"/>
  <c r="XA5" i="173"/>
  <c r="WZ5" i="173"/>
  <c r="WY5" i="173"/>
  <c r="WX5" i="173"/>
  <c r="WW5" i="173"/>
  <c r="WV5" i="173"/>
  <c r="WU5" i="173"/>
  <c r="WT5" i="173"/>
  <c r="WS5" i="173"/>
  <c r="WR5" i="173"/>
  <c r="WQ5" i="173"/>
  <c r="WP5" i="173"/>
  <c r="WO5" i="173"/>
  <c r="WN5" i="173"/>
  <c r="WM5" i="173"/>
  <c r="WL5" i="173"/>
  <c r="WK5" i="173"/>
  <c r="WJ5" i="173"/>
  <c r="WI5" i="173"/>
  <c r="WH5" i="173"/>
  <c r="WG5" i="173"/>
  <c r="WF5" i="173"/>
  <c r="WE5" i="173"/>
  <c r="WD5" i="173"/>
  <c r="WC5" i="173"/>
  <c r="WB5" i="173"/>
  <c r="WA5" i="173"/>
  <c r="VZ5" i="173"/>
  <c r="VY5" i="173"/>
  <c r="VX5" i="173"/>
  <c r="VW5" i="173"/>
  <c r="VV5" i="173"/>
  <c r="VU5" i="173"/>
  <c r="VT5" i="173"/>
  <c r="VS5" i="173"/>
  <c r="VR5" i="173"/>
  <c r="VQ5" i="173"/>
  <c r="VP5" i="173"/>
  <c r="VO5" i="173"/>
  <c r="VN5" i="173"/>
  <c r="VM5" i="173"/>
  <c r="VL5" i="173"/>
  <c r="VK5" i="173"/>
  <c r="VJ5" i="173"/>
  <c r="VI5" i="173"/>
  <c r="VH5" i="173"/>
  <c r="VG5" i="173"/>
  <c r="VF5" i="173"/>
  <c r="VE5" i="173"/>
  <c r="VD5" i="173"/>
  <c r="VC5" i="173"/>
  <c r="VB5" i="173"/>
  <c r="VA5" i="173"/>
  <c r="UZ5" i="173"/>
  <c r="UY5" i="173"/>
  <c r="UX5" i="173"/>
  <c r="UW5" i="173"/>
  <c r="UV5" i="173"/>
  <c r="UU5" i="173"/>
  <c r="UT5" i="173"/>
  <c r="US5" i="173"/>
  <c r="UR5" i="173"/>
  <c r="UQ5" i="173"/>
  <c r="UP5" i="173"/>
  <c r="UO5" i="173"/>
  <c r="UN5" i="173"/>
  <c r="UM5" i="173"/>
  <c r="UL5" i="173"/>
  <c r="UK5" i="173"/>
  <c r="UJ5" i="173"/>
  <c r="UI5" i="173"/>
  <c r="UH5" i="173"/>
  <c r="UG5" i="173"/>
  <c r="UF5" i="173"/>
  <c r="UE5" i="173"/>
  <c r="UD5" i="173"/>
  <c r="UC5" i="173"/>
  <c r="UB5" i="173"/>
  <c r="UA5" i="173"/>
  <c r="TZ5" i="173"/>
  <c r="TY5" i="173"/>
  <c r="TX5" i="173"/>
  <c r="TW5" i="173"/>
  <c r="TV5" i="173"/>
  <c r="TU5" i="173"/>
  <c r="TT5" i="173"/>
  <c r="TS5" i="173"/>
  <c r="TR5" i="173"/>
  <c r="TQ5" i="173"/>
  <c r="TP5" i="173"/>
  <c r="TO5" i="173"/>
  <c r="TN5" i="173"/>
  <c r="TM5" i="173"/>
  <c r="TL5" i="173"/>
  <c r="TK5" i="173"/>
  <c r="TJ5" i="173"/>
  <c r="TI5" i="173"/>
  <c r="TH5" i="173"/>
  <c r="TG5" i="173"/>
  <c r="TF5" i="173"/>
  <c r="TE5" i="173"/>
  <c r="TD5" i="173"/>
  <c r="TC5" i="173"/>
  <c r="TB5" i="173"/>
  <c r="TA5" i="173"/>
  <c r="SZ5" i="173"/>
  <c r="SY5" i="173"/>
  <c r="SX5" i="173"/>
  <c r="SW5" i="173"/>
  <c r="SV5" i="173"/>
  <c r="SU5" i="173"/>
  <c r="ST5" i="173"/>
  <c r="SS5" i="173"/>
  <c r="SR5" i="173"/>
  <c r="SQ5" i="173"/>
  <c r="SP5" i="173"/>
  <c r="SO5" i="173"/>
  <c r="SN5" i="173"/>
  <c r="SM5" i="173"/>
  <c r="SL5" i="173"/>
  <c r="SK5" i="173"/>
  <c r="SJ5" i="173"/>
  <c r="SI5" i="173"/>
  <c r="SH5" i="173"/>
  <c r="SG5" i="173"/>
  <c r="SF5" i="173"/>
  <c r="SE5" i="173"/>
  <c r="SD5" i="173"/>
  <c r="SC5" i="173"/>
  <c r="SB5" i="173"/>
  <c r="SA5" i="173"/>
  <c r="RZ5" i="173"/>
  <c r="RY5" i="173"/>
  <c r="RX5" i="173"/>
  <c r="RW5" i="173"/>
  <c r="RV5" i="173"/>
  <c r="RU5" i="173"/>
  <c r="RT5" i="173"/>
  <c r="RS5" i="173"/>
  <c r="RR5" i="173"/>
  <c r="RQ5" i="173"/>
  <c r="RP5" i="173"/>
  <c r="RO5" i="173"/>
  <c r="RN5" i="173"/>
  <c r="RM5" i="173"/>
  <c r="RL5" i="173"/>
  <c r="RK5" i="173"/>
  <c r="RJ5" i="173"/>
  <c r="RI5" i="173"/>
  <c r="RH5" i="173"/>
  <c r="RG5" i="173"/>
  <c r="RF5" i="173"/>
  <c r="RE5" i="173"/>
  <c r="RD5" i="173"/>
  <c r="RC5" i="173"/>
  <c r="RB5" i="173"/>
  <c r="RA5" i="173"/>
  <c r="QZ5" i="173"/>
  <c r="QY5" i="173"/>
  <c r="QX5" i="173"/>
  <c r="QW5" i="173"/>
  <c r="QV5" i="173"/>
  <c r="QU5" i="173"/>
  <c r="QT5" i="173"/>
  <c r="QS5" i="173"/>
  <c r="QR5" i="173"/>
  <c r="QQ5" i="173"/>
  <c r="QP5" i="173"/>
  <c r="QO5" i="173"/>
  <c r="QN5" i="173"/>
  <c r="QM5" i="173"/>
  <c r="QL5" i="173"/>
  <c r="QK5" i="173"/>
  <c r="QJ5" i="173"/>
  <c r="QI5" i="173"/>
  <c r="QH5" i="173"/>
  <c r="QG5" i="173"/>
  <c r="QF5" i="173"/>
  <c r="QE5" i="173"/>
  <c r="QD5" i="173"/>
  <c r="QC5" i="173"/>
  <c r="QB5" i="173"/>
  <c r="QA5" i="173"/>
  <c r="PZ5" i="173"/>
  <c r="PY5" i="173"/>
  <c r="PX5" i="173"/>
  <c r="PW5" i="173"/>
  <c r="PV5" i="173"/>
  <c r="PU5" i="173"/>
  <c r="PT5" i="173"/>
  <c r="PS5" i="173"/>
  <c r="PR5" i="173"/>
  <c r="PQ5" i="173"/>
  <c r="PP5" i="173"/>
  <c r="PO5" i="173"/>
  <c r="PN5" i="173"/>
  <c r="PM5" i="173"/>
  <c r="PL5" i="173"/>
  <c r="PK5" i="173"/>
  <c r="PJ5" i="173"/>
  <c r="PI5" i="173"/>
  <c r="PH5" i="173"/>
  <c r="PG5" i="173"/>
  <c r="PF5" i="173"/>
  <c r="PE5" i="173"/>
  <c r="PD5" i="173"/>
  <c r="PC5" i="173"/>
  <c r="PB5" i="173"/>
  <c r="PA5" i="173"/>
  <c r="OZ5" i="173"/>
  <c r="OY5" i="173"/>
  <c r="OX5" i="173"/>
  <c r="OW5" i="173"/>
  <c r="OV5" i="173"/>
  <c r="OU5" i="173"/>
  <c r="OT5" i="173"/>
  <c r="OS5" i="173"/>
  <c r="OR5" i="173"/>
  <c r="OQ5" i="173"/>
  <c r="OP5" i="173"/>
  <c r="OO5" i="173"/>
  <c r="ON5" i="173"/>
  <c r="OM5" i="173"/>
  <c r="OL5" i="173"/>
  <c r="OK5" i="173"/>
  <c r="OJ5" i="173"/>
  <c r="OI5" i="173"/>
  <c r="OH5" i="173"/>
  <c r="OG5" i="173"/>
  <c r="OF5" i="173"/>
  <c r="OE5" i="173"/>
  <c r="OD5" i="173"/>
  <c r="OC5" i="173"/>
  <c r="OB5" i="173"/>
  <c r="OA5" i="173"/>
  <c r="NZ5" i="173"/>
  <c r="NY5" i="173"/>
  <c r="NX5" i="173"/>
  <c r="NW5" i="173"/>
  <c r="NV5" i="173"/>
  <c r="NU5" i="173"/>
  <c r="NT5" i="173"/>
  <c r="NS5" i="173"/>
  <c r="NR5" i="173"/>
  <c r="NQ5" i="173"/>
  <c r="NP5" i="173"/>
  <c r="NO5" i="173"/>
  <c r="NN5" i="173"/>
  <c r="NM5" i="173"/>
  <c r="NL5" i="173"/>
  <c r="NK5" i="173"/>
  <c r="NJ5" i="173"/>
  <c r="NI5" i="173"/>
  <c r="NH5" i="173"/>
  <c r="NG5" i="173"/>
  <c r="NF5" i="173"/>
  <c r="NE5" i="173"/>
  <c r="ND5" i="173"/>
  <c r="NC5" i="173"/>
  <c r="NB5" i="173"/>
  <c r="NA5" i="173"/>
  <c r="MZ5" i="173"/>
  <c r="MY5" i="173"/>
  <c r="MX5" i="173"/>
  <c r="MW5" i="173"/>
  <c r="MV5" i="173"/>
  <c r="MU5" i="173"/>
  <c r="MT5" i="173"/>
  <c r="MS5" i="173"/>
  <c r="MR5" i="173"/>
  <c r="MQ5" i="173"/>
  <c r="MP5" i="173"/>
  <c r="MO5" i="173"/>
  <c r="MN5" i="173"/>
  <c r="MM5" i="173"/>
  <c r="ML5" i="173"/>
  <c r="MK5" i="173"/>
  <c r="MJ5" i="173"/>
  <c r="MI5" i="173"/>
  <c r="MH5" i="173"/>
  <c r="MG5" i="173"/>
  <c r="MF5" i="173"/>
  <c r="ME5" i="173"/>
  <c r="MD5" i="173"/>
  <c r="MC5" i="173"/>
  <c r="MB5" i="173"/>
  <c r="MA5" i="173"/>
  <c r="LZ5" i="173"/>
  <c r="LY5" i="173"/>
  <c r="LX5" i="173"/>
  <c r="LW5" i="173"/>
  <c r="LV5" i="173"/>
  <c r="LU5" i="173"/>
  <c r="LT5" i="173"/>
  <c r="LS5" i="173"/>
  <c r="LR5" i="173"/>
  <c r="LQ5" i="173"/>
  <c r="LP5" i="173"/>
  <c r="LO5" i="173"/>
  <c r="LN5" i="173"/>
  <c r="LM5" i="173"/>
  <c r="LL5" i="173"/>
  <c r="LK5" i="173"/>
  <c r="LJ5" i="173"/>
  <c r="LI5" i="173"/>
  <c r="LH5" i="173"/>
  <c r="LG5" i="173"/>
  <c r="LF5" i="173"/>
  <c r="LE5" i="173"/>
  <c r="LD5" i="173"/>
  <c r="LC5" i="173"/>
  <c r="LB5" i="173"/>
  <c r="LA5" i="173"/>
  <c r="KZ5" i="173"/>
  <c r="KY5" i="173"/>
  <c r="KX5" i="173"/>
  <c r="KW5" i="173"/>
  <c r="KV5" i="173"/>
  <c r="KU5" i="173"/>
  <c r="KT5" i="173"/>
  <c r="KS5" i="173"/>
  <c r="KR5" i="173"/>
  <c r="KQ5" i="173"/>
  <c r="KP5" i="173"/>
  <c r="KO5" i="173"/>
  <c r="KN5" i="173"/>
  <c r="KM5" i="173"/>
  <c r="KL5" i="173"/>
  <c r="KK5" i="173"/>
  <c r="KJ5" i="173"/>
  <c r="KI5" i="173"/>
  <c r="KH5" i="173"/>
  <c r="KG5" i="173"/>
  <c r="KF5" i="173"/>
  <c r="KE5" i="173"/>
  <c r="KD5" i="173"/>
  <c r="KC5" i="173"/>
  <c r="KB5" i="173"/>
  <c r="KA5" i="173"/>
  <c r="JZ5" i="173"/>
  <c r="JY5" i="173"/>
  <c r="JX5" i="173"/>
  <c r="JW5" i="173"/>
  <c r="JV5" i="173"/>
  <c r="JU5" i="173"/>
  <c r="JT5" i="173"/>
  <c r="JS5" i="173"/>
  <c r="JR5" i="173"/>
  <c r="JQ5" i="173"/>
  <c r="JP5" i="173"/>
  <c r="JO5" i="173"/>
  <c r="JN5" i="173"/>
  <c r="JM5" i="173"/>
  <c r="JL5" i="173"/>
  <c r="JK5" i="173"/>
  <c r="JJ5" i="173"/>
  <c r="JI5" i="173"/>
  <c r="JH5" i="173"/>
  <c r="JG5" i="173"/>
  <c r="JF5" i="173"/>
  <c r="JE5" i="173"/>
  <c r="JD5" i="173"/>
  <c r="JC5" i="173"/>
  <c r="JB5" i="173"/>
  <c r="JA5" i="173"/>
  <c r="IZ5" i="173"/>
  <c r="IY5" i="173"/>
  <c r="IX5" i="173"/>
  <c r="IW5" i="173"/>
  <c r="IV5" i="173"/>
  <c r="IU5" i="173"/>
  <c r="IT5" i="173"/>
  <c r="IS5" i="173"/>
  <c r="IR5" i="173"/>
  <c r="IQ5" i="173"/>
  <c r="IP5" i="173"/>
  <c r="IO5" i="173"/>
  <c r="IN5" i="173"/>
  <c r="IM5" i="173"/>
  <c r="IL5" i="173"/>
  <c r="IK5" i="173"/>
  <c r="IJ5" i="173"/>
  <c r="II5" i="173"/>
  <c r="IH5" i="173"/>
  <c r="IG5" i="173"/>
  <c r="IF5" i="173"/>
  <c r="IE5" i="173"/>
  <c r="ID5" i="173"/>
  <c r="IC5" i="173"/>
  <c r="IB5" i="173"/>
  <c r="IA5" i="173"/>
  <c r="HZ5" i="173"/>
  <c r="HY5" i="173"/>
  <c r="HX5" i="173"/>
  <c r="HW5" i="173"/>
  <c r="HV5" i="173"/>
  <c r="HU5" i="173"/>
  <c r="HT5" i="173"/>
  <c r="HS5" i="173"/>
  <c r="HR5" i="173"/>
  <c r="HQ5" i="173"/>
  <c r="HP5" i="173"/>
  <c r="HO5" i="173"/>
  <c r="HN5" i="173"/>
  <c r="HM5" i="173"/>
  <c r="HL5" i="173"/>
  <c r="HK5" i="173"/>
  <c r="HJ5" i="173"/>
  <c r="HI5" i="173"/>
  <c r="HH5" i="173"/>
  <c r="HG5" i="173"/>
  <c r="HF5" i="173"/>
  <c r="HE5" i="173"/>
  <c r="HD5" i="173"/>
  <c r="HC5" i="173"/>
  <c r="HB5" i="173"/>
  <c r="HA5" i="173"/>
  <c r="GZ5" i="173"/>
  <c r="GY5" i="173"/>
  <c r="GX5" i="173"/>
  <c r="GW5" i="173"/>
  <c r="GV5" i="173"/>
  <c r="GU5" i="173"/>
  <c r="GT5" i="173"/>
  <c r="GS5" i="173"/>
  <c r="GR5" i="173"/>
  <c r="GQ5" i="173"/>
  <c r="GP5" i="173"/>
  <c r="GO5" i="173"/>
  <c r="GN5" i="173"/>
  <c r="GM5" i="173"/>
  <c r="GL5" i="173"/>
  <c r="GK5" i="173"/>
  <c r="GJ5" i="173"/>
  <c r="GI5" i="173"/>
  <c r="GH5" i="173"/>
  <c r="GG5" i="173"/>
  <c r="GF5" i="173"/>
  <c r="GE5" i="173"/>
  <c r="GD5" i="173"/>
  <c r="GC5" i="173"/>
  <c r="GB5" i="173"/>
  <c r="GA5" i="173"/>
  <c r="FZ5" i="173"/>
  <c r="FY5" i="173"/>
  <c r="FX5" i="173"/>
  <c r="FW5" i="173"/>
  <c r="FV5" i="173"/>
  <c r="FU5" i="173"/>
  <c r="FT5" i="173"/>
  <c r="FS5" i="173"/>
  <c r="FR5" i="173"/>
  <c r="FQ5" i="173"/>
  <c r="FP5" i="173"/>
  <c r="FO5" i="173"/>
  <c r="FN5" i="173"/>
  <c r="FM5" i="173"/>
  <c r="FL5" i="173"/>
  <c r="FK5" i="173"/>
  <c r="FJ5" i="173"/>
  <c r="FI5" i="173"/>
  <c r="FH5" i="173"/>
  <c r="FG5" i="173"/>
  <c r="FF5" i="173"/>
  <c r="FE5" i="173"/>
  <c r="FD5" i="173"/>
  <c r="FC5" i="173"/>
  <c r="FB5" i="173"/>
  <c r="FA5" i="173"/>
  <c r="EZ5" i="173"/>
  <c r="EY5" i="173"/>
  <c r="EX5" i="173"/>
  <c r="EW5" i="173"/>
  <c r="EV5" i="173"/>
  <c r="EU5" i="173"/>
  <c r="ET5" i="173"/>
  <c r="ES5" i="173"/>
  <c r="ER5" i="173"/>
  <c r="EQ5" i="173"/>
  <c r="EP5" i="173"/>
  <c r="EO5" i="173"/>
  <c r="EN5" i="173"/>
  <c r="EM5" i="173"/>
  <c r="EL5" i="173"/>
  <c r="EK5" i="173"/>
  <c r="EJ5" i="173"/>
  <c r="EI5" i="173"/>
  <c r="EH5" i="173"/>
  <c r="EG5" i="173"/>
  <c r="EF5" i="173"/>
  <c r="EE5" i="173"/>
  <c r="ED5" i="173"/>
  <c r="EC5" i="173"/>
  <c r="EB5" i="173"/>
  <c r="EA5" i="173"/>
  <c r="DZ5" i="173"/>
  <c r="DY5" i="173"/>
  <c r="DX5" i="173"/>
  <c r="DW5" i="173"/>
  <c r="DV5" i="173"/>
  <c r="DU5" i="173"/>
  <c r="DT5" i="173"/>
  <c r="DS5" i="173"/>
  <c r="DR5" i="173"/>
  <c r="DQ5" i="173"/>
  <c r="DP5" i="173"/>
  <c r="DO5" i="173"/>
  <c r="DN5" i="173"/>
  <c r="DM5" i="173"/>
  <c r="DL5" i="173"/>
  <c r="DK5" i="173"/>
  <c r="DJ5" i="173"/>
  <c r="DI5" i="173"/>
  <c r="DH5" i="173"/>
  <c r="DG5" i="173"/>
  <c r="DF5" i="173"/>
  <c r="DE5" i="173"/>
  <c r="DD5" i="173"/>
  <c r="DC5" i="173"/>
  <c r="DB5" i="173"/>
  <c r="DA5" i="173"/>
  <c r="CZ5" i="173"/>
  <c r="CY5" i="173"/>
  <c r="CX5" i="173"/>
  <c r="CW5" i="173"/>
  <c r="CV5" i="173"/>
  <c r="CU5" i="173"/>
  <c r="CT5" i="173"/>
  <c r="CS5" i="173"/>
  <c r="CR5" i="173"/>
  <c r="CQ5" i="173"/>
  <c r="CP5" i="173"/>
  <c r="CO5" i="173"/>
  <c r="CN5" i="173"/>
  <c r="CM5" i="173"/>
  <c r="CL5" i="173"/>
  <c r="CK5" i="173"/>
  <c r="CJ5" i="173"/>
  <c r="CI5" i="173"/>
  <c r="CH5" i="173"/>
  <c r="CG5" i="173"/>
  <c r="CF5" i="173"/>
  <c r="CE5" i="173"/>
  <c r="CD5" i="173"/>
  <c r="CC5" i="173"/>
  <c r="CB5" i="173"/>
  <c r="CA5" i="173"/>
  <c r="BZ5" i="173"/>
  <c r="BY5" i="173"/>
  <c r="BX5" i="173"/>
  <c r="BW5" i="173"/>
  <c r="BV5" i="173"/>
  <c r="BU5" i="173"/>
  <c r="BT5" i="173"/>
  <c r="BS5" i="173"/>
  <c r="BR5" i="173"/>
  <c r="BQ5" i="173"/>
  <c r="BP5" i="173"/>
  <c r="BO5" i="173"/>
  <c r="BN5" i="173"/>
  <c r="BM5" i="173"/>
  <c r="BL5" i="173"/>
  <c r="BK5" i="173"/>
  <c r="BJ5" i="173"/>
  <c r="BI5" i="173"/>
  <c r="BH5" i="173"/>
  <c r="BG5" i="173"/>
  <c r="BF5" i="173"/>
  <c r="BE5" i="173"/>
  <c r="BD5" i="173"/>
  <c r="BC5" i="173"/>
  <c r="BB5" i="173"/>
  <c r="BA5" i="173"/>
  <c r="AZ5" i="173"/>
  <c r="AY5" i="173"/>
  <c r="AX5" i="173"/>
  <c r="AW5" i="173"/>
  <c r="AV5" i="173"/>
  <c r="AU5" i="173"/>
  <c r="AT5" i="173"/>
  <c r="AS5" i="173"/>
  <c r="AR5" i="173"/>
  <c r="AQ5" i="173"/>
  <c r="AP5" i="173"/>
  <c r="AO5" i="173"/>
  <c r="AN5" i="173"/>
  <c r="AM5" i="173"/>
  <c r="AL5" i="173"/>
  <c r="AK5" i="173"/>
  <c r="AJ5" i="173"/>
  <c r="AI5" i="173"/>
  <c r="AH5" i="173"/>
  <c r="AG5" i="173"/>
  <c r="AF5" i="173"/>
  <c r="AE5" i="173"/>
  <c r="AD5" i="173"/>
  <c r="AC5" i="173"/>
  <c r="AB5" i="173"/>
  <c r="AA5" i="173"/>
  <c r="Z5" i="173"/>
  <c r="Y5" i="173"/>
  <c r="X5" i="173"/>
  <c r="W5" i="173"/>
  <c r="V5" i="173"/>
  <c r="U5" i="173"/>
  <c r="T5" i="173"/>
  <c r="S5" i="173"/>
  <c r="R5" i="173"/>
  <c r="Q5" i="173"/>
  <c r="P5" i="173"/>
  <c r="O5" i="173"/>
  <c r="N5" i="173"/>
  <c r="M5" i="173"/>
  <c r="L5" i="173"/>
  <c r="K5" i="173"/>
  <c r="J5" i="173"/>
  <c r="I5" i="173"/>
  <c r="H5" i="173"/>
  <c r="G5" i="173"/>
  <c r="F5" i="173"/>
  <c r="D5" i="173"/>
  <c r="AAV4" i="173"/>
  <c r="AAU4" i="173"/>
  <c r="AAT4" i="173"/>
  <c r="AAS4" i="173"/>
  <c r="AAR4" i="173"/>
  <c r="AAQ4" i="173"/>
  <c r="AAP4" i="173"/>
  <c r="AAO4" i="173"/>
  <c r="AAN4" i="173"/>
  <c r="AAM4" i="173"/>
  <c r="AAL4" i="173"/>
  <c r="AAK4" i="173"/>
  <c r="AAJ4" i="173"/>
  <c r="AAI4" i="173"/>
  <c r="AAH4" i="173"/>
  <c r="AAG4" i="173"/>
  <c r="AAF4" i="173"/>
  <c r="AAE4" i="173"/>
  <c r="AAD4" i="173"/>
  <c r="AAC4" i="173"/>
  <c r="AAB4" i="173"/>
  <c r="AAA4" i="173"/>
  <c r="ZZ4" i="173"/>
  <c r="ZY4" i="173"/>
  <c r="ZX4" i="173"/>
  <c r="ZW4" i="173"/>
  <c r="ZV4" i="173"/>
  <c r="ZU4" i="173"/>
  <c r="ZT4" i="173"/>
  <c r="ZS4" i="173"/>
  <c r="ZR4" i="173"/>
  <c r="ZQ4" i="173"/>
  <c r="ZP4" i="173"/>
  <c r="ZO4" i="173"/>
  <c r="ZN4" i="173"/>
  <c r="ZM4" i="173"/>
  <c r="ZL4" i="173"/>
  <c r="ZK4" i="173"/>
  <c r="ZJ4" i="173"/>
  <c r="ZI4" i="173"/>
  <c r="ZH4" i="173"/>
  <c r="ZG4" i="173"/>
  <c r="ZF4" i="173"/>
  <c r="ZE4" i="173"/>
  <c r="ZD4" i="173"/>
  <c r="ZC4" i="173"/>
  <c r="ZB4" i="173"/>
  <c r="ZA4" i="173"/>
  <c r="YZ4" i="173"/>
  <c r="YY4" i="173"/>
  <c r="YX4" i="173"/>
  <c r="YW4" i="173"/>
  <c r="YV4" i="173"/>
  <c r="YU4" i="173"/>
  <c r="YT4" i="173"/>
  <c r="YS4" i="173"/>
  <c r="YR4" i="173"/>
  <c r="YQ4" i="173"/>
  <c r="YP4" i="173"/>
  <c r="YO4" i="173"/>
  <c r="YN4" i="173"/>
  <c r="YM4" i="173"/>
  <c r="YL4" i="173"/>
  <c r="YK4" i="173"/>
  <c r="YJ4" i="173"/>
  <c r="YI4" i="173"/>
  <c r="YH4" i="173"/>
  <c r="YG4" i="173"/>
  <c r="YF4" i="173"/>
  <c r="YE4" i="173"/>
  <c r="YD4" i="173"/>
  <c r="YC4" i="173"/>
  <c r="YB4" i="173"/>
  <c r="YA4" i="173"/>
  <c r="XZ4" i="173"/>
  <c r="XY4" i="173"/>
  <c r="XX4" i="173"/>
  <c r="XW4" i="173"/>
  <c r="XV4" i="173"/>
  <c r="XU4" i="173"/>
  <c r="XT4" i="173"/>
  <c r="XS4" i="173"/>
  <c r="XR4" i="173"/>
  <c r="XQ4" i="173"/>
  <c r="XP4" i="173"/>
  <c r="XO4" i="173"/>
  <c r="XN4" i="173"/>
  <c r="XM4" i="173"/>
  <c r="XL4" i="173"/>
  <c r="XK4" i="173"/>
  <c r="XJ4" i="173"/>
  <c r="XI4" i="173"/>
  <c r="XH4" i="173"/>
  <c r="XG4" i="173"/>
  <c r="XF4" i="173"/>
  <c r="XE4" i="173"/>
  <c r="XD4" i="173"/>
  <c r="XC4" i="173"/>
  <c r="XB4" i="173"/>
  <c r="XA4" i="173"/>
  <c r="WZ4" i="173"/>
  <c r="WY4" i="173"/>
  <c r="WX4" i="173"/>
  <c r="WW4" i="173"/>
  <c r="WV4" i="173"/>
  <c r="WU4" i="173"/>
  <c r="WT4" i="173"/>
  <c r="WS4" i="173"/>
  <c r="WR4" i="173"/>
  <c r="WQ4" i="173"/>
  <c r="WP4" i="173"/>
  <c r="WO4" i="173"/>
  <c r="WN4" i="173"/>
  <c r="WM4" i="173"/>
  <c r="WL4" i="173"/>
  <c r="WK4" i="173"/>
  <c r="WJ4" i="173"/>
  <c r="WI4" i="173"/>
  <c r="WH4" i="173"/>
  <c r="WG4" i="173"/>
  <c r="WF4" i="173"/>
  <c r="WE4" i="173"/>
  <c r="WD4" i="173"/>
  <c r="WC4" i="173"/>
  <c r="WB4" i="173"/>
  <c r="WA4" i="173"/>
  <c r="VZ4" i="173"/>
  <c r="VY4" i="173"/>
  <c r="VX4" i="173"/>
  <c r="VW4" i="173"/>
  <c r="VV4" i="173"/>
  <c r="VU4" i="173"/>
  <c r="VT4" i="173"/>
  <c r="VS4" i="173"/>
  <c r="VR4" i="173"/>
  <c r="VQ4" i="173"/>
  <c r="VP4" i="173"/>
  <c r="VO4" i="173"/>
  <c r="VN4" i="173"/>
  <c r="VM4" i="173"/>
  <c r="VL4" i="173"/>
  <c r="VK4" i="173"/>
  <c r="VJ4" i="173"/>
  <c r="VI4" i="173"/>
  <c r="VH4" i="173"/>
  <c r="VG4" i="173"/>
  <c r="VF4" i="173"/>
  <c r="VE4" i="173"/>
  <c r="VD4" i="173"/>
  <c r="VC4" i="173"/>
  <c r="VB4" i="173"/>
  <c r="VA4" i="173"/>
  <c r="UZ4" i="173"/>
  <c r="UY4" i="173"/>
  <c r="UX4" i="173"/>
  <c r="UW4" i="173"/>
  <c r="UV4" i="173"/>
  <c r="UU4" i="173"/>
  <c r="UT4" i="173"/>
  <c r="US4" i="173"/>
  <c r="UR4" i="173"/>
  <c r="UQ4" i="173"/>
  <c r="UP4" i="173"/>
  <c r="UO4" i="173"/>
  <c r="UN4" i="173"/>
  <c r="UM4" i="173"/>
  <c r="UL4" i="173"/>
  <c r="UK4" i="173"/>
  <c r="UJ4" i="173"/>
  <c r="UI4" i="173"/>
  <c r="UH4" i="173"/>
  <c r="UG4" i="173"/>
  <c r="UF4" i="173"/>
  <c r="UE4" i="173"/>
  <c r="UD4" i="173"/>
  <c r="UC4" i="173"/>
  <c r="UB4" i="173"/>
  <c r="UA4" i="173"/>
  <c r="TZ4" i="173"/>
  <c r="TY4" i="173"/>
  <c r="TX4" i="173"/>
  <c r="TW4" i="173"/>
  <c r="TV4" i="173"/>
  <c r="TU4" i="173"/>
  <c r="TT4" i="173"/>
  <c r="TS4" i="173"/>
  <c r="TR4" i="173"/>
  <c r="TQ4" i="173"/>
  <c r="TP4" i="173"/>
  <c r="TO4" i="173"/>
  <c r="TN4" i="173"/>
  <c r="TM4" i="173"/>
  <c r="TL4" i="173"/>
  <c r="TK4" i="173"/>
  <c r="TJ4" i="173"/>
  <c r="TI4" i="173"/>
  <c r="TH4" i="173"/>
  <c r="TG4" i="173"/>
  <c r="TF4" i="173"/>
  <c r="TE4" i="173"/>
  <c r="TD4" i="173"/>
  <c r="TC4" i="173"/>
  <c r="TB4" i="173"/>
  <c r="TA4" i="173"/>
  <c r="SZ4" i="173"/>
  <c r="SY4" i="173"/>
  <c r="SX4" i="173"/>
  <c r="SW4" i="173"/>
  <c r="SV4" i="173"/>
  <c r="SU4" i="173"/>
  <c r="ST4" i="173"/>
  <c r="SS4" i="173"/>
  <c r="SR4" i="173"/>
  <c r="SQ4" i="173"/>
  <c r="SP4" i="173"/>
  <c r="SO4" i="173"/>
  <c r="SN4" i="173"/>
  <c r="SM4" i="173"/>
  <c r="SL4" i="173"/>
  <c r="SK4" i="173"/>
  <c r="SJ4" i="173"/>
  <c r="SI4" i="173"/>
  <c r="SH4" i="173"/>
  <c r="SG4" i="173"/>
  <c r="SF4" i="173"/>
  <c r="SE4" i="173"/>
  <c r="SD4" i="173"/>
  <c r="SC4" i="173"/>
  <c r="SB4" i="173"/>
  <c r="SA4" i="173"/>
  <c r="RZ4" i="173"/>
  <c r="RY4" i="173"/>
  <c r="RX4" i="173"/>
  <c r="RW4" i="173"/>
  <c r="RV4" i="173"/>
  <c r="RU4" i="173"/>
  <c r="RT4" i="173"/>
  <c r="RS4" i="173"/>
  <c r="RR4" i="173"/>
  <c r="RQ4" i="173"/>
  <c r="RP4" i="173"/>
  <c r="RO4" i="173"/>
  <c r="RN4" i="173"/>
  <c r="RM4" i="173"/>
  <c r="RL4" i="173"/>
  <c r="RK4" i="173"/>
  <c r="RJ4" i="173"/>
  <c r="RI4" i="173"/>
  <c r="RH4" i="173"/>
  <c r="RG4" i="173"/>
  <c r="RF4" i="173"/>
  <c r="RE4" i="173"/>
  <c r="RD4" i="173"/>
  <c r="RC4" i="173"/>
  <c r="RB4" i="173"/>
  <c r="RA4" i="173"/>
  <c r="QZ4" i="173"/>
  <c r="QY4" i="173"/>
  <c r="QX4" i="173"/>
  <c r="QW4" i="173"/>
  <c r="QV4" i="173"/>
  <c r="QU4" i="173"/>
  <c r="QT4" i="173"/>
  <c r="QS4" i="173"/>
  <c r="QR4" i="173"/>
  <c r="QQ4" i="173"/>
  <c r="QP4" i="173"/>
  <c r="QO4" i="173"/>
  <c r="QN4" i="173"/>
  <c r="QM4" i="173"/>
  <c r="QL4" i="173"/>
  <c r="QK4" i="173"/>
  <c r="QJ4" i="173"/>
  <c r="QI4" i="173"/>
  <c r="QH4" i="173"/>
  <c r="QG4" i="173"/>
  <c r="QF4" i="173"/>
  <c r="QE4" i="173"/>
  <c r="QD4" i="173"/>
  <c r="QC4" i="173"/>
  <c r="QB4" i="173"/>
  <c r="QA4" i="173"/>
  <c r="PZ4" i="173"/>
  <c r="PY4" i="173"/>
  <c r="PX4" i="173"/>
  <c r="PW4" i="173"/>
  <c r="PV4" i="173"/>
  <c r="PU4" i="173"/>
  <c r="PT4" i="173"/>
  <c r="PS4" i="173"/>
  <c r="PR4" i="173"/>
  <c r="PQ4" i="173"/>
  <c r="PP4" i="173"/>
  <c r="PO4" i="173"/>
  <c r="PN4" i="173"/>
  <c r="PM4" i="173"/>
  <c r="PL4" i="173"/>
  <c r="PK4" i="173"/>
  <c r="PJ4" i="173"/>
  <c r="PI4" i="173"/>
  <c r="PH4" i="173"/>
  <c r="PG4" i="173"/>
  <c r="PF4" i="173"/>
  <c r="PE4" i="173"/>
  <c r="PD4" i="173"/>
  <c r="PC4" i="173"/>
  <c r="PB4" i="173"/>
  <c r="PA4" i="173"/>
  <c r="OZ4" i="173"/>
  <c r="OY4" i="173"/>
  <c r="OX4" i="173"/>
  <c r="OW4" i="173"/>
  <c r="OV4" i="173"/>
  <c r="OU4" i="173"/>
  <c r="OT4" i="173"/>
  <c r="OS4" i="173"/>
  <c r="OR4" i="173"/>
  <c r="OQ4" i="173"/>
  <c r="OP4" i="173"/>
  <c r="OO4" i="173"/>
  <c r="ON4" i="173"/>
  <c r="OM4" i="173"/>
  <c r="OL4" i="173"/>
  <c r="OK4" i="173"/>
  <c r="OJ4" i="173"/>
  <c r="OI4" i="173"/>
  <c r="OH4" i="173"/>
  <c r="OG4" i="173"/>
  <c r="OF4" i="173"/>
  <c r="OE4" i="173"/>
  <c r="OD4" i="173"/>
  <c r="OC4" i="173"/>
  <c r="OB4" i="173"/>
  <c r="OA4" i="173"/>
  <c r="NZ4" i="173"/>
  <c r="NY4" i="173"/>
  <c r="NX4" i="173"/>
  <c r="NW4" i="173"/>
  <c r="NV4" i="173"/>
  <c r="NU4" i="173"/>
  <c r="NT4" i="173"/>
  <c r="NS4" i="173"/>
  <c r="NR4" i="173"/>
  <c r="NQ4" i="173"/>
  <c r="NP4" i="173"/>
  <c r="NO4" i="173"/>
  <c r="NN4" i="173"/>
  <c r="NM4" i="173"/>
  <c r="NL4" i="173"/>
  <c r="NK4" i="173"/>
  <c r="NJ4" i="173"/>
  <c r="NI4" i="173"/>
  <c r="NH4" i="173"/>
  <c r="NG4" i="173"/>
  <c r="NF4" i="173"/>
  <c r="NE4" i="173"/>
  <c r="ND4" i="173"/>
  <c r="NC4" i="173"/>
  <c r="NB4" i="173"/>
  <c r="NA4" i="173"/>
  <c r="MZ4" i="173"/>
  <c r="MY4" i="173"/>
  <c r="MX4" i="173"/>
  <c r="MW4" i="173"/>
  <c r="MV4" i="173"/>
  <c r="MU4" i="173"/>
  <c r="MT4" i="173"/>
  <c r="MS4" i="173"/>
  <c r="MR4" i="173"/>
  <c r="MQ4" i="173"/>
  <c r="MP4" i="173"/>
  <c r="MO4" i="173"/>
  <c r="MN4" i="173"/>
  <c r="MM4" i="173"/>
  <c r="ML4" i="173"/>
  <c r="MK4" i="173"/>
  <c r="MJ4" i="173"/>
  <c r="MI4" i="173"/>
  <c r="MH4" i="173"/>
  <c r="MG4" i="173"/>
  <c r="MF4" i="173"/>
  <c r="ME4" i="173"/>
  <c r="MD4" i="173"/>
  <c r="MC4" i="173"/>
  <c r="MB4" i="173"/>
  <c r="MA4" i="173"/>
  <c r="LZ4" i="173"/>
  <c r="LY4" i="173"/>
  <c r="LX4" i="173"/>
  <c r="LW4" i="173"/>
  <c r="LV4" i="173"/>
  <c r="LU4" i="173"/>
  <c r="LT4" i="173"/>
  <c r="LS4" i="173"/>
  <c r="LR4" i="173"/>
  <c r="LQ4" i="173"/>
  <c r="LP4" i="173"/>
  <c r="LO4" i="173"/>
  <c r="LN4" i="173"/>
  <c r="LM4" i="173"/>
  <c r="LL4" i="173"/>
  <c r="LK4" i="173"/>
  <c r="LJ4" i="173"/>
  <c r="LI4" i="173"/>
  <c r="LH4" i="173"/>
  <c r="LG4" i="173"/>
  <c r="LF4" i="173"/>
  <c r="LE4" i="173"/>
  <c r="LD4" i="173"/>
  <c r="LC4" i="173"/>
  <c r="LB4" i="173"/>
  <c r="LA4" i="173"/>
  <c r="KZ4" i="173"/>
  <c r="KY4" i="173"/>
  <c r="KX4" i="173"/>
  <c r="KW4" i="173"/>
  <c r="KV4" i="173"/>
  <c r="KU4" i="173"/>
  <c r="KT4" i="173"/>
  <c r="KS4" i="173"/>
  <c r="KR4" i="173"/>
  <c r="KQ4" i="173"/>
  <c r="KP4" i="173"/>
  <c r="KO4" i="173"/>
  <c r="KN4" i="173"/>
  <c r="KM4" i="173"/>
  <c r="KL4" i="173"/>
  <c r="KK4" i="173"/>
  <c r="KJ4" i="173"/>
  <c r="KI4" i="173"/>
  <c r="KH4" i="173"/>
  <c r="KG4" i="173"/>
  <c r="KF4" i="173"/>
  <c r="KE4" i="173"/>
  <c r="KD4" i="173"/>
  <c r="KC4" i="173"/>
  <c r="KB4" i="173"/>
  <c r="KA4" i="173"/>
  <c r="JZ4" i="173"/>
  <c r="JY4" i="173"/>
  <c r="JX4" i="173"/>
  <c r="JW4" i="173"/>
  <c r="JV4" i="173"/>
  <c r="JU4" i="173"/>
  <c r="JT4" i="173"/>
  <c r="JS4" i="173"/>
  <c r="JR4" i="173"/>
  <c r="JQ4" i="173"/>
  <c r="JP4" i="173"/>
  <c r="JO4" i="173"/>
  <c r="JN4" i="173"/>
  <c r="JM4" i="173"/>
  <c r="JL4" i="173"/>
  <c r="JK4" i="173"/>
  <c r="JJ4" i="173"/>
  <c r="JI4" i="173"/>
  <c r="JH4" i="173"/>
  <c r="JG4" i="173"/>
  <c r="JF4" i="173"/>
  <c r="JE4" i="173"/>
  <c r="JD4" i="173"/>
  <c r="JC4" i="173"/>
  <c r="JB4" i="173"/>
  <c r="JA4" i="173"/>
  <c r="IZ4" i="173"/>
  <c r="IY4" i="173"/>
  <c r="IX4" i="173"/>
  <c r="IW4" i="173"/>
  <c r="IV4" i="173"/>
  <c r="IU4" i="173"/>
  <c r="IT4" i="173"/>
  <c r="IS4" i="173"/>
  <c r="IR4" i="173"/>
  <c r="IQ4" i="173"/>
  <c r="IP4" i="173"/>
  <c r="IO4" i="173"/>
  <c r="IN4" i="173"/>
  <c r="IM4" i="173"/>
  <c r="IL4" i="173"/>
  <c r="IK4" i="173"/>
  <c r="IJ4" i="173"/>
  <c r="II4" i="173"/>
  <c r="IH4" i="173"/>
  <c r="IG4" i="173"/>
  <c r="IF4" i="173"/>
  <c r="IE4" i="173"/>
  <c r="ID4" i="173"/>
  <c r="IC4" i="173"/>
  <c r="IB4" i="173"/>
  <c r="IA4" i="173"/>
  <c r="HZ4" i="173"/>
  <c r="HY4" i="173"/>
  <c r="HX4" i="173"/>
  <c r="HW4" i="173"/>
  <c r="HV4" i="173"/>
  <c r="HU4" i="173"/>
  <c r="HT4" i="173"/>
  <c r="HS4" i="173"/>
  <c r="HR4" i="173"/>
  <c r="HQ4" i="173"/>
  <c r="HP4" i="173"/>
  <c r="HO4" i="173"/>
  <c r="HN4" i="173"/>
  <c r="HM4" i="173"/>
  <c r="HL4" i="173"/>
  <c r="HK4" i="173"/>
  <c r="HJ4" i="173"/>
  <c r="HI4" i="173"/>
  <c r="HH4" i="173"/>
  <c r="HG4" i="173"/>
  <c r="HF4" i="173"/>
  <c r="HE4" i="173"/>
  <c r="HD4" i="173"/>
  <c r="HC4" i="173"/>
  <c r="HB4" i="173"/>
  <c r="HA4" i="173"/>
  <c r="GZ4" i="173"/>
  <c r="GY4" i="173"/>
  <c r="GX4" i="173"/>
  <c r="GW4" i="173"/>
  <c r="GV4" i="173"/>
  <c r="GU4" i="173"/>
  <c r="GT4" i="173"/>
  <c r="GS4" i="173"/>
  <c r="GR4" i="173"/>
  <c r="GQ4" i="173"/>
  <c r="GP4" i="173"/>
  <c r="GO4" i="173"/>
  <c r="GN4" i="173"/>
  <c r="GM4" i="173"/>
  <c r="GL4" i="173"/>
  <c r="GK4" i="173"/>
  <c r="GJ4" i="173"/>
  <c r="GI4" i="173"/>
  <c r="GH4" i="173"/>
  <c r="GG4" i="173"/>
  <c r="GF4" i="173"/>
  <c r="GE4" i="173"/>
  <c r="GD4" i="173"/>
  <c r="GC4" i="173"/>
  <c r="GB4" i="173"/>
  <c r="GA4" i="173"/>
  <c r="FZ4" i="173"/>
  <c r="FY4" i="173"/>
  <c r="FX4" i="173"/>
  <c r="FW4" i="173"/>
  <c r="FV4" i="173"/>
  <c r="FU4" i="173"/>
  <c r="FT4" i="173"/>
  <c r="FS4" i="173"/>
  <c r="FR4" i="173"/>
  <c r="FQ4" i="173"/>
  <c r="FP4" i="173"/>
  <c r="FO4" i="173"/>
  <c r="FN4" i="173"/>
  <c r="FM4" i="173"/>
  <c r="FL4" i="173"/>
  <c r="FK4" i="173"/>
  <c r="FJ4" i="173"/>
  <c r="FI4" i="173"/>
  <c r="FH4" i="173"/>
  <c r="FG4" i="173"/>
  <c r="FF4" i="173"/>
  <c r="FE4" i="173"/>
  <c r="FD4" i="173"/>
  <c r="FC4" i="173"/>
  <c r="FB4" i="173"/>
  <c r="FA4" i="173"/>
  <c r="EZ4" i="173"/>
  <c r="EY4" i="173"/>
  <c r="EX4" i="173"/>
  <c r="EW4" i="173"/>
  <c r="EV4" i="173"/>
  <c r="EU4" i="173"/>
  <c r="ET4" i="173"/>
  <c r="ES4" i="173"/>
  <c r="ER4" i="173"/>
  <c r="EQ4" i="173"/>
  <c r="EP4" i="173"/>
  <c r="EO4" i="173"/>
  <c r="EN4" i="173"/>
  <c r="EM4" i="173"/>
  <c r="EL4" i="173"/>
  <c r="EK4" i="173"/>
  <c r="EJ4" i="173"/>
  <c r="EI4" i="173"/>
  <c r="EH4" i="173"/>
  <c r="EG4" i="173"/>
  <c r="EF4" i="173"/>
  <c r="EE4" i="173"/>
  <c r="ED4" i="173"/>
  <c r="EC4" i="173"/>
  <c r="EB4" i="173"/>
  <c r="EA4" i="173"/>
  <c r="DZ4" i="173"/>
  <c r="DY4" i="173"/>
  <c r="DX4" i="173"/>
  <c r="DW4" i="173"/>
  <c r="DV4" i="173"/>
  <c r="DU4" i="173"/>
  <c r="DT4" i="173"/>
  <c r="DS4" i="173"/>
  <c r="DR4" i="173"/>
  <c r="DQ4" i="173"/>
  <c r="DP4" i="173"/>
  <c r="DO4" i="173"/>
  <c r="DN4" i="173"/>
  <c r="DM4" i="173"/>
  <c r="DL4" i="173"/>
  <c r="DK4" i="173"/>
  <c r="DJ4" i="173"/>
  <c r="DI4" i="173"/>
  <c r="DH4" i="173"/>
  <c r="DG4" i="173"/>
  <c r="DF4" i="173"/>
  <c r="DE4" i="173"/>
  <c r="DD4" i="173"/>
  <c r="DC4" i="173"/>
  <c r="DB4" i="173"/>
  <c r="DA4" i="173"/>
  <c r="CZ4" i="173"/>
  <c r="CY4" i="173"/>
  <c r="CX4" i="173"/>
  <c r="CW4" i="173"/>
  <c r="CV4" i="173"/>
  <c r="CU4" i="173"/>
  <c r="CT4" i="173"/>
  <c r="CS4" i="173"/>
  <c r="CR4" i="173"/>
  <c r="CQ4" i="173"/>
  <c r="CP4" i="173"/>
  <c r="CO4" i="173"/>
  <c r="CN4" i="173"/>
  <c r="CM4" i="173"/>
  <c r="CL4" i="173"/>
  <c r="CK4" i="173"/>
  <c r="CJ4" i="173"/>
  <c r="CI4" i="173"/>
  <c r="CH4" i="173"/>
  <c r="CG4" i="173"/>
  <c r="CF4" i="173"/>
  <c r="CE4" i="173"/>
  <c r="CD4" i="173"/>
  <c r="CC4" i="173"/>
  <c r="CB4" i="173"/>
  <c r="CA4" i="173"/>
  <c r="BZ4" i="173"/>
  <c r="BY4" i="173"/>
  <c r="BX4" i="173"/>
  <c r="BW4" i="173"/>
  <c r="BV4" i="173"/>
  <c r="BU4" i="173"/>
  <c r="BT4" i="173"/>
  <c r="BS4" i="173"/>
  <c r="BR4" i="173"/>
  <c r="BQ4" i="173"/>
  <c r="BP4" i="173"/>
  <c r="BO4" i="173"/>
  <c r="BN4" i="173"/>
  <c r="BM4" i="173"/>
  <c r="BL4" i="173"/>
  <c r="BK4" i="173"/>
  <c r="BJ4" i="173"/>
  <c r="BI4" i="173"/>
  <c r="BH4" i="173"/>
  <c r="BG4" i="173"/>
  <c r="BF4" i="173"/>
  <c r="BE4" i="173"/>
  <c r="BD4" i="173"/>
  <c r="BC4" i="173"/>
  <c r="BB4" i="173"/>
  <c r="BA4" i="173"/>
  <c r="AZ4" i="173"/>
  <c r="AY4" i="173"/>
  <c r="AX4" i="173"/>
  <c r="AW4" i="173"/>
  <c r="AV4" i="173"/>
  <c r="AU4" i="173"/>
  <c r="AT4" i="173"/>
  <c r="AS4" i="173"/>
  <c r="AR4" i="173"/>
  <c r="AQ4" i="173"/>
  <c r="AP4" i="173"/>
  <c r="AO4" i="173"/>
  <c r="AN4" i="173"/>
  <c r="AM4" i="173"/>
  <c r="AL4" i="173"/>
  <c r="AK4" i="173"/>
  <c r="AJ4" i="173"/>
  <c r="AI4" i="173"/>
  <c r="AH4" i="173"/>
  <c r="AG4" i="173"/>
  <c r="AF4" i="173"/>
  <c r="AE4" i="173"/>
  <c r="AD4" i="173"/>
  <c r="AC4" i="173"/>
  <c r="AB4" i="173"/>
  <c r="AA4" i="173"/>
  <c r="Z4" i="173"/>
  <c r="Y4" i="173"/>
  <c r="X4" i="173"/>
  <c r="W4" i="173"/>
  <c r="V4" i="173"/>
  <c r="U4" i="173"/>
  <c r="T4" i="173"/>
  <c r="S4" i="173"/>
  <c r="R4" i="173"/>
  <c r="Q4" i="173"/>
  <c r="P4" i="173"/>
  <c r="O4" i="173"/>
  <c r="N4" i="173"/>
  <c r="M4" i="173"/>
  <c r="L4" i="173"/>
  <c r="K4" i="173"/>
  <c r="J4" i="173"/>
  <c r="I4" i="173"/>
  <c r="H4" i="173"/>
  <c r="G4" i="173"/>
  <c r="F4" i="173"/>
  <c r="D4" i="173"/>
  <c r="AAV3" i="173"/>
  <c r="AAU3" i="173"/>
  <c r="AAT3" i="173"/>
  <c r="AAS3" i="173"/>
  <c r="AAR3" i="173"/>
  <c r="AAQ3" i="173"/>
  <c r="AAP3" i="173"/>
  <c r="AAO3" i="173"/>
  <c r="AAN3" i="173"/>
  <c r="AAM3" i="173"/>
  <c r="AAL3" i="173"/>
  <c r="AAK3" i="173"/>
  <c r="AAJ3" i="173"/>
  <c r="AAI3" i="173"/>
  <c r="AAH3" i="173"/>
  <c r="AAG3" i="173"/>
  <c r="AAF3" i="173"/>
  <c r="AAE3" i="173"/>
  <c r="AAD3" i="173"/>
  <c r="AAC3" i="173"/>
  <c r="AAB3" i="173"/>
  <c r="AAA3" i="173"/>
  <c r="ZZ3" i="173"/>
  <c r="ZY3" i="173"/>
  <c r="ZX3" i="173"/>
  <c r="ZW3" i="173"/>
  <c r="ZV3" i="173"/>
  <c r="ZU3" i="173"/>
  <c r="ZT3" i="173"/>
  <c r="ZS3" i="173"/>
  <c r="ZR3" i="173"/>
  <c r="ZQ3" i="173"/>
  <c r="ZP3" i="173"/>
  <c r="ZO3" i="173"/>
  <c r="ZN3" i="173"/>
  <c r="ZM3" i="173"/>
  <c r="ZL3" i="173"/>
  <c r="ZK3" i="173"/>
  <c r="ZJ3" i="173"/>
  <c r="ZI3" i="173"/>
  <c r="ZH3" i="173"/>
  <c r="ZG3" i="173"/>
  <c r="ZF3" i="173"/>
  <c r="ZE3" i="173"/>
  <c r="ZD3" i="173"/>
  <c r="ZC3" i="173"/>
  <c r="ZB3" i="173"/>
  <c r="ZA3" i="173"/>
  <c r="YZ3" i="173"/>
  <c r="YY3" i="173"/>
  <c r="YX3" i="173"/>
  <c r="YW3" i="173"/>
  <c r="YV3" i="173"/>
  <c r="YU3" i="173"/>
  <c r="YT3" i="173"/>
  <c r="YS3" i="173"/>
  <c r="YR3" i="173"/>
  <c r="YQ3" i="173"/>
  <c r="YP3" i="173"/>
  <c r="YO3" i="173"/>
  <c r="YN3" i="173"/>
  <c r="YM3" i="173"/>
  <c r="YL3" i="173"/>
  <c r="YK3" i="173"/>
  <c r="YJ3" i="173"/>
  <c r="YI3" i="173"/>
  <c r="YH3" i="173"/>
  <c r="YG3" i="173"/>
  <c r="YF3" i="173"/>
  <c r="YE3" i="173"/>
  <c r="YD3" i="173"/>
  <c r="YC3" i="173"/>
  <c r="YB3" i="173"/>
  <c r="YA3" i="173"/>
  <c r="XZ3" i="173"/>
  <c r="XY3" i="173"/>
  <c r="XX3" i="173"/>
  <c r="XW3" i="173"/>
  <c r="XV3" i="173"/>
  <c r="XU3" i="173"/>
  <c r="XT3" i="173"/>
  <c r="XS3" i="173"/>
  <c r="XR3" i="173"/>
  <c r="XQ3" i="173"/>
  <c r="XP3" i="173"/>
  <c r="XO3" i="173"/>
  <c r="XN3" i="173"/>
  <c r="XM3" i="173"/>
  <c r="XL3" i="173"/>
  <c r="XK3" i="173"/>
  <c r="XJ3" i="173"/>
  <c r="XI3" i="173"/>
  <c r="XH3" i="173"/>
  <c r="XG3" i="173"/>
  <c r="XF3" i="173"/>
  <c r="XE3" i="173"/>
  <c r="XD3" i="173"/>
  <c r="XC3" i="173"/>
  <c r="XB3" i="173"/>
  <c r="XA3" i="173"/>
  <c r="WZ3" i="173"/>
  <c r="WY3" i="173"/>
  <c r="WX3" i="173"/>
  <c r="WW3" i="173"/>
  <c r="WV3" i="173"/>
  <c r="WU3" i="173"/>
  <c r="WT3" i="173"/>
  <c r="WS3" i="173"/>
  <c r="WR3" i="173"/>
  <c r="WQ3" i="173"/>
  <c r="WP3" i="173"/>
  <c r="WO3" i="173"/>
  <c r="WN3" i="173"/>
  <c r="WM3" i="173"/>
  <c r="WL3" i="173"/>
  <c r="WK3" i="173"/>
  <c r="WJ3" i="173"/>
  <c r="WI3" i="173"/>
  <c r="WH3" i="173"/>
  <c r="WG3" i="173"/>
  <c r="WF3" i="173"/>
  <c r="WE3" i="173"/>
  <c r="WD3" i="173"/>
  <c r="WC3" i="173"/>
  <c r="WB3" i="173"/>
  <c r="WA3" i="173"/>
  <c r="VZ3" i="173"/>
  <c r="VY3" i="173"/>
  <c r="VX3" i="173"/>
  <c r="VW3" i="173"/>
  <c r="VV3" i="173"/>
  <c r="VU3" i="173"/>
  <c r="VT3" i="173"/>
  <c r="VS3" i="173"/>
  <c r="VR3" i="173"/>
  <c r="VQ3" i="173"/>
  <c r="VP3" i="173"/>
  <c r="VO3" i="173"/>
  <c r="VN3" i="173"/>
  <c r="VM3" i="173"/>
  <c r="VL3" i="173"/>
  <c r="VK3" i="173"/>
  <c r="VJ3" i="173"/>
  <c r="VI3" i="173"/>
  <c r="VH3" i="173"/>
  <c r="VG3" i="173"/>
  <c r="VF3" i="173"/>
  <c r="VE3" i="173"/>
  <c r="VD3" i="173"/>
  <c r="VC3" i="173"/>
  <c r="VB3" i="173"/>
  <c r="VA3" i="173"/>
  <c r="UZ3" i="173"/>
  <c r="UY3" i="173"/>
  <c r="UX3" i="173"/>
  <c r="UW3" i="173"/>
  <c r="UV3" i="173"/>
  <c r="UU3" i="173"/>
  <c r="UT3" i="173"/>
  <c r="US3" i="173"/>
  <c r="UR3" i="173"/>
  <c r="UQ3" i="173"/>
  <c r="UP3" i="173"/>
  <c r="UO3" i="173"/>
  <c r="UN3" i="173"/>
  <c r="UM3" i="173"/>
  <c r="UL3" i="173"/>
  <c r="UK3" i="173"/>
  <c r="UJ3" i="173"/>
  <c r="UI3" i="173"/>
  <c r="UH3" i="173"/>
  <c r="UG3" i="173"/>
  <c r="UF3" i="173"/>
  <c r="UE3" i="173"/>
  <c r="UD3" i="173"/>
  <c r="UC3" i="173"/>
  <c r="UB3" i="173"/>
  <c r="UA3" i="173"/>
  <c r="TZ3" i="173"/>
  <c r="TY3" i="173"/>
  <c r="TX3" i="173"/>
  <c r="TW3" i="173"/>
  <c r="TV3" i="173"/>
  <c r="TU3" i="173"/>
  <c r="TT3" i="173"/>
  <c r="TS3" i="173"/>
  <c r="TR3" i="173"/>
  <c r="TQ3" i="173"/>
  <c r="TP3" i="173"/>
  <c r="TO3" i="173"/>
  <c r="TN3" i="173"/>
  <c r="TM3" i="173"/>
  <c r="TL3" i="173"/>
  <c r="TK3" i="173"/>
  <c r="TJ3" i="173"/>
  <c r="TI3" i="173"/>
  <c r="TH3" i="173"/>
  <c r="TG3" i="173"/>
  <c r="TF3" i="173"/>
  <c r="TE3" i="173"/>
  <c r="TD3" i="173"/>
  <c r="TC3" i="173"/>
  <c r="TB3" i="173"/>
  <c r="TA3" i="173"/>
  <c r="SZ3" i="173"/>
  <c r="SY3" i="173"/>
  <c r="SX3" i="173"/>
  <c r="SW3" i="173"/>
  <c r="SV3" i="173"/>
  <c r="SU3" i="173"/>
  <c r="ST3" i="173"/>
  <c r="SS3" i="173"/>
  <c r="SR3" i="173"/>
  <c r="SQ3" i="173"/>
  <c r="SP3" i="173"/>
  <c r="SO3" i="173"/>
  <c r="SN3" i="173"/>
  <c r="SM3" i="173"/>
  <c r="SL3" i="173"/>
  <c r="SK3" i="173"/>
  <c r="SJ3" i="173"/>
  <c r="SI3" i="173"/>
  <c r="SH3" i="173"/>
  <c r="SG3" i="173"/>
  <c r="SF3" i="173"/>
  <c r="SE3" i="173"/>
  <c r="SD3" i="173"/>
  <c r="SC3" i="173"/>
  <c r="SB3" i="173"/>
  <c r="SA3" i="173"/>
  <c r="RZ3" i="173"/>
  <c r="RY3" i="173"/>
  <c r="RX3" i="173"/>
  <c r="RW3" i="173"/>
  <c r="RV3" i="173"/>
  <c r="RU3" i="173"/>
  <c r="RT3" i="173"/>
  <c r="RS3" i="173"/>
  <c r="RR3" i="173"/>
  <c r="RQ3" i="173"/>
  <c r="RP3" i="173"/>
  <c r="RO3" i="173"/>
  <c r="RN3" i="173"/>
  <c r="RM3" i="173"/>
  <c r="RL3" i="173"/>
  <c r="RK3" i="173"/>
  <c r="RJ3" i="173"/>
  <c r="RI3" i="173"/>
  <c r="RH3" i="173"/>
  <c r="RG3" i="173"/>
  <c r="RF3" i="173"/>
  <c r="RE3" i="173"/>
  <c r="RD3" i="173"/>
  <c r="RC3" i="173"/>
  <c r="RB3" i="173"/>
  <c r="RA3" i="173"/>
  <c r="QZ3" i="173"/>
  <c r="QY3" i="173"/>
  <c r="QX3" i="173"/>
  <c r="QW3" i="173"/>
  <c r="QV3" i="173"/>
  <c r="QU3" i="173"/>
  <c r="QT3" i="173"/>
  <c r="QS3" i="173"/>
  <c r="QR3" i="173"/>
  <c r="QQ3" i="173"/>
  <c r="QP3" i="173"/>
  <c r="QO3" i="173"/>
  <c r="QN3" i="173"/>
  <c r="QM3" i="173"/>
  <c r="QL3" i="173"/>
  <c r="QK3" i="173"/>
  <c r="QJ3" i="173"/>
  <c r="QI3" i="173"/>
  <c r="QH3" i="173"/>
  <c r="QG3" i="173"/>
  <c r="QF3" i="173"/>
  <c r="QE3" i="173"/>
  <c r="QD3" i="173"/>
  <c r="QC3" i="173"/>
  <c r="QB3" i="173"/>
  <c r="QA3" i="173"/>
  <c r="PZ3" i="173"/>
  <c r="PY3" i="173"/>
  <c r="PX3" i="173"/>
  <c r="PW3" i="173"/>
  <c r="PV3" i="173"/>
  <c r="PU3" i="173"/>
  <c r="PT3" i="173"/>
  <c r="PS3" i="173"/>
  <c r="PR3" i="173"/>
  <c r="PQ3" i="173"/>
  <c r="PP3" i="173"/>
  <c r="PO3" i="173"/>
  <c r="PN3" i="173"/>
  <c r="PM3" i="173"/>
  <c r="PL3" i="173"/>
  <c r="PK3" i="173"/>
  <c r="PJ3" i="173"/>
  <c r="PI3" i="173"/>
  <c r="PH3" i="173"/>
  <c r="PG3" i="173"/>
  <c r="PF3" i="173"/>
  <c r="PE3" i="173"/>
  <c r="PD3" i="173"/>
  <c r="PC3" i="173"/>
  <c r="PB3" i="173"/>
  <c r="PA3" i="173"/>
  <c r="OZ3" i="173"/>
  <c r="OY3" i="173"/>
  <c r="OX3" i="173"/>
  <c r="OW3" i="173"/>
  <c r="OV3" i="173"/>
  <c r="OU3" i="173"/>
  <c r="OT3" i="173"/>
  <c r="OS3" i="173"/>
  <c r="OR3" i="173"/>
  <c r="OQ3" i="173"/>
  <c r="OP3" i="173"/>
  <c r="OO3" i="173"/>
  <c r="ON3" i="173"/>
  <c r="OM3" i="173"/>
  <c r="OL3" i="173"/>
  <c r="OK3" i="173"/>
  <c r="OJ3" i="173"/>
  <c r="OI3" i="173"/>
  <c r="OH3" i="173"/>
  <c r="OG3" i="173"/>
  <c r="OF3" i="173"/>
  <c r="OE3" i="173"/>
  <c r="OD3" i="173"/>
  <c r="OC3" i="173"/>
  <c r="OB3" i="173"/>
  <c r="OA3" i="173"/>
  <c r="NZ3" i="173"/>
  <c r="NY3" i="173"/>
  <c r="NX3" i="173"/>
  <c r="NW3" i="173"/>
  <c r="NV3" i="173"/>
  <c r="NU3" i="173"/>
  <c r="NT3" i="173"/>
  <c r="NS3" i="173"/>
  <c r="NR3" i="173"/>
  <c r="NQ3" i="173"/>
  <c r="NP3" i="173"/>
  <c r="NO3" i="173"/>
  <c r="NN3" i="173"/>
  <c r="NM3" i="173"/>
  <c r="NL3" i="173"/>
  <c r="NK3" i="173"/>
  <c r="NJ3" i="173"/>
  <c r="NI3" i="173"/>
  <c r="NH3" i="173"/>
  <c r="NG3" i="173"/>
  <c r="NF3" i="173"/>
  <c r="NE3" i="173"/>
  <c r="ND3" i="173"/>
  <c r="NC3" i="173"/>
  <c r="NB3" i="173"/>
  <c r="NA3" i="173"/>
  <c r="MZ3" i="173"/>
  <c r="MY3" i="173"/>
  <c r="MX3" i="173"/>
  <c r="MW3" i="173"/>
  <c r="MV3" i="173"/>
  <c r="MU3" i="173"/>
  <c r="MT3" i="173"/>
  <c r="MS3" i="173"/>
  <c r="MR3" i="173"/>
  <c r="MQ3" i="173"/>
  <c r="MP3" i="173"/>
  <c r="MO3" i="173"/>
  <c r="MN3" i="173"/>
  <c r="MM3" i="173"/>
  <c r="ML3" i="173"/>
  <c r="MK3" i="173"/>
  <c r="MJ3" i="173"/>
  <c r="MI3" i="173"/>
  <c r="MH3" i="173"/>
  <c r="MG3" i="173"/>
  <c r="MF3" i="173"/>
  <c r="ME3" i="173"/>
  <c r="MD3" i="173"/>
  <c r="MC3" i="173"/>
  <c r="MB3" i="173"/>
  <c r="MA3" i="173"/>
  <c r="LZ3" i="173"/>
  <c r="LY3" i="173"/>
  <c r="LX3" i="173"/>
  <c r="LW3" i="173"/>
  <c r="LV3" i="173"/>
  <c r="LU3" i="173"/>
  <c r="LT3" i="173"/>
  <c r="LS3" i="173"/>
  <c r="LR3" i="173"/>
  <c r="LQ3" i="173"/>
  <c r="LP3" i="173"/>
  <c r="LO3" i="173"/>
  <c r="LN3" i="173"/>
  <c r="LM3" i="173"/>
  <c r="LL3" i="173"/>
  <c r="LK3" i="173"/>
  <c r="LJ3" i="173"/>
  <c r="LI3" i="173"/>
  <c r="LH3" i="173"/>
  <c r="LG3" i="173"/>
  <c r="LF3" i="173"/>
  <c r="LE3" i="173"/>
  <c r="LD3" i="173"/>
  <c r="LC3" i="173"/>
  <c r="LB3" i="173"/>
  <c r="LA3" i="173"/>
  <c r="KZ3" i="173"/>
  <c r="KY3" i="173"/>
  <c r="KX3" i="173"/>
  <c r="KW3" i="173"/>
  <c r="KV3" i="173"/>
  <c r="KU3" i="173"/>
  <c r="KT3" i="173"/>
  <c r="KS3" i="173"/>
  <c r="KR3" i="173"/>
  <c r="KQ3" i="173"/>
  <c r="KP3" i="173"/>
  <c r="KO3" i="173"/>
  <c r="KN3" i="173"/>
  <c r="KM3" i="173"/>
  <c r="KL3" i="173"/>
  <c r="KK3" i="173"/>
  <c r="KJ3" i="173"/>
  <c r="KI3" i="173"/>
  <c r="KH3" i="173"/>
  <c r="KG3" i="173"/>
  <c r="KF3" i="173"/>
  <c r="KE3" i="173"/>
  <c r="KD3" i="173"/>
  <c r="KC3" i="173"/>
  <c r="KB3" i="173"/>
  <c r="KA3" i="173"/>
  <c r="JZ3" i="173"/>
  <c r="JY3" i="173"/>
  <c r="JX3" i="173"/>
  <c r="JW3" i="173"/>
  <c r="JV3" i="173"/>
  <c r="JU3" i="173"/>
  <c r="JT3" i="173"/>
  <c r="JS3" i="173"/>
  <c r="JR3" i="173"/>
  <c r="JQ3" i="173"/>
  <c r="JP3" i="173"/>
  <c r="JO3" i="173"/>
  <c r="JN3" i="173"/>
  <c r="JM3" i="173"/>
  <c r="JL3" i="173"/>
  <c r="JK3" i="173"/>
  <c r="JJ3" i="173"/>
  <c r="JI3" i="173"/>
  <c r="JH3" i="173"/>
  <c r="JG3" i="173"/>
  <c r="JF3" i="173"/>
  <c r="JE3" i="173"/>
  <c r="JD3" i="173"/>
  <c r="JC3" i="173"/>
  <c r="JB3" i="173"/>
  <c r="JA3" i="173"/>
  <c r="IZ3" i="173"/>
  <c r="IY3" i="173"/>
  <c r="IX3" i="173"/>
  <c r="IW3" i="173"/>
  <c r="IV3" i="173"/>
  <c r="IU3" i="173"/>
  <c r="IT3" i="173"/>
  <c r="IS3" i="173"/>
  <c r="IR3" i="173"/>
  <c r="IQ3" i="173"/>
  <c r="IP3" i="173"/>
  <c r="IO3" i="173"/>
  <c r="IN3" i="173"/>
  <c r="IM3" i="173"/>
  <c r="IL3" i="173"/>
  <c r="IK3" i="173"/>
  <c r="IJ3" i="173"/>
  <c r="II3" i="173"/>
  <c r="IH3" i="173"/>
  <c r="IG3" i="173"/>
  <c r="IF3" i="173"/>
  <c r="IE3" i="173"/>
  <c r="ID3" i="173"/>
  <c r="IC3" i="173"/>
  <c r="IB3" i="173"/>
  <c r="IA3" i="173"/>
  <c r="HZ3" i="173"/>
  <c r="HY3" i="173"/>
  <c r="HX3" i="173"/>
  <c r="HW3" i="173"/>
  <c r="HV3" i="173"/>
  <c r="HU3" i="173"/>
  <c r="HT3" i="173"/>
  <c r="HS3" i="173"/>
  <c r="HR3" i="173"/>
  <c r="HQ3" i="173"/>
  <c r="HP3" i="173"/>
  <c r="HO3" i="173"/>
  <c r="HN3" i="173"/>
  <c r="HM3" i="173"/>
  <c r="HL3" i="173"/>
  <c r="HK3" i="173"/>
  <c r="HJ3" i="173"/>
  <c r="HI3" i="173"/>
  <c r="HH3" i="173"/>
  <c r="HG3" i="173"/>
  <c r="HF3" i="173"/>
  <c r="HE3" i="173"/>
  <c r="HD3" i="173"/>
  <c r="HC3" i="173"/>
  <c r="HB3" i="173"/>
  <c r="HA3" i="173"/>
  <c r="GZ3" i="173"/>
  <c r="GY3" i="173"/>
  <c r="GX3" i="173"/>
  <c r="GW3" i="173"/>
  <c r="GV3" i="173"/>
  <c r="GU3" i="173"/>
  <c r="GT3" i="173"/>
  <c r="GS3" i="173"/>
  <c r="GR3" i="173"/>
  <c r="GQ3" i="173"/>
  <c r="GP3" i="173"/>
  <c r="GO3" i="173"/>
  <c r="GN3" i="173"/>
  <c r="GM3" i="173"/>
  <c r="GL3" i="173"/>
  <c r="GK3" i="173"/>
  <c r="GJ3" i="173"/>
  <c r="GI3" i="173"/>
  <c r="GH3" i="173"/>
  <c r="GG3" i="173"/>
  <c r="GF3" i="173"/>
  <c r="GE3" i="173"/>
  <c r="GD3" i="173"/>
  <c r="GC3" i="173"/>
  <c r="GB3" i="173"/>
  <c r="GA3" i="173"/>
  <c r="FZ3" i="173"/>
  <c r="FY3" i="173"/>
  <c r="FX3" i="173"/>
  <c r="FW3" i="173"/>
  <c r="FV3" i="173"/>
  <c r="FU3" i="173"/>
  <c r="FT3" i="173"/>
  <c r="FS3" i="173"/>
  <c r="FR3" i="173"/>
  <c r="FQ3" i="173"/>
  <c r="FP3" i="173"/>
  <c r="FO3" i="173"/>
  <c r="FN3" i="173"/>
  <c r="FM3" i="173"/>
  <c r="FL3" i="173"/>
  <c r="FK3" i="173"/>
  <c r="FJ3" i="173"/>
  <c r="FI3" i="173"/>
  <c r="FH3" i="173"/>
  <c r="FG3" i="173"/>
  <c r="FF3" i="173"/>
  <c r="FE3" i="173"/>
  <c r="FD3" i="173"/>
  <c r="FC3" i="173"/>
  <c r="FB3" i="173"/>
  <c r="FA3" i="173"/>
  <c r="EZ3" i="173"/>
  <c r="EY3" i="173"/>
  <c r="EX3" i="173"/>
  <c r="EW3" i="173"/>
  <c r="EV3" i="173"/>
  <c r="EU3" i="173"/>
  <c r="ET3" i="173"/>
  <c r="ES3" i="173"/>
  <c r="ER3" i="173"/>
  <c r="EQ3" i="173"/>
  <c r="EP3" i="173"/>
  <c r="EO3" i="173"/>
  <c r="EN3" i="173"/>
  <c r="EM3" i="173"/>
  <c r="EL3" i="173"/>
  <c r="EK3" i="173"/>
  <c r="EJ3" i="173"/>
  <c r="EI3" i="173"/>
  <c r="EH3" i="173"/>
  <c r="EG3" i="173"/>
  <c r="EF3" i="173"/>
  <c r="EE3" i="173"/>
  <c r="ED3" i="173"/>
  <c r="EC3" i="173"/>
  <c r="EB3" i="173"/>
  <c r="EA3" i="173"/>
  <c r="DZ3" i="173"/>
  <c r="DY3" i="173"/>
  <c r="DX3" i="173"/>
  <c r="DW3" i="173"/>
  <c r="DV3" i="173"/>
  <c r="DU3" i="173"/>
  <c r="DT3" i="173"/>
  <c r="DS3" i="173"/>
  <c r="DR3" i="173"/>
  <c r="DQ3" i="173"/>
  <c r="DP3" i="173"/>
  <c r="DO3" i="173"/>
  <c r="DN3" i="173"/>
  <c r="DM3" i="173"/>
  <c r="DL3" i="173"/>
  <c r="DK3" i="173"/>
  <c r="DJ3" i="173"/>
  <c r="DI3" i="173"/>
  <c r="DH3" i="173"/>
  <c r="DG3" i="173"/>
  <c r="DF3" i="173"/>
  <c r="DE3" i="173"/>
  <c r="DD3" i="173"/>
  <c r="DC3" i="173"/>
  <c r="DB3" i="173"/>
  <c r="DA3" i="173"/>
  <c r="CZ3" i="173"/>
  <c r="CY3" i="173"/>
  <c r="CX3" i="173"/>
  <c r="CW3" i="173"/>
  <c r="CV3" i="173"/>
  <c r="CU3" i="173"/>
  <c r="CT3" i="173"/>
  <c r="CS3" i="173"/>
  <c r="CR3" i="173"/>
  <c r="CQ3" i="173"/>
  <c r="CP3" i="173"/>
  <c r="CO3" i="173"/>
  <c r="CN3" i="173"/>
  <c r="CM3" i="173"/>
  <c r="CL3" i="173"/>
  <c r="CK3" i="173"/>
  <c r="CJ3" i="173"/>
  <c r="CI3" i="173"/>
  <c r="CH3" i="173"/>
  <c r="CG3" i="173"/>
  <c r="CF3" i="173"/>
  <c r="CE3" i="173"/>
  <c r="CD3" i="173"/>
  <c r="CC3" i="173"/>
  <c r="CB3" i="173"/>
  <c r="CA3" i="173"/>
  <c r="BZ3" i="173"/>
  <c r="BY3" i="173"/>
  <c r="BX3" i="173"/>
  <c r="BW3" i="173"/>
  <c r="BV3" i="173"/>
  <c r="BU3" i="173"/>
  <c r="BT3" i="173"/>
  <c r="BS3" i="173"/>
  <c r="BR3" i="173"/>
  <c r="BQ3" i="173"/>
  <c r="BP3" i="173"/>
  <c r="BO3" i="173"/>
  <c r="BN3" i="173"/>
  <c r="BM3" i="173"/>
  <c r="BL3" i="173"/>
  <c r="BK3" i="173"/>
  <c r="BJ3" i="173"/>
  <c r="BI3" i="173"/>
  <c r="BH3" i="173"/>
  <c r="BG3" i="173"/>
  <c r="BF3" i="173"/>
  <c r="BE3" i="173"/>
  <c r="BD3" i="173"/>
  <c r="BC3" i="173"/>
  <c r="BB3" i="173"/>
  <c r="BA3" i="173"/>
  <c r="AZ3" i="173"/>
  <c r="AY3" i="173"/>
  <c r="AX3" i="173"/>
  <c r="AW3" i="173"/>
  <c r="AV3" i="173"/>
  <c r="AU3" i="173"/>
  <c r="AT3" i="173"/>
  <c r="AS3" i="173"/>
  <c r="AR3" i="173"/>
  <c r="AQ3" i="173"/>
  <c r="AP3" i="173"/>
  <c r="AO3" i="173"/>
  <c r="AN3" i="173"/>
  <c r="AM3" i="173"/>
  <c r="AL3" i="173"/>
  <c r="AK3" i="173"/>
  <c r="AJ3" i="173"/>
  <c r="AI3" i="173"/>
  <c r="AH3" i="173"/>
  <c r="AG3" i="173"/>
  <c r="AF3" i="173"/>
  <c r="AE3" i="173"/>
  <c r="AD3" i="173"/>
  <c r="AC3" i="173"/>
  <c r="AB3" i="173"/>
  <c r="AA3" i="173"/>
  <c r="Z3" i="173"/>
  <c r="Y3" i="173"/>
  <c r="X3" i="173"/>
  <c r="W3" i="173"/>
  <c r="V3" i="173"/>
  <c r="U3" i="173"/>
  <c r="T3" i="173"/>
  <c r="S3" i="173"/>
  <c r="R3" i="173"/>
  <c r="Q3" i="173"/>
  <c r="P3" i="173"/>
  <c r="O3" i="173"/>
  <c r="N3" i="173"/>
  <c r="M3" i="173"/>
  <c r="L3" i="173"/>
  <c r="K3" i="173"/>
  <c r="J3" i="173"/>
  <c r="I3" i="173"/>
  <c r="H3" i="173"/>
  <c r="G3" i="173"/>
  <c r="F3" i="173"/>
  <c r="D3" i="173"/>
  <c r="T65" i="133"/>
  <c r="R65" i="133"/>
  <c r="U64" i="133"/>
  <c r="T64" i="133"/>
  <c r="Q15" i="155" s="1"/>
  <c r="R64" i="133"/>
  <c r="U58" i="133"/>
  <c r="T58" i="133"/>
  <c r="R35" i="126" s="1"/>
  <c r="R58" i="133"/>
  <c r="U57" i="133"/>
  <c r="T57" i="133"/>
  <c r="R34" i="126" s="1"/>
  <c r="R57" i="133"/>
  <c r="U55" i="133"/>
  <c r="T55" i="133"/>
  <c r="R55" i="133"/>
  <c r="U52" i="133"/>
  <c r="T52" i="133"/>
  <c r="R52" i="133"/>
  <c r="U51" i="133"/>
  <c r="T51" i="133"/>
  <c r="R51" i="133"/>
  <c r="U49" i="133"/>
  <c r="T49" i="133"/>
  <c r="R49" i="133"/>
  <c r="U46" i="133"/>
  <c r="T46" i="133"/>
  <c r="R46" i="133"/>
  <c r="U45" i="133"/>
  <c r="T45" i="133"/>
  <c r="R45" i="133"/>
  <c r="U42" i="133"/>
  <c r="P42" i="133"/>
  <c r="O42" i="133"/>
  <c r="N42" i="133"/>
  <c r="M42" i="133"/>
  <c r="L42" i="133"/>
  <c r="K42" i="133"/>
  <c r="J42" i="133"/>
  <c r="I42" i="133"/>
  <c r="H42" i="133"/>
  <c r="G42" i="133"/>
  <c r="H27" i="163" s="1"/>
  <c r="F42" i="133"/>
  <c r="E42" i="133"/>
  <c r="U41" i="133"/>
  <c r="T41" i="133"/>
  <c r="R41" i="133"/>
  <c r="U40" i="133"/>
  <c r="T40" i="133"/>
  <c r="R40" i="133"/>
  <c r="U39" i="133"/>
  <c r="T39" i="133"/>
  <c r="R26" i="163" s="1"/>
  <c r="R39" i="133"/>
  <c r="U38" i="133"/>
  <c r="T38" i="133"/>
  <c r="R38" i="133"/>
  <c r="U35" i="133"/>
  <c r="T35" i="133"/>
  <c r="R35" i="133"/>
  <c r="U34" i="133"/>
  <c r="T34" i="133"/>
  <c r="Q21" i="155" s="1"/>
  <c r="R34" i="133"/>
  <c r="U33" i="133"/>
  <c r="T33" i="133"/>
  <c r="R20" i="163" s="1"/>
  <c r="AA62" i="163" s="1"/>
  <c r="R33" i="133"/>
  <c r="U31" i="133"/>
  <c r="T31" i="133"/>
  <c r="R31" i="133"/>
  <c r="U30" i="133"/>
  <c r="T30" i="133"/>
  <c r="U29" i="133"/>
  <c r="T29" i="133"/>
  <c r="U28" i="133"/>
  <c r="T28" i="133"/>
  <c r="U27" i="133"/>
  <c r="T27" i="133"/>
  <c r="R18" i="163" s="1"/>
  <c r="R27" i="133"/>
  <c r="T26" i="133"/>
  <c r="U25" i="133"/>
  <c r="T25" i="133"/>
  <c r="Q16" i="155" s="1"/>
  <c r="U24" i="133"/>
  <c r="T24" i="133"/>
  <c r="R24" i="133"/>
  <c r="U23" i="133"/>
  <c r="T23" i="133"/>
  <c r="R15" i="156" s="1"/>
  <c r="S15" i="156" s="1"/>
  <c r="T15" i="156" s="1"/>
  <c r="R23" i="133"/>
  <c r="U22" i="133"/>
  <c r="T22" i="133"/>
  <c r="R12" i="163" s="1"/>
  <c r="Y62" i="163" s="1"/>
  <c r="U20" i="133"/>
  <c r="T20" i="133"/>
  <c r="R12" i="156" s="1"/>
  <c r="R20" i="133"/>
  <c r="U18" i="133"/>
  <c r="T18" i="133"/>
  <c r="R8" i="163" s="1"/>
  <c r="R18" i="133"/>
  <c r="U17" i="133"/>
  <c r="U43" i="133" s="1"/>
  <c r="T17" i="133"/>
  <c r="R17" i="133"/>
  <c r="U16" i="133"/>
  <c r="T16" i="133"/>
  <c r="R6" i="163" s="1"/>
  <c r="R16" i="133"/>
  <c r="U15" i="133"/>
  <c r="U36" i="133" s="1"/>
  <c r="T15" i="133"/>
  <c r="R4" i="156" s="1"/>
  <c r="R15" i="133"/>
  <c r="R36" i="133" s="1"/>
  <c r="U6" i="133"/>
  <c r="T6" i="133"/>
  <c r="R6" i="133"/>
  <c r="P4" i="133"/>
  <c r="O4" i="133"/>
  <c r="N4" i="133"/>
  <c r="M4" i="133"/>
  <c r="L4" i="133"/>
  <c r="K4" i="133"/>
  <c r="J4" i="133"/>
  <c r="I4" i="133"/>
  <c r="H4" i="133"/>
  <c r="G4" i="133"/>
  <c r="F4" i="133"/>
  <c r="E4" i="133"/>
  <c r="AQ68" i="24"/>
  <c r="AP68" i="24"/>
  <c r="AO68" i="24"/>
  <c r="AN68" i="24"/>
  <c r="AM68" i="24"/>
  <c r="AL68" i="24"/>
  <c r="AK68" i="24"/>
  <c r="AJ68" i="24"/>
  <c r="AI68" i="24"/>
  <c r="AH68" i="24"/>
  <c r="AG68" i="24"/>
  <c r="AF68" i="24"/>
  <c r="AE68" i="24"/>
  <c r="AD68" i="24"/>
  <c r="AC68" i="24"/>
  <c r="AB68" i="24"/>
  <c r="AQ67" i="24"/>
  <c r="AP67" i="24"/>
  <c r="AO67" i="24"/>
  <c r="AN67" i="24"/>
  <c r="AM67" i="24"/>
  <c r="AL67" i="24"/>
  <c r="AK67" i="24"/>
  <c r="AJ67" i="24"/>
  <c r="AI67" i="24"/>
  <c r="AH67" i="24"/>
  <c r="AG67" i="24"/>
  <c r="AF67" i="24"/>
  <c r="AE67" i="24"/>
  <c r="AD67" i="24"/>
  <c r="AC67" i="24"/>
  <c r="AB67" i="24"/>
  <c r="AQ66" i="24"/>
  <c r="AP66" i="24"/>
  <c r="AO66" i="24"/>
  <c r="AN66" i="24"/>
  <c r="AM66" i="24"/>
  <c r="AL66" i="24"/>
  <c r="AK66" i="24"/>
  <c r="AJ66" i="24"/>
  <c r="AI66" i="24"/>
  <c r="AH66" i="24"/>
  <c r="AG66" i="24"/>
  <c r="AF66" i="24"/>
  <c r="AE66" i="24"/>
  <c r="AD66" i="24"/>
  <c r="AC66" i="24"/>
  <c r="AB66" i="24"/>
  <c r="C66" i="24"/>
  <c r="AQ65" i="24"/>
  <c r="AP65" i="24"/>
  <c r="AO65" i="24"/>
  <c r="AN65" i="24"/>
  <c r="AM65" i="24"/>
  <c r="AL65" i="24"/>
  <c r="AK65" i="24"/>
  <c r="AJ65" i="24"/>
  <c r="AI65" i="24"/>
  <c r="AH65" i="24"/>
  <c r="AG65" i="24"/>
  <c r="AF65" i="24"/>
  <c r="AE65" i="24"/>
  <c r="AD65" i="24"/>
  <c r="AC65" i="24"/>
  <c r="AB65" i="24"/>
  <c r="AQ64" i="24"/>
  <c r="AP64" i="24"/>
  <c r="AO64" i="24"/>
  <c r="AN64" i="24"/>
  <c r="AM64" i="24"/>
  <c r="AL64" i="24"/>
  <c r="AK64" i="24"/>
  <c r="AJ64" i="24"/>
  <c r="AI64" i="24"/>
  <c r="AH64" i="24"/>
  <c r="AG64" i="24"/>
  <c r="AF64" i="24"/>
  <c r="AE64" i="24"/>
  <c r="AD64" i="24"/>
  <c r="AC64" i="24"/>
  <c r="AB64" i="24"/>
  <c r="AQ63" i="24"/>
  <c r="AP63" i="24"/>
  <c r="AO63" i="24"/>
  <c r="AN63" i="24"/>
  <c r="AM63" i="24"/>
  <c r="AL63" i="24"/>
  <c r="AK63" i="24"/>
  <c r="AJ63" i="24"/>
  <c r="AI63" i="24"/>
  <c r="AH63" i="24"/>
  <c r="AG63" i="24"/>
  <c r="AF63" i="24"/>
  <c r="AE63" i="24"/>
  <c r="AD63" i="24"/>
  <c r="AC63" i="24"/>
  <c r="AB63" i="24"/>
  <c r="F63" i="24"/>
  <c r="F64" i="24" s="1"/>
  <c r="F65" i="24" s="1"/>
  <c r="AQ62" i="24"/>
  <c r="AP62" i="24"/>
  <c r="AO62" i="24"/>
  <c r="AN62" i="24"/>
  <c r="AM62" i="24"/>
  <c r="AL62" i="24"/>
  <c r="AK62" i="24"/>
  <c r="AJ62" i="24"/>
  <c r="AI62" i="24"/>
  <c r="AH62" i="24"/>
  <c r="AG62" i="24"/>
  <c r="AF62" i="24"/>
  <c r="AE62" i="24"/>
  <c r="AD62" i="24"/>
  <c r="AC62" i="24"/>
  <c r="AB62" i="24"/>
  <c r="AQ61" i="24"/>
  <c r="AP61" i="24"/>
  <c r="AO61" i="24"/>
  <c r="AN61" i="24"/>
  <c r="AM61" i="24"/>
  <c r="AL61" i="24"/>
  <c r="AK61" i="24"/>
  <c r="AJ61" i="24"/>
  <c r="AI61" i="24"/>
  <c r="AH61" i="24"/>
  <c r="AG61" i="24"/>
  <c r="AF61" i="24"/>
  <c r="AE61" i="24"/>
  <c r="AD61" i="24"/>
  <c r="AC61" i="24"/>
  <c r="AB61" i="24"/>
  <c r="AQ60" i="24"/>
  <c r="AP60" i="24"/>
  <c r="AO60" i="24"/>
  <c r="AN60" i="24"/>
  <c r="AM60" i="24"/>
  <c r="AL60" i="24"/>
  <c r="AK60" i="24"/>
  <c r="AJ60" i="24"/>
  <c r="AI60" i="24"/>
  <c r="AH60" i="24"/>
  <c r="AG60" i="24"/>
  <c r="AF60" i="24"/>
  <c r="AE60" i="24"/>
  <c r="AD60" i="24"/>
  <c r="AC60" i="24"/>
  <c r="AB60" i="24"/>
  <c r="AQ59" i="24"/>
  <c r="AP59" i="24"/>
  <c r="AO59" i="24"/>
  <c r="AN59" i="24"/>
  <c r="AM59" i="24"/>
  <c r="AL59" i="24"/>
  <c r="AK59" i="24"/>
  <c r="AJ59" i="24"/>
  <c r="AI59" i="24"/>
  <c r="AH59" i="24"/>
  <c r="AG59" i="24"/>
  <c r="AF59" i="24"/>
  <c r="AE59" i="24"/>
  <c r="AD59" i="24"/>
  <c r="AC59" i="24"/>
  <c r="AB59" i="24"/>
  <c r="AQ58" i="24"/>
  <c r="AP58" i="24"/>
  <c r="AO58" i="24"/>
  <c r="AN58" i="24"/>
  <c r="AM58" i="24"/>
  <c r="AL58" i="24"/>
  <c r="AK58" i="24"/>
  <c r="AJ58" i="24"/>
  <c r="AI58" i="24"/>
  <c r="AH58" i="24"/>
  <c r="AG58" i="24"/>
  <c r="AF58" i="24"/>
  <c r="AE58" i="24"/>
  <c r="AD58" i="24"/>
  <c r="AC58" i="24"/>
  <c r="AB58" i="24"/>
  <c r="AQ57" i="24"/>
  <c r="AP57" i="24"/>
  <c r="AO57" i="24"/>
  <c r="AN57" i="24"/>
  <c r="AM57" i="24"/>
  <c r="AL57" i="24"/>
  <c r="AK57" i="24"/>
  <c r="AJ57" i="24"/>
  <c r="AI57" i="24"/>
  <c r="AH57" i="24"/>
  <c r="AG57" i="24"/>
  <c r="AF57" i="24"/>
  <c r="AE57" i="24"/>
  <c r="AD57" i="24"/>
  <c r="AC57" i="24"/>
  <c r="AB57" i="24"/>
  <c r="AQ56" i="24"/>
  <c r="AP56" i="24"/>
  <c r="AO56" i="24"/>
  <c r="AN56" i="24"/>
  <c r="AM56" i="24"/>
  <c r="AL56" i="24"/>
  <c r="AK56" i="24"/>
  <c r="AJ56" i="24"/>
  <c r="AI56" i="24"/>
  <c r="AH56" i="24"/>
  <c r="AG56" i="24"/>
  <c r="AF56" i="24"/>
  <c r="AE56" i="24"/>
  <c r="AD56" i="24"/>
  <c r="AC56" i="24"/>
  <c r="AB56" i="24"/>
  <c r="AQ55" i="24"/>
  <c r="AP55" i="24"/>
  <c r="AO55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Q54" i="24"/>
  <c r="AP54" i="24"/>
  <c r="AO54" i="24"/>
  <c r="AN54" i="24"/>
  <c r="AM54" i="24"/>
  <c r="AL54" i="24"/>
  <c r="AK54" i="24"/>
  <c r="AJ54" i="24"/>
  <c r="AI54" i="24"/>
  <c r="AH54" i="24"/>
  <c r="AG54" i="24"/>
  <c r="AF54" i="24"/>
  <c r="AE54" i="24"/>
  <c r="AD54" i="24"/>
  <c r="AC54" i="24"/>
  <c r="AB54" i="24"/>
  <c r="U54" i="24"/>
  <c r="T54" i="24"/>
  <c r="AQ53" i="24"/>
  <c r="AP53" i="24"/>
  <c r="AO53" i="24"/>
  <c r="AN53" i="24"/>
  <c r="AM53" i="24"/>
  <c r="AL53" i="24"/>
  <c r="AK53" i="24"/>
  <c r="AJ53" i="24"/>
  <c r="AI53" i="24"/>
  <c r="AH53" i="24"/>
  <c r="AG53" i="24"/>
  <c r="AF53" i="24"/>
  <c r="AE53" i="24"/>
  <c r="AD53" i="24"/>
  <c r="AC53" i="24"/>
  <c r="AB53" i="24"/>
  <c r="AQ52" i="24"/>
  <c r="AP52" i="24"/>
  <c r="AO52" i="24"/>
  <c r="AN52" i="24"/>
  <c r="AM52" i="24"/>
  <c r="AL52" i="24"/>
  <c r="AK52" i="24"/>
  <c r="AJ52" i="24"/>
  <c r="AI52" i="24"/>
  <c r="AH52" i="24"/>
  <c r="AG52" i="24"/>
  <c r="AF52" i="24"/>
  <c r="AE52" i="24"/>
  <c r="AD52" i="24"/>
  <c r="AC52" i="24"/>
  <c r="AB52" i="24"/>
  <c r="AQ51" i="24"/>
  <c r="AP51" i="24"/>
  <c r="AO51" i="24"/>
  <c r="AN51" i="24"/>
  <c r="AM51" i="24"/>
  <c r="AL51" i="24"/>
  <c r="AK51" i="24"/>
  <c r="AJ51" i="24"/>
  <c r="AI51" i="24"/>
  <c r="AH51" i="24"/>
  <c r="AG51" i="24"/>
  <c r="AF51" i="24"/>
  <c r="AE51" i="24"/>
  <c r="AD51" i="24"/>
  <c r="AC51" i="24"/>
  <c r="AB51" i="24"/>
  <c r="U51" i="24"/>
  <c r="T51" i="24"/>
  <c r="AQ50" i="24"/>
  <c r="AP50" i="24"/>
  <c r="AO50" i="24"/>
  <c r="AN50" i="24"/>
  <c r="AM50" i="24"/>
  <c r="AL50" i="24"/>
  <c r="AK50" i="24"/>
  <c r="AJ50" i="24"/>
  <c r="AI50" i="24"/>
  <c r="AH50" i="24"/>
  <c r="AG50" i="24"/>
  <c r="AF50" i="24"/>
  <c r="AE50" i="24"/>
  <c r="AD50" i="24"/>
  <c r="AC50" i="24"/>
  <c r="AB50" i="24"/>
  <c r="AQ49" i="24"/>
  <c r="AP49" i="24"/>
  <c r="AO49" i="24"/>
  <c r="AN49" i="24"/>
  <c r="AM49" i="24"/>
  <c r="AL49" i="24"/>
  <c r="AK49" i="24"/>
  <c r="AJ49" i="24"/>
  <c r="AI49" i="24"/>
  <c r="AH49" i="24"/>
  <c r="AG49" i="24"/>
  <c r="AF49" i="24"/>
  <c r="AE49" i="24"/>
  <c r="AD49" i="24"/>
  <c r="AC49" i="24"/>
  <c r="AB49" i="24"/>
  <c r="AQ48" i="24"/>
  <c r="AP48" i="24"/>
  <c r="AO48" i="24"/>
  <c r="AN48" i="24"/>
  <c r="AM48" i="24"/>
  <c r="AL48" i="24"/>
  <c r="AK48" i="24"/>
  <c r="AJ48" i="24"/>
  <c r="AI48" i="24"/>
  <c r="AH48" i="24"/>
  <c r="AG48" i="24"/>
  <c r="AF48" i="24"/>
  <c r="AE48" i="24"/>
  <c r="AD48" i="24"/>
  <c r="AC48" i="24"/>
  <c r="AB48" i="24"/>
  <c r="U48" i="24"/>
  <c r="T48" i="24"/>
  <c r="AQ47" i="24"/>
  <c r="AP47" i="24"/>
  <c r="AO47" i="24"/>
  <c r="AN47" i="24"/>
  <c r="AM47" i="24"/>
  <c r="AL47" i="24"/>
  <c r="AK47" i="24"/>
  <c r="AJ47" i="24"/>
  <c r="AI47" i="24"/>
  <c r="AH47" i="24"/>
  <c r="AG47" i="24"/>
  <c r="AF47" i="24"/>
  <c r="AE47" i="24"/>
  <c r="AD47" i="24"/>
  <c r="AC47" i="24"/>
  <c r="AB47" i="24"/>
  <c r="AQ46" i="24"/>
  <c r="AP46" i="24"/>
  <c r="AO46" i="24"/>
  <c r="AN46" i="24"/>
  <c r="AM46" i="24"/>
  <c r="AL46" i="24"/>
  <c r="AK46" i="24"/>
  <c r="AJ46" i="24"/>
  <c r="AI46" i="24"/>
  <c r="AH46" i="24"/>
  <c r="AG46" i="24"/>
  <c r="AF46" i="24"/>
  <c r="AE46" i="24"/>
  <c r="AD46" i="24"/>
  <c r="AC46" i="24"/>
  <c r="AB46" i="24"/>
  <c r="AQ45" i="24"/>
  <c r="AP45" i="24"/>
  <c r="AO45" i="24"/>
  <c r="AN45" i="24"/>
  <c r="AM45" i="24"/>
  <c r="AL45" i="24"/>
  <c r="AK45" i="24"/>
  <c r="AJ45" i="24"/>
  <c r="AI45" i="24"/>
  <c r="AH45" i="24"/>
  <c r="AG45" i="24"/>
  <c r="AF45" i="24"/>
  <c r="AE45" i="24"/>
  <c r="AD45" i="24"/>
  <c r="AC45" i="24"/>
  <c r="AB45" i="24"/>
  <c r="U45" i="24"/>
  <c r="T45" i="24"/>
  <c r="AQ44" i="24"/>
  <c r="AP44" i="24"/>
  <c r="AO44" i="24"/>
  <c r="AN44" i="24"/>
  <c r="AM44" i="24"/>
  <c r="AL44" i="24"/>
  <c r="AK44" i="24"/>
  <c r="AJ44" i="24"/>
  <c r="AI44" i="24"/>
  <c r="AH44" i="24"/>
  <c r="AG44" i="24"/>
  <c r="AF44" i="24"/>
  <c r="AE44" i="24"/>
  <c r="AD44" i="24"/>
  <c r="AC44" i="24"/>
  <c r="AB44" i="24"/>
  <c r="AQ43" i="24"/>
  <c r="AP43" i="24"/>
  <c r="AO43" i="24"/>
  <c r="AN43" i="24"/>
  <c r="AM43" i="24"/>
  <c r="AL43" i="24"/>
  <c r="AK43" i="24"/>
  <c r="AJ43" i="24"/>
  <c r="AI43" i="24"/>
  <c r="AH43" i="24"/>
  <c r="AG43" i="24"/>
  <c r="AF43" i="24"/>
  <c r="AE43" i="24"/>
  <c r="AD43" i="24"/>
  <c r="AC43" i="24"/>
  <c r="AB43" i="24"/>
  <c r="AQ42" i="24"/>
  <c r="AP42" i="24"/>
  <c r="AO42" i="24"/>
  <c r="AN42" i="24"/>
  <c r="AM42" i="24"/>
  <c r="AL42" i="24"/>
  <c r="AK42" i="24"/>
  <c r="AJ42" i="24"/>
  <c r="AI42" i="24"/>
  <c r="AH42" i="24"/>
  <c r="AG42" i="24"/>
  <c r="AF42" i="24"/>
  <c r="AE42" i="24"/>
  <c r="AD42" i="24"/>
  <c r="AC42" i="24"/>
  <c r="AB42" i="24"/>
  <c r="U42" i="24"/>
  <c r="T42" i="24"/>
  <c r="AQ41" i="24"/>
  <c r="AP41" i="24"/>
  <c r="AO41" i="24"/>
  <c r="AN41" i="24"/>
  <c r="AM41" i="24"/>
  <c r="AL41" i="24"/>
  <c r="AK41" i="24"/>
  <c r="AJ41" i="24"/>
  <c r="AI41" i="24"/>
  <c r="AH41" i="24"/>
  <c r="AG41" i="24"/>
  <c r="AF41" i="24"/>
  <c r="AE41" i="24"/>
  <c r="AD41" i="24"/>
  <c r="AC41" i="24"/>
  <c r="AB41" i="24"/>
  <c r="AQ40" i="24"/>
  <c r="AP40" i="24"/>
  <c r="AO40" i="24"/>
  <c r="AN40" i="24"/>
  <c r="AM40" i="24"/>
  <c r="AL40" i="24"/>
  <c r="AK40" i="24"/>
  <c r="AJ40" i="24"/>
  <c r="AI40" i="24"/>
  <c r="AH40" i="24"/>
  <c r="AG40" i="24"/>
  <c r="AF40" i="24"/>
  <c r="AE40" i="24"/>
  <c r="AD40" i="24"/>
  <c r="AC40" i="24"/>
  <c r="AB40" i="24"/>
  <c r="X40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W39" i="24"/>
  <c r="W40" i="24" s="1"/>
  <c r="P39" i="24"/>
  <c r="O39" i="24"/>
  <c r="N39" i="24"/>
  <c r="M39" i="24"/>
  <c r="L39" i="24"/>
  <c r="K39" i="24"/>
  <c r="J39" i="24"/>
  <c r="I39" i="24"/>
  <c r="H39" i="24"/>
  <c r="E39" i="24"/>
  <c r="X38" i="24"/>
  <c r="W38" i="24"/>
  <c r="P38" i="24"/>
  <c r="O38" i="24"/>
  <c r="N38" i="24"/>
  <c r="M38" i="24"/>
  <c r="L38" i="24"/>
  <c r="K38" i="24"/>
  <c r="J38" i="24"/>
  <c r="I38" i="24"/>
  <c r="H38" i="24"/>
  <c r="G38" i="24"/>
  <c r="E38" i="24"/>
  <c r="AR37" i="24"/>
  <c r="AQ37" i="24"/>
  <c r="AP37" i="24"/>
  <c r="AO37" i="24"/>
  <c r="AN37" i="24"/>
  <c r="AM37" i="24"/>
  <c r="AL37" i="24"/>
  <c r="AK37" i="24"/>
  <c r="AJ37" i="24"/>
  <c r="AI37" i="24"/>
  <c r="AH37" i="24"/>
  <c r="AG37" i="24"/>
  <c r="AF37" i="24"/>
  <c r="AE37" i="24"/>
  <c r="AD37" i="24"/>
  <c r="AC37" i="24"/>
  <c r="AB37" i="24"/>
  <c r="X37" i="24"/>
  <c r="W37" i="24"/>
  <c r="U37" i="24"/>
  <c r="T37" i="24"/>
  <c r="E105" i="100" s="1"/>
  <c r="E219" i="100" s="1"/>
  <c r="E304" i="100" s="1"/>
  <c r="R37" i="24"/>
  <c r="D155" i="32" s="1"/>
  <c r="R155" i="32" s="1"/>
  <c r="Y193" i="32" s="1"/>
  <c r="X36" i="24"/>
  <c r="W36" i="24"/>
  <c r="P36" i="24"/>
  <c r="O36" i="24"/>
  <c r="N36" i="24"/>
  <c r="M36" i="24"/>
  <c r="L36" i="24"/>
  <c r="K36" i="24"/>
  <c r="J36" i="24"/>
  <c r="I36" i="24"/>
  <c r="H36" i="24"/>
  <c r="G36" i="24"/>
  <c r="F36" i="24"/>
  <c r="F39" i="24" s="1"/>
  <c r="E36" i="24"/>
  <c r="X35" i="24"/>
  <c r="U35" i="24"/>
  <c r="T35" i="24"/>
  <c r="AQ34" i="24"/>
  <c r="AP34" i="24"/>
  <c r="AO34" i="24"/>
  <c r="AH34" i="24"/>
  <c r="AA34" i="24"/>
  <c r="AQ33" i="24"/>
  <c r="AP33" i="24"/>
  <c r="AO33" i="24"/>
  <c r="AH33" i="24"/>
  <c r="AA33" i="24"/>
  <c r="X33" i="24"/>
  <c r="AQ32" i="24"/>
  <c r="AP32" i="24"/>
  <c r="AO32" i="24"/>
  <c r="AH32" i="24"/>
  <c r="AA32" i="24"/>
  <c r="W32" i="24"/>
  <c r="P32" i="24"/>
  <c r="O32" i="24"/>
  <c r="N32" i="24"/>
  <c r="M32" i="24"/>
  <c r="L32" i="24"/>
  <c r="K32" i="24"/>
  <c r="J32" i="24"/>
  <c r="I32" i="24"/>
  <c r="H32" i="24"/>
  <c r="G32" i="24"/>
  <c r="F32" i="24"/>
  <c r="U49" i="24" s="1"/>
  <c r="E32" i="24"/>
  <c r="AQ31" i="24"/>
  <c r="AP31" i="24"/>
  <c r="AO31" i="24"/>
  <c r="AH31" i="24"/>
  <c r="AA31" i="24"/>
  <c r="X31" i="24"/>
  <c r="U31" i="24"/>
  <c r="T31" i="24"/>
  <c r="AQ30" i="24"/>
  <c r="AP30" i="24"/>
  <c r="AO30" i="24"/>
  <c r="AH30" i="24"/>
  <c r="AA30" i="24"/>
  <c r="X30" i="24"/>
  <c r="W30" i="24"/>
  <c r="U30" i="24"/>
  <c r="P30" i="24"/>
  <c r="O30" i="24"/>
  <c r="N30" i="24"/>
  <c r="M30" i="24"/>
  <c r="L30" i="24"/>
  <c r="K30" i="24"/>
  <c r="J30" i="24"/>
  <c r="I30" i="24"/>
  <c r="H30" i="24"/>
  <c r="G30" i="24"/>
  <c r="K23" i="126" s="1"/>
  <c r="F30" i="24"/>
  <c r="E30" i="24"/>
  <c r="AQ29" i="24"/>
  <c r="AP29" i="24"/>
  <c r="AO29" i="24"/>
  <c r="AH29" i="24"/>
  <c r="AA29" i="24"/>
  <c r="X29" i="24"/>
  <c r="U29" i="24"/>
  <c r="T29" i="24"/>
  <c r="AQ28" i="24"/>
  <c r="AP28" i="24"/>
  <c r="AO28" i="24"/>
  <c r="AH28" i="24"/>
  <c r="AA28" i="24"/>
  <c r="AQ27" i="24"/>
  <c r="AP27" i="24"/>
  <c r="AO27" i="24"/>
  <c r="AH27" i="24"/>
  <c r="AA27" i="24"/>
  <c r="U27" i="24"/>
  <c r="T27" i="24"/>
  <c r="W18" i="155" s="1"/>
  <c r="AQ26" i="24"/>
  <c r="AP26" i="24"/>
  <c r="AO26" i="24"/>
  <c r="AH26" i="24"/>
  <c r="AA26" i="24"/>
  <c r="AQ25" i="24"/>
  <c r="AP25" i="24"/>
  <c r="AO25" i="24"/>
  <c r="AH25" i="24"/>
  <c r="AA25" i="24"/>
  <c r="AQ24" i="24"/>
  <c r="AP24" i="24"/>
  <c r="AO24" i="24"/>
  <c r="AH24" i="24"/>
  <c r="AA24" i="24"/>
  <c r="AQ23" i="24"/>
  <c r="AP23" i="24"/>
  <c r="AO23" i="24"/>
  <c r="AH23" i="24"/>
  <c r="AA23" i="24"/>
  <c r="AQ22" i="24"/>
  <c r="AP22" i="24"/>
  <c r="AO22" i="24"/>
  <c r="AH22" i="24"/>
  <c r="AA22" i="24"/>
  <c r="U22" i="24"/>
  <c r="T22" i="24"/>
  <c r="W17" i="155" s="1"/>
  <c r="AQ21" i="24"/>
  <c r="AP21" i="24"/>
  <c r="AO21" i="24"/>
  <c r="AH21" i="24"/>
  <c r="AA21" i="24"/>
  <c r="X21" i="24"/>
  <c r="AQ20" i="24"/>
  <c r="AP20" i="24"/>
  <c r="AO20" i="24"/>
  <c r="AH20" i="24"/>
  <c r="AA20" i="24"/>
  <c r="X20" i="24"/>
  <c r="R20" i="24"/>
  <c r="AQ19" i="24"/>
  <c r="AP19" i="24"/>
  <c r="AO19" i="24"/>
  <c r="AH19" i="24"/>
  <c r="AA19" i="24"/>
  <c r="X19" i="24"/>
  <c r="U19" i="24"/>
  <c r="T19" i="24"/>
  <c r="O17" i="126" s="1"/>
  <c r="AQ18" i="24"/>
  <c r="AP18" i="24"/>
  <c r="AO18" i="24"/>
  <c r="AH18" i="24"/>
  <c r="AA18" i="24"/>
  <c r="X18" i="24"/>
  <c r="U18" i="24"/>
  <c r="T18" i="24"/>
  <c r="O16" i="126" s="1"/>
  <c r="AQ17" i="24"/>
  <c r="AP17" i="24"/>
  <c r="AO17" i="24"/>
  <c r="AH17" i="24"/>
  <c r="AA17" i="24"/>
  <c r="X17" i="24"/>
  <c r="U17" i="24"/>
  <c r="T17" i="24"/>
  <c r="X15" i="156" s="1"/>
  <c r="Y15" i="156" s="1"/>
  <c r="Z15" i="156" s="1"/>
  <c r="R17" i="24"/>
  <c r="AQ16" i="24"/>
  <c r="AP16" i="24"/>
  <c r="AO16" i="24"/>
  <c r="AH16" i="24"/>
  <c r="AA16" i="24"/>
  <c r="R16" i="24"/>
  <c r="AQ15" i="24"/>
  <c r="AP15" i="24"/>
  <c r="AO15" i="24"/>
  <c r="AH15" i="24"/>
  <c r="AA15" i="24"/>
  <c r="R15" i="24"/>
  <c r="AQ14" i="24"/>
  <c r="AP14" i="24"/>
  <c r="AO14" i="24"/>
  <c r="AH14" i="24"/>
  <c r="AA14" i="24"/>
  <c r="AQ13" i="24"/>
  <c r="AP13" i="24"/>
  <c r="AO13" i="24"/>
  <c r="AH13" i="24"/>
  <c r="AA13" i="24"/>
  <c r="AQ12" i="24"/>
  <c r="AP12" i="24"/>
  <c r="AO12" i="24"/>
  <c r="AH12" i="24"/>
  <c r="AA12" i="24"/>
  <c r="X12" i="24"/>
  <c r="W12" i="24"/>
  <c r="W29" i="24" s="1"/>
  <c r="U12" i="24"/>
  <c r="U14" i="24" s="1"/>
  <c r="T12" i="24"/>
  <c r="W10" i="155" s="1"/>
  <c r="AQ11" i="24"/>
  <c r="AP11" i="24"/>
  <c r="AO11" i="24"/>
  <c r="AH11" i="24"/>
  <c r="AA11" i="24"/>
  <c r="G11" i="24"/>
  <c r="F11" i="24"/>
  <c r="AQ10" i="24"/>
  <c r="AP10" i="24"/>
  <c r="AO10" i="24"/>
  <c r="AH10" i="24"/>
  <c r="AA10" i="24"/>
  <c r="W10" i="24"/>
  <c r="U10" i="24"/>
  <c r="T10" i="24"/>
  <c r="L8" i="163" s="1"/>
  <c r="AQ9" i="24"/>
  <c r="AP9" i="24"/>
  <c r="AO9" i="24"/>
  <c r="AH9" i="24"/>
  <c r="AA9" i="24"/>
  <c r="X9" i="24"/>
  <c r="W9" i="24"/>
  <c r="U9" i="24"/>
  <c r="T9" i="24"/>
  <c r="AQ8" i="24"/>
  <c r="AP8" i="24"/>
  <c r="AO8" i="24"/>
  <c r="AH8" i="24"/>
  <c r="AA8" i="24"/>
  <c r="X8" i="24"/>
  <c r="W8" i="24"/>
  <c r="U8" i="24"/>
  <c r="T8" i="24"/>
  <c r="AQ7" i="24"/>
  <c r="AP7" i="24"/>
  <c r="AO7" i="24"/>
  <c r="AH7" i="24"/>
  <c r="AA7" i="24"/>
  <c r="X7" i="24"/>
  <c r="Y7" i="24" s="1"/>
  <c r="R171" i="32" s="1"/>
  <c r="W7" i="24"/>
  <c r="U7" i="24"/>
  <c r="T7" i="24"/>
  <c r="L5" i="163" s="1"/>
  <c r="AQ6" i="24"/>
  <c r="AP6" i="24"/>
  <c r="AO6" i="24"/>
  <c r="AH6" i="24"/>
  <c r="AA6" i="24"/>
  <c r="AQ5" i="24"/>
  <c r="AP5" i="24"/>
  <c r="AO5" i="24"/>
  <c r="AH5" i="24"/>
  <c r="W5" i="24"/>
  <c r="W20" i="24" s="1"/>
  <c r="P5" i="24"/>
  <c r="O5" i="24"/>
  <c r="N5" i="24"/>
  <c r="M5" i="24"/>
  <c r="L5" i="24"/>
  <c r="K5" i="24"/>
  <c r="J5" i="24"/>
  <c r="I5" i="24"/>
  <c r="H5" i="24"/>
  <c r="G5" i="24"/>
  <c r="F5" i="24"/>
  <c r="D4" i="24"/>
  <c r="P3" i="24"/>
  <c r="O3" i="24"/>
  <c r="N3" i="24"/>
  <c r="M3" i="24"/>
  <c r="L3" i="24"/>
  <c r="K3" i="24"/>
  <c r="J3" i="24"/>
  <c r="I3" i="24"/>
  <c r="H3" i="24"/>
  <c r="G3" i="24"/>
  <c r="F3" i="24"/>
  <c r="E3" i="24"/>
  <c r="E5" i="24" s="1"/>
  <c r="F125" i="176"/>
  <c r="E125" i="176"/>
  <c r="F123" i="176"/>
  <c r="E123" i="176"/>
  <c r="F121" i="176"/>
  <c r="E121" i="176"/>
  <c r="F119" i="176"/>
  <c r="E119" i="176"/>
  <c r="F117" i="176"/>
  <c r="E117" i="176"/>
  <c r="F115" i="176"/>
  <c r="E115" i="176"/>
  <c r="F113" i="176"/>
  <c r="E113" i="176"/>
  <c r="E112" i="176"/>
  <c r="F110" i="176"/>
  <c r="E110" i="176"/>
  <c r="F108" i="176"/>
  <c r="E108" i="176"/>
  <c r="E107" i="176"/>
  <c r="E90" i="176"/>
  <c r="AK112" i="163"/>
  <c r="AJ112" i="163"/>
  <c r="AI112" i="163"/>
  <c r="AH112" i="163"/>
  <c r="AG112" i="163"/>
  <c r="AL111" i="163"/>
  <c r="AK111" i="163"/>
  <c r="AJ111" i="163"/>
  <c r="AI111" i="163"/>
  <c r="AH111" i="163"/>
  <c r="AG111" i="163"/>
  <c r="AJ110" i="163"/>
  <c r="AI110" i="163"/>
  <c r="AH110" i="163"/>
  <c r="AG110" i="163"/>
  <c r="AI109" i="163"/>
  <c r="AH109" i="163"/>
  <c r="AG109" i="163"/>
  <c r="AH108" i="163"/>
  <c r="AG108" i="163"/>
  <c r="AG107" i="163"/>
  <c r="AK96" i="163"/>
  <c r="AJ96" i="163"/>
  <c r="AI96" i="163"/>
  <c r="AH96" i="163"/>
  <c r="AG96" i="163"/>
  <c r="AL95" i="163"/>
  <c r="AM95" i="163" s="1"/>
  <c r="AK95" i="163"/>
  <c r="AJ95" i="163"/>
  <c r="AI95" i="163"/>
  <c r="AH95" i="163"/>
  <c r="AG95" i="163"/>
  <c r="AL94" i="163"/>
  <c r="AM94" i="163" s="1"/>
  <c r="AK94" i="163"/>
  <c r="AJ94" i="163"/>
  <c r="AI94" i="163"/>
  <c r="AH94" i="163"/>
  <c r="AG94" i="163"/>
  <c r="AL93" i="163"/>
  <c r="AK93" i="163"/>
  <c r="AJ93" i="163"/>
  <c r="AI93" i="163"/>
  <c r="AH93" i="163"/>
  <c r="AG93" i="163"/>
  <c r="AK92" i="163"/>
  <c r="AJ92" i="163"/>
  <c r="AI92" i="163"/>
  <c r="AH92" i="163"/>
  <c r="AG92" i="163"/>
  <c r="AL91" i="163"/>
  <c r="AM91" i="163" s="1"/>
  <c r="AK91" i="163"/>
  <c r="AJ91" i="163"/>
  <c r="AI91" i="163"/>
  <c r="AH91" i="163"/>
  <c r="AG91" i="163"/>
  <c r="AL90" i="163"/>
  <c r="AM90" i="163" s="1"/>
  <c r="AM96" i="163" s="1"/>
  <c r="AM98" i="163" s="1"/>
  <c r="AK90" i="163"/>
  <c r="AJ90" i="163"/>
  <c r="AI90" i="163"/>
  <c r="AH90" i="163"/>
  <c r="AG90" i="163"/>
  <c r="H74" i="163"/>
  <c r="D60" i="163"/>
  <c r="G59" i="163"/>
  <c r="G63" i="163" s="1"/>
  <c r="F59" i="163"/>
  <c r="F62" i="163" s="1"/>
  <c r="E59" i="163"/>
  <c r="E61" i="163" s="1"/>
  <c r="C59" i="163"/>
  <c r="Z44" i="163"/>
  <c r="Z45" i="163" s="1"/>
  <c r="O36" i="163"/>
  <c r="H36" i="163"/>
  <c r="E36" i="163"/>
  <c r="O35" i="163"/>
  <c r="L35" i="163"/>
  <c r="H35" i="163"/>
  <c r="E35" i="163"/>
  <c r="P34" i="163"/>
  <c r="P33" i="163"/>
  <c r="K32" i="163"/>
  <c r="H32" i="163"/>
  <c r="E32" i="163"/>
  <c r="H31" i="163"/>
  <c r="H30" i="163"/>
  <c r="R28" i="163"/>
  <c r="L28" i="163"/>
  <c r="R25" i="163"/>
  <c r="L25" i="163"/>
  <c r="AZ22" i="163"/>
  <c r="AZ23" i="163" s="1"/>
  <c r="AZ24" i="163" s="1"/>
  <c r="R22" i="163"/>
  <c r="BA21" i="163"/>
  <c r="BB21" i="163" s="1"/>
  <c r="AZ21" i="163"/>
  <c r="AY21" i="163"/>
  <c r="AY22" i="163" s="1"/>
  <c r="AY23" i="163" s="1"/>
  <c r="AX21" i="163"/>
  <c r="AX22" i="163" s="1"/>
  <c r="AW21" i="163"/>
  <c r="AV21" i="163"/>
  <c r="AR21" i="163"/>
  <c r="AR23" i="163" s="1"/>
  <c r="AQ21" i="163"/>
  <c r="AQ22" i="163" s="1"/>
  <c r="AP21" i="163"/>
  <c r="AK20" i="163"/>
  <c r="L20" i="163"/>
  <c r="AA44" i="163" s="1"/>
  <c r="AA45" i="163" s="1"/>
  <c r="G18" i="155"/>
  <c r="R17" i="163"/>
  <c r="L17" i="163"/>
  <c r="D44" i="163"/>
  <c r="D45" i="163" s="1"/>
  <c r="R15" i="163"/>
  <c r="R14" i="163"/>
  <c r="R13" i="163"/>
  <c r="C44" i="163"/>
  <c r="R10" i="163"/>
  <c r="R7" i="163"/>
  <c r="L7" i="163"/>
  <c r="L6" i="163"/>
  <c r="AC44" i="163" s="1"/>
  <c r="H62" i="156"/>
  <c r="H60" i="156"/>
  <c r="H59" i="156"/>
  <c r="H57" i="156"/>
  <c r="H56" i="156"/>
  <c r="H55" i="156"/>
  <c r="H54" i="156"/>
  <c r="H52" i="156"/>
  <c r="H51" i="156"/>
  <c r="H50" i="156"/>
  <c r="H49" i="156"/>
  <c r="H48" i="156"/>
  <c r="H47" i="156"/>
  <c r="H46" i="156"/>
  <c r="H45" i="156"/>
  <c r="H44" i="156"/>
  <c r="H43" i="156"/>
  <c r="H42" i="156"/>
  <c r="H40" i="156"/>
  <c r="H39" i="156"/>
  <c r="H38" i="156"/>
  <c r="H36" i="156"/>
  <c r="K32" i="156"/>
  <c r="X31" i="156"/>
  <c r="U31" i="156"/>
  <c r="K31" i="156"/>
  <c r="W30" i="156"/>
  <c r="V30" i="156"/>
  <c r="N29" i="156"/>
  <c r="K29" i="156"/>
  <c r="H29" i="156"/>
  <c r="U28" i="156"/>
  <c r="K28" i="156"/>
  <c r="X27" i="156"/>
  <c r="U27" i="156"/>
  <c r="R27" i="156"/>
  <c r="N27" i="156"/>
  <c r="K27" i="156"/>
  <c r="H27" i="156"/>
  <c r="X26" i="156"/>
  <c r="U26" i="156"/>
  <c r="R26" i="156"/>
  <c r="N26" i="156"/>
  <c r="K26" i="156"/>
  <c r="H26" i="156"/>
  <c r="R25" i="156"/>
  <c r="K25" i="156"/>
  <c r="X24" i="156"/>
  <c r="R24" i="156"/>
  <c r="K24" i="156"/>
  <c r="W23" i="156"/>
  <c r="V23" i="156"/>
  <c r="K22" i="156"/>
  <c r="U21" i="156"/>
  <c r="R21" i="156"/>
  <c r="K21" i="156"/>
  <c r="K20" i="156"/>
  <c r="X19" i="156"/>
  <c r="AM73" i="156" s="1"/>
  <c r="K19" i="156"/>
  <c r="AT18" i="156"/>
  <c r="W18" i="156"/>
  <c r="V18" i="156"/>
  <c r="K17" i="156"/>
  <c r="U16" i="156"/>
  <c r="R16" i="156"/>
  <c r="K16" i="156"/>
  <c r="AT15" i="156"/>
  <c r="Q15" i="156"/>
  <c r="N15" i="156"/>
  <c r="O15" i="156" s="1"/>
  <c r="P15" i="156" s="1"/>
  <c r="M15" i="156"/>
  <c r="L15" i="156"/>
  <c r="K15" i="156"/>
  <c r="J15" i="156"/>
  <c r="I15" i="156"/>
  <c r="D15" i="156"/>
  <c r="K14" i="156"/>
  <c r="U13" i="156"/>
  <c r="K13" i="156"/>
  <c r="U12" i="156"/>
  <c r="K12" i="156"/>
  <c r="Z11" i="156"/>
  <c r="Y11" i="156"/>
  <c r="X11" i="156"/>
  <c r="W11" i="156"/>
  <c r="V11" i="156"/>
  <c r="U11" i="156"/>
  <c r="T11" i="156"/>
  <c r="S11" i="156"/>
  <c r="R11" i="156"/>
  <c r="Q11" i="156"/>
  <c r="N11" i="156"/>
  <c r="O11" i="156" s="1"/>
  <c r="P11" i="156" s="1"/>
  <c r="M11" i="156"/>
  <c r="L11" i="156"/>
  <c r="K11" i="156"/>
  <c r="H11" i="156"/>
  <c r="I11" i="156" s="1"/>
  <c r="J11" i="156" s="1"/>
  <c r="G11" i="156"/>
  <c r="F11" i="156"/>
  <c r="E11" i="156"/>
  <c r="D11" i="156"/>
  <c r="W10" i="156"/>
  <c r="V10" i="156"/>
  <c r="R9" i="156"/>
  <c r="K9" i="156"/>
  <c r="X8" i="156"/>
  <c r="U8" i="156"/>
  <c r="R8" i="156"/>
  <c r="K8" i="156"/>
  <c r="H8" i="156"/>
  <c r="U7" i="156"/>
  <c r="R7" i="156"/>
  <c r="K7" i="156"/>
  <c r="X6" i="156"/>
  <c r="R6" i="156"/>
  <c r="K6" i="156"/>
  <c r="Z5" i="156"/>
  <c r="Y5" i="156"/>
  <c r="X5" i="156"/>
  <c r="U5" i="156"/>
  <c r="T5" i="156"/>
  <c r="R5" i="156"/>
  <c r="K5" i="156"/>
  <c r="H5" i="156"/>
  <c r="U4" i="156"/>
  <c r="K4" i="156"/>
  <c r="B2" i="156"/>
  <c r="V60" i="26"/>
  <c r="U60" i="26"/>
  <c r="S60" i="26"/>
  <c r="D58" i="26"/>
  <c r="D57" i="26"/>
  <c r="D56" i="26"/>
  <c r="V54" i="26"/>
  <c r="U54" i="26"/>
  <c r="U32" i="156" s="1"/>
  <c r="S54" i="26"/>
  <c r="V53" i="26"/>
  <c r="U53" i="26"/>
  <c r="S53" i="26"/>
  <c r="V51" i="26"/>
  <c r="U51" i="26"/>
  <c r="S51" i="26"/>
  <c r="V50" i="26"/>
  <c r="U50" i="26"/>
  <c r="S50" i="26"/>
  <c r="V49" i="26"/>
  <c r="U49" i="26"/>
  <c r="S49" i="26"/>
  <c r="V47" i="26"/>
  <c r="U47" i="26"/>
  <c r="S47" i="26"/>
  <c r="V46" i="26"/>
  <c r="U46" i="26"/>
  <c r="S46" i="26"/>
  <c r="V45" i="26"/>
  <c r="U45" i="26"/>
  <c r="S45" i="26"/>
  <c r="U43" i="26"/>
  <c r="U29" i="156" s="1"/>
  <c r="S43" i="26"/>
  <c r="V42" i="26"/>
  <c r="U42" i="26"/>
  <c r="S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V41" i="26"/>
  <c r="U41" i="26"/>
  <c r="E133" i="100" s="1"/>
  <c r="S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V40" i="26"/>
  <c r="U40" i="26"/>
  <c r="E132" i="100" s="1"/>
  <c r="S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V39" i="26"/>
  <c r="U39" i="26"/>
  <c r="E131" i="100" s="1"/>
  <c r="J118" i="100" s="1"/>
  <c r="S39" i="26"/>
  <c r="V38" i="26"/>
  <c r="U38" i="26"/>
  <c r="E130" i="100" s="1"/>
  <c r="J116" i="100" s="1"/>
  <c r="S38" i="26"/>
  <c r="U36" i="26"/>
  <c r="E128" i="100" s="1"/>
  <c r="S36" i="26"/>
  <c r="V35" i="26"/>
  <c r="U35" i="26"/>
  <c r="E127" i="100" s="1"/>
  <c r="S35" i="26"/>
  <c r="V34" i="26"/>
  <c r="U34" i="26"/>
  <c r="E126" i="100" s="1"/>
  <c r="J117" i="100" s="1"/>
  <c r="S34" i="26"/>
  <c r="V33" i="26"/>
  <c r="U33" i="26"/>
  <c r="E125" i="100" s="1"/>
  <c r="J115" i="100" s="1"/>
  <c r="S33" i="26"/>
  <c r="V31" i="26"/>
  <c r="U31" i="26"/>
  <c r="U22" i="26" s="1"/>
  <c r="S31" i="26"/>
  <c r="V30" i="26"/>
  <c r="U30" i="26"/>
  <c r="V29" i="26"/>
  <c r="U29" i="26"/>
  <c r="V28" i="26"/>
  <c r="U28" i="26"/>
  <c r="V27" i="26"/>
  <c r="U27" i="26"/>
  <c r="S27" i="26"/>
  <c r="V25" i="26"/>
  <c r="U25" i="26"/>
  <c r="E123" i="100" s="1"/>
  <c r="J114" i="100" s="1"/>
  <c r="S25" i="26"/>
  <c r="V24" i="26"/>
  <c r="U24" i="26"/>
  <c r="S24" i="26"/>
  <c r="V23" i="26"/>
  <c r="U23" i="26"/>
  <c r="E122" i="100" s="1"/>
  <c r="F122" i="100" s="1"/>
  <c r="G122" i="100" s="1"/>
  <c r="S23" i="26"/>
  <c r="S22" i="26"/>
  <c r="U21" i="26"/>
  <c r="E120" i="100" s="1"/>
  <c r="S21" i="26"/>
  <c r="V20" i="26"/>
  <c r="V22" i="26" s="1"/>
  <c r="U20" i="26"/>
  <c r="E119" i="100" s="1"/>
  <c r="S20" i="26"/>
  <c r="V18" i="26"/>
  <c r="U18" i="26"/>
  <c r="E117" i="100" s="1"/>
  <c r="S18" i="26"/>
  <c r="V17" i="26"/>
  <c r="V43" i="26" s="1"/>
  <c r="U17" i="26"/>
  <c r="E116" i="100" s="1"/>
  <c r="S17" i="26"/>
  <c r="V16" i="26"/>
  <c r="U16" i="26"/>
  <c r="U6" i="156" s="1"/>
  <c r="S16" i="26"/>
  <c r="V15" i="26"/>
  <c r="V36" i="26" s="1"/>
  <c r="U15" i="26"/>
  <c r="S15" i="26"/>
  <c r="V14" i="26"/>
  <c r="U14" i="26"/>
  <c r="S14" i="26"/>
  <c r="V13" i="26"/>
  <c r="U13" i="26"/>
  <c r="E113" i="100" s="1"/>
  <c r="J112" i="100" s="1"/>
  <c r="P112" i="100" s="1"/>
  <c r="S13" i="26"/>
  <c r="V11" i="26"/>
  <c r="U11" i="26"/>
  <c r="K103" i="32" s="1"/>
  <c r="Y103" i="32" s="1"/>
  <c r="Z103" i="32" s="1"/>
  <c r="AA103" i="32" s="1"/>
  <c r="S11" i="26"/>
  <c r="V6" i="26"/>
  <c r="V21" i="26" s="1"/>
  <c r="U6" i="26"/>
  <c r="S6" i="26"/>
  <c r="Q4" i="26"/>
  <c r="P4" i="26"/>
  <c r="O4" i="26"/>
  <c r="N4" i="26"/>
  <c r="M4" i="26"/>
  <c r="L4" i="26"/>
  <c r="K4" i="26"/>
  <c r="J4" i="26"/>
  <c r="I4" i="26"/>
  <c r="H4" i="26"/>
  <c r="G4" i="26"/>
  <c r="F4" i="26"/>
  <c r="AJ65" i="155"/>
  <c r="AC44" i="155"/>
  <c r="AC45" i="155" s="1"/>
  <c r="AD45" i="155" s="1"/>
  <c r="U37" i="155"/>
  <c r="U36" i="155"/>
  <c r="Q35" i="155"/>
  <c r="P35" i="155"/>
  <c r="J35" i="155"/>
  <c r="M35" i="155"/>
  <c r="J34" i="155"/>
  <c r="J33" i="155"/>
  <c r="N32" i="156"/>
  <c r="H32" i="156"/>
  <c r="W31" i="155"/>
  <c r="E28" i="163"/>
  <c r="H31" i="156"/>
  <c r="H28" i="156"/>
  <c r="W27" i="155"/>
  <c r="M27" i="155"/>
  <c r="Q26" i="155"/>
  <c r="N25" i="156"/>
  <c r="H25" i="156"/>
  <c r="W25" i="155"/>
  <c r="Q25" i="155"/>
  <c r="N24" i="156"/>
  <c r="H24" i="156"/>
  <c r="E23" i="163"/>
  <c r="H22" i="156"/>
  <c r="Q22" i="155"/>
  <c r="N21" i="156"/>
  <c r="H21" i="156"/>
  <c r="AQ21" i="155"/>
  <c r="AR21" i="155" s="1"/>
  <c r="AP21" i="155"/>
  <c r="AP22" i="155" s="1"/>
  <c r="AP23" i="155" s="1"/>
  <c r="AP24" i="155" s="1"/>
  <c r="AO21" i="155"/>
  <c r="AO22" i="155" s="1"/>
  <c r="AO23" i="155" s="1"/>
  <c r="AN21" i="155"/>
  <c r="AN22" i="155" s="1"/>
  <c r="AM21" i="155"/>
  <c r="AJ118" i="155"/>
  <c r="W20" i="155"/>
  <c r="AJ44" i="155"/>
  <c r="H17" i="156"/>
  <c r="W15" i="155"/>
  <c r="E15" i="163"/>
  <c r="H16" i="156"/>
  <c r="Q14" i="155"/>
  <c r="E14" i="163"/>
  <c r="W13" i="155"/>
  <c r="Q13" i="155"/>
  <c r="E13" i="163"/>
  <c r="H14" i="156"/>
  <c r="N13" i="156"/>
  <c r="H13" i="156"/>
  <c r="N12" i="156"/>
  <c r="AD47" i="156" s="1"/>
  <c r="H12" i="156"/>
  <c r="Q8" i="155"/>
  <c r="E8" i="163"/>
  <c r="H9" i="156"/>
  <c r="W7" i="155"/>
  <c r="X7" i="156" s="1"/>
  <c r="Q7" i="155"/>
  <c r="N7" i="156"/>
  <c r="N8" i="156" s="1"/>
  <c r="H7" i="156"/>
  <c r="W6" i="155"/>
  <c r="Q6" i="155"/>
  <c r="W5" i="155"/>
  <c r="E5" i="163"/>
  <c r="H4" i="156"/>
  <c r="AK58" i="165"/>
  <c r="AJ58" i="165"/>
  <c r="AH58" i="165"/>
  <c r="AG58" i="165"/>
  <c r="AA58" i="165"/>
  <c r="Z58" i="165"/>
  <c r="Q58" i="165"/>
  <c r="K58" i="165"/>
  <c r="AK57" i="165"/>
  <c r="AJ57" i="165"/>
  <c r="AH57" i="165"/>
  <c r="AG57" i="165"/>
  <c r="AA57" i="165"/>
  <c r="Z57" i="165"/>
  <c r="Q57" i="165"/>
  <c r="K57" i="165"/>
  <c r="AK56" i="165"/>
  <c r="AJ56" i="165"/>
  <c r="AH56" i="165"/>
  <c r="AG56" i="165"/>
  <c r="AA56" i="165"/>
  <c r="Z56" i="165"/>
  <c r="Q56" i="165"/>
  <c r="K56" i="165"/>
  <c r="J47" i="165"/>
  <c r="J46" i="165"/>
  <c r="J44" i="165"/>
  <c r="I44" i="165"/>
  <c r="H44" i="165"/>
  <c r="G44" i="165"/>
  <c r="F44" i="165"/>
  <c r="E44" i="165"/>
  <c r="D44" i="165"/>
  <c r="C44" i="165"/>
  <c r="J43" i="165"/>
  <c r="I43" i="165"/>
  <c r="H43" i="165"/>
  <c r="G43" i="165"/>
  <c r="F43" i="165"/>
  <c r="E43" i="165"/>
  <c r="D43" i="165"/>
  <c r="C43" i="165"/>
  <c r="J42" i="165"/>
  <c r="I42" i="165"/>
  <c r="H42" i="165"/>
  <c r="G42" i="165"/>
  <c r="F42" i="165"/>
  <c r="E42" i="165"/>
  <c r="D42" i="165"/>
  <c r="C42" i="165"/>
  <c r="J41" i="165"/>
  <c r="I41" i="165"/>
  <c r="H41" i="165"/>
  <c r="G41" i="165"/>
  <c r="F41" i="165"/>
  <c r="E41" i="165"/>
  <c r="D41" i="165"/>
  <c r="C41" i="165"/>
  <c r="J40" i="165"/>
  <c r="I40" i="165"/>
  <c r="H40" i="165"/>
  <c r="G40" i="165"/>
  <c r="F40" i="165"/>
  <c r="E40" i="165"/>
  <c r="D40" i="165"/>
  <c r="C40" i="165"/>
  <c r="AG39" i="165"/>
  <c r="AA39" i="165"/>
  <c r="K39" i="165"/>
  <c r="J39" i="165"/>
  <c r="I39" i="165"/>
  <c r="H39" i="165"/>
  <c r="G39" i="165"/>
  <c r="F39" i="165"/>
  <c r="E39" i="165"/>
  <c r="D39" i="165"/>
  <c r="C39" i="165"/>
  <c r="AG38" i="165"/>
  <c r="AA38" i="165"/>
  <c r="J38" i="165"/>
  <c r="I38" i="165"/>
  <c r="H38" i="165"/>
  <c r="G38" i="165"/>
  <c r="F38" i="165"/>
  <c r="E38" i="165"/>
  <c r="D38" i="165"/>
  <c r="C38" i="165"/>
  <c r="AX37" i="165"/>
  <c r="AW37" i="165"/>
  <c r="AU37" i="165"/>
  <c r="AT37" i="165"/>
  <c r="AS37" i="165"/>
  <c r="AR37" i="165"/>
  <c r="AQ37" i="165"/>
  <c r="AA37" i="165"/>
  <c r="J37" i="165"/>
  <c r="I37" i="165"/>
  <c r="H37" i="165"/>
  <c r="G37" i="165"/>
  <c r="F37" i="165"/>
  <c r="E37" i="165"/>
  <c r="D37" i="165"/>
  <c r="C37" i="165"/>
  <c r="AY36" i="165"/>
  <c r="AX36" i="165"/>
  <c r="AW36" i="165"/>
  <c r="AV36" i="165"/>
  <c r="AU36" i="165"/>
  <c r="AT36" i="165"/>
  <c r="AS36" i="165"/>
  <c r="AY35" i="165"/>
  <c r="AX35" i="165"/>
  <c r="AW35" i="165"/>
  <c r="AV35" i="165"/>
  <c r="AU35" i="165"/>
  <c r="AT35" i="165"/>
  <c r="AS35" i="165"/>
  <c r="AY34" i="165"/>
  <c r="AX34" i="165"/>
  <c r="AW34" i="165"/>
  <c r="AV34" i="165"/>
  <c r="AU34" i="165"/>
  <c r="AT34" i="165"/>
  <c r="AS34" i="165"/>
  <c r="L34" i="165"/>
  <c r="AY33" i="165"/>
  <c r="AX33" i="165"/>
  <c r="AW33" i="165"/>
  <c r="AV33" i="165"/>
  <c r="AU33" i="165"/>
  <c r="AT33" i="165"/>
  <c r="AS33" i="165"/>
  <c r="AY32" i="165"/>
  <c r="AX32" i="165"/>
  <c r="AW32" i="165"/>
  <c r="AV32" i="165"/>
  <c r="AU32" i="165"/>
  <c r="AT32" i="165"/>
  <c r="AS32" i="165"/>
  <c r="AG32" i="165"/>
  <c r="AF32" i="165"/>
  <c r="AE32" i="165"/>
  <c r="AD32" i="165"/>
  <c r="AC32" i="165"/>
  <c r="AB32" i="165"/>
  <c r="AA32" i="165"/>
  <c r="Z32" i="165"/>
  <c r="Y32" i="165"/>
  <c r="X32" i="165"/>
  <c r="W32" i="165"/>
  <c r="V32" i="165"/>
  <c r="U32" i="165"/>
  <c r="T32" i="165"/>
  <c r="R32" i="165"/>
  <c r="Q32" i="165"/>
  <c r="N32" i="165"/>
  <c r="M32" i="165"/>
  <c r="L32" i="165"/>
  <c r="K32" i="165"/>
  <c r="AY31" i="165"/>
  <c r="AX31" i="165"/>
  <c r="AW31" i="165"/>
  <c r="AV31" i="165"/>
  <c r="AU31" i="165"/>
  <c r="AT31" i="165"/>
  <c r="AS31" i="165"/>
  <c r="AG31" i="165"/>
  <c r="AF31" i="165"/>
  <c r="R31" i="165"/>
  <c r="Q31" i="165"/>
  <c r="J31" i="165"/>
  <c r="I31" i="165"/>
  <c r="H31" i="165"/>
  <c r="G31" i="165"/>
  <c r="F31" i="165"/>
  <c r="E31" i="165"/>
  <c r="D31" i="165"/>
  <c r="AG29" i="165"/>
  <c r="AF29" i="165"/>
  <c r="H29" i="165"/>
  <c r="G29" i="165"/>
  <c r="AG28" i="165"/>
  <c r="AF28" i="165"/>
  <c r="H28" i="165"/>
  <c r="G28" i="165"/>
  <c r="AM27" i="165"/>
  <c r="AL27" i="165"/>
  <c r="AJ27" i="165"/>
  <c r="AI27" i="165"/>
  <c r="AG27" i="165"/>
  <c r="AF27" i="165"/>
  <c r="R27" i="165"/>
  <c r="Q27" i="165"/>
  <c r="AM26" i="165"/>
  <c r="AL26" i="165"/>
  <c r="AJ26" i="165"/>
  <c r="AI26" i="165"/>
  <c r="AG26" i="165"/>
  <c r="AF26" i="165"/>
  <c r="AD26" i="165"/>
  <c r="R26" i="165"/>
  <c r="Q26" i="165"/>
  <c r="AM25" i="165"/>
  <c r="AL25" i="165"/>
  <c r="AJ25" i="165"/>
  <c r="AI25" i="165"/>
  <c r="AG25" i="165"/>
  <c r="AF25" i="165"/>
  <c r="R25" i="165"/>
  <c r="Q25" i="165"/>
  <c r="AZ23" i="165"/>
  <c r="AY23" i="165"/>
  <c r="AW23" i="165"/>
  <c r="AV23" i="165"/>
  <c r="AU23" i="165"/>
  <c r="AT23" i="165"/>
  <c r="AS23" i="165"/>
  <c r="AM23" i="165"/>
  <c r="AL23" i="165"/>
  <c r="AJ23" i="165"/>
  <c r="AI23" i="165"/>
  <c r="AG23" i="165"/>
  <c r="AF23" i="165"/>
  <c r="R23" i="165"/>
  <c r="Q23" i="165"/>
  <c r="AY22" i="165"/>
  <c r="AX22" i="165"/>
  <c r="AW22" i="165"/>
  <c r="AV22" i="165"/>
  <c r="AU22" i="165"/>
  <c r="AT22" i="165"/>
  <c r="AS22" i="165"/>
  <c r="AM22" i="165"/>
  <c r="AL22" i="165"/>
  <c r="AJ22" i="165"/>
  <c r="AI22" i="165"/>
  <c r="AG22" i="165"/>
  <c r="AF22" i="165"/>
  <c r="AD22" i="165"/>
  <c r="R22" i="165"/>
  <c r="Q22" i="165"/>
  <c r="AY21" i="165"/>
  <c r="AX21" i="165"/>
  <c r="AW21" i="165"/>
  <c r="AV21" i="165"/>
  <c r="AU21" i="165"/>
  <c r="AT21" i="165"/>
  <c r="AS21" i="165"/>
  <c r="AM21" i="165"/>
  <c r="AL21" i="165"/>
  <c r="AJ21" i="165"/>
  <c r="AI21" i="165"/>
  <c r="AG21" i="165"/>
  <c r="AF21" i="165"/>
  <c r="AD21" i="165"/>
  <c r="R21" i="165"/>
  <c r="Q21" i="165"/>
  <c r="AY20" i="165"/>
  <c r="AX20" i="165"/>
  <c r="AW20" i="165"/>
  <c r="AV20" i="165"/>
  <c r="AU20" i="165"/>
  <c r="AT20" i="165"/>
  <c r="AS20" i="165"/>
  <c r="AM20" i="165"/>
  <c r="AL20" i="165"/>
  <c r="AJ20" i="165"/>
  <c r="AI20" i="165"/>
  <c r="AG20" i="165"/>
  <c r="AF20" i="165"/>
  <c r="R20" i="165"/>
  <c r="Q20" i="165"/>
  <c r="AY19" i="165"/>
  <c r="AX19" i="165"/>
  <c r="AW19" i="165"/>
  <c r="AV19" i="165"/>
  <c r="AU19" i="165"/>
  <c r="AT19" i="165"/>
  <c r="AS19" i="165"/>
  <c r="AY18" i="165"/>
  <c r="AX18" i="165"/>
  <c r="AW18" i="165"/>
  <c r="AV18" i="165"/>
  <c r="AU18" i="165"/>
  <c r="AT18" i="165"/>
  <c r="AS18" i="165"/>
  <c r="AP18" i="165"/>
  <c r="AO18" i="165"/>
  <c r="AM18" i="165"/>
  <c r="AL18" i="165"/>
  <c r="AJ18" i="165"/>
  <c r="AI18" i="165"/>
  <c r="AG18" i="165"/>
  <c r="AF18" i="165"/>
  <c r="R18" i="165"/>
  <c r="Q18" i="165"/>
  <c r="AY17" i="165"/>
  <c r="AX17" i="165"/>
  <c r="AW17" i="165"/>
  <c r="AV17" i="165"/>
  <c r="AU17" i="165"/>
  <c r="AT17" i="165"/>
  <c r="AS17" i="165"/>
  <c r="AM17" i="165"/>
  <c r="AL17" i="165"/>
  <c r="AJ17" i="165"/>
  <c r="AI17" i="165"/>
  <c r="AG17" i="165"/>
  <c r="AF17" i="165"/>
  <c r="R17" i="165"/>
  <c r="Q17" i="165"/>
  <c r="AG16" i="165"/>
  <c r="AF16" i="165"/>
  <c r="G16" i="165"/>
  <c r="Q16" i="165" s="1"/>
  <c r="AI16" i="165" s="1"/>
  <c r="AJ16" i="165" s="1"/>
  <c r="AM15" i="165"/>
  <c r="AL15" i="165"/>
  <c r="AJ15" i="165"/>
  <c r="AI15" i="165"/>
  <c r="AG15" i="165"/>
  <c r="AF15" i="165"/>
  <c r="R15" i="165"/>
  <c r="Q15" i="165"/>
  <c r="AM14" i="165"/>
  <c r="AL14" i="165"/>
  <c r="AJ14" i="165"/>
  <c r="AI14" i="165"/>
  <c r="AG14" i="165"/>
  <c r="AF14" i="165"/>
  <c r="R14" i="165"/>
  <c r="Q14" i="165"/>
  <c r="AM13" i="165"/>
  <c r="AL13" i="165"/>
  <c r="AJ13" i="165"/>
  <c r="AI13" i="165"/>
  <c r="AG13" i="165"/>
  <c r="AF13" i="165"/>
  <c r="R13" i="165"/>
  <c r="Q13" i="165"/>
  <c r="AO12" i="165"/>
  <c r="AM12" i="165"/>
  <c r="AL12" i="165"/>
  <c r="AJ12" i="165"/>
  <c r="AI12" i="165"/>
  <c r="AG12" i="165"/>
  <c r="AF12" i="165"/>
  <c r="R12" i="165"/>
  <c r="Q12" i="165"/>
  <c r="AZ11" i="165"/>
  <c r="AY11" i="165"/>
  <c r="AW11" i="165"/>
  <c r="AV11" i="165"/>
  <c r="AU11" i="165"/>
  <c r="AT11" i="165"/>
  <c r="AS11" i="165"/>
  <c r="AY10" i="165"/>
  <c r="AX10" i="165"/>
  <c r="AW10" i="165"/>
  <c r="AV10" i="165"/>
  <c r="AU10" i="165"/>
  <c r="AT10" i="165"/>
  <c r="AS10" i="165"/>
  <c r="AM10" i="165"/>
  <c r="AL10" i="165"/>
  <c r="AJ10" i="165"/>
  <c r="AI10" i="165"/>
  <c r="AG10" i="165"/>
  <c r="AF10" i="165"/>
  <c r="R10" i="165"/>
  <c r="Q10" i="165"/>
  <c r="AY9" i="165"/>
  <c r="AX9" i="165"/>
  <c r="AW9" i="165"/>
  <c r="AV9" i="165"/>
  <c r="AU9" i="165"/>
  <c r="AT9" i="165"/>
  <c r="AS9" i="165"/>
  <c r="AM9" i="165"/>
  <c r="AL9" i="165"/>
  <c r="AJ9" i="165"/>
  <c r="AI9" i="165"/>
  <c r="AG9" i="165"/>
  <c r="AF9" i="165"/>
  <c r="R9" i="165"/>
  <c r="Q9" i="165"/>
  <c r="AY8" i="165"/>
  <c r="AX8" i="165"/>
  <c r="AW8" i="165"/>
  <c r="AV8" i="165"/>
  <c r="AU8" i="165"/>
  <c r="AT8" i="165"/>
  <c r="AS8" i="165"/>
  <c r="AO8" i="165"/>
  <c r="AM8" i="165"/>
  <c r="AL8" i="165"/>
  <c r="AJ8" i="165"/>
  <c r="AI8" i="165"/>
  <c r="AG8" i="165"/>
  <c r="AF8" i="165"/>
  <c r="R8" i="165"/>
  <c r="Q8" i="165"/>
  <c r="AY7" i="165"/>
  <c r="AX7" i="165"/>
  <c r="AW7" i="165"/>
  <c r="AV7" i="165"/>
  <c r="AU7" i="165"/>
  <c r="AT7" i="165"/>
  <c r="AS7" i="165"/>
  <c r="AM7" i="165"/>
  <c r="AL7" i="165"/>
  <c r="AJ7" i="165"/>
  <c r="AI7" i="165"/>
  <c r="AG7" i="165"/>
  <c r="AF7" i="165"/>
  <c r="R7" i="165"/>
  <c r="Q7" i="165"/>
  <c r="AY6" i="165"/>
  <c r="AX6" i="165"/>
  <c r="AW6" i="165"/>
  <c r="AV6" i="165"/>
  <c r="AU6" i="165"/>
  <c r="AT6" i="165"/>
  <c r="AS6" i="165"/>
  <c r="AY4" i="165"/>
  <c r="AX4" i="165"/>
  <c r="AW4" i="165"/>
  <c r="AV4" i="165"/>
  <c r="AU4" i="165"/>
  <c r="AT4" i="165"/>
  <c r="AS4" i="165"/>
  <c r="AG4" i="165"/>
  <c r="AF4" i="165"/>
  <c r="Y4" i="165"/>
  <c r="X4" i="165"/>
  <c r="W4" i="165"/>
  <c r="V4" i="165"/>
  <c r="U4" i="165"/>
  <c r="T4" i="165"/>
  <c r="R4" i="165"/>
  <c r="Q4" i="165"/>
  <c r="I4" i="165"/>
  <c r="H4" i="165"/>
  <c r="G4" i="165"/>
  <c r="F4" i="165"/>
  <c r="E4" i="165"/>
  <c r="D4" i="165"/>
  <c r="AG3" i="165"/>
  <c r="AF3" i="165"/>
  <c r="Y3" i="165"/>
  <c r="X3" i="165"/>
  <c r="W3" i="165"/>
  <c r="V3" i="165"/>
  <c r="U3" i="165"/>
  <c r="T3" i="165"/>
  <c r="R3" i="165"/>
  <c r="Q3" i="165"/>
  <c r="I3" i="165"/>
  <c r="H3" i="165"/>
  <c r="G3" i="165"/>
  <c r="F3" i="165"/>
  <c r="E3" i="165"/>
  <c r="D3" i="165"/>
  <c r="AG2" i="165"/>
  <c r="AF2" i="165"/>
  <c r="R2" i="165"/>
  <c r="Q2" i="165"/>
  <c r="Y199" i="32"/>
  <c r="Y198" i="32"/>
  <c r="Y196" i="32"/>
  <c r="Y192" i="32"/>
  <c r="Y191" i="32"/>
  <c r="Y189" i="32"/>
  <c r="Y188" i="32"/>
  <c r="Y187" i="32"/>
  <c r="Y186" i="32"/>
  <c r="Q186" i="32"/>
  <c r="Y184" i="32"/>
  <c r="R183" i="32"/>
  <c r="Y182" i="32"/>
  <c r="T182" i="32"/>
  <c r="S182" i="32"/>
  <c r="R182" i="32"/>
  <c r="Q182" i="32"/>
  <c r="Y181" i="32"/>
  <c r="Y180" i="32"/>
  <c r="AA179" i="32"/>
  <c r="Z179" i="32"/>
  <c r="Y179" i="32"/>
  <c r="X179" i="32"/>
  <c r="Y176" i="32"/>
  <c r="Y175" i="32"/>
  <c r="Y174" i="32"/>
  <c r="Q174" i="32"/>
  <c r="Y171" i="32"/>
  <c r="Y170" i="32"/>
  <c r="Y168" i="32"/>
  <c r="AA167" i="32"/>
  <c r="Z167" i="32"/>
  <c r="Y167" i="32"/>
  <c r="X167" i="32"/>
  <c r="V165" i="32"/>
  <c r="P165" i="32"/>
  <c r="Y161" i="32"/>
  <c r="R161" i="32"/>
  <c r="K161" i="32"/>
  <c r="D161" i="32"/>
  <c r="Y160" i="32"/>
  <c r="R160" i="32"/>
  <c r="K160" i="32"/>
  <c r="D160" i="32"/>
  <c r="Y158" i="32"/>
  <c r="R158" i="32"/>
  <c r="K158" i="32"/>
  <c r="D158" i="32"/>
  <c r="Y157" i="32"/>
  <c r="K157" i="32"/>
  <c r="Y156" i="32"/>
  <c r="K156" i="32"/>
  <c r="Y155" i="32"/>
  <c r="K155" i="32"/>
  <c r="Y154" i="32"/>
  <c r="R154" i="32"/>
  <c r="K154" i="32"/>
  <c r="D154" i="32"/>
  <c r="Y153" i="32"/>
  <c r="R153" i="32"/>
  <c r="K153" i="32"/>
  <c r="D153" i="32"/>
  <c r="Y151" i="32"/>
  <c r="R151" i="32"/>
  <c r="K151" i="32"/>
  <c r="D151" i="32"/>
  <c r="Y150" i="32"/>
  <c r="R150" i="32"/>
  <c r="K150" i="32"/>
  <c r="D150" i="32"/>
  <c r="Y149" i="32"/>
  <c r="R149" i="32"/>
  <c r="K149" i="32"/>
  <c r="D149" i="32"/>
  <c r="Y148" i="32"/>
  <c r="R148" i="32"/>
  <c r="K148" i="32"/>
  <c r="D148" i="32"/>
  <c r="Y146" i="32"/>
  <c r="R146" i="32"/>
  <c r="K146" i="32"/>
  <c r="D146" i="32"/>
  <c r="Y145" i="32"/>
  <c r="R145" i="32"/>
  <c r="S145" i="32" s="1"/>
  <c r="T145" i="32" s="1"/>
  <c r="Q145" i="32"/>
  <c r="K145" i="32"/>
  <c r="D145" i="32"/>
  <c r="Y144" i="32"/>
  <c r="R144" i="32"/>
  <c r="K144" i="32"/>
  <c r="D144" i="32"/>
  <c r="Y143" i="32"/>
  <c r="R143" i="32"/>
  <c r="K143" i="32"/>
  <c r="D143" i="32"/>
  <c r="Y142" i="32"/>
  <c r="R142" i="32"/>
  <c r="K142" i="32"/>
  <c r="D142" i="32"/>
  <c r="AA141" i="32"/>
  <c r="Z141" i="32"/>
  <c r="Y141" i="32"/>
  <c r="X141" i="32"/>
  <c r="T141" i="32"/>
  <c r="S141" i="32"/>
  <c r="R141" i="32"/>
  <c r="Q141" i="32"/>
  <c r="K141" i="32"/>
  <c r="D141" i="32"/>
  <c r="Y138" i="32"/>
  <c r="R138" i="32"/>
  <c r="K138" i="32"/>
  <c r="D138" i="32"/>
  <c r="Y137" i="32"/>
  <c r="R137" i="32"/>
  <c r="K137" i="32"/>
  <c r="D137" i="32"/>
  <c r="Y136" i="32"/>
  <c r="T136" i="32"/>
  <c r="S136" i="32"/>
  <c r="R136" i="32"/>
  <c r="Q136" i="32"/>
  <c r="K136" i="32"/>
  <c r="D136" i="32"/>
  <c r="Y133" i="32"/>
  <c r="R133" i="32"/>
  <c r="K133" i="32"/>
  <c r="D133" i="32"/>
  <c r="Y132" i="32"/>
  <c r="R132" i="32"/>
  <c r="K132" i="32"/>
  <c r="D132" i="32"/>
  <c r="Y130" i="32"/>
  <c r="R130" i="32"/>
  <c r="K130" i="32"/>
  <c r="D130" i="32"/>
  <c r="AA129" i="32"/>
  <c r="Z129" i="32"/>
  <c r="Y129" i="32"/>
  <c r="T129" i="32"/>
  <c r="S129" i="32"/>
  <c r="R129" i="32"/>
  <c r="M129" i="32"/>
  <c r="L129" i="32"/>
  <c r="K129" i="32"/>
  <c r="F129" i="32"/>
  <c r="E129" i="32"/>
  <c r="D129" i="32"/>
  <c r="V127" i="32"/>
  <c r="O127" i="32"/>
  <c r="H127" i="32"/>
  <c r="AA123" i="32"/>
  <c r="Z123" i="32"/>
  <c r="Y123" i="32"/>
  <c r="X123" i="32"/>
  <c r="T123" i="32"/>
  <c r="S123" i="32"/>
  <c r="R123" i="32"/>
  <c r="M123" i="32"/>
  <c r="L123" i="32"/>
  <c r="J123" i="32"/>
  <c r="F123" i="32"/>
  <c r="E123" i="32"/>
  <c r="AA122" i="32"/>
  <c r="Z122" i="32"/>
  <c r="Y122" i="32"/>
  <c r="X122" i="32"/>
  <c r="T122" i="32"/>
  <c r="S122" i="32"/>
  <c r="R122" i="32"/>
  <c r="M122" i="32"/>
  <c r="L122" i="32"/>
  <c r="K122" i="32"/>
  <c r="J122" i="32"/>
  <c r="F122" i="32"/>
  <c r="E122" i="32"/>
  <c r="D122" i="32"/>
  <c r="AA120" i="32"/>
  <c r="Z120" i="32"/>
  <c r="Y120" i="32"/>
  <c r="X120" i="32"/>
  <c r="T120" i="32"/>
  <c r="S120" i="32"/>
  <c r="R120" i="32"/>
  <c r="M120" i="32"/>
  <c r="L120" i="32"/>
  <c r="J120" i="32"/>
  <c r="F120" i="32"/>
  <c r="E120" i="32"/>
  <c r="K119" i="32"/>
  <c r="Y119" i="32" s="1"/>
  <c r="K118" i="32"/>
  <c r="Y118" i="32" s="1"/>
  <c r="K117" i="32"/>
  <c r="Y117" i="32" s="1"/>
  <c r="D117" i="32"/>
  <c r="R117" i="32" s="1"/>
  <c r="E101" i="117" s="1"/>
  <c r="Y115" i="32"/>
  <c r="K115" i="32"/>
  <c r="D115" i="32"/>
  <c r="R115" i="32" s="1"/>
  <c r="E99" i="117" s="1"/>
  <c r="D114" i="32"/>
  <c r="R114" i="32" s="1"/>
  <c r="AA112" i="32"/>
  <c r="Z112" i="32"/>
  <c r="Y112" i="32"/>
  <c r="X112" i="32"/>
  <c r="T112" i="32"/>
  <c r="S112" i="32"/>
  <c r="R112" i="32"/>
  <c r="M112" i="32"/>
  <c r="L112" i="32"/>
  <c r="K112" i="32"/>
  <c r="J112" i="32"/>
  <c r="F112" i="32"/>
  <c r="E112" i="32"/>
  <c r="K110" i="32"/>
  <c r="Y110" i="32" s="1"/>
  <c r="D110" i="32"/>
  <c r="R110" i="32" s="1"/>
  <c r="E94" i="117" s="1"/>
  <c r="D109" i="32"/>
  <c r="R109" i="32" s="1"/>
  <c r="K108" i="32"/>
  <c r="Y108" i="32" s="1"/>
  <c r="X107" i="32"/>
  <c r="Q107" i="32"/>
  <c r="D107" i="32"/>
  <c r="R107" i="32" s="1"/>
  <c r="K105" i="32"/>
  <c r="Y105" i="32" s="1"/>
  <c r="R104" i="32"/>
  <c r="K104" i="32"/>
  <c r="Y104" i="32" s="1"/>
  <c r="D104" i="32"/>
  <c r="X103" i="32"/>
  <c r="T103" i="32"/>
  <c r="S103" i="32"/>
  <c r="R103" i="32"/>
  <c r="Q103" i="32"/>
  <c r="D103" i="32"/>
  <c r="D98" i="32"/>
  <c r="R98" i="32" s="1"/>
  <c r="E83" i="117" s="1"/>
  <c r="D95" i="32"/>
  <c r="R95" i="32" s="1"/>
  <c r="E81" i="117" s="1"/>
  <c r="Y94" i="32"/>
  <c r="K94" i="32"/>
  <c r="D94" i="32"/>
  <c r="AM87" i="32"/>
  <c r="AL87" i="32"/>
  <c r="AL80" i="32"/>
  <c r="AL71" i="32"/>
  <c r="AM68" i="32"/>
  <c r="AO67" i="32"/>
  <c r="AN67" i="32"/>
  <c r="AM67" i="32"/>
  <c r="AL67" i="32"/>
  <c r="AF67" i="32"/>
  <c r="M63" i="32"/>
  <c r="R62" i="32"/>
  <c r="D62" i="32"/>
  <c r="R61" i="32"/>
  <c r="D61" i="32"/>
  <c r="R60" i="32"/>
  <c r="D60" i="32"/>
  <c r="M59" i="32"/>
  <c r="R57" i="32"/>
  <c r="D57" i="32"/>
  <c r="R56" i="32"/>
  <c r="D56" i="32"/>
  <c r="Y54" i="32"/>
  <c r="R54" i="32"/>
  <c r="K54" i="32"/>
  <c r="D54" i="32"/>
  <c r="R53" i="32"/>
  <c r="D53" i="32"/>
  <c r="K47" i="32"/>
  <c r="K85" i="32" s="1"/>
  <c r="Y85" i="32" s="1"/>
  <c r="J47" i="32"/>
  <c r="D47" i="32"/>
  <c r="D85" i="32" s="1"/>
  <c r="R85" i="32" s="1"/>
  <c r="E71" i="117" s="1"/>
  <c r="H36" i="144" s="1"/>
  <c r="M36" i="144" s="1"/>
  <c r="K46" i="32"/>
  <c r="J46" i="32"/>
  <c r="D46" i="32"/>
  <c r="K44" i="32"/>
  <c r="D109" i="144" s="1"/>
  <c r="I109" i="144" s="1"/>
  <c r="J44" i="32"/>
  <c r="L44" i="32" s="1"/>
  <c r="M44" i="32" s="1"/>
  <c r="D44" i="32"/>
  <c r="D33" i="144" s="1"/>
  <c r="I33" i="144" s="1"/>
  <c r="C44" i="32"/>
  <c r="E32" i="117" s="1"/>
  <c r="K43" i="32"/>
  <c r="D108" i="144" s="1"/>
  <c r="I108" i="144" s="1"/>
  <c r="D43" i="32"/>
  <c r="K42" i="32"/>
  <c r="D107" i="144" s="1"/>
  <c r="I107" i="144" s="1"/>
  <c r="D42" i="32"/>
  <c r="E53" i="100" s="1"/>
  <c r="K41" i="32"/>
  <c r="D41" i="32"/>
  <c r="K40" i="32"/>
  <c r="D105" i="144" s="1"/>
  <c r="I105" i="144" s="1"/>
  <c r="D40" i="32"/>
  <c r="K39" i="32"/>
  <c r="D39" i="32"/>
  <c r="K37" i="32"/>
  <c r="D102" i="144" s="1"/>
  <c r="I102" i="144" s="1"/>
  <c r="BE36" i="32"/>
  <c r="AV36" i="32"/>
  <c r="AK36" i="32"/>
  <c r="K36" i="32"/>
  <c r="D101" i="144" s="1"/>
  <c r="I101" i="144" s="1"/>
  <c r="D36" i="32"/>
  <c r="D25" i="144" s="1"/>
  <c r="I25" i="144" s="1"/>
  <c r="BK35" i="32"/>
  <c r="K35" i="32"/>
  <c r="D35" i="32"/>
  <c r="D24" i="144" s="1"/>
  <c r="I24" i="144" s="1"/>
  <c r="K34" i="32"/>
  <c r="D99" i="144" s="1"/>
  <c r="I99" i="144" s="1"/>
  <c r="D34" i="32"/>
  <c r="E45" i="100" s="1"/>
  <c r="E178" i="100" s="1"/>
  <c r="J168" i="100" s="1"/>
  <c r="D33" i="32"/>
  <c r="D19" i="144" s="1"/>
  <c r="I19" i="144" s="1"/>
  <c r="K32" i="32"/>
  <c r="D97" i="144" s="1"/>
  <c r="I97" i="144" s="1"/>
  <c r="D32" i="32"/>
  <c r="D70" i="32" s="1"/>
  <c r="R70" i="32" s="1"/>
  <c r="E56" i="117" s="1"/>
  <c r="H21" i="144" s="1"/>
  <c r="M21" i="144" s="1"/>
  <c r="D31" i="32"/>
  <c r="D20" i="144" s="1"/>
  <c r="I20" i="144" s="1"/>
  <c r="K30" i="32"/>
  <c r="D30" i="32"/>
  <c r="D18" i="144" s="1"/>
  <c r="I18" i="144" s="1"/>
  <c r="K27" i="32"/>
  <c r="D91" i="144" s="1"/>
  <c r="I91" i="144" s="1"/>
  <c r="D27" i="32"/>
  <c r="Y26" i="32"/>
  <c r="R26" i="32"/>
  <c r="Q26" i="32"/>
  <c r="Q65" i="32" s="1"/>
  <c r="X65" i="32" s="1"/>
  <c r="K26" i="32"/>
  <c r="K65" i="32" s="1"/>
  <c r="Y65" i="32" s="1"/>
  <c r="D26" i="32"/>
  <c r="D65" i="32" s="1"/>
  <c r="R65" i="32" s="1"/>
  <c r="E51" i="117" s="1"/>
  <c r="C26" i="32"/>
  <c r="Y24" i="32"/>
  <c r="R24" i="32"/>
  <c r="Y23" i="32"/>
  <c r="Y22" i="32"/>
  <c r="R22" i="32"/>
  <c r="Q22" i="32"/>
  <c r="AD21" i="32"/>
  <c r="Y21" i="32"/>
  <c r="J20" i="32"/>
  <c r="D20" i="32"/>
  <c r="K19" i="32"/>
  <c r="L19" i="32" s="1"/>
  <c r="M19" i="32" s="1"/>
  <c r="D19" i="32"/>
  <c r="K18" i="32"/>
  <c r="D85" i="144" s="1"/>
  <c r="I85" i="144" s="1"/>
  <c r="D18" i="32"/>
  <c r="D15" i="32"/>
  <c r="K14" i="32"/>
  <c r="D14" i="32"/>
  <c r="BK13" i="32"/>
  <c r="BG13" i="32"/>
  <c r="BF13" i="32"/>
  <c r="BM12" i="32"/>
  <c r="BL12" i="32"/>
  <c r="BG12" i="32"/>
  <c r="BF12" i="32"/>
  <c r="BB12" i="32"/>
  <c r="AX12" i="32"/>
  <c r="AW12" i="32"/>
  <c r="AR12" i="32"/>
  <c r="AQ12" i="32"/>
  <c r="AO12" i="32"/>
  <c r="AN12" i="32"/>
  <c r="AM12" i="32"/>
  <c r="AL12" i="32"/>
  <c r="AH12" i="32"/>
  <c r="Y12" i="32"/>
  <c r="M12" i="32"/>
  <c r="L12" i="32"/>
  <c r="J12" i="32"/>
  <c r="F12" i="32"/>
  <c r="E12" i="32"/>
  <c r="D12" i="32"/>
  <c r="BG11" i="32"/>
  <c r="BF11" i="32"/>
  <c r="BB11" i="32"/>
  <c r="BA11" i="32"/>
  <c r="AZ11" i="32"/>
  <c r="AY11" i="32"/>
  <c r="AX11" i="32"/>
  <c r="AW11" i="32"/>
  <c r="AR11" i="32"/>
  <c r="AO11" i="32"/>
  <c r="AN11" i="32"/>
  <c r="AM11" i="32"/>
  <c r="AL11" i="32"/>
  <c r="AH11" i="32"/>
  <c r="AG11" i="32"/>
  <c r="AF11" i="32"/>
  <c r="AE11" i="32"/>
  <c r="AD11" i="32"/>
  <c r="K11" i="32"/>
  <c r="J11" i="32"/>
  <c r="D11" i="32"/>
  <c r="C11" i="32"/>
  <c r="E11" i="32" s="1"/>
  <c r="F11" i="32" s="1"/>
  <c r="BG10" i="32"/>
  <c r="BF10" i="32"/>
  <c r="AZ10" i="32"/>
  <c r="AY10" i="32"/>
  <c r="AX10" i="32"/>
  <c r="AW10" i="32"/>
  <c r="AR10" i="32"/>
  <c r="AO10" i="32"/>
  <c r="AN10" i="32"/>
  <c r="AM10" i="32"/>
  <c r="AL10" i="32"/>
  <c r="AF10" i="32"/>
  <c r="AE10" i="32"/>
  <c r="AD10" i="32"/>
  <c r="BG9" i="32"/>
  <c r="BF9" i="32"/>
  <c r="AY9" i="32"/>
  <c r="AX9" i="32"/>
  <c r="AW9" i="32"/>
  <c r="AN9" i="32"/>
  <c r="AM9" i="32"/>
  <c r="AL9" i="32"/>
  <c r="AE9" i="32"/>
  <c r="AD9" i="32"/>
  <c r="BG8" i="32"/>
  <c r="BF8" i="32"/>
  <c r="AX8" i="32"/>
  <c r="AW8" i="32"/>
  <c r="AM8" i="32"/>
  <c r="AL8" i="32"/>
  <c r="AD8" i="32"/>
  <c r="BF7" i="32"/>
  <c r="AW7" i="32"/>
  <c r="AL7" i="32"/>
  <c r="F6" i="32"/>
  <c r="BE5" i="32"/>
  <c r="AV5" i="32"/>
  <c r="AK5" i="32"/>
  <c r="Y5" i="32"/>
  <c r="Y3" i="32"/>
  <c r="C3" i="32"/>
  <c r="C2" i="32"/>
  <c r="W51" i="32" s="1"/>
  <c r="AS40" i="34"/>
  <c r="J23" i="18" l="1"/>
  <c r="H23" i="18" s="1"/>
  <c r="AO23" i="18"/>
  <c r="AQ23" i="18" s="1"/>
  <c r="AR23" i="18" s="1"/>
  <c r="AV23" i="18"/>
  <c r="AP23" i="18"/>
  <c r="R23" i="18"/>
  <c r="AU23" i="18"/>
  <c r="AM23" i="18"/>
  <c r="AD23" i="18"/>
  <c r="V23" i="18"/>
  <c r="F23" i="18"/>
  <c r="BV23" i="18" s="1"/>
  <c r="AL23" i="18"/>
  <c r="AN23" i="18" s="1"/>
  <c r="AC23" i="18"/>
  <c r="M23" i="18"/>
  <c r="E23" i="18"/>
  <c r="T23" i="18"/>
  <c r="D23" i="18"/>
  <c r="AA23" i="18"/>
  <c r="S23" i="18"/>
  <c r="U23" i="18" s="1"/>
  <c r="K23" i="18"/>
  <c r="C23" i="18"/>
  <c r="AO22" i="18"/>
  <c r="AQ22" i="18" s="1"/>
  <c r="AR22" i="18" s="1"/>
  <c r="AD22" i="18"/>
  <c r="F22" i="18"/>
  <c r="AJ22" i="18" s="1"/>
  <c r="BV22" i="18" s="1"/>
  <c r="AM21" i="18"/>
  <c r="AF20" i="18"/>
  <c r="AO19" i="18"/>
  <c r="AQ19" i="18" s="1"/>
  <c r="AR19" i="18" s="1"/>
  <c r="AP18" i="18"/>
  <c r="R18" i="18"/>
  <c r="J18" i="18"/>
  <c r="H18" i="18" s="1"/>
  <c r="AC22" i="18"/>
  <c r="M22" i="18"/>
  <c r="E22" i="18"/>
  <c r="AL21" i="18"/>
  <c r="AN21" i="18" s="1"/>
  <c r="AD21" i="18"/>
  <c r="V21" i="18"/>
  <c r="F21" i="18"/>
  <c r="AJ21" i="18" s="1"/>
  <c r="BV21" i="18" s="1"/>
  <c r="AU20" i="18"/>
  <c r="AM20" i="18"/>
  <c r="AV19" i="18"/>
  <c r="AF19" i="18"/>
  <c r="AO18" i="18"/>
  <c r="AQ18" i="18" s="1"/>
  <c r="AR18" i="18" s="1"/>
  <c r="AL20" i="18"/>
  <c r="AN20" i="18" s="1"/>
  <c r="AD20" i="18"/>
  <c r="V20" i="18"/>
  <c r="F20" i="18"/>
  <c r="AJ20" i="18" s="1"/>
  <c r="BV20" i="18" s="1"/>
  <c r="AU19" i="18"/>
  <c r="AM19" i="18"/>
  <c r="AV18" i="18"/>
  <c r="AF18" i="18"/>
  <c r="AL22" i="18"/>
  <c r="AN22" i="18" s="1"/>
  <c r="V22" i="18"/>
  <c r="AU21" i="18"/>
  <c r="AV20" i="18"/>
  <c r="AC21" i="18"/>
  <c r="E21" i="18"/>
  <c r="AA22" i="18"/>
  <c r="S22" i="18"/>
  <c r="U22" i="18" s="1"/>
  <c r="Y22" i="18" s="1"/>
  <c r="W22" i="18" s="1"/>
  <c r="K22" i="18"/>
  <c r="C22" i="18"/>
  <c r="AG22" i="18" s="1"/>
  <c r="T21" i="18"/>
  <c r="D21" i="18"/>
  <c r="AC20" i="18"/>
  <c r="M20" i="18"/>
  <c r="E20" i="18"/>
  <c r="AL19" i="18"/>
  <c r="AN19" i="18" s="1"/>
  <c r="AD19" i="18"/>
  <c r="V19" i="18"/>
  <c r="F19" i="18"/>
  <c r="AJ19" i="18" s="1"/>
  <c r="BV19" i="18" s="1"/>
  <c r="AU18" i="18"/>
  <c r="AM18" i="18"/>
  <c r="T22" i="18"/>
  <c r="D22" i="18"/>
  <c r="M21" i="18"/>
  <c r="AP22" i="18"/>
  <c r="R22" i="18"/>
  <c r="J22" i="18"/>
  <c r="H22" i="18" s="1"/>
  <c r="AA21" i="18"/>
  <c r="S21" i="18"/>
  <c r="U21" i="18" s="1"/>
  <c r="Y21" i="18" s="1"/>
  <c r="W21" i="18" s="1"/>
  <c r="K21" i="18"/>
  <c r="C21" i="18"/>
  <c r="AG21" i="18" s="1"/>
  <c r="T20" i="18"/>
  <c r="D20" i="18"/>
  <c r="AC19" i="18"/>
  <c r="M19" i="18"/>
  <c r="E19" i="18"/>
  <c r="AL18" i="18"/>
  <c r="AN18" i="18" s="1"/>
  <c r="AD18" i="18"/>
  <c r="V18" i="18"/>
  <c r="F18" i="18"/>
  <c r="AJ18" i="18" s="1"/>
  <c r="BV18" i="18" s="1"/>
  <c r="AP21" i="18"/>
  <c r="R21" i="18"/>
  <c r="J21" i="18"/>
  <c r="H21" i="18" s="1"/>
  <c r="AA20" i="18"/>
  <c r="S20" i="18"/>
  <c r="U20" i="18" s="1"/>
  <c r="Y20" i="18" s="1"/>
  <c r="W20" i="18" s="1"/>
  <c r="K20" i="18"/>
  <c r="C20" i="18"/>
  <c r="AG20" i="18" s="1"/>
  <c r="T19" i="18"/>
  <c r="D19" i="18"/>
  <c r="AC18" i="18"/>
  <c r="M18" i="18"/>
  <c r="E18" i="18"/>
  <c r="AP20" i="18"/>
  <c r="R20" i="18"/>
  <c r="J20" i="18"/>
  <c r="H20" i="18" s="1"/>
  <c r="AA19" i="18"/>
  <c r="S19" i="18"/>
  <c r="U19" i="18" s="1"/>
  <c r="Y19" i="18" s="1"/>
  <c r="W19" i="18" s="1"/>
  <c r="K19" i="18"/>
  <c r="C19" i="18"/>
  <c r="AG19" i="18" s="1"/>
  <c r="T18" i="18"/>
  <c r="D18" i="18"/>
  <c r="AV22" i="18"/>
  <c r="AF22" i="18"/>
  <c r="AO21" i="18"/>
  <c r="AQ21" i="18" s="1"/>
  <c r="AR21" i="18" s="1"/>
  <c r="AU22" i="18"/>
  <c r="AM22" i="18"/>
  <c r="AV21" i="18"/>
  <c r="AF21" i="18"/>
  <c r="AO20" i="18"/>
  <c r="AQ20" i="18" s="1"/>
  <c r="AR20" i="18" s="1"/>
  <c r="AP19" i="18"/>
  <c r="R19" i="18"/>
  <c r="J19" i="18"/>
  <c r="H19" i="18" s="1"/>
  <c r="AA18" i="18"/>
  <c r="S18" i="18"/>
  <c r="U18" i="18" s="1"/>
  <c r="Y18" i="18" s="1"/>
  <c r="W18" i="18" s="1"/>
  <c r="K18" i="18"/>
  <c r="C18" i="18"/>
  <c r="AG18" i="18" s="1"/>
  <c r="S24" i="18"/>
  <c r="U24" i="18" s="1"/>
  <c r="Y24" i="18" s="1"/>
  <c r="W24" i="18" s="1"/>
  <c r="AA24" i="18"/>
  <c r="D24" i="18"/>
  <c r="E24" i="18"/>
  <c r="AC24" i="18"/>
  <c r="AD24" i="18"/>
  <c r="C24" i="18"/>
  <c r="T24" i="18"/>
  <c r="F24" i="18"/>
  <c r="V24" i="18"/>
  <c r="R24" i="18"/>
  <c r="Q28" i="165"/>
  <c r="AI28" i="165" s="1"/>
  <c r="AJ28" i="165" s="1"/>
  <c r="Z65" i="32"/>
  <c r="AA65" i="32" s="1"/>
  <c r="S22" i="32"/>
  <c r="T22" i="32" s="1"/>
  <c r="S26" i="32"/>
  <c r="T26" i="32" s="1"/>
  <c r="K75" i="32"/>
  <c r="E73" i="100" s="1"/>
  <c r="G102" i="144" s="1"/>
  <c r="L102" i="144" s="1"/>
  <c r="D72" i="32"/>
  <c r="R72" i="32" s="1"/>
  <c r="E58" i="117" s="1"/>
  <c r="H23" i="144" s="1"/>
  <c r="M23" i="144" s="1"/>
  <c r="D80" i="32"/>
  <c r="R80" i="32" s="1"/>
  <c r="D31" i="144"/>
  <c r="I31" i="144" s="1"/>
  <c r="K72" i="32"/>
  <c r="K80" i="32"/>
  <c r="E78" i="100" s="1"/>
  <c r="G107" i="144" s="1"/>
  <c r="L107" i="144" s="1"/>
  <c r="D36" i="144"/>
  <c r="I36" i="144" s="1"/>
  <c r="K60" i="32"/>
  <c r="E62" i="100" s="1"/>
  <c r="G85" i="144" s="1"/>
  <c r="L85" i="144" s="1"/>
  <c r="D73" i="32"/>
  <c r="R73" i="32" s="1"/>
  <c r="E59" i="117" s="1"/>
  <c r="H24" i="144" s="1"/>
  <c r="M24" i="144" s="1"/>
  <c r="D82" i="32"/>
  <c r="R82" i="32" s="1"/>
  <c r="E68" i="117" s="1"/>
  <c r="H33" i="144" s="1"/>
  <c r="M33" i="144" s="1"/>
  <c r="D112" i="144"/>
  <c r="I112" i="144" s="1"/>
  <c r="L47" i="32"/>
  <c r="M47" i="32" s="1"/>
  <c r="S65" i="32"/>
  <c r="T65" i="32" s="1"/>
  <c r="D69" i="32"/>
  <c r="R69" i="32" s="1"/>
  <c r="E55" i="117" s="1"/>
  <c r="H18" i="144" s="1"/>
  <c r="M18" i="144" s="1"/>
  <c r="D74" i="32"/>
  <c r="R74" i="32" s="1"/>
  <c r="E60" i="117" s="1"/>
  <c r="H25" i="144" s="1"/>
  <c r="M25" i="144" s="1"/>
  <c r="K82" i="32"/>
  <c r="Y82" i="32" s="1"/>
  <c r="G37" i="136"/>
  <c r="H37" i="136" s="1"/>
  <c r="K61" i="32"/>
  <c r="K74" i="32"/>
  <c r="K70" i="32"/>
  <c r="E68" i="100" s="1"/>
  <c r="J60" i="100" s="1"/>
  <c r="D94" i="144"/>
  <c r="I94" i="144" s="1"/>
  <c r="K69" i="32"/>
  <c r="D100" i="144"/>
  <c r="I100" i="144" s="1"/>
  <c r="K73" i="32"/>
  <c r="D28" i="144"/>
  <c r="I28" i="144" s="1"/>
  <c r="D77" i="32"/>
  <c r="R77" i="32" s="1"/>
  <c r="E63" i="117" s="1"/>
  <c r="H28" i="144" s="1"/>
  <c r="M28" i="144" s="1"/>
  <c r="E50" i="100"/>
  <c r="D81" i="32"/>
  <c r="R81" i="32" s="1"/>
  <c r="E67" i="117" s="1"/>
  <c r="H32" i="144" s="1"/>
  <c r="M32" i="144" s="1"/>
  <c r="D32" i="144"/>
  <c r="I32" i="144" s="1"/>
  <c r="D111" i="144"/>
  <c r="I111" i="144" s="1"/>
  <c r="K84" i="32"/>
  <c r="Y84" i="32" s="1"/>
  <c r="L46" i="32"/>
  <c r="M46" i="32" s="1"/>
  <c r="Y60" i="32"/>
  <c r="L11" i="32"/>
  <c r="M11" i="32" s="1"/>
  <c r="D104" i="144"/>
  <c r="I104" i="144" s="1"/>
  <c r="K77" i="32"/>
  <c r="Q30" i="126"/>
  <c r="E31" i="144" s="1"/>
  <c r="J31" i="144" s="1"/>
  <c r="E66" i="117"/>
  <c r="H31" i="144" s="1"/>
  <c r="M31" i="144" s="1"/>
  <c r="D79" i="144"/>
  <c r="I79" i="144" s="1"/>
  <c r="K53" i="32"/>
  <c r="D82" i="144"/>
  <c r="I82" i="144" s="1"/>
  <c r="K56" i="32"/>
  <c r="E15" i="117"/>
  <c r="J26" i="32"/>
  <c r="L26" i="32" s="1"/>
  <c r="M26" i="32" s="1"/>
  <c r="E26" i="32"/>
  <c r="F26" i="32" s="1"/>
  <c r="IH33" i="158"/>
  <c r="N29" i="177"/>
  <c r="D23" i="144"/>
  <c r="I23" i="144" s="1"/>
  <c r="G97" i="144"/>
  <c r="L97" i="144" s="1"/>
  <c r="N13" i="177"/>
  <c r="IH17" i="158"/>
  <c r="E43" i="100"/>
  <c r="D21" i="144"/>
  <c r="I21" i="144" s="1"/>
  <c r="D29" i="144"/>
  <c r="I29" i="144" s="1"/>
  <c r="E51" i="100"/>
  <c r="D78" i="32"/>
  <c r="R78" i="32" s="1"/>
  <c r="E64" i="117" s="1"/>
  <c r="H29" i="144" s="1"/>
  <c r="M29" i="144" s="1"/>
  <c r="N17" i="177"/>
  <c r="IH21" i="158"/>
  <c r="IH31" i="158"/>
  <c r="N27" i="177"/>
  <c r="IH35" i="158"/>
  <c r="N31" i="177"/>
  <c r="K20" i="32"/>
  <c r="K78" i="32"/>
  <c r="Y80" i="32"/>
  <c r="AG46" i="77"/>
  <c r="E46" i="100"/>
  <c r="N7" i="177"/>
  <c r="IH11" i="158"/>
  <c r="N15" i="177"/>
  <c r="IH19" i="158"/>
  <c r="N18" i="177"/>
  <c r="IH22" i="158"/>
  <c r="IH30" i="158"/>
  <c r="N26" i="177"/>
  <c r="E42" i="100"/>
  <c r="D87" i="144"/>
  <c r="I87" i="144" s="1"/>
  <c r="N23" i="177"/>
  <c r="IH27" i="158"/>
  <c r="Y11" i="32"/>
  <c r="D15" i="144"/>
  <c r="I15" i="144" s="1"/>
  <c r="E39" i="100"/>
  <c r="G23" i="144"/>
  <c r="L23" i="144" s="1"/>
  <c r="AG35" i="100"/>
  <c r="J35" i="100"/>
  <c r="K79" i="32"/>
  <c r="D106" i="144"/>
  <c r="I106" i="144" s="1"/>
  <c r="K81" i="32"/>
  <c r="Y81" i="32" s="1"/>
  <c r="E186" i="100"/>
  <c r="E273" i="100" s="1"/>
  <c r="E246" i="100" s="1"/>
  <c r="G31" i="144"/>
  <c r="L31" i="144" s="1"/>
  <c r="D35" i="144"/>
  <c r="I35" i="144" s="1"/>
  <c r="D84" i="32"/>
  <c r="R84" i="32" s="1"/>
  <c r="E70" i="117" s="1"/>
  <c r="H35" i="144" s="1"/>
  <c r="M35" i="144" s="1"/>
  <c r="D66" i="32"/>
  <c r="R66" i="32" s="1"/>
  <c r="E52" i="117" s="1"/>
  <c r="H15" i="144" s="1"/>
  <c r="M15" i="144" s="1"/>
  <c r="Y75" i="32"/>
  <c r="EE4" i="158"/>
  <c r="DW4" i="158"/>
  <c r="N8" i="177"/>
  <c r="IH12" i="158"/>
  <c r="N20" i="177"/>
  <c r="IH24" i="158"/>
  <c r="E265" i="100"/>
  <c r="E5" i="117"/>
  <c r="E6" i="100"/>
  <c r="R11" i="32"/>
  <c r="D30" i="144"/>
  <c r="I30" i="144" s="1"/>
  <c r="D79" i="32"/>
  <c r="R79" i="32" s="1"/>
  <c r="E52" i="100"/>
  <c r="E47" i="100"/>
  <c r="K66" i="32"/>
  <c r="Y70" i="32"/>
  <c r="N10" i="177"/>
  <c r="IH14" i="158"/>
  <c r="N16" i="177"/>
  <c r="IH20" i="158"/>
  <c r="IH32" i="158"/>
  <c r="N28" i="177"/>
  <c r="N5" i="177"/>
  <c r="IH9" i="158"/>
  <c r="N19" i="177"/>
  <c r="IH23" i="158"/>
  <c r="N11" i="177"/>
  <c r="IH15" i="158"/>
  <c r="N12" i="177"/>
  <c r="IH16" i="158"/>
  <c r="N14" i="177"/>
  <c r="IH18" i="158"/>
  <c r="N22" i="177"/>
  <c r="IH26" i="158"/>
  <c r="N25" i="177"/>
  <c r="IH29" i="158"/>
  <c r="IH34" i="158"/>
  <c r="N30" i="177"/>
  <c r="N6" i="177"/>
  <c r="IH10" i="158"/>
  <c r="N9" i="177"/>
  <c r="IH13" i="158"/>
  <c r="N24" i="177"/>
  <c r="IH28" i="158"/>
  <c r="AD47" i="22"/>
  <c r="CW25" i="177"/>
  <c r="DA25" i="177" s="1"/>
  <c r="DE25" i="177" s="1"/>
  <c r="DI25" i="177" s="1"/>
  <c r="DM25" i="177" s="1"/>
  <c r="DQ25" i="177" s="1"/>
  <c r="DU25" i="177" s="1"/>
  <c r="CF25" i="177"/>
  <c r="CJ25" i="177" s="1"/>
  <c r="CN25" i="177" s="1"/>
  <c r="CR25" i="177" s="1"/>
  <c r="CB26" i="177"/>
  <c r="B27" i="177"/>
  <c r="P21" i="150"/>
  <c r="AH18" i="111" s="1"/>
  <c r="AI18" i="111" s="1"/>
  <c r="AJ18" i="111" s="1"/>
  <c r="AM18" i="111" s="1"/>
  <c r="P23" i="150"/>
  <c r="AH20" i="111" s="1"/>
  <c r="AI20" i="111" s="1"/>
  <c r="AJ20" i="111" s="1"/>
  <c r="AM20" i="111" s="1"/>
  <c r="P25" i="150"/>
  <c r="AH22" i="111" s="1"/>
  <c r="AI22" i="111" s="1"/>
  <c r="AJ22" i="111" s="1"/>
  <c r="AM22" i="111" s="1"/>
  <c r="P27" i="150"/>
  <c r="AH24" i="111" s="1"/>
  <c r="AI24" i="111" s="1"/>
  <c r="AJ24" i="111" s="1"/>
  <c r="AM24" i="111" s="1"/>
  <c r="P29" i="150"/>
  <c r="AH26" i="111" s="1"/>
  <c r="AI26" i="111" s="1"/>
  <c r="AJ26" i="111" s="1"/>
  <c r="AM26" i="111" s="1"/>
  <c r="P35" i="150"/>
  <c r="AH32" i="111" s="1"/>
  <c r="AI32" i="111" s="1"/>
  <c r="AJ32" i="111" s="1"/>
  <c r="AM32" i="111" s="1"/>
  <c r="P32" i="150"/>
  <c r="AH29" i="111" s="1"/>
  <c r="AI29" i="111" s="1"/>
  <c r="AJ29" i="111" s="1"/>
  <c r="AM29" i="111" s="1"/>
  <c r="P28" i="150"/>
  <c r="AH25" i="111" s="1"/>
  <c r="AI25" i="111" s="1"/>
  <c r="AJ25" i="111" s="1"/>
  <c r="AM25" i="111" s="1"/>
  <c r="P31" i="150"/>
  <c r="AH28" i="111" s="1"/>
  <c r="AI28" i="111" s="1"/>
  <c r="AJ28" i="111" s="1"/>
  <c r="AM28" i="111" s="1"/>
  <c r="P34" i="150"/>
  <c r="AH31" i="111" s="1"/>
  <c r="AI31" i="111" s="1"/>
  <c r="AJ31" i="111" s="1"/>
  <c r="AM31" i="111" s="1"/>
  <c r="AY27" i="150"/>
  <c r="AB71" i="24"/>
  <c r="AB74" i="24" s="1"/>
  <c r="E55" i="147"/>
  <c r="F55" i="147" s="1"/>
  <c r="G55" i="147" s="1"/>
  <c r="H55" i="147" s="1"/>
  <c r="I55" i="147" s="1"/>
  <c r="J55" i="147" s="1"/>
  <c r="K55" i="147" s="1"/>
  <c r="AY33" i="150"/>
  <c r="P9" i="150"/>
  <c r="AH6" i="111" s="1"/>
  <c r="AI6" i="111" s="1"/>
  <c r="AJ6" i="111" s="1"/>
  <c r="AM6" i="111" s="1"/>
  <c r="AY36" i="150"/>
  <c r="E82" i="117"/>
  <c r="L177" i="100"/>
  <c r="J14" i="100"/>
  <c r="R58" i="32"/>
  <c r="CJ8" i="22"/>
  <c r="AD46" i="22" s="1"/>
  <c r="H78" i="126"/>
  <c r="D122" i="144" s="1"/>
  <c r="I122" i="144" s="1"/>
  <c r="N46" i="126"/>
  <c r="N47" i="126" s="1"/>
  <c r="CT8" i="77"/>
  <c r="AG45" i="77" s="1"/>
  <c r="EW8" i="158"/>
  <c r="D58" i="32"/>
  <c r="D55" i="32" s="1"/>
  <c r="D16" i="32"/>
  <c r="H37" i="156"/>
  <c r="Y172" i="32"/>
  <c r="Y169" i="32" s="1"/>
  <c r="Y134" i="32"/>
  <c r="Y131" i="32" s="1"/>
  <c r="R134" i="32"/>
  <c r="R131" i="32" s="1"/>
  <c r="K134" i="32"/>
  <c r="K131" i="32" s="1"/>
  <c r="D134" i="32"/>
  <c r="D131" i="32" s="1"/>
  <c r="K15" i="32"/>
  <c r="P16" i="20"/>
  <c r="P14" i="20" s="1"/>
  <c r="J16" i="20"/>
  <c r="J14" i="20" s="1"/>
  <c r="O16" i="20"/>
  <c r="O14" i="20" s="1"/>
  <c r="N16" i="20"/>
  <c r="N14" i="20" s="1"/>
  <c r="L16" i="20"/>
  <c r="L14" i="20" s="1"/>
  <c r="F16" i="20"/>
  <c r="F16" i="10" s="1"/>
  <c r="I16" i="20"/>
  <c r="Q16" i="20"/>
  <c r="Q14" i="20" s="1"/>
  <c r="M16" i="20"/>
  <c r="M14" i="20" s="1"/>
  <c r="K16" i="20"/>
  <c r="K14" i="20" s="1"/>
  <c r="D8" i="144"/>
  <c r="I8" i="144" s="1"/>
  <c r="D13" i="32"/>
  <c r="D5" i="144" s="1"/>
  <c r="I5" i="144" s="1"/>
  <c r="F40" i="10"/>
  <c r="U5" i="24"/>
  <c r="U20" i="24"/>
  <c r="T5" i="24"/>
  <c r="T20" i="24"/>
  <c r="W16" i="155" s="1"/>
  <c r="AI65" i="155" s="1"/>
  <c r="AI66" i="155" s="1"/>
  <c r="R5" i="24"/>
  <c r="W31" i="24"/>
  <c r="F44" i="10"/>
  <c r="F48" i="10"/>
  <c r="F46" i="10"/>
  <c r="F50" i="10"/>
  <c r="F45" i="10"/>
  <c r="F49" i="10"/>
  <c r="F17" i="20"/>
  <c r="F17" i="10" s="1"/>
  <c r="F32" i="20"/>
  <c r="F32" i="10" s="1"/>
  <c r="F37" i="20"/>
  <c r="F37" i="10" s="1"/>
  <c r="F41" i="20"/>
  <c r="F41" i="10" s="1"/>
  <c r="F18" i="20"/>
  <c r="F33" i="20"/>
  <c r="F33" i="10" s="1"/>
  <c r="F38" i="20"/>
  <c r="F38" i="10" s="1"/>
  <c r="F42" i="20"/>
  <c r="F42" i="10" s="1"/>
  <c r="F60" i="20"/>
  <c r="F60" i="10" s="1"/>
  <c r="F52" i="10"/>
  <c r="L68" i="126"/>
  <c r="M68" i="126" s="1"/>
  <c r="F34" i="20"/>
  <c r="F34" i="10" s="1"/>
  <c r="F39" i="20"/>
  <c r="F39" i="10" s="1"/>
  <c r="F15" i="10"/>
  <c r="F53" i="10"/>
  <c r="F64" i="20"/>
  <c r="F64" i="10" s="1"/>
  <c r="F24" i="20"/>
  <c r="F35" i="20"/>
  <c r="F35" i="10" s="1"/>
  <c r="Q29" i="165"/>
  <c r="AI29" i="165" s="1"/>
  <c r="AJ29" i="165" s="1"/>
  <c r="E58" i="147"/>
  <c r="F4" i="147"/>
  <c r="B50" i="147"/>
  <c r="E63" i="147"/>
  <c r="M63" i="147" s="1"/>
  <c r="M12" i="147" s="1"/>
  <c r="E105" i="147"/>
  <c r="Y9" i="24"/>
  <c r="R174" i="32" s="1"/>
  <c r="AD71" i="24"/>
  <c r="AE71" i="24"/>
  <c r="AE74" i="24" s="1"/>
  <c r="AO71" i="24"/>
  <c r="AO74" i="24" s="1"/>
  <c r="AP71" i="24"/>
  <c r="AP74" i="24" s="1"/>
  <c r="AC71" i="24"/>
  <c r="AC74" i="24" s="1"/>
  <c r="AR71" i="24"/>
  <c r="AR74" i="24" s="1"/>
  <c r="C11" i="158"/>
  <c r="C7" i="92" s="1"/>
  <c r="C22" i="158"/>
  <c r="C18" i="92" s="1"/>
  <c r="BI34" i="158"/>
  <c r="BJ34" i="158" s="1"/>
  <c r="GW19" i="158"/>
  <c r="BE15" i="158"/>
  <c r="BF15" i="158" s="1"/>
  <c r="GK18" i="158"/>
  <c r="GO23" i="158"/>
  <c r="GS34" i="158"/>
  <c r="GT34" i="158" s="1"/>
  <c r="BG12" i="158"/>
  <c r="BH12" i="158" s="1"/>
  <c r="C14" i="158"/>
  <c r="C10" i="92" s="1"/>
  <c r="BI26" i="158"/>
  <c r="BJ26" i="158" s="1"/>
  <c r="BE10" i="158"/>
  <c r="BF10" i="158" s="1"/>
  <c r="BI12" i="158"/>
  <c r="BJ12" i="158" s="1"/>
  <c r="BE29" i="158"/>
  <c r="BF29" i="158" s="1"/>
  <c r="GS12" i="158"/>
  <c r="GT12" i="158" s="1"/>
  <c r="BI23" i="158"/>
  <c r="BJ23" i="158" s="1"/>
  <c r="GS26" i="158"/>
  <c r="GT26" i="158" s="1"/>
  <c r="GW30" i="158"/>
  <c r="C33" i="158"/>
  <c r="C29" i="92" s="1"/>
  <c r="GS23" i="158"/>
  <c r="GT23" i="158" s="1"/>
  <c r="W32" i="158"/>
  <c r="X32" i="158" s="1"/>
  <c r="W10" i="158"/>
  <c r="X10" i="158" s="1"/>
  <c r="GW8" i="158"/>
  <c r="O59" i="28"/>
  <c r="L45" i="126"/>
  <c r="M45" i="126" s="1"/>
  <c r="I46" i="126"/>
  <c r="J46" i="126" s="1"/>
  <c r="D46" i="144"/>
  <c r="D69" i="144"/>
  <c r="L53" i="126"/>
  <c r="M53" i="126" s="1"/>
  <c r="L54" i="126"/>
  <c r="M54" i="126" s="1"/>
  <c r="L55" i="126"/>
  <c r="M55" i="126" s="1"/>
  <c r="L60" i="126"/>
  <c r="M60" i="126" s="1"/>
  <c r="L61" i="126"/>
  <c r="M61" i="126" s="1"/>
  <c r="L62" i="126"/>
  <c r="M62" i="126" s="1"/>
  <c r="L63" i="126"/>
  <c r="M63" i="126" s="1"/>
  <c r="L65" i="126"/>
  <c r="M65" i="126" s="1"/>
  <c r="L66" i="126"/>
  <c r="M66" i="126" s="1"/>
  <c r="I67" i="126"/>
  <c r="J67" i="126" s="1"/>
  <c r="V27" i="30"/>
  <c r="D50" i="144"/>
  <c r="D58" i="144"/>
  <c r="I58" i="144" s="1"/>
  <c r="V6" i="20"/>
  <c r="I46" i="144"/>
  <c r="I54" i="126"/>
  <c r="J54" i="126" s="1"/>
  <c r="L48" i="126"/>
  <c r="M48" i="126" s="1"/>
  <c r="L49" i="126"/>
  <c r="M49" i="126" s="1"/>
  <c r="L67" i="126"/>
  <c r="M67" i="126" s="1"/>
  <c r="I70" i="126"/>
  <c r="J70" i="126" s="1"/>
  <c r="I70" i="144"/>
  <c r="I47" i="126"/>
  <c r="J47" i="126" s="1"/>
  <c r="I58" i="126"/>
  <c r="J58" i="126" s="1"/>
  <c r="I71" i="144"/>
  <c r="L70" i="126"/>
  <c r="M70" i="126" s="1"/>
  <c r="Z6" i="28"/>
  <c r="AA6" i="28" s="1"/>
  <c r="BE23" i="150"/>
  <c r="BU23" i="150" s="1"/>
  <c r="BK14" i="158"/>
  <c r="BE24" i="158"/>
  <c r="BF24" i="158" s="1"/>
  <c r="BI21" i="158"/>
  <c r="BJ21" i="158" s="1"/>
  <c r="BI32" i="158"/>
  <c r="BJ32" i="158" s="1"/>
  <c r="BK17" i="158"/>
  <c r="GW28" i="158"/>
  <c r="C31" i="158"/>
  <c r="C27" i="92" s="1"/>
  <c r="GS21" i="158"/>
  <c r="GT21" i="158" s="1"/>
  <c r="GS32" i="158"/>
  <c r="GT32" i="158" s="1"/>
  <c r="R29" i="165"/>
  <c r="AL29" i="165" s="1"/>
  <c r="AM29" i="165" s="1"/>
  <c r="CI9" i="148"/>
  <c r="GO21" i="158"/>
  <c r="GO10" i="158"/>
  <c r="BE27" i="158"/>
  <c r="BF27" i="158" s="1"/>
  <c r="W30" i="158"/>
  <c r="Y30" i="158" s="1"/>
  <c r="GS10" i="158"/>
  <c r="GT10" i="158" s="1"/>
  <c r="W19" i="158"/>
  <c r="Y19" i="158" s="1"/>
  <c r="AZ33" i="148"/>
  <c r="C17" i="158"/>
  <c r="C13" i="92" s="1"/>
  <c r="BI10" i="158"/>
  <c r="BJ10" i="158" s="1"/>
  <c r="C20" i="158"/>
  <c r="C16" i="92" s="1"/>
  <c r="AZ36" i="148"/>
  <c r="U44" i="30"/>
  <c r="X13" i="158"/>
  <c r="Y13" i="158"/>
  <c r="S15" i="36"/>
  <c r="T15" i="36"/>
  <c r="CI32" i="148"/>
  <c r="Y33" i="158"/>
  <c r="X33" i="158"/>
  <c r="S13" i="36"/>
  <c r="T13" i="36"/>
  <c r="S24" i="36"/>
  <c r="T24" i="36"/>
  <c r="X24" i="158"/>
  <c r="Z24" i="158" s="1"/>
  <c r="Y24" i="158"/>
  <c r="S11" i="36"/>
  <c r="T11" i="36"/>
  <c r="Y28" i="158"/>
  <c r="X28" i="158"/>
  <c r="Z28" i="158" s="1"/>
  <c r="Y35" i="158"/>
  <c r="X35" i="158"/>
  <c r="S14" i="36"/>
  <c r="T14" i="36"/>
  <c r="S25" i="36"/>
  <c r="T25" i="36"/>
  <c r="T28" i="36"/>
  <c r="Y27" i="158"/>
  <c r="X27" i="158"/>
  <c r="X11" i="158"/>
  <c r="Z11" i="158" s="1"/>
  <c r="Y11" i="158"/>
  <c r="Y31" i="158"/>
  <c r="X31" i="158"/>
  <c r="K59" i="28"/>
  <c r="K9" i="28"/>
  <c r="J59" i="28"/>
  <c r="AU34" i="148"/>
  <c r="BF34" i="148"/>
  <c r="BX34" i="148" s="1"/>
  <c r="BZ34" i="148" s="1"/>
  <c r="GW21" i="158"/>
  <c r="AM8" i="161"/>
  <c r="K10" i="158" s="1"/>
  <c r="AU38" i="149"/>
  <c r="CI19" i="148"/>
  <c r="GW10" i="158"/>
  <c r="BK32" i="158"/>
  <c r="GW16" i="158"/>
  <c r="BK34" i="158"/>
  <c r="CI16" i="148"/>
  <c r="AU9" i="148"/>
  <c r="AU28" i="148"/>
  <c r="BI9" i="148"/>
  <c r="B6" i="161" s="1"/>
  <c r="L8" i="158"/>
  <c r="BF16" i="148"/>
  <c r="BX16" i="148" s="1"/>
  <c r="BZ16" i="148" s="1"/>
  <c r="C27" i="158"/>
  <c r="C23" i="92" s="1"/>
  <c r="CF20" i="148"/>
  <c r="CG20" i="148" s="1"/>
  <c r="CI20" i="148" s="1"/>
  <c r="BG14" i="158"/>
  <c r="BH14" i="158" s="1"/>
  <c r="GK20" i="158"/>
  <c r="BI28" i="158"/>
  <c r="BJ28" i="158" s="1"/>
  <c r="GK31" i="158"/>
  <c r="AT21" i="148"/>
  <c r="AU25" i="148"/>
  <c r="AU27" i="148"/>
  <c r="BI9" i="158"/>
  <c r="BJ9" i="158" s="1"/>
  <c r="BI14" i="158"/>
  <c r="BJ14" i="158" s="1"/>
  <c r="W15" i="158"/>
  <c r="BG17" i="158"/>
  <c r="BH17" i="158" s="1"/>
  <c r="GO20" i="158"/>
  <c r="W26" i="158"/>
  <c r="GO31" i="158"/>
  <c r="BI25" i="148"/>
  <c r="B22" i="161" s="1"/>
  <c r="BH27" i="148"/>
  <c r="AU33" i="148"/>
  <c r="GK12" i="158"/>
  <c r="BI17" i="158"/>
  <c r="BJ17" i="158" s="1"/>
  <c r="GS20" i="158"/>
  <c r="GT20" i="158" s="1"/>
  <c r="GS31" i="158"/>
  <c r="GT31" i="158" s="1"/>
  <c r="W34" i="158"/>
  <c r="X34" i="158" s="1"/>
  <c r="GK34" i="158"/>
  <c r="B41" i="148"/>
  <c r="AT13" i="148"/>
  <c r="BJ17" i="148"/>
  <c r="BF24" i="148"/>
  <c r="BX24" i="148" s="1"/>
  <c r="BZ24" i="148" s="1"/>
  <c r="C24" i="158"/>
  <c r="C20" i="92" s="1"/>
  <c r="AU36" i="148"/>
  <c r="BI36" i="148"/>
  <c r="B33" i="161" s="1"/>
  <c r="N35" i="158" s="1"/>
  <c r="AL36" i="158" s="1"/>
  <c r="GK26" i="158"/>
  <c r="GS28" i="158"/>
  <c r="GT28" i="158" s="1"/>
  <c r="AT24" i="148"/>
  <c r="AU30" i="148"/>
  <c r="GS14" i="158"/>
  <c r="GT14" i="158" s="1"/>
  <c r="BI20" i="158"/>
  <c r="BJ20" i="158" s="1"/>
  <c r="C30" i="158"/>
  <c r="C26" i="92" s="1"/>
  <c r="BI31" i="158"/>
  <c r="BJ31" i="158" s="1"/>
  <c r="C35" i="158"/>
  <c r="C31" i="92" s="1"/>
  <c r="AU29" i="148"/>
  <c r="AU35" i="148"/>
  <c r="BE9" i="158"/>
  <c r="BF9" i="158" s="1"/>
  <c r="C13" i="158"/>
  <c r="C9" i="92" s="1"/>
  <c r="C16" i="158"/>
  <c r="C12" i="92" s="1"/>
  <c r="GS17" i="158"/>
  <c r="GT17" i="158" s="1"/>
  <c r="C19" i="158"/>
  <c r="C15" i="92" s="1"/>
  <c r="W23" i="158"/>
  <c r="K16" i="28"/>
  <c r="K17" i="28"/>
  <c r="BH10" i="148"/>
  <c r="AU12" i="148"/>
  <c r="AU13" i="148"/>
  <c r="BJ16" i="148"/>
  <c r="BI16" i="148"/>
  <c r="B13" i="161" s="1"/>
  <c r="AU19" i="148"/>
  <c r="BF20" i="148"/>
  <c r="BX20" i="148" s="1"/>
  <c r="BI20" i="148"/>
  <c r="B17" i="161" s="1"/>
  <c r="N19" i="158" s="1"/>
  <c r="AL20" i="158" s="1"/>
  <c r="AU22" i="148"/>
  <c r="AT23" i="148"/>
  <c r="BJ35" i="148"/>
  <c r="BI35" i="148"/>
  <c r="B32" i="161" s="1"/>
  <c r="AX60" i="148" a="1"/>
  <c r="BI11" i="158"/>
  <c r="BJ11" i="158" s="1"/>
  <c r="GK14" i="158"/>
  <c r="M89" i="161"/>
  <c r="L16" i="28"/>
  <c r="L17" i="28"/>
  <c r="AU10" i="148"/>
  <c r="BI12" i="148"/>
  <c r="B9" i="161" s="1"/>
  <c r="N11" i="158" s="1"/>
  <c r="AL12" i="158" s="1"/>
  <c r="AU14" i="148"/>
  <c r="AU15" i="148"/>
  <c r="AU17" i="148"/>
  <c r="AU21" i="148"/>
  <c r="BF22" i="148"/>
  <c r="BX22" i="148" s="1"/>
  <c r="BI22" i="148"/>
  <c r="B19" i="161" s="1"/>
  <c r="N21" i="158" s="1"/>
  <c r="AL22" i="158" s="1"/>
  <c r="AU24" i="148"/>
  <c r="BH24" i="148"/>
  <c r="CF33" i="148"/>
  <c r="CG33" i="148" s="1"/>
  <c r="CI33" i="148" s="1"/>
  <c r="M93" i="161"/>
  <c r="M16" i="28"/>
  <c r="D13" i="156" s="1"/>
  <c r="O13" i="156" s="1"/>
  <c r="P13" i="156" s="1"/>
  <c r="M17" i="28"/>
  <c r="D14" i="156" s="1"/>
  <c r="L14" i="156" s="1"/>
  <c r="M14" i="156" s="1"/>
  <c r="AU11" i="148"/>
  <c r="BJ14" i="148"/>
  <c r="BI14" i="148"/>
  <c r="B11" i="161" s="1"/>
  <c r="N13" i="158" s="1"/>
  <c r="AL14" i="158" s="1"/>
  <c r="BI15" i="148"/>
  <c r="B12" i="161" s="1"/>
  <c r="N14" i="158" s="1"/>
  <c r="AL15" i="158" s="1"/>
  <c r="BI18" i="148"/>
  <c r="BI19" i="148"/>
  <c r="B16" i="161" s="1"/>
  <c r="N18" i="158" s="1"/>
  <c r="AL19" i="158" s="1"/>
  <c r="BI23" i="148"/>
  <c r="B20" i="161" s="1"/>
  <c r="N22" i="158" s="1"/>
  <c r="AL23" i="158" s="1"/>
  <c r="W9" i="158"/>
  <c r="C10" i="158"/>
  <c r="C6" i="92" s="1"/>
  <c r="M97" i="161"/>
  <c r="N16" i="28"/>
  <c r="N17" i="28"/>
  <c r="BJ10" i="148"/>
  <c r="BI10" i="148"/>
  <c r="B7" i="161" s="1"/>
  <c r="BI11" i="148"/>
  <c r="B8" i="161" s="1"/>
  <c r="N10" i="158" s="1"/>
  <c r="AL11" i="158" s="1"/>
  <c r="BH13" i="148"/>
  <c r="BI13" i="148"/>
  <c r="B10" i="161" s="1"/>
  <c r="BI17" i="148"/>
  <c r="B14" i="161" s="1"/>
  <c r="N16" i="158" s="1"/>
  <c r="AL17" i="158" s="1"/>
  <c r="BI21" i="148"/>
  <c r="BG30" i="148"/>
  <c r="K102" i="161"/>
  <c r="O16" i="28"/>
  <c r="O17" i="28"/>
  <c r="BJ24" i="148"/>
  <c r="BI24" i="148"/>
  <c r="B21" i="161" s="1"/>
  <c r="M106" i="161"/>
  <c r="P16" i="28"/>
  <c r="P17" i="28"/>
  <c r="CF10" i="148"/>
  <c r="CG10" i="148" s="1"/>
  <c r="CI10" i="148" s="1"/>
  <c r="BF12" i="148"/>
  <c r="BX12" i="148" s="1"/>
  <c r="BZ12" i="148" s="1"/>
  <c r="AU31" i="148"/>
  <c r="AU32" i="148"/>
  <c r="GO11" i="158"/>
  <c r="E45" i="119"/>
  <c r="F45" i="119" s="1"/>
  <c r="G45" i="119" s="1"/>
  <c r="I16" i="28"/>
  <c r="C54" i="144" s="1"/>
  <c r="I54" i="144" s="1"/>
  <c r="I17" i="28"/>
  <c r="C55" i="144" s="1"/>
  <c r="I55" i="144" s="1"/>
  <c r="Q16" i="28"/>
  <c r="Q17" i="28"/>
  <c r="BH16" i="148"/>
  <c r="BG20" i="148"/>
  <c r="BJ27" i="148"/>
  <c r="BI27" i="148"/>
  <c r="B24" i="161" s="1"/>
  <c r="N26" i="158" s="1"/>
  <c r="AL27" i="158" s="1"/>
  <c r="BI28" i="148"/>
  <c r="B25" i="161" s="1"/>
  <c r="N27" i="158" s="1"/>
  <c r="AL28" i="158" s="1"/>
  <c r="BI29" i="148"/>
  <c r="B26" i="161" s="1"/>
  <c r="N28" i="158" s="1"/>
  <c r="AL29" i="158" s="1"/>
  <c r="BF30" i="148"/>
  <c r="BX30" i="148" s="1"/>
  <c r="BI30" i="148"/>
  <c r="B27" i="161" s="1"/>
  <c r="N29" i="158" s="1"/>
  <c r="AL30" i="158" s="1"/>
  <c r="BI32" i="148"/>
  <c r="B29" i="161" s="1"/>
  <c r="N31" i="158" s="1"/>
  <c r="AL32" i="158" s="1"/>
  <c r="BJ34" i="148"/>
  <c r="BI34" i="148"/>
  <c r="B31" i="161" s="1"/>
  <c r="BH35" i="148"/>
  <c r="M110" i="161"/>
  <c r="J16" i="28"/>
  <c r="J17" i="28"/>
  <c r="AT10" i="148"/>
  <c r="BH12" i="148"/>
  <c r="AU16" i="148"/>
  <c r="AT20" i="148"/>
  <c r="BG22" i="148"/>
  <c r="CF25" i="148"/>
  <c r="CG25" i="148" s="1"/>
  <c r="CI25" i="148" s="1"/>
  <c r="BI31" i="148"/>
  <c r="B28" i="161" s="1"/>
  <c r="BI33" i="148"/>
  <c r="B30" i="161" s="1"/>
  <c r="N32" i="158" s="1"/>
  <c r="AL33" i="158" s="1"/>
  <c r="H48" i="10"/>
  <c r="H46" i="10"/>
  <c r="H45" i="10"/>
  <c r="G45" i="10"/>
  <c r="G48" i="10"/>
  <c r="G46" i="10"/>
  <c r="V46" i="10" s="1"/>
  <c r="G44" i="10"/>
  <c r="G49" i="10"/>
  <c r="S6" i="20"/>
  <c r="U6" i="20"/>
  <c r="S6" i="10"/>
  <c r="U6" i="10"/>
  <c r="S6" i="30"/>
  <c r="U6" i="30"/>
  <c r="U21" i="30" s="1"/>
  <c r="U27" i="30"/>
  <c r="V6" i="30"/>
  <c r="V21" i="30" s="1"/>
  <c r="BF20" i="150"/>
  <c r="BV20" i="150" s="1"/>
  <c r="CC20" i="150"/>
  <c r="BG10" i="150"/>
  <c r="B7" i="111" s="1"/>
  <c r="BG15" i="150"/>
  <c r="B12" i="111" s="1"/>
  <c r="BE21" i="150"/>
  <c r="BU21" i="150" s="1"/>
  <c r="BG22" i="150"/>
  <c r="B19" i="111" s="1"/>
  <c r="BG29" i="150"/>
  <c r="B26" i="111" s="1"/>
  <c r="CA11" i="150"/>
  <c r="CC11" i="150" s="1"/>
  <c r="H40" i="150"/>
  <c r="BG23" i="150"/>
  <c r="BF19" i="150"/>
  <c r="BV19" i="150" s="1"/>
  <c r="BG24" i="150"/>
  <c r="BG28" i="150"/>
  <c r="B25" i="111" s="1"/>
  <c r="B40" i="150"/>
  <c r="BG36" i="150"/>
  <c r="B33" i="111" s="1"/>
  <c r="L40" i="150"/>
  <c r="BE13" i="150"/>
  <c r="BU13" i="150" s="1"/>
  <c r="BE28" i="150"/>
  <c r="BU28" i="150" s="1"/>
  <c r="M40" i="150"/>
  <c r="BG12" i="150"/>
  <c r="BF21" i="150"/>
  <c r="BV21" i="150" s="1"/>
  <c r="BW21" i="150" s="1"/>
  <c r="BG25" i="150"/>
  <c r="B22" i="111" s="1"/>
  <c r="BF27" i="150"/>
  <c r="BV27" i="150" s="1"/>
  <c r="BE22" i="150"/>
  <c r="BU22" i="150" s="1"/>
  <c r="CA33" i="150"/>
  <c r="CC33" i="150" s="1"/>
  <c r="BG11" i="150"/>
  <c r="B8" i="111" s="1"/>
  <c r="BE25" i="150"/>
  <c r="BU25" i="150" s="1"/>
  <c r="BF30" i="150"/>
  <c r="BV30" i="150" s="1"/>
  <c r="CA31" i="150"/>
  <c r="CC31" i="150" s="1"/>
  <c r="AT18" i="148"/>
  <c r="AU18" i="148"/>
  <c r="W17" i="158"/>
  <c r="X17" i="158" s="1"/>
  <c r="GK17" i="158"/>
  <c r="CC16" i="150"/>
  <c r="BG9" i="150"/>
  <c r="B6" i="111" s="1"/>
  <c r="R10" i="150"/>
  <c r="S10" i="150" s="1"/>
  <c r="R12" i="150"/>
  <c r="S12" i="150" s="1"/>
  <c r="CA12" i="150"/>
  <c r="CC12" i="150" s="1"/>
  <c r="BG13" i="150"/>
  <c r="B10" i="111" s="1"/>
  <c r="BE14" i="150"/>
  <c r="BU14" i="150" s="1"/>
  <c r="BF15" i="150"/>
  <c r="BV15" i="150" s="1"/>
  <c r="BG16" i="150"/>
  <c r="B13" i="111" s="1"/>
  <c r="BE17" i="150"/>
  <c r="BU17" i="150" s="1"/>
  <c r="BG19" i="150"/>
  <c r="BG20" i="150"/>
  <c r="B17" i="111" s="1"/>
  <c r="BE24" i="150"/>
  <c r="BU24" i="150" s="1"/>
  <c r="R27" i="150"/>
  <c r="S27" i="150" s="1"/>
  <c r="R30" i="150"/>
  <c r="S30" i="150" s="1"/>
  <c r="R31" i="150"/>
  <c r="S31" i="150" s="1"/>
  <c r="BE35" i="150"/>
  <c r="BU35" i="150" s="1"/>
  <c r="R36" i="150"/>
  <c r="S36" i="150" s="1"/>
  <c r="BF36" i="150"/>
  <c r="BV36" i="150" s="1"/>
  <c r="AT9" i="150"/>
  <c r="R15" i="150"/>
  <c r="S15" i="150" s="1"/>
  <c r="R19" i="150"/>
  <c r="S19" i="150" s="1"/>
  <c r="R33" i="150"/>
  <c r="S33" i="150" s="1"/>
  <c r="R34" i="150"/>
  <c r="S34" i="150" s="1"/>
  <c r="R35" i="150"/>
  <c r="S35" i="150" s="1"/>
  <c r="BE16" i="150"/>
  <c r="BU16" i="150" s="1"/>
  <c r="R20" i="150"/>
  <c r="S20" i="150" s="1"/>
  <c r="R21" i="150"/>
  <c r="S21" i="150" s="1"/>
  <c r="BG21" i="150"/>
  <c r="B18" i="111" s="1"/>
  <c r="R26" i="150"/>
  <c r="S26" i="150" s="1"/>
  <c r="BG27" i="150"/>
  <c r="B24" i="111" s="1"/>
  <c r="BG31" i="150"/>
  <c r="B28" i="111" s="1"/>
  <c r="R32" i="150"/>
  <c r="S32" i="150" s="1"/>
  <c r="BF33" i="150"/>
  <c r="BV33" i="150" s="1"/>
  <c r="BF34" i="150"/>
  <c r="BV34" i="150" s="1"/>
  <c r="I40" i="150"/>
  <c r="BE9" i="150"/>
  <c r="BU9" i="150" s="1"/>
  <c r="BF14" i="150"/>
  <c r="BV14" i="150" s="1"/>
  <c r="BF17" i="150"/>
  <c r="BV17" i="150" s="1"/>
  <c r="R18" i="150"/>
  <c r="S18" i="150" s="1"/>
  <c r="BG18" i="150"/>
  <c r="B15" i="111" s="1"/>
  <c r="R23" i="150"/>
  <c r="S23" i="150" s="1"/>
  <c r="R24" i="150"/>
  <c r="S24" i="150" s="1"/>
  <c r="R25" i="150"/>
  <c r="S25" i="150" s="1"/>
  <c r="BG30" i="150"/>
  <c r="B27" i="111" s="1"/>
  <c r="BG32" i="150"/>
  <c r="B29" i="111" s="1"/>
  <c r="BG33" i="150"/>
  <c r="B30" i="111" s="1"/>
  <c r="BZ34" i="150"/>
  <c r="CA34" i="150" s="1"/>
  <c r="CC34" i="150" s="1"/>
  <c r="BG35" i="150"/>
  <c r="B32" i="111" s="1"/>
  <c r="CA36" i="150"/>
  <c r="CC36" i="150" s="1"/>
  <c r="J40" i="150"/>
  <c r="BE10" i="150"/>
  <c r="BU10" i="150" s="1"/>
  <c r="R14" i="150"/>
  <c r="S14" i="150" s="1"/>
  <c r="BE15" i="150"/>
  <c r="BU15" i="150" s="1"/>
  <c r="R17" i="150"/>
  <c r="S17" i="150" s="1"/>
  <c r="R22" i="150"/>
  <c r="S22" i="150" s="1"/>
  <c r="BF24" i="150"/>
  <c r="BV24" i="150" s="1"/>
  <c r="BW24" i="150" s="1"/>
  <c r="CA24" i="150"/>
  <c r="CC24" i="150" s="1"/>
  <c r="BE27" i="150"/>
  <c r="BU27" i="150" s="1"/>
  <c r="BE29" i="150"/>
  <c r="BU29" i="150" s="1"/>
  <c r="K40" i="150"/>
  <c r="BZ17" i="150"/>
  <c r="CA17" i="150" s="1"/>
  <c r="CC17" i="150" s="1"/>
  <c r="BF22" i="150"/>
  <c r="BV22" i="150" s="1"/>
  <c r="BF23" i="150"/>
  <c r="BV23" i="150" s="1"/>
  <c r="BF25" i="150"/>
  <c r="BV25" i="150" s="1"/>
  <c r="BE30" i="150"/>
  <c r="BU30" i="150" s="1"/>
  <c r="BW30" i="150" s="1"/>
  <c r="BF13" i="150"/>
  <c r="BV13" i="150" s="1"/>
  <c r="BW13" i="150" s="1"/>
  <c r="BG14" i="150"/>
  <c r="B11" i="111" s="1"/>
  <c r="R16" i="150"/>
  <c r="S16" i="150" s="1"/>
  <c r="BF16" i="150"/>
  <c r="BV16" i="150" s="1"/>
  <c r="BG17" i="150"/>
  <c r="R29" i="150"/>
  <c r="S29" i="150" s="1"/>
  <c r="BF29" i="150"/>
  <c r="BV29" i="150" s="1"/>
  <c r="BG34" i="150"/>
  <c r="B31" i="111" s="1"/>
  <c r="BE36" i="150"/>
  <c r="BU36" i="150" s="1"/>
  <c r="DH9" i="36"/>
  <c r="DI9" i="36" s="1"/>
  <c r="AX9" i="36" s="1"/>
  <c r="BF10" i="150"/>
  <c r="BV10" i="150" s="1"/>
  <c r="R11" i="150"/>
  <c r="S11" i="150" s="1"/>
  <c r="R13" i="150"/>
  <c r="S13" i="150" s="1"/>
  <c r="BE19" i="150"/>
  <c r="BU19" i="150" s="1"/>
  <c r="BE20" i="150"/>
  <c r="BU20" i="150" s="1"/>
  <c r="BW20" i="150" s="1"/>
  <c r="R28" i="150"/>
  <c r="S28" i="150" s="1"/>
  <c r="EZ16" i="158"/>
  <c r="K16" i="158"/>
  <c r="K8" i="158"/>
  <c r="EZ8" i="158"/>
  <c r="K13" i="158"/>
  <c r="EZ13" i="158"/>
  <c r="K22" i="158"/>
  <c r="EZ22" i="158"/>
  <c r="K29" i="158"/>
  <c r="EZ29" i="158"/>
  <c r="K33" i="158"/>
  <c r="EZ33" i="158"/>
  <c r="EZ18" i="158"/>
  <c r="K18" i="158"/>
  <c r="K9" i="158"/>
  <c r="EZ9" i="158"/>
  <c r="EZ15" i="158"/>
  <c r="K15" i="158"/>
  <c r="EZ21" i="158"/>
  <c r="K21" i="158"/>
  <c r="EZ28" i="158"/>
  <c r="K28" i="158"/>
  <c r="K32" i="158"/>
  <c r="EZ32" i="158"/>
  <c r="K12" i="158"/>
  <c r="EZ12" i="158"/>
  <c r="EZ10" i="158"/>
  <c r="K17" i="158"/>
  <c r="EZ17" i="158"/>
  <c r="K20" i="158"/>
  <c r="EZ20" i="158"/>
  <c r="K24" i="158"/>
  <c r="EZ24" i="158"/>
  <c r="K27" i="158"/>
  <c r="EZ27" i="158"/>
  <c r="EZ31" i="158"/>
  <c r="K31" i="158"/>
  <c r="EZ35" i="158"/>
  <c r="K35" i="158"/>
  <c r="EZ14" i="158"/>
  <c r="K14" i="158"/>
  <c r="EZ11" i="158"/>
  <c r="K11" i="158"/>
  <c r="K19" i="158"/>
  <c r="EZ19" i="158"/>
  <c r="K23" i="158"/>
  <c r="EZ23" i="158"/>
  <c r="K26" i="158"/>
  <c r="EZ26" i="158"/>
  <c r="K30" i="158"/>
  <c r="EZ30" i="158"/>
  <c r="EZ34" i="158"/>
  <c r="K34" i="158"/>
  <c r="CI29" i="148"/>
  <c r="CI27" i="148"/>
  <c r="CI14" i="148"/>
  <c r="CI23" i="148"/>
  <c r="AT17" i="148"/>
  <c r="AU20" i="148"/>
  <c r="AU23" i="148"/>
  <c r="AT30" i="148"/>
  <c r="CF30" i="148"/>
  <c r="CG30" i="148" s="1"/>
  <c r="CI30" i="148" s="1"/>
  <c r="AT9" i="148"/>
  <c r="AT14" i="148"/>
  <c r="CF17" i="148"/>
  <c r="CG17" i="148" s="1"/>
  <c r="CI17" i="148" s="1"/>
  <c r="AT22" i="148"/>
  <c r="CF22" i="148"/>
  <c r="CG22" i="148" s="1"/>
  <c r="CI22" i="148" s="1"/>
  <c r="AT27" i="148"/>
  <c r="AT33" i="148"/>
  <c r="CF36" i="148"/>
  <c r="CG36" i="148" s="1"/>
  <c r="CI36" i="148" s="1"/>
  <c r="AT11" i="148"/>
  <c r="CF11" i="148"/>
  <c r="CG11" i="148" s="1"/>
  <c r="CI11" i="148" s="1"/>
  <c r="AT16" i="148"/>
  <c r="AT36" i="148"/>
  <c r="AT19" i="148"/>
  <c r="AT25" i="148"/>
  <c r="AT29" i="148"/>
  <c r="AT32" i="148"/>
  <c r="AT34" i="148"/>
  <c r="AT35" i="148"/>
  <c r="CF35" i="148"/>
  <c r="CG35" i="148" s="1"/>
  <c r="CI35" i="148" s="1"/>
  <c r="CF13" i="148"/>
  <c r="CG13" i="148" s="1"/>
  <c r="CI13" i="148" s="1"/>
  <c r="CF18" i="148"/>
  <c r="CG18" i="148" s="1"/>
  <c r="CI18" i="148" s="1"/>
  <c r="CF21" i="148"/>
  <c r="CG21" i="148" s="1"/>
  <c r="CI21" i="148" s="1"/>
  <c r="CF24" i="148"/>
  <c r="CG24" i="148" s="1"/>
  <c r="CI24" i="148" s="1"/>
  <c r="CF28" i="148"/>
  <c r="CG28" i="148" s="1"/>
  <c r="CI28" i="148" s="1"/>
  <c r="AT12" i="148"/>
  <c r="CF12" i="148"/>
  <c r="CG12" i="148" s="1"/>
  <c r="CI12" i="148" s="1"/>
  <c r="AT15" i="148"/>
  <c r="CF15" i="148"/>
  <c r="CG15" i="148" s="1"/>
  <c r="CI15" i="148" s="1"/>
  <c r="AT28" i="148"/>
  <c r="AT31" i="148"/>
  <c r="CF31" i="148"/>
  <c r="CG31" i="148" s="1"/>
  <c r="CI31" i="148" s="1"/>
  <c r="CF34" i="148"/>
  <c r="CG34" i="148" s="1"/>
  <c r="CI34" i="148" s="1"/>
  <c r="R23" i="148"/>
  <c r="S23" i="148" s="1"/>
  <c r="P23" i="148"/>
  <c r="Q23" i="148" s="1"/>
  <c r="R27" i="148"/>
  <c r="S27" i="148" s="1"/>
  <c r="P27" i="148"/>
  <c r="R33" i="148"/>
  <c r="S33" i="148" s="1"/>
  <c r="P33" i="148"/>
  <c r="Q33" i="148" s="1"/>
  <c r="R36" i="148"/>
  <c r="S36" i="148" s="1"/>
  <c r="P36" i="148"/>
  <c r="Q36" i="148" s="1"/>
  <c r="R29" i="148"/>
  <c r="S29" i="148" s="1"/>
  <c r="P29" i="148"/>
  <c r="Q29" i="148" s="1"/>
  <c r="R32" i="148"/>
  <c r="S32" i="148" s="1"/>
  <c r="P32" i="148"/>
  <c r="Q32" i="148" s="1"/>
  <c r="R11" i="148"/>
  <c r="S11" i="148" s="1"/>
  <c r="P11" i="148"/>
  <c r="Q11" i="148" s="1"/>
  <c r="R35" i="148"/>
  <c r="S35" i="148" s="1"/>
  <c r="P35" i="148"/>
  <c r="Q35" i="148" s="1"/>
  <c r="R19" i="148"/>
  <c r="S19" i="148" s="1"/>
  <c r="P19" i="148"/>
  <c r="Q19" i="148" s="1"/>
  <c r="R25" i="148"/>
  <c r="S25" i="148" s="1"/>
  <c r="P25" i="148"/>
  <c r="Q25" i="148" s="1"/>
  <c r="R13" i="148"/>
  <c r="S13" i="148" s="1"/>
  <c r="P13" i="148"/>
  <c r="Q13" i="148" s="1"/>
  <c r="R24" i="148"/>
  <c r="S24" i="148" s="1"/>
  <c r="P24" i="148"/>
  <c r="Q24" i="148" s="1"/>
  <c r="R28" i="148"/>
  <c r="S28" i="148" s="1"/>
  <c r="P28" i="148"/>
  <c r="Q28" i="148" s="1"/>
  <c r="R31" i="148"/>
  <c r="S31" i="148" s="1"/>
  <c r="P31" i="148"/>
  <c r="Q31" i="148" s="1"/>
  <c r="R21" i="148"/>
  <c r="S21" i="148" s="1"/>
  <c r="P21" i="148"/>
  <c r="Q21" i="148" s="1"/>
  <c r="R15" i="148"/>
  <c r="S15" i="148" s="1"/>
  <c r="P15" i="148"/>
  <c r="Q15" i="148" s="1"/>
  <c r="R30" i="148"/>
  <c r="S30" i="148" s="1"/>
  <c r="P30" i="148"/>
  <c r="Q30" i="148" s="1"/>
  <c r="BH28" i="148"/>
  <c r="BF32" i="148"/>
  <c r="BX32" i="148" s="1"/>
  <c r="BZ32" i="148" s="1"/>
  <c r="BH29" i="148"/>
  <c r="BH33" i="148"/>
  <c r="BH9" i="148"/>
  <c r="BF10" i="148"/>
  <c r="BX10" i="148" s="1"/>
  <c r="BZ10" i="148" s="1"/>
  <c r="BJ12" i="148"/>
  <c r="BF14" i="148"/>
  <c r="BX14" i="148" s="1"/>
  <c r="BZ14" i="148" s="1"/>
  <c r="BG18" i="148"/>
  <c r="BG28" i="148"/>
  <c r="BH36" i="148"/>
  <c r="BH14" i="148"/>
  <c r="BG25" i="148"/>
  <c r="BJ29" i="148"/>
  <c r="BJ32" i="148"/>
  <c r="BJ33" i="148"/>
  <c r="BH11" i="148"/>
  <c r="BH15" i="148"/>
  <c r="BF18" i="148"/>
  <c r="BX18" i="148" s="1"/>
  <c r="BZ18" i="148" s="1"/>
  <c r="B18" i="161"/>
  <c r="N20" i="158" s="1"/>
  <c r="AL21" i="158" s="1"/>
  <c r="BH25" i="148"/>
  <c r="BJ28" i="148"/>
  <c r="BJ36" i="148"/>
  <c r="BZ20" i="148"/>
  <c r="R9" i="36"/>
  <c r="W8" i="158"/>
  <c r="BZ30" i="148"/>
  <c r="BZ22" i="148"/>
  <c r="C9" i="36"/>
  <c r="C71" i="36" s="1"/>
  <c r="K82" i="161"/>
  <c r="M85" i="161"/>
  <c r="C8" i="158"/>
  <c r="C4" i="92" s="1"/>
  <c r="BJ19" i="148"/>
  <c r="BJ21" i="148"/>
  <c r="BJ23" i="148"/>
  <c r="BJ31" i="148"/>
  <c r="BJ9" i="148"/>
  <c r="BG10" i="148"/>
  <c r="BJ11" i="148"/>
  <c r="BG12" i="148"/>
  <c r="BJ13" i="148"/>
  <c r="BG14" i="148"/>
  <c r="BJ15" i="148"/>
  <c r="BG16" i="148"/>
  <c r="BH18" i="148"/>
  <c r="BH20" i="148"/>
  <c r="BH22" i="148"/>
  <c r="BG24" i="148"/>
  <c r="BJ25" i="148"/>
  <c r="BF27" i="148"/>
  <c r="BX27" i="148" s="1"/>
  <c r="BZ27" i="148" s="1"/>
  <c r="BH30" i="148"/>
  <c r="BG32" i="148"/>
  <c r="BG34" i="148"/>
  <c r="K86" i="161"/>
  <c r="K90" i="161"/>
  <c r="K94" i="161"/>
  <c r="K98" i="161"/>
  <c r="K103" i="161"/>
  <c r="K107" i="161"/>
  <c r="B15" i="161"/>
  <c r="N17" i="158" s="1"/>
  <c r="AL18" i="158" s="1"/>
  <c r="BG27" i="148"/>
  <c r="BF29" i="148"/>
  <c r="BX29" i="148" s="1"/>
  <c r="BZ29" i="148" s="1"/>
  <c r="BH32" i="148"/>
  <c r="BH34" i="148"/>
  <c r="BF36" i="148"/>
  <c r="BX36" i="148" s="1"/>
  <c r="BZ36" i="148" s="1"/>
  <c r="W14" i="158"/>
  <c r="W22" i="158"/>
  <c r="M86" i="161"/>
  <c r="M90" i="161"/>
  <c r="M94" i="161"/>
  <c r="M98" i="161"/>
  <c r="M103" i="161"/>
  <c r="M107" i="161"/>
  <c r="M111" i="161"/>
  <c r="BJ18" i="148"/>
  <c r="BJ20" i="148"/>
  <c r="BJ22" i="148"/>
  <c r="BG29" i="148"/>
  <c r="BJ30" i="148"/>
  <c r="BG36" i="148"/>
  <c r="BG28" i="158"/>
  <c r="BH28" i="158" s="1"/>
  <c r="K87" i="161"/>
  <c r="K91" i="161"/>
  <c r="K95" i="161"/>
  <c r="M99" i="161"/>
  <c r="K104" i="161"/>
  <c r="K108" i="161"/>
  <c r="BF17" i="148"/>
  <c r="BX17" i="148" s="1"/>
  <c r="BZ17" i="148" s="1"/>
  <c r="BF19" i="148"/>
  <c r="BX19" i="148" s="1"/>
  <c r="BZ19" i="148" s="1"/>
  <c r="BF21" i="148"/>
  <c r="BX21" i="148" s="1"/>
  <c r="BZ21" i="148" s="1"/>
  <c r="BF23" i="148"/>
  <c r="BX23" i="148" s="1"/>
  <c r="BZ23" i="148" s="1"/>
  <c r="BF31" i="148"/>
  <c r="BX31" i="148" s="1"/>
  <c r="BZ31" i="148" s="1"/>
  <c r="W20" i="158"/>
  <c r="X20" i="158" s="1"/>
  <c r="BG26" i="158"/>
  <c r="BH26" i="158" s="1"/>
  <c r="BG34" i="158"/>
  <c r="BH34" i="158" s="1"/>
  <c r="M87" i="161"/>
  <c r="M91" i="161"/>
  <c r="M95" i="161"/>
  <c r="K100" i="161"/>
  <c r="M104" i="161"/>
  <c r="M108" i="161"/>
  <c r="M112" i="161"/>
  <c r="BF9" i="148"/>
  <c r="BX9" i="148" s="1"/>
  <c r="BZ9" i="148" s="1"/>
  <c r="BF11" i="148"/>
  <c r="BX11" i="148" s="1"/>
  <c r="BZ11" i="148" s="1"/>
  <c r="BF13" i="148"/>
  <c r="BX13" i="148" s="1"/>
  <c r="BZ13" i="148" s="1"/>
  <c r="BF15" i="148"/>
  <c r="BX15" i="148" s="1"/>
  <c r="BZ15" i="148" s="1"/>
  <c r="BG17" i="148"/>
  <c r="BG19" i="148"/>
  <c r="BG21" i="148"/>
  <c r="BG23" i="148"/>
  <c r="BF25" i="148"/>
  <c r="BX25" i="148" s="1"/>
  <c r="BZ25" i="148" s="1"/>
  <c r="BF28" i="148"/>
  <c r="BX28" i="148" s="1"/>
  <c r="BZ28" i="148" s="1"/>
  <c r="BG31" i="148"/>
  <c r="BF33" i="148"/>
  <c r="BX33" i="148" s="1"/>
  <c r="BZ33" i="148" s="1"/>
  <c r="BF35" i="148"/>
  <c r="BX35" i="148" s="1"/>
  <c r="BZ35" i="148" s="1"/>
  <c r="W12" i="158"/>
  <c r="K83" i="161"/>
  <c r="K88" i="161"/>
  <c r="K92" i="161"/>
  <c r="K96" i="161"/>
  <c r="M100" i="161"/>
  <c r="K105" i="161"/>
  <c r="K109" i="161"/>
  <c r="BG9" i="148"/>
  <c r="BG11" i="148"/>
  <c r="BG13" i="148"/>
  <c r="BG15" i="148"/>
  <c r="BH17" i="148"/>
  <c r="BH19" i="148"/>
  <c r="BH21" i="148"/>
  <c r="BH23" i="148"/>
  <c r="BH31" i="148"/>
  <c r="BG33" i="148"/>
  <c r="BG35" i="148"/>
  <c r="W16" i="158"/>
  <c r="W18" i="158"/>
  <c r="X18" i="158" s="1"/>
  <c r="K84" i="161"/>
  <c r="M88" i="161"/>
  <c r="M92" i="161"/>
  <c r="M96" i="161"/>
  <c r="K101" i="161"/>
  <c r="M105" i="161"/>
  <c r="M109" i="161"/>
  <c r="BG32" i="158"/>
  <c r="BH32" i="158" s="1"/>
  <c r="K85" i="161"/>
  <c r="K89" i="161"/>
  <c r="K93" i="161"/>
  <c r="K97" i="161"/>
  <c r="M101" i="161"/>
  <c r="K106" i="161"/>
  <c r="P9" i="32"/>
  <c r="R28" i="165"/>
  <c r="AL28" i="165" s="1"/>
  <c r="AM28" i="165" s="1"/>
  <c r="W9" i="32"/>
  <c r="B51" i="32"/>
  <c r="B89" i="32"/>
  <c r="I51" i="32"/>
  <c r="I89" i="32"/>
  <c r="B9" i="32"/>
  <c r="P51" i="32"/>
  <c r="W89" i="32"/>
  <c r="I9" i="32"/>
  <c r="S18" i="163"/>
  <c r="T18" i="163" s="1"/>
  <c r="V44" i="30"/>
  <c r="DB11" i="158"/>
  <c r="DG11" i="158" s="1"/>
  <c r="DB13" i="158"/>
  <c r="DG13" i="158" s="1"/>
  <c r="DB12" i="158"/>
  <c r="DG12" i="158" s="1"/>
  <c r="DB10" i="158"/>
  <c r="DG10" i="158" s="1"/>
  <c r="M22" i="20"/>
  <c r="Z13" i="158"/>
  <c r="Y21" i="158"/>
  <c r="Z21" i="158" s="1"/>
  <c r="Y29" i="158"/>
  <c r="Z29" i="158" s="1"/>
  <c r="Y32" i="158"/>
  <c r="Z32" i="158" s="1"/>
  <c r="Z35" i="158"/>
  <c r="S23" i="36"/>
  <c r="S27" i="36"/>
  <c r="S12" i="36"/>
  <c r="T29" i="36"/>
  <c r="Z27" i="158"/>
  <c r="T17" i="36"/>
  <c r="S17" i="36"/>
  <c r="S16" i="36"/>
  <c r="T34" i="36"/>
  <c r="AW8" i="158"/>
  <c r="AH67" i="161"/>
  <c r="AH43" i="161"/>
  <c r="AH55" i="161"/>
  <c r="AH60" i="161"/>
  <c r="AH65" i="161"/>
  <c r="AH48" i="161"/>
  <c r="AH53" i="161"/>
  <c r="AH58" i="161"/>
  <c r="AC74" i="161"/>
  <c r="AH45" i="161"/>
  <c r="AH51" i="161"/>
  <c r="AH63" i="161"/>
  <c r="AH46" i="161"/>
  <c r="AH56" i="161"/>
  <c r="AH61" i="161"/>
  <c r="AH68" i="161"/>
  <c r="AH44" i="161"/>
  <c r="AH49" i="161"/>
  <c r="AH59" i="161"/>
  <c r="AH66" i="161"/>
  <c r="AB46" i="111"/>
  <c r="AB58" i="111"/>
  <c r="AH50" i="161"/>
  <c r="AH54" i="161"/>
  <c r="AH64" i="161"/>
  <c r="AH47" i="161"/>
  <c r="AH52" i="161"/>
  <c r="AH57" i="161"/>
  <c r="AH69" i="161"/>
  <c r="AB68" i="111"/>
  <c r="AB43" i="111"/>
  <c r="AB49" i="111"/>
  <c r="AB57" i="111"/>
  <c r="AB51" i="111"/>
  <c r="AB62" i="111"/>
  <c r="AB67" i="111"/>
  <c r="AB48" i="111"/>
  <c r="AB59" i="111"/>
  <c r="AF74" i="161"/>
  <c r="AB45" i="111"/>
  <c r="AB50" i="111"/>
  <c r="AB69" i="111"/>
  <c r="AB47" i="111"/>
  <c r="AB63" i="111"/>
  <c r="I18" i="163"/>
  <c r="J18" i="163" s="1"/>
  <c r="P18" i="155"/>
  <c r="X18" i="155" s="1"/>
  <c r="Y18" i="155" s="1"/>
  <c r="H18" i="155"/>
  <c r="I18" i="155" s="1"/>
  <c r="K18" i="155"/>
  <c r="L18" i="155" s="1"/>
  <c r="F18" i="163"/>
  <c r="G18" i="163" s="1"/>
  <c r="AJ26" i="161"/>
  <c r="AK26" i="161" s="1"/>
  <c r="AL26" i="161" s="1"/>
  <c r="AT21" i="158"/>
  <c r="R56" i="161" s="1"/>
  <c r="F22" i="148"/>
  <c r="AT13" i="158"/>
  <c r="R48" i="161" s="1"/>
  <c r="F14" i="148"/>
  <c r="AJ21" i="161"/>
  <c r="AK21" i="161" s="1"/>
  <c r="AL21" i="161" s="1"/>
  <c r="AT11" i="158"/>
  <c r="R46" i="161" s="1"/>
  <c r="F12" i="148"/>
  <c r="AT23" i="158"/>
  <c r="R58" i="161" s="1"/>
  <c r="AJ10" i="161"/>
  <c r="AK10" i="161" s="1"/>
  <c r="AL10" i="161" s="1"/>
  <c r="AT17" i="158"/>
  <c r="R52" i="161" s="1"/>
  <c r="F18" i="148"/>
  <c r="P18" i="148" s="1"/>
  <c r="F17" i="148"/>
  <c r="AJ30" i="161"/>
  <c r="AK30" i="161" s="1"/>
  <c r="AL30" i="161" s="1"/>
  <c r="E41" i="148"/>
  <c r="AT15" i="158"/>
  <c r="R50" i="161" s="1"/>
  <c r="F16" i="148"/>
  <c r="AJ18" i="161"/>
  <c r="AK18" i="161" s="1"/>
  <c r="AL18" i="161" s="1"/>
  <c r="F9" i="148"/>
  <c r="AT9" i="158"/>
  <c r="R44" i="161" s="1"/>
  <c r="F10" i="148"/>
  <c r="AT19" i="158"/>
  <c r="R54" i="161" s="1"/>
  <c r="F20" i="148"/>
  <c r="AT33" i="158"/>
  <c r="R68" i="161" s="1"/>
  <c r="F34" i="148"/>
  <c r="AJ32" i="161"/>
  <c r="AK32" i="161" s="1"/>
  <c r="AL32" i="161" s="1"/>
  <c r="T20" i="36"/>
  <c r="U20" i="36" s="1"/>
  <c r="D7" i="156"/>
  <c r="I7" i="156" s="1"/>
  <c r="J7" i="156" s="1"/>
  <c r="AV11" i="36"/>
  <c r="CC21" i="150"/>
  <c r="CC9" i="150"/>
  <c r="CC10" i="150"/>
  <c r="AV21" i="36"/>
  <c r="CC19" i="150"/>
  <c r="AS9" i="150"/>
  <c r="AS13" i="150"/>
  <c r="BZ14" i="150"/>
  <c r="CA14" i="150" s="1"/>
  <c r="CC14" i="150" s="1"/>
  <c r="AT15" i="150"/>
  <c r="AS22" i="150"/>
  <c r="BZ25" i="150"/>
  <c r="CA25" i="150" s="1"/>
  <c r="CC25" i="150" s="1"/>
  <c r="CA27" i="150"/>
  <c r="CC27" i="150" s="1"/>
  <c r="AT32" i="150"/>
  <c r="AS34" i="150"/>
  <c r="BZ15" i="150"/>
  <c r="CA15" i="150" s="1"/>
  <c r="CC15" i="150" s="1"/>
  <c r="BZ26" i="150"/>
  <c r="CA26" i="150" s="1"/>
  <c r="CC26" i="150" s="1"/>
  <c r="BZ28" i="150"/>
  <c r="CA28" i="150" s="1"/>
  <c r="CC28" i="150" s="1"/>
  <c r="BZ35" i="150"/>
  <c r="CA35" i="150" s="1"/>
  <c r="CC35" i="150" s="1"/>
  <c r="BZ13" i="150"/>
  <c r="CA13" i="150" s="1"/>
  <c r="CC13" i="150" s="1"/>
  <c r="AS14" i="150"/>
  <c r="AS20" i="150"/>
  <c r="BZ23" i="150"/>
  <c r="CA23" i="150" s="1"/>
  <c r="CC23" i="150" s="1"/>
  <c r="AS24" i="150"/>
  <c r="AS30" i="150"/>
  <c r="AS33" i="150"/>
  <c r="AS10" i="150"/>
  <c r="BZ18" i="150"/>
  <c r="CA18" i="150" s="1"/>
  <c r="CC18" i="150" s="1"/>
  <c r="AS26" i="150"/>
  <c r="AS12" i="150"/>
  <c r="AS17" i="150"/>
  <c r="AS19" i="150"/>
  <c r="BZ22" i="150"/>
  <c r="CA22" i="150" s="1"/>
  <c r="CC22" i="150" s="1"/>
  <c r="AS23" i="150"/>
  <c r="AS28" i="150"/>
  <c r="AS35" i="150"/>
  <c r="R9" i="150"/>
  <c r="S9" i="150" s="1"/>
  <c r="AW28" i="36"/>
  <c r="DH28" i="36"/>
  <c r="DI28" i="36" s="1"/>
  <c r="AX28" i="36" s="1"/>
  <c r="DH17" i="36"/>
  <c r="DI17" i="36" s="1"/>
  <c r="AX17" i="36" s="1"/>
  <c r="AW17" i="36"/>
  <c r="DH16" i="36"/>
  <c r="DI16" i="36" s="1"/>
  <c r="AX16" i="36" s="1"/>
  <c r="DH18" i="36"/>
  <c r="DI18" i="36" s="1"/>
  <c r="AX18" i="36" s="1"/>
  <c r="E40" i="150"/>
  <c r="AW15" i="36"/>
  <c r="AW33" i="36"/>
  <c r="DH35" i="36"/>
  <c r="DI35" i="36" s="1"/>
  <c r="AX35" i="36" s="1"/>
  <c r="AW14" i="36"/>
  <c r="AW24" i="36"/>
  <c r="AW30" i="36"/>
  <c r="AW10" i="36"/>
  <c r="AW32" i="36"/>
  <c r="F40" i="150"/>
  <c r="T30" i="36"/>
  <c r="U30" i="36" s="1"/>
  <c r="T31" i="36"/>
  <c r="U31" i="36" s="1"/>
  <c r="T32" i="36"/>
  <c r="U32" i="36" s="1"/>
  <c r="T33" i="36"/>
  <c r="U33" i="36" s="1"/>
  <c r="U15" i="36"/>
  <c r="K33" i="36"/>
  <c r="T36" i="36"/>
  <c r="U36" i="36" s="1"/>
  <c r="T18" i="36"/>
  <c r="U18" i="36" s="1"/>
  <c r="C26" i="150"/>
  <c r="C40" i="150" s="1"/>
  <c r="BF35" i="150"/>
  <c r="BV35" i="150" s="1"/>
  <c r="BE18" i="150"/>
  <c r="BU18" i="150" s="1"/>
  <c r="BF9" i="150"/>
  <c r="BV9" i="150" s="1"/>
  <c r="BF18" i="150"/>
  <c r="BV18" i="150" s="1"/>
  <c r="BF28" i="150"/>
  <c r="BV28" i="150" s="1"/>
  <c r="BE11" i="150"/>
  <c r="BU11" i="150" s="1"/>
  <c r="BE12" i="150"/>
  <c r="BU12" i="150" s="1"/>
  <c r="BE31" i="150"/>
  <c r="BU31" i="150" s="1"/>
  <c r="L62" i="28"/>
  <c r="BF11" i="150"/>
  <c r="BV11" i="150" s="1"/>
  <c r="BF12" i="150"/>
  <c r="BV12" i="150" s="1"/>
  <c r="BF31" i="150"/>
  <c r="BV31" i="150" s="1"/>
  <c r="BE32" i="150"/>
  <c r="BU32" i="150" s="1"/>
  <c r="BF32" i="150"/>
  <c r="BV32" i="150" s="1"/>
  <c r="BE33" i="150"/>
  <c r="BU33" i="150" s="1"/>
  <c r="BE34" i="150"/>
  <c r="BU34" i="150" s="1"/>
  <c r="C25" i="158"/>
  <c r="N74" i="161"/>
  <c r="M116" i="161" s="1"/>
  <c r="K99" i="161"/>
  <c r="M102" i="161"/>
  <c r="K65" i="20"/>
  <c r="J22" i="20"/>
  <c r="K62" i="28"/>
  <c r="N59" i="28"/>
  <c r="BX41" i="36"/>
  <c r="BY41" i="36"/>
  <c r="CP41" i="36"/>
  <c r="BZ41" i="36"/>
  <c r="EK39" i="158"/>
  <c r="BS41" i="36"/>
  <c r="CA41" i="36"/>
  <c r="CX39" i="158"/>
  <c r="BT41" i="36"/>
  <c r="BU41" i="36"/>
  <c r="P62" i="28"/>
  <c r="J62" i="28"/>
  <c r="AL86" i="32"/>
  <c r="AL88" i="32" s="1"/>
  <c r="D9" i="156"/>
  <c r="L9" i="156" s="1"/>
  <c r="M9" i="156" s="1"/>
  <c r="D5" i="156"/>
  <c r="L5" i="156" s="1"/>
  <c r="M5" i="156" s="1"/>
  <c r="N62" i="28"/>
  <c r="P67" i="30"/>
  <c r="L65" i="10"/>
  <c r="I65" i="20"/>
  <c r="Q65" i="20"/>
  <c r="AB65" i="111"/>
  <c r="AG70" i="161"/>
  <c r="AH70" i="161" s="1"/>
  <c r="O65" i="20"/>
  <c r="CQ41" i="36"/>
  <c r="EJ39" i="158"/>
  <c r="EJ41" i="158" s="1"/>
  <c r="EJ42" i="158" s="1"/>
  <c r="CB41" i="36"/>
  <c r="CC41" i="36"/>
  <c r="R44" i="32"/>
  <c r="CY39" i="158"/>
  <c r="CS41" i="36"/>
  <c r="EL39" i="158"/>
  <c r="Y44" i="32"/>
  <c r="CZ39" i="158"/>
  <c r="EI39" i="158"/>
  <c r="DA39" i="158"/>
  <c r="CR41" i="36"/>
  <c r="BV41" i="36"/>
  <c r="BW41" i="36"/>
  <c r="E44" i="32"/>
  <c r="F44" i="32" s="1"/>
  <c r="P65" i="20"/>
  <c r="K65" i="10"/>
  <c r="S66" i="30"/>
  <c r="J65" i="20"/>
  <c r="L65" i="20"/>
  <c r="P65" i="10"/>
  <c r="R20" i="156"/>
  <c r="T35" i="155"/>
  <c r="U35" i="155" s="1"/>
  <c r="V35" i="155" s="1"/>
  <c r="R14" i="156"/>
  <c r="R42" i="133"/>
  <c r="R43" i="133" s="1"/>
  <c r="Q32" i="155"/>
  <c r="T42" i="133"/>
  <c r="U21" i="133"/>
  <c r="R32" i="156"/>
  <c r="Q12" i="155"/>
  <c r="Q20" i="155"/>
  <c r="R19" i="156"/>
  <c r="G62" i="163"/>
  <c r="AR22" i="163"/>
  <c r="AS21" i="163"/>
  <c r="AT21" i="163" s="1"/>
  <c r="I59" i="163"/>
  <c r="F60" i="163"/>
  <c r="F61" i="163"/>
  <c r="E60" i="163"/>
  <c r="H56" i="163"/>
  <c r="G60" i="163"/>
  <c r="G61" i="163"/>
  <c r="U39" i="24"/>
  <c r="E27" i="163"/>
  <c r="U36" i="24"/>
  <c r="U55" i="24"/>
  <c r="Y8" i="24"/>
  <c r="R170" i="32" s="1"/>
  <c r="AM79" i="32" s="1"/>
  <c r="T36" i="24"/>
  <c r="L26" i="163" s="1"/>
  <c r="F38" i="24"/>
  <c r="U43" i="24"/>
  <c r="U46" i="10"/>
  <c r="X4" i="156"/>
  <c r="U32" i="24"/>
  <c r="U33" i="24" s="1"/>
  <c r="W33" i="24"/>
  <c r="W13" i="24"/>
  <c r="T49" i="24"/>
  <c r="G50" i="10"/>
  <c r="V50" i="10" s="1"/>
  <c r="D91" i="32"/>
  <c r="R91" i="32" s="1"/>
  <c r="E77" i="117" s="1"/>
  <c r="R94" i="32"/>
  <c r="E80" i="117" s="1"/>
  <c r="U40" i="24"/>
  <c r="W15" i="24"/>
  <c r="D96" i="32"/>
  <c r="W19" i="24"/>
  <c r="E24" i="144"/>
  <c r="J24" i="144" s="1"/>
  <c r="AD21" i="126"/>
  <c r="H23" i="126"/>
  <c r="AD23" i="126"/>
  <c r="AD22" i="126"/>
  <c r="AD24" i="126"/>
  <c r="H49" i="126"/>
  <c r="I49" i="126" s="1"/>
  <c r="J49" i="126" s="1"/>
  <c r="E125" i="144"/>
  <c r="J125" i="144" s="1"/>
  <c r="H50" i="126"/>
  <c r="I50" i="126" s="1"/>
  <c r="J50" i="126" s="1"/>
  <c r="E126" i="144"/>
  <c r="J126" i="144" s="1"/>
  <c r="R172" i="32"/>
  <c r="AM81" i="32"/>
  <c r="E143" i="144"/>
  <c r="J143" i="144" s="1"/>
  <c r="H66" i="126"/>
  <c r="I66" i="126" s="1"/>
  <c r="J66" i="126" s="1"/>
  <c r="E12" i="144"/>
  <c r="J12" i="144" s="1"/>
  <c r="H10" i="126"/>
  <c r="K14" i="126"/>
  <c r="H22" i="126"/>
  <c r="Y183" i="32"/>
  <c r="U15" i="24"/>
  <c r="T57" i="24"/>
  <c r="H15" i="126"/>
  <c r="K24" i="126"/>
  <c r="E11" i="144"/>
  <c r="J11" i="144" s="1"/>
  <c r="E19" i="144"/>
  <c r="J19" i="144" s="1"/>
  <c r="T30" i="24"/>
  <c r="E120" i="144"/>
  <c r="J120" i="144" s="1"/>
  <c r="W18" i="24"/>
  <c r="T43" i="24"/>
  <c r="T55" i="24"/>
  <c r="X36" i="28"/>
  <c r="H25" i="126"/>
  <c r="S43" i="28"/>
  <c r="H12" i="126"/>
  <c r="G39" i="24"/>
  <c r="AC22" i="126"/>
  <c r="S50" i="20"/>
  <c r="E29" i="144"/>
  <c r="J29" i="144" s="1"/>
  <c r="E130" i="144"/>
  <c r="J130" i="144" s="1"/>
  <c r="W14" i="24"/>
  <c r="W21" i="24" s="1"/>
  <c r="Z21" i="24" s="1"/>
  <c r="W17" i="24"/>
  <c r="W35" i="24"/>
  <c r="T58" i="24"/>
  <c r="H6" i="126"/>
  <c r="H17" i="126"/>
  <c r="D99" i="32"/>
  <c r="T32" i="24"/>
  <c r="L22" i="163" s="1"/>
  <c r="AC21" i="126"/>
  <c r="L18" i="163"/>
  <c r="M18" i="163" s="1"/>
  <c r="N18" i="163" s="1"/>
  <c r="AA63" i="163"/>
  <c r="AA64" i="163"/>
  <c r="AM75" i="156"/>
  <c r="AM74" i="156"/>
  <c r="B65" i="18"/>
  <c r="B8" i="18"/>
  <c r="B10" i="18"/>
  <c r="E91" i="117"/>
  <c r="F91" i="117" s="1"/>
  <c r="G91" i="117" s="1"/>
  <c r="S107" i="32"/>
  <c r="T107" i="32" s="1"/>
  <c r="E121" i="100"/>
  <c r="J113" i="100" s="1"/>
  <c r="U14" i="156"/>
  <c r="K106" i="32"/>
  <c r="Y106" i="32" s="1"/>
  <c r="AC45" i="163"/>
  <c r="AC46" i="163"/>
  <c r="AC47" i="163"/>
  <c r="AC48" i="163" s="1"/>
  <c r="FC8" i="158"/>
  <c r="GZ8" i="158"/>
  <c r="B4" i="171"/>
  <c r="B5" i="171" s="1"/>
  <c r="B6" i="171" s="1"/>
  <c r="B7" i="171" s="1"/>
  <c r="B8" i="171" s="1"/>
  <c r="B9" i="171" s="1"/>
  <c r="B10" i="171" s="1"/>
  <c r="B11" i="171" s="1"/>
  <c r="B12" i="171" s="1"/>
  <c r="B13" i="171" s="1"/>
  <c r="B14" i="171" s="1"/>
  <c r="B15" i="171" s="1"/>
  <c r="B16" i="171" s="1"/>
  <c r="B17" i="171" s="1"/>
  <c r="B18" i="171" s="1"/>
  <c r="B19" i="171" s="1"/>
  <c r="B20" i="171" s="1"/>
  <c r="B21" i="171" s="1"/>
  <c r="B22" i="171" s="1"/>
  <c r="B23" i="171" s="1"/>
  <c r="B24" i="171" s="1"/>
  <c r="B25" i="171" s="1"/>
  <c r="B26" i="171" s="1"/>
  <c r="B27" i="171" s="1"/>
  <c r="B28" i="171" s="1"/>
  <c r="B29" i="171" s="1"/>
  <c r="B30" i="171" s="1"/>
  <c r="B31" i="171" s="1"/>
  <c r="B32" i="171" s="1"/>
  <c r="B33" i="171" s="1"/>
  <c r="B34" i="171" s="1"/>
  <c r="A3" i="168"/>
  <c r="M3" i="168" s="1"/>
  <c r="D8" i="136"/>
  <c r="A6" i="159"/>
  <c r="B7" i="77"/>
  <c r="BX40" i="158"/>
  <c r="B85" i="158"/>
  <c r="B9" i="158"/>
  <c r="BD8" i="158"/>
  <c r="B4" i="167"/>
  <c r="B5" i="167" s="1"/>
  <c r="B6" i="167" s="1"/>
  <c r="B7" i="167" s="1"/>
  <c r="B8" i="167" s="1"/>
  <c r="B9" i="167" s="1"/>
  <c r="B10" i="167" s="1"/>
  <c r="B11" i="167" s="1"/>
  <c r="B12" i="167" s="1"/>
  <c r="B13" i="167" s="1"/>
  <c r="B14" i="167" s="1"/>
  <c r="B15" i="167" s="1"/>
  <c r="B16" i="167" s="1"/>
  <c r="B17" i="167" s="1"/>
  <c r="B18" i="167" s="1"/>
  <c r="B19" i="167" s="1"/>
  <c r="B20" i="167" s="1"/>
  <c r="B21" i="167" s="1"/>
  <c r="B22" i="167" s="1"/>
  <c r="B23" i="167" s="1"/>
  <c r="B24" i="167" s="1"/>
  <c r="B25" i="167" s="1"/>
  <c r="B26" i="167" s="1"/>
  <c r="B27" i="167" s="1"/>
  <c r="B28" i="167" s="1"/>
  <c r="B29" i="167" s="1"/>
  <c r="B30" i="167" s="1"/>
  <c r="B31" i="167" s="1"/>
  <c r="B32" i="167" s="1"/>
  <c r="B33" i="167" s="1"/>
  <c r="B34" i="167" s="1"/>
  <c r="X12" i="156"/>
  <c r="L15" i="163"/>
  <c r="E95" i="100"/>
  <c r="O15" i="126"/>
  <c r="P15" i="126" s="1"/>
  <c r="Q15" i="126" s="1"/>
  <c r="T36" i="133"/>
  <c r="U15" i="156"/>
  <c r="V15" i="156" s="1"/>
  <c r="W15" i="156" s="1"/>
  <c r="AE73" i="156"/>
  <c r="AE74" i="156" s="1"/>
  <c r="R29" i="163"/>
  <c r="O32" i="163"/>
  <c r="P32" i="163" s="1"/>
  <c r="Q32" i="163" s="1"/>
  <c r="E90" i="100"/>
  <c r="E204" i="100" s="1"/>
  <c r="E289" i="100" s="1"/>
  <c r="O8" i="126"/>
  <c r="T13" i="24"/>
  <c r="E98" i="100"/>
  <c r="O22" i="126"/>
  <c r="T21" i="133"/>
  <c r="X16" i="156"/>
  <c r="K95" i="32"/>
  <c r="K99" i="32"/>
  <c r="Q10" i="155"/>
  <c r="E115" i="100"/>
  <c r="E114" i="100"/>
  <c r="U19" i="156"/>
  <c r="U22" i="156"/>
  <c r="R31" i="156"/>
  <c r="AL92" i="163"/>
  <c r="AM92" i="163" s="1"/>
  <c r="U13" i="24"/>
  <c r="U16" i="24" s="1"/>
  <c r="E103" i="100"/>
  <c r="O27" i="126"/>
  <c r="K120" i="32"/>
  <c r="E89" i="100"/>
  <c r="E203" i="100" s="1"/>
  <c r="O6" i="126"/>
  <c r="O7" i="126" s="1"/>
  <c r="S34" i="126"/>
  <c r="T34" i="126" s="1"/>
  <c r="O72" i="126"/>
  <c r="P72" i="126" s="1"/>
  <c r="Q72" i="126" s="1"/>
  <c r="U25" i="156"/>
  <c r="E92" i="100"/>
  <c r="E206" i="100" s="1"/>
  <c r="E291" i="100" s="1"/>
  <c r="O10" i="126"/>
  <c r="K111" i="32"/>
  <c r="Y111" i="32" s="1"/>
  <c r="D108" i="32"/>
  <c r="R108" i="32" s="1"/>
  <c r="E92" i="117" s="1"/>
  <c r="X25" i="156"/>
  <c r="R16" i="163"/>
  <c r="Z62" i="163" s="1"/>
  <c r="AA46" i="163"/>
  <c r="Q5" i="155"/>
  <c r="L10" i="163"/>
  <c r="L21" i="163" s="1"/>
  <c r="AB44" i="163" s="1"/>
  <c r="E88" i="100"/>
  <c r="E202" i="100" s="1"/>
  <c r="E87" i="100"/>
  <c r="E201" i="100" s="1"/>
  <c r="E286" i="100" s="1"/>
  <c r="O5" i="126"/>
  <c r="T15" i="24"/>
  <c r="O28" i="126"/>
  <c r="O73" i="126"/>
  <c r="P73" i="126" s="1"/>
  <c r="Q73" i="126" s="1"/>
  <c r="S35" i="126"/>
  <c r="T35" i="126" s="1"/>
  <c r="R96" i="32"/>
  <c r="K123" i="32"/>
  <c r="U20" i="156"/>
  <c r="R5" i="163"/>
  <c r="A9" i="148"/>
  <c r="A10" i="148" s="1"/>
  <c r="A11" i="148" s="1"/>
  <c r="A12" i="148" s="1"/>
  <c r="A13" i="148" s="1"/>
  <c r="A14" i="148" s="1"/>
  <c r="A15" i="148" s="1"/>
  <c r="A16" i="148" s="1"/>
  <c r="A17" i="148" s="1"/>
  <c r="A18" i="148" s="1"/>
  <c r="A19" i="148" s="1"/>
  <c r="A20" i="148" s="1"/>
  <c r="A21" i="148" s="1"/>
  <c r="A22" i="148" s="1"/>
  <c r="A23" i="148" s="1"/>
  <c r="A24" i="148" s="1"/>
  <c r="A25" i="148" s="1"/>
  <c r="A26" i="148" s="1"/>
  <c r="A27" i="148" s="1"/>
  <c r="A28" i="148" s="1"/>
  <c r="K107" i="32"/>
  <c r="Y107" i="32" s="1"/>
  <c r="Z107" i="32" s="1"/>
  <c r="AA107" i="32" s="1"/>
  <c r="K116" i="32"/>
  <c r="Y116" i="32" s="1"/>
  <c r="O4" i="126"/>
  <c r="T14" i="24"/>
  <c r="U9" i="156"/>
  <c r="K91" i="32"/>
  <c r="Y91" i="32" s="1"/>
  <c r="K98" i="32"/>
  <c r="Y98" i="32" s="1"/>
  <c r="K113" i="32"/>
  <c r="Y113" i="32" s="1"/>
  <c r="W8" i="155"/>
  <c r="Q31" i="155"/>
  <c r="X9" i="156"/>
  <c r="U24" i="156"/>
  <c r="L13" i="163"/>
  <c r="L32" i="163"/>
  <c r="M32" i="163" s="1"/>
  <c r="N32" i="163" s="1"/>
  <c r="E99" i="100"/>
  <c r="O23" i="126"/>
  <c r="M62" i="28"/>
  <c r="P9" i="28"/>
  <c r="O62" i="28"/>
  <c r="W197" i="100"/>
  <c r="M83" i="100"/>
  <c r="M197" i="100"/>
  <c r="M110" i="100"/>
  <c r="Q9" i="28"/>
  <c r="B9" i="22"/>
  <c r="O67" i="30"/>
  <c r="C138" i="100"/>
  <c r="C164" i="100" s="1"/>
  <c r="C111" i="100"/>
  <c r="M65" i="10"/>
  <c r="N65" i="10"/>
  <c r="C84" i="100"/>
  <c r="O65" i="10"/>
  <c r="U37" i="30"/>
  <c r="C57" i="100"/>
  <c r="M65" i="20"/>
  <c r="O22" i="20"/>
  <c r="N67" i="30"/>
  <c r="Q62" i="10"/>
  <c r="D146" i="155"/>
  <c r="D147" i="155" s="1"/>
  <c r="C80" i="155"/>
  <c r="E146" i="155"/>
  <c r="E147" i="155" s="1"/>
  <c r="E80" i="155"/>
  <c r="N20" i="156"/>
  <c r="AN50" i="156" s="1"/>
  <c r="F80" i="155"/>
  <c r="E6" i="163"/>
  <c r="J80" i="155"/>
  <c r="G80" i="155"/>
  <c r="N14" i="156"/>
  <c r="AK47" i="156" s="1"/>
  <c r="D80" i="155"/>
  <c r="D81" i="155" s="1"/>
  <c r="AI44" i="155"/>
  <c r="AI45" i="155" s="1"/>
  <c r="N31" i="156"/>
  <c r="E26" i="163"/>
  <c r="AH44" i="155"/>
  <c r="AK118" i="155"/>
  <c r="AK120" i="155" s="1"/>
  <c r="G146" i="155"/>
  <c r="G148" i="155" s="1"/>
  <c r="AJ46" i="155"/>
  <c r="AJ45" i="155"/>
  <c r="AJ120" i="155"/>
  <c r="AJ119" i="155"/>
  <c r="R35" i="155"/>
  <c r="S35" i="155" s="1"/>
  <c r="AK44" i="155"/>
  <c r="AK46" i="155" s="1"/>
  <c r="N4" i="156"/>
  <c r="N5" i="156" s="1"/>
  <c r="H6" i="156"/>
  <c r="I6" i="156" s="1"/>
  <c r="J6" i="156" s="1"/>
  <c r="N16" i="156"/>
  <c r="O16" i="156" s="1"/>
  <c r="P16" i="156" s="1"/>
  <c r="N17" i="156"/>
  <c r="AL47" i="156" s="1"/>
  <c r="AL48" i="156" s="1"/>
  <c r="H19" i="156"/>
  <c r="I19" i="156" s="1"/>
  <c r="J19" i="156" s="1"/>
  <c r="E7" i="163"/>
  <c r="E16" i="163"/>
  <c r="AF21" i="163" s="1"/>
  <c r="AF22" i="163" s="1"/>
  <c r="AF21" i="155"/>
  <c r="AG118" i="155"/>
  <c r="N9" i="156"/>
  <c r="E20" i="163"/>
  <c r="Y21" i="163" s="1"/>
  <c r="Y22" i="163" s="1"/>
  <c r="E22" i="163"/>
  <c r="AG21" i="155"/>
  <c r="AG22" i="155" s="1"/>
  <c r="J39" i="155"/>
  <c r="J40" i="155" s="1"/>
  <c r="AH118" i="155"/>
  <c r="AH119" i="155" s="1"/>
  <c r="C146" i="155"/>
  <c r="N6" i="156"/>
  <c r="O6" i="156" s="1"/>
  <c r="P6" i="156" s="1"/>
  <c r="N19" i="156"/>
  <c r="E11" i="163"/>
  <c r="AH21" i="155"/>
  <c r="AI118" i="155"/>
  <c r="H20" i="156"/>
  <c r="I20" i="156" s="1"/>
  <c r="J20" i="156" s="1"/>
  <c r="E25" i="163"/>
  <c r="E29" i="163"/>
  <c r="N22" i="156"/>
  <c r="O22" i="156" s="1"/>
  <c r="P22" i="156" s="1"/>
  <c r="N28" i="156"/>
  <c r="O28" i="156" s="1"/>
  <c r="P28" i="156" s="1"/>
  <c r="E10" i="163"/>
  <c r="F146" i="155"/>
  <c r="F148" i="155" s="1"/>
  <c r="P62" i="10"/>
  <c r="AD44" i="155"/>
  <c r="AE44" i="155" s="1"/>
  <c r="AC46" i="155"/>
  <c r="AD46" i="155" s="1"/>
  <c r="AE46" i="155" s="1"/>
  <c r="AJ121" i="155"/>
  <c r="AJ67" i="155"/>
  <c r="G147" i="155"/>
  <c r="AJ66" i="155"/>
  <c r="AB56" i="111"/>
  <c r="P38" i="156"/>
  <c r="I8" i="156"/>
  <c r="J8" i="156" s="1"/>
  <c r="N65" i="20"/>
  <c r="P22" i="20"/>
  <c r="Q64" i="30"/>
  <c r="K62" i="10"/>
  <c r="Q62" i="28"/>
  <c r="O9" i="28"/>
  <c r="I65" i="10"/>
  <c r="Q65" i="10"/>
  <c r="N62" i="10"/>
  <c r="V37" i="30"/>
  <c r="N9" i="28"/>
  <c r="AL21" i="156"/>
  <c r="AL23" i="156" s="1"/>
  <c r="J9" i="28"/>
  <c r="F21" i="20"/>
  <c r="F21" i="10" s="1"/>
  <c r="Y38" i="24"/>
  <c r="R197" i="32" s="1"/>
  <c r="AM78" i="32" s="1"/>
  <c r="Y12" i="24"/>
  <c r="Y36" i="24"/>
  <c r="R195" i="32" s="1"/>
  <c r="Y37" i="24"/>
  <c r="R196" i="32" s="1"/>
  <c r="AM77" i="32" s="1"/>
  <c r="Y30" i="24"/>
  <c r="R190" i="32" s="1"/>
  <c r="AM75" i="32" s="1"/>
  <c r="L17" i="156"/>
  <c r="M17" i="156" s="1"/>
  <c r="AL49" i="156"/>
  <c r="O8" i="156"/>
  <c r="P8" i="156" s="1"/>
  <c r="I17" i="156"/>
  <c r="J17" i="156" s="1"/>
  <c r="L9" i="28"/>
  <c r="C59" i="144"/>
  <c r="I59" i="144" s="1"/>
  <c r="D16" i="100"/>
  <c r="CO9" i="22"/>
  <c r="AU8" i="22"/>
  <c r="CO8" i="22"/>
  <c r="D55" i="117"/>
  <c r="F55" i="117" s="1"/>
  <c r="G55" i="117" s="1"/>
  <c r="F56" i="144"/>
  <c r="K56" i="144" s="1"/>
  <c r="D51" i="117"/>
  <c r="F51" i="117" s="1"/>
  <c r="G51" i="117" s="1"/>
  <c r="F15" i="117"/>
  <c r="G15" i="117" s="1"/>
  <c r="D56" i="117"/>
  <c r="F56" i="117" s="1"/>
  <c r="G56" i="117" s="1"/>
  <c r="F59" i="144"/>
  <c r="U11" i="20"/>
  <c r="C103" i="32" s="1"/>
  <c r="F20" i="10"/>
  <c r="V11" i="20"/>
  <c r="Q67" i="30"/>
  <c r="J13" i="20"/>
  <c r="F11" i="10"/>
  <c r="F61" i="10"/>
  <c r="S18" i="30"/>
  <c r="X137" i="32" s="1"/>
  <c r="X138" i="32" s="1"/>
  <c r="Z138" i="32" s="1"/>
  <c r="AA138" i="32" s="1"/>
  <c r="D12" i="156"/>
  <c r="AD48" i="156" s="1"/>
  <c r="AD51" i="156" s="1"/>
  <c r="N13" i="20"/>
  <c r="I26" i="156"/>
  <c r="J26" i="156" s="1"/>
  <c r="O13" i="20"/>
  <c r="D4" i="156"/>
  <c r="I4" i="156" s="1"/>
  <c r="J4" i="156" s="1"/>
  <c r="O27" i="156"/>
  <c r="P27" i="156" s="1"/>
  <c r="I27" i="156"/>
  <c r="J27" i="156" s="1"/>
  <c r="O26" i="156"/>
  <c r="P26" i="156" s="1"/>
  <c r="AF47" i="156"/>
  <c r="AF48" i="156" s="1"/>
  <c r="AE21" i="163"/>
  <c r="E44" i="163"/>
  <c r="AN49" i="156"/>
  <c r="AG21" i="163"/>
  <c r="AG22" i="163" s="1"/>
  <c r="AG23" i="163" s="1"/>
  <c r="AN47" i="156"/>
  <c r="AN48" i="156"/>
  <c r="I62" i="10"/>
  <c r="I9" i="28"/>
  <c r="C42" i="144" s="1"/>
  <c r="P64" i="30"/>
  <c r="M62" i="10"/>
  <c r="O64" i="30"/>
  <c r="L62" i="10"/>
  <c r="S16" i="30"/>
  <c r="X133" i="32" s="1"/>
  <c r="X134" i="32" s="1"/>
  <c r="M59" i="28"/>
  <c r="O62" i="10"/>
  <c r="S14" i="30"/>
  <c r="X130" i="32" s="1"/>
  <c r="X168" i="32" s="1"/>
  <c r="Z168" i="32" s="1"/>
  <c r="AA168" i="32" s="1"/>
  <c r="M9" i="28"/>
  <c r="S63" i="30"/>
  <c r="J62" i="10"/>
  <c r="T22" i="36"/>
  <c r="U22" i="36" s="1"/>
  <c r="M13" i="20"/>
  <c r="K8" i="28"/>
  <c r="S15" i="30"/>
  <c r="X132" i="32" s="1"/>
  <c r="X170" i="32" s="1"/>
  <c r="Z170" i="32" s="1"/>
  <c r="AA170" i="32" s="1"/>
  <c r="S41" i="30"/>
  <c r="X155" i="32" s="1"/>
  <c r="Z155" i="32" s="1"/>
  <c r="AA155" i="32" s="1"/>
  <c r="Q13" i="20"/>
  <c r="O8" i="28"/>
  <c r="P8" i="28"/>
  <c r="S55" i="30"/>
  <c r="X199" i="32" s="1"/>
  <c r="Z199" i="32" s="1"/>
  <c r="AA199" i="32" s="1"/>
  <c r="I22" i="156"/>
  <c r="J22" i="156" s="1"/>
  <c r="AC17" i="28"/>
  <c r="AC34" i="28"/>
  <c r="AB53" i="111"/>
  <c r="K13" i="20"/>
  <c r="S50" i="30"/>
  <c r="S62" i="30"/>
  <c r="AC29" i="28"/>
  <c r="AB52" i="111"/>
  <c r="K22" i="20"/>
  <c r="S17" i="30"/>
  <c r="S34" i="30"/>
  <c r="X148" i="32" s="1"/>
  <c r="X186" i="32" s="1"/>
  <c r="Z186" i="32" s="1"/>
  <c r="AA186" i="32" s="1"/>
  <c r="O20" i="156"/>
  <c r="P20" i="156" s="1"/>
  <c r="I25" i="156"/>
  <c r="J25" i="156" s="1"/>
  <c r="AF50" i="156"/>
  <c r="AF51" i="156" s="1"/>
  <c r="AC16" i="28"/>
  <c r="O19" i="156"/>
  <c r="P19" i="156" s="1"/>
  <c r="AE21" i="156"/>
  <c r="AE23" i="156" s="1"/>
  <c r="S39" i="30"/>
  <c r="X153" i="32" s="1"/>
  <c r="Z153" i="32" s="1"/>
  <c r="AA153" i="32" s="1"/>
  <c r="S43" i="30"/>
  <c r="J8" i="28"/>
  <c r="S35" i="30"/>
  <c r="X149" i="32" s="1"/>
  <c r="X187" i="32" s="1"/>
  <c r="Z187" i="32" s="1"/>
  <c r="AA187" i="32" s="1"/>
  <c r="N64" i="30"/>
  <c r="J65" i="10"/>
  <c r="AF22" i="156"/>
  <c r="AF23" i="156" s="1"/>
  <c r="O25" i="156"/>
  <c r="P25" i="156" s="1"/>
  <c r="S13" i="30"/>
  <c r="X129" i="32" s="1"/>
  <c r="S51" i="30"/>
  <c r="I13" i="20"/>
  <c r="AM22" i="156"/>
  <c r="AM25" i="156" s="1"/>
  <c r="AB54" i="111"/>
  <c r="AB55" i="111"/>
  <c r="M21" i="20"/>
  <c r="Q39" i="156"/>
  <c r="AN51" i="156"/>
  <c r="AN53" i="156" s="1"/>
  <c r="M8" i="28"/>
  <c r="O21" i="156"/>
  <c r="P21" i="156" s="1"/>
  <c r="AN24" i="156"/>
  <c r="L26" i="156"/>
  <c r="M26" i="156" s="1"/>
  <c r="O29" i="156"/>
  <c r="P29" i="156" s="1"/>
  <c r="R40" i="156"/>
  <c r="AE49" i="156"/>
  <c r="N8" i="28"/>
  <c r="C47" i="144"/>
  <c r="I47" i="144" s="1"/>
  <c r="D9" i="100"/>
  <c r="I60" i="28"/>
  <c r="I62" i="28" s="1"/>
  <c r="L19" i="156"/>
  <c r="M19" i="156" s="1"/>
  <c r="O24" i="156"/>
  <c r="P24" i="156" s="1"/>
  <c r="L8" i="28"/>
  <c r="L57" i="28"/>
  <c r="L59" i="28" s="1"/>
  <c r="C50" i="144"/>
  <c r="D10" i="100"/>
  <c r="I21" i="156"/>
  <c r="J21" i="156" s="1"/>
  <c r="I29" i="156"/>
  <c r="J29" i="156" s="1"/>
  <c r="AM50" i="156"/>
  <c r="C53" i="144"/>
  <c r="I53" i="144" s="1"/>
  <c r="D12" i="100"/>
  <c r="AC32" i="28"/>
  <c r="I16" i="156"/>
  <c r="J16" i="156" s="1"/>
  <c r="L20" i="156"/>
  <c r="M20" i="156" s="1"/>
  <c r="AN23" i="156"/>
  <c r="AN25" i="156" s="1"/>
  <c r="I24" i="156"/>
  <c r="J24" i="156" s="1"/>
  <c r="I28" i="156"/>
  <c r="J28" i="156" s="1"/>
  <c r="F23" i="20"/>
  <c r="D56" i="126"/>
  <c r="C43" i="144"/>
  <c r="I43" i="144" s="1"/>
  <c r="D8" i="100"/>
  <c r="I8" i="28"/>
  <c r="I57" i="28"/>
  <c r="I59" i="28" s="1"/>
  <c r="Q8" i="28"/>
  <c r="Q57" i="28"/>
  <c r="Q59" i="28" s="1"/>
  <c r="AC39" i="28"/>
  <c r="AB44" i="111"/>
  <c r="AC20" i="28"/>
  <c r="C62" i="144"/>
  <c r="I62" i="144" s="1"/>
  <c r="D19" i="100"/>
  <c r="C64" i="144"/>
  <c r="I64" i="144" s="1"/>
  <c r="D21" i="100"/>
  <c r="C67" i="144"/>
  <c r="I67" i="144" s="1"/>
  <c r="D24" i="100"/>
  <c r="C69" i="144"/>
  <c r="I69" i="144" s="1"/>
  <c r="D26" i="100"/>
  <c r="C44" i="144"/>
  <c r="D7" i="100"/>
  <c r="P57" i="28"/>
  <c r="P59" i="28" s="1"/>
  <c r="AB60" i="111"/>
  <c r="C61" i="144"/>
  <c r="I61" i="144" s="1"/>
  <c r="D18" i="100"/>
  <c r="C63" i="144"/>
  <c r="I63" i="144" s="1"/>
  <c r="D20" i="100"/>
  <c r="C66" i="144"/>
  <c r="I66" i="144" s="1"/>
  <c r="D23" i="100"/>
  <c r="C68" i="144"/>
  <c r="I68" i="144" s="1"/>
  <c r="D25" i="100"/>
  <c r="AB64" i="111"/>
  <c r="C43" i="36"/>
  <c r="C83" i="36"/>
  <c r="C85" i="36"/>
  <c r="D44" i="36"/>
  <c r="C44" i="36"/>
  <c r="AB61" i="111"/>
  <c r="C92" i="36"/>
  <c r="C90" i="36"/>
  <c r="D45" i="36"/>
  <c r="C45" i="36"/>
  <c r="AB66" i="111"/>
  <c r="T10" i="36"/>
  <c r="U10" i="36" s="1"/>
  <c r="T19" i="36"/>
  <c r="U19" i="36" s="1"/>
  <c r="T21" i="36"/>
  <c r="U21" i="36" s="1"/>
  <c r="T35" i="36"/>
  <c r="U35" i="36" s="1"/>
  <c r="C76" i="36"/>
  <c r="C78" i="36"/>
  <c r="D43" i="36"/>
  <c r="L69" i="20"/>
  <c r="L62" i="20"/>
  <c r="J21" i="20"/>
  <c r="Q22" i="20"/>
  <c r="F63" i="144"/>
  <c r="D60" i="117"/>
  <c r="F60" i="117" s="1"/>
  <c r="G60" i="117" s="1"/>
  <c r="S25" i="30"/>
  <c r="M69" i="20"/>
  <c r="M62" i="20"/>
  <c r="F53" i="144"/>
  <c r="D52" i="117"/>
  <c r="F52" i="117" s="1"/>
  <c r="G52" i="117" s="1"/>
  <c r="D27" i="117"/>
  <c r="L13" i="20"/>
  <c r="N69" i="20"/>
  <c r="N62" i="20"/>
  <c r="F49" i="144"/>
  <c r="K49" i="144" s="1"/>
  <c r="D48" i="117"/>
  <c r="F48" i="117" s="1"/>
  <c r="G48" i="117" s="1"/>
  <c r="D13" i="117"/>
  <c r="V183" i="100"/>
  <c r="I22" i="20"/>
  <c r="D18" i="117" s="1"/>
  <c r="O69" i="20"/>
  <c r="O62" i="20"/>
  <c r="O21" i="20"/>
  <c r="S24" i="30"/>
  <c r="P69" i="20"/>
  <c r="P62" i="20"/>
  <c r="P21" i="20"/>
  <c r="F61" i="144"/>
  <c r="D58" i="117"/>
  <c r="F58" i="117" s="1"/>
  <c r="G58" i="117" s="1"/>
  <c r="I69" i="20"/>
  <c r="I62" i="20"/>
  <c r="Q69" i="20"/>
  <c r="Q62" i="20"/>
  <c r="L22" i="20"/>
  <c r="F64" i="144"/>
  <c r="D61" i="117"/>
  <c r="P13" i="20"/>
  <c r="J69" i="20"/>
  <c r="J62" i="20"/>
  <c r="N22" i="20"/>
  <c r="K69" i="20"/>
  <c r="K62" i="20"/>
  <c r="I21" i="20"/>
  <c r="D17" i="117" s="1"/>
  <c r="F69" i="144"/>
  <c r="D66" i="117"/>
  <c r="F66" i="117" s="1"/>
  <c r="G66" i="117" s="1"/>
  <c r="S20" i="30"/>
  <c r="S47" i="30"/>
  <c r="F68" i="144"/>
  <c r="D65" i="117"/>
  <c r="S36" i="30"/>
  <c r="X150" i="32" s="1"/>
  <c r="S46" i="30"/>
  <c r="S65" i="30"/>
  <c r="F67" i="144"/>
  <c r="D64" i="117"/>
  <c r="F64" i="117" s="1"/>
  <c r="G64" i="117" s="1"/>
  <c r="S54" i="30"/>
  <c r="F74" i="144"/>
  <c r="K74" i="144" s="1"/>
  <c r="D71" i="117"/>
  <c r="F71" i="117" s="1"/>
  <c r="G71" i="117" s="1"/>
  <c r="S42" i="30"/>
  <c r="X156" i="32" s="1"/>
  <c r="F73" i="144"/>
  <c r="K73" i="144" s="1"/>
  <c r="D70" i="117"/>
  <c r="F70" i="117" s="1"/>
  <c r="G70" i="117" s="1"/>
  <c r="S23" i="30"/>
  <c r="X145" i="32" s="1"/>
  <c r="F62" i="144"/>
  <c r="D59" i="117"/>
  <c r="F59" i="117" s="1"/>
  <c r="G59" i="117" s="1"/>
  <c r="F71" i="144"/>
  <c r="K71" i="144" s="1"/>
  <c r="D68" i="117"/>
  <c r="F68" i="117" s="1"/>
  <c r="G68" i="117" s="1"/>
  <c r="F32" i="117"/>
  <c r="G32" i="117" s="1"/>
  <c r="S40" i="30"/>
  <c r="X154" i="32" s="1"/>
  <c r="F70" i="144"/>
  <c r="K70" i="144" s="1"/>
  <c r="D67" i="117"/>
  <c r="AD16" i="18"/>
  <c r="M11" i="18"/>
  <c r="AC9" i="18"/>
  <c r="AM11" i="18"/>
  <c r="AL10" i="18"/>
  <c r="AA16" i="18"/>
  <c r="R17" i="18"/>
  <c r="AO13" i="18"/>
  <c r="F10" i="18"/>
  <c r="AV12" i="18"/>
  <c r="AA9" i="18"/>
  <c r="S17" i="18"/>
  <c r="AU11" i="18"/>
  <c r="S9" i="18"/>
  <c r="AU14" i="18"/>
  <c r="AA17" i="18"/>
  <c r="K10" i="18"/>
  <c r="AU13" i="18"/>
  <c r="AD9" i="18"/>
  <c r="M13" i="18"/>
  <c r="J17" i="18"/>
  <c r="AP9" i="18"/>
  <c r="D9" i="18"/>
  <c r="AM15" i="18"/>
  <c r="V10" i="18"/>
  <c r="J12" i="18"/>
  <c r="S10" i="18"/>
  <c r="AD10" i="18"/>
  <c r="AO14" i="18"/>
  <c r="AM16" i="18"/>
  <c r="J11" i="18"/>
  <c r="AL17" i="18"/>
  <c r="AO16" i="18"/>
  <c r="AV9" i="18"/>
  <c r="E9" i="18"/>
  <c r="T10" i="18"/>
  <c r="AU10" i="18"/>
  <c r="AF16" i="18"/>
  <c r="T11" i="18"/>
  <c r="AU15" i="18"/>
  <c r="AP11" i="18"/>
  <c r="AM9" i="18"/>
  <c r="AL11" i="18"/>
  <c r="C10" i="18"/>
  <c r="AM14" i="18"/>
  <c r="AP17" i="18"/>
  <c r="AO10" i="18"/>
  <c r="AL16" i="18"/>
  <c r="AF17" i="18"/>
  <c r="AV14" i="18"/>
  <c r="AF11" i="18"/>
  <c r="AC17" i="18"/>
  <c r="J10" i="18"/>
  <c r="AP10" i="18"/>
  <c r="V9" i="18"/>
  <c r="AV15" i="18"/>
  <c r="AP16" i="18"/>
  <c r="AA10" i="18"/>
  <c r="AO15" i="18"/>
  <c r="J9" i="18"/>
  <c r="J13" i="18"/>
  <c r="AV10" i="18"/>
  <c r="AM13" i="18"/>
  <c r="K14" i="18"/>
  <c r="T17" i="18"/>
  <c r="M9" i="18"/>
  <c r="M12" i="18"/>
  <c r="E17" i="18"/>
  <c r="S11" i="18"/>
  <c r="K9" i="18"/>
  <c r="K11" i="18"/>
  <c r="J15" i="18"/>
  <c r="C17" i="18"/>
  <c r="D10" i="18"/>
  <c r="AU9" i="18"/>
  <c r="R9" i="18"/>
  <c r="R11" i="18"/>
  <c r="K13" i="18"/>
  <c r="AV11" i="18"/>
  <c r="V11" i="18"/>
  <c r="AM10" i="18"/>
  <c r="AM17" i="18"/>
  <c r="AC10" i="18"/>
  <c r="AD17" i="18"/>
  <c r="M10" i="18"/>
  <c r="AF9" i="18"/>
  <c r="K17" i="18"/>
  <c r="M14" i="18"/>
  <c r="AO12" i="18"/>
  <c r="AV17" i="18"/>
  <c r="K15" i="18"/>
  <c r="AP13" i="18"/>
  <c r="AC16" i="18"/>
  <c r="AM12" i="18"/>
  <c r="J14" i="18"/>
  <c r="V17" i="18"/>
  <c r="AP12" i="18"/>
  <c r="F17" i="18"/>
  <c r="AO9" i="18"/>
  <c r="AP14" i="18"/>
  <c r="C9" i="18"/>
  <c r="AO11" i="18"/>
  <c r="AO17" i="18"/>
  <c r="AL9" i="18"/>
  <c r="E10" i="18"/>
  <c r="T9" i="18"/>
  <c r="M15" i="18"/>
  <c r="F9" i="18"/>
  <c r="AV16" i="18"/>
  <c r="AU16" i="18"/>
  <c r="AF10" i="18"/>
  <c r="K12" i="18"/>
  <c r="D17" i="18"/>
  <c r="AP15" i="18"/>
  <c r="R10" i="18"/>
  <c r="M17" i="18"/>
  <c r="AU12" i="18"/>
  <c r="AU17" i="18"/>
  <c r="AV13" i="18"/>
  <c r="G24" i="18" l="1"/>
  <c r="AK23" i="18"/>
  <c r="N23" i="18"/>
  <c r="P23" i="18" s="1"/>
  <c r="G23" i="18"/>
  <c r="Y23" i="18"/>
  <c r="W23" i="18" s="1"/>
  <c r="G22" i="18"/>
  <c r="AH22" i="18"/>
  <c r="N22" i="18"/>
  <c r="P22" i="18" s="1"/>
  <c r="AK22" i="18"/>
  <c r="G21" i="18"/>
  <c r="AH21" i="18"/>
  <c r="AK21" i="18"/>
  <c r="N21" i="18"/>
  <c r="P21" i="18" s="1"/>
  <c r="AH20" i="18"/>
  <c r="G20" i="18"/>
  <c r="AI20" i="18" s="1"/>
  <c r="N20" i="18"/>
  <c r="P20" i="18" s="1"/>
  <c r="AK20" i="18"/>
  <c r="N19" i="18"/>
  <c r="P19" i="18" s="1"/>
  <c r="G19" i="18"/>
  <c r="AI19" i="18" s="1"/>
  <c r="AH19" i="18"/>
  <c r="AK19" i="18"/>
  <c r="AH18" i="18"/>
  <c r="G18" i="18"/>
  <c r="N18" i="18"/>
  <c r="P18" i="18" s="1"/>
  <c r="AK18" i="18"/>
  <c r="E96" i="100"/>
  <c r="O18" i="126"/>
  <c r="O20" i="126" s="1"/>
  <c r="P20" i="126" s="1"/>
  <c r="Q20" i="126" s="1"/>
  <c r="H85" i="18"/>
  <c r="H83" i="18"/>
  <c r="O17" i="156"/>
  <c r="P17" i="156" s="1"/>
  <c r="AI22" i="18"/>
  <c r="AI18" i="18"/>
  <c r="AI21" i="18"/>
  <c r="E70" i="100"/>
  <c r="Y72" i="32"/>
  <c r="E72" i="100"/>
  <c r="G101" i="144" s="1"/>
  <c r="L101" i="144" s="1"/>
  <c r="Y74" i="32"/>
  <c r="Y61" i="32"/>
  <c r="Y62" i="32" s="1"/>
  <c r="K62" i="32"/>
  <c r="F67" i="117"/>
  <c r="G67" i="117" s="1"/>
  <c r="Z31" i="158"/>
  <c r="Z33" i="158"/>
  <c r="DW38" i="158"/>
  <c r="DX37" i="158"/>
  <c r="DZ38" i="158"/>
  <c r="DY37" i="158"/>
  <c r="DX36" i="158"/>
  <c r="DX8" i="158"/>
  <c r="DY38" i="158"/>
  <c r="DZ37" i="158"/>
  <c r="DZ36" i="158"/>
  <c r="DW37" i="158"/>
  <c r="DX38" i="158"/>
  <c r="DW36" i="158"/>
  <c r="DW8" i="158"/>
  <c r="DZ8" i="158"/>
  <c r="DY36" i="158"/>
  <c r="DY8" i="158"/>
  <c r="DZ35" i="158"/>
  <c r="DZ34" i="158"/>
  <c r="DZ33" i="158"/>
  <c r="DW28" i="158"/>
  <c r="DX27" i="158"/>
  <c r="DX26" i="158"/>
  <c r="DX15" i="158"/>
  <c r="DX10" i="158"/>
  <c r="DY9" i="158"/>
  <c r="DY35" i="158"/>
  <c r="DY34" i="158"/>
  <c r="DY33" i="158"/>
  <c r="DZ31" i="158"/>
  <c r="DW27" i="158"/>
  <c r="DW26" i="158"/>
  <c r="DZ24" i="158"/>
  <c r="DZ23" i="158"/>
  <c r="DW15" i="158"/>
  <c r="DZ11" i="158"/>
  <c r="DX9" i="158"/>
  <c r="DX35" i="158"/>
  <c r="DX34" i="158"/>
  <c r="DX33" i="158"/>
  <c r="DZ32" i="158"/>
  <c r="DY31" i="158"/>
  <c r="DY24" i="158"/>
  <c r="DY23" i="158"/>
  <c r="DZ22" i="158"/>
  <c r="DZ21" i="158"/>
  <c r="DZ20" i="158"/>
  <c r="DZ19" i="158"/>
  <c r="DZ13" i="158"/>
  <c r="DY11" i="158"/>
  <c r="DW9" i="158"/>
  <c r="DW35" i="158"/>
  <c r="DW34" i="158"/>
  <c r="DW33" i="158"/>
  <c r="DY32" i="158"/>
  <c r="DX31" i="158"/>
  <c r="DZ30" i="158"/>
  <c r="DX24" i="158"/>
  <c r="DX23" i="158"/>
  <c r="DY22" i="158"/>
  <c r="DY21" i="158"/>
  <c r="DY20" i="158"/>
  <c r="DY19" i="158"/>
  <c r="DY13" i="158"/>
  <c r="DZ12" i="158"/>
  <c r="DX11" i="158"/>
  <c r="DW32" i="158"/>
  <c r="DX30" i="158"/>
  <c r="DY27" i="158"/>
  <c r="DW22" i="158"/>
  <c r="DW20" i="158"/>
  <c r="DY18" i="158"/>
  <c r="DY16" i="158"/>
  <c r="DY15" i="158"/>
  <c r="DY14" i="158"/>
  <c r="DZ29" i="158"/>
  <c r="DX28" i="158"/>
  <c r="DZ26" i="158"/>
  <c r="DW23" i="158"/>
  <c r="DX19" i="158"/>
  <c r="DW30" i="158"/>
  <c r="DZ28" i="158"/>
  <c r="DX18" i="158"/>
  <c r="DX16" i="158"/>
  <c r="DX14" i="158"/>
  <c r="DY12" i="158"/>
  <c r="DW31" i="158"/>
  <c r="DZ25" i="158"/>
  <c r="DX21" i="158"/>
  <c r="DZ17" i="158"/>
  <c r="DY28" i="158"/>
  <c r="DW18" i="158"/>
  <c r="DW16" i="158"/>
  <c r="DW14" i="158"/>
  <c r="DX12" i="158"/>
  <c r="DW29" i="158"/>
  <c r="DW17" i="158"/>
  <c r="DY29" i="158"/>
  <c r="DY26" i="158"/>
  <c r="DY25" i="158"/>
  <c r="DW21" i="158"/>
  <c r="DW19" i="158"/>
  <c r="DY17" i="158"/>
  <c r="DX13" i="158"/>
  <c r="DX29" i="158"/>
  <c r="DX25" i="158"/>
  <c r="DX17" i="158"/>
  <c r="DZ9" i="158"/>
  <c r="DZ10" i="158"/>
  <c r="DW25" i="158"/>
  <c r="DY30" i="158"/>
  <c r="DW24" i="158"/>
  <c r="DZ14" i="158"/>
  <c r="DX22" i="158"/>
  <c r="DZ15" i="158"/>
  <c r="DY10" i="158"/>
  <c r="DX20" i="158"/>
  <c r="DZ27" i="158"/>
  <c r="DX32" i="158"/>
  <c r="DZ18" i="158"/>
  <c r="DZ16" i="158"/>
  <c r="E76" i="100"/>
  <c r="Y78" i="32"/>
  <c r="E59" i="100"/>
  <c r="Y53" i="32"/>
  <c r="G28" i="144"/>
  <c r="L28" i="144" s="1"/>
  <c r="J36" i="100"/>
  <c r="AX35" i="100"/>
  <c r="E183" i="100"/>
  <c r="E140" i="100"/>
  <c r="J5" i="100"/>
  <c r="P5" i="100" s="1"/>
  <c r="EH38" i="158"/>
  <c r="CO39" i="36" s="1"/>
  <c r="EF36" i="158"/>
  <c r="CM37" i="36" s="1"/>
  <c r="EG38" i="158"/>
  <c r="CN39" i="36" s="1"/>
  <c r="EG36" i="158"/>
  <c r="CN37" i="36" s="1"/>
  <c r="EF37" i="158"/>
  <c r="CM38" i="36" s="1"/>
  <c r="EE36" i="158"/>
  <c r="CL37" i="36" s="1"/>
  <c r="EF38" i="158"/>
  <c r="CM39" i="36" s="1"/>
  <c r="EH36" i="158"/>
  <c r="CO37" i="36" s="1"/>
  <c r="EH37" i="158"/>
  <c r="CO38" i="36" s="1"/>
  <c r="EG8" i="158"/>
  <c r="EE38" i="158"/>
  <c r="CL39" i="36" s="1"/>
  <c r="EE37" i="158"/>
  <c r="CL38" i="36" s="1"/>
  <c r="EH8" i="158"/>
  <c r="EF8" i="158"/>
  <c r="EG37" i="158"/>
  <c r="CN38" i="36" s="1"/>
  <c r="EE8" i="158"/>
  <c r="EF32" i="158"/>
  <c r="CM33" i="36" s="1"/>
  <c r="EE31" i="158"/>
  <c r="CL32" i="36" s="1"/>
  <c r="EG30" i="158"/>
  <c r="CN31" i="36" s="1"/>
  <c r="EH29" i="158"/>
  <c r="CO30" i="36" s="1"/>
  <c r="EH25" i="158"/>
  <c r="CO26" i="36" s="1"/>
  <c r="EE24" i="158"/>
  <c r="CL25" i="36" s="1"/>
  <c r="EE23" i="158"/>
  <c r="CL24" i="36" s="1"/>
  <c r="EF22" i="158"/>
  <c r="CM23" i="36" s="1"/>
  <c r="EF21" i="158"/>
  <c r="CM22" i="36" s="1"/>
  <c r="EF20" i="158"/>
  <c r="CM21" i="36" s="1"/>
  <c r="EF19" i="158"/>
  <c r="CM20" i="36" s="1"/>
  <c r="EH18" i="158"/>
  <c r="CO19" i="36" s="1"/>
  <c r="EH17" i="158"/>
  <c r="CO18" i="36" s="1"/>
  <c r="EH16" i="158"/>
  <c r="CO17" i="36" s="1"/>
  <c r="EH14" i="158"/>
  <c r="CO15" i="36" s="1"/>
  <c r="EF13" i="158"/>
  <c r="CM14" i="36" s="1"/>
  <c r="EG12" i="158"/>
  <c r="CN13" i="36" s="1"/>
  <c r="EE32" i="158"/>
  <c r="CL33" i="36" s="1"/>
  <c r="EF30" i="158"/>
  <c r="CM31" i="36" s="1"/>
  <c r="EG29" i="158"/>
  <c r="CN30" i="36" s="1"/>
  <c r="EH28" i="158"/>
  <c r="CO29" i="36" s="1"/>
  <c r="EG25" i="158"/>
  <c r="CN26" i="36" s="1"/>
  <c r="EE22" i="158"/>
  <c r="CL23" i="36" s="1"/>
  <c r="EE21" i="158"/>
  <c r="CL22" i="36" s="1"/>
  <c r="EE20" i="158"/>
  <c r="CL21" i="36" s="1"/>
  <c r="EE19" i="158"/>
  <c r="CL20" i="36" s="1"/>
  <c r="EG18" i="158"/>
  <c r="CN19" i="36" s="1"/>
  <c r="EG17" i="158"/>
  <c r="CN18" i="36" s="1"/>
  <c r="EG16" i="158"/>
  <c r="CN17" i="36" s="1"/>
  <c r="EG14" i="158"/>
  <c r="CN15" i="36" s="1"/>
  <c r="EF12" i="158"/>
  <c r="CM13" i="36" s="1"/>
  <c r="EE30" i="158"/>
  <c r="CL31" i="36" s="1"/>
  <c r="EF29" i="158"/>
  <c r="CM30" i="36" s="1"/>
  <c r="EG28" i="158"/>
  <c r="CN29" i="36" s="1"/>
  <c r="EH27" i="158"/>
  <c r="CO28" i="36" s="1"/>
  <c r="EH26" i="158"/>
  <c r="CO27" i="36" s="1"/>
  <c r="EF25" i="158"/>
  <c r="CM26" i="36" s="1"/>
  <c r="EF18" i="158"/>
  <c r="CM19" i="36" s="1"/>
  <c r="EF17" i="158"/>
  <c r="CM18" i="36" s="1"/>
  <c r="EF16" i="158"/>
  <c r="CM17" i="36" s="1"/>
  <c r="EH15" i="158"/>
  <c r="CO16" i="36" s="1"/>
  <c r="EF14" i="158"/>
  <c r="CM15" i="36" s="1"/>
  <c r="EH10" i="158"/>
  <c r="CO11" i="36" s="1"/>
  <c r="EE29" i="158"/>
  <c r="CL30" i="36" s="1"/>
  <c r="EF28" i="158"/>
  <c r="CM29" i="36" s="1"/>
  <c r="EG27" i="158"/>
  <c r="CN28" i="36" s="1"/>
  <c r="EG26" i="158"/>
  <c r="CN27" i="36" s="1"/>
  <c r="EE25" i="158"/>
  <c r="CL26" i="36" s="1"/>
  <c r="EE18" i="158"/>
  <c r="CL19" i="36" s="1"/>
  <c r="EE17" i="158"/>
  <c r="CL18" i="36" s="1"/>
  <c r="EE16" i="158"/>
  <c r="CL17" i="36" s="1"/>
  <c r="EG15" i="158"/>
  <c r="CN16" i="36" s="1"/>
  <c r="EE14" i="158"/>
  <c r="CL15" i="36" s="1"/>
  <c r="EG10" i="158"/>
  <c r="CN11" i="36" s="1"/>
  <c r="EH9" i="158"/>
  <c r="CO10" i="36" s="1"/>
  <c r="EG35" i="158"/>
  <c r="CN36" i="36" s="1"/>
  <c r="EG33" i="158"/>
  <c r="CN34" i="36" s="1"/>
  <c r="EH31" i="158"/>
  <c r="CO32" i="36" s="1"/>
  <c r="EE28" i="158"/>
  <c r="CL29" i="36" s="1"/>
  <c r="EH23" i="158"/>
  <c r="CO24" i="36" s="1"/>
  <c r="EF9" i="158"/>
  <c r="CM10" i="36" s="1"/>
  <c r="EG32" i="158"/>
  <c r="CN33" i="36" s="1"/>
  <c r="EF35" i="158"/>
  <c r="CM36" i="36" s="1"/>
  <c r="EF33" i="158"/>
  <c r="CM34" i="36" s="1"/>
  <c r="EG31" i="158"/>
  <c r="CN32" i="36" s="1"/>
  <c r="EF26" i="158"/>
  <c r="CM27" i="36" s="1"/>
  <c r="EG23" i="158"/>
  <c r="CN24" i="36" s="1"/>
  <c r="EH21" i="158"/>
  <c r="CO22" i="36" s="1"/>
  <c r="EH19" i="158"/>
  <c r="CO20" i="36" s="1"/>
  <c r="EH13" i="158"/>
  <c r="CO14" i="36" s="1"/>
  <c r="EH34" i="158"/>
  <c r="CO35" i="36" s="1"/>
  <c r="EG11" i="158"/>
  <c r="CN12" i="36" s="1"/>
  <c r="EE35" i="158"/>
  <c r="CL36" i="36" s="1"/>
  <c r="EE33" i="158"/>
  <c r="CL34" i="36" s="1"/>
  <c r="EF31" i="158"/>
  <c r="CM32" i="36" s="1"/>
  <c r="EE26" i="158"/>
  <c r="CL27" i="36" s="1"/>
  <c r="EF23" i="158"/>
  <c r="CM24" i="36" s="1"/>
  <c r="EG21" i="158"/>
  <c r="CN22" i="36" s="1"/>
  <c r="EG19" i="158"/>
  <c r="CN20" i="36" s="1"/>
  <c r="EG13" i="158"/>
  <c r="CN14" i="36" s="1"/>
  <c r="EH11" i="158"/>
  <c r="CO12" i="36" s="1"/>
  <c r="EG9" i="158"/>
  <c r="CN10" i="36" s="1"/>
  <c r="EH30" i="158"/>
  <c r="CO31" i="36" s="1"/>
  <c r="EE27" i="158"/>
  <c r="CL28" i="36" s="1"/>
  <c r="EE15" i="158"/>
  <c r="CL16" i="36" s="1"/>
  <c r="EG34" i="158"/>
  <c r="CN35" i="36" s="1"/>
  <c r="EH24" i="158"/>
  <c r="CO25" i="36" s="1"/>
  <c r="EF11" i="158"/>
  <c r="CM12" i="36" s="1"/>
  <c r="EF10" i="158"/>
  <c r="CM11" i="36" s="1"/>
  <c r="EE9" i="158"/>
  <c r="CL10" i="36" s="1"/>
  <c r="EF34" i="158"/>
  <c r="CM35" i="36" s="1"/>
  <c r="EH32" i="158"/>
  <c r="CO33" i="36" s="1"/>
  <c r="EF27" i="158"/>
  <c r="CM28" i="36" s="1"/>
  <c r="EG24" i="158"/>
  <c r="CN25" i="36" s="1"/>
  <c r="EH22" i="158"/>
  <c r="CO23" i="36" s="1"/>
  <c r="EH20" i="158"/>
  <c r="CO21" i="36" s="1"/>
  <c r="EF15" i="158"/>
  <c r="CM16" i="36" s="1"/>
  <c r="EE34" i="158"/>
  <c r="CL35" i="36" s="1"/>
  <c r="EF24" i="158"/>
  <c r="CM25" i="36" s="1"/>
  <c r="EG22" i="158"/>
  <c r="CN23" i="36" s="1"/>
  <c r="EG20" i="158"/>
  <c r="CN21" i="36" s="1"/>
  <c r="EH35" i="158"/>
  <c r="CO36" i="36" s="1"/>
  <c r="EH33" i="158"/>
  <c r="CO34" i="36" s="1"/>
  <c r="EH12" i="158"/>
  <c r="CO13" i="36" s="1"/>
  <c r="L20" i="32"/>
  <c r="M20" i="32" s="1"/>
  <c r="D88" i="144"/>
  <c r="I88" i="144" s="1"/>
  <c r="E184" i="100"/>
  <c r="J38" i="100"/>
  <c r="G29" i="144"/>
  <c r="L29" i="144" s="1"/>
  <c r="AX36" i="100"/>
  <c r="E77" i="100"/>
  <c r="G106" i="144" s="1"/>
  <c r="L106" i="144" s="1"/>
  <c r="Y79" i="32"/>
  <c r="E64" i="100"/>
  <c r="G91" i="144" s="1"/>
  <c r="L91" i="144" s="1"/>
  <c r="Y66" i="32"/>
  <c r="J254" i="100"/>
  <c r="E238" i="100"/>
  <c r="J226" i="100" s="1"/>
  <c r="E71" i="100"/>
  <c r="Y73" i="32"/>
  <c r="G25" i="144"/>
  <c r="L25" i="144" s="1"/>
  <c r="E180" i="100"/>
  <c r="E267" i="100" s="1"/>
  <c r="E240" i="100" s="1"/>
  <c r="G18" i="144"/>
  <c r="L18" i="144" s="1"/>
  <c r="F42" i="100"/>
  <c r="G42" i="100" s="1"/>
  <c r="E175" i="100"/>
  <c r="J34" i="100"/>
  <c r="G21" i="144"/>
  <c r="L21" i="144" s="1"/>
  <c r="E176" i="100"/>
  <c r="AG34" i="100"/>
  <c r="AX34" i="100" s="1"/>
  <c r="E75" i="100"/>
  <c r="Y77" i="32"/>
  <c r="E185" i="100"/>
  <c r="E272" i="100" s="1"/>
  <c r="E245" i="100" s="1"/>
  <c r="G30" i="144"/>
  <c r="L30" i="144" s="1"/>
  <c r="G24" i="144"/>
  <c r="L24" i="144" s="1"/>
  <c r="J37" i="100"/>
  <c r="E179" i="100"/>
  <c r="AG36" i="100"/>
  <c r="E67" i="100"/>
  <c r="Y69" i="32"/>
  <c r="N4" i="177"/>
  <c r="IH8" i="158"/>
  <c r="E65" i="117"/>
  <c r="H30" i="144" s="1"/>
  <c r="M30" i="144" s="1"/>
  <c r="Q29" i="126"/>
  <c r="E30" i="144" s="1"/>
  <c r="J30" i="144" s="1"/>
  <c r="E172" i="100"/>
  <c r="E259" i="100" s="1"/>
  <c r="G15" i="144"/>
  <c r="L15" i="144" s="1"/>
  <c r="Y56" i="32"/>
  <c r="E61" i="100"/>
  <c r="G82" i="144" s="1"/>
  <c r="L82" i="144" s="1"/>
  <c r="B28" i="177"/>
  <c r="CB27" i="177"/>
  <c r="CF26" i="177"/>
  <c r="CJ26" i="177" s="1"/>
  <c r="CN26" i="177" s="1"/>
  <c r="CR26" i="177" s="1"/>
  <c r="CW26" i="177"/>
  <c r="DA26" i="177" s="1"/>
  <c r="DE26" i="177" s="1"/>
  <c r="DI26" i="177" s="1"/>
  <c r="DM26" i="177" s="1"/>
  <c r="DQ26" i="177" s="1"/>
  <c r="DU26" i="177" s="1"/>
  <c r="AK9" i="18"/>
  <c r="AJ9" i="18"/>
  <c r="BV9" i="18" s="1"/>
  <c r="AQ17" i="18"/>
  <c r="AR17" i="18" s="1"/>
  <c r="U17" i="18"/>
  <c r="Y17" i="18" s="1"/>
  <c r="W17" i="18" s="1"/>
  <c r="H17" i="18"/>
  <c r="AN17" i="18"/>
  <c r="AJ17" i="18"/>
  <c r="BV17" i="18" s="1"/>
  <c r="AG17" i="18"/>
  <c r="AH17" i="18"/>
  <c r="AK17" i="18"/>
  <c r="N17" i="18"/>
  <c r="P17" i="18" s="1"/>
  <c r="G17" i="18"/>
  <c r="AI17" i="18" s="1"/>
  <c r="AQ16" i="18"/>
  <c r="AR16" i="18" s="1"/>
  <c r="AF16" i="36"/>
  <c r="AI17" i="36" s="1"/>
  <c r="AN16" i="18"/>
  <c r="AG16" i="36"/>
  <c r="AJ17" i="36" s="1"/>
  <c r="U24" i="36"/>
  <c r="U28" i="36"/>
  <c r="AQ14" i="18"/>
  <c r="AR14" i="18" s="1"/>
  <c r="AQ15" i="18"/>
  <c r="AR15" i="18" s="1"/>
  <c r="H14" i="18"/>
  <c r="H15" i="18"/>
  <c r="AQ12" i="18"/>
  <c r="AR12" i="18" s="1"/>
  <c r="AQ13" i="18"/>
  <c r="AR13" i="18" s="1"/>
  <c r="H13" i="18"/>
  <c r="H12" i="18"/>
  <c r="AN10" i="18"/>
  <c r="H11" i="18"/>
  <c r="AB10" i="18"/>
  <c r="AJ10" i="18"/>
  <c r="BV10" i="18" s="1"/>
  <c r="AG11" i="36"/>
  <c r="AJ12" i="36" s="1"/>
  <c r="U11" i="18"/>
  <c r="AG10" i="18"/>
  <c r="H10" i="18"/>
  <c r="AN11" i="18"/>
  <c r="AF11" i="36"/>
  <c r="AI12" i="36" s="1"/>
  <c r="U10" i="18"/>
  <c r="AQ10" i="18"/>
  <c r="AR10" i="18" s="1"/>
  <c r="AQ11" i="18"/>
  <c r="AR11" i="18" s="1"/>
  <c r="AE47" i="156"/>
  <c r="AE48" i="156" s="1"/>
  <c r="AG48" i="156" s="1"/>
  <c r="AM49" i="156"/>
  <c r="BW34" i="150"/>
  <c r="U11" i="36"/>
  <c r="U25" i="36"/>
  <c r="BW15" i="150"/>
  <c r="U14" i="36"/>
  <c r="J41" i="100"/>
  <c r="J67" i="100"/>
  <c r="J94" i="100"/>
  <c r="J121" i="100"/>
  <c r="J146" i="100"/>
  <c r="J233" i="100"/>
  <c r="J259" i="100" s="1"/>
  <c r="R55" i="32"/>
  <c r="E43" i="117" s="1"/>
  <c r="H5" i="144" s="1"/>
  <c r="M5" i="144" s="1"/>
  <c r="E46" i="117"/>
  <c r="H8" i="144" s="1"/>
  <c r="M8" i="144" s="1"/>
  <c r="K16" i="32"/>
  <c r="K57" i="32"/>
  <c r="D83" i="144"/>
  <c r="I83" i="144" s="1"/>
  <c r="K12" i="32"/>
  <c r="D80" i="144" s="1"/>
  <c r="I80" i="144" s="1"/>
  <c r="D9" i="117"/>
  <c r="I14" i="20"/>
  <c r="G10" i="18"/>
  <c r="N10" i="18"/>
  <c r="P10" i="18" s="1"/>
  <c r="AH10" i="18"/>
  <c r="Y10" i="18"/>
  <c r="W10" i="18" s="1"/>
  <c r="AK10" i="18"/>
  <c r="F14" i="20"/>
  <c r="F14" i="10" s="1"/>
  <c r="F18" i="10"/>
  <c r="F22" i="20"/>
  <c r="F22" i="10" s="1"/>
  <c r="F24" i="10"/>
  <c r="S174" i="32"/>
  <c r="T174" i="32" s="1"/>
  <c r="AM80" i="32"/>
  <c r="AJ71" i="24"/>
  <c r="AJ74" i="24" s="1"/>
  <c r="AK71" i="24"/>
  <c r="AK74" i="24" s="1"/>
  <c r="AD74" i="24"/>
  <c r="AN71" i="24"/>
  <c r="AN74" i="24" s="1"/>
  <c r="AF71" i="24"/>
  <c r="AM71" i="24"/>
  <c r="AM74" i="24" s="1"/>
  <c r="AL71" i="24"/>
  <c r="AL74" i="24" s="1"/>
  <c r="AI71" i="24"/>
  <c r="Y35" i="24"/>
  <c r="R194" i="32" s="1"/>
  <c r="AM74" i="32" s="1"/>
  <c r="Y17" i="24"/>
  <c r="R186" i="32" s="1"/>
  <c r="AH8" i="22"/>
  <c r="AG9" i="22"/>
  <c r="U9" i="18"/>
  <c r="Y9" i="18" s="1"/>
  <c r="AH9" i="18"/>
  <c r="N9" i="18"/>
  <c r="AN9" i="18"/>
  <c r="AG9" i="18"/>
  <c r="H9" i="18"/>
  <c r="H2" i="18" s="1"/>
  <c r="AQ9" i="18"/>
  <c r="AR9" i="18" s="1"/>
  <c r="AG8" i="22"/>
  <c r="AE76" i="24"/>
  <c r="AH71" i="24"/>
  <c r="AE72" i="24"/>
  <c r="F62" i="20"/>
  <c r="F69" i="20"/>
  <c r="F68" i="20" s="1"/>
  <c r="F13" i="20"/>
  <c r="F13" i="10" s="1"/>
  <c r="F63" i="20"/>
  <c r="S46" i="10"/>
  <c r="AT16" i="156"/>
  <c r="R17" i="156" s="1"/>
  <c r="AN65" i="155"/>
  <c r="BW9" i="150"/>
  <c r="M9" i="36"/>
  <c r="E147" i="147"/>
  <c r="F105" i="147"/>
  <c r="F63" i="147"/>
  <c r="G4" i="147"/>
  <c r="F58" i="147"/>
  <c r="P8" i="22"/>
  <c r="BW23" i="150"/>
  <c r="BW14" i="150"/>
  <c r="BW28" i="150"/>
  <c r="BW19" i="150"/>
  <c r="U13" i="36"/>
  <c r="X30" i="158"/>
  <c r="Z30" i="158" s="1"/>
  <c r="AU9" i="22"/>
  <c r="Y10" i="158"/>
  <c r="Z10" i="158" s="1"/>
  <c r="N8" i="158"/>
  <c r="I50" i="144"/>
  <c r="EI40" i="158"/>
  <c r="I13" i="156"/>
  <c r="J13" i="156" s="1"/>
  <c r="M19" i="36"/>
  <c r="AG19" i="36" s="1"/>
  <c r="Q18" i="148"/>
  <c r="X19" i="158"/>
  <c r="Z19" i="158" s="1"/>
  <c r="Y17" i="158"/>
  <c r="Z17" i="158" s="1"/>
  <c r="D13" i="100"/>
  <c r="E54" i="144" s="1"/>
  <c r="J54" i="144" s="1"/>
  <c r="N30" i="158"/>
  <c r="AL31" i="158" s="1"/>
  <c r="M31" i="36"/>
  <c r="AG31" i="36" s="1"/>
  <c r="M10" i="36"/>
  <c r="N9" i="158"/>
  <c r="AL10" i="158" s="1"/>
  <c r="Y16" i="158"/>
  <c r="X16" i="158"/>
  <c r="X14" i="158"/>
  <c r="Y14" i="158"/>
  <c r="M35" i="36"/>
  <c r="AG35" i="36" s="1"/>
  <c r="N34" i="158"/>
  <c r="AL35" i="158" s="1"/>
  <c r="M16" i="36"/>
  <c r="N15" i="158"/>
  <c r="AL16" i="158" s="1"/>
  <c r="AO17" i="158" s="1"/>
  <c r="AJ24" i="161"/>
  <c r="AK24" i="161" s="1"/>
  <c r="AL24" i="161" s="1"/>
  <c r="Q27" i="148"/>
  <c r="BL27" i="148" s="1"/>
  <c r="BN27" i="148" s="1"/>
  <c r="Y26" i="158"/>
  <c r="X26" i="158"/>
  <c r="M34" i="36"/>
  <c r="AG34" i="36" s="1"/>
  <c r="N33" i="158"/>
  <c r="AL34" i="158" s="1"/>
  <c r="M25" i="36"/>
  <c r="N24" i="158"/>
  <c r="AL25" i="158" s="1"/>
  <c r="M24" i="36"/>
  <c r="AG24" i="36" s="1"/>
  <c r="N23" i="158"/>
  <c r="AL24" i="158" s="1"/>
  <c r="M13" i="36"/>
  <c r="N12" i="158"/>
  <c r="AL13" i="158" s="1"/>
  <c r="X12" i="158"/>
  <c r="Y12" i="158"/>
  <c r="Y9" i="158"/>
  <c r="R9" i="22" s="1"/>
  <c r="X9" i="158"/>
  <c r="X15" i="158"/>
  <c r="Y15" i="158"/>
  <c r="M21" i="36"/>
  <c r="AG21" i="36" s="1"/>
  <c r="Y22" i="158"/>
  <c r="X22" i="158"/>
  <c r="X23" i="158"/>
  <c r="Y23" i="158"/>
  <c r="O37" i="156"/>
  <c r="O40" i="156" s="1"/>
  <c r="O14" i="156"/>
  <c r="P14" i="156" s="1"/>
  <c r="AK48" i="156"/>
  <c r="AK49" i="156" s="1"/>
  <c r="AK20" i="156"/>
  <c r="AK22" i="156" s="1"/>
  <c r="I14" i="156"/>
  <c r="J14" i="156" s="1"/>
  <c r="AM8" i="158"/>
  <c r="R57" i="115" s="1"/>
  <c r="S57" i="115" s="1"/>
  <c r="BW33" i="150"/>
  <c r="BW25" i="150"/>
  <c r="BW17" i="150"/>
  <c r="BW16" i="150"/>
  <c r="BW27" i="150"/>
  <c r="D14" i="100"/>
  <c r="D66" i="100" s="1"/>
  <c r="Y34" i="158"/>
  <c r="Z34" i="158" s="1"/>
  <c r="M11" i="36"/>
  <c r="T31" i="148"/>
  <c r="AC31" i="148" s="1"/>
  <c r="AD31" i="148" s="1"/>
  <c r="T25" i="148"/>
  <c r="AC25" i="148" s="1"/>
  <c r="AD25" i="148" s="1"/>
  <c r="L13" i="156"/>
  <c r="M13" i="156" s="1"/>
  <c r="M15" i="36"/>
  <c r="AG15" i="36" s="1"/>
  <c r="M12" i="36"/>
  <c r="M23" i="36"/>
  <c r="AG23" i="36" s="1"/>
  <c r="T21" i="148"/>
  <c r="V21" i="148" s="1"/>
  <c r="X21" i="148" s="1"/>
  <c r="Z21" i="148" s="1"/>
  <c r="AA21" i="148" s="1"/>
  <c r="AB21" i="148" s="1"/>
  <c r="M28" i="36"/>
  <c r="AG28" i="36" s="1"/>
  <c r="M17" i="36"/>
  <c r="M14" i="36"/>
  <c r="AG14" i="36" s="1"/>
  <c r="M32" i="36"/>
  <c r="AG32" i="36" s="1"/>
  <c r="M33" i="36"/>
  <c r="AG33" i="36" s="1"/>
  <c r="Q31" i="150"/>
  <c r="BI31" i="150" s="1"/>
  <c r="BK31" i="150" s="1"/>
  <c r="T25" i="150"/>
  <c r="Q32" i="150"/>
  <c r="BI32" i="150" s="1"/>
  <c r="BK32" i="150" s="1"/>
  <c r="T28" i="150"/>
  <c r="Q19" i="150"/>
  <c r="BI19" i="150" s="1"/>
  <c r="BK19" i="150" s="1"/>
  <c r="BL29" i="148"/>
  <c r="BN29" i="148" s="1"/>
  <c r="Q29" i="150"/>
  <c r="BI29" i="150" s="1"/>
  <c r="BK29" i="150" s="1"/>
  <c r="P15" i="150"/>
  <c r="BL24" i="148"/>
  <c r="BN24" i="148" s="1"/>
  <c r="Q24" i="150"/>
  <c r="BI24" i="150" s="1"/>
  <c r="BK24" i="150" s="1"/>
  <c r="BL35" i="148"/>
  <c r="BN35" i="148" s="1"/>
  <c r="Q35" i="150"/>
  <c r="BI35" i="150" s="1"/>
  <c r="BK35" i="150" s="1"/>
  <c r="Q36" i="150"/>
  <c r="BI36" i="150" s="1"/>
  <c r="BK36" i="150" s="1"/>
  <c r="BL21" i="148"/>
  <c r="BN21" i="148" s="1"/>
  <c r="Q21" i="150"/>
  <c r="BI21" i="150" s="1"/>
  <c r="BK21" i="150" s="1"/>
  <c r="BL13" i="148"/>
  <c r="BN13" i="148" s="1"/>
  <c r="T11" i="150"/>
  <c r="AC11" i="150" s="1"/>
  <c r="AD11" i="150" s="1"/>
  <c r="BL33" i="148"/>
  <c r="BN33" i="148" s="1"/>
  <c r="T33" i="150"/>
  <c r="AW48" i="148"/>
  <c r="AW49" i="148"/>
  <c r="AW50" i="148"/>
  <c r="AW51" i="148"/>
  <c r="AW52" i="148"/>
  <c r="AX60" i="148"/>
  <c r="AW46" i="148" s="1"/>
  <c r="AW47" i="148"/>
  <c r="BW32" i="150"/>
  <c r="BW11" i="150"/>
  <c r="BW22" i="150"/>
  <c r="BW35" i="150"/>
  <c r="BW10" i="150"/>
  <c r="BW12" i="150"/>
  <c r="BW29" i="150"/>
  <c r="BW36" i="150"/>
  <c r="R34" i="148"/>
  <c r="S34" i="148" s="1"/>
  <c r="P34" i="148"/>
  <c r="Q34" i="148" s="1"/>
  <c r="R16" i="148"/>
  <c r="S16" i="148" s="1"/>
  <c r="P16" i="148"/>
  <c r="Q16" i="148" s="1"/>
  <c r="R22" i="148"/>
  <c r="S22" i="148" s="1"/>
  <c r="P22" i="148"/>
  <c r="Q22" i="148" s="1"/>
  <c r="T13" i="148"/>
  <c r="BL12" i="158" s="1"/>
  <c r="T36" i="148"/>
  <c r="R20" i="148"/>
  <c r="S20" i="148" s="1"/>
  <c r="P20" i="148"/>
  <c r="Q20" i="148" s="1"/>
  <c r="T11" i="148"/>
  <c r="R12" i="148"/>
  <c r="S12" i="148" s="1"/>
  <c r="P12" i="148"/>
  <c r="Q12" i="148" s="1"/>
  <c r="T33" i="148"/>
  <c r="BL32" i="158" s="1"/>
  <c r="R10" i="148"/>
  <c r="S10" i="148" s="1"/>
  <c r="P10" i="148"/>
  <c r="Q10" i="148" s="1"/>
  <c r="T30" i="148"/>
  <c r="T28" i="148"/>
  <c r="T19" i="148"/>
  <c r="T32" i="148"/>
  <c r="T27" i="148"/>
  <c r="BL26" i="158" s="1"/>
  <c r="R17" i="148"/>
  <c r="S17" i="148" s="1"/>
  <c r="P17" i="148"/>
  <c r="Q17" i="148" s="1"/>
  <c r="R18" i="148"/>
  <c r="S18" i="148" s="1"/>
  <c r="R14" i="148"/>
  <c r="S14" i="148" s="1"/>
  <c r="P14" i="148"/>
  <c r="Q14" i="148" s="1"/>
  <c r="T15" i="148"/>
  <c r="T24" i="148"/>
  <c r="BL23" i="158" s="1"/>
  <c r="T35" i="148"/>
  <c r="BL34" i="158" s="1"/>
  <c r="T29" i="148"/>
  <c r="T23" i="148"/>
  <c r="Y20" i="158"/>
  <c r="Z20" i="158" s="1"/>
  <c r="T9" i="36"/>
  <c r="S9" i="36"/>
  <c r="T8" i="77" s="1"/>
  <c r="C41" i="36"/>
  <c r="C49" i="36" s="1"/>
  <c r="M29" i="36"/>
  <c r="AG29" i="36" s="1"/>
  <c r="M36" i="36"/>
  <c r="AG36" i="36" s="1"/>
  <c r="M30" i="36"/>
  <c r="AG30" i="36" s="1"/>
  <c r="M18" i="36"/>
  <c r="AG18" i="36" s="1"/>
  <c r="U29" i="36"/>
  <c r="U23" i="36"/>
  <c r="Y18" i="158"/>
  <c r="Z18" i="158" s="1"/>
  <c r="M27" i="36"/>
  <c r="AG27" i="36" s="1"/>
  <c r="M74" i="111"/>
  <c r="D41" i="36"/>
  <c r="D49" i="36" s="1"/>
  <c r="C69" i="36"/>
  <c r="AM9" i="158"/>
  <c r="R58" i="115" s="1"/>
  <c r="C42" i="36"/>
  <c r="D42" i="36"/>
  <c r="M22" i="36"/>
  <c r="AG22" i="36" s="1"/>
  <c r="M20" i="36"/>
  <c r="AG20" i="36" s="1"/>
  <c r="AJ21" i="36" s="1"/>
  <c r="Y8" i="158"/>
  <c r="HQ8" i="158" s="1"/>
  <c r="X8" i="158"/>
  <c r="Q8" i="22" s="1"/>
  <c r="AP9" i="158"/>
  <c r="U17" i="36"/>
  <c r="U16" i="36"/>
  <c r="U27" i="36"/>
  <c r="U12" i="36"/>
  <c r="U34" i="36"/>
  <c r="O7" i="156"/>
  <c r="P7" i="156" s="1"/>
  <c r="AJ12" i="161"/>
  <c r="AK12" i="161" s="1"/>
  <c r="AL12" i="161" s="1"/>
  <c r="BL15" i="148"/>
  <c r="BN15" i="148" s="1"/>
  <c r="AX34" i="158"/>
  <c r="AX12" i="158"/>
  <c r="AJ33" i="161"/>
  <c r="AK33" i="161" s="1"/>
  <c r="AL33" i="161" s="1"/>
  <c r="BL36" i="148"/>
  <c r="BN36" i="148" s="1"/>
  <c r="AJ22" i="161"/>
  <c r="AK22" i="161" s="1"/>
  <c r="AL22" i="161" s="1"/>
  <c r="BL25" i="148"/>
  <c r="BN25" i="148" s="1"/>
  <c r="AX28" i="158"/>
  <c r="AX32" i="158"/>
  <c r="BL28" i="148"/>
  <c r="BN28" i="148" s="1"/>
  <c r="AJ25" i="161"/>
  <c r="AK25" i="161" s="1"/>
  <c r="AL25" i="161" s="1"/>
  <c r="L7" i="156"/>
  <c r="M7" i="156" s="1"/>
  <c r="AJ8" i="161"/>
  <c r="AK8" i="161" s="1"/>
  <c r="AL8" i="161" s="1"/>
  <c r="BL11" i="148"/>
  <c r="BN11" i="148" s="1"/>
  <c r="AJ27" i="161"/>
  <c r="AK27" i="161" s="1"/>
  <c r="AL27" i="161" s="1"/>
  <c r="BL30" i="148"/>
  <c r="BN30" i="148" s="1"/>
  <c r="AT25" i="158"/>
  <c r="R60" i="161" s="1"/>
  <c r="F26" i="148"/>
  <c r="AJ28" i="161"/>
  <c r="AK28" i="161" s="1"/>
  <c r="AL28" i="161" s="1"/>
  <c r="BL31" i="148"/>
  <c r="BN31" i="148" s="1"/>
  <c r="AX23" i="158"/>
  <c r="P9" i="148"/>
  <c r="T9" i="150" s="1"/>
  <c r="R9" i="148"/>
  <c r="AJ20" i="161"/>
  <c r="AK20" i="161" s="1"/>
  <c r="AL20" i="161" s="1"/>
  <c r="BL23" i="148"/>
  <c r="BN23" i="148" s="1"/>
  <c r="AJ16" i="161"/>
  <c r="AK16" i="161" s="1"/>
  <c r="AL16" i="161" s="1"/>
  <c r="BL19" i="148"/>
  <c r="BN19" i="148" s="1"/>
  <c r="AX26" i="158"/>
  <c r="BL32" i="148"/>
  <c r="BN32" i="148" s="1"/>
  <c r="AJ29" i="161"/>
  <c r="AK29" i="161" s="1"/>
  <c r="AL29" i="161" s="1"/>
  <c r="AX20" i="158"/>
  <c r="Q33" i="150"/>
  <c r="BI33" i="150" s="1"/>
  <c r="BK33" i="150" s="1"/>
  <c r="S40" i="150"/>
  <c r="Q28" i="150"/>
  <c r="BI28" i="150" s="1"/>
  <c r="BK28" i="150" s="1"/>
  <c r="R40" i="150"/>
  <c r="I5" i="156"/>
  <c r="J5" i="156" s="1"/>
  <c r="BW31" i="150"/>
  <c r="BW18" i="150"/>
  <c r="C21" i="92"/>
  <c r="C39" i="158"/>
  <c r="AL25" i="156"/>
  <c r="I9" i="156"/>
  <c r="J9" i="156" s="1"/>
  <c r="AL22" i="156"/>
  <c r="AL24" i="156" s="1"/>
  <c r="O9" i="156"/>
  <c r="P9" i="156" s="1"/>
  <c r="L4" i="156"/>
  <c r="M4" i="156" s="1"/>
  <c r="CX40" i="158"/>
  <c r="CZ40" i="158" s="1"/>
  <c r="S67" i="30"/>
  <c r="X139" i="32" s="1"/>
  <c r="X177" i="32" s="1"/>
  <c r="E32" i="126"/>
  <c r="E70" i="126"/>
  <c r="F70" i="126" s="1"/>
  <c r="G70" i="126" s="1"/>
  <c r="E29" i="156"/>
  <c r="F29" i="156" s="1"/>
  <c r="G29" i="156" s="1"/>
  <c r="O4" i="156"/>
  <c r="P4" i="156" s="1"/>
  <c r="S50" i="10"/>
  <c r="R31" i="126"/>
  <c r="R27" i="163"/>
  <c r="Q29" i="155"/>
  <c r="R28" i="156"/>
  <c r="T43" i="133"/>
  <c r="E148" i="155"/>
  <c r="U50" i="10"/>
  <c r="U38" i="24"/>
  <c r="T38" i="24"/>
  <c r="M28" i="155"/>
  <c r="AM48" i="156"/>
  <c r="AM47" i="156"/>
  <c r="W26" i="155"/>
  <c r="G149" i="155"/>
  <c r="D116" i="32"/>
  <c r="R116" i="32" s="1"/>
  <c r="E100" i="117" s="1"/>
  <c r="E104" i="100"/>
  <c r="R38" i="24"/>
  <c r="E134" i="144"/>
  <c r="J134" i="144" s="1"/>
  <c r="H57" i="126"/>
  <c r="I57" i="126" s="1"/>
  <c r="J57" i="126" s="1"/>
  <c r="X21" i="156"/>
  <c r="E100" i="100"/>
  <c r="E214" i="100" s="1"/>
  <c r="E299" i="100" s="1"/>
  <c r="E131" i="144"/>
  <c r="J131" i="144" s="1"/>
  <c r="H55" i="126"/>
  <c r="I55" i="126" s="1"/>
  <c r="J55" i="126" s="1"/>
  <c r="U39" i="126"/>
  <c r="X39" i="126" s="1"/>
  <c r="X40" i="126" s="1"/>
  <c r="H63" i="126"/>
  <c r="I63" i="126" s="1"/>
  <c r="J63" i="126" s="1"/>
  <c r="E140" i="144"/>
  <c r="J140" i="144" s="1"/>
  <c r="E25" i="144"/>
  <c r="J25" i="144" s="1"/>
  <c r="H24" i="126"/>
  <c r="D112" i="32"/>
  <c r="H56" i="126"/>
  <c r="E132" i="144"/>
  <c r="J132" i="144" s="1"/>
  <c r="W14" i="155"/>
  <c r="L14" i="163"/>
  <c r="E86" i="100"/>
  <c r="L29" i="163"/>
  <c r="W32" i="155"/>
  <c r="D123" i="32"/>
  <c r="X32" i="156"/>
  <c r="W16" i="24"/>
  <c r="T33" i="24"/>
  <c r="W22" i="155"/>
  <c r="D100" i="32"/>
  <c r="D93" i="32" s="1"/>
  <c r="R99" i="32"/>
  <c r="D92" i="32"/>
  <c r="R92" i="32" s="1"/>
  <c r="E78" i="117" s="1"/>
  <c r="H60" i="126"/>
  <c r="I60" i="126" s="1"/>
  <c r="J60" i="126" s="1"/>
  <c r="U21" i="126"/>
  <c r="U22" i="126" s="1"/>
  <c r="E137" i="144"/>
  <c r="J137" i="144" s="1"/>
  <c r="H61" i="126"/>
  <c r="I61" i="126" s="1"/>
  <c r="J61" i="126" s="1"/>
  <c r="E138" i="144"/>
  <c r="J138" i="144" s="1"/>
  <c r="V21" i="126"/>
  <c r="H14" i="126"/>
  <c r="AA21" i="126"/>
  <c r="O24" i="126"/>
  <c r="H48" i="126"/>
  <c r="E123" i="144"/>
  <c r="J123" i="144" s="1"/>
  <c r="T39" i="24"/>
  <c r="R39" i="24"/>
  <c r="W21" i="155"/>
  <c r="AC65" i="155" s="1"/>
  <c r="X20" i="156"/>
  <c r="D111" i="32"/>
  <c r="R111" i="32" s="1"/>
  <c r="E95" i="117" s="1"/>
  <c r="H20" i="126"/>
  <c r="K20" i="126" s="1"/>
  <c r="AB21" i="126" s="1"/>
  <c r="AB22" i="126" s="1"/>
  <c r="H53" i="126"/>
  <c r="I53" i="126" s="1"/>
  <c r="J53" i="126" s="1"/>
  <c r="T21" i="126"/>
  <c r="E129" i="144"/>
  <c r="J129" i="144" s="1"/>
  <c r="P42" i="156"/>
  <c r="P41" i="156"/>
  <c r="B11" i="18"/>
  <c r="B66" i="18"/>
  <c r="K67" i="144"/>
  <c r="K69" i="144"/>
  <c r="FC9" i="158"/>
  <c r="GZ9" i="158"/>
  <c r="A4" i="168"/>
  <c r="M4" i="168" s="1"/>
  <c r="D9" i="136"/>
  <c r="A7" i="159"/>
  <c r="B86" i="158"/>
  <c r="B10" i="158"/>
  <c r="BD9" i="158"/>
  <c r="E200" i="100"/>
  <c r="E285" i="100" s="1"/>
  <c r="J85" i="100"/>
  <c r="P85" i="100" s="1"/>
  <c r="P40" i="156"/>
  <c r="AB63" i="163"/>
  <c r="AB45" i="163"/>
  <c r="AB46" i="163"/>
  <c r="AB47" i="163"/>
  <c r="AB65" i="163"/>
  <c r="AB64" i="163"/>
  <c r="K100" i="32"/>
  <c r="Y99" i="32"/>
  <c r="Y100" i="32" s="1"/>
  <c r="B10" i="22"/>
  <c r="AP9" i="22"/>
  <c r="E217" i="100"/>
  <c r="J89" i="100"/>
  <c r="Z63" i="163"/>
  <c r="Q11" i="155"/>
  <c r="R13" i="156"/>
  <c r="R11" i="163"/>
  <c r="AC62" i="163"/>
  <c r="R21" i="163"/>
  <c r="AB62" i="163" s="1"/>
  <c r="E287" i="100"/>
  <c r="J284" i="100" s="1"/>
  <c r="P284" i="100" s="1"/>
  <c r="J296" i="100" s="1"/>
  <c r="J199" i="100"/>
  <c r="P199" i="100" s="1"/>
  <c r="J211" i="100" s="1"/>
  <c r="L211" i="100" s="1"/>
  <c r="E212" i="100"/>
  <c r="J88" i="100"/>
  <c r="T199" i="100"/>
  <c r="Z199" i="100" s="1"/>
  <c r="T211" i="100"/>
  <c r="V211" i="100" s="1"/>
  <c r="E288" i="100"/>
  <c r="T284" i="100" s="1"/>
  <c r="Z284" i="100" s="1"/>
  <c r="T296" i="100" s="1"/>
  <c r="V296" i="100" s="1"/>
  <c r="AI296" i="100" s="1"/>
  <c r="E93" i="100"/>
  <c r="E207" i="100" s="1"/>
  <c r="E292" i="100" s="1"/>
  <c r="O11" i="126"/>
  <c r="Q34" i="155"/>
  <c r="L30" i="163"/>
  <c r="W11" i="155"/>
  <c r="L11" i="163"/>
  <c r="Q33" i="155"/>
  <c r="X13" i="156"/>
  <c r="T16" i="24"/>
  <c r="L31" i="163"/>
  <c r="D105" i="32"/>
  <c r="R105" i="32" s="1"/>
  <c r="E89" i="117" s="1"/>
  <c r="AD73" i="156"/>
  <c r="E210" i="100"/>
  <c r="J87" i="100"/>
  <c r="AM93" i="163"/>
  <c r="EA4" i="158"/>
  <c r="EM4" i="158"/>
  <c r="EM8" i="158" s="1"/>
  <c r="T285" i="100"/>
  <c r="J285" i="100"/>
  <c r="J308" i="100" s="1"/>
  <c r="E213" i="100"/>
  <c r="J90" i="100"/>
  <c r="F66" i="148"/>
  <c r="A29" i="148"/>
  <c r="Y95" i="32"/>
  <c r="Y96" i="32" s="1"/>
  <c r="K96" i="32"/>
  <c r="K93" i="32" s="1"/>
  <c r="K92" i="32"/>
  <c r="Y92" i="32" s="1"/>
  <c r="EF85" i="158"/>
  <c r="DT85" i="158"/>
  <c r="CX85" i="158"/>
  <c r="AA85" i="158"/>
  <c r="C85" i="158"/>
  <c r="EK85" i="158"/>
  <c r="DY85" i="158"/>
  <c r="DM85" i="158"/>
  <c r="BF85" i="158"/>
  <c r="EG85" i="158"/>
  <c r="DR85" i="158"/>
  <c r="BG85" i="158"/>
  <c r="AP85" i="158"/>
  <c r="EE85" i="158"/>
  <c r="DQ85" i="158"/>
  <c r="BE85" i="158"/>
  <c r="AO85" i="158"/>
  <c r="L85" i="158"/>
  <c r="DP85" i="158"/>
  <c r="BD85" i="158"/>
  <c r="AN85" i="158"/>
  <c r="K85" i="158"/>
  <c r="DL85" i="158"/>
  <c r="DX85" i="158"/>
  <c r="CZ85" i="158"/>
  <c r="AW85" i="158"/>
  <c r="EL85" i="158"/>
  <c r="DW85" i="158"/>
  <c r="CY85" i="158"/>
  <c r="BK85" i="158"/>
  <c r="AU85" i="158"/>
  <c r="EJ85" i="158"/>
  <c r="DV85" i="158"/>
  <c r="BJ85" i="158"/>
  <c r="AT85" i="158"/>
  <c r="DA85" i="158"/>
  <c r="AL85" i="158"/>
  <c r="AK85" i="158"/>
  <c r="EI85" i="158"/>
  <c r="EH85" i="158"/>
  <c r="BI85" i="158"/>
  <c r="DZ85" i="158"/>
  <c r="BH85" i="158"/>
  <c r="W85" i="158"/>
  <c r="DU85" i="158"/>
  <c r="DS85" i="158"/>
  <c r="DO85" i="158"/>
  <c r="N85" i="158"/>
  <c r="DN85" i="158"/>
  <c r="E94" i="100"/>
  <c r="O12" i="126"/>
  <c r="X14" i="156"/>
  <c r="AK73" i="156" s="1"/>
  <c r="L12" i="163"/>
  <c r="Y44" i="163" s="1"/>
  <c r="AD44" i="163" s="1"/>
  <c r="AE44" i="163" s="1"/>
  <c r="D106" i="32"/>
  <c r="R106" i="32" s="1"/>
  <c r="E90" i="117" s="1"/>
  <c r="W12" i="155"/>
  <c r="AH65" i="155" s="1"/>
  <c r="E218" i="100"/>
  <c r="J91" i="100"/>
  <c r="B8" i="36"/>
  <c r="B9" i="36" s="1"/>
  <c r="B8" i="77"/>
  <c r="DC8" i="77" s="1"/>
  <c r="DO4" i="177" s="1"/>
  <c r="Q23" i="155"/>
  <c r="R23" i="163"/>
  <c r="R22" i="156"/>
  <c r="GF8" i="158"/>
  <c r="HH8" i="158"/>
  <c r="HG8" i="158"/>
  <c r="FK8" i="158"/>
  <c r="HS8" i="158"/>
  <c r="GH8" i="158"/>
  <c r="GG8" i="158"/>
  <c r="GD8" i="158"/>
  <c r="GA8" i="158"/>
  <c r="HO8" i="158"/>
  <c r="IE8" i="158"/>
  <c r="FJ8" i="158"/>
  <c r="ID8" i="158"/>
  <c r="IC8" i="158"/>
  <c r="IB8" i="158"/>
  <c r="FR8" i="158"/>
  <c r="IA8" i="158"/>
  <c r="FV8" i="158"/>
  <c r="HA8" i="158"/>
  <c r="FS8" i="158"/>
  <c r="HJ8" i="158"/>
  <c r="FD8" i="158"/>
  <c r="FM8" i="158"/>
  <c r="FT8" i="158"/>
  <c r="GE8" i="158"/>
  <c r="GJ8" i="158"/>
  <c r="GU8" i="158"/>
  <c r="E209" i="100"/>
  <c r="F95" i="100"/>
  <c r="G95" i="100" s="1"/>
  <c r="F83" i="155"/>
  <c r="F81" i="155"/>
  <c r="F82" i="155"/>
  <c r="E82" i="155"/>
  <c r="E81" i="155"/>
  <c r="G44" i="163"/>
  <c r="G46" i="163" s="1"/>
  <c r="G84" i="155"/>
  <c r="G82" i="155"/>
  <c r="G81" i="155"/>
  <c r="G83" i="155"/>
  <c r="G150" i="155"/>
  <c r="F147" i="155"/>
  <c r="F149" i="155"/>
  <c r="H146" i="155"/>
  <c r="I146" i="155" s="1"/>
  <c r="AI21" i="155"/>
  <c r="AJ21" i="155" s="1"/>
  <c r="AK121" i="155"/>
  <c r="AK122" i="155"/>
  <c r="AK119" i="155"/>
  <c r="X21" i="163"/>
  <c r="AI120" i="155"/>
  <c r="AI119" i="155"/>
  <c r="E21" i="163"/>
  <c r="AI21" i="163" s="1"/>
  <c r="AJ21" i="163" s="1"/>
  <c r="AH22" i="155"/>
  <c r="AH23" i="155"/>
  <c r="AK47" i="155"/>
  <c r="AK45" i="155"/>
  <c r="AE45" i="155"/>
  <c r="AO47" i="156"/>
  <c r="AP47" i="156" s="1"/>
  <c r="S41" i="156"/>
  <c r="S42" i="156" s="1"/>
  <c r="AM23" i="156"/>
  <c r="AM24" i="156" s="1"/>
  <c r="P39" i="156"/>
  <c r="I12" i="156"/>
  <c r="J12" i="156" s="1"/>
  <c r="AD20" i="156"/>
  <c r="AD22" i="156" s="1"/>
  <c r="O12" i="156"/>
  <c r="P12" i="156" s="1"/>
  <c r="AD50" i="156"/>
  <c r="L12" i="156"/>
  <c r="M12" i="156" s="1"/>
  <c r="AD49" i="156"/>
  <c r="K59" i="144"/>
  <c r="K62" i="144"/>
  <c r="K61" i="144"/>
  <c r="W8" i="77"/>
  <c r="T8" i="22"/>
  <c r="Q9" i="22"/>
  <c r="G9" i="18"/>
  <c r="I9" i="22"/>
  <c r="AK8" i="77"/>
  <c r="CM9" i="22"/>
  <c r="H9" i="22" s="1"/>
  <c r="K9" i="22"/>
  <c r="C9" i="22"/>
  <c r="T9" i="22"/>
  <c r="AB9" i="18"/>
  <c r="AV9" i="22"/>
  <c r="AW8" i="77"/>
  <c r="I8" i="22"/>
  <c r="AJ8" i="77"/>
  <c r="C8" i="22"/>
  <c r="AV8" i="22"/>
  <c r="BB8" i="77"/>
  <c r="F6" i="119" s="1"/>
  <c r="CW8" i="77"/>
  <c r="K8" i="77" s="1"/>
  <c r="DS4" i="177" s="1"/>
  <c r="CM8" i="22"/>
  <c r="F62" i="10"/>
  <c r="AH74" i="24"/>
  <c r="J103" i="32"/>
  <c r="L103" i="32" s="1"/>
  <c r="M103" i="32" s="1"/>
  <c r="E103" i="32"/>
  <c r="F103" i="32" s="1"/>
  <c r="D43" i="100"/>
  <c r="D68" i="100"/>
  <c r="D149" i="100"/>
  <c r="K7" i="100"/>
  <c r="E59" i="144"/>
  <c r="J59" i="144" s="1"/>
  <c r="Y18" i="24"/>
  <c r="X175" i="32"/>
  <c r="Z137" i="32"/>
  <c r="AA137" i="32" s="1"/>
  <c r="CP8" i="22"/>
  <c r="CP9" i="22" s="1"/>
  <c r="Y19" i="24"/>
  <c r="AM72" i="32" s="1"/>
  <c r="Z130" i="32"/>
  <c r="AA130" i="32" s="1"/>
  <c r="G175" i="155"/>
  <c r="AE78" i="24"/>
  <c r="AL51" i="156"/>
  <c r="AL50" i="156"/>
  <c r="AL52" i="156" s="1"/>
  <c r="AL53" i="156"/>
  <c r="S11" i="10"/>
  <c r="J141" i="32" s="1"/>
  <c r="L141" i="32" s="1"/>
  <c r="M141" i="32" s="1"/>
  <c r="V11" i="10"/>
  <c r="U11" i="10"/>
  <c r="Y29" i="24"/>
  <c r="R189" i="32" s="1"/>
  <c r="AM73" i="32" s="1"/>
  <c r="S64" i="30"/>
  <c r="X135" i="32" s="1"/>
  <c r="X173" i="32" s="1"/>
  <c r="K53" i="144"/>
  <c r="Z132" i="32"/>
  <c r="AA132" i="32" s="1"/>
  <c r="Z148" i="32"/>
  <c r="AA148" i="32" s="1"/>
  <c r="AG47" i="156"/>
  <c r="AH47" i="156" s="1"/>
  <c r="AF49" i="156"/>
  <c r="E45" i="163"/>
  <c r="E46" i="163"/>
  <c r="X171" i="32"/>
  <c r="Z133" i="32"/>
  <c r="AA133" i="32" s="1"/>
  <c r="X193" i="32"/>
  <c r="Z193" i="32" s="1"/>
  <c r="AA193" i="32" s="1"/>
  <c r="AE22" i="156"/>
  <c r="U35" i="126"/>
  <c r="Z149" i="32"/>
  <c r="AA149" i="32" s="1"/>
  <c r="K63" i="144"/>
  <c r="X191" i="32"/>
  <c r="Z191" i="32" s="1"/>
  <c r="AA191" i="32" s="1"/>
  <c r="U31" i="126"/>
  <c r="X195" i="32"/>
  <c r="S44" i="30"/>
  <c r="X136" i="32"/>
  <c r="K68" i="144"/>
  <c r="Y17" i="36"/>
  <c r="F23" i="10"/>
  <c r="AM51" i="156"/>
  <c r="AM52" i="156" s="1"/>
  <c r="AM53" i="156"/>
  <c r="R42" i="156"/>
  <c r="R41" i="156"/>
  <c r="Q42" i="156"/>
  <c r="Q41" i="156"/>
  <c r="Q40" i="156"/>
  <c r="Z156" i="32"/>
  <c r="AA156" i="32" s="1"/>
  <c r="X194" i="32"/>
  <c r="F50" i="144"/>
  <c r="K50" i="144" s="1"/>
  <c r="D49" i="117"/>
  <c r="F49" i="117" s="1"/>
  <c r="G49" i="117" s="1"/>
  <c r="Y16" i="36"/>
  <c r="E62" i="144"/>
  <c r="J62" i="144" s="1"/>
  <c r="D152" i="100"/>
  <c r="D46" i="100"/>
  <c r="K10" i="100"/>
  <c r="D71" i="100"/>
  <c r="S37" i="30"/>
  <c r="X151" i="32" s="1"/>
  <c r="F66" i="144"/>
  <c r="K66" i="144" s="1"/>
  <c r="D63" i="117"/>
  <c r="F63" i="117" s="1"/>
  <c r="G63" i="117" s="1"/>
  <c r="E66" i="144"/>
  <c r="J66" i="144" s="1"/>
  <c r="D156" i="100"/>
  <c r="D75" i="100"/>
  <c r="D50" i="100"/>
  <c r="K9" i="100"/>
  <c r="E47" i="144"/>
  <c r="J47" i="144" s="1"/>
  <c r="D11" i="117"/>
  <c r="D143" i="100"/>
  <c r="D36" i="100"/>
  <c r="D62" i="100"/>
  <c r="F62" i="100" s="1"/>
  <c r="G62" i="100" s="1"/>
  <c r="F54" i="144"/>
  <c r="K54" i="144" s="1"/>
  <c r="D53" i="117"/>
  <c r="K64" i="144"/>
  <c r="E69" i="144"/>
  <c r="J69" i="144" s="1"/>
  <c r="D159" i="100"/>
  <c r="D53" i="100"/>
  <c r="D78" i="100"/>
  <c r="F78" i="100" s="1"/>
  <c r="G78" i="100" s="1"/>
  <c r="Z134" i="32"/>
  <c r="AA134" i="32" s="1"/>
  <c r="X131" i="32"/>
  <c r="Z131" i="32" s="1"/>
  <c r="AA131" i="32" s="1"/>
  <c r="X188" i="32"/>
  <c r="Z188" i="32" s="1"/>
  <c r="AA188" i="32" s="1"/>
  <c r="Z150" i="32"/>
  <c r="AA150" i="32" s="1"/>
  <c r="Y13" i="36"/>
  <c r="E63" i="144"/>
  <c r="J63" i="144" s="1"/>
  <c r="D153" i="100"/>
  <c r="D72" i="100"/>
  <c r="F72" i="100" s="1"/>
  <c r="G72" i="100" s="1"/>
  <c r="D47" i="100"/>
  <c r="S21" i="30"/>
  <c r="X143" i="32" s="1"/>
  <c r="X142" i="32"/>
  <c r="X183" i="32"/>
  <c r="Z183" i="32" s="1"/>
  <c r="AA183" i="32" s="1"/>
  <c r="Z145" i="32"/>
  <c r="AA145" i="32" s="1"/>
  <c r="F55" i="144"/>
  <c r="K55" i="144" s="1"/>
  <c r="D54" i="117"/>
  <c r="E67" i="144"/>
  <c r="J67" i="144" s="1"/>
  <c r="D157" i="100"/>
  <c r="D51" i="100"/>
  <c r="D76" i="100"/>
  <c r="K11" i="100"/>
  <c r="AE50" i="156"/>
  <c r="AE51" i="156"/>
  <c r="AG51" i="156" s="1"/>
  <c r="X192" i="32"/>
  <c r="Z192" i="32" s="1"/>
  <c r="AA192" i="32" s="1"/>
  <c r="Z154" i="32"/>
  <c r="AA154" i="32" s="1"/>
  <c r="U34" i="126"/>
  <c r="X198" i="32"/>
  <c r="Z198" i="32" s="1"/>
  <c r="AA198" i="32" s="1"/>
  <c r="Y12" i="36"/>
  <c r="E61" i="144"/>
  <c r="J61" i="144" s="1"/>
  <c r="D151" i="100"/>
  <c r="D70" i="100"/>
  <c r="K8" i="100"/>
  <c r="D45" i="100"/>
  <c r="C40" i="144"/>
  <c r="D6" i="100"/>
  <c r="E53" i="144"/>
  <c r="J53" i="144" s="1"/>
  <c r="D145" i="100"/>
  <c r="D39" i="100"/>
  <c r="D64" i="100"/>
  <c r="F64" i="100" s="1"/>
  <c r="G64" i="100" s="1"/>
  <c r="E68" i="144"/>
  <c r="J68" i="144" s="1"/>
  <c r="D158" i="100"/>
  <c r="D77" i="100"/>
  <c r="F77" i="100" s="1"/>
  <c r="G77" i="100" s="1"/>
  <c r="D52" i="100"/>
  <c r="V185" i="100"/>
  <c r="V182" i="100"/>
  <c r="E41" i="144"/>
  <c r="J41" i="144" s="1"/>
  <c r="D141" i="100"/>
  <c r="D60" i="100"/>
  <c r="D34" i="100"/>
  <c r="E64" i="144"/>
  <c r="J64" i="144" s="1"/>
  <c r="D154" i="100"/>
  <c r="D48" i="100"/>
  <c r="D73" i="100"/>
  <c r="F73" i="100" s="1"/>
  <c r="G73" i="100" s="1"/>
  <c r="E43" i="144"/>
  <c r="J43" i="144" s="1"/>
  <c r="D8" i="117"/>
  <c r="D142" i="100"/>
  <c r="D61" i="100"/>
  <c r="F61" i="100" s="1"/>
  <c r="G61" i="100" s="1"/>
  <c r="D35" i="100"/>
  <c r="D56" i="144"/>
  <c r="I56" i="144" s="1"/>
  <c r="I56" i="126"/>
  <c r="J56" i="126" s="1"/>
  <c r="L56" i="126"/>
  <c r="M56" i="126" s="1"/>
  <c r="E50" i="144"/>
  <c r="J50" i="144" s="1"/>
  <c r="D170" i="100"/>
  <c r="D37" i="100"/>
  <c r="F37" i="100" s="1"/>
  <c r="G37" i="100" s="1"/>
  <c r="F65" i="117" l="1"/>
  <c r="G65" i="117" s="1"/>
  <c r="G99" i="144"/>
  <c r="L99" i="144" s="1"/>
  <c r="J61" i="100"/>
  <c r="G94" i="144"/>
  <c r="L94" i="144" s="1"/>
  <c r="F67" i="100"/>
  <c r="G67" i="100" s="1"/>
  <c r="G104" i="144"/>
  <c r="L104" i="144" s="1"/>
  <c r="J62" i="100"/>
  <c r="CN9" i="36"/>
  <c r="CN41" i="36" s="1"/>
  <c r="EG39" i="158"/>
  <c r="CG28" i="36"/>
  <c r="DE27" i="158"/>
  <c r="DJ27" i="158" s="1"/>
  <c r="CD26" i="36"/>
  <c r="DB25" i="158"/>
  <c r="CD20" i="36"/>
  <c r="DB19" i="158"/>
  <c r="CD15" i="36"/>
  <c r="DB14" i="158"/>
  <c r="CF13" i="36"/>
  <c r="DD12" i="158"/>
  <c r="DI12" i="158" s="1"/>
  <c r="CG27" i="36"/>
  <c r="DE26" i="158"/>
  <c r="DJ26" i="158" s="1"/>
  <c r="CD23" i="36"/>
  <c r="DB22" i="158"/>
  <c r="CF21" i="36"/>
  <c r="DD20" i="158"/>
  <c r="DI20" i="158" s="1"/>
  <c r="CD34" i="36"/>
  <c r="DB33" i="158"/>
  <c r="CG22" i="36"/>
  <c r="DE21" i="158"/>
  <c r="DJ21" i="158" s="1"/>
  <c r="CE36" i="36"/>
  <c r="DC35" i="158"/>
  <c r="DH35" i="158" s="1"/>
  <c r="CG32" i="36"/>
  <c r="DE31" i="158"/>
  <c r="DJ31" i="158" s="1"/>
  <c r="CE28" i="36"/>
  <c r="DC27" i="158"/>
  <c r="DH27" i="158" s="1"/>
  <c r="CD9" i="36"/>
  <c r="DW39" i="158"/>
  <c r="DB8" i="158"/>
  <c r="CE37" i="36"/>
  <c r="DC36" i="158"/>
  <c r="DH36" i="158" s="1"/>
  <c r="CE21" i="36"/>
  <c r="DC20" i="158"/>
  <c r="DH20" i="158" s="1"/>
  <c r="CG11" i="36"/>
  <c r="DE10" i="158"/>
  <c r="DJ10" i="158" s="1"/>
  <c r="CD22" i="36"/>
  <c r="DB21" i="158"/>
  <c r="CD17" i="36"/>
  <c r="DB16" i="158"/>
  <c r="CE15" i="36"/>
  <c r="DC14" i="158"/>
  <c r="DH14" i="158" s="1"/>
  <c r="CE29" i="36"/>
  <c r="DC28" i="158"/>
  <c r="DH28" i="158" s="1"/>
  <c r="CF28" i="36"/>
  <c r="DD27" i="158"/>
  <c r="DI27" i="158" s="1"/>
  <c r="CF22" i="36"/>
  <c r="DD21" i="158"/>
  <c r="DI21" i="158" s="1"/>
  <c r="CD35" i="36"/>
  <c r="DB34" i="158"/>
  <c r="CG23" i="36"/>
  <c r="DE22" i="158"/>
  <c r="DJ22" i="158" s="1"/>
  <c r="CE10" i="36"/>
  <c r="DC9" i="158"/>
  <c r="DH9" i="158" s="1"/>
  <c r="CF34" i="36"/>
  <c r="DD33" i="158"/>
  <c r="DI33" i="158" s="1"/>
  <c r="CD29" i="36"/>
  <c r="DB28" i="158"/>
  <c r="CD37" i="36"/>
  <c r="DB36" i="158"/>
  <c r="CF38" i="36"/>
  <c r="DD37" i="158"/>
  <c r="DI37" i="158" s="1"/>
  <c r="E232" i="100"/>
  <c r="J225" i="100" s="1"/>
  <c r="J253" i="100"/>
  <c r="J276" i="100" s="1"/>
  <c r="T253" i="100"/>
  <c r="E266" i="100"/>
  <c r="J169" i="100"/>
  <c r="E263" i="100"/>
  <c r="T167" i="100"/>
  <c r="J167" i="100"/>
  <c r="CL9" i="36"/>
  <c r="CL41" i="36" s="1"/>
  <c r="EC45" i="158"/>
  <c r="EE39" i="158"/>
  <c r="J58" i="100"/>
  <c r="P58" i="100" s="1"/>
  <c r="G79" i="144"/>
  <c r="L79" i="144" s="1"/>
  <c r="CF11" i="36"/>
  <c r="DD10" i="158"/>
  <c r="DI10" i="158" s="1"/>
  <c r="CG10" i="36"/>
  <c r="DE9" i="158"/>
  <c r="DJ9" i="158" s="1"/>
  <c r="CF26" i="36"/>
  <c r="DD25" i="158"/>
  <c r="DI25" i="158" s="1"/>
  <c r="CD19" i="36"/>
  <c r="DB18" i="158"/>
  <c r="CE17" i="36"/>
  <c r="DC16" i="158"/>
  <c r="DH16" i="158" s="1"/>
  <c r="CG30" i="36"/>
  <c r="DE29" i="158"/>
  <c r="DJ29" i="158" s="1"/>
  <c r="CE31" i="36"/>
  <c r="DC30" i="158"/>
  <c r="DH30" i="158" s="1"/>
  <c r="CF23" i="36"/>
  <c r="DD22" i="158"/>
  <c r="DI22" i="158" s="1"/>
  <c r="CD36" i="36"/>
  <c r="DB35" i="158"/>
  <c r="CF24" i="36"/>
  <c r="DD23" i="158"/>
  <c r="DI23" i="158" s="1"/>
  <c r="CG12" i="36"/>
  <c r="DE11" i="158"/>
  <c r="DJ11" i="158" s="1"/>
  <c r="CF35" i="36"/>
  <c r="DD34" i="158"/>
  <c r="DI34" i="158" s="1"/>
  <c r="CG34" i="36"/>
  <c r="DE33" i="158"/>
  <c r="DJ33" i="158" s="1"/>
  <c r="CE39" i="36"/>
  <c r="DC38" i="158"/>
  <c r="DH38" i="158" s="1"/>
  <c r="CG39" i="36"/>
  <c r="DE38" i="158"/>
  <c r="DJ38" i="158" s="1"/>
  <c r="CG16" i="36"/>
  <c r="DE15" i="158"/>
  <c r="DJ15" i="158" s="1"/>
  <c r="CE18" i="36"/>
  <c r="DC17" i="158"/>
  <c r="DH17" i="158" s="1"/>
  <c r="CF27" i="36"/>
  <c r="DD26" i="158"/>
  <c r="DI26" i="158" s="1"/>
  <c r="CF29" i="36"/>
  <c r="DD28" i="158"/>
  <c r="DI28" i="158" s="1"/>
  <c r="CE19" i="36"/>
  <c r="DC18" i="158"/>
  <c r="DH18" i="158" s="1"/>
  <c r="CF15" i="36"/>
  <c r="DD14" i="158"/>
  <c r="DI14" i="158" s="1"/>
  <c r="CD33" i="36"/>
  <c r="DB32" i="158"/>
  <c r="CE24" i="36"/>
  <c r="DC23" i="158"/>
  <c r="DH23" i="158" s="1"/>
  <c r="CD10" i="36"/>
  <c r="DB9" i="158"/>
  <c r="CF25" i="36"/>
  <c r="DD24" i="158"/>
  <c r="DI24" i="158" s="1"/>
  <c r="CD16" i="36"/>
  <c r="DB15" i="158"/>
  <c r="CF36" i="36"/>
  <c r="DD35" i="158"/>
  <c r="DI35" i="158" s="1"/>
  <c r="CG35" i="36"/>
  <c r="DE34" i="158"/>
  <c r="DJ34" i="158" s="1"/>
  <c r="CD38" i="36"/>
  <c r="DB37" i="158"/>
  <c r="CE38" i="36"/>
  <c r="DC37" i="158"/>
  <c r="DH37" i="158" s="1"/>
  <c r="BE8" i="77"/>
  <c r="DK4" i="177" s="1"/>
  <c r="C8" i="77"/>
  <c r="J63" i="100"/>
  <c r="G100" i="144"/>
  <c r="L100" i="144" s="1"/>
  <c r="CM9" i="36"/>
  <c r="CM41" i="36" s="1"/>
  <c r="EF39" i="158"/>
  <c r="EF41" i="158" s="1"/>
  <c r="EF42" i="158" s="1"/>
  <c r="J64" i="100"/>
  <c r="G105" i="144"/>
  <c r="L105" i="144" s="1"/>
  <c r="CE23" i="36"/>
  <c r="DC22" i="158"/>
  <c r="DH22" i="158" s="1"/>
  <c r="CE26" i="36"/>
  <c r="DC25" i="158"/>
  <c r="DH25" i="158" s="1"/>
  <c r="CF30" i="36"/>
  <c r="DD29" i="158"/>
  <c r="DI29" i="158" s="1"/>
  <c r="CG18" i="36"/>
  <c r="DE17" i="158"/>
  <c r="DJ17" i="158" s="1"/>
  <c r="CG29" i="36"/>
  <c r="DE28" i="158"/>
  <c r="DJ28" i="158" s="1"/>
  <c r="CF16" i="36"/>
  <c r="DD15" i="158"/>
  <c r="DI15" i="158" s="1"/>
  <c r="CE12" i="36"/>
  <c r="DC11" i="158"/>
  <c r="CE25" i="36"/>
  <c r="DC24" i="158"/>
  <c r="DH24" i="158" s="1"/>
  <c r="CF12" i="36"/>
  <c r="DD11" i="158"/>
  <c r="DI11" i="158" s="1"/>
  <c r="DD31" i="158"/>
  <c r="DI31" i="158" s="1"/>
  <c r="CF32" i="36"/>
  <c r="CG24" i="36"/>
  <c r="DE23" i="158"/>
  <c r="DJ23" i="158" s="1"/>
  <c r="CF10" i="36"/>
  <c r="DD9" i="158"/>
  <c r="DI9" i="158" s="1"/>
  <c r="CG36" i="36"/>
  <c r="DE35" i="158"/>
  <c r="DJ35" i="158" s="1"/>
  <c r="CG37" i="36"/>
  <c r="DE36" i="158"/>
  <c r="DJ36" i="158" s="1"/>
  <c r="CD39" i="36"/>
  <c r="DB38" i="158"/>
  <c r="F175" i="100"/>
  <c r="G175" i="100" s="1"/>
  <c r="E262" i="100"/>
  <c r="CO9" i="36"/>
  <c r="CO41" i="36" s="1"/>
  <c r="EH39" i="158"/>
  <c r="E270" i="100"/>
  <c r="T168" i="100"/>
  <c r="CG17" i="36"/>
  <c r="DE16" i="158"/>
  <c r="DJ16" i="158" s="1"/>
  <c r="CG15" i="36"/>
  <c r="DE14" i="158"/>
  <c r="DJ14" i="158" s="1"/>
  <c r="CE30" i="36"/>
  <c r="DC29" i="158"/>
  <c r="DH29" i="158" s="1"/>
  <c r="CD18" i="36"/>
  <c r="DB17" i="158"/>
  <c r="CE22" i="36"/>
  <c r="DC21" i="158"/>
  <c r="DH21" i="158" s="1"/>
  <c r="CD31" i="36"/>
  <c r="DB30" i="158"/>
  <c r="CF17" i="36"/>
  <c r="DD16" i="158"/>
  <c r="DI16" i="158" s="1"/>
  <c r="CG13" i="36"/>
  <c r="DE12" i="158"/>
  <c r="DJ12" i="158" s="1"/>
  <c r="CG31" i="36"/>
  <c r="DE30" i="158"/>
  <c r="DJ30" i="158" s="1"/>
  <c r="CG14" i="36"/>
  <c r="DE13" i="158"/>
  <c r="DJ13" i="158" s="1"/>
  <c r="CG33" i="36"/>
  <c r="DE32" i="158"/>
  <c r="DJ32" i="158" s="1"/>
  <c r="CG25" i="36"/>
  <c r="DE24" i="158"/>
  <c r="DJ24" i="158" s="1"/>
  <c r="CE11" i="36"/>
  <c r="DC10" i="158"/>
  <c r="CF9" i="36"/>
  <c r="DY39" i="158"/>
  <c r="DD8" i="158"/>
  <c r="CG38" i="36"/>
  <c r="DE37" i="158"/>
  <c r="DJ37" i="158" s="1"/>
  <c r="U8" i="77"/>
  <c r="CG19" i="36"/>
  <c r="DE18" i="158"/>
  <c r="DJ18" i="158" s="1"/>
  <c r="CD25" i="36"/>
  <c r="DB24" i="158"/>
  <c r="CE14" i="36"/>
  <c r="DC13" i="158"/>
  <c r="CD30" i="36"/>
  <c r="DB29" i="158"/>
  <c r="CG26" i="36"/>
  <c r="DE25" i="158"/>
  <c r="DJ25" i="158" s="1"/>
  <c r="CE20" i="36"/>
  <c r="DC19" i="158"/>
  <c r="DH19" i="158" s="1"/>
  <c r="CF19" i="36"/>
  <c r="DD18" i="158"/>
  <c r="DI18" i="158" s="1"/>
  <c r="CF14" i="36"/>
  <c r="DD13" i="158"/>
  <c r="DI13" i="158" s="1"/>
  <c r="CE32" i="36"/>
  <c r="DC31" i="158"/>
  <c r="DH31" i="158" s="1"/>
  <c r="CG20" i="36"/>
  <c r="DE19" i="158"/>
  <c r="DJ19" i="158" s="1"/>
  <c r="CE34" i="36"/>
  <c r="DC33" i="158"/>
  <c r="DH33" i="158" s="1"/>
  <c r="CD27" i="36"/>
  <c r="DB26" i="158"/>
  <c r="CE16" i="36"/>
  <c r="DC15" i="158"/>
  <c r="DH15" i="158" s="1"/>
  <c r="CF37" i="36"/>
  <c r="DD36" i="158"/>
  <c r="DI36" i="158" s="1"/>
  <c r="CF39" i="36"/>
  <c r="DD38" i="158"/>
  <c r="DI38" i="158" s="1"/>
  <c r="L8" i="77"/>
  <c r="DG8" i="77" s="1"/>
  <c r="E271" i="100"/>
  <c r="T169" i="100"/>
  <c r="CE33" i="36"/>
  <c r="DC32" i="158"/>
  <c r="DH32" i="158" s="1"/>
  <c r="CF31" i="36"/>
  <c r="DD30" i="158"/>
  <c r="DI30" i="158" s="1"/>
  <c r="CF18" i="36"/>
  <c r="DD17" i="158"/>
  <c r="DI17" i="158" s="1"/>
  <c r="CE13" i="36"/>
  <c r="DC12" i="158"/>
  <c r="CD32" i="36"/>
  <c r="DB31" i="158"/>
  <c r="CD24" i="36"/>
  <c r="DB23" i="158"/>
  <c r="CD21" i="36"/>
  <c r="DB20" i="158"/>
  <c r="CF20" i="36"/>
  <c r="DD19" i="158"/>
  <c r="DI19" i="158" s="1"/>
  <c r="CF33" i="36"/>
  <c r="DD32" i="158"/>
  <c r="DI32" i="158" s="1"/>
  <c r="CG21" i="36"/>
  <c r="DE20" i="158"/>
  <c r="DJ20" i="158" s="1"/>
  <c r="CE35" i="36"/>
  <c r="DC34" i="158"/>
  <c r="DH34" i="158" s="1"/>
  <c r="CD28" i="36"/>
  <c r="DB27" i="158"/>
  <c r="CE27" i="36"/>
  <c r="DC26" i="158"/>
  <c r="DH26" i="158" s="1"/>
  <c r="CG9" i="36"/>
  <c r="DE8" i="158"/>
  <c r="DZ39" i="158"/>
  <c r="CE9" i="36"/>
  <c r="DX39" i="158"/>
  <c r="DX41" i="158" s="1"/>
  <c r="DC8" i="158"/>
  <c r="CW27" i="177"/>
  <c r="DA27" i="177" s="1"/>
  <c r="DE27" i="177" s="1"/>
  <c r="DI27" i="177" s="1"/>
  <c r="DM27" i="177" s="1"/>
  <c r="DQ27" i="177" s="1"/>
  <c r="DU27" i="177" s="1"/>
  <c r="CF27" i="177"/>
  <c r="CJ27" i="177" s="1"/>
  <c r="CN27" i="177" s="1"/>
  <c r="CR27" i="177" s="1"/>
  <c r="B29" i="177"/>
  <c r="CB28" i="177"/>
  <c r="AI9" i="18"/>
  <c r="AF74" i="24"/>
  <c r="E175" i="155" s="1"/>
  <c r="E177" i="155" s="1"/>
  <c r="AJ30" i="36"/>
  <c r="AK30" i="36" s="1"/>
  <c r="AH29" i="36"/>
  <c r="AJ29" i="36"/>
  <c r="AK29" i="36" s="1"/>
  <c r="AH28" i="36"/>
  <c r="AJ35" i="36"/>
  <c r="AK35" i="36" s="1"/>
  <c r="AH34" i="36"/>
  <c r="AJ36" i="36"/>
  <c r="AJ32" i="36"/>
  <c r="AJ37" i="36"/>
  <c r="AJ34" i="36"/>
  <c r="AJ33" i="36"/>
  <c r="AJ31" i="36"/>
  <c r="AK26" i="36"/>
  <c r="AH25" i="36"/>
  <c r="AJ28" i="36"/>
  <c r="AK28" i="36" s="1"/>
  <c r="AH27" i="36"/>
  <c r="AJ23" i="36"/>
  <c r="AK23" i="36" s="1"/>
  <c r="AH22" i="36"/>
  <c r="AJ24" i="36"/>
  <c r="AK24" i="36" s="1"/>
  <c r="AH23" i="36"/>
  <c r="AJ22" i="36"/>
  <c r="AK22" i="36" s="1"/>
  <c r="AH21" i="36"/>
  <c r="AJ25" i="36"/>
  <c r="AK25" i="36" s="1"/>
  <c r="AH24" i="36"/>
  <c r="Z10" i="18"/>
  <c r="AI74" i="24"/>
  <c r="D175" i="155" s="1"/>
  <c r="D176" i="155" s="1"/>
  <c r="AQ71" i="24"/>
  <c r="AG71" i="24"/>
  <c r="AI10" i="18"/>
  <c r="O10" i="18"/>
  <c r="AG49" i="156"/>
  <c r="AH49" i="156" s="1"/>
  <c r="AH20" i="36"/>
  <c r="AK21" i="36"/>
  <c r="AJ20" i="36"/>
  <c r="AJ19" i="36"/>
  <c r="AJ18" i="36"/>
  <c r="AK18" i="36" s="1"/>
  <c r="AH17" i="36"/>
  <c r="AH16" i="36"/>
  <c r="AK17" i="36"/>
  <c r="AJ16" i="36"/>
  <c r="AK16" i="36" s="1"/>
  <c r="AH15" i="36"/>
  <c r="AH14" i="36"/>
  <c r="AJ15" i="36"/>
  <c r="AK15" i="36" s="1"/>
  <c r="F45" i="144"/>
  <c r="K45" i="144" s="1"/>
  <c r="D6" i="117"/>
  <c r="D45" i="117"/>
  <c r="F45" i="117" s="1"/>
  <c r="G45" i="117" s="1"/>
  <c r="D10" i="117"/>
  <c r="D7" i="117" s="1"/>
  <c r="F42" i="144" s="1"/>
  <c r="K42" i="144" s="1"/>
  <c r="F65" i="20"/>
  <c r="F63" i="10"/>
  <c r="F65" i="10" s="1"/>
  <c r="T146" i="100"/>
  <c r="J172" i="100"/>
  <c r="T172" i="100" s="1"/>
  <c r="J206" i="100"/>
  <c r="T206" i="100" s="1"/>
  <c r="T259" i="100"/>
  <c r="L264" i="100"/>
  <c r="AC264" i="100" s="1"/>
  <c r="J291" i="100"/>
  <c r="T291" i="100" s="1"/>
  <c r="K13" i="32"/>
  <c r="D81" i="144" s="1"/>
  <c r="I81" i="144" s="1"/>
  <c r="D84" i="144"/>
  <c r="I84" i="144" s="1"/>
  <c r="E60" i="100"/>
  <c r="Y57" i="32"/>
  <c r="Y58" i="32" s="1"/>
  <c r="Y55" i="32" s="1"/>
  <c r="K58" i="32"/>
  <c r="K55" i="32" s="1"/>
  <c r="L296" i="100"/>
  <c r="AC296" i="100" s="1"/>
  <c r="AN80" i="32"/>
  <c r="AO80" i="32"/>
  <c r="S186" i="32"/>
  <c r="T186" i="32" s="1"/>
  <c r="AM71" i="32"/>
  <c r="AO71" i="32" s="1"/>
  <c r="P9" i="22"/>
  <c r="AI8" i="22"/>
  <c r="P9" i="18"/>
  <c r="O9" i="18"/>
  <c r="W9" i="18"/>
  <c r="Z9" i="18"/>
  <c r="U17" i="156"/>
  <c r="G63" i="147"/>
  <c r="H4" i="147"/>
  <c r="G58" i="147"/>
  <c r="F147" i="147"/>
  <c r="G105" i="147"/>
  <c r="ED38" i="158"/>
  <c r="EC38" i="158"/>
  <c r="EB38" i="158"/>
  <c r="EA38" i="158"/>
  <c r="EA8" i="158"/>
  <c r="EB8" i="158"/>
  <c r="EC8" i="158"/>
  <c r="ED8" i="158"/>
  <c r="EO38" i="158"/>
  <c r="EM38" i="158"/>
  <c r="EP38" i="158"/>
  <c r="EN38" i="158"/>
  <c r="EN8" i="158"/>
  <c r="EP8" i="158"/>
  <c r="EO8" i="158"/>
  <c r="EQ8" i="158" s="1"/>
  <c r="CJ8" i="158"/>
  <c r="CD8" i="158" s="1"/>
  <c r="Z12" i="158"/>
  <c r="V31" i="148"/>
  <c r="X31" i="148" s="1"/>
  <c r="Z31" i="148" s="1"/>
  <c r="AA31" i="148" s="1"/>
  <c r="AB31" i="148" s="1"/>
  <c r="R8" i="22"/>
  <c r="BL20" i="158"/>
  <c r="Z22" i="158"/>
  <c r="Z15" i="158"/>
  <c r="AC21" i="148"/>
  <c r="AD21" i="148" s="1"/>
  <c r="E55" i="161" s="1"/>
  <c r="K8" i="22"/>
  <c r="D40" i="100"/>
  <c r="D173" i="100" s="1"/>
  <c r="D65" i="100"/>
  <c r="D146" i="100"/>
  <c r="V25" i="148"/>
  <c r="X25" i="148" s="1"/>
  <c r="Z25" i="148" s="1"/>
  <c r="AA25" i="148" s="1"/>
  <c r="AB25" i="148" s="1"/>
  <c r="T27" i="150"/>
  <c r="V27" i="150" s="1"/>
  <c r="T13" i="150"/>
  <c r="AC13" i="150" s="1"/>
  <c r="AD13" i="150" s="1"/>
  <c r="E47" i="111" s="1"/>
  <c r="Y85" i="158"/>
  <c r="Z16" i="158"/>
  <c r="O39" i="156"/>
  <c r="AK51" i="156"/>
  <c r="AO51" i="156" s="1"/>
  <c r="O41" i="156"/>
  <c r="Q11" i="150"/>
  <c r="BI11" i="150" s="1"/>
  <c r="BK11" i="150" s="1"/>
  <c r="Z8" i="158"/>
  <c r="T12" i="148"/>
  <c r="T29" i="150"/>
  <c r="V29" i="150" s="1"/>
  <c r="Z14" i="158"/>
  <c r="AK50" i="156"/>
  <c r="AO50" i="156" s="1"/>
  <c r="AK53" i="156"/>
  <c r="AO53" i="156" s="1"/>
  <c r="O42" i="156"/>
  <c r="AO48" i="156"/>
  <c r="AP48" i="156" s="1"/>
  <c r="O38" i="156"/>
  <c r="AK21" i="156"/>
  <c r="AK24" i="156" s="1"/>
  <c r="AK23" i="156"/>
  <c r="AO23" i="156" s="1"/>
  <c r="AK25" i="156"/>
  <c r="AO25" i="156" s="1"/>
  <c r="E55" i="144"/>
  <c r="J55" i="144" s="1"/>
  <c r="Z26" i="158"/>
  <c r="Z9" i="158"/>
  <c r="Z85" i="158"/>
  <c r="Z23" i="158"/>
  <c r="AM85" i="158"/>
  <c r="K6" i="100"/>
  <c r="D41" i="100"/>
  <c r="K33" i="100" s="1"/>
  <c r="D147" i="100"/>
  <c r="K140" i="100" s="1"/>
  <c r="AL8" i="77"/>
  <c r="AH9" i="22"/>
  <c r="AI9" i="22" s="1"/>
  <c r="AY15" i="36"/>
  <c r="T21" i="150"/>
  <c r="Q15" i="150"/>
  <c r="BI15" i="150" s="1"/>
  <c r="BK15" i="150" s="1"/>
  <c r="Q25" i="150"/>
  <c r="BI25" i="150" s="1"/>
  <c r="BK25" i="150" s="1"/>
  <c r="HP8" i="158"/>
  <c r="T15" i="150"/>
  <c r="AC15" i="150" s="1"/>
  <c r="AD15" i="150" s="1"/>
  <c r="E49" i="111" s="1"/>
  <c r="X85" i="158"/>
  <c r="T23" i="150"/>
  <c r="V23" i="150" s="1"/>
  <c r="AC9" i="150"/>
  <c r="AD9" i="150" s="1"/>
  <c r="E43" i="111" s="1"/>
  <c r="V9" i="150"/>
  <c r="A43" i="111" s="1"/>
  <c r="Q23" i="150"/>
  <c r="BI23" i="150" s="1"/>
  <c r="BK23" i="150" s="1"/>
  <c r="Q30" i="150"/>
  <c r="BI30" i="150" s="1"/>
  <c r="BK30" i="150" s="1"/>
  <c r="T30" i="150"/>
  <c r="V30" i="150" s="1"/>
  <c r="T31" i="150"/>
  <c r="AC31" i="150" s="1"/>
  <c r="AD31" i="150" s="1"/>
  <c r="E65" i="111" s="1"/>
  <c r="T35" i="150"/>
  <c r="AC35" i="150" s="1"/>
  <c r="AD35" i="150" s="1"/>
  <c r="E69" i="111" s="1"/>
  <c r="Q9" i="150"/>
  <c r="BI9" i="150" s="1"/>
  <c r="BK9" i="150" s="1"/>
  <c r="U9" i="36"/>
  <c r="T36" i="150"/>
  <c r="V36" i="150" s="1"/>
  <c r="V11" i="150"/>
  <c r="AY13" i="36"/>
  <c r="BL20" i="148"/>
  <c r="BN20" i="148" s="1"/>
  <c r="P20" i="150"/>
  <c r="T24" i="150"/>
  <c r="AC24" i="150" s="1"/>
  <c r="AD24" i="150" s="1"/>
  <c r="E58" i="111" s="1"/>
  <c r="T32" i="150"/>
  <c r="AC32" i="150" s="1"/>
  <c r="AD32" i="150" s="1"/>
  <c r="E66" i="111" s="1"/>
  <c r="AY50" i="148"/>
  <c r="BB50" i="148" s="1"/>
  <c r="BA50" i="148"/>
  <c r="P16" i="150"/>
  <c r="AY49" i="148"/>
  <c r="BB49" i="148" s="1"/>
  <c r="BA49" i="148"/>
  <c r="P14" i="150"/>
  <c r="T19" i="150"/>
  <c r="AC19" i="150" s="1"/>
  <c r="AD19" i="150" s="1"/>
  <c r="E53" i="111" s="1"/>
  <c r="BA48" i="148"/>
  <c r="AY48" i="148"/>
  <c r="BB48" i="148" s="1"/>
  <c r="BA51" i="148"/>
  <c r="AY51" i="148"/>
  <c r="BB51" i="148" s="1"/>
  <c r="T14" i="148"/>
  <c r="V14" i="148" s="1"/>
  <c r="X14" i="148" s="1"/>
  <c r="Z14" i="148" s="1"/>
  <c r="AA14" i="148" s="1"/>
  <c r="AB14" i="148" s="1"/>
  <c r="AM16" i="158"/>
  <c r="Q13" i="150"/>
  <c r="BI13" i="150" s="1"/>
  <c r="BK13" i="150" s="1"/>
  <c r="P18" i="150"/>
  <c r="BL12" i="148"/>
  <c r="BN12" i="148" s="1"/>
  <c r="BA47" i="148"/>
  <c r="AY47" i="148"/>
  <c r="BB47" i="148" s="1"/>
  <c r="BA46" i="148"/>
  <c r="AY46" i="148"/>
  <c r="BB46" i="148" s="1"/>
  <c r="P17" i="150"/>
  <c r="BA52" i="148"/>
  <c r="AY52" i="148"/>
  <c r="BB52" i="148" s="1"/>
  <c r="AY21" i="36"/>
  <c r="AY11" i="36"/>
  <c r="AY23" i="36"/>
  <c r="T18" i="148"/>
  <c r="AC18" i="148" s="1"/>
  <c r="AD18" i="148" s="1"/>
  <c r="E52" i="161" s="1"/>
  <c r="AC33" i="150"/>
  <c r="AD33" i="150" s="1"/>
  <c r="E67" i="111" s="1"/>
  <c r="V33" i="150"/>
  <c r="AY31" i="36"/>
  <c r="AY32" i="36"/>
  <c r="V28" i="150"/>
  <c r="AC28" i="150"/>
  <c r="AD28" i="150" s="1"/>
  <c r="E62" i="111" s="1"/>
  <c r="AC25" i="150"/>
  <c r="AD25" i="150" s="1"/>
  <c r="E59" i="111" s="1"/>
  <c r="V25" i="150"/>
  <c r="AY30" i="36"/>
  <c r="AY33" i="36"/>
  <c r="AC28" i="148"/>
  <c r="AD28" i="148" s="1"/>
  <c r="V28" i="148"/>
  <c r="X28" i="148" s="1"/>
  <c r="Z28" i="148" s="1"/>
  <c r="AA28" i="148" s="1"/>
  <c r="AB28" i="148" s="1"/>
  <c r="AC30" i="148"/>
  <c r="AD30" i="148" s="1"/>
  <c r="V30" i="148"/>
  <c r="X30" i="148" s="1"/>
  <c r="Z30" i="148" s="1"/>
  <c r="AA30" i="148" s="1"/>
  <c r="AB30" i="148" s="1"/>
  <c r="AC23" i="148"/>
  <c r="AD23" i="148" s="1"/>
  <c r="V23" i="148"/>
  <c r="X23" i="148" s="1"/>
  <c r="Z23" i="148" s="1"/>
  <c r="AA23" i="148" s="1"/>
  <c r="AB23" i="148" s="1"/>
  <c r="AC12" i="148"/>
  <c r="AD12" i="148" s="1"/>
  <c r="E46" i="161" s="1"/>
  <c r="V12" i="148"/>
  <c r="X12" i="148" s="1"/>
  <c r="Z12" i="148" s="1"/>
  <c r="AA12" i="148" s="1"/>
  <c r="AB12" i="148" s="1"/>
  <c r="F41" i="148"/>
  <c r="R26" i="148"/>
  <c r="S26" i="148" s="1"/>
  <c r="P26" i="148"/>
  <c r="Q26" i="148" s="1"/>
  <c r="AC29" i="148"/>
  <c r="AD29" i="148" s="1"/>
  <c r="E63" i="161" s="1"/>
  <c r="V29" i="148"/>
  <c r="X29" i="148" s="1"/>
  <c r="Z29" i="148" s="1"/>
  <c r="AA29" i="148" s="1"/>
  <c r="AB29" i="148" s="1"/>
  <c r="T10" i="148"/>
  <c r="AC11" i="148"/>
  <c r="AD11" i="148" s="1"/>
  <c r="E45" i="161" s="1"/>
  <c r="V11" i="148"/>
  <c r="X11" i="148" s="1"/>
  <c r="Z11" i="148" s="1"/>
  <c r="AA11" i="148" s="1"/>
  <c r="AB11" i="148" s="1"/>
  <c r="T22" i="148"/>
  <c r="AC35" i="148"/>
  <c r="AD35" i="148" s="1"/>
  <c r="E69" i="161" s="1"/>
  <c r="V35" i="148"/>
  <c r="X35" i="148" s="1"/>
  <c r="Z35" i="148" s="1"/>
  <c r="AA35" i="148" s="1"/>
  <c r="AB35" i="148" s="1"/>
  <c r="T17" i="148"/>
  <c r="AC33" i="148"/>
  <c r="AD33" i="148" s="1"/>
  <c r="E67" i="161" s="1"/>
  <c r="V33" i="148"/>
  <c r="X33" i="148" s="1"/>
  <c r="Z33" i="148" s="1"/>
  <c r="AA33" i="148" s="1"/>
  <c r="AB33" i="148" s="1"/>
  <c r="V24" i="148"/>
  <c r="X24" i="148" s="1"/>
  <c r="Z24" i="148" s="1"/>
  <c r="AA24" i="148" s="1"/>
  <c r="AB24" i="148" s="1"/>
  <c r="AC24" i="148"/>
  <c r="AD24" i="148" s="1"/>
  <c r="E58" i="161" s="1"/>
  <c r="AC27" i="148"/>
  <c r="AD27" i="148" s="1"/>
  <c r="E61" i="161" s="1"/>
  <c r="V27" i="148"/>
  <c r="X27" i="148" s="1"/>
  <c r="Z27" i="148" s="1"/>
  <c r="AA27" i="148" s="1"/>
  <c r="AB27" i="148" s="1"/>
  <c r="T20" i="148"/>
  <c r="T16" i="148"/>
  <c r="AC15" i="148"/>
  <c r="AD15" i="148" s="1"/>
  <c r="E49" i="161" s="1"/>
  <c r="V15" i="148"/>
  <c r="X15" i="148" s="1"/>
  <c r="Z15" i="148" s="1"/>
  <c r="AA15" i="148" s="1"/>
  <c r="AB15" i="148" s="1"/>
  <c r="AC32" i="148"/>
  <c r="AD32" i="148" s="1"/>
  <c r="E66" i="161" s="1"/>
  <c r="V32" i="148"/>
  <c r="X32" i="148" s="1"/>
  <c r="Z32" i="148" s="1"/>
  <c r="AA32" i="148" s="1"/>
  <c r="AB32" i="148" s="1"/>
  <c r="AC36" i="148"/>
  <c r="AD36" i="148" s="1"/>
  <c r="V36" i="148"/>
  <c r="X36" i="148" s="1"/>
  <c r="Z36" i="148" s="1"/>
  <c r="AA36" i="148" s="1"/>
  <c r="AB36" i="148" s="1"/>
  <c r="BL28" i="158"/>
  <c r="AC19" i="148"/>
  <c r="AD19" i="148" s="1"/>
  <c r="E53" i="161" s="1"/>
  <c r="V19" i="148"/>
  <c r="X19" i="148" s="1"/>
  <c r="Z19" i="148" s="1"/>
  <c r="AA19" i="148" s="1"/>
  <c r="AB19" i="148" s="1"/>
  <c r="AC13" i="148"/>
  <c r="AD13" i="148" s="1"/>
  <c r="E47" i="161" s="1"/>
  <c r="V13" i="148"/>
  <c r="X13" i="148" s="1"/>
  <c r="Z13" i="148" s="1"/>
  <c r="AA13" i="148" s="1"/>
  <c r="AB13" i="148" s="1"/>
  <c r="T34" i="148"/>
  <c r="BL33" i="158" s="1"/>
  <c r="S58" i="115"/>
  <c r="AP10" i="158"/>
  <c r="BZ40" i="158"/>
  <c r="CA40" i="158" s="1"/>
  <c r="I40" i="158" s="1"/>
  <c r="AW9" i="158"/>
  <c r="AW86" i="158" s="1"/>
  <c r="BL21" i="158"/>
  <c r="BL11" i="158"/>
  <c r="AJ6" i="161"/>
  <c r="AK6" i="161" s="1"/>
  <c r="Q9" i="148"/>
  <c r="BL9" i="148" s="1"/>
  <c r="BN9" i="148" s="1"/>
  <c r="BL30" i="158"/>
  <c r="E65" i="161"/>
  <c r="AJ11" i="161"/>
  <c r="AK11" i="161" s="1"/>
  <c r="AL11" i="161" s="1"/>
  <c r="BL14" i="148"/>
  <c r="BN14" i="148" s="1"/>
  <c r="AJ31" i="161"/>
  <c r="AK31" i="161" s="1"/>
  <c r="AL31" i="161" s="1"/>
  <c r="BL34" i="148"/>
  <c r="BN34" i="148" s="1"/>
  <c r="AX18" i="158"/>
  <c r="BL22" i="158"/>
  <c r="E57" i="161"/>
  <c r="BL14" i="158"/>
  <c r="AX27" i="158"/>
  <c r="AX14" i="158"/>
  <c r="AJ7" i="161"/>
  <c r="AK7" i="161" s="1"/>
  <c r="AL7" i="161" s="1"/>
  <c r="BL10" i="148"/>
  <c r="BN10" i="148" s="1"/>
  <c r="AJ23" i="161"/>
  <c r="AK23" i="161" s="1"/>
  <c r="AL23" i="161" s="1"/>
  <c r="AX30" i="158"/>
  <c r="AX22" i="158"/>
  <c r="BL27" i="158"/>
  <c r="E62" i="161"/>
  <c r="BL29" i="158"/>
  <c r="E64" i="161"/>
  <c r="A69" i="161"/>
  <c r="BL31" i="158"/>
  <c r="BL17" i="148"/>
  <c r="BN17" i="148" s="1"/>
  <c r="AJ14" i="161"/>
  <c r="AK14" i="161" s="1"/>
  <c r="AL14" i="161" s="1"/>
  <c r="BL10" i="158"/>
  <c r="AX29" i="158"/>
  <c r="AX24" i="158"/>
  <c r="BL16" i="148"/>
  <c r="BN16" i="148" s="1"/>
  <c r="AJ13" i="161"/>
  <c r="AK13" i="161" s="1"/>
  <c r="AL13" i="161" s="1"/>
  <c r="AJ17" i="161"/>
  <c r="AK17" i="161" s="1"/>
  <c r="AL17" i="161" s="1"/>
  <c r="AJ9" i="161"/>
  <c r="AK9" i="161" s="1"/>
  <c r="AL9" i="161" s="1"/>
  <c r="E70" i="161"/>
  <c r="BL35" i="158"/>
  <c r="AJ15" i="161"/>
  <c r="AK15" i="161" s="1"/>
  <c r="AL15" i="161" s="1"/>
  <c r="BL18" i="148"/>
  <c r="BN18" i="148" s="1"/>
  <c r="AX31" i="158"/>
  <c r="S9" i="148"/>
  <c r="T9" i="148" s="1"/>
  <c r="E59" i="161"/>
  <c r="BL24" i="158"/>
  <c r="AX10" i="158"/>
  <c r="BL18" i="158"/>
  <c r="AX35" i="158"/>
  <c r="AJ19" i="161"/>
  <c r="AK19" i="161" s="1"/>
  <c r="AL19" i="161" s="1"/>
  <c r="BL22" i="148"/>
  <c r="BN22" i="148" s="1"/>
  <c r="A55" i="161"/>
  <c r="E45" i="111"/>
  <c r="AG22" i="156"/>
  <c r="AD23" i="156"/>
  <c r="AG23" i="156" s="1"/>
  <c r="AD21" i="156"/>
  <c r="EA36" i="158"/>
  <c r="EA37" i="158"/>
  <c r="EB36" i="158"/>
  <c r="EB37" i="158"/>
  <c r="EC36" i="158"/>
  <c r="EC37" i="158"/>
  <c r="ED36" i="158"/>
  <c r="ED37" i="158"/>
  <c r="EA27" i="158"/>
  <c r="EA25" i="158"/>
  <c r="EA24" i="158"/>
  <c r="EA26" i="158"/>
  <c r="EN37" i="158"/>
  <c r="EO37" i="158"/>
  <c r="EP37" i="158"/>
  <c r="EM36" i="158"/>
  <c r="EN36" i="158"/>
  <c r="EO36" i="158"/>
  <c r="EP36" i="158"/>
  <c r="EM37" i="158"/>
  <c r="EM25" i="158"/>
  <c r="EM24" i="158"/>
  <c r="EM26" i="158"/>
  <c r="EM27" i="158"/>
  <c r="AG50" i="156"/>
  <c r="AD62" i="163"/>
  <c r="AE62" i="163" s="1"/>
  <c r="R32" i="126"/>
  <c r="R29" i="156"/>
  <c r="O69" i="126"/>
  <c r="P69" i="126" s="1"/>
  <c r="Q69" i="126" s="1"/>
  <c r="S31" i="126"/>
  <c r="T31" i="126" s="1"/>
  <c r="G45" i="163"/>
  <c r="G48" i="163"/>
  <c r="G47" i="163"/>
  <c r="D156" i="32"/>
  <c r="R156" i="32" s="1"/>
  <c r="Y194" i="32" s="1"/>
  <c r="X37" i="28"/>
  <c r="Z194" i="32"/>
  <c r="AA194" i="32" s="1"/>
  <c r="F44" i="163"/>
  <c r="F47" i="163" s="1"/>
  <c r="E106" i="100"/>
  <c r="E220" i="100" s="1"/>
  <c r="L36" i="163"/>
  <c r="D118" i="32"/>
  <c r="R118" i="32" s="1"/>
  <c r="E102" i="117" s="1"/>
  <c r="W28" i="155"/>
  <c r="W21" i="126"/>
  <c r="X21" i="126" s="1"/>
  <c r="AE21" i="126"/>
  <c r="AF21" i="126" s="1"/>
  <c r="O25" i="126"/>
  <c r="E101" i="100"/>
  <c r="E215" i="100" s="1"/>
  <c r="E300" i="100" s="1"/>
  <c r="L23" i="163"/>
  <c r="D113" i="32"/>
  <c r="R113" i="32" s="1"/>
  <c r="E97" i="117" s="1"/>
  <c r="W23" i="155"/>
  <c r="X22" i="156"/>
  <c r="H62" i="126"/>
  <c r="I62" i="126" s="1"/>
  <c r="J62" i="126" s="1"/>
  <c r="E139" i="144"/>
  <c r="J139" i="144" s="1"/>
  <c r="AN73" i="156"/>
  <c r="AF73" i="156"/>
  <c r="E84" i="117"/>
  <c r="E85" i="117" s="1"/>
  <c r="R100" i="32"/>
  <c r="R93" i="32" s="1"/>
  <c r="E79" i="117" s="1"/>
  <c r="V23" i="126"/>
  <c r="V22" i="126"/>
  <c r="X38" i="28"/>
  <c r="D157" i="32"/>
  <c r="R157" i="32" s="1"/>
  <c r="Y195" i="32" s="1"/>
  <c r="L27" i="163"/>
  <c r="W29" i="155"/>
  <c r="D119" i="32"/>
  <c r="R119" i="32" s="1"/>
  <c r="E103" i="117" s="1"/>
  <c r="X28" i="156"/>
  <c r="T40" i="24"/>
  <c r="AD65" i="155"/>
  <c r="AE65" i="155" s="1"/>
  <c r="AC66" i="155"/>
  <c r="AD66" i="155" s="1"/>
  <c r="AE66" i="155" s="1"/>
  <c r="AK65" i="155"/>
  <c r="AC67" i="155"/>
  <c r="AD67" i="155" s="1"/>
  <c r="Z195" i="32"/>
  <c r="AA195" i="32" s="1"/>
  <c r="I48" i="126"/>
  <c r="J48" i="126" s="1"/>
  <c r="H69" i="126"/>
  <c r="I69" i="126" s="1"/>
  <c r="J69" i="126" s="1"/>
  <c r="EO31" i="158"/>
  <c r="EN29" i="158"/>
  <c r="EP34" i="158"/>
  <c r="EO32" i="158"/>
  <c r="EM30" i="158"/>
  <c r="EM28" i="158"/>
  <c r="EN31" i="158"/>
  <c r="EO28" i="158"/>
  <c r="EN25" i="158"/>
  <c r="EM23" i="158"/>
  <c r="EO34" i="158"/>
  <c r="EM31" i="158"/>
  <c r="EP30" i="158"/>
  <c r="EP29" i="158"/>
  <c r="EN28" i="158"/>
  <c r="EO20" i="158"/>
  <c r="EM18" i="158"/>
  <c r="EO15" i="158"/>
  <c r="EO13" i="158"/>
  <c r="EO11" i="158"/>
  <c r="EN34" i="158"/>
  <c r="EO30" i="158"/>
  <c r="EO29" i="158"/>
  <c r="EP22" i="158"/>
  <c r="EN20" i="158"/>
  <c r="EP17" i="158"/>
  <c r="EN15" i="158"/>
  <c r="EM34" i="158"/>
  <c r="EN30" i="158"/>
  <c r="EM29" i="158"/>
  <c r="EO22" i="158"/>
  <c r="EM20" i="158"/>
  <c r="EO17" i="158"/>
  <c r="EM15" i="158"/>
  <c r="EP33" i="158"/>
  <c r="EP24" i="158"/>
  <c r="EN22" i="158"/>
  <c r="EN17" i="158"/>
  <c r="EO33" i="158"/>
  <c r="EO24" i="158"/>
  <c r="EM22" i="158"/>
  <c r="EN33" i="158"/>
  <c r="EN24" i="158"/>
  <c r="EP19" i="158"/>
  <c r="EP16" i="158"/>
  <c r="EM33" i="158"/>
  <c r="EP27" i="158"/>
  <c r="EP26" i="158"/>
  <c r="EP21" i="158"/>
  <c r="EP35" i="158"/>
  <c r="EO27" i="158"/>
  <c r="EO26" i="158"/>
  <c r="EO21" i="158"/>
  <c r="EN19" i="158"/>
  <c r="EN16" i="158"/>
  <c r="EN14" i="158"/>
  <c r="EN12" i="158"/>
  <c r="EO10" i="158"/>
  <c r="EO35" i="158"/>
  <c r="EP32" i="158"/>
  <c r="EN27" i="158"/>
  <c r="EN26" i="158"/>
  <c r="EP23" i="158"/>
  <c r="EN21" i="158"/>
  <c r="EM19" i="158"/>
  <c r="EM16" i="158"/>
  <c r="EN35" i="158"/>
  <c r="EN32" i="158"/>
  <c r="EO25" i="158"/>
  <c r="EO12" i="158"/>
  <c r="EP11" i="158"/>
  <c r="EO9" i="158"/>
  <c r="EM12" i="158"/>
  <c r="EN11" i="158"/>
  <c r="EN9" i="158"/>
  <c r="EM11" i="158"/>
  <c r="EM9" i="158"/>
  <c r="EP28" i="158"/>
  <c r="EO19" i="158"/>
  <c r="EP18" i="158"/>
  <c r="EO23" i="158"/>
  <c r="EP20" i="158"/>
  <c r="EO18" i="158"/>
  <c r="EP31" i="158"/>
  <c r="EN23" i="158"/>
  <c r="EN18" i="158"/>
  <c r="EP10" i="158"/>
  <c r="EO16" i="158"/>
  <c r="EN10" i="158"/>
  <c r="EP15" i="158"/>
  <c r="EM10" i="158"/>
  <c r="EM21" i="158"/>
  <c r="EM17" i="158"/>
  <c r="EP13" i="158"/>
  <c r="EM32" i="158"/>
  <c r="EP14" i="158"/>
  <c r="EN13" i="158"/>
  <c r="EO14" i="158"/>
  <c r="EM13" i="158"/>
  <c r="EP9" i="158"/>
  <c r="EM35" i="158"/>
  <c r="EM14" i="158"/>
  <c r="EP12" i="158"/>
  <c r="EP25" i="158"/>
  <c r="J202" i="100"/>
  <c r="E297" i="100"/>
  <c r="J286" i="100" s="1"/>
  <c r="EC31" i="158"/>
  <c r="ED34" i="158"/>
  <c r="EC32" i="158"/>
  <c r="EA30" i="158"/>
  <c r="EA28" i="158"/>
  <c r="EC34" i="158"/>
  <c r="EA31" i="158"/>
  <c r="ED30" i="158"/>
  <c r="ED29" i="158"/>
  <c r="EB28" i="158"/>
  <c r="EB25" i="158"/>
  <c r="EA23" i="158"/>
  <c r="EB34" i="158"/>
  <c r="EC30" i="158"/>
  <c r="EC29" i="158"/>
  <c r="EC20" i="158"/>
  <c r="EA18" i="158"/>
  <c r="EC15" i="158"/>
  <c r="EC13" i="158"/>
  <c r="EC11" i="158"/>
  <c r="EA34" i="158"/>
  <c r="EB30" i="158"/>
  <c r="EB29" i="158"/>
  <c r="ED22" i="158"/>
  <c r="EB20" i="158"/>
  <c r="ED17" i="158"/>
  <c r="EB15" i="158"/>
  <c r="EA29" i="158"/>
  <c r="EC22" i="158"/>
  <c r="EA20" i="158"/>
  <c r="EC17" i="158"/>
  <c r="EA15" i="158"/>
  <c r="ED33" i="158"/>
  <c r="ED24" i="158"/>
  <c r="EB22" i="158"/>
  <c r="EB17" i="158"/>
  <c r="EC33" i="158"/>
  <c r="EC24" i="158"/>
  <c r="EA22" i="158"/>
  <c r="EB33" i="158"/>
  <c r="EB24" i="158"/>
  <c r="ED19" i="158"/>
  <c r="ED16" i="158"/>
  <c r="EA33" i="158"/>
  <c r="ED27" i="158"/>
  <c r="ED26" i="158"/>
  <c r="ED21" i="158"/>
  <c r="ED35" i="158"/>
  <c r="ED32" i="158"/>
  <c r="EC27" i="158"/>
  <c r="EC26" i="158"/>
  <c r="EC21" i="158"/>
  <c r="EB19" i="158"/>
  <c r="EB16" i="158"/>
  <c r="EB14" i="158"/>
  <c r="EB12" i="158"/>
  <c r="EC10" i="158"/>
  <c r="EC35" i="158"/>
  <c r="EB32" i="158"/>
  <c r="EB27" i="158"/>
  <c r="EB26" i="158"/>
  <c r="ED23" i="158"/>
  <c r="EB21" i="158"/>
  <c r="EA19" i="158"/>
  <c r="EA16" i="158"/>
  <c r="EB35" i="158"/>
  <c r="EA32" i="158"/>
  <c r="ED31" i="158"/>
  <c r="ED28" i="158"/>
  <c r="EC28" i="158"/>
  <c r="EC19" i="158"/>
  <c r="EA12" i="158"/>
  <c r="EB11" i="158"/>
  <c r="EC9" i="158"/>
  <c r="EC86" i="158" s="1"/>
  <c r="ED20" i="158"/>
  <c r="EA11" i="158"/>
  <c r="EB9" i="158"/>
  <c r="EB86" i="158" s="1"/>
  <c r="EB31" i="158"/>
  <c r="EC23" i="158"/>
  <c r="ED18" i="158"/>
  <c r="EA9" i="158"/>
  <c r="EB23" i="158"/>
  <c r="EC18" i="158"/>
  <c r="EC16" i="158"/>
  <c r="EB18" i="158"/>
  <c r="ED15" i="158"/>
  <c r="ED10" i="158"/>
  <c r="EA21" i="158"/>
  <c r="CH22" i="36" s="1"/>
  <c r="BO22" i="36" s="1"/>
  <c r="EA17" i="158"/>
  <c r="EB10" i="158"/>
  <c r="EA10" i="158"/>
  <c r="ED13" i="158"/>
  <c r="EA35" i="158"/>
  <c r="ED14" i="158"/>
  <c r="EB13" i="158"/>
  <c r="EC14" i="158"/>
  <c r="EA13" i="158"/>
  <c r="ED25" i="158"/>
  <c r="EA14" i="158"/>
  <c r="ED12" i="158"/>
  <c r="ED11" i="158"/>
  <c r="EC12" i="158"/>
  <c r="EC25" i="158"/>
  <c r="ED9" i="158"/>
  <c r="E302" i="100"/>
  <c r="T286" i="100" s="1"/>
  <c r="T202" i="100"/>
  <c r="B67" i="18"/>
  <c r="P10" i="22"/>
  <c r="B12" i="18"/>
  <c r="R10" i="22"/>
  <c r="T10" i="22"/>
  <c r="I10" i="22"/>
  <c r="Q10" i="22"/>
  <c r="AV10" i="22"/>
  <c r="K10" i="22"/>
  <c r="J86" i="100"/>
  <c r="E208" i="100"/>
  <c r="Y93" i="32"/>
  <c r="F67" i="148"/>
  <c r="A30" i="148"/>
  <c r="E295" i="100"/>
  <c r="J310" i="100" s="1"/>
  <c r="T201" i="100"/>
  <c r="J201" i="100"/>
  <c r="A41" i="92"/>
  <c r="A4" i="92" s="1"/>
  <c r="B11" i="115"/>
  <c r="K43" i="111"/>
  <c r="AV8" i="77"/>
  <c r="AN8" i="77"/>
  <c r="G12" i="123" s="1"/>
  <c r="L43" i="161"/>
  <c r="B9" i="77"/>
  <c r="DC9" i="77" s="1"/>
  <c r="DO5" i="177" s="1"/>
  <c r="B100" i="77"/>
  <c r="B59" i="77"/>
  <c r="BA8" i="77"/>
  <c r="E6" i="119" s="1"/>
  <c r="G6" i="119" s="1"/>
  <c r="N8" i="77"/>
  <c r="E12" i="123" s="1"/>
  <c r="AM8" i="77"/>
  <c r="S8" i="77"/>
  <c r="GZ10" i="158"/>
  <c r="FC10" i="158"/>
  <c r="A5" i="168"/>
  <c r="M5" i="168" s="1"/>
  <c r="D10" i="136"/>
  <c r="A8" i="159"/>
  <c r="B87" i="158"/>
  <c r="BD10" i="158"/>
  <c r="B11" i="158"/>
  <c r="B6" i="119"/>
  <c r="B42" i="119" s="1"/>
  <c r="B77" i="119" s="1"/>
  <c r="B65" i="36"/>
  <c r="BE9" i="36"/>
  <c r="CY9" i="36" s="1"/>
  <c r="B10" i="36"/>
  <c r="J203" i="100"/>
  <c r="E298" i="100"/>
  <c r="J287" i="100" s="1"/>
  <c r="B11" i="22"/>
  <c r="AP10" i="22"/>
  <c r="CO10" i="22"/>
  <c r="AU10" i="22"/>
  <c r="AH10" i="22"/>
  <c r="AG10" i="22"/>
  <c r="EJ86" i="158"/>
  <c r="DX86" i="158"/>
  <c r="DL86" i="158"/>
  <c r="BE86" i="158"/>
  <c r="DQ86" i="158"/>
  <c r="BJ86" i="158"/>
  <c r="X86" i="158"/>
  <c r="L86" i="158"/>
  <c r="DO86" i="158"/>
  <c r="AM86" i="158"/>
  <c r="Y86" i="158"/>
  <c r="DN86" i="158"/>
  <c r="AL86" i="158"/>
  <c r="W86" i="158"/>
  <c r="DM86" i="158"/>
  <c r="AK86" i="158"/>
  <c r="DZ86" i="158"/>
  <c r="DA86" i="158"/>
  <c r="DY86" i="158"/>
  <c r="CZ86" i="158"/>
  <c r="EL86" i="158"/>
  <c r="DW86" i="158"/>
  <c r="CY86" i="158"/>
  <c r="AU86" i="158"/>
  <c r="EK86" i="158"/>
  <c r="DV86" i="158"/>
  <c r="CX86" i="158"/>
  <c r="EI86" i="158"/>
  <c r="DU86" i="158"/>
  <c r="BI86" i="158"/>
  <c r="EH86" i="158"/>
  <c r="DT86" i="158"/>
  <c r="BH86" i="158"/>
  <c r="EG86" i="158"/>
  <c r="DS86" i="158"/>
  <c r="BG86" i="158"/>
  <c r="AP86" i="158"/>
  <c r="N86" i="158"/>
  <c r="EF86" i="158"/>
  <c r="DR86" i="158"/>
  <c r="BF86" i="158"/>
  <c r="AO86" i="158"/>
  <c r="AA86" i="158"/>
  <c r="BK86" i="158"/>
  <c r="BD86" i="158"/>
  <c r="C86" i="158"/>
  <c r="AT86" i="158"/>
  <c r="AN86" i="158"/>
  <c r="Z86" i="158"/>
  <c r="EE86" i="158"/>
  <c r="DP86" i="158"/>
  <c r="K86" i="158"/>
  <c r="T203" i="100"/>
  <c r="E303" i="100"/>
  <c r="T287" i="100" s="1"/>
  <c r="X17" i="156"/>
  <c r="AL73" i="156" s="1"/>
  <c r="AL74" i="156" s="1"/>
  <c r="AC65" i="163"/>
  <c r="AC66" i="163" s="1"/>
  <c r="AC64" i="163"/>
  <c r="AC63" i="163"/>
  <c r="F209" i="100"/>
  <c r="G209" i="100" s="1"/>
  <c r="E294" i="100"/>
  <c r="F294" i="100" s="1"/>
  <c r="G294" i="100" s="1"/>
  <c r="ID9" i="158"/>
  <c r="HR9" i="158"/>
  <c r="IB9" i="158"/>
  <c r="HS9" i="158"/>
  <c r="HQ9" i="158"/>
  <c r="IE9" i="158"/>
  <c r="HP9" i="158"/>
  <c r="IC9" i="158"/>
  <c r="HO9" i="158"/>
  <c r="HA9" i="158"/>
  <c r="IA9" i="158"/>
  <c r="HJ9" i="158"/>
  <c r="HH9" i="158"/>
  <c r="HG9" i="158"/>
  <c r="FR9" i="158"/>
  <c r="FJ9" i="158"/>
  <c r="GH9" i="158"/>
  <c r="GE9" i="158"/>
  <c r="FS9" i="158"/>
  <c r="GG9" i="158"/>
  <c r="GA9" i="158"/>
  <c r="FT9" i="158"/>
  <c r="FM9" i="158"/>
  <c r="GD9" i="158"/>
  <c r="FK9" i="158"/>
  <c r="FD9" i="158"/>
  <c r="GF9" i="158"/>
  <c r="FU9" i="158"/>
  <c r="FV9" i="158"/>
  <c r="GJ9" i="158"/>
  <c r="GU9" i="158"/>
  <c r="AH21" i="163"/>
  <c r="AH22" i="163" s="1"/>
  <c r="AH23" i="163" s="1"/>
  <c r="AH24" i="163" s="1"/>
  <c r="Z21" i="163"/>
  <c r="Z22" i="163" s="1"/>
  <c r="K60" i="100"/>
  <c r="L60" i="100" s="1"/>
  <c r="F68" i="100"/>
  <c r="G68" i="100" s="1"/>
  <c r="F4" i="177"/>
  <c r="CH4" i="177" s="1"/>
  <c r="D176" i="100"/>
  <c r="AH34" i="100"/>
  <c r="K34" i="100"/>
  <c r="L34" i="100" s="1"/>
  <c r="F43" i="100"/>
  <c r="G43" i="100" s="1"/>
  <c r="S9" i="22"/>
  <c r="V9" i="77"/>
  <c r="C59" i="77"/>
  <c r="V8" i="77"/>
  <c r="S8" i="22"/>
  <c r="G179" i="155"/>
  <c r="G176" i="155"/>
  <c r="G178" i="155"/>
  <c r="G177" i="155"/>
  <c r="G11" i="20"/>
  <c r="G11" i="10" s="1"/>
  <c r="AG74" i="24"/>
  <c r="F175" i="155" s="1"/>
  <c r="H8" i="22"/>
  <c r="Z175" i="32"/>
  <c r="AA175" i="32" s="1"/>
  <c r="X176" i="32"/>
  <c r="Z176" i="32" s="1"/>
  <c r="AA176" i="32" s="1"/>
  <c r="K141" i="100"/>
  <c r="U141" i="100"/>
  <c r="AH48" i="156"/>
  <c r="Z171" i="32"/>
  <c r="AA171" i="32" s="1"/>
  <c r="X172" i="32"/>
  <c r="X174" i="32"/>
  <c r="Z174" i="32" s="1"/>
  <c r="AA174" i="32" s="1"/>
  <c r="Z136" i="32"/>
  <c r="AA136" i="32" s="1"/>
  <c r="X196" i="32"/>
  <c r="Z196" i="32" s="1"/>
  <c r="AA196" i="32" s="1"/>
  <c r="U32" i="126"/>
  <c r="AK52" i="156"/>
  <c r="AO49" i="156"/>
  <c r="D184" i="100"/>
  <c r="K38" i="100"/>
  <c r="AY36" i="100"/>
  <c r="AZ36" i="100" s="1"/>
  <c r="F51" i="100"/>
  <c r="G51" i="100" s="1"/>
  <c r="D186" i="100"/>
  <c r="F53" i="100"/>
  <c r="G53" i="100" s="1"/>
  <c r="F47" i="144"/>
  <c r="K47" i="144" s="1"/>
  <c r="D47" i="117"/>
  <c r="F47" i="117" s="1"/>
  <c r="G47" i="117" s="1"/>
  <c r="F43" i="144"/>
  <c r="K43" i="144" s="1"/>
  <c r="D44" i="117"/>
  <c r="F44" i="117" s="1"/>
  <c r="G44" i="117" s="1"/>
  <c r="D172" i="100"/>
  <c r="F39" i="100"/>
  <c r="G39" i="100" s="1"/>
  <c r="U143" i="100"/>
  <c r="X180" i="32"/>
  <c r="Z180" i="32" s="1"/>
  <c r="AA180" i="32" s="1"/>
  <c r="Z142" i="32"/>
  <c r="AA142" i="32" s="1"/>
  <c r="D179" i="100"/>
  <c r="K37" i="100"/>
  <c r="AH36" i="100"/>
  <c r="AI36" i="100" s="1"/>
  <c r="F46" i="100"/>
  <c r="G46" i="100" s="1"/>
  <c r="E40" i="144"/>
  <c r="J40" i="144" s="1"/>
  <c r="D5" i="117"/>
  <c r="D140" i="100"/>
  <c r="F140" i="100" s="1"/>
  <c r="G140" i="100" s="1"/>
  <c r="D59" i="100"/>
  <c r="K5" i="100"/>
  <c r="L5" i="100" s="1"/>
  <c r="D33" i="100"/>
  <c r="F6" i="100"/>
  <c r="G6" i="100" s="1"/>
  <c r="X181" i="32"/>
  <c r="Z181" i="32" s="1"/>
  <c r="AA181" i="32" s="1"/>
  <c r="Z143" i="32"/>
  <c r="AA143" i="32" s="1"/>
  <c r="K143" i="100"/>
  <c r="D168" i="100"/>
  <c r="F35" i="100"/>
  <c r="G35" i="100" s="1"/>
  <c r="AH32" i="100"/>
  <c r="AI32" i="100" s="1"/>
  <c r="D181" i="100"/>
  <c r="D257" i="100"/>
  <c r="F170" i="100"/>
  <c r="G170" i="100" s="1"/>
  <c r="D178" i="100"/>
  <c r="AH35" i="100"/>
  <c r="K35" i="100"/>
  <c r="L35" i="100" s="1"/>
  <c r="F45" i="100"/>
  <c r="G45" i="100" s="1"/>
  <c r="D183" i="100"/>
  <c r="F50" i="100"/>
  <c r="G50" i="100" s="1"/>
  <c r="K36" i="100"/>
  <c r="L36" i="100" s="1"/>
  <c r="AY35" i="100"/>
  <c r="K139" i="100"/>
  <c r="D180" i="100"/>
  <c r="F47" i="100"/>
  <c r="G47" i="100" s="1"/>
  <c r="K62" i="100"/>
  <c r="L62" i="100" s="1"/>
  <c r="F75" i="100"/>
  <c r="G75" i="100" s="1"/>
  <c r="K61" i="100"/>
  <c r="L61" i="100" s="1"/>
  <c r="F70" i="100"/>
  <c r="G70" i="100" s="1"/>
  <c r="K64" i="100"/>
  <c r="F76" i="100"/>
  <c r="G76" i="100" s="1"/>
  <c r="K59" i="100"/>
  <c r="U142" i="100"/>
  <c r="Z151" i="32"/>
  <c r="AA151" i="32" s="1"/>
  <c r="X189" i="32"/>
  <c r="Z189" i="32" s="1"/>
  <c r="AA189" i="32" s="1"/>
  <c r="D169" i="100"/>
  <c r="AY32" i="100"/>
  <c r="F36" i="100"/>
  <c r="G36" i="100" s="1"/>
  <c r="D167" i="100"/>
  <c r="F34" i="100"/>
  <c r="G34" i="100" s="1"/>
  <c r="D185" i="100"/>
  <c r="F52" i="100"/>
  <c r="G52" i="100" s="1"/>
  <c r="K142" i="100"/>
  <c r="U139" i="100"/>
  <c r="F71" i="100"/>
  <c r="G71" i="100" s="1"/>
  <c r="K63" i="100"/>
  <c r="AC11" i="18"/>
  <c r="E11" i="18"/>
  <c r="F11" i="18"/>
  <c r="C11" i="18"/>
  <c r="AD11" i="18"/>
  <c r="AA11" i="18"/>
  <c r="D11" i="18"/>
  <c r="DW4" i="177" l="1"/>
  <c r="C41" i="92"/>
  <c r="CE41" i="36"/>
  <c r="DG20" i="158"/>
  <c r="DK20" i="158" s="1"/>
  <c r="DF20" i="158"/>
  <c r="E243" i="100"/>
  <c r="J227" i="100" s="1"/>
  <c r="T254" i="100"/>
  <c r="J255" i="100"/>
  <c r="E239" i="100"/>
  <c r="J228" i="100" s="1"/>
  <c r="DG28" i="158"/>
  <c r="DK28" i="158" s="1"/>
  <c r="DF28" i="158"/>
  <c r="DG34" i="158"/>
  <c r="DK34" i="158" s="1"/>
  <c r="DF34" i="158"/>
  <c r="DG33" i="158"/>
  <c r="DK33" i="158" s="1"/>
  <c r="DF33" i="158"/>
  <c r="DH13" i="158"/>
  <c r="DF13" i="158"/>
  <c r="EE40" i="158"/>
  <c r="EE43" i="158" s="1"/>
  <c r="EC42" i="158" s="1"/>
  <c r="DG16" i="158"/>
  <c r="DK16" i="158" s="1"/>
  <c r="DF16" i="158"/>
  <c r="DG14" i="158"/>
  <c r="DK14" i="158" s="1"/>
  <c r="DF14" i="158"/>
  <c r="DG24" i="158"/>
  <c r="DK24" i="158" s="1"/>
  <c r="DF24" i="158"/>
  <c r="DG30" i="158"/>
  <c r="DF30" i="158"/>
  <c r="E235" i="100"/>
  <c r="F235" i="100" s="1"/>
  <c r="G235" i="100" s="1"/>
  <c r="F262" i="100"/>
  <c r="G262" i="100" s="1"/>
  <c r="DG15" i="158"/>
  <c r="DK15" i="158" s="1"/>
  <c r="DF15" i="158"/>
  <c r="DG32" i="158"/>
  <c r="DK32" i="158" s="1"/>
  <c r="DF32" i="158"/>
  <c r="DJ8" i="158"/>
  <c r="DJ39" i="158" s="1"/>
  <c r="DE39" i="158"/>
  <c r="DG23" i="158"/>
  <c r="DK23" i="158" s="1"/>
  <c r="DF23" i="158"/>
  <c r="DI8" i="158"/>
  <c r="DI39" i="158" s="1"/>
  <c r="DD39" i="158"/>
  <c r="HR8" i="158"/>
  <c r="FU8" i="158"/>
  <c r="CM8" i="158"/>
  <c r="CG8" i="158" s="1"/>
  <c r="DG31" i="158"/>
  <c r="DK31" i="158" s="1"/>
  <c r="DF31" i="158"/>
  <c r="DF38" i="158"/>
  <c r="DG38" i="158"/>
  <c r="DK38" i="158" s="1"/>
  <c r="DH11" i="158"/>
  <c r="DK11" i="158" s="1"/>
  <c r="DF11" i="158"/>
  <c r="DF21" i="158"/>
  <c r="DG21" i="158"/>
  <c r="DK21" i="158" s="1"/>
  <c r="DF22" i="158"/>
  <c r="DG22" i="158"/>
  <c r="DK22" i="158" s="1"/>
  <c r="DG19" i="158"/>
  <c r="DK19" i="158" s="1"/>
  <c r="DF19" i="158"/>
  <c r="CK8" i="158"/>
  <c r="CE8" i="158" s="1"/>
  <c r="DH10" i="158"/>
  <c r="DK10" i="158" s="1"/>
  <c r="DF10" i="158"/>
  <c r="DK30" i="158"/>
  <c r="DF37" i="158"/>
  <c r="DG37" i="158"/>
  <c r="DK37" i="158" s="1"/>
  <c r="DG35" i="158"/>
  <c r="DK35" i="158" s="1"/>
  <c r="DF35" i="158"/>
  <c r="DB39" i="158"/>
  <c r="DG8" i="158"/>
  <c r="DF8" i="158"/>
  <c r="DH8" i="158"/>
  <c r="DC39" i="158"/>
  <c r="DG27" i="158"/>
  <c r="DK27" i="158" s="1"/>
  <c r="DF27" i="158"/>
  <c r="DH12" i="158"/>
  <c r="DK12" i="158" s="1"/>
  <c r="DF12" i="158"/>
  <c r="CF41" i="36"/>
  <c r="J278" i="100"/>
  <c r="E236" i="100"/>
  <c r="DG36" i="158"/>
  <c r="DK36" i="158" s="1"/>
  <c r="DF36" i="158"/>
  <c r="DW40" i="158"/>
  <c r="DF25" i="158"/>
  <c r="DG25" i="158"/>
  <c r="DK25" i="158" s="1"/>
  <c r="DX42" i="158"/>
  <c r="DY41" i="158"/>
  <c r="E244" i="100"/>
  <c r="J229" i="100" s="1"/>
  <c r="T255" i="100"/>
  <c r="DG26" i="158"/>
  <c r="DK26" i="158" s="1"/>
  <c r="DF26" i="158"/>
  <c r="DG29" i="158"/>
  <c r="DK29" i="158" s="1"/>
  <c r="DF29" i="158"/>
  <c r="DG17" i="158"/>
  <c r="DK17" i="158" s="1"/>
  <c r="DF17" i="158"/>
  <c r="DG9" i="158"/>
  <c r="DK9" i="158" s="1"/>
  <c r="DF9" i="158"/>
  <c r="DG18" i="158"/>
  <c r="DK18" i="158" s="1"/>
  <c r="DF18" i="158"/>
  <c r="CD41" i="36"/>
  <c r="CF28" i="177"/>
  <c r="CJ28" i="177" s="1"/>
  <c r="CN28" i="177" s="1"/>
  <c r="CR28" i="177" s="1"/>
  <c r="CW28" i="177"/>
  <c r="DA28" i="177" s="1"/>
  <c r="DE28" i="177" s="1"/>
  <c r="DI28" i="177" s="1"/>
  <c r="DM28" i="177" s="1"/>
  <c r="DQ28" i="177" s="1"/>
  <c r="DU28" i="177" s="1"/>
  <c r="CB29" i="177"/>
  <c r="B30" i="177"/>
  <c r="E176" i="155"/>
  <c r="Z36" i="150"/>
  <c r="AA36" i="150" s="1"/>
  <c r="AB36" i="150" s="1"/>
  <c r="A70" i="111"/>
  <c r="AD70" i="111" s="1"/>
  <c r="X27" i="150"/>
  <c r="Z27" i="150" s="1"/>
  <c r="AA27" i="150" s="1"/>
  <c r="AB27" i="150" s="1"/>
  <c r="A61" i="111"/>
  <c r="X25" i="150"/>
  <c r="Z25" i="150" s="1"/>
  <c r="AA25" i="150" s="1"/>
  <c r="AB25" i="150" s="1"/>
  <c r="A59" i="111"/>
  <c r="Z28" i="150"/>
  <c r="AA28" i="150" s="1"/>
  <c r="AB28" i="150" s="1"/>
  <c r="A62" i="111"/>
  <c r="X23" i="150"/>
  <c r="Z23" i="150" s="1"/>
  <c r="AA23" i="150" s="1"/>
  <c r="AB23" i="150" s="1"/>
  <c r="A57" i="111"/>
  <c r="Z29" i="150"/>
  <c r="AA29" i="150" s="1"/>
  <c r="AB29" i="150" s="1"/>
  <c r="A63" i="111"/>
  <c r="AD63" i="111" s="1"/>
  <c r="AE63" i="111" s="1"/>
  <c r="AH63" i="111" s="1"/>
  <c r="DJ29" i="36" s="1"/>
  <c r="Z33" i="150"/>
  <c r="AA33" i="150" s="1"/>
  <c r="AB33" i="150" s="1"/>
  <c r="A67" i="111"/>
  <c r="Z30" i="150"/>
  <c r="AA30" i="150" s="1"/>
  <c r="AB30" i="150" s="1"/>
  <c r="A64" i="111"/>
  <c r="AQ74" i="24"/>
  <c r="C175" i="155" s="1"/>
  <c r="H175" i="155" s="1"/>
  <c r="I175" i="155" s="1"/>
  <c r="I181" i="155" s="1"/>
  <c r="I183" i="155" s="1"/>
  <c r="AJ11" i="18"/>
  <c r="BV11" i="18" s="1"/>
  <c r="AH11" i="18"/>
  <c r="AK11" i="18"/>
  <c r="N11" i="18"/>
  <c r="C10" i="22"/>
  <c r="AG11" i="18"/>
  <c r="AB11" i="18"/>
  <c r="CM10" i="22"/>
  <c r="H10" i="22" s="1"/>
  <c r="L45" i="111"/>
  <c r="L46" i="111" s="1"/>
  <c r="AN71" i="32"/>
  <c r="AH50" i="156"/>
  <c r="AH51" i="156" s="1"/>
  <c r="AC21" i="150"/>
  <c r="AD21" i="150" s="1"/>
  <c r="E55" i="111" s="1"/>
  <c r="V21" i="150"/>
  <c r="F41" i="144"/>
  <c r="K41" i="144" s="1"/>
  <c r="D42" i="117"/>
  <c r="F42" i="117" s="1"/>
  <c r="G42" i="117" s="1"/>
  <c r="D46" i="117"/>
  <c r="F46" i="117" s="1"/>
  <c r="G46" i="117" s="1"/>
  <c r="F46" i="144"/>
  <c r="K46" i="144" s="1"/>
  <c r="F60" i="100"/>
  <c r="G60" i="100" s="1"/>
  <c r="G83" i="144"/>
  <c r="L83" i="144" s="1"/>
  <c r="Q9" i="18"/>
  <c r="Q10" i="18"/>
  <c r="X9" i="18"/>
  <c r="X10" i="18"/>
  <c r="CP10" i="22"/>
  <c r="V13" i="150"/>
  <c r="X9" i="150"/>
  <c r="Z9" i="150" s="1"/>
  <c r="AA9" i="150" s="1"/>
  <c r="AB9" i="150" s="1"/>
  <c r="X11" i="150"/>
  <c r="Z11" i="150" s="1"/>
  <c r="AA11" i="150" s="1"/>
  <c r="AB11" i="150" s="1"/>
  <c r="A45" i="111"/>
  <c r="G147" i="147"/>
  <c r="H105" i="147"/>
  <c r="H63" i="147"/>
  <c r="I4" i="147"/>
  <c r="H58" i="147"/>
  <c r="CK38" i="158"/>
  <c r="CE38" i="158" s="1"/>
  <c r="CP38" i="158"/>
  <c r="BY38" i="158" s="1"/>
  <c r="CM38" i="158"/>
  <c r="CG38" i="158" s="1"/>
  <c r="CR38" i="158"/>
  <c r="CA38" i="158" s="1"/>
  <c r="CJ38" i="158"/>
  <c r="CL38" i="158"/>
  <c r="CF38" i="158" s="1"/>
  <c r="CQ38" i="158"/>
  <c r="BZ38" i="158" s="1"/>
  <c r="CL8" i="158"/>
  <c r="CQ8" i="158"/>
  <c r="BZ8" i="158" s="1"/>
  <c r="CO8" i="158"/>
  <c r="CR8" i="158"/>
  <c r="CA8" i="158" s="1"/>
  <c r="AC29" i="150"/>
  <c r="AD29" i="150" s="1"/>
  <c r="E63" i="111" s="1"/>
  <c r="AC27" i="150"/>
  <c r="AD27" i="150" s="1"/>
  <c r="AY35" i="36"/>
  <c r="V31" i="150"/>
  <c r="V32" i="150"/>
  <c r="A63" i="161"/>
  <c r="AY29" i="36"/>
  <c r="A58" i="161"/>
  <c r="T26" i="148"/>
  <c r="AC26" i="148" s="1"/>
  <c r="AD26" i="148" s="1"/>
  <c r="E60" i="161" s="1"/>
  <c r="U140" i="100"/>
  <c r="D174" i="100"/>
  <c r="K166" i="100" s="1"/>
  <c r="AH33" i="100"/>
  <c r="AY33" i="100" s="1"/>
  <c r="AC36" i="150"/>
  <c r="AD36" i="150" s="1"/>
  <c r="E70" i="111" s="1"/>
  <c r="V24" i="150"/>
  <c r="V15" i="150"/>
  <c r="AY24" i="36"/>
  <c r="V35" i="150"/>
  <c r="AP49" i="156"/>
  <c r="AY36" i="36"/>
  <c r="V19" i="150"/>
  <c r="A61" i="161"/>
  <c r="A47" i="161"/>
  <c r="AC23" i="150"/>
  <c r="AD23" i="150" s="1"/>
  <c r="E57" i="111" s="1"/>
  <c r="AY25" i="36"/>
  <c r="AY28" i="36"/>
  <c r="BL17" i="158"/>
  <c r="AY9" i="36"/>
  <c r="BD8" i="77" s="1"/>
  <c r="AC30" i="150"/>
  <c r="AD30" i="150" s="1"/>
  <c r="E64" i="111" s="1"/>
  <c r="V18" i="148"/>
  <c r="X18" i="148" s="1"/>
  <c r="Z18" i="148" s="1"/>
  <c r="AA18" i="148" s="1"/>
  <c r="AB18" i="148" s="1"/>
  <c r="AC14" i="148"/>
  <c r="AD14" i="148" s="1"/>
  <c r="E48" i="161" s="1"/>
  <c r="T34" i="150"/>
  <c r="Q34" i="150"/>
  <c r="BI34" i="150" s="1"/>
  <c r="BK34" i="150" s="1"/>
  <c r="AP17" i="158"/>
  <c r="A67" i="161"/>
  <c r="BL26" i="148"/>
  <c r="R65" i="115"/>
  <c r="Q14" i="150"/>
  <c r="BI14" i="150" s="1"/>
  <c r="BK14" i="150" s="1"/>
  <c r="T14" i="150"/>
  <c r="Q17" i="150"/>
  <c r="BI17" i="150" s="1"/>
  <c r="BK17" i="150" s="1"/>
  <c r="T17" i="150"/>
  <c r="AY19" i="36"/>
  <c r="T12" i="150"/>
  <c r="Q12" i="150"/>
  <c r="BI12" i="150" s="1"/>
  <c r="BK12" i="150" s="1"/>
  <c r="T20" i="150"/>
  <c r="Q20" i="150"/>
  <c r="BI20" i="150" s="1"/>
  <c r="BK20" i="150" s="1"/>
  <c r="Q10" i="150"/>
  <c r="BI10" i="150" s="1"/>
  <c r="BK10" i="150" s="1"/>
  <c r="T10" i="150"/>
  <c r="Q16" i="150"/>
  <c r="BI16" i="150" s="1"/>
  <c r="BK16" i="150" s="1"/>
  <c r="T16" i="150"/>
  <c r="T22" i="150"/>
  <c r="Q22" i="150"/>
  <c r="BI22" i="150" s="1"/>
  <c r="BK22" i="150" s="1"/>
  <c r="Q18" i="150"/>
  <c r="BI18" i="150" s="1"/>
  <c r="BK18" i="150" s="1"/>
  <c r="T18" i="150"/>
  <c r="AC20" i="148"/>
  <c r="AD20" i="148" s="1"/>
  <c r="E54" i="161" s="1"/>
  <c r="V20" i="148"/>
  <c r="X20" i="148" s="1"/>
  <c r="Z20" i="148" s="1"/>
  <c r="AA20" i="148" s="1"/>
  <c r="AB20" i="148" s="1"/>
  <c r="AC16" i="148"/>
  <c r="AD16" i="148" s="1"/>
  <c r="E50" i="161" s="1"/>
  <c r="V16" i="148"/>
  <c r="X16" i="148" s="1"/>
  <c r="Z16" i="148" s="1"/>
  <c r="AA16" i="148" s="1"/>
  <c r="AB16" i="148" s="1"/>
  <c r="V26" i="148"/>
  <c r="X26" i="148" s="1"/>
  <c r="Z26" i="148" s="1"/>
  <c r="AA26" i="148" s="1"/>
  <c r="AB26" i="148" s="1"/>
  <c r="P41" i="148"/>
  <c r="V22" i="148"/>
  <c r="X22" i="148" s="1"/>
  <c r="Z22" i="148" s="1"/>
  <c r="AA22" i="148" s="1"/>
  <c r="AB22" i="148" s="1"/>
  <c r="AC22" i="148"/>
  <c r="AD22" i="148" s="1"/>
  <c r="E56" i="161" s="1"/>
  <c r="AC34" i="148"/>
  <c r="AD34" i="148" s="1"/>
  <c r="E68" i="161" s="1"/>
  <c r="V34" i="148"/>
  <c r="X34" i="148" s="1"/>
  <c r="Z34" i="148" s="1"/>
  <c r="AA34" i="148" s="1"/>
  <c r="AB34" i="148" s="1"/>
  <c r="BL15" i="158"/>
  <c r="AC10" i="148"/>
  <c r="AD10" i="148" s="1"/>
  <c r="V10" i="148"/>
  <c r="X10" i="148" s="1"/>
  <c r="Z10" i="148" s="1"/>
  <c r="AA10" i="148" s="1"/>
  <c r="AB10" i="148" s="1"/>
  <c r="AC17" i="148"/>
  <c r="AD17" i="148" s="1"/>
  <c r="E51" i="161" s="1"/>
  <c r="V17" i="148"/>
  <c r="X17" i="148" s="1"/>
  <c r="Z17" i="148" s="1"/>
  <c r="AA17" i="148" s="1"/>
  <c r="AB17" i="148" s="1"/>
  <c r="AW10" i="158"/>
  <c r="AW87" i="158" s="1"/>
  <c r="CK13" i="36"/>
  <c r="BR13" i="36" s="1"/>
  <c r="BN13" i="36" s="1"/>
  <c r="BJ13" i="36" s="1"/>
  <c r="CJ24" i="36"/>
  <c r="BQ24" i="36" s="1"/>
  <c r="CK22" i="36"/>
  <c r="BR22" i="36" s="1"/>
  <c r="BN22" i="36" s="1"/>
  <c r="BJ22" i="36" s="1"/>
  <c r="CI30" i="36"/>
  <c r="BP30" i="36" s="1"/>
  <c r="BL30" i="36" s="1"/>
  <c r="BH30" i="36" s="1"/>
  <c r="AT30" i="36" s="1"/>
  <c r="CP23" i="158"/>
  <c r="BY23" i="158" s="1"/>
  <c r="CK23" i="158"/>
  <c r="CE23" i="158" s="1"/>
  <c r="CP34" i="158"/>
  <c r="BY34" i="158" s="1"/>
  <c r="CK34" i="158"/>
  <c r="CE34" i="158" s="1"/>
  <c r="CH39" i="36"/>
  <c r="BO39" i="36" s="1"/>
  <c r="CK24" i="36"/>
  <c r="BR24" i="36" s="1"/>
  <c r="BN24" i="36" s="1"/>
  <c r="BJ24" i="36" s="1"/>
  <c r="CI31" i="36"/>
  <c r="BP31" i="36" s="1"/>
  <c r="BL31" i="36" s="1"/>
  <c r="BH31" i="36" s="1"/>
  <c r="AT31" i="36" s="1"/>
  <c r="CJ11" i="158"/>
  <c r="CO11" i="158"/>
  <c r="B46" i="161"/>
  <c r="CL26" i="158"/>
  <c r="CF26" i="158" s="1"/>
  <c r="CQ26" i="158"/>
  <c r="BZ26" i="158" s="1"/>
  <c r="CO30" i="158"/>
  <c r="CJ30" i="158"/>
  <c r="B65" i="161"/>
  <c r="CK37" i="36"/>
  <c r="BR37" i="36" s="1"/>
  <c r="BN37" i="36" s="1"/>
  <c r="BJ37" i="36" s="1"/>
  <c r="CK26" i="36"/>
  <c r="BR26" i="36" s="1"/>
  <c r="BN26" i="36" s="1"/>
  <c r="BJ26" i="36" s="1"/>
  <c r="CK14" i="36"/>
  <c r="BR14" i="36" s="1"/>
  <c r="BN14" i="36" s="1"/>
  <c r="BJ14" i="36" s="1"/>
  <c r="C48" i="111" s="1"/>
  <c r="CI19" i="36"/>
  <c r="BP19" i="36" s="1"/>
  <c r="BL19" i="36" s="1"/>
  <c r="BH19" i="36" s="1"/>
  <c r="AT19" i="36" s="1"/>
  <c r="CI10" i="36"/>
  <c r="BP10" i="36" s="1"/>
  <c r="BL10" i="36" s="1"/>
  <c r="BH10" i="36" s="1"/>
  <c r="CK29" i="36"/>
  <c r="BR29" i="36" s="1"/>
  <c r="BN29" i="36" s="1"/>
  <c r="BJ29" i="36" s="1"/>
  <c r="CI27" i="36"/>
  <c r="BP27" i="36" s="1"/>
  <c r="BL27" i="36" s="1"/>
  <c r="BH27" i="36" s="1"/>
  <c r="AT27" i="36" s="1"/>
  <c r="CI20" i="36"/>
  <c r="BP20" i="36" s="1"/>
  <c r="BL20" i="36" s="1"/>
  <c r="BH20" i="36" s="1"/>
  <c r="AT20" i="36" s="1"/>
  <c r="CK28" i="36"/>
  <c r="BR28" i="36" s="1"/>
  <c r="BN28" i="36" s="1"/>
  <c r="BJ28" i="36" s="1"/>
  <c r="CJ34" i="36"/>
  <c r="BQ34" i="36" s="1"/>
  <c r="BM34" i="36" s="1"/>
  <c r="BI34" i="36" s="1"/>
  <c r="AU34" i="36" s="1"/>
  <c r="CJ23" i="36"/>
  <c r="BQ23" i="36" s="1"/>
  <c r="BM23" i="36" s="1"/>
  <c r="BI23" i="36" s="1"/>
  <c r="AU23" i="36" s="1"/>
  <c r="CH35" i="36"/>
  <c r="BO35" i="36" s="1"/>
  <c r="CJ31" i="36"/>
  <c r="BQ31" i="36" s="1"/>
  <c r="CJ35" i="36"/>
  <c r="BQ35" i="36" s="1"/>
  <c r="BM35" i="36" s="1"/>
  <c r="BI35" i="36" s="1"/>
  <c r="AU35" i="36" s="1"/>
  <c r="CR25" i="158"/>
  <c r="CM25" i="158"/>
  <c r="CG25" i="158" s="1"/>
  <c r="CK13" i="158"/>
  <c r="CE13" i="158" s="1"/>
  <c r="CP13" i="158"/>
  <c r="BY13" i="158" s="1"/>
  <c r="CO10" i="158"/>
  <c r="B45" i="161"/>
  <c r="CJ10" i="158"/>
  <c r="CL18" i="158"/>
  <c r="CF18" i="158" s="1"/>
  <c r="CQ18" i="158"/>
  <c r="BZ18" i="158" s="1"/>
  <c r="CK9" i="158"/>
  <c r="CE9" i="158" s="1"/>
  <c r="CP9" i="158"/>
  <c r="BY9" i="158" s="1"/>
  <c r="BY86" i="158" s="1"/>
  <c r="CP35" i="158"/>
  <c r="BY35" i="158" s="1"/>
  <c r="CK35" i="158"/>
  <c r="CE35" i="158" s="1"/>
  <c r="CQ35" i="158"/>
  <c r="BZ35" i="158" s="1"/>
  <c r="CL35" i="158"/>
  <c r="CF35" i="158" s="1"/>
  <c r="CQ27" i="158"/>
  <c r="BZ27" i="158" s="1"/>
  <c r="CL27" i="158"/>
  <c r="CF27" i="158" s="1"/>
  <c r="CK24" i="158"/>
  <c r="CP24" i="158"/>
  <c r="BY24" i="158" s="1"/>
  <c r="CR33" i="158"/>
  <c r="CM33" i="158"/>
  <c r="CG33" i="158" s="1"/>
  <c r="CP15" i="158"/>
  <c r="BY15" i="158" s="1"/>
  <c r="CK15" i="158"/>
  <c r="CE15" i="158" s="1"/>
  <c r="CQ11" i="158"/>
  <c r="BZ11" i="158" s="1"/>
  <c r="CL11" i="158"/>
  <c r="CF11" i="158" s="1"/>
  <c r="CO31" i="158"/>
  <c r="CJ31" i="158"/>
  <c r="B66" i="161"/>
  <c r="CL32" i="158"/>
  <c r="CF32" i="158" s="1"/>
  <c r="CQ32" i="158"/>
  <c r="BZ32" i="158" s="1"/>
  <c r="CO26" i="158"/>
  <c r="B61" i="161"/>
  <c r="CJ26" i="158"/>
  <c r="CJ39" i="36"/>
  <c r="BQ39" i="36" s="1"/>
  <c r="BM39" i="36" s="1"/>
  <c r="BI39" i="36" s="1"/>
  <c r="AU39" i="36" s="1"/>
  <c r="CH37" i="36"/>
  <c r="BO37" i="36" s="1"/>
  <c r="CK11" i="36"/>
  <c r="BR11" i="36" s="1"/>
  <c r="BN11" i="36" s="1"/>
  <c r="BJ11" i="36" s="1"/>
  <c r="CQ25" i="158"/>
  <c r="BZ25" i="158" s="1"/>
  <c r="CL25" i="158"/>
  <c r="CF25" i="158" s="1"/>
  <c r="CK27" i="36"/>
  <c r="BR27" i="36" s="1"/>
  <c r="BN27" i="36" s="1"/>
  <c r="BJ27" i="36" s="1"/>
  <c r="CR30" i="158"/>
  <c r="CM30" i="158"/>
  <c r="CG30" i="158" s="1"/>
  <c r="CH14" i="36"/>
  <c r="BO14" i="36" s="1"/>
  <c r="CJ17" i="36"/>
  <c r="BQ17" i="36" s="1"/>
  <c r="BM17" i="36" s="1"/>
  <c r="BI17" i="36" s="1"/>
  <c r="AU17" i="36" s="1"/>
  <c r="CH12" i="36"/>
  <c r="BO12" i="36" s="1"/>
  <c r="BK12" i="36" s="1"/>
  <c r="BG12" i="36" s="1"/>
  <c r="AS12" i="36" s="1"/>
  <c r="CK32" i="36"/>
  <c r="BR32" i="36" s="1"/>
  <c r="BN32" i="36" s="1"/>
  <c r="BJ32" i="36" s="1"/>
  <c r="CI28" i="36"/>
  <c r="BP28" i="36" s="1"/>
  <c r="BL28" i="36" s="1"/>
  <c r="BH28" i="36" s="1"/>
  <c r="CJ22" i="36"/>
  <c r="BQ22" i="36" s="1"/>
  <c r="BM22" i="36" s="1"/>
  <c r="BI22" i="36" s="1"/>
  <c r="AU22" i="36" s="1"/>
  <c r="CH34" i="36"/>
  <c r="BO34" i="36" s="1"/>
  <c r="CI18" i="36"/>
  <c r="BP18" i="36" s="1"/>
  <c r="BL18" i="36" s="1"/>
  <c r="BH18" i="36" s="1"/>
  <c r="AT18" i="36" s="1"/>
  <c r="CH30" i="36"/>
  <c r="BO30" i="36" s="1"/>
  <c r="CI35" i="36"/>
  <c r="BP35" i="36" s="1"/>
  <c r="BL35" i="36" s="1"/>
  <c r="BH35" i="36" s="1"/>
  <c r="AT35" i="36" s="1"/>
  <c r="CH29" i="36"/>
  <c r="BO29" i="36" s="1"/>
  <c r="CM12" i="158"/>
  <c r="CG12" i="158" s="1"/>
  <c r="CR12" i="158"/>
  <c r="CR14" i="158"/>
  <c r="CM14" i="158"/>
  <c r="CG14" i="158" s="1"/>
  <c r="CM15" i="158"/>
  <c r="CG15" i="158" s="1"/>
  <c r="CR15" i="158"/>
  <c r="CM20" i="158"/>
  <c r="CG20" i="158" s="1"/>
  <c r="CR20" i="158"/>
  <c r="CK11" i="158"/>
  <c r="CE11" i="158" s="1"/>
  <c r="B51" i="161"/>
  <c r="CO16" i="158"/>
  <c r="CJ16" i="158"/>
  <c r="CQ10" i="158"/>
  <c r="BZ10" i="158" s="1"/>
  <c r="BZ87" i="158" s="1"/>
  <c r="CL10" i="158"/>
  <c r="CF10" i="158" s="1"/>
  <c r="CM35" i="158"/>
  <c r="CG35" i="158" s="1"/>
  <c r="CR35" i="158"/>
  <c r="CK33" i="158"/>
  <c r="CE33" i="158" s="1"/>
  <c r="CP33" i="158"/>
  <c r="BY33" i="158" s="1"/>
  <c r="CJ15" i="158"/>
  <c r="B50" i="161"/>
  <c r="CR17" i="158"/>
  <c r="CM17" i="158"/>
  <c r="CG17" i="158" s="1"/>
  <c r="CQ13" i="158"/>
  <c r="BZ13" i="158" s="1"/>
  <c r="CL13" i="158"/>
  <c r="CF13" i="158" s="1"/>
  <c r="CL34" i="158"/>
  <c r="CF34" i="158" s="1"/>
  <c r="CQ34" i="158"/>
  <c r="BZ34" i="158" s="1"/>
  <c r="CR34" i="158"/>
  <c r="CM34" i="158"/>
  <c r="CG34" i="158" s="1"/>
  <c r="B59" i="161"/>
  <c r="CO24" i="158"/>
  <c r="CJ24" i="158"/>
  <c r="CD24" i="158" s="1"/>
  <c r="CK36" i="158"/>
  <c r="CP36" i="158"/>
  <c r="BY36" i="158" s="1"/>
  <c r="CH27" i="36"/>
  <c r="BO27" i="36" s="1"/>
  <c r="CJ38" i="36"/>
  <c r="BQ38" i="36" s="1"/>
  <c r="BM38" i="36" s="1"/>
  <c r="BI38" i="36" s="1"/>
  <c r="AU38" i="36" s="1"/>
  <c r="CH36" i="36"/>
  <c r="BO36" i="36" s="1"/>
  <c r="CI15" i="36"/>
  <c r="BP15" i="36" s="1"/>
  <c r="BL15" i="36" s="1"/>
  <c r="BH15" i="36" s="1"/>
  <c r="CJ18" i="36"/>
  <c r="BQ18" i="36" s="1"/>
  <c r="BM18" i="36" s="1"/>
  <c r="BI18" i="36" s="1"/>
  <c r="AU18" i="36" s="1"/>
  <c r="CJ21" i="158"/>
  <c r="B56" i="161"/>
  <c r="CO21" i="158"/>
  <c r="BX21" i="158" s="1"/>
  <c r="CQ21" i="158"/>
  <c r="CL21" i="158"/>
  <c r="CF21" i="158" s="1"/>
  <c r="CP30" i="158"/>
  <c r="BY30" i="158" s="1"/>
  <c r="CK30" i="158"/>
  <c r="CE30" i="158" s="1"/>
  <c r="CR29" i="158"/>
  <c r="CM29" i="158"/>
  <c r="CG29" i="158" s="1"/>
  <c r="CK37" i="158"/>
  <c r="CE37" i="158" s="1"/>
  <c r="CP37" i="158"/>
  <c r="BY37" i="158" s="1"/>
  <c r="CH15" i="36"/>
  <c r="BO15" i="36" s="1"/>
  <c r="B49" i="111" s="1"/>
  <c r="CJ29" i="36"/>
  <c r="BQ29" i="36" s="1"/>
  <c r="BM29" i="36" s="1"/>
  <c r="BI29" i="36" s="1"/>
  <c r="AU29" i="36" s="1"/>
  <c r="CK32" i="158"/>
  <c r="CP32" i="158"/>
  <c r="BY32" i="158" s="1"/>
  <c r="CO34" i="158"/>
  <c r="B69" i="161"/>
  <c r="CJ34" i="158"/>
  <c r="CL36" i="158"/>
  <c r="CF36" i="158" s="1"/>
  <c r="CQ36" i="158"/>
  <c r="BZ36" i="158" s="1"/>
  <c r="CK10" i="36"/>
  <c r="BR10" i="36" s="1"/>
  <c r="BN10" i="36" s="1"/>
  <c r="BJ10" i="36" s="1"/>
  <c r="CJ15" i="36"/>
  <c r="BQ15" i="36" s="1"/>
  <c r="BM15" i="36" s="1"/>
  <c r="BI15" i="36" s="1"/>
  <c r="AU15" i="36" s="1"/>
  <c r="CH11" i="36"/>
  <c r="BO11" i="36" s="1"/>
  <c r="BK11" i="36" s="1"/>
  <c r="BG11" i="36" s="1"/>
  <c r="CJ19" i="36"/>
  <c r="BQ19" i="36" s="1"/>
  <c r="CK21" i="36"/>
  <c r="BR21" i="36" s="1"/>
  <c r="BN21" i="36" s="1"/>
  <c r="BJ21" i="36" s="1"/>
  <c r="CH33" i="36"/>
  <c r="BO33" i="36" s="1"/>
  <c r="BK33" i="36" s="1"/>
  <c r="BG33" i="36" s="1"/>
  <c r="CI33" i="36"/>
  <c r="BP33" i="36" s="1"/>
  <c r="BL33" i="36" s="1"/>
  <c r="BH33" i="36" s="1"/>
  <c r="AT33" i="36" s="1"/>
  <c r="CJ27" i="36"/>
  <c r="BQ27" i="36" s="1"/>
  <c r="BM27" i="36" s="1"/>
  <c r="BI27" i="36" s="1"/>
  <c r="AU27" i="36" s="1"/>
  <c r="CK17" i="36"/>
  <c r="BR17" i="36" s="1"/>
  <c r="BN17" i="36" s="1"/>
  <c r="BJ17" i="36" s="1"/>
  <c r="CI23" i="36"/>
  <c r="BP23" i="36" s="1"/>
  <c r="BL23" i="36" s="1"/>
  <c r="BH23" i="36" s="1"/>
  <c r="AT23" i="36" s="1"/>
  <c r="CI16" i="36"/>
  <c r="BP16" i="36" s="1"/>
  <c r="BL16" i="36" s="1"/>
  <c r="BH16" i="36" s="1"/>
  <c r="AT16" i="36" s="1"/>
  <c r="CJ12" i="36"/>
  <c r="BQ12" i="36" s="1"/>
  <c r="BM12" i="36" s="1"/>
  <c r="BI12" i="36" s="1"/>
  <c r="CH24" i="36"/>
  <c r="BO24" i="36" s="1"/>
  <c r="BK24" i="36" s="1"/>
  <c r="BG24" i="36" s="1"/>
  <c r="CH31" i="36"/>
  <c r="BO31" i="36" s="1"/>
  <c r="BK31" i="36" s="1"/>
  <c r="BG31" i="36" s="1"/>
  <c r="CO14" i="158"/>
  <c r="CJ14" i="158"/>
  <c r="B49" i="161"/>
  <c r="B67" i="161"/>
  <c r="CO32" i="158"/>
  <c r="CJ32" i="158"/>
  <c r="CD32" i="158" s="1"/>
  <c r="CP10" i="158"/>
  <c r="BY10" i="158" s="1"/>
  <c r="BY87" i="158" s="1"/>
  <c r="CK10" i="158"/>
  <c r="CE10" i="158" s="1"/>
  <c r="CQ23" i="158"/>
  <c r="BZ23" i="158" s="1"/>
  <c r="CL23" i="158"/>
  <c r="CF23" i="158" s="1"/>
  <c r="B47" i="161"/>
  <c r="CO12" i="158"/>
  <c r="CJ12" i="158"/>
  <c r="CD12" i="158" s="1"/>
  <c r="CJ19" i="158"/>
  <c r="CK12" i="158"/>
  <c r="CP12" i="158"/>
  <c r="BY12" i="158" s="1"/>
  <c r="CR21" i="158"/>
  <c r="CM21" i="158"/>
  <c r="CG21" i="158" s="1"/>
  <c r="CO22" i="158"/>
  <c r="CJ22" i="158"/>
  <c r="B57" i="161"/>
  <c r="CQ17" i="158"/>
  <c r="CL17" i="158"/>
  <c r="CF17" i="158" s="1"/>
  <c r="CK20" i="158"/>
  <c r="CE20" i="158" s="1"/>
  <c r="CP20" i="158"/>
  <c r="BY20" i="158" s="1"/>
  <c r="CQ15" i="158"/>
  <c r="BZ15" i="158" s="1"/>
  <c r="CL15" i="158"/>
  <c r="CF15" i="158" s="1"/>
  <c r="CJ23" i="158"/>
  <c r="CO23" i="158"/>
  <c r="B58" i="161"/>
  <c r="CK29" i="158"/>
  <c r="CE29" i="158" s="1"/>
  <c r="CP29" i="158"/>
  <c r="BY29" i="158" s="1"/>
  <c r="B60" i="161"/>
  <c r="CJ25" i="158"/>
  <c r="CO25" i="158"/>
  <c r="CH25" i="36"/>
  <c r="BO25" i="36" s="1"/>
  <c r="CJ37" i="36"/>
  <c r="BQ37" i="36" s="1"/>
  <c r="BM37" i="36" s="1"/>
  <c r="BI37" i="36" s="1"/>
  <c r="AU37" i="36" s="1"/>
  <c r="CI22" i="36"/>
  <c r="BP22" i="36" s="1"/>
  <c r="BL22" i="36" s="1"/>
  <c r="BH22" i="36" s="1"/>
  <c r="AT22" i="36" s="1"/>
  <c r="CH23" i="36"/>
  <c r="BO23" i="36" s="1"/>
  <c r="CK31" i="36"/>
  <c r="BR31" i="36" s="1"/>
  <c r="BN31" i="36" s="1"/>
  <c r="BJ31" i="36" s="1"/>
  <c r="CQ14" i="158"/>
  <c r="BZ14" i="158" s="1"/>
  <c r="CL14" i="158"/>
  <c r="CF14" i="158" s="1"/>
  <c r="CM16" i="158"/>
  <c r="CG16" i="158" s="1"/>
  <c r="CR16" i="158"/>
  <c r="CI32" i="36"/>
  <c r="BP32" i="36" s="1"/>
  <c r="BL32" i="36" s="1"/>
  <c r="BH32" i="36" s="1"/>
  <c r="AT32" i="36" s="1"/>
  <c r="CJ25" i="36"/>
  <c r="BQ25" i="36" s="1"/>
  <c r="BM25" i="36" s="1"/>
  <c r="BI25" i="36" s="1"/>
  <c r="AU25" i="36" s="1"/>
  <c r="CH32" i="36"/>
  <c r="BO32" i="36" s="1"/>
  <c r="CM31" i="158"/>
  <c r="CG31" i="158" s="1"/>
  <c r="CR31" i="158"/>
  <c r="CM19" i="158"/>
  <c r="CG19" i="158" s="1"/>
  <c r="CR19" i="158"/>
  <c r="CO27" i="158"/>
  <c r="CJ27" i="158"/>
  <c r="B62" i="161"/>
  <c r="CJ26" i="36"/>
  <c r="BQ26" i="36" s="1"/>
  <c r="CI11" i="36"/>
  <c r="BP11" i="36" s="1"/>
  <c r="BL11" i="36" s="1"/>
  <c r="BH11" i="36" s="1"/>
  <c r="AT11" i="36" s="1"/>
  <c r="CI24" i="36"/>
  <c r="BP24" i="36" s="1"/>
  <c r="BL24" i="36" s="1"/>
  <c r="BH24" i="36" s="1"/>
  <c r="AT24" i="36" s="1"/>
  <c r="CJ10" i="36"/>
  <c r="BQ10" i="36" s="1"/>
  <c r="BM10" i="36" s="1"/>
  <c r="BI10" i="36" s="1"/>
  <c r="AU10" i="36" s="1"/>
  <c r="CI36" i="36"/>
  <c r="BP36" i="36" s="1"/>
  <c r="BL36" i="36" s="1"/>
  <c r="BH36" i="36" s="1"/>
  <c r="AT36" i="36" s="1"/>
  <c r="CJ36" i="36"/>
  <c r="BQ36" i="36" s="1"/>
  <c r="BM36" i="36" s="1"/>
  <c r="BI36" i="36" s="1"/>
  <c r="AU36" i="36" s="1"/>
  <c r="CJ28" i="36"/>
  <c r="BQ28" i="36" s="1"/>
  <c r="BM28" i="36" s="1"/>
  <c r="BI28" i="36" s="1"/>
  <c r="AU28" i="36" s="1"/>
  <c r="CK20" i="36"/>
  <c r="BR20" i="36" s="1"/>
  <c r="BN20" i="36" s="1"/>
  <c r="BJ20" i="36" s="1"/>
  <c r="I20" i="36" s="1"/>
  <c r="CK25" i="36"/>
  <c r="BR25" i="36" s="1"/>
  <c r="BN25" i="36" s="1"/>
  <c r="BJ25" i="36" s="1"/>
  <c r="CK18" i="36"/>
  <c r="BR18" i="36" s="1"/>
  <c r="BN18" i="36" s="1"/>
  <c r="BJ18" i="36" s="1"/>
  <c r="CJ14" i="36"/>
  <c r="BQ14" i="36" s="1"/>
  <c r="BM14" i="36" s="1"/>
  <c r="BI14" i="36" s="1"/>
  <c r="AU14" i="36" s="1"/>
  <c r="CI26" i="36"/>
  <c r="BP26" i="36" s="1"/>
  <c r="BL26" i="36" s="1"/>
  <c r="BH26" i="36" s="1"/>
  <c r="AT26" i="36" s="1"/>
  <c r="CJ33" i="36"/>
  <c r="BQ33" i="36" s="1"/>
  <c r="CO35" i="158"/>
  <c r="CJ35" i="158"/>
  <c r="B70" i="161"/>
  <c r="CL16" i="158"/>
  <c r="CF16" i="158" s="1"/>
  <c r="CQ16" i="158"/>
  <c r="BZ16" i="158" s="1"/>
  <c r="CR18" i="158"/>
  <c r="CM18" i="158"/>
  <c r="CG18" i="158" s="1"/>
  <c r="CQ9" i="158"/>
  <c r="CL9" i="158"/>
  <c r="CF9" i="158" s="1"/>
  <c r="CK21" i="158"/>
  <c r="CE21" i="158" s="1"/>
  <c r="CP21" i="158"/>
  <c r="BY21" i="158" s="1"/>
  <c r="CP14" i="158"/>
  <c r="BY14" i="158" s="1"/>
  <c r="CK14" i="158"/>
  <c r="CE14" i="158" s="1"/>
  <c r="CR26" i="158"/>
  <c r="CM26" i="158"/>
  <c r="CG26" i="158" s="1"/>
  <c r="CL24" i="158"/>
  <c r="CF24" i="158" s="1"/>
  <c r="CQ24" i="158"/>
  <c r="BZ24" i="158" s="1"/>
  <c r="B55" i="161"/>
  <c r="CO20" i="158"/>
  <c r="CJ20" i="158"/>
  <c r="CR22" i="158"/>
  <c r="CM22" i="158"/>
  <c r="CG22" i="158" s="1"/>
  <c r="CO18" i="158"/>
  <c r="B53" i="161"/>
  <c r="CJ18" i="158"/>
  <c r="CK25" i="158"/>
  <c r="CE25" i="158" s="1"/>
  <c r="CP25" i="158"/>
  <c r="BY25" i="158" s="1"/>
  <c r="CQ31" i="158"/>
  <c r="BZ31" i="158" s="1"/>
  <c r="CL31" i="158"/>
  <c r="CF31" i="158" s="1"/>
  <c r="CJ37" i="158"/>
  <c r="CJ36" i="158"/>
  <c r="CD36" i="158" s="1"/>
  <c r="CH26" i="36"/>
  <c r="BO26" i="36" s="1"/>
  <c r="BK26" i="36" s="1"/>
  <c r="BG26" i="36" s="1"/>
  <c r="CI39" i="36"/>
  <c r="BP39" i="36" s="1"/>
  <c r="BL39" i="36" s="1"/>
  <c r="BH39" i="36" s="1"/>
  <c r="AT39" i="36" s="1"/>
  <c r="CJ9" i="158"/>
  <c r="CO9" i="158"/>
  <c r="BX9" i="158" s="1"/>
  <c r="B44" i="161"/>
  <c r="CH21" i="36"/>
  <c r="BO21" i="36" s="1"/>
  <c r="CM24" i="158"/>
  <c r="CG24" i="158" s="1"/>
  <c r="CR24" i="158"/>
  <c r="CJ13" i="36"/>
  <c r="BQ13" i="36" s="1"/>
  <c r="BM13" i="36" s="1"/>
  <c r="BI13" i="36" s="1"/>
  <c r="AU13" i="36" s="1"/>
  <c r="CI14" i="36"/>
  <c r="BP14" i="36" s="1"/>
  <c r="BL14" i="36" s="1"/>
  <c r="BH14" i="36" s="1"/>
  <c r="AT14" i="36" s="1"/>
  <c r="CH18" i="36"/>
  <c r="BO18" i="36" s="1"/>
  <c r="CH10" i="36"/>
  <c r="BO10" i="36" s="1"/>
  <c r="BK10" i="36" s="1"/>
  <c r="BG10" i="36" s="1"/>
  <c r="AS10" i="36" s="1"/>
  <c r="CI12" i="36"/>
  <c r="BP12" i="36" s="1"/>
  <c r="BL12" i="36" s="1"/>
  <c r="BH12" i="36" s="1"/>
  <c r="AT12" i="36" s="1"/>
  <c r="CH17" i="36"/>
  <c r="BO17" i="36" s="1"/>
  <c r="B51" i="111" s="1"/>
  <c r="CJ11" i="36"/>
  <c r="BQ11" i="36" s="1"/>
  <c r="BM11" i="36" s="1"/>
  <c r="BI11" i="36" s="1"/>
  <c r="AU11" i="36" s="1"/>
  <c r="CK33" i="36"/>
  <c r="BR33" i="36" s="1"/>
  <c r="BN33" i="36" s="1"/>
  <c r="BJ33" i="36" s="1"/>
  <c r="I33" i="36" s="1"/>
  <c r="CI25" i="36"/>
  <c r="BP25" i="36" s="1"/>
  <c r="BL25" i="36" s="1"/>
  <c r="BH25" i="36" s="1"/>
  <c r="AT25" i="36" s="1"/>
  <c r="CK34" i="36"/>
  <c r="BR34" i="36" s="1"/>
  <c r="BN34" i="36" s="1"/>
  <c r="BJ34" i="36" s="1"/>
  <c r="I34" i="36" s="1"/>
  <c r="CI21" i="36"/>
  <c r="BP21" i="36" s="1"/>
  <c r="BL21" i="36" s="1"/>
  <c r="BH21" i="36" s="1"/>
  <c r="AT21" i="36" s="1"/>
  <c r="CJ16" i="36"/>
  <c r="BQ16" i="36" s="1"/>
  <c r="BM16" i="36" s="1"/>
  <c r="BI16" i="36" s="1"/>
  <c r="AU16" i="36" s="1"/>
  <c r="CI29" i="36"/>
  <c r="BP29" i="36" s="1"/>
  <c r="BL29" i="36" s="1"/>
  <c r="BH29" i="36" s="1"/>
  <c r="AT29" i="36" s="1"/>
  <c r="CK35" i="36"/>
  <c r="BR35" i="36" s="1"/>
  <c r="BN35" i="36" s="1"/>
  <c r="BJ35" i="36" s="1"/>
  <c r="CR9" i="158"/>
  <c r="CM9" i="158"/>
  <c r="CG9" i="158" s="1"/>
  <c r="CR13" i="158"/>
  <c r="CM13" i="158"/>
  <c r="CG13" i="158" s="1"/>
  <c r="CR10" i="158"/>
  <c r="CM10" i="158"/>
  <c r="CG10" i="158" s="1"/>
  <c r="CQ19" i="158"/>
  <c r="BZ19" i="158" s="1"/>
  <c r="CL19" i="158"/>
  <c r="CF19" i="158" s="1"/>
  <c r="CM11" i="158"/>
  <c r="CG11" i="158" s="1"/>
  <c r="CR11" i="158"/>
  <c r="CM23" i="158"/>
  <c r="CG23" i="158" s="1"/>
  <c r="CR23" i="158"/>
  <c r="CK16" i="158"/>
  <c r="CE16" i="158" s="1"/>
  <c r="CP16" i="158"/>
  <c r="BY16" i="158" s="1"/>
  <c r="CM27" i="158"/>
  <c r="CG27" i="158" s="1"/>
  <c r="CR27" i="158"/>
  <c r="CQ33" i="158"/>
  <c r="CL33" i="158"/>
  <c r="CF33" i="158" s="1"/>
  <c r="CQ22" i="158"/>
  <c r="BZ22" i="158" s="1"/>
  <c r="CL22" i="158"/>
  <c r="CF22" i="158" s="1"/>
  <c r="CQ29" i="158"/>
  <c r="CL29" i="158"/>
  <c r="CF29" i="158" s="1"/>
  <c r="CL20" i="158"/>
  <c r="CF20" i="158" s="1"/>
  <c r="CQ20" i="158"/>
  <c r="BZ20" i="158" s="1"/>
  <c r="CL28" i="158"/>
  <c r="CF28" i="158" s="1"/>
  <c r="CQ28" i="158"/>
  <c r="BZ28" i="158" s="1"/>
  <c r="CR37" i="158"/>
  <c r="CM37" i="158"/>
  <c r="CG37" i="158" s="1"/>
  <c r="CH28" i="36"/>
  <c r="BO28" i="36" s="1"/>
  <c r="CI38" i="36"/>
  <c r="BP38" i="36" s="1"/>
  <c r="BL38" i="36" s="1"/>
  <c r="BH38" i="36" s="1"/>
  <c r="AT38" i="36" s="1"/>
  <c r="CJ20" i="36"/>
  <c r="BQ20" i="36" s="1"/>
  <c r="BM20" i="36" s="1"/>
  <c r="BI20" i="36" s="1"/>
  <c r="AU20" i="36" s="1"/>
  <c r="CJ21" i="36"/>
  <c r="BQ21" i="36" s="1"/>
  <c r="BM21" i="36" s="1"/>
  <c r="BI21" i="36" s="1"/>
  <c r="AU21" i="36" s="1"/>
  <c r="CP27" i="158"/>
  <c r="BY27" i="158" s="1"/>
  <c r="CK27" i="158"/>
  <c r="CE27" i="158" s="1"/>
  <c r="CP22" i="158"/>
  <c r="BY22" i="158" s="1"/>
  <c r="CK22" i="158"/>
  <c r="CE22" i="158" s="1"/>
  <c r="B63" i="161"/>
  <c r="CO28" i="158"/>
  <c r="CJ28" i="158"/>
  <c r="CK38" i="36"/>
  <c r="BR38" i="36" s="1"/>
  <c r="BN38" i="36" s="1"/>
  <c r="BJ38" i="36" s="1"/>
  <c r="CK16" i="36"/>
  <c r="BR16" i="36" s="1"/>
  <c r="BN16" i="36" s="1"/>
  <c r="BJ16" i="36" s="1"/>
  <c r="CI17" i="36"/>
  <c r="BP17" i="36" s="1"/>
  <c r="BL17" i="36" s="1"/>
  <c r="BH17" i="36" s="1"/>
  <c r="CJ30" i="36"/>
  <c r="BQ30" i="36" s="1"/>
  <c r="BM30" i="36" s="1"/>
  <c r="BI30" i="36" s="1"/>
  <c r="AU30" i="36" s="1"/>
  <c r="CM32" i="158"/>
  <c r="CG32" i="158" s="1"/>
  <c r="CR32" i="158"/>
  <c r="CH38" i="36"/>
  <c r="BO38" i="36" s="1"/>
  <c r="CK12" i="36"/>
  <c r="BR12" i="36" s="1"/>
  <c r="BN12" i="36" s="1"/>
  <c r="BJ12" i="36" s="1"/>
  <c r="CK15" i="36"/>
  <c r="BR15" i="36" s="1"/>
  <c r="BN15" i="36" s="1"/>
  <c r="BJ15" i="36" s="1"/>
  <c r="CK19" i="36"/>
  <c r="BR19" i="36" s="1"/>
  <c r="BN19" i="36" s="1"/>
  <c r="BJ19" i="36" s="1"/>
  <c r="CH13" i="36"/>
  <c r="BO13" i="36" s="1"/>
  <c r="BK13" i="36" s="1"/>
  <c r="BG13" i="36" s="1"/>
  <c r="CH20" i="36"/>
  <c r="BO20" i="36" s="1"/>
  <c r="CI13" i="36"/>
  <c r="BP13" i="36" s="1"/>
  <c r="BL13" i="36" s="1"/>
  <c r="BH13" i="36" s="1"/>
  <c r="AT13" i="36" s="1"/>
  <c r="CK36" i="36"/>
  <c r="BR36" i="36" s="1"/>
  <c r="BN36" i="36" s="1"/>
  <c r="BJ36" i="36" s="1"/>
  <c r="CI34" i="36"/>
  <c r="BP34" i="36" s="1"/>
  <c r="BL34" i="36" s="1"/>
  <c r="BH34" i="36" s="1"/>
  <c r="AT34" i="36" s="1"/>
  <c r="CH16" i="36"/>
  <c r="BO16" i="36" s="1"/>
  <c r="B50" i="111" s="1"/>
  <c r="CK23" i="36"/>
  <c r="BR23" i="36" s="1"/>
  <c r="BN23" i="36" s="1"/>
  <c r="BJ23" i="36" s="1"/>
  <c r="CH19" i="36"/>
  <c r="BO19" i="36" s="1"/>
  <c r="CK30" i="36"/>
  <c r="BR30" i="36" s="1"/>
  <c r="BN30" i="36" s="1"/>
  <c r="BJ30" i="36" s="1"/>
  <c r="CJ32" i="36"/>
  <c r="BQ32" i="36" s="1"/>
  <c r="BM32" i="36" s="1"/>
  <c r="BI32" i="36" s="1"/>
  <c r="AU32" i="36" s="1"/>
  <c r="CJ13" i="158"/>
  <c r="CO13" i="158"/>
  <c r="B52" i="161"/>
  <c r="CJ17" i="158"/>
  <c r="CP18" i="158"/>
  <c r="BY18" i="158" s="1"/>
  <c r="CK18" i="158"/>
  <c r="CE18" i="158" s="1"/>
  <c r="CM28" i="158"/>
  <c r="CG28" i="158" s="1"/>
  <c r="CR28" i="158"/>
  <c r="CL12" i="158"/>
  <c r="CF12" i="158" s="1"/>
  <c r="CQ12" i="158"/>
  <c r="BZ12" i="158" s="1"/>
  <c r="CP26" i="158"/>
  <c r="BY26" i="158" s="1"/>
  <c r="CK26" i="158"/>
  <c r="CE26" i="158" s="1"/>
  <c r="CP19" i="158"/>
  <c r="BY19" i="158" s="1"/>
  <c r="CK19" i="158"/>
  <c r="CE19" i="158" s="1"/>
  <c r="B68" i="161"/>
  <c r="CJ33" i="158"/>
  <c r="CO33" i="158"/>
  <c r="BX33" i="158" s="1"/>
  <c r="CK17" i="158"/>
  <c r="CE17" i="158" s="1"/>
  <c r="CP17" i="158"/>
  <c r="BY17" i="158" s="1"/>
  <c r="CJ29" i="158"/>
  <c r="B64" i="161"/>
  <c r="CO29" i="158"/>
  <c r="BX29" i="158" s="1"/>
  <c r="CL30" i="158"/>
  <c r="CF30" i="158" s="1"/>
  <c r="CQ30" i="158"/>
  <c r="BZ30" i="158" s="1"/>
  <c r="CK28" i="158"/>
  <c r="CE28" i="158" s="1"/>
  <c r="CP28" i="158"/>
  <c r="BY28" i="158" s="1"/>
  <c r="CP31" i="158"/>
  <c r="BY31" i="158" s="1"/>
  <c r="CK31" i="158"/>
  <c r="CE31" i="158" s="1"/>
  <c r="CM36" i="158"/>
  <c r="CG36" i="158" s="1"/>
  <c r="CR36" i="158"/>
  <c r="CQ37" i="158"/>
  <c r="CL37" i="158"/>
  <c r="CF37" i="158" s="1"/>
  <c r="CK39" i="36"/>
  <c r="BR39" i="36" s="1"/>
  <c r="BN39" i="36" s="1"/>
  <c r="BJ39" i="36" s="1"/>
  <c r="CI37" i="36"/>
  <c r="BP37" i="36" s="1"/>
  <c r="BL37" i="36" s="1"/>
  <c r="BH37" i="36" s="1"/>
  <c r="AT37" i="36" s="1"/>
  <c r="R41" i="148"/>
  <c r="BL16" i="158"/>
  <c r="AX11" i="158"/>
  <c r="A57" i="161"/>
  <c r="AX13" i="158"/>
  <c r="AJ58" i="161"/>
  <c r="A45" i="161"/>
  <c r="AJ61" i="161"/>
  <c r="AX21" i="158"/>
  <c r="AX19" i="158"/>
  <c r="AJ63" i="161"/>
  <c r="BL25" i="158"/>
  <c r="A65" i="161"/>
  <c r="BL19" i="158"/>
  <c r="BL9" i="158"/>
  <c r="BL86" i="158" s="1"/>
  <c r="E44" i="161"/>
  <c r="AX15" i="158"/>
  <c r="A62" i="161"/>
  <c r="AX25" i="158"/>
  <c r="A49" i="161"/>
  <c r="BL13" i="158"/>
  <c r="A59" i="161"/>
  <c r="AX17" i="158"/>
  <c r="AJ69" i="161"/>
  <c r="AJ55" i="161"/>
  <c r="A70" i="161"/>
  <c r="AL6" i="161"/>
  <c r="AX8" i="158"/>
  <c r="AX16" i="158"/>
  <c r="A66" i="161"/>
  <c r="A64" i="161"/>
  <c r="AX9" i="158"/>
  <c r="AX33" i="158"/>
  <c r="T41" i="148"/>
  <c r="BL8" i="158"/>
  <c r="BL85" i="158" s="1"/>
  <c r="AC9" i="148"/>
  <c r="AD9" i="148" s="1"/>
  <c r="V9" i="148"/>
  <c r="A53" i="161"/>
  <c r="S41" i="148"/>
  <c r="AJ47" i="161"/>
  <c r="A46" i="161"/>
  <c r="D43" i="117"/>
  <c r="F43" i="117" s="1"/>
  <c r="G43" i="117" s="1"/>
  <c r="EQ36" i="158"/>
  <c r="CV36" i="158" s="1"/>
  <c r="EQ37" i="158"/>
  <c r="EQ38" i="158"/>
  <c r="EA86" i="158"/>
  <c r="ED86" i="158"/>
  <c r="S32" i="126"/>
  <c r="T32" i="126" s="1"/>
  <c r="O70" i="126"/>
  <c r="P70" i="126" s="1"/>
  <c r="Q70" i="126" s="1"/>
  <c r="H44" i="163"/>
  <c r="I44" i="163" s="1"/>
  <c r="F45" i="163"/>
  <c r="F46" i="163"/>
  <c r="Z23" i="163"/>
  <c r="AA21" i="163"/>
  <c r="AB21" i="163" s="1"/>
  <c r="AN74" i="156"/>
  <c r="AN76" i="156"/>
  <c r="AN75" i="156"/>
  <c r="X29" i="156"/>
  <c r="D120" i="32"/>
  <c r="AF75" i="156"/>
  <c r="AF74" i="156"/>
  <c r="AG73" i="156"/>
  <c r="AH73" i="156" s="1"/>
  <c r="AE67" i="155"/>
  <c r="AK66" i="155"/>
  <c r="AK68" i="155"/>
  <c r="AK67" i="155"/>
  <c r="AL65" i="155"/>
  <c r="AM65" i="155" s="1"/>
  <c r="AE12" i="18"/>
  <c r="AI10" i="22"/>
  <c r="F68" i="148"/>
  <c r="A31" i="148"/>
  <c r="G11" i="18"/>
  <c r="AI11" i="18" s="1"/>
  <c r="EQ17" i="158"/>
  <c r="EQ33" i="158"/>
  <c r="EQ15" i="158"/>
  <c r="HJ10" i="158"/>
  <c r="IE10" i="158"/>
  <c r="HQ10" i="158"/>
  <c r="ID10" i="158"/>
  <c r="HP10" i="158"/>
  <c r="HA10" i="158"/>
  <c r="IC10" i="158"/>
  <c r="HO10" i="158"/>
  <c r="FK10" i="158"/>
  <c r="IB10" i="158"/>
  <c r="FS10" i="158"/>
  <c r="HS10" i="158"/>
  <c r="FM10" i="158"/>
  <c r="HR10" i="158"/>
  <c r="FD10" i="158"/>
  <c r="FU10" i="158"/>
  <c r="HG10" i="158"/>
  <c r="HH10" i="158"/>
  <c r="GF10" i="158"/>
  <c r="GA10" i="158"/>
  <c r="IA10" i="158"/>
  <c r="GG10" i="158"/>
  <c r="FJ10" i="158"/>
  <c r="FR10" i="158"/>
  <c r="FT10" i="158"/>
  <c r="GH10" i="158"/>
  <c r="GE10" i="158"/>
  <c r="FV10" i="158"/>
  <c r="GD10" i="158"/>
  <c r="GU10" i="158"/>
  <c r="FA10" i="158"/>
  <c r="GJ10" i="158"/>
  <c r="CO100" i="77"/>
  <c r="CC100" i="77"/>
  <c r="BQ100" i="77"/>
  <c r="BE100" i="77"/>
  <c r="AS100" i="77"/>
  <c r="U100" i="77"/>
  <c r="CY100" i="77"/>
  <c r="CM100" i="77"/>
  <c r="CA100" i="77"/>
  <c r="BO100" i="77"/>
  <c r="BC100" i="77"/>
  <c r="S100" i="77"/>
  <c r="CV100" i="77"/>
  <c r="CH100" i="77"/>
  <c r="BT100" i="77"/>
  <c r="N100" i="77"/>
  <c r="CU100" i="77"/>
  <c r="CG100" i="77"/>
  <c r="BS100" i="77"/>
  <c r="BD100" i="77"/>
  <c r="CT100" i="77"/>
  <c r="CF100" i="77"/>
  <c r="BR100" i="77"/>
  <c r="BB100" i="77"/>
  <c r="AN100" i="77"/>
  <c r="L100" i="77"/>
  <c r="CS100" i="77"/>
  <c r="CE100" i="77"/>
  <c r="BP100" i="77"/>
  <c r="BA100" i="77"/>
  <c r="AM100" i="77"/>
  <c r="K100" i="77"/>
  <c r="CR100" i="77"/>
  <c r="CD100" i="77"/>
  <c r="BN100" i="77"/>
  <c r="AZ100" i="77"/>
  <c r="AL100" i="77"/>
  <c r="CQ100" i="77"/>
  <c r="CB100" i="77"/>
  <c r="BM100" i="77"/>
  <c r="AY100" i="77"/>
  <c r="AK100" i="77"/>
  <c r="W100" i="77"/>
  <c r="CP100" i="77"/>
  <c r="BZ100" i="77"/>
  <c r="AX100" i="77"/>
  <c r="AJ100" i="77"/>
  <c r="V100" i="77"/>
  <c r="DC100" i="77"/>
  <c r="CN100" i="77"/>
  <c r="BY100" i="77"/>
  <c r="BK100" i="77"/>
  <c r="AW100" i="77"/>
  <c r="T100" i="77"/>
  <c r="DB100" i="77"/>
  <c r="CL100" i="77"/>
  <c r="BX100" i="77"/>
  <c r="BJ100" i="77"/>
  <c r="AV100" i="77"/>
  <c r="CZ100" i="77"/>
  <c r="CK100" i="77"/>
  <c r="BW100" i="77"/>
  <c r="BI100" i="77"/>
  <c r="AU100" i="77"/>
  <c r="C100" i="77"/>
  <c r="CJ100" i="77"/>
  <c r="BV100" i="77"/>
  <c r="AT100" i="77"/>
  <c r="CW100" i="77"/>
  <c r="CI100" i="77"/>
  <c r="BU100" i="77"/>
  <c r="BK22" i="36"/>
  <c r="BG22" i="36" s="1"/>
  <c r="EQ14" i="158"/>
  <c r="EQ21" i="158"/>
  <c r="EQ23" i="158"/>
  <c r="B12" i="115"/>
  <c r="A42" i="92"/>
  <c r="A5" i="92" s="1"/>
  <c r="K44" i="111"/>
  <c r="B10" i="77"/>
  <c r="DC10" i="77" s="1"/>
  <c r="DO6" i="177" s="1"/>
  <c r="B101" i="77"/>
  <c r="AV9" i="77"/>
  <c r="B60" i="77"/>
  <c r="BA9" i="77"/>
  <c r="E7" i="119" s="1"/>
  <c r="AM9" i="77"/>
  <c r="AN9" i="77"/>
  <c r="G13" i="123" s="1"/>
  <c r="S9" i="77"/>
  <c r="BE9" i="77"/>
  <c r="DK5" i="177" s="1"/>
  <c r="AJ9" i="77"/>
  <c r="L9" i="77"/>
  <c r="C9" i="77"/>
  <c r="DW5" i="177" s="1"/>
  <c r="AW9" i="77"/>
  <c r="N9" i="77"/>
  <c r="E13" i="123" s="1"/>
  <c r="BB9" i="77"/>
  <c r="F7" i="119" s="1"/>
  <c r="T9" i="77"/>
  <c r="W9" i="77"/>
  <c r="AK9" i="77"/>
  <c r="U9" i="77"/>
  <c r="CW9" i="77"/>
  <c r="K9" i="77" s="1"/>
  <c r="DS5" i="177" s="1"/>
  <c r="EQ35" i="158"/>
  <c r="EO39" i="158"/>
  <c r="EQ20" i="158"/>
  <c r="EP39" i="158"/>
  <c r="C43" i="161"/>
  <c r="EQ25" i="158"/>
  <c r="K43" i="161"/>
  <c r="AA43" i="161"/>
  <c r="L44" i="161"/>
  <c r="CH9" i="36"/>
  <c r="EA39" i="158"/>
  <c r="EA85" i="158"/>
  <c r="EQ10" i="158"/>
  <c r="EQ24" i="158"/>
  <c r="EQ13" i="158"/>
  <c r="EQ16" i="158"/>
  <c r="EQ29" i="158"/>
  <c r="EQ9" i="158"/>
  <c r="EQ19" i="158"/>
  <c r="EQ22" i="158"/>
  <c r="EQ28" i="158"/>
  <c r="EM40" i="158"/>
  <c r="EM39" i="158"/>
  <c r="EQ6" i="158"/>
  <c r="EQ11" i="158"/>
  <c r="EQ34" i="158"/>
  <c r="EQ18" i="158"/>
  <c r="EQ30" i="158"/>
  <c r="GZ11" i="158"/>
  <c r="FC11" i="158"/>
  <c r="A6" i="168"/>
  <c r="M6" i="168" s="1"/>
  <c r="D11" i="136"/>
  <c r="A9" i="159"/>
  <c r="B88" i="158"/>
  <c r="B12" i="158"/>
  <c r="BD11" i="158"/>
  <c r="AO8" i="77"/>
  <c r="F12" i="123"/>
  <c r="K12" i="123" s="1"/>
  <c r="U43" i="111"/>
  <c r="J43" i="111"/>
  <c r="CI9" i="36"/>
  <c r="EB39" i="158"/>
  <c r="EB85" i="158"/>
  <c r="B12" i="22"/>
  <c r="AP11" i="22"/>
  <c r="AU11" i="22"/>
  <c r="CO11" i="22"/>
  <c r="B7" i="119"/>
  <c r="B43" i="119" s="1"/>
  <c r="B78" i="119" s="1"/>
  <c r="B66" i="36"/>
  <c r="BE10" i="36"/>
  <c r="CY10" i="36" s="1"/>
  <c r="B11" i="36"/>
  <c r="B57" i="115"/>
  <c r="O57" i="115" s="1"/>
  <c r="H11" i="115"/>
  <c r="B68" i="18"/>
  <c r="B13" i="18"/>
  <c r="EQ26" i="158"/>
  <c r="EB87" i="158"/>
  <c r="DP87" i="158"/>
  <c r="BI87" i="158"/>
  <c r="AU87" i="158"/>
  <c r="W87" i="158"/>
  <c r="K87" i="158"/>
  <c r="EG87" i="158"/>
  <c r="DU87" i="158"/>
  <c r="CY87" i="158"/>
  <c r="AN87" i="158"/>
  <c r="DZ87" i="158"/>
  <c r="DL87" i="158"/>
  <c r="DY87" i="158"/>
  <c r="DA87" i="158"/>
  <c r="AX87" i="158"/>
  <c r="EL87" i="158"/>
  <c r="DX87" i="158"/>
  <c r="CZ87" i="158"/>
  <c r="BL87" i="158"/>
  <c r="EK87" i="158"/>
  <c r="DW87" i="158"/>
  <c r="CX87" i="158"/>
  <c r="BK87" i="158"/>
  <c r="AT87" i="158"/>
  <c r="C87" i="158"/>
  <c r="EJ87" i="158"/>
  <c r="DV87" i="158"/>
  <c r="BJ87" i="158"/>
  <c r="EI87" i="158"/>
  <c r="DT87" i="158"/>
  <c r="BH87" i="158"/>
  <c r="EH87" i="158"/>
  <c r="DS87" i="158"/>
  <c r="BG87" i="158"/>
  <c r="N87" i="158"/>
  <c r="EF87" i="158"/>
  <c r="DR87" i="158"/>
  <c r="BF87" i="158"/>
  <c r="AP87" i="158"/>
  <c r="AA87" i="158"/>
  <c r="EE87" i="158"/>
  <c r="DQ87" i="158"/>
  <c r="BE87" i="158"/>
  <c r="AO87" i="158"/>
  <c r="Z87" i="158"/>
  <c r="L87" i="158"/>
  <c r="ED87" i="158"/>
  <c r="DO87" i="158"/>
  <c r="BD87" i="158"/>
  <c r="Y87" i="158"/>
  <c r="EC87" i="158"/>
  <c r="DN87" i="158"/>
  <c r="X87" i="158"/>
  <c r="EA87" i="158"/>
  <c r="DM87" i="158"/>
  <c r="CJ9" i="36"/>
  <c r="EC39" i="158"/>
  <c r="EC85" i="158"/>
  <c r="CK9" i="36"/>
  <c r="ED39" i="158"/>
  <c r="ED85" i="158"/>
  <c r="EQ32" i="158"/>
  <c r="EQ12" i="158"/>
  <c r="EQ27" i="158"/>
  <c r="T200" i="100"/>
  <c r="J200" i="100"/>
  <c r="E293" i="100"/>
  <c r="J309" i="100" s="1"/>
  <c r="EN39" i="158"/>
  <c r="EQ31" i="158"/>
  <c r="AO73" i="156"/>
  <c r="AP73" i="156" s="1"/>
  <c r="AP51" i="156"/>
  <c r="AI34" i="100"/>
  <c r="AY34" i="100"/>
  <c r="AZ34" i="100" s="1"/>
  <c r="D263" i="100"/>
  <c r="K167" i="100"/>
  <c r="L167" i="100" s="1"/>
  <c r="F176" i="100"/>
  <c r="G176" i="100" s="1"/>
  <c r="U167" i="100"/>
  <c r="V167" i="100" s="1"/>
  <c r="F176" i="155"/>
  <c r="F177" i="155"/>
  <c r="F178" i="155"/>
  <c r="X169" i="32"/>
  <c r="Z169" i="32" s="1"/>
  <c r="AA169" i="32" s="1"/>
  <c r="Z172" i="32"/>
  <c r="AA172" i="32" s="1"/>
  <c r="AP50" i="156"/>
  <c r="F40" i="144"/>
  <c r="K40" i="144" s="1"/>
  <c r="D41" i="117"/>
  <c r="F41" i="117" s="1"/>
  <c r="G41" i="117" s="1"/>
  <c r="F5" i="117"/>
  <c r="G5" i="117" s="1"/>
  <c r="L63" i="100"/>
  <c r="AZ35" i="100"/>
  <c r="D268" i="100"/>
  <c r="D266" i="100"/>
  <c r="F179" i="100"/>
  <c r="G179" i="100" s="1"/>
  <c r="K169" i="100"/>
  <c r="D166" i="100"/>
  <c r="K32" i="100"/>
  <c r="L32" i="100" s="1"/>
  <c r="F33" i="100"/>
  <c r="G33" i="100" s="1"/>
  <c r="AI35" i="100"/>
  <c r="K58" i="100"/>
  <c r="L58" i="100" s="1"/>
  <c r="F59" i="100"/>
  <c r="G59" i="100" s="1"/>
  <c r="D255" i="100"/>
  <c r="J184" i="100"/>
  <c r="F168" i="100"/>
  <c r="G168" i="100" s="1"/>
  <c r="K165" i="100"/>
  <c r="L165" i="100" s="1"/>
  <c r="F180" i="100"/>
  <c r="G180" i="100" s="1"/>
  <c r="D267" i="100"/>
  <c r="L37" i="100"/>
  <c r="D254" i="100"/>
  <c r="F167" i="100"/>
  <c r="G167" i="100" s="1"/>
  <c r="L183" i="100"/>
  <c r="D265" i="100"/>
  <c r="F178" i="100"/>
  <c r="G178" i="100" s="1"/>
  <c r="K168" i="100"/>
  <c r="L168" i="100" s="1"/>
  <c r="D256" i="100"/>
  <c r="U165" i="100"/>
  <c r="V165" i="100" s="1"/>
  <c r="F169" i="100"/>
  <c r="G169" i="100" s="1"/>
  <c r="L64" i="100"/>
  <c r="D260" i="100"/>
  <c r="D272" i="100"/>
  <c r="F185" i="100"/>
  <c r="G185" i="100" s="1"/>
  <c r="F172" i="100"/>
  <c r="G172" i="100" s="1"/>
  <c r="D259" i="100"/>
  <c r="AZ32" i="100"/>
  <c r="D270" i="100"/>
  <c r="F183" i="100"/>
  <c r="G183" i="100" s="1"/>
  <c r="U168" i="100"/>
  <c r="V168" i="100" s="1"/>
  <c r="V269" i="100"/>
  <c r="F257" i="100"/>
  <c r="G257" i="100" s="1"/>
  <c r="D230" i="100"/>
  <c r="F230" i="100" s="1"/>
  <c r="G230" i="100" s="1"/>
  <c r="D273" i="100"/>
  <c r="F186" i="100"/>
  <c r="G186" i="100" s="1"/>
  <c r="L38" i="100"/>
  <c r="D271" i="100"/>
  <c r="U169" i="100"/>
  <c r="F184" i="100"/>
  <c r="G184" i="100" s="1"/>
  <c r="R12" i="18"/>
  <c r="C12" i="18"/>
  <c r="F12" i="18"/>
  <c r="S12" i="18"/>
  <c r="AF12" i="18"/>
  <c r="AD12" i="18"/>
  <c r="E12" i="18"/>
  <c r="AL12" i="18"/>
  <c r="AC12" i="18"/>
  <c r="AA12" i="18"/>
  <c r="D12" i="18"/>
  <c r="T12" i="18"/>
  <c r="V12" i="18"/>
  <c r="AD67" i="111" l="1"/>
  <c r="F5" i="177"/>
  <c r="CH5" i="177" s="1"/>
  <c r="DG9" i="77"/>
  <c r="BK30" i="36"/>
  <c r="BG30" i="36" s="1"/>
  <c r="B64" i="111"/>
  <c r="BK21" i="36"/>
  <c r="BG21" i="36" s="1"/>
  <c r="AS21" i="36" s="1"/>
  <c r="AR21" i="36" s="1"/>
  <c r="H21" i="36" s="1"/>
  <c r="B55" i="111"/>
  <c r="B71" i="161"/>
  <c r="F71" i="161" s="1"/>
  <c r="BK27" i="36"/>
  <c r="BG27" i="36" s="1"/>
  <c r="BF27" i="36" s="1"/>
  <c r="B61" i="111"/>
  <c r="CO15" i="158"/>
  <c r="BK34" i="36"/>
  <c r="BG34" i="36" s="1"/>
  <c r="B68" i="111"/>
  <c r="DG4" i="177"/>
  <c r="BK14" i="36"/>
  <c r="BG14" i="36" s="1"/>
  <c r="B48" i="111"/>
  <c r="DH39" i="158"/>
  <c r="CP8" i="158"/>
  <c r="BY8" i="158" s="1"/>
  <c r="B54" i="111"/>
  <c r="CO37" i="158"/>
  <c r="BX37" i="158" s="1"/>
  <c r="B56" i="111"/>
  <c r="DF39" i="158"/>
  <c r="AX85" i="158"/>
  <c r="FA8" i="158"/>
  <c r="BK28" i="36"/>
  <c r="BG28" i="36" s="1"/>
  <c r="AS28" i="36" s="1"/>
  <c r="B62" i="111"/>
  <c r="B52" i="111"/>
  <c r="B72" i="161"/>
  <c r="F72" i="161" s="1"/>
  <c r="B54" i="161"/>
  <c r="B73" i="161"/>
  <c r="F73" i="161" s="1"/>
  <c r="DK8" i="158"/>
  <c r="DK39" i="158" s="1"/>
  <c r="DG39" i="158"/>
  <c r="BK23" i="36"/>
  <c r="BG23" i="36" s="1"/>
  <c r="B57" i="111"/>
  <c r="AX86" i="158"/>
  <c r="FA9" i="158"/>
  <c r="BK19" i="36"/>
  <c r="BG19" i="36" s="1"/>
  <c r="B53" i="111"/>
  <c r="CO19" i="158"/>
  <c r="BX19" i="158" s="1"/>
  <c r="CP11" i="158"/>
  <c r="BY11" i="158" s="1"/>
  <c r="BK39" i="36"/>
  <c r="BG39" i="36" s="1"/>
  <c r="B73" i="111"/>
  <c r="F73" i="111" s="1"/>
  <c r="CO38" i="158"/>
  <c r="CC38" i="158" s="1"/>
  <c r="H38" i="158" s="1"/>
  <c r="BK38" i="36"/>
  <c r="BG38" i="36" s="1"/>
  <c r="B72" i="111"/>
  <c r="F72" i="111" s="1"/>
  <c r="CO36" i="158"/>
  <c r="BX36" i="158" s="1"/>
  <c r="CO17" i="158"/>
  <c r="BX17" i="158" s="1"/>
  <c r="BK29" i="36"/>
  <c r="BG29" i="36" s="1"/>
  <c r="B63" i="111"/>
  <c r="BK35" i="36"/>
  <c r="BG35" i="36" s="1"/>
  <c r="BF35" i="36" s="1"/>
  <c r="B69" i="111"/>
  <c r="BK32" i="36"/>
  <c r="BG32" i="36" s="1"/>
  <c r="B66" i="111"/>
  <c r="BK36" i="36"/>
  <c r="BG36" i="36" s="1"/>
  <c r="AS36" i="36" s="1"/>
  <c r="AR36" i="36" s="1"/>
  <c r="H36" i="36" s="1"/>
  <c r="B70" i="111"/>
  <c r="BK37" i="36"/>
  <c r="BG37" i="36" s="1"/>
  <c r="B71" i="111"/>
  <c r="F71" i="111" s="1"/>
  <c r="B43" i="161"/>
  <c r="B48" i="161"/>
  <c r="F48" i="161" s="1"/>
  <c r="DK13" i="158"/>
  <c r="CB30" i="177"/>
  <c r="B31" i="177"/>
  <c r="CW29" i="177"/>
  <c r="DA29" i="177" s="1"/>
  <c r="DE29" i="177" s="1"/>
  <c r="DI29" i="177" s="1"/>
  <c r="DM29" i="177" s="1"/>
  <c r="DQ29" i="177" s="1"/>
  <c r="DU29" i="177" s="1"/>
  <c r="CF29" i="177"/>
  <c r="CJ29" i="177" s="1"/>
  <c r="CN29" i="177" s="1"/>
  <c r="CR29" i="177" s="1"/>
  <c r="X24" i="150"/>
  <c r="Z24" i="150" s="1"/>
  <c r="AA24" i="150" s="1"/>
  <c r="AB24" i="150" s="1"/>
  <c r="A58" i="111"/>
  <c r="Z32" i="150"/>
  <c r="AA32" i="150" s="1"/>
  <c r="AB32" i="150" s="1"/>
  <c r="A66" i="111"/>
  <c r="AD66" i="111" s="1"/>
  <c r="Z31" i="150"/>
  <c r="AA31" i="150" s="1"/>
  <c r="AB31" i="150" s="1"/>
  <c r="A65" i="111"/>
  <c r="AD65" i="111" s="1"/>
  <c r="AE70" i="111"/>
  <c r="AH70" i="111" s="1"/>
  <c r="AF70" i="111"/>
  <c r="Z35" i="150"/>
  <c r="AA35" i="150" s="1"/>
  <c r="AB35" i="150" s="1"/>
  <c r="A69" i="111"/>
  <c r="AD69" i="111" s="1"/>
  <c r="BM33" i="36"/>
  <c r="BI33" i="36" s="1"/>
  <c r="AU33" i="36" s="1"/>
  <c r="B67" i="111"/>
  <c r="BM31" i="36"/>
  <c r="BI31" i="36" s="1"/>
  <c r="AU31" i="36" s="1"/>
  <c r="B65" i="111"/>
  <c r="BK25" i="36"/>
  <c r="BG25" i="36" s="1"/>
  <c r="B59" i="111"/>
  <c r="BM24" i="36"/>
  <c r="BI24" i="36" s="1"/>
  <c r="AU24" i="36" s="1"/>
  <c r="B58" i="111"/>
  <c r="BM26" i="36"/>
  <c r="BI26" i="36" s="1"/>
  <c r="AU26" i="36" s="1"/>
  <c r="B60" i="111"/>
  <c r="N12" i="18"/>
  <c r="I11" i="22"/>
  <c r="R11" i="22"/>
  <c r="AN12" i="18"/>
  <c r="AB12" i="18"/>
  <c r="AG12" i="18"/>
  <c r="C11" i="22"/>
  <c r="Q11" i="22"/>
  <c r="K11" i="22"/>
  <c r="AJ12" i="18"/>
  <c r="BV12" i="18" s="1"/>
  <c r="CM11" i="22"/>
  <c r="H11" i="22" s="1"/>
  <c r="AV11" i="22"/>
  <c r="P11" i="22"/>
  <c r="T11" i="22"/>
  <c r="P11" i="18"/>
  <c r="O11" i="18"/>
  <c r="BK16" i="36"/>
  <c r="BG16" i="36" s="1"/>
  <c r="AS16" i="36" s="1"/>
  <c r="AR16" i="36" s="1"/>
  <c r="H16" i="36" s="1"/>
  <c r="A47" i="111"/>
  <c r="AD47" i="111" s="1"/>
  <c r="Z13" i="150"/>
  <c r="AA13" i="150" s="1"/>
  <c r="AB13" i="150" s="1"/>
  <c r="A55" i="111"/>
  <c r="Z21" i="150"/>
  <c r="AA21" i="150" s="1"/>
  <c r="AB21" i="150" s="1"/>
  <c r="X15" i="150"/>
  <c r="Z15" i="150" s="1"/>
  <c r="AA15" i="150" s="1"/>
  <c r="AB15" i="150" s="1"/>
  <c r="A49" i="111"/>
  <c r="AD49" i="111" s="1"/>
  <c r="X19" i="150"/>
  <c r="Z19" i="150" s="1"/>
  <c r="AA19" i="150" s="1"/>
  <c r="AB19" i="150" s="1"/>
  <c r="A53" i="111"/>
  <c r="Y11" i="18"/>
  <c r="S10" i="22"/>
  <c r="CP11" i="22"/>
  <c r="BK20" i="36"/>
  <c r="BG20" i="36" s="1"/>
  <c r="BF20" i="36" s="1"/>
  <c r="BK18" i="36"/>
  <c r="BG18" i="36" s="1"/>
  <c r="BK17" i="36"/>
  <c r="BG17" i="36" s="1"/>
  <c r="AS17" i="36" s="1"/>
  <c r="BM19" i="36"/>
  <c r="BI19" i="36" s="1"/>
  <c r="AU19" i="36" s="1"/>
  <c r="BK15" i="36"/>
  <c r="BG15" i="36" s="1"/>
  <c r="AS15" i="36" s="1"/>
  <c r="J4" i="147"/>
  <c r="I58" i="147"/>
  <c r="I63" i="147"/>
  <c r="H147" i="147"/>
  <c r="I105" i="147"/>
  <c r="BX38" i="158"/>
  <c r="BX8" i="158"/>
  <c r="CC8" i="158"/>
  <c r="CI38" i="158"/>
  <c r="CD38" i="158"/>
  <c r="CF8" i="158"/>
  <c r="CI8" i="158"/>
  <c r="D261" i="100"/>
  <c r="K277" i="100" s="1"/>
  <c r="A50" i="161"/>
  <c r="U166" i="100"/>
  <c r="A52" i="161"/>
  <c r="CN38" i="158"/>
  <c r="CH38" i="158" s="1"/>
  <c r="CW38" i="158"/>
  <c r="CV38" i="158"/>
  <c r="CU38" i="158"/>
  <c r="CT38" i="158"/>
  <c r="CS38" i="158"/>
  <c r="CB38" i="158" s="1"/>
  <c r="CS8" i="158"/>
  <c r="CB8" i="158" s="1"/>
  <c r="CW8" i="158"/>
  <c r="CT8" i="158"/>
  <c r="CN8" i="158"/>
  <c r="CH8" i="158" s="1"/>
  <c r="CV8" i="158"/>
  <c r="CU8" i="158"/>
  <c r="AJ67" i="161"/>
  <c r="AK67" i="161" s="1"/>
  <c r="AC18" i="150"/>
  <c r="AD18" i="150" s="1"/>
  <c r="E52" i="111" s="1"/>
  <c r="V18" i="150"/>
  <c r="AY12" i="36"/>
  <c r="V14" i="150"/>
  <c r="AC14" i="150"/>
  <c r="AD14" i="150" s="1"/>
  <c r="E48" i="111" s="1"/>
  <c r="I48" i="111" s="1"/>
  <c r="F14" i="36" s="1"/>
  <c r="AW17" i="158"/>
  <c r="A68" i="161"/>
  <c r="AY10" i="36"/>
  <c r="BD9" i="77" s="1"/>
  <c r="V12" i="150"/>
  <c r="AC12" i="150"/>
  <c r="AD12" i="150" s="1"/>
  <c r="E46" i="111" s="1"/>
  <c r="AY22" i="36"/>
  <c r="AC10" i="150"/>
  <c r="AD10" i="150" s="1"/>
  <c r="E44" i="111" s="1"/>
  <c r="V10" i="150"/>
  <c r="AY14" i="36"/>
  <c r="V16" i="150"/>
  <c r="AC16" i="150"/>
  <c r="AD16" i="150" s="1"/>
  <c r="E50" i="111" s="1"/>
  <c r="AY18" i="36"/>
  <c r="AC22" i="150"/>
  <c r="AD22" i="150" s="1"/>
  <c r="E56" i="111" s="1"/>
  <c r="V22" i="150"/>
  <c r="A56" i="111" s="1"/>
  <c r="AY20" i="36"/>
  <c r="AY17" i="36"/>
  <c r="Q26" i="150"/>
  <c r="BI26" i="150" s="1"/>
  <c r="BK26" i="150" s="1"/>
  <c r="T26" i="150"/>
  <c r="AY34" i="36"/>
  <c r="AY16" i="36"/>
  <c r="AC20" i="150"/>
  <c r="AD20" i="150" s="1"/>
  <c r="E54" i="111" s="1"/>
  <c r="V20" i="150"/>
  <c r="AC17" i="150"/>
  <c r="AD17" i="150" s="1"/>
  <c r="E51" i="111" s="1"/>
  <c r="V17" i="150"/>
  <c r="V34" i="150"/>
  <c r="AC34" i="150"/>
  <c r="AD34" i="150" s="1"/>
  <c r="E68" i="111" s="1"/>
  <c r="A56" i="161"/>
  <c r="V43" i="148"/>
  <c r="C61" i="111"/>
  <c r="I27" i="36"/>
  <c r="C69" i="111"/>
  <c r="I69" i="111" s="1"/>
  <c r="I35" i="36"/>
  <c r="BH3" i="36"/>
  <c r="CW36" i="158"/>
  <c r="C68" i="111"/>
  <c r="I32" i="36"/>
  <c r="C66" i="111"/>
  <c r="I66" i="111" s="1"/>
  <c r="I25" i="36"/>
  <c r="C59" i="111"/>
  <c r="I59" i="111" s="1"/>
  <c r="I18" i="36"/>
  <c r="C52" i="111"/>
  <c r="CT36" i="158"/>
  <c r="CU36" i="158"/>
  <c r="ES36" i="158"/>
  <c r="BF21" i="36"/>
  <c r="C55" i="111"/>
  <c r="I55" i="111" s="1"/>
  <c r="F21" i="36" s="1"/>
  <c r="I21" i="36"/>
  <c r="I65" i="111"/>
  <c r="N65" i="111" s="1"/>
  <c r="I31" i="36"/>
  <c r="AU12" i="36"/>
  <c r="BF12" i="36"/>
  <c r="AS27" i="36"/>
  <c r="AR27" i="36" s="1"/>
  <c r="H27" i="36" s="1"/>
  <c r="I28" i="36"/>
  <c r="C62" i="111"/>
  <c r="I62" i="111" s="1"/>
  <c r="AS33" i="36"/>
  <c r="AR33" i="36" s="1"/>
  <c r="H33" i="36" s="1"/>
  <c r="J33" i="36" s="1"/>
  <c r="BF33" i="36"/>
  <c r="C70" i="111"/>
  <c r="I70" i="111" s="1"/>
  <c r="I36" i="36"/>
  <c r="AS24" i="36"/>
  <c r="BF30" i="36"/>
  <c r="AS30" i="36"/>
  <c r="AR30" i="36" s="1"/>
  <c r="H30" i="36" s="1"/>
  <c r="AS20" i="36"/>
  <c r="AR20" i="36" s="1"/>
  <c r="H20" i="36" s="1"/>
  <c r="J20" i="36" s="1"/>
  <c r="AS23" i="36"/>
  <c r="AR23" i="36" s="1"/>
  <c r="H23" i="36" s="1"/>
  <c r="BF23" i="36"/>
  <c r="BF11" i="36"/>
  <c r="AS11" i="36"/>
  <c r="AR11" i="36" s="1"/>
  <c r="H11" i="36" s="1"/>
  <c r="B45" i="111" s="1"/>
  <c r="I14" i="36"/>
  <c r="AS32" i="36"/>
  <c r="AR32" i="36" s="1"/>
  <c r="H32" i="36" s="1"/>
  <c r="BF32" i="36"/>
  <c r="I30" i="36"/>
  <c r="C64" i="111"/>
  <c r="I64" i="111" s="1"/>
  <c r="BF13" i="36"/>
  <c r="AS13" i="36"/>
  <c r="AR13" i="36" s="1"/>
  <c r="H13" i="36" s="1"/>
  <c r="B47" i="111" s="1"/>
  <c r="AS34" i="36"/>
  <c r="AR34" i="36" s="1"/>
  <c r="H34" i="36" s="1"/>
  <c r="J34" i="36" s="1"/>
  <c r="BF34" i="36"/>
  <c r="BF19" i="36"/>
  <c r="AS19" i="36"/>
  <c r="AR19" i="36" s="1"/>
  <c r="H19" i="36" s="1"/>
  <c r="I19" i="36"/>
  <c r="C53" i="111"/>
  <c r="I53" i="111" s="1"/>
  <c r="G53" i="111" s="1"/>
  <c r="AT17" i="36"/>
  <c r="C51" i="111"/>
  <c r="I17" i="36"/>
  <c r="C44" i="111"/>
  <c r="I10" i="36"/>
  <c r="I9" i="77" s="1"/>
  <c r="I101" i="77" s="1"/>
  <c r="I11" i="36"/>
  <c r="C45" i="111"/>
  <c r="I45" i="111" s="1"/>
  <c r="F11" i="36" s="1"/>
  <c r="C63" i="111"/>
  <c r="I63" i="111" s="1"/>
  <c r="I29" i="36"/>
  <c r="I24" i="36"/>
  <c r="C58" i="111"/>
  <c r="I58" i="111" s="1"/>
  <c r="I22" i="36"/>
  <c r="C56" i="111"/>
  <c r="C60" i="111"/>
  <c r="I26" i="36"/>
  <c r="C57" i="111"/>
  <c r="I57" i="111" s="1"/>
  <c r="I23" i="36"/>
  <c r="C49" i="111"/>
  <c r="I49" i="111" s="1"/>
  <c r="F15" i="36" s="1"/>
  <c r="I15" i="36"/>
  <c r="C50" i="111"/>
  <c r="I16" i="36"/>
  <c r="AT15" i="36"/>
  <c r="AS29" i="36"/>
  <c r="AR29" i="36" s="1"/>
  <c r="H29" i="36" s="1"/>
  <c r="BF29" i="36"/>
  <c r="AS14" i="36"/>
  <c r="AR14" i="36" s="1"/>
  <c r="H14" i="36" s="1"/>
  <c r="BF14" i="36"/>
  <c r="AT10" i="36"/>
  <c r="AR10" i="36" s="1"/>
  <c r="BF10" i="36"/>
  <c r="AS31" i="36"/>
  <c r="BF16" i="36"/>
  <c r="C46" i="111"/>
  <c r="I12" i="36"/>
  <c r="AS26" i="36"/>
  <c r="AR26" i="36" s="1"/>
  <c r="H26" i="36" s="1"/>
  <c r="BF26" i="36"/>
  <c r="AS25" i="36"/>
  <c r="AR25" i="36" s="1"/>
  <c r="H25" i="36" s="1"/>
  <c r="BF25" i="36"/>
  <c r="BF28" i="36"/>
  <c r="AT28" i="36"/>
  <c r="AR28" i="36" s="1"/>
  <c r="H28" i="36" s="1"/>
  <c r="AS35" i="36"/>
  <c r="AR35" i="36" s="1"/>
  <c r="H35" i="36" s="1"/>
  <c r="I13" i="36"/>
  <c r="C47" i="111"/>
  <c r="I47" i="111" s="1"/>
  <c r="G47" i="111" s="1"/>
  <c r="CA36" i="158"/>
  <c r="I36" i="158" s="1"/>
  <c r="C71" i="161"/>
  <c r="J71" i="161" s="1"/>
  <c r="CA22" i="158"/>
  <c r="I22" i="158" s="1"/>
  <c r="C57" i="161"/>
  <c r="J57" i="161" s="1"/>
  <c r="CI27" i="158"/>
  <c r="CD27" i="158"/>
  <c r="CI24" i="158"/>
  <c r="CE24" i="158"/>
  <c r="CS18" i="158"/>
  <c r="CB18" i="158" s="1"/>
  <c r="CN18" i="158"/>
  <c r="CH18" i="158" s="1"/>
  <c r="CN21" i="158"/>
  <c r="CH21" i="158" s="1"/>
  <c r="CS21" i="158"/>
  <c r="CB21" i="158" s="1"/>
  <c r="CN17" i="158"/>
  <c r="CH17" i="158" s="1"/>
  <c r="CS17" i="158"/>
  <c r="CB17" i="158" s="1"/>
  <c r="CI29" i="158"/>
  <c r="CD29" i="158"/>
  <c r="AS38" i="36"/>
  <c r="AR38" i="36" s="1"/>
  <c r="BF38" i="36"/>
  <c r="CC33" i="158"/>
  <c r="H33" i="158" s="1"/>
  <c r="BZ33" i="158"/>
  <c r="CA9" i="158"/>
  <c r="I9" i="158" s="1"/>
  <c r="C44" i="161"/>
  <c r="J44" i="161" s="1"/>
  <c r="BX20" i="158"/>
  <c r="CC20" i="158"/>
  <c r="H20" i="158" s="1"/>
  <c r="CA19" i="158"/>
  <c r="I19" i="158" s="1"/>
  <c r="C54" i="161"/>
  <c r="J54" i="161" s="1"/>
  <c r="CI14" i="158"/>
  <c r="CD14" i="158"/>
  <c r="CI34" i="158"/>
  <c r="CD34" i="158"/>
  <c r="CA14" i="158"/>
  <c r="I14" i="158" s="1"/>
  <c r="C49" i="161"/>
  <c r="J49" i="161" s="1"/>
  <c r="BF39" i="36"/>
  <c r="AS39" i="36"/>
  <c r="AR39" i="36" s="1"/>
  <c r="CS30" i="158"/>
  <c r="CB30" i="158" s="1"/>
  <c r="CN30" i="158"/>
  <c r="CH30" i="158" s="1"/>
  <c r="CN15" i="158"/>
  <c r="CH15" i="158" s="1"/>
  <c r="CS15" i="158"/>
  <c r="CB15" i="158" s="1"/>
  <c r="CA34" i="158"/>
  <c r="I34" i="158" s="1"/>
  <c r="C69" i="161"/>
  <c r="J69" i="161" s="1"/>
  <c r="CN23" i="158"/>
  <c r="CH23" i="158" s="1"/>
  <c r="CS23" i="158"/>
  <c r="CB23" i="158" s="1"/>
  <c r="CS33" i="158"/>
  <c r="CB33" i="158" s="1"/>
  <c r="CN33" i="158"/>
  <c r="CH33" i="158" s="1"/>
  <c r="CC27" i="158"/>
  <c r="H27" i="158" s="1"/>
  <c r="BX27" i="158"/>
  <c r="CS16" i="158"/>
  <c r="CB16" i="158" s="1"/>
  <c r="CN16" i="158"/>
  <c r="CH16" i="158" s="1"/>
  <c r="CN11" i="158"/>
  <c r="CH11" i="158" s="1"/>
  <c r="CS11" i="158"/>
  <c r="CB11" i="158" s="1"/>
  <c r="CB88" i="158" s="1"/>
  <c r="CN19" i="158"/>
  <c r="CH19" i="158" s="1"/>
  <c r="CS19" i="158"/>
  <c r="CB19" i="158" s="1"/>
  <c r="CN13" i="158"/>
  <c r="CH13" i="158" s="1"/>
  <c r="CS13" i="158"/>
  <c r="CB13" i="158" s="1"/>
  <c r="CS10" i="158"/>
  <c r="CB10" i="158" s="1"/>
  <c r="CB87" i="158" s="1"/>
  <c r="CN10" i="158"/>
  <c r="CH10" i="158" s="1"/>
  <c r="CS14" i="158"/>
  <c r="CB14" i="158" s="1"/>
  <c r="CN14" i="158"/>
  <c r="CH14" i="158" s="1"/>
  <c r="CD17" i="158"/>
  <c r="CI17" i="158"/>
  <c r="CA27" i="158"/>
  <c r="I27" i="158" s="1"/>
  <c r="C62" i="161"/>
  <c r="J62" i="161" s="1"/>
  <c r="CI35" i="158"/>
  <c r="CD35" i="158"/>
  <c r="CI12" i="158"/>
  <c r="CE12" i="158"/>
  <c r="BX14" i="158"/>
  <c r="CC14" i="158"/>
  <c r="H14" i="158" s="1"/>
  <c r="CI36" i="158"/>
  <c r="CE36" i="158"/>
  <c r="CA12" i="158"/>
  <c r="I12" i="158" s="1"/>
  <c r="C47" i="161"/>
  <c r="J47" i="161" s="1"/>
  <c r="BF37" i="36"/>
  <c r="AS37" i="36"/>
  <c r="AR37" i="36" s="1"/>
  <c r="BX26" i="158"/>
  <c r="CC26" i="158"/>
  <c r="CD10" i="158"/>
  <c r="CI10" i="158"/>
  <c r="CA13" i="158"/>
  <c r="I13" i="158" s="1"/>
  <c r="C48" i="161"/>
  <c r="J48" i="161" s="1"/>
  <c r="BX12" i="158"/>
  <c r="CC12" i="158"/>
  <c r="H12" i="158" s="1"/>
  <c r="BX31" i="158"/>
  <c r="CC31" i="158"/>
  <c r="H31" i="158" s="1"/>
  <c r="CS28" i="158"/>
  <c r="CB28" i="158" s="1"/>
  <c r="CN28" i="158"/>
  <c r="CH28" i="158" s="1"/>
  <c r="CA21" i="158"/>
  <c r="I21" i="158" s="1"/>
  <c r="C56" i="161"/>
  <c r="J56" i="161" s="1"/>
  <c r="BX15" i="158"/>
  <c r="CC15" i="158"/>
  <c r="H15" i="158" s="1"/>
  <c r="CI26" i="158"/>
  <c r="CD26" i="158"/>
  <c r="CA25" i="158"/>
  <c r="I25" i="158" s="1"/>
  <c r="C60" i="161"/>
  <c r="J60" i="161" s="1"/>
  <c r="CS24" i="158"/>
  <c r="CB24" i="158" s="1"/>
  <c r="CN24" i="158"/>
  <c r="CH24" i="158" s="1"/>
  <c r="CN31" i="158"/>
  <c r="CH31" i="158" s="1"/>
  <c r="CS31" i="158"/>
  <c r="CB31" i="158" s="1"/>
  <c r="CN9" i="158"/>
  <c r="CH9" i="158" s="1"/>
  <c r="CS9" i="158"/>
  <c r="CB9" i="158" s="1"/>
  <c r="CB86" i="158" s="1"/>
  <c r="CS20" i="158"/>
  <c r="CB20" i="158" s="1"/>
  <c r="CN20" i="158"/>
  <c r="CH20" i="158" s="1"/>
  <c r="AR12" i="36"/>
  <c r="H12" i="36" s="1"/>
  <c r="B46" i="111" s="1"/>
  <c r="C73" i="111"/>
  <c r="I73" i="111" s="1"/>
  <c r="G73" i="111" s="1"/>
  <c r="I39" i="36"/>
  <c r="CA32" i="158"/>
  <c r="I32" i="158" s="1"/>
  <c r="C67" i="161"/>
  <c r="J67" i="161" s="1"/>
  <c r="C72" i="111"/>
  <c r="I72" i="111" s="1"/>
  <c r="I38" i="36"/>
  <c r="CD18" i="158"/>
  <c r="CI18" i="158"/>
  <c r="BX35" i="158"/>
  <c r="CC35" i="158"/>
  <c r="H35" i="158" s="1"/>
  <c r="CA31" i="158"/>
  <c r="I31" i="158" s="1"/>
  <c r="C66" i="161"/>
  <c r="J66" i="161" s="1"/>
  <c r="CC17" i="158"/>
  <c r="H17" i="158" s="1"/>
  <c r="BZ17" i="158"/>
  <c r="CI19" i="158"/>
  <c r="CD19" i="158"/>
  <c r="BX34" i="158"/>
  <c r="CC34" i="158"/>
  <c r="H34" i="158" s="1"/>
  <c r="CC21" i="158"/>
  <c r="H21" i="158" s="1"/>
  <c r="BZ21" i="158"/>
  <c r="CA35" i="158"/>
  <c r="I35" i="158" s="1"/>
  <c r="C70" i="161"/>
  <c r="J70" i="161" s="1"/>
  <c r="CA30" i="158"/>
  <c r="I30" i="158" s="1"/>
  <c r="C65" i="161"/>
  <c r="J65" i="161" s="1"/>
  <c r="I37" i="36"/>
  <c r="C71" i="111"/>
  <c r="I71" i="111" s="1"/>
  <c r="BX11" i="158"/>
  <c r="BX88" i="158" s="1"/>
  <c r="CC11" i="158"/>
  <c r="CS25" i="158"/>
  <c r="CB25" i="158" s="1"/>
  <c r="CN25" i="158"/>
  <c r="CH25" i="158" s="1"/>
  <c r="I38" i="158"/>
  <c r="C73" i="161"/>
  <c r="CA29" i="158"/>
  <c r="I29" i="158" s="1"/>
  <c r="C64" i="161"/>
  <c r="J64" i="161" s="1"/>
  <c r="C54" i="111"/>
  <c r="CA11" i="158"/>
  <c r="CA88" i="158" s="1"/>
  <c r="C46" i="161"/>
  <c r="J46" i="161" s="1"/>
  <c r="CD20" i="158"/>
  <c r="CI20" i="158"/>
  <c r="CS36" i="158"/>
  <c r="CB36" i="158" s="1"/>
  <c r="CN36" i="158"/>
  <c r="CH36" i="158" s="1"/>
  <c r="BX13" i="158"/>
  <c r="CC13" i="158"/>
  <c r="H13" i="158" s="1"/>
  <c r="CD9" i="158"/>
  <c r="CI9" i="158"/>
  <c r="CC9" i="158"/>
  <c r="BZ9" i="158"/>
  <c r="BZ86" i="158" s="1"/>
  <c r="CC23" i="158"/>
  <c r="H23" i="158" s="1"/>
  <c r="BX23" i="158"/>
  <c r="BX24" i="158"/>
  <c r="CC24" i="158"/>
  <c r="H24" i="158" s="1"/>
  <c r="CA20" i="158"/>
  <c r="I20" i="158" s="1"/>
  <c r="C55" i="161"/>
  <c r="J55" i="161" s="1"/>
  <c r="BX10" i="158"/>
  <c r="BX87" i="158" s="1"/>
  <c r="CC10" i="158"/>
  <c r="CD11" i="158"/>
  <c r="CI11" i="158"/>
  <c r="CD25" i="158"/>
  <c r="CI25" i="158"/>
  <c r="CS37" i="158"/>
  <c r="CB37" i="158" s="1"/>
  <c r="CN37" i="158"/>
  <c r="CH37" i="158" s="1"/>
  <c r="CS22" i="158"/>
  <c r="CB22" i="158" s="1"/>
  <c r="CN22" i="158"/>
  <c r="CH22" i="158" s="1"/>
  <c r="CN27" i="158"/>
  <c r="CH27" i="158" s="1"/>
  <c r="CS27" i="158"/>
  <c r="CB27" i="158" s="1"/>
  <c r="C67" i="111"/>
  <c r="I67" i="111" s="1"/>
  <c r="CD33" i="158"/>
  <c r="CI33" i="158"/>
  <c r="CA28" i="158"/>
  <c r="I28" i="158" s="1"/>
  <c r="C63" i="161"/>
  <c r="J63" i="161" s="1"/>
  <c r="CD28" i="158"/>
  <c r="CI28" i="158"/>
  <c r="CA37" i="158"/>
  <c r="I37" i="158" s="1"/>
  <c r="C72" i="161"/>
  <c r="J72" i="161" s="1"/>
  <c r="CC29" i="158"/>
  <c r="H29" i="158" s="1"/>
  <c r="BZ29" i="158"/>
  <c r="CA10" i="158"/>
  <c r="CA87" i="158" s="1"/>
  <c r="C45" i="161"/>
  <c r="J45" i="161" s="1"/>
  <c r="BX18" i="158"/>
  <c r="CC18" i="158"/>
  <c r="H18" i="158" s="1"/>
  <c r="CA16" i="158"/>
  <c r="I16" i="158" s="1"/>
  <c r="C51" i="161"/>
  <c r="J51" i="161" s="1"/>
  <c r="CD23" i="158"/>
  <c r="CI23" i="158"/>
  <c r="CD22" i="158"/>
  <c r="CI22" i="158"/>
  <c r="CI32" i="158"/>
  <c r="CE32" i="158"/>
  <c r="CA17" i="158"/>
  <c r="I17" i="158" s="1"/>
  <c r="C52" i="161"/>
  <c r="J52" i="161" s="1"/>
  <c r="CA33" i="158"/>
  <c r="I33" i="158" s="1"/>
  <c r="C68" i="161"/>
  <c r="J68" i="161" s="1"/>
  <c r="CS32" i="158"/>
  <c r="CB32" i="158" s="1"/>
  <c r="CN32" i="158"/>
  <c r="CH32" i="158" s="1"/>
  <c r="CN35" i="158"/>
  <c r="CH35" i="158" s="1"/>
  <c r="CS35" i="158"/>
  <c r="CB35" i="158" s="1"/>
  <c r="CI15" i="158"/>
  <c r="CD15" i="158"/>
  <c r="CD16" i="158"/>
  <c r="CI16" i="158"/>
  <c r="BX30" i="158"/>
  <c r="CC30" i="158"/>
  <c r="H30" i="158" s="1"/>
  <c r="CS29" i="158"/>
  <c r="CB29" i="158" s="1"/>
  <c r="CN29" i="158"/>
  <c r="CH29" i="158" s="1"/>
  <c r="BX16" i="158"/>
  <c r="CC16" i="158"/>
  <c r="H16" i="158" s="1"/>
  <c r="CS34" i="158"/>
  <c r="CB34" i="158" s="1"/>
  <c r="CN34" i="158"/>
  <c r="CH34" i="158" s="1"/>
  <c r="CS12" i="158"/>
  <c r="CB12" i="158" s="1"/>
  <c r="CN12" i="158"/>
  <c r="CH12" i="158" s="1"/>
  <c r="CS26" i="158"/>
  <c r="CB26" i="158" s="1"/>
  <c r="CN26" i="158"/>
  <c r="CH26" i="158" s="1"/>
  <c r="BZ37" i="158"/>
  <c r="CD13" i="158"/>
  <c r="CI13" i="158"/>
  <c r="BX28" i="158"/>
  <c r="CC28" i="158"/>
  <c r="H28" i="158" s="1"/>
  <c r="CA23" i="158"/>
  <c r="I23" i="158" s="1"/>
  <c r="C58" i="161"/>
  <c r="J58" i="161" s="1"/>
  <c r="CA24" i="158"/>
  <c r="I24" i="158" s="1"/>
  <c r="C59" i="161"/>
  <c r="J59" i="161" s="1"/>
  <c r="CI37" i="158"/>
  <c r="CD37" i="158"/>
  <c r="CA26" i="158"/>
  <c r="I26" i="158" s="1"/>
  <c r="C61" i="161"/>
  <c r="J61" i="161" s="1"/>
  <c r="CA18" i="158"/>
  <c r="I18" i="158" s="1"/>
  <c r="C53" i="161"/>
  <c r="J53" i="161" s="1"/>
  <c r="BX25" i="158"/>
  <c r="CC25" i="158"/>
  <c r="H25" i="158" s="1"/>
  <c r="BX22" i="158"/>
  <c r="CC22" i="158"/>
  <c r="H22" i="158" s="1"/>
  <c r="BX32" i="158"/>
  <c r="CC32" i="158"/>
  <c r="H32" i="158" s="1"/>
  <c r="B74" i="161"/>
  <c r="CD21" i="158"/>
  <c r="CI21" i="158"/>
  <c r="CA15" i="158"/>
  <c r="I15" i="158" s="1"/>
  <c r="C50" i="161"/>
  <c r="J50" i="161" s="1"/>
  <c r="CI31" i="158"/>
  <c r="CD31" i="158"/>
  <c r="CI30" i="158"/>
  <c r="CD30" i="158"/>
  <c r="AF63" i="111"/>
  <c r="AG63" i="111" s="1"/>
  <c r="AI63" i="111" s="1"/>
  <c r="AJ46" i="161"/>
  <c r="AD62" i="111"/>
  <c r="AJ62" i="161"/>
  <c r="AD64" i="111"/>
  <c r="AJ64" i="161"/>
  <c r="AJ53" i="161"/>
  <c r="AJ66" i="161"/>
  <c r="AJ70" i="161"/>
  <c r="AD59" i="111"/>
  <c r="AJ59" i="161"/>
  <c r="A54" i="161"/>
  <c r="AL63" i="161"/>
  <c r="AK63" i="161"/>
  <c r="AK61" i="161"/>
  <c r="AL61" i="161"/>
  <c r="F84" i="111"/>
  <c r="AJ57" i="161"/>
  <c r="A43" i="161"/>
  <c r="V41" i="148"/>
  <c r="V40" i="148"/>
  <c r="X9" i="148"/>
  <c r="AL47" i="161"/>
  <c r="AK47" i="161"/>
  <c r="AD40" i="148"/>
  <c r="E43" i="161"/>
  <c r="J43" i="161" s="1"/>
  <c r="AJ65" i="161"/>
  <c r="AD45" i="111"/>
  <c r="AF45" i="111" s="1"/>
  <c r="AJ45" i="161"/>
  <c r="AK69" i="161"/>
  <c r="AL69" i="161"/>
  <c r="AL58" i="161"/>
  <c r="AK58" i="161"/>
  <c r="A51" i="161"/>
  <c r="AL55" i="161"/>
  <c r="AK55" i="161"/>
  <c r="AJ52" i="161"/>
  <c r="A60" i="161"/>
  <c r="A48" i="161"/>
  <c r="AL67" i="161"/>
  <c r="AJ49" i="161"/>
  <c r="A44" i="161"/>
  <c r="AJ50" i="161"/>
  <c r="I71" i="161"/>
  <c r="G7" i="119"/>
  <c r="CV37" i="158"/>
  <c r="CU37" i="158"/>
  <c r="CW37" i="158"/>
  <c r="CT37" i="158"/>
  <c r="ES37" i="158"/>
  <c r="I72" i="161"/>
  <c r="ES38" i="158"/>
  <c r="AE13" i="18"/>
  <c r="AU12" i="22" s="1"/>
  <c r="CJ39" i="158"/>
  <c r="ES29" i="158"/>
  <c r="CU29" i="158"/>
  <c r="CT29" i="158"/>
  <c r="CW29" i="158"/>
  <c r="CV29" i="158"/>
  <c r="CM39" i="158"/>
  <c r="CG39" i="158" s="1"/>
  <c r="AL9" i="77"/>
  <c r="AL101" i="77" s="1"/>
  <c r="CT101" i="77"/>
  <c r="CH101" i="77"/>
  <c r="BV101" i="77"/>
  <c r="BJ101" i="77"/>
  <c r="CL101" i="77"/>
  <c r="BZ101" i="77"/>
  <c r="BN101" i="77"/>
  <c r="BB101" i="77"/>
  <c r="CZ101" i="77"/>
  <c r="CK101" i="77"/>
  <c r="BW101" i="77"/>
  <c r="AU101" i="77"/>
  <c r="W101" i="77"/>
  <c r="K101" i="77"/>
  <c r="CY101" i="77"/>
  <c r="CJ101" i="77"/>
  <c r="BU101" i="77"/>
  <c r="AT101" i="77"/>
  <c r="V101" i="77"/>
  <c r="CW101" i="77"/>
  <c r="CI101" i="77"/>
  <c r="BT101" i="77"/>
  <c r="AS101" i="77"/>
  <c r="U101" i="77"/>
  <c r="CR101" i="77"/>
  <c r="CA101" i="77"/>
  <c r="BE101" i="77"/>
  <c r="CQ101" i="77"/>
  <c r="BY101" i="77"/>
  <c r="AN101" i="77"/>
  <c r="CP101" i="77"/>
  <c r="BX101" i="77"/>
  <c r="BC101" i="77"/>
  <c r="AM101" i="77"/>
  <c r="CO101" i="77"/>
  <c r="BS101" i="77"/>
  <c r="BA101" i="77"/>
  <c r="T101" i="77"/>
  <c r="CN101" i="77"/>
  <c r="BR101" i="77"/>
  <c r="AZ101" i="77"/>
  <c r="AK101" i="77"/>
  <c r="S101" i="77"/>
  <c r="CM101" i="77"/>
  <c r="BQ101" i="77"/>
  <c r="AY101" i="77"/>
  <c r="AJ101" i="77"/>
  <c r="C101" i="77"/>
  <c r="DC101" i="77"/>
  <c r="CG101" i="77"/>
  <c r="BP101" i="77"/>
  <c r="AX101" i="77"/>
  <c r="DB101" i="77"/>
  <c r="CF101" i="77"/>
  <c r="BO101" i="77"/>
  <c r="AW101" i="77"/>
  <c r="CE101" i="77"/>
  <c r="BM101" i="77"/>
  <c r="AV101" i="77"/>
  <c r="CV101" i="77"/>
  <c r="CD101" i="77"/>
  <c r="N101" i="77"/>
  <c r="CU101" i="77"/>
  <c r="CC101" i="77"/>
  <c r="BK101" i="77"/>
  <c r="L101" i="77"/>
  <c r="CS101" i="77"/>
  <c r="CB101" i="77"/>
  <c r="BI101" i="77"/>
  <c r="ES14" i="158"/>
  <c r="CW14" i="158"/>
  <c r="CV14" i="158"/>
  <c r="CU14" i="158"/>
  <c r="CT14" i="158"/>
  <c r="CT32" i="158"/>
  <c r="CW32" i="158"/>
  <c r="ES32" i="158"/>
  <c r="CV32" i="158"/>
  <c r="CU32" i="158"/>
  <c r="B8" i="119"/>
  <c r="B44" i="119" s="1"/>
  <c r="B79" i="119" s="1"/>
  <c r="B67" i="36"/>
  <c r="B12" i="36"/>
  <c r="BE11" i="36"/>
  <c r="CY11" i="36" s="1"/>
  <c r="CT13" i="158"/>
  <c r="CW13" i="158"/>
  <c r="ES13" i="158"/>
  <c r="CV13" i="158"/>
  <c r="CU13" i="158"/>
  <c r="CR39" i="158"/>
  <c r="B13" i="115"/>
  <c r="A43" i="92"/>
  <c r="A6" i="92" s="1"/>
  <c r="K45" i="111"/>
  <c r="B11" i="77"/>
  <c r="DC11" i="77" s="1"/>
  <c r="DO7" i="177" s="1"/>
  <c r="AV10" i="77"/>
  <c r="B102" i="77"/>
  <c r="B61" i="77"/>
  <c r="AN10" i="77"/>
  <c r="G14" i="123" s="1"/>
  <c r="AM10" i="77"/>
  <c r="S10" i="77"/>
  <c r="BD10" i="77"/>
  <c r="DG6" i="177" s="1"/>
  <c r="BA10" i="77"/>
  <c r="E8" i="119" s="1"/>
  <c r="I10" i="77"/>
  <c r="W10" i="77"/>
  <c r="C10" i="77"/>
  <c r="DW6" i="177" s="1"/>
  <c r="BB10" i="77"/>
  <c r="F8" i="119" s="1"/>
  <c r="CW10" i="77"/>
  <c r="K10" i="77" s="1"/>
  <c r="DS6" i="177" s="1"/>
  <c r="T10" i="77"/>
  <c r="U10" i="77"/>
  <c r="L10" i="77"/>
  <c r="AW10" i="77"/>
  <c r="N10" i="77"/>
  <c r="E14" i="123" s="1"/>
  <c r="BE10" i="77"/>
  <c r="DK6" i="177" s="1"/>
  <c r="V10" i="77"/>
  <c r="BF22" i="36"/>
  <c r="AS22" i="36"/>
  <c r="AR22" i="36" s="1"/>
  <c r="H22" i="36" s="1"/>
  <c r="K44" i="161"/>
  <c r="L45" i="161"/>
  <c r="AA44" i="161"/>
  <c r="CQ39" i="158"/>
  <c r="BZ39" i="158" s="1"/>
  <c r="BZ85" i="158"/>
  <c r="J44" i="111"/>
  <c r="U44" i="111"/>
  <c r="CP39" i="158"/>
  <c r="BY39" i="158" s="1"/>
  <c r="BY85" i="158"/>
  <c r="B13" i="22"/>
  <c r="AP12" i="22"/>
  <c r="CO12" i="22"/>
  <c r="CP12" i="22" s="1"/>
  <c r="CT30" i="158"/>
  <c r="CW30" i="158"/>
  <c r="ES30" i="158"/>
  <c r="CV30" i="158"/>
  <c r="CU30" i="158"/>
  <c r="CV22" i="158"/>
  <c r="CU22" i="158"/>
  <c r="CT22" i="158"/>
  <c r="CW22" i="158"/>
  <c r="ES22" i="158"/>
  <c r="CT20" i="158"/>
  <c r="ES20" i="158"/>
  <c r="CW20" i="158"/>
  <c r="CV20" i="158"/>
  <c r="CU20" i="158"/>
  <c r="CL39" i="158"/>
  <c r="CF39" i="158" s="1"/>
  <c r="CK39" i="158"/>
  <c r="CE39" i="158" s="1"/>
  <c r="B69" i="18"/>
  <c r="B14" i="18"/>
  <c r="GZ12" i="158"/>
  <c r="FC12" i="158"/>
  <c r="A7" i="168"/>
  <c r="M7" i="168" s="1"/>
  <c r="D12" i="136"/>
  <c r="A10" i="159"/>
  <c r="BD12" i="158"/>
  <c r="B89" i="158"/>
  <c r="B13" i="158"/>
  <c r="CT11" i="158"/>
  <c r="CW11" i="158"/>
  <c r="ES11" i="158"/>
  <c r="CV11" i="158"/>
  <c r="CU11" i="158"/>
  <c r="B58" i="115"/>
  <c r="O58" i="115" s="1"/>
  <c r="H12" i="115"/>
  <c r="CT15" i="158"/>
  <c r="ES15" i="158"/>
  <c r="CV15" i="158"/>
  <c r="CU15" i="158"/>
  <c r="CW15" i="158"/>
  <c r="CW27" i="158"/>
  <c r="ES27" i="158"/>
  <c r="CV27" i="158"/>
  <c r="CU27" i="158"/>
  <c r="CT27" i="158"/>
  <c r="EF88" i="158"/>
  <c r="DT88" i="158"/>
  <c r="CX88" i="158"/>
  <c r="AA88" i="158"/>
  <c r="C88" i="158"/>
  <c r="EK88" i="158"/>
  <c r="DY88" i="158"/>
  <c r="DM88" i="158"/>
  <c r="BF88" i="158"/>
  <c r="EL88" i="158"/>
  <c r="DW88" i="158"/>
  <c r="CY88" i="158"/>
  <c r="BK88" i="158"/>
  <c r="AU88" i="158"/>
  <c r="EJ88" i="158"/>
  <c r="DV88" i="158"/>
  <c r="BJ88" i="158"/>
  <c r="AT88" i="158"/>
  <c r="EI88" i="158"/>
  <c r="DU88" i="158"/>
  <c r="BI88" i="158"/>
  <c r="EH88" i="158"/>
  <c r="DS88" i="158"/>
  <c r="BH88" i="158"/>
  <c r="N88" i="158"/>
  <c r="EG88" i="158"/>
  <c r="DR88" i="158"/>
  <c r="BZ88" i="158"/>
  <c r="BG88" i="158"/>
  <c r="EE88" i="158"/>
  <c r="DQ88" i="158"/>
  <c r="BY88" i="158"/>
  <c r="BE88" i="158"/>
  <c r="Z88" i="158"/>
  <c r="L88" i="158"/>
  <c r="ED88" i="158"/>
  <c r="DP88" i="158"/>
  <c r="BD88" i="158"/>
  <c r="Y88" i="158"/>
  <c r="K88" i="158"/>
  <c r="EC88" i="158"/>
  <c r="DO88" i="158"/>
  <c r="X88" i="158"/>
  <c r="EB88" i="158"/>
  <c r="DN88" i="158"/>
  <c r="W88" i="158"/>
  <c r="EA88" i="158"/>
  <c r="DL88" i="158"/>
  <c r="DZ88" i="158"/>
  <c r="DA88" i="158"/>
  <c r="AX88" i="158"/>
  <c r="DX88" i="158"/>
  <c r="CZ88" i="158"/>
  <c r="BL88" i="158"/>
  <c r="CW18" i="158"/>
  <c r="CV18" i="158"/>
  <c r="CT18" i="158"/>
  <c r="ES18" i="158"/>
  <c r="CU18" i="158"/>
  <c r="ES16" i="158"/>
  <c r="CW16" i="158"/>
  <c r="CU16" i="158"/>
  <c r="CV16" i="158"/>
  <c r="CT16" i="158"/>
  <c r="J12" i="123"/>
  <c r="CC88" i="158"/>
  <c r="CW28" i="158"/>
  <c r="ES28" i="158"/>
  <c r="CV28" i="158"/>
  <c r="CU28" i="158"/>
  <c r="CT28" i="158"/>
  <c r="CT10" i="158"/>
  <c r="CW10" i="158"/>
  <c r="ES10" i="158"/>
  <c r="CV10" i="158"/>
  <c r="CU10" i="158"/>
  <c r="AO9" i="77"/>
  <c r="AO101" i="77" s="1"/>
  <c r="F13" i="123"/>
  <c r="K13" i="123" s="1"/>
  <c r="ES23" i="158"/>
  <c r="CW23" i="158"/>
  <c r="CV23" i="158"/>
  <c r="CU23" i="158"/>
  <c r="CT23" i="158"/>
  <c r="CV17" i="158"/>
  <c r="CU17" i="158"/>
  <c r="CT17" i="158"/>
  <c r="CW17" i="158"/>
  <c r="ES17" i="158"/>
  <c r="CT31" i="158"/>
  <c r="CW31" i="158"/>
  <c r="ES31" i="158"/>
  <c r="CV31" i="158"/>
  <c r="CU31" i="158"/>
  <c r="ES26" i="158"/>
  <c r="CW26" i="158"/>
  <c r="CV26" i="158"/>
  <c r="CU26" i="158"/>
  <c r="CT26" i="158"/>
  <c r="D57" i="115"/>
  <c r="AQ8" i="77"/>
  <c r="CX8" i="77"/>
  <c r="J4" i="177"/>
  <c r="P57" i="115"/>
  <c r="Q57" i="115" s="1"/>
  <c r="ES19" i="158"/>
  <c r="CW19" i="158"/>
  <c r="CU19" i="158"/>
  <c r="CV19" i="158"/>
  <c r="CT19" i="158"/>
  <c r="CV35" i="158"/>
  <c r="ES35" i="158"/>
  <c r="CW35" i="158"/>
  <c r="CU35" i="158"/>
  <c r="CT35" i="158"/>
  <c r="AO100" i="77"/>
  <c r="H26" i="158"/>
  <c r="CH41" i="36"/>
  <c r="BO9" i="36"/>
  <c r="CK41" i="36"/>
  <c r="BR9" i="36"/>
  <c r="CI41" i="36"/>
  <c r="BP9" i="36"/>
  <c r="ID11" i="158"/>
  <c r="HR11" i="158"/>
  <c r="HP11" i="158"/>
  <c r="IE11" i="158"/>
  <c r="HO11" i="158"/>
  <c r="HJ11" i="158"/>
  <c r="HG11" i="158"/>
  <c r="GG11" i="158"/>
  <c r="HH11" i="158"/>
  <c r="HS11" i="158"/>
  <c r="HQ11" i="158"/>
  <c r="HA11" i="158"/>
  <c r="FJ11" i="158"/>
  <c r="FR11" i="158"/>
  <c r="FV11" i="158"/>
  <c r="FM11" i="158"/>
  <c r="FU11" i="158"/>
  <c r="GH11" i="158"/>
  <c r="FD11" i="158"/>
  <c r="FS11" i="158"/>
  <c r="FT11" i="158"/>
  <c r="GA11" i="158"/>
  <c r="FK11" i="158"/>
  <c r="GJ11" i="158"/>
  <c r="GU11" i="158"/>
  <c r="FA11" i="158"/>
  <c r="CU34" i="158"/>
  <c r="CW34" i="158"/>
  <c r="ES34" i="158"/>
  <c r="CV34" i="158"/>
  <c r="CT34" i="158"/>
  <c r="BX85" i="158"/>
  <c r="CW9" i="158"/>
  <c r="ES9" i="158"/>
  <c r="CV9" i="158"/>
  <c r="CU9" i="158"/>
  <c r="CT9" i="158"/>
  <c r="ES24" i="158"/>
  <c r="CW24" i="158"/>
  <c r="CV24" i="158"/>
  <c r="CU24" i="158"/>
  <c r="CT24" i="158"/>
  <c r="ES25" i="158"/>
  <c r="CW25" i="158"/>
  <c r="CV25" i="158"/>
  <c r="CU25" i="158"/>
  <c r="CT25" i="158"/>
  <c r="ES21" i="158"/>
  <c r="CV21" i="158"/>
  <c r="CU21" i="158"/>
  <c r="CT21" i="158"/>
  <c r="CW21" i="158"/>
  <c r="CV33" i="158"/>
  <c r="ES33" i="158"/>
  <c r="CW33" i="158"/>
  <c r="CU33" i="158"/>
  <c r="CT33" i="158"/>
  <c r="CW12" i="158"/>
  <c r="ES12" i="158"/>
  <c r="CV12" i="158"/>
  <c r="CU12" i="158"/>
  <c r="CT12" i="158"/>
  <c r="CJ41" i="36"/>
  <c r="BQ9" i="36"/>
  <c r="AH12" i="18"/>
  <c r="G12" i="18"/>
  <c r="AI12" i="18" s="1"/>
  <c r="AK12" i="18"/>
  <c r="U12" i="18"/>
  <c r="CA86" i="158"/>
  <c r="C42" i="92"/>
  <c r="C60" i="77"/>
  <c r="F69" i="148"/>
  <c r="A32" i="148"/>
  <c r="EQ39" i="158"/>
  <c r="ES8" i="158"/>
  <c r="BX86" i="158"/>
  <c r="F263" i="100"/>
  <c r="G263" i="100" s="1"/>
  <c r="K278" i="100"/>
  <c r="L278" i="100" s="1"/>
  <c r="D236" i="100"/>
  <c r="F236" i="100" s="1"/>
  <c r="G236" i="100" s="1"/>
  <c r="V272" i="100"/>
  <c r="AI269" i="100"/>
  <c r="AI272" i="100" s="1"/>
  <c r="D233" i="100"/>
  <c r="L269" i="100"/>
  <c r="D227" i="100"/>
  <c r="F227" i="100" s="1"/>
  <c r="G227" i="100" s="1"/>
  <c r="F254" i="100"/>
  <c r="G254" i="100" s="1"/>
  <c r="V169" i="100"/>
  <c r="F266" i="100"/>
  <c r="G266" i="100" s="1"/>
  <c r="K255" i="100"/>
  <c r="D239" i="100"/>
  <c r="F272" i="100"/>
  <c r="G272" i="100" s="1"/>
  <c r="D245" i="100"/>
  <c r="F245" i="100" s="1"/>
  <c r="G245" i="100" s="1"/>
  <c r="F265" i="100"/>
  <c r="G265" i="100" s="1"/>
  <c r="K254" i="100"/>
  <c r="L254" i="100" s="1"/>
  <c r="D238" i="100"/>
  <c r="K252" i="100"/>
  <c r="L252" i="100" s="1"/>
  <c r="F255" i="100"/>
  <c r="G255" i="100" s="1"/>
  <c r="D228" i="100"/>
  <c r="F228" i="100" s="1"/>
  <c r="G228" i="100" s="1"/>
  <c r="F270" i="100"/>
  <c r="G270" i="100" s="1"/>
  <c r="U254" i="100"/>
  <c r="V254" i="100" s="1"/>
  <c r="D243" i="100"/>
  <c r="F271" i="100"/>
  <c r="G271" i="100" s="1"/>
  <c r="D244" i="100"/>
  <c r="U255" i="100"/>
  <c r="F273" i="100"/>
  <c r="G273" i="100" s="1"/>
  <c r="D246" i="100"/>
  <c r="F246" i="100" s="1"/>
  <c r="G246" i="100" s="1"/>
  <c r="F259" i="100"/>
  <c r="G259" i="100" s="1"/>
  <c r="K253" i="100"/>
  <c r="U253" i="100"/>
  <c r="V253" i="100" s="1"/>
  <c r="D232" i="100"/>
  <c r="U252" i="100"/>
  <c r="V252" i="100" s="1"/>
  <c r="D229" i="100"/>
  <c r="F229" i="100" s="1"/>
  <c r="G229" i="100" s="1"/>
  <c r="F256" i="100"/>
  <c r="G256" i="100" s="1"/>
  <c r="L185" i="100"/>
  <c r="L182" i="100"/>
  <c r="J185" i="100" s="1"/>
  <c r="F267" i="100"/>
  <c r="G267" i="100" s="1"/>
  <c r="D240" i="100"/>
  <c r="F240" i="100" s="1"/>
  <c r="G240" i="100" s="1"/>
  <c r="D253" i="100"/>
  <c r="F166" i="100"/>
  <c r="G166" i="100" s="1"/>
  <c r="D241" i="100"/>
  <c r="L169" i="100"/>
  <c r="AL13" i="18"/>
  <c r="S13" i="18"/>
  <c r="AA13" i="18"/>
  <c r="AC13" i="18"/>
  <c r="R13" i="18"/>
  <c r="AF13" i="18"/>
  <c r="E13" i="18"/>
  <c r="C13" i="18"/>
  <c r="T13" i="18"/>
  <c r="AD13" i="18"/>
  <c r="V13" i="18"/>
  <c r="F13" i="18"/>
  <c r="D13" i="18"/>
  <c r="N74" i="111" l="1"/>
  <c r="N75" i="111" s="1"/>
  <c r="P65" i="111"/>
  <c r="AF69" i="111"/>
  <c r="AE69" i="111"/>
  <c r="P12" i="18"/>
  <c r="AD58" i="111"/>
  <c r="F85" i="111"/>
  <c r="C85" i="111"/>
  <c r="AF67" i="111"/>
  <c r="AE67" i="111"/>
  <c r="AH67" i="111" s="1"/>
  <c r="DJ33" i="36" s="1"/>
  <c r="F6" i="177"/>
  <c r="CH6" i="177" s="1"/>
  <c r="DG10" i="77"/>
  <c r="J36" i="36"/>
  <c r="I73" i="161"/>
  <c r="F75" i="161"/>
  <c r="CC19" i="158"/>
  <c r="H19" i="158" s="1"/>
  <c r="J14" i="36"/>
  <c r="BD101" i="77"/>
  <c r="DG5" i="177"/>
  <c r="CO39" i="158"/>
  <c r="BF36" i="36"/>
  <c r="BV44" i="36" s="1"/>
  <c r="CC36" i="158"/>
  <c r="H36" i="158" s="1"/>
  <c r="AR31" i="36"/>
  <c r="H31" i="36" s="1"/>
  <c r="J31" i="36" s="1"/>
  <c r="BF15" i="36"/>
  <c r="BF31" i="36"/>
  <c r="CC37" i="158"/>
  <c r="H37" i="158" s="1"/>
  <c r="B32" i="177"/>
  <c r="CB31" i="177"/>
  <c r="CF30" i="177"/>
  <c r="CJ30" i="177" s="1"/>
  <c r="CN30" i="177" s="1"/>
  <c r="CR30" i="177" s="1"/>
  <c r="CW30" i="177"/>
  <c r="DA30" i="177" s="1"/>
  <c r="DE30" i="177" s="1"/>
  <c r="DI30" i="177" s="1"/>
  <c r="DM30" i="177" s="1"/>
  <c r="DQ30" i="177" s="1"/>
  <c r="DU30" i="177" s="1"/>
  <c r="AG70" i="111"/>
  <c r="AI70" i="111" s="1"/>
  <c r="Z34" i="150"/>
  <c r="AA34" i="150" s="1"/>
  <c r="AB34" i="150" s="1"/>
  <c r="A68" i="111"/>
  <c r="AD68" i="111" s="1"/>
  <c r="D63" i="111"/>
  <c r="F63" i="111" s="1"/>
  <c r="H63" i="111" s="1"/>
  <c r="G101" i="111" s="1"/>
  <c r="BF24" i="36"/>
  <c r="AR24" i="36"/>
  <c r="H24" i="36" s="1"/>
  <c r="J24" i="36" s="1"/>
  <c r="F35" i="36"/>
  <c r="AP35" i="36" s="1"/>
  <c r="AE35" i="150" s="1"/>
  <c r="AF35" i="150" s="1"/>
  <c r="F32" i="36"/>
  <c r="AP32" i="36" s="1"/>
  <c r="AE32" i="150" s="1"/>
  <c r="AF32" i="150" s="1"/>
  <c r="G59" i="111"/>
  <c r="F31" i="36"/>
  <c r="AP31" i="36" s="1"/>
  <c r="AE31" i="150" s="1"/>
  <c r="AF31" i="150" s="1"/>
  <c r="F28" i="36"/>
  <c r="AP28" i="36" s="1"/>
  <c r="AE28" i="150" s="1"/>
  <c r="AF28" i="150" s="1"/>
  <c r="G70" i="111"/>
  <c r="F30" i="36"/>
  <c r="AP30" i="36" s="1"/>
  <c r="AE30" i="150" s="1"/>
  <c r="AF30" i="150" s="1"/>
  <c r="F29" i="36"/>
  <c r="AP29" i="36" s="1"/>
  <c r="AE29" i="150" s="1"/>
  <c r="AF29" i="150" s="1"/>
  <c r="G58" i="111"/>
  <c r="G57" i="111"/>
  <c r="G67" i="111"/>
  <c r="O12" i="18"/>
  <c r="N13" i="18"/>
  <c r="AN13" i="18"/>
  <c r="Q12" i="22"/>
  <c r="T69" i="18"/>
  <c r="R69" i="18"/>
  <c r="R12" i="22"/>
  <c r="T12" i="22"/>
  <c r="AJ13" i="18"/>
  <c r="BV13" i="18" s="1"/>
  <c r="AB69" i="18"/>
  <c r="AB13" i="18"/>
  <c r="P12" i="22"/>
  <c r="K12" i="22"/>
  <c r="AV12" i="22"/>
  <c r="I12" i="22"/>
  <c r="C69" i="18"/>
  <c r="AG69" i="18" s="1"/>
  <c r="C12" i="22"/>
  <c r="CM12" i="22"/>
  <c r="H12" i="22" s="1"/>
  <c r="H69" i="18"/>
  <c r="Q11" i="18"/>
  <c r="Q12" i="18"/>
  <c r="Y12" i="18"/>
  <c r="S11" i="22"/>
  <c r="AR15" i="36"/>
  <c r="H15" i="36" s="1"/>
  <c r="BF18" i="36"/>
  <c r="AS18" i="36"/>
  <c r="AR18" i="36" s="1"/>
  <c r="H18" i="36" s="1"/>
  <c r="J18" i="36" s="1"/>
  <c r="AR17" i="36"/>
  <c r="H17" i="36" s="1"/>
  <c r="AD55" i="111"/>
  <c r="C82" i="111"/>
  <c r="AF47" i="111"/>
  <c r="AE47" i="111"/>
  <c r="X22" i="150"/>
  <c r="Z22" i="150" s="1"/>
  <c r="AA22" i="150" s="1"/>
  <c r="AB22" i="150" s="1"/>
  <c r="X18" i="150"/>
  <c r="Z18" i="150" s="1"/>
  <c r="AA18" i="150" s="1"/>
  <c r="AB18" i="150" s="1"/>
  <c r="A52" i="111"/>
  <c r="X14" i="150"/>
  <c r="Z14" i="150" s="1"/>
  <c r="AA14" i="150" s="1"/>
  <c r="AB14" i="150" s="1"/>
  <c r="A48" i="111"/>
  <c r="AD48" i="111" s="1"/>
  <c r="X16" i="150"/>
  <c r="Z16" i="150" s="1"/>
  <c r="AA16" i="150" s="1"/>
  <c r="AB16" i="150" s="1"/>
  <c r="A50" i="111"/>
  <c r="AD50" i="111" s="1"/>
  <c r="X20" i="150"/>
  <c r="Z20" i="150" s="1"/>
  <c r="AA20" i="150" s="1"/>
  <c r="AB20" i="150" s="1"/>
  <c r="A54" i="111"/>
  <c r="X17" i="150"/>
  <c r="Z17" i="150" s="1"/>
  <c r="AA17" i="150" s="1"/>
  <c r="AB17" i="150" s="1"/>
  <c r="A51" i="111"/>
  <c r="AD51" i="111" s="1"/>
  <c r="W11" i="18"/>
  <c r="Z11" i="18"/>
  <c r="S69" i="18"/>
  <c r="K69" i="18"/>
  <c r="BF17" i="36"/>
  <c r="AP11" i="36"/>
  <c r="AE11" i="150" s="1"/>
  <c r="AF11" i="150" s="1"/>
  <c r="J35" i="36"/>
  <c r="AP21" i="36"/>
  <c r="AE21" i="150" s="1"/>
  <c r="AF21" i="150" s="1"/>
  <c r="X10" i="150"/>
  <c r="Z10" i="150" s="1"/>
  <c r="AA10" i="150" s="1"/>
  <c r="AB10" i="150" s="1"/>
  <c r="A44" i="111"/>
  <c r="AD44" i="111" s="1"/>
  <c r="X12" i="150"/>
  <c r="Z12" i="150" s="1"/>
  <c r="AA12" i="150" s="1"/>
  <c r="AB12" i="150" s="1"/>
  <c r="A46" i="111"/>
  <c r="AD46" i="111" s="1"/>
  <c r="J105" i="147"/>
  <c r="I147" i="147"/>
  <c r="K4" i="147"/>
  <c r="J58" i="147"/>
  <c r="J63" i="147"/>
  <c r="D234" i="100"/>
  <c r="F69" i="18"/>
  <c r="U13" i="18"/>
  <c r="S12" i="22" s="1"/>
  <c r="J73" i="161"/>
  <c r="O73" i="161" s="1"/>
  <c r="CA39" i="158"/>
  <c r="I39" i="158" s="1"/>
  <c r="BX39" i="158"/>
  <c r="CC39" i="158"/>
  <c r="H39" i="158" s="1"/>
  <c r="AJ68" i="161"/>
  <c r="I54" i="111"/>
  <c r="F20" i="36" s="1"/>
  <c r="AP20" i="36" s="1"/>
  <c r="AE20" i="150" s="1"/>
  <c r="I68" i="111"/>
  <c r="I46" i="111"/>
  <c r="F12" i="36" s="1"/>
  <c r="I52" i="111"/>
  <c r="F18" i="36" s="1"/>
  <c r="AP18" i="36" s="1"/>
  <c r="AE18" i="150" s="1"/>
  <c r="AF18" i="150" s="1"/>
  <c r="I44" i="111"/>
  <c r="F10" i="36" s="1"/>
  <c r="AP10" i="36" s="1"/>
  <c r="AE10" i="150" s="1"/>
  <c r="A74" i="161"/>
  <c r="I56" i="111"/>
  <c r="G56" i="111" s="1"/>
  <c r="AY26" i="36"/>
  <c r="V26" i="150"/>
  <c r="AC26" i="150"/>
  <c r="AD26" i="150" s="1"/>
  <c r="E60" i="111" s="1"/>
  <c r="I60" i="111" s="1"/>
  <c r="I50" i="111"/>
  <c r="F16" i="36" s="1"/>
  <c r="AP16" i="36" s="1"/>
  <c r="AE16" i="150" s="1"/>
  <c r="AJ56" i="161"/>
  <c r="I51" i="111"/>
  <c r="F17" i="36" s="1"/>
  <c r="AP17" i="36" s="1"/>
  <c r="AE17" i="150" s="1"/>
  <c r="G64" i="111"/>
  <c r="J23" i="36"/>
  <c r="G69" i="111"/>
  <c r="G55" i="111"/>
  <c r="F36" i="36"/>
  <c r="AP36" i="36" s="1"/>
  <c r="AE36" i="150" s="1"/>
  <c r="AF36" i="150" s="1"/>
  <c r="G45" i="111"/>
  <c r="J19" i="36"/>
  <c r="G66" i="111"/>
  <c r="I11" i="158"/>
  <c r="I88" i="158" s="1"/>
  <c r="F19" i="36"/>
  <c r="AP19" i="36" s="1"/>
  <c r="AE19" i="150" s="1"/>
  <c r="F25" i="36"/>
  <c r="AP25" i="36" s="1"/>
  <c r="AE25" i="150" s="1"/>
  <c r="AF25" i="150" s="1"/>
  <c r="J30" i="36"/>
  <c r="F33" i="36"/>
  <c r="AP33" i="36" s="1"/>
  <c r="AE33" i="150" s="1"/>
  <c r="AF33" i="150" s="1"/>
  <c r="F13" i="36"/>
  <c r="AP13" i="36" s="1"/>
  <c r="AE13" i="150" s="1"/>
  <c r="J21" i="36"/>
  <c r="G49" i="111"/>
  <c r="J29" i="36"/>
  <c r="J12" i="36"/>
  <c r="H90" i="36"/>
  <c r="G48" i="111"/>
  <c r="G62" i="111"/>
  <c r="J32" i="36"/>
  <c r="J11" i="36"/>
  <c r="J28" i="36"/>
  <c r="O72" i="161"/>
  <c r="I10" i="158"/>
  <c r="I87" i="158" s="1"/>
  <c r="O71" i="161"/>
  <c r="AP14" i="36"/>
  <c r="J16" i="36"/>
  <c r="J15" i="36"/>
  <c r="H10" i="77"/>
  <c r="H102" i="77" s="1"/>
  <c r="J26" i="36"/>
  <c r="H10" i="36"/>
  <c r="B44" i="111" s="1"/>
  <c r="BL9" i="77"/>
  <c r="BL101" i="77" s="1"/>
  <c r="J25" i="36"/>
  <c r="J36" i="158"/>
  <c r="L32" i="177" s="1"/>
  <c r="G72" i="111"/>
  <c r="F38" i="36"/>
  <c r="J13" i="36"/>
  <c r="F24" i="36"/>
  <c r="AP24" i="36" s="1"/>
  <c r="AE24" i="150" s="1"/>
  <c r="AF24" i="150" s="1"/>
  <c r="J27" i="36"/>
  <c r="D19" i="126"/>
  <c r="H38" i="36"/>
  <c r="F37" i="36"/>
  <c r="G71" i="111"/>
  <c r="G65" i="111"/>
  <c r="Q65" i="111" s="1"/>
  <c r="AP15" i="36"/>
  <c r="AE15" i="150" s="1"/>
  <c r="AF15" i="150" s="1"/>
  <c r="J38" i="158"/>
  <c r="L34" i="177" s="1"/>
  <c r="F39" i="36"/>
  <c r="J37" i="158"/>
  <c r="L33" i="177" s="1"/>
  <c r="H37" i="36"/>
  <c r="F23" i="36"/>
  <c r="AP23" i="36" s="1"/>
  <c r="AE23" i="150" s="1"/>
  <c r="AF23" i="150" s="1"/>
  <c r="BL10" i="77"/>
  <c r="BL102" i="77" s="1"/>
  <c r="G63" i="111"/>
  <c r="H39" i="36"/>
  <c r="E74" i="161"/>
  <c r="I86" i="158"/>
  <c r="AE45" i="111"/>
  <c r="AG45" i="111" s="1"/>
  <c r="AD57" i="111"/>
  <c r="AF57" i="111" s="1"/>
  <c r="C84" i="111"/>
  <c r="AJ63" i="111"/>
  <c r="AK68" i="161"/>
  <c r="AL68" i="161"/>
  <c r="AL59" i="161"/>
  <c r="AK59" i="161"/>
  <c r="AE49" i="111"/>
  <c r="AF49" i="111"/>
  <c r="AK52" i="161"/>
  <c r="AL52" i="161"/>
  <c r="AK57" i="161"/>
  <c r="AL57" i="161"/>
  <c r="AJ54" i="161"/>
  <c r="AK53" i="161"/>
  <c r="AL53" i="161"/>
  <c r="AN67" i="161"/>
  <c r="GI32" i="158" s="1"/>
  <c r="AM67" i="161"/>
  <c r="AN47" i="161"/>
  <c r="GI12" i="158" s="1"/>
  <c r="AM47" i="161"/>
  <c r="C80" i="111"/>
  <c r="AD53" i="111"/>
  <c r="AF64" i="111"/>
  <c r="AE64" i="111"/>
  <c r="AN55" i="161"/>
  <c r="GI20" i="158" s="1"/>
  <c r="AM55" i="161"/>
  <c r="X41" i="148"/>
  <c r="Z9" i="148"/>
  <c r="AA9" i="148" s="1"/>
  <c r="AB9" i="148" s="1"/>
  <c r="AL70" i="161"/>
  <c r="AK70" i="161"/>
  <c r="AL62" i="161"/>
  <c r="AK62" i="161"/>
  <c r="G72" i="161"/>
  <c r="F37" i="158"/>
  <c r="BS37" i="158" s="1"/>
  <c r="AJ51" i="161"/>
  <c r="AK64" i="161"/>
  <c r="AL64" i="161"/>
  <c r="AL50" i="161"/>
  <c r="AK50" i="161"/>
  <c r="AN58" i="161"/>
  <c r="GI23" i="158" s="1"/>
  <c r="AM58" i="161"/>
  <c r="AK45" i="161"/>
  <c r="AL45" i="161"/>
  <c r="AE59" i="111"/>
  <c r="AF59" i="111"/>
  <c r="AJ48" i="161"/>
  <c r="AK65" i="161"/>
  <c r="AL65" i="161"/>
  <c r="AN63" i="161"/>
  <c r="GI28" i="158" s="1"/>
  <c r="AM63" i="161"/>
  <c r="AF62" i="111"/>
  <c r="AE62" i="111"/>
  <c r="AN61" i="161"/>
  <c r="GI26" i="158" s="1"/>
  <c r="AM61" i="161"/>
  <c r="G73" i="161"/>
  <c r="AJ44" i="161"/>
  <c r="AF65" i="111"/>
  <c r="AE65" i="111"/>
  <c r="AL66" i="161"/>
  <c r="AK66" i="161"/>
  <c r="AL46" i="161"/>
  <c r="AK46" i="161"/>
  <c r="G71" i="161"/>
  <c r="F36" i="158"/>
  <c r="BS36" i="158" s="1"/>
  <c r="AK49" i="161"/>
  <c r="AL49" i="161"/>
  <c r="AJ60" i="161"/>
  <c r="AK56" i="161"/>
  <c r="AL56" i="161"/>
  <c r="AN69" i="161"/>
  <c r="GI34" i="158" s="1"/>
  <c r="AM69" i="161"/>
  <c r="AD43" i="111"/>
  <c r="AJ43" i="161"/>
  <c r="AE66" i="111"/>
  <c r="AF66" i="111"/>
  <c r="G8" i="119"/>
  <c r="AF58" i="111"/>
  <c r="AE58" i="111"/>
  <c r="CT39" i="158"/>
  <c r="BB12" i="22"/>
  <c r="CV39" i="158"/>
  <c r="CW39" i="158"/>
  <c r="BG10" i="77"/>
  <c r="BG102" i="77" s="1"/>
  <c r="F10" i="77"/>
  <c r="F102" i="77" s="1"/>
  <c r="CU39" i="158"/>
  <c r="AE14" i="18"/>
  <c r="AX69" i="18"/>
  <c r="J14" i="158"/>
  <c r="J25" i="158"/>
  <c r="G50" i="161"/>
  <c r="F15" i="158"/>
  <c r="BS15" i="158" s="1"/>
  <c r="J29" i="158"/>
  <c r="H9" i="158"/>
  <c r="BB9" i="22"/>
  <c r="CC86" i="158"/>
  <c r="CS39" i="158"/>
  <c r="CB39" i="158" s="1"/>
  <c r="CB40" i="158" s="1"/>
  <c r="CN39" i="158"/>
  <c r="F70" i="148"/>
  <c r="A33" i="148"/>
  <c r="J21" i="158"/>
  <c r="G44" i="161"/>
  <c r="F9" i="158"/>
  <c r="BS9" i="158" s="1"/>
  <c r="J24" i="158"/>
  <c r="G69" i="161"/>
  <c r="F34" i="158"/>
  <c r="BS34" i="158" s="1"/>
  <c r="J12" i="158"/>
  <c r="G64" i="161"/>
  <c r="F29" i="158"/>
  <c r="BS29" i="158" s="1"/>
  <c r="G48" i="161"/>
  <c r="F13" i="158"/>
  <c r="BS13" i="158" s="1"/>
  <c r="BM9" i="36"/>
  <c r="BQ41" i="36"/>
  <c r="G63" i="161"/>
  <c r="F28" i="158"/>
  <c r="BS28" i="158" s="1"/>
  <c r="H8" i="158"/>
  <c r="CC85" i="158"/>
  <c r="BB8" i="22"/>
  <c r="BP41" i="36"/>
  <c r="BL9" i="36"/>
  <c r="BR41" i="36"/>
  <c r="BN9" i="36"/>
  <c r="G67" i="161"/>
  <c r="F32" i="158"/>
  <c r="BS32" i="158" s="1"/>
  <c r="J31" i="158"/>
  <c r="L27" i="177" s="1"/>
  <c r="BO41" i="36"/>
  <c r="BK9" i="36"/>
  <c r="H10" i="158"/>
  <c r="BB10" i="22"/>
  <c r="CC87" i="158"/>
  <c r="J28" i="158"/>
  <c r="J34" i="158"/>
  <c r="L30" i="177" s="1"/>
  <c r="G45" i="161"/>
  <c r="F10" i="158"/>
  <c r="J26" i="158"/>
  <c r="G47" i="161"/>
  <c r="F12" i="158"/>
  <c r="F89" i="158" s="1"/>
  <c r="J33" i="158"/>
  <c r="L29" i="177" s="1"/>
  <c r="J23" i="158"/>
  <c r="J16" i="158"/>
  <c r="T57" i="115"/>
  <c r="CX9" i="77"/>
  <c r="CX100" i="77"/>
  <c r="AM9" i="36"/>
  <c r="AQ100" i="77"/>
  <c r="G61" i="161"/>
  <c r="F26" i="158"/>
  <c r="BS26" i="158" s="1"/>
  <c r="J15" i="158"/>
  <c r="AQ9" i="77"/>
  <c r="P58" i="115"/>
  <c r="Q58" i="115" s="1"/>
  <c r="J5" i="177"/>
  <c r="D58" i="115"/>
  <c r="G54" i="161"/>
  <c r="F19" i="158"/>
  <c r="BS19" i="158" s="1"/>
  <c r="J19" i="158"/>
  <c r="H11" i="158"/>
  <c r="BB11" i="22"/>
  <c r="J18" i="158"/>
  <c r="J13" i="123"/>
  <c r="J27" i="158"/>
  <c r="G46" i="161"/>
  <c r="F11" i="158"/>
  <c r="F88" i="158" s="1"/>
  <c r="J35" i="158"/>
  <c r="L31" i="177" s="1"/>
  <c r="J20" i="158"/>
  <c r="G70" i="161"/>
  <c r="F35" i="158"/>
  <c r="BS35" i="158" s="1"/>
  <c r="G59" i="161"/>
  <c r="F24" i="158"/>
  <c r="BS24" i="158" s="1"/>
  <c r="J17" i="158"/>
  <c r="FC13" i="158"/>
  <c r="GZ13" i="158"/>
  <c r="A8" i="168"/>
  <c r="M8" i="168" s="1"/>
  <c r="D13" i="136"/>
  <c r="A11" i="159"/>
  <c r="B90" i="158"/>
  <c r="B14" i="158"/>
  <c r="BD13" i="158"/>
  <c r="EJ89" i="158"/>
  <c r="DX89" i="158"/>
  <c r="DL89" i="158"/>
  <c r="BE89" i="158"/>
  <c r="EC89" i="158"/>
  <c r="DQ89" i="158"/>
  <c r="CA89" i="158"/>
  <c r="BJ89" i="158"/>
  <c r="X89" i="158"/>
  <c r="L89" i="158"/>
  <c r="EH89" i="158"/>
  <c r="DT89" i="158"/>
  <c r="CB89" i="158"/>
  <c r="BH89" i="158"/>
  <c r="EG89" i="158"/>
  <c r="DS89" i="158"/>
  <c r="BZ89" i="158"/>
  <c r="BG89" i="158"/>
  <c r="N89" i="158"/>
  <c r="EF89" i="158"/>
  <c r="DR89" i="158"/>
  <c r="BY89" i="158"/>
  <c r="BF89" i="158"/>
  <c r="AA89" i="158"/>
  <c r="EE89" i="158"/>
  <c r="DP89" i="158"/>
  <c r="BX89" i="158"/>
  <c r="BD89" i="158"/>
  <c r="Z89" i="158"/>
  <c r="K89" i="158"/>
  <c r="ED89" i="158"/>
  <c r="DO89" i="158"/>
  <c r="Y89" i="158"/>
  <c r="EB89" i="158"/>
  <c r="DN89" i="158"/>
  <c r="W89" i="158"/>
  <c r="I89" i="158"/>
  <c r="EA89" i="158"/>
  <c r="DM89" i="158"/>
  <c r="H89" i="158"/>
  <c r="DZ89" i="158"/>
  <c r="DA89" i="158"/>
  <c r="DY89" i="158"/>
  <c r="CZ89" i="158"/>
  <c r="AX89" i="158"/>
  <c r="EL89" i="158"/>
  <c r="DW89" i="158"/>
  <c r="CY89" i="158"/>
  <c r="BL89" i="158"/>
  <c r="AU89" i="158"/>
  <c r="EK89" i="158"/>
  <c r="DV89" i="158"/>
  <c r="CX89" i="158"/>
  <c r="BK89" i="158"/>
  <c r="AT89" i="158"/>
  <c r="C89" i="158"/>
  <c r="DU89" i="158"/>
  <c r="CC89" i="158"/>
  <c r="BI89" i="158"/>
  <c r="EI89" i="158"/>
  <c r="HJ12" i="158"/>
  <c r="HO12" i="158"/>
  <c r="FD12" i="158"/>
  <c r="HS12" i="158"/>
  <c r="HA12" i="158"/>
  <c r="FV12" i="158"/>
  <c r="FU12" i="158"/>
  <c r="FR12" i="158"/>
  <c r="IE12" i="158"/>
  <c r="FJ12" i="158"/>
  <c r="ID12" i="158"/>
  <c r="FH12" i="158"/>
  <c r="HQ12" i="158"/>
  <c r="GH12" i="158"/>
  <c r="HG12" i="158"/>
  <c r="HR12" i="158"/>
  <c r="HP12" i="158"/>
  <c r="FS12" i="158"/>
  <c r="FM12" i="158"/>
  <c r="FK12" i="158"/>
  <c r="HH12" i="158"/>
  <c r="GA12" i="158"/>
  <c r="GG12" i="158"/>
  <c r="FT12" i="158"/>
  <c r="FA12" i="158"/>
  <c r="GJ12" i="158"/>
  <c r="GU12" i="158"/>
  <c r="G58" i="161"/>
  <c r="F23" i="158"/>
  <c r="BS23" i="158" s="1"/>
  <c r="AH13" i="18"/>
  <c r="G13" i="18"/>
  <c r="AK13" i="18"/>
  <c r="AG13" i="18"/>
  <c r="B70" i="18"/>
  <c r="B15" i="18"/>
  <c r="G57" i="161"/>
  <c r="F22" i="158"/>
  <c r="BS22" i="158" s="1"/>
  <c r="G62" i="161"/>
  <c r="F27" i="158"/>
  <c r="BS27" i="158" s="1"/>
  <c r="G55" i="161"/>
  <c r="F20" i="158"/>
  <c r="BS20" i="158" s="1"/>
  <c r="B14" i="22"/>
  <c r="AP13" i="22"/>
  <c r="AU13" i="22"/>
  <c r="CO13" i="22"/>
  <c r="J32" i="158"/>
  <c r="L28" i="177" s="1"/>
  <c r="G56" i="161"/>
  <c r="F21" i="158"/>
  <c r="BS21" i="158" s="1"/>
  <c r="G49" i="161"/>
  <c r="F14" i="158"/>
  <c r="BS14" i="158" s="1"/>
  <c r="G52" i="161"/>
  <c r="F17" i="158"/>
  <c r="BS17" i="158" s="1"/>
  <c r="L46" i="161"/>
  <c r="AA45" i="161"/>
  <c r="K45" i="161"/>
  <c r="J30" i="158"/>
  <c r="L26" i="177" s="1"/>
  <c r="J22" i="36"/>
  <c r="C43" i="92"/>
  <c r="C61" i="77"/>
  <c r="AO10" i="77"/>
  <c r="AO102" i="77" s="1"/>
  <c r="F14" i="123"/>
  <c r="K14" i="123" s="1"/>
  <c r="CL102" i="77"/>
  <c r="BZ102" i="77"/>
  <c r="BN102" i="77"/>
  <c r="BB102" i="77"/>
  <c r="AN102" i="77"/>
  <c r="DB102" i="77"/>
  <c r="CP102" i="77"/>
  <c r="CD102" i="77"/>
  <c r="BR102" i="77"/>
  <c r="T102" i="77"/>
  <c r="CV102" i="77"/>
  <c r="CH102" i="77"/>
  <c r="BT102" i="77"/>
  <c r="BE102" i="77"/>
  <c r="L102" i="77"/>
  <c r="CU102" i="77"/>
  <c r="CG102" i="77"/>
  <c r="BS102" i="77"/>
  <c r="BD102" i="77"/>
  <c r="AM102" i="77"/>
  <c r="K102" i="77"/>
  <c r="CT102" i="77"/>
  <c r="CF102" i="77"/>
  <c r="BQ102" i="77"/>
  <c r="BC102" i="77"/>
  <c r="CK102" i="77"/>
  <c r="BP102" i="77"/>
  <c r="AX102" i="77"/>
  <c r="I102" i="77"/>
  <c r="DC102" i="77"/>
  <c r="CJ102" i="77"/>
  <c r="BO102" i="77"/>
  <c r="AW102" i="77"/>
  <c r="CI102" i="77"/>
  <c r="BM102" i="77"/>
  <c r="AV102" i="77"/>
  <c r="CZ102" i="77"/>
  <c r="CE102" i="77"/>
  <c r="AS102" i="77"/>
  <c r="W102" i="77"/>
  <c r="CY102" i="77"/>
  <c r="CC102" i="77"/>
  <c r="BK102" i="77"/>
  <c r="V102" i="77"/>
  <c r="C102" i="77"/>
  <c r="CW102" i="77"/>
  <c r="CB102" i="77"/>
  <c r="BJ102" i="77"/>
  <c r="U102" i="77"/>
  <c r="CS102" i="77"/>
  <c r="CA102" i="77"/>
  <c r="BI102" i="77"/>
  <c r="S102" i="77"/>
  <c r="CR102" i="77"/>
  <c r="BY102" i="77"/>
  <c r="CQ102" i="77"/>
  <c r="BX102" i="77"/>
  <c r="CO102" i="77"/>
  <c r="BW102" i="77"/>
  <c r="BA102" i="77"/>
  <c r="CN102" i="77"/>
  <c r="BV102" i="77"/>
  <c r="AZ102" i="77"/>
  <c r="N102" i="77"/>
  <c r="CM102" i="77"/>
  <c r="BU102" i="77"/>
  <c r="AY102" i="77"/>
  <c r="B14" i="115"/>
  <c r="A44" i="92"/>
  <c r="A7" i="92" s="1"/>
  <c r="K46" i="111"/>
  <c r="B103" i="77"/>
  <c r="AV11" i="77"/>
  <c r="B62" i="77"/>
  <c r="B12" i="77"/>
  <c r="DC12" i="77" s="1"/>
  <c r="DO8" i="177" s="1"/>
  <c r="BD11" i="77"/>
  <c r="DG7" i="177" s="1"/>
  <c r="H11" i="77"/>
  <c r="S11" i="77"/>
  <c r="I11" i="77"/>
  <c r="BA11" i="77"/>
  <c r="E9" i="119" s="1"/>
  <c r="BL11" i="77"/>
  <c r="BE11" i="77"/>
  <c r="DK7" i="177" s="1"/>
  <c r="N11" i="77"/>
  <c r="E15" i="123" s="1"/>
  <c r="U11" i="77"/>
  <c r="AW11" i="77"/>
  <c r="T11" i="77"/>
  <c r="CW11" i="77"/>
  <c r="K11" i="77" s="1"/>
  <c r="DS7" i="177" s="1"/>
  <c r="AC11" i="77"/>
  <c r="BB11" i="77"/>
  <c r="F9" i="119" s="1"/>
  <c r="W11" i="77"/>
  <c r="L11" i="77"/>
  <c r="C11" i="77"/>
  <c r="DW7" i="177" s="1"/>
  <c r="V11" i="77"/>
  <c r="U45" i="111"/>
  <c r="J45" i="111"/>
  <c r="H13" i="115"/>
  <c r="B59" i="115"/>
  <c r="O59" i="115" s="1"/>
  <c r="G53" i="161"/>
  <c r="F18" i="158"/>
  <c r="BS18" i="158" s="1"/>
  <c r="I8" i="158"/>
  <c r="I85" i="158" s="1"/>
  <c r="CA85" i="158"/>
  <c r="J22" i="158"/>
  <c r="B9" i="119"/>
  <c r="B45" i="119" s="1"/>
  <c r="B80" i="119" s="1"/>
  <c r="B68" i="36"/>
  <c r="B13" i="36"/>
  <c r="BE12" i="36"/>
  <c r="CY12" i="36" s="1"/>
  <c r="G66" i="161"/>
  <c r="F31" i="158"/>
  <c r="BS31" i="158" s="1"/>
  <c r="G65" i="161"/>
  <c r="F30" i="158"/>
  <c r="BS30" i="158" s="1"/>
  <c r="G60" i="161"/>
  <c r="F25" i="158"/>
  <c r="BS25" i="158" s="1"/>
  <c r="G68" i="161"/>
  <c r="F33" i="158"/>
  <c r="BS33" i="158" s="1"/>
  <c r="G51" i="161"/>
  <c r="F16" i="158"/>
  <c r="BS16" i="158" s="1"/>
  <c r="J13" i="158"/>
  <c r="CI39" i="158"/>
  <c r="CD39" i="158"/>
  <c r="W253" i="100"/>
  <c r="Z266" i="100" s="1"/>
  <c r="K229" i="100"/>
  <c r="F244" i="100"/>
  <c r="G244" i="100" s="1"/>
  <c r="M254" i="100"/>
  <c r="L255" i="100"/>
  <c r="M255" i="100" s="1"/>
  <c r="AC269" i="100"/>
  <c r="AC272" i="100" s="1"/>
  <c r="L272" i="100"/>
  <c r="W254" i="100"/>
  <c r="V255" i="100"/>
  <c r="W255" i="100" s="1"/>
  <c r="F239" i="100"/>
  <c r="G239" i="100" s="1"/>
  <c r="K228" i="100"/>
  <c r="D226" i="100"/>
  <c r="F253" i="100"/>
  <c r="G253" i="100" s="1"/>
  <c r="K225" i="100"/>
  <c r="L225" i="100" s="1"/>
  <c r="F232" i="100"/>
  <c r="G232" i="100" s="1"/>
  <c r="K227" i="100"/>
  <c r="L227" i="100" s="1"/>
  <c r="F243" i="100"/>
  <c r="G243" i="100" s="1"/>
  <c r="F238" i="100"/>
  <c r="G238" i="100" s="1"/>
  <c r="K226" i="100"/>
  <c r="L226" i="100" s="1"/>
  <c r="K276" i="100"/>
  <c r="L276" i="100" s="1"/>
  <c r="L253" i="100"/>
  <c r="M253" i="100" s="1"/>
  <c r="T14" i="18"/>
  <c r="R14" i="18"/>
  <c r="V14" i="18"/>
  <c r="AC14" i="18"/>
  <c r="E14" i="18"/>
  <c r="C14" i="18"/>
  <c r="S14" i="18"/>
  <c r="AL14" i="18"/>
  <c r="F14" i="18"/>
  <c r="D14" i="18"/>
  <c r="AA14" i="18"/>
  <c r="AD14" i="18"/>
  <c r="AF14" i="18"/>
  <c r="AH69" i="111" l="1"/>
  <c r="DJ35" i="36" s="1"/>
  <c r="AG69" i="111"/>
  <c r="AI69" i="111" s="1"/>
  <c r="AG67" i="111"/>
  <c r="AI67" i="111" s="1"/>
  <c r="W12" i="18"/>
  <c r="F7" i="177"/>
  <c r="CH7" i="177" s="1"/>
  <c r="DG11" i="77"/>
  <c r="H85" i="36"/>
  <c r="H83" i="36"/>
  <c r="H92" i="36"/>
  <c r="CW31" i="177"/>
  <c r="DA31" i="177" s="1"/>
  <c r="DE31" i="177" s="1"/>
  <c r="DI31" i="177" s="1"/>
  <c r="DM31" i="177" s="1"/>
  <c r="DQ31" i="177" s="1"/>
  <c r="DU31" i="177" s="1"/>
  <c r="CF31" i="177"/>
  <c r="CJ31" i="177" s="1"/>
  <c r="CN31" i="177" s="1"/>
  <c r="CR31" i="177" s="1"/>
  <c r="CB32" i="177"/>
  <c r="B33" i="177"/>
  <c r="AE68" i="111"/>
  <c r="AF68" i="111"/>
  <c r="X26" i="150"/>
  <c r="Z26" i="150" s="1"/>
  <c r="AA26" i="150" s="1"/>
  <c r="AB26" i="150" s="1"/>
  <c r="A60" i="111"/>
  <c r="AD60" i="111" s="1"/>
  <c r="AJ67" i="111"/>
  <c r="D67" i="111"/>
  <c r="AJ70" i="111"/>
  <c r="D70" i="111"/>
  <c r="AE14" i="150"/>
  <c r="G68" i="111"/>
  <c r="N14" i="18"/>
  <c r="AK69" i="18"/>
  <c r="AH69" i="18"/>
  <c r="U69" i="18"/>
  <c r="AD69" i="18"/>
  <c r="K13" i="22"/>
  <c r="AB14" i="18"/>
  <c r="CM13" i="22"/>
  <c r="H13" i="22" s="1"/>
  <c r="P13" i="22"/>
  <c r="Q13" i="22"/>
  <c r="C13" i="22"/>
  <c r="I13" i="22"/>
  <c r="AJ14" i="18"/>
  <c r="BV14" i="18" s="1"/>
  <c r="AN14" i="18"/>
  <c r="T13" i="22"/>
  <c r="AV13" i="22"/>
  <c r="R13" i="22"/>
  <c r="Z12" i="18"/>
  <c r="P13" i="18"/>
  <c r="O13" i="18"/>
  <c r="Y13" i="18"/>
  <c r="W13" i="18" s="1"/>
  <c r="X11" i="18"/>
  <c r="X12" i="18"/>
  <c r="CP13" i="22"/>
  <c r="J17" i="36"/>
  <c r="H76" i="36"/>
  <c r="H78" i="36"/>
  <c r="AE55" i="111"/>
  <c r="AF55" i="111"/>
  <c r="AH47" i="111"/>
  <c r="DJ13" i="36" s="1"/>
  <c r="AG47" i="111"/>
  <c r="AD56" i="111"/>
  <c r="C83" i="111"/>
  <c r="F83" i="111"/>
  <c r="C79" i="111"/>
  <c r="AD52" i="111"/>
  <c r="AF50" i="111"/>
  <c r="AE50" i="111"/>
  <c r="AE46" i="111"/>
  <c r="AH46" i="111" s="1"/>
  <c r="DJ12" i="36" s="1"/>
  <c r="AF46" i="111"/>
  <c r="F11" i="77"/>
  <c r="AP12" i="36"/>
  <c r="F38" i="158"/>
  <c r="BS38" i="158" s="1"/>
  <c r="AE39" i="148" s="1"/>
  <c r="J74" i="161"/>
  <c r="F9" i="77"/>
  <c r="F101" i="77" s="1"/>
  <c r="G44" i="111"/>
  <c r="K58" i="147"/>
  <c r="K63" i="147"/>
  <c r="K105" i="147"/>
  <c r="K147" i="147" s="1"/>
  <c r="J147" i="147"/>
  <c r="U14" i="18"/>
  <c r="S13" i="22" s="1"/>
  <c r="G54" i="111"/>
  <c r="F34" i="36"/>
  <c r="AP34" i="36" s="1"/>
  <c r="AE34" i="150" s="1"/>
  <c r="AF34" i="150" s="1"/>
  <c r="AG34" i="150" s="1"/>
  <c r="AH34" i="150" s="1"/>
  <c r="AI34" i="150" s="1"/>
  <c r="G46" i="111"/>
  <c r="G37" i="155"/>
  <c r="F37" i="155"/>
  <c r="E19" i="126"/>
  <c r="F19" i="126" s="1"/>
  <c r="G19" i="126" s="1"/>
  <c r="D34" i="163"/>
  <c r="G51" i="111"/>
  <c r="G52" i="111"/>
  <c r="AH45" i="111"/>
  <c r="DJ11" i="36" s="1"/>
  <c r="F22" i="36"/>
  <c r="AP22" i="36" s="1"/>
  <c r="AE22" i="150" s="1"/>
  <c r="AF22" i="150" s="1"/>
  <c r="G60" i="111"/>
  <c r="F26" i="36"/>
  <c r="AP26" i="36" s="1"/>
  <c r="AE26" i="150" s="1"/>
  <c r="AF26" i="150" s="1"/>
  <c r="AG26" i="150" s="1"/>
  <c r="AH26" i="150" s="1"/>
  <c r="AI26" i="150" s="1"/>
  <c r="G50" i="111"/>
  <c r="AE57" i="111"/>
  <c r="AO69" i="161"/>
  <c r="AP69" i="161" s="1"/>
  <c r="BS10" i="158"/>
  <c r="AE11" i="148" s="1"/>
  <c r="J10" i="77"/>
  <c r="D6" i="177" s="1"/>
  <c r="DA10" i="77"/>
  <c r="DA102" i="77" s="1"/>
  <c r="J39" i="36"/>
  <c r="AS36" i="77"/>
  <c r="J37" i="36"/>
  <c r="J38" i="36"/>
  <c r="A76" i="148"/>
  <c r="I76" i="148" s="1"/>
  <c r="K76" i="148" s="1"/>
  <c r="J76" i="148" s="1"/>
  <c r="J10" i="36"/>
  <c r="H9" i="77"/>
  <c r="AP38" i="36"/>
  <c r="AP39" i="36"/>
  <c r="AP37" i="36"/>
  <c r="A75" i="148"/>
  <c r="I75" i="148" s="1"/>
  <c r="K75" i="148" s="1"/>
  <c r="J75" i="148" s="1"/>
  <c r="BS11" i="158"/>
  <c r="AE12" i="148" s="1"/>
  <c r="BS12" i="158"/>
  <c r="AE13" i="148" s="1"/>
  <c r="L20" i="177"/>
  <c r="L21" i="177"/>
  <c r="L19" i="177"/>
  <c r="L10" i="177"/>
  <c r="L13" i="177"/>
  <c r="L22" i="177"/>
  <c r="L17" i="177"/>
  <c r="L14" i="177"/>
  <c r="J89" i="158"/>
  <c r="L16" i="177"/>
  <c r="L15" i="177"/>
  <c r="L18" i="177"/>
  <c r="H88" i="158"/>
  <c r="L11" i="177"/>
  <c r="L12" i="177"/>
  <c r="O113" i="161"/>
  <c r="AG15" i="150"/>
  <c r="AH15" i="150" s="1"/>
  <c r="AI15" i="150" s="1"/>
  <c r="AF20" i="150"/>
  <c r="AF16" i="150"/>
  <c r="AG33" i="150"/>
  <c r="AH33" i="150" s="1"/>
  <c r="AI33" i="150" s="1"/>
  <c r="AG21" i="150"/>
  <c r="AH21" i="150" s="1"/>
  <c r="AI21" i="150" s="1"/>
  <c r="AF19" i="150"/>
  <c r="AF17" i="150"/>
  <c r="AG32" i="150"/>
  <c r="AH32" i="150" s="1"/>
  <c r="AI32" i="150" s="1"/>
  <c r="AG11" i="150"/>
  <c r="AH11" i="150" s="1"/>
  <c r="AI11" i="150" s="1"/>
  <c r="AG18" i="150"/>
  <c r="AH18" i="150" s="1"/>
  <c r="AI18" i="150" s="1"/>
  <c r="AG29" i="150"/>
  <c r="AH29" i="150" s="1"/>
  <c r="AI29" i="150" s="1"/>
  <c r="AG35" i="150"/>
  <c r="AH35" i="150" s="1"/>
  <c r="AI35" i="150" s="1"/>
  <c r="AG36" i="150"/>
  <c r="AH36" i="150" s="1"/>
  <c r="AI36" i="150" s="1"/>
  <c r="AG25" i="150"/>
  <c r="AH25" i="150" s="1"/>
  <c r="AI25" i="150" s="1"/>
  <c r="AF10" i="150"/>
  <c r="AG30" i="150"/>
  <c r="AH30" i="150" s="1"/>
  <c r="AI30" i="150" s="1"/>
  <c r="AG28" i="150"/>
  <c r="AH28" i="150" s="1"/>
  <c r="AI28" i="150" s="1"/>
  <c r="AG23" i="150"/>
  <c r="AH23" i="150" s="1"/>
  <c r="AI23" i="150" s="1"/>
  <c r="AG31" i="150"/>
  <c r="AH31" i="150" s="1"/>
  <c r="AI31" i="150" s="1"/>
  <c r="AF13" i="150"/>
  <c r="AG24" i="150"/>
  <c r="AH24" i="150" s="1"/>
  <c r="AI24" i="150" s="1"/>
  <c r="AO47" i="161"/>
  <c r="AP47" i="161" s="1"/>
  <c r="AS28" i="77"/>
  <c r="F79" i="77" s="1"/>
  <c r="AO55" i="161"/>
  <c r="AP55" i="161" s="1"/>
  <c r="E38" i="158"/>
  <c r="AO63" i="161"/>
  <c r="D63" i="161" s="1"/>
  <c r="AO61" i="161"/>
  <c r="AP61" i="161" s="1"/>
  <c r="AO67" i="161"/>
  <c r="AP67" i="161" s="1"/>
  <c r="AN65" i="161"/>
  <c r="GI30" i="158" s="1"/>
  <c r="AM65" i="161"/>
  <c r="AH66" i="111"/>
  <c r="DJ32" i="36" s="1"/>
  <c r="AG66" i="111"/>
  <c r="AN46" i="161"/>
  <c r="GI11" i="158" s="1"/>
  <c r="AM46" i="161"/>
  <c r="AK44" i="161"/>
  <c r="AL44" i="161"/>
  <c r="AG62" i="111"/>
  <c r="AH62" i="111"/>
  <c r="DJ28" i="36" s="1"/>
  <c r="AL51" i="161"/>
  <c r="AK51" i="161"/>
  <c r="AH64" i="111"/>
  <c r="DJ30" i="36" s="1"/>
  <c r="AG64" i="111"/>
  <c r="AN57" i="161"/>
  <c r="GI22" i="158" s="1"/>
  <c r="AM57" i="161"/>
  <c r="AN59" i="161"/>
  <c r="GI24" i="158" s="1"/>
  <c r="AM59" i="161"/>
  <c r="AH65" i="111"/>
  <c r="DJ31" i="36" s="1"/>
  <c r="AG65" i="111"/>
  <c r="E37" i="158"/>
  <c r="AL43" i="161"/>
  <c r="AK43" i="161"/>
  <c r="AJ74" i="161"/>
  <c r="AK60" i="161"/>
  <c r="AL60" i="161"/>
  <c r="AE44" i="111"/>
  <c r="AF44" i="111"/>
  <c r="AK48" i="161"/>
  <c r="AL48" i="161"/>
  <c r="AN45" i="161"/>
  <c r="GI10" i="158" s="1"/>
  <c r="AM45" i="161"/>
  <c r="AF51" i="111"/>
  <c r="AE51" i="111"/>
  <c r="AE37" i="148"/>
  <c r="AH49" i="111"/>
  <c r="DJ15" i="36" s="1"/>
  <c r="AG49" i="111"/>
  <c r="H71" i="161"/>
  <c r="X71" i="161"/>
  <c r="Z71" i="161" s="1"/>
  <c r="AN50" i="161"/>
  <c r="GI15" i="158" s="1"/>
  <c r="AM50" i="161"/>
  <c r="E36" i="158"/>
  <c r="AF60" i="111"/>
  <c r="AE60" i="111"/>
  <c r="DJ36" i="36"/>
  <c r="AE48" i="111"/>
  <c r="AF48" i="111"/>
  <c r="AE38" i="148"/>
  <c r="AF53" i="111"/>
  <c r="AE53" i="111"/>
  <c r="AG59" i="111"/>
  <c r="AH59" i="111"/>
  <c r="DJ25" i="36" s="1"/>
  <c r="Y71" i="161"/>
  <c r="AE43" i="111"/>
  <c r="AF43" i="111"/>
  <c r="AN66" i="161"/>
  <c r="GI31" i="158" s="1"/>
  <c r="AM66" i="161"/>
  <c r="AO58" i="161"/>
  <c r="H72" i="161"/>
  <c r="X72" i="161"/>
  <c r="Z72" i="161" s="1"/>
  <c r="AN53" i="161"/>
  <c r="GI18" i="158" s="1"/>
  <c r="AM53" i="161"/>
  <c r="AN52" i="161"/>
  <c r="GI17" i="158" s="1"/>
  <c r="AM52" i="161"/>
  <c r="AN64" i="161"/>
  <c r="GI29" i="158" s="1"/>
  <c r="AM64" i="161"/>
  <c r="AN70" i="161"/>
  <c r="GI35" i="158" s="1"/>
  <c r="AM70" i="161"/>
  <c r="AN49" i="161"/>
  <c r="GI14" i="158" s="1"/>
  <c r="AM49" i="161"/>
  <c r="H73" i="161"/>
  <c r="X73" i="161"/>
  <c r="Z73" i="161" s="1"/>
  <c r="AP63" i="161"/>
  <c r="AN62" i="161"/>
  <c r="GI27" i="158" s="1"/>
  <c r="AM62" i="161"/>
  <c r="D47" i="161"/>
  <c r="F47" i="161" s="1"/>
  <c r="AN68" i="161"/>
  <c r="GI33" i="158" s="1"/>
  <c r="AM68" i="161"/>
  <c r="C81" i="111"/>
  <c r="AD54" i="111"/>
  <c r="AN56" i="161"/>
  <c r="GI21" i="158" s="1"/>
  <c r="AM56" i="161"/>
  <c r="O115" i="161"/>
  <c r="Y73" i="161"/>
  <c r="AL54" i="161"/>
  <c r="AK54" i="161"/>
  <c r="Y72" i="161"/>
  <c r="O114" i="161"/>
  <c r="AG58" i="111"/>
  <c r="AH58" i="111"/>
  <c r="DJ24" i="36" s="1"/>
  <c r="HE12" i="158"/>
  <c r="L9" i="177"/>
  <c r="G13" i="22"/>
  <c r="T58" i="115"/>
  <c r="J14" i="123"/>
  <c r="BB13" i="22"/>
  <c r="BF41" i="36"/>
  <c r="O69" i="18"/>
  <c r="AI13" i="18"/>
  <c r="AM10" i="36"/>
  <c r="AQ101" i="77"/>
  <c r="H37" i="155"/>
  <c r="I37" i="155" s="1"/>
  <c r="G9" i="119"/>
  <c r="CX10" i="77"/>
  <c r="CX101" i="77"/>
  <c r="L8" i="177"/>
  <c r="G12" i="22"/>
  <c r="AG14" i="18"/>
  <c r="W252" i="100"/>
  <c r="AA251" i="100" s="1"/>
  <c r="AA253" i="100" s="1"/>
  <c r="U265" i="100" s="1"/>
  <c r="W265" i="100" s="1"/>
  <c r="AE17" i="148"/>
  <c r="AE34" i="148"/>
  <c r="AE26" i="148"/>
  <c r="AE31" i="148"/>
  <c r="AE32" i="148"/>
  <c r="B10" i="119"/>
  <c r="B46" i="119" s="1"/>
  <c r="B81" i="119" s="1"/>
  <c r="B69" i="36"/>
  <c r="B14" i="36"/>
  <c r="BE13" i="36"/>
  <c r="CY13" i="36" s="1"/>
  <c r="C74" i="161"/>
  <c r="AE19" i="148"/>
  <c r="C44" i="92"/>
  <c r="C62" i="77"/>
  <c r="D14" i="115"/>
  <c r="Z11" i="77"/>
  <c r="Z103" i="77" s="1"/>
  <c r="J11" i="77"/>
  <c r="D7" i="177" s="1"/>
  <c r="DA11" i="77"/>
  <c r="DA103" i="77" s="1"/>
  <c r="A45" i="92"/>
  <c r="A8" i="92" s="1"/>
  <c r="B15" i="115"/>
  <c r="K47" i="111"/>
  <c r="B104" i="77"/>
  <c r="B63" i="77"/>
  <c r="B13" i="77"/>
  <c r="DC13" i="77" s="1"/>
  <c r="DO9" i="177" s="1"/>
  <c r="AV12" i="77"/>
  <c r="BD12" i="77"/>
  <c r="DG8" i="177" s="1"/>
  <c r="I12" i="77"/>
  <c r="H12" i="77"/>
  <c r="BA12" i="77"/>
  <c r="E10" i="119" s="1"/>
  <c r="BL12" i="77"/>
  <c r="S12" i="77"/>
  <c r="W12" i="77"/>
  <c r="F12" i="77"/>
  <c r="U12" i="77"/>
  <c r="T12" i="77"/>
  <c r="CW12" i="77"/>
  <c r="K12" i="77" s="1"/>
  <c r="DS8" i="177" s="1"/>
  <c r="AC12" i="77"/>
  <c r="L12" i="77"/>
  <c r="AW12" i="77"/>
  <c r="N12" i="77"/>
  <c r="E16" i="123" s="1"/>
  <c r="BB12" i="77"/>
  <c r="F10" i="119" s="1"/>
  <c r="BE12" i="77"/>
  <c r="DK8" i="177" s="1"/>
  <c r="C12" i="77"/>
  <c r="DW8" i="177" s="1"/>
  <c r="V12" i="77"/>
  <c r="BG12" i="77"/>
  <c r="DB103" i="77"/>
  <c r="CP103" i="77"/>
  <c r="CD103" i="77"/>
  <c r="BR103" i="77"/>
  <c r="T103" i="77"/>
  <c r="H103" i="77"/>
  <c r="CT103" i="77"/>
  <c r="CH103" i="77"/>
  <c r="BV103" i="77"/>
  <c r="BJ103" i="77"/>
  <c r="AX103" i="77"/>
  <c r="L103" i="77"/>
  <c r="CS103" i="77"/>
  <c r="CE103" i="77"/>
  <c r="BP103" i="77"/>
  <c r="BB103" i="77"/>
  <c r="W103" i="77"/>
  <c r="I103" i="77"/>
  <c r="CR103" i="77"/>
  <c r="CC103" i="77"/>
  <c r="BO103" i="77"/>
  <c r="BA103" i="77"/>
  <c r="V103" i="77"/>
  <c r="CQ103" i="77"/>
  <c r="CB103" i="77"/>
  <c r="BN103" i="77"/>
  <c r="AZ103" i="77"/>
  <c r="U103" i="77"/>
  <c r="F103" i="77"/>
  <c r="CW103" i="77"/>
  <c r="CA103" i="77"/>
  <c r="BI103" i="77"/>
  <c r="S103" i="77"/>
  <c r="CV103" i="77"/>
  <c r="BZ103" i="77"/>
  <c r="CU103" i="77"/>
  <c r="BY103" i="77"/>
  <c r="CO103" i="77"/>
  <c r="BX103" i="77"/>
  <c r="BE103" i="77"/>
  <c r="CN103" i="77"/>
  <c r="BW103" i="77"/>
  <c r="BD103" i="77"/>
  <c r="CM103" i="77"/>
  <c r="BU103" i="77"/>
  <c r="BC103" i="77"/>
  <c r="N103" i="77"/>
  <c r="CL103" i="77"/>
  <c r="BT103" i="77"/>
  <c r="AY103" i="77"/>
  <c r="DC103" i="77"/>
  <c r="CK103" i="77"/>
  <c r="BS103" i="77"/>
  <c r="AW103" i="77"/>
  <c r="AC103" i="77"/>
  <c r="K103" i="77"/>
  <c r="CJ103" i="77"/>
  <c r="BQ103" i="77"/>
  <c r="AV103" i="77"/>
  <c r="CZ103" i="77"/>
  <c r="CI103" i="77"/>
  <c r="BM103" i="77"/>
  <c r="AS103" i="77"/>
  <c r="CY103" i="77"/>
  <c r="CG103" i="77"/>
  <c r="BL103" i="77"/>
  <c r="BK103" i="77"/>
  <c r="C103" i="77"/>
  <c r="CF103" i="77"/>
  <c r="U46" i="111"/>
  <c r="J46" i="111"/>
  <c r="B60" i="115"/>
  <c r="O60" i="115" s="1"/>
  <c r="H14" i="115"/>
  <c r="AQ10" i="77"/>
  <c r="J6" i="177"/>
  <c r="P59" i="115"/>
  <c r="Q59" i="115" s="1"/>
  <c r="D59" i="115"/>
  <c r="A69" i="148"/>
  <c r="K46" i="161"/>
  <c r="AA46" i="161"/>
  <c r="L47" i="161"/>
  <c r="AE18" i="148"/>
  <c r="AE15" i="148"/>
  <c r="AE22" i="148"/>
  <c r="A71" i="148"/>
  <c r="B15" i="22"/>
  <c r="AP14" i="22"/>
  <c r="AU14" i="22"/>
  <c r="CO14" i="22"/>
  <c r="AE21" i="148"/>
  <c r="AE28" i="148"/>
  <c r="AE23" i="148"/>
  <c r="G14" i="18"/>
  <c r="AI14" i="18" s="1"/>
  <c r="AK14" i="18"/>
  <c r="AH14" i="18"/>
  <c r="B71" i="18"/>
  <c r="B16" i="18"/>
  <c r="K14" i="22"/>
  <c r="I14" i="22"/>
  <c r="AE24" i="148"/>
  <c r="GZ14" i="158"/>
  <c r="FC14" i="158"/>
  <c r="A9" i="168"/>
  <c r="M9" i="168" s="1"/>
  <c r="D14" i="136"/>
  <c r="A12" i="159"/>
  <c r="B91" i="158"/>
  <c r="BD14" i="158"/>
  <c r="B15" i="158"/>
  <c r="EB90" i="158"/>
  <c r="DP90" i="158"/>
  <c r="BZ90" i="158"/>
  <c r="BI90" i="158"/>
  <c r="AU90" i="158"/>
  <c r="W90" i="158"/>
  <c r="K90" i="158"/>
  <c r="EG90" i="158"/>
  <c r="DU90" i="158"/>
  <c r="CY90" i="158"/>
  <c r="EE90" i="158"/>
  <c r="DQ90" i="158"/>
  <c r="BX90" i="158"/>
  <c r="BE90" i="158"/>
  <c r="Z90" i="158"/>
  <c r="L90" i="158"/>
  <c r="ED90" i="158"/>
  <c r="DO90" i="158"/>
  <c r="BD90" i="158"/>
  <c r="Y90" i="158"/>
  <c r="J90" i="158"/>
  <c r="EC90" i="158"/>
  <c r="DN90" i="158"/>
  <c r="X90" i="158"/>
  <c r="I90" i="158"/>
  <c r="EA90" i="158"/>
  <c r="DM90" i="158"/>
  <c r="H90" i="158"/>
  <c r="DZ90" i="158"/>
  <c r="DL90" i="158"/>
  <c r="DY90" i="158"/>
  <c r="DA90" i="158"/>
  <c r="AX90" i="158"/>
  <c r="F90" i="158"/>
  <c r="EL90" i="158"/>
  <c r="DX90" i="158"/>
  <c r="CZ90" i="158"/>
  <c r="BL90" i="158"/>
  <c r="EK90" i="158"/>
  <c r="DW90" i="158"/>
  <c r="CX90" i="158"/>
  <c r="BK90" i="158"/>
  <c r="AT90" i="158"/>
  <c r="C90" i="158"/>
  <c r="EJ90" i="158"/>
  <c r="DV90" i="158"/>
  <c r="CC90" i="158"/>
  <c r="BJ90" i="158"/>
  <c r="EI90" i="158"/>
  <c r="DT90" i="158"/>
  <c r="CB90" i="158"/>
  <c r="BH90" i="158"/>
  <c r="EH90" i="158"/>
  <c r="DS90" i="158"/>
  <c r="CA90" i="158"/>
  <c r="BG90" i="158"/>
  <c r="N90" i="158"/>
  <c r="EF90" i="158"/>
  <c r="DR90" i="158"/>
  <c r="BY90" i="158"/>
  <c r="BF90" i="158"/>
  <c r="AA90" i="158"/>
  <c r="ID13" i="158"/>
  <c r="HR13" i="158"/>
  <c r="HP13" i="158"/>
  <c r="FS13" i="158"/>
  <c r="HJ13" i="158"/>
  <c r="HS13" i="158"/>
  <c r="HQ13" i="158"/>
  <c r="HO13" i="158"/>
  <c r="FK13" i="158"/>
  <c r="GG13" i="158"/>
  <c r="HG13" i="158"/>
  <c r="GA13" i="158"/>
  <c r="HE13" i="158"/>
  <c r="FH13" i="158"/>
  <c r="IE13" i="158"/>
  <c r="HA13" i="158"/>
  <c r="HH13" i="158"/>
  <c r="FV13" i="158"/>
  <c r="FM13" i="158"/>
  <c r="FU13" i="158"/>
  <c r="FT13" i="158"/>
  <c r="FD13" i="158"/>
  <c r="FJ13" i="158"/>
  <c r="FR13" i="158"/>
  <c r="GH13" i="158"/>
  <c r="GJ13" i="158"/>
  <c r="GU13" i="158"/>
  <c r="FA13" i="158"/>
  <c r="AE25" i="148"/>
  <c r="AE36" i="148"/>
  <c r="A74" i="148"/>
  <c r="L23" i="177"/>
  <c r="A66" i="148"/>
  <c r="J11" i="158"/>
  <c r="FH11" i="158" s="1"/>
  <c r="AE20" i="148"/>
  <c r="AE27" i="148"/>
  <c r="A72" i="148"/>
  <c r="F87" i="158"/>
  <c r="A73" i="148"/>
  <c r="L24" i="177"/>
  <c r="A67" i="148"/>
  <c r="J10" i="158"/>
  <c r="FH10" i="158" s="1"/>
  <c r="H87" i="158"/>
  <c r="BK41" i="36"/>
  <c r="BG9" i="36"/>
  <c r="A70" i="148"/>
  <c r="AE33" i="148"/>
  <c r="BN41" i="36"/>
  <c r="BJ9" i="36"/>
  <c r="BL41" i="36"/>
  <c r="BH9" i="36"/>
  <c r="AT9" i="36" s="1"/>
  <c r="G36" i="155"/>
  <c r="D33" i="163"/>
  <c r="J8" i="158"/>
  <c r="FH8" i="158" s="1"/>
  <c r="H85" i="158"/>
  <c r="BG9" i="77"/>
  <c r="BG101" i="77" s="1"/>
  <c r="AE29" i="148"/>
  <c r="BI9" i="36"/>
  <c r="AU9" i="36" s="1"/>
  <c r="BM41" i="36"/>
  <c r="AE14" i="148"/>
  <c r="AE30" i="148"/>
  <c r="AE35" i="148"/>
  <c r="AE10" i="148"/>
  <c r="F86" i="158"/>
  <c r="F71" i="148"/>
  <c r="A34" i="148"/>
  <c r="CH39" i="158"/>
  <c r="CN40" i="158"/>
  <c r="EC3" i="158"/>
  <c r="CB85" i="158"/>
  <c r="CS41" i="158"/>
  <c r="J9" i="158"/>
  <c r="FH9" i="158" s="1"/>
  <c r="H86" i="158"/>
  <c r="L25" i="177"/>
  <c r="A68" i="148"/>
  <c r="AE16" i="148"/>
  <c r="AM266" i="100"/>
  <c r="AL311" i="100" s="1"/>
  <c r="F226" i="100"/>
  <c r="G226" i="100" s="1"/>
  <c r="K224" i="100"/>
  <c r="L224" i="100" s="1"/>
  <c r="M268" i="100"/>
  <c r="AD268" i="100" s="1"/>
  <c r="L268" i="100"/>
  <c r="AC268" i="100" s="1"/>
  <c r="P266" i="100"/>
  <c r="M252" i="100"/>
  <c r="Q251" i="100" s="1"/>
  <c r="P255" i="100" s="1"/>
  <c r="J267" i="100" s="1"/>
  <c r="L267" i="100" s="1"/>
  <c r="AC267" i="100" s="1"/>
  <c r="L228" i="100"/>
  <c r="M228" i="100" s="1"/>
  <c r="M226" i="100"/>
  <c r="M227" i="100"/>
  <c r="L229" i="100"/>
  <c r="M229" i="100" s="1"/>
  <c r="M225" i="100"/>
  <c r="V268" i="100"/>
  <c r="AI268" i="100" s="1"/>
  <c r="W268" i="100"/>
  <c r="AJ268" i="100" s="1"/>
  <c r="AL15" i="18"/>
  <c r="R15" i="18"/>
  <c r="AA15" i="18"/>
  <c r="AB24" i="18" s="1"/>
  <c r="V15" i="18"/>
  <c r="AC15" i="18"/>
  <c r="S15" i="18"/>
  <c r="C15" i="18"/>
  <c r="D15" i="18"/>
  <c r="E15" i="18"/>
  <c r="AD15" i="18"/>
  <c r="AF15" i="18"/>
  <c r="T15" i="18"/>
  <c r="F15" i="18"/>
  <c r="AJ69" i="111" l="1"/>
  <c r="D69" i="111"/>
  <c r="AG68" i="111"/>
  <c r="AH68" i="111"/>
  <c r="DJ34" i="36" s="1"/>
  <c r="AG57" i="111"/>
  <c r="AH57" i="111"/>
  <c r="DJ23" i="36" s="1"/>
  <c r="F87" i="77"/>
  <c r="AS128" i="77"/>
  <c r="AB23" i="18"/>
  <c r="AB22" i="18"/>
  <c r="AB19" i="18"/>
  <c r="AB20" i="18"/>
  <c r="AB18" i="18"/>
  <c r="AB21" i="18"/>
  <c r="Q13" i="18"/>
  <c r="F8" i="177"/>
  <c r="CH8" i="177" s="1"/>
  <c r="DG12" i="77"/>
  <c r="IF36" i="158"/>
  <c r="K32" i="177"/>
  <c r="BT37" i="158"/>
  <c r="IF37" i="158"/>
  <c r="K33" i="177"/>
  <c r="IF38" i="158"/>
  <c r="K34" i="177"/>
  <c r="B34" i="177"/>
  <c r="CB34" i="177" s="1"/>
  <c r="CB33" i="177"/>
  <c r="CW32" i="177"/>
  <c r="DA32" i="177" s="1"/>
  <c r="DE32" i="177" s="1"/>
  <c r="DI32" i="177" s="1"/>
  <c r="DM32" i="177" s="1"/>
  <c r="DQ32" i="177" s="1"/>
  <c r="DU32" i="177" s="1"/>
  <c r="CF32" i="177"/>
  <c r="CJ32" i="177" s="1"/>
  <c r="CN32" i="177" s="1"/>
  <c r="CR32" i="177" s="1"/>
  <c r="Z69" i="18"/>
  <c r="F67" i="111"/>
  <c r="AS32" i="77" s="1"/>
  <c r="F83" i="77" s="1"/>
  <c r="F69" i="111"/>
  <c r="AI47" i="111"/>
  <c r="AF14" i="150"/>
  <c r="AG14" i="150" s="1"/>
  <c r="AH14" i="150" s="1"/>
  <c r="AI14" i="150" s="1"/>
  <c r="AB17" i="18"/>
  <c r="AB16" i="18"/>
  <c r="Q14" i="22"/>
  <c r="R14" i="22"/>
  <c r="AN15" i="18"/>
  <c r="AV14" i="22"/>
  <c r="P14" i="22"/>
  <c r="T14" i="22"/>
  <c r="AB15" i="18"/>
  <c r="N15" i="18"/>
  <c r="AJ15" i="18"/>
  <c r="BV15" i="18" s="1"/>
  <c r="CM14" i="22"/>
  <c r="H14" i="22" s="1"/>
  <c r="X13" i="18"/>
  <c r="G14" i="22"/>
  <c r="AG15" i="18"/>
  <c r="C14" i="22"/>
  <c r="P14" i="18"/>
  <c r="O14" i="18"/>
  <c r="Y14" i="18"/>
  <c r="Z13" i="18"/>
  <c r="CP14" i="22"/>
  <c r="AG46" i="111"/>
  <c r="AI46" i="111" s="1"/>
  <c r="AJ46" i="111" s="1"/>
  <c r="AG50" i="111"/>
  <c r="AH50" i="111"/>
  <c r="DJ16" i="36" s="1"/>
  <c r="AE12" i="150"/>
  <c r="AF12" i="150" s="1"/>
  <c r="AG12" i="150" s="1"/>
  <c r="AH12" i="150" s="1"/>
  <c r="AI12" i="150" s="1"/>
  <c r="BG11" i="77"/>
  <c r="BG103" i="77" s="1"/>
  <c r="AH55" i="111"/>
  <c r="DJ21" i="36" s="1"/>
  <c r="AG55" i="111"/>
  <c r="AI55" i="111" s="1"/>
  <c r="AE56" i="111"/>
  <c r="AF56" i="111"/>
  <c r="AF52" i="111"/>
  <c r="AE52" i="111"/>
  <c r="R42" i="18"/>
  <c r="J102" i="77"/>
  <c r="AI45" i="111"/>
  <c r="D69" i="161"/>
  <c r="BT38" i="158"/>
  <c r="R92" i="147"/>
  <c r="AS37" i="77"/>
  <c r="H72" i="111"/>
  <c r="G110" i="111" s="1"/>
  <c r="R97" i="147"/>
  <c r="AE37" i="150"/>
  <c r="AF37" i="150" s="1"/>
  <c r="AG37" i="150" s="1"/>
  <c r="AH37" i="150" s="1"/>
  <c r="AI37" i="150" s="1"/>
  <c r="AE39" i="150"/>
  <c r="AF39" i="150" s="1"/>
  <c r="AG39" i="150" s="1"/>
  <c r="AH39" i="150" s="1"/>
  <c r="AI39" i="150" s="1"/>
  <c r="H71" i="111"/>
  <c r="G109" i="111" s="1"/>
  <c r="R96" i="147"/>
  <c r="AE38" i="150"/>
  <c r="AF38" i="150" s="1"/>
  <c r="AG38" i="150" s="1"/>
  <c r="AH38" i="150" s="1"/>
  <c r="AI38" i="150" s="1"/>
  <c r="H101" i="77"/>
  <c r="J9" i="77"/>
  <c r="DA9" i="77"/>
  <c r="DA101" i="77" s="1"/>
  <c r="H73" i="111"/>
  <c r="G111" i="111" s="1"/>
  <c r="AS38" i="77"/>
  <c r="AS130" i="77" s="1"/>
  <c r="R98" i="147"/>
  <c r="BT36" i="158"/>
  <c r="D55" i="161"/>
  <c r="F55" i="161" s="1"/>
  <c r="H55" i="161" s="1"/>
  <c r="H73" i="148"/>
  <c r="I73" i="148" s="1"/>
  <c r="K73" i="148" s="1"/>
  <c r="J73" i="148" s="1"/>
  <c r="F69" i="161"/>
  <c r="H67" i="148"/>
  <c r="I67" i="148" s="1"/>
  <c r="K67" i="148" s="1"/>
  <c r="J67" i="148" s="1"/>
  <c r="F63" i="161"/>
  <c r="GQ38" i="158"/>
  <c r="C72" i="119"/>
  <c r="GM38" i="158"/>
  <c r="AG10" i="150"/>
  <c r="AH10" i="150" s="1"/>
  <c r="AI10" i="150" s="1"/>
  <c r="AG20" i="150"/>
  <c r="AH20" i="150" s="1"/>
  <c r="AI20" i="150" s="1"/>
  <c r="AG17" i="150"/>
  <c r="AH17" i="150" s="1"/>
  <c r="AI17" i="150" s="1"/>
  <c r="AG22" i="150"/>
  <c r="AH22" i="150" s="1"/>
  <c r="AI22" i="150" s="1"/>
  <c r="AG13" i="150"/>
  <c r="AH13" i="150" s="1"/>
  <c r="AI13" i="150" s="1"/>
  <c r="AG19" i="150"/>
  <c r="AH19" i="150" s="1"/>
  <c r="AI19" i="150" s="1"/>
  <c r="AG16" i="150"/>
  <c r="AH16" i="150" s="1"/>
  <c r="AI16" i="150" s="1"/>
  <c r="AF21" i="148"/>
  <c r="AG21" i="148" s="1"/>
  <c r="AF33" i="148"/>
  <c r="AG33" i="148" s="1"/>
  <c r="AF12" i="148"/>
  <c r="AG12" i="148" s="1"/>
  <c r="AF34" i="148"/>
  <c r="AG34" i="148" s="1"/>
  <c r="AF39" i="148"/>
  <c r="AG39" i="148" s="1"/>
  <c r="AF26" i="148"/>
  <c r="AG26" i="148" s="1"/>
  <c r="AF14" i="148"/>
  <c r="AG14" i="148" s="1"/>
  <c r="AF27" i="148"/>
  <c r="AG27" i="148" s="1"/>
  <c r="AF17" i="148"/>
  <c r="AG17" i="148" s="1"/>
  <c r="AF13" i="148"/>
  <c r="AG13" i="148" s="1"/>
  <c r="AF18" i="148"/>
  <c r="AG18" i="148" s="1"/>
  <c r="AF20" i="148"/>
  <c r="AG20" i="148" s="1"/>
  <c r="AF24" i="148"/>
  <c r="AG24" i="148" s="1"/>
  <c r="AF22" i="148"/>
  <c r="AG22" i="148" s="1"/>
  <c r="AF38" i="148"/>
  <c r="AG38" i="148" s="1"/>
  <c r="AF19" i="148"/>
  <c r="AG19" i="148" s="1"/>
  <c r="AF29" i="148"/>
  <c r="AG29" i="148" s="1"/>
  <c r="AF10" i="148"/>
  <c r="AG10" i="148" s="1"/>
  <c r="AF36" i="148"/>
  <c r="AG36" i="148" s="1"/>
  <c r="AF23" i="148"/>
  <c r="AG23" i="148" s="1"/>
  <c r="AF37" i="148"/>
  <c r="AG37" i="148" s="1"/>
  <c r="AF31" i="148"/>
  <c r="AG31" i="148" s="1"/>
  <c r="AF30" i="148"/>
  <c r="AG30" i="148" s="1"/>
  <c r="AF16" i="148"/>
  <c r="AG16" i="148" s="1"/>
  <c r="AF35" i="148"/>
  <c r="AG35" i="148" s="1"/>
  <c r="AF11" i="148"/>
  <c r="AG11" i="148" s="1"/>
  <c r="AF25" i="148"/>
  <c r="AG25" i="148" s="1"/>
  <c r="AF28" i="148"/>
  <c r="AG28" i="148" s="1"/>
  <c r="AF15" i="148"/>
  <c r="AG15" i="148" s="1"/>
  <c r="AF32" i="148"/>
  <c r="AG32" i="148" s="1"/>
  <c r="BS90" i="158"/>
  <c r="BS88" i="158"/>
  <c r="BS89" i="158"/>
  <c r="G38" i="158"/>
  <c r="BA38" i="158"/>
  <c r="AZ38" i="158" s="1"/>
  <c r="AO65" i="161"/>
  <c r="AP65" i="161" s="1"/>
  <c r="AE38" i="158"/>
  <c r="AO62" i="161"/>
  <c r="AO56" i="161"/>
  <c r="AP56" i="161" s="1"/>
  <c r="AI66" i="111"/>
  <c r="E36" i="136"/>
  <c r="C70" i="119"/>
  <c r="B32" i="92"/>
  <c r="G36" i="158"/>
  <c r="AE36" i="158"/>
  <c r="C71" i="119"/>
  <c r="AE37" i="158"/>
  <c r="G37" i="158"/>
  <c r="AO52" i="161"/>
  <c r="AP52" i="161" s="1"/>
  <c r="D67" i="161"/>
  <c r="F67" i="161" s="1"/>
  <c r="AI49" i="111"/>
  <c r="AJ49" i="111" s="1"/>
  <c r="AO45" i="161"/>
  <c r="D45" i="161" s="1"/>
  <c r="F45" i="161" s="1"/>
  <c r="AO49" i="161"/>
  <c r="AP49" i="161" s="1"/>
  <c r="AO70" i="161"/>
  <c r="AP70" i="161" s="1"/>
  <c r="AO53" i="161"/>
  <c r="D53" i="161" s="1"/>
  <c r="F53" i="161" s="1"/>
  <c r="AO57" i="161"/>
  <c r="AP57" i="161" s="1"/>
  <c r="AI62" i="111"/>
  <c r="D62" i="111" s="1"/>
  <c r="Z254" i="100"/>
  <c r="T266" i="100" s="1"/>
  <c r="V266" i="100" s="1"/>
  <c r="AI266" i="100" s="1"/>
  <c r="D61" i="161"/>
  <c r="I55" i="161"/>
  <c r="O55" i="161" s="1"/>
  <c r="I47" i="161"/>
  <c r="O47" i="161" s="1"/>
  <c r="X47" i="161"/>
  <c r="H47" i="161"/>
  <c r="AP58" i="161"/>
  <c r="D58" i="161"/>
  <c r="F58" i="161" s="1"/>
  <c r="AN48" i="161"/>
  <c r="GI13" i="158" s="1"/>
  <c r="AM48" i="161"/>
  <c r="AN43" i="161"/>
  <c r="GI8" i="158" s="1"/>
  <c r="AM43" i="161"/>
  <c r="AN54" i="161"/>
  <c r="GI19" i="158" s="1"/>
  <c r="AM54" i="161"/>
  <c r="AO68" i="161"/>
  <c r="BQ38" i="158"/>
  <c r="AO50" i="161"/>
  <c r="BQ36" i="158"/>
  <c r="AO59" i="161"/>
  <c r="AN51" i="161"/>
  <c r="GI16" i="158" s="1"/>
  <c r="AM51" i="161"/>
  <c r="AO46" i="161"/>
  <c r="AH53" i="111"/>
  <c r="DJ19" i="36" s="1"/>
  <c r="AG53" i="111"/>
  <c r="AH60" i="111"/>
  <c r="DJ26" i="36" s="1"/>
  <c r="AG60" i="111"/>
  <c r="AO64" i="161"/>
  <c r="AO66" i="161"/>
  <c r="AH51" i="111"/>
  <c r="DJ17" i="36" s="1"/>
  <c r="AG51" i="111"/>
  <c r="AH44" i="111"/>
  <c r="DJ10" i="36" s="1"/>
  <c r="AG44" i="111"/>
  <c r="AP62" i="161"/>
  <c r="D62" i="161"/>
  <c r="F62" i="161" s="1"/>
  <c r="BQ37" i="158"/>
  <c r="E13" i="126"/>
  <c r="I13" i="126" s="1"/>
  <c r="J13" i="126" s="1"/>
  <c r="GQ36" i="158"/>
  <c r="GM36" i="158"/>
  <c r="BA36" i="158"/>
  <c r="AN60" i="161"/>
  <c r="GI25" i="158" s="1"/>
  <c r="AM60" i="161"/>
  <c r="AH43" i="111"/>
  <c r="DJ9" i="36" s="1"/>
  <c r="AG43" i="111"/>
  <c r="BA37" i="158"/>
  <c r="GM37" i="158"/>
  <c r="GQ37" i="158"/>
  <c r="AF54" i="111"/>
  <c r="AE54" i="111"/>
  <c r="AI59" i="111"/>
  <c r="D59" i="111" s="1"/>
  <c r="AG48" i="111"/>
  <c r="AH48" i="111"/>
  <c r="DJ14" i="36" s="1"/>
  <c r="AK74" i="161"/>
  <c r="AL74" i="161"/>
  <c r="AI65" i="111"/>
  <c r="D65" i="111" s="1"/>
  <c r="AI64" i="111"/>
  <c r="D64" i="111" s="1"/>
  <c r="AN44" i="161"/>
  <c r="GI9" i="158" s="1"/>
  <c r="AM44" i="161"/>
  <c r="AI57" i="111"/>
  <c r="AA255" i="100"/>
  <c r="U267" i="100" s="1"/>
  <c r="W267" i="100" s="1"/>
  <c r="AJ267" i="100" s="1"/>
  <c r="Z253" i="100"/>
  <c r="T265" i="100" s="1"/>
  <c r="V265" i="100" s="1"/>
  <c r="AI265" i="100" s="1"/>
  <c r="Z255" i="100"/>
  <c r="T267" i="100" s="1"/>
  <c r="V267" i="100" s="1"/>
  <c r="AI267" i="100" s="1"/>
  <c r="AA254" i="100"/>
  <c r="U266" i="100" s="1"/>
  <c r="W266" i="100" s="1"/>
  <c r="AJ266" i="100" s="1"/>
  <c r="Z256" i="100"/>
  <c r="T268" i="100" s="1"/>
  <c r="AI58" i="111"/>
  <c r="D58" i="111" s="1"/>
  <c r="AX71" i="18"/>
  <c r="BJ41" i="36"/>
  <c r="J88" i="158"/>
  <c r="HE11" i="158"/>
  <c r="AB71" i="18"/>
  <c r="AA42" i="18"/>
  <c r="AB42" i="18"/>
  <c r="C42" i="18"/>
  <c r="X69" i="18"/>
  <c r="V69" i="18" s="1"/>
  <c r="T71" i="18"/>
  <c r="C71" i="18"/>
  <c r="AG71" i="18" s="1"/>
  <c r="E42" i="18"/>
  <c r="K42" i="18"/>
  <c r="Q69" i="18"/>
  <c r="F42" i="18"/>
  <c r="K71" i="18"/>
  <c r="S71" i="18"/>
  <c r="CX102" i="77"/>
  <c r="J103" i="77"/>
  <c r="AM11" i="36"/>
  <c r="AQ102" i="77"/>
  <c r="G10" i="119"/>
  <c r="F71" i="18"/>
  <c r="BI41" i="36"/>
  <c r="U15" i="18"/>
  <c r="D42" i="18"/>
  <c r="R71" i="18"/>
  <c r="BQ15" i="158"/>
  <c r="L5" i="177"/>
  <c r="G9" i="22"/>
  <c r="J86" i="158"/>
  <c r="HE9" i="158"/>
  <c r="J44" i="77"/>
  <c r="J39" i="158"/>
  <c r="DY3" i="158"/>
  <c r="D16" i="163"/>
  <c r="G16" i="155"/>
  <c r="F72" i="148"/>
  <c r="A35" i="148"/>
  <c r="BQ9" i="158"/>
  <c r="BS86" i="158"/>
  <c r="BQ34" i="158"/>
  <c r="BQ29" i="158"/>
  <c r="BQ13" i="158"/>
  <c r="BQ28" i="158"/>
  <c r="L4" i="177"/>
  <c r="G8" i="22"/>
  <c r="HE8" i="158"/>
  <c r="J85" i="158"/>
  <c r="C43" i="111"/>
  <c r="I9" i="36"/>
  <c r="BQ32" i="158"/>
  <c r="AS9" i="36"/>
  <c r="AR9" i="36" s="1"/>
  <c r="BF9" i="36"/>
  <c r="BH41" i="36" s="1"/>
  <c r="BF42" i="36"/>
  <c r="L6" i="177"/>
  <c r="G10" i="22"/>
  <c r="HE10" i="158"/>
  <c r="J87" i="158"/>
  <c r="BQ10" i="158"/>
  <c r="BS87" i="158"/>
  <c r="BQ12" i="158"/>
  <c r="BQ26" i="158"/>
  <c r="BQ19" i="158"/>
  <c r="L7" i="177"/>
  <c r="CY7" i="177" s="1"/>
  <c r="G11" i="22"/>
  <c r="BQ11" i="158"/>
  <c r="BQ35" i="158"/>
  <c r="BQ24" i="158"/>
  <c r="GZ15" i="158"/>
  <c r="FC15" i="158"/>
  <c r="A10" i="168"/>
  <c r="M10" i="168" s="1"/>
  <c r="D15" i="136"/>
  <c r="A13" i="159"/>
  <c r="B92" i="158"/>
  <c r="B16" i="158"/>
  <c r="BD15" i="158"/>
  <c r="EF91" i="158"/>
  <c r="DT91" i="158"/>
  <c r="CX91" i="158"/>
  <c r="AA91" i="158"/>
  <c r="C91" i="158"/>
  <c r="EK91" i="158"/>
  <c r="DY91" i="158"/>
  <c r="DM91" i="158"/>
  <c r="BF91" i="158"/>
  <c r="H91" i="158"/>
  <c r="EB91" i="158"/>
  <c r="DN91" i="158"/>
  <c r="W91" i="158"/>
  <c r="I91" i="158"/>
  <c r="EA91" i="158"/>
  <c r="DL91" i="158"/>
  <c r="DZ91" i="158"/>
  <c r="DA91" i="158"/>
  <c r="BS91" i="158"/>
  <c r="AX91" i="158"/>
  <c r="F91" i="158"/>
  <c r="DX91" i="158"/>
  <c r="CZ91" i="158"/>
  <c r="BL91" i="158"/>
  <c r="EL91" i="158"/>
  <c r="DW91" i="158"/>
  <c r="CY91" i="158"/>
  <c r="BK91" i="158"/>
  <c r="AU91" i="158"/>
  <c r="EJ91" i="158"/>
  <c r="DV91" i="158"/>
  <c r="CC91" i="158"/>
  <c r="BJ91" i="158"/>
  <c r="AT91" i="158"/>
  <c r="EI91" i="158"/>
  <c r="DU91" i="158"/>
  <c r="CB91" i="158"/>
  <c r="BI91" i="158"/>
  <c r="EH91" i="158"/>
  <c r="DS91" i="158"/>
  <c r="CA91" i="158"/>
  <c r="BH91" i="158"/>
  <c r="N91" i="158"/>
  <c r="EG91" i="158"/>
  <c r="DR91" i="158"/>
  <c r="BZ91" i="158"/>
  <c r="BG91" i="158"/>
  <c r="EE91" i="158"/>
  <c r="DQ91" i="158"/>
  <c r="BY91" i="158"/>
  <c r="BE91" i="158"/>
  <c r="Z91" i="158"/>
  <c r="L91" i="158"/>
  <c r="ED91" i="158"/>
  <c r="DP91" i="158"/>
  <c r="BX91" i="158"/>
  <c r="BD91" i="158"/>
  <c r="Y91" i="158"/>
  <c r="K91" i="158"/>
  <c r="X91" i="158"/>
  <c r="J91" i="158"/>
  <c r="EC91" i="158"/>
  <c r="DO91" i="158"/>
  <c r="HJ14" i="158"/>
  <c r="HH14" i="158"/>
  <c r="HG14" i="158"/>
  <c r="IE14" i="158"/>
  <c r="HE14" i="158"/>
  <c r="ID14" i="158"/>
  <c r="HR14" i="158"/>
  <c r="HQ14" i="158"/>
  <c r="HP14" i="158"/>
  <c r="HO14" i="158"/>
  <c r="HA14" i="158"/>
  <c r="HS14" i="158"/>
  <c r="FK14" i="158"/>
  <c r="FR14" i="158"/>
  <c r="GG14" i="158"/>
  <c r="FT14" i="158"/>
  <c r="FU14" i="158"/>
  <c r="GA14" i="158"/>
  <c r="FJ14" i="158"/>
  <c r="FS14" i="158"/>
  <c r="FD14" i="158"/>
  <c r="FH14" i="158"/>
  <c r="FM14" i="158"/>
  <c r="GH14" i="158"/>
  <c r="FV14" i="158"/>
  <c r="FA14" i="158"/>
  <c r="GJ14" i="158"/>
  <c r="GU14" i="158"/>
  <c r="BQ23" i="158"/>
  <c r="AH15" i="18"/>
  <c r="G15" i="18"/>
  <c r="AK15" i="18"/>
  <c r="B17" i="18"/>
  <c r="B72" i="18"/>
  <c r="BQ22" i="158"/>
  <c r="BQ27" i="158"/>
  <c r="BQ20" i="158"/>
  <c r="B16" i="22"/>
  <c r="AP15" i="22"/>
  <c r="AU15" i="22"/>
  <c r="CO15" i="22"/>
  <c r="BQ21" i="158"/>
  <c r="BQ14" i="158"/>
  <c r="BQ17" i="158"/>
  <c r="K47" i="161"/>
  <c r="L48" i="161"/>
  <c r="AA47" i="161"/>
  <c r="C45" i="92"/>
  <c r="C63" i="77"/>
  <c r="D15" i="115"/>
  <c r="Z12" i="77"/>
  <c r="Z104" i="77" s="1"/>
  <c r="J12" i="77"/>
  <c r="D8" i="177" s="1"/>
  <c r="DA12" i="77"/>
  <c r="DA104" i="77" s="1"/>
  <c r="A46" i="92"/>
  <c r="A9" i="92" s="1"/>
  <c r="B16" i="115"/>
  <c r="K48" i="111"/>
  <c r="B105" i="77"/>
  <c r="B14" i="77"/>
  <c r="DC14" i="77" s="1"/>
  <c r="DO10" i="177" s="1"/>
  <c r="AV13" i="77"/>
  <c r="B64" i="77"/>
  <c r="BD13" i="77"/>
  <c r="DG9" i="177" s="1"/>
  <c r="BA13" i="77"/>
  <c r="E11" i="119" s="1"/>
  <c r="I13" i="77"/>
  <c r="AW13" i="77"/>
  <c r="BB13" i="77"/>
  <c r="F11" i="119" s="1"/>
  <c r="F13" i="77"/>
  <c r="S13" i="77"/>
  <c r="C13" i="77"/>
  <c r="DW9" i="177" s="1"/>
  <c r="W13" i="77"/>
  <c r="L13" i="77"/>
  <c r="U13" i="77"/>
  <c r="CW13" i="77"/>
  <c r="K13" i="77" s="1"/>
  <c r="DS9" i="177" s="1"/>
  <c r="N13" i="77"/>
  <c r="E17" i="123" s="1"/>
  <c r="BE13" i="77"/>
  <c r="DK9" i="177" s="1"/>
  <c r="T13" i="77"/>
  <c r="BL13" i="77"/>
  <c r="H13" i="77"/>
  <c r="BG13" i="77"/>
  <c r="V13" i="77"/>
  <c r="CT104" i="77"/>
  <c r="CH104" i="77"/>
  <c r="BV104" i="77"/>
  <c r="BJ104" i="77"/>
  <c r="AX104" i="77"/>
  <c r="L104" i="77"/>
  <c r="CL104" i="77"/>
  <c r="BZ104" i="77"/>
  <c r="BN104" i="77"/>
  <c r="BB104" i="77"/>
  <c r="CZ104" i="77"/>
  <c r="CK104" i="77"/>
  <c r="BW104" i="77"/>
  <c r="CY104" i="77"/>
  <c r="CW104" i="77"/>
  <c r="CI104" i="77"/>
  <c r="BT104" i="77"/>
  <c r="CV104" i="77"/>
  <c r="CP104" i="77"/>
  <c r="CB104" i="77"/>
  <c r="BM104" i="77"/>
  <c r="AY104" i="77"/>
  <c r="T104" i="77"/>
  <c r="F104" i="77"/>
  <c r="DC104" i="77"/>
  <c r="CO104" i="77"/>
  <c r="CA104" i="77"/>
  <c r="BL104" i="77"/>
  <c r="AW104" i="77"/>
  <c r="S104" i="77"/>
  <c r="DB104" i="77"/>
  <c r="CN104" i="77"/>
  <c r="BY104" i="77"/>
  <c r="BK104" i="77"/>
  <c r="AV104" i="77"/>
  <c r="C104" i="77"/>
  <c r="CJ104" i="77"/>
  <c r="BO104" i="77"/>
  <c r="CG104" i="77"/>
  <c r="BI104" i="77"/>
  <c r="K104" i="77"/>
  <c r="CF104" i="77"/>
  <c r="BG104" i="77"/>
  <c r="CE104" i="77"/>
  <c r="BE104" i="77"/>
  <c r="I104" i="77"/>
  <c r="CD104" i="77"/>
  <c r="BD104" i="77"/>
  <c r="AC104" i="77"/>
  <c r="H104" i="77"/>
  <c r="CC104" i="77"/>
  <c r="BC104" i="77"/>
  <c r="BX104" i="77"/>
  <c r="BA104" i="77"/>
  <c r="CU104" i="77"/>
  <c r="BU104" i="77"/>
  <c r="AZ104" i="77"/>
  <c r="W104" i="77"/>
  <c r="CS104" i="77"/>
  <c r="BS104" i="77"/>
  <c r="AS104" i="77"/>
  <c r="V104" i="77"/>
  <c r="CR104" i="77"/>
  <c r="BR104" i="77"/>
  <c r="U104" i="77"/>
  <c r="CQ104" i="77"/>
  <c r="BQ104" i="77"/>
  <c r="CM104" i="77"/>
  <c r="BP104" i="77"/>
  <c r="N104" i="77"/>
  <c r="U47" i="111"/>
  <c r="J47" i="111"/>
  <c r="B61" i="115"/>
  <c r="O61" i="115" s="1"/>
  <c r="H15" i="115"/>
  <c r="BQ18" i="158"/>
  <c r="G43" i="161"/>
  <c r="G74" i="161" s="1"/>
  <c r="F8" i="158"/>
  <c r="BS8" i="158" s="1"/>
  <c r="B11" i="119"/>
  <c r="B47" i="119" s="1"/>
  <c r="B82" i="119" s="1"/>
  <c r="B70" i="36"/>
  <c r="B15" i="36"/>
  <c r="BE14" i="36"/>
  <c r="CY14" i="36" s="1"/>
  <c r="BQ31" i="158"/>
  <c r="BQ30" i="158"/>
  <c r="BQ25" i="158"/>
  <c r="BQ33" i="158"/>
  <c r="BQ16" i="158"/>
  <c r="P253" i="100"/>
  <c r="J265" i="100" s="1"/>
  <c r="L265" i="100" s="1"/>
  <c r="AC265" i="100" s="1"/>
  <c r="P254" i="100"/>
  <c r="M224" i="100"/>
  <c r="S226" i="100" s="1"/>
  <c r="Q255" i="100"/>
  <c r="K267" i="100" s="1"/>
  <c r="M267" i="100" s="1"/>
  <c r="AD267" i="100" s="1"/>
  <c r="AJ265" i="100"/>
  <c r="P256" i="100"/>
  <c r="J268" i="100" s="1"/>
  <c r="Q253" i="100"/>
  <c r="K265" i="100" s="1"/>
  <c r="M265" i="100" s="1"/>
  <c r="Q254" i="100"/>
  <c r="K266" i="100" s="1"/>
  <c r="M266" i="100" s="1"/>
  <c r="AD266" i="100" s="1"/>
  <c r="AG266" i="100"/>
  <c r="AF311" i="100" s="1"/>
  <c r="D16" i="18"/>
  <c r="F16" i="18"/>
  <c r="R16" i="18"/>
  <c r="T16" i="18"/>
  <c r="K16" i="18"/>
  <c r="E16" i="18"/>
  <c r="S16" i="18"/>
  <c r="V16" i="18"/>
  <c r="M16" i="18"/>
  <c r="J16" i="18"/>
  <c r="C16" i="18"/>
  <c r="H69" i="111" l="1"/>
  <c r="G107" i="111" s="1"/>
  <c r="AS34" i="77"/>
  <c r="AI68" i="111"/>
  <c r="D47" i="111"/>
  <c r="F47" i="111" s="1"/>
  <c r="H47" i="111" s="1"/>
  <c r="N47" i="111" s="1"/>
  <c r="L47" i="111" s="1"/>
  <c r="AJ47" i="111"/>
  <c r="F88" i="77"/>
  <c r="AS129" i="77"/>
  <c r="H67" i="111"/>
  <c r="G105" i="111" s="1"/>
  <c r="F9" i="177"/>
  <c r="CH9" i="177" s="1"/>
  <c r="DG13" i="77"/>
  <c r="BB38" i="158"/>
  <c r="M34" i="177"/>
  <c r="BB37" i="158"/>
  <c r="C106" i="119" s="1"/>
  <c r="M33" i="177"/>
  <c r="BB36" i="158"/>
  <c r="C105" i="119" s="1"/>
  <c r="M32" i="177"/>
  <c r="CW34" i="177"/>
  <c r="DA34" i="177" s="1"/>
  <c r="DE34" i="177" s="1"/>
  <c r="DI34" i="177" s="1"/>
  <c r="DM34" i="177" s="1"/>
  <c r="DQ34" i="177" s="1"/>
  <c r="DU34" i="177" s="1"/>
  <c r="CF34" i="177"/>
  <c r="CJ34" i="177" s="1"/>
  <c r="CN34" i="177" s="1"/>
  <c r="CR34" i="177" s="1"/>
  <c r="CF33" i="177"/>
  <c r="CJ33" i="177" s="1"/>
  <c r="CN33" i="177" s="1"/>
  <c r="CR33" i="177" s="1"/>
  <c r="CW33" i="177"/>
  <c r="DA33" i="177" s="1"/>
  <c r="DE33" i="177" s="1"/>
  <c r="DI33" i="177" s="1"/>
  <c r="DM33" i="177" s="1"/>
  <c r="DQ33" i="177" s="1"/>
  <c r="DU33" i="177" s="1"/>
  <c r="AJ66" i="111"/>
  <c r="D66" i="111"/>
  <c r="F66" i="111" s="1"/>
  <c r="D57" i="111"/>
  <c r="F57" i="111" s="1"/>
  <c r="E38" i="36"/>
  <c r="AN38" i="36" s="1"/>
  <c r="BA38" i="36" s="1"/>
  <c r="S97" i="147"/>
  <c r="T97" i="147" s="1"/>
  <c r="F70" i="111"/>
  <c r="H70" i="111" s="1"/>
  <c r="G108" i="111" s="1"/>
  <c r="R94" i="147"/>
  <c r="Q47" i="111"/>
  <c r="E39" i="36"/>
  <c r="S98" i="147"/>
  <c r="T98" i="147" s="1"/>
  <c r="S96" i="147"/>
  <c r="T96" i="147" s="1"/>
  <c r="E37" i="36"/>
  <c r="L50" i="111"/>
  <c r="AG16" i="18"/>
  <c r="AH16" i="18"/>
  <c r="AK16" i="18"/>
  <c r="AJ16" i="18"/>
  <c r="BV16" i="18" s="1"/>
  <c r="H16" i="18"/>
  <c r="AV15" i="22"/>
  <c r="I15" i="22"/>
  <c r="T15" i="22"/>
  <c r="P15" i="22"/>
  <c r="K15" i="22"/>
  <c r="G15" i="22"/>
  <c r="C15" i="22"/>
  <c r="CM15" i="22"/>
  <c r="H15" i="22" s="1"/>
  <c r="R15" i="22"/>
  <c r="Q15" i="22"/>
  <c r="P15" i="18"/>
  <c r="P42" i="18" s="1"/>
  <c r="O15" i="18"/>
  <c r="CP15" i="22"/>
  <c r="BB14" i="22"/>
  <c r="H71" i="18"/>
  <c r="AK71" i="18" s="1"/>
  <c r="H42" i="18"/>
  <c r="D41" i="22"/>
  <c r="C41" i="22"/>
  <c r="Q14" i="18"/>
  <c r="W14" i="18"/>
  <c r="Y15" i="18"/>
  <c r="S14" i="22"/>
  <c r="Z14" i="18"/>
  <c r="AI50" i="111"/>
  <c r="AH56" i="111"/>
  <c r="DJ22" i="36" s="1"/>
  <c r="AG56" i="111"/>
  <c r="AJ55" i="111"/>
  <c r="D55" i="111"/>
  <c r="F55" i="111" s="1"/>
  <c r="AG52" i="111"/>
  <c r="AH52" i="111"/>
  <c r="DJ18" i="36" s="1"/>
  <c r="D45" i="111"/>
  <c r="F45" i="111" s="1"/>
  <c r="AJ45" i="111"/>
  <c r="U16" i="18"/>
  <c r="U42" i="18"/>
  <c r="N42" i="18"/>
  <c r="BR38" i="158"/>
  <c r="W39" i="148" s="1"/>
  <c r="AL39" i="148" s="1"/>
  <c r="BW38" i="158"/>
  <c r="BO38" i="158" s="1"/>
  <c r="BV38" i="158"/>
  <c r="BU38" i="158"/>
  <c r="D56" i="161"/>
  <c r="F56" i="161" s="1"/>
  <c r="I56" i="161" s="1"/>
  <c r="O56" i="161" s="1"/>
  <c r="D65" i="161"/>
  <c r="F65" i="161" s="1"/>
  <c r="X55" i="161"/>
  <c r="D5" i="177"/>
  <c r="CY5" i="177" s="1"/>
  <c r="J101" i="77"/>
  <c r="Y55" i="161"/>
  <c r="AB36" i="158"/>
  <c r="BW36" i="158"/>
  <c r="BU36" i="158"/>
  <c r="BV36" i="158"/>
  <c r="BR36" i="158"/>
  <c r="W37" i="148" s="1"/>
  <c r="AL37" i="148" s="1"/>
  <c r="BW37" i="158"/>
  <c r="BV37" i="158"/>
  <c r="BN37" i="158" s="1"/>
  <c r="BU37" i="158"/>
  <c r="BR37" i="158"/>
  <c r="W38" i="148" s="1"/>
  <c r="AL38" i="148" s="1"/>
  <c r="F61" i="161"/>
  <c r="X61" i="161" s="1"/>
  <c r="AH16" i="148"/>
  <c r="AI16" i="148" s="1"/>
  <c r="AJ16" i="148" s="1"/>
  <c r="AH34" i="148"/>
  <c r="AI34" i="148" s="1"/>
  <c r="AJ34" i="148" s="1"/>
  <c r="AH23" i="148"/>
  <c r="AI23" i="148" s="1"/>
  <c r="AJ23" i="148" s="1"/>
  <c r="AH19" i="148"/>
  <c r="AI19" i="148" s="1"/>
  <c r="AJ19" i="148" s="1"/>
  <c r="AH27" i="148"/>
  <c r="AI27" i="148" s="1"/>
  <c r="AJ27" i="148" s="1"/>
  <c r="AH28" i="148"/>
  <c r="AI28" i="148" s="1"/>
  <c r="AJ28" i="148" s="1"/>
  <c r="AH20" i="148"/>
  <c r="AI20" i="148" s="1"/>
  <c r="AJ20" i="148" s="1"/>
  <c r="AH30" i="148"/>
  <c r="AI30" i="148" s="1"/>
  <c r="AJ30" i="148" s="1"/>
  <c r="AH36" i="148"/>
  <c r="AI36" i="148" s="1"/>
  <c r="AJ36" i="148" s="1"/>
  <c r="AK38" i="148"/>
  <c r="AH38" i="148"/>
  <c r="AI38" i="148" s="1"/>
  <c r="AJ38" i="148" s="1"/>
  <c r="AH18" i="148"/>
  <c r="AI18" i="148" s="1"/>
  <c r="AJ18" i="148" s="1"/>
  <c r="AH14" i="148"/>
  <c r="AI14" i="148" s="1"/>
  <c r="AJ14" i="148" s="1"/>
  <c r="AH12" i="148"/>
  <c r="AI12" i="148" s="1"/>
  <c r="AJ12" i="148" s="1"/>
  <c r="AH25" i="148"/>
  <c r="AI25" i="148" s="1"/>
  <c r="AJ25" i="148" s="1"/>
  <c r="AH32" i="148"/>
  <c r="AI32" i="148" s="1"/>
  <c r="AJ32" i="148" s="1"/>
  <c r="AH10" i="148"/>
  <c r="AI10" i="148" s="1"/>
  <c r="AJ10" i="148" s="1"/>
  <c r="AH22" i="148"/>
  <c r="AI22" i="148" s="1"/>
  <c r="AJ22" i="148" s="1"/>
  <c r="AH26" i="148"/>
  <c r="AI26" i="148" s="1"/>
  <c r="AJ26" i="148" s="1"/>
  <c r="AH11" i="148"/>
  <c r="AI11" i="148" s="1"/>
  <c r="AJ11" i="148" s="1"/>
  <c r="AH31" i="148"/>
  <c r="AI31" i="148" s="1"/>
  <c r="AJ31" i="148" s="1"/>
  <c r="AH13" i="148"/>
  <c r="AI13" i="148" s="1"/>
  <c r="AJ13" i="148" s="1"/>
  <c r="AH33" i="148"/>
  <c r="AI33" i="148" s="1"/>
  <c r="AJ33" i="148" s="1"/>
  <c r="AH24" i="148"/>
  <c r="AI24" i="148" s="1"/>
  <c r="AJ24" i="148" s="1"/>
  <c r="D49" i="111"/>
  <c r="F49" i="111" s="1"/>
  <c r="H49" i="111" s="1"/>
  <c r="N49" i="111" s="1"/>
  <c r="AH15" i="148"/>
  <c r="AI15" i="148" s="1"/>
  <c r="AJ15" i="148" s="1"/>
  <c r="AH35" i="148"/>
  <c r="AI35" i="148" s="1"/>
  <c r="AJ35" i="148" s="1"/>
  <c r="AH37" i="148"/>
  <c r="AI37" i="148" s="1"/>
  <c r="AJ37" i="148" s="1"/>
  <c r="AK37" i="148"/>
  <c r="AH29" i="148"/>
  <c r="AI29" i="148" s="1"/>
  <c r="AJ29" i="148" s="1"/>
  <c r="AH17" i="148"/>
  <c r="AI17" i="148" s="1"/>
  <c r="AJ17" i="148" s="1"/>
  <c r="AH39" i="148"/>
  <c r="AI39" i="148" s="1"/>
  <c r="AJ39" i="148" s="1"/>
  <c r="AK39" i="148"/>
  <c r="AH21" i="148"/>
  <c r="AI21" i="148" s="1"/>
  <c r="AJ21" i="148" s="1"/>
  <c r="O89" i="161"/>
  <c r="AB38" i="158"/>
  <c r="AP45" i="161"/>
  <c r="AB37" i="158"/>
  <c r="D49" i="161"/>
  <c r="AI60" i="111"/>
  <c r="D60" i="111" s="1"/>
  <c r="AO54" i="161"/>
  <c r="AP54" i="161" s="1"/>
  <c r="D57" i="161"/>
  <c r="D46" i="111"/>
  <c r="F46" i="111" s="1"/>
  <c r="Q46" i="111" s="1"/>
  <c r="AP53" i="161"/>
  <c r="H71" i="148"/>
  <c r="I71" i="148" s="1"/>
  <c r="K71" i="148" s="1"/>
  <c r="J71" i="148" s="1"/>
  <c r="D52" i="161"/>
  <c r="AJ57" i="111"/>
  <c r="D70" i="161"/>
  <c r="F70" i="161" s="1"/>
  <c r="AO60" i="161"/>
  <c r="D60" i="161" s="1"/>
  <c r="F60" i="161" s="1"/>
  <c r="X45" i="161"/>
  <c r="I45" i="161"/>
  <c r="O45" i="161" s="1"/>
  <c r="H45" i="161"/>
  <c r="AJ62" i="111"/>
  <c r="F62" i="111"/>
  <c r="AI48" i="111"/>
  <c r="AJ48" i="111" s="1"/>
  <c r="AO44" i="161"/>
  <c r="AP44" i="161" s="1"/>
  <c r="AO51" i="161"/>
  <c r="AP51" i="161" s="1"/>
  <c r="I63" i="161"/>
  <c r="O63" i="161" s="1"/>
  <c r="X63" i="161"/>
  <c r="H63" i="161"/>
  <c r="AJ64" i="111"/>
  <c r="F64" i="111"/>
  <c r="AZ36" i="158"/>
  <c r="AI51" i="111"/>
  <c r="AP50" i="161"/>
  <c r="D50" i="161"/>
  <c r="F50" i="161" s="1"/>
  <c r="AO48" i="161"/>
  <c r="AJ59" i="111"/>
  <c r="F59" i="111"/>
  <c r="F65" i="111"/>
  <c r="AJ65" i="111"/>
  <c r="AQ38" i="158"/>
  <c r="AP46" i="161"/>
  <c r="D46" i="161"/>
  <c r="F46" i="161" s="1"/>
  <c r="H66" i="148"/>
  <c r="I66" i="148" s="1"/>
  <c r="K66" i="148" s="1"/>
  <c r="J66" i="148" s="1"/>
  <c r="AP66" i="161"/>
  <c r="D66" i="161"/>
  <c r="F66" i="161" s="1"/>
  <c r="I69" i="161"/>
  <c r="O69" i="161" s="1"/>
  <c r="H69" i="161"/>
  <c r="X69" i="161"/>
  <c r="AG54" i="111"/>
  <c r="AH54" i="111"/>
  <c r="DJ20" i="36" s="1"/>
  <c r="AM74" i="161"/>
  <c r="AN74" i="161" s="1"/>
  <c r="AZ37" i="158"/>
  <c r="C107" i="119"/>
  <c r="AP64" i="161"/>
  <c r="D64" i="161"/>
  <c r="F64" i="161" s="1"/>
  <c r="X58" i="161"/>
  <c r="I58" i="161"/>
  <c r="O58" i="161" s="1"/>
  <c r="H58" i="161"/>
  <c r="AI53" i="111"/>
  <c r="AP59" i="161"/>
  <c r="D59" i="161"/>
  <c r="F59" i="161" s="1"/>
  <c r="AP68" i="161"/>
  <c r="D68" i="161"/>
  <c r="F68" i="161" s="1"/>
  <c r="AI43" i="111"/>
  <c r="AI44" i="111"/>
  <c r="I53" i="161"/>
  <c r="O53" i="161" s="1"/>
  <c r="X53" i="161"/>
  <c r="H53" i="161"/>
  <c r="AO43" i="161"/>
  <c r="D43" i="161" s="1"/>
  <c r="W272" i="100"/>
  <c r="X272" i="100" s="1"/>
  <c r="AD38" i="158"/>
  <c r="AH40" i="158"/>
  <c r="AD36" i="158"/>
  <c r="AD37" i="158"/>
  <c r="G11" i="119"/>
  <c r="AJ58" i="111"/>
  <c r="F58" i="111"/>
  <c r="AI15" i="18"/>
  <c r="CY6" i="177"/>
  <c r="J104" i="77"/>
  <c r="L35" i="177"/>
  <c r="AE5" i="177" s="1"/>
  <c r="O71" i="18"/>
  <c r="O42" i="18"/>
  <c r="AD71" i="18"/>
  <c r="AH71" i="18"/>
  <c r="U71" i="18"/>
  <c r="M69" i="18"/>
  <c r="L69" i="18"/>
  <c r="B12" i="119"/>
  <c r="B48" i="119" s="1"/>
  <c r="B83" i="119" s="1"/>
  <c r="B71" i="36"/>
  <c r="BE15" i="36"/>
  <c r="B16" i="36"/>
  <c r="F39" i="158"/>
  <c r="F3" i="158"/>
  <c r="F85" i="158"/>
  <c r="J13" i="77"/>
  <c r="D9" i="177" s="1"/>
  <c r="DA13" i="77"/>
  <c r="DA105" i="77" s="1"/>
  <c r="C46" i="92"/>
  <c r="C64" i="77"/>
  <c r="A47" i="92"/>
  <c r="A10" i="92" s="1"/>
  <c r="B17" i="115"/>
  <c r="K49" i="111"/>
  <c r="B15" i="77"/>
  <c r="D15" i="77" s="1"/>
  <c r="DX11" i="177" s="1"/>
  <c r="B65" i="77"/>
  <c r="B106" i="77"/>
  <c r="AV14" i="77"/>
  <c r="BD14" i="77"/>
  <c r="DG10" i="177" s="1"/>
  <c r="I14" i="77"/>
  <c r="BA14" i="77"/>
  <c r="E12" i="119" s="1"/>
  <c r="BB14" i="77"/>
  <c r="F12" i="119" s="1"/>
  <c r="T14" i="77"/>
  <c r="W14" i="77"/>
  <c r="F14" i="77"/>
  <c r="L14" i="77"/>
  <c r="AW14" i="77"/>
  <c r="U14" i="77"/>
  <c r="S14" i="77"/>
  <c r="N14" i="77"/>
  <c r="E18" i="123" s="1"/>
  <c r="BE14" i="77"/>
  <c r="DK10" i="177" s="1"/>
  <c r="C14" i="77"/>
  <c r="CW14" i="77"/>
  <c r="K14" i="77" s="1"/>
  <c r="DS10" i="177" s="1"/>
  <c r="BG14" i="77"/>
  <c r="H14" i="77"/>
  <c r="BL14" i="77"/>
  <c r="V14" i="77"/>
  <c r="CL105" i="77"/>
  <c r="BZ105" i="77"/>
  <c r="BN105" i="77"/>
  <c r="BB105" i="77"/>
  <c r="DB105" i="77"/>
  <c r="CP105" i="77"/>
  <c r="CD105" i="77"/>
  <c r="BR105" i="77"/>
  <c r="T105" i="77"/>
  <c r="H105" i="77"/>
  <c r="CV105" i="77"/>
  <c r="CH105" i="77"/>
  <c r="BT105" i="77"/>
  <c r="BE105" i="77"/>
  <c r="L105" i="77"/>
  <c r="CU105" i="77"/>
  <c r="CG105" i="77"/>
  <c r="BS105" i="77"/>
  <c r="BD105" i="77"/>
  <c r="K105" i="77"/>
  <c r="CT105" i="77"/>
  <c r="CF105" i="77"/>
  <c r="BQ105" i="77"/>
  <c r="BC105" i="77"/>
  <c r="CS105" i="77"/>
  <c r="CE105" i="77"/>
  <c r="BP105" i="77"/>
  <c r="BA105" i="77"/>
  <c r="W105" i="77"/>
  <c r="I105" i="77"/>
  <c r="CM105" i="77"/>
  <c r="BX105" i="77"/>
  <c r="BJ105" i="77"/>
  <c r="AV105" i="77"/>
  <c r="CZ105" i="77"/>
  <c r="CK105" i="77"/>
  <c r="BW105" i="77"/>
  <c r="BI105" i="77"/>
  <c r="AS105" i="77"/>
  <c r="CY105" i="77"/>
  <c r="CJ105" i="77"/>
  <c r="BV105" i="77"/>
  <c r="N105" i="77"/>
  <c r="CI105" i="77"/>
  <c r="AY105" i="77"/>
  <c r="CC105" i="77"/>
  <c r="AX105" i="77"/>
  <c r="CB105" i="77"/>
  <c r="AW105" i="77"/>
  <c r="CA105" i="77"/>
  <c r="F105" i="77"/>
  <c r="BY105" i="77"/>
  <c r="BU105" i="77"/>
  <c r="C105" i="77"/>
  <c r="DC105" i="77"/>
  <c r="BO105" i="77"/>
  <c r="CW105" i="77"/>
  <c r="BM105" i="77"/>
  <c r="CR105" i="77"/>
  <c r="BL105" i="77"/>
  <c r="CQ105" i="77"/>
  <c r="BK105" i="77"/>
  <c r="V105" i="77"/>
  <c r="CO105" i="77"/>
  <c r="BG105" i="77"/>
  <c r="U105" i="77"/>
  <c r="CN105" i="77"/>
  <c r="AZ105" i="77"/>
  <c r="S105" i="77"/>
  <c r="U48" i="111"/>
  <c r="J48" i="111"/>
  <c r="H16" i="115"/>
  <c r="B62" i="115"/>
  <c r="O62" i="115" s="1"/>
  <c r="CY8" i="177"/>
  <c r="L49" i="161"/>
  <c r="AA48" i="161"/>
  <c r="K48" i="161"/>
  <c r="B17" i="22"/>
  <c r="AP16" i="22"/>
  <c r="AU16" i="22"/>
  <c r="CO16" i="22"/>
  <c r="G16" i="18"/>
  <c r="N16" i="18"/>
  <c r="B18" i="18"/>
  <c r="B73" i="18"/>
  <c r="GZ16" i="158"/>
  <c r="FC16" i="158"/>
  <c r="A11" i="168"/>
  <c r="M11" i="168" s="1"/>
  <c r="D16" i="136"/>
  <c r="A14" i="159"/>
  <c r="B93" i="158"/>
  <c r="BD16" i="158"/>
  <c r="B17" i="158"/>
  <c r="EJ92" i="158"/>
  <c r="DX92" i="158"/>
  <c r="DL92" i="158"/>
  <c r="BE92" i="158"/>
  <c r="EC92" i="158"/>
  <c r="DQ92" i="158"/>
  <c r="CA92" i="158"/>
  <c r="BJ92" i="158"/>
  <c r="X92" i="158"/>
  <c r="L92" i="158"/>
  <c r="DY92" i="158"/>
  <c r="CZ92" i="158"/>
  <c r="AX92" i="158"/>
  <c r="EL92" i="158"/>
  <c r="DW92" i="158"/>
  <c r="CY92" i="158"/>
  <c r="BL92" i="158"/>
  <c r="AU92" i="158"/>
  <c r="EK92" i="158"/>
  <c r="DV92" i="158"/>
  <c r="CX92" i="158"/>
  <c r="BK92" i="158"/>
  <c r="AT92" i="158"/>
  <c r="C92" i="158"/>
  <c r="EI92" i="158"/>
  <c r="DU92" i="158"/>
  <c r="CC92" i="158"/>
  <c r="BI92" i="158"/>
  <c r="EH92" i="158"/>
  <c r="DT92" i="158"/>
  <c r="CB92" i="158"/>
  <c r="BH92" i="158"/>
  <c r="EG92" i="158"/>
  <c r="DS92" i="158"/>
  <c r="BZ92" i="158"/>
  <c r="BG92" i="158"/>
  <c r="N92" i="158"/>
  <c r="EF92" i="158"/>
  <c r="DR92" i="158"/>
  <c r="BY92" i="158"/>
  <c r="BF92" i="158"/>
  <c r="AA92" i="158"/>
  <c r="EE92" i="158"/>
  <c r="DP92" i="158"/>
  <c r="BX92" i="158"/>
  <c r="BD92" i="158"/>
  <c r="Z92" i="158"/>
  <c r="K92" i="158"/>
  <c r="ED92" i="158"/>
  <c r="DO92" i="158"/>
  <c r="Y92" i="158"/>
  <c r="J92" i="158"/>
  <c r="EB92" i="158"/>
  <c r="DN92" i="158"/>
  <c r="W92" i="158"/>
  <c r="I92" i="158"/>
  <c r="EA92" i="158"/>
  <c r="DM92" i="158"/>
  <c r="H92" i="158"/>
  <c r="DZ92" i="158"/>
  <c r="DA92" i="158"/>
  <c r="BS92" i="158"/>
  <c r="F92" i="158"/>
  <c r="ID15" i="158"/>
  <c r="HR15" i="158"/>
  <c r="HQ15" i="158"/>
  <c r="HE15" i="158"/>
  <c r="HP15" i="158"/>
  <c r="IE15" i="158"/>
  <c r="FD15" i="158"/>
  <c r="HA15" i="158"/>
  <c r="FH15" i="158"/>
  <c r="HO15" i="158"/>
  <c r="HJ15" i="158"/>
  <c r="HH15" i="158"/>
  <c r="HG15" i="158"/>
  <c r="FU15" i="158"/>
  <c r="HS15" i="158"/>
  <c r="FS15" i="158"/>
  <c r="FR15" i="158"/>
  <c r="FK15" i="158"/>
  <c r="FM15" i="158"/>
  <c r="GH15" i="158"/>
  <c r="FV15" i="158"/>
  <c r="FJ15" i="158"/>
  <c r="FT15" i="158"/>
  <c r="GA15" i="158"/>
  <c r="GG15" i="158"/>
  <c r="GU15" i="158"/>
  <c r="GJ15" i="158"/>
  <c r="FA15" i="158"/>
  <c r="H9" i="36"/>
  <c r="BL8" i="77"/>
  <c r="AR41" i="36"/>
  <c r="I41" i="36"/>
  <c r="I8" i="77"/>
  <c r="C74" i="111"/>
  <c r="I43" i="111"/>
  <c r="G41" i="22"/>
  <c r="A36" i="148"/>
  <c r="F73" i="148"/>
  <c r="C44" i="155"/>
  <c r="G17" i="155"/>
  <c r="D108" i="155"/>
  <c r="D109" i="155" s="1"/>
  <c r="AH120" i="155"/>
  <c r="AH134" i="155"/>
  <c r="AH135" i="155" s="1"/>
  <c r="AN23" i="155"/>
  <c r="EA42" i="158"/>
  <c r="I16" i="163"/>
  <c r="J16" i="163" s="1"/>
  <c r="AH106" i="163"/>
  <c r="AH107" i="163" s="1"/>
  <c r="AF23" i="163"/>
  <c r="DO41" i="158"/>
  <c r="AX23" i="163"/>
  <c r="U38" i="163"/>
  <c r="F16" i="163"/>
  <c r="G16" i="163" s="1"/>
  <c r="EH42" i="158"/>
  <c r="C32" i="32"/>
  <c r="J40" i="158"/>
  <c r="D17" i="163"/>
  <c r="J266" i="100"/>
  <c r="L266" i="100" s="1"/>
  <c r="AC266" i="100" s="1"/>
  <c r="P248" i="100"/>
  <c r="M272" i="100"/>
  <c r="AD265" i="100"/>
  <c r="D68" i="111" l="1"/>
  <c r="F68" i="111" s="1"/>
  <c r="AJ68" i="111"/>
  <c r="F85" i="77"/>
  <c r="AS126" i="77"/>
  <c r="W15" i="18"/>
  <c r="Z71" i="18"/>
  <c r="O23" i="18"/>
  <c r="F10" i="177"/>
  <c r="CH10" i="177" s="1"/>
  <c r="DG14" i="77"/>
  <c r="O21" i="18"/>
  <c r="O22" i="18"/>
  <c r="O19" i="18"/>
  <c r="O18" i="18"/>
  <c r="O20" i="18"/>
  <c r="AN39" i="36"/>
  <c r="BA39" i="36" s="1"/>
  <c r="AQ39" i="36"/>
  <c r="F74" i="148"/>
  <c r="A37" i="148"/>
  <c r="D40" i="77"/>
  <c r="DW10" i="177"/>
  <c r="DC15" i="77"/>
  <c r="DO11" i="177" s="1"/>
  <c r="AN15" i="77"/>
  <c r="AM15" i="77"/>
  <c r="Z38" i="36"/>
  <c r="W38" i="36" s="1"/>
  <c r="DB38" i="36"/>
  <c r="DC38" i="36" s="1"/>
  <c r="AQ38" i="36"/>
  <c r="Q57" i="111"/>
  <c r="AS22" i="77" s="1"/>
  <c r="F73" i="77" s="1"/>
  <c r="H57" i="111"/>
  <c r="DF38" i="36"/>
  <c r="DG38" i="36" s="1"/>
  <c r="G38" i="36"/>
  <c r="AO38" i="36" s="1"/>
  <c r="W38" i="150" s="1"/>
  <c r="R95" i="147"/>
  <c r="AS35" i="77"/>
  <c r="F60" i="111"/>
  <c r="Q60" i="111" s="1"/>
  <c r="AS25" i="77" s="1"/>
  <c r="F76" i="77" s="1"/>
  <c r="AN37" i="36"/>
  <c r="BA37" i="36" s="1"/>
  <c r="Z37" i="36"/>
  <c r="AQ37" i="36"/>
  <c r="DF37" i="36"/>
  <c r="DG37" i="36" s="1"/>
  <c r="G37" i="36"/>
  <c r="DB37" i="36"/>
  <c r="DC37" i="36" s="1"/>
  <c r="Z39" i="36"/>
  <c r="G39" i="36"/>
  <c r="DB39" i="36"/>
  <c r="DC39" i="36" s="1"/>
  <c r="DF39" i="36"/>
  <c r="DG39" i="36" s="1"/>
  <c r="AI56" i="111"/>
  <c r="D56" i="111" s="1"/>
  <c r="O16" i="18"/>
  <c r="O17" i="18"/>
  <c r="T16" i="22"/>
  <c r="AV16" i="22"/>
  <c r="Q16" i="22"/>
  <c r="K16" i="22"/>
  <c r="BB16" i="22"/>
  <c r="G16" i="22"/>
  <c r="P16" i="22"/>
  <c r="I16" i="22"/>
  <c r="CM16" i="22"/>
  <c r="H16" i="22" s="1"/>
  <c r="Z16" i="22"/>
  <c r="C16" i="22"/>
  <c r="R16" i="22"/>
  <c r="AI16" i="18"/>
  <c r="BB15" i="22"/>
  <c r="D48" i="92"/>
  <c r="D66" i="77"/>
  <c r="Q71" i="18"/>
  <c r="M71" i="18" s="1"/>
  <c r="Y16" i="18"/>
  <c r="S15" i="22"/>
  <c r="Z15" i="18"/>
  <c r="Q42" i="18"/>
  <c r="L42" i="18" s="1"/>
  <c r="M42" i="18" s="1"/>
  <c r="Q15" i="18"/>
  <c r="CP16" i="22"/>
  <c r="X15" i="18"/>
  <c r="X14" i="18"/>
  <c r="S16" i="22"/>
  <c r="AI52" i="111"/>
  <c r="D50" i="111"/>
  <c r="F50" i="111" s="1"/>
  <c r="AJ50" i="111"/>
  <c r="H55" i="111"/>
  <c r="N55" i="111" s="1"/>
  <c r="Q55" i="111"/>
  <c r="AS20" i="77" s="1"/>
  <c r="F71" i="77" s="1"/>
  <c r="Q45" i="111"/>
  <c r="H45" i="111"/>
  <c r="X56" i="161"/>
  <c r="Z56" i="161" s="1"/>
  <c r="H56" i="161"/>
  <c r="H69" i="148"/>
  <c r="I69" i="148" s="1"/>
  <c r="K69" i="148" s="1"/>
  <c r="J69" i="148" s="1"/>
  <c r="D48" i="111"/>
  <c r="F48" i="111" s="1"/>
  <c r="H48" i="111" s="1"/>
  <c r="N48" i="111" s="1"/>
  <c r="L48" i="111" s="1"/>
  <c r="L49" i="111" s="1"/>
  <c r="D46" i="163"/>
  <c r="BP37" i="148"/>
  <c r="BR37" i="148" s="1"/>
  <c r="AY36" i="158"/>
  <c r="AV37" i="148"/>
  <c r="AW37" i="148" s="1"/>
  <c r="BA37" i="148" s="1"/>
  <c r="C34" i="161" s="1"/>
  <c r="BP38" i="148"/>
  <c r="BR38" i="148" s="1"/>
  <c r="AY37" i="158"/>
  <c r="AV38" i="148"/>
  <c r="AW38" i="148" s="1"/>
  <c r="BA38" i="148" s="1"/>
  <c r="C35" i="161" s="1"/>
  <c r="BP39" i="148"/>
  <c r="BR39" i="148" s="1"/>
  <c r="AW39" i="148"/>
  <c r="BA39" i="148" s="1"/>
  <c r="C36" i="161" s="1"/>
  <c r="AY38" i="158"/>
  <c r="I61" i="161"/>
  <c r="O61" i="161" s="1"/>
  <c r="O103" i="161" s="1"/>
  <c r="AJ60" i="111"/>
  <c r="Q49" i="111"/>
  <c r="AS14" i="77" s="1"/>
  <c r="F65" i="77" s="1"/>
  <c r="H61" i="161"/>
  <c r="Y47" i="161"/>
  <c r="Z47" i="161"/>
  <c r="H60" i="111"/>
  <c r="BO36" i="158"/>
  <c r="AC36" i="158"/>
  <c r="E12" i="158"/>
  <c r="BM36" i="158"/>
  <c r="P47" i="111"/>
  <c r="E13" i="36"/>
  <c r="AN13" i="36" s="1"/>
  <c r="BA13" i="36" s="1"/>
  <c r="Z55" i="161"/>
  <c r="BN36" i="158"/>
  <c r="O97" i="161"/>
  <c r="BO37" i="158"/>
  <c r="E11" i="36"/>
  <c r="E20" i="158"/>
  <c r="BM38" i="158"/>
  <c r="F49" i="161"/>
  <c r="F52" i="161"/>
  <c r="I52" i="161" s="1"/>
  <c r="O52" i="161" s="1"/>
  <c r="F57" i="161"/>
  <c r="I57" i="161" s="1"/>
  <c r="O57" i="161" s="1"/>
  <c r="F43" i="161"/>
  <c r="I43" i="161" s="1"/>
  <c r="O43" i="161" s="1"/>
  <c r="BM37" i="158"/>
  <c r="AC37" i="158"/>
  <c r="BN38" i="158"/>
  <c r="D54" i="161"/>
  <c r="AC38" i="158"/>
  <c r="D51" i="161"/>
  <c r="H74" i="148"/>
  <c r="I74" i="148" s="1"/>
  <c r="K74" i="148" s="1"/>
  <c r="J74" i="148" s="1"/>
  <c r="D44" i="161"/>
  <c r="F44" i="161" s="1"/>
  <c r="I44" i="161" s="1"/>
  <c r="O44" i="161" s="1"/>
  <c r="AP60" i="161"/>
  <c r="H66" i="111"/>
  <c r="G104" i="111" s="1"/>
  <c r="R90" i="147"/>
  <c r="AS31" i="77"/>
  <c r="F82" i="77" s="1"/>
  <c r="H46" i="111"/>
  <c r="Z69" i="161"/>
  <c r="Z63" i="161"/>
  <c r="H67" i="161"/>
  <c r="I67" i="161"/>
  <c r="O67" i="161" s="1"/>
  <c r="X67" i="161"/>
  <c r="H62" i="111"/>
  <c r="G100" i="111" s="1"/>
  <c r="AS27" i="77"/>
  <c r="F78" i="77" s="1"/>
  <c r="Z53" i="161"/>
  <c r="H68" i="111"/>
  <c r="G106" i="111" s="1"/>
  <c r="R93" i="147"/>
  <c r="AS33" i="77"/>
  <c r="F84" i="77" s="1"/>
  <c r="H70" i="161"/>
  <c r="X70" i="161"/>
  <c r="I70" i="161"/>
  <c r="O70" i="161" s="1"/>
  <c r="AP43" i="161"/>
  <c r="AI54" i="111"/>
  <c r="H70" i="148"/>
  <c r="I70" i="148" s="1"/>
  <c r="K70" i="148" s="1"/>
  <c r="J70" i="148" s="1"/>
  <c r="AJ51" i="111"/>
  <c r="D51" i="111"/>
  <c r="F51" i="111" s="1"/>
  <c r="Y56" i="161"/>
  <c r="E21" i="158"/>
  <c r="O98" i="161"/>
  <c r="I65" i="161"/>
  <c r="O65" i="161" s="1"/>
  <c r="H65" i="161"/>
  <c r="X65" i="161"/>
  <c r="H72" i="148"/>
  <c r="I72" i="148" s="1"/>
  <c r="K72" i="148" s="1"/>
  <c r="J72" i="148" s="1"/>
  <c r="Z58" i="161"/>
  <c r="X62" i="161"/>
  <c r="I62" i="161"/>
  <c r="O62" i="161" s="1"/>
  <c r="H62" i="161"/>
  <c r="AS30" i="77"/>
  <c r="F81" i="77" s="1"/>
  <c r="H65" i="111"/>
  <c r="G103" i="111" s="1"/>
  <c r="R89" i="147"/>
  <c r="AQ36" i="158"/>
  <c r="AQ37" i="158"/>
  <c r="BA39" i="158"/>
  <c r="E18" i="158"/>
  <c r="O95" i="161"/>
  <c r="Y53" i="161"/>
  <c r="H68" i="148"/>
  <c r="I68" i="148" s="1"/>
  <c r="K68" i="148" s="1"/>
  <c r="J68" i="148" s="1"/>
  <c r="I46" i="161"/>
  <c r="O46" i="161" s="1"/>
  <c r="X46" i="161"/>
  <c r="H46" i="161"/>
  <c r="AP48" i="161"/>
  <c r="D48" i="161"/>
  <c r="H64" i="111"/>
  <c r="G102" i="111" s="1"/>
  <c r="AS29" i="77"/>
  <c r="F80" i="77" s="1"/>
  <c r="R88" i="147"/>
  <c r="O105" i="161"/>
  <c r="Y63" i="161"/>
  <c r="E28" i="158"/>
  <c r="AJ44" i="111"/>
  <c r="D44" i="111"/>
  <c r="F44" i="111" s="1"/>
  <c r="H60" i="161"/>
  <c r="I60" i="161"/>
  <c r="O60" i="161" s="1"/>
  <c r="X60" i="161"/>
  <c r="X59" i="161"/>
  <c r="H59" i="161"/>
  <c r="I59" i="161"/>
  <c r="O59" i="161" s="1"/>
  <c r="O111" i="161"/>
  <c r="Y69" i="161"/>
  <c r="E34" i="158"/>
  <c r="Q59" i="111"/>
  <c r="AS24" i="77" s="1"/>
  <c r="F75" i="77" s="1"/>
  <c r="H59" i="111"/>
  <c r="O100" i="161"/>
  <c r="E23" i="158"/>
  <c r="Y58" i="161"/>
  <c r="D43" i="111"/>
  <c r="AJ43" i="111"/>
  <c r="D53" i="111"/>
  <c r="F53" i="111" s="1"/>
  <c r="AJ53" i="111"/>
  <c r="I50" i="161"/>
  <c r="O50" i="161" s="1"/>
  <c r="H50" i="161"/>
  <c r="X50" i="161"/>
  <c r="W273" i="100"/>
  <c r="Y33" i="36"/>
  <c r="X35" i="161"/>
  <c r="J37" i="136" s="1"/>
  <c r="X34" i="161"/>
  <c r="J36" i="136" s="1"/>
  <c r="X36" i="161"/>
  <c r="J38" i="136" s="1"/>
  <c r="H58" i="111"/>
  <c r="Q58" i="111"/>
  <c r="AS23" i="77" s="1"/>
  <c r="F74" i="77" s="1"/>
  <c r="BA26" i="150"/>
  <c r="AW26" i="36"/>
  <c r="DH26" i="36"/>
  <c r="DI26" i="36" s="1"/>
  <c r="AX26" i="36" s="1"/>
  <c r="X71" i="18"/>
  <c r="V71" i="18" s="1"/>
  <c r="X42" i="18"/>
  <c r="W42" i="18"/>
  <c r="G12" i="119"/>
  <c r="AW26" i="150"/>
  <c r="BD26" i="150"/>
  <c r="CY9" i="177"/>
  <c r="Y14" i="36"/>
  <c r="AC13" i="77"/>
  <c r="CY15" i="36"/>
  <c r="Y10" i="36"/>
  <c r="AC9" i="77"/>
  <c r="J105" i="77"/>
  <c r="BC26" i="150"/>
  <c r="C40" i="77"/>
  <c r="AA23" i="161"/>
  <c r="AU25" i="158"/>
  <c r="AV19" i="149"/>
  <c r="F17" i="163"/>
  <c r="G17" i="163" s="1"/>
  <c r="I17" i="163"/>
  <c r="J17" i="163" s="1"/>
  <c r="E16" i="100"/>
  <c r="E20" i="117"/>
  <c r="F20" i="117" s="1"/>
  <c r="G20" i="117" s="1"/>
  <c r="J32" i="32"/>
  <c r="L32" i="32" s="1"/>
  <c r="M32" i="32" s="1"/>
  <c r="E32" i="32"/>
  <c r="F32" i="32" s="1"/>
  <c r="R32" i="32"/>
  <c r="AX24" i="163"/>
  <c r="AX26" i="163"/>
  <c r="AX25" i="163"/>
  <c r="AF25" i="163"/>
  <c r="AF26" i="163"/>
  <c r="AF24" i="163"/>
  <c r="AN26" i="155"/>
  <c r="AN25" i="155"/>
  <c r="AN24" i="155"/>
  <c r="AH123" i="155"/>
  <c r="AH121" i="155"/>
  <c r="AH124" i="155"/>
  <c r="AH122" i="155"/>
  <c r="G43" i="111"/>
  <c r="F9" i="36"/>
  <c r="I100" i="77"/>
  <c r="BL100" i="77"/>
  <c r="H71" i="36"/>
  <c r="H42" i="36"/>
  <c r="J9" i="36"/>
  <c r="H69" i="36"/>
  <c r="B43" i="111"/>
  <c r="H8" i="77"/>
  <c r="GZ17" i="158"/>
  <c r="FC17" i="158"/>
  <c r="A12" i="168"/>
  <c r="M12" i="168" s="1"/>
  <c r="D17" i="136"/>
  <c r="A15" i="159"/>
  <c r="B94" i="158"/>
  <c r="B18" i="158"/>
  <c r="BD17" i="158"/>
  <c r="EJ93" i="158"/>
  <c r="DX93" i="158"/>
  <c r="DL93" i="158"/>
  <c r="ED93" i="158"/>
  <c r="DQ93" i="158"/>
  <c r="BZ93" i="158"/>
  <c r="BI93" i="158"/>
  <c r="AU93" i="158"/>
  <c r="W93" i="158"/>
  <c r="K93" i="158"/>
  <c r="EI93" i="158"/>
  <c r="DV93" i="158"/>
  <c r="CY93" i="158"/>
  <c r="BS93" i="158"/>
  <c r="DW93" i="158"/>
  <c r="CC93" i="158"/>
  <c r="BJ93" i="158"/>
  <c r="EL93" i="158"/>
  <c r="DU93" i="158"/>
  <c r="CB93" i="158"/>
  <c r="BH93" i="158"/>
  <c r="AD93" i="158"/>
  <c r="EK93" i="158"/>
  <c r="DT93" i="158"/>
  <c r="CA93" i="158"/>
  <c r="BG93" i="158"/>
  <c r="N93" i="158"/>
  <c r="EH93" i="158"/>
  <c r="DS93" i="158"/>
  <c r="BY93" i="158"/>
  <c r="BF93" i="158"/>
  <c r="AA93" i="158"/>
  <c r="EG93" i="158"/>
  <c r="DR93" i="158"/>
  <c r="BX93" i="158"/>
  <c r="BE93" i="158"/>
  <c r="Z93" i="158"/>
  <c r="L93" i="158"/>
  <c r="EF93" i="158"/>
  <c r="DP93" i="158"/>
  <c r="BD93" i="158"/>
  <c r="AM93" i="158"/>
  <c r="Y93" i="158"/>
  <c r="J93" i="158"/>
  <c r="EE93" i="158"/>
  <c r="DO93" i="158"/>
  <c r="AL93" i="158"/>
  <c r="X93" i="158"/>
  <c r="I93" i="158"/>
  <c r="EC93" i="158"/>
  <c r="DN93" i="158"/>
  <c r="AK93" i="158"/>
  <c r="H93" i="158"/>
  <c r="EB93" i="158"/>
  <c r="DM93" i="158"/>
  <c r="EA93" i="158"/>
  <c r="DA93" i="158"/>
  <c r="AX93" i="158"/>
  <c r="F93" i="158"/>
  <c r="DZ93" i="158"/>
  <c r="CZ93" i="158"/>
  <c r="BL93" i="158"/>
  <c r="AG93" i="158"/>
  <c r="C93" i="158"/>
  <c r="DY93" i="158"/>
  <c r="CX93" i="158"/>
  <c r="BK93" i="158"/>
  <c r="AT93" i="158"/>
  <c r="HX16" i="158"/>
  <c r="HJ16" i="158"/>
  <c r="HQ16" i="158"/>
  <c r="HA16" i="158"/>
  <c r="FH16" i="158"/>
  <c r="IE16" i="158"/>
  <c r="HP16" i="158"/>
  <c r="ID16" i="158"/>
  <c r="HO16" i="158"/>
  <c r="FU16" i="158"/>
  <c r="FR16" i="158"/>
  <c r="GH16" i="158"/>
  <c r="FD16" i="158"/>
  <c r="GG16" i="158"/>
  <c r="FM16" i="158"/>
  <c r="HS16" i="158"/>
  <c r="FK16" i="158"/>
  <c r="HR16" i="158"/>
  <c r="FJ16" i="158"/>
  <c r="HH16" i="158"/>
  <c r="HG16" i="158"/>
  <c r="HE16" i="158"/>
  <c r="FV16" i="158"/>
  <c r="FT16" i="158"/>
  <c r="FS16" i="158"/>
  <c r="GA16" i="158"/>
  <c r="FA16" i="158"/>
  <c r="GJ16" i="158"/>
  <c r="GU16" i="158"/>
  <c r="B74" i="18"/>
  <c r="B19" i="18"/>
  <c r="P16" i="18"/>
  <c r="B18" i="22"/>
  <c r="AP17" i="22"/>
  <c r="CO17" i="22"/>
  <c r="AU17" i="22"/>
  <c r="AH17" i="22"/>
  <c r="AG17" i="22"/>
  <c r="K49" i="161"/>
  <c r="AA49" i="161"/>
  <c r="L50" i="161"/>
  <c r="DA14" i="77"/>
  <c r="DA106" i="77" s="1"/>
  <c r="J14" i="77"/>
  <c r="D10" i="177" s="1"/>
  <c r="C47" i="92"/>
  <c r="C65" i="77"/>
  <c r="DB106" i="77"/>
  <c r="CP106" i="77"/>
  <c r="CD106" i="77"/>
  <c r="BR106" i="77"/>
  <c r="T106" i="77"/>
  <c r="H106" i="77"/>
  <c r="CT106" i="77"/>
  <c r="CH106" i="77"/>
  <c r="BV106" i="77"/>
  <c r="BJ106" i="77"/>
  <c r="AX106" i="77"/>
  <c r="L106" i="77"/>
  <c r="CS106" i="77"/>
  <c r="CE106" i="77"/>
  <c r="BP106" i="77"/>
  <c r="BB106" i="77"/>
  <c r="W106" i="77"/>
  <c r="I106" i="77"/>
  <c r="CR106" i="77"/>
  <c r="CC106" i="77"/>
  <c r="BO106" i="77"/>
  <c r="BA106" i="77"/>
  <c r="V106" i="77"/>
  <c r="CQ106" i="77"/>
  <c r="CB106" i="77"/>
  <c r="BN106" i="77"/>
  <c r="AZ106" i="77"/>
  <c r="U106" i="77"/>
  <c r="F106" i="77"/>
  <c r="CO106" i="77"/>
  <c r="CA106" i="77"/>
  <c r="BM106" i="77"/>
  <c r="AY106" i="77"/>
  <c r="S106" i="77"/>
  <c r="CM106" i="77"/>
  <c r="BY106" i="77"/>
  <c r="BK106" i="77"/>
  <c r="CZ106" i="77"/>
  <c r="CL106" i="77"/>
  <c r="BX106" i="77"/>
  <c r="BI106" i="77"/>
  <c r="CJ106" i="77"/>
  <c r="BU106" i="77"/>
  <c r="BG106" i="77"/>
  <c r="N106" i="77"/>
  <c r="CW106" i="77"/>
  <c r="CI106" i="77"/>
  <c r="BT106" i="77"/>
  <c r="BE106" i="77"/>
  <c r="CV106" i="77"/>
  <c r="CG106" i="77"/>
  <c r="BS106" i="77"/>
  <c r="BD106" i="77"/>
  <c r="K106" i="77"/>
  <c r="DC106" i="77"/>
  <c r="AW106" i="77"/>
  <c r="CY106" i="77"/>
  <c r="AV106" i="77"/>
  <c r="CU106" i="77"/>
  <c r="CN106" i="77"/>
  <c r="CK106" i="77"/>
  <c r="C106" i="77"/>
  <c r="CF106" i="77"/>
  <c r="BZ106" i="77"/>
  <c r="BW106" i="77"/>
  <c r="BQ106" i="77"/>
  <c r="BL106" i="77"/>
  <c r="BC106" i="77"/>
  <c r="A48" i="92"/>
  <c r="A11" i="92" s="1"/>
  <c r="B18" i="115"/>
  <c r="K50" i="111"/>
  <c r="B107" i="77"/>
  <c r="AV15" i="77"/>
  <c r="B66" i="77"/>
  <c r="B16" i="77"/>
  <c r="DC16" i="77" s="1"/>
  <c r="DO12" i="177" s="1"/>
  <c r="BD15" i="77"/>
  <c r="DG11" i="177" s="1"/>
  <c r="I15" i="77"/>
  <c r="BA15" i="77"/>
  <c r="E13" i="119" s="1"/>
  <c r="BE15" i="77"/>
  <c r="DK11" i="177" s="1"/>
  <c r="T15" i="77"/>
  <c r="CW15" i="77"/>
  <c r="K15" i="77" s="1"/>
  <c r="DS11" i="177" s="1"/>
  <c r="W15" i="77"/>
  <c r="F15" i="77"/>
  <c r="S15" i="77"/>
  <c r="AC15" i="77"/>
  <c r="L15" i="77"/>
  <c r="U15" i="77"/>
  <c r="N15" i="77"/>
  <c r="E19" i="123" s="1"/>
  <c r="AW15" i="77"/>
  <c r="BB15" i="77"/>
  <c r="F13" i="119" s="1"/>
  <c r="C15" i="77"/>
  <c r="DW11" i="177" s="1"/>
  <c r="V15" i="77"/>
  <c r="BG15" i="77"/>
  <c r="H15" i="77"/>
  <c r="BL15" i="77"/>
  <c r="U49" i="111"/>
  <c r="J49" i="111"/>
  <c r="B63" i="115"/>
  <c r="O63" i="115" s="1"/>
  <c r="H17" i="115"/>
  <c r="BS39" i="158"/>
  <c r="BQ8" i="158"/>
  <c r="AE9" i="148"/>
  <c r="BS85" i="158"/>
  <c r="B13" i="119"/>
  <c r="B49" i="119" s="1"/>
  <c r="B84" i="119" s="1"/>
  <c r="B72" i="36"/>
  <c r="B17" i="36"/>
  <c r="BE16" i="36"/>
  <c r="AC14" i="77"/>
  <c r="Z14" i="77" s="1"/>
  <c r="Z106" i="77" s="1"/>
  <c r="M273" i="100"/>
  <c r="N272" i="100"/>
  <c r="Z23" i="18" l="1"/>
  <c r="Z24" i="18"/>
  <c r="Q23" i="18"/>
  <c r="F86" i="77"/>
  <c r="AS127" i="77"/>
  <c r="Z19" i="18"/>
  <c r="Z21" i="18"/>
  <c r="Z22" i="18"/>
  <c r="Z20" i="18"/>
  <c r="Z18" i="18"/>
  <c r="Q18" i="18"/>
  <c r="Q22" i="18"/>
  <c r="Q21" i="18"/>
  <c r="Q20" i="18"/>
  <c r="Q19" i="18"/>
  <c r="F11" i="177"/>
  <c r="CH11" i="177" s="1"/>
  <c r="DG15" i="77"/>
  <c r="W16" i="22"/>
  <c r="AO15" i="77"/>
  <c r="GM20" i="158"/>
  <c r="IF20" i="158"/>
  <c r="BT28" i="158"/>
  <c r="IF28" i="158"/>
  <c r="BT18" i="158"/>
  <c r="IF18" i="158"/>
  <c r="BT23" i="158"/>
  <c r="IF23" i="158"/>
  <c r="AE12" i="158"/>
  <c r="IF12" i="158"/>
  <c r="FF12" i="158"/>
  <c r="BT21" i="158"/>
  <c r="IF21" i="158"/>
  <c r="A38" i="148"/>
  <c r="F75" i="148"/>
  <c r="BT34" i="158"/>
  <c r="IF34" i="158"/>
  <c r="K30" i="177"/>
  <c r="Q17" i="18"/>
  <c r="W16" i="18"/>
  <c r="AO37" i="36"/>
  <c r="AO39" i="36"/>
  <c r="W39" i="36"/>
  <c r="W37" i="36"/>
  <c r="F56" i="111"/>
  <c r="AJ56" i="111"/>
  <c r="AV17" i="22"/>
  <c r="C17" i="22"/>
  <c r="T17" i="22"/>
  <c r="R17" i="22"/>
  <c r="Q17" i="22"/>
  <c r="P17" i="22"/>
  <c r="K17" i="22"/>
  <c r="G17" i="22"/>
  <c r="CM17" i="22"/>
  <c r="H17" i="22" s="1"/>
  <c r="I17" i="22"/>
  <c r="Z17" i="22"/>
  <c r="W17" i="22" s="1"/>
  <c r="X16" i="18"/>
  <c r="X17" i="18"/>
  <c r="L71" i="18"/>
  <c r="Z16" i="18"/>
  <c r="Z17" i="18"/>
  <c r="Q16" i="18"/>
  <c r="CP17" i="22"/>
  <c r="AJ52" i="111"/>
  <c r="D52" i="111"/>
  <c r="F52" i="111" s="1"/>
  <c r="H52" i="111" s="1"/>
  <c r="N52" i="111" s="1"/>
  <c r="Q50" i="111"/>
  <c r="AS15" i="77" s="1"/>
  <c r="F66" i="77" s="1"/>
  <c r="H50" i="111"/>
  <c r="N50" i="111" s="1"/>
  <c r="B40" i="149"/>
  <c r="B38" i="149" s="1"/>
  <c r="Q48" i="111"/>
  <c r="Z61" i="161"/>
  <c r="M43" i="161"/>
  <c r="AS106" i="77"/>
  <c r="E26" i="158"/>
  <c r="Y61" i="161"/>
  <c r="AB12" i="158"/>
  <c r="X12" i="22"/>
  <c r="B8" i="92"/>
  <c r="HV12" i="158"/>
  <c r="E89" i="158"/>
  <c r="BA12" i="158"/>
  <c r="AZ12" i="158" s="1"/>
  <c r="AQ12" i="158" s="1"/>
  <c r="AQ89" i="158" s="1"/>
  <c r="K8" i="177"/>
  <c r="O87" i="161"/>
  <c r="E10" i="158"/>
  <c r="Y45" i="161"/>
  <c r="Z45" i="161"/>
  <c r="HC12" i="158"/>
  <c r="C46" i="119"/>
  <c r="G12" i="158"/>
  <c r="G89" i="158" s="1"/>
  <c r="GQ12" i="158"/>
  <c r="E12" i="22"/>
  <c r="E12" i="136"/>
  <c r="BP36" i="158"/>
  <c r="BQ45" i="36"/>
  <c r="BS45" i="36" s="1"/>
  <c r="G20" i="158"/>
  <c r="BR20" i="158" s="1"/>
  <c r="W21" i="148" s="1"/>
  <c r="AL21" i="148" s="1"/>
  <c r="G13" i="36"/>
  <c r="AO13" i="36" s="1"/>
  <c r="W13" i="150" s="1"/>
  <c r="AE20" i="158"/>
  <c r="AB20" i="158" s="1"/>
  <c r="AC20" i="158" s="1"/>
  <c r="AQ13" i="36"/>
  <c r="BH12" i="77" s="1"/>
  <c r="E8" i="177" s="1"/>
  <c r="BA20" i="158"/>
  <c r="AZ20" i="158" s="1"/>
  <c r="AQ20" i="158" s="1"/>
  <c r="DB13" i="36"/>
  <c r="DC13" i="36" s="1"/>
  <c r="E12" i="77"/>
  <c r="DE12" i="77" s="1"/>
  <c r="DF13" i="36"/>
  <c r="DG13" i="36" s="1"/>
  <c r="K16" i="177"/>
  <c r="BT12" i="158"/>
  <c r="GM12" i="158"/>
  <c r="E20" i="136"/>
  <c r="GQ20" i="158"/>
  <c r="Z13" i="36"/>
  <c r="W13" i="36" s="1"/>
  <c r="X12" i="77" s="1"/>
  <c r="X104" i="77" s="1"/>
  <c r="BT20" i="158"/>
  <c r="M16" i="177" s="1"/>
  <c r="B16" i="92"/>
  <c r="C54" i="119"/>
  <c r="BP37" i="158"/>
  <c r="BP38" i="158"/>
  <c r="E21" i="36"/>
  <c r="P55" i="111"/>
  <c r="P45" i="111"/>
  <c r="X44" i="161"/>
  <c r="Z44" i="161" s="1"/>
  <c r="H44" i="161"/>
  <c r="H52" i="161"/>
  <c r="X52" i="161"/>
  <c r="Z52" i="161" s="1"/>
  <c r="AI17" i="22"/>
  <c r="H57" i="161"/>
  <c r="X57" i="161"/>
  <c r="Z57" i="161" s="1"/>
  <c r="O99" i="161"/>
  <c r="E22" i="158"/>
  <c r="Y57" i="161"/>
  <c r="Y52" i="161"/>
  <c r="O94" i="161"/>
  <c r="E17" i="158"/>
  <c r="I49" i="161"/>
  <c r="O49" i="161" s="1"/>
  <c r="H49" i="161"/>
  <c r="F54" i="161"/>
  <c r="H54" i="161" s="1"/>
  <c r="X49" i="161"/>
  <c r="F51" i="161"/>
  <c r="I51" i="161" s="1"/>
  <c r="O51" i="161" s="1"/>
  <c r="D74" i="161"/>
  <c r="AK38" i="150"/>
  <c r="AJ38" i="150"/>
  <c r="V35" i="111" s="1"/>
  <c r="AZ38" i="36" s="1"/>
  <c r="Z50" i="161"/>
  <c r="Z65" i="161"/>
  <c r="Z60" i="161"/>
  <c r="Z67" i="161"/>
  <c r="E32" i="158"/>
  <c r="Y67" i="161"/>
  <c r="O109" i="161"/>
  <c r="Z46" i="161"/>
  <c r="C57" i="119"/>
  <c r="GM23" i="158"/>
  <c r="B19" i="92"/>
  <c r="E23" i="136"/>
  <c r="K19" i="177"/>
  <c r="AE23" i="158"/>
  <c r="G23" i="158"/>
  <c r="GQ23" i="158"/>
  <c r="BA23" i="158"/>
  <c r="AZ23" i="158" s="1"/>
  <c r="AQ23" i="158" s="1"/>
  <c r="I68" i="161"/>
  <c r="O68" i="161" s="1"/>
  <c r="X68" i="161"/>
  <c r="H68" i="161"/>
  <c r="H44" i="111"/>
  <c r="N44" i="111" s="1"/>
  <c r="Q44" i="111"/>
  <c r="X64" i="161"/>
  <c r="I64" i="161"/>
  <c r="O64" i="161" s="1"/>
  <c r="H64" i="161"/>
  <c r="H51" i="111"/>
  <c r="N51" i="111" s="1"/>
  <c r="Q51" i="111"/>
  <c r="AS16" i="77" s="1"/>
  <c r="F67" i="77" s="1"/>
  <c r="H48" i="161"/>
  <c r="X48" i="161"/>
  <c r="I48" i="161"/>
  <c r="O48" i="161" s="1"/>
  <c r="E24" i="158"/>
  <c r="Y59" i="161"/>
  <c r="O101" i="161"/>
  <c r="G28" i="158"/>
  <c r="C62" i="119"/>
  <c r="BA28" i="158"/>
  <c r="AZ28" i="158" s="1"/>
  <c r="AQ28" i="158" s="1"/>
  <c r="K24" i="177"/>
  <c r="GQ28" i="158"/>
  <c r="AE28" i="158"/>
  <c r="E28" i="136"/>
  <c r="B24" i="92"/>
  <c r="GM28" i="158"/>
  <c r="I66" i="161"/>
  <c r="O66" i="161" s="1"/>
  <c r="H66" i="161"/>
  <c r="X66" i="161"/>
  <c r="Y70" i="161"/>
  <c r="O112" i="161"/>
  <c r="E35" i="158"/>
  <c r="O107" i="161"/>
  <c r="Y65" i="161"/>
  <c r="E30" i="158"/>
  <c r="Z70" i="161"/>
  <c r="O92" i="161"/>
  <c r="Y50" i="161"/>
  <c r="E15" i="158"/>
  <c r="S94" i="147"/>
  <c r="T94" i="147" s="1"/>
  <c r="E35" i="36"/>
  <c r="Z59" i="161"/>
  <c r="AE18" i="158"/>
  <c r="AB18" i="158" s="1"/>
  <c r="AC18" i="158" s="1"/>
  <c r="GQ18" i="158"/>
  <c r="B14" i="92"/>
  <c r="K14" i="177"/>
  <c r="GM18" i="158"/>
  <c r="C52" i="119"/>
  <c r="BA18" i="158"/>
  <c r="AZ18" i="158" s="1"/>
  <c r="AQ18" i="158" s="1"/>
  <c r="G18" i="158"/>
  <c r="E18" i="136"/>
  <c r="O104" i="161"/>
  <c r="Y62" i="161"/>
  <c r="E27" i="158"/>
  <c r="AJ54" i="111"/>
  <c r="D54" i="111"/>
  <c r="F54" i="111" s="1"/>
  <c r="O86" i="161"/>
  <c r="Y44" i="161"/>
  <c r="E9" i="158"/>
  <c r="IF9" i="158" s="1"/>
  <c r="E29" i="36"/>
  <c r="Y46" i="161"/>
  <c r="O88" i="161"/>
  <c r="E11" i="158"/>
  <c r="Z62" i="161"/>
  <c r="B17" i="92"/>
  <c r="C55" i="119"/>
  <c r="E21" i="136"/>
  <c r="BA21" i="158"/>
  <c r="AZ21" i="158" s="1"/>
  <c r="AQ21" i="158" s="1"/>
  <c r="GQ21" i="158"/>
  <c r="G21" i="158"/>
  <c r="GM21" i="158"/>
  <c r="AE21" i="158"/>
  <c r="AB21" i="158" s="1"/>
  <c r="AC21" i="158" s="1"/>
  <c r="K17" i="177"/>
  <c r="C68" i="119"/>
  <c r="AE34" i="158"/>
  <c r="AB34" i="158" s="1"/>
  <c r="AC34" i="158" s="1"/>
  <c r="B30" i="92"/>
  <c r="E34" i="136"/>
  <c r="G34" i="158"/>
  <c r="GQ34" i="158"/>
  <c r="BA34" i="158"/>
  <c r="AZ34" i="158" s="1"/>
  <c r="AQ34" i="158" s="1"/>
  <c r="GM34" i="158"/>
  <c r="Q53" i="111"/>
  <c r="AS18" i="77" s="1"/>
  <c r="F69" i="77" s="1"/>
  <c r="H53" i="111"/>
  <c r="N53" i="111" s="1"/>
  <c r="E47" i="151" s="1"/>
  <c r="F47" i="151" s="1"/>
  <c r="E25" i="158"/>
  <c r="Y60" i="161"/>
  <c r="O102" i="161"/>
  <c r="L38" i="136"/>
  <c r="K38" i="136"/>
  <c r="BT39" i="148"/>
  <c r="BV39" i="148" s="1"/>
  <c r="L36" i="136"/>
  <c r="K36" i="136"/>
  <c r="BT37" i="148"/>
  <c r="BV37" i="148" s="1"/>
  <c r="BT38" i="148"/>
  <c r="BV38" i="148" s="1"/>
  <c r="K37" i="136"/>
  <c r="L37" i="136"/>
  <c r="Y32" i="36"/>
  <c r="Y31" i="36"/>
  <c r="E24" i="36"/>
  <c r="P58" i="111"/>
  <c r="DB11" i="36"/>
  <c r="DC11" i="36" s="1"/>
  <c r="G11" i="36"/>
  <c r="E10" i="77"/>
  <c r="AQ11" i="36"/>
  <c r="BH10" i="77" s="1"/>
  <c r="DF11" i="36"/>
  <c r="DG11" i="36" s="1"/>
  <c r="AN11" i="36"/>
  <c r="BA11" i="36" s="1"/>
  <c r="Z11" i="36"/>
  <c r="K25" i="158"/>
  <c r="BK26" i="148"/>
  <c r="BK41" i="148" s="1"/>
  <c r="BY26" i="148"/>
  <c r="CD26" i="148" s="1"/>
  <c r="U23" i="161"/>
  <c r="BB26" i="148"/>
  <c r="T23" i="161"/>
  <c r="D17" i="115"/>
  <c r="BU26" i="148"/>
  <c r="AX26" i="148"/>
  <c r="L25" i="158"/>
  <c r="BE26" i="148"/>
  <c r="CE26" i="148"/>
  <c r="CF26" i="148" s="1"/>
  <c r="CG26" i="148" s="1"/>
  <c r="CI26" i="148" s="1"/>
  <c r="CY16" i="36"/>
  <c r="AC106" i="77"/>
  <c r="Z13" i="22"/>
  <c r="W13" i="22" s="1"/>
  <c r="HX13" i="158"/>
  <c r="AG90" i="158"/>
  <c r="J106" i="77"/>
  <c r="Z15" i="22"/>
  <c r="AG92" i="158"/>
  <c r="HX15" i="158"/>
  <c r="CY10" i="177"/>
  <c r="G13" i="119"/>
  <c r="BB17" i="22"/>
  <c r="AC101" i="77"/>
  <c r="Z9" i="77"/>
  <c r="Z101" i="77" s="1"/>
  <c r="D12" i="115"/>
  <c r="F43" i="111"/>
  <c r="H43" i="111" s="1"/>
  <c r="N43" i="111" s="1"/>
  <c r="L43" i="111" s="1"/>
  <c r="B74" i="111"/>
  <c r="Z12" i="22"/>
  <c r="W12" i="22" s="1"/>
  <c r="HX12" i="158"/>
  <c r="AG89" i="158"/>
  <c r="K26" i="36"/>
  <c r="Z14" i="22"/>
  <c r="W14" i="22" s="1"/>
  <c r="HX14" i="158"/>
  <c r="AG91" i="158"/>
  <c r="D16" i="115"/>
  <c r="AC105" i="77"/>
  <c r="Z13" i="77"/>
  <c r="Z105" i="77" s="1"/>
  <c r="AC14" i="36"/>
  <c r="AD13" i="158"/>
  <c r="AD90" i="158" s="1"/>
  <c r="B14" i="119"/>
  <c r="B50" i="119" s="1"/>
  <c r="B85" i="119" s="1"/>
  <c r="BE17" i="36"/>
  <c r="CY17" i="36" s="1"/>
  <c r="B73" i="36"/>
  <c r="B18" i="36"/>
  <c r="AF9" i="148"/>
  <c r="AG9" i="148" s="1"/>
  <c r="AE40" i="148"/>
  <c r="AF40" i="148" s="1"/>
  <c r="D31" i="163"/>
  <c r="I31" i="163" s="1"/>
  <c r="J31" i="163" s="1"/>
  <c r="G34" i="155"/>
  <c r="K34" i="155" s="1"/>
  <c r="L34" i="155" s="1"/>
  <c r="DA15" i="77"/>
  <c r="DA107" i="77" s="1"/>
  <c r="J15" i="77"/>
  <c r="D11" i="177" s="1"/>
  <c r="C48" i="92"/>
  <c r="C66" i="77"/>
  <c r="D18" i="115"/>
  <c r="Z15" i="77"/>
  <c r="Z107" i="77" s="1"/>
  <c r="B19" i="115"/>
  <c r="A49" i="92"/>
  <c r="A12" i="92" s="1"/>
  <c r="K51" i="111"/>
  <c r="B108" i="77"/>
  <c r="B17" i="77"/>
  <c r="DC17" i="77" s="1"/>
  <c r="DO13" i="177" s="1"/>
  <c r="B67" i="77"/>
  <c r="AV16" i="77"/>
  <c r="I16" i="77"/>
  <c r="BD16" i="77"/>
  <c r="DG12" i="177" s="1"/>
  <c r="BA16" i="77"/>
  <c r="E14" i="119" s="1"/>
  <c r="C16" i="77"/>
  <c r="DW12" i="177" s="1"/>
  <c r="BB16" i="77"/>
  <c r="F14" i="119" s="1"/>
  <c r="N16" i="77"/>
  <c r="E20" i="123" s="1"/>
  <c r="F16" i="77"/>
  <c r="AK16" i="77"/>
  <c r="U16" i="77"/>
  <c r="AJ16" i="77"/>
  <c r="BE16" i="77"/>
  <c r="DK12" i="177" s="1"/>
  <c r="T16" i="77"/>
  <c r="W16" i="77"/>
  <c r="S16" i="77"/>
  <c r="CW16" i="77"/>
  <c r="K16" i="77" s="1"/>
  <c r="DS12" i="177" s="1"/>
  <c r="AC16" i="77"/>
  <c r="L16" i="77"/>
  <c r="AW16" i="77"/>
  <c r="H16" i="77"/>
  <c r="BG16" i="77"/>
  <c r="BL16" i="77"/>
  <c r="V16" i="77"/>
  <c r="CT107" i="77"/>
  <c r="CH107" i="77"/>
  <c r="BV107" i="77"/>
  <c r="BJ107" i="77"/>
  <c r="AX107" i="77"/>
  <c r="L107" i="77"/>
  <c r="CL107" i="77"/>
  <c r="BZ107" i="77"/>
  <c r="BN107" i="77"/>
  <c r="BB107" i="77"/>
  <c r="D107" i="77"/>
  <c r="CP107" i="77"/>
  <c r="CB107" i="77"/>
  <c r="BM107" i="77"/>
  <c r="AY107" i="77"/>
  <c r="T107" i="77"/>
  <c r="F107" i="77"/>
  <c r="DC107" i="77"/>
  <c r="CO107" i="77"/>
  <c r="CA107" i="77"/>
  <c r="BL107" i="77"/>
  <c r="AW107" i="77"/>
  <c r="S107" i="77"/>
  <c r="DB107" i="77"/>
  <c r="CN107" i="77"/>
  <c r="BY107" i="77"/>
  <c r="BK107" i="77"/>
  <c r="AV107" i="77"/>
  <c r="C107" i="77"/>
  <c r="CM107" i="77"/>
  <c r="BX107" i="77"/>
  <c r="BI107" i="77"/>
  <c r="AS107" i="77"/>
  <c r="CZ107" i="77"/>
  <c r="CK107" i="77"/>
  <c r="BW107" i="77"/>
  <c r="CY107" i="77"/>
  <c r="CJ107" i="77"/>
  <c r="BU107" i="77"/>
  <c r="BG107" i="77"/>
  <c r="AC107" i="77"/>
  <c r="N107" i="77"/>
  <c r="CW107" i="77"/>
  <c r="CI107" i="77"/>
  <c r="BT107" i="77"/>
  <c r="CV107" i="77"/>
  <c r="CG107" i="77"/>
  <c r="BS107" i="77"/>
  <c r="CU107" i="77"/>
  <c r="CF107" i="77"/>
  <c r="BR107" i="77"/>
  <c r="BD107" i="77"/>
  <c r="CS107" i="77"/>
  <c r="CE107" i="77"/>
  <c r="BQ107" i="77"/>
  <c r="BC107" i="77"/>
  <c r="W107" i="77"/>
  <c r="I107" i="77"/>
  <c r="CR107" i="77"/>
  <c r="CD107" i="77"/>
  <c r="BP107" i="77"/>
  <c r="BA107" i="77"/>
  <c r="V107" i="77"/>
  <c r="H107" i="77"/>
  <c r="BO107" i="77"/>
  <c r="BE107" i="77"/>
  <c r="AZ107" i="77"/>
  <c r="U107" i="77"/>
  <c r="CQ107" i="77"/>
  <c r="K107" i="77"/>
  <c r="CC107" i="77"/>
  <c r="U50" i="111"/>
  <c r="J50" i="111"/>
  <c r="B64" i="115"/>
  <c r="O64" i="115" s="1"/>
  <c r="H18" i="115"/>
  <c r="AC31" i="36"/>
  <c r="AD30" i="158"/>
  <c r="K50" i="161"/>
  <c r="L51" i="161"/>
  <c r="AA50" i="161"/>
  <c r="B19" i="22"/>
  <c r="AP18" i="22"/>
  <c r="AU18" i="22"/>
  <c r="CO18" i="22"/>
  <c r="B20" i="18"/>
  <c r="B75" i="18"/>
  <c r="FC18" i="158"/>
  <c r="GZ18" i="158"/>
  <c r="A13" i="168"/>
  <c r="M13" i="168" s="1"/>
  <c r="D18" i="136"/>
  <c r="A16" i="159"/>
  <c r="B95" i="158"/>
  <c r="B19" i="158"/>
  <c r="BD18" i="158"/>
  <c r="EI94" i="158"/>
  <c r="DW94" i="158"/>
  <c r="DA94" i="158"/>
  <c r="BD94" i="158"/>
  <c r="AP94" i="158"/>
  <c r="EB94" i="158"/>
  <c r="DP94" i="158"/>
  <c r="BZ94" i="158"/>
  <c r="BI94" i="158"/>
  <c r="AU94" i="158"/>
  <c r="W94" i="158"/>
  <c r="K94" i="158"/>
  <c r="EK94" i="158"/>
  <c r="DV94" i="158"/>
  <c r="CX94" i="158"/>
  <c r="BK94" i="158"/>
  <c r="AT94" i="158"/>
  <c r="F94" i="158"/>
  <c r="EC94" i="158"/>
  <c r="DN94" i="158"/>
  <c r="Y94" i="158"/>
  <c r="L94" i="158"/>
  <c r="EA94" i="158"/>
  <c r="DM94" i="158"/>
  <c r="DT94" i="158"/>
  <c r="BX94" i="158"/>
  <c r="AG94" i="158"/>
  <c r="EL94" i="158"/>
  <c r="DS94" i="158"/>
  <c r="AX94" i="158"/>
  <c r="EJ94" i="158"/>
  <c r="DR94" i="158"/>
  <c r="BS94" i="158"/>
  <c r="AW94" i="158"/>
  <c r="AD94" i="158"/>
  <c r="EH94" i="158"/>
  <c r="DQ94" i="158"/>
  <c r="N94" i="158"/>
  <c r="EG94" i="158"/>
  <c r="DO94" i="158"/>
  <c r="BL94" i="158"/>
  <c r="EF94" i="158"/>
  <c r="DL94" i="158"/>
  <c r="BJ94" i="158"/>
  <c r="AA94" i="158"/>
  <c r="J94" i="158"/>
  <c r="EE94" i="158"/>
  <c r="CZ94" i="158"/>
  <c r="BH94" i="158"/>
  <c r="AO94" i="158"/>
  <c r="Z94" i="158"/>
  <c r="I94" i="158"/>
  <c r="ED94" i="158"/>
  <c r="CY94" i="158"/>
  <c r="BG94" i="158"/>
  <c r="AN94" i="158"/>
  <c r="X94" i="158"/>
  <c r="H94" i="158"/>
  <c r="DZ94" i="158"/>
  <c r="CC94" i="158"/>
  <c r="BF94" i="158"/>
  <c r="DY94" i="158"/>
  <c r="CB94" i="158"/>
  <c r="BE94" i="158"/>
  <c r="DX94" i="158"/>
  <c r="CA94" i="158"/>
  <c r="DU94" i="158"/>
  <c r="BY94" i="158"/>
  <c r="C94" i="158"/>
  <c r="ID17" i="158"/>
  <c r="HR17" i="158"/>
  <c r="IC17" i="158"/>
  <c r="HQ17" i="158"/>
  <c r="HE17" i="158"/>
  <c r="IB17" i="158"/>
  <c r="HP17" i="158"/>
  <c r="IA17" i="158"/>
  <c r="HA17" i="158"/>
  <c r="FF17" i="158"/>
  <c r="HS17" i="158"/>
  <c r="HO17" i="158"/>
  <c r="FS17" i="158"/>
  <c r="GH17" i="158"/>
  <c r="FR17" i="158"/>
  <c r="FV17" i="158"/>
  <c r="HJ17" i="158"/>
  <c r="HH17" i="158"/>
  <c r="HG17" i="158"/>
  <c r="FH17" i="158"/>
  <c r="IE17" i="158"/>
  <c r="GF17" i="158"/>
  <c r="GE17" i="158"/>
  <c r="GD17" i="158"/>
  <c r="FK17" i="158"/>
  <c r="FJ17" i="158"/>
  <c r="HX17" i="158"/>
  <c r="GA17" i="158"/>
  <c r="GG17" i="158"/>
  <c r="FT17" i="158"/>
  <c r="FD17" i="158"/>
  <c r="FU17" i="158"/>
  <c r="FM17" i="158"/>
  <c r="GU17" i="158"/>
  <c r="FA17" i="158"/>
  <c r="GJ17" i="158"/>
  <c r="AC36" i="36"/>
  <c r="AD35" i="158"/>
  <c r="AC16" i="36"/>
  <c r="AD15" i="158"/>
  <c r="AD92" i="158" s="1"/>
  <c r="AC35" i="36"/>
  <c r="AD34" i="158"/>
  <c r="J8" i="77"/>
  <c r="DA8" i="77"/>
  <c r="H100" i="77"/>
  <c r="AP9" i="36"/>
  <c r="F8" i="77"/>
  <c r="AC13" i="36"/>
  <c r="AD12" i="158"/>
  <c r="AD89" i="158" s="1"/>
  <c r="E58" i="126"/>
  <c r="F58" i="126" s="1"/>
  <c r="G58" i="126" s="1"/>
  <c r="E18" i="126"/>
  <c r="L18" i="126" s="1"/>
  <c r="M18" i="126" s="1"/>
  <c r="E17" i="156"/>
  <c r="AE38" i="32"/>
  <c r="E149" i="100"/>
  <c r="J7" i="100"/>
  <c r="L7" i="100" s="1"/>
  <c r="F16" i="100"/>
  <c r="G16" i="100" s="1"/>
  <c r="D50" i="163"/>
  <c r="D48" i="163"/>
  <c r="D49" i="163"/>
  <c r="D61" i="163"/>
  <c r="D47" i="163"/>
  <c r="AC30" i="36"/>
  <c r="AD29" i="158"/>
  <c r="AC15" i="36"/>
  <c r="AD14" i="158"/>
  <c r="AD91" i="158" s="1"/>
  <c r="Y15" i="36"/>
  <c r="X23" i="18" l="1"/>
  <c r="X24" i="18"/>
  <c r="F12" i="177"/>
  <c r="CH12" i="177" s="1"/>
  <c r="DG16" i="77"/>
  <c r="DY6" i="177"/>
  <c r="DE10" i="77"/>
  <c r="X22" i="18"/>
  <c r="X18" i="18"/>
  <c r="X21" i="18"/>
  <c r="X20" i="18"/>
  <c r="X19" i="18"/>
  <c r="BB34" i="158"/>
  <c r="C103" i="119" s="1"/>
  <c r="M30" i="177"/>
  <c r="K6" i="177"/>
  <c r="IF10" i="158"/>
  <c r="FF10" i="158"/>
  <c r="K13" i="177"/>
  <c r="IF17" i="158"/>
  <c r="DC8" i="177"/>
  <c r="BB18" i="158"/>
  <c r="C87" i="119" s="1"/>
  <c r="M14" i="177"/>
  <c r="BB21" i="158"/>
  <c r="C90" i="119" s="1"/>
  <c r="M17" i="177"/>
  <c r="BT30" i="158"/>
  <c r="IF30" i="158"/>
  <c r="K26" i="177"/>
  <c r="BT26" i="158"/>
  <c r="IF26" i="158"/>
  <c r="A39" i="148"/>
  <c r="F76" i="148"/>
  <c r="BT11" i="158"/>
  <c r="IF11" i="158"/>
  <c r="FF11" i="158"/>
  <c r="BT32" i="158"/>
  <c r="IF32" i="158"/>
  <c r="K28" i="177"/>
  <c r="BB12" i="158"/>
  <c r="M8" i="177"/>
  <c r="FI12" i="158"/>
  <c r="AE89" i="158"/>
  <c r="FY12" i="158"/>
  <c r="BB28" i="158"/>
  <c r="C97" i="119" s="1"/>
  <c r="M24" i="177"/>
  <c r="C16" i="123"/>
  <c r="DY8" i="177"/>
  <c r="HT12" i="158"/>
  <c r="FW12" i="158"/>
  <c r="N21" i="177"/>
  <c r="IH25" i="158"/>
  <c r="BT25" i="158"/>
  <c r="M21" i="177" s="1"/>
  <c r="IF25" i="158"/>
  <c r="BT15" i="158"/>
  <c r="IF15" i="158"/>
  <c r="FF15" i="158"/>
  <c r="BT24" i="158"/>
  <c r="IF24" i="158"/>
  <c r="BT27" i="158"/>
  <c r="IF27" i="158"/>
  <c r="BT35" i="158"/>
  <c r="IF35" i="158"/>
  <c r="K31" i="177"/>
  <c r="GM22" i="158"/>
  <c r="IF22" i="158"/>
  <c r="BB23" i="158"/>
  <c r="C92" i="119" s="1"/>
  <c r="M19" i="177"/>
  <c r="E18" i="22"/>
  <c r="P18" i="22"/>
  <c r="R18" i="22"/>
  <c r="Q18" i="22"/>
  <c r="BB18" i="22"/>
  <c r="G18" i="22"/>
  <c r="AV18" i="22"/>
  <c r="C18" i="22"/>
  <c r="T18" i="22"/>
  <c r="CM18" i="22"/>
  <c r="H18" i="22" s="1"/>
  <c r="K18" i="22"/>
  <c r="I18" i="22"/>
  <c r="Z18" i="22"/>
  <c r="W39" i="150"/>
  <c r="W37" i="150"/>
  <c r="H56" i="111"/>
  <c r="N56" i="111" s="1"/>
  <c r="Q56" i="111"/>
  <c r="AS21" i="77" s="1"/>
  <c r="F72" i="77" s="1"/>
  <c r="Q52" i="111"/>
  <c r="AS17" i="77" s="1"/>
  <c r="F68" i="77" s="1"/>
  <c r="S17" i="22"/>
  <c r="CP18" i="22"/>
  <c r="E46" i="151"/>
  <c r="F46" i="151" s="1"/>
  <c r="P52" i="111"/>
  <c r="H53" i="151"/>
  <c r="G53" i="151"/>
  <c r="E53" i="151"/>
  <c r="D53" i="151"/>
  <c r="L51" i="111"/>
  <c r="E23" i="36"/>
  <c r="AN23" i="36" s="1"/>
  <c r="BA23" i="36" s="1"/>
  <c r="P53" i="111"/>
  <c r="BT9" i="158"/>
  <c r="M5" i="177" s="1"/>
  <c r="FF9" i="158"/>
  <c r="E19" i="36"/>
  <c r="B22" i="92"/>
  <c r="C60" i="119"/>
  <c r="K22" i="177"/>
  <c r="GM26" i="158"/>
  <c r="AZ89" i="158"/>
  <c r="G26" i="158"/>
  <c r="AK27" i="148" s="1"/>
  <c r="S18" i="22"/>
  <c r="U12" i="22"/>
  <c r="AE26" i="158"/>
  <c r="AB26" i="158" s="1"/>
  <c r="AC26" i="158" s="1"/>
  <c r="BA26" i="158"/>
  <c r="AZ26" i="158" s="1"/>
  <c r="AQ26" i="158" s="1"/>
  <c r="E26" i="136"/>
  <c r="GQ26" i="158"/>
  <c r="AC12" i="158"/>
  <c r="AB89" i="158"/>
  <c r="AB23" i="158"/>
  <c r="AC23" i="158" s="1"/>
  <c r="AG23" i="158"/>
  <c r="AB28" i="158"/>
  <c r="AC28" i="158" s="1"/>
  <c r="AG28" i="158"/>
  <c r="G14" i="119"/>
  <c r="BB20" i="158"/>
  <c r="C89" i="119" s="1"/>
  <c r="B6" i="92"/>
  <c r="G10" i="158"/>
  <c r="BR10" i="158" s="1"/>
  <c r="W11" i="148" s="1"/>
  <c r="AL11" i="148" s="1"/>
  <c r="AL12" i="22"/>
  <c r="BW12" i="158"/>
  <c r="BO12" i="158" s="1"/>
  <c r="HC10" i="158"/>
  <c r="BV12" i="158"/>
  <c r="BN12" i="158" s="1"/>
  <c r="BA89" i="158"/>
  <c r="GM10" i="158"/>
  <c r="C44" i="119"/>
  <c r="E10" i="22"/>
  <c r="BH104" i="77"/>
  <c r="BT10" i="158"/>
  <c r="BU12" i="158"/>
  <c r="BM12" i="158" s="1"/>
  <c r="AK13" i="148"/>
  <c r="E87" i="158"/>
  <c r="BA10" i="158"/>
  <c r="BA87" i="158" s="1"/>
  <c r="AA12" i="77"/>
  <c r="C15" i="115" s="1"/>
  <c r="BV20" i="158"/>
  <c r="BN20" i="158" s="1"/>
  <c r="G12" i="77"/>
  <c r="G104" i="77" s="1"/>
  <c r="BR12" i="158"/>
  <c r="GQ10" i="158"/>
  <c r="E10" i="136"/>
  <c r="AE10" i="158"/>
  <c r="FY10" i="158" s="1"/>
  <c r="AK21" i="148"/>
  <c r="BU20" i="158"/>
  <c r="BM20" i="158" s="1"/>
  <c r="E104" i="77"/>
  <c r="BW20" i="158"/>
  <c r="BO20" i="158" s="1"/>
  <c r="E63" i="77"/>
  <c r="P57" i="111"/>
  <c r="C8" i="177"/>
  <c r="CD8" i="177" s="1"/>
  <c r="B45" i="92"/>
  <c r="AX12" i="22"/>
  <c r="HF12" i="158"/>
  <c r="BT89" i="158"/>
  <c r="C10" i="119"/>
  <c r="E18" i="36"/>
  <c r="DB18" i="36" s="1"/>
  <c r="DC18" i="36" s="1"/>
  <c r="AN21" i="36"/>
  <c r="BA21" i="36" s="1"/>
  <c r="DB21" i="36"/>
  <c r="DC21" i="36" s="1"/>
  <c r="DF21" i="36"/>
  <c r="DG21" i="36" s="1"/>
  <c r="G21" i="36"/>
  <c r="AO21" i="36" s="1"/>
  <c r="W21" i="150" s="1"/>
  <c r="Z21" i="36"/>
  <c r="W21" i="36" s="1"/>
  <c r="AQ21" i="36"/>
  <c r="H51" i="161"/>
  <c r="AK35" i="148"/>
  <c r="BU34" i="158"/>
  <c r="BM34" i="158" s="1"/>
  <c r="BV34" i="158"/>
  <c r="BN34" i="158" s="1"/>
  <c r="BW34" i="158"/>
  <c r="BO34" i="158" s="1"/>
  <c r="BR34" i="158"/>
  <c r="W35" i="148" s="1"/>
  <c r="AL35" i="148" s="1"/>
  <c r="AK22" i="148"/>
  <c r="BW21" i="158"/>
  <c r="BO21" i="158" s="1"/>
  <c r="BU21" i="158"/>
  <c r="BM21" i="158" s="1"/>
  <c r="BV21" i="158"/>
  <c r="BN21" i="158" s="1"/>
  <c r="BR21" i="158"/>
  <c r="W22" i="148" s="1"/>
  <c r="AL22" i="148" s="1"/>
  <c r="B18" i="92"/>
  <c r="BT22" i="158"/>
  <c r="M18" i="177" s="1"/>
  <c r="X54" i="161"/>
  <c r="AK29" i="148"/>
  <c r="BU28" i="158"/>
  <c r="BM28" i="158" s="1"/>
  <c r="BW28" i="158"/>
  <c r="BO28" i="158" s="1"/>
  <c r="BV28" i="158"/>
  <c r="BN28" i="158" s="1"/>
  <c r="BR28" i="158"/>
  <c r="W29" i="148" s="1"/>
  <c r="AL29" i="148" s="1"/>
  <c r="AK19" i="148"/>
  <c r="BV18" i="158"/>
  <c r="BN18" i="158" s="1"/>
  <c r="BW18" i="158"/>
  <c r="BO18" i="158" s="1"/>
  <c r="BU18" i="158"/>
  <c r="BM18" i="158" s="1"/>
  <c r="BR18" i="158"/>
  <c r="W19" i="148" s="1"/>
  <c r="AL19" i="148" s="1"/>
  <c r="AK24" i="148"/>
  <c r="BU23" i="158"/>
  <c r="BM23" i="158" s="1"/>
  <c r="BV23" i="158"/>
  <c r="BN23" i="158" s="1"/>
  <c r="BW23" i="158"/>
  <c r="BO23" i="158" s="1"/>
  <c r="BR23" i="158"/>
  <c r="W24" i="148" s="1"/>
  <c r="AL24" i="148" s="1"/>
  <c r="E17" i="22"/>
  <c r="BT17" i="158"/>
  <c r="K18" i="177"/>
  <c r="AE22" i="158"/>
  <c r="G22" i="158"/>
  <c r="X51" i="161"/>
  <c r="I54" i="161"/>
  <c r="O54" i="161" s="1"/>
  <c r="E22" i="136"/>
  <c r="BA22" i="158"/>
  <c r="AZ22" i="158" s="1"/>
  <c r="AQ22" i="158" s="1"/>
  <c r="GQ22" i="158"/>
  <c r="C56" i="119"/>
  <c r="Z49" i="161"/>
  <c r="B13" i="92"/>
  <c r="G17" i="158"/>
  <c r="GQ17" i="158"/>
  <c r="AE17" i="158"/>
  <c r="C51" i="119"/>
  <c r="E17" i="136"/>
  <c r="E94" i="158"/>
  <c r="Y49" i="161"/>
  <c r="O91" i="161"/>
  <c r="E14" i="158"/>
  <c r="BA17" i="158"/>
  <c r="AZ17" i="158" s="1"/>
  <c r="AZ94" i="158" s="1"/>
  <c r="HC17" i="158"/>
  <c r="GM17" i="158"/>
  <c r="AK13" i="150"/>
  <c r="V10" i="111" s="1"/>
  <c r="AJ13" i="150"/>
  <c r="AU38" i="150"/>
  <c r="AV38" i="150" s="1"/>
  <c r="AZ38" i="150" s="1"/>
  <c r="BQ38" i="150" s="1"/>
  <c r="BS38" i="150" s="1"/>
  <c r="BM38" i="150"/>
  <c r="BO38" i="150" s="1"/>
  <c r="AL18" i="22"/>
  <c r="G32" i="158"/>
  <c r="AE32" i="158"/>
  <c r="AB32" i="158" s="1"/>
  <c r="AC32" i="158" s="1"/>
  <c r="GM32" i="158"/>
  <c r="B28" i="92"/>
  <c r="GQ32" i="158"/>
  <c r="BA32" i="158"/>
  <c r="AZ32" i="158" s="1"/>
  <c r="AQ32" i="158" s="1"/>
  <c r="C66" i="119"/>
  <c r="E32" i="136"/>
  <c r="E33" i="36"/>
  <c r="S92" i="147"/>
  <c r="T92" i="147" s="1"/>
  <c r="Z66" i="161"/>
  <c r="M36" i="158"/>
  <c r="C40" i="151"/>
  <c r="P60" i="111"/>
  <c r="E26" i="36"/>
  <c r="P44" i="150"/>
  <c r="E28" i="36"/>
  <c r="Z64" i="161"/>
  <c r="F74" i="161"/>
  <c r="H43" i="161"/>
  <c r="X43" i="161"/>
  <c r="O108" i="161"/>
  <c r="Y66" i="161"/>
  <c r="E31" i="158"/>
  <c r="Z29" i="36"/>
  <c r="W29" i="36" s="1"/>
  <c r="DF29" i="36"/>
  <c r="DB29" i="36"/>
  <c r="AQ29" i="36"/>
  <c r="AN29" i="36"/>
  <c r="BA29" i="36" s="1"/>
  <c r="G29" i="36"/>
  <c r="AO29" i="36" s="1"/>
  <c r="W29" i="150" s="1"/>
  <c r="E31" i="36"/>
  <c r="S89" i="147"/>
  <c r="T89" i="147" s="1"/>
  <c r="E29" i="158"/>
  <c r="Y64" i="161"/>
  <c r="O106" i="161"/>
  <c r="E11" i="136"/>
  <c r="E11" i="22"/>
  <c r="C45" i="119"/>
  <c r="B7" i="92"/>
  <c r="BA11" i="158"/>
  <c r="E88" i="158"/>
  <c r="GM11" i="158"/>
  <c r="GQ11" i="158"/>
  <c r="HC11" i="158"/>
  <c r="G11" i="158"/>
  <c r="K7" i="177"/>
  <c r="AE11" i="158"/>
  <c r="FY11" i="158" s="1"/>
  <c r="GM9" i="158"/>
  <c r="BA9" i="158"/>
  <c r="AE9" i="158"/>
  <c r="FY9" i="158" s="1"/>
  <c r="E86" i="158"/>
  <c r="K5" i="177"/>
  <c r="GQ9" i="158"/>
  <c r="E9" i="136"/>
  <c r="C43" i="119"/>
  <c r="E9" i="22"/>
  <c r="B5" i="92"/>
  <c r="HC9" i="158"/>
  <c r="G9" i="158"/>
  <c r="AU42" i="149"/>
  <c r="AE42" i="149"/>
  <c r="AN26" i="148" s="1"/>
  <c r="AO42" i="149"/>
  <c r="M42" i="149"/>
  <c r="O23" i="161" s="1"/>
  <c r="BB25" i="158" s="1"/>
  <c r="AI42" i="149"/>
  <c r="AR26" i="148" s="1"/>
  <c r="AH42" i="149"/>
  <c r="AQ26" i="148" s="1"/>
  <c r="AD42" i="149"/>
  <c r="AM26" i="148" s="1"/>
  <c r="AT42" i="149"/>
  <c r="AM23" i="161" s="1"/>
  <c r="EZ25" i="158" s="1"/>
  <c r="L42" i="149"/>
  <c r="N23" i="161" s="1"/>
  <c r="H42" i="149"/>
  <c r="ER25" i="158" s="1"/>
  <c r="U42" i="149"/>
  <c r="Z23" i="161" s="1"/>
  <c r="J42" i="149"/>
  <c r="M23" i="161" s="1"/>
  <c r="I42" i="149"/>
  <c r="L23" i="161" s="1"/>
  <c r="Q42" i="149"/>
  <c r="W23" i="161" s="1"/>
  <c r="AQ42" i="149"/>
  <c r="N42" i="149"/>
  <c r="R23" i="161" s="1"/>
  <c r="D42" i="149"/>
  <c r="H23" i="161" s="1"/>
  <c r="P42" i="149"/>
  <c r="BD26" i="148" s="1"/>
  <c r="AR42" i="149"/>
  <c r="AL42" i="149"/>
  <c r="AY26" i="148" s="1"/>
  <c r="AZ26" i="148" s="1"/>
  <c r="F42" i="149"/>
  <c r="J23" i="161" s="1"/>
  <c r="T42" i="149"/>
  <c r="Y23" i="161" s="1"/>
  <c r="AN42" i="149"/>
  <c r="G42" i="149"/>
  <c r="K23" i="161" s="1"/>
  <c r="O42" i="149"/>
  <c r="BC26" i="148" s="1"/>
  <c r="AP42" i="149"/>
  <c r="AJ42" i="149"/>
  <c r="AS26" i="148" s="1"/>
  <c r="AK42" i="149"/>
  <c r="BM26" i="148" s="1"/>
  <c r="BN26" i="148" s="1"/>
  <c r="AM42" i="149"/>
  <c r="K42" i="149"/>
  <c r="V42" i="149"/>
  <c r="AS42" i="149"/>
  <c r="AG42" i="149"/>
  <c r="AP26" i="148" s="1"/>
  <c r="AF42" i="149"/>
  <c r="AO26" i="148" s="1"/>
  <c r="S42" i="149"/>
  <c r="BQ26" i="148" s="1"/>
  <c r="R42" i="149"/>
  <c r="V23" i="161" s="1"/>
  <c r="E42" i="149"/>
  <c r="I23" i="161" s="1"/>
  <c r="Y68" i="161"/>
  <c r="O110" i="161"/>
  <c r="E33" i="158"/>
  <c r="BF12" i="77"/>
  <c r="BF104" i="77" s="1"/>
  <c r="Q54" i="111"/>
  <c r="AS19" i="77" s="1"/>
  <c r="F70" i="77" s="1"/>
  <c r="H54" i="111"/>
  <c r="E15" i="22"/>
  <c r="AE15" i="158"/>
  <c r="FY15" i="158" s="1"/>
  <c r="BA15" i="158"/>
  <c r="E92" i="158"/>
  <c r="K11" i="177"/>
  <c r="G15" i="158"/>
  <c r="C49" i="119"/>
  <c r="GQ15" i="158"/>
  <c r="B11" i="92"/>
  <c r="E15" i="136"/>
  <c r="HC15" i="158"/>
  <c r="GM15" i="158"/>
  <c r="E35" i="136"/>
  <c r="AE35" i="158"/>
  <c r="AB35" i="158" s="1"/>
  <c r="AC35" i="158" s="1"/>
  <c r="G35" i="158"/>
  <c r="GQ35" i="158"/>
  <c r="BA35" i="158"/>
  <c r="AZ35" i="158" s="1"/>
  <c r="AQ35" i="158" s="1"/>
  <c r="C69" i="119"/>
  <c r="GM35" i="158"/>
  <c r="B31" i="92"/>
  <c r="AQ23" i="36"/>
  <c r="P59" i="111"/>
  <c r="E25" i="36"/>
  <c r="GQ30" i="158"/>
  <c r="C64" i="119"/>
  <c r="E30" i="136"/>
  <c r="BA30" i="158"/>
  <c r="AZ30" i="158" s="1"/>
  <c r="AQ30" i="158" s="1"/>
  <c r="GM30" i="158"/>
  <c r="G30" i="158"/>
  <c r="AE30" i="158"/>
  <c r="AB30" i="158" s="1"/>
  <c r="AC30" i="158" s="1"/>
  <c r="B26" i="92"/>
  <c r="M38" i="158"/>
  <c r="L39" i="36"/>
  <c r="E12" i="36"/>
  <c r="P46" i="111"/>
  <c r="E10" i="36"/>
  <c r="P44" i="111"/>
  <c r="K23" i="177"/>
  <c r="AE27" i="158"/>
  <c r="C61" i="119"/>
  <c r="GM27" i="158"/>
  <c r="B23" i="92"/>
  <c r="BA27" i="158"/>
  <c r="AZ27" i="158" s="1"/>
  <c r="AQ27" i="158" s="1"/>
  <c r="E27" i="136"/>
  <c r="GQ27" i="158"/>
  <c r="G27" i="158"/>
  <c r="G35" i="36"/>
  <c r="AO35" i="36" s="1"/>
  <c r="W35" i="150" s="1"/>
  <c r="DF35" i="36"/>
  <c r="AQ35" i="36"/>
  <c r="DB35" i="36"/>
  <c r="Z35" i="36"/>
  <c r="W35" i="36" s="1"/>
  <c r="AN35" i="36"/>
  <c r="BA35" i="36" s="1"/>
  <c r="O90" i="161"/>
  <c r="Y48" i="161"/>
  <c r="E13" i="158"/>
  <c r="M37" i="158"/>
  <c r="L38" i="36"/>
  <c r="G25" i="158"/>
  <c r="BA25" i="158"/>
  <c r="E25" i="136"/>
  <c r="K21" i="177"/>
  <c r="C59" i="119"/>
  <c r="B21" i="92"/>
  <c r="P50" i="111"/>
  <c r="E16" i="36"/>
  <c r="E36" i="36"/>
  <c r="BV45" i="36"/>
  <c r="S95" i="147"/>
  <c r="T95" i="147" s="1"/>
  <c r="GQ24" i="158"/>
  <c r="GM24" i="158"/>
  <c r="B20" i="92"/>
  <c r="K20" i="177"/>
  <c r="G24" i="158"/>
  <c r="C58" i="119"/>
  <c r="AE24" i="158"/>
  <c r="BA24" i="158"/>
  <c r="AZ24" i="158" s="1"/>
  <c r="AQ24" i="158" s="1"/>
  <c r="E24" i="136"/>
  <c r="Z48" i="161"/>
  <c r="Z68" i="161"/>
  <c r="E6" i="177"/>
  <c r="BH102" i="77"/>
  <c r="Z24" i="36"/>
  <c r="W24" i="36" s="1"/>
  <c r="G24" i="36"/>
  <c r="AO24" i="36" s="1"/>
  <c r="W24" i="150" s="1"/>
  <c r="AN24" i="36"/>
  <c r="BA24" i="36" s="1"/>
  <c r="DF24" i="36"/>
  <c r="DG24" i="36" s="1"/>
  <c r="DB24" i="36"/>
  <c r="DC24" i="36" s="1"/>
  <c r="AQ24" i="36"/>
  <c r="C6" i="177"/>
  <c r="CD6" i="177" s="1"/>
  <c r="E102" i="77"/>
  <c r="C14" i="123"/>
  <c r="C8" i="119"/>
  <c r="E61" i="77"/>
  <c r="B43" i="92"/>
  <c r="G10" i="77"/>
  <c r="G102" i="77" s="1"/>
  <c r="AO11" i="36"/>
  <c r="W11" i="150" s="1"/>
  <c r="W11" i="36"/>
  <c r="X10" i="77" s="1"/>
  <c r="X102" i="77" s="1"/>
  <c r="AA10" i="77"/>
  <c r="Q43" i="111"/>
  <c r="J107" i="77"/>
  <c r="DA100" i="77"/>
  <c r="HX11" i="158"/>
  <c r="AG88" i="158"/>
  <c r="AL16" i="77"/>
  <c r="AL108" i="77" s="1"/>
  <c r="W15" i="22"/>
  <c r="CY11" i="177"/>
  <c r="AC10" i="36"/>
  <c r="AD9" i="158"/>
  <c r="AD86" i="158" s="1"/>
  <c r="Z9" i="22"/>
  <c r="W9" i="22" s="1"/>
  <c r="HX9" i="158"/>
  <c r="AG86" i="158"/>
  <c r="D65" i="163"/>
  <c r="D64" i="163"/>
  <c r="D63" i="163"/>
  <c r="D62" i="163"/>
  <c r="T141" i="100"/>
  <c r="V141" i="100" s="1"/>
  <c r="J141" i="100"/>
  <c r="L141" i="100" s="1"/>
  <c r="F149" i="100"/>
  <c r="G149" i="100" s="1"/>
  <c r="AX37" i="32"/>
  <c r="AX38" i="32" s="1"/>
  <c r="BG37" i="32"/>
  <c r="BG38" i="32" s="1"/>
  <c r="AE39" i="32"/>
  <c r="AM37" i="32"/>
  <c r="AM38" i="32" s="1"/>
  <c r="AL19" i="156"/>
  <c r="AL20" i="156" s="1"/>
  <c r="P36" i="156"/>
  <c r="P37" i="156" s="1"/>
  <c r="F17" i="156"/>
  <c r="G17" i="156" s="1"/>
  <c r="F40" i="77"/>
  <c r="F100" i="77"/>
  <c r="BG8" i="77"/>
  <c r="BG100" i="77" s="1"/>
  <c r="AE9" i="150"/>
  <c r="J100" i="77"/>
  <c r="D4" i="177"/>
  <c r="AC11" i="36"/>
  <c r="AD10" i="158"/>
  <c r="AD87" i="158" s="1"/>
  <c r="Z10" i="22"/>
  <c r="W10" i="22" s="1"/>
  <c r="AG87" i="158"/>
  <c r="HX10" i="158"/>
  <c r="AC12" i="36"/>
  <c r="AD11" i="158"/>
  <c r="AD88" i="158" s="1"/>
  <c r="Z11" i="22"/>
  <c r="W11" i="22" s="1"/>
  <c r="FC19" i="158"/>
  <c r="GZ19" i="158"/>
  <c r="A14" i="168"/>
  <c r="M14" i="168" s="1"/>
  <c r="D19" i="136"/>
  <c r="A17" i="159"/>
  <c r="B96" i="158"/>
  <c r="BD19" i="158"/>
  <c r="B20" i="158"/>
  <c r="EA95" i="158"/>
  <c r="DO95" i="158"/>
  <c r="BY95" i="158"/>
  <c r="BH95" i="158"/>
  <c r="AT95" i="158"/>
  <c r="J95" i="158"/>
  <c r="EF95" i="158"/>
  <c r="DT95" i="158"/>
  <c r="CX95" i="158"/>
  <c r="AZ95" i="158"/>
  <c r="AA95" i="158"/>
  <c r="C95" i="158"/>
  <c r="EH95" i="158"/>
  <c r="DS95" i="158"/>
  <c r="CA95" i="158"/>
  <c r="BG95" i="158"/>
  <c r="AQ95" i="158"/>
  <c r="AC95" i="158"/>
  <c r="N95" i="158"/>
  <c r="EG95" i="158"/>
  <c r="DR95" i="158"/>
  <c r="DY95" i="158"/>
  <c r="DA95" i="158"/>
  <c r="BS95" i="158"/>
  <c r="AX95" i="158"/>
  <c r="F95" i="158"/>
  <c r="EL95" i="158"/>
  <c r="DX95" i="158"/>
  <c r="CZ95" i="158"/>
  <c r="BL95" i="158"/>
  <c r="AG95" i="158"/>
  <c r="E95" i="158"/>
  <c r="EI95" i="158"/>
  <c r="DM95" i="158"/>
  <c r="BJ95" i="158"/>
  <c r="W95" i="158"/>
  <c r="EE95" i="158"/>
  <c r="DL95" i="158"/>
  <c r="BI95" i="158"/>
  <c r="ED95" i="158"/>
  <c r="CY95" i="158"/>
  <c r="BF95" i="158"/>
  <c r="EC95" i="158"/>
  <c r="CC95" i="158"/>
  <c r="BE95" i="158"/>
  <c r="EB95" i="158"/>
  <c r="CB95" i="158"/>
  <c r="BD95" i="158"/>
  <c r="DZ95" i="158"/>
  <c r="BZ95" i="158"/>
  <c r="BB95" i="158"/>
  <c r="DW95" i="158"/>
  <c r="BX95" i="158"/>
  <c r="BA95" i="158"/>
  <c r="AE95" i="158"/>
  <c r="L95" i="158"/>
  <c r="DV95" i="158"/>
  <c r="AD95" i="158"/>
  <c r="K95" i="158"/>
  <c r="DU95" i="158"/>
  <c r="AU95" i="158"/>
  <c r="AB95" i="158"/>
  <c r="I95" i="158"/>
  <c r="DQ95" i="158"/>
  <c r="Z95" i="158"/>
  <c r="H95" i="158"/>
  <c r="EK95" i="158"/>
  <c r="DP95" i="158"/>
  <c r="BT95" i="158"/>
  <c r="Y95" i="158"/>
  <c r="G95" i="158"/>
  <c r="EJ95" i="158"/>
  <c r="DN95" i="158"/>
  <c r="BK95" i="158"/>
  <c r="X95" i="158"/>
  <c r="HX18" i="158"/>
  <c r="HV18" i="158"/>
  <c r="HJ18" i="158"/>
  <c r="ID18" i="158"/>
  <c r="HO18" i="158"/>
  <c r="HT18" i="158"/>
  <c r="HE18" i="158"/>
  <c r="FY18" i="158"/>
  <c r="FH18" i="158"/>
  <c r="HS18" i="158"/>
  <c r="HC18" i="158"/>
  <c r="HR18" i="158"/>
  <c r="FW18" i="158"/>
  <c r="HQ18" i="158"/>
  <c r="HA18" i="158"/>
  <c r="FT18" i="158"/>
  <c r="GH18" i="158"/>
  <c r="FK18" i="158"/>
  <c r="GG18" i="158"/>
  <c r="IE18" i="158"/>
  <c r="HH18" i="158"/>
  <c r="FJ18" i="158"/>
  <c r="HG18" i="158"/>
  <c r="HF18" i="158"/>
  <c r="FX18" i="158"/>
  <c r="FI18" i="158"/>
  <c r="HU18" i="158"/>
  <c r="FF18" i="158"/>
  <c r="HP18" i="158"/>
  <c r="GA18" i="158"/>
  <c r="FS18" i="158"/>
  <c r="FR18" i="158"/>
  <c r="FU18" i="158"/>
  <c r="FM18" i="158"/>
  <c r="FD18" i="158"/>
  <c r="FV18" i="158"/>
  <c r="GJ18" i="158"/>
  <c r="GU18" i="158"/>
  <c r="FA18" i="158"/>
  <c r="AX18" i="22"/>
  <c r="B76" i="18"/>
  <c r="B21" i="18"/>
  <c r="B20" i="22"/>
  <c r="AP19" i="22"/>
  <c r="CO19" i="22"/>
  <c r="AU19" i="22"/>
  <c r="L52" i="161"/>
  <c r="AA51" i="161"/>
  <c r="K51" i="161"/>
  <c r="DA16" i="77"/>
  <c r="DA108" i="77" s="1"/>
  <c r="J16" i="77"/>
  <c r="D12" i="177" s="1"/>
  <c r="CY12" i="177" s="1"/>
  <c r="D19" i="115"/>
  <c r="Z16" i="77"/>
  <c r="Z108" i="77" s="1"/>
  <c r="C49" i="92"/>
  <c r="C67" i="77"/>
  <c r="B20" i="115"/>
  <c r="A50" i="92"/>
  <c r="A13" i="92" s="1"/>
  <c r="K52" i="111"/>
  <c r="B68" i="77"/>
  <c r="B109" i="77"/>
  <c r="B18" i="77"/>
  <c r="DC18" i="77" s="1"/>
  <c r="DO14" i="177" s="1"/>
  <c r="AV17" i="77"/>
  <c r="BD17" i="77"/>
  <c r="DG13" i="177" s="1"/>
  <c r="BA17" i="77"/>
  <c r="E15" i="119" s="1"/>
  <c r="I17" i="77"/>
  <c r="F17" i="77"/>
  <c r="T17" i="77"/>
  <c r="C17" i="77"/>
  <c r="DW13" i="177" s="1"/>
  <c r="W17" i="77"/>
  <c r="AN17" i="77"/>
  <c r="G21" i="123" s="1"/>
  <c r="S17" i="77"/>
  <c r="N17" i="77"/>
  <c r="E21" i="123" s="1"/>
  <c r="BE17" i="77"/>
  <c r="DK13" i="177" s="1"/>
  <c r="AW17" i="77"/>
  <c r="AC17" i="77"/>
  <c r="CW17" i="77"/>
  <c r="K17" i="77" s="1"/>
  <c r="DS13" i="177" s="1"/>
  <c r="BB17" i="77"/>
  <c r="F15" i="119" s="1"/>
  <c r="L17" i="77"/>
  <c r="AM17" i="77"/>
  <c r="U17" i="77"/>
  <c r="BG17" i="77"/>
  <c r="H17" i="77"/>
  <c r="V17" i="77"/>
  <c r="BL17" i="77"/>
  <c r="CL108" i="77"/>
  <c r="BZ108" i="77"/>
  <c r="BN108" i="77"/>
  <c r="BB108" i="77"/>
  <c r="DB108" i="77"/>
  <c r="CP108" i="77"/>
  <c r="CD108" i="77"/>
  <c r="BR108" i="77"/>
  <c r="T108" i="77"/>
  <c r="H108" i="77"/>
  <c r="CM108" i="77"/>
  <c r="BX108" i="77"/>
  <c r="BJ108" i="77"/>
  <c r="AV108" i="77"/>
  <c r="CZ108" i="77"/>
  <c r="CK108" i="77"/>
  <c r="BW108" i="77"/>
  <c r="BI108" i="77"/>
  <c r="AS108" i="77"/>
  <c r="CY108" i="77"/>
  <c r="CJ108" i="77"/>
  <c r="BV108" i="77"/>
  <c r="AC108" i="77"/>
  <c r="N108" i="77"/>
  <c r="CW108" i="77"/>
  <c r="CI108" i="77"/>
  <c r="BU108" i="77"/>
  <c r="BG108" i="77"/>
  <c r="CV108" i="77"/>
  <c r="CH108" i="77"/>
  <c r="BT108" i="77"/>
  <c r="BE108" i="77"/>
  <c r="L108" i="77"/>
  <c r="CU108" i="77"/>
  <c r="CG108" i="77"/>
  <c r="BS108" i="77"/>
  <c r="BD108" i="77"/>
  <c r="K108" i="77"/>
  <c r="CT108" i="77"/>
  <c r="CF108" i="77"/>
  <c r="BQ108" i="77"/>
  <c r="BC108" i="77"/>
  <c r="CS108" i="77"/>
  <c r="CE108" i="77"/>
  <c r="BP108" i="77"/>
  <c r="BA108" i="77"/>
  <c r="AK108" i="77"/>
  <c r="W108" i="77"/>
  <c r="I108" i="77"/>
  <c r="CR108" i="77"/>
  <c r="CC108" i="77"/>
  <c r="BO108" i="77"/>
  <c r="AZ108" i="77"/>
  <c r="AJ108" i="77"/>
  <c r="V108" i="77"/>
  <c r="CQ108" i="77"/>
  <c r="CB108" i="77"/>
  <c r="BM108" i="77"/>
  <c r="AY108" i="77"/>
  <c r="U108" i="77"/>
  <c r="F108" i="77"/>
  <c r="CO108" i="77"/>
  <c r="CA108" i="77"/>
  <c r="BL108" i="77"/>
  <c r="AX108" i="77"/>
  <c r="S108" i="77"/>
  <c r="DC108" i="77"/>
  <c r="CN108" i="77"/>
  <c r="BY108" i="77"/>
  <c r="BK108" i="77"/>
  <c r="AW108" i="77"/>
  <c r="C108" i="77"/>
  <c r="U51" i="111"/>
  <c r="J51" i="111"/>
  <c r="H19" i="115"/>
  <c r="B65" i="115"/>
  <c r="O65" i="115" s="1"/>
  <c r="AH9" i="148"/>
  <c r="AI9" i="148" s="1"/>
  <c r="AJ9" i="148" s="1"/>
  <c r="B15" i="119"/>
  <c r="B51" i="119" s="1"/>
  <c r="B86" i="119" s="1"/>
  <c r="AF61" i="36"/>
  <c r="AJ48" i="36"/>
  <c r="B74" i="36"/>
  <c r="B19" i="36"/>
  <c r="BE18" i="36"/>
  <c r="CY18" i="36" s="1"/>
  <c r="W18" i="22" l="1"/>
  <c r="F13" i="177"/>
  <c r="CH13" i="177" s="1"/>
  <c r="DG17" i="77"/>
  <c r="HU12" i="158"/>
  <c r="FX12" i="158"/>
  <c r="BB32" i="158"/>
  <c r="C101" i="119" s="1"/>
  <c r="M28" i="177"/>
  <c r="BT31" i="158"/>
  <c r="IF31" i="158"/>
  <c r="K27" i="177"/>
  <c r="AE94" i="158"/>
  <c r="FY17" i="158"/>
  <c r="BB30" i="158"/>
  <c r="C99" i="119" s="1"/>
  <c r="M26" i="177"/>
  <c r="M13" i="177"/>
  <c r="FI17" i="158"/>
  <c r="BB24" i="158"/>
  <c r="C93" i="119" s="1"/>
  <c r="M20" i="177"/>
  <c r="BB11" i="158"/>
  <c r="M7" i="177"/>
  <c r="FI11" i="158"/>
  <c r="BT33" i="158"/>
  <c r="IF33" i="158"/>
  <c r="K29" i="177"/>
  <c r="BT14" i="158"/>
  <c r="IF14" i="158"/>
  <c r="FF14" i="158"/>
  <c r="BB10" i="158"/>
  <c r="M6" i="177"/>
  <c r="DC6" i="177" s="1"/>
  <c r="FI10" i="158"/>
  <c r="BB35" i="158"/>
  <c r="C104" i="119" s="1"/>
  <c r="M31" i="177"/>
  <c r="BB15" i="158"/>
  <c r="M11" i="177"/>
  <c r="FI15" i="158"/>
  <c r="IJ37" i="158"/>
  <c r="O33" i="177"/>
  <c r="P33" i="177" s="1"/>
  <c r="CQ33" i="177" s="1"/>
  <c r="BT29" i="158"/>
  <c r="IF29" i="158"/>
  <c r="IJ36" i="158"/>
  <c r="O32" i="177"/>
  <c r="P32" i="177" s="1"/>
  <c r="CQ32" i="177" s="1"/>
  <c r="BT13" i="158"/>
  <c r="IF13" i="158"/>
  <c r="FF13" i="158"/>
  <c r="IJ38" i="158"/>
  <c r="O34" i="177"/>
  <c r="P34" i="177" s="1"/>
  <c r="CQ34" i="177" s="1"/>
  <c r="BB27" i="158"/>
  <c r="C96" i="119" s="1"/>
  <c r="M23" i="177"/>
  <c r="BB26" i="158"/>
  <c r="C95" i="119" s="1"/>
  <c r="M22" i="177"/>
  <c r="G23" i="36"/>
  <c r="AO23" i="36" s="1"/>
  <c r="W23" i="150" s="1"/>
  <c r="P19" i="22"/>
  <c r="R76" i="18"/>
  <c r="C19" i="22"/>
  <c r="Q19" i="22"/>
  <c r="I19" i="22"/>
  <c r="R19" i="22"/>
  <c r="T19" i="22"/>
  <c r="K19" i="22"/>
  <c r="AV19" i="22"/>
  <c r="BB19" i="22"/>
  <c r="G19" i="22"/>
  <c r="CM19" i="22"/>
  <c r="H19" i="22" s="1"/>
  <c r="AB76" i="18"/>
  <c r="Z19" i="22"/>
  <c r="X18" i="22"/>
  <c r="DB23" i="36"/>
  <c r="DC23" i="36" s="1"/>
  <c r="Z23" i="36"/>
  <c r="W23" i="36" s="1"/>
  <c r="AK37" i="150"/>
  <c r="AJ37" i="150"/>
  <c r="DF23" i="36"/>
  <c r="DG23" i="36" s="1"/>
  <c r="AK39" i="150"/>
  <c r="AJ39" i="150"/>
  <c r="P56" i="111"/>
  <c r="E22" i="36"/>
  <c r="C38" i="151"/>
  <c r="W42" i="151" s="1"/>
  <c r="BC26" i="36" s="1"/>
  <c r="D52" i="151"/>
  <c r="E52" i="151"/>
  <c r="CP19" i="22"/>
  <c r="AO17" i="77"/>
  <c r="AO109" i="77" s="1"/>
  <c r="H52" i="151"/>
  <c r="G52" i="151"/>
  <c r="L54" i="111"/>
  <c r="L55" i="111" s="1"/>
  <c r="L56" i="111" s="1"/>
  <c r="L60" i="111" s="1"/>
  <c r="AN19" i="36"/>
  <c r="BA19" i="36" s="1"/>
  <c r="DB19" i="36"/>
  <c r="DC19" i="36" s="1"/>
  <c r="G19" i="36"/>
  <c r="AQ19" i="36"/>
  <c r="BH18" i="77" s="1"/>
  <c r="E14" i="177" s="1"/>
  <c r="DC14" i="177" s="1"/>
  <c r="DF19" i="36"/>
  <c r="DG19" i="36" s="1"/>
  <c r="Z19" i="36"/>
  <c r="AG26" i="158"/>
  <c r="AD26" i="158" s="1"/>
  <c r="BB9" i="158"/>
  <c r="FI9" i="158"/>
  <c r="BR26" i="158"/>
  <c r="W27" i="148" s="1"/>
  <c r="AL27" i="148" s="1"/>
  <c r="BU26" i="158"/>
  <c r="BM26" i="158" s="1"/>
  <c r="BW26" i="158"/>
  <c r="BO26" i="158" s="1"/>
  <c r="BV26" i="158"/>
  <c r="BN26" i="158" s="1"/>
  <c r="AC89" i="158"/>
  <c r="BF26" i="148"/>
  <c r="BX26" i="148" s="1"/>
  <c r="BZ26" i="148" s="1"/>
  <c r="BJ26" i="148"/>
  <c r="BJ41" i="148" s="1"/>
  <c r="AZ25" i="158"/>
  <c r="AQ25" i="158" s="1"/>
  <c r="AB22" i="158"/>
  <c r="AC22" i="158" s="1"/>
  <c r="AG22" i="158"/>
  <c r="BP24" i="148"/>
  <c r="BR24" i="148" s="1"/>
  <c r="AV24" i="148"/>
  <c r="AW24" i="148" s="1"/>
  <c r="BA24" i="148" s="1"/>
  <c r="C21" i="161" s="1"/>
  <c r="AY23" i="158"/>
  <c r="BP21" i="148"/>
  <c r="BR21" i="148" s="1"/>
  <c r="AY20" i="158"/>
  <c r="AV21" i="148"/>
  <c r="AW21" i="148" s="1"/>
  <c r="BA21" i="148" s="1"/>
  <c r="C18" i="161" s="1"/>
  <c r="BP29" i="148"/>
  <c r="BR29" i="148" s="1"/>
  <c r="AY28" i="158"/>
  <c r="AV29" i="148"/>
  <c r="AW29" i="148" s="1"/>
  <c r="BA29" i="148" s="1"/>
  <c r="C26" i="161" s="1"/>
  <c r="BP22" i="148"/>
  <c r="BR22" i="148" s="1"/>
  <c r="AY21" i="158"/>
  <c r="AV22" i="148"/>
  <c r="AW22" i="148" s="1"/>
  <c r="BA22" i="148" s="1"/>
  <c r="C19" i="161" s="1"/>
  <c r="BP13" i="148"/>
  <c r="BR13" i="148" s="1"/>
  <c r="AY12" i="158"/>
  <c r="AV13" i="148"/>
  <c r="AD28" i="158"/>
  <c r="AC29" i="36"/>
  <c r="BP27" i="148"/>
  <c r="BR27" i="148" s="1"/>
  <c r="AV27" i="148"/>
  <c r="AW27" i="148" s="1"/>
  <c r="BA27" i="148" s="1"/>
  <c r="C24" i="161" s="1"/>
  <c r="AY26" i="158"/>
  <c r="AC24" i="36"/>
  <c r="AD23" i="158"/>
  <c r="BP19" i="148"/>
  <c r="BR19" i="148" s="1"/>
  <c r="AV19" i="148"/>
  <c r="AW19" i="148" s="1"/>
  <c r="BA19" i="148" s="1"/>
  <c r="C16" i="161" s="1"/>
  <c r="AY18" i="158"/>
  <c r="AY95" i="158" s="1"/>
  <c r="AC27" i="36"/>
  <c r="AB24" i="158"/>
  <c r="AC24" i="158" s="1"/>
  <c r="AG24" i="158"/>
  <c r="AB27" i="158"/>
  <c r="AC27" i="158" s="1"/>
  <c r="AG27" i="158"/>
  <c r="BP35" i="148"/>
  <c r="BR35" i="148" s="1"/>
  <c r="AV35" i="148"/>
  <c r="AW35" i="148" s="1"/>
  <c r="BA35" i="148" s="1"/>
  <c r="C32" i="161" s="1"/>
  <c r="AY34" i="158"/>
  <c r="BH26" i="148"/>
  <c r="BH41" i="148" s="1"/>
  <c r="BG26" i="148"/>
  <c r="BI26" i="148"/>
  <c r="B23" i="161" s="1"/>
  <c r="N25" i="158" s="1"/>
  <c r="AL26" i="158" s="1"/>
  <c r="BV10" i="158"/>
  <c r="BN10" i="158" s="1"/>
  <c r="AK11" i="148"/>
  <c r="BW10" i="158"/>
  <c r="BO10" i="158" s="1"/>
  <c r="BW89" i="158"/>
  <c r="AA104" i="77"/>
  <c r="BB22" i="158"/>
  <c r="C91" i="119" s="1"/>
  <c r="HF17" i="158"/>
  <c r="BB17" i="158"/>
  <c r="BB94" i="158" s="1"/>
  <c r="AU26" i="148"/>
  <c r="AT26" i="148"/>
  <c r="GS25" i="158"/>
  <c r="GT25" i="158" s="1"/>
  <c r="E59" i="119"/>
  <c r="F59" i="119" s="1"/>
  <c r="G59" i="119" s="1"/>
  <c r="BI25" i="158"/>
  <c r="BJ25" i="158" s="1"/>
  <c r="E23" i="161"/>
  <c r="BE25" i="158"/>
  <c r="BF25" i="158" s="1"/>
  <c r="GK25" i="158"/>
  <c r="GM25" i="158" s="1"/>
  <c r="BG25" i="158"/>
  <c r="BH25" i="158" s="1"/>
  <c r="GO25" i="158"/>
  <c r="GQ25" i="158" s="1"/>
  <c r="BR87" i="158"/>
  <c r="BV89" i="158"/>
  <c r="E17" i="77"/>
  <c r="DE17" i="77" s="1"/>
  <c r="Z18" i="36"/>
  <c r="W18" i="36" s="1"/>
  <c r="X17" i="77" s="1"/>
  <c r="X109" i="77" s="1"/>
  <c r="AN18" i="36"/>
  <c r="BA18" i="36" s="1"/>
  <c r="G18" i="36"/>
  <c r="AO18" i="36" s="1"/>
  <c r="W18" i="150" s="1"/>
  <c r="AK18" i="150" s="1"/>
  <c r="AQ18" i="36"/>
  <c r="BH17" i="77" s="1"/>
  <c r="E13" i="177" s="1"/>
  <c r="DC13" i="177" s="1"/>
  <c r="DF18" i="36"/>
  <c r="DG18" i="36" s="1"/>
  <c r="BP12" i="158"/>
  <c r="BU10" i="158"/>
  <c r="G87" i="158"/>
  <c r="BU89" i="158"/>
  <c r="BP20" i="158"/>
  <c r="C79" i="119"/>
  <c r="BB87" i="158"/>
  <c r="HF10" i="158"/>
  <c r="AX10" i="22"/>
  <c r="BT87" i="158"/>
  <c r="AZ10" i="158"/>
  <c r="W13" i="148"/>
  <c r="AL13" i="148" s="1"/>
  <c r="BR89" i="158"/>
  <c r="HV10" i="158"/>
  <c r="AB10" i="158"/>
  <c r="FW10" i="158" s="1"/>
  <c r="AE87" i="158"/>
  <c r="X10" i="22"/>
  <c r="C81" i="119"/>
  <c r="BB89" i="158"/>
  <c r="AK21" i="150"/>
  <c r="V18" i="111"/>
  <c r="AZ21" i="36" s="1"/>
  <c r="H74" i="161"/>
  <c r="Z51" i="161"/>
  <c r="AL17" i="22"/>
  <c r="AK26" i="148"/>
  <c r="BW25" i="158"/>
  <c r="BO25" i="158" s="1"/>
  <c r="BU25" i="158"/>
  <c r="BM25" i="158" s="1"/>
  <c r="BV25" i="158"/>
  <c r="BN25" i="158" s="1"/>
  <c r="BR25" i="158"/>
  <c r="W26" i="148" s="1"/>
  <c r="AL26" i="148" s="1"/>
  <c r="AK23" i="148"/>
  <c r="BV22" i="158"/>
  <c r="BN22" i="158" s="1"/>
  <c r="BU22" i="158"/>
  <c r="BM22" i="158" s="1"/>
  <c r="BW22" i="158"/>
  <c r="BO22" i="158" s="1"/>
  <c r="BR22" i="158"/>
  <c r="W23" i="148" s="1"/>
  <c r="AL23" i="148" s="1"/>
  <c r="X20" i="161" s="1"/>
  <c r="J22" i="136" s="1"/>
  <c r="AK16" i="148"/>
  <c r="BV15" i="158"/>
  <c r="BU15" i="158"/>
  <c r="BW15" i="158"/>
  <c r="BR15" i="158"/>
  <c r="W16" i="148" s="1"/>
  <c r="AL16" i="148" s="1"/>
  <c r="AK31" i="148"/>
  <c r="BW30" i="158"/>
  <c r="BO30" i="158" s="1"/>
  <c r="BU30" i="158"/>
  <c r="BM30" i="158" s="1"/>
  <c r="BV30" i="158"/>
  <c r="BN30" i="158" s="1"/>
  <c r="BR30" i="158"/>
  <c r="W31" i="148" s="1"/>
  <c r="AL31" i="148" s="1"/>
  <c r="AK25" i="148"/>
  <c r="BW24" i="158"/>
  <c r="BO24" i="158" s="1"/>
  <c r="BU24" i="158"/>
  <c r="BM24" i="158" s="1"/>
  <c r="BV24" i="158"/>
  <c r="BN24" i="158" s="1"/>
  <c r="BR24" i="158"/>
  <c r="W25" i="148" s="1"/>
  <c r="AL25" i="148" s="1"/>
  <c r="AK28" i="148"/>
  <c r="BU27" i="158"/>
  <c r="BM27" i="158" s="1"/>
  <c r="BV27" i="158"/>
  <c r="BN27" i="158" s="1"/>
  <c r="BW27" i="158"/>
  <c r="BO27" i="158" s="1"/>
  <c r="BR27" i="158"/>
  <c r="W28" i="148" s="1"/>
  <c r="AL28" i="148" s="1"/>
  <c r="AK12" i="148"/>
  <c r="BV11" i="158"/>
  <c r="BW11" i="158"/>
  <c r="BU11" i="158"/>
  <c r="BR11" i="158"/>
  <c r="W12" i="148" s="1"/>
  <c r="AL12" i="148" s="1"/>
  <c r="AK36" i="148"/>
  <c r="BU35" i="158"/>
  <c r="BM35" i="158" s="1"/>
  <c r="BV35" i="158"/>
  <c r="BN35" i="158" s="1"/>
  <c r="BW35" i="158"/>
  <c r="BO35" i="158" s="1"/>
  <c r="BR35" i="158"/>
  <c r="W36" i="148" s="1"/>
  <c r="AL36" i="148" s="1"/>
  <c r="AK33" i="148"/>
  <c r="BU32" i="158"/>
  <c r="BM32" i="158" s="1"/>
  <c r="BW32" i="158"/>
  <c r="BO32" i="158" s="1"/>
  <c r="BV32" i="158"/>
  <c r="BN32" i="158" s="1"/>
  <c r="BR32" i="158"/>
  <c r="W33" i="148" s="1"/>
  <c r="AL33" i="148" s="1"/>
  <c r="AK10" i="148"/>
  <c r="BW9" i="158"/>
  <c r="BU9" i="158"/>
  <c r="BV9" i="158"/>
  <c r="BR9" i="158"/>
  <c r="W10" i="148" s="1"/>
  <c r="AL10" i="148" s="1"/>
  <c r="AK18" i="148"/>
  <c r="BU17" i="158"/>
  <c r="BM17" i="158" s="1"/>
  <c r="BV17" i="158"/>
  <c r="BN17" i="158" s="1"/>
  <c r="BW17" i="158"/>
  <c r="BW94" i="158" s="1"/>
  <c r="BR17" i="158"/>
  <c r="W18" i="148" s="1"/>
  <c r="AL18" i="148" s="1"/>
  <c r="G94" i="158"/>
  <c r="AB17" i="158"/>
  <c r="HV17" i="158"/>
  <c r="X17" i="22"/>
  <c r="E19" i="158"/>
  <c r="Y54" i="161"/>
  <c r="O96" i="161"/>
  <c r="AX17" i="22"/>
  <c r="I74" i="161"/>
  <c r="Z54" i="161"/>
  <c r="AQ17" i="158"/>
  <c r="AQ94" i="158" s="1"/>
  <c r="E15" i="36"/>
  <c r="P49" i="111"/>
  <c r="E14" i="136"/>
  <c r="BA14" i="158"/>
  <c r="GQ14" i="158"/>
  <c r="C48" i="119"/>
  <c r="E14" i="22"/>
  <c r="G14" i="158"/>
  <c r="AE14" i="158"/>
  <c r="FY14" i="158" s="1"/>
  <c r="B10" i="92"/>
  <c r="HC14" i="158"/>
  <c r="K10" i="177"/>
  <c r="E91" i="158"/>
  <c r="GM14" i="158"/>
  <c r="BA94" i="158"/>
  <c r="BT94" i="158"/>
  <c r="Y51" i="161"/>
  <c r="O93" i="161"/>
  <c r="E16" i="158"/>
  <c r="AK11" i="150"/>
  <c r="V8" i="111" s="1"/>
  <c r="AJ11" i="150"/>
  <c r="AK35" i="150"/>
  <c r="AJ35" i="150"/>
  <c r="V32" i="111" s="1"/>
  <c r="AK29" i="150"/>
  <c r="AJ29" i="150"/>
  <c r="V26" i="111" s="1"/>
  <c r="AK24" i="150"/>
  <c r="AJ24" i="150"/>
  <c r="V21" i="111" s="1"/>
  <c r="X18" i="161"/>
  <c r="J20" i="136" s="1"/>
  <c r="BU95" i="158"/>
  <c r="BR95" i="158"/>
  <c r="BW95" i="158"/>
  <c r="P36" i="158"/>
  <c r="T36" i="158" s="1"/>
  <c r="G33" i="36"/>
  <c r="AO33" i="36" s="1"/>
  <c r="W33" i="150" s="1"/>
  <c r="DF33" i="36"/>
  <c r="DG33" i="36" s="1"/>
  <c r="Z33" i="36"/>
  <c r="W33" i="36" s="1"/>
  <c r="AQ33" i="36"/>
  <c r="DB33" i="36"/>
  <c r="DC33" i="36" s="1"/>
  <c r="AN33" i="36"/>
  <c r="BA33" i="36" s="1"/>
  <c r="O36" i="158"/>
  <c r="GP36" i="158" s="1"/>
  <c r="Q36" i="158"/>
  <c r="U36" i="158" s="1"/>
  <c r="BP34" i="158"/>
  <c r="BP28" i="158"/>
  <c r="X24" i="161"/>
  <c r="J26" i="136" s="1"/>
  <c r="BP26" i="158"/>
  <c r="P38" i="158"/>
  <c r="T38" i="158" s="1"/>
  <c r="O38" i="158"/>
  <c r="GP38" i="158" s="1"/>
  <c r="AR41" i="148"/>
  <c r="AZ11" i="158"/>
  <c r="BA88" i="158"/>
  <c r="Q37" i="158"/>
  <c r="U37" i="158" s="1"/>
  <c r="AN16" i="36"/>
  <c r="BA16" i="36" s="1"/>
  <c r="Z16" i="36"/>
  <c r="DB16" i="36"/>
  <c r="DF16" i="36"/>
  <c r="G16" i="36"/>
  <c r="AQ16" i="36"/>
  <c r="BH15" i="77" s="1"/>
  <c r="E15" i="77"/>
  <c r="GM33" i="158"/>
  <c r="C67" i="119"/>
  <c r="G33" i="158"/>
  <c r="AE33" i="158"/>
  <c r="AB33" i="158" s="1"/>
  <c r="AC33" i="158" s="1"/>
  <c r="BA33" i="158"/>
  <c r="AZ33" i="158" s="1"/>
  <c r="AQ33" i="158" s="1"/>
  <c r="B29" i="92"/>
  <c r="E33" i="136"/>
  <c r="GQ33" i="158"/>
  <c r="C94" i="119"/>
  <c r="DG29" i="36"/>
  <c r="X74" i="161"/>
  <c r="Z43" i="161"/>
  <c r="BP21" i="158"/>
  <c r="DF28" i="36"/>
  <c r="AN28" i="36"/>
  <c r="BA28" i="36" s="1"/>
  <c r="DB28" i="36"/>
  <c r="Z28" i="36"/>
  <c r="W28" i="36" s="1"/>
  <c r="G28" i="36"/>
  <c r="AO28" i="36" s="1"/>
  <c r="W28" i="150" s="1"/>
  <c r="AQ28" i="36"/>
  <c r="AQ36" i="36"/>
  <c r="DB36" i="36"/>
  <c r="Z36" i="36"/>
  <c r="W36" i="36" s="1"/>
  <c r="DF36" i="36"/>
  <c r="G36" i="36"/>
  <c r="AO36" i="36" s="1"/>
  <c r="W36" i="150" s="1"/>
  <c r="AN36" i="36"/>
  <c r="BA36" i="36" s="1"/>
  <c r="BP23" i="158"/>
  <c r="G92" i="158"/>
  <c r="AE88" i="158"/>
  <c r="HV11" i="158"/>
  <c r="AB11" i="158"/>
  <c r="FW11" i="158" s="1"/>
  <c r="X11" i="22"/>
  <c r="N38" i="36"/>
  <c r="X21" i="161"/>
  <c r="J23" i="136" s="1"/>
  <c r="DC35" i="36"/>
  <c r="DF10" i="36"/>
  <c r="DG10" i="36" s="1"/>
  <c r="AN10" i="36"/>
  <c r="BA10" i="36" s="1"/>
  <c r="G10" i="36"/>
  <c r="Z10" i="36"/>
  <c r="E9" i="77"/>
  <c r="AQ10" i="36"/>
  <c r="BH9" i="77" s="1"/>
  <c r="DB10" i="36"/>
  <c r="DC10" i="36" s="1"/>
  <c r="X26" i="161"/>
  <c r="J28" i="136" s="1"/>
  <c r="BT92" i="158"/>
  <c r="HF15" i="158"/>
  <c r="AX15" i="22"/>
  <c r="X16" i="161"/>
  <c r="J18" i="136" s="1"/>
  <c r="G88" i="158"/>
  <c r="AQ26" i="36"/>
  <c r="AN26" i="36"/>
  <c r="G26" i="36"/>
  <c r="AO26" i="36" s="1"/>
  <c r="W26" i="150" s="1"/>
  <c r="AP41" i="148"/>
  <c r="G86" i="158"/>
  <c r="Z31" i="36"/>
  <c r="W31" i="36" s="1"/>
  <c r="AN31" i="36"/>
  <c r="BA31" i="36" s="1"/>
  <c r="DB31" i="36"/>
  <c r="AQ31" i="36"/>
  <c r="G31" i="36"/>
  <c r="AO31" i="36" s="1"/>
  <c r="W31" i="150" s="1"/>
  <c r="DF31" i="36"/>
  <c r="HC13" i="158"/>
  <c r="AE13" i="158"/>
  <c r="FY13" i="158" s="1"/>
  <c r="E90" i="158"/>
  <c r="GQ13" i="158"/>
  <c r="K9" i="177"/>
  <c r="BA13" i="158"/>
  <c r="E13" i="136"/>
  <c r="E13" i="22"/>
  <c r="C47" i="119"/>
  <c r="GM13" i="158"/>
  <c r="B9" i="92"/>
  <c r="G13" i="158"/>
  <c r="Z12" i="36"/>
  <c r="DB12" i="36"/>
  <c r="AN12" i="36"/>
  <c r="BA12" i="36" s="1"/>
  <c r="DF12" i="36"/>
  <c r="AQ12" i="36"/>
  <c r="BH11" i="77" s="1"/>
  <c r="E11" i="77"/>
  <c r="G12" i="36"/>
  <c r="AZ15" i="158"/>
  <c r="BA92" i="158"/>
  <c r="S93" i="147"/>
  <c r="T93" i="147" s="1"/>
  <c r="E34" i="36"/>
  <c r="E42" i="151"/>
  <c r="AE42" i="151"/>
  <c r="T42" i="151"/>
  <c r="BN26" i="150" s="1"/>
  <c r="AQ42" i="151"/>
  <c r="R42" i="151"/>
  <c r="F42" i="151"/>
  <c r="AK42" i="151"/>
  <c r="G42" i="151"/>
  <c r="CZ26" i="36" s="1"/>
  <c r="DB26" i="36" s="1"/>
  <c r="DC26" i="36" s="1"/>
  <c r="O42" i="151"/>
  <c r="H42" i="151"/>
  <c r="DD26" i="36" s="1"/>
  <c r="DF26" i="36" s="1"/>
  <c r="DG26" i="36" s="1"/>
  <c r="AR42" i="151"/>
  <c r="AN42" i="151"/>
  <c r="S42" i="151"/>
  <c r="AT42" i="151"/>
  <c r="V42" i="151"/>
  <c r="AO42" i="151"/>
  <c r="N42" i="151"/>
  <c r="AG42" i="151"/>
  <c r="AN41" i="148"/>
  <c r="BV95" i="158"/>
  <c r="Q38" i="158"/>
  <c r="U38" i="158" s="1"/>
  <c r="DG35" i="36"/>
  <c r="N39" i="36"/>
  <c r="AQ25" i="36"/>
  <c r="DF25" i="36"/>
  <c r="DG25" i="36" s="1"/>
  <c r="G25" i="36"/>
  <c r="AO25" i="36" s="1"/>
  <c r="W25" i="150" s="1"/>
  <c r="AN25" i="36"/>
  <c r="BA25" i="36" s="1"/>
  <c r="DB25" i="36"/>
  <c r="DC25" i="36" s="1"/>
  <c r="Z25" i="36"/>
  <c r="W25" i="36" s="1"/>
  <c r="X15" i="22"/>
  <c r="AE92" i="158"/>
  <c r="HV15" i="158"/>
  <c r="AB15" i="158"/>
  <c r="FW15" i="158" s="1"/>
  <c r="AE86" i="158"/>
  <c r="AB9" i="158"/>
  <c r="FW9" i="158" s="1"/>
  <c r="X9" i="22"/>
  <c r="AB9" i="22" s="1"/>
  <c r="HV9" i="158"/>
  <c r="BT88" i="158"/>
  <c r="HF11" i="158"/>
  <c r="AX11" i="22"/>
  <c r="C65" i="119"/>
  <c r="BA31" i="158"/>
  <c r="AZ31" i="158" s="1"/>
  <c r="AQ31" i="158" s="1"/>
  <c r="GQ31" i="158"/>
  <c r="B27" i="92"/>
  <c r="E31" i="136"/>
  <c r="GM31" i="158"/>
  <c r="AE31" i="158"/>
  <c r="AB31" i="158" s="1"/>
  <c r="AC31" i="158" s="1"/>
  <c r="G31" i="158"/>
  <c r="P37" i="158"/>
  <c r="T37" i="158" s="1"/>
  <c r="BA86" i="158"/>
  <c r="AZ9" i="158"/>
  <c r="X32" i="161"/>
  <c r="J34" i="136" s="1"/>
  <c r="O74" i="161"/>
  <c r="AQ41" i="148"/>
  <c r="Q41" i="148"/>
  <c r="O85" i="161"/>
  <c r="Y43" i="161"/>
  <c r="AO41" i="148"/>
  <c r="E8" i="158"/>
  <c r="AS41" i="148"/>
  <c r="AM41" i="148"/>
  <c r="O37" i="158"/>
  <c r="D71" i="119" s="1"/>
  <c r="P48" i="111"/>
  <c r="E14" i="36"/>
  <c r="BP18" i="158"/>
  <c r="AZ13" i="36"/>
  <c r="BT86" i="158"/>
  <c r="HF9" i="158"/>
  <c r="AX9" i="22"/>
  <c r="C63" i="119"/>
  <c r="G29" i="158"/>
  <c r="E29" i="136"/>
  <c r="B25" i="92"/>
  <c r="GQ29" i="158"/>
  <c r="GM29" i="158"/>
  <c r="BA29" i="158"/>
  <c r="AZ29" i="158" s="1"/>
  <c r="AQ29" i="158" s="1"/>
  <c r="K25" i="177"/>
  <c r="AE29" i="158"/>
  <c r="AB29" i="158" s="1"/>
  <c r="AC29" i="158" s="1"/>
  <c r="E30" i="36"/>
  <c r="S88" i="147"/>
  <c r="T88" i="147" s="1"/>
  <c r="DC29" i="36"/>
  <c r="S90" i="147"/>
  <c r="T90" i="147" s="1"/>
  <c r="E32" i="36"/>
  <c r="X19" i="161"/>
  <c r="J21" i="136" s="1"/>
  <c r="Y11" i="36"/>
  <c r="AC10" i="77"/>
  <c r="C13" i="115"/>
  <c r="AA102" i="77"/>
  <c r="BF10" i="77"/>
  <c r="BF102" i="77" s="1"/>
  <c r="AX76" i="18"/>
  <c r="K76" i="18"/>
  <c r="AF9" i="150"/>
  <c r="X8" i="161"/>
  <c r="J10" i="136" s="1"/>
  <c r="T76" i="18"/>
  <c r="CY4" i="177"/>
  <c r="F76" i="18"/>
  <c r="J108" i="77"/>
  <c r="G15" i="119"/>
  <c r="S76" i="18"/>
  <c r="H76" i="18"/>
  <c r="C76" i="18"/>
  <c r="AG76" i="18" s="1"/>
  <c r="B16" i="119"/>
  <c r="B52" i="119" s="1"/>
  <c r="B87" i="119" s="1"/>
  <c r="AF62" i="36"/>
  <c r="B75" i="36"/>
  <c r="AJ49" i="36"/>
  <c r="B20" i="36"/>
  <c r="BE19" i="36"/>
  <c r="CY19" i="36" s="1"/>
  <c r="J17" i="77"/>
  <c r="D13" i="177" s="1"/>
  <c r="CY13" i="177" s="1"/>
  <c r="DA17" i="77"/>
  <c r="DA109" i="77" s="1"/>
  <c r="F21" i="123"/>
  <c r="D20" i="115"/>
  <c r="Z17" i="77"/>
  <c r="Z109" i="77" s="1"/>
  <c r="C50" i="92"/>
  <c r="C68" i="77"/>
  <c r="A51" i="92"/>
  <c r="A14" i="92" s="1"/>
  <c r="B21" i="115"/>
  <c r="K53" i="111"/>
  <c r="B110" i="77"/>
  <c r="B69" i="77"/>
  <c r="B19" i="77"/>
  <c r="DC19" i="77" s="1"/>
  <c r="DO15" i="177" s="1"/>
  <c r="AV18" i="77"/>
  <c r="I18" i="77"/>
  <c r="BA18" i="77"/>
  <c r="E16" i="119" s="1"/>
  <c r="BD18" i="77"/>
  <c r="DG14" i="177" s="1"/>
  <c r="L18" i="77"/>
  <c r="BB18" i="77"/>
  <c r="F16" i="119" s="1"/>
  <c r="S18" i="77"/>
  <c r="AW18" i="77"/>
  <c r="AC18" i="77"/>
  <c r="E18" i="77"/>
  <c r="U18" i="77"/>
  <c r="T18" i="77"/>
  <c r="CW18" i="77"/>
  <c r="K18" i="77" s="1"/>
  <c r="DS14" i="177" s="1"/>
  <c r="W18" i="77"/>
  <c r="BE18" i="77"/>
  <c r="DK14" i="177" s="1"/>
  <c r="F18" i="77"/>
  <c r="N18" i="77"/>
  <c r="E22" i="123" s="1"/>
  <c r="C18" i="77"/>
  <c r="DW14" i="177" s="1"/>
  <c r="V18" i="77"/>
  <c r="BL18" i="77"/>
  <c r="H18" i="77"/>
  <c r="BG18" i="77"/>
  <c r="DB109" i="77"/>
  <c r="CP109" i="77"/>
  <c r="CD109" i="77"/>
  <c r="BR109" i="77"/>
  <c r="T109" i="77"/>
  <c r="H109" i="77"/>
  <c r="CT109" i="77"/>
  <c r="CH109" i="77"/>
  <c r="BV109" i="77"/>
  <c r="BJ109" i="77"/>
  <c r="AX109" i="77"/>
  <c r="L109" i="77"/>
  <c r="CJ109" i="77"/>
  <c r="BU109" i="77"/>
  <c r="BG109" i="77"/>
  <c r="N109" i="77"/>
  <c r="CW109" i="77"/>
  <c r="CI109" i="77"/>
  <c r="BT109" i="77"/>
  <c r="BE109" i="77"/>
  <c r="CV109" i="77"/>
  <c r="CG109" i="77"/>
  <c r="BS109" i="77"/>
  <c r="BD109" i="77"/>
  <c r="AN109" i="77"/>
  <c r="K109" i="77"/>
  <c r="CU109" i="77"/>
  <c r="CF109" i="77"/>
  <c r="BQ109" i="77"/>
  <c r="BC109" i="77"/>
  <c r="AM109" i="77"/>
  <c r="CS109" i="77"/>
  <c r="CE109" i="77"/>
  <c r="BP109" i="77"/>
  <c r="BB109" i="77"/>
  <c r="W109" i="77"/>
  <c r="I109" i="77"/>
  <c r="CR109" i="77"/>
  <c r="CC109" i="77"/>
  <c r="BO109" i="77"/>
  <c r="BA109" i="77"/>
  <c r="V109" i="77"/>
  <c r="CQ109" i="77"/>
  <c r="CB109" i="77"/>
  <c r="BN109" i="77"/>
  <c r="AZ109" i="77"/>
  <c r="U109" i="77"/>
  <c r="F109" i="77"/>
  <c r="CO109" i="77"/>
  <c r="CA109" i="77"/>
  <c r="BM109" i="77"/>
  <c r="AY109" i="77"/>
  <c r="S109" i="77"/>
  <c r="DC109" i="77"/>
  <c r="CN109" i="77"/>
  <c r="BZ109" i="77"/>
  <c r="BL109" i="77"/>
  <c r="AW109" i="77"/>
  <c r="CM109" i="77"/>
  <c r="BY109" i="77"/>
  <c r="BK109" i="77"/>
  <c r="AV109" i="77"/>
  <c r="C109" i="77"/>
  <c r="CZ109" i="77"/>
  <c r="CL109" i="77"/>
  <c r="BX109" i="77"/>
  <c r="BI109" i="77"/>
  <c r="AS109" i="77"/>
  <c r="AC109" i="77"/>
  <c r="CY109" i="77"/>
  <c r="CK109" i="77"/>
  <c r="BW109" i="77"/>
  <c r="J52" i="111"/>
  <c r="B79" i="111"/>
  <c r="U52" i="111"/>
  <c r="B66" i="115"/>
  <c r="O66" i="115" s="1"/>
  <c r="H20" i="115"/>
  <c r="K52" i="161"/>
  <c r="L53" i="161"/>
  <c r="AA52" i="161"/>
  <c r="B21" i="22"/>
  <c r="AP20" i="22"/>
  <c r="CO20" i="22"/>
  <c r="AU20" i="22"/>
  <c r="AL20" i="22"/>
  <c r="B77" i="18"/>
  <c r="B22" i="18"/>
  <c r="FC20" i="158"/>
  <c r="GZ20" i="158"/>
  <c r="A15" i="168"/>
  <c r="M15" i="168" s="1"/>
  <c r="D20" i="136"/>
  <c r="A18" i="159"/>
  <c r="B97" i="158"/>
  <c r="B21" i="158"/>
  <c r="BD20" i="158"/>
  <c r="EE96" i="158"/>
  <c r="DS96" i="158"/>
  <c r="CC96" i="158"/>
  <c r="BL96" i="158"/>
  <c r="Z96" i="158"/>
  <c r="N96" i="158"/>
  <c r="EJ96" i="158"/>
  <c r="DX96" i="158"/>
  <c r="DL96" i="158"/>
  <c r="BE96" i="158"/>
  <c r="EF96" i="158"/>
  <c r="DQ96" i="158"/>
  <c r="BY96" i="158"/>
  <c r="BF96" i="158"/>
  <c r="AA96" i="158"/>
  <c r="ED96" i="158"/>
  <c r="DP96" i="158"/>
  <c r="BX96" i="158"/>
  <c r="BD96" i="158"/>
  <c r="Y96" i="158"/>
  <c r="K96" i="158"/>
  <c r="EC96" i="158"/>
  <c r="DO96" i="158"/>
  <c r="X96" i="158"/>
  <c r="J96" i="158"/>
  <c r="DZ96" i="158"/>
  <c r="DA96" i="158"/>
  <c r="BS96" i="158"/>
  <c r="AX96" i="158"/>
  <c r="F96" i="158"/>
  <c r="EL96" i="158"/>
  <c r="DW96" i="158"/>
  <c r="CY96" i="158"/>
  <c r="BK96" i="158"/>
  <c r="AU96" i="158"/>
  <c r="AG96" i="158"/>
  <c r="EK96" i="158"/>
  <c r="DV96" i="158"/>
  <c r="CX96" i="158"/>
  <c r="BJ96" i="158"/>
  <c r="AT96" i="158"/>
  <c r="C96" i="158"/>
  <c r="EI96" i="158"/>
  <c r="DU96" i="158"/>
  <c r="CB96" i="158"/>
  <c r="BI96" i="158"/>
  <c r="AD96" i="158"/>
  <c r="EA96" i="158"/>
  <c r="BH96" i="158"/>
  <c r="W96" i="158"/>
  <c r="DY96" i="158"/>
  <c r="BG96" i="158"/>
  <c r="DT96" i="158"/>
  <c r="DR96" i="158"/>
  <c r="DN96" i="158"/>
  <c r="DM96" i="158"/>
  <c r="L96" i="158"/>
  <c r="CZ96" i="158"/>
  <c r="I96" i="158"/>
  <c r="CA96" i="158"/>
  <c r="H96" i="158"/>
  <c r="BZ96" i="158"/>
  <c r="EH96" i="158"/>
  <c r="EG96" i="158"/>
  <c r="EB96" i="158"/>
  <c r="GH19" i="158"/>
  <c r="ID19" i="158"/>
  <c r="HR19" i="158"/>
  <c r="HQ19" i="158"/>
  <c r="HE19" i="158"/>
  <c r="HP19" i="158"/>
  <c r="HO19" i="158"/>
  <c r="HH19" i="158"/>
  <c r="FM19" i="158"/>
  <c r="HG19" i="158"/>
  <c r="FJ19" i="158"/>
  <c r="HA19" i="158"/>
  <c r="GG19" i="158"/>
  <c r="FH19" i="158"/>
  <c r="HJ19" i="158"/>
  <c r="IE19" i="158"/>
  <c r="FU19" i="158"/>
  <c r="FT19" i="158"/>
  <c r="FS19" i="158"/>
  <c r="FR19" i="158"/>
  <c r="FK19" i="158"/>
  <c r="HX19" i="158"/>
  <c r="HS19" i="158"/>
  <c r="FF19" i="158"/>
  <c r="FV19" i="158"/>
  <c r="GA19" i="158"/>
  <c r="FD19" i="158"/>
  <c r="FA19" i="158"/>
  <c r="GU19" i="158"/>
  <c r="GJ19" i="158"/>
  <c r="AC9" i="36"/>
  <c r="AD8" i="158"/>
  <c r="Z8" i="22"/>
  <c r="AG85" i="158"/>
  <c r="HX8" i="158"/>
  <c r="AJ23" i="150" l="1"/>
  <c r="V20" i="111" s="1"/>
  <c r="AZ23" i="36" s="1"/>
  <c r="AK23" i="150"/>
  <c r="DY11" i="177"/>
  <c r="DE15" i="77"/>
  <c r="DY14" i="177"/>
  <c r="DE18" i="77"/>
  <c r="DY5" i="177"/>
  <c r="DE9" i="77"/>
  <c r="DY7" i="177"/>
  <c r="DE11" i="77"/>
  <c r="F14" i="177"/>
  <c r="CH14" i="177" s="1"/>
  <c r="DG18" i="77"/>
  <c r="BB14" i="158"/>
  <c r="M10" i="177"/>
  <c r="FI14" i="158"/>
  <c r="BB29" i="158"/>
  <c r="C98" i="119" s="1"/>
  <c r="M25" i="177"/>
  <c r="BT16" i="158"/>
  <c r="IF16" i="158"/>
  <c r="FF16" i="158"/>
  <c r="BB31" i="158"/>
  <c r="C100" i="119" s="1"/>
  <c r="M27" i="177"/>
  <c r="BT19" i="158"/>
  <c r="IF19" i="158"/>
  <c r="BB13" i="158"/>
  <c r="M9" i="177"/>
  <c r="FI13" i="158"/>
  <c r="BB33" i="158"/>
  <c r="C102" i="119" s="1"/>
  <c r="M29" i="177"/>
  <c r="C21" i="123"/>
  <c r="DY13" i="177"/>
  <c r="BT8" i="158"/>
  <c r="IF8" i="158"/>
  <c r="U17" i="22"/>
  <c r="FW17" i="158"/>
  <c r="W19" i="22"/>
  <c r="E20" i="22"/>
  <c r="C20" i="22"/>
  <c r="I20" i="22"/>
  <c r="T20" i="22"/>
  <c r="R20" i="22"/>
  <c r="CM20" i="22"/>
  <c r="H20" i="22" s="1"/>
  <c r="Z20" i="22"/>
  <c r="Q20" i="22"/>
  <c r="BB20" i="22"/>
  <c r="G20" i="22"/>
  <c r="K20" i="22"/>
  <c r="P20" i="22"/>
  <c r="AV20" i="22"/>
  <c r="S19" i="22"/>
  <c r="U18" i="22"/>
  <c r="I42" i="151"/>
  <c r="AV42" i="151"/>
  <c r="AH42" i="151"/>
  <c r="AJ42" i="151"/>
  <c r="K42" i="151"/>
  <c r="AS42" i="151"/>
  <c r="AU42" i="151"/>
  <c r="AF42" i="151"/>
  <c r="J42" i="151"/>
  <c r="AI42" i="151"/>
  <c r="L42" i="151"/>
  <c r="P42" i="151"/>
  <c r="BB26" i="150" s="1"/>
  <c r="Q42" i="151"/>
  <c r="M42" i="151"/>
  <c r="AL42" i="151"/>
  <c r="D42" i="151"/>
  <c r="AP42" i="151"/>
  <c r="U42" i="151"/>
  <c r="BB26" i="36" s="1"/>
  <c r="BB41" i="36" s="1"/>
  <c r="AM42" i="151"/>
  <c r="V36" i="111"/>
  <c r="AZ39" i="36" s="1"/>
  <c r="AU39" i="150"/>
  <c r="AV39" i="150" s="1"/>
  <c r="AZ39" i="150" s="1"/>
  <c r="BQ39" i="150" s="1"/>
  <c r="BS39" i="150" s="1"/>
  <c r="BM39" i="150"/>
  <c r="BO39" i="150" s="1"/>
  <c r="V34" i="111"/>
  <c r="AZ37" i="36" s="1"/>
  <c r="AU37" i="150"/>
  <c r="AV37" i="150" s="1"/>
  <c r="AZ37" i="150" s="1"/>
  <c r="BM37" i="150"/>
  <c r="BO37" i="150" s="1"/>
  <c r="G22" i="36"/>
  <c r="AO22" i="36" s="1"/>
  <c r="W22" i="150" s="1"/>
  <c r="AQ22" i="36"/>
  <c r="Z22" i="36"/>
  <c r="W22" i="36" s="1"/>
  <c r="AN22" i="36"/>
  <c r="BA22" i="36" s="1"/>
  <c r="DB22" i="36"/>
  <c r="DC22" i="36" s="1"/>
  <c r="DF22" i="36"/>
  <c r="DG22" i="36" s="1"/>
  <c r="CP20" i="22"/>
  <c r="AK76" i="18"/>
  <c r="AO19" i="36"/>
  <c r="W19" i="150" s="1"/>
  <c r="AK19" i="150" s="1"/>
  <c r="G18" i="77"/>
  <c r="G110" i="77" s="1"/>
  <c r="BF18" i="77"/>
  <c r="BF110" i="77" s="1"/>
  <c r="W19" i="36"/>
  <c r="X18" i="77" s="1"/>
  <c r="X110" i="77" s="1"/>
  <c r="AA18" i="77"/>
  <c r="FF8" i="158"/>
  <c r="BV87" i="158"/>
  <c r="AJ18" i="150"/>
  <c r="V15" i="111" s="1"/>
  <c r="AZ18" i="36" s="1"/>
  <c r="BP10" i="148"/>
  <c r="BR10" i="148" s="1"/>
  <c r="AV10" i="148"/>
  <c r="AY9" i="158"/>
  <c r="BP23" i="148"/>
  <c r="BR23" i="148" s="1"/>
  <c r="AV23" i="148"/>
  <c r="AW23" i="148" s="1"/>
  <c r="BA23" i="148" s="1"/>
  <c r="C20" i="161" s="1"/>
  <c r="AY22" i="158"/>
  <c r="BP25" i="148"/>
  <c r="BR25" i="148" s="1"/>
  <c r="AV25" i="148"/>
  <c r="AW25" i="148" s="1"/>
  <c r="BA25" i="148" s="1"/>
  <c r="C22" i="161" s="1"/>
  <c r="AY24" i="158"/>
  <c r="AD24" i="158"/>
  <c r="AC25" i="36"/>
  <c r="BP36" i="148"/>
  <c r="BR36" i="148" s="1"/>
  <c r="AV36" i="148"/>
  <c r="AY35" i="158"/>
  <c r="BP18" i="148"/>
  <c r="BR18" i="148" s="1"/>
  <c r="AV18" i="148"/>
  <c r="AW18" i="148" s="1"/>
  <c r="BA18" i="148" s="1"/>
  <c r="C15" i="161" s="1"/>
  <c r="AY17" i="158"/>
  <c r="AY94" i="158" s="1"/>
  <c r="BP16" i="148"/>
  <c r="BR16" i="148" s="1"/>
  <c r="AV16" i="148"/>
  <c r="AY15" i="158"/>
  <c r="BP28" i="148"/>
  <c r="BR28" i="148" s="1"/>
  <c r="AY27" i="158"/>
  <c r="AV28" i="148"/>
  <c r="BP33" i="148"/>
  <c r="BR33" i="148" s="1"/>
  <c r="AV33" i="148"/>
  <c r="AY32" i="158"/>
  <c r="BP26" i="148"/>
  <c r="BR26" i="148" s="1"/>
  <c r="AV26" i="148"/>
  <c r="AW26" i="148" s="1"/>
  <c r="BA26" i="148" s="1"/>
  <c r="C23" i="161" s="1"/>
  <c r="AY25" i="158"/>
  <c r="BP31" i="148"/>
  <c r="BR31" i="148" s="1"/>
  <c r="AV31" i="148"/>
  <c r="AY30" i="158"/>
  <c r="AD22" i="158"/>
  <c r="AC23" i="36"/>
  <c r="BP12" i="148"/>
  <c r="BR12" i="148" s="1"/>
  <c r="AY11" i="158"/>
  <c r="AV12" i="148"/>
  <c r="BP11" i="148"/>
  <c r="BR11" i="148" s="1"/>
  <c r="AV11" i="148"/>
  <c r="AW11" i="148" s="1"/>
  <c r="BA11" i="148" s="1"/>
  <c r="C8" i="161" s="1"/>
  <c r="AY10" i="158"/>
  <c r="AY87" i="158" s="1"/>
  <c r="AD27" i="158"/>
  <c r="AC28" i="36"/>
  <c r="BI41" i="148"/>
  <c r="C15" i="119"/>
  <c r="E109" i="77"/>
  <c r="C13" i="177"/>
  <c r="CD13" i="177" s="1"/>
  <c r="E68" i="77"/>
  <c r="BW87" i="158"/>
  <c r="R26" i="36"/>
  <c r="B50" i="92"/>
  <c r="BA8" i="158"/>
  <c r="AA17" i="77"/>
  <c r="C20" i="115" s="1"/>
  <c r="BG26" i="150"/>
  <c r="M26" i="36" s="1"/>
  <c r="BF26" i="150"/>
  <c r="BV26" i="150" s="1"/>
  <c r="BE26" i="150"/>
  <c r="BU26" i="150" s="1"/>
  <c r="W25" i="158"/>
  <c r="BH109" i="77"/>
  <c r="BF17" i="77"/>
  <c r="BF109" i="77" s="1"/>
  <c r="G17" i="77"/>
  <c r="G109" i="77" s="1"/>
  <c r="C34" i="171"/>
  <c r="D34" i="171" s="1"/>
  <c r="BV94" i="158"/>
  <c r="BM10" i="158"/>
  <c r="BP10" i="158" s="1"/>
  <c r="BU87" i="158"/>
  <c r="AQ10" i="158"/>
  <c r="AQ87" i="158" s="1"/>
  <c r="AL10" i="22"/>
  <c r="AZ87" i="158"/>
  <c r="HT17" i="158"/>
  <c r="B36" i="159"/>
  <c r="I36" i="159" s="1"/>
  <c r="U10" i="22"/>
  <c r="AC10" i="158"/>
  <c r="FX10" i="158" s="1"/>
  <c r="AB87" i="158"/>
  <c r="HT10" i="158"/>
  <c r="AB10" i="22"/>
  <c r="AB11" i="22" s="1"/>
  <c r="AB12" i="22" s="1"/>
  <c r="X10" i="161"/>
  <c r="J12" i="136" s="1"/>
  <c r="AY89" i="158"/>
  <c r="AW13" i="148"/>
  <c r="BA13" i="148" s="1"/>
  <c r="C86" i="119"/>
  <c r="BP22" i="158"/>
  <c r="BO17" i="158"/>
  <c r="BP17" i="158" s="1"/>
  <c r="AC17" i="158"/>
  <c r="HC19" i="158"/>
  <c r="D72" i="119"/>
  <c r="BR94" i="158"/>
  <c r="C34" i="167"/>
  <c r="D34" i="167" s="1"/>
  <c r="F34" i="167" s="1"/>
  <c r="F35" i="167" s="1"/>
  <c r="E96" i="158"/>
  <c r="S38" i="158"/>
  <c r="AB94" i="158"/>
  <c r="AU21" i="150"/>
  <c r="AV21" i="150" s="1"/>
  <c r="AZ21" i="150" s="1"/>
  <c r="BM21" i="150"/>
  <c r="BO21" i="150" s="1"/>
  <c r="BU94" i="158"/>
  <c r="AK14" i="148"/>
  <c r="BU13" i="158"/>
  <c r="BV13" i="158"/>
  <c r="BW13" i="158"/>
  <c r="BR13" i="158"/>
  <c r="W14" i="148" s="1"/>
  <c r="AL14" i="148" s="1"/>
  <c r="AK30" i="148"/>
  <c r="BW29" i="158"/>
  <c r="BO29" i="158" s="1"/>
  <c r="BV29" i="158"/>
  <c r="BN29" i="158" s="1"/>
  <c r="BU29" i="158"/>
  <c r="BM29" i="158" s="1"/>
  <c r="BR29" i="158"/>
  <c r="W30" i="148" s="1"/>
  <c r="AL30" i="148" s="1"/>
  <c r="AK32" i="148"/>
  <c r="BV31" i="158"/>
  <c r="BN31" i="158" s="1"/>
  <c r="BU31" i="158"/>
  <c r="BM31" i="158" s="1"/>
  <c r="BW31" i="158"/>
  <c r="BO31" i="158" s="1"/>
  <c r="BR31" i="158"/>
  <c r="W32" i="148" s="1"/>
  <c r="AL32" i="148" s="1"/>
  <c r="AK34" i="148"/>
  <c r="BW33" i="158"/>
  <c r="BO33" i="158" s="1"/>
  <c r="BV33" i="158"/>
  <c r="BN33" i="158" s="1"/>
  <c r="BU33" i="158"/>
  <c r="BM33" i="158" s="1"/>
  <c r="BR33" i="158"/>
  <c r="W34" i="148" s="1"/>
  <c r="AL34" i="148" s="1"/>
  <c r="BW14" i="158"/>
  <c r="BV14" i="158"/>
  <c r="BU14" i="158"/>
  <c r="BR14" i="158"/>
  <c r="GL38" i="158"/>
  <c r="BA19" i="158"/>
  <c r="K15" i="177"/>
  <c r="E19" i="22"/>
  <c r="C53" i="119"/>
  <c r="GQ19" i="158"/>
  <c r="B15" i="92"/>
  <c r="AE19" i="158"/>
  <c r="FY19" i="158" s="1"/>
  <c r="E19" i="136"/>
  <c r="G19" i="158"/>
  <c r="GM19" i="158"/>
  <c r="P54" i="111"/>
  <c r="E20" i="36"/>
  <c r="E19" i="77" s="1"/>
  <c r="GM16" i="158"/>
  <c r="E16" i="22"/>
  <c r="C50" i="119"/>
  <c r="B12" i="92"/>
  <c r="G16" i="158"/>
  <c r="GQ16" i="158"/>
  <c r="E16" i="136"/>
  <c r="BA16" i="158"/>
  <c r="E93" i="158"/>
  <c r="AE16" i="158"/>
  <c r="FY16" i="158" s="1"/>
  <c r="K12" i="177"/>
  <c r="HC16" i="158"/>
  <c r="AZ14" i="158"/>
  <c r="BA91" i="158"/>
  <c r="P51" i="111"/>
  <c r="E17" i="36"/>
  <c r="HF14" i="158"/>
  <c r="AX14" i="22"/>
  <c r="BT91" i="158"/>
  <c r="AB14" i="158"/>
  <c r="FW14" i="158" s="1"/>
  <c r="X14" i="22"/>
  <c r="AE91" i="158"/>
  <c r="HV14" i="158"/>
  <c r="AK15" i="148"/>
  <c r="G91" i="158"/>
  <c r="AN15" i="36"/>
  <c r="BA15" i="36" s="1"/>
  <c r="AQ15" i="36"/>
  <c r="BH14" i="77" s="1"/>
  <c r="DB15" i="36"/>
  <c r="DC15" i="36" s="1"/>
  <c r="DF15" i="36"/>
  <c r="DG15" i="36" s="1"/>
  <c r="E14" i="77"/>
  <c r="G15" i="36"/>
  <c r="Z15" i="36"/>
  <c r="F36" i="136"/>
  <c r="G36" i="136" s="1"/>
  <c r="H36" i="136" s="1"/>
  <c r="AK25" i="150"/>
  <c r="AJ25" i="150"/>
  <c r="V22" i="111" s="1"/>
  <c r="AZ25" i="36" s="1"/>
  <c r="AK33" i="150"/>
  <c r="AJ33" i="150"/>
  <c r="V30" i="111" s="1"/>
  <c r="AK31" i="150"/>
  <c r="AJ31" i="150"/>
  <c r="V28" i="111" s="1"/>
  <c r="AZ31" i="36" s="1"/>
  <c r="AK26" i="150"/>
  <c r="AJ26" i="150"/>
  <c r="V23" i="111" s="1"/>
  <c r="AK28" i="150"/>
  <c r="V25" i="111"/>
  <c r="AK36" i="150"/>
  <c r="AJ36" i="150"/>
  <c r="V33" i="111" s="1"/>
  <c r="AZ29" i="36"/>
  <c r="AZ35" i="36"/>
  <c r="L20" i="136"/>
  <c r="K20" i="136"/>
  <c r="BT21" i="148"/>
  <c r="BV21" i="148" s="1"/>
  <c r="BP32" i="158"/>
  <c r="C32" i="167"/>
  <c r="D32" i="167" s="1"/>
  <c r="D70" i="119"/>
  <c r="B34" i="159"/>
  <c r="I34" i="159" s="1"/>
  <c r="S36" i="158"/>
  <c r="GL36" i="158"/>
  <c r="C32" i="171"/>
  <c r="BA26" i="36"/>
  <c r="DE38" i="36"/>
  <c r="DA38" i="36"/>
  <c r="DA39" i="36"/>
  <c r="DE39" i="36"/>
  <c r="S37" i="158"/>
  <c r="AW33" i="148"/>
  <c r="BA33" i="148" s="1"/>
  <c r="C30" i="161" s="1"/>
  <c r="X30" i="161"/>
  <c r="J32" i="136" s="1"/>
  <c r="C33" i="167"/>
  <c r="D33" i="167" s="1"/>
  <c r="F33" i="167" s="1"/>
  <c r="B35" i="159"/>
  <c r="I35" i="159" s="1"/>
  <c r="C33" i="171"/>
  <c r="BT27" i="148"/>
  <c r="BV27" i="148" s="1"/>
  <c r="L26" i="136"/>
  <c r="K26" i="136"/>
  <c r="BP27" i="158"/>
  <c r="AZ13" i="158"/>
  <c r="BA90" i="158"/>
  <c r="BH101" i="77"/>
  <c r="E5" i="177"/>
  <c r="DC5" i="177" s="1"/>
  <c r="BT24" i="148"/>
  <c r="BV24" i="148" s="1"/>
  <c r="DC36" i="36"/>
  <c r="DC28" i="36"/>
  <c r="DC16" i="36"/>
  <c r="AZ88" i="158"/>
  <c r="AL11" i="22"/>
  <c r="AQ11" i="158"/>
  <c r="AQ88" i="158" s="1"/>
  <c r="AQ30" i="36"/>
  <c r="G30" i="36"/>
  <c r="AO30" i="36" s="1"/>
  <c r="W30" i="150" s="1"/>
  <c r="AN30" i="36"/>
  <c r="BA30" i="36" s="1"/>
  <c r="DF30" i="36"/>
  <c r="DB30" i="36"/>
  <c r="Z30" i="36"/>
  <c r="R90" i="36"/>
  <c r="F90" i="36"/>
  <c r="AV90" i="36" s="1"/>
  <c r="E45" i="36"/>
  <c r="R92" i="36"/>
  <c r="S90" i="36"/>
  <c r="F92" i="36"/>
  <c r="AV92" i="36" s="1"/>
  <c r="K45" i="36"/>
  <c r="T90" i="36"/>
  <c r="T92" i="36"/>
  <c r="K90" i="36"/>
  <c r="R45" i="36"/>
  <c r="F45" i="36"/>
  <c r="S92" i="36"/>
  <c r="K92" i="36"/>
  <c r="BM13" i="150"/>
  <c r="BO13" i="150" s="1"/>
  <c r="AU13" i="150"/>
  <c r="AV13" i="150" s="1"/>
  <c r="AZ13" i="150" s="1"/>
  <c r="X22" i="161"/>
  <c r="J24" i="136" s="1"/>
  <c r="C42" i="119"/>
  <c r="E39" i="158"/>
  <c r="AT39" i="158"/>
  <c r="C33" i="32" s="1"/>
  <c r="E8" i="136"/>
  <c r="BI39" i="158"/>
  <c r="C46" i="32" s="1"/>
  <c r="E8" i="22"/>
  <c r="GM8" i="158"/>
  <c r="GN8" i="158" s="1"/>
  <c r="GN9" i="158" s="1"/>
  <c r="GN10" i="158" s="1"/>
  <c r="GN11" i="158" s="1"/>
  <c r="GN12" i="158" s="1"/>
  <c r="GN13" i="158" s="1"/>
  <c r="GN14" i="158" s="1"/>
  <c r="GN15" i="158" s="1"/>
  <c r="BE39" i="158"/>
  <c r="HC8" i="158"/>
  <c r="AX39" i="158"/>
  <c r="G8" i="158"/>
  <c r="BK39" i="158"/>
  <c r="AE8" i="158"/>
  <c r="FY8" i="158" s="1"/>
  <c r="E85" i="158"/>
  <c r="B4" i="92"/>
  <c r="K39" i="158"/>
  <c r="C30" i="32" s="1"/>
  <c r="BG39" i="158"/>
  <c r="GQ8" i="158"/>
  <c r="GR8" i="158" s="1"/>
  <c r="GR9" i="158" s="1"/>
  <c r="GR10" i="158" s="1"/>
  <c r="GR11" i="158" s="1"/>
  <c r="GR12" i="158" s="1"/>
  <c r="GR13" i="158" s="1"/>
  <c r="GR14" i="158" s="1"/>
  <c r="GR15" i="158" s="1"/>
  <c r="AU39" i="158"/>
  <c r="K4" i="177"/>
  <c r="P43" i="111"/>
  <c r="E9" i="36"/>
  <c r="AQ9" i="158"/>
  <c r="AQ86" i="158" s="1"/>
  <c r="AL9" i="22"/>
  <c r="AZ86" i="158"/>
  <c r="AL15" i="22"/>
  <c r="AQ15" i="158"/>
  <c r="AQ92" i="158" s="1"/>
  <c r="AZ92" i="158"/>
  <c r="AO12" i="36"/>
  <c r="W12" i="150" s="1"/>
  <c r="G11" i="77"/>
  <c r="G103" i="77" s="1"/>
  <c r="AX13" i="22"/>
  <c r="HF13" i="158"/>
  <c r="BT90" i="158"/>
  <c r="BM9" i="158"/>
  <c r="BU86" i="158"/>
  <c r="E101" i="77"/>
  <c r="B42" i="92"/>
  <c r="E60" i="77"/>
  <c r="C7" i="119"/>
  <c r="C5" i="177"/>
  <c r="CD5" i="177" s="1"/>
  <c r="C13" i="123"/>
  <c r="BO9" i="158"/>
  <c r="BW86" i="158"/>
  <c r="K21" i="136"/>
  <c r="L21" i="136"/>
  <c r="BT35" i="148"/>
  <c r="BV35" i="148" s="1"/>
  <c r="P39" i="36"/>
  <c r="AD39" i="36" s="1"/>
  <c r="BP35" i="158"/>
  <c r="E62" i="77"/>
  <c r="B44" i="92"/>
  <c r="E103" i="77"/>
  <c r="C9" i="119"/>
  <c r="C7" i="177"/>
  <c r="CD7" i="177" s="1"/>
  <c r="C15" i="123"/>
  <c r="G90" i="158"/>
  <c r="DC31" i="36"/>
  <c r="BR86" i="158"/>
  <c r="L28" i="136"/>
  <c r="K28" i="136"/>
  <c r="AA9" i="77"/>
  <c r="W10" i="36"/>
  <c r="X9" i="77" s="1"/>
  <c r="X101" i="77" s="1"/>
  <c r="L23" i="136"/>
  <c r="K23" i="136"/>
  <c r="BR92" i="158"/>
  <c r="DG28" i="36"/>
  <c r="W16" i="36"/>
  <c r="AA15" i="77"/>
  <c r="BT22" i="148"/>
  <c r="BV22" i="148" s="1"/>
  <c r="BP24" i="158"/>
  <c r="BB86" i="158"/>
  <c r="C78" i="119"/>
  <c r="AQ14" i="36"/>
  <c r="BH13" i="77" s="1"/>
  <c r="G14" i="36"/>
  <c r="BQ46" i="36"/>
  <c r="BS46" i="36" s="1"/>
  <c r="BS47" i="36" s="1"/>
  <c r="DF14" i="36"/>
  <c r="DG14" i="36" s="1"/>
  <c r="E13" i="77"/>
  <c r="Z14" i="36"/>
  <c r="DB14" i="36"/>
  <c r="DC14" i="36" s="1"/>
  <c r="AN14" i="36"/>
  <c r="BA14" i="36" s="1"/>
  <c r="L22" i="136"/>
  <c r="K22" i="136"/>
  <c r="E7" i="177"/>
  <c r="BH103" i="77"/>
  <c r="BT29" i="148"/>
  <c r="BV29" i="148" s="1"/>
  <c r="AO10" i="36"/>
  <c r="W10" i="150" s="1"/>
  <c r="G9" i="77"/>
  <c r="G101" i="77" s="1"/>
  <c r="P38" i="36"/>
  <c r="AD38" i="36" s="1"/>
  <c r="C19" i="123"/>
  <c r="E66" i="77"/>
  <c r="C13" i="119"/>
  <c r="B48" i="92"/>
  <c r="C11" i="177"/>
  <c r="CD11" i="177" s="1"/>
  <c r="E107" i="77"/>
  <c r="O116" i="161"/>
  <c r="DL41" i="158"/>
  <c r="C80" i="119"/>
  <c r="BB88" i="158"/>
  <c r="AC15" i="158"/>
  <c r="FX15" i="158" s="1"/>
  <c r="U15" i="22"/>
  <c r="HT15" i="158"/>
  <c r="AB92" i="158"/>
  <c r="BO11" i="158"/>
  <c r="BW88" i="158"/>
  <c r="AN32" i="36"/>
  <c r="BA32" i="36" s="1"/>
  <c r="DB32" i="36"/>
  <c r="AQ32" i="36"/>
  <c r="G32" i="36"/>
  <c r="AO32" i="36" s="1"/>
  <c r="W32" i="150" s="1"/>
  <c r="Z32" i="36"/>
  <c r="W32" i="36" s="1"/>
  <c r="DF32" i="36"/>
  <c r="K34" i="136"/>
  <c r="L34" i="136"/>
  <c r="X28" i="161"/>
  <c r="J30" i="136" s="1"/>
  <c r="AW31" i="148"/>
  <c r="BA31" i="148" s="1"/>
  <c r="C28" i="161" s="1"/>
  <c r="U9" i="22"/>
  <c r="AC9" i="158"/>
  <c r="FX9" i="158" s="1"/>
  <c r="HT9" i="158"/>
  <c r="AB86" i="158"/>
  <c r="X33" i="161"/>
  <c r="J35" i="136" s="1"/>
  <c r="AW36" i="148"/>
  <c r="BA36" i="148" s="1"/>
  <c r="C33" i="161" s="1"/>
  <c r="DG12" i="36"/>
  <c r="HV13" i="158"/>
  <c r="AB13" i="158"/>
  <c r="FW13" i="158" s="1"/>
  <c r="X13" i="22"/>
  <c r="AE90" i="158"/>
  <c r="BT19" i="148"/>
  <c r="BV19" i="148" s="1"/>
  <c r="BO15" i="158"/>
  <c r="BW92" i="158"/>
  <c r="X23" i="161"/>
  <c r="J25" i="136" s="1"/>
  <c r="BM23" i="150"/>
  <c r="BO23" i="150" s="1"/>
  <c r="AU23" i="150"/>
  <c r="AV23" i="150" s="1"/>
  <c r="AZ23" i="150" s="1"/>
  <c r="GP37" i="158"/>
  <c r="GL37" i="158"/>
  <c r="D9" i="36"/>
  <c r="D8" i="77" s="1"/>
  <c r="N85" i="161"/>
  <c r="M44" i="161"/>
  <c r="D8" i="158"/>
  <c r="FE8" i="158" s="1"/>
  <c r="BP30" i="158"/>
  <c r="DB34" i="36"/>
  <c r="DF34" i="36"/>
  <c r="AQ34" i="36"/>
  <c r="Z34" i="36"/>
  <c r="W34" i="36" s="1"/>
  <c r="G34" i="36"/>
  <c r="AO34" i="36" s="1"/>
  <c r="W34" i="150" s="1"/>
  <c r="AN34" i="36"/>
  <c r="BA34" i="36" s="1"/>
  <c r="BU88" i="158"/>
  <c r="BM11" i="158"/>
  <c r="L18" i="136"/>
  <c r="K18" i="136"/>
  <c r="BM15" i="158"/>
  <c r="BU92" i="158"/>
  <c r="BP25" i="158"/>
  <c r="E11" i="177"/>
  <c r="BH107" i="77"/>
  <c r="X25" i="161"/>
  <c r="J27" i="136" s="1"/>
  <c r="AW28" i="148"/>
  <c r="BA28" i="148" s="1"/>
  <c r="C25" i="161" s="1"/>
  <c r="AO16" i="36"/>
  <c r="W16" i="150" s="1"/>
  <c r="G15" i="77"/>
  <c r="G107" i="77" s="1"/>
  <c r="DC12" i="36"/>
  <c r="BV88" i="158"/>
  <c r="BN11" i="158"/>
  <c r="BN15" i="158"/>
  <c r="BV92" i="158"/>
  <c r="DG36" i="36"/>
  <c r="X15" i="161"/>
  <c r="J17" i="136" s="1"/>
  <c r="W12" i="36"/>
  <c r="X11" i="77" s="1"/>
  <c r="X103" i="77" s="1"/>
  <c r="AA11" i="77"/>
  <c r="DG31" i="36"/>
  <c r="BN9" i="158"/>
  <c r="BV86" i="158"/>
  <c r="BR88" i="158"/>
  <c r="C84" i="119"/>
  <c r="BB92" i="158"/>
  <c r="HT11" i="158"/>
  <c r="AB88" i="158"/>
  <c r="AC11" i="158"/>
  <c r="FX11" i="158" s="1"/>
  <c r="U11" i="22"/>
  <c r="DG16" i="36"/>
  <c r="AZ24" i="36"/>
  <c r="BM24" i="150"/>
  <c r="BO24" i="150" s="1"/>
  <c r="AU24" i="150"/>
  <c r="AV24" i="150" s="1"/>
  <c r="AZ24" i="150" s="1"/>
  <c r="D13" i="115"/>
  <c r="Z10" i="77"/>
  <c r="Z102" i="77" s="1"/>
  <c r="AC102" i="77"/>
  <c r="G16" i="119"/>
  <c r="BT11" i="148"/>
  <c r="BV11" i="148" s="1"/>
  <c r="K10" i="136"/>
  <c r="L10" i="136"/>
  <c r="W20" i="22"/>
  <c r="AG9" i="150"/>
  <c r="AH9" i="150" s="1"/>
  <c r="AI9" i="150" s="1"/>
  <c r="Q76" i="18"/>
  <c r="O76" i="18"/>
  <c r="Z76" i="18"/>
  <c r="J109" i="77"/>
  <c r="AD76" i="18"/>
  <c r="AH76" i="18"/>
  <c r="U76" i="18"/>
  <c r="Z41" i="22"/>
  <c r="AA41" i="22"/>
  <c r="W8" i="22"/>
  <c r="AA8" i="22"/>
  <c r="AA9" i="22" s="1"/>
  <c r="AA10" i="22" s="1"/>
  <c r="AA11" i="22" s="1"/>
  <c r="AA12" i="22" s="1"/>
  <c r="AA13" i="22" s="1"/>
  <c r="AA14" i="22" s="1"/>
  <c r="AA15" i="22" s="1"/>
  <c r="AA16" i="22" s="1"/>
  <c r="AA17" i="22" s="1"/>
  <c r="AA18" i="22" s="1"/>
  <c r="AA19" i="22" s="1"/>
  <c r="AA20" i="22" s="1"/>
  <c r="AD85" i="158"/>
  <c r="FC21" i="158"/>
  <c r="GZ21" i="158"/>
  <c r="A16" i="168"/>
  <c r="M16" i="168" s="1"/>
  <c r="D21" i="136"/>
  <c r="A19" i="159"/>
  <c r="B98" i="158"/>
  <c r="BD21" i="158"/>
  <c r="B22" i="158"/>
  <c r="EI97" i="158"/>
  <c r="DW97" i="158"/>
  <c r="DA97" i="158"/>
  <c r="BU97" i="158"/>
  <c r="BD97" i="158"/>
  <c r="AD97" i="158"/>
  <c r="F97" i="158"/>
  <c r="EB97" i="158"/>
  <c r="DP97" i="158"/>
  <c r="BZ97" i="158"/>
  <c r="BI97" i="158"/>
  <c r="AU97" i="158"/>
  <c r="W97" i="158"/>
  <c r="K97" i="158"/>
  <c r="EC97" i="158"/>
  <c r="DN97" i="158"/>
  <c r="BV97" i="158"/>
  <c r="BA97" i="158"/>
  <c r="X97" i="158"/>
  <c r="I97" i="158"/>
  <c r="EA97" i="158"/>
  <c r="DM97" i="158"/>
  <c r="BT97" i="158"/>
  <c r="AZ97" i="158"/>
  <c r="H97" i="158"/>
  <c r="DZ97" i="158"/>
  <c r="DL97" i="158"/>
  <c r="BS97" i="158"/>
  <c r="AY97" i="158"/>
  <c r="G97" i="158"/>
  <c r="EK97" i="158"/>
  <c r="DV97" i="158"/>
  <c r="CX97" i="158"/>
  <c r="BK97" i="158"/>
  <c r="AT97" i="158"/>
  <c r="C97" i="158"/>
  <c r="EH97" i="158"/>
  <c r="DT97" i="158"/>
  <c r="CB97" i="158"/>
  <c r="BH97" i="158"/>
  <c r="AC97" i="158"/>
  <c r="EG97" i="158"/>
  <c r="DS97" i="158"/>
  <c r="CA97" i="158"/>
  <c r="BG97" i="158"/>
  <c r="AQ97" i="158"/>
  <c r="AB97" i="158"/>
  <c r="N97" i="158"/>
  <c r="EF97" i="158"/>
  <c r="DR97" i="158"/>
  <c r="BY97" i="158"/>
  <c r="BF97" i="158"/>
  <c r="AA97" i="158"/>
  <c r="DY97" i="158"/>
  <c r="BJ97" i="158"/>
  <c r="Y97" i="158"/>
  <c r="DX97" i="158"/>
  <c r="BE97" i="158"/>
  <c r="DU97" i="158"/>
  <c r="BB97" i="158"/>
  <c r="DQ97" i="158"/>
  <c r="AX97" i="158"/>
  <c r="DO97" i="158"/>
  <c r="L97" i="158"/>
  <c r="CZ97" i="158"/>
  <c r="J97" i="158"/>
  <c r="CY97" i="158"/>
  <c r="E97" i="158"/>
  <c r="CC97" i="158"/>
  <c r="EL97" i="158"/>
  <c r="BX97" i="158"/>
  <c r="EJ97" i="158"/>
  <c r="BW97" i="158"/>
  <c r="AG97" i="158"/>
  <c r="EE97" i="158"/>
  <c r="BR97" i="158"/>
  <c r="AE97" i="158"/>
  <c r="ED97" i="158"/>
  <c r="BL97" i="158"/>
  <c r="Z97" i="158"/>
  <c r="GA20" i="158"/>
  <c r="HX20" i="158"/>
  <c r="HV20" i="158"/>
  <c r="HJ20" i="158"/>
  <c r="HR20" i="158"/>
  <c r="HH20" i="158"/>
  <c r="HG20" i="158"/>
  <c r="HU20" i="158"/>
  <c r="HF20" i="158"/>
  <c r="HT20" i="158"/>
  <c r="HE20" i="158"/>
  <c r="IE20" i="158"/>
  <c r="HC20" i="158"/>
  <c r="ID20" i="158"/>
  <c r="HA20" i="158"/>
  <c r="HS20" i="158"/>
  <c r="HP20" i="158"/>
  <c r="HO20" i="158"/>
  <c r="HQ20" i="158"/>
  <c r="GH20" i="158"/>
  <c r="FD20" i="158"/>
  <c r="FW20" i="158"/>
  <c r="FI20" i="158"/>
  <c r="FS20" i="158"/>
  <c r="FK20" i="158"/>
  <c r="FF20" i="158"/>
  <c r="GG20" i="158"/>
  <c r="FJ20" i="158"/>
  <c r="FU20" i="158"/>
  <c r="FM20" i="158"/>
  <c r="FT20" i="158"/>
  <c r="FY20" i="158"/>
  <c r="FX20" i="158"/>
  <c r="FR20" i="158"/>
  <c r="FV20" i="158"/>
  <c r="FH20" i="158"/>
  <c r="GU20" i="158"/>
  <c r="FA20" i="158"/>
  <c r="GJ20" i="158"/>
  <c r="AX20" i="22"/>
  <c r="B78" i="18"/>
  <c r="B23" i="18"/>
  <c r="B22" i="22"/>
  <c r="AP21" i="22"/>
  <c r="CO21" i="22"/>
  <c r="AL21" i="22"/>
  <c r="AU21" i="22"/>
  <c r="K53" i="161"/>
  <c r="L54" i="161"/>
  <c r="AA53" i="161"/>
  <c r="DA18" i="77"/>
  <c r="DA110" i="77" s="1"/>
  <c r="J18" i="77"/>
  <c r="D14" i="177" s="1"/>
  <c r="CY14" i="177" s="1"/>
  <c r="C51" i="92"/>
  <c r="C69" i="77"/>
  <c r="E69" i="77"/>
  <c r="C14" i="177"/>
  <c r="CD14" i="177" s="1"/>
  <c r="C22" i="123"/>
  <c r="B51" i="92"/>
  <c r="C16" i="119"/>
  <c r="D21" i="115"/>
  <c r="Z18" i="77"/>
  <c r="Z110" i="77" s="1"/>
  <c r="A52" i="92"/>
  <c r="A15" i="92" s="1"/>
  <c r="B22" i="115"/>
  <c r="K54" i="111"/>
  <c r="B111" i="77"/>
  <c r="B20" i="77"/>
  <c r="DC20" i="77" s="1"/>
  <c r="DO16" i="177" s="1"/>
  <c r="AV19" i="77"/>
  <c r="B70" i="77"/>
  <c r="BD19" i="77"/>
  <c r="DG15" i="177" s="1"/>
  <c r="BA19" i="77"/>
  <c r="E17" i="119" s="1"/>
  <c r="I19" i="77"/>
  <c r="F19" i="77"/>
  <c r="AW19" i="77"/>
  <c r="BE19" i="77"/>
  <c r="DK15" i="177" s="1"/>
  <c r="C19" i="77"/>
  <c r="DW15" i="177" s="1"/>
  <c r="T19" i="77"/>
  <c r="AC19" i="77"/>
  <c r="BB19" i="77"/>
  <c r="F17" i="119" s="1"/>
  <c r="L19" i="77"/>
  <c r="N19" i="77"/>
  <c r="E23" i="123" s="1"/>
  <c r="S19" i="77"/>
  <c r="U19" i="77"/>
  <c r="W19" i="77"/>
  <c r="CW19" i="77"/>
  <c r="K19" i="77" s="1"/>
  <c r="DS15" i="177" s="1"/>
  <c r="H19" i="77"/>
  <c r="BL19" i="77"/>
  <c r="BG19" i="77"/>
  <c r="V19" i="77"/>
  <c r="CT110" i="77"/>
  <c r="CH110" i="77"/>
  <c r="BV110" i="77"/>
  <c r="BJ110" i="77"/>
  <c r="AX110" i="77"/>
  <c r="L110" i="77"/>
  <c r="CL110" i="77"/>
  <c r="BZ110" i="77"/>
  <c r="BN110" i="77"/>
  <c r="BB110" i="77"/>
  <c r="CU110" i="77"/>
  <c r="CF110" i="77"/>
  <c r="BR110" i="77"/>
  <c r="BD110" i="77"/>
  <c r="CS110" i="77"/>
  <c r="CE110" i="77"/>
  <c r="BQ110" i="77"/>
  <c r="BC110" i="77"/>
  <c r="W110" i="77"/>
  <c r="I110" i="77"/>
  <c r="CR110" i="77"/>
  <c r="CD110" i="77"/>
  <c r="BP110" i="77"/>
  <c r="BA110" i="77"/>
  <c r="V110" i="77"/>
  <c r="H110" i="77"/>
  <c r="CQ110" i="77"/>
  <c r="CC110" i="77"/>
  <c r="BO110" i="77"/>
  <c r="AZ110" i="77"/>
  <c r="U110" i="77"/>
  <c r="CP110" i="77"/>
  <c r="CB110" i="77"/>
  <c r="BM110" i="77"/>
  <c r="AY110" i="77"/>
  <c r="T110" i="77"/>
  <c r="F110" i="77"/>
  <c r="DC110" i="77"/>
  <c r="CO110" i="77"/>
  <c r="CA110" i="77"/>
  <c r="BL110" i="77"/>
  <c r="AW110" i="77"/>
  <c r="S110" i="77"/>
  <c r="E110" i="77"/>
  <c r="DB110" i="77"/>
  <c r="CN110" i="77"/>
  <c r="BY110" i="77"/>
  <c r="BK110" i="77"/>
  <c r="AV110" i="77"/>
  <c r="C110" i="77"/>
  <c r="CM110" i="77"/>
  <c r="BX110" i="77"/>
  <c r="BI110" i="77"/>
  <c r="AS110" i="77"/>
  <c r="CZ110" i="77"/>
  <c r="CK110" i="77"/>
  <c r="BW110" i="77"/>
  <c r="BH110" i="77"/>
  <c r="CY110" i="77"/>
  <c r="CJ110" i="77"/>
  <c r="BU110" i="77"/>
  <c r="BG110" i="77"/>
  <c r="AC110" i="77"/>
  <c r="N110" i="77"/>
  <c r="CW110" i="77"/>
  <c r="CI110" i="77"/>
  <c r="BT110" i="77"/>
  <c r="CV110" i="77"/>
  <c r="CG110" i="77"/>
  <c r="BS110" i="77"/>
  <c r="BE110" i="77"/>
  <c r="K110" i="77"/>
  <c r="J53" i="111"/>
  <c r="B80" i="111"/>
  <c r="U53" i="111"/>
  <c r="B67" i="115"/>
  <c r="O67" i="115" s="1"/>
  <c r="H21" i="115"/>
  <c r="J13" i="177"/>
  <c r="P66" i="115"/>
  <c r="D66" i="115"/>
  <c r="AQ17" i="77"/>
  <c r="B17" i="119"/>
  <c r="B53" i="119" s="1"/>
  <c r="B88" i="119" s="1"/>
  <c r="AJ50" i="36"/>
  <c r="B76" i="36"/>
  <c r="AF63" i="36"/>
  <c r="BE20" i="36"/>
  <c r="CY20" i="36" s="1"/>
  <c r="B21" i="36"/>
  <c r="BQ37" i="150" l="1"/>
  <c r="BR37" i="150"/>
  <c r="DY10" i="177"/>
  <c r="DE14" i="77"/>
  <c r="F15" i="177"/>
  <c r="CH15" i="177" s="1"/>
  <c r="DG19" i="77"/>
  <c r="DY9" i="177"/>
  <c r="DE13" i="77"/>
  <c r="DY15" i="177"/>
  <c r="DE19" i="77"/>
  <c r="BT39" i="158"/>
  <c r="IF39" i="158"/>
  <c r="D9" i="77"/>
  <c r="DX5" i="177" s="1"/>
  <c r="DX4" i="177"/>
  <c r="IG8" i="158"/>
  <c r="IG9" i="158" s="1"/>
  <c r="IG10" i="158" s="1"/>
  <c r="IG11" i="158" s="1"/>
  <c r="IG12" i="158" s="1"/>
  <c r="IG13" i="158" s="1"/>
  <c r="IG14" i="158" s="1"/>
  <c r="IG15" i="158" s="1"/>
  <c r="IG16" i="158" s="1"/>
  <c r="IG17" i="158" s="1"/>
  <c r="IG18" i="158" s="1"/>
  <c r="IG19" i="158" s="1"/>
  <c r="IG20" i="158" s="1"/>
  <c r="IG21" i="158" s="1"/>
  <c r="IG22" i="158" s="1"/>
  <c r="IG23" i="158" s="1"/>
  <c r="IG24" i="158" s="1"/>
  <c r="IG25" i="158" s="1"/>
  <c r="IG26" i="158" s="1"/>
  <c r="IG27" i="158" s="1"/>
  <c r="IG28" i="158" s="1"/>
  <c r="IG29" i="158" s="1"/>
  <c r="IG30" i="158" s="1"/>
  <c r="IG31" i="158" s="1"/>
  <c r="IG32" i="158" s="1"/>
  <c r="IG33" i="158" s="1"/>
  <c r="IG34" i="158" s="1"/>
  <c r="IG35" i="158" s="1"/>
  <c r="IG36" i="158" s="1"/>
  <c r="IG37" i="158" s="1"/>
  <c r="IG38" i="158" s="1"/>
  <c r="FI8" i="158"/>
  <c r="M4" i="177"/>
  <c r="BB16" i="158"/>
  <c r="M12" i="177"/>
  <c r="FI16" i="158"/>
  <c r="AC94" i="158"/>
  <c r="FX17" i="158"/>
  <c r="BB19" i="158"/>
  <c r="M15" i="177"/>
  <c r="FI19" i="158"/>
  <c r="T21" i="22"/>
  <c r="Q21" i="22"/>
  <c r="AV21" i="22"/>
  <c r="R21" i="22"/>
  <c r="I21" i="22"/>
  <c r="E43" i="18"/>
  <c r="E21" i="22"/>
  <c r="CM21" i="22"/>
  <c r="H21" i="22" s="1"/>
  <c r="AB43" i="18"/>
  <c r="Z21" i="22"/>
  <c r="W21" i="22" s="1"/>
  <c r="D43" i="18"/>
  <c r="C21" i="22"/>
  <c r="D42" i="22" s="1"/>
  <c r="P21" i="22"/>
  <c r="P42" i="22" s="1"/>
  <c r="G21" i="22"/>
  <c r="G42" i="22" s="1"/>
  <c r="K21" i="22"/>
  <c r="S20" i="22"/>
  <c r="AJ27" i="36"/>
  <c r="AK27" i="36" s="1"/>
  <c r="AH26" i="36"/>
  <c r="AJ22" i="150"/>
  <c r="AK22" i="150"/>
  <c r="CP21" i="22"/>
  <c r="AJ19" i="150"/>
  <c r="V16" i="111" s="1"/>
  <c r="AZ19" i="36" s="1"/>
  <c r="C21" i="115"/>
  <c r="AA110" i="77"/>
  <c r="BM18" i="150"/>
  <c r="BO18" i="150" s="1"/>
  <c r="AU18" i="150"/>
  <c r="AV18" i="150" s="1"/>
  <c r="BL39" i="158"/>
  <c r="BQ39" i="158" s="1"/>
  <c r="AA109" i="77"/>
  <c r="BP14" i="148"/>
  <c r="BR14" i="148" s="1"/>
  <c r="AY13" i="158"/>
  <c r="AV14" i="148"/>
  <c r="BP34" i="148"/>
  <c r="BR34" i="148" s="1"/>
  <c r="AV34" i="148"/>
  <c r="AW34" i="148" s="1"/>
  <c r="BA34" i="148" s="1"/>
  <c r="C31" i="161" s="1"/>
  <c r="AY33" i="158"/>
  <c r="L32" i="171"/>
  <c r="BP15" i="148"/>
  <c r="BR15" i="148" s="1"/>
  <c r="AV15" i="148"/>
  <c r="AY14" i="158"/>
  <c r="BP30" i="148"/>
  <c r="BR30" i="148" s="1"/>
  <c r="AY29" i="158"/>
  <c r="AV30" i="148"/>
  <c r="L34" i="171"/>
  <c r="S26" i="36"/>
  <c r="T26" i="36"/>
  <c r="L33" i="171"/>
  <c r="BP32" i="148"/>
  <c r="BR32" i="148" s="1"/>
  <c r="AV32" i="148"/>
  <c r="AY31" i="158"/>
  <c r="Y25" i="158"/>
  <c r="X25" i="158"/>
  <c r="D32" i="171"/>
  <c r="F34" i="171"/>
  <c r="G34" i="171"/>
  <c r="AK38" i="158" s="1"/>
  <c r="D33" i="171"/>
  <c r="BW8" i="158"/>
  <c r="BR8" i="158"/>
  <c r="BV8" i="158"/>
  <c r="BU8" i="158"/>
  <c r="C36" i="159"/>
  <c r="AI38" i="158"/>
  <c r="BW26" i="150"/>
  <c r="BT23" i="148"/>
  <c r="BV23" i="148" s="1"/>
  <c r="L12" i="136"/>
  <c r="K12" i="136"/>
  <c r="HU17" i="158"/>
  <c r="AC87" i="158"/>
  <c r="HU10" i="158"/>
  <c r="C10" i="161"/>
  <c r="BT13" i="148"/>
  <c r="BV13" i="148" s="1"/>
  <c r="GN16" i="158"/>
  <c r="GN17" i="158" s="1"/>
  <c r="GN18" i="158" s="1"/>
  <c r="GN19" i="158" s="1"/>
  <c r="GN20" i="158" s="1"/>
  <c r="GN21" i="158" s="1"/>
  <c r="GN22" i="158" s="1"/>
  <c r="GN23" i="158" s="1"/>
  <c r="GN24" i="158" s="1"/>
  <c r="GN25" i="158" s="1"/>
  <c r="GN26" i="158" s="1"/>
  <c r="GN27" i="158" s="1"/>
  <c r="GN28" i="158" s="1"/>
  <c r="GN29" i="158" s="1"/>
  <c r="GN30" i="158" s="1"/>
  <c r="GN31" i="158" s="1"/>
  <c r="GN32" i="158" s="1"/>
  <c r="GN33" i="158" s="1"/>
  <c r="GN34" i="158" s="1"/>
  <c r="GN35" i="158" s="1"/>
  <c r="GN36" i="158" s="1"/>
  <c r="GN37" i="158" s="1"/>
  <c r="GN38" i="158" s="1"/>
  <c r="C18" i="111"/>
  <c r="L21" i="36" s="1"/>
  <c r="N21" i="36" s="1"/>
  <c r="DE21" i="36" s="1"/>
  <c r="BQ21" i="150"/>
  <c r="GR16" i="158"/>
  <c r="GR17" i="158" s="1"/>
  <c r="GR18" i="158" s="1"/>
  <c r="GR19" i="158" s="1"/>
  <c r="GR20" i="158" s="1"/>
  <c r="GR21" i="158" s="1"/>
  <c r="GR22" i="158" s="1"/>
  <c r="GR23" i="158" s="1"/>
  <c r="GR24" i="158" s="1"/>
  <c r="GR25" i="158" s="1"/>
  <c r="GR26" i="158" s="1"/>
  <c r="GR27" i="158" s="1"/>
  <c r="GR28" i="158" s="1"/>
  <c r="GR29" i="158" s="1"/>
  <c r="GR30" i="158" s="1"/>
  <c r="GR31" i="158" s="1"/>
  <c r="GR32" i="158" s="1"/>
  <c r="GR33" i="158" s="1"/>
  <c r="GR34" i="158" s="1"/>
  <c r="GR35" i="158" s="1"/>
  <c r="GR36" i="158" s="1"/>
  <c r="GR37" i="158" s="1"/>
  <c r="GR38" i="158" s="1"/>
  <c r="E73" i="119"/>
  <c r="BU16" i="158"/>
  <c r="BW16" i="158"/>
  <c r="BV16" i="158"/>
  <c r="BR16" i="158"/>
  <c r="BV19" i="158"/>
  <c r="BU19" i="158"/>
  <c r="BW19" i="158"/>
  <c r="BR19" i="158"/>
  <c r="AX19" i="22"/>
  <c r="HF19" i="158"/>
  <c r="BT96" i="158"/>
  <c r="AB19" i="158"/>
  <c r="FW19" i="158" s="1"/>
  <c r="HV19" i="158"/>
  <c r="AE96" i="158"/>
  <c r="X19" i="22"/>
  <c r="AN20" i="36"/>
  <c r="BA20" i="36" s="1"/>
  <c r="G20" i="36"/>
  <c r="DF20" i="36"/>
  <c r="DG20" i="36" s="1"/>
  <c r="DB20" i="36"/>
  <c r="DC20" i="36" s="1"/>
  <c r="Z20" i="36"/>
  <c r="AQ20" i="36"/>
  <c r="BH19" i="77" s="1"/>
  <c r="E15" i="177" s="1"/>
  <c r="DC15" i="177" s="1"/>
  <c r="AK20" i="148"/>
  <c r="G96" i="158"/>
  <c r="AZ19" i="158"/>
  <c r="BA96" i="158"/>
  <c r="E39" i="136"/>
  <c r="W15" i="148"/>
  <c r="AL15" i="148" s="1"/>
  <c r="BR91" i="158"/>
  <c r="AA14" i="77"/>
  <c r="W15" i="36"/>
  <c r="X14" i="77" s="1"/>
  <c r="X106" i="77" s="1"/>
  <c r="BO14" i="158"/>
  <c r="BW91" i="158"/>
  <c r="AB91" i="158"/>
  <c r="AC14" i="158"/>
  <c r="FX14" i="158" s="1"/>
  <c r="HT14" i="158"/>
  <c r="U14" i="22"/>
  <c r="AQ14" i="158"/>
  <c r="AQ91" i="158" s="1"/>
  <c r="AL14" i="22"/>
  <c r="AZ91" i="158"/>
  <c r="AK17" i="148"/>
  <c r="G93" i="158"/>
  <c r="G14" i="77"/>
  <c r="G106" i="77" s="1"/>
  <c r="AO15" i="36"/>
  <c r="BU91" i="158"/>
  <c r="BM14" i="158"/>
  <c r="B47" i="92"/>
  <c r="E106" i="77"/>
  <c r="C18" i="123"/>
  <c r="C10" i="177"/>
  <c r="CD10" i="177" s="1"/>
  <c r="C12" i="119"/>
  <c r="E65" i="77"/>
  <c r="BN14" i="158"/>
  <c r="BV91" i="158"/>
  <c r="BB91" i="158"/>
  <c r="C83" i="119"/>
  <c r="HV16" i="158"/>
  <c r="AB16" i="158"/>
  <c r="FW16" i="158" s="1"/>
  <c r="AE93" i="158"/>
  <c r="X16" i="22"/>
  <c r="AX16" i="22"/>
  <c r="HF16" i="158"/>
  <c r="BT93" i="158"/>
  <c r="E10" i="177"/>
  <c r="DC10" i="177" s="1"/>
  <c r="BH106" i="77"/>
  <c r="S78" i="36"/>
  <c r="K43" i="36"/>
  <c r="AN17" i="36"/>
  <c r="BA17" i="36" s="1"/>
  <c r="S76" i="36"/>
  <c r="DB17" i="36"/>
  <c r="DC17" i="36" s="1"/>
  <c r="E16" i="77"/>
  <c r="T76" i="36"/>
  <c r="F78" i="36"/>
  <c r="AV78" i="36" s="1"/>
  <c r="Z17" i="36"/>
  <c r="R43" i="36"/>
  <c r="F43" i="36"/>
  <c r="G17" i="36"/>
  <c r="K78" i="36"/>
  <c r="F76" i="36"/>
  <c r="AQ17" i="36"/>
  <c r="BH16" i="77" s="1"/>
  <c r="E43" i="36"/>
  <c r="T78" i="36"/>
  <c r="R76" i="36"/>
  <c r="K76" i="36"/>
  <c r="R78" i="36"/>
  <c r="DF17" i="36"/>
  <c r="DG17" i="36" s="1"/>
  <c r="BA93" i="158"/>
  <c r="AZ16" i="158"/>
  <c r="D41" i="92"/>
  <c r="D59" i="77"/>
  <c r="C34" i="159"/>
  <c r="D100" i="77"/>
  <c r="AI36" i="158"/>
  <c r="C35" i="159"/>
  <c r="AI37" i="158"/>
  <c r="AK16" i="150"/>
  <c r="AJ16" i="150"/>
  <c r="V13" i="111" s="1"/>
  <c r="AK34" i="150"/>
  <c r="AJ34" i="150"/>
  <c r="V31" i="111" s="1"/>
  <c r="AK10" i="150"/>
  <c r="V7" i="111" s="1"/>
  <c r="AJ10" i="150"/>
  <c r="AK30" i="150"/>
  <c r="AJ30" i="150"/>
  <c r="V27" i="111" s="1"/>
  <c r="AK12" i="150"/>
  <c r="V9" i="111" s="1"/>
  <c r="AJ12" i="150"/>
  <c r="AK32" i="150"/>
  <c r="AJ32" i="150"/>
  <c r="V29" i="111" s="1"/>
  <c r="BM35" i="150"/>
  <c r="BO35" i="150" s="1"/>
  <c r="AU29" i="150"/>
  <c r="AV29" i="150" s="1"/>
  <c r="AZ29" i="150" s="1"/>
  <c r="BQ29" i="150" s="1"/>
  <c r="BS29" i="150" s="1"/>
  <c r="BM29" i="150"/>
  <c r="BO29" i="150" s="1"/>
  <c r="AZ28" i="36"/>
  <c r="AZ26" i="36"/>
  <c r="AZ33" i="36"/>
  <c r="AZ36" i="36"/>
  <c r="AB13" i="22"/>
  <c r="AB14" i="22" s="1"/>
  <c r="AB15" i="22" s="1"/>
  <c r="M20" i="158"/>
  <c r="BP31" i="158"/>
  <c r="BP11" i="158"/>
  <c r="L32" i="136"/>
  <c r="K32" i="136"/>
  <c r="BT33" i="148"/>
  <c r="BV33" i="148" s="1"/>
  <c r="BP15" i="158"/>
  <c r="M26" i="158"/>
  <c r="IJ26" i="158" s="1"/>
  <c r="L27" i="36"/>
  <c r="BP29" i="158"/>
  <c r="C37" i="167"/>
  <c r="BT36" i="148"/>
  <c r="BV36" i="148" s="1"/>
  <c r="R30" i="32"/>
  <c r="E30" i="32"/>
  <c r="F30" i="32" s="1"/>
  <c r="E19" i="117"/>
  <c r="F19" i="117" s="1"/>
  <c r="G19" i="117" s="1"/>
  <c r="J30" i="32"/>
  <c r="L30" i="32" s="1"/>
  <c r="M30" i="32" s="1"/>
  <c r="E15" i="100"/>
  <c r="L39" i="158"/>
  <c r="C34" i="32" s="1"/>
  <c r="C27" i="32"/>
  <c r="DC30" i="36"/>
  <c r="L17" i="136"/>
  <c r="K17" i="136"/>
  <c r="BF15" i="77"/>
  <c r="BF107" i="77" s="1"/>
  <c r="HB8" i="158"/>
  <c r="D8" i="22"/>
  <c r="D9" i="22" s="1"/>
  <c r="D10" i="22" s="1"/>
  <c r="D11" i="22" s="1"/>
  <c r="D12" i="22" s="1"/>
  <c r="D13" i="22" s="1"/>
  <c r="D14" i="22" s="1"/>
  <c r="D15" i="22" s="1"/>
  <c r="D16" i="22" s="1"/>
  <c r="D17" i="22" s="1"/>
  <c r="D18" i="22" s="1"/>
  <c r="D19" i="22" s="1"/>
  <c r="D20" i="22" s="1"/>
  <c r="D21" i="22" s="1"/>
  <c r="D4" i="92"/>
  <c r="D85" i="158"/>
  <c r="DC32" i="36"/>
  <c r="BT18" i="148"/>
  <c r="BV18" i="148" s="1"/>
  <c r="D10" i="36"/>
  <c r="M45" i="161"/>
  <c r="D9" i="158"/>
  <c r="FE9" i="158" s="1"/>
  <c r="N86" i="161"/>
  <c r="M18" i="158"/>
  <c r="X29" i="161"/>
  <c r="J31" i="136" s="1"/>
  <c r="AW32" i="148"/>
  <c r="BA32" i="148" s="1"/>
  <c r="C29" i="161" s="1"/>
  <c r="AC92" i="158"/>
  <c r="HU15" i="158"/>
  <c r="BF9" i="77"/>
  <c r="BF101" i="77" s="1"/>
  <c r="C18" i="115"/>
  <c r="AA107" i="77"/>
  <c r="BR90" i="158"/>
  <c r="BP9" i="158"/>
  <c r="DG30" i="36"/>
  <c r="C14" i="115"/>
  <c r="AA103" i="77"/>
  <c r="BT28" i="148"/>
  <c r="BV28" i="148" s="1"/>
  <c r="K35" i="136"/>
  <c r="L35" i="136"/>
  <c r="M28" i="158"/>
  <c r="IJ28" i="158" s="1"/>
  <c r="L29" i="36"/>
  <c r="N29" i="36" s="1"/>
  <c r="W14" i="36"/>
  <c r="X13" i="77" s="1"/>
  <c r="X105" i="77" s="1"/>
  <c r="AA13" i="77"/>
  <c r="M21" i="158"/>
  <c r="X15" i="77"/>
  <c r="X107" i="77" s="1"/>
  <c r="C12" i="115"/>
  <c r="AA101" i="77"/>
  <c r="BM13" i="158"/>
  <c r="BU90" i="158"/>
  <c r="C82" i="119"/>
  <c r="BB90" i="158"/>
  <c r="N35" i="177"/>
  <c r="AE7" i="177" s="1"/>
  <c r="AF7" i="177" s="1"/>
  <c r="AG7" i="177" s="1"/>
  <c r="K35" i="177"/>
  <c r="L24" i="136"/>
  <c r="K24" i="136"/>
  <c r="AW12" i="148"/>
  <c r="BA12" i="148" s="1"/>
  <c r="C9" i="161" s="1"/>
  <c r="X9" i="161"/>
  <c r="J11" i="136" s="1"/>
  <c r="AY88" i="158"/>
  <c r="L27" i="136"/>
  <c r="K27" i="136"/>
  <c r="X31" i="161"/>
  <c r="J33" i="136" s="1"/>
  <c r="DG32" i="36"/>
  <c r="C11" i="119"/>
  <c r="E105" i="77"/>
  <c r="B46" i="92"/>
  <c r="C9" i="177"/>
  <c r="CD9" i="177" s="1"/>
  <c r="C17" i="123"/>
  <c r="E64" i="77"/>
  <c r="AX8" i="22"/>
  <c r="BB8" i="158"/>
  <c r="BT85" i="158"/>
  <c r="HF8" i="158"/>
  <c r="AH8" i="158"/>
  <c r="AF8" i="158"/>
  <c r="FZ8" i="158" s="1"/>
  <c r="AB8" i="158"/>
  <c r="FW8" i="158" s="1"/>
  <c r="HV8" i="158"/>
  <c r="X8" i="22"/>
  <c r="AE85" i="158"/>
  <c r="I41" i="22"/>
  <c r="P41" i="22"/>
  <c r="F41" i="22"/>
  <c r="F8" i="22"/>
  <c r="F9" i="22" s="1"/>
  <c r="F10" i="22" s="1"/>
  <c r="F11" i="22" s="1"/>
  <c r="F12" i="22" s="1"/>
  <c r="F13" i="22" s="1"/>
  <c r="F14" i="22" s="1"/>
  <c r="F15" i="22" s="1"/>
  <c r="F16" i="22" s="1"/>
  <c r="F17" i="22" s="1"/>
  <c r="F18" i="22" s="1"/>
  <c r="F19" i="22" s="1"/>
  <c r="F20" i="22" s="1"/>
  <c r="E41" i="22"/>
  <c r="BT25" i="148"/>
  <c r="BV25" i="148" s="1"/>
  <c r="M23" i="158"/>
  <c r="IJ23" i="158" s="1"/>
  <c r="M10" i="158"/>
  <c r="BP33" i="158"/>
  <c r="AC13" i="158"/>
  <c r="FX13" i="158" s="1"/>
  <c r="U13" i="22"/>
  <c r="AB90" i="158"/>
  <c r="HT13" i="158"/>
  <c r="BW90" i="158"/>
  <c r="BO13" i="158"/>
  <c r="E34" i="117"/>
  <c r="F34" i="117" s="1"/>
  <c r="G34" i="117" s="1"/>
  <c r="E46" i="32"/>
  <c r="F46" i="32" s="1"/>
  <c r="R46" i="32"/>
  <c r="AW30" i="148"/>
  <c r="BA30" i="148" s="1"/>
  <c r="C27" i="161" s="1"/>
  <c r="X27" i="161"/>
  <c r="J29" i="136" s="1"/>
  <c r="DC11" i="177"/>
  <c r="DG34" i="36"/>
  <c r="BT26" i="148"/>
  <c r="BV26" i="148" s="1"/>
  <c r="AC86" i="158"/>
  <c r="HU9" i="158"/>
  <c r="BT31" i="148"/>
  <c r="BV31" i="148" s="1"/>
  <c r="DC7" i="177"/>
  <c r="BN13" i="158"/>
  <c r="BV90" i="158"/>
  <c r="DF9" i="36"/>
  <c r="DG9" i="36" s="1"/>
  <c r="F42" i="36"/>
  <c r="G9" i="36"/>
  <c r="E42" i="36"/>
  <c r="E8" i="77"/>
  <c r="T69" i="36"/>
  <c r="R71" i="36"/>
  <c r="F71" i="36"/>
  <c r="S71" i="36"/>
  <c r="S69" i="36"/>
  <c r="AN9" i="36"/>
  <c r="BA9" i="36" s="1"/>
  <c r="K42" i="36"/>
  <c r="AQ9" i="36"/>
  <c r="BH8" i="77" s="1"/>
  <c r="DB9" i="36"/>
  <c r="DC9" i="36" s="1"/>
  <c r="R69" i="36"/>
  <c r="K71" i="36"/>
  <c r="Z9" i="36"/>
  <c r="F69" i="36"/>
  <c r="R42" i="36"/>
  <c r="T71" i="36"/>
  <c r="K69" i="36"/>
  <c r="D14" i="163"/>
  <c r="G14" i="155"/>
  <c r="I16" i="165" s="1"/>
  <c r="R16" i="165" s="1"/>
  <c r="AL16" i="165" s="1"/>
  <c r="AM16" i="165" s="1"/>
  <c r="G39" i="158"/>
  <c r="AK9" i="148"/>
  <c r="G85" i="158"/>
  <c r="BQ13" i="150"/>
  <c r="BR13" i="150"/>
  <c r="C10" i="111" s="1"/>
  <c r="AC88" i="158"/>
  <c r="HU11" i="158"/>
  <c r="BM25" i="150"/>
  <c r="BO25" i="150" s="1"/>
  <c r="AU25" i="150"/>
  <c r="AV25" i="150" s="1"/>
  <c r="AZ25" i="150" s="1"/>
  <c r="DC34" i="36"/>
  <c r="L30" i="136"/>
  <c r="K30" i="136"/>
  <c r="AO14" i="36"/>
  <c r="W14" i="150" s="1"/>
  <c r="AK14" i="150" s="1"/>
  <c r="G13" i="77"/>
  <c r="G105" i="77" s="1"/>
  <c r="AY92" i="158"/>
  <c r="AW16" i="148"/>
  <c r="BA16" i="148" s="1"/>
  <c r="C13" i="161" s="1"/>
  <c r="X13" i="161"/>
  <c r="J15" i="136" s="1"/>
  <c r="AW10" i="148"/>
  <c r="BA10" i="148" s="1"/>
  <c r="C7" i="161" s="1"/>
  <c r="AY86" i="158"/>
  <c r="X7" i="161"/>
  <c r="J9" i="136" s="1"/>
  <c r="M22" i="158"/>
  <c r="D15" i="163"/>
  <c r="G15" i="155"/>
  <c r="C31" i="32"/>
  <c r="E33" i="32"/>
  <c r="F33" i="32" s="1"/>
  <c r="R33" i="32"/>
  <c r="L23" i="36"/>
  <c r="N23" i="36" s="1"/>
  <c r="BQ23" i="150"/>
  <c r="L25" i="136"/>
  <c r="K25" i="136"/>
  <c r="E9" i="177"/>
  <c r="DC9" i="177" s="1"/>
  <c r="BH105" i="77"/>
  <c r="M34" i="158"/>
  <c r="BF11" i="77"/>
  <c r="BF103" i="77" s="1"/>
  <c r="W39" i="158"/>
  <c r="AZ8" i="158"/>
  <c r="BA85" i="158"/>
  <c r="W30" i="36"/>
  <c r="AA45" i="36"/>
  <c r="U45" i="36" s="1"/>
  <c r="AA90" i="36"/>
  <c r="U90" i="36" s="1"/>
  <c r="Z45" i="36"/>
  <c r="AA92" i="36"/>
  <c r="U92" i="36" s="1"/>
  <c r="AZ90" i="158"/>
  <c r="AQ13" i="158"/>
  <c r="AQ90" i="158" s="1"/>
  <c r="AL13" i="22"/>
  <c r="AZ11" i="36"/>
  <c r="G34" i="167"/>
  <c r="G37" i="167" s="1"/>
  <c r="G33" i="167"/>
  <c r="H33" i="167" s="1"/>
  <c r="A33" i="167"/>
  <c r="A32" i="167"/>
  <c r="G32" i="167"/>
  <c r="H32" i="167" s="1"/>
  <c r="F32" i="167"/>
  <c r="BM11" i="150"/>
  <c r="BO11" i="150" s="1"/>
  <c r="AU11" i="150"/>
  <c r="AV11" i="150" s="1"/>
  <c r="AZ11" i="150" s="1"/>
  <c r="C21" i="111"/>
  <c r="BQ24" i="150"/>
  <c r="AX78" i="18"/>
  <c r="AW40" i="18"/>
  <c r="R43" i="18"/>
  <c r="AB78" i="18"/>
  <c r="C42" i="22"/>
  <c r="D10" i="77"/>
  <c r="DX6" i="177" s="1"/>
  <c r="D101" i="77"/>
  <c r="D42" i="92"/>
  <c r="D60" i="77"/>
  <c r="S78" i="18"/>
  <c r="AM18" i="36"/>
  <c r="AQ109" i="77"/>
  <c r="C78" i="18"/>
  <c r="AG78" i="18" s="1"/>
  <c r="E42" i="22"/>
  <c r="AR40" i="18"/>
  <c r="AD11" i="28" s="1"/>
  <c r="AQ40" i="18"/>
  <c r="D6" i="155" s="1"/>
  <c r="F42" i="22"/>
  <c r="AA43" i="18"/>
  <c r="R78" i="18"/>
  <c r="F78" i="18"/>
  <c r="K43" i="18"/>
  <c r="U20" i="22"/>
  <c r="M76" i="18"/>
  <c r="L76" i="18"/>
  <c r="H78" i="18"/>
  <c r="AA21" i="22"/>
  <c r="J110" i="77"/>
  <c r="T78" i="18"/>
  <c r="K78" i="18"/>
  <c r="C43" i="18"/>
  <c r="BF20" i="77"/>
  <c r="AC8" i="77"/>
  <c r="Y9" i="36"/>
  <c r="Y41" i="36" s="1"/>
  <c r="AB41" i="36"/>
  <c r="I42" i="22"/>
  <c r="F43" i="18"/>
  <c r="G17" i="119"/>
  <c r="X76" i="18"/>
  <c r="V76" i="18" s="1"/>
  <c r="B18" i="119"/>
  <c r="B54" i="119" s="1"/>
  <c r="B89" i="119" s="1"/>
  <c r="B77" i="36"/>
  <c r="AJ51" i="36"/>
  <c r="BE21" i="36"/>
  <c r="CY21" i="36" s="1"/>
  <c r="AF64" i="36"/>
  <c r="B22" i="36"/>
  <c r="J19" i="77"/>
  <c r="D15" i="177" s="1"/>
  <c r="CY15" i="177" s="1"/>
  <c r="DA19" i="77"/>
  <c r="DA111" i="77" s="1"/>
  <c r="C15" i="177"/>
  <c r="CD15" i="177" s="1"/>
  <c r="C23" i="123"/>
  <c r="C17" i="119"/>
  <c r="B52" i="92"/>
  <c r="E70" i="77"/>
  <c r="D22" i="115"/>
  <c r="Z19" i="77"/>
  <c r="Z111" i="77" s="1"/>
  <c r="C52" i="92"/>
  <c r="C70" i="77"/>
  <c r="B23" i="115"/>
  <c r="A53" i="92"/>
  <c r="A16" i="92" s="1"/>
  <c r="K55" i="111"/>
  <c r="B112" i="77"/>
  <c r="B21" i="77"/>
  <c r="DC21" i="77" s="1"/>
  <c r="DO17" i="177" s="1"/>
  <c r="B71" i="77"/>
  <c r="AV20" i="77"/>
  <c r="BD20" i="77"/>
  <c r="DG16" i="177" s="1"/>
  <c r="BA20" i="77"/>
  <c r="E18" i="119" s="1"/>
  <c r="I20" i="77"/>
  <c r="CW20" i="77"/>
  <c r="K20" i="77" s="1"/>
  <c r="DS16" i="177" s="1"/>
  <c r="L20" i="77"/>
  <c r="F20" i="77"/>
  <c r="T20" i="77"/>
  <c r="S20" i="77"/>
  <c r="C20" i="77"/>
  <c r="DW16" i="177" s="1"/>
  <c r="W20" i="77"/>
  <c r="N20" i="77"/>
  <c r="E24" i="123" s="1"/>
  <c r="BE20" i="77"/>
  <c r="DK16" i="177" s="1"/>
  <c r="AW20" i="77"/>
  <c r="U20" i="77"/>
  <c r="AC20" i="77"/>
  <c r="BB20" i="77"/>
  <c r="F18" i="119" s="1"/>
  <c r="E20" i="77"/>
  <c r="BL20" i="77"/>
  <c r="BH20" i="77"/>
  <c r="E16" i="177" s="1"/>
  <c r="DC16" i="177" s="1"/>
  <c r="AA20" i="77"/>
  <c r="C23" i="115" s="1"/>
  <c r="G20" i="77"/>
  <c r="BG20" i="77"/>
  <c r="H20" i="77"/>
  <c r="V20" i="77"/>
  <c r="X20" i="77"/>
  <c r="CL111" i="77"/>
  <c r="BZ111" i="77"/>
  <c r="BN111" i="77"/>
  <c r="BB111" i="77"/>
  <c r="DB111" i="77"/>
  <c r="CP111" i="77"/>
  <c r="CD111" i="77"/>
  <c r="BR111" i="77"/>
  <c r="T111" i="77"/>
  <c r="H111" i="77"/>
  <c r="CR111" i="77"/>
  <c r="CC111" i="77"/>
  <c r="BO111" i="77"/>
  <c r="AZ111" i="77"/>
  <c r="V111" i="77"/>
  <c r="CQ111" i="77"/>
  <c r="CB111" i="77"/>
  <c r="BM111" i="77"/>
  <c r="AY111" i="77"/>
  <c r="U111" i="77"/>
  <c r="F111" i="77"/>
  <c r="CO111" i="77"/>
  <c r="CA111" i="77"/>
  <c r="BL111" i="77"/>
  <c r="AX111" i="77"/>
  <c r="S111" i="77"/>
  <c r="E111" i="77"/>
  <c r="DC111" i="77"/>
  <c r="CN111" i="77"/>
  <c r="BY111" i="77"/>
  <c r="BK111" i="77"/>
  <c r="AW111" i="77"/>
  <c r="C111" i="77"/>
  <c r="CM111" i="77"/>
  <c r="BX111" i="77"/>
  <c r="BJ111" i="77"/>
  <c r="AV111" i="77"/>
  <c r="CZ111" i="77"/>
  <c r="CK111" i="77"/>
  <c r="BW111" i="77"/>
  <c r="BI111" i="77"/>
  <c r="AS111" i="77"/>
  <c r="CY111" i="77"/>
  <c r="CJ111" i="77"/>
  <c r="BV111" i="77"/>
  <c r="AC111" i="77"/>
  <c r="N111" i="77"/>
  <c r="CW111" i="77"/>
  <c r="CI111" i="77"/>
  <c r="BU111" i="77"/>
  <c r="BG111" i="77"/>
  <c r="CV111" i="77"/>
  <c r="CH111" i="77"/>
  <c r="BT111" i="77"/>
  <c r="BE111" i="77"/>
  <c r="L111" i="77"/>
  <c r="CU111" i="77"/>
  <c r="CG111" i="77"/>
  <c r="BS111" i="77"/>
  <c r="BD111" i="77"/>
  <c r="K111" i="77"/>
  <c r="CT111" i="77"/>
  <c r="CF111" i="77"/>
  <c r="BQ111" i="77"/>
  <c r="BC111" i="77"/>
  <c r="CS111" i="77"/>
  <c r="CE111" i="77"/>
  <c r="BP111" i="77"/>
  <c r="BA111" i="77"/>
  <c r="W111" i="77"/>
  <c r="I111" i="77"/>
  <c r="B81" i="111"/>
  <c r="U54" i="111"/>
  <c r="J54" i="111"/>
  <c r="H22" i="115"/>
  <c r="B68" i="115"/>
  <c r="O68" i="115" s="1"/>
  <c r="K54" i="161"/>
  <c r="L55" i="161"/>
  <c r="AA54" i="161"/>
  <c r="B23" i="22"/>
  <c r="AP22" i="22"/>
  <c r="CO22" i="22"/>
  <c r="CP22" i="22" s="1"/>
  <c r="AL22" i="22"/>
  <c r="BB22" i="22"/>
  <c r="AU22" i="22"/>
  <c r="B24" i="18"/>
  <c r="B79" i="18"/>
  <c r="AX21" i="22"/>
  <c r="GZ22" i="158"/>
  <c r="FC22" i="158"/>
  <c r="A17" i="168"/>
  <c r="M17" i="168" s="1"/>
  <c r="D22" i="136"/>
  <c r="A20" i="159"/>
  <c r="B99" i="158"/>
  <c r="B23" i="158"/>
  <c r="BD22" i="158"/>
  <c r="EA98" i="158"/>
  <c r="DO98" i="158"/>
  <c r="BY98" i="158"/>
  <c r="BH98" i="158"/>
  <c r="AT98" i="158"/>
  <c r="J98" i="158"/>
  <c r="EF98" i="158"/>
  <c r="DT98" i="158"/>
  <c r="CX98" i="158"/>
  <c r="BR98" i="158"/>
  <c r="AZ98" i="158"/>
  <c r="AA98" i="158"/>
  <c r="C98" i="158"/>
  <c r="DY98" i="158"/>
  <c r="DA98" i="158"/>
  <c r="BS98" i="158"/>
  <c r="AX98" i="158"/>
  <c r="F98" i="158"/>
  <c r="EL98" i="158"/>
  <c r="DX98" i="158"/>
  <c r="CZ98" i="158"/>
  <c r="BL98" i="158"/>
  <c r="AG98" i="158"/>
  <c r="E98" i="158"/>
  <c r="EK98" i="158"/>
  <c r="DW98" i="158"/>
  <c r="CY98" i="158"/>
  <c r="BK98" i="158"/>
  <c r="AU98" i="158"/>
  <c r="EH98" i="158"/>
  <c r="DS98" i="158"/>
  <c r="CA98" i="158"/>
  <c r="BG98" i="158"/>
  <c r="AQ98" i="158"/>
  <c r="AC98" i="158"/>
  <c r="N98" i="158"/>
  <c r="EE98" i="158"/>
  <c r="DQ98" i="158"/>
  <c r="BX98" i="158"/>
  <c r="BE98" i="158"/>
  <c r="Z98" i="158"/>
  <c r="L98" i="158"/>
  <c r="ED98" i="158"/>
  <c r="DP98" i="158"/>
  <c r="BW98" i="158"/>
  <c r="BD98" i="158"/>
  <c r="Y98" i="158"/>
  <c r="K98" i="158"/>
  <c r="EC98" i="158"/>
  <c r="DN98" i="158"/>
  <c r="BV98" i="158"/>
  <c r="BB98" i="158"/>
  <c r="X98" i="158"/>
  <c r="I98" i="158"/>
  <c r="DZ98" i="158"/>
  <c r="BI98" i="158"/>
  <c r="W98" i="158"/>
  <c r="DV98" i="158"/>
  <c r="BF98" i="158"/>
  <c r="DU98" i="158"/>
  <c r="BA98" i="158"/>
  <c r="DR98" i="158"/>
  <c r="AY98" i="158"/>
  <c r="DM98" i="158"/>
  <c r="DL98" i="158"/>
  <c r="H98" i="158"/>
  <c r="CC98" i="158"/>
  <c r="G98" i="158"/>
  <c r="CB98" i="158"/>
  <c r="EJ98" i="158"/>
  <c r="BZ98" i="158"/>
  <c r="EI98" i="158"/>
  <c r="BU98" i="158"/>
  <c r="AE98" i="158"/>
  <c r="EG98" i="158"/>
  <c r="BT98" i="158"/>
  <c r="AD98" i="158"/>
  <c r="AB98" i="158"/>
  <c r="EB98" i="158"/>
  <c r="BJ98" i="158"/>
  <c r="HU21" i="158"/>
  <c r="IE21" i="158"/>
  <c r="HS21" i="158"/>
  <c r="ID21" i="158"/>
  <c r="HR21" i="158"/>
  <c r="HF21" i="158"/>
  <c r="HQ21" i="158"/>
  <c r="HE21" i="158"/>
  <c r="HP21" i="158"/>
  <c r="HC21" i="158"/>
  <c r="GA21" i="158"/>
  <c r="FD21" i="158"/>
  <c r="HJ21" i="158"/>
  <c r="FV21" i="158"/>
  <c r="HH21" i="158"/>
  <c r="FU21" i="158"/>
  <c r="HG21" i="158"/>
  <c r="FJ21" i="158"/>
  <c r="HA21" i="158"/>
  <c r="GH21" i="158"/>
  <c r="HX21" i="158"/>
  <c r="FL21" i="158"/>
  <c r="FK21" i="158"/>
  <c r="HV21" i="158"/>
  <c r="FW21" i="158"/>
  <c r="HT21" i="158"/>
  <c r="FT21" i="158"/>
  <c r="HO21" i="158"/>
  <c r="FR21" i="158"/>
  <c r="FM21" i="158"/>
  <c r="FF21" i="158"/>
  <c r="FI21" i="158"/>
  <c r="FS21" i="158"/>
  <c r="FH21" i="158"/>
  <c r="FX21" i="158"/>
  <c r="FY21" i="158"/>
  <c r="GG21" i="158"/>
  <c r="GU21" i="158"/>
  <c r="FA21" i="158"/>
  <c r="GJ21" i="158"/>
  <c r="BS37" i="150" l="1"/>
  <c r="C34" i="111"/>
  <c r="L37" i="36" s="1"/>
  <c r="N37" i="36" s="1"/>
  <c r="BQ35" i="150"/>
  <c r="BR35" i="150"/>
  <c r="F21" i="22"/>
  <c r="P22" i="22"/>
  <c r="I22" i="22"/>
  <c r="T22" i="22"/>
  <c r="Q22" i="22"/>
  <c r="AV22" i="22"/>
  <c r="Z22" i="22"/>
  <c r="CM22" i="22"/>
  <c r="H22" i="22" s="1"/>
  <c r="E22" i="22"/>
  <c r="G22" i="22"/>
  <c r="R22" i="22"/>
  <c r="C22" i="22"/>
  <c r="K22" i="22"/>
  <c r="DY16" i="177"/>
  <c r="DE20" i="77"/>
  <c r="DY4" i="177"/>
  <c r="DE8" i="77"/>
  <c r="DY12" i="177"/>
  <c r="DE16" i="77"/>
  <c r="F16" i="177"/>
  <c r="CH16" i="177" s="1"/>
  <c r="DG20" i="77"/>
  <c r="Z42" i="22"/>
  <c r="M87" i="158"/>
  <c r="IJ10" i="158"/>
  <c r="FL10" i="158"/>
  <c r="IJ34" i="158"/>
  <c r="O30" i="177"/>
  <c r="IJ18" i="158"/>
  <c r="FL18" i="158"/>
  <c r="IJ20" i="158"/>
  <c r="FL20" i="158"/>
  <c r="IG39" i="158"/>
  <c r="J22" i="22"/>
  <c r="IJ22" i="158"/>
  <c r="AA42" i="22"/>
  <c r="M98" i="158"/>
  <c r="IJ21" i="158"/>
  <c r="X20" i="22"/>
  <c r="O43" i="18"/>
  <c r="S21" i="22"/>
  <c r="H43" i="18"/>
  <c r="BB21" i="22"/>
  <c r="V19" i="111"/>
  <c r="AZ22" i="36" s="1"/>
  <c r="BM22" i="150"/>
  <c r="BO22" i="150" s="1"/>
  <c r="AU22" i="150"/>
  <c r="AV22" i="150" s="1"/>
  <c r="AZ22" i="150" s="1"/>
  <c r="BM19" i="150"/>
  <c r="BO19" i="150" s="1"/>
  <c r="AU19" i="150"/>
  <c r="AV19" i="150" s="1"/>
  <c r="AZ19" i="150" s="1"/>
  <c r="C15" i="111"/>
  <c r="L18" i="36" s="1"/>
  <c r="BQ18" i="150"/>
  <c r="U43" i="18"/>
  <c r="U26" i="36"/>
  <c r="Z26" i="36" s="1"/>
  <c r="W26" i="36" s="1"/>
  <c r="BH111" i="77"/>
  <c r="AV9" i="148"/>
  <c r="AY8" i="158"/>
  <c r="BP17" i="148"/>
  <c r="BR17" i="148" s="1"/>
  <c r="AV17" i="148"/>
  <c r="AY16" i="158"/>
  <c r="BP20" i="148"/>
  <c r="BR20" i="148" s="1"/>
  <c r="AV20" i="148"/>
  <c r="AY19" i="158"/>
  <c r="F32" i="171"/>
  <c r="AN37" i="158"/>
  <c r="K32" i="171"/>
  <c r="K33" i="171"/>
  <c r="K34" i="171"/>
  <c r="H34" i="171"/>
  <c r="H35" i="171" s="1"/>
  <c r="F33" i="171"/>
  <c r="AF37" i="36"/>
  <c r="H32" i="171"/>
  <c r="Z25" i="158"/>
  <c r="X39" i="158"/>
  <c r="Y39" i="158"/>
  <c r="M12" i="158"/>
  <c r="L13" i="36"/>
  <c r="P21" i="36"/>
  <c r="AD21" i="36" s="1"/>
  <c r="BS21" i="150"/>
  <c r="AB16" i="22"/>
  <c r="AB17" i="22" s="1"/>
  <c r="AB18" i="22" s="1"/>
  <c r="AB19" i="22" s="1"/>
  <c r="AB20" i="22" s="1"/>
  <c r="AB21" i="22" s="1"/>
  <c r="AB22" i="22" s="1"/>
  <c r="BP14" i="158"/>
  <c r="W20" i="36"/>
  <c r="X19" i="77" s="1"/>
  <c r="X111" i="77" s="1"/>
  <c r="AA19" i="77"/>
  <c r="AC19" i="158"/>
  <c r="FX19" i="158" s="1"/>
  <c r="AB96" i="158"/>
  <c r="HT19" i="158"/>
  <c r="U19" i="22"/>
  <c r="W20" i="148"/>
  <c r="AL20" i="148" s="1"/>
  <c r="BR96" i="158"/>
  <c r="AQ19" i="158"/>
  <c r="AQ96" i="158" s="1"/>
  <c r="AZ96" i="158"/>
  <c r="AL19" i="22"/>
  <c r="BN19" i="158"/>
  <c r="BV96" i="158"/>
  <c r="AO20" i="36"/>
  <c r="G19" i="77"/>
  <c r="G111" i="77" s="1"/>
  <c r="BM19" i="158"/>
  <c r="BU96" i="158"/>
  <c r="BO19" i="158"/>
  <c r="BW96" i="158"/>
  <c r="C88" i="119"/>
  <c r="BB96" i="158"/>
  <c r="W15" i="150"/>
  <c r="BF14" i="77"/>
  <c r="BF106" i="77" s="1"/>
  <c r="AA16" i="77"/>
  <c r="W17" i="36"/>
  <c r="AA78" i="36"/>
  <c r="U78" i="36" s="1"/>
  <c r="Z43" i="36"/>
  <c r="AA76" i="36"/>
  <c r="U76" i="36" s="1"/>
  <c r="AA43" i="36"/>
  <c r="U43" i="36" s="1"/>
  <c r="AB93" i="158"/>
  <c r="AC16" i="158"/>
  <c r="FX16" i="158" s="1"/>
  <c r="U16" i="22"/>
  <c r="HT16" i="158"/>
  <c r="W17" i="148"/>
  <c r="AL17" i="148" s="1"/>
  <c r="BR93" i="158"/>
  <c r="AA106" i="77"/>
  <c r="C17" i="115"/>
  <c r="AQ16" i="158"/>
  <c r="AQ93" i="158" s="1"/>
  <c r="AL16" i="22"/>
  <c r="AZ93" i="158"/>
  <c r="E12" i="177"/>
  <c r="DC12" i="177" s="1"/>
  <c r="BH108" i="77"/>
  <c r="BW93" i="158"/>
  <c r="BO16" i="158"/>
  <c r="C85" i="119"/>
  <c r="BB93" i="158"/>
  <c r="AV76" i="36"/>
  <c r="AQ76" i="36"/>
  <c r="D16" i="77"/>
  <c r="DX12" i="177" s="1"/>
  <c r="E108" i="77"/>
  <c r="E67" i="77"/>
  <c r="C14" i="119"/>
  <c r="C20" i="123"/>
  <c r="B49" i="92"/>
  <c r="C12" i="177"/>
  <c r="CD12" i="177" s="1"/>
  <c r="BN16" i="158"/>
  <c r="BV93" i="158"/>
  <c r="X12" i="161"/>
  <c r="J14" i="136" s="1"/>
  <c r="AY91" i="158"/>
  <c r="AW15" i="148"/>
  <c r="BA15" i="148" s="1"/>
  <c r="C12" i="161" s="1"/>
  <c r="AO17" i="36"/>
  <c r="G16" i="77"/>
  <c r="G108" i="77" s="1"/>
  <c r="BM16" i="158"/>
  <c r="BU93" i="158"/>
  <c r="HU14" i="158"/>
  <c r="AC91" i="158"/>
  <c r="HI21" i="158"/>
  <c r="O20" i="77"/>
  <c r="O112" i="77" s="1"/>
  <c r="DA21" i="36"/>
  <c r="AK51" i="36"/>
  <c r="M20" i="77"/>
  <c r="HI10" i="158"/>
  <c r="P10" i="158"/>
  <c r="T10" i="158" s="1"/>
  <c r="T87" i="158" s="1"/>
  <c r="AJ14" i="150"/>
  <c r="BM33" i="150"/>
  <c r="BO33" i="150" s="1"/>
  <c r="AU33" i="150"/>
  <c r="AV33" i="150" s="1"/>
  <c r="AZ33" i="150" s="1"/>
  <c r="BQ33" i="150" s="1"/>
  <c r="BS33" i="150" s="1"/>
  <c r="AZ32" i="36"/>
  <c r="AZ34" i="36"/>
  <c r="AU36" i="150"/>
  <c r="BQ36" i="150" s="1"/>
  <c r="BS36" i="150" s="1"/>
  <c r="BM36" i="150"/>
  <c r="BO36" i="150" s="1"/>
  <c r="BM28" i="150"/>
  <c r="BO28" i="150" s="1"/>
  <c r="AZ28" i="150"/>
  <c r="BQ28" i="150" s="1"/>
  <c r="BS28" i="150" s="1"/>
  <c r="AZ30" i="36"/>
  <c r="BM26" i="150"/>
  <c r="BO26" i="150" s="1"/>
  <c r="AU26" i="150"/>
  <c r="AV26" i="150" s="1"/>
  <c r="AZ26" i="150" s="1"/>
  <c r="BQ26" i="150" s="1"/>
  <c r="BS26" i="150" s="1"/>
  <c r="BM31" i="150"/>
  <c r="BO31" i="150" s="1"/>
  <c r="AU31" i="150"/>
  <c r="AV31" i="150" s="1"/>
  <c r="AZ31" i="150" s="1"/>
  <c r="BQ31" i="150" s="1"/>
  <c r="BS31" i="150" s="1"/>
  <c r="O16" i="177"/>
  <c r="P16" i="177" s="1"/>
  <c r="CQ16" i="177" s="1"/>
  <c r="O20" i="158"/>
  <c r="FN20" i="158" s="1"/>
  <c r="J20" i="22"/>
  <c r="P20" i="158"/>
  <c r="Q20" i="158"/>
  <c r="M97" i="158"/>
  <c r="HI20" i="158"/>
  <c r="O10" i="158"/>
  <c r="Q10" i="158"/>
  <c r="U10" i="158" s="1"/>
  <c r="U87" i="158" s="1"/>
  <c r="J10" i="22"/>
  <c r="O6" i="177"/>
  <c r="P6" i="177" s="1"/>
  <c r="CQ6" i="177" s="1"/>
  <c r="M32" i="158"/>
  <c r="L33" i="36"/>
  <c r="N33" i="36" s="1"/>
  <c r="S41" i="22"/>
  <c r="O22" i="177"/>
  <c r="P22" i="177" s="1"/>
  <c r="CQ22" i="177" s="1"/>
  <c r="P26" i="158"/>
  <c r="T26" i="158" s="1"/>
  <c r="O26" i="158"/>
  <c r="Q26" i="158"/>
  <c r="U26" i="158" s="1"/>
  <c r="BT16" i="148"/>
  <c r="BV16" i="148" s="1"/>
  <c r="BU39" i="158"/>
  <c r="BM39" i="158" s="1"/>
  <c r="BM8" i="158"/>
  <c r="BU85" i="158"/>
  <c r="M24" i="158"/>
  <c r="IJ24" i="158" s="1"/>
  <c r="AW14" i="148"/>
  <c r="BA14" i="148" s="1"/>
  <c r="C11" i="161" s="1"/>
  <c r="X11" i="161"/>
  <c r="J13" i="136" s="1"/>
  <c r="AY90" i="158"/>
  <c r="AZ12" i="36"/>
  <c r="O18" i="177"/>
  <c r="P18" i="177" s="1"/>
  <c r="CQ18" i="177" s="1"/>
  <c r="Q22" i="158"/>
  <c r="U22" i="158" s="1"/>
  <c r="U99" i="158" s="1"/>
  <c r="O22" i="158"/>
  <c r="HK22" i="158" s="1"/>
  <c r="P22" i="158"/>
  <c r="T22" i="158" s="1"/>
  <c r="T99" i="158" s="1"/>
  <c r="BP9" i="148"/>
  <c r="BR9" i="148" s="1"/>
  <c r="AK41" i="148"/>
  <c r="G8" i="77"/>
  <c r="G100" i="77" s="1"/>
  <c r="AO9" i="36"/>
  <c r="U8" i="22"/>
  <c r="AC8" i="158"/>
  <c r="FX8" i="158" s="1"/>
  <c r="HT8" i="158"/>
  <c r="AB85" i="158"/>
  <c r="BT32" i="148"/>
  <c r="BV32" i="148" s="1"/>
  <c r="M17" i="158"/>
  <c r="S134" i="77"/>
  <c r="C39" i="32"/>
  <c r="I15" i="163"/>
  <c r="J15" i="163" s="1"/>
  <c r="F15" i="163"/>
  <c r="G15" i="163" s="1"/>
  <c r="E4" i="177"/>
  <c r="DC4" i="177" s="1"/>
  <c r="BH100" i="77"/>
  <c r="DE23" i="36"/>
  <c r="AK53" i="36"/>
  <c r="P23" i="36"/>
  <c r="AD23" i="36" s="1"/>
  <c r="DA23" i="36"/>
  <c r="C77" i="119"/>
  <c r="BB39" i="158"/>
  <c r="BB85" i="158"/>
  <c r="AQ69" i="36"/>
  <c r="AV69" i="36"/>
  <c r="AF9" i="158"/>
  <c r="FZ9" i="158" s="1"/>
  <c r="HW8" i="158"/>
  <c r="AF85" i="158"/>
  <c r="BP13" i="158"/>
  <c r="L31" i="136"/>
  <c r="K31" i="136"/>
  <c r="AZ16" i="36"/>
  <c r="D32" i="163"/>
  <c r="G35" i="155"/>
  <c r="E15" i="156"/>
  <c r="F15" i="156" s="1"/>
  <c r="G15" i="156" s="1"/>
  <c r="E56" i="126"/>
  <c r="F56" i="126" s="1"/>
  <c r="G56" i="126" s="1"/>
  <c r="E15" i="126"/>
  <c r="L15" i="136"/>
  <c r="K15" i="136"/>
  <c r="M25" i="158"/>
  <c r="IJ25" i="158" s="1"/>
  <c r="L26" i="36"/>
  <c r="N26" i="36" s="1"/>
  <c r="Q34" i="158"/>
  <c r="U34" i="158" s="1"/>
  <c r="O34" i="158"/>
  <c r="P34" i="158"/>
  <c r="T34" i="158" s="1"/>
  <c r="G13" i="155"/>
  <c r="E16" i="126"/>
  <c r="D13" i="163"/>
  <c r="BF13" i="77"/>
  <c r="BF105" i="77" s="1"/>
  <c r="BW39" i="158"/>
  <c r="BO39" i="158" s="1"/>
  <c r="BO8" i="158"/>
  <c r="BW85" i="158"/>
  <c r="W9" i="36"/>
  <c r="AA9" i="36"/>
  <c r="AA10" i="36" s="1"/>
  <c r="AA11" i="36" s="1"/>
  <c r="AA12" i="36" s="1"/>
  <c r="AA13" i="36" s="1"/>
  <c r="AA14" i="36" s="1"/>
  <c r="AA15" i="36" s="1"/>
  <c r="AA16" i="36" s="1"/>
  <c r="AA17" i="36" s="1"/>
  <c r="AA18" i="36" s="1"/>
  <c r="AA19" i="36" s="1"/>
  <c r="AA20" i="36" s="1"/>
  <c r="AA21" i="36" s="1"/>
  <c r="AA22" i="36" s="1"/>
  <c r="AA23" i="36" s="1"/>
  <c r="AA24" i="36" s="1"/>
  <c r="AA25" i="36" s="1"/>
  <c r="Z42" i="36"/>
  <c r="AA69" i="36"/>
  <c r="U69" i="36" s="1"/>
  <c r="AA71" i="36"/>
  <c r="U71" i="36" s="1"/>
  <c r="AA42" i="36"/>
  <c r="U42" i="36" s="1"/>
  <c r="AA8" i="77"/>
  <c r="AE8" i="77" s="1"/>
  <c r="O17" i="177"/>
  <c r="P17" i="177" s="1"/>
  <c r="CQ17" i="177" s="1"/>
  <c r="P21" i="158"/>
  <c r="Q21" i="158"/>
  <c r="O21" i="158"/>
  <c r="FN21" i="158" s="1"/>
  <c r="J21" i="22"/>
  <c r="M27" i="158"/>
  <c r="IJ27" i="158" s="1"/>
  <c r="L28" i="36"/>
  <c r="N28" i="36" s="1"/>
  <c r="D12" i="163"/>
  <c r="E14" i="126"/>
  <c r="C29" i="32"/>
  <c r="C6" i="119"/>
  <c r="E59" i="77"/>
  <c r="C4" i="177"/>
  <c r="CD4" i="177" s="1"/>
  <c r="CE4" i="177" s="1"/>
  <c r="CE5" i="177" s="1"/>
  <c r="CE6" i="177" s="1"/>
  <c r="CE7" i="177" s="1"/>
  <c r="CE8" i="177" s="1"/>
  <c r="CE9" i="177" s="1"/>
  <c r="CE10" i="177" s="1"/>
  <c r="CE11" i="177" s="1"/>
  <c r="B41" i="92"/>
  <c r="C12" i="123"/>
  <c r="L40" i="77"/>
  <c r="E40" i="77"/>
  <c r="S40" i="77"/>
  <c r="E100" i="77"/>
  <c r="X90" i="36"/>
  <c r="V90" i="36" s="1"/>
  <c r="W45" i="36"/>
  <c r="X45" i="36"/>
  <c r="X92" i="36"/>
  <c r="V92" i="36" s="1"/>
  <c r="K9" i="136"/>
  <c r="L9" i="136"/>
  <c r="BS13" i="150"/>
  <c r="BN8" i="158"/>
  <c r="BV85" i="158"/>
  <c r="BV39" i="158"/>
  <c r="BN39" i="158" s="1"/>
  <c r="AV71" i="36"/>
  <c r="AQ71" i="36"/>
  <c r="M30" i="158"/>
  <c r="L31" i="36"/>
  <c r="N31" i="36" s="1"/>
  <c r="AH85" i="158"/>
  <c r="AH9" i="158"/>
  <c r="C16" i="115"/>
  <c r="AA105" i="77"/>
  <c r="AZ10" i="36"/>
  <c r="O14" i="177"/>
  <c r="J18" i="22"/>
  <c r="Q18" i="158"/>
  <c r="O18" i="158"/>
  <c r="FN18" i="158" s="1"/>
  <c r="P18" i="158"/>
  <c r="M95" i="158"/>
  <c r="HI18" i="158"/>
  <c r="E12" i="100"/>
  <c r="E16" i="117"/>
  <c r="F16" i="117" s="1"/>
  <c r="G16" i="117" s="1"/>
  <c r="E27" i="32"/>
  <c r="F27" i="32" s="1"/>
  <c r="R27" i="32"/>
  <c r="J27" i="32"/>
  <c r="L27" i="32" s="1"/>
  <c r="M27" i="32" s="1"/>
  <c r="BR39" i="158"/>
  <c r="W9" i="148"/>
  <c r="BR85" i="158"/>
  <c r="E31" i="32"/>
  <c r="F31" i="32" s="1"/>
  <c r="R31" i="32"/>
  <c r="L33" i="136"/>
  <c r="K33" i="136"/>
  <c r="R34" i="32"/>
  <c r="J34" i="32"/>
  <c r="L34" i="32" s="1"/>
  <c r="M34" i="32" s="1"/>
  <c r="E18" i="100"/>
  <c r="E34" i="32"/>
  <c r="F34" i="32" s="1"/>
  <c r="E22" i="117"/>
  <c r="F22" i="117" s="1"/>
  <c r="G22" i="117" s="1"/>
  <c r="BQ25" i="150"/>
  <c r="C22" i="111"/>
  <c r="L25" i="36" s="1"/>
  <c r="N25" i="36" s="1"/>
  <c r="E34" i="126"/>
  <c r="G31" i="155"/>
  <c r="E72" i="126"/>
  <c r="D28" i="163"/>
  <c r="E31" i="156"/>
  <c r="AZ85" i="158"/>
  <c r="AL8" i="22"/>
  <c r="AM8" i="22" s="1"/>
  <c r="AM9" i="22" s="1"/>
  <c r="AM10" i="22" s="1"/>
  <c r="AM11" i="22" s="1"/>
  <c r="AM12" i="22" s="1"/>
  <c r="AM13" i="22" s="1"/>
  <c r="AM14" i="22" s="1"/>
  <c r="AM15" i="22" s="1"/>
  <c r="AZ39" i="158"/>
  <c r="AQ8" i="158"/>
  <c r="BS23" i="150"/>
  <c r="BT10" i="148"/>
  <c r="BV10" i="148" s="1"/>
  <c r="I14" i="163"/>
  <c r="J14" i="163" s="1"/>
  <c r="M16" i="165"/>
  <c r="F14" i="163"/>
  <c r="G14" i="163" s="1"/>
  <c r="K29" i="136"/>
  <c r="L29" i="136"/>
  <c r="O23" i="158"/>
  <c r="P23" i="158"/>
  <c r="T23" i="158" s="1"/>
  <c r="O19" i="177"/>
  <c r="P19" i="177" s="1"/>
  <c r="CQ19" i="177" s="1"/>
  <c r="Q23" i="158"/>
  <c r="U23" i="158" s="1"/>
  <c r="BT34" i="148"/>
  <c r="BV34" i="148" s="1"/>
  <c r="L11" i="136"/>
  <c r="K11" i="136"/>
  <c r="P29" i="36"/>
  <c r="AD29" i="36" s="1"/>
  <c r="DA29" i="36"/>
  <c r="DE29" i="36"/>
  <c r="D5" i="92"/>
  <c r="D86" i="158"/>
  <c r="HB9" i="158"/>
  <c r="F15" i="100"/>
  <c r="G15" i="100" s="1"/>
  <c r="E148" i="100"/>
  <c r="F148" i="100" s="1"/>
  <c r="G148" i="100" s="1"/>
  <c r="BT30" i="148"/>
  <c r="BV30" i="148" s="1"/>
  <c r="AC90" i="158"/>
  <c r="HU13" i="158"/>
  <c r="Y8" i="22"/>
  <c r="Y9" i="22" s="1"/>
  <c r="Y10" i="22" s="1"/>
  <c r="Y11" i="22" s="1"/>
  <c r="Y12" i="22" s="1"/>
  <c r="Y13" i="22" s="1"/>
  <c r="Y14" i="22" s="1"/>
  <c r="Y15" i="22" s="1"/>
  <c r="Y16" i="22" s="1"/>
  <c r="Y17" i="22" s="1"/>
  <c r="Y18" i="22" s="1"/>
  <c r="Y19" i="22" s="1"/>
  <c r="Y20" i="22" s="1"/>
  <c r="AB8" i="22"/>
  <c r="BT12" i="148"/>
  <c r="BV12" i="148" s="1"/>
  <c r="Q28" i="158"/>
  <c r="U28" i="158" s="1"/>
  <c r="O24" i="177"/>
  <c r="P24" i="177" s="1"/>
  <c r="CQ24" i="177" s="1"/>
  <c r="O28" i="158"/>
  <c r="P28" i="158"/>
  <c r="T28" i="158" s="1"/>
  <c r="D11" i="36"/>
  <c r="N87" i="161"/>
  <c r="D10" i="158"/>
  <c r="FE10" i="158" s="1"/>
  <c r="M46" i="161"/>
  <c r="M35" i="158"/>
  <c r="L36" i="36"/>
  <c r="N36" i="36" s="1"/>
  <c r="G18" i="119"/>
  <c r="H34" i="167"/>
  <c r="H35" i="167" s="1"/>
  <c r="BS24" i="150"/>
  <c r="L24" i="36"/>
  <c r="N24" i="36" s="1"/>
  <c r="BR11" i="150"/>
  <c r="C8" i="111" s="1"/>
  <c r="BQ11" i="150"/>
  <c r="D22" i="22"/>
  <c r="J111" i="77"/>
  <c r="AE11" i="28"/>
  <c r="Q171" i="32" s="1"/>
  <c r="AQ78" i="36"/>
  <c r="H43" i="36"/>
  <c r="X3" i="32"/>
  <c r="X15" i="32"/>
  <c r="S42" i="22"/>
  <c r="AA22" i="22"/>
  <c r="AD78" i="18"/>
  <c r="AH78" i="18"/>
  <c r="U78" i="18"/>
  <c r="O78" i="18"/>
  <c r="N43" i="18"/>
  <c r="AK78" i="18"/>
  <c r="D43" i="92"/>
  <c r="D61" i="77"/>
  <c r="D102" i="77"/>
  <c r="D11" i="77"/>
  <c r="DX7" i="177" s="1"/>
  <c r="X26" i="32"/>
  <c r="Z26" i="32" s="1"/>
  <c r="AA26" i="32" s="1"/>
  <c r="AE67" i="32"/>
  <c r="F22" i="22"/>
  <c r="AD8" i="77"/>
  <c r="AC40" i="77"/>
  <c r="AD40" i="77"/>
  <c r="D11" i="115"/>
  <c r="Z8" i="77"/>
  <c r="AC100" i="77"/>
  <c r="FC23" i="158"/>
  <c r="GZ23" i="158"/>
  <c r="A18" i="168"/>
  <c r="M18" i="168" s="1"/>
  <c r="D23" i="136"/>
  <c r="A21" i="159"/>
  <c r="B100" i="158"/>
  <c r="B24" i="158"/>
  <c r="BD23" i="158"/>
  <c r="EE99" i="158"/>
  <c r="DS99" i="158"/>
  <c r="CC99" i="158"/>
  <c r="BL99" i="158"/>
  <c r="AY99" i="158"/>
  <c r="Z99" i="158"/>
  <c r="N99" i="158"/>
  <c r="EJ99" i="158"/>
  <c r="DX99" i="158"/>
  <c r="DL99" i="158"/>
  <c r="BV99" i="158"/>
  <c r="BE99" i="158"/>
  <c r="AQ99" i="158"/>
  <c r="AE99" i="158"/>
  <c r="G99" i="158"/>
  <c r="EK99" i="158"/>
  <c r="DV99" i="158"/>
  <c r="CX99" i="158"/>
  <c r="BJ99" i="158"/>
  <c r="AT99" i="158"/>
  <c r="C99" i="158"/>
  <c r="EI99" i="158"/>
  <c r="DU99" i="158"/>
  <c r="CB99" i="158"/>
  <c r="BI99" i="158"/>
  <c r="AD99" i="158"/>
  <c r="EH99" i="158"/>
  <c r="DT99" i="158"/>
  <c r="CA99" i="158"/>
  <c r="BH99" i="158"/>
  <c r="AC99" i="158"/>
  <c r="EF99" i="158"/>
  <c r="DQ99" i="158"/>
  <c r="ED99" i="158"/>
  <c r="DP99" i="158"/>
  <c r="BX99" i="158"/>
  <c r="BD99" i="158"/>
  <c r="Y99" i="158"/>
  <c r="K99" i="158"/>
  <c r="EB99" i="158"/>
  <c r="DN99" i="158"/>
  <c r="BU99" i="158"/>
  <c r="BA99" i="158"/>
  <c r="W99" i="158"/>
  <c r="I99" i="158"/>
  <c r="EA99" i="158"/>
  <c r="DM99" i="158"/>
  <c r="BT99" i="158"/>
  <c r="AZ99" i="158"/>
  <c r="H99" i="158"/>
  <c r="DZ99" i="158"/>
  <c r="DA99" i="158"/>
  <c r="BS99" i="158"/>
  <c r="AX99" i="158"/>
  <c r="F99" i="158"/>
  <c r="EC99" i="158"/>
  <c r="BG99" i="158"/>
  <c r="X99" i="158"/>
  <c r="DY99" i="158"/>
  <c r="BF99" i="158"/>
  <c r="DW99" i="158"/>
  <c r="BB99" i="158"/>
  <c r="DR99" i="158"/>
  <c r="M99" i="158"/>
  <c r="DO99" i="158"/>
  <c r="AU99" i="158"/>
  <c r="L99" i="158"/>
  <c r="CZ99" i="158"/>
  <c r="J99" i="158"/>
  <c r="CY99" i="158"/>
  <c r="E99" i="158"/>
  <c r="BZ99" i="158"/>
  <c r="BY99" i="158"/>
  <c r="BW99" i="158"/>
  <c r="AG99" i="158"/>
  <c r="EL99" i="158"/>
  <c r="BR99" i="158"/>
  <c r="AB99" i="158"/>
  <c r="EG99" i="158"/>
  <c r="BK99" i="158"/>
  <c r="AA99" i="158"/>
  <c r="HO22" i="158"/>
  <c r="HX22" i="158"/>
  <c r="HV22" i="158"/>
  <c r="HJ22" i="158"/>
  <c r="HT22" i="158"/>
  <c r="HA22" i="158"/>
  <c r="FW22" i="158"/>
  <c r="HS22" i="158"/>
  <c r="HR22" i="158"/>
  <c r="FU22" i="158"/>
  <c r="HQ22" i="158"/>
  <c r="FP22" i="158"/>
  <c r="HH22" i="158"/>
  <c r="FE22" i="158"/>
  <c r="HG22" i="158"/>
  <c r="HF22" i="158"/>
  <c r="HC22" i="158"/>
  <c r="HE22" i="158"/>
  <c r="IE22" i="158"/>
  <c r="ID22" i="158"/>
  <c r="GF22" i="158"/>
  <c r="HU22" i="158"/>
  <c r="FM22" i="158"/>
  <c r="HP22" i="158"/>
  <c r="FL22" i="158"/>
  <c r="HI22" i="158"/>
  <c r="GE22" i="158"/>
  <c r="GB22" i="158"/>
  <c r="FK22" i="158"/>
  <c r="FV22" i="158"/>
  <c r="GH22" i="158"/>
  <c r="FZ22" i="158"/>
  <c r="GG22" i="158"/>
  <c r="FS22" i="158"/>
  <c r="GD22" i="158"/>
  <c r="FR22" i="158"/>
  <c r="FH22" i="158"/>
  <c r="FJ22" i="158"/>
  <c r="FF22" i="158"/>
  <c r="FT22" i="158"/>
  <c r="FQ22" i="158"/>
  <c r="FY22" i="158"/>
  <c r="FI22" i="158"/>
  <c r="FD22" i="158"/>
  <c r="FN22" i="158"/>
  <c r="FO22" i="158"/>
  <c r="GC22" i="158"/>
  <c r="FX22" i="158"/>
  <c r="GA22" i="158"/>
  <c r="GJ22" i="158"/>
  <c r="GU22" i="158"/>
  <c r="FA22" i="158"/>
  <c r="AX22" i="22"/>
  <c r="B80" i="18"/>
  <c r="B25" i="18"/>
  <c r="W22" i="22"/>
  <c r="B24" i="22"/>
  <c r="AP23" i="22"/>
  <c r="J23" i="22"/>
  <c r="CO23" i="22"/>
  <c r="CP23" i="22" s="1"/>
  <c r="AU23" i="22"/>
  <c r="BB23" i="22"/>
  <c r="AL23" i="22"/>
  <c r="K55" i="161"/>
  <c r="L56" i="161"/>
  <c r="AA55" i="161"/>
  <c r="DA20" i="77"/>
  <c r="DA112" i="77" s="1"/>
  <c r="J20" i="77"/>
  <c r="D16" i="177" s="1"/>
  <c r="CY16" i="177" s="1"/>
  <c r="C16" i="177"/>
  <c r="CD16" i="177" s="1"/>
  <c r="C24" i="123"/>
  <c r="E71" i="77"/>
  <c r="C18" i="119"/>
  <c r="B53" i="92"/>
  <c r="D23" i="115"/>
  <c r="Z20" i="77"/>
  <c r="Z112" i="77" s="1"/>
  <c r="C53" i="92"/>
  <c r="C71" i="77"/>
  <c r="B24" i="115"/>
  <c r="A54" i="92"/>
  <c r="A17" i="92" s="1"/>
  <c r="K56" i="111"/>
  <c r="B113" i="77"/>
  <c r="B22" i="77"/>
  <c r="DC22" i="77" s="1"/>
  <c r="DO18" i="177" s="1"/>
  <c r="B72" i="77"/>
  <c r="AV21" i="77"/>
  <c r="BA21" i="77"/>
  <c r="E19" i="119" s="1"/>
  <c r="I21" i="77"/>
  <c r="BD21" i="77"/>
  <c r="DG17" i="177" s="1"/>
  <c r="AW21" i="77"/>
  <c r="BH21" i="77"/>
  <c r="E17" i="177" s="1"/>
  <c r="DC17" i="177" s="1"/>
  <c r="N21" i="77"/>
  <c r="E25" i="123" s="1"/>
  <c r="L21" i="77"/>
  <c r="E21" i="77"/>
  <c r="W21" i="77"/>
  <c r="F21" i="77"/>
  <c r="F41" i="77" s="1"/>
  <c r="BE21" i="77"/>
  <c r="C21" i="77"/>
  <c r="CW21" i="77"/>
  <c r="K21" i="77" s="1"/>
  <c r="DS17" i="177" s="1"/>
  <c r="AC21" i="77"/>
  <c r="AD41" i="77" s="1"/>
  <c r="S21" i="77"/>
  <c r="BB21" i="77"/>
  <c r="F19" i="119" s="1"/>
  <c r="T21" i="77"/>
  <c r="U21" i="77"/>
  <c r="H21" i="77"/>
  <c r="H41" i="77" s="1"/>
  <c r="V21" i="77"/>
  <c r="BL21" i="77"/>
  <c r="G21" i="77"/>
  <c r="BG21" i="77"/>
  <c r="AA21" i="77"/>
  <c r="C24" i="115" s="1"/>
  <c r="BF21" i="77"/>
  <c r="DB112" i="77"/>
  <c r="CP112" i="77"/>
  <c r="CD112" i="77"/>
  <c r="BR112" i="77"/>
  <c r="BF112" i="77"/>
  <c r="T112" i="77"/>
  <c r="H112" i="77"/>
  <c r="CT112" i="77"/>
  <c r="CH112" i="77"/>
  <c r="BV112" i="77"/>
  <c r="BJ112" i="77"/>
  <c r="AX112" i="77"/>
  <c r="X112" i="77"/>
  <c r="L112" i="77"/>
  <c r="CS112" i="77"/>
  <c r="CG112" i="77"/>
  <c r="BU112" i="77"/>
  <c r="BI112" i="77"/>
  <c r="AW112" i="77"/>
  <c r="CV112" i="77"/>
  <c r="CE112" i="77"/>
  <c r="BO112" i="77"/>
  <c r="AZ112" i="77"/>
  <c r="CU112" i="77"/>
  <c r="CC112" i="77"/>
  <c r="BN112" i="77"/>
  <c r="AY112" i="77"/>
  <c r="C112" i="77"/>
  <c r="CR112" i="77"/>
  <c r="CB112" i="77"/>
  <c r="BM112" i="77"/>
  <c r="AV112" i="77"/>
  <c r="CQ112" i="77"/>
  <c r="CA112" i="77"/>
  <c r="BL112" i="77"/>
  <c r="AS112" i="77"/>
  <c r="AC112" i="77"/>
  <c r="CO112" i="77"/>
  <c r="BZ112" i="77"/>
  <c r="BK112" i="77"/>
  <c r="N112" i="77"/>
  <c r="CN112" i="77"/>
  <c r="BY112" i="77"/>
  <c r="BH112" i="77"/>
  <c r="AA112" i="77"/>
  <c r="DC112" i="77"/>
  <c r="CM112" i="77"/>
  <c r="BX112" i="77"/>
  <c r="BG112" i="77"/>
  <c r="K112" i="77"/>
  <c r="CL112" i="77"/>
  <c r="BW112" i="77"/>
  <c r="BE112" i="77"/>
  <c r="CZ112" i="77"/>
  <c r="CK112" i="77"/>
  <c r="BT112" i="77"/>
  <c r="BD112" i="77"/>
  <c r="W112" i="77"/>
  <c r="I112" i="77"/>
  <c r="CY112" i="77"/>
  <c r="CJ112" i="77"/>
  <c r="BS112" i="77"/>
  <c r="BC112" i="77"/>
  <c r="V112" i="77"/>
  <c r="G112" i="77"/>
  <c r="CI112" i="77"/>
  <c r="BQ112" i="77"/>
  <c r="BB112" i="77"/>
  <c r="U112" i="77"/>
  <c r="F112" i="77"/>
  <c r="BP112" i="77"/>
  <c r="BA112" i="77"/>
  <c r="S112" i="77"/>
  <c r="E112" i="77"/>
  <c r="CW112" i="77"/>
  <c r="CF112" i="77"/>
  <c r="B82" i="111"/>
  <c r="U55" i="111"/>
  <c r="J55" i="111"/>
  <c r="B69" i="115"/>
  <c r="O69" i="115" s="1"/>
  <c r="H23" i="115"/>
  <c r="B19" i="119"/>
  <c r="B55" i="119" s="1"/>
  <c r="B90" i="119" s="1"/>
  <c r="AF65" i="36"/>
  <c r="B78" i="36"/>
  <c r="AJ52" i="36"/>
  <c r="BE22" i="36"/>
  <c r="CY22" i="36" s="1"/>
  <c r="B23" i="36"/>
  <c r="AL26" i="18"/>
  <c r="AS26" i="18"/>
  <c r="L26" i="18"/>
  <c r="DE37" i="36" l="1"/>
  <c r="DA37" i="36"/>
  <c r="P37" i="36"/>
  <c r="AD37" i="36" s="1"/>
  <c r="BS35" i="150"/>
  <c r="L35" i="36"/>
  <c r="N35" i="36" s="1"/>
  <c r="R23" i="22"/>
  <c r="E23" i="22"/>
  <c r="AV23" i="22"/>
  <c r="Q23" i="22"/>
  <c r="I23" i="22"/>
  <c r="G23" i="22"/>
  <c r="Z23" i="22"/>
  <c r="P23" i="22"/>
  <c r="C23" i="22"/>
  <c r="K23" i="22"/>
  <c r="T23" i="22"/>
  <c r="CM23" i="22"/>
  <c r="H23" i="22" s="1"/>
  <c r="DY17" i="177"/>
  <c r="DE21" i="77"/>
  <c r="F17" i="177"/>
  <c r="CH17" i="177" s="1"/>
  <c r="DG21" i="77"/>
  <c r="G16" i="177"/>
  <c r="DI20" i="77"/>
  <c r="DF8" i="77"/>
  <c r="DF9" i="77" s="1"/>
  <c r="DF10" i="77" s="1"/>
  <c r="DF11" i="77" s="1"/>
  <c r="DF12" i="77" s="1"/>
  <c r="DF13" i="77" s="1"/>
  <c r="DF14" i="77" s="1"/>
  <c r="DF15" i="77" s="1"/>
  <c r="DF16" i="77" s="1"/>
  <c r="DF17" i="77" s="1"/>
  <c r="DF18" i="77" s="1"/>
  <c r="DF19" i="77" s="1"/>
  <c r="DF20" i="77" s="1"/>
  <c r="S22" i="22"/>
  <c r="V113" i="77"/>
  <c r="U113" i="77"/>
  <c r="BE113" i="77"/>
  <c r="DK17" i="177"/>
  <c r="D41" i="77"/>
  <c r="DW17" i="177"/>
  <c r="IJ17" i="158"/>
  <c r="FL17" i="158"/>
  <c r="IJ32" i="158"/>
  <c r="O28" i="177"/>
  <c r="P28" i="177" s="1"/>
  <c r="CQ28" i="177" s="1"/>
  <c r="AI38" i="36"/>
  <c r="AK38" i="36" s="1"/>
  <c r="AH37" i="36"/>
  <c r="P30" i="177"/>
  <c r="CQ30" i="177" s="1"/>
  <c r="IJ12" i="158"/>
  <c r="FL12" i="158"/>
  <c r="IJ35" i="158"/>
  <c r="O31" i="177"/>
  <c r="P31" i="177" s="1"/>
  <c r="CQ31" i="177" s="1"/>
  <c r="L10" i="22"/>
  <c r="N10" i="22" s="1"/>
  <c r="AC10" i="22" s="1"/>
  <c r="FN10" i="158"/>
  <c r="IJ30" i="158"/>
  <c r="O26" i="177"/>
  <c r="P26" i="177" s="1"/>
  <c r="CQ26" i="177" s="1"/>
  <c r="T16" i="177"/>
  <c r="CL16" i="177"/>
  <c r="CE12" i="177"/>
  <c r="CE13" i="177" s="1"/>
  <c r="CE14" i="177" s="1"/>
  <c r="CE15" i="177" s="1"/>
  <c r="CE16" i="177" s="1"/>
  <c r="U21" i="22"/>
  <c r="X21" i="77"/>
  <c r="Z78" i="18"/>
  <c r="X21" i="22"/>
  <c r="Y21" i="22" s="1"/>
  <c r="BS18" i="150"/>
  <c r="BQ22" i="150"/>
  <c r="AU14" i="150"/>
  <c r="AV14" i="150" s="1"/>
  <c r="AZ14" i="150" s="1"/>
  <c r="BR14" i="150" s="1"/>
  <c r="C11" i="111" s="1"/>
  <c r="V11" i="111"/>
  <c r="AZ14" i="36" s="1"/>
  <c r="E18" i="147" s="1"/>
  <c r="E122" i="147" s="1"/>
  <c r="AA26" i="36"/>
  <c r="BQ19" i="150"/>
  <c r="AF39" i="36"/>
  <c r="AK41" i="158"/>
  <c r="AS37" i="158"/>
  <c r="AS39" i="158" s="1"/>
  <c r="AF38" i="36"/>
  <c r="AS36" i="158"/>
  <c r="AS38" i="158"/>
  <c r="U134" i="77"/>
  <c r="C42" i="32"/>
  <c r="T134" i="77"/>
  <c r="C41" i="32"/>
  <c r="AE25" i="158"/>
  <c r="AG25" i="158" s="1"/>
  <c r="Z39" i="158"/>
  <c r="AM16" i="22"/>
  <c r="AM17" i="22" s="1"/>
  <c r="AM18" i="22" s="1"/>
  <c r="AM19" i="22" s="1"/>
  <c r="AM20" i="22" s="1"/>
  <c r="AM21" i="22" s="1"/>
  <c r="AM22" i="22" s="1"/>
  <c r="AM23" i="22" s="1"/>
  <c r="N13" i="36"/>
  <c r="M12" i="77"/>
  <c r="DI12" i="77" s="1"/>
  <c r="J12" i="22"/>
  <c r="HI12" i="158"/>
  <c r="M89" i="158"/>
  <c r="P12" i="158"/>
  <c r="Q12" i="158"/>
  <c r="O12" i="158"/>
  <c r="FN12" i="158" s="1"/>
  <c r="O8" i="177"/>
  <c r="F10" i="136"/>
  <c r="G10" i="136" s="1"/>
  <c r="H10" i="136" s="1"/>
  <c r="I10" i="136" s="1"/>
  <c r="S16" i="177"/>
  <c r="O87" i="158"/>
  <c r="GL10" i="158"/>
  <c r="GP10" i="158"/>
  <c r="J112" i="77"/>
  <c r="P87" i="158"/>
  <c r="Q20" i="77"/>
  <c r="Q112" i="77" s="1"/>
  <c r="D24" i="123"/>
  <c r="Q6" i="177"/>
  <c r="D18" i="119"/>
  <c r="O99" i="158"/>
  <c r="X17" i="161"/>
  <c r="J19" i="136" s="1"/>
  <c r="AW20" i="148"/>
  <c r="BA20" i="148" s="1"/>
  <c r="C17" i="161" s="1"/>
  <c r="AY96" i="158"/>
  <c r="W20" i="150"/>
  <c r="BF19" i="77"/>
  <c r="BF111" i="77" s="1"/>
  <c r="M112" i="77"/>
  <c r="AC96" i="158"/>
  <c r="HU19" i="158"/>
  <c r="C22" i="115"/>
  <c r="AA111" i="77"/>
  <c r="BP19" i="158"/>
  <c r="BT15" i="148"/>
  <c r="BV15" i="148" s="1"/>
  <c r="L14" i="136"/>
  <c r="K14" i="136"/>
  <c r="X14" i="161"/>
  <c r="J16" i="136" s="1"/>
  <c r="AW17" i="148"/>
  <c r="BA17" i="148" s="1"/>
  <c r="C14" i="161" s="1"/>
  <c r="AY93" i="158"/>
  <c r="W17" i="150"/>
  <c r="BF16" i="77"/>
  <c r="BF108" i="77" s="1"/>
  <c r="D67" i="77"/>
  <c r="D49" i="92"/>
  <c r="D17" i="77"/>
  <c r="DX13" i="177" s="1"/>
  <c r="D108" i="77"/>
  <c r="X16" i="77"/>
  <c r="X108" i="77" s="1"/>
  <c r="X76" i="36"/>
  <c r="V76" i="36" s="1"/>
  <c r="W43" i="36"/>
  <c r="X43" i="36"/>
  <c r="X78" i="36"/>
  <c r="V78" i="36" s="1"/>
  <c r="V42" i="22"/>
  <c r="U42" i="22"/>
  <c r="C19" i="115"/>
  <c r="AA108" i="77"/>
  <c r="BP16" i="158"/>
  <c r="AC93" i="158"/>
  <c r="HU16" i="158"/>
  <c r="AK15" i="150"/>
  <c r="AJ15" i="150"/>
  <c r="V12" i="111" s="1"/>
  <c r="Q99" i="158"/>
  <c r="Q87" i="158"/>
  <c r="AU34" i="150"/>
  <c r="AV34" i="150" s="1"/>
  <c r="AZ34" i="150" s="1"/>
  <c r="BQ34" i="150" s="1"/>
  <c r="BS34" i="150" s="1"/>
  <c r="BM34" i="150"/>
  <c r="BO34" i="150" s="1"/>
  <c r="BM30" i="150"/>
  <c r="BO30" i="150" s="1"/>
  <c r="AU30" i="150"/>
  <c r="AV30" i="150" s="1"/>
  <c r="AZ30" i="150" s="1"/>
  <c r="BQ30" i="150" s="1"/>
  <c r="BS30" i="150" s="1"/>
  <c r="AU32" i="150"/>
  <c r="AV32" i="150" s="1"/>
  <c r="AZ32" i="150" s="1"/>
  <c r="BM32" i="150"/>
  <c r="BO32" i="150" s="1"/>
  <c r="B8" i="159"/>
  <c r="I8" i="159" s="1"/>
  <c r="C6" i="171"/>
  <c r="S10" i="158"/>
  <c r="FP10" i="158" s="1"/>
  <c r="C6" i="167"/>
  <c r="D6" i="167" s="1"/>
  <c r="D44" i="119"/>
  <c r="HK10" i="158"/>
  <c r="T20" i="158"/>
  <c r="T97" i="158" s="1"/>
  <c r="P97" i="158"/>
  <c r="U20" i="158"/>
  <c r="U97" i="158" s="1"/>
  <c r="Q97" i="158"/>
  <c r="L20" i="22"/>
  <c r="N20" i="22" s="1"/>
  <c r="S20" i="158"/>
  <c r="C16" i="167"/>
  <c r="D16" i="167" s="1"/>
  <c r="D54" i="119"/>
  <c r="C16" i="171"/>
  <c r="D16" i="171" s="1"/>
  <c r="GP20" i="158"/>
  <c r="GL20" i="158"/>
  <c r="F20" i="136"/>
  <c r="G20" i="136" s="1"/>
  <c r="H20" i="136" s="1"/>
  <c r="B18" i="159"/>
  <c r="I18" i="159" s="1"/>
  <c r="HK20" i="158"/>
  <c r="O97" i="158"/>
  <c r="U16" i="177"/>
  <c r="BS25" i="150"/>
  <c r="P99" i="158"/>
  <c r="P33" i="36"/>
  <c r="AD33" i="36" s="1"/>
  <c r="DE33" i="36"/>
  <c r="DA33" i="36"/>
  <c r="Q32" i="158"/>
  <c r="U32" i="158" s="1"/>
  <c r="O32" i="158"/>
  <c r="P32" i="158"/>
  <c r="T32" i="158" s="1"/>
  <c r="BP39" i="158"/>
  <c r="C22" i="171"/>
  <c r="F26" i="136"/>
  <c r="G26" i="136" s="1"/>
  <c r="H26" i="136" s="1"/>
  <c r="I26" i="136" s="1"/>
  <c r="D60" i="119"/>
  <c r="B24" i="159"/>
  <c r="I24" i="159" s="1"/>
  <c r="GL26" i="158"/>
  <c r="S26" i="158"/>
  <c r="L22" i="171" s="1"/>
  <c r="C22" i="167"/>
  <c r="D22" i="167" s="1"/>
  <c r="GP26" i="158"/>
  <c r="AE9" i="77"/>
  <c r="AE10" i="77" s="1"/>
  <c r="AE100" i="77"/>
  <c r="D12" i="36"/>
  <c r="N88" i="161"/>
  <c r="M47" i="161"/>
  <c r="D11" i="158"/>
  <c r="FE11" i="158" s="1"/>
  <c r="P31" i="36"/>
  <c r="AD31" i="36" s="1"/>
  <c r="DA31" i="36"/>
  <c r="DE31" i="36"/>
  <c r="I14" i="126"/>
  <c r="J14" i="126" s="1"/>
  <c r="AA22" i="126"/>
  <c r="U21" i="158"/>
  <c r="U98" i="158" s="1"/>
  <c r="Q98" i="158"/>
  <c r="L15" i="126"/>
  <c r="M15" i="126" s="1"/>
  <c r="I15" i="126"/>
  <c r="J15" i="126" s="1"/>
  <c r="E39" i="32"/>
  <c r="F39" i="32" s="1"/>
  <c r="R39" i="32"/>
  <c r="J39" i="32"/>
  <c r="L39" i="32" s="1"/>
  <c r="M39" i="32" s="1"/>
  <c r="E23" i="100"/>
  <c r="E27" i="117"/>
  <c r="F27" i="117" s="1"/>
  <c r="G27" i="117" s="1"/>
  <c r="K13" i="136"/>
  <c r="L13" i="136"/>
  <c r="D6" i="92"/>
  <c r="D87" i="158"/>
  <c r="HB10" i="158"/>
  <c r="M11" i="158"/>
  <c r="AF38" i="32"/>
  <c r="D20" i="163"/>
  <c r="G20" i="155"/>
  <c r="E19" i="156"/>
  <c r="E60" i="126"/>
  <c r="F60" i="126" s="1"/>
  <c r="G60" i="126" s="1"/>
  <c r="E22" i="126"/>
  <c r="W41" i="148"/>
  <c r="AL9" i="148"/>
  <c r="Q30" i="158"/>
  <c r="U30" i="158" s="1"/>
  <c r="O30" i="158"/>
  <c r="P30" i="158"/>
  <c r="T30" i="158" s="1"/>
  <c r="C60" i="163"/>
  <c r="H60" i="163" s="1"/>
  <c r="I12" i="163"/>
  <c r="J12" i="163" s="1"/>
  <c r="AE22" i="163"/>
  <c r="C45" i="163"/>
  <c r="H45" i="163" s="1"/>
  <c r="F12" i="163"/>
  <c r="G12" i="163" s="1"/>
  <c r="AW22" i="163"/>
  <c r="AG106" i="163"/>
  <c r="T21" i="158"/>
  <c r="T98" i="158" s="1"/>
  <c r="P98" i="158"/>
  <c r="GL34" i="158"/>
  <c r="C30" i="167"/>
  <c r="D30" i="167" s="1"/>
  <c r="S34" i="158"/>
  <c r="L30" i="171" s="1"/>
  <c r="F34" i="136"/>
  <c r="G34" i="136" s="1"/>
  <c r="H34" i="136" s="1"/>
  <c r="I34" i="136" s="1"/>
  <c r="GP34" i="158"/>
  <c r="B32" i="159"/>
  <c r="I32" i="159" s="1"/>
  <c r="D68" i="119"/>
  <c r="C30" i="171"/>
  <c r="D30" i="171" s="1"/>
  <c r="BT14" i="148"/>
  <c r="BV14" i="148" s="1"/>
  <c r="AQ39" i="158"/>
  <c r="AQ85" i="158"/>
  <c r="D30" i="163"/>
  <c r="I30" i="163" s="1"/>
  <c r="J30" i="163" s="1"/>
  <c r="E12" i="126"/>
  <c r="G33" i="155"/>
  <c r="K33" i="155" s="1"/>
  <c r="L33" i="155" s="1"/>
  <c r="T18" i="158"/>
  <c r="T95" i="158" s="1"/>
  <c r="P95" i="158"/>
  <c r="N18" i="36"/>
  <c r="M17" i="77"/>
  <c r="DI17" i="77" s="1"/>
  <c r="GL22" i="158"/>
  <c r="D56" i="119"/>
  <c r="C18" i="171"/>
  <c r="D18" i="171" s="1"/>
  <c r="G18" i="171" s="1"/>
  <c r="C18" i="167"/>
  <c r="F22" i="136"/>
  <c r="G22" i="136" s="1"/>
  <c r="H22" i="136" s="1"/>
  <c r="I22" i="136" s="1"/>
  <c r="B20" i="159"/>
  <c r="I20" i="159" s="1"/>
  <c r="GP22" i="158"/>
  <c r="S22" i="158"/>
  <c r="L18" i="171" s="1"/>
  <c r="L22" i="22"/>
  <c r="N22" i="22" s="1"/>
  <c r="AE22" i="22" s="1"/>
  <c r="M33" i="158"/>
  <c r="L34" i="36"/>
  <c r="N34" i="36" s="1"/>
  <c r="HK18" i="158"/>
  <c r="F18" i="136"/>
  <c r="G18" i="136" s="1"/>
  <c r="H18" i="136" s="1"/>
  <c r="I18" i="136" s="1"/>
  <c r="C14" i="167"/>
  <c r="D14" i="167" s="1"/>
  <c r="F14" i="167" s="1"/>
  <c r="L18" i="22"/>
  <c r="N18" i="22" s="1"/>
  <c r="GP18" i="158"/>
  <c r="C14" i="171"/>
  <c r="D14" i="171" s="1"/>
  <c r="D52" i="119"/>
  <c r="B16" i="159"/>
  <c r="I16" i="159" s="1"/>
  <c r="O95" i="158"/>
  <c r="S18" i="158"/>
  <c r="GL18" i="158"/>
  <c r="X9" i="36"/>
  <c r="X10" i="36" s="1"/>
  <c r="X11" i="36" s="1"/>
  <c r="X12" i="36" s="1"/>
  <c r="X13" i="36" s="1"/>
  <c r="X14" i="36" s="1"/>
  <c r="X15" i="36" s="1"/>
  <c r="X16" i="36" s="1"/>
  <c r="X17" i="36" s="1"/>
  <c r="X18" i="36" s="1"/>
  <c r="X19" i="36" s="1"/>
  <c r="X20" i="36" s="1"/>
  <c r="X21" i="36" s="1"/>
  <c r="X22" i="36" s="1"/>
  <c r="X23" i="36" s="1"/>
  <c r="X24" i="36" s="1"/>
  <c r="X25" i="36" s="1"/>
  <c r="X26" i="36" s="1"/>
  <c r="X42" i="36"/>
  <c r="X71" i="36"/>
  <c r="V71" i="36" s="1"/>
  <c r="X69" i="36"/>
  <c r="V69" i="36" s="1"/>
  <c r="W42" i="36"/>
  <c r="X8" i="77"/>
  <c r="N35" i="155"/>
  <c r="O35" i="155" s="1"/>
  <c r="K35" i="155"/>
  <c r="L35" i="155" s="1"/>
  <c r="HI17" i="158"/>
  <c r="M94" i="158"/>
  <c r="J17" i="22"/>
  <c r="O13" i="177"/>
  <c r="Q17" i="158"/>
  <c r="P17" i="158"/>
  <c r="O17" i="158"/>
  <c r="FN17" i="158" s="1"/>
  <c r="HU8" i="158"/>
  <c r="AC85" i="158"/>
  <c r="V40" i="77"/>
  <c r="E53" i="126"/>
  <c r="F53" i="126" s="1"/>
  <c r="G53" i="126" s="1"/>
  <c r="E10" i="126"/>
  <c r="D10" i="163"/>
  <c r="E12" i="156"/>
  <c r="G10" i="155"/>
  <c r="G11" i="155" s="1"/>
  <c r="U18" i="158"/>
  <c r="U95" i="158" s="1"/>
  <c r="Q95" i="158"/>
  <c r="P28" i="36"/>
  <c r="AD28" i="36" s="1"/>
  <c r="DA28" i="36"/>
  <c r="DE28" i="36"/>
  <c r="P26" i="36"/>
  <c r="AD26" i="36" s="1"/>
  <c r="DA26" i="36"/>
  <c r="DE26" i="36"/>
  <c r="I32" i="163"/>
  <c r="J32" i="163" s="1"/>
  <c r="F32" i="163"/>
  <c r="G32" i="163" s="1"/>
  <c r="AF10" i="158"/>
  <c r="FZ10" i="158" s="1"/>
  <c r="HW9" i="158"/>
  <c r="AF86" i="158"/>
  <c r="V8" i="22"/>
  <c r="V9" i="22" s="1"/>
  <c r="V10" i="22" s="1"/>
  <c r="V11" i="22" s="1"/>
  <c r="V12" i="22" s="1"/>
  <c r="V13" i="22" s="1"/>
  <c r="V14" i="22" s="1"/>
  <c r="V15" i="22" s="1"/>
  <c r="V16" i="22" s="1"/>
  <c r="V17" i="22" s="1"/>
  <c r="V18" i="22" s="1"/>
  <c r="V19" i="22" s="1"/>
  <c r="V20" i="22" s="1"/>
  <c r="V21" i="22" s="1"/>
  <c r="V41" i="22"/>
  <c r="U41" i="22"/>
  <c r="P25" i="36"/>
  <c r="AD25" i="36" s="1"/>
  <c r="DE25" i="36"/>
  <c r="DA25" i="36"/>
  <c r="AK55" i="36"/>
  <c r="M15" i="158"/>
  <c r="GL28" i="158"/>
  <c r="GP28" i="158"/>
  <c r="D62" i="119"/>
  <c r="S28" i="158"/>
  <c r="L24" i="171" s="1"/>
  <c r="B26" i="159"/>
  <c r="I26" i="159" s="1"/>
  <c r="C24" i="171"/>
  <c r="D24" i="171" s="1"/>
  <c r="C24" i="167"/>
  <c r="D24" i="167" s="1"/>
  <c r="F28" i="136"/>
  <c r="G28" i="136" s="1"/>
  <c r="H28" i="136" s="1"/>
  <c r="I28" i="136" s="1"/>
  <c r="AH86" i="158"/>
  <c r="AH10" i="158"/>
  <c r="O23" i="177"/>
  <c r="P23" i="177" s="1"/>
  <c r="CQ23" i="177" s="1"/>
  <c r="Q27" i="158"/>
  <c r="U27" i="158" s="1"/>
  <c r="O27" i="158"/>
  <c r="P27" i="158"/>
  <c r="T27" i="158" s="1"/>
  <c r="AA100" i="77"/>
  <c r="AB8" i="77"/>
  <c r="C11" i="115"/>
  <c r="I13" i="163"/>
  <c r="J13" i="163" s="1"/>
  <c r="F13" i="163"/>
  <c r="G13" i="163" s="1"/>
  <c r="O21" i="177"/>
  <c r="P21" i="177" s="1"/>
  <c r="CQ21" i="177" s="1"/>
  <c r="P25" i="158"/>
  <c r="T25" i="158" s="1"/>
  <c r="Q25" i="158"/>
  <c r="U25" i="158" s="1"/>
  <c r="O25" i="158"/>
  <c r="M31" i="158"/>
  <c r="BF8" i="77"/>
  <c r="BF100" i="77" s="1"/>
  <c r="W9" i="150"/>
  <c r="AU12" i="150"/>
  <c r="AV12" i="150" s="1"/>
  <c r="AZ12" i="150" s="1"/>
  <c r="BM12" i="150"/>
  <c r="BO12" i="150" s="1"/>
  <c r="Q24" i="158"/>
  <c r="U24" i="158" s="1"/>
  <c r="O24" i="158"/>
  <c r="P24" i="158"/>
  <c r="T24" i="158" s="1"/>
  <c r="O20" i="177"/>
  <c r="P20" i="177" s="1"/>
  <c r="CQ20" i="177" s="1"/>
  <c r="P36" i="36"/>
  <c r="AD36" i="36" s="1"/>
  <c r="DE36" i="36"/>
  <c r="DA36" i="36"/>
  <c r="E17" i="126"/>
  <c r="E57" i="126"/>
  <c r="F57" i="126" s="1"/>
  <c r="G57" i="126" s="1"/>
  <c r="E16" i="156"/>
  <c r="F16" i="156" s="1"/>
  <c r="G16" i="156" s="1"/>
  <c r="P14" i="177"/>
  <c r="CQ14" i="177" s="1"/>
  <c r="Q14" i="177"/>
  <c r="L16" i="126"/>
  <c r="M16" i="126" s="1"/>
  <c r="I16" i="126"/>
  <c r="J16" i="126" s="1"/>
  <c r="P35" i="158"/>
  <c r="T35" i="158" s="1"/>
  <c r="Q35" i="158"/>
  <c r="U35" i="158" s="1"/>
  <c r="O35" i="158"/>
  <c r="M29" i="158"/>
  <c r="IJ29" i="158" s="1"/>
  <c r="L30" i="36"/>
  <c r="N30" i="36" s="1"/>
  <c r="S23" i="158"/>
  <c r="GP23" i="158"/>
  <c r="C19" i="171"/>
  <c r="D19" i="171" s="1"/>
  <c r="D57" i="119"/>
  <c r="C19" i="167"/>
  <c r="D19" i="167" s="1"/>
  <c r="F19" i="167" s="1"/>
  <c r="F23" i="136"/>
  <c r="G23" i="136" s="1"/>
  <c r="H23" i="136" s="1"/>
  <c r="I23" i="136" s="1"/>
  <c r="GL23" i="158"/>
  <c r="B21" i="159"/>
  <c r="I21" i="159" s="1"/>
  <c r="M9" i="158"/>
  <c r="I28" i="163"/>
  <c r="J28" i="163" s="1"/>
  <c r="F28" i="163"/>
  <c r="G28" i="163" s="1"/>
  <c r="E151" i="100"/>
  <c r="F18" i="100"/>
  <c r="G18" i="100" s="1"/>
  <c r="J8" i="100"/>
  <c r="L8" i="100" s="1"/>
  <c r="F12" i="100"/>
  <c r="G12" i="100" s="1"/>
  <c r="E145" i="100"/>
  <c r="F145" i="100" s="1"/>
  <c r="G145" i="100" s="1"/>
  <c r="BM10" i="150"/>
  <c r="BO10" i="150" s="1"/>
  <c r="AU10" i="150"/>
  <c r="AV10" i="150" s="1"/>
  <c r="AZ10" i="150" s="1"/>
  <c r="E14" i="100"/>
  <c r="E18" i="117"/>
  <c r="F18" i="117" s="1"/>
  <c r="G18" i="117" s="1"/>
  <c r="R29" i="32"/>
  <c r="J29" i="32"/>
  <c r="C17" i="167"/>
  <c r="C17" i="171"/>
  <c r="D17" i="171" s="1"/>
  <c r="S21" i="158"/>
  <c r="D55" i="119"/>
  <c r="GL21" i="158"/>
  <c r="F21" i="136"/>
  <c r="G21" i="136" s="1"/>
  <c r="H21" i="136" s="1"/>
  <c r="GP21" i="158"/>
  <c r="B19" i="159"/>
  <c r="I19" i="159" s="1"/>
  <c r="L21" i="22"/>
  <c r="N21" i="22" s="1"/>
  <c r="HK21" i="158"/>
  <c r="O98" i="158"/>
  <c r="BM16" i="150"/>
  <c r="BO16" i="150" s="1"/>
  <c r="AU16" i="150"/>
  <c r="AV16" i="150" s="1"/>
  <c r="AZ16" i="150" s="1"/>
  <c r="BP8" i="158"/>
  <c r="S41" i="77"/>
  <c r="V41" i="77" s="1"/>
  <c r="BS11" i="150"/>
  <c r="L11" i="36"/>
  <c r="AK54" i="36"/>
  <c r="DE24" i="36"/>
  <c r="P24" i="36"/>
  <c r="AD24" i="36" s="1"/>
  <c r="DA24" i="36"/>
  <c r="C41" i="77"/>
  <c r="D23" i="22"/>
  <c r="D12" i="77"/>
  <c r="DX8" i="177" s="1"/>
  <c r="D103" i="77"/>
  <c r="D44" i="92"/>
  <c r="D62" i="77"/>
  <c r="E22" i="77"/>
  <c r="BH22" i="77"/>
  <c r="E18" i="177" s="1"/>
  <c r="DC18" i="177" s="1"/>
  <c r="AA22" i="77"/>
  <c r="G22" i="77"/>
  <c r="X22" i="77"/>
  <c r="BF22" i="77"/>
  <c r="M22" i="77"/>
  <c r="O22" i="77"/>
  <c r="AA23" i="22"/>
  <c r="AC41" i="77"/>
  <c r="AA113" i="77"/>
  <c r="BF113" i="77"/>
  <c r="X113" i="77"/>
  <c r="F23" i="22"/>
  <c r="X43" i="18"/>
  <c r="W43" i="18"/>
  <c r="X78" i="18"/>
  <c r="V78" i="18" s="1"/>
  <c r="G19" i="119"/>
  <c r="T113" i="77"/>
  <c r="S113" i="77"/>
  <c r="AW113" i="77"/>
  <c r="L41" i="77"/>
  <c r="Z100" i="77"/>
  <c r="AH67" i="32"/>
  <c r="AG67" i="32"/>
  <c r="Q78" i="18"/>
  <c r="P43" i="18"/>
  <c r="Q43" i="18"/>
  <c r="L43" i="18" s="1"/>
  <c r="M43" i="18" s="1"/>
  <c r="AE81" i="32"/>
  <c r="X16" i="32"/>
  <c r="BD113" i="77"/>
  <c r="E41" i="77"/>
  <c r="Q172" i="32"/>
  <c r="S172" i="32" s="1"/>
  <c r="T172" i="32" s="1"/>
  <c r="S171" i="32"/>
  <c r="T171" i="32" s="1"/>
  <c r="AL81" i="32"/>
  <c r="AB23" i="22"/>
  <c r="AD9" i="77"/>
  <c r="AD100" i="77"/>
  <c r="B20" i="119"/>
  <c r="B56" i="119" s="1"/>
  <c r="B91" i="119" s="1"/>
  <c r="B79" i="36"/>
  <c r="AJ53" i="36"/>
  <c r="B24" i="36"/>
  <c r="BE23" i="36"/>
  <c r="CY23" i="36" s="1"/>
  <c r="AF66" i="36"/>
  <c r="DA21" i="77"/>
  <c r="DA113" i="77" s="1"/>
  <c r="J21" i="77"/>
  <c r="D17" i="177" s="1"/>
  <c r="CY17" i="177" s="1"/>
  <c r="D24" i="115"/>
  <c r="Z21" i="77"/>
  <c r="Z113" i="77" s="1"/>
  <c r="C54" i="92"/>
  <c r="C72" i="77"/>
  <c r="C17" i="177"/>
  <c r="CD17" i="177" s="1"/>
  <c r="C25" i="123"/>
  <c r="C19" i="119"/>
  <c r="B54" i="92"/>
  <c r="E72" i="77"/>
  <c r="B25" i="115"/>
  <c r="A55" i="92"/>
  <c r="A18" i="92" s="1"/>
  <c r="K57" i="111"/>
  <c r="B114" i="77"/>
  <c r="B23" i="77"/>
  <c r="DC23" i="77" s="1"/>
  <c r="DO19" i="177" s="1"/>
  <c r="AV22" i="77"/>
  <c r="B73" i="77"/>
  <c r="T22" i="77"/>
  <c r="BA22" i="77"/>
  <c r="E20" i="119" s="1"/>
  <c r="S22" i="77"/>
  <c r="CW22" i="77"/>
  <c r="K22" i="77" s="1"/>
  <c r="DS18" i="177" s="1"/>
  <c r="N22" i="77"/>
  <c r="E26" i="123" s="1"/>
  <c r="BL22" i="77"/>
  <c r="L22" i="77"/>
  <c r="AC22" i="77"/>
  <c r="BE22" i="77"/>
  <c r="BD22" i="77"/>
  <c r="W22" i="77"/>
  <c r="H22" i="77"/>
  <c r="BB22" i="77"/>
  <c r="F20" i="119" s="1"/>
  <c r="U22" i="77"/>
  <c r="I22" i="77"/>
  <c r="C22" i="77"/>
  <c r="DW18" i="177" s="1"/>
  <c r="AW22" i="77"/>
  <c r="V22" i="77"/>
  <c r="F22" i="77"/>
  <c r="BG22" i="77"/>
  <c r="DC113" i="77"/>
  <c r="CP113" i="77"/>
  <c r="CD113" i="77"/>
  <c r="BR113" i="77"/>
  <c r="AX113" i="77"/>
  <c r="CT113" i="77"/>
  <c r="CH113" i="77"/>
  <c r="BV113" i="77"/>
  <c r="BJ113" i="77"/>
  <c r="I113" i="77"/>
  <c r="CS113" i="77"/>
  <c r="CG113" i="77"/>
  <c r="BU113" i="77"/>
  <c r="BI113" i="77"/>
  <c r="H113" i="77"/>
  <c r="CZ113" i="77"/>
  <c r="CJ113" i="77"/>
  <c r="BS113" i="77"/>
  <c r="AC113" i="77"/>
  <c r="CY113" i="77"/>
  <c r="CI113" i="77"/>
  <c r="BQ113" i="77"/>
  <c r="CW113" i="77"/>
  <c r="CF113" i="77"/>
  <c r="BP113" i="77"/>
  <c r="W113" i="77"/>
  <c r="CV113" i="77"/>
  <c r="CE113" i="77"/>
  <c r="BO113" i="77"/>
  <c r="K113" i="77"/>
  <c r="CU113" i="77"/>
  <c r="CC113" i="77"/>
  <c r="BN113" i="77"/>
  <c r="CR113" i="77"/>
  <c r="CB113" i="77"/>
  <c r="BM113" i="77"/>
  <c r="CQ113" i="77"/>
  <c r="CA113" i="77"/>
  <c r="BL113" i="77"/>
  <c r="CO113" i="77"/>
  <c r="BZ113" i="77"/>
  <c r="BK113" i="77"/>
  <c r="CN113" i="77"/>
  <c r="BY113" i="77"/>
  <c r="AZ113" i="77"/>
  <c r="CM113" i="77"/>
  <c r="BX113" i="77"/>
  <c r="AY113" i="77"/>
  <c r="DB113" i="77"/>
  <c r="CL113" i="77"/>
  <c r="BW113" i="77"/>
  <c r="AV113" i="77"/>
  <c r="CK113" i="77"/>
  <c r="BT113" i="77"/>
  <c r="BA113" i="77"/>
  <c r="BC113" i="77"/>
  <c r="E113" i="77"/>
  <c r="BB113" i="77"/>
  <c r="C113" i="77"/>
  <c r="F113" i="77"/>
  <c r="N113" i="77"/>
  <c r="BH113" i="77"/>
  <c r="L113" i="77"/>
  <c r="AS113" i="77"/>
  <c r="G113" i="77"/>
  <c r="BG113" i="77"/>
  <c r="U56" i="111"/>
  <c r="B83" i="111"/>
  <c r="J56" i="111"/>
  <c r="B70" i="115"/>
  <c r="O70" i="115" s="1"/>
  <c r="H24" i="115"/>
  <c r="Q16" i="177"/>
  <c r="K56" i="161"/>
  <c r="L57" i="161"/>
  <c r="AA56" i="161"/>
  <c r="B25" i="22"/>
  <c r="AP24" i="22"/>
  <c r="AU24" i="22"/>
  <c r="BB24" i="22"/>
  <c r="CO24" i="22"/>
  <c r="CP24" i="22" s="1"/>
  <c r="J24" i="22"/>
  <c r="AL24" i="22"/>
  <c r="AX23" i="22"/>
  <c r="L23" i="22"/>
  <c r="N23" i="22" s="1"/>
  <c r="AE23" i="22" s="1"/>
  <c r="B81" i="18"/>
  <c r="B26" i="18"/>
  <c r="T25" i="18"/>
  <c r="R24" i="22" s="1"/>
  <c r="S25" i="18"/>
  <c r="Q24" i="22" s="1"/>
  <c r="R25" i="18"/>
  <c r="P24" i="22" s="1"/>
  <c r="G24" i="22"/>
  <c r="AV24" i="22"/>
  <c r="AD25" i="18"/>
  <c r="CM24" i="22" s="1"/>
  <c r="H24" i="22" s="1"/>
  <c r="F25" i="18"/>
  <c r="V25" i="18"/>
  <c r="T24" i="22" s="1"/>
  <c r="E25" i="18"/>
  <c r="E24" i="22" s="1"/>
  <c r="AA25" i="18"/>
  <c r="AC25" i="18"/>
  <c r="K24" i="22"/>
  <c r="I24" i="22"/>
  <c r="C25" i="18"/>
  <c r="C24" i="22" s="1"/>
  <c r="FC24" i="158"/>
  <c r="GZ24" i="158"/>
  <c r="A19" i="168"/>
  <c r="M19" i="168" s="1"/>
  <c r="D24" i="136"/>
  <c r="A22" i="159"/>
  <c r="B101" i="158"/>
  <c r="B25" i="158"/>
  <c r="BD24" i="158"/>
  <c r="EI100" i="158"/>
  <c r="DW100" i="158"/>
  <c r="DA100" i="158"/>
  <c r="BU100" i="158"/>
  <c r="BD100" i="158"/>
  <c r="AD100" i="158"/>
  <c r="F100" i="158"/>
  <c r="EB100" i="158"/>
  <c r="DP100" i="158"/>
  <c r="BZ100" i="158"/>
  <c r="BI100" i="158"/>
  <c r="AU100" i="158"/>
  <c r="W100" i="158"/>
  <c r="K100" i="158"/>
  <c r="EG100" i="158"/>
  <c r="DS100" i="158"/>
  <c r="CA100" i="158"/>
  <c r="BG100" i="158"/>
  <c r="AQ100" i="158"/>
  <c r="AB100" i="158"/>
  <c r="N100" i="158"/>
  <c r="EF100" i="158"/>
  <c r="DR100" i="158"/>
  <c r="BY100" i="158"/>
  <c r="BF100" i="158"/>
  <c r="AA100" i="158"/>
  <c r="M100" i="158"/>
  <c r="EE100" i="158"/>
  <c r="DQ100" i="158"/>
  <c r="BX100" i="158"/>
  <c r="BE100" i="158"/>
  <c r="Z100" i="158"/>
  <c r="L100" i="158"/>
  <c r="ED100" i="158"/>
  <c r="DO100" i="158"/>
  <c r="BW100" i="158"/>
  <c r="BB100" i="158"/>
  <c r="Y100" i="158"/>
  <c r="J100" i="158"/>
  <c r="EC100" i="158"/>
  <c r="DN100" i="158"/>
  <c r="BV100" i="158"/>
  <c r="BA100" i="158"/>
  <c r="X100" i="158"/>
  <c r="I100" i="158"/>
  <c r="EA100" i="158"/>
  <c r="DM100" i="158"/>
  <c r="BT100" i="158"/>
  <c r="AZ100" i="158"/>
  <c r="H100" i="158"/>
  <c r="DZ100" i="158"/>
  <c r="DL100" i="158"/>
  <c r="BS100" i="158"/>
  <c r="AY100" i="158"/>
  <c r="U100" i="158"/>
  <c r="DY100" i="158"/>
  <c r="CZ100" i="158"/>
  <c r="BR100" i="158"/>
  <c r="AX100" i="158"/>
  <c r="T100" i="158"/>
  <c r="E100" i="158"/>
  <c r="EL100" i="158"/>
  <c r="DX100" i="158"/>
  <c r="CY100" i="158"/>
  <c r="BL100" i="158"/>
  <c r="AG100" i="158"/>
  <c r="EK100" i="158"/>
  <c r="DV100" i="158"/>
  <c r="CX100" i="158"/>
  <c r="BK100" i="158"/>
  <c r="AT100" i="158"/>
  <c r="Q100" i="158"/>
  <c r="C100" i="158"/>
  <c r="EJ100" i="158"/>
  <c r="DU100" i="158"/>
  <c r="CC100" i="158"/>
  <c r="BJ100" i="158"/>
  <c r="AE100" i="158"/>
  <c r="P100" i="158"/>
  <c r="EH100" i="158"/>
  <c r="DT100" i="158"/>
  <c r="CB100" i="158"/>
  <c r="BH100" i="158"/>
  <c r="AC100" i="158"/>
  <c r="O100" i="158"/>
  <c r="G100" i="158"/>
  <c r="HU23" i="158"/>
  <c r="HI23" i="158"/>
  <c r="IE23" i="158"/>
  <c r="HS23" i="158"/>
  <c r="HG23" i="158"/>
  <c r="ID23" i="158"/>
  <c r="HR23" i="158"/>
  <c r="HF23" i="158"/>
  <c r="HQ23" i="158"/>
  <c r="HE23" i="158"/>
  <c r="HP23" i="158"/>
  <c r="HC23" i="158"/>
  <c r="HX23" i="158"/>
  <c r="HA23" i="158"/>
  <c r="HK23" i="158"/>
  <c r="HJ23" i="158"/>
  <c r="HH23" i="158"/>
  <c r="HO23" i="158"/>
  <c r="GC23" i="158"/>
  <c r="FQ23" i="158"/>
  <c r="FF23" i="158"/>
  <c r="HT23" i="158"/>
  <c r="HV23" i="158"/>
  <c r="FZ23" i="158"/>
  <c r="FO23" i="158"/>
  <c r="FP23" i="158"/>
  <c r="FR23" i="158"/>
  <c r="FY23" i="158"/>
  <c r="GB23" i="158"/>
  <c r="FI23" i="158"/>
  <c r="FJ23" i="158"/>
  <c r="FX23" i="158"/>
  <c r="FV23" i="158"/>
  <c r="FL23" i="158"/>
  <c r="FH23" i="158"/>
  <c r="FU23" i="158"/>
  <c r="FN23" i="158"/>
  <c r="GF23" i="158"/>
  <c r="GA23" i="158"/>
  <c r="FT23" i="158"/>
  <c r="GE23" i="158"/>
  <c r="FM23" i="158"/>
  <c r="GH23" i="158"/>
  <c r="FE23" i="158"/>
  <c r="FS23" i="158"/>
  <c r="GD23" i="158"/>
  <c r="FW23" i="158"/>
  <c r="FK23" i="158"/>
  <c r="GG23" i="158"/>
  <c r="FD23" i="158"/>
  <c r="GJ23" i="158"/>
  <c r="GU23" i="158"/>
  <c r="FA23" i="158"/>
  <c r="AT26" i="18"/>
  <c r="L27" i="18"/>
  <c r="AS27" i="18"/>
  <c r="AL27" i="18"/>
  <c r="DA35" i="36" l="1"/>
  <c r="P35" i="36"/>
  <c r="AD35" i="36" s="1"/>
  <c r="DE35" i="36"/>
  <c r="BQ32" i="150"/>
  <c r="BR32" i="150"/>
  <c r="R16" i="177"/>
  <c r="H16" i="177"/>
  <c r="W23" i="22"/>
  <c r="Z24" i="22"/>
  <c r="AB25" i="18"/>
  <c r="DF21" i="77"/>
  <c r="AE10" i="22"/>
  <c r="DH16" i="77"/>
  <c r="CI12" i="177" s="1"/>
  <c r="DH15" i="77"/>
  <c r="CI11" i="177" s="1"/>
  <c r="DH20" i="77"/>
  <c r="CI16" i="177" s="1"/>
  <c r="DH18" i="77"/>
  <c r="CI14" i="177" s="1"/>
  <c r="DH8" i="77"/>
  <c r="CI4" i="177" s="1"/>
  <c r="DH21" i="77"/>
  <c r="CI17" i="177" s="1"/>
  <c r="DH12" i="77"/>
  <c r="CI8" i="177" s="1"/>
  <c r="DH10" i="77"/>
  <c r="CI6" i="177" s="1"/>
  <c r="DH17" i="77"/>
  <c r="CI13" i="177" s="1"/>
  <c r="DH19" i="77"/>
  <c r="CI15" i="177" s="1"/>
  <c r="DH13" i="77"/>
  <c r="CI9" i="177" s="1"/>
  <c r="S23" i="22"/>
  <c r="DH14" i="77"/>
  <c r="CI10" i="177" s="1"/>
  <c r="DH9" i="77"/>
  <c r="CI5" i="177" s="1"/>
  <c r="DH11" i="77"/>
  <c r="CI7" i="177" s="1"/>
  <c r="G18" i="177"/>
  <c r="DI22" i="77"/>
  <c r="X22" i="22"/>
  <c r="Y22" i="22" s="1"/>
  <c r="U22" i="22"/>
  <c r="V22" i="22" s="1"/>
  <c r="F18" i="177"/>
  <c r="DG22" i="77"/>
  <c r="DY18" i="177"/>
  <c r="DE22" i="77"/>
  <c r="S114" i="77"/>
  <c r="L17" i="171"/>
  <c r="FP21" i="158"/>
  <c r="FL9" i="158"/>
  <c r="IJ9" i="158"/>
  <c r="AH39" i="36"/>
  <c r="BG114" i="77"/>
  <c r="V114" i="77"/>
  <c r="BD114" i="77"/>
  <c r="DG18" i="177"/>
  <c r="IJ31" i="158"/>
  <c r="O27" i="177"/>
  <c r="P27" i="177" s="1"/>
  <c r="CQ27" i="177" s="1"/>
  <c r="IJ15" i="158"/>
  <c r="FL15" i="158"/>
  <c r="IJ33" i="158"/>
  <c r="O29" i="177"/>
  <c r="P29" i="177" s="1"/>
  <c r="CQ29" i="177" s="1"/>
  <c r="IJ11" i="158"/>
  <c r="FL11" i="158"/>
  <c r="BE114" i="77"/>
  <c r="DK18" i="177"/>
  <c r="I114" i="77"/>
  <c r="L14" i="171"/>
  <c r="FP18" i="158"/>
  <c r="L16" i="171"/>
  <c r="FP20" i="158"/>
  <c r="AI39" i="36"/>
  <c r="AK39" i="36" s="1"/>
  <c r="AH38" i="36"/>
  <c r="U18" i="177"/>
  <c r="CL18" i="177"/>
  <c r="CE17" i="177"/>
  <c r="AZ15" i="36"/>
  <c r="C19" i="111"/>
  <c r="L22" i="36" s="1"/>
  <c r="BS22" i="150"/>
  <c r="BS19" i="150"/>
  <c r="L19" i="36"/>
  <c r="U25" i="18"/>
  <c r="S24" i="22" s="1"/>
  <c r="S100" i="158"/>
  <c r="L19" i="171"/>
  <c r="HM10" i="158"/>
  <c r="L6" i="171"/>
  <c r="AC26" i="36"/>
  <c r="AD25" i="158"/>
  <c r="AD39" i="158" s="1"/>
  <c r="Z134" i="77" s="1"/>
  <c r="AG39" i="158"/>
  <c r="AS21" i="158"/>
  <c r="AS98" i="158" s="1"/>
  <c r="K17" i="171"/>
  <c r="F18" i="171"/>
  <c r="H18" i="171"/>
  <c r="D22" i="171"/>
  <c r="D6" i="171"/>
  <c r="G6" i="171" s="1"/>
  <c r="F19" i="171"/>
  <c r="G19" i="171"/>
  <c r="H19" i="171" s="1"/>
  <c r="AK98" i="158"/>
  <c r="C40" i="32"/>
  <c r="V134" i="77"/>
  <c r="AB25" i="158"/>
  <c r="U25" i="22" s="1"/>
  <c r="AF39" i="158"/>
  <c r="AE39" i="158"/>
  <c r="E41" i="32"/>
  <c r="F41" i="32" s="1"/>
  <c r="E29" i="117"/>
  <c r="F29" i="117" s="1"/>
  <c r="G29" i="117" s="1"/>
  <c r="E25" i="100"/>
  <c r="J41" i="32"/>
  <c r="L41" i="32" s="1"/>
  <c r="M41" i="32" s="1"/>
  <c r="R41" i="32"/>
  <c r="E26" i="100"/>
  <c r="R42" i="32"/>
  <c r="J42" i="32"/>
  <c r="L42" i="32" s="1"/>
  <c r="M42" i="32" s="1"/>
  <c r="E42" i="32"/>
  <c r="F42" i="32" s="1"/>
  <c r="E30" i="117"/>
  <c r="F30" i="117" s="1"/>
  <c r="G30" i="117" s="1"/>
  <c r="Y41" i="77"/>
  <c r="C69" i="115"/>
  <c r="C8" i="167"/>
  <c r="D8" i="167" s="1"/>
  <c r="D46" i="119"/>
  <c r="L12" i="22"/>
  <c r="N12" i="22" s="1"/>
  <c r="F12" i="136"/>
  <c r="G12" i="136" s="1"/>
  <c r="H12" i="136" s="1"/>
  <c r="I12" i="136" s="1"/>
  <c r="GL12" i="158"/>
  <c r="B10" i="159"/>
  <c r="I10" i="159" s="1"/>
  <c r="GP12" i="158"/>
  <c r="S12" i="158"/>
  <c r="O89" i="158"/>
  <c r="HK12" i="158"/>
  <c r="C8" i="171"/>
  <c r="U12" i="158"/>
  <c r="U89" i="158" s="1"/>
  <c r="Q89" i="158"/>
  <c r="T12" i="158"/>
  <c r="T89" i="158" s="1"/>
  <c r="P89" i="158"/>
  <c r="G8" i="177"/>
  <c r="CL8" i="177" s="1"/>
  <c r="M104" i="77"/>
  <c r="Q8" i="177"/>
  <c r="P8" i="177"/>
  <c r="CQ8" i="177" s="1"/>
  <c r="DE13" i="36"/>
  <c r="DA13" i="36"/>
  <c r="P13" i="36"/>
  <c r="O12" i="77"/>
  <c r="AH20" i="77"/>
  <c r="AH112" i="77" s="1"/>
  <c r="AF20" i="77"/>
  <c r="AF112" i="77" s="1"/>
  <c r="S87" i="158"/>
  <c r="AK20" i="150"/>
  <c r="AJ20" i="150"/>
  <c r="V17" i="111" s="1"/>
  <c r="BT20" i="148"/>
  <c r="BV20" i="148" s="1"/>
  <c r="K19" i="136"/>
  <c r="L19" i="136"/>
  <c r="AK17" i="150"/>
  <c r="AJ17" i="150"/>
  <c r="V14" i="111" s="1"/>
  <c r="AZ17" i="36" s="1"/>
  <c r="AI10" i="158"/>
  <c r="BT17" i="148"/>
  <c r="BV17" i="148" s="1"/>
  <c r="L16" i="136"/>
  <c r="K16" i="136"/>
  <c r="AU15" i="150"/>
  <c r="AV15" i="150" s="1"/>
  <c r="AZ15" i="150" s="1"/>
  <c r="BM15" i="150"/>
  <c r="BO15" i="150" s="1"/>
  <c r="D50" i="92"/>
  <c r="D68" i="77"/>
  <c r="D18" i="77"/>
  <c r="DX14" i="177" s="1"/>
  <c r="D109" i="77"/>
  <c r="X41" i="77"/>
  <c r="M14" i="158"/>
  <c r="C8" i="159"/>
  <c r="F16" i="167"/>
  <c r="G16" i="167"/>
  <c r="H16" i="167" s="1"/>
  <c r="C18" i="159"/>
  <c r="AI20" i="158"/>
  <c r="GB20" i="158" s="1"/>
  <c r="HM20" i="158"/>
  <c r="S97" i="158"/>
  <c r="AC20" i="22"/>
  <c r="AE20" i="22"/>
  <c r="AE101" i="77"/>
  <c r="B30" i="159"/>
  <c r="I30" i="159" s="1"/>
  <c r="GL32" i="158"/>
  <c r="GP32" i="158"/>
  <c r="F32" i="136"/>
  <c r="G32" i="136" s="1"/>
  <c r="H32" i="136" s="1"/>
  <c r="I32" i="136" s="1"/>
  <c r="C28" i="167"/>
  <c r="D66" i="119"/>
  <c r="C28" i="171"/>
  <c r="D28" i="171" s="1"/>
  <c r="S32" i="158"/>
  <c r="L28" i="171" s="1"/>
  <c r="AI26" i="158"/>
  <c r="C24" i="159"/>
  <c r="F22" i="167"/>
  <c r="G22" i="167"/>
  <c r="H22" i="167" s="1"/>
  <c r="G12" i="155"/>
  <c r="AF22" i="155"/>
  <c r="U17" i="158"/>
  <c r="U94" i="158" s="1"/>
  <c r="Q94" i="158"/>
  <c r="AI22" i="158"/>
  <c r="C20" i="159"/>
  <c r="HM22" i="158"/>
  <c r="S99" i="158"/>
  <c r="I12" i="126"/>
  <c r="J12" i="126" s="1"/>
  <c r="L12" i="126"/>
  <c r="M12" i="126" s="1"/>
  <c r="GL24" i="158"/>
  <c r="D58" i="119"/>
  <c r="F24" i="136"/>
  <c r="G24" i="136" s="1"/>
  <c r="H24" i="136" s="1"/>
  <c r="I24" i="136" s="1"/>
  <c r="C20" i="167"/>
  <c r="B22" i="159"/>
  <c r="I22" i="159" s="1"/>
  <c r="C20" i="171"/>
  <c r="S24" i="158"/>
  <c r="GP24" i="158"/>
  <c r="HI15" i="158"/>
  <c r="P15" i="158"/>
  <c r="O11" i="177"/>
  <c r="Q15" i="158"/>
  <c r="O15" i="158"/>
  <c r="FN15" i="158" s="1"/>
  <c r="J15" i="22"/>
  <c r="M92" i="158"/>
  <c r="BM14" i="150"/>
  <c r="BO14" i="150" s="1"/>
  <c r="BQ16" i="150"/>
  <c r="BR16" i="150"/>
  <c r="C13" i="111" s="1"/>
  <c r="L16" i="36" s="1"/>
  <c r="AE21" i="22"/>
  <c r="AC21" i="22"/>
  <c r="P9" i="158"/>
  <c r="Q9" i="158"/>
  <c r="O5" i="177"/>
  <c r="J9" i="22"/>
  <c r="O9" i="158"/>
  <c r="FN9" i="158" s="1"/>
  <c r="M86" i="158"/>
  <c r="HI9" i="158"/>
  <c r="AB100" i="77"/>
  <c r="AB9" i="77"/>
  <c r="F12" i="156"/>
  <c r="G12" i="156" s="1"/>
  <c r="AD19" i="156"/>
  <c r="P13" i="177"/>
  <c r="CQ13" i="177" s="1"/>
  <c r="Q13" i="177"/>
  <c r="G13" i="177"/>
  <c r="CL13" i="177" s="1"/>
  <c r="M109" i="77"/>
  <c r="C62" i="163"/>
  <c r="C65" i="163"/>
  <c r="C64" i="163"/>
  <c r="C61" i="163"/>
  <c r="H61" i="163" s="1"/>
  <c r="C63" i="163"/>
  <c r="I60" i="163"/>
  <c r="D88" i="158"/>
  <c r="HB11" i="158"/>
  <c r="D7" i="92"/>
  <c r="AI23" i="158"/>
  <c r="C21" i="159"/>
  <c r="C21" i="171"/>
  <c r="D59" i="119"/>
  <c r="F25" i="136"/>
  <c r="G25" i="136" s="1"/>
  <c r="H25" i="136" s="1"/>
  <c r="I25" i="136" s="1"/>
  <c r="GP25" i="158"/>
  <c r="S25" i="158"/>
  <c r="L21" i="171" s="1"/>
  <c r="C21" i="167"/>
  <c r="B23" i="159"/>
  <c r="I23" i="159" s="1"/>
  <c r="GL25" i="158"/>
  <c r="AC24" i="126"/>
  <c r="U23" i="126"/>
  <c r="L22" i="126"/>
  <c r="M22" i="126" s="1"/>
  <c r="I22" i="126"/>
  <c r="J22" i="126" s="1"/>
  <c r="P30" i="36"/>
  <c r="DA30" i="36"/>
  <c r="DE30" i="36"/>
  <c r="BR12" i="150"/>
  <c r="L12" i="36" s="1"/>
  <c r="M11" i="77" s="1"/>
  <c r="DI11" i="77" s="1"/>
  <c r="BQ12" i="150"/>
  <c r="AI28" i="158"/>
  <c r="C26" i="159"/>
  <c r="T22" i="126"/>
  <c r="I10" i="126"/>
  <c r="J10" i="126" s="1"/>
  <c r="E20" i="126"/>
  <c r="L10" i="126"/>
  <c r="M10" i="126" s="1"/>
  <c r="M88" i="158"/>
  <c r="HI11" i="158"/>
  <c r="Q11" i="158"/>
  <c r="O11" i="158"/>
  <c r="FN11" i="158" s="1"/>
  <c r="J11" i="22"/>
  <c r="P11" i="158"/>
  <c r="O7" i="177"/>
  <c r="D13" i="36"/>
  <c r="M48" i="161"/>
  <c r="D12" i="158"/>
  <c r="FE12" i="158" s="1"/>
  <c r="N89" i="161"/>
  <c r="L17" i="126"/>
  <c r="M17" i="126" s="1"/>
  <c r="I17" i="126"/>
  <c r="J17" i="126" s="1"/>
  <c r="AF11" i="158"/>
  <c r="FZ11" i="158" s="1"/>
  <c r="HW10" i="158"/>
  <c r="AF87" i="158"/>
  <c r="AP22" i="163"/>
  <c r="DK4" i="158"/>
  <c r="X22" i="163"/>
  <c r="I10" i="163"/>
  <c r="J10" i="163" s="1"/>
  <c r="F10" i="163"/>
  <c r="G10" i="163" s="1"/>
  <c r="O17" i="77"/>
  <c r="DA18" i="36"/>
  <c r="P18" i="36"/>
  <c r="AD18" i="36" s="1"/>
  <c r="AK48" i="36"/>
  <c r="AM48" i="36" s="1"/>
  <c r="DE18" i="36"/>
  <c r="E14" i="156"/>
  <c r="E55" i="126"/>
  <c r="F55" i="126" s="1"/>
  <c r="G55" i="126" s="1"/>
  <c r="AD38" i="32"/>
  <c r="O25" i="177"/>
  <c r="P25" i="177" s="1"/>
  <c r="CQ25" i="177" s="1"/>
  <c r="O29" i="158"/>
  <c r="Q29" i="158"/>
  <c r="U29" i="158" s="1"/>
  <c r="P29" i="158"/>
  <c r="T29" i="158" s="1"/>
  <c r="AK9" i="150"/>
  <c r="AJ9" i="150"/>
  <c r="S27" i="158"/>
  <c r="L23" i="171" s="1"/>
  <c r="C23" i="171"/>
  <c r="GL27" i="158"/>
  <c r="GP27" i="158"/>
  <c r="D61" i="119"/>
  <c r="F27" i="136"/>
  <c r="G27" i="136" s="1"/>
  <c r="H27" i="136" s="1"/>
  <c r="I27" i="136" s="1"/>
  <c r="C23" i="167"/>
  <c r="D23" i="167" s="1"/>
  <c r="B25" i="159"/>
  <c r="I25" i="159" s="1"/>
  <c r="D18" i="167"/>
  <c r="G18" i="167" s="1"/>
  <c r="H18" i="167" s="1"/>
  <c r="AW24" i="163"/>
  <c r="AW26" i="163"/>
  <c r="AW25" i="163"/>
  <c r="AW23" i="163"/>
  <c r="BA23" i="163" s="1"/>
  <c r="BA22" i="163"/>
  <c r="BB22" i="163" s="1"/>
  <c r="AM19" i="156"/>
  <c r="Q36" i="156"/>
  <c r="F19" i="156"/>
  <c r="G19" i="156" s="1"/>
  <c r="AE19" i="156"/>
  <c r="AE20" i="156" s="1"/>
  <c r="E156" i="100"/>
  <c r="F23" i="100"/>
  <c r="G23" i="100" s="1"/>
  <c r="J9" i="100"/>
  <c r="L9" i="100" s="1"/>
  <c r="AE22" i="126"/>
  <c r="AF22" i="126" s="1"/>
  <c r="AA24" i="126"/>
  <c r="AA23" i="126"/>
  <c r="AA26" i="126"/>
  <c r="AA25" i="126"/>
  <c r="D17" i="167"/>
  <c r="G17" i="167" s="1"/>
  <c r="H17" i="167" s="1"/>
  <c r="HM23" i="158"/>
  <c r="J142" i="100"/>
  <c r="L142" i="100" s="1"/>
  <c r="F151" i="100"/>
  <c r="G151" i="100" s="1"/>
  <c r="C31" i="167"/>
  <c r="D31" i="167" s="1"/>
  <c r="GL35" i="158"/>
  <c r="C31" i="171"/>
  <c r="S35" i="158"/>
  <c r="L31" i="171" s="1"/>
  <c r="GP35" i="158"/>
  <c r="B33" i="159"/>
  <c r="I33" i="159" s="1"/>
  <c r="D69" i="119"/>
  <c r="F35" i="136"/>
  <c r="G35" i="136" s="1"/>
  <c r="H35" i="136" s="1"/>
  <c r="I35" i="136" s="1"/>
  <c r="Y40" i="77"/>
  <c r="X100" i="77"/>
  <c r="X40" i="77"/>
  <c r="Y8" i="77"/>
  <c r="P34" i="36"/>
  <c r="AD34" i="36" s="1"/>
  <c r="DA34" i="36"/>
  <c r="DE34" i="36"/>
  <c r="C32" i="159"/>
  <c r="AI34" i="158"/>
  <c r="C26" i="167"/>
  <c r="D26" i="167" s="1"/>
  <c r="GL30" i="158"/>
  <c r="C26" i="171"/>
  <c r="D26" i="171" s="1"/>
  <c r="GP30" i="158"/>
  <c r="D64" i="119"/>
  <c r="F30" i="136"/>
  <c r="G30" i="136" s="1"/>
  <c r="H30" i="136" s="1"/>
  <c r="I30" i="136" s="1"/>
  <c r="B28" i="159"/>
  <c r="I28" i="159" s="1"/>
  <c r="S30" i="158"/>
  <c r="L26" i="171" s="1"/>
  <c r="AO24" i="155"/>
  <c r="AI134" i="155"/>
  <c r="AI121" i="155"/>
  <c r="AG23" i="155"/>
  <c r="E44" i="155"/>
  <c r="E108" i="155"/>
  <c r="E147" i="100"/>
  <c r="F14" i="100"/>
  <c r="G14" i="100" s="1"/>
  <c r="J6" i="100"/>
  <c r="L6" i="100" s="1"/>
  <c r="GP17" i="158"/>
  <c r="B15" i="159"/>
  <c r="I15" i="159" s="1"/>
  <c r="GL17" i="158"/>
  <c r="S17" i="158"/>
  <c r="C13" i="167"/>
  <c r="O94" i="158"/>
  <c r="HK17" i="158"/>
  <c r="C13" i="171"/>
  <c r="D13" i="171" s="1"/>
  <c r="F17" i="136"/>
  <c r="G17" i="136" s="1"/>
  <c r="H17" i="136" s="1"/>
  <c r="I17" i="136" s="1"/>
  <c r="L17" i="22"/>
  <c r="N17" i="22" s="1"/>
  <c r="D51" i="119"/>
  <c r="AE18" i="22"/>
  <c r="AC18" i="22"/>
  <c r="Q33" i="158"/>
  <c r="U33" i="158" s="1"/>
  <c r="O33" i="158"/>
  <c r="P33" i="158"/>
  <c r="T33" i="158" s="1"/>
  <c r="M13" i="158"/>
  <c r="F30" i="167"/>
  <c r="G30" i="167"/>
  <c r="H30" i="167" s="1"/>
  <c r="A30" i="167"/>
  <c r="C46" i="163"/>
  <c r="H46" i="163" s="1"/>
  <c r="C49" i="163"/>
  <c r="C47" i="163"/>
  <c r="I45" i="163"/>
  <c r="C50" i="163"/>
  <c r="C48" i="163"/>
  <c r="AG24" i="163"/>
  <c r="E47" i="163"/>
  <c r="AI106" i="163"/>
  <c r="I20" i="163"/>
  <c r="J20" i="163" s="1"/>
  <c r="AQ23" i="163"/>
  <c r="E62" i="163"/>
  <c r="F20" i="163"/>
  <c r="G20" i="163" s="1"/>
  <c r="AY24" i="163"/>
  <c r="Y23" i="163"/>
  <c r="E27" i="126"/>
  <c r="E65" i="126"/>
  <c r="F65" i="126" s="1"/>
  <c r="G65" i="126" s="1"/>
  <c r="G25" i="155"/>
  <c r="AY37" i="32"/>
  <c r="D25" i="163"/>
  <c r="E24" i="156"/>
  <c r="F24" i="156" s="1"/>
  <c r="G24" i="156" s="1"/>
  <c r="BH37" i="32"/>
  <c r="AI21" i="158"/>
  <c r="GB21" i="158" s="1"/>
  <c r="C19" i="159"/>
  <c r="HM21" i="158"/>
  <c r="S98" i="158"/>
  <c r="BQ10" i="150"/>
  <c r="BR10" i="150"/>
  <c r="C7" i="111" s="1"/>
  <c r="L10" i="36" s="1"/>
  <c r="N10" i="36" s="1"/>
  <c r="Q31" i="158"/>
  <c r="U31" i="158" s="1"/>
  <c r="O31" i="158"/>
  <c r="P31" i="158"/>
  <c r="T31" i="158" s="1"/>
  <c r="AH11" i="158"/>
  <c r="AH87" i="158"/>
  <c r="F24" i="167"/>
  <c r="G24" i="167"/>
  <c r="H24" i="167" s="1"/>
  <c r="T17" i="158"/>
  <c r="T94" i="158" s="1"/>
  <c r="P94" i="158"/>
  <c r="AI18" i="158"/>
  <c r="GB18" i="158" s="1"/>
  <c r="C16" i="159"/>
  <c r="S95" i="158"/>
  <c r="HM18" i="158"/>
  <c r="AE25" i="163"/>
  <c r="AE24" i="163"/>
  <c r="AE23" i="163"/>
  <c r="AI23" i="163" s="1"/>
  <c r="AE26" i="163"/>
  <c r="AI22" i="163"/>
  <c r="AJ22" i="163" s="1"/>
  <c r="X6" i="161"/>
  <c r="J8" i="136" s="1"/>
  <c r="AL41" i="148"/>
  <c r="AL40" i="148"/>
  <c r="AF39" i="32"/>
  <c r="AF40" i="32"/>
  <c r="AN37" i="32"/>
  <c r="N11" i="36"/>
  <c r="M10" i="77"/>
  <c r="DI10" i="77" s="1"/>
  <c r="AM24" i="22"/>
  <c r="J113" i="77"/>
  <c r="W24" i="22"/>
  <c r="C25" i="115"/>
  <c r="AA24" i="22"/>
  <c r="G6" i="167"/>
  <c r="U114" i="77"/>
  <c r="K114" i="77"/>
  <c r="AE11" i="77"/>
  <c r="AE102" i="77"/>
  <c r="F24" i="22"/>
  <c r="C18" i="177"/>
  <c r="CD18" i="177" s="1"/>
  <c r="C20" i="119"/>
  <c r="B55" i="92"/>
  <c r="E73" i="77"/>
  <c r="C26" i="123"/>
  <c r="F6" i="167"/>
  <c r="G20" i="119"/>
  <c r="W114" i="77"/>
  <c r="T114" i="77"/>
  <c r="D13" i="77"/>
  <c r="DX9" i="177" s="1"/>
  <c r="D45" i="92"/>
  <c r="D63" i="77"/>
  <c r="D104" i="77"/>
  <c r="M78" i="18"/>
  <c r="L78" i="18"/>
  <c r="Q22" i="77"/>
  <c r="Q114" i="77" s="1"/>
  <c r="D26" i="123"/>
  <c r="D20" i="119"/>
  <c r="E23" i="77"/>
  <c r="G23" i="77"/>
  <c r="AA23" i="77"/>
  <c r="BF23" i="77"/>
  <c r="BH23" i="77"/>
  <c r="E19" i="177" s="1"/>
  <c r="DC19" i="177" s="1"/>
  <c r="M23" i="77"/>
  <c r="O23" i="77"/>
  <c r="AD10" i="77"/>
  <c r="AD101" i="77"/>
  <c r="AS114" i="77"/>
  <c r="BH114" i="77"/>
  <c r="E114" i="77"/>
  <c r="AA114" i="77"/>
  <c r="G114" i="77"/>
  <c r="BF114" i="77"/>
  <c r="X114" i="77"/>
  <c r="M114" i="77"/>
  <c r="O114" i="77"/>
  <c r="AO81" i="32"/>
  <c r="AN81" i="32"/>
  <c r="AW114" i="77"/>
  <c r="BL114" i="77"/>
  <c r="Q17" i="177"/>
  <c r="AB24" i="22"/>
  <c r="D24" i="22"/>
  <c r="FC25" i="158"/>
  <c r="GZ25" i="158"/>
  <c r="A20" i="168"/>
  <c r="M20" i="168" s="1"/>
  <c r="D25" i="136"/>
  <c r="A23" i="159"/>
  <c r="B102" i="158"/>
  <c r="B26" i="158"/>
  <c r="BD25" i="158"/>
  <c r="EA101" i="158"/>
  <c r="DO101" i="158"/>
  <c r="BY101" i="158"/>
  <c r="BH101" i="158"/>
  <c r="AT101" i="158"/>
  <c r="J101" i="158"/>
  <c r="EF101" i="158"/>
  <c r="DT101" i="158"/>
  <c r="CX101" i="158"/>
  <c r="BR101" i="158"/>
  <c r="AZ101" i="158"/>
  <c r="AA101" i="158"/>
  <c r="O101" i="158"/>
  <c r="C101" i="158"/>
  <c r="ED101" i="158"/>
  <c r="DP101" i="158"/>
  <c r="BW101" i="158"/>
  <c r="BD101" i="158"/>
  <c r="Y101" i="158"/>
  <c r="K101" i="158"/>
  <c r="EC101" i="158"/>
  <c r="DN101" i="158"/>
  <c r="BV101" i="158"/>
  <c r="BB101" i="158"/>
  <c r="X101" i="158"/>
  <c r="I101" i="158"/>
  <c r="EB101" i="158"/>
  <c r="DM101" i="158"/>
  <c r="BU101" i="158"/>
  <c r="BA101" i="158"/>
  <c r="W101" i="158"/>
  <c r="H101" i="158"/>
  <c r="DZ101" i="158"/>
  <c r="DL101" i="158"/>
  <c r="BT101" i="158"/>
  <c r="AY101" i="158"/>
  <c r="U101" i="158"/>
  <c r="G101" i="158"/>
  <c r="DY101" i="158"/>
  <c r="DA101" i="158"/>
  <c r="BS101" i="158"/>
  <c r="AX101" i="158"/>
  <c r="T101" i="158"/>
  <c r="F101" i="158"/>
  <c r="EL101" i="158"/>
  <c r="DX101" i="158"/>
  <c r="CZ101" i="158"/>
  <c r="BL101" i="158"/>
  <c r="AG101" i="158"/>
  <c r="E101" i="158"/>
  <c r="EK101" i="158"/>
  <c r="DW101" i="158"/>
  <c r="CY101" i="158"/>
  <c r="BK101" i="158"/>
  <c r="AU101" i="158"/>
  <c r="EJ101" i="158"/>
  <c r="DV101" i="158"/>
  <c r="CC101" i="158"/>
  <c r="BJ101" i="158"/>
  <c r="AE101" i="158"/>
  <c r="Q101" i="158"/>
  <c r="EI101" i="158"/>
  <c r="DU101" i="158"/>
  <c r="CB101" i="158"/>
  <c r="BI101" i="158"/>
  <c r="AD101" i="158"/>
  <c r="P101" i="158"/>
  <c r="EH101" i="158"/>
  <c r="DS101" i="158"/>
  <c r="CA101" i="158"/>
  <c r="BG101" i="158"/>
  <c r="AQ101" i="158"/>
  <c r="AC101" i="158"/>
  <c r="N101" i="158"/>
  <c r="EG101" i="158"/>
  <c r="DR101" i="158"/>
  <c r="BZ101" i="158"/>
  <c r="BF101" i="158"/>
  <c r="AB101" i="158"/>
  <c r="M101" i="158"/>
  <c r="L101" i="158"/>
  <c r="EE101" i="158"/>
  <c r="DQ101" i="158"/>
  <c r="BX101" i="158"/>
  <c r="BE101" i="158"/>
  <c r="Z101" i="158"/>
  <c r="GB24" i="158"/>
  <c r="HO24" i="158"/>
  <c r="HX24" i="158"/>
  <c r="HK24" i="158"/>
  <c r="HV24" i="158"/>
  <c r="HJ24" i="158"/>
  <c r="HP24" i="158"/>
  <c r="HU24" i="158"/>
  <c r="HC24" i="158"/>
  <c r="FX24" i="158"/>
  <c r="FH24" i="158"/>
  <c r="HT24" i="158"/>
  <c r="HA24" i="158"/>
  <c r="FW24" i="158"/>
  <c r="FF24" i="158"/>
  <c r="HS24" i="158"/>
  <c r="FV24" i="158"/>
  <c r="FE24" i="158"/>
  <c r="HR24" i="158"/>
  <c r="FU24" i="158"/>
  <c r="FD24" i="158"/>
  <c r="GD24" i="158"/>
  <c r="HH24" i="158"/>
  <c r="HQ24" i="158"/>
  <c r="GC24" i="158"/>
  <c r="FZ24" i="158"/>
  <c r="HI24" i="158"/>
  <c r="FY24" i="158"/>
  <c r="FR24" i="158"/>
  <c r="HG24" i="158"/>
  <c r="ID24" i="158"/>
  <c r="GE24" i="158"/>
  <c r="FQ24" i="158"/>
  <c r="HF24" i="158"/>
  <c r="FO24" i="158"/>
  <c r="GG24" i="158"/>
  <c r="HE24" i="158"/>
  <c r="FN24" i="158"/>
  <c r="FM24" i="158"/>
  <c r="GF24" i="158"/>
  <c r="FJ24" i="158"/>
  <c r="FI24" i="158"/>
  <c r="GH24" i="158"/>
  <c r="IE24" i="158"/>
  <c r="FP24" i="158"/>
  <c r="GA24" i="158"/>
  <c r="FK24" i="158"/>
  <c r="FS24" i="158"/>
  <c r="FL24" i="158"/>
  <c r="FT24" i="158"/>
  <c r="GJ24" i="158"/>
  <c r="GU24" i="158"/>
  <c r="FA24" i="158"/>
  <c r="AX24" i="22"/>
  <c r="Y25" i="18"/>
  <c r="G25" i="18"/>
  <c r="B27" i="18"/>
  <c r="B82" i="18"/>
  <c r="O26" i="18"/>
  <c r="T26" i="18"/>
  <c r="AP26" i="18"/>
  <c r="AU26" i="18"/>
  <c r="R26" i="18"/>
  <c r="AC26" i="18"/>
  <c r="AA26" i="18"/>
  <c r="M26" i="18"/>
  <c r="S26" i="18"/>
  <c r="C26" i="18"/>
  <c r="AG26" i="18" s="1"/>
  <c r="K26" i="18"/>
  <c r="F26" i="18"/>
  <c r="AJ26" i="18" s="1"/>
  <c r="AF26" i="18"/>
  <c r="AB26" i="18"/>
  <c r="X26" i="18"/>
  <c r="Z26" i="18"/>
  <c r="J26" i="18"/>
  <c r="AV26" i="18"/>
  <c r="AD26" i="18"/>
  <c r="V26" i="18"/>
  <c r="Q26" i="18"/>
  <c r="AM26" i="18"/>
  <c r="AN26" i="18" s="1"/>
  <c r="D26" i="18"/>
  <c r="AO26" i="18"/>
  <c r="E26" i="18"/>
  <c r="B26" i="22"/>
  <c r="AP25" i="22"/>
  <c r="L25" i="22"/>
  <c r="BB25" i="22"/>
  <c r="G25" i="22"/>
  <c r="Z25" i="22"/>
  <c r="AV25" i="22"/>
  <c r="R25" i="22"/>
  <c r="X25" i="22"/>
  <c r="CO25" i="22"/>
  <c r="CP25" i="22" s="1"/>
  <c r="CM25" i="22"/>
  <c r="H25" i="22" s="1"/>
  <c r="J25" i="22"/>
  <c r="AX25" i="22"/>
  <c r="P25" i="22"/>
  <c r="AL25" i="22"/>
  <c r="S25" i="22"/>
  <c r="E25" i="22"/>
  <c r="T25" i="22"/>
  <c r="K25" i="22"/>
  <c r="Q25" i="22"/>
  <c r="C25" i="22"/>
  <c r="I25" i="22"/>
  <c r="AU25" i="22"/>
  <c r="K57" i="161"/>
  <c r="L58" i="161"/>
  <c r="AA57" i="161"/>
  <c r="C73" i="77"/>
  <c r="C55" i="92"/>
  <c r="J22" i="77"/>
  <c r="D18" i="177" s="1"/>
  <c r="CY18" i="177" s="1"/>
  <c r="DA22" i="77"/>
  <c r="DA114" i="77" s="1"/>
  <c r="Z22" i="77"/>
  <c r="D25" i="115"/>
  <c r="A56" i="92"/>
  <c r="A19" i="92" s="1"/>
  <c r="B26" i="115"/>
  <c r="K58" i="111"/>
  <c r="B115" i="77"/>
  <c r="B24" i="77"/>
  <c r="DC24" i="77" s="1"/>
  <c r="DO20" i="177" s="1"/>
  <c r="AV23" i="77"/>
  <c r="B74" i="77"/>
  <c r="BA23" i="77"/>
  <c r="E21" i="119" s="1"/>
  <c r="T23" i="77"/>
  <c r="N23" i="77"/>
  <c r="E27" i="123" s="1"/>
  <c r="CW23" i="77"/>
  <c r="K23" i="77" s="1"/>
  <c r="S23" i="77"/>
  <c r="S115" i="77" s="1"/>
  <c r="H23" i="77"/>
  <c r="L23" i="77"/>
  <c r="AW23" i="77"/>
  <c r="U23" i="77"/>
  <c r="BB23" i="77"/>
  <c r="F21" i="119" s="1"/>
  <c r="AC23" i="77"/>
  <c r="BL23" i="77"/>
  <c r="BE23" i="77"/>
  <c r="BD23" i="77"/>
  <c r="I23" i="77"/>
  <c r="W23" i="77"/>
  <c r="C23" i="77"/>
  <c r="DW19" i="177" s="1"/>
  <c r="V23" i="77"/>
  <c r="F23" i="77"/>
  <c r="F115" i="77" s="1"/>
  <c r="BG23" i="77"/>
  <c r="DC114" i="77"/>
  <c r="CN114" i="77"/>
  <c r="CB114" i="77"/>
  <c r="BP114" i="77"/>
  <c r="CR114" i="77"/>
  <c r="CF114" i="77"/>
  <c r="BT114" i="77"/>
  <c r="AY114" i="77"/>
  <c r="CQ114" i="77"/>
  <c r="CE114" i="77"/>
  <c r="BS114" i="77"/>
  <c r="AX114" i="77"/>
  <c r="CY114" i="77"/>
  <c r="CH114" i="77"/>
  <c r="BQ114" i="77"/>
  <c r="CV114" i="77"/>
  <c r="CG114" i="77"/>
  <c r="BO114" i="77"/>
  <c r="CU114" i="77"/>
  <c r="CD114" i="77"/>
  <c r="BN114" i="77"/>
  <c r="CT114" i="77"/>
  <c r="CC114" i="77"/>
  <c r="BM114" i="77"/>
  <c r="CS114" i="77"/>
  <c r="CA114" i="77"/>
  <c r="BK114" i="77"/>
  <c r="CP114" i="77"/>
  <c r="BZ114" i="77"/>
  <c r="BJ114" i="77"/>
  <c r="CO114" i="77"/>
  <c r="BY114" i="77"/>
  <c r="BI114" i="77"/>
  <c r="CM114" i="77"/>
  <c r="BX114" i="77"/>
  <c r="AZ114" i="77"/>
  <c r="CL114" i="77"/>
  <c r="BW114" i="77"/>
  <c r="AV114" i="77"/>
  <c r="CK114" i="77"/>
  <c r="BV114" i="77"/>
  <c r="DB114" i="77"/>
  <c r="CJ114" i="77"/>
  <c r="BU114" i="77"/>
  <c r="CZ114" i="77"/>
  <c r="CI114" i="77"/>
  <c r="BR114" i="77"/>
  <c r="BC114" i="77"/>
  <c r="C114" i="77"/>
  <c r="BA114" i="77"/>
  <c r="BB114" i="77"/>
  <c r="L114" i="77"/>
  <c r="CW114" i="77"/>
  <c r="H114" i="77"/>
  <c r="N114" i="77"/>
  <c r="AC114" i="77"/>
  <c r="F114" i="77"/>
  <c r="J57" i="111"/>
  <c r="U57" i="111"/>
  <c r="B84" i="111"/>
  <c r="H25" i="115"/>
  <c r="B71" i="115"/>
  <c r="O71" i="115" s="1"/>
  <c r="B21" i="119"/>
  <c r="B57" i="119" s="1"/>
  <c r="B92" i="119" s="1"/>
  <c r="AJ54" i="36"/>
  <c r="B80" i="36"/>
  <c r="BE24" i="36"/>
  <c r="CY24" i="36" s="1"/>
  <c r="AF67" i="36"/>
  <c r="B25" i="36"/>
  <c r="AT27" i="18"/>
  <c r="AL28" i="18"/>
  <c r="AS28" i="18"/>
  <c r="L28" i="18"/>
  <c r="BS32" i="150" l="1"/>
  <c r="C29" i="111"/>
  <c r="L32" i="36" s="1"/>
  <c r="N32" i="36" s="1"/>
  <c r="CP16" i="177"/>
  <c r="V16" i="177"/>
  <c r="CT16" i="177" s="1"/>
  <c r="DF22" i="77"/>
  <c r="DH22" i="77" s="1"/>
  <c r="CI18" i="177" s="1"/>
  <c r="CH18" i="177"/>
  <c r="T18" i="177"/>
  <c r="S18" i="177"/>
  <c r="L24" i="22"/>
  <c r="N24" i="22" s="1"/>
  <c r="Z25" i="18"/>
  <c r="X24" i="22"/>
  <c r="AC22" i="22"/>
  <c r="X23" i="22"/>
  <c r="AC23" i="22" s="1"/>
  <c r="F19" i="177"/>
  <c r="CH19" i="177" s="1"/>
  <c r="DG23" i="77"/>
  <c r="DY19" i="177"/>
  <c r="DE23" i="77"/>
  <c r="DF23" i="77" s="1"/>
  <c r="G19" i="177"/>
  <c r="U19" i="177" s="1"/>
  <c r="DI23" i="77"/>
  <c r="T115" i="77"/>
  <c r="V115" i="77"/>
  <c r="U115" i="77"/>
  <c r="AW115" i="77"/>
  <c r="W115" i="77"/>
  <c r="I115" i="77"/>
  <c r="BG115" i="77"/>
  <c r="BL115" i="77"/>
  <c r="BE115" i="77"/>
  <c r="DK19" i="177"/>
  <c r="K115" i="77"/>
  <c r="DS19" i="177"/>
  <c r="IJ13" i="158"/>
  <c r="FL13" i="158"/>
  <c r="HY10" i="158"/>
  <c r="GB10" i="158"/>
  <c r="BD115" i="77"/>
  <c r="DG19" i="177"/>
  <c r="L8" i="171"/>
  <c r="FP12" i="158"/>
  <c r="BF115" i="77"/>
  <c r="L13" i="171"/>
  <c r="FP17" i="158"/>
  <c r="IJ14" i="158"/>
  <c r="FL14" i="158"/>
  <c r="CE18" i="177"/>
  <c r="N22" i="36"/>
  <c r="M21" i="77"/>
  <c r="DI21" i="77" s="1"/>
  <c r="AZ20" i="36"/>
  <c r="M18" i="77"/>
  <c r="DI18" i="77" s="1"/>
  <c r="N19" i="36"/>
  <c r="N16" i="36"/>
  <c r="M15" i="77"/>
  <c r="DI15" i="77" s="1"/>
  <c r="W25" i="22"/>
  <c r="U26" i="18"/>
  <c r="Y26" i="18" s="1"/>
  <c r="W26" i="18" s="1"/>
  <c r="N12" i="36"/>
  <c r="V6" i="111"/>
  <c r="AZ9" i="36" s="1"/>
  <c r="M9" i="77"/>
  <c r="DI9" i="77" s="1"/>
  <c r="AI87" i="158"/>
  <c r="H47" i="163"/>
  <c r="I47" i="163" s="1"/>
  <c r="AC134" i="77"/>
  <c r="C19" i="32"/>
  <c r="S101" i="158"/>
  <c r="L20" i="171"/>
  <c r="AN22" i="158"/>
  <c r="AM22" i="77" s="1"/>
  <c r="AJ21" i="77"/>
  <c r="AJ113" i="77" s="1"/>
  <c r="AS23" i="158"/>
  <c r="AS100" i="158" s="1"/>
  <c r="K19" i="171"/>
  <c r="AJ22" i="77"/>
  <c r="K18" i="171"/>
  <c r="K6" i="171"/>
  <c r="D21" i="171"/>
  <c r="F21" i="171" s="1"/>
  <c r="G22" i="171"/>
  <c r="D8" i="171"/>
  <c r="G8" i="171" s="1"/>
  <c r="F6" i="171"/>
  <c r="D31" i="171"/>
  <c r="D23" i="171"/>
  <c r="D20" i="171"/>
  <c r="F20" i="171" s="1"/>
  <c r="H6" i="171"/>
  <c r="F22" i="171"/>
  <c r="E158" i="100"/>
  <c r="F158" i="100" s="1"/>
  <c r="G158" i="100" s="1"/>
  <c r="F25" i="100"/>
  <c r="G25" i="100" s="1"/>
  <c r="AA134" i="77"/>
  <c r="AG40" i="158"/>
  <c r="D36" i="163"/>
  <c r="G28" i="155"/>
  <c r="N28" i="155" s="1"/>
  <c r="O28" i="155" s="1"/>
  <c r="E27" i="156"/>
  <c r="F27" i="156" s="1"/>
  <c r="G27" i="156" s="1"/>
  <c r="E68" i="126"/>
  <c r="F68" i="126" s="1"/>
  <c r="G68" i="126" s="1"/>
  <c r="BA37" i="32"/>
  <c r="BJ37" i="32"/>
  <c r="C18" i="32"/>
  <c r="AB134" i="77"/>
  <c r="F26" i="100"/>
  <c r="G26" i="100" s="1"/>
  <c r="E159" i="100"/>
  <c r="F159" i="100" s="1"/>
  <c r="G159" i="100" s="1"/>
  <c r="AC25" i="158"/>
  <c r="HU25" i="158" s="1"/>
  <c r="AB39" i="158"/>
  <c r="AZ37" i="32"/>
  <c r="BI37" i="32"/>
  <c r="E67" i="126"/>
  <c r="F67" i="126" s="1"/>
  <c r="G67" i="126" s="1"/>
  <c r="D35" i="163"/>
  <c r="E26" i="156"/>
  <c r="F26" i="156" s="1"/>
  <c r="G26" i="156" s="1"/>
  <c r="G27" i="155"/>
  <c r="N27" i="155" s="1"/>
  <c r="O27" i="155" s="1"/>
  <c r="E40" i="32"/>
  <c r="F40" i="32" s="1"/>
  <c r="R40" i="32"/>
  <c r="E28" i="117"/>
  <c r="F28" i="117" s="1"/>
  <c r="G28" i="117" s="1"/>
  <c r="E24" i="100"/>
  <c r="J40" i="32"/>
  <c r="L40" i="32" s="1"/>
  <c r="M40" i="32" s="1"/>
  <c r="D10" i="119"/>
  <c r="D16" i="123"/>
  <c r="O104" i="77"/>
  <c r="Q12" i="77"/>
  <c r="BQ48" i="36"/>
  <c r="BS48" i="36" s="1"/>
  <c r="AD13" i="36"/>
  <c r="AE12" i="22"/>
  <c r="AC12" i="22"/>
  <c r="H8" i="177"/>
  <c r="T8" i="177"/>
  <c r="R8" i="177"/>
  <c r="S8" i="177"/>
  <c r="U8" i="177"/>
  <c r="HM12" i="158"/>
  <c r="S89" i="158"/>
  <c r="C10" i="159"/>
  <c r="AI12" i="158"/>
  <c r="GB12" i="158" s="1"/>
  <c r="F8" i="167"/>
  <c r="G8" i="167"/>
  <c r="H8" i="167" s="1"/>
  <c r="M19" i="158"/>
  <c r="AU20" i="150"/>
  <c r="AV20" i="150" s="1"/>
  <c r="AZ20" i="150" s="1"/>
  <c r="BM20" i="150"/>
  <c r="BO20" i="150" s="1"/>
  <c r="BQ15" i="150"/>
  <c r="BR15" i="150"/>
  <c r="O10" i="177"/>
  <c r="J14" i="22"/>
  <c r="Q14" i="158"/>
  <c r="P14" i="158"/>
  <c r="HI14" i="158"/>
  <c r="M91" i="158"/>
  <c r="O14" i="158"/>
  <c r="FN14" i="158" s="1"/>
  <c r="D110" i="77"/>
  <c r="D19" i="77"/>
  <c r="DX15" i="177" s="1"/>
  <c r="D69" i="77"/>
  <c r="D51" i="92"/>
  <c r="M16" i="158"/>
  <c r="BM17" i="150"/>
  <c r="BO17" i="150" s="1"/>
  <c r="AU17" i="150"/>
  <c r="AV17" i="150" s="1"/>
  <c r="AZ17" i="150" s="1"/>
  <c r="H62" i="163"/>
  <c r="I62" i="163" s="1"/>
  <c r="AI97" i="158"/>
  <c r="HY20" i="158"/>
  <c r="HM24" i="158"/>
  <c r="AJ23" i="163"/>
  <c r="BS10" i="150"/>
  <c r="AM25" i="22"/>
  <c r="D28" i="167"/>
  <c r="F28" i="167" s="1"/>
  <c r="BA24" i="163"/>
  <c r="BB24" i="163" s="1"/>
  <c r="AI32" i="158"/>
  <c r="C30" i="159"/>
  <c r="AI24" i="163"/>
  <c r="AJ24" i="163" s="1"/>
  <c r="F17" i="167"/>
  <c r="D13" i="167"/>
  <c r="G13" i="167" s="1"/>
  <c r="H13" i="167" s="1"/>
  <c r="BF37" i="32"/>
  <c r="AL37" i="32"/>
  <c r="AW37" i="32"/>
  <c r="I25" i="163"/>
  <c r="J25" i="163" s="1"/>
  <c r="F25" i="163"/>
  <c r="G25" i="163" s="1"/>
  <c r="E65" i="163"/>
  <c r="E64" i="163"/>
  <c r="E63" i="163"/>
  <c r="M90" i="158"/>
  <c r="O13" i="158"/>
  <c r="FN13" i="158" s="1"/>
  <c r="P13" i="158"/>
  <c r="O9" i="177"/>
  <c r="J13" i="22"/>
  <c r="HI13" i="158"/>
  <c r="Q13" i="158"/>
  <c r="AI17" i="158"/>
  <c r="GB17" i="158" s="1"/>
  <c r="HM17" i="158"/>
  <c r="C15" i="159"/>
  <c r="S94" i="158"/>
  <c r="E46" i="155"/>
  <c r="E45" i="155"/>
  <c r="T142" i="100"/>
  <c r="V142" i="100" s="1"/>
  <c r="F156" i="100"/>
  <c r="G156" i="100" s="1"/>
  <c r="AI27" i="158"/>
  <c r="C25" i="159"/>
  <c r="X24" i="163"/>
  <c r="X25" i="163"/>
  <c r="X23" i="163"/>
  <c r="AA23" i="163" s="1"/>
  <c r="AA22" i="163"/>
  <c r="AB22" i="163" s="1"/>
  <c r="F11" i="136"/>
  <c r="G11" i="136" s="1"/>
  <c r="H11" i="136" s="1"/>
  <c r="I11" i="136" s="1"/>
  <c r="L11" i="22"/>
  <c r="N11" i="22" s="1"/>
  <c r="GL11" i="158"/>
  <c r="GP11" i="158"/>
  <c r="C7" i="171"/>
  <c r="D45" i="119"/>
  <c r="C7" i="167"/>
  <c r="HK11" i="158"/>
  <c r="B9" i="159"/>
  <c r="I9" i="159" s="1"/>
  <c r="O88" i="158"/>
  <c r="S11" i="158"/>
  <c r="AD30" i="36"/>
  <c r="D21" i="167"/>
  <c r="G21" i="167" s="1"/>
  <c r="H21" i="167" s="1"/>
  <c r="AI100" i="158"/>
  <c r="HY23" i="158"/>
  <c r="L9" i="22"/>
  <c r="N9" i="22" s="1"/>
  <c r="S9" i="158"/>
  <c r="HK9" i="158"/>
  <c r="O86" i="158"/>
  <c r="C5" i="171"/>
  <c r="D43" i="119"/>
  <c r="F9" i="136"/>
  <c r="G9" i="136" s="1"/>
  <c r="H9" i="136" s="1"/>
  <c r="I9" i="136" s="1"/>
  <c r="AS9" i="158"/>
  <c r="AS86" i="158" s="1"/>
  <c r="C5" i="167"/>
  <c r="GP9" i="158"/>
  <c r="B7" i="159"/>
  <c r="I7" i="159" s="1"/>
  <c r="GL9" i="158"/>
  <c r="L15" i="22"/>
  <c r="D49" i="119"/>
  <c r="O92" i="158"/>
  <c r="B13" i="159"/>
  <c r="I13" i="159" s="1"/>
  <c r="HK15" i="158"/>
  <c r="C11" i="167"/>
  <c r="GP15" i="158"/>
  <c r="S15" i="158"/>
  <c r="C11" i="171"/>
  <c r="F15" i="136"/>
  <c r="G15" i="136" s="1"/>
  <c r="H15" i="136" s="1"/>
  <c r="I15" i="136" s="1"/>
  <c r="GL15" i="158"/>
  <c r="D20" i="167"/>
  <c r="G20" i="167" s="1"/>
  <c r="H20" i="167" s="1"/>
  <c r="HY22" i="158"/>
  <c r="AI99" i="158"/>
  <c r="E110" i="155"/>
  <c r="E109" i="155"/>
  <c r="AN39" i="32"/>
  <c r="AN38" i="32"/>
  <c r="AY38" i="32"/>
  <c r="AY39" i="32"/>
  <c r="AQ24" i="163"/>
  <c r="AQ25" i="163"/>
  <c r="AC17" i="22"/>
  <c r="AE17" i="22"/>
  <c r="AG24" i="155"/>
  <c r="AG25" i="155"/>
  <c r="AI35" i="158"/>
  <c r="C33" i="159"/>
  <c r="F18" i="167"/>
  <c r="F23" i="167"/>
  <c r="G23" i="167"/>
  <c r="H23" i="167" s="1"/>
  <c r="BM9" i="150"/>
  <c r="BO9" i="150" s="1"/>
  <c r="AU9" i="150"/>
  <c r="AV9" i="150" s="1"/>
  <c r="AZ9" i="150" s="1"/>
  <c r="AK19" i="156"/>
  <c r="O36" i="156"/>
  <c r="F14" i="156"/>
  <c r="G14" i="156" s="1"/>
  <c r="U11" i="158"/>
  <c r="U88" i="158" s="1"/>
  <c r="Q88" i="158"/>
  <c r="W22" i="126"/>
  <c r="X22" i="126" s="1"/>
  <c r="T23" i="126"/>
  <c r="W23" i="126" s="1"/>
  <c r="T25" i="126"/>
  <c r="T24" i="126"/>
  <c r="BS12" i="150"/>
  <c r="C23" i="159"/>
  <c r="AI25" i="158"/>
  <c r="HY25" i="158" s="1"/>
  <c r="I61" i="163"/>
  <c r="J61" i="163" s="1"/>
  <c r="BS16" i="150"/>
  <c r="U15" i="158"/>
  <c r="U92" i="158" s="1"/>
  <c r="Q92" i="158"/>
  <c r="AB23" i="126"/>
  <c r="I20" i="126"/>
  <c r="AH12" i="158"/>
  <c r="AH88" i="158"/>
  <c r="HY18" i="158"/>
  <c r="AI95" i="158"/>
  <c r="AI98" i="158"/>
  <c r="HY21" i="158"/>
  <c r="C29" i="171"/>
  <c r="D29" i="171" s="1"/>
  <c r="S33" i="158"/>
  <c r="L29" i="171" s="1"/>
  <c r="F33" i="136"/>
  <c r="G33" i="136" s="1"/>
  <c r="H33" i="136" s="1"/>
  <c r="I33" i="136" s="1"/>
  <c r="B31" i="159"/>
  <c r="I31" i="159" s="1"/>
  <c r="D67" i="119"/>
  <c r="C29" i="167"/>
  <c r="GL33" i="158"/>
  <c r="GP33" i="158"/>
  <c r="AI124" i="155"/>
  <c r="AI122" i="155"/>
  <c r="AI123" i="155"/>
  <c r="D8" i="92"/>
  <c r="HB12" i="158"/>
  <c r="D89" i="158"/>
  <c r="P5" i="177"/>
  <c r="CQ5" i="177" s="1"/>
  <c r="Q5" i="177"/>
  <c r="P11" i="177"/>
  <c r="CQ11" i="177" s="1"/>
  <c r="Q11" i="177"/>
  <c r="AV41" i="148"/>
  <c r="AW9" i="148"/>
  <c r="GP31" i="158"/>
  <c r="B29" i="159"/>
  <c r="I29" i="159" s="1"/>
  <c r="C27" i="171"/>
  <c r="D27" i="171" s="1"/>
  <c r="F31" i="136"/>
  <c r="G31" i="136" s="1"/>
  <c r="H31" i="136" s="1"/>
  <c r="I31" i="136" s="1"/>
  <c r="D65" i="119"/>
  <c r="S31" i="158"/>
  <c r="L27" i="171" s="1"/>
  <c r="C27" i="167"/>
  <c r="D27" i="167" s="1"/>
  <c r="GL31" i="158"/>
  <c r="AI107" i="163"/>
  <c r="AI108" i="163"/>
  <c r="I46" i="163"/>
  <c r="J46" i="163" s="1"/>
  <c r="AI136" i="155"/>
  <c r="AI135" i="155"/>
  <c r="Q37" i="156"/>
  <c r="Q38" i="156"/>
  <c r="AP24" i="163"/>
  <c r="AP25" i="163"/>
  <c r="AP23" i="163"/>
  <c r="AS23" i="163" s="1"/>
  <c r="AS22" i="163"/>
  <c r="AT22" i="163" s="1"/>
  <c r="D14" i="36"/>
  <c r="N90" i="161"/>
  <c r="M49" i="161"/>
  <c r="D13" i="158"/>
  <c r="FE13" i="158" s="1"/>
  <c r="U24" i="126"/>
  <c r="U25" i="126"/>
  <c r="U9" i="158"/>
  <c r="U86" i="158" s="1"/>
  <c r="Q86" i="158"/>
  <c r="T15" i="158"/>
  <c r="T92" i="158" s="1"/>
  <c r="P92" i="158"/>
  <c r="AC26" i="126"/>
  <c r="AC25" i="126"/>
  <c r="T9" i="158"/>
  <c r="T86" i="158" s="1"/>
  <c r="P86" i="158"/>
  <c r="L14" i="36"/>
  <c r="BQ14" i="150"/>
  <c r="L8" i="136"/>
  <c r="K8" i="136"/>
  <c r="K39" i="136" s="1"/>
  <c r="I27" i="126"/>
  <c r="J27" i="126" s="1"/>
  <c r="L27" i="126"/>
  <c r="M27" i="126" s="1"/>
  <c r="E50" i="163"/>
  <c r="E48" i="163"/>
  <c r="E49" i="163"/>
  <c r="AO26" i="155"/>
  <c r="AO25" i="155"/>
  <c r="F31" i="167"/>
  <c r="A31" i="167"/>
  <c r="G31" i="167"/>
  <c r="H31" i="167" s="1"/>
  <c r="AM21" i="156"/>
  <c r="AM20" i="156"/>
  <c r="Y100" i="77"/>
  <c r="Y9" i="77"/>
  <c r="P7" i="177"/>
  <c r="CQ7" i="177" s="1"/>
  <c r="Q7" i="177"/>
  <c r="AB10" i="77"/>
  <c r="AB101" i="77"/>
  <c r="AI24" i="158"/>
  <c r="C22" i="159"/>
  <c r="O9" i="77"/>
  <c r="P10" i="36"/>
  <c r="AD10" i="36" s="1"/>
  <c r="DE10" i="36"/>
  <c r="DA10" i="36"/>
  <c r="AF25" i="155"/>
  <c r="AF24" i="155"/>
  <c r="AF23" i="155"/>
  <c r="AI23" i="155" s="1"/>
  <c r="AI22" i="155"/>
  <c r="AJ22" i="155" s="1"/>
  <c r="AY85" i="158"/>
  <c r="AY39" i="158"/>
  <c r="Y25" i="163"/>
  <c r="Y24" i="163"/>
  <c r="AG25" i="163"/>
  <c r="AG26" i="163"/>
  <c r="F26" i="167"/>
  <c r="G26" i="167"/>
  <c r="H26" i="167" s="1"/>
  <c r="GL29" i="158"/>
  <c r="C25" i="171"/>
  <c r="D25" i="171" s="1"/>
  <c r="S29" i="158"/>
  <c r="L25" i="171" s="1"/>
  <c r="D63" i="119"/>
  <c r="C25" i="167"/>
  <c r="F29" i="136"/>
  <c r="G29" i="136" s="1"/>
  <c r="H29" i="136" s="1"/>
  <c r="I29" i="136" s="1"/>
  <c r="B27" i="159"/>
  <c r="I27" i="159" s="1"/>
  <c r="GP29" i="158"/>
  <c r="BH38" i="32"/>
  <c r="BH39" i="32"/>
  <c r="AY26" i="163"/>
  <c r="AY25" i="163"/>
  <c r="T140" i="100"/>
  <c r="V140" i="100" s="1"/>
  <c r="J140" i="100"/>
  <c r="L140" i="100" s="1"/>
  <c r="F147" i="100"/>
  <c r="G147" i="100" s="1"/>
  <c r="C28" i="159"/>
  <c r="AI30" i="158"/>
  <c r="G7" i="177"/>
  <c r="CL7" i="177" s="1"/>
  <c r="M103" i="77"/>
  <c r="BB23" i="163"/>
  <c r="D15" i="119"/>
  <c r="D21" i="123"/>
  <c r="O109" i="77"/>
  <c r="Q17" i="77"/>
  <c r="AF12" i="158"/>
  <c r="FZ12" i="158" s="1"/>
  <c r="HW11" i="158"/>
  <c r="AF88" i="158"/>
  <c r="T11" i="158"/>
  <c r="T88" i="158" s="1"/>
  <c r="P88" i="158"/>
  <c r="U13" i="177"/>
  <c r="T13" i="177"/>
  <c r="H13" i="177"/>
  <c r="CP13" i="177" s="1"/>
  <c r="S13" i="177"/>
  <c r="R13" i="177"/>
  <c r="AM22" i="155"/>
  <c r="C108" i="155"/>
  <c r="AG119" i="155"/>
  <c r="AG134" i="155"/>
  <c r="D44" i="155"/>
  <c r="D45" i="155" s="1"/>
  <c r="G21" i="119"/>
  <c r="M102" i="77"/>
  <c r="G6" i="177"/>
  <c r="CL6" i="177" s="1"/>
  <c r="O10" i="77"/>
  <c r="DA11" i="36"/>
  <c r="P11" i="36"/>
  <c r="AD11" i="36" s="1"/>
  <c r="DE11" i="36"/>
  <c r="D25" i="22"/>
  <c r="N25" i="22"/>
  <c r="AC25" i="22" s="1"/>
  <c r="R18" i="177"/>
  <c r="C19" i="177"/>
  <c r="CD19" i="177" s="1"/>
  <c r="C21" i="119"/>
  <c r="B56" i="92"/>
  <c r="E74" i="77"/>
  <c r="C27" i="123"/>
  <c r="Z114" i="77"/>
  <c r="AA25" i="22"/>
  <c r="AB25" i="22"/>
  <c r="AD11" i="77"/>
  <c r="AD102" i="77"/>
  <c r="AE12" i="77"/>
  <c r="AE103" i="77"/>
  <c r="D21" i="119"/>
  <c r="Q23" i="77"/>
  <c r="D27" i="123"/>
  <c r="W25" i="18"/>
  <c r="C71" i="115"/>
  <c r="AH22" i="77"/>
  <c r="AF22" i="77"/>
  <c r="H6" i="167"/>
  <c r="Q18" i="177"/>
  <c r="H18" i="177"/>
  <c r="CP18" i="177" s="1"/>
  <c r="H44" i="18"/>
  <c r="E24" i="77"/>
  <c r="AA24" i="77"/>
  <c r="BH24" i="77"/>
  <c r="E20" i="177" s="1"/>
  <c r="DC20" i="177" s="1"/>
  <c r="G24" i="77"/>
  <c r="BF24" i="77"/>
  <c r="X24" i="77"/>
  <c r="M24" i="77"/>
  <c r="O24" i="77"/>
  <c r="C26" i="115"/>
  <c r="AE24" i="22"/>
  <c r="J114" i="77"/>
  <c r="BH115" i="77"/>
  <c r="E115" i="77"/>
  <c r="AA115" i="77"/>
  <c r="X115" i="77"/>
  <c r="M115" i="77"/>
  <c r="O115" i="77"/>
  <c r="AC24" i="22"/>
  <c r="G115" i="77"/>
  <c r="D14" i="77"/>
  <c r="DX10" i="177" s="1"/>
  <c r="D46" i="92"/>
  <c r="D64" i="77"/>
  <c r="D105" i="77"/>
  <c r="F25" i="22"/>
  <c r="B22" i="119"/>
  <c r="B58" i="119" s="1"/>
  <c r="B93" i="119" s="1"/>
  <c r="B81" i="36"/>
  <c r="AF68" i="36"/>
  <c r="AJ55" i="36"/>
  <c r="B26" i="36"/>
  <c r="BE25" i="36"/>
  <c r="CY25" i="36" s="1"/>
  <c r="C74" i="77"/>
  <c r="C56" i="92"/>
  <c r="D26" i="115"/>
  <c r="Z23" i="77"/>
  <c r="Z115" i="77" s="1"/>
  <c r="DA23" i="77"/>
  <c r="DA115" i="77" s="1"/>
  <c r="J23" i="77"/>
  <c r="D19" i="177" s="1"/>
  <c r="CY19" i="177" s="1"/>
  <c r="A57" i="92"/>
  <c r="A20" i="92" s="1"/>
  <c r="B27" i="115"/>
  <c r="K59" i="111"/>
  <c r="B116" i="77"/>
  <c r="B25" i="77"/>
  <c r="DC25" i="77" s="1"/>
  <c r="DO21" i="177" s="1"/>
  <c r="AV24" i="77"/>
  <c r="B75" i="77"/>
  <c r="BA24" i="77"/>
  <c r="E22" i="119" s="1"/>
  <c r="S24" i="77"/>
  <c r="L24" i="77"/>
  <c r="CW24" i="77"/>
  <c r="K24" i="77" s="1"/>
  <c r="DS20" i="177" s="1"/>
  <c r="N24" i="77"/>
  <c r="E28" i="123" s="1"/>
  <c r="AW24" i="77"/>
  <c r="C24" i="77"/>
  <c r="DW20" i="177" s="1"/>
  <c r="W24" i="77"/>
  <c r="BL24" i="77"/>
  <c r="BB24" i="77"/>
  <c r="F22" i="119" s="1"/>
  <c r="I24" i="77"/>
  <c r="BE24" i="77"/>
  <c r="AC24" i="77"/>
  <c r="H24" i="77"/>
  <c r="BD24" i="77"/>
  <c r="T24" i="77"/>
  <c r="U24" i="77"/>
  <c r="F24" i="77"/>
  <c r="V24" i="77"/>
  <c r="BG24" i="77"/>
  <c r="DB115" i="77"/>
  <c r="CM115" i="77"/>
  <c r="CA115" i="77"/>
  <c r="BO115" i="77"/>
  <c r="CQ115" i="77"/>
  <c r="CE115" i="77"/>
  <c r="BS115" i="77"/>
  <c r="AX115" i="77"/>
  <c r="CP115" i="77"/>
  <c r="CD115" i="77"/>
  <c r="BR115" i="77"/>
  <c r="AV115" i="77"/>
  <c r="CV115" i="77"/>
  <c r="CG115" i="77"/>
  <c r="BP115" i="77"/>
  <c r="CU115" i="77"/>
  <c r="CF115" i="77"/>
  <c r="BN115" i="77"/>
  <c r="CT115" i="77"/>
  <c r="CC115" i="77"/>
  <c r="BM115" i="77"/>
  <c r="CS115" i="77"/>
  <c r="CB115" i="77"/>
  <c r="BK115" i="77"/>
  <c r="CR115" i="77"/>
  <c r="BZ115" i="77"/>
  <c r="BJ115" i="77"/>
  <c r="CO115" i="77"/>
  <c r="BY115" i="77"/>
  <c r="BI115" i="77"/>
  <c r="CN115" i="77"/>
  <c r="BX115" i="77"/>
  <c r="AZ115" i="77"/>
  <c r="CL115" i="77"/>
  <c r="BW115" i="77"/>
  <c r="AY115" i="77"/>
  <c r="CK115" i="77"/>
  <c r="BV115" i="77"/>
  <c r="AJ115" i="77"/>
  <c r="DC115" i="77"/>
  <c r="CJ115" i="77"/>
  <c r="BU115" i="77"/>
  <c r="CZ115" i="77"/>
  <c r="CI115" i="77"/>
  <c r="BT115" i="77"/>
  <c r="CY115" i="77"/>
  <c r="CH115" i="77"/>
  <c r="BQ115" i="77"/>
  <c r="BC115" i="77"/>
  <c r="BA115" i="77"/>
  <c r="BB115" i="77"/>
  <c r="C115" i="77"/>
  <c r="N115" i="77"/>
  <c r="L115" i="77"/>
  <c r="AC115" i="77"/>
  <c r="H115" i="77"/>
  <c r="CW115" i="77"/>
  <c r="AS115" i="77"/>
  <c r="B85" i="111"/>
  <c r="J58" i="111"/>
  <c r="U58" i="111"/>
  <c r="B72" i="115"/>
  <c r="O72" i="115" s="1"/>
  <c r="H26" i="115"/>
  <c r="K58" i="161"/>
  <c r="L59" i="161"/>
  <c r="AA58" i="161"/>
  <c r="B27" i="22"/>
  <c r="AP26" i="22"/>
  <c r="CO26" i="22"/>
  <c r="CP26" i="22" s="1"/>
  <c r="Z26" i="22"/>
  <c r="AL26" i="22"/>
  <c r="R26" i="22"/>
  <c r="T26" i="22"/>
  <c r="J26" i="22"/>
  <c r="AX26" i="22"/>
  <c r="AV26" i="22"/>
  <c r="L26" i="22"/>
  <c r="X26" i="22"/>
  <c r="AU26" i="22"/>
  <c r="U26" i="22"/>
  <c r="Q26" i="22"/>
  <c r="P26" i="22"/>
  <c r="G26" i="22"/>
  <c r="E26" i="22"/>
  <c r="I26" i="22"/>
  <c r="CM26" i="22"/>
  <c r="H26" i="22" s="1"/>
  <c r="S26" i="22"/>
  <c r="K26" i="22"/>
  <c r="C26" i="22"/>
  <c r="BB26" i="22"/>
  <c r="AK26" i="18"/>
  <c r="AH26" i="18"/>
  <c r="G26" i="18"/>
  <c r="AI26" i="18" s="1"/>
  <c r="N26" i="18"/>
  <c r="P26" i="18" s="1"/>
  <c r="B83" i="18"/>
  <c r="B28" i="18"/>
  <c r="AV27" i="18"/>
  <c r="R27" i="18"/>
  <c r="AF27" i="18"/>
  <c r="S27" i="18"/>
  <c r="F27" i="18"/>
  <c r="AJ27" i="18" s="1"/>
  <c r="AU27" i="18"/>
  <c r="V27" i="18"/>
  <c r="AC27" i="18"/>
  <c r="AO27" i="18"/>
  <c r="AM27" i="18"/>
  <c r="AN27" i="18" s="1"/>
  <c r="Q27" i="18"/>
  <c r="O27" i="18"/>
  <c r="E27" i="18"/>
  <c r="C27" i="18"/>
  <c r="AG27" i="18" s="1"/>
  <c r="AA27" i="18"/>
  <c r="AA44" i="18" s="1"/>
  <c r="K27" i="18"/>
  <c r="AD27" i="18"/>
  <c r="AB27" i="18"/>
  <c r="T27" i="18"/>
  <c r="AP27" i="18"/>
  <c r="Z27" i="18"/>
  <c r="M27" i="18"/>
  <c r="J27" i="18"/>
  <c r="X27" i="18"/>
  <c r="D27" i="18"/>
  <c r="FC26" i="158"/>
  <c r="GZ26" i="158"/>
  <c r="A21" i="168"/>
  <c r="M21" i="168" s="1"/>
  <c r="D26" i="136"/>
  <c r="A24" i="159"/>
  <c r="B103" i="158"/>
  <c r="B27" i="158"/>
  <c r="BD26" i="158"/>
  <c r="EE102" i="158"/>
  <c r="DS102" i="158"/>
  <c r="CC102" i="158"/>
  <c r="BL102" i="158"/>
  <c r="AY102" i="158"/>
  <c r="Z102" i="158"/>
  <c r="N102" i="158"/>
  <c r="EJ102" i="158"/>
  <c r="DX102" i="158"/>
  <c r="DL102" i="158"/>
  <c r="BV102" i="158"/>
  <c r="BE102" i="158"/>
  <c r="AQ102" i="158"/>
  <c r="AE102" i="158"/>
  <c r="S102" i="158"/>
  <c r="G102" i="158"/>
  <c r="EA102" i="158"/>
  <c r="DM102" i="158"/>
  <c r="BT102" i="158"/>
  <c r="AZ102" i="158"/>
  <c r="H102" i="158"/>
  <c r="DZ102" i="158"/>
  <c r="DA102" i="158"/>
  <c r="BS102" i="158"/>
  <c r="AX102" i="158"/>
  <c r="U102" i="158"/>
  <c r="F102" i="158"/>
  <c r="DY102" i="158"/>
  <c r="CZ102" i="158"/>
  <c r="BR102" i="158"/>
  <c r="T102" i="158"/>
  <c r="E102" i="158"/>
  <c r="EL102" i="158"/>
  <c r="DW102" i="158"/>
  <c r="CY102" i="158"/>
  <c r="BK102" i="158"/>
  <c r="AU102" i="158"/>
  <c r="AG102" i="158"/>
  <c r="EK102" i="158"/>
  <c r="DV102" i="158"/>
  <c r="CX102" i="158"/>
  <c r="BJ102" i="158"/>
  <c r="AT102" i="158"/>
  <c r="Q102" i="158"/>
  <c r="C102" i="158"/>
  <c r="EI102" i="158"/>
  <c r="DU102" i="158"/>
  <c r="CB102" i="158"/>
  <c r="BI102" i="158"/>
  <c r="AD102" i="158"/>
  <c r="P102" i="158"/>
  <c r="EH102" i="158"/>
  <c r="DT102" i="158"/>
  <c r="CA102" i="158"/>
  <c r="BH102" i="158"/>
  <c r="O102" i="158"/>
  <c r="EG102" i="158"/>
  <c r="DR102" i="158"/>
  <c r="BZ102" i="158"/>
  <c r="BG102" i="158"/>
  <c r="AB102" i="158"/>
  <c r="M102" i="158"/>
  <c r="EF102" i="158"/>
  <c r="DQ102" i="158"/>
  <c r="BY102" i="158"/>
  <c r="BF102" i="158"/>
  <c r="AA102" i="158"/>
  <c r="L102" i="158"/>
  <c r="ED102" i="158"/>
  <c r="DP102" i="158"/>
  <c r="BX102" i="158"/>
  <c r="BD102" i="158"/>
  <c r="Y102" i="158"/>
  <c r="K102" i="158"/>
  <c r="EC102" i="158"/>
  <c r="DO102" i="158"/>
  <c r="BW102" i="158"/>
  <c r="BB102" i="158"/>
  <c r="X102" i="158"/>
  <c r="J102" i="158"/>
  <c r="DN102" i="158"/>
  <c r="BU102" i="158"/>
  <c r="BA102" i="158"/>
  <c r="W102" i="158"/>
  <c r="I102" i="158"/>
  <c r="EB102" i="158"/>
  <c r="GC25" i="158"/>
  <c r="HI25" i="158"/>
  <c r="IE25" i="158"/>
  <c r="HS25" i="158"/>
  <c r="HG25" i="158"/>
  <c r="ID25" i="158"/>
  <c r="HR25" i="158"/>
  <c r="HF25" i="158"/>
  <c r="HQ25" i="158"/>
  <c r="HE25" i="158"/>
  <c r="HP25" i="158"/>
  <c r="HC25" i="158"/>
  <c r="HM25" i="158"/>
  <c r="FX25" i="158"/>
  <c r="FH25" i="158"/>
  <c r="FW25" i="158"/>
  <c r="FF25" i="158"/>
  <c r="HK25" i="158"/>
  <c r="FV25" i="158"/>
  <c r="FE25" i="158"/>
  <c r="HJ25" i="158"/>
  <c r="FS25" i="158"/>
  <c r="HX25" i="158"/>
  <c r="FR25" i="158"/>
  <c r="FQ25" i="158"/>
  <c r="HV25" i="158"/>
  <c r="FP25" i="158"/>
  <c r="HO25" i="158"/>
  <c r="FN25" i="158"/>
  <c r="HT25" i="158"/>
  <c r="FO25" i="158"/>
  <c r="GH25" i="158"/>
  <c r="FI25" i="158"/>
  <c r="HH25" i="158"/>
  <c r="GF25" i="158"/>
  <c r="GE25" i="158"/>
  <c r="GD25" i="158"/>
  <c r="GA25" i="158"/>
  <c r="GG25" i="158"/>
  <c r="FZ25" i="158"/>
  <c r="FY25" i="158"/>
  <c r="FJ25" i="158"/>
  <c r="FK25" i="158"/>
  <c r="HA25" i="158"/>
  <c r="FU25" i="158"/>
  <c r="FT25" i="158"/>
  <c r="GB25" i="158"/>
  <c r="FD25" i="158"/>
  <c r="FM25" i="158"/>
  <c r="FL25" i="158"/>
  <c r="GJ25" i="158"/>
  <c r="GU25" i="158"/>
  <c r="FA25" i="158"/>
  <c r="AT28" i="18"/>
  <c r="AS29" i="18"/>
  <c r="L29" i="18"/>
  <c r="AL29" i="18"/>
  <c r="DE32" i="36" l="1"/>
  <c r="O90" i="36"/>
  <c r="O45" i="36"/>
  <c r="O92" i="36"/>
  <c r="DA32" i="36"/>
  <c r="P32" i="36"/>
  <c r="N45" i="36"/>
  <c r="Q115" i="77"/>
  <c r="AP23" i="77"/>
  <c r="X25" i="18"/>
  <c r="U24" i="22"/>
  <c r="T19" i="177"/>
  <c r="S19" i="177"/>
  <c r="U23" i="22"/>
  <c r="V23" i="22" s="1"/>
  <c r="V24" i="22" s="1"/>
  <c r="V25" i="22" s="1"/>
  <c r="X23" i="77"/>
  <c r="DH23" i="77"/>
  <c r="CI19" i="177" s="1"/>
  <c r="Y23" i="22"/>
  <c r="Y24" i="22" s="1"/>
  <c r="Y25" i="22" s="1"/>
  <c r="Y26" i="22" s="1"/>
  <c r="DY20" i="177"/>
  <c r="DE24" i="77"/>
  <c r="DF24" i="77" s="1"/>
  <c r="G20" i="177"/>
  <c r="U20" i="177" s="1"/>
  <c r="DI24" i="77"/>
  <c r="CL19" i="177"/>
  <c r="F20" i="177"/>
  <c r="T20" i="177" s="1"/>
  <c r="DG24" i="77"/>
  <c r="U116" i="77"/>
  <c r="G116" i="77"/>
  <c r="T116" i="77"/>
  <c r="W116" i="77"/>
  <c r="BD116" i="77"/>
  <c r="DG20" i="177"/>
  <c r="L7" i="171"/>
  <c r="FP11" i="158"/>
  <c r="IJ16" i="158"/>
  <c r="FL16" i="158"/>
  <c r="IJ19" i="158"/>
  <c r="FL19" i="158"/>
  <c r="BG116" i="77"/>
  <c r="BE116" i="77"/>
  <c r="DK20" i="177"/>
  <c r="I116" i="77"/>
  <c r="F116" i="77"/>
  <c r="S116" i="77"/>
  <c r="L11" i="171"/>
  <c r="FP15" i="158"/>
  <c r="CE19" i="177"/>
  <c r="G17" i="177"/>
  <c r="CL17" i="177" s="1"/>
  <c r="M113" i="77"/>
  <c r="O21" i="77"/>
  <c r="AK52" i="36"/>
  <c r="P22" i="36"/>
  <c r="AD22" i="36" s="1"/>
  <c r="DA22" i="36"/>
  <c r="DE22" i="36"/>
  <c r="R2" i="36"/>
  <c r="C12" i="111"/>
  <c r="L15" i="36" s="1"/>
  <c r="N15" i="36" s="1"/>
  <c r="DE16" i="36"/>
  <c r="DA16" i="36"/>
  <c r="M101" i="77"/>
  <c r="G5" i="177"/>
  <c r="CL5" i="177" s="1"/>
  <c r="P16" i="36"/>
  <c r="AD16" i="36" s="1"/>
  <c r="O15" i="77"/>
  <c r="M110" i="77"/>
  <c r="G14" i="177"/>
  <c r="CL14" i="177" s="1"/>
  <c r="DA19" i="36"/>
  <c r="O18" i="77"/>
  <c r="AK49" i="36"/>
  <c r="AM49" i="36" s="1"/>
  <c r="DE19" i="36"/>
  <c r="P19" i="36"/>
  <c r="AD19" i="36" s="1"/>
  <c r="G11" i="177"/>
  <c r="CL11" i="177" s="1"/>
  <c r="M107" i="77"/>
  <c r="DE12" i="36"/>
  <c r="DA12" i="36"/>
  <c r="M14" i="77"/>
  <c r="DI14" i="77" s="1"/>
  <c r="M13" i="77"/>
  <c r="DI13" i="77" s="1"/>
  <c r="N14" i="36"/>
  <c r="P12" i="36"/>
  <c r="AD12" i="36" s="1"/>
  <c r="O11" i="77"/>
  <c r="T83" i="18"/>
  <c r="L5" i="171"/>
  <c r="FP9" i="158"/>
  <c r="AN24" i="158"/>
  <c r="AN101" i="158" s="1"/>
  <c r="AJ10" i="77"/>
  <c r="AN11" i="158"/>
  <c r="E10" i="100"/>
  <c r="F10" i="100" s="1"/>
  <c r="G10" i="100" s="1"/>
  <c r="E19" i="32"/>
  <c r="F19" i="32" s="1"/>
  <c r="E12" i="117"/>
  <c r="F12" i="117" s="1"/>
  <c r="G12" i="117" s="1"/>
  <c r="C20" i="32"/>
  <c r="R19" i="32"/>
  <c r="AK100" i="158"/>
  <c r="AG22" i="22"/>
  <c r="AK3" i="158"/>
  <c r="IA22" i="158"/>
  <c r="AN99" i="158"/>
  <c r="H31" i="171"/>
  <c r="AK99" i="158"/>
  <c r="AS22" i="158"/>
  <c r="AS99" i="158" s="1"/>
  <c r="AN23" i="158"/>
  <c r="AM23" i="77" s="1"/>
  <c r="AF36" i="36"/>
  <c r="K31" i="171"/>
  <c r="H8" i="171"/>
  <c r="AS10" i="158"/>
  <c r="AS87" i="158" s="1"/>
  <c r="AJ12" i="77"/>
  <c r="K8" i="171"/>
  <c r="AS26" i="158"/>
  <c r="AS103" i="158" s="1"/>
  <c r="K22" i="171"/>
  <c r="AK87" i="158"/>
  <c r="D11" i="171"/>
  <c r="G11" i="171" s="1"/>
  <c r="D5" i="171"/>
  <c r="F5" i="171" s="1"/>
  <c r="D7" i="171"/>
  <c r="G7" i="171" s="1"/>
  <c r="G20" i="171"/>
  <c r="AJ114" i="77"/>
  <c r="G23" i="171"/>
  <c r="F26" i="123"/>
  <c r="AM114" i="77"/>
  <c r="F23" i="171"/>
  <c r="F8" i="171"/>
  <c r="F31" i="171"/>
  <c r="H22" i="171"/>
  <c r="G21" i="171"/>
  <c r="AC102" i="158"/>
  <c r="BB37" i="32"/>
  <c r="BC37" i="32" s="1"/>
  <c r="BM37" i="32"/>
  <c r="E25" i="156"/>
  <c r="F25" i="156" s="1"/>
  <c r="G25" i="156" s="1"/>
  <c r="D26" i="163"/>
  <c r="E66" i="126"/>
  <c r="F66" i="126" s="1"/>
  <c r="G66" i="126" s="1"/>
  <c r="E28" i="126"/>
  <c r="G26" i="155"/>
  <c r="F36" i="163"/>
  <c r="G36" i="163" s="1"/>
  <c r="I36" i="163"/>
  <c r="J36" i="163" s="1"/>
  <c r="I35" i="163"/>
  <c r="J35" i="163" s="1"/>
  <c r="F35" i="163"/>
  <c r="G35" i="163" s="1"/>
  <c r="R18" i="32"/>
  <c r="E18" i="32"/>
  <c r="F18" i="32" s="1"/>
  <c r="E11" i="117"/>
  <c r="F11" i="117" s="1"/>
  <c r="G11" i="117" s="1"/>
  <c r="J18" i="32"/>
  <c r="L18" i="32" s="1"/>
  <c r="M18" i="32" s="1"/>
  <c r="E9" i="100"/>
  <c r="F24" i="100"/>
  <c r="G24" i="100" s="1"/>
  <c r="J11" i="100"/>
  <c r="L11" i="100" s="1"/>
  <c r="E157" i="100"/>
  <c r="BI38" i="32"/>
  <c r="BI39" i="32"/>
  <c r="BI40" i="32"/>
  <c r="BJ40" i="32"/>
  <c r="BJ41" i="32" s="1"/>
  <c r="BJ39" i="32"/>
  <c r="BJ38" i="32"/>
  <c r="X134" i="77"/>
  <c r="AC39" i="158"/>
  <c r="AZ39" i="32"/>
  <c r="AZ38" i="32"/>
  <c r="AZ40" i="32"/>
  <c r="BA39" i="32"/>
  <c r="BA40" i="32"/>
  <c r="BA41" i="32" s="1"/>
  <c r="BA38" i="32"/>
  <c r="C61" i="115"/>
  <c r="AF12" i="77"/>
  <c r="AF104" i="77" s="1"/>
  <c r="AH12" i="77"/>
  <c r="AH104" i="77" s="1"/>
  <c r="Q104" i="77"/>
  <c r="HY12" i="158"/>
  <c r="AI89" i="158"/>
  <c r="CP8" i="177"/>
  <c r="V8" i="177"/>
  <c r="CT8" i="177" s="1"/>
  <c r="BS15" i="150"/>
  <c r="BQ20" i="150"/>
  <c r="O15" i="177"/>
  <c r="O19" i="158"/>
  <c r="FN19" i="158" s="1"/>
  <c r="P19" i="158"/>
  <c r="HI19" i="158"/>
  <c r="M96" i="158"/>
  <c r="J19" i="22"/>
  <c r="Q19" i="158"/>
  <c r="O12" i="177"/>
  <c r="Q16" i="158"/>
  <c r="J16" i="22"/>
  <c r="O16" i="158"/>
  <c r="FN16" i="158" s="1"/>
  <c r="M93" i="158"/>
  <c r="HI16" i="158"/>
  <c r="P16" i="158"/>
  <c r="T14" i="158"/>
  <c r="T91" i="158" s="1"/>
  <c r="P91" i="158"/>
  <c r="Q91" i="158"/>
  <c r="U14" i="158"/>
  <c r="U91" i="158" s="1"/>
  <c r="D52" i="92"/>
  <c r="D111" i="77"/>
  <c r="D70" i="77"/>
  <c r="D20" i="77"/>
  <c r="DX16" i="177" s="1"/>
  <c r="P10" i="177"/>
  <c r="CQ10" i="177" s="1"/>
  <c r="Q10" i="177"/>
  <c r="L17" i="36"/>
  <c r="BQ17" i="150"/>
  <c r="D48" i="119"/>
  <c r="GL14" i="158"/>
  <c r="L14" i="22"/>
  <c r="N14" i="22" s="1"/>
  <c r="F14" i="136"/>
  <c r="G14" i="136" s="1"/>
  <c r="H14" i="136" s="1"/>
  <c r="I14" i="136" s="1"/>
  <c r="HK14" i="158"/>
  <c r="S14" i="158"/>
  <c r="C10" i="167"/>
  <c r="D10" i="167" s="1"/>
  <c r="G10" i="167" s="1"/>
  <c r="H10" i="167" s="1"/>
  <c r="B12" i="159"/>
  <c r="I12" i="159" s="1"/>
  <c r="C10" i="171"/>
  <c r="O91" i="158"/>
  <c r="GP14" i="158"/>
  <c r="AM26" i="22"/>
  <c r="AJ23" i="155"/>
  <c r="F21" i="167"/>
  <c r="A28" i="167"/>
  <c r="G28" i="167"/>
  <c r="H28" i="167" s="1"/>
  <c r="AB23" i="163"/>
  <c r="AT23" i="163"/>
  <c r="AE25" i="22"/>
  <c r="AI102" i="158"/>
  <c r="F13" i="167"/>
  <c r="F20" i="167"/>
  <c r="AB11" i="77"/>
  <c r="AB102" i="77"/>
  <c r="C29" i="159"/>
  <c r="AI31" i="158"/>
  <c r="BQ9" i="150"/>
  <c r="BR9" i="150"/>
  <c r="C6" i="111" s="1"/>
  <c r="HY17" i="158"/>
  <c r="AI94" i="158"/>
  <c r="D9" i="92"/>
  <c r="D90" i="158"/>
  <c r="HB13" i="158"/>
  <c r="AI33" i="158"/>
  <c r="C31" i="159"/>
  <c r="D7" i="167"/>
  <c r="G7" i="167" s="1"/>
  <c r="U13" i="158"/>
  <c r="U90" i="158" s="1"/>
  <c r="Q90" i="158"/>
  <c r="AF13" i="158"/>
  <c r="FZ13" i="158" s="1"/>
  <c r="AF89" i="158"/>
  <c r="HW12" i="158"/>
  <c r="Y10" i="77"/>
  <c r="Y101" i="77"/>
  <c r="BS14" i="150"/>
  <c r="D15" i="36"/>
  <c r="N91" i="161"/>
  <c r="M50" i="161"/>
  <c r="D14" i="158"/>
  <c r="FE14" i="158" s="1"/>
  <c r="N15" i="22"/>
  <c r="O101" i="77"/>
  <c r="D7" i="119"/>
  <c r="Q9" i="77"/>
  <c r="D13" i="123"/>
  <c r="Q109" i="77"/>
  <c r="AF17" i="77"/>
  <c r="AF109" i="77" s="1"/>
  <c r="C66" i="115"/>
  <c r="AH17" i="77"/>
  <c r="AH109" i="77" s="1"/>
  <c r="D25" i="167"/>
  <c r="G25" i="167" s="1"/>
  <c r="H25" i="167" s="1"/>
  <c r="S92" i="158"/>
  <c r="HM15" i="158"/>
  <c r="AI15" i="158"/>
  <c r="GB15" i="158" s="1"/>
  <c r="C13" i="159"/>
  <c r="HY24" i="158"/>
  <c r="AI101" i="158"/>
  <c r="AH89" i="158"/>
  <c r="AH13" i="158"/>
  <c r="AI11" i="158"/>
  <c r="GB11" i="158" s="1"/>
  <c r="C9" i="159"/>
  <c r="S88" i="158"/>
  <c r="HM11" i="158"/>
  <c r="Q9" i="177"/>
  <c r="P9" i="177"/>
  <c r="CQ9" i="177" s="1"/>
  <c r="T7" i="177"/>
  <c r="H7" i="177"/>
  <c r="R7" i="177"/>
  <c r="S7" i="177"/>
  <c r="U7" i="177"/>
  <c r="AG124" i="155"/>
  <c r="AG121" i="155"/>
  <c r="AG123" i="155"/>
  <c r="AG120" i="155"/>
  <c r="AG122" i="155"/>
  <c r="I13" i="177"/>
  <c r="V13" i="177"/>
  <c r="CT13" i="177" s="1"/>
  <c r="AI29" i="158"/>
  <c r="C27" i="159"/>
  <c r="D29" i="167"/>
  <c r="F29" i="167" s="1"/>
  <c r="D11" i="167"/>
  <c r="G11" i="167" s="1"/>
  <c r="H11" i="167" s="1"/>
  <c r="HM9" i="158"/>
  <c r="C7" i="159"/>
  <c r="AI9" i="158"/>
  <c r="GB9" i="158" s="1"/>
  <c r="S86" i="158"/>
  <c r="P90" i="158"/>
  <c r="T13" i="158"/>
  <c r="T90" i="158" s="1"/>
  <c r="D5" i="167"/>
  <c r="H5" i="167" s="1"/>
  <c r="AE9" i="22"/>
  <c r="AC9" i="22"/>
  <c r="AE11" i="22"/>
  <c r="AC11" i="22"/>
  <c r="O90" i="158"/>
  <c r="GP13" i="158"/>
  <c r="B11" i="159"/>
  <c r="I11" i="159" s="1"/>
  <c r="HK13" i="158"/>
  <c r="GL13" i="158"/>
  <c r="C9" i="167"/>
  <c r="D9" i="167" s="1"/>
  <c r="L13" i="22"/>
  <c r="N13" i="22" s="1"/>
  <c r="C9" i="171"/>
  <c r="D9" i="171" s="1"/>
  <c r="D47" i="119"/>
  <c r="F13" i="136"/>
  <c r="G13" i="136" s="1"/>
  <c r="H13" i="136" s="1"/>
  <c r="I13" i="136" s="1"/>
  <c r="S13" i="158"/>
  <c r="E35" i="171"/>
  <c r="H33" i="171"/>
  <c r="AE23" i="126"/>
  <c r="AF23" i="126" s="1"/>
  <c r="AB24" i="126"/>
  <c r="AE24" i="126" s="1"/>
  <c r="AB25" i="126"/>
  <c r="AB26" i="126"/>
  <c r="AM26" i="155"/>
  <c r="AM24" i="155"/>
  <c r="AM25" i="155"/>
  <c r="AM23" i="155"/>
  <c r="F27" i="167"/>
  <c r="A27" i="167"/>
  <c r="G27" i="167"/>
  <c r="H27" i="167" s="1"/>
  <c r="AW41" i="148"/>
  <c r="BA9" i="148"/>
  <c r="X23" i="126"/>
  <c r="D8" i="119"/>
  <c r="D14" i="123"/>
  <c r="O102" i="77"/>
  <c r="Q10" i="77"/>
  <c r="U6" i="177"/>
  <c r="T6" i="177"/>
  <c r="H6" i="177"/>
  <c r="R6" i="177"/>
  <c r="S6" i="177"/>
  <c r="J115" i="77"/>
  <c r="U27" i="18"/>
  <c r="Y27" i="18" s="1"/>
  <c r="W27" i="18" s="1"/>
  <c r="W44" i="18" s="1"/>
  <c r="G22" i="119"/>
  <c r="V26" i="22"/>
  <c r="N26" i="22"/>
  <c r="AE26" i="22" s="1"/>
  <c r="BL116" i="77"/>
  <c r="V18" i="177"/>
  <c r="CT18" i="177" s="1"/>
  <c r="AF114" i="77"/>
  <c r="E44" i="18"/>
  <c r="K83" i="18"/>
  <c r="F83" i="18"/>
  <c r="V116" i="77"/>
  <c r="E25" i="77"/>
  <c r="AW25" i="77"/>
  <c r="G25" i="77"/>
  <c r="BE25" i="77"/>
  <c r="DK21" i="177" s="1"/>
  <c r="BF25" i="77"/>
  <c r="BB25" i="77"/>
  <c r="F23" i="119" s="1"/>
  <c r="S25" i="77"/>
  <c r="BA25" i="77"/>
  <c r="E23" i="119" s="1"/>
  <c r="BH25" i="77"/>
  <c r="E21" i="177" s="1"/>
  <c r="DC21" i="177" s="1"/>
  <c r="L25" i="77"/>
  <c r="T25" i="77"/>
  <c r="U25" i="77"/>
  <c r="O25" i="77"/>
  <c r="M25" i="77"/>
  <c r="N25" i="77"/>
  <c r="E29" i="123" s="1"/>
  <c r="V25" i="77"/>
  <c r="AA25" i="77"/>
  <c r="X25" i="77"/>
  <c r="D22" i="119"/>
  <c r="D28" i="123"/>
  <c r="Q24" i="77"/>
  <c r="Q116" i="77" s="1"/>
  <c r="AH114" i="77"/>
  <c r="AD12" i="77"/>
  <c r="AD103" i="77"/>
  <c r="S83" i="18"/>
  <c r="AS116" i="77"/>
  <c r="E116" i="77"/>
  <c r="BH116" i="77"/>
  <c r="AA116" i="77"/>
  <c r="X116" i="77"/>
  <c r="M116" i="77"/>
  <c r="O116" i="77"/>
  <c r="R44" i="18"/>
  <c r="AB83" i="18"/>
  <c r="AB44" i="18"/>
  <c r="D26" i="22"/>
  <c r="BF116" i="77"/>
  <c r="D44" i="18"/>
  <c r="K44" i="18"/>
  <c r="AB26" i="22"/>
  <c r="AW116" i="77"/>
  <c r="D47" i="92"/>
  <c r="D65" i="77"/>
  <c r="D106" i="77"/>
  <c r="C44" i="18"/>
  <c r="F44" i="18"/>
  <c r="AE13" i="77"/>
  <c r="AE104" i="77"/>
  <c r="C83" i="18"/>
  <c r="AG83" i="18" s="1"/>
  <c r="W26" i="22"/>
  <c r="R19" i="177"/>
  <c r="AA26" i="22"/>
  <c r="K116" i="77"/>
  <c r="R83" i="18"/>
  <c r="AH23" i="77"/>
  <c r="C72" i="115"/>
  <c r="AF23" i="77"/>
  <c r="Q19" i="177"/>
  <c r="H19" i="177"/>
  <c r="CP19" i="177" s="1"/>
  <c r="C27" i="115"/>
  <c r="F26" i="22"/>
  <c r="C20" i="177"/>
  <c r="CD20" i="177" s="1"/>
  <c r="C22" i="119"/>
  <c r="E75" i="77"/>
  <c r="B57" i="92"/>
  <c r="C28" i="123"/>
  <c r="GZ27" i="158"/>
  <c r="FC27" i="158"/>
  <c r="A22" i="168"/>
  <c r="M22" i="168" s="1"/>
  <c r="D27" i="136"/>
  <c r="A25" i="159"/>
  <c r="B104" i="158"/>
  <c r="B28" i="158"/>
  <c r="BD27" i="158"/>
  <c r="EF103" i="158"/>
  <c r="DT103" i="158"/>
  <c r="CX103" i="158"/>
  <c r="BR103" i="158"/>
  <c r="AZ103" i="158"/>
  <c r="AA103" i="158"/>
  <c r="O103" i="158"/>
  <c r="ED103" i="158"/>
  <c r="DR103" i="158"/>
  <c r="CB103" i="158"/>
  <c r="EH103" i="158"/>
  <c r="DS103" i="158"/>
  <c r="BZ103" i="158"/>
  <c r="BH103" i="158"/>
  <c r="S103" i="158"/>
  <c r="F103" i="158"/>
  <c r="DY103" i="158"/>
  <c r="DA103" i="158"/>
  <c r="BS103" i="158"/>
  <c r="AY103" i="158"/>
  <c r="X103" i="158"/>
  <c r="K103" i="158"/>
  <c r="EI103" i="158"/>
  <c r="DP103" i="158"/>
  <c r="BV103" i="158"/>
  <c r="BA103" i="158"/>
  <c r="AI103" i="158"/>
  <c r="T103" i="158"/>
  <c r="EG103" i="158"/>
  <c r="DO103" i="158"/>
  <c r="BU103" i="158"/>
  <c r="AX103" i="158"/>
  <c r="C103" i="158"/>
  <c r="EE103" i="158"/>
  <c r="DN103" i="158"/>
  <c r="BT103" i="158"/>
  <c r="AG103" i="158"/>
  <c r="Q103" i="158"/>
  <c r="EC103" i="158"/>
  <c r="DM103" i="158"/>
  <c r="BL103" i="158"/>
  <c r="AU103" i="158"/>
  <c r="AE103" i="158"/>
  <c r="P103" i="158"/>
  <c r="EB103" i="158"/>
  <c r="DL103" i="158"/>
  <c r="BK103" i="158"/>
  <c r="AT103" i="158"/>
  <c r="AD103" i="158"/>
  <c r="N103" i="158"/>
  <c r="EA103" i="158"/>
  <c r="CZ103" i="158"/>
  <c r="BJ103" i="158"/>
  <c r="AC103" i="158"/>
  <c r="M103" i="158"/>
  <c r="DZ103" i="158"/>
  <c r="CY103" i="158"/>
  <c r="BI103" i="158"/>
  <c r="AQ103" i="158"/>
  <c r="AB103" i="158"/>
  <c r="L103" i="158"/>
  <c r="DX103" i="158"/>
  <c r="CC103" i="158"/>
  <c r="BG103" i="158"/>
  <c r="Z103" i="158"/>
  <c r="J103" i="158"/>
  <c r="DW103" i="158"/>
  <c r="CA103" i="158"/>
  <c r="BF103" i="158"/>
  <c r="Y103" i="158"/>
  <c r="I103" i="158"/>
  <c r="EL103" i="158"/>
  <c r="DV103" i="158"/>
  <c r="BY103" i="158"/>
  <c r="BE103" i="158"/>
  <c r="W103" i="158"/>
  <c r="H103" i="158"/>
  <c r="EK103" i="158"/>
  <c r="DU103" i="158"/>
  <c r="BX103" i="158"/>
  <c r="BD103" i="158"/>
  <c r="G103" i="158"/>
  <c r="EJ103" i="158"/>
  <c r="DQ103" i="158"/>
  <c r="BW103" i="158"/>
  <c r="BB103" i="158"/>
  <c r="U103" i="158"/>
  <c r="E103" i="158"/>
  <c r="GD26" i="158"/>
  <c r="HO26" i="158"/>
  <c r="HY26" i="158"/>
  <c r="HM26" i="158"/>
  <c r="HX26" i="158"/>
  <c r="HK26" i="158"/>
  <c r="HV26" i="158"/>
  <c r="HJ26" i="158"/>
  <c r="HQ26" i="158"/>
  <c r="HE26" i="158"/>
  <c r="GA26" i="158"/>
  <c r="FI26" i="158"/>
  <c r="HU26" i="158"/>
  <c r="HC26" i="158"/>
  <c r="FZ26" i="158"/>
  <c r="FH26" i="158"/>
  <c r="HT26" i="158"/>
  <c r="HA26" i="158"/>
  <c r="FY26" i="158"/>
  <c r="FF26" i="158"/>
  <c r="HS26" i="158"/>
  <c r="FX26" i="158"/>
  <c r="IE26" i="158"/>
  <c r="FP26" i="158"/>
  <c r="ID26" i="158"/>
  <c r="FO26" i="158"/>
  <c r="FK26" i="158"/>
  <c r="FJ26" i="158"/>
  <c r="GH26" i="158"/>
  <c r="HR26" i="158"/>
  <c r="HP26" i="158"/>
  <c r="FS26" i="158"/>
  <c r="FR26" i="158"/>
  <c r="FW26" i="158"/>
  <c r="HI26" i="158"/>
  <c r="GG26" i="158"/>
  <c r="HH26" i="158"/>
  <c r="GF26" i="158"/>
  <c r="HG26" i="158"/>
  <c r="GE26" i="158"/>
  <c r="HF26" i="158"/>
  <c r="FQ26" i="158"/>
  <c r="GC26" i="158"/>
  <c r="FE26" i="158"/>
  <c r="FN26" i="158"/>
  <c r="FV26" i="158"/>
  <c r="FT26" i="158"/>
  <c r="FL26" i="158"/>
  <c r="FM26" i="158"/>
  <c r="FD26" i="158"/>
  <c r="FU26" i="158"/>
  <c r="GB26" i="158"/>
  <c r="GJ26" i="158"/>
  <c r="GU26" i="158"/>
  <c r="FA26" i="158"/>
  <c r="AH27" i="18"/>
  <c r="G27" i="18"/>
  <c r="AI27" i="18" s="1"/>
  <c r="N27" i="18"/>
  <c r="P27" i="18" s="1"/>
  <c r="P44" i="18" s="1"/>
  <c r="AK27" i="18"/>
  <c r="B29" i="18"/>
  <c r="B84" i="18"/>
  <c r="F28" i="18"/>
  <c r="AJ28" i="18" s="1"/>
  <c r="K28" i="18"/>
  <c r="J28" i="18"/>
  <c r="V28" i="18"/>
  <c r="AB28" i="18"/>
  <c r="AA28" i="18"/>
  <c r="D28" i="18"/>
  <c r="T28" i="18"/>
  <c r="AF28" i="18"/>
  <c r="X28" i="18"/>
  <c r="S28" i="18"/>
  <c r="AO28" i="18"/>
  <c r="AM28" i="18"/>
  <c r="AN28" i="18" s="1"/>
  <c r="Q28" i="18"/>
  <c r="O28" i="18"/>
  <c r="AU28" i="18"/>
  <c r="E28" i="18"/>
  <c r="AC28" i="18"/>
  <c r="AP28" i="18"/>
  <c r="M28" i="18"/>
  <c r="Z28" i="18"/>
  <c r="AV28" i="18"/>
  <c r="C28" i="18"/>
  <c r="AG28" i="18" s="1"/>
  <c r="R28" i="18"/>
  <c r="AD28" i="18"/>
  <c r="B28" i="22"/>
  <c r="AP27" i="22"/>
  <c r="Z27" i="22"/>
  <c r="P27" i="22"/>
  <c r="AL27" i="22"/>
  <c r="CM27" i="22"/>
  <c r="H27" i="22" s="1"/>
  <c r="R27" i="22"/>
  <c r="AX27" i="22"/>
  <c r="U27" i="22"/>
  <c r="T27" i="22"/>
  <c r="S27" i="22"/>
  <c r="J27" i="22"/>
  <c r="E27" i="22"/>
  <c r="L27" i="22"/>
  <c r="K27" i="22"/>
  <c r="Q27" i="22"/>
  <c r="C27" i="22"/>
  <c r="I27" i="22"/>
  <c r="AU27" i="22"/>
  <c r="G27" i="22"/>
  <c r="BB27" i="22"/>
  <c r="AV27" i="22"/>
  <c r="X27" i="22"/>
  <c r="CO27" i="22"/>
  <c r="CP27" i="22" s="1"/>
  <c r="K59" i="161"/>
  <c r="L60" i="161"/>
  <c r="AA59" i="161"/>
  <c r="DA24" i="77"/>
  <c r="DA116" i="77" s="1"/>
  <c r="J24" i="77"/>
  <c r="D20" i="177" s="1"/>
  <c r="CY20" i="177" s="1"/>
  <c r="D27" i="115"/>
  <c r="Z24" i="77"/>
  <c r="Z116" i="77" s="1"/>
  <c r="C75" i="77"/>
  <c r="C57" i="92"/>
  <c r="A58" i="92"/>
  <c r="A21" i="92" s="1"/>
  <c r="B28" i="115"/>
  <c r="K60" i="111"/>
  <c r="B117" i="77"/>
  <c r="B76" i="77"/>
  <c r="B26" i="77"/>
  <c r="DC26" i="77" s="1"/>
  <c r="DO22" i="177" s="1"/>
  <c r="AV25" i="77"/>
  <c r="AC25" i="77"/>
  <c r="W25" i="77"/>
  <c r="BL25" i="77"/>
  <c r="CW25" i="77"/>
  <c r="K25" i="77" s="1"/>
  <c r="DS21" i="177" s="1"/>
  <c r="BD25" i="77"/>
  <c r="DG21" i="177" s="1"/>
  <c r="C25" i="77"/>
  <c r="DW21" i="177" s="1"/>
  <c r="H25" i="77"/>
  <c r="I25" i="77"/>
  <c r="F25" i="77"/>
  <c r="BG25" i="77"/>
  <c r="DB116" i="77"/>
  <c r="CM116" i="77"/>
  <c r="CA116" i="77"/>
  <c r="BO116" i="77"/>
  <c r="CQ116" i="77"/>
  <c r="CE116" i="77"/>
  <c r="BS116" i="77"/>
  <c r="AX116" i="77"/>
  <c r="CP116" i="77"/>
  <c r="CD116" i="77"/>
  <c r="BR116" i="77"/>
  <c r="AV116" i="77"/>
  <c r="CV116" i="77"/>
  <c r="CG116" i="77"/>
  <c r="BP116" i="77"/>
  <c r="CU116" i="77"/>
  <c r="CF116" i="77"/>
  <c r="BN116" i="77"/>
  <c r="CT116" i="77"/>
  <c r="CC116" i="77"/>
  <c r="BM116" i="77"/>
  <c r="CS116" i="77"/>
  <c r="CB116" i="77"/>
  <c r="BK116" i="77"/>
  <c r="CR116" i="77"/>
  <c r="BZ116" i="77"/>
  <c r="BJ116" i="77"/>
  <c r="CO116" i="77"/>
  <c r="BY116" i="77"/>
  <c r="BI116" i="77"/>
  <c r="CN116" i="77"/>
  <c r="BX116" i="77"/>
  <c r="AZ116" i="77"/>
  <c r="CL116" i="77"/>
  <c r="BW116" i="77"/>
  <c r="AY116" i="77"/>
  <c r="CK116" i="77"/>
  <c r="BV116" i="77"/>
  <c r="DC116" i="77"/>
  <c r="CJ116" i="77"/>
  <c r="BU116" i="77"/>
  <c r="CZ116" i="77"/>
  <c r="CI116" i="77"/>
  <c r="BT116" i="77"/>
  <c r="CY116" i="77"/>
  <c r="CH116" i="77"/>
  <c r="BQ116" i="77"/>
  <c r="C116" i="77"/>
  <c r="BC116" i="77"/>
  <c r="BA116" i="77"/>
  <c r="BB116" i="77"/>
  <c r="L116" i="77"/>
  <c r="H116" i="77"/>
  <c r="N116" i="77"/>
  <c r="CW116" i="77"/>
  <c r="AC116" i="77"/>
  <c r="U59" i="111"/>
  <c r="J59" i="111"/>
  <c r="B73" i="115"/>
  <c r="O73" i="115" s="1"/>
  <c r="H27" i="115"/>
  <c r="B23" i="119"/>
  <c r="B59" i="119" s="1"/>
  <c r="B94" i="119" s="1"/>
  <c r="AJ56" i="36"/>
  <c r="B82" i="36"/>
  <c r="B27" i="36"/>
  <c r="BE26" i="36"/>
  <c r="CY26" i="36" s="1"/>
  <c r="AT29" i="18"/>
  <c r="AL30" i="18"/>
  <c r="AS30" i="18"/>
  <c r="L30" i="18"/>
  <c r="P45" i="36" l="1"/>
  <c r="Q45" i="36"/>
  <c r="L45" i="36" s="1"/>
  <c r="M45" i="36" s="1"/>
  <c r="Q92" i="36"/>
  <c r="Q90" i="36"/>
  <c r="AD32" i="36"/>
  <c r="AP24" i="77"/>
  <c r="AP25" i="77" s="1"/>
  <c r="CH20" i="177"/>
  <c r="S20" i="177"/>
  <c r="CL20" i="177"/>
  <c r="DH24" i="77"/>
  <c r="CI20" i="177" s="1"/>
  <c r="F21" i="177"/>
  <c r="DG25" i="77"/>
  <c r="DY21" i="177"/>
  <c r="DE25" i="77"/>
  <c r="DF25" i="77" s="1"/>
  <c r="DH25" i="77" s="1"/>
  <c r="CI21" i="177" s="1"/>
  <c r="G21" i="177"/>
  <c r="U21" i="177" s="1"/>
  <c r="DI25" i="77"/>
  <c r="F117" i="77"/>
  <c r="BL117" i="77"/>
  <c r="I117" i="77"/>
  <c r="L10" i="171"/>
  <c r="FP14" i="158"/>
  <c r="AN88" i="158"/>
  <c r="GD11" i="158"/>
  <c r="AI37" i="36"/>
  <c r="AK37" i="36" s="1"/>
  <c r="AH36" i="36"/>
  <c r="L9" i="171"/>
  <c r="FP13" i="158"/>
  <c r="CE20" i="177"/>
  <c r="O113" i="77"/>
  <c r="D19" i="119"/>
  <c r="D25" i="123"/>
  <c r="Q21" i="77"/>
  <c r="S17" i="177"/>
  <c r="U17" i="177"/>
  <c r="T17" i="177"/>
  <c r="R17" i="177"/>
  <c r="H17" i="177"/>
  <c r="CP17" i="177" s="1"/>
  <c r="L20" i="36"/>
  <c r="T5" i="177"/>
  <c r="H5" i="177"/>
  <c r="CP5" i="177" s="1"/>
  <c r="R5" i="177"/>
  <c r="S5" i="177"/>
  <c r="U5" i="177"/>
  <c r="D13" i="119"/>
  <c r="D19" i="123"/>
  <c r="Q15" i="77"/>
  <c r="AF15" i="77" s="1"/>
  <c r="O107" i="77"/>
  <c r="P15" i="36"/>
  <c r="AD15" i="36" s="1"/>
  <c r="O14" i="77"/>
  <c r="DA15" i="36"/>
  <c r="DE15" i="36"/>
  <c r="T11" i="177"/>
  <c r="H11" i="177"/>
  <c r="S11" i="177"/>
  <c r="R11" i="177"/>
  <c r="U11" i="177"/>
  <c r="G10" i="177"/>
  <c r="M106" i="77"/>
  <c r="H14" i="177"/>
  <c r="CP14" i="177" s="1"/>
  <c r="S14" i="177"/>
  <c r="U14" i="177"/>
  <c r="R14" i="177"/>
  <c r="T14" i="177"/>
  <c r="D22" i="123"/>
  <c r="D16" i="119"/>
  <c r="Q18" i="77"/>
  <c r="O110" i="77"/>
  <c r="D15" i="123"/>
  <c r="D9" i="119"/>
  <c r="G9" i="177"/>
  <c r="M105" i="77"/>
  <c r="O13" i="77"/>
  <c r="P14" i="36"/>
  <c r="DA14" i="36"/>
  <c r="DE14" i="36"/>
  <c r="N17" i="36"/>
  <c r="M16" i="77"/>
  <c r="DI16" i="77" s="1"/>
  <c r="Q11" i="77"/>
  <c r="C60" i="115" s="1"/>
  <c r="O103" i="77"/>
  <c r="U44" i="18"/>
  <c r="U28" i="18"/>
  <c r="Y28" i="18" s="1"/>
  <c r="W28" i="18" s="1"/>
  <c r="O83" i="18"/>
  <c r="AG11" i="22"/>
  <c r="H20" i="171"/>
  <c r="H21" i="171"/>
  <c r="AN26" i="158"/>
  <c r="H23" i="171"/>
  <c r="AN36" i="158"/>
  <c r="IA24" i="158"/>
  <c r="AG23" i="22"/>
  <c r="AM11" i="77"/>
  <c r="IA11" i="158"/>
  <c r="AG24" i="22"/>
  <c r="AM24" i="77"/>
  <c r="F28" i="123" s="1"/>
  <c r="AN13" i="158"/>
  <c r="IA23" i="158"/>
  <c r="AN100" i="158"/>
  <c r="E7" i="126"/>
  <c r="I7" i="126" s="1"/>
  <c r="J7" i="126" s="1"/>
  <c r="E49" i="126"/>
  <c r="F49" i="126" s="1"/>
  <c r="G49" i="126" s="1"/>
  <c r="R5" i="32"/>
  <c r="R6" i="32" s="1"/>
  <c r="BK37" i="32" s="1"/>
  <c r="R20" i="32"/>
  <c r="E8" i="156"/>
  <c r="F8" i="156" s="1"/>
  <c r="G8" i="156" s="1"/>
  <c r="E13" i="117"/>
  <c r="F13" i="117" s="1"/>
  <c r="G13" i="117" s="1"/>
  <c r="E20" i="32"/>
  <c r="F20" i="32" s="1"/>
  <c r="AS35" i="158"/>
  <c r="AS15" i="158"/>
  <c r="AS92" i="158" s="1"/>
  <c r="K11" i="171"/>
  <c r="AN27" i="158"/>
  <c r="AG27" i="22" s="1"/>
  <c r="AN12" i="158"/>
  <c r="GD12" i="158" s="1"/>
  <c r="K7" i="171"/>
  <c r="AJ26" i="77"/>
  <c r="AS12" i="158"/>
  <c r="AS89" i="158" s="1"/>
  <c r="H5" i="171"/>
  <c r="AK103" i="158"/>
  <c r="AK89" i="158"/>
  <c r="K21" i="171"/>
  <c r="AK104" i="158"/>
  <c r="K23" i="171"/>
  <c r="AN25" i="158"/>
  <c r="K20" i="171"/>
  <c r="AJ104" i="77"/>
  <c r="H11" i="171"/>
  <c r="AJ102" i="77"/>
  <c r="F27" i="123"/>
  <c r="AM115" i="77"/>
  <c r="F7" i="171"/>
  <c r="F9" i="171"/>
  <c r="G9" i="171"/>
  <c r="D10" i="171"/>
  <c r="F11" i="171"/>
  <c r="E143" i="100"/>
  <c r="F9" i="100"/>
  <c r="G9" i="100" s="1"/>
  <c r="L28" i="126"/>
  <c r="M28" i="126" s="1"/>
  <c r="I28" i="126"/>
  <c r="J28" i="126" s="1"/>
  <c r="E7" i="156"/>
  <c r="F7" i="156" s="1"/>
  <c r="G7" i="156" s="1"/>
  <c r="G7" i="155"/>
  <c r="E48" i="126"/>
  <c r="F48" i="126" s="1"/>
  <c r="G48" i="126" s="1"/>
  <c r="E6" i="126"/>
  <c r="I6" i="126" s="1"/>
  <c r="J6" i="126" s="1"/>
  <c r="D7" i="163"/>
  <c r="C43" i="32"/>
  <c r="Y134" i="77"/>
  <c r="T143" i="100"/>
  <c r="V143" i="100" s="1"/>
  <c r="F157" i="100"/>
  <c r="G157" i="100" s="1"/>
  <c r="I26" i="163"/>
  <c r="J26" i="163" s="1"/>
  <c r="F26" i="163"/>
  <c r="G26" i="163" s="1"/>
  <c r="AM27" i="22"/>
  <c r="BS20" i="150"/>
  <c r="F10" i="167"/>
  <c r="T19" i="158"/>
  <c r="T96" i="158" s="1"/>
  <c r="P96" i="158"/>
  <c r="GP19" i="158"/>
  <c r="C15" i="171"/>
  <c r="D15" i="171" s="1"/>
  <c r="B17" i="159"/>
  <c r="I17" i="159" s="1"/>
  <c r="L19" i="22"/>
  <c r="N19" i="22" s="1"/>
  <c r="C15" i="167"/>
  <c r="HK19" i="158"/>
  <c r="D53" i="119"/>
  <c r="GL19" i="158"/>
  <c r="S19" i="158"/>
  <c r="O96" i="158"/>
  <c r="F19" i="136"/>
  <c r="G19" i="136" s="1"/>
  <c r="H19" i="136" s="1"/>
  <c r="P15" i="177"/>
  <c r="CQ15" i="177" s="1"/>
  <c r="Q15" i="177"/>
  <c r="U19" i="158"/>
  <c r="U96" i="158" s="1"/>
  <c r="Q96" i="158"/>
  <c r="D112" i="77"/>
  <c r="D71" i="77"/>
  <c r="D53" i="92"/>
  <c r="D21" i="77"/>
  <c r="DX17" i="177" s="1"/>
  <c r="T16" i="158"/>
  <c r="T93" i="158" s="1"/>
  <c r="P93" i="158"/>
  <c r="AC14" i="22"/>
  <c r="AE14" i="22"/>
  <c r="GL16" i="158"/>
  <c r="O93" i="158"/>
  <c r="B14" i="159"/>
  <c r="I14" i="159" s="1"/>
  <c r="C12" i="171"/>
  <c r="D12" i="171" s="1"/>
  <c r="AS16" i="158"/>
  <c r="AS93" i="158" s="1"/>
  <c r="L16" i="22"/>
  <c r="F16" i="136"/>
  <c r="G16" i="136" s="1"/>
  <c r="H16" i="136" s="1"/>
  <c r="I16" i="136" s="1"/>
  <c r="C12" i="167"/>
  <c r="D12" i="167" s="1"/>
  <c r="G12" i="167" s="1"/>
  <c r="H12" i="167" s="1"/>
  <c r="S16" i="158"/>
  <c r="GP16" i="158"/>
  <c r="HK16" i="158"/>
  <c r="D50" i="119"/>
  <c r="C12" i="159"/>
  <c r="AI14" i="158"/>
  <c r="GB14" i="158" s="1"/>
  <c r="S91" i="158"/>
  <c r="HM14" i="158"/>
  <c r="BS17" i="150"/>
  <c r="Q93" i="158"/>
  <c r="U16" i="158"/>
  <c r="U93" i="158" s="1"/>
  <c r="P12" i="177"/>
  <c r="CQ12" i="177" s="1"/>
  <c r="Q12" i="177"/>
  <c r="BS9" i="150"/>
  <c r="AF24" i="126"/>
  <c r="F11" i="167"/>
  <c r="F25" i="167"/>
  <c r="F5" i="167"/>
  <c r="S90" i="158"/>
  <c r="C11" i="159"/>
  <c r="AI13" i="158"/>
  <c r="GB13" i="158" s="1"/>
  <c r="HM13" i="158"/>
  <c r="CP7" i="177"/>
  <c r="V7" i="177"/>
  <c r="CT7" i="177" s="1"/>
  <c r="HB14" i="158"/>
  <c r="D91" i="158"/>
  <c r="D10" i="92"/>
  <c r="AC26" i="22"/>
  <c r="AE15" i="22"/>
  <c r="AC15" i="22"/>
  <c r="D16" i="36"/>
  <c r="D15" i="158"/>
  <c r="FE15" i="158" s="1"/>
  <c r="N92" i="161"/>
  <c r="M51" i="161"/>
  <c r="AF14" i="158"/>
  <c r="FZ14" i="158" s="1"/>
  <c r="AF90" i="158"/>
  <c r="HW13" i="158"/>
  <c r="AB12" i="77"/>
  <c r="AB103" i="77"/>
  <c r="H7" i="171"/>
  <c r="V5" i="177"/>
  <c r="CT5" i="177" s="1"/>
  <c r="I5" i="177"/>
  <c r="AI88" i="158"/>
  <c r="HY11" i="158"/>
  <c r="AI86" i="158"/>
  <c r="HY9" i="158"/>
  <c r="C6" i="161"/>
  <c r="BT9" i="148"/>
  <c r="BV9" i="148" s="1"/>
  <c r="AE13" i="22"/>
  <c r="AC13" i="22"/>
  <c r="AF9" i="77"/>
  <c r="AF101" i="77" s="1"/>
  <c r="AH9" i="77"/>
  <c r="AH101" i="77" s="1"/>
  <c r="Q101" i="77"/>
  <c r="C58" i="115"/>
  <c r="F7" i="167"/>
  <c r="G29" i="167"/>
  <c r="H29" i="167" s="1"/>
  <c r="A29" i="167"/>
  <c r="F9" i="167"/>
  <c r="G9" i="167"/>
  <c r="H9" i="167" s="1"/>
  <c r="HY15" i="158"/>
  <c r="AI92" i="158"/>
  <c r="H7" i="167"/>
  <c r="AH90" i="158"/>
  <c r="AH14" i="158"/>
  <c r="Y11" i="77"/>
  <c r="Y102" i="77"/>
  <c r="AA27" i="22"/>
  <c r="V6" i="177"/>
  <c r="CT6" i="177" s="1"/>
  <c r="CP6" i="177"/>
  <c r="I6" i="177"/>
  <c r="AH10" i="77"/>
  <c r="AH102" i="77" s="1"/>
  <c r="C59" i="115"/>
  <c r="AF10" i="77"/>
  <c r="AF102" i="77" s="1"/>
  <c r="Q102" i="77"/>
  <c r="J116" i="77"/>
  <c r="Q20" i="177"/>
  <c r="H20" i="177"/>
  <c r="CP20" i="177" s="1"/>
  <c r="AF115" i="77"/>
  <c r="Q44" i="18"/>
  <c r="L44" i="18" s="1"/>
  <c r="D27" i="22"/>
  <c r="G117" i="77"/>
  <c r="W117" i="77"/>
  <c r="O44" i="18"/>
  <c r="V27" i="22"/>
  <c r="BG117" i="77"/>
  <c r="F27" i="22"/>
  <c r="AH115" i="77"/>
  <c r="AB27" i="22"/>
  <c r="D23" i="119"/>
  <c r="D29" i="123"/>
  <c r="Q25" i="77"/>
  <c r="C21" i="177"/>
  <c r="CD21" i="177" s="1"/>
  <c r="B58" i="92"/>
  <c r="C29" i="123"/>
  <c r="E76" i="77"/>
  <c r="C23" i="119"/>
  <c r="U117" i="77"/>
  <c r="C73" i="115"/>
  <c r="AH24" i="77"/>
  <c r="AF24" i="77"/>
  <c r="T117" i="77"/>
  <c r="AD83" i="18"/>
  <c r="AK83" i="18"/>
  <c r="U83" i="18"/>
  <c r="AH83" i="18"/>
  <c r="X83" i="18"/>
  <c r="V83" i="18" s="1"/>
  <c r="X44" i="18"/>
  <c r="AS117" i="77"/>
  <c r="BH117" i="77"/>
  <c r="E117" i="77"/>
  <c r="AW117" i="77"/>
  <c r="BE117" i="77"/>
  <c r="BA117" i="77"/>
  <c r="BB117" i="77"/>
  <c r="L117" i="77"/>
  <c r="M117" i="77"/>
  <c r="V117" i="77"/>
  <c r="O117" i="77"/>
  <c r="N117" i="77"/>
  <c r="AA117" i="77"/>
  <c r="X117" i="77"/>
  <c r="S21" i="177"/>
  <c r="N44" i="18"/>
  <c r="R20" i="177"/>
  <c r="Z83" i="18"/>
  <c r="Y27" i="22"/>
  <c r="G23" i="119"/>
  <c r="C28" i="115"/>
  <c r="S117" i="77"/>
  <c r="AD13" i="77"/>
  <c r="AD104" i="77"/>
  <c r="BD117" i="77"/>
  <c r="Q83" i="18"/>
  <c r="AE14" i="77"/>
  <c r="AE105" i="77"/>
  <c r="BF117" i="77"/>
  <c r="V19" i="177"/>
  <c r="CT19" i="177" s="1"/>
  <c r="K117" i="77"/>
  <c r="N27" i="22"/>
  <c r="AC27" i="22" s="1"/>
  <c r="W27" i="22"/>
  <c r="B24" i="119"/>
  <c r="B60" i="119" s="1"/>
  <c r="B95" i="119" s="1"/>
  <c r="B83" i="36"/>
  <c r="B28" i="36"/>
  <c r="BE27" i="36"/>
  <c r="CY27" i="36" s="1"/>
  <c r="J25" i="77"/>
  <c r="D21" i="177" s="1"/>
  <c r="CY21" i="177" s="1"/>
  <c r="DA25" i="77"/>
  <c r="DA117" i="77" s="1"/>
  <c r="C58" i="92"/>
  <c r="C76" i="77"/>
  <c r="D28" i="115"/>
  <c r="Z25" i="77"/>
  <c r="Z117" i="77" s="1"/>
  <c r="A59" i="92"/>
  <c r="A22" i="92" s="1"/>
  <c r="B29" i="115"/>
  <c r="K61" i="111"/>
  <c r="B118" i="77"/>
  <c r="B77" i="77"/>
  <c r="B27" i="77"/>
  <c r="DC27" i="77" s="1"/>
  <c r="DO23" i="177" s="1"/>
  <c r="AV26" i="77"/>
  <c r="CW26" i="77"/>
  <c r="K26" i="77" s="1"/>
  <c r="DS22" i="177" s="1"/>
  <c r="C26" i="77"/>
  <c r="DW22" i="177" s="1"/>
  <c r="AW26" i="77"/>
  <c r="AW118" i="77" s="1"/>
  <c r="S26" i="77"/>
  <c r="S118" i="77" s="1"/>
  <c r="M26" i="77"/>
  <c r="L26" i="77"/>
  <c r="AC26" i="77"/>
  <c r="I26" i="77"/>
  <c r="I118" i="77" s="1"/>
  <c r="W26" i="77"/>
  <c r="W118" i="77" s="1"/>
  <c r="BE26" i="77"/>
  <c r="U26" i="77"/>
  <c r="U118" i="77" s="1"/>
  <c r="BB26" i="77"/>
  <c r="F24" i="119" s="1"/>
  <c r="N26" i="77"/>
  <c r="E30" i="123" s="1"/>
  <c r="BA26" i="77"/>
  <c r="E24" i="119" s="1"/>
  <c r="T26" i="77"/>
  <c r="T118" i="77" s="1"/>
  <c r="V26" i="77"/>
  <c r="V118" i="77" s="1"/>
  <c r="BL26" i="77"/>
  <c r="BL118" i="77" s="1"/>
  <c r="H26" i="77"/>
  <c r="DB117" i="77"/>
  <c r="CM117" i="77"/>
  <c r="CA117" i="77"/>
  <c r="BO117" i="77"/>
  <c r="CQ117" i="77"/>
  <c r="CE117" i="77"/>
  <c r="BS117" i="77"/>
  <c r="AX117" i="77"/>
  <c r="CP117" i="77"/>
  <c r="CD117" i="77"/>
  <c r="BR117" i="77"/>
  <c r="AV117" i="77"/>
  <c r="CV117" i="77"/>
  <c r="CG117" i="77"/>
  <c r="BP117" i="77"/>
  <c r="CU117" i="77"/>
  <c r="CF117" i="77"/>
  <c r="BN117" i="77"/>
  <c r="CT117" i="77"/>
  <c r="CC117" i="77"/>
  <c r="BM117" i="77"/>
  <c r="CS117" i="77"/>
  <c r="CB117" i="77"/>
  <c r="BK117" i="77"/>
  <c r="CR117" i="77"/>
  <c r="BZ117" i="77"/>
  <c r="BJ117" i="77"/>
  <c r="CO117" i="77"/>
  <c r="BY117" i="77"/>
  <c r="BI117" i="77"/>
  <c r="CN117" i="77"/>
  <c r="BX117" i="77"/>
  <c r="AZ117" i="77"/>
  <c r="CL117" i="77"/>
  <c r="BW117" i="77"/>
  <c r="AY117" i="77"/>
  <c r="CK117" i="77"/>
  <c r="BV117" i="77"/>
  <c r="DC117" i="77"/>
  <c r="CJ117" i="77"/>
  <c r="BU117" i="77"/>
  <c r="CZ117" i="77"/>
  <c r="CI117" i="77"/>
  <c r="BT117" i="77"/>
  <c r="CY117" i="77"/>
  <c r="CH117" i="77"/>
  <c r="BQ117" i="77"/>
  <c r="BC117" i="77"/>
  <c r="C117" i="77"/>
  <c r="CW117" i="77"/>
  <c r="H117" i="77"/>
  <c r="AC117" i="77"/>
  <c r="J60" i="111"/>
  <c r="U60" i="111"/>
  <c r="H28" i="115"/>
  <c r="B74" i="115"/>
  <c r="O74" i="115" s="1"/>
  <c r="K60" i="161"/>
  <c r="L61" i="161"/>
  <c r="AA60" i="161"/>
  <c r="B29" i="22"/>
  <c r="AP28" i="22"/>
  <c r="G28" i="22"/>
  <c r="G43" i="22" s="1"/>
  <c r="E28" i="22"/>
  <c r="I28" i="22"/>
  <c r="CM28" i="22"/>
  <c r="H28" i="22" s="1"/>
  <c r="S28" i="22"/>
  <c r="K28" i="22"/>
  <c r="C28" i="22"/>
  <c r="CO28" i="22"/>
  <c r="CP28" i="22" s="1"/>
  <c r="BB28" i="22"/>
  <c r="AL28" i="22"/>
  <c r="T28" i="22"/>
  <c r="Z28" i="22"/>
  <c r="AV28" i="22"/>
  <c r="L28" i="22"/>
  <c r="R28" i="22"/>
  <c r="AX28" i="22"/>
  <c r="X28" i="22"/>
  <c r="J28" i="22"/>
  <c r="P28" i="22"/>
  <c r="AU28" i="22"/>
  <c r="U28" i="22"/>
  <c r="U43" i="22" s="1"/>
  <c r="Q28" i="22"/>
  <c r="N28" i="18"/>
  <c r="P28" i="18" s="1"/>
  <c r="AK28" i="18"/>
  <c r="AH28" i="18"/>
  <c r="G28" i="18"/>
  <c r="AI28" i="18" s="1"/>
  <c r="B85" i="18"/>
  <c r="B30" i="18"/>
  <c r="AA29" i="18"/>
  <c r="AB85" i="18" s="1"/>
  <c r="AC29" i="18"/>
  <c r="M29" i="18"/>
  <c r="AV29" i="18"/>
  <c r="C29" i="18"/>
  <c r="AG29" i="18" s="1"/>
  <c r="AD29" i="18"/>
  <c r="AP29" i="18"/>
  <c r="V29" i="18"/>
  <c r="AB29" i="18"/>
  <c r="Z29" i="18"/>
  <c r="D29" i="18"/>
  <c r="T29" i="18"/>
  <c r="R29" i="18"/>
  <c r="AF29" i="18"/>
  <c r="AM29" i="18"/>
  <c r="AN29" i="18" s="1"/>
  <c r="J29" i="18"/>
  <c r="F29" i="18"/>
  <c r="AJ29" i="18" s="1"/>
  <c r="O29" i="18"/>
  <c r="E29" i="18"/>
  <c r="S29" i="18"/>
  <c r="K29" i="18"/>
  <c r="AO29" i="18"/>
  <c r="AU29" i="18"/>
  <c r="Q29" i="18"/>
  <c r="X29" i="18"/>
  <c r="GZ28" i="158"/>
  <c r="FC28" i="158"/>
  <c r="A23" i="168"/>
  <c r="M23" i="168" s="1"/>
  <c r="D28" i="136"/>
  <c r="A26" i="159"/>
  <c r="B105" i="158"/>
  <c r="BD28" i="158"/>
  <c r="B29" i="158"/>
  <c r="EJ104" i="158"/>
  <c r="DX104" i="158"/>
  <c r="DL104" i="158"/>
  <c r="BV104" i="158"/>
  <c r="BE104" i="158"/>
  <c r="AQ104" i="158"/>
  <c r="AE104" i="158"/>
  <c r="S104" i="158"/>
  <c r="G104" i="158"/>
  <c r="EH104" i="158"/>
  <c r="DV104" i="158"/>
  <c r="CZ104" i="158"/>
  <c r="BT104" i="158"/>
  <c r="BB104" i="158"/>
  <c r="AC104" i="158"/>
  <c r="Q104" i="158"/>
  <c r="E104" i="158"/>
  <c r="ED104" i="158"/>
  <c r="DP104" i="158"/>
  <c r="BX104" i="158"/>
  <c r="BD104" i="158"/>
  <c r="Y104" i="158"/>
  <c r="K104" i="158"/>
  <c r="EC104" i="158"/>
  <c r="DO104" i="158"/>
  <c r="BW104" i="158"/>
  <c r="BA104" i="158"/>
  <c r="X104" i="158"/>
  <c r="EK104" i="158"/>
  <c r="DU104" i="158"/>
  <c r="CC104" i="158"/>
  <c r="BJ104" i="158"/>
  <c r="AT104" i="158"/>
  <c r="P104" i="158"/>
  <c r="DY104" i="158"/>
  <c r="CA104" i="158"/>
  <c r="AZ104" i="158"/>
  <c r="N104" i="158"/>
  <c r="DW104" i="158"/>
  <c r="BZ104" i="158"/>
  <c r="AY104" i="158"/>
  <c r="AG104" i="158"/>
  <c r="M104" i="158"/>
  <c r="DT104" i="158"/>
  <c r="BY104" i="158"/>
  <c r="AX104" i="158"/>
  <c r="AD104" i="158"/>
  <c r="L104" i="158"/>
  <c r="DS104" i="158"/>
  <c r="BU104" i="158"/>
  <c r="AB104" i="158"/>
  <c r="J104" i="158"/>
  <c r="EL104" i="158"/>
  <c r="DR104" i="158"/>
  <c r="BS104" i="158"/>
  <c r="AU104" i="158"/>
  <c r="AA104" i="158"/>
  <c r="I104" i="158"/>
  <c r="EI104" i="158"/>
  <c r="DQ104" i="158"/>
  <c r="BR104" i="158"/>
  <c r="Z104" i="158"/>
  <c r="H104" i="158"/>
  <c r="EG104" i="158"/>
  <c r="DN104" i="158"/>
  <c r="BL104" i="158"/>
  <c r="W104" i="158"/>
  <c r="F104" i="158"/>
  <c r="EF104" i="158"/>
  <c r="DM104" i="158"/>
  <c r="BK104" i="158"/>
  <c r="EE104" i="158"/>
  <c r="DA104" i="158"/>
  <c r="BI104" i="158"/>
  <c r="U104" i="158"/>
  <c r="C104" i="158"/>
  <c r="EB104" i="158"/>
  <c r="CY104" i="158"/>
  <c r="BH104" i="158"/>
  <c r="T104" i="158"/>
  <c r="EA104" i="158"/>
  <c r="CX104" i="158"/>
  <c r="BG104" i="158"/>
  <c r="CB104" i="158"/>
  <c r="BF104" i="158"/>
  <c r="AI104" i="158"/>
  <c r="O104" i="158"/>
  <c r="DZ104" i="158"/>
  <c r="HU27" i="158"/>
  <c r="HI27" i="158"/>
  <c r="HT27" i="158"/>
  <c r="IE27" i="158"/>
  <c r="HS27" i="158"/>
  <c r="HG27" i="158"/>
  <c r="ID27" i="158"/>
  <c r="HR27" i="158"/>
  <c r="HF27" i="158"/>
  <c r="FX27" i="158"/>
  <c r="HQ27" i="158"/>
  <c r="HE27" i="158"/>
  <c r="HP27" i="158"/>
  <c r="HC27" i="158"/>
  <c r="HH27" i="158"/>
  <c r="FQ27" i="158"/>
  <c r="HM27" i="158"/>
  <c r="FP27" i="158"/>
  <c r="FL27" i="158"/>
  <c r="HK27" i="158"/>
  <c r="FK27" i="158"/>
  <c r="FJ27" i="158"/>
  <c r="FI27" i="158"/>
  <c r="FH27" i="158"/>
  <c r="HY27" i="158"/>
  <c r="GH27" i="158"/>
  <c r="HX27" i="158"/>
  <c r="HV27" i="158"/>
  <c r="FT27" i="158"/>
  <c r="HJ27" i="158"/>
  <c r="FZ27" i="158"/>
  <c r="FY27" i="158"/>
  <c r="HA27" i="158"/>
  <c r="FS27" i="158"/>
  <c r="GB27" i="158"/>
  <c r="GG27" i="158"/>
  <c r="HO27" i="158"/>
  <c r="GA27" i="158"/>
  <c r="FF27" i="158"/>
  <c r="GD27" i="158"/>
  <c r="FV27" i="158"/>
  <c r="FN27" i="158"/>
  <c r="FE27" i="158"/>
  <c r="GC27" i="158"/>
  <c r="FM27" i="158"/>
  <c r="FD27" i="158"/>
  <c r="FO27" i="158"/>
  <c r="GE27" i="158"/>
  <c r="FR27" i="158"/>
  <c r="FW27" i="158"/>
  <c r="GF27" i="158"/>
  <c r="FU27" i="158"/>
  <c r="GJ27" i="158"/>
  <c r="GU27" i="158"/>
  <c r="FA27" i="158"/>
  <c r="AT30" i="18"/>
  <c r="L31" i="18"/>
  <c r="AS31" i="18"/>
  <c r="AL31" i="18"/>
  <c r="L92" i="36" l="1"/>
  <c r="M92" i="36"/>
  <c r="L90" i="36"/>
  <c r="M90" i="36"/>
  <c r="AE45" i="36"/>
  <c r="AE92" i="36"/>
  <c r="AE90" i="36"/>
  <c r="AD45" i="36"/>
  <c r="CH21" i="177"/>
  <c r="T21" i="177"/>
  <c r="CL21" i="177"/>
  <c r="U29" i="18"/>
  <c r="F22" i="177"/>
  <c r="CH22" i="177" s="1"/>
  <c r="DG26" i="77"/>
  <c r="G22" i="177"/>
  <c r="DI26" i="77"/>
  <c r="L12" i="171"/>
  <c r="FP16" i="158"/>
  <c r="BE118" i="77"/>
  <c r="DK22" i="177"/>
  <c r="L15" i="171"/>
  <c r="FP19" i="158"/>
  <c r="IA13" i="158"/>
  <c r="GD13" i="158"/>
  <c r="U22" i="177"/>
  <c r="T9" i="177"/>
  <c r="CL9" i="177"/>
  <c r="CE21" i="177"/>
  <c r="T10" i="177"/>
  <c r="CL10" i="177"/>
  <c r="Q113" i="77"/>
  <c r="AH21" i="77"/>
  <c r="AH113" i="77" s="1"/>
  <c r="C70" i="115"/>
  <c r="AF21" i="77"/>
  <c r="AF113" i="77" s="1"/>
  <c r="V17" i="177"/>
  <c r="CT17" i="177" s="1"/>
  <c r="N20" i="36"/>
  <c r="N43" i="36" s="1"/>
  <c r="M19" i="77"/>
  <c r="C64" i="115"/>
  <c r="R85" i="18"/>
  <c r="Q107" i="77"/>
  <c r="AH15" i="77"/>
  <c r="AH107" i="77" s="1"/>
  <c r="H9" i="177"/>
  <c r="R9" i="177"/>
  <c r="U9" i="177"/>
  <c r="S9" i="177"/>
  <c r="CP11" i="177"/>
  <c r="V11" i="177"/>
  <c r="CT11" i="177" s="1"/>
  <c r="Q14" i="77"/>
  <c r="D12" i="119"/>
  <c r="O106" i="77"/>
  <c r="D18" i="123"/>
  <c r="S10" i="177"/>
  <c r="R10" i="177"/>
  <c r="DE17" i="36"/>
  <c r="DA17" i="36"/>
  <c r="M108" i="77"/>
  <c r="G12" i="177"/>
  <c r="CL12" i="177" s="1"/>
  <c r="H10" i="177"/>
  <c r="U10" i="177"/>
  <c r="P17" i="36"/>
  <c r="O16" i="77"/>
  <c r="AD14" i="36"/>
  <c r="BQ49" i="36"/>
  <c r="BS49" i="36" s="1"/>
  <c r="BS50" i="36" s="1"/>
  <c r="V14" i="177"/>
  <c r="CT14" i="177" s="1"/>
  <c r="C67" i="115"/>
  <c r="AH18" i="77"/>
  <c r="AH110" i="77" s="1"/>
  <c r="AF18" i="77"/>
  <c r="AF110" i="77" s="1"/>
  <c r="Q110" i="77"/>
  <c r="AH11" i="77"/>
  <c r="AH103" i="77" s="1"/>
  <c r="Q103" i="77"/>
  <c r="AF11" i="77"/>
  <c r="AF103" i="77" s="1"/>
  <c r="D17" i="123"/>
  <c r="Q13" i="77"/>
  <c r="O105" i="77"/>
  <c r="D11" i="119"/>
  <c r="AM116" i="77"/>
  <c r="AN90" i="158"/>
  <c r="AG13" i="22"/>
  <c r="AM13" i="77"/>
  <c r="AM105" i="77" s="1"/>
  <c r="AJ25" i="77"/>
  <c r="AK92" i="158"/>
  <c r="E50" i="126"/>
  <c r="F50" i="126" s="1"/>
  <c r="G50" i="126" s="1"/>
  <c r="E9" i="156"/>
  <c r="F9" i="156" s="1"/>
  <c r="G9" i="156" s="1"/>
  <c r="D8" i="163"/>
  <c r="G8" i="155"/>
  <c r="O42" i="115"/>
  <c r="E8" i="126"/>
  <c r="I8" i="126" s="1"/>
  <c r="J8" i="126" s="1"/>
  <c r="AN28" i="158"/>
  <c r="AG28" i="22" s="1"/>
  <c r="AN16" i="158"/>
  <c r="AJ15" i="77"/>
  <c r="AJ107" i="77" s="1"/>
  <c r="AN104" i="158"/>
  <c r="AK102" i="158"/>
  <c r="AS11" i="158"/>
  <c r="AS88" i="158" s="1"/>
  <c r="AS25" i="158"/>
  <c r="AS102" i="158" s="1"/>
  <c r="AK88" i="158"/>
  <c r="AJ11" i="77"/>
  <c r="IA27" i="158"/>
  <c r="AM27" i="77"/>
  <c r="AS24" i="158"/>
  <c r="AS101" i="158" s="1"/>
  <c r="AK101" i="158"/>
  <c r="AS27" i="158"/>
  <c r="AS104" i="158" s="1"/>
  <c r="AN14" i="158"/>
  <c r="GD14" i="158" s="1"/>
  <c r="K9" i="171"/>
  <c r="AJ24" i="77"/>
  <c r="AJ116" i="77" s="1"/>
  <c r="AJ27" i="77"/>
  <c r="H9" i="171"/>
  <c r="AM26" i="77"/>
  <c r="AG26" i="22"/>
  <c r="AN103" i="158"/>
  <c r="IA26" i="158"/>
  <c r="AM103" i="77"/>
  <c r="F15" i="123"/>
  <c r="K15" i="123" s="1"/>
  <c r="J15" i="123" s="1"/>
  <c r="F10" i="171"/>
  <c r="G10" i="171"/>
  <c r="AG12" i="22"/>
  <c r="AN89" i="158"/>
  <c r="IA12" i="158"/>
  <c r="AM25" i="77"/>
  <c r="AG25" i="22"/>
  <c r="AN102" i="158"/>
  <c r="IA25" i="158"/>
  <c r="AM28" i="22"/>
  <c r="BK42" i="32"/>
  <c r="BK40" i="32"/>
  <c r="BK38" i="32"/>
  <c r="BK39" i="32"/>
  <c r="BK41" i="32"/>
  <c r="BL37" i="32"/>
  <c r="BN37" i="32" s="1"/>
  <c r="E31" i="117"/>
  <c r="F31" i="117" s="1"/>
  <c r="G31" i="117" s="1"/>
  <c r="R43" i="32"/>
  <c r="E43" i="32"/>
  <c r="F43" i="32" s="1"/>
  <c r="J43" i="32"/>
  <c r="L43" i="32" s="1"/>
  <c r="M43" i="32" s="1"/>
  <c r="I7" i="163"/>
  <c r="J7" i="163" s="1"/>
  <c r="F7" i="163"/>
  <c r="G7" i="163" s="1"/>
  <c r="F143" i="100"/>
  <c r="G143" i="100" s="1"/>
  <c r="T139" i="100"/>
  <c r="D15" i="167"/>
  <c r="G15" i="167" s="1"/>
  <c r="H15" i="167" s="1"/>
  <c r="AE19" i="22"/>
  <c r="AC19" i="22"/>
  <c r="F12" i="167"/>
  <c r="AI19" i="158"/>
  <c r="GB19" i="158" s="1"/>
  <c r="C17" i="159"/>
  <c r="HM19" i="158"/>
  <c r="S96" i="158"/>
  <c r="AI16" i="158"/>
  <c r="GB16" i="158" s="1"/>
  <c r="C14" i="159"/>
  <c r="HM16" i="158"/>
  <c r="S93" i="158"/>
  <c r="D54" i="92"/>
  <c r="D72" i="77"/>
  <c r="D113" i="77"/>
  <c r="HY14" i="158"/>
  <c r="AI91" i="158"/>
  <c r="N16" i="22"/>
  <c r="L42" i="22"/>
  <c r="M42" i="22"/>
  <c r="AF15" i="158"/>
  <c r="FZ15" i="158" s="1"/>
  <c r="HW14" i="158"/>
  <c r="AF91" i="158"/>
  <c r="AH91" i="158"/>
  <c r="AH15" i="158"/>
  <c r="D17" i="36"/>
  <c r="M52" i="161"/>
  <c r="N93" i="161"/>
  <c r="D16" i="158"/>
  <c r="FE16" i="158" s="1"/>
  <c r="HY13" i="158"/>
  <c r="AI90" i="158"/>
  <c r="Y12" i="77"/>
  <c r="Y103" i="77"/>
  <c r="D11" i="92"/>
  <c r="HB15" i="158"/>
  <c r="D92" i="158"/>
  <c r="M8" i="158"/>
  <c r="L9" i="36"/>
  <c r="AF107" i="77"/>
  <c r="AB13" i="77"/>
  <c r="AB104" i="77"/>
  <c r="G24" i="119"/>
  <c r="P43" i="22"/>
  <c r="Y28" i="22"/>
  <c r="J117" i="77"/>
  <c r="AH116" i="77"/>
  <c r="S85" i="18"/>
  <c r="N28" i="22"/>
  <c r="N43" i="22" s="1"/>
  <c r="M43" i="22"/>
  <c r="L43" i="22"/>
  <c r="Q21" i="177"/>
  <c r="H21" i="177"/>
  <c r="CP21" i="177" s="1"/>
  <c r="F28" i="22"/>
  <c r="T85" i="18"/>
  <c r="E43" i="22"/>
  <c r="F43" i="22"/>
  <c r="AF25" i="77"/>
  <c r="C74" i="115"/>
  <c r="AH25" i="77"/>
  <c r="V43" i="22"/>
  <c r="W28" i="22"/>
  <c r="AA43" i="22"/>
  <c r="Z43" i="22"/>
  <c r="AE15" i="77"/>
  <c r="AE106" i="77"/>
  <c r="K85" i="18"/>
  <c r="F85" i="18"/>
  <c r="K118" i="77"/>
  <c r="AA28" i="22"/>
  <c r="I43" i="22"/>
  <c r="AE27" i="22"/>
  <c r="R21" i="177"/>
  <c r="AD14" i="77"/>
  <c r="AD105" i="77"/>
  <c r="AB28" i="22"/>
  <c r="E27" i="77"/>
  <c r="BH27" i="77"/>
  <c r="E23" i="177" s="1"/>
  <c r="DC23" i="177" s="1"/>
  <c r="G27" i="77"/>
  <c r="AA27" i="77"/>
  <c r="C30" i="115" s="1"/>
  <c r="O27" i="77"/>
  <c r="X27" i="77"/>
  <c r="BF27" i="77"/>
  <c r="D28" i="22"/>
  <c r="L83" i="18"/>
  <c r="M83" i="18"/>
  <c r="Q117" i="77"/>
  <c r="V28" i="22"/>
  <c r="C85" i="18"/>
  <c r="AG85" i="18" s="1"/>
  <c r="V20" i="177"/>
  <c r="CT20" i="177" s="1"/>
  <c r="C43" i="22"/>
  <c r="D43" i="22"/>
  <c r="J26" i="77"/>
  <c r="D22" i="177" s="1"/>
  <c r="CY22" i="177" s="1"/>
  <c r="DA26" i="77"/>
  <c r="DA118" i="77" s="1"/>
  <c r="H118" i="77"/>
  <c r="AF116" i="77"/>
  <c r="M44" i="18"/>
  <c r="FC29" i="158"/>
  <c r="GZ29" i="158"/>
  <c r="A24" i="168"/>
  <c r="M24" i="168" s="1"/>
  <c r="D29" i="136"/>
  <c r="A27" i="159"/>
  <c r="B106" i="158"/>
  <c r="BD29" i="158"/>
  <c r="B30" i="158"/>
  <c r="EB105" i="158"/>
  <c r="DP105" i="158"/>
  <c r="BZ105" i="158"/>
  <c r="BI105" i="158"/>
  <c r="AU105" i="158"/>
  <c r="AI105" i="158"/>
  <c r="W105" i="158"/>
  <c r="K105" i="158"/>
  <c r="EL105" i="158"/>
  <c r="DZ105" i="158"/>
  <c r="DN105" i="158"/>
  <c r="BX105" i="158"/>
  <c r="BG105" i="158"/>
  <c r="AG105" i="158"/>
  <c r="U105" i="158"/>
  <c r="I105" i="158"/>
  <c r="EA105" i="158"/>
  <c r="DL105" i="158"/>
  <c r="BT105" i="158"/>
  <c r="AZ105" i="158"/>
  <c r="G105" i="158"/>
  <c r="DY105" i="158"/>
  <c r="DA105" i="158"/>
  <c r="BS105" i="158"/>
  <c r="AY105" i="158"/>
  <c r="T105" i="158"/>
  <c r="F105" i="158"/>
  <c r="EG105" i="158"/>
  <c r="DS105" i="158"/>
  <c r="CA105" i="158"/>
  <c r="BF105" i="158"/>
  <c r="AB105" i="158"/>
  <c r="N105" i="158"/>
  <c r="EI105" i="158"/>
  <c r="DQ105" i="158"/>
  <c r="BR105" i="158"/>
  <c r="Z105" i="158"/>
  <c r="E105" i="158"/>
  <c r="EH105" i="158"/>
  <c r="DO105" i="158"/>
  <c r="BL105" i="158"/>
  <c r="AQ105" i="158"/>
  <c r="Y105" i="158"/>
  <c r="EF105" i="158"/>
  <c r="DM105" i="158"/>
  <c r="BK105" i="158"/>
  <c r="X105" i="158"/>
  <c r="C105" i="158"/>
  <c r="EE105" i="158"/>
  <c r="CZ105" i="158"/>
  <c r="BJ105" i="158"/>
  <c r="S105" i="158"/>
  <c r="ED105" i="158"/>
  <c r="CY105" i="158"/>
  <c r="BH105" i="158"/>
  <c r="EC105" i="158"/>
  <c r="CX105" i="158"/>
  <c r="BE105" i="158"/>
  <c r="Q105" i="158"/>
  <c r="DX105" i="158"/>
  <c r="CC105" i="158"/>
  <c r="BD105" i="158"/>
  <c r="P105" i="158"/>
  <c r="DW105" i="158"/>
  <c r="CB105" i="158"/>
  <c r="BB105" i="158"/>
  <c r="O105" i="158"/>
  <c r="DV105" i="158"/>
  <c r="BY105" i="158"/>
  <c r="BA105" i="158"/>
  <c r="AE105" i="158"/>
  <c r="M105" i="158"/>
  <c r="DU105" i="158"/>
  <c r="BW105" i="158"/>
  <c r="AX105" i="158"/>
  <c r="AD105" i="158"/>
  <c r="L105" i="158"/>
  <c r="EK105" i="158"/>
  <c r="DT105" i="158"/>
  <c r="BV105" i="158"/>
  <c r="AC105" i="158"/>
  <c r="J105" i="158"/>
  <c r="EJ105" i="158"/>
  <c r="DR105" i="158"/>
  <c r="BU105" i="158"/>
  <c r="AT105" i="158"/>
  <c r="AA105" i="158"/>
  <c r="H105" i="158"/>
  <c r="HO28" i="158"/>
  <c r="HA28" i="158"/>
  <c r="HY28" i="158"/>
  <c r="HM28" i="158"/>
  <c r="HX28" i="158"/>
  <c r="HK28" i="158"/>
  <c r="HV28" i="158"/>
  <c r="HJ28" i="158"/>
  <c r="HU28" i="158"/>
  <c r="HH28" i="158"/>
  <c r="IE28" i="158"/>
  <c r="HG28" i="158"/>
  <c r="FY28" i="158"/>
  <c r="ID28" i="158"/>
  <c r="HF28" i="158"/>
  <c r="FJ28" i="158"/>
  <c r="HE28" i="158"/>
  <c r="HP28" i="158"/>
  <c r="HI28" i="158"/>
  <c r="HC28" i="158"/>
  <c r="HQ28" i="158"/>
  <c r="HT28" i="158"/>
  <c r="HS28" i="158"/>
  <c r="HR28" i="158"/>
  <c r="FV28" i="158"/>
  <c r="GA28" i="158"/>
  <c r="GG28" i="158"/>
  <c r="FN28" i="158"/>
  <c r="FE28" i="158"/>
  <c r="FD28" i="158"/>
  <c r="FI28" i="158"/>
  <c r="GF28" i="158"/>
  <c r="GC28" i="158"/>
  <c r="FS28" i="158"/>
  <c r="FT28" i="158"/>
  <c r="FX28" i="158"/>
  <c r="FU28" i="158"/>
  <c r="FP28" i="158"/>
  <c r="FR28" i="158"/>
  <c r="GE28" i="158"/>
  <c r="FM28" i="158"/>
  <c r="GD28" i="158"/>
  <c r="FW28" i="158"/>
  <c r="GB28" i="158"/>
  <c r="GH28" i="158"/>
  <c r="FH28" i="158"/>
  <c r="FO28" i="158"/>
  <c r="FZ28" i="158"/>
  <c r="FL28" i="158"/>
  <c r="FQ28" i="158"/>
  <c r="FF28" i="158"/>
  <c r="FK28" i="158"/>
  <c r="GJ28" i="158"/>
  <c r="GU28" i="158"/>
  <c r="FA28" i="158"/>
  <c r="N29" i="18"/>
  <c r="P29" i="18" s="1"/>
  <c r="Q85" i="18" s="1"/>
  <c r="AK29" i="18"/>
  <c r="G29" i="18"/>
  <c r="AI29" i="18" s="1"/>
  <c r="AH29" i="18"/>
  <c r="Y29" i="18"/>
  <c r="W29" i="18" s="1"/>
  <c r="X85" i="18" s="1"/>
  <c r="V85" i="18" s="1"/>
  <c r="B31" i="18"/>
  <c r="B86" i="18"/>
  <c r="AU30" i="18"/>
  <c r="AA30" i="18"/>
  <c r="X30" i="18"/>
  <c r="T30" i="18"/>
  <c r="K30" i="18"/>
  <c r="O30" i="18"/>
  <c r="AD30" i="18"/>
  <c r="C30" i="18"/>
  <c r="S30" i="18"/>
  <c r="AM30" i="18"/>
  <c r="AN30" i="18" s="1"/>
  <c r="AP30" i="18"/>
  <c r="E30" i="18"/>
  <c r="Q30" i="18"/>
  <c r="AB30" i="18"/>
  <c r="AO30" i="18"/>
  <c r="AF30" i="18"/>
  <c r="M30" i="18"/>
  <c r="F30" i="18"/>
  <c r="AJ30" i="18" s="1"/>
  <c r="AV30" i="18"/>
  <c r="Z30" i="18"/>
  <c r="V30" i="18"/>
  <c r="AC30" i="18"/>
  <c r="R30" i="18"/>
  <c r="D30" i="18"/>
  <c r="J30" i="18"/>
  <c r="B30" i="22"/>
  <c r="AP29" i="22"/>
  <c r="G29" i="22"/>
  <c r="AV29" i="22"/>
  <c r="X29" i="22"/>
  <c r="CO29" i="22"/>
  <c r="CP29" i="22" s="1"/>
  <c r="BB29" i="22"/>
  <c r="P29" i="22"/>
  <c r="AL29" i="22"/>
  <c r="T29" i="22"/>
  <c r="CM29" i="22"/>
  <c r="H29" i="22" s="1"/>
  <c r="Z29" i="22"/>
  <c r="AX29" i="22"/>
  <c r="U29" i="22"/>
  <c r="L29" i="22"/>
  <c r="S29" i="22"/>
  <c r="R29" i="22"/>
  <c r="E29" i="22"/>
  <c r="K29" i="22"/>
  <c r="J29" i="22"/>
  <c r="Q29" i="22"/>
  <c r="C29" i="22"/>
  <c r="I29" i="22"/>
  <c r="AU29" i="22"/>
  <c r="K61" i="161"/>
  <c r="L62" i="161"/>
  <c r="AA61" i="161"/>
  <c r="D29" i="115"/>
  <c r="Z26" i="77"/>
  <c r="Z118" i="77" s="1"/>
  <c r="AJ118" i="77"/>
  <c r="C59" i="92"/>
  <c r="C77" i="77"/>
  <c r="A60" i="92"/>
  <c r="A23" i="92" s="1"/>
  <c r="B30" i="115"/>
  <c r="K62" i="111"/>
  <c r="E100" i="111" s="1"/>
  <c r="B119" i="77"/>
  <c r="B78" i="77"/>
  <c r="B28" i="77"/>
  <c r="DC28" i="77" s="1"/>
  <c r="DO24" i="177" s="1"/>
  <c r="AV27" i="77"/>
  <c r="S27" i="77"/>
  <c r="L27" i="77"/>
  <c r="N27" i="77"/>
  <c r="E31" i="123" s="1"/>
  <c r="M27" i="77"/>
  <c r="AC27" i="77"/>
  <c r="BE27" i="77"/>
  <c r="DK23" i="177" s="1"/>
  <c r="W27" i="77"/>
  <c r="BB27" i="77"/>
  <c r="F25" i="119" s="1"/>
  <c r="CW27" i="77"/>
  <c r="K27" i="77" s="1"/>
  <c r="DS23" i="177" s="1"/>
  <c r="I27" i="77"/>
  <c r="U27" i="77"/>
  <c r="BD27" i="77"/>
  <c r="DG23" i="177" s="1"/>
  <c r="AW27" i="77"/>
  <c r="V27" i="77"/>
  <c r="H27" i="77"/>
  <c r="BA27" i="77"/>
  <c r="E25" i="119" s="1"/>
  <c r="BL27" i="77"/>
  <c r="C27" i="77"/>
  <c r="DW23" i="177" s="1"/>
  <c r="T27" i="77"/>
  <c r="F27" i="77"/>
  <c r="BG27" i="77"/>
  <c r="DB118" i="77"/>
  <c r="CM118" i="77"/>
  <c r="CA118" i="77"/>
  <c r="BO118" i="77"/>
  <c r="CQ118" i="77"/>
  <c r="CE118" i="77"/>
  <c r="BS118" i="77"/>
  <c r="AX118" i="77"/>
  <c r="CP118" i="77"/>
  <c r="CD118" i="77"/>
  <c r="BR118" i="77"/>
  <c r="AV118" i="77"/>
  <c r="CV118" i="77"/>
  <c r="CG118" i="77"/>
  <c r="BP118" i="77"/>
  <c r="CU118" i="77"/>
  <c r="CF118" i="77"/>
  <c r="BN118" i="77"/>
  <c r="CT118" i="77"/>
  <c r="CC118" i="77"/>
  <c r="BM118" i="77"/>
  <c r="CS118" i="77"/>
  <c r="CB118" i="77"/>
  <c r="BK118" i="77"/>
  <c r="CR118" i="77"/>
  <c r="BZ118" i="77"/>
  <c r="BJ118" i="77"/>
  <c r="CO118" i="77"/>
  <c r="BY118" i="77"/>
  <c r="BI118" i="77"/>
  <c r="CN118" i="77"/>
  <c r="BX118" i="77"/>
  <c r="AZ118" i="77"/>
  <c r="CL118" i="77"/>
  <c r="BW118" i="77"/>
  <c r="AY118" i="77"/>
  <c r="CK118" i="77"/>
  <c r="BV118" i="77"/>
  <c r="DC118" i="77"/>
  <c r="CJ118" i="77"/>
  <c r="BU118" i="77"/>
  <c r="CZ118" i="77"/>
  <c r="CI118" i="77"/>
  <c r="BT118" i="77"/>
  <c r="CY118" i="77"/>
  <c r="CH118" i="77"/>
  <c r="BQ118" i="77"/>
  <c r="BC118" i="77"/>
  <c r="BB118" i="77"/>
  <c r="C118" i="77"/>
  <c r="BA118" i="77"/>
  <c r="CW118" i="77"/>
  <c r="AC118" i="77"/>
  <c r="N118" i="77"/>
  <c r="L118" i="77"/>
  <c r="M118" i="77"/>
  <c r="U61" i="111"/>
  <c r="J61" i="111"/>
  <c r="B75" i="115"/>
  <c r="O75" i="115" s="1"/>
  <c r="H29" i="115"/>
  <c r="B25" i="119"/>
  <c r="B61" i="119" s="1"/>
  <c r="B96" i="119" s="1"/>
  <c r="B84" i="36"/>
  <c r="B29" i="36"/>
  <c r="BE28" i="36"/>
  <c r="CY28" i="36" s="1"/>
  <c r="AT31" i="18"/>
  <c r="AL32" i="18"/>
  <c r="AS32" i="18"/>
  <c r="L32" i="18"/>
  <c r="CL22" i="177" l="1"/>
  <c r="T22" i="177"/>
  <c r="DY23" i="177"/>
  <c r="DE27" i="77"/>
  <c r="G15" i="177"/>
  <c r="CL15" i="177" s="1"/>
  <c r="DI19" i="77"/>
  <c r="G23" i="177"/>
  <c r="DI27" i="77"/>
  <c r="F23" i="177"/>
  <c r="DG27" i="77"/>
  <c r="AM16" i="77"/>
  <c r="GD16" i="158"/>
  <c r="FL8" i="158"/>
  <c r="IJ8" i="158"/>
  <c r="O78" i="36"/>
  <c r="O19" i="77"/>
  <c r="P41" i="77" s="1"/>
  <c r="AK50" i="36"/>
  <c r="AM50" i="36" s="1"/>
  <c r="AN48" i="36" s="1"/>
  <c r="DA20" i="36"/>
  <c r="P20" i="36"/>
  <c r="Q76" i="36" s="1"/>
  <c r="L76" i="36" s="1"/>
  <c r="M111" i="77"/>
  <c r="O76" i="36"/>
  <c r="O43" i="36"/>
  <c r="DE20" i="36"/>
  <c r="AM118" i="77"/>
  <c r="V9" i="177"/>
  <c r="CT9" i="177" s="1"/>
  <c r="CP9" i="177"/>
  <c r="C63" i="115"/>
  <c r="AH14" i="77"/>
  <c r="AH106" i="77" s="1"/>
  <c r="AF14" i="77"/>
  <c r="AF106" i="77" s="1"/>
  <c r="Q106" i="77"/>
  <c r="S12" i="177"/>
  <c r="R12" i="177"/>
  <c r="T12" i="177"/>
  <c r="U12" i="177"/>
  <c r="H12" i="177"/>
  <c r="CP12" i="177" s="1"/>
  <c r="V10" i="177"/>
  <c r="CT10" i="177" s="1"/>
  <c r="CP10" i="177"/>
  <c r="AD17" i="36"/>
  <c r="Q16" i="77"/>
  <c r="O108" i="77"/>
  <c r="D20" i="123"/>
  <c r="D14" i="119"/>
  <c r="S15" i="177"/>
  <c r="T15" i="177"/>
  <c r="R15" i="177"/>
  <c r="H15" i="177"/>
  <c r="CP15" i="177" s="1"/>
  <c r="U15" i="177"/>
  <c r="AH13" i="77"/>
  <c r="AH105" i="77" s="1"/>
  <c r="AF13" i="77"/>
  <c r="AF105" i="77" s="1"/>
  <c r="C62" i="115"/>
  <c r="Q105" i="77"/>
  <c r="O111" i="77"/>
  <c r="U30" i="18"/>
  <c r="Y30" i="18" s="1"/>
  <c r="AN105" i="158"/>
  <c r="IA28" i="158"/>
  <c r="F17" i="123"/>
  <c r="AM29" i="22"/>
  <c r="IA16" i="158"/>
  <c r="AM28" i="77"/>
  <c r="AN93" i="158"/>
  <c r="AG16" i="22"/>
  <c r="I8" i="163"/>
  <c r="J8" i="163" s="1"/>
  <c r="F8" i="163"/>
  <c r="G8" i="163" s="1"/>
  <c r="AJ13" i="77"/>
  <c r="AJ105" i="77" s="1"/>
  <c r="AS13" i="158"/>
  <c r="AS90" i="158" s="1"/>
  <c r="AN15" i="158"/>
  <c r="GD15" i="158" s="1"/>
  <c r="K10" i="171"/>
  <c r="AK90" i="158"/>
  <c r="F29" i="123"/>
  <c r="AM117" i="77"/>
  <c r="AM108" i="77"/>
  <c r="F20" i="123"/>
  <c r="AJ117" i="77"/>
  <c r="AM14" i="77"/>
  <c r="AG14" i="22"/>
  <c r="IA14" i="158"/>
  <c r="AN91" i="158"/>
  <c r="F30" i="123"/>
  <c r="AJ103" i="77"/>
  <c r="H10" i="171"/>
  <c r="AM12" i="77"/>
  <c r="V139" i="100"/>
  <c r="Z139" i="100"/>
  <c r="E69" i="126"/>
  <c r="F69" i="126" s="1"/>
  <c r="G69" i="126" s="1"/>
  <c r="E28" i="156"/>
  <c r="F28" i="156" s="1"/>
  <c r="G28" i="156" s="1"/>
  <c r="G29" i="155"/>
  <c r="D27" i="163"/>
  <c r="E31" i="126"/>
  <c r="G35" i="167"/>
  <c r="HY19" i="158"/>
  <c r="AI96" i="158"/>
  <c r="F15" i="167"/>
  <c r="AE16" i="22"/>
  <c r="AC16" i="22"/>
  <c r="N42" i="22"/>
  <c r="O42" i="22"/>
  <c r="J42" i="22" s="1"/>
  <c r="K42" i="22" s="1"/>
  <c r="AI93" i="158"/>
  <c r="HY16" i="158"/>
  <c r="D73" i="77"/>
  <c r="D55" i="92"/>
  <c r="D114" i="77"/>
  <c r="D23" i="77"/>
  <c r="DX19" i="177" s="1"/>
  <c r="HW15" i="158"/>
  <c r="AF16" i="158"/>
  <c r="FZ16" i="158" s="1"/>
  <c r="AF92" i="158"/>
  <c r="D18" i="36"/>
  <c r="M53" i="161"/>
  <c r="D17" i="158"/>
  <c r="FE17" i="158" s="1"/>
  <c r="N94" i="161"/>
  <c r="N9" i="36"/>
  <c r="M8" i="77"/>
  <c r="DI8" i="77" s="1"/>
  <c r="AH92" i="158"/>
  <c r="AH16" i="158"/>
  <c r="O4" i="177"/>
  <c r="Q8" i="158"/>
  <c r="M85" i="158"/>
  <c r="HI8" i="158"/>
  <c r="O8" i="158"/>
  <c r="FN8" i="158" s="1"/>
  <c r="P8" i="158"/>
  <c r="J8" i="22"/>
  <c r="AB14" i="77"/>
  <c r="AB105" i="77"/>
  <c r="Y29" i="22"/>
  <c r="Y13" i="77"/>
  <c r="Y104" i="77"/>
  <c r="HB16" i="158"/>
  <c r="D93" i="158"/>
  <c r="D12" i="92"/>
  <c r="AE28" i="22"/>
  <c r="AC28" i="22"/>
  <c r="AD43" i="22" s="1"/>
  <c r="S43" i="22"/>
  <c r="O43" i="22"/>
  <c r="J43" i="22" s="1"/>
  <c r="K43" i="22" s="1"/>
  <c r="J118" i="77"/>
  <c r="L85" i="18"/>
  <c r="BL119" i="77"/>
  <c r="D29" i="22"/>
  <c r="G119" i="77"/>
  <c r="BE119" i="77"/>
  <c r="V29" i="22"/>
  <c r="AS119" i="77"/>
  <c r="E119" i="77"/>
  <c r="BH119" i="77"/>
  <c r="O119" i="77"/>
  <c r="AA119" i="77"/>
  <c r="G25" i="119"/>
  <c r="H44" i="36"/>
  <c r="C25" i="119"/>
  <c r="C23" i="177"/>
  <c r="CD23" i="177" s="1"/>
  <c r="B60" i="92"/>
  <c r="E78" i="77"/>
  <c r="C31" i="123"/>
  <c r="AD15" i="77"/>
  <c r="AD106" i="77"/>
  <c r="W119" i="77"/>
  <c r="V119" i="77"/>
  <c r="AA29" i="22"/>
  <c r="O85" i="18"/>
  <c r="M85" i="18" s="1"/>
  <c r="AW119" i="77"/>
  <c r="BD119" i="77"/>
  <c r="AB29" i="22"/>
  <c r="AD85" i="18"/>
  <c r="AK85" i="18"/>
  <c r="U85" i="18"/>
  <c r="AH85" i="18"/>
  <c r="U119" i="77"/>
  <c r="S119" i="77"/>
  <c r="BG119" i="77"/>
  <c r="F29" i="22"/>
  <c r="I119" i="77"/>
  <c r="K119" i="77"/>
  <c r="BF119" i="77"/>
  <c r="V21" i="177"/>
  <c r="CT21" i="177" s="1"/>
  <c r="F119" i="77"/>
  <c r="E28" i="77"/>
  <c r="G28" i="77"/>
  <c r="AA28" i="77"/>
  <c r="C31" i="115" s="1"/>
  <c r="O28" i="77"/>
  <c r="BF28" i="77"/>
  <c r="X28" i="77"/>
  <c r="BH28" i="77"/>
  <c r="E24" i="177" s="1"/>
  <c r="DC24" i="177" s="1"/>
  <c r="X119" i="77"/>
  <c r="AH117" i="77"/>
  <c r="Z85" i="18"/>
  <c r="T119" i="77"/>
  <c r="Q27" i="77"/>
  <c r="D31" i="123"/>
  <c r="D25" i="119"/>
  <c r="AE16" i="77"/>
  <c r="AE107" i="77"/>
  <c r="AF117" i="77"/>
  <c r="B26" i="119"/>
  <c r="B62" i="119" s="1"/>
  <c r="B97" i="119" s="1"/>
  <c r="BE29" i="36"/>
  <c r="CY29" i="36" s="1"/>
  <c r="B30" i="36"/>
  <c r="B85" i="36"/>
  <c r="C78" i="77"/>
  <c r="C60" i="92"/>
  <c r="DA27" i="77"/>
  <c r="DA119" i="77" s="1"/>
  <c r="J27" i="77"/>
  <c r="D23" i="177" s="1"/>
  <c r="CY23" i="177" s="1"/>
  <c r="D30" i="115"/>
  <c r="Z27" i="77"/>
  <c r="Z119" i="77" s="1"/>
  <c r="AJ119" i="77"/>
  <c r="F31" i="123"/>
  <c r="A61" i="92"/>
  <c r="A24" i="92" s="1"/>
  <c r="B31" i="115"/>
  <c r="K63" i="111"/>
  <c r="E101" i="111" s="1"/>
  <c r="B120" i="77"/>
  <c r="B29" i="77"/>
  <c r="DC29" i="77" s="1"/>
  <c r="DO25" i="177" s="1"/>
  <c r="AV28" i="77"/>
  <c r="B79" i="77"/>
  <c r="BL28" i="77"/>
  <c r="T28" i="77"/>
  <c r="C28" i="77"/>
  <c r="BE28" i="77"/>
  <c r="DK24" i="177" s="1"/>
  <c r="M28" i="77"/>
  <c r="AW28" i="77"/>
  <c r="U28" i="77"/>
  <c r="BB28" i="77"/>
  <c r="F26" i="119" s="1"/>
  <c r="V28" i="77"/>
  <c r="BD28" i="77"/>
  <c r="DG24" i="177" s="1"/>
  <c r="L28" i="77"/>
  <c r="S28" i="77"/>
  <c r="N28" i="77"/>
  <c r="E32" i="123" s="1"/>
  <c r="CW28" i="77"/>
  <c r="K28" i="77" s="1"/>
  <c r="DS24" i="177" s="1"/>
  <c r="BA28" i="77"/>
  <c r="E26" i="119" s="1"/>
  <c r="H28" i="77"/>
  <c r="H42" i="77" s="1"/>
  <c r="W28" i="77"/>
  <c r="AC28" i="77"/>
  <c r="AD42" i="77" s="1"/>
  <c r="I28" i="77"/>
  <c r="F28" i="77"/>
  <c r="BG28" i="77"/>
  <c r="DB119" i="77"/>
  <c r="CM119" i="77"/>
  <c r="CA119" i="77"/>
  <c r="BO119" i="77"/>
  <c r="CQ119" i="77"/>
  <c r="CE119" i="77"/>
  <c r="BS119" i="77"/>
  <c r="AX119" i="77"/>
  <c r="CP119" i="77"/>
  <c r="CD119" i="77"/>
  <c r="BR119" i="77"/>
  <c r="AV119" i="77"/>
  <c r="CV119" i="77"/>
  <c r="CG119" i="77"/>
  <c r="BP119" i="77"/>
  <c r="CU119" i="77"/>
  <c r="CF119" i="77"/>
  <c r="BN119" i="77"/>
  <c r="CT119" i="77"/>
  <c r="CC119" i="77"/>
  <c r="BM119" i="77"/>
  <c r="CS119" i="77"/>
  <c r="CB119" i="77"/>
  <c r="BK119" i="77"/>
  <c r="CR119" i="77"/>
  <c r="BZ119" i="77"/>
  <c r="BJ119" i="77"/>
  <c r="CO119" i="77"/>
  <c r="BY119" i="77"/>
  <c r="BI119" i="77"/>
  <c r="CN119" i="77"/>
  <c r="BX119" i="77"/>
  <c r="AZ119" i="77"/>
  <c r="CL119" i="77"/>
  <c r="BW119" i="77"/>
  <c r="AY119" i="77"/>
  <c r="CK119" i="77"/>
  <c r="BV119" i="77"/>
  <c r="DC119" i="77"/>
  <c r="CJ119" i="77"/>
  <c r="BU119" i="77"/>
  <c r="CZ119" i="77"/>
  <c r="CI119" i="77"/>
  <c r="BT119" i="77"/>
  <c r="CY119" i="77"/>
  <c r="CH119" i="77"/>
  <c r="BQ119" i="77"/>
  <c r="BC119" i="77"/>
  <c r="BA119" i="77"/>
  <c r="C119" i="77"/>
  <c r="BB119" i="77"/>
  <c r="CW119" i="77"/>
  <c r="N119" i="77"/>
  <c r="AM119" i="77"/>
  <c r="M119" i="77"/>
  <c r="AC119" i="77"/>
  <c r="L119" i="77"/>
  <c r="H119" i="77"/>
  <c r="J62" i="111"/>
  <c r="U62" i="111"/>
  <c r="B76" i="115"/>
  <c r="O76" i="115" s="1"/>
  <c r="H30" i="115"/>
  <c r="K62" i="161"/>
  <c r="L63" i="161"/>
  <c r="AA62" i="161"/>
  <c r="N29" i="22"/>
  <c r="W29" i="22"/>
  <c r="B31" i="22"/>
  <c r="AP30" i="22"/>
  <c r="AL30" i="22"/>
  <c r="T30" i="22"/>
  <c r="BB30" i="22"/>
  <c r="AV30" i="22"/>
  <c r="L30" i="22"/>
  <c r="X30" i="22"/>
  <c r="Z30" i="22"/>
  <c r="AX30" i="22"/>
  <c r="P30" i="22"/>
  <c r="R30" i="22"/>
  <c r="AU30" i="22"/>
  <c r="U30" i="22"/>
  <c r="J30" i="22"/>
  <c r="Q30" i="22"/>
  <c r="G30" i="22"/>
  <c r="E30" i="22"/>
  <c r="I30" i="22"/>
  <c r="CM30" i="22"/>
  <c r="H30" i="22" s="1"/>
  <c r="S30" i="22"/>
  <c r="K30" i="22"/>
  <c r="C30" i="22"/>
  <c r="CO30" i="22"/>
  <c r="CP30" i="22" s="1"/>
  <c r="AH30" i="18"/>
  <c r="G30" i="18"/>
  <c r="AI30" i="18" s="1"/>
  <c r="AK30" i="18"/>
  <c r="N30" i="18"/>
  <c r="AG30" i="18"/>
  <c r="B87" i="18"/>
  <c r="B32" i="18"/>
  <c r="AV31" i="18"/>
  <c r="Z31" i="18"/>
  <c r="D31" i="18"/>
  <c r="AO31" i="18"/>
  <c r="R31" i="18"/>
  <c r="F31" i="18"/>
  <c r="AJ31" i="18" s="1"/>
  <c r="AU31" i="18"/>
  <c r="J31" i="18"/>
  <c r="O31" i="18"/>
  <c r="AC31" i="18"/>
  <c r="AM31" i="18"/>
  <c r="AN31" i="18" s="1"/>
  <c r="Q31" i="18"/>
  <c r="M31" i="18"/>
  <c r="AD31" i="18"/>
  <c r="C31" i="18"/>
  <c r="AG31" i="18" s="1"/>
  <c r="T31" i="18"/>
  <c r="K31" i="18"/>
  <c r="E31" i="18"/>
  <c r="AA31" i="18"/>
  <c r="AF31" i="18"/>
  <c r="V31" i="18"/>
  <c r="AB31" i="18"/>
  <c r="AP31" i="18"/>
  <c r="S31" i="18"/>
  <c r="X31" i="18"/>
  <c r="GZ30" i="158"/>
  <c r="FC30" i="158"/>
  <c r="A25" i="168"/>
  <c r="M25" i="168" s="1"/>
  <c r="D30" i="136"/>
  <c r="A28" i="159"/>
  <c r="B107" i="158"/>
  <c r="BD30" i="158"/>
  <c r="B31" i="158"/>
  <c r="EF106" i="158"/>
  <c r="DT106" i="158"/>
  <c r="CX106" i="158"/>
  <c r="BR106" i="158"/>
  <c r="AZ106" i="158"/>
  <c r="AA106" i="158"/>
  <c r="O106" i="158"/>
  <c r="C106" i="158"/>
  <c r="EE106" i="158"/>
  <c r="DS106" i="158"/>
  <c r="CC106" i="158"/>
  <c r="BL106" i="158"/>
  <c r="AY106" i="158"/>
  <c r="Z106" i="158"/>
  <c r="N106" i="158"/>
  <c r="ED106" i="158"/>
  <c r="DR106" i="158"/>
  <c r="CB106" i="158"/>
  <c r="BK106" i="158"/>
  <c r="AX106" i="158"/>
  <c r="Y106" i="158"/>
  <c r="M106" i="158"/>
  <c r="EI106" i="158"/>
  <c r="DQ106" i="158"/>
  <c r="BX106" i="158"/>
  <c r="EH106" i="158"/>
  <c r="DP106" i="158"/>
  <c r="BW106" i="158"/>
  <c r="BB106" i="158"/>
  <c r="AI106" i="158"/>
  <c r="T106" i="158"/>
  <c r="E106" i="158"/>
  <c r="EG106" i="158"/>
  <c r="DO106" i="158"/>
  <c r="BV106" i="158"/>
  <c r="BA106" i="158"/>
  <c r="S106" i="158"/>
  <c r="DX106" i="158"/>
  <c r="CY106" i="158"/>
  <c r="BH106" i="158"/>
  <c r="AQ106" i="158"/>
  <c r="AB106" i="158"/>
  <c r="J106" i="158"/>
  <c r="EL106" i="158"/>
  <c r="DW106" i="158"/>
  <c r="DU106" i="158"/>
  <c r="BJ106" i="158"/>
  <c r="DN106" i="158"/>
  <c r="BI106" i="158"/>
  <c r="Q106" i="158"/>
  <c r="DM106" i="158"/>
  <c r="BG106" i="158"/>
  <c r="P106" i="158"/>
  <c r="DL106" i="158"/>
  <c r="BF106" i="158"/>
  <c r="AG106" i="158"/>
  <c r="L106" i="158"/>
  <c r="EK106" i="158"/>
  <c r="DA106" i="158"/>
  <c r="BE106" i="158"/>
  <c r="K106" i="158"/>
  <c r="EJ106" i="158"/>
  <c r="CZ106" i="158"/>
  <c r="BD106" i="158"/>
  <c r="AE106" i="158"/>
  <c r="I106" i="158"/>
  <c r="EC106" i="158"/>
  <c r="CA106" i="158"/>
  <c r="AD106" i="158"/>
  <c r="H106" i="158"/>
  <c r="EB106" i="158"/>
  <c r="BZ106" i="158"/>
  <c r="AU106" i="158"/>
  <c r="AC106" i="158"/>
  <c r="G106" i="158"/>
  <c r="EA106" i="158"/>
  <c r="BY106" i="158"/>
  <c r="AT106" i="158"/>
  <c r="X106" i="158"/>
  <c r="F106" i="158"/>
  <c r="DZ106" i="158"/>
  <c r="BU106" i="158"/>
  <c r="W106" i="158"/>
  <c r="DY106" i="158"/>
  <c r="BT106" i="158"/>
  <c r="DV106" i="158"/>
  <c r="BS106" i="158"/>
  <c r="U106" i="158"/>
  <c r="HU29" i="158"/>
  <c r="HI29" i="158"/>
  <c r="HT29" i="158"/>
  <c r="HH29" i="158"/>
  <c r="IE29" i="158"/>
  <c r="HS29" i="158"/>
  <c r="HG29" i="158"/>
  <c r="ID29" i="158"/>
  <c r="HR29" i="158"/>
  <c r="HF29" i="158"/>
  <c r="FM29" i="158"/>
  <c r="HQ29" i="158"/>
  <c r="HE29" i="158"/>
  <c r="HP29" i="158"/>
  <c r="HC29" i="158"/>
  <c r="HO29" i="158"/>
  <c r="HA29" i="158"/>
  <c r="HY29" i="158"/>
  <c r="HX29" i="158"/>
  <c r="HV29" i="158"/>
  <c r="FZ29" i="158"/>
  <c r="FS29" i="158"/>
  <c r="HM29" i="158"/>
  <c r="FR29" i="158"/>
  <c r="FJ29" i="158"/>
  <c r="HK29" i="158"/>
  <c r="HJ29" i="158"/>
  <c r="GC29" i="158"/>
  <c r="GH29" i="158"/>
  <c r="GE29" i="158"/>
  <c r="FK29" i="158"/>
  <c r="FW29" i="158"/>
  <c r="GA29" i="158"/>
  <c r="FL29" i="158"/>
  <c r="FO29" i="158"/>
  <c r="GB29" i="158"/>
  <c r="FY29" i="158"/>
  <c r="FV29" i="158"/>
  <c r="FU29" i="158"/>
  <c r="FQ29" i="158"/>
  <c r="FF29" i="158"/>
  <c r="FN29" i="158"/>
  <c r="GG29" i="158"/>
  <c r="GD29" i="158"/>
  <c r="FD29" i="158"/>
  <c r="FI29" i="158"/>
  <c r="FE29" i="158"/>
  <c r="GF29" i="158"/>
  <c r="FT29" i="158"/>
  <c r="FX29" i="158"/>
  <c r="FH29" i="158"/>
  <c r="FP29" i="158"/>
  <c r="GJ29" i="158"/>
  <c r="FA29" i="158"/>
  <c r="GU29" i="158"/>
  <c r="AT32" i="18"/>
  <c r="L33" i="18"/>
  <c r="AS33" i="18"/>
  <c r="AL33" i="18"/>
  <c r="CL23" i="177" l="1"/>
  <c r="U23" i="177"/>
  <c r="S23" i="177"/>
  <c r="CH23" i="177"/>
  <c r="T23" i="177"/>
  <c r="G24" i="177"/>
  <c r="DI28" i="77"/>
  <c r="DY24" i="177"/>
  <c r="DE28" i="77"/>
  <c r="DJ17" i="77" a="1"/>
  <c r="DJ17" i="77" s="1"/>
  <c r="CM13" i="177" s="1"/>
  <c r="DJ10" i="77" a="1"/>
  <c r="DJ10" i="77" s="1"/>
  <c r="CM6" i="177" s="1"/>
  <c r="DJ22" i="77" a="1"/>
  <c r="DJ22" i="77" s="1"/>
  <c r="CM18" i="177" s="1"/>
  <c r="DJ16" i="77" a="1"/>
  <c r="DJ16" i="77" s="1"/>
  <c r="CM12" i="177" s="1"/>
  <c r="DJ15" i="77" a="1"/>
  <c r="DJ15" i="77" s="1"/>
  <c r="CM11" i="177" s="1"/>
  <c r="DJ9" i="77" a="1"/>
  <c r="DJ9" i="77" s="1"/>
  <c r="CM5" i="177" s="1"/>
  <c r="DJ21" i="77" a="1"/>
  <c r="DJ21" i="77" s="1"/>
  <c r="CM17" i="177" s="1"/>
  <c r="DJ14" i="77" a="1"/>
  <c r="DJ14" i="77" s="1"/>
  <c r="CM10" i="177" s="1"/>
  <c r="DJ8" i="77" a="1"/>
  <c r="DJ8" i="77" s="1"/>
  <c r="CM4" i="177" s="1"/>
  <c r="DJ20" i="77" a="1"/>
  <c r="DJ20" i="77" s="1"/>
  <c r="CM16" i="177" s="1"/>
  <c r="DJ19" i="77" a="1"/>
  <c r="DJ19" i="77" s="1"/>
  <c r="CM15" i="177" s="1"/>
  <c r="DJ13" i="77" a="1"/>
  <c r="DJ13" i="77" s="1"/>
  <c r="CM9" i="177" s="1"/>
  <c r="DJ18" i="77" a="1"/>
  <c r="DJ18" i="77" s="1"/>
  <c r="CM14" i="177" s="1"/>
  <c r="DJ12" i="77" a="1"/>
  <c r="DJ12" i="77" s="1"/>
  <c r="CM8" i="177" s="1"/>
  <c r="DJ11" i="77" a="1"/>
  <c r="DJ11" i="77" s="1"/>
  <c r="CM7" i="177" s="1"/>
  <c r="DJ23" i="77" a="1"/>
  <c r="DJ23" i="77" s="1"/>
  <c r="CM19" i="177" s="1"/>
  <c r="DJ24" i="77" a="1"/>
  <c r="DJ24" i="77" s="1"/>
  <c r="CM20" i="177" s="1"/>
  <c r="DJ25" i="77" a="1"/>
  <c r="DJ25" i="77" s="1"/>
  <c r="CM21" i="177" s="1"/>
  <c r="F24" i="177"/>
  <c r="DG28" i="77"/>
  <c r="F120" i="77"/>
  <c r="I120" i="77"/>
  <c r="C42" i="77"/>
  <c r="DW24" i="177"/>
  <c r="V120" i="77"/>
  <c r="BF120" i="77"/>
  <c r="O41" i="77"/>
  <c r="IK14" i="158" a="1"/>
  <c r="IK14" i="158" s="1"/>
  <c r="IK30" i="158" a="1"/>
  <c r="IK30" i="158" s="1"/>
  <c r="IK36" i="158" a="1"/>
  <c r="IK36" i="158" s="1"/>
  <c r="IK9" i="158" a="1"/>
  <c r="IK9" i="158" s="1"/>
  <c r="IK15" i="158" a="1"/>
  <c r="IK15" i="158" s="1"/>
  <c r="IK20" i="158" a="1"/>
  <c r="IK20" i="158" s="1"/>
  <c r="IK25" i="158" a="1"/>
  <c r="IK25" i="158" s="1"/>
  <c r="IK31" i="158" a="1"/>
  <c r="IK31" i="158" s="1"/>
  <c r="IK37" i="158" a="1"/>
  <c r="IK37" i="158" s="1"/>
  <c r="IK10" i="158" a="1"/>
  <c r="IK10" i="158" s="1"/>
  <c r="IK26" i="158" a="1"/>
  <c r="IK26" i="158" s="1"/>
  <c r="IK38" i="158" a="1"/>
  <c r="IK38" i="158" s="1"/>
  <c r="IK11" i="158" a="1"/>
  <c r="IK11" i="158" s="1"/>
  <c r="IK16" i="158" a="1"/>
  <c r="IK16" i="158" s="1"/>
  <c r="IK21" i="158" a="1"/>
  <c r="IK21" i="158" s="1"/>
  <c r="IK27" i="158" a="1"/>
  <c r="IK27" i="158" s="1"/>
  <c r="IK32" i="158" a="1"/>
  <c r="IK32" i="158" s="1"/>
  <c r="IK8" i="158" a="1"/>
  <c r="IK8" i="158" s="1"/>
  <c r="IK22" i="158" a="1"/>
  <c r="IK22" i="158" s="1"/>
  <c r="IK29" i="158" a="1"/>
  <c r="IK29" i="158" s="1"/>
  <c r="IK12" i="158" a="1"/>
  <c r="IK12" i="158" s="1"/>
  <c r="IK17" i="158" a="1"/>
  <c r="IK17" i="158" s="1"/>
  <c r="IK23" i="158" a="1"/>
  <c r="IK23" i="158" s="1"/>
  <c r="IK28" i="158" a="1"/>
  <c r="IK28" i="158" s="1"/>
  <c r="IK33" i="158" a="1"/>
  <c r="IK33" i="158" s="1"/>
  <c r="IK35" i="158" a="1"/>
  <c r="IK35" i="158" s="1"/>
  <c r="IK18" i="158" a="1"/>
  <c r="IK18" i="158" s="1"/>
  <c r="IK34" i="158" a="1"/>
  <c r="IK34" i="158" s="1"/>
  <c r="IK13" i="158" a="1"/>
  <c r="IK13" i="158" s="1"/>
  <c r="IK19" i="158" a="1"/>
  <c r="IK19" i="158" s="1"/>
  <c r="IK24" i="158" a="1"/>
  <c r="IK24" i="158" s="1"/>
  <c r="G120" i="77"/>
  <c r="Q19" i="77"/>
  <c r="AH19" i="77" s="1"/>
  <c r="AH111" i="77" s="1"/>
  <c r="D23" i="123"/>
  <c r="M76" i="36"/>
  <c r="D17" i="119"/>
  <c r="Q78" i="36"/>
  <c r="L78" i="36" s="1"/>
  <c r="Q43" i="36"/>
  <c r="L43" i="36" s="1"/>
  <c r="M43" i="36" s="1"/>
  <c r="AD20" i="36"/>
  <c r="AE76" i="36" s="1"/>
  <c r="P43" i="36"/>
  <c r="V12" i="177"/>
  <c r="CT12" i="177" s="1"/>
  <c r="Q108" i="77"/>
  <c r="C65" i="115"/>
  <c r="AF16" i="77"/>
  <c r="AH16" i="77"/>
  <c r="AH108" i="77" s="1"/>
  <c r="V15" i="177"/>
  <c r="CT15" i="177" s="1"/>
  <c r="Q111" i="77"/>
  <c r="AJ14" i="77"/>
  <c r="AJ106" i="77" s="1"/>
  <c r="AS14" i="158"/>
  <c r="AS91" i="158" s="1"/>
  <c r="AM30" i="22"/>
  <c r="AK91" i="158"/>
  <c r="F18" i="123"/>
  <c r="AM106" i="77"/>
  <c r="AM104" i="77"/>
  <c r="F16" i="123"/>
  <c r="K16" i="123" s="1"/>
  <c r="AG15" i="22"/>
  <c r="AN92" i="158"/>
  <c r="IA15" i="158"/>
  <c r="F27" i="163"/>
  <c r="G27" i="163" s="1"/>
  <c r="I27" i="163"/>
  <c r="J27" i="163" s="1"/>
  <c r="AF108" i="77"/>
  <c r="D56" i="92"/>
  <c r="D115" i="77"/>
  <c r="D24" i="77"/>
  <c r="DX20" i="177" s="1"/>
  <c r="D74" i="77"/>
  <c r="AC42" i="22"/>
  <c r="AD42" i="22"/>
  <c r="Y30" i="22"/>
  <c r="HK8" i="158"/>
  <c r="O39" i="158"/>
  <c r="AJ40" i="158" s="1"/>
  <c r="S8" i="158"/>
  <c r="FP8" i="158" s="1"/>
  <c r="F8" i="136"/>
  <c r="GL8" i="158"/>
  <c r="C4" i="167"/>
  <c r="O85" i="158"/>
  <c r="BH39" i="158"/>
  <c r="BJ39" i="158"/>
  <c r="C47" i="32" s="1"/>
  <c r="B6" i="159"/>
  <c r="I6" i="159" s="1"/>
  <c r="BF39" i="158"/>
  <c r="L8" i="22"/>
  <c r="GP8" i="158"/>
  <c r="AS8" i="158"/>
  <c r="AS85" i="158" s="1"/>
  <c r="R8" i="158"/>
  <c r="FO8" i="158" s="1"/>
  <c r="D42" i="119"/>
  <c r="F73" i="119" s="1"/>
  <c r="C4" i="171"/>
  <c r="R39" i="158"/>
  <c r="C36" i="32" s="1"/>
  <c r="O8" i="77"/>
  <c r="N42" i="36"/>
  <c r="DE9" i="36"/>
  <c r="O71" i="36"/>
  <c r="O69" i="36"/>
  <c r="O42" i="36"/>
  <c r="O9" i="36"/>
  <c r="O10" i="36" s="1"/>
  <c r="O11" i="36" s="1"/>
  <c r="O12" i="36" s="1"/>
  <c r="O13" i="36" s="1"/>
  <c r="O14" i="36" s="1"/>
  <c r="O15" i="36" s="1"/>
  <c r="O16" i="36" s="1"/>
  <c r="O17" i="36" s="1"/>
  <c r="O18" i="36" s="1"/>
  <c r="O19" i="36" s="1"/>
  <c r="O20" i="36" s="1"/>
  <c r="O21" i="36" s="1"/>
  <c r="O22" i="36" s="1"/>
  <c r="O23" i="36" s="1"/>
  <c r="O24" i="36" s="1"/>
  <c r="O25" i="36" s="1"/>
  <c r="O26" i="36" s="1"/>
  <c r="DA9" i="36"/>
  <c r="P9" i="36"/>
  <c r="D13" i="92"/>
  <c r="D94" i="158"/>
  <c r="HB17" i="158"/>
  <c r="Q39" i="158"/>
  <c r="U8" i="158"/>
  <c r="Q85" i="158"/>
  <c r="D19" i="36"/>
  <c r="N95" i="161"/>
  <c r="D18" i="158"/>
  <c r="FE18" i="158" s="1"/>
  <c r="M54" i="161"/>
  <c r="Q4" i="177"/>
  <c r="O35" i="177"/>
  <c r="AE8" i="177" s="1"/>
  <c r="AF8" i="177" s="1"/>
  <c r="AG8" i="177" s="1"/>
  <c r="AH8" i="177" s="1"/>
  <c r="P4" i="177"/>
  <c r="AB15" i="77"/>
  <c r="AB106" i="77"/>
  <c r="AH93" i="158"/>
  <c r="AH17" i="158"/>
  <c r="Y14" i="77"/>
  <c r="Y105" i="77"/>
  <c r="AF17" i="158"/>
  <c r="FZ17" i="158" s="1"/>
  <c r="AF93" i="158"/>
  <c r="HW16" i="158"/>
  <c r="P39" i="158"/>
  <c r="T8" i="158"/>
  <c r="P85" i="158"/>
  <c r="M100" i="77"/>
  <c r="G4" i="177"/>
  <c r="CL4" i="177" s="1"/>
  <c r="J119" i="77"/>
  <c r="AC43" i="22"/>
  <c r="AA30" i="22"/>
  <c r="T120" i="77"/>
  <c r="BG120" i="77"/>
  <c r="S120" i="77"/>
  <c r="BL120" i="77"/>
  <c r="AB30" i="22"/>
  <c r="BD120" i="77"/>
  <c r="R23" i="177"/>
  <c r="AE17" i="77"/>
  <c r="AE108" i="77"/>
  <c r="D26" i="119"/>
  <c r="Q28" i="77"/>
  <c r="D32" i="123"/>
  <c r="V30" i="22"/>
  <c r="E29" i="77"/>
  <c r="AA29" i="77"/>
  <c r="C32" i="115" s="1"/>
  <c r="G29" i="77"/>
  <c r="O29" i="77"/>
  <c r="X29" i="77"/>
  <c r="BF29" i="77"/>
  <c r="BH29" i="77"/>
  <c r="E25" i="177" s="1"/>
  <c r="DC25" i="177" s="1"/>
  <c r="AD16" i="77"/>
  <c r="AD107" i="77"/>
  <c r="D30" i="22"/>
  <c r="W30" i="22"/>
  <c r="W120" i="77"/>
  <c r="U120" i="77"/>
  <c r="C24" i="177"/>
  <c r="CD24" i="177" s="1"/>
  <c r="C32" i="123"/>
  <c r="C26" i="119"/>
  <c r="B61" i="92"/>
  <c r="E79" i="77"/>
  <c r="AW120" i="77"/>
  <c r="D42" i="77"/>
  <c r="BH120" i="77"/>
  <c r="E120" i="77"/>
  <c r="AA120" i="77"/>
  <c r="X120" i="77"/>
  <c r="O120" i="77"/>
  <c r="G26" i="119"/>
  <c r="C76" i="115"/>
  <c r="AH27" i="77"/>
  <c r="AH119" i="77" s="1"/>
  <c r="AF27" i="77"/>
  <c r="AF119" i="77" s="1"/>
  <c r="Q23" i="177"/>
  <c r="H23" i="177"/>
  <c r="CP23" i="177" s="1"/>
  <c r="U31" i="18"/>
  <c r="Y31" i="18" s="1"/>
  <c r="N30" i="22"/>
  <c r="AC30" i="22" s="1"/>
  <c r="AC42" i="77"/>
  <c r="Q119" i="77"/>
  <c r="K120" i="77"/>
  <c r="BE120" i="77"/>
  <c r="F30" i="22"/>
  <c r="FC31" i="158"/>
  <c r="GZ31" i="158"/>
  <c r="A26" i="168"/>
  <c r="M26" i="168" s="1"/>
  <c r="D31" i="136"/>
  <c r="A29" i="159"/>
  <c r="B108" i="158"/>
  <c r="B32" i="158"/>
  <c r="BD31" i="158"/>
  <c r="EJ107" i="158"/>
  <c r="DX107" i="158"/>
  <c r="DL107" i="158"/>
  <c r="BV107" i="158"/>
  <c r="BE107" i="158"/>
  <c r="AQ107" i="158"/>
  <c r="AE107" i="158"/>
  <c r="S107" i="158"/>
  <c r="G107" i="158"/>
  <c r="EI107" i="158"/>
  <c r="DW107" i="158"/>
  <c r="DA107" i="158"/>
  <c r="BU107" i="158"/>
  <c r="BD107" i="158"/>
  <c r="AD107" i="158"/>
  <c r="F107" i="158"/>
  <c r="EH107" i="158"/>
  <c r="DV107" i="158"/>
  <c r="CZ107" i="158"/>
  <c r="BT107" i="158"/>
  <c r="BB107" i="158"/>
  <c r="AC107" i="158"/>
  <c r="Q107" i="158"/>
  <c r="E107" i="158"/>
  <c r="EA107" i="158"/>
  <c r="CY107" i="158"/>
  <c r="BK107" i="158"/>
  <c r="AT107" i="158"/>
  <c r="AB107" i="158"/>
  <c r="M107" i="158"/>
  <c r="DZ107" i="158"/>
  <c r="CX107" i="158"/>
  <c r="BJ107" i="158"/>
  <c r="AA107" i="158"/>
  <c r="L107" i="158"/>
  <c r="DY107" i="158"/>
  <c r="CC107" i="158"/>
  <c r="BI107" i="158"/>
  <c r="Z107" i="158"/>
  <c r="K107" i="158"/>
  <c r="EE107" i="158"/>
  <c r="DP107" i="158"/>
  <c r="BW107" i="158"/>
  <c r="AY107" i="158"/>
  <c r="AI107" i="158"/>
  <c r="T107" i="158"/>
  <c r="ED107" i="158"/>
  <c r="DO107" i="158"/>
  <c r="BS107" i="158"/>
  <c r="AX107" i="158"/>
  <c r="P107" i="158"/>
  <c r="DU107" i="158"/>
  <c r="BR107" i="158"/>
  <c r="I107" i="158"/>
  <c r="DT107" i="158"/>
  <c r="BL107" i="158"/>
  <c r="H107" i="158"/>
  <c r="DS107" i="158"/>
  <c r="BH107" i="158"/>
  <c r="AG107" i="158"/>
  <c r="DR107" i="158"/>
  <c r="BG107" i="158"/>
  <c r="C107" i="158"/>
  <c r="DQ107" i="158"/>
  <c r="BF107" i="158"/>
  <c r="Y107" i="158"/>
  <c r="DN107" i="158"/>
  <c r="BA107" i="158"/>
  <c r="X107" i="158"/>
  <c r="EL107" i="158"/>
  <c r="DM107" i="158"/>
  <c r="AZ107" i="158"/>
  <c r="W107" i="158"/>
  <c r="EK107" i="158"/>
  <c r="CB107" i="158"/>
  <c r="EG107" i="158"/>
  <c r="CA107" i="158"/>
  <c r="AU107" i="158"/>
  <c r="U107" i="158"/>
  <c r="EF107" i="158"/>
  <c r="BZ107" i="158"/>
  <c r="O107" i="158"/>
  <c r="EC107" i="158"/>
  <c r="BY107" i="158"/>
  <c r="N107" i="158"/>
  <c r="J107" i="158"/>
  <c r="EB107" i="158"/>
  <c r="BX107" i="158"/>
  <c r="FS30" i="158"/>
  <c r="HO30" i="158"/>
  <c r="HA30" i="158"/>
  <c r="HY30" i="158"/>
  <c r="HM30" i="158"/>
  <c r="HX30" i="158"/>
  <c r="HK30" i="158"/>
  <c r="HV30" i="158"/>
  <c r="HJ30" i="158"/>
  <c r="HI30" i="158"/>
  <c r="HT30" i="158"/>
  <c r="HS30" i="158"/>
  <c r="HR30" i="158"/>
  <c r="HQ30" i="158"/>
  <c r="GA30" i="158"/>
  <c r="IE30" i="158"/>
  <c r="ID30" i="158"/>
  <c r="HU30" i="158"/>
  <c r="HP30" i="158"/>
  <c r="HH30" i="158"/>
  <c r="HF30" i="158"/>
  <c r="HE30" i="158"/>
  <c r="HC30" i="158"/>
  <c r="FK30" i="158"/>
  <c r="HG30" i="158"/>
  <c r="FJ30" i="158"/>
  <c r="FF30" i="158"/>
  <c r="GG30" i="158"/>
  <c r="FT30" i="158"/>
  <c r="FX30" i="158"/>
  <c r="FL30" i="158"/>
  <c r="FY30" i="158"/>
  <c r="GB30" i="158"/>
  <c r="FM30" i="158"/>
  <c r="FQ30" i="158"/>
  <c r="GC30" i="158"/>
  <c r="FI30" i="158"/>
  <c r="GF30" i="158"/>
  <c r="FE30" i="158"/>
  <c r="FV30" i="158"/>
  <c r="FP30" i="158"/>
  <c r="FO30" i="158"/>
  <c r="FH30" i="158"/>
  <c r="FD30" i="158"/>
  <c r="FN30" i="158"/>
  <c r="GH30" i="158"/>
  <c r="GE30" i="158"/>
  <c r="GD30" i="158"/>
  <c r="FW30" i="158"/>
  <c r="FR30" i="158"/>
  <c r="FU30" i="158"/>
  <c r="FZ30" i="158"/>
  <c r="GJ30" i="158"/>
  <c r="GU30" i="158"/>
  <c r="FA30" i="158"/>
  <c r="AK31" i="18"/>
  <c r="G31" i="18"/>
  <c r="AI31" i="18" s="1"/>
  <c r="AH31" i="18"/>
  <c r="N31" i="18"/>
  <c r="P31" i="18" s="1"/>
  <c r="B88" i="18"/>
  <c r="B33" i="18"/>
  <c r="Z32" i="18"/>
  <c r="C32" i="18"/>
  <c r="K32" i="18"/>
  <c r="O32" i="18"/>
  <c r="AB32" i="18"/>
  <c r="S32" i="18"/>
  <c r="AM32" i="18"/>
  <c r="AN32" i="18" s="1"/>
  <c r="AU32" i="18"/>
  <c r="AD32" i="18"/>
  <c r="AV32" i="18"/>
  <c r="E32" i="18"/>
  <c r="AO32" i="18"/>
  <c r="AA32" i="18"/>
  <c r="X32" i="18"/>
  <c r="V32" i="18"/>
  <c r="Q32" i="18"/>
  <c r="AP32" i="18"/>
  <c r="M32" i="18"/>
  <c r="F32" i="18"/>
  <c r="AJ32" i="18" s="1"/>
  <c r="D32" i="18"/>
  <c r="R32" i="18"/>
  <c r="AC32" i="18"/>
  <c r="J32" i="18"/>
  <c r="AF32" i="18"/>
  <c r="T32" i="18"/>
  <c r="P30" i="18"/>
  <c r="W30" i="18"/>
  <c r="B32" i="22"/>
  <c r="AP31" i="22"/>
  <c r="BB31" i="22"/>
  <c r="L31" i="22"/>
  <c r="CM31" i="22"/>
  <c r="H31" i="22" s="1"/>
  <c r="AX31" i="22"/>
  <c r="U31" i="22"/>
  <c r="S31" i="22"/>
  <c r="Z31" i="22"/>
  <c r="E31" i="22"/>
  <c r="K31" i="22"/>
  <c r="R31" i="22"/>
  <c r="Q31" i="22"/>
  <c r="C31" i="22"/>
  <c r="J31" i="22"/>
  <c r="I31" i="22"/>
  <c r="AU31" i="22"/>
  <c r="G31" i="22"/>
  <c r="AV31" i="22"/>
  <c r="X31" i="22"/>
  <c r="CO31" i="22"/>
  <c r="CP31" i="22" s="1"/>
  <c r="P31" i="22"/>
  <c r="AL31" i="22"/>
  <c r="T31" i="22"/>
  <c r="AE29" i="22"/>
  <c r="AC29" i="22"/>
  <c r="K63" i="161"/>
  <c r="L64" i="161"/>
  <c r="AA63" i="161"/>
  <c r="D31" i="115"/>
  <c r="Z28" i="77"/>
  <c r="Z120" i="77" s="1"/>
  <c r="DA28" i="77"/>
  <c r="DA120" i="77" s="1"/>
  <c r="J28" i="77"/>
  <c r="D24" i="177" s="1"/>
  <c r="CY24" i="177" s="1"/>
  <c r="F32" i="123"/>
  <c r="C79" i="77"/>
  <c r="C61" i="92"/>
  <c r="A62" i="92"/>
  <c r="A25" i="92" s="1"/>
  <c r="B32" i="115"/>
  <c r="K64" i="111"/>
  <c r="E102" i="111" s="1"/>
  <c r="B121" i="77"/>
  <c r="B80" i="77"/>
  <c r="B30" i="77"/>
  <c r="DC30" i="77" s="1"/>
  <c r="DO26" i="177" s="1"/>
  <c r="AV29" i="77"/>
  <c r="H29" i="77"/>
  <c r="U29" i="77"/>
  <c r="AW29" i="77"/>
  <c r="BE29" i="77"/>
  <c r="DK25" i="177" s="1"/>
  <c r="V29" i="77"/>
  <c r="V121" i="77" s="1"/>
  <c r="AC29" i="77"/>
  <c r="S29" i="77"/>
  <c r="M29" i="77"/>
  <c r="CW29" i="77"/>
  <c r="K29" i="77" s="1"/>
  <c r="DS25" i="177" s="1"/>
  <c r="C29" i="77"/>
  <c r="DW25" i="177" s="1"/>
  <c r="I29" i="77"/>
  <c r="BD29" i="77"/>
  <c r="DG25" i="177" s="1"/>
  <c r="L29" i="77"/>
  <c r="BA29" i="77"/>
  <c r="E27" i="119" s="1"/>
  <c r="W29" i="77"/>
  <c r="BL29" i="77"/>
  <c r="N29" i="77"/>
  <c r="E33" i="123" s="1"/>
  <c r="T29" i="77"/>
  <c r="BB29" i="77"/>
  <c r="F27" i="119" s="1"/>
  <c r="F29" i="77"/>
  <c r="BG29" i="77"/>
  <c r="DB120" i="77"/>
  <c r="CM120" i="77"/>
  <c r="CA120" i="77"/>
  <c r="BO120" i="77"/>
  <c r="CQ120" i="77"/>
  <c r="CE120" i="77"/>
  <c r="BS120" i="77"/>
  <c r="AX120" i="77"/>
  <c r="CP120" i="77"/>
  <c r="CD120" i="77"/>
  <c r="BR120" i="77"/>
  <c r="AV120" i="77"/>
  <c r="CV120" i="77"/>
  <c r="CG120" i="77"/>
  <c r="BP120" i="77"/>
  <c r="CU120" i="77"/>
  <c r="CF120" i="77"/>
  <c r="BN120" i="77"/>
  <c r="CT120" i="77"/>
  <c r="CC120" i="77"/>
  <c r="BM120" i="77"/>
  <c r="CS120" i="77"/>
  <c r="CB120" i="77"/>
  <c r="BK120" i="77"/>
  <c r="CR120" i="77"/>
  <c r="BZ120" i="77"/>
  <c r="BJ120" i="77"/>
  <c r="CO120" i="77"/>
  <c r="BY120" i="77"/>
  <c r="BI120" i="77"/>
  <c r="CN120" i="77"/>
  <c r="BX120" i="77"/>
  <c r="AZ120" i="77"/>
  <c r="CL120" i="77"/>
  <c r="BW120" i="77"/>
  <c r="AY120" i="77"/>
  <c r="CK120" i="77"/>
  <c r="BV120" i="77"/>
  <c r="DC120" i="77"/>
  <c r="CJ120" i="77"/>
  <c r="BU120" i="77"/>
  <c r="CZ120" i="77"/>
  <c r="CI120" i="77"/>
  <c r="BT120" i="77"/>
  <c r="CY120" i="77"/>
  <c r="CH120" i="77"/>
  <c r="BQ120" i="77"/>
  <c r="CW120" i="77"/>
  <c r="BB120" i="77"/>
  <c r="BC120" i="77"/>
  <c r="C120" i="77"/>
  <c r="BA120" i="77"/>
  <c r="L120" i="77"/>
  <c r="H120" i="77"/>
  <c r="AM120" i="77"/>
  <c r="M120" i="77"/>
  <c r="N120" i="77"/>
  <c r="AC120" i="77"/>
  <c r="AS120" i="77"/>
  <c r="J63" i="111"/>
  <c r="U63" i="111"/>
  <c r="H31" i="115"/>
  <c r="B77" i="115"/>
  <c r="O77" i="115" s="1"/>
  <c r="B27" i="119"/>
  <c r="B63" i="119" s="1"/>
  <c r="B98" i="119" s="1"/>
  <c r="BE30" i="36"/>
  <c r="CY30" i="36" s="1"/>
  <c r="B31" i="36"/>
  <c r="B86" i="36"/>
  <c r="AT33" i="18"/>
  <c r="AL34" i="18"/>
  <c r="AS34" i="18"/>
  <c r="L34" i="18"/>
  <c r="U24" i="177" l="1"/>
  <c r="CL24" i="177"/>
  <c r="Q120" i="77"/>
  <c r="CH24" i="177"/>
  <c r="T24" i="177"/>
  <c r="S24" i="177"/>
  <c r="F25" i="177"/>
  <c r="CH25" i="177" s="1"/>
  <c r="DG29" i="77"/>
  <c r="DY25" i="177"/>
  <c r="DE29" i="77"/>
  <c r="G25" i="177"/>
  <c r="T25" i="177" s="1"/>
  <c r="DI29" i="77"/>
  <c r="T121" i="77"/>
  <c r="BL121" i="77"/>
  <c r="W121" i="77"/>
  <c r="Q41" i="77"/>
  <c r="I121" i="77"/>
  <c r="AW121" i="77"/>
  <c r="R41" i="77"/>
  <c r="M41" i="77" s="1"/>
  <c r="N41" i="77" s="1"/>
  <c r="C68" i="115"/>
  <c r="AF19" i="77"/>
  <c r="AF41" i="77" s="1"/>
  <c r="M78" i="36"/>
  <c r="AE78" i="36"/>
  <c r="AD43" i="36"/>
  <c r="AE43" i="36"/>
  <c r="AF111" i="77"/>
  <c r="AM31" i="22"/>
  <c r="Y31" i="22"/>
  <c r="AR8" i="158"/>
  <c r="AR9" i="158" s="1"/>
  <c r="AR10" i="158" s="1"/>
  <c r="L4" i="171"/>
  <c r="L35" i="171" s="1"/>
  <c r="J16" i="123"/>
  <c r="K17" i="123"/>
  <c r="J17" i="123" s="1"/>
  <c r="D4" i="171"/>
  <c r="H4" i="171" s="1"/>
  <c r="I4" i="171" s="1"/>
  <c r="I5" i="171" s="1"/>
  <c r="I6" i="171" s="1"/>
  <c r="AM107" i="77"/>
  <c r="F19" i="123"/>
  <c r="D25" i="77"/>
  <c r="DX21" i="177" s="1"/>
  <c r="D57" i="92"/>
  <c r="D116" i="77"/>
  <c r="D75" i="77"/>
  <c r="AE30" i="22"/>
  <c r="D14" i="92"/>
  <c r="D95" i="158"/>
  <c r="HB18" i="158"/>
  <c r="R9" i="158"/>
  <c r="FO9" i="158" s="1"/>
  <c r="HL8" i="158"/>
  <c r="R85" i="158"/>
  <c r="D4" i="167"/>
  <c r="C35" i="167"/>
  <c r="AB107" i="77"/>
  <c r="AB16" i="77"/>
  <c r="L41" i="22"/>
  <c r="M8" i="22"/>
  <c r="M9" i="22" s="1"/>
  <c r="M10" i="22" s="1"/>
  <c r="M11" i="22" s="1"/>
  <c r="M12" i="22" s="1"/>
  <c r="M13" i="22" s="1"/>
  <c r="M14" i="22" s="1"/>
  <c r="M15" i="22" s="1"/>
  <c r="M16" i="22" s="1"/>
  <c r="M17" i="22" s="1"/>
  <c r="M18" i="22" s="1"/>
  <c r="M19" i="22" s="1"/>
  <c r="M20" i="22" s="1"/>
  <c r="M21" i="22" s="1"/>
  <c r="M22" i="22" s="1"/>
  <c r="M23" i="22" s="1"/>
  <c r="M24" i="22" s="1"/>
  <c r="M25" i="22" s="1"/>
  <c r="M26" i="22" s="1"/>
  <c r="M27" i="22" s="1"/>
  <c r="M28" i="22" s="1"/>
  <c r="M29" i="22" s="1"/>
  <c r="M30" i="22" s="1"/>
  <c r="M31" i="22" s="1"/>
  <c r="N8" i="22"/>
  <c r="M41" i="22"/>
  <c r="F39" i="136"/>
  <c r="G8" i="136"/>
  <c r="HW17" i="158"/>
  <c r="AF18" i="158"/>
  <c r="FZ18" i="158" s="1"/>
  <c r="AF94" i="158"/>
  <c r="P35" i="177"/>
  <c r="CQ4" i="177"/>
  <c r="U85" i="158"/>
  <c r="U39" i="158"/>
  <c r="Q42" i="36"/>
  <c r="L42" i="36" s="1"/>
  <c r="M42" i="36" s="1"/>
  <c r="P42" i="36"/>
  <c r="Q71" i="36"/>
  <c r="AD9" i="36"/>
  <c r="Q69" i="36"/>
  <c r="Q9" i="36"/>
  <c r="Q10" i="36" s="1"/>
  <c r="Q11" i="36" s="1"/>
  <c r="Q12" i="36" s="1"/>
  <c r="Q13" i="36" s="1"/>
  <c r="Q14" i="36" s="1"/>
  <c r="Q15" i="36" s="1"/>
  <c r="Q16" i="36" s="1"/>
  <c r="Q17" i="36" s="1"/>
  <c r="Q18" i="36" s="1"/>
  <c r="Q19" i="36" s="1"/>
  <c r="Q20" i="36" s="1"/>
  <c r="Q21" i="36" s="1"/>
  <c r="Q22" i="36" s="1"/>
  <c r="Q23" i="36" s="1"/>
  <c r="Q24" i="36" s="1"/>
  <c r="Q25" i="36" s="1"/>
  <c r="Q26" i="36" s="1"/>
  <c r="Q8" i="77"/>
  <c r="P40" i="77"/>
  <c r="O40" i="77"/>
  <c r="O100" i="77"/>
  <c r="AR8" i="77"/>
  <c r="D6" i="119"/>
  <c r="P8" i="77"/>
  <c r="D12" i="123"/>
  <c r="HM8" i="158"/>
  <c r="V39" i="158"/>
  <c r="C6" i="159"/>
  <c r="S85" i="158"/>
  <c r="AI8" i="158"/>
  <c r="GB8" i="158" s="1"/>
  <c r="V8" i="158"/>
  <c r="FQ8" i="158" s="1"/>
  <c r="S39" i="158"/>
  <c r="D20" i="36"/>
  <c r="M55" i="161"/>
  <c r="N96" i="161"/>
  <c r="D19" i="158"/>
  <c r="FE19" i="158" s="1"/>
  <c r="AH18" i="158"/>
  <c r="AH94" i="158"/>
  <c r="H4" i="177"/>
  <c r="S4" i="177"/>
  <c r="Y4" i="177" s="1"/>
  <c r="Y5" i="177" s="1"/>
  <c r="Y6" i="177" s="1"/>
  <c r="Y7" i="177" s="1"/>
  <c r="Y8" i="177" s="1"/>
  <c r="Y9" i="177" s="1"/>
  <c r="Y10" i="177" s="1"/>
  <c r="Y11" i="177" s="1"/>
  <c r="Y12" i="177" s="1"/>
  <c r="Y13" i="177" s="1"/>
  <c r="Y14" i="177" s="1"/>
  <c r="Y15" i="177" s="1"/>
  <c r="Y16" i="177" s="1"/>
  <c r="Y17" i="177" s="1"/>
  <c r="Y18" i="177" s="1"/>
  <c r="Y19" i="177" s="1"/>
  <c r="Y20" i="177" s="1"/>
  <c r="Y21" i="177" s="1"/>
  <c r="R4" i="177"/>
  <c r="X4" i="177" s="1"/>
  <c r="X5" i="177" s="1"/>
  <c r="X6" i="177" s="1"/>
  <c r="X7" i="177" s="1"/>
  <c r="X8" i="177" s="1"/>
  <c r="X9" i="177" s="1"/>
  <c r="X10" i="177" s="1"/>
  <c r="X11" i="177" s="1"/>
  <c r="X12" i="177" s="1"/>
  <c r="X13" i="177" s="1"/>
  <c r="X14" i="177" s="1"/>
  <c r="X15" i="177" s="1"/>
  <c r="X16" i="177" s="1"/>
  <c r="X17" i="177" s="1"/>
  <c r="X18" i="177" s="1"/>
  <c r="X19" i="177" s="1"/>
  <c r="X20" i="177" s="1"/>
  <c r="X21" i="177" s="1"/>
  <c r="U4" i="177"/>
  <c r="T4" i="177"/>
  <c r="E24" i="117"/>
  <c r="F24" i="117" s="1"/>
  <c r="G24" i="117" s="1"/>
  <c r="E20" i="100"/>
  <c r="J36" i="32"/>
  <c r="L36" i="32" s="1"/>
  <c r="M36" i="32" s="1"/>
  <c r="E36" i="32"/>
  <c r="F36" i="32" s="1"/>
  <c r="R36" i="32"/>
  <c r="T39" i="158"/>
  <c r="T85" i="158"/>
  <c r="Y15" i="77"/>
  <c r="Y106" i="77"/>
  <c r="W4" i="177"/>
  <c r="C35" i="171"/>
  <c r="R47" i="32"/>
  <c r="E35" i="117"/>
  <c r="F35" i="117" s="1"/>
  <c r="G35" i="117" s="1"/>
  <c r="E47" i="32"/>
  <c r="F47" i="32" s="1"/>
  <c r="G27" i="119"/>
  <c r="J120" i="77"/>
  <c r="F31" i="22"/>
  <c r="W31" i="18"/>
  <c r="BH121" i="77"/>
  <c r="E121" i="77"/>
  <c r="O121" i="77"/>
  <c r="AA121" i="77"/>
  <c r="X121" i="77"/>
  <c r="C77" i="115"/>
  <c r="AH28" i="77"/>
  <c r="AH120" i="77" s="1"/>
  <c r="AF28" i="77"/>
  <c r="AF120" i="77" s="1"/>
  <c r="S121" i="77"/>
  <c r="W31" i="22"/>
  <c r="C25" i="177"/>
  <c r="CD25" i="177" s="1"/>
  <c r="B62" i="92"/>
  <c r="C27" i="119"/>
  <c r="E80" i="77"/>
  <c r="C33" i="123"/>
  <c r="AA31" i="22"/>
  <c r="V31" i="22"/>
  <c r="AE18" i="77"/>
  <c r="AE109" i="77"/>
  <c r="AB31" i="22"/>
  <c r="AD17" i="77"/>
  <c r="AD108" i="77"/>
  <c r="BE121" i="77"/>
  <c r="Q24" i="177"/>
  <c r="H24" i="177"/>
  <c r="CP24" i="177" s="1"/>
  <c r="AG32" i="18"/>
  <c r="U121" i="77"/>
  <c r="N31" i="22"/>
  <c r="AE31" i="22" s="1"/>
  <c r="BG121" i="77"/>
  <c r="BD121" i="77"/>
  <c r="V23" i="177"/>
  <c r="CT23" i="177" s="1"/>
  <c r="BF121" i="77"/>
  <c r="E30" i="77"/>
  <c r="DE30" i="77" s="1"/>
  <c r="O30" i="77"/>
  <c r="AA30" i="77"/>
  <c r="C33" i="115" s="1"/>
  <c r="G30" i="77"/>
  <c r="AC30" i="77"/>
  <c r="BF30" i="77"/>
  <c r="BH30" i="77"/>
  <c r="E26" i="177" s="1"/>
  <c r="X30" i="77"/>
  <c r="D31" i="22"/>
  <c r="D33" i="123"/>
  <c r="Q29" i="77"/>
  <c r="D27" i="119"/>
  <c r="R24" i="177"/>
  <c r="K121" i="77"/>
  <c r="U32" i="18"/>
  <c r="Y32" i="18" s="1"/>
  <c r="G121" i="77"/>
  <c r="B28" i="119"/>
  <c r="B64" i="119" s="1"/>
  <c r="B99" i="119" s="1"/>
  <c r="B32" i="36"/>
  <c r="B87" i="36"/>
  <c r="BE31" i="36"/>
  <c r="CY31" i="36" s="1"/>
  <c r="C62" i="92"/>
  <c r="C80" i="77"/>
  <c r="D32" i="115"/>
  <c r="Z29" i="77"/>
  <c r="Z121" i="77" s="1"/>
  <c r="J29" i="77"/>
  <c r="D25" i="177" s="1"/>
  <c r="CY25" i="177" s="1"/>
  <c r="DA29" i="77"/>
  <c r="DA121" i="77" s="1"/>
  <c r="A63" i="92"/>
  <c r="A26" i="92" s="1"/>
  <c r="B33" i="115"/>
  <c r="K65" i="111"/>
  <c r="E103" i="111" s="1"/>
  <c r="B122" i="77"/>
  <c r="B81" i="77"/>
  <c r="B31" i="77"/>
  <c r="DC31" i="77" s="1"/>
  <c r="DO27" i="177" s="1"/>
  <c r="AV30" i="77"/>
  <c r="L30" i="77"/>
  <c r="BA30" i="77"/>
  <c r="E28" i="119" s="1"/>
  <c r="H30" i="77"/>
  <c r="I30" i="77"/>
  <c r="T30" i="77"/>
  <c r="BD30" i="77"/>
  <c r="BL30" i="77"/>
  <c r="U30" i="77"/>
  <c r="N30" i="77"/>
  <c r="E34" i="123" s="1"/>
  <c r="W30" i="77"/>
  <c r="CW30" i="77"/>
  <c r="K30" i="77" s="1"/>
  <c r="S30" i="77"/>
  <c r="BE30" i="77"/>
  <c r="C30" i="77"/>
  <c r="DW26" i="177" s="1"/>
  <c r="BB30" i="77"/>
  <c r="F28" i="119" s="1"/>
  <c r="M30" i="77"/>
  <c r="V30" i="77"/>
  <c r="AW30" i="77"/>
  <c r="F30" i="77"/>
  <c r="BG30" i="77"/>
  <c r="CY121" i="77"/>
  <c r="CK121" i="77"/>
  <c r="CT121" i="77"/>
  <c r="CH121" i="77"/>
  <c r="BV121" i="77"/>
  <c r="CP121" i="77"/>
  <c r="CD121" i="77"/>
  <c r="BR121" i="77"/>
  <c r="CS121" i="77"/>
  <c r="CC121" i="77"/>
  <c r="BO121" i="77"/>
  <c r="DB121" i="77"/>
  <c r="CI121" i="77"/>
  <c r="BT121" i="77"/>
  <c r="AX121" i="77"/>
  <c r="CZ121" i="77"/>
  <c r="CG121" i="77"/>
  <c r="BS121" i="77"/>
  <c r="AV121" i="77"/>
  <c r="CL121" i="77"/>
  <c r="BP121" i="77"/>
  <c r="CJ121" i="77"/>
  <c r="BN121" i="77"/>
  <c r="CF121" i="77"/>
  <c r="BM121" i="77"/>
  <c r="CE121" i="77"/>
  <c r="BK121" i="77"/>
  <c r="DC121" i="77"/>
  <c r="CB121" i="77"/>
  <c r="BJ121" i="77"/>
  <c r="CV121" i="77"/>
  <c r="CA121" i="77"/>
  <c r="BI121" i="77"/>
  <c r="CU121" i="77"/>
  <c r="BZ121" i="77"/>
  <c r="AZ121" i="77"/>
  <c r="CR121" i="77"/>
  <c r="BY121" i="77"/>
  <c r="AY121" i="77"/>
  <c r="CQ121" i="77"/>
  <c r="BX121" i="77"/>
  <c r="CO121" i="77"/>
  <c r="BW121" i="77"/>
  <c r="CN121" i="77"/>
  <c r="BU121" i="77"/>
  <c r="CM121" i="77"/>
  <c r="BQ121" i="77"/>
  <c r="BC121" i="77"/>
  <c r="BA121" i="77"/>
  <c r="C121" i="77"/>
  <c r="BB121" i="77"/>
  <c r="CW121" i="77"/>
  <c r="M121" i="77"/>
  <c r="L121" i="77"/>
  <c r="N121" i="77"/>
  <c r="AC121" i="77"/>
  <c r="H121" i="77"/>
  <c r="F121" i="77"/>
  <c r="AS121" i="77"/>
  <c r="Q88" i="147"/>
  <c r="U64" i="111"/>
  <c r="J64" i="111"/>
  <c r="B78" i="115"/>
  <c r="O78" i="115" s="1"/>
  <c r="H32" i="115"/>
  <c r="K64" i="161"/>
  <c r="L65" i="161"/>
  <c r="AA64" i="161"/>
  <c r="B33" i="22"/>
  <c r="AP32" i="22"/>
  <c r="G32" i="22"/>
  <c r="E32" i="22"/>
  <c r="J32" i="22"/>
  <c r="I32" i="22"/>
  <c r="CM32" i="22"/>
  <c r="H32" i="22" s="1"/>
  <c r="S32" i="22"/>
  <c r="K32" i="22"/>
  <c r="CO32" i="22"/>
  <c r="CP32" i="22" s="1"/>
  <c r="C32" i="22"/>
  <c r="AL32" i="22"/>
  <c r="T32" i="22"/>
  <c r="AV32" i="22"/>
  <c r="L32" i="22"/>
  <c r="X32" i="22"/>
  <c r="BB32" i="22"/>
  <c r="P32" i="22"/>
  <c r="AX32" i="22"/>
  <c r="Z32" i="22"/>
  <c r="AU32" i="22"/>
  <c r="U32" i="22"/>
  <c r="R32" i="22"/>
  <c r="Q32" i="22"/>
  <c r="G32" i="18"/>
  <c r="AI32" i="18" s="1"/>
  <c r="AK32" i="18"/>
  <c r="AH32" i="18"/>
  <c r="N32" i="18"/>
  <c r="B34" i="18"/>
  <c r="B89" i="18"/>
  <c r="M33" i="18"/>
  <c r="E33" i="18"/>
  <c r="AC33" i="18"/>
  <c r="AV33" i="18"/>
  <c r="C33" i="18"/>
  <c r="AG33" i="18" s="1"/>
  <c r="Z33" i="18"/>
  <c r="V33" i="18"/>
  <c r="AB33" i="18"/>
  <c r="K33" i="18"/>
  <c r="R33" i="18"/>
  <c r="F33" i="18"/>
  <c r="AJ33" i="18" s="1"/>
  <c r="X33" i="18"/>
  <c r="AD33" i="18"/>
  <c r="S33" i="18"/>
  <c r="AM33" i="18"/>
  <c r="AN33" i="18" s="1"/>
  <c r="AA33" i="18"/>
  <c r="O33" i="18"/>
  <c r="AO33" i="18"/>
  <c r="Q33" i="18"/>
  <c r="AF33" i="18"/>
  <c r="T33" i="18"/>
  <c r="D33" i="18"/>
  <c r="J33" i="18"/>
  <c r="AP33" i="18"/>
  <c r="AU33" i="18"/>
  <c r="GZ32" i="158"/>
  <c r="FC32" i="158"/>
  <c r="A27" i="168"/>
  <c r="M27" i="168" s="1"/>
  <c r="D32" i="136"/>
  <c r="A30" i="159"/>
  <c r="B109" i="158"/>
  <c r="B33" i="158"/>
  <c r="BD32" i="158"/>
  <c r="EB108" i="158"/>
  <c r="DP108" i="158"/>
  <c r="BZ108" i="158"/>
  <c r="BI108" i="158"/>
  <c r="AU108" i="158"/>
  <c r="AI108" i="158"/>
  <c r="W108" i="158"/>
  <c r="K108" i="158"/>
  <c r="EA108" i="158"/>
  <c r="DO108" i="158"/>
  <c r="BY108" i="158"/>
  <c r="BH108" i="158"/>
  <c r="AT108" i="158"/>
  <c r="J108" i="158"/>
  <c r="EL108" i="158"/>
  <c r="DZ108" i="158"/>
  <c r="DN108" i="158"/>
  <c r="BX108" i="158"/>
  <c r="BG108" i="158"/>
  <c r="AG108" i="158"/>
  <c r="U108" i="158"/>
  <c r="I108" i="158"/>
  <c r="EH108" i="158"/>
  <c r="DS108" i="158"/>
  <c r="BW108" i="158"/>
  <c r="BB108" i="158"/>
  <c r="T108" i="158"/>
  <c r="E108" i="158"/>
  <c r="EG108" i="158"/>
  <c r="DR108" i="158"/>
  <c r="BV108" i="158"/>
  <c r="BA108" i="158"/>
  <c r="S108" i="158"/>
  <c r="EF108" i="158"/>
  <c r="DQ108" i="158"/>
  <c r="BU108" i="158"/>
  <c r="AZ108" i="158"/>
  <c r="C108" i="158"/>
  <c r="EC108" i="158"/>
  <c r="DA108" i="158"/>
  <c r="BR108" i="158"/>
  <c r="DX108" i="158"/>
  <c r="CY108" i="158"/>
  <c r="BK108" i="158"/>
  <c r="AQ108" i="158"/>
  <c r="DW108" i="158"/>
  <c r="CX108" i="158"/>
  <c r="BJ108" i="158"/>
  <c r="AA108" i="158"/>
  <c r="L108" i="158"/>
  <c r="EK108" i="158"/>
  <c r="DV108" i="158"/>
  <c r="CC108" i="158"/>
  <c r="BF108" i="158"/>
  <c r="Z108" i="158"/>
  <c r="H108" i="158"/>
  <c r="DM108" i="158"/>
  <c r="O108" i="158"/>
  <c r="DL108" i="158"/>
  <c r="N108" i="158"/>
  <c r="CZ108" i="158"/>
  <c r="M108" i="158"/>
  <c r="CB108" i="158"/>
  <c r="G108" i="158"/>
  <c r="CA108" i="158"/>
  <c r="AE108" i="158"/>
  <c r="F108" i="158"/>
  <c r="EJ108" i="158"/>
  <c r="BT108" i="158"/>
  <c r="AD108" i="158"/>
  <c r="EI108" i="158"/>
  <c r="BS108" i="158"/>
  <c r="AC108" i="158"/>
  <c r="EE108" i="158"/>
  <c r="BL108" i="158"/>
  <c r="AB108" i="158"/>
  <c r="ED108" i="158"/>
  <c r="BE108" i="158"/>
  <c r="Y108" i="158"/>
  <c r="DY108" i="158"/>
  <c r="BD108" i="158"/>
  <c r="X108" i="158"/>
  <c r="DU108" i="158"/>
  <c r="AY108" i="158"/>
  <c r="Q108" i="158"/>
  <c r="DT108" i="158"/>
  <c r="AX108" i="158"/>
  <c r="P108" i="158"/>
  <c r="GD31" i="158"/>
  <c r="HU31" i="158"/>
  <c r="HI31" i="158"/>
  <c r="HT31" i="158"/>
  <c r="HH31" i="158"/>
  <c r="IE31" i="158"/>
  <c r="HS31" i="158"/>
  <c r="HG31" i="158"/>
  <c r="ID31" i="158"/>
  <c r="HR31" i="158"/>
  <c r="HF31" i="158"/>
  <c r="FO31" i="158"/>
  <c r="HQ31" i="158"/>
  <c r="HE31" i="158"/>
  <c r="HP31" i="158"/>
  <c r="HC31" i="158"/>
  <c r="FL31" i="158"/>
  <c r="HM31" i="158"/>
  <c r="FD31" i="158"/>
  <c r="HK31" i="158"/>
  <c r="HY31" i="158"/>
  <c r="HA31" i="158"/>
  <c r="HX31" i="158"/>
  <c r="GB31" i="158"/>
  <c r="HJ31" i="158"/>
  <c r="GE31" i="158"/>
  <c r="FU31" i="158"/>
  <c r="HV31" i="158"/>
  <c r="HO31" i="158"/>
  <c r="FV31" i="158"/>
  <c r="GF31" i="158"/>
  <c r="GA31" i="158"/>
  <c r="FX31" i="158"/>
  <c r="FS31" i="158"/>
  <c r="FP31" i="158"/>
  <c r="FN31" i="158"/>
  <c r="FZ31" i="158"/>
  <c r="FK31" i="158"/>
  <c r="FH31" i="158"/>
  <c r="GC31" i="158"/>
  <c r="FM31" i="158"/>
  <c r="GH31" i="158"/>
  <c r="FT31" i="158"/>
  <c r="FJ31" i="158"/>
  <c r="FF31" i="158"/>
  <c r="GG31" i="158"/>
  <c r="FE31" i="158"/>
  <c r="FW31" i="158"/>
  <c r="FY31" i="158"/>
  <c r="FQ31" i="158"/>
  <c r="FR31" i="158"/>
  <c r="FI31" i="158"/>
  <c r="GJ31" i="158"/>
  <c r="GU31" i="158"/>
  <c r="FA31" i="158"/>
  <c r="AT34" i="18"/>
  <c r="L35" i="18"/>
  <c r="AS35" i="18"/>
  <c r="AL35" i="18"/>
  <c r="Q121" i="77" l="1"/>
  <c r="U25" i="177"/>
  <c r="S25" i="177"/>
  <c r="AG41" i="77"/>
  <c r="F26" i="177"/>
  <c r="DG30" i="77"/>
  <c r="G26" i="177"/>
  <c r="U26" i="177" s="1"/>
  <c r="DI30" i="77"/>
  <c r="CL25" i="177"/>
  <c r="BG122" i="77"/>
  <c r="S122" i="77"/>
  <c r="I122" i="77"/>
  <c r="F122" i="77"/>
  <c r="AW122" i="77"/>
  <c r="W122" i="77"/>
  <c r="V122" i="77"/>
  <c r="BL122" i="77"/>
  <c r="C26" i="177"/>
  <c r="DY26" i="177"/>
  <c r="BD122" i="77"/>
  <c r="DG26" i="177"/>
  <c r="DC26" i="177"/>
  <c r="S26" i="177"/>
  <c r="BE122" i="77"/>
  <c r="DK26" i="177"/>
  <c r="BF122" i="77"/>
  <c r="CL26" i="177"/>
  <c r="K122" i="77"/>
  <c r="DS26" i="177"/>
  <c r="CH26" i="177"/>
  <c r="T26" i="177"/>
  <c r="AM32" i="22"/>
  <c r="U33" i="18"/>
  <c r="W32" i="22"/>
  <c r="Y32" i="22"/>
  <c r="F4" i="171"/>
  <c r="K18" i="123"/>
  <c r="J18" i="123" s="1"/>
  <c r="D58" i="92"/>
  <c r="D117" i="77"/>
  <c r="D76" i="77"/>
  <c r="AH8" i="77"/>
  <c r="AF8" i="77"/>
  <c r="Q100" i="77"/>
  <c r="AP8" i="77"/>
  <c r="AL9" i="36" s="1"/>
  <c r="R8" i="77"/>
  <c r="C57" i="115"/>
  <c r="E57" i="115" s="1"/>
  <c r="E58" i="115" s="1"/>
  <c r="E59" i="115" s="1"/>
  <c r="R40" i="77"/>
  <c r="M40" i="77" s="1"/>
  <c r="N40" i="77" s="1"/>
  <c r="Q40" i="77"/>
  <c r="E62" i="126"/>
  <c r="F62" i="126" s="1"/>
  <c r="G62" i="126" s="1"/>
  <c r="D22" i="163"/>
  <c r="E21" i="156"/>
  <c r="F21" i="156" s="1"/>
  <c r="G21" i="156" s="1"/>
  <c r="G22" i="155"/>
  <c r="E24" i="126"/>
  <c r="F4" i="167"/>
  <c r="D35" i="167"/>
  <c r="G38" i="167" s="1"/>
  <c r="G36" i="167" s="1"/>
  <c r="H4" i="167"/>
  <c r="I4" i="167" s="1"/>
  <c r="I5" i="167" s="1"/>
  <c r="I6" i="167" s="1"/>
  <c r="I7" i="167" s="1"/>
  <c r="I8" i="167" s="1"/>
  <c r="I9" i="167" s="1"/>
  <c r="I10" i="167" s="1"/>
  <c r="I11" i="167" s="1"/>
  <c r="I12" i="167" s="1"/>
  <c r="I13" i="167" s="1"/>
  <c r="I14" i="167" s="1"/>
  <c r="I15" i="167" s="1"/>
  <c r="I16" i="167" s="1"/>
  <c r="I17" i="167" s="1"/>
  <c r="I18" i="167" s="1"/>
  <c r="I19" i="167" s="1"/>
  <c r="I20" i="167" s="1"/>
  <c r="I21" i="167" s="1"/>
  <c r="I22" i="167" s="1"/>
  <c r="I23" i="167" s="1"/>
  <c r="I24" i="167" s="1"/>
  <c r="I25" i="167" s="1"/>
  <c r="I26" i="167" s="1"/>
  <c r="I27" i="167" s="1"/>
  <c r="I28" i="167" s="1"/>
  <c r="I29" i="167" s="1"/>
  <c r="I30" i="167" s="1"/>
  <c r="I31" i="167" s="1"/>
  <c r="I32" i="167" s="1"/>
  <c r="I33" i="167" s="1"/>
  <c r="I34" i="167" s="1"/>
  <c r="I35" i="167" s="1"/>
  <c r="I36" i="167" s="1"/>
  <c r="I7" i="171"/>
  <c r="I8" i="171" s="1"/>
  <c r="I9" i="171" s="1"/>
  <c r="I10" i="171" s="1"/>
  <c r="I11" i="171" s="1"/>
  <c r="V9" i="158"/>
  <c r="FQ9" i="158" s="1"/>
  <c r="HN8" i="158"/>
  <c r="V85" i="158"/>
  <c r="M69" i="36"/>
  <c r="L69" i="36"/>
  <c r="AR85" i="158"/>
  <c r="J4" i="167"/>
  <c r="AE9" i="36"/>
  <c r="AE10" i="36" s="1"/>
  <c r="AE11" i="36" s="1"/>
  <c r="AE12" i="36" s="1"/>
  <c r="AE13" i="36" s="1"/>
  <c r="AE14" i="36" s="1"/>
  <c r="AE15" i="36" s="1"/>
  <c r="AE16" i="36" s="1"/>
  <c r="AE17" i="36" s="1"/>
  <c r="AE18" i="36" s="1"/>
  <c r="AE19" i="36" s="1"/>
  <c r="AE20" i="36" s="1"/>
  <c r="AE21" i="36" s="1"/>
  <c r="AE22" i="36" s="1"/>
  <c r="AE23" i="36" s="1"/>
  <c r="AE24" i="36" s="1"/>
  <c r="AE25" i="36" s="1"/>
  <c r="AE26" i="36" s="1"/>
  <c r="AE71" i="36"/>
  <c r="AE42" i="36"/>
  <c r="AD42" i="36"/>
  <c r="AE69" i="36"/>
  <c r="CP4" i="177"/>
  <c r="I4" i="177"/>
  <c r="V4" i="177"/>
  <c r="P100" i="77"/>
  <c r="P9" i="77"/>
  <c r="W5" i="177"/>
  <c r="F20" i="100"/>
  <c r="G20" i="100" s="1"/>
  <c r="E153" i="100"/>
  <c r="F153" i="100" s="1"/>
  <c r="G153" i="100" s="1"/>
  <c r="AH19" i="158"/>
  <c r="AH95" i="158"/>
  <c r="AJ8" i="158"/>
  <c r="GC8" i="158" s="1"/>
  <c r="HY8" i="158"/>
  <c r="AI39" i="158"/>
  <c r="AJ39" i="158"/>
  <c r="AI85" i="158"/>
  <c r="AR9" i="77"/>
  <c r="AR100" i="77"/>
  <c r="L71" i="36"/>
  <c r="M71" i="36"/>
  <c r="AF95" i="158"/>
  <c r="HW18" i="158"/>
  <c r="AF19" i="158"/>
  <c r="FZ19" i="158" s="1"/>
  <c r="R86" i="158"/>
  <c r="R10" i="158"/>
  <c r="FO10" i="158" s="1"/>
  <c r="HL9" i="158"/>
  <c r="HB19" i="158"/>
  <c r="D15" i="92"/>
  <c r="D96" i="158"/>
  <c r="AB108" i="77"/>
  <c r="AB17" i="77"/>
  <c r="G32" i="155"/>
  <c r="D29" i="163"/>
  <c r="E73" i="126"/>
  <c r="E35" i="126"/>
  <c r="E32" i="156"/>
  <c r="Y16" i="77"/>
  <c r="Y107" i="77"/>
  <c r="Z4" i="177"/>
  <c r="AE8" i="22"/>
  <c r="AF8" i="22" s="1"/>
  <c r="AF9" i="22" s="1"/>
  <c r="AF10" i="22" s="1"/>
  <c r="AF11" i="22" s="1"/>
  <c r="AF12" i="22" s="1"/>
  <c r="AF13" i="22" s="1"/>
  <c r="AF14" i="22" s="1"/>
  <c r="AF15" i="22" s="1"/>
  <c r="AF16" i="22" s="1"/>
  <c r="AF17" i="22" s="1"/>
  <c r="AF18" i="22" s="1"/>
  <c r="AF19" i="22" s="1"/>
  <c r="AF20" i="22" s="1"/>
  <c r="AF21" i="22" s="1"/>
  <c r="AF22" i="22" s="1"/>
  <c r="AF23" i="22" s="1"/>
  <c r="AF24" i="22" s="1"/>
  <c r="AF25" i="22" s="1"/>
  <c r="AF26" i="22" s="1"/>
  <c r="AF27" i="22" s="1"/>
  <c r="AF28" i="22" s="1"/>
  <c r="AF29" i="22" s="1"/>
  <c r="AF30" i="22" s="1"/>
  <c r="AF31" i="22" s="1"/>
  <c r="N41" i="22"/>
  <c r="AC8" i="22"/>
  <c r="O41" i="22"/>
  <c r="J41" i="22" s="1"/>
  <c r="K41" i="22" s="1"/>
  <c r="O8" i="22"/>
  <c r="O9" i="22" s="1"/>
  <c r="O10" i="22" s="1"/>
  <c r="O11" i="22" s="1"/>
  <c r="O12" i="22" s="1"/>
  <c r="O13" i="22" s="1"/>
  <c r="O14" i="22" s="1"/>
  <c r="O15" i="22" s="1"/>
  <c r="O16" i="22" s="1"/>
  <c r="O17" i="22" s="1"/>
  <c r="O18" i="22" s="1"/>
  <c r="O19" i="22" s="1"/>
  <c r="O20" i="22" s="1"/>
  <c r="O21" i="22" s="1"/>
  <c r="O22" i="22" s="1"/>
  <c r="O23" i="22" s="1"/>
  <c r="O24" i="22" s="1"/>
  <c r="O25" i="22" s="1"/>
  <c r="O26" i="22" s="1"/>
  <c r="O27" i="22" s="1"/>
  <c r="O28" i="22" s="1"/>
  <c r="O29" i="22" s="1"/>
  <c r="O30" i="22" s="1"/>
  <c r="O31" i="22" s="1"/>
  <c r="AA4" i="177"/>
  <c r="D21" i="36"/>
  <c r="N97" i="161"/>
  <c r="M56" i="161"/>
  <c r="D20" i="158"/>
  <c r="FE20" i="158" s="1"/>
  <c r="C14" i="32"/>
  <c r="M39" i="158"/>
  <c r="IK42" i="158" s="1"/>
  <c r="H8" i="136"/>
  <c r="I8" i="136" s="1"/>
  <c r="I39" i="136" s="1"/>
  <c r="G39" i="136"/>
  <c r="H39" i="136" s="1"/>
  <c r="J121" i="77"/>
  <c r="AC31" i="22"/>
  <c r="W32" i="18"/>
  <c r="P32" i="18"/>
  <c r="BH122" i="77"/>
  <c r="E122" i="77"/>
  <c r="X122" i="77"/>
  <c r="O122" i="77"/>
  <c r="AA122" i="77"/>
  <c r="AC122" i="77"/>
  <c r="D32" i="22"/>
  <c r="AD18" i="77"/>
  <c r="AD109" i="77"/>
  <c r="T122" i="77"/>
  <c r="V24" i="177"/>
  <c r="CT24" i="177" s="1"/>
  <c r="R25" i="177"/>
  <c r="D33" i="115"/>
  <c r="Z30" i="77"/>
  <c r="Z122" i="77" s="1"/>
  <c r="V32" i="22"/>
  <c r="G28" i="119"/>
  <c r="G122" i="77"/>
  <c r="AB32" i="22"/>
  <c r="AA32" i="22"/>
  <c r="H25" i="177"/>
  <c r="CP25" i="177" s="1"/>
  <c r="Q25" i="177"/>
  <c r="D28" i="119"/>
  <c r="Q30" i="77"/>
  <c r="D34" i="123"/>
  <c r="F32" i="22"/>
  <c r="AE19" i="77"/>
  <c r="AE110" i="77"/>
  <c r="M32" i="22"/>
  <c r="E31" i="77"/>
  <c r="DE31" i="77" s="1"/>
  <c r="O31" i="77"/>
  <c r="BH31" i="77"/>
  <c r="E27" i="177" s="1"/>
  <c r="G31" i="77"/>
  <c r="AA31" i="77"/>
  <c r="C34" i="115" s="1"/>
  <c r="X31" i="77"/>
  <c r="BF31" i="77"/>
  <c r="AC31" i="77"/>
  <c r="C28" i="119"/>
  <c r="B63" i="92"/>
  <c r="E81" i="77"/>
  <c r="C34" i="123"/>
  <c r="AH29" i="77"/>
  <c r="AH121" i="77" s="1"/>
  <c r="C78" i="115"/>
  <c r="AF29" i="77"/>
  <c r="N32" i="22"/>
  <c r="AE32" i="22" s="1"/>
  <c r="U122" i="77"/>
  <c r="FC33" i="158"/>
  <c r="GZ33" i="158"/>
  <c r="A28" i="168"/>
  <c r="M28" i="168" s="1"/>
  <c r="D33" i="136"/>
  <c r="A31" i="159"/>
  <c r="B110" i="158"/>
  <c r="BD33" i="158"/>
  <c r="B34" i="158"/>
  <c r="EF109" i="158"/>
  <c r="DT109" i="158"/>
  <c r="CX109" i="158"/>
  <c r="BR109" i="158"/>
  <c r="AZ109" i="158"/>
  <c r="AA109" i="158"/>
  <c r="O109" i="158"/>
  <c r="C109" i="158"/>
  <c r="EE109" i="158"/>
  <c r="DS109" i="158"/>
  <c r="CC109" i="158"/>
  <c r="BL109" i="158"/>
  <c r="AY109" i="158"/>
  <c r="Z109" i="158"/>
  <c r="N109" i="158"/>
  <c r="ED109" i="158"/>
  <c r="DR109" i="158"/>
  <c r="CB109" i="158"/>
  <c r="BK109" i="158"/>
  <c r="AX109" i="158"/>
  <c r="Y109" i="158"/>
  <c r="M109" i="158"/>
  <c r="DZ109" i="158"/>
  <c r="DA109" i="158"/>
  <c r="BJ109" i="158"/>
  <c r="AD109" i="158"/>
  <c r="L109" i="158"/>
  <c r="DY109" i="158"/>
  <c r="CZ109" i="158"/>
  <c r="BI109" i="158"/>
  <c r="AC109" i="158"/>
  <c r="K109" i="158"/>
  <c r="DX109" i="158"/>
  <c r="CY109" i="158"/>
  <c r="BH109" i="158"/>
  <c r="AQ109" i="158"/>
  <c r="AB109" i="158"/>
  <c r="J109" i="158"/>
  <c r="EL109" i="158"/>
  <c r="DW109" i="158"/>
  <c r="CA109" i="158"/>
  <c r="EK109" i="158"/>
  <c r="DV109" i="158"/>
  <c r="BZ109" i="158"/>
  <c r="BF109" i="158"/>
  <c r="EJ109" i="158"/>
  <c r="DU109" i="158"/>
  <c r="BY109" i="158"/>
  <c r="BE109" i="158"/>
  <c r="G109" i="158"/>
  <c r="EH109" i="158"/>
  <c r="DP109" i="158"/>
  <c r="BW109" i="158"/>
  <c r="BB109" i="158"/>
  <c r="AI109" i="158"/>
  <c r="T109" i="158"/>
  <c r="E109" i="158"/>
  <c r="EG109" i="158"/>
  <c r="DO109" i="158"/>
  <c r="BV109" i="158"/>
  <c r="BA109" i="158"/>
  <c r="S109" i="158"/>
  <c r="EC109" i="158"/>
  <c r="DN109" i="158"/>
  <c r="BU109" i="158"/>
  <c r="AG109" i="158"/>
  <c r="EB109" i="158"/>
  <c r="DM109" i="158"/>
  <c r="BT109" i="158"/>
  <c r="BS109" i="158"/>
  <c r="Q109" i="158"/>
  <c r="BG109" i="158"/>
  <c r="P109" i="158"/>
  <c r="BD109" i="158"/>
  <c r="I109" i="158"/>
  <c r="AU109" i="158"/>
  <c r="H109" i="158"/>
  <c r="AT109" i="158"/>
  <c r="F109" i="158"/>
  <c r="EI109" i="158"/>
  <c r="EA109" i="158"/>
  <c r="AE109" i="158"/>
  <c r="DQ109" i="158"/>
  <c r="X109" i="158"/>
  <c r="DL109" i="158"/>
  <c r="W109" i="158"/>
  <c r="BX109" i="158"/>
  <c r="U109" i="158"/>
  <c r="GB32" i="158"/>
  <c r="HO32" i="158"/>
  <c r="HA32" i="158"/>
  <c r="HY32" i="158"/>
  <c r="HM32" i="158"/>
  <c r="HX32" i="158"/>
  <c r="GH32" i="158"/>
  <c r="FO32" i="158"/>
  <c r="HK32" i="158"/>
  <c r="HV32" i="158"/>
  <c r="HJ32" i="158"/>
  <c r="HT32" i="158"/>
  <c r="HH32" i="158"/>
  <c r="FP32" i="158"/>
  <c r="HG32" i="158"/>
  <c r="FN32" i="158"/>
  <c r="IE32" i="158"/>
  <c r="HF32" i="158"/>
  <c r="GF32" i="158"/>
  <c r="FM32" i="158"/>
  <c r="ID32" i="158"/>
  <c r="HE32" i="158"/>
  <c r="GE32" i="158"/>
  <c r="FJ32" i="158"/>
  <c r="HQ32" i="158"/>
  <c r="FH32" i="158"/>
  <c r="HP32" i="158"/>
  <c r="FF32" i="158"/>
  <c r="HI32" i="158"/>
  <c r="FE32" i="158"/>
  <c r="HC32" i="158"/>
  <c r="FD32" i="158"/>
  <c r="GD32" i="158"/>
  <c r="FZ32" i="158"/>
  <c r="FW32" i="158"/>
  <c r="FV32" i="158"/>
  <c r="HU32" i="158"/>
  <c r="FU32" i="158"/>
  <c r="HS32" i="158"/>
  <c r="FR32" i="158"/>
  <c r="HR32" i="158"/>
  <c r="GC32" i="158"/>
  <c r="FX32" i="158"/>
  <c r="FK32" i="158"/>
  <c r="FI32" i="158"/>
  <c r="FS32" i="158"/>
  <c r="GG32" i="158"/>
  <c r="FQ32" i="158"/>
  <c r="GA32" i="158"/>
  <c r="FY32" i="158"/>
  <c r="FL32" i="158"/>
  <c r="FT32" i="158"/>
  <c r="GU32" i="158"/>
  <c r="GJ32" i="158"/>
  <c r="FA32" i="158"/>
  <c r="Y33" i="18"/>
  <c r="W33" i="18" s="1"/>
  <c r="N33" i="18"/>
  <c r="AK33" i="18"/>
  <c r="G33" i="18"/>
  <c r="AI33" i="18" s="1"/>
  <c r="AH33" i="18"/>
  <c r="B90" i="18"/>
  <c r="B35" i="18"/>
  <c r="E34" i="18"/>
  <c r="O34" i="18"/>
  <c r="X34" i="18"/>
  <c r="C34" i="18"/>
  <c r="AG34" i="18" s="1"/>
  <c r="AO34" i="18"/>
  <c r="AD34" i="18"/>
  <c r="AC34" i="18"/>
  <c r="F34" i="18"/>
  <c r="AJ34" i="18" s="1"/>
  <c r="S34" i="18"/>
  <c r="AM34" i="18"/>
  <c r="AN34" i="18" s="1"/>
  <c r="D34" i="18"/>
  <c r="AB34" i="18"/>
  <c r="AU34" i="18"/>
  <c r="K34" i="18"/>
  <c r="T34" i="18"/>
  <c r="M34" i="18"/>
  <c r="AP34" i="18"/>
  <c r="AA34" i="18"/>
  <c r="AB90" i="18" s="1"/>
  <c r="Z34" i="18"/>
  <c r="R34" i="18"/>
  <c r="Q34" i="18"/>
  <c r="J34" i="18"/>
  <c r="AF34" i="18"/>
  <c r="AV34" i="18"/>
  <c r="V34" i="18"/>
  <c r="B34" i="22"/>
  <c r="AP33" i="22"/>
  <c r="G33" i="22"/>
  <c r="AV33" i="22"/>
  <c r="X33" i="22"/>
  <c r="CO33" i="22"/>
  <c r="CP33" i="22" s="1"/>
  <c r="P33" i="22"/>
  <c r="AL33" i="22"/>
  <c r="T33" i="22"/>
  <c r="L33" i="22"/>
  <c r="CM33" i="22"/>
  <c r="H33" i="22" s="1"/>
  <c r="BB33" i="22"/>
  <c r="AX33" i="22"/>
  <c r="U33" i="22"/>
  <c r="S33" i="22"/>
  <c r="E33" i="22"/>
  <c r="K33" i="22"/>
  <c r="Z33" i="22"/>
  <c r="Q33" i="22"/>
  <c r="C33" i="22"/>
  <c r="R33" i="22"/>
  <c r="I33" i="22"/>
  <c r="J33" i="22"/>
  <c r="AU33" i="22"/>
  <c r="K65" i="161"/>
  <c r="L66" i="161"/>
  <c r="AA65" i="161"/>
  <c r="C81" i="77"/>
  <c r="C63" i="92"/>
  <c r="J30" i="77"/>
  <c r="D26" i="177" s="1"/>
  <c r="DA30" i="77"/>
  <c r="DA122" i="77" s="1"/>
  <c r="A64" i="92"/>
  <c r="A27" i="92" s="1"/>
  <c r="B34" i="115"/>
  <c r="K66" i="111"/>
  <c r="E104" i="111" s="1"/>
  <c r="B123" i="77"/>
  <c r="B82" i="77"/>
  <c r="B32" i="77"/>
  <c r="DC32" i="77" s="1"/>
  <c r="DO28" i="177" s="1"/>
  <c r="AV31" i="77"/>
  <c r="CW31" i="77"/>
  <c r="K31" i="77" s="1"/>
  <c r="DS27" i="177" s="1"/>
  <c r="BB31" i="77"/>
  <c r="F29" i="119" s="1"/>
  <c r="C31" i="77"/>
  <c r="DW27" i="177" s="1"/>
  <c r="I31" i="77"/>
  <c r="BL31" i="77"/>
  <c r="W31" i="77"/>
  <c r="AW31" i="77"/>
  <c r="N31" i="77"/>
  <c r="E35" i="123" s="1"/>
  <c r="BD31" i="77"/>
  <c r="T31" i="77"/>
  <c r="H31" i="77"/>
  <c r="L31" i="77"/>
  <c r="V31" i="77"/>
  <c r="BE31" i="77"/>
  <c r="DK27" i="177" s="1"/>
  <c r="S31" i="77"/>
  <c r="BA31" i="77"/>
  <c r="E29" i="119" s="1"/>
  <c r="M31" i="77"/>
  <c r="U31" i="77"/>
  <c r="U123" i="77" s="1"/>
  <c r="F31" i="77"/>
  <c r="BG31" i="77"/>
  <c r="CY122" i="77"/>
  <c r="CK122" i="77"/>
  <c r="BY122" i="77"/>
  <c r="BM122" i="77"/>
  <c r="CT122" i="77"/>
  <c r="CH122" i="77"/>
  <c r="BV122" i="77"/>
  <c r="BI122" i="77"/>
  <c r="CP122" i="77"/>
  <c r="CD122" i="77"/>
  <c r="BR122" i="77"/>
  <c r="AV122" i="77"/>
  <c r="CS122" i="77"/>
  <c r="CC122" i="77"/>
  <c r="BN122" i="77"/>
  <c r="DB122" i="77"/>
  <c r="CI122" i="77"/>
  <c r="BS122" i="77"/>
  <c r="CZ122" i="77"/>
  <c r="CG122" i="77"/>
  <c r="BQ122" i="77"/>
  <c r="CE122" i="77"/>
  <c r="AZ122" i="77"/>
  <c r="DC122" i="77"/>
  <c r="CB122" i="77"/>
  <c r="AY122" i="77"/>
  <c r="CV122" i="77"/>
  <c r="CA122" i="77"/>
  <c r="AX122" i="77"/>
  <c r="CU122" i="77"/>
  <c r="BZ122" i="77"/>
  <c r="CR122" i="77"/>
  <c r="BX122" i="77"/>
  <c r="CQ122" i="77"/>
  <c r="BW122" i="77"/>
  <c r="CO122" i="77"/>
  <c r="BU122" i="77"/>
  <c r="CN122" i="77"/>
  <c r="BT122" i="77"/>
  <c r="CM122" i="77"/>
  <c r="BP122" i="77"/>
  <c r="CL122" i="77"/>
  <c r="BO122" i="77"/>
  <c r="CJ122" i="77"/>
  <c r="BK122" i="77"/>
  <c r="CF122" i="77"/>
  <c r="BJ122" i="77"/>
  <c r="C122" i="77"/>
  <c r="BA122" i="77"/>
  <c r="BB122" i="77"/>
  <c r="BC122" i="77"/>
  <c r="H122" i="77"/>
  <c r="N122" i="77"/>
  <c r="CW122" i="77"/>
  <c r="L122" i="77"/>
  <c r="M122" i="77"/>
  <c r="AS122" i="77"/>
  <c r="Q89" i="147"/>
  <c r="J65" i="111"/>
  <c r="U65" i="111"/>
  <c r="B79" i="115"/>
  <c r="O79" i="115" s="1"/>
  <c r="H33" i="115"/>
  <c r="B29" i="119"/>
  <c r="B65" i="119" s="1"/>
  <c r="B100" i="119" s="1"/>
  <c r="B88" i="36"/>
  <c r="B33" i="36"/>
  <c r="BE32" i="36"/>
  <c r="CY32" i="36" s="1"/>
  <c r="AT35" i="18"/>
  <c r="AL36" i="18"/>
  <c r="AS36" i="18"/>
  <c r="L36" i="18"/>
  <c r="G27" i="177" l="1"/>
  <c r="DI31" i="77"/>
  <c r="F27" i="177"/>
  <c r="DG31" i="77"/>
  <c r="R26" i="177"/>
  <c r="CY26" i="177"/>
  <c r="DC27" i="177"/>
  <c r="S27" i="177"/>
  <c r="CL27" i="177"/>
  <c r="U27" i="177"/>
  <c r="CH27" i="177"/>
  <c r="T27" i="177"/>
  <c r="DY27" i="177"/>
  <c r="C27" i="177"/>
  <c r="H27" i="177" s="1"/>
  <c r="BD123" i="77"/>
  <c r="DG27" i="177"/>
  <c r="CD26" i="177"/>
  <c r="Q26" i="177"/>
  <c r="H26" i="177"/>
  <c r="AM33" i="22"/>
  <c r="C90" i="18"/>
  <c r="AG90" i="18" s="1"/>
  <c r="U34" i="18"/>
  <c r="Y34" i="18" s="1"/>
  <c r="W34" i="18" s="1"/>
  <c r="X90" i="18" s="1"/>
  <c r="V90" i="18" s="1"/>
  <c r="Y33" i="22"/>
  <c r="K19" i="123"/>
  <c r="W6" i="177"/>
  <c r="AB109" i="77"/>
  <c r="AB18" i="77"/>
  <c r="AF20" i="158"/>
  <c r="FZ20" i="158" s="1"/>
  <c r="AF96" i="158"/>
  <c r="HW19" i="158"/>
  <c r="C35" i="32"/>
  <c r="N39" i="158"/>
  <c r="Y17" i="77"/>
  <c r="Y108" i="77"/>
  <c r="P101" i="77"/>
  <c r="P10" i="77"/>
  <c r="I24" i="126"/>
  <c r="J24" i="126" s="1"/>
  <c r="L24" i="126"/>
  <c r="M24" i="126" s="1"/>
  <c r="R100" i="77"/>
  <c r="R9" i="77"/>
  <c r="Z5" i="177"/>
  <c r="E8" i="100"/>
  <c r="E8" i="117"/>
  <c r="F8" i="117" s="1"/>
  <c r="G8" i="117" s="1"/>
  <c r="R14" i="32"/>
  <c r="G5" i="155" s="1"/>
  <c r="E14" i="32"/>
  <c r="F14" i="32" s="1"/>
  <c r="J14" i="32"/>
  <c r="L14" i="32" s="1"/>
  <c r="M14" i="32" s="1"/>
  <c r="AJ9" i="158"/>
  <c r="GC9" i="158" s="1"/>
  <c r="AJ85" i="158"/>
  <c r="HZ8" i="158"/>
  <c r="V86" i="158"/>
  <c r="V10" i="158"/>
  <c r="FQ10" i="158" s="1"/>
  <c r="HN9" i="158"/>
  <c r="AP100" i="77"/>
  <c r="AP9" i="77"/>
  <c r="AL10" i="36" s="1"/>
  <c r="D16" i="92"/>
  <c r="D97" i="158"/>
  <c r="HB20" i="158"/>
  <c r="AD8" i="22"/>
  <c r="AD9" i="22" s="1"/>
  <c r="AD10" i="22" s="1"/>
  <c r="AD11" i="22" s="1"/>
  <c r="AD12" i="22" s="1"/>
  <c r="AD13" i="22" s="1"/>
  <c r="AD14" i="22" s="1"/>
  <c r="AD15" i="22" s="1"/>
  <c r="AD16" i="22" s="1"/>
  <c r="AD17" i="22" s="1"/>
  <c r="AD18" i="22" s="1"/>
  <c r="AD19" i="22" s="1"/>
  <c r="AD20" i="22" s="1"/>
  <c r="AD21" i="22" s="1"/>
  <c r="AD22" i="22" s="1"/>
  <c r="AD23" i="22" s="1"/>
  <c r="AD24" i="22" s="1"/>
  <c r="AD25" i="22" s="1"/>
  <c r="AD26" i="22" s="1"/>
  <c r="AD27" i="22" s="1"/>
  <c r="AD28" i="22" s="1"/>
  <c r="AD29" i="22" s="1"/>
  <c r="AD30" i="22" s="1"/>
  <c r="AD31" i="22" s="1"/>
  <c r="AD41" i="22"/>
  <c r="AC41" i="22"/>
  <c r="CT4" i="177"/>
  <c r="AB4" i="177"/>
  <c r="AR86" i="158"/>
  <c r="J5" i="167"/>
  <c r="D22" i="36"/>
  <c r="M57" i="161"/>
  <c r="N98" i="161"/>
  <c r="D21" i="158"/>
  <c r="FE21" i="158" s="1"/>
  <c r="AH20" i="158"/>
  <c r="AH96" i="158"/>
  <c r="I22" i="163"/>
  <c r="J22" i="163" s="1"/>
  <c r="F22" i="163"/>
  <c r="G22" i="163" s="1"/>
  <c r="AF100" i="77"/>
  <c r="AF40" i="77"/>
  <c r="AG8" i="77"/>
  <c r="AG40" i="77"/>
  <c r="AA5" i="177"/>
  <c r="I29" i="163"/>
  <c r="J29" i="163" s="1"/>
  <c r="F29" i="163"/>
  <c r="G29" i="163" s="1"/>
  <c r="R11" i="158"/>
  <c r="FO11" i="158" s="1"/>
  <c r="R87" i="158"/>
  <c r="HL10" i="158"/>
  <c r="AR101" i="77"/>
  <c r="AR10" i="77"/>
  <c r="AI8" i="77"/>
  <c r="AH100" i="77"/>
  <c r="G29" i="119"/>
  <c r="J122" i="77"/>
  <c r="M33" i="22"/>
  <c r="AL40" i="18"/>
  <c r="BE123" i="77"/>
  <c r="I123" i="77"/>
  <c r="AC32" i="22"/>
  <c r="C29" i="119"/>
  <c r="E82" i="77"/>
  <c r="C35" i="123"/>
  <c r="B64" i="92"/>
  <c r="AE20" i="77"/>
  <c r="AE111" i="77"/>
  <c r="V25" i="177"/>
  <c r="CT25" i="177" s="1"/>
  <c r="AA33" i="22"/>
  <c r="F33" i="22"/>
  <c r="N33" i="22"/>
  <c r="AE33" i="22" s="1"/>
  <c r="K90" i="18"/>
  <c r="F90" i="18"/>
  <c r="AB33" i="22"/>
  <c r="D33" i="22"/>
  <c r="W123" i="77"/>
  <c r="K123" i="77"/>
  <c r="BG123" i="77"/>
  <c r="W33" i="22"/>
  <c r="AF121" i="77"/>
  <c r="R90" i="18"/>
  <c r="V123" i="77"/>
  <c r="F123" i="77"/>
  <c r="T123" i="77"/>
  <c r="E32" i="77"/>
  <c r="DE32" i="77" s="1"/>
  <c r="AA32" i="77"/>
  <c r="C35" i="115" s="1"/>
  <c r="G32" i="77"/>
  <c r="O32" i="77"/>
  <c r="AC32" i="77"/>
  <c r="BF32" i="77"/>
  <c r="BH32" i="77"/>
  <c r="E28" i="177" s="1"/>
  <c r="X32" i="77"/>
  <c r="D34" i="115"/>
  <c r="Z31" i="77"/>
  <c r="Z123" i="77" s="1"/>
  <c r="S90" i="18"/>
  <c r="BF123" i="77"/>
  <c r="O32" i="22"/>
  <c r="AS123" i="77"/>
  <c r="BH123" i="77"/>
  <c r="E123" i="77"/>
  <c r="AA123" i="77"/>
  <c r="O123" i="77"/>
  <c r="X123" i="77"/>
  <c r="AC123" i="77"/>
  <c r="AF32" i="22"/>
  <c r="AW123" i="77"/>
  <c r="P33" i="18"/>
  <c r="AH30" i="77"/>
  <c r="AH122" i="77" s="1"/>
  <c r="C79" i="115"/>
  <c r="AF30" i="77"/>
  <c r="AF122" i="77" s="1"/>
  <c r="G123" i="77"/>
  <c r="V33" i="22"/>
  <c r="AD19" i="77"/>
  <c r="AD110" i="77"/>
  <c r="Q122" i="77"/>
  <c r="S123" i="77"/>
  <c r="BL123" i="77"/>
  <c r="D29" i="119"/>
  <c r="Q31" i="77"/>
  <c r="D35" i="123"/>
  <c r="T90" i="18"/>
  <c r="B30" i="119"/>
  <c r="B66" i="119" s="1"/>
  <c r="B101" i="119" s="1"/>
  <c r="B34" i="36"/>
  <c r="B89" i="36"/>
  <c r="BE33" i="36"/>
  <c r="CY33" i="36" s="1"/>
  <c r="J31" i="77"/>
  <c r="D27" i="177" s="1"/>
  <c r="DA31" i="77"/>
  <c r="DA123" i="77" s="1"/>
  <c r="C82" i="77"/>
  <c r="C64" i="92"/>
  <c r="A65" i="92"/>
  <c r="A28" i="92" s="1"/>
  <c r="B35" i="115"/>
  <c r="K67" i="111"/>
  <c r="E105" i="111" s="1"/>
  <c r="B124" i="77"/>
  <c r="B33" i="77"/>
  <c r="DC33" i="77" s="1"/>
  <c r="DO29" i="177" s="1"/>
  <c r="B83" i="77"/>
  <c r="AV32" i="77"/>
  <c r="S32" i="77"/>
  <c r="BE32" i="77"/>
  <c r="AW32" i="77"/>
  <c r="T32" i="77"/>
  <c r="W32" i="77"/>
  <c r="W124" i="77" s="1"/>
  <c r="BA32" i="77"/>
  <c r="E30" i="119" s="1"/>
  <c r="H32" i="77"/>
  <c r="U32" i="77"/>
  <c r="M32" i="77"/>
  <c r="I32" i="77"/>
  <c r="I124" i="77" s="1"/>
  <c r="CW32" i="77"/>
  <c r="K32" i="77" s="1"/>
  <c r="BD32" i="77"/>
  <c r="BB32" i="77"/>
  <c r="F30" i="119" s="1"/>
  <c r="C32" i="77"/>
  <c r="DW28" i="177" s="1"/>
  <c r="BL32" i="77"/>
  <c r="V32" i="77"/>
  <c r="L32" i="77"/>
  <c r="N32" i="77"/>
  <c r="E36" i="123" s="1"/>
  <c r="F32" i="77"/>
  <c r="BG32" i="77"/>
  <c r="DB123" i="77"/>
  <c r="CM123" i="77"/>
  <c r="CY123" i="77"/>
  <c r="CK123" i="77"/>
  <c r="BY123" i="77"/>
  <c r="BM123" i="77"/>
  <c r="CT123" i="77"/>
  <c r="CH123" i="77"/>
  <c r="BV123" i="77"/>
  <c r="BI123" i="77"/>
  <c r="CQ123" i="77"/>
  <c r="CE123" i="77"/>
  <c r="CP123" i="77"/>
  <c r="CD123" i="77"/>
  <c r="BR123" i="77"/>
  <c r="AV123" i="77"/>
  <c r="CZ123" i="77"/>
  <c r="CC123" i="77"/>
  <c r="BN123" i="77"/>
  <c r="CV123" i="77"/>
  <c r="CJ123" i="77"/>
  <c r="BS123" i="77"/>
  <c r="CI123" i="77"/>
  <c r="BQ123" i="77"/>
  <c r="BZ123" i="77"/>
  <c r="DC123" i="77"/>
  <c r="BX123" i="77"/>
  <c r="CU123" i="77"/>
  <c r="BW123" i="77"/>
  <c r="CS123" i="77"/>
  <c r="BU123" i="77"/>
  <c r="CR123" i="77"/>
  <c r="BT123" i="77"/>
  <c r="CO123" i="77"/>
  <c r="BP123" i="77"/>
  <c r="CN123" i="77"/>
  <c r="BO123" i="77"/>
  <c r="CL123" i="77"/>
  <c r="BK123" i="77"/>
  <c r="CG123" i="77"/>
  <c r="BJ123" i="77"/>
  <c r="CF123" i="77"/>
  <c r="AZ123" i="77"/>
  <c r="CB123" i="77"/>
  <c r="AY123" i="77"/>
  <c r="CA123" i="77"/>
  <c r="AX123" i="77"/>
  <c r="BC123" i="77"/>
  <c r="BB123" i="77"/>
  <c r="C123" i="77"/>
  <c r="BA123" i="77"/>
  <c r="M123" i="77"/>
  <c r="H123" i="77"/>
  <c r="N123" i="77"/>
  <c r="L123" i="77"/>
  <c r="CW123" i="77"/>
  <c r="Q90" i="147"/>
  <c r="U66" i="111"/>
  <c r="J66" i="111"/>
  <c r="H34" i="115"/>
  <c r="B80" i="115"/>
  <c r="O80" i="115" s="1"/>
  <c r="K66" i="161"/>
  <c r="L67" i="161"/>
  <c r="AA66" i="161"/>
  <c r="B35" i="22"/>
  <c r="AP34" i="22"/>
  <c r="L34" i="22"/>
  <c r="X34" i="22"/>
  <c r="P34" i="22"/>
  <c r="CO34" i="22"/>
  <c r="CP34" i="22" s="1"/>
  <c r="AU34" i="22"/>
  <c r="AL34" i="22"/>
  <c r="AX34" i="22"/>
  <c r="U34" i="22"/>
  <c r="Z34" i="22"/>
  <c r="Q34" i="22"/>
  <c r="G34" i="22"/>
  <c r="AV34" i="22"/>
  <c r="E34" i="22"/>
  <c r="R34" i="22"/>
  <c r="I34" i="22"/>
  <c r="J34" i="22"/>
  <c r="S34" i="22"/>
  <c r="K34" i="22"/>
  <c r="CM34" i="22"/>
  <c r="H34" i="22" s="1"/>
  <c r="C34" i="22"/>
  <c r="BB34" i="22"/>
  <c r="T34" i="22"/>
  <c r="N34" i="18"/>
  <c r="G34" i="18"/>
  <c r="AI34" i="18" s="1"/>
  <c r="AH34" i="18"/>
  <c r="AK34" i="18"/>
  <c r="B36" i="18"/>
  <c r="B91" i="18"/>
  <c r="AB35" i="18"/>
  <c r="D35" i="18"/>
  <c r="AF35" i="18"/>
  <c r="V35" i="18"/>
  <c r="AA35" i="18"/>
  <c r="Z35" i="18"/>
  <c r="J35" i="18"/>
  <c r="AO35" i="18"/>
  <c r="R35" i="18"/>
  <c r="AP35" i="18"/>
  <c r="AM35" i="18"/>
  <c r="AN35" i="18" s="1"/>
  <c r="Q35" i="18"/>
  <c r="AD35" i="18"/>
  <c r="K35" i="18"/>
  <c r="O35" i="18"/>
  <c r="AU35" i="18"/>
  <c r="E35" i="18"/>
  <c r="AC35" i="18"/>
  <c r="S35" i="18"/>
  <c r="M35" i="18"/>
  <c r="C35" i="18"/>
  <c r="AV35" i="18"/>
  <c r="F35" i="18"/>
  <c r="AJ35" i="18" s="1"/>
  <c r="T35" i="18"/>
  <c r="X35" i="18"/>
  <c r="GZ34" i="158"/>
  <c r="FC34" i="158"/>
  <c r="A29" i="168"/>
  <c r="M29" i="168" s="1"/>
  <c r="D34" i="136"/>
  <c r="A32" i="159"/>
  <c r="B111" i="158"/>
  <c r="BD34" i="158"/>
  <c r="B35" i="158"/>
  <c r="B36" i="158" s="1"/>
  <c r="EJ110" i="158"/>
  <c r="DX110" i="158"/>
  <c r="DL110" i="158"/>
  <c r="BV110" i="158"/>
  <c r="BE110" i="158"/>
  <c r="AQ110" i="158"/>
  <c r="AE110" i="158"/>
  <c r="S110" i="158"/>
  <c r="G110" i="158"/>
  <c r="EI110" i="158"/>
  <c r="DW110" i="158"/>
  <c r="DA110" i="158"/>
  <c r="BU110" i="158"/>
  <c r="BD110" i="158"/>
  <c r="AD110" i="158"/>
  <c r="F110" i="158"/>
  <c r="EH110" i="158"/>
  <c r="DV110" i="158"/>
  <c r="CZ110" i="158"/>
  <c r="BT110" i="158"/>
  <c r="BB110" i="158"/>
  <c r="AC110" i="158"/>
  <c r="Q110" i="158"/>
  <c r="E110" i="158"/>
  <c r="EG110" i="158"/>
  <c r="DR110" i="158"/>
  <c r="BY110" i="158"/>
  <c r="BA110" i="158"/>
  <c r="EF110" i="158"/>
  <c r="DQ110" i="158"/>
  <c r="BX110" i="158"/>
  <c r="AZ110" i="158"/>
  <c r="U110" i="158"/>
  <c r="C110" i="158"/>
  <c r="EE110" i="158"/>
  <c r="DP110" i="158"/>
  <c r="BW110" i="158"/>
  <c r="AY110" i="158"/>
  <c r="AI110" i="158"/>
  <c r="T110" i="158"/>
  <c r="ED110" i="158"/>
  <c r="DO110" i="158"/>
  <c r="BS110" i="158"/>
  <c r="AX110" i="158"/>
  <c r="P110" i="158"/>
  <c r="EC110" i="158"/>
  <c r="DN110" i="158"/>
  <c r="BR110" i="158"/>
  <c r="AG110" i="158"/>
  <c r="O110" i="158"/>
  <c r="EB110" i="158"/>
  <c r="DM110" i="158"/>
  <c r="BL110" i="158"/>
  <c r="AU110" i="158"/>
  <c r="N110" i="158"/>
  <c r="EA110" i="158"/>
  <c r="CY110" i="158"/>
  <c r="BK110" i="158"/>
  <c r="AT110" i="158"/>
  <c r="AB110" i="158"/>
  <c r="M110" i="158"/>
  <c r="DZ110" i="158"/>
  <c r="CX110" i="158"/>
  <c r="BJ110" i="158"/>
  <c r="AA110" i="158"/>
  <c r="L110" i="158"/>
  <c r="DY110" i="158"/>
  <c r="CC110" i="158"/>
  <c r="BI110" i="158"/>
  <c r="Z110" i="158"/>
  <c r="K110" i="158"/>
  <c r="DU110" i="158"/>
  <c r="CB110" i="158"/>
  <c r="BH110" i="158"/>
  <c r="Y110" i="158"/>
  <c r="J110" i="158"/>
  <c r="EL110" i="158"/>
  <c r="DT110" i="158"/>
  <c r="CA110" i="158"/>
  <c r="BG110" i="158"/>
  <c r="X110" i="158"/>
  <c r="I110" i="158"/>
  <c r="EK110" i="158"/>
  <c r="DS110" i="158"/>
  <c r="BZ110" i="158"/>
  <c r="BF110" i="158"/>
  <c r="W110" i="158"/>
  <c r="H110" i="158"/>
  <c r="GC33" i="158"/>
  <c r="HU33" i="158"/>
  <c r="HI33" i="158"/>
  <c r="HT33" i="158"/>
  <c r="HH33" i="158"/>
  <c r="IE33" i="158"/>
  <c r="HS33" i="158"/>
  <c r="HG33" i="158"/>
  <c r="ID33" i="158"/>
  <c r="HR33" i="158"/>
  <c r="HF33" i="158"/>
  <c r="FV33" i="158"/>
  <c r="HQ33" i="158"/>
  <c r="HE33" i="158"/>
  <c r="HP33" i="158"/>
  <c r="HC33" i="158"/>
  <c r="HA33" i="158"/>
  <c r="HX33" i="158"/>
  <c r="HJ33" i="158"/>
  <c r="FY33" i="158"/>
  <c r="FE33" i="158"/>
  <c r="FX33" i="158"/>
  <c r="FW33" i="158"/>
  <c r="FS33" i="158"/>
  <c r="FK33" i="158"/>
  <c r="HY33" i="158"/>
  <c r="FI33" i="158"/>
  <c r="HO33" i="158"/>
  <c r="FH33" i="158"/>
  <c r="GF33" i="158"/>
  <c r="HV33" i="158"/>
  <c r="GG33" i="158"/>
  <c r="FF33" i="158"/>
  <c r="HM33" i="158"/>
  <c r="GE33" i="158"/>
  <c r="GD33" i="158"/>
  <c r="GA33" i="158"/>
  <c r="FQ33" i="158"/>
  <c r="FP33" i="158"/>
  <c r="FO33" i="158"/>
  <c r="HK33" i="158"/>
  <c r="FN33" i="158"/>
  <c r="FD33" i="158"/>
  <c r="FT33" i="158"/>
  <c r="GB33" i="158"/>
  <c r="FL33" i="158"/>
  <c r="FJ33" i="158"/>
  <c r="FR33" i="158"/>
  <c r="FM33" i="158"/>
  <c r="FZ33" i="158"/>
  <c r="FU33" i="158"/>
  <c r="GH33" i="158"/>
  <c r="GU33" i="158"/>
  <c r="FA33" i="158"/>
  <c r="GJ33" i="158"/>
  <c r="AT36" i="18"/>
  <c r="F28" i="177" l="1"/>
  <c r="DG32" i="77"/>
  <c r="G28" i="177"/>
  <c r="S28" i="177" s="1"/>
  <c r="DI32" i="77"/>
  <c r="BG124" i="77"/>
  <c r="GZ36" i="158"/>
  <c r="FC36" i="158"/>
  <c r="BD36" i="158"/>
  <c r="B37" i="158"/>
  <c r="A31" i="168"/>
  <c r="M31" i="168" s="1"/>
  <c r="D36" i="136"/>
  <c r="B113" i="158"/>
  <c r="A34" i="159"/>
  <c r="F124" i="77"/>
  <c r="K124" i="77"/>
  <c r="DS28" i="177"/>
  <c r="DC28" i="177"/>
  <c r="CP26" i="177"/>
  <c r="V26" i="177"/>
  <c r="CT26" i="177" s="1"/>
  <c r="BE124" i="77"/>
  <c r="DK28" i="177"/>
  <c r="CP27" i="177"/>
  <c r="V27" i="177"/>
  <c r="CT27" i="177" s="1"/>
  <c r="CH28" i="177"/>
  <c r="CL28" i="177"/>
  <c r="U28" i="177"/>
  <c r="S124" i="77"/>
  <c r="V124" i="77"/>
  <c r="U124" i="77"/>
  <c r="R27" i="177"/>
  <c r="CY27" i="177"/>
  <c r="CD27" i="177"/>
  <c r="Q27" i="177"/>
  <c r="DY28" i="177"/>
  <c r="C28" i="177"/>
  <c r="BD124" i="77"/>
  <c r="DG28" i="177"/>
  <c r="AM34" i="22"/>
  <c r="W34" i="22"/>
  <c r="Z90" i="18"/>
  <c r="Y34" i="22"/>
  <c r="J19" i="123"/>
  <c r="K20" i="123"/>
  <c r="E19" i="100"/>
  <c r="E23" i="117"/>
  <c r="F23" i="117" s="1"/>
  <c r="G23" i="117" s="1"/>
  <c r="J35" i="32"/>
  <c r="L35" i="32" s="1"/>
  <c r="M35" i="32" s="1"/>
  <c r="E35" i="32"/>
  <c r="F35" i="32" s="1"/>
  <c r="R35" i="32"/>
  <c r="HL11" i="158"/>
  <c r="R88" i="158"/>
  <c r="R12" i="158"/>
  <c r="FO12" i="158" s="1"/>
  <c r="D23" i="36"/>
  <c r="N99" i="161"/>
  <c r="M58" i="161"/>
  <c r="D22" i="158"/>
  <c r="AI100" i="77"/>
  <c r="AI9" i="77"/>
  <c r="V11" i="158"/>
  <c r="FQ11" i="158" s="1"/>
  <c r="V87" i="158"/>
  <c r="HN10" i="158"/>
  <c r="P11" i="77"/>
  <c r="P102" i="77"/>
  <c r="AF97" i="158"/>
  <c r="AF21" i="158"/>
  <c r="FZ21" i="158" s="1"/>
  <c r="HW20" i="158"/>
  <c r="D5" i="163"/>
  <c r="E4" i="156"/>
  <c r="E45" i="126"/>
  <c r="F45" i="126" s="1"/>
  <c r="G45" i="126" s="1"/>
  <c r="E4" i="126"/>
  <c r="I4" i="126" s="1"/>
  <c r="J4" i="126" s="1"/>
  <c r="K85" i="115"/>
  <c r="AR102" i="77"/>
  <c r="AR11" i="77"/>
  <c r="AA6" i="177"/>
  <c r="E142" i="100"/>
  <c r="F8" i="100"/>
  <c r="G8" i="100" s="1"/>
  <c r="AB19" i="77"/>
  <c r="AB110" i="77"/>
  <c r="J6" i="167"/>
  <c r="AR87" i="158"/>
  <c r="Z6" i="177"/>
  <c r="AH21" i="158"/>
  <c r="AH97" i="158"/>
  <c r="Y18" i="77"/>
  <c r="Y109" i="77"/>
  <c r="AG9" i="77"/>
  <c r="AG100" i="77"/>
  <c r="D17" i="92"/>
  <c r="HB21" i="158"/>
  <c r="D98" i="158"/>
  <c r="AB5" i="177"/>
  <c r="CU4" i="177"/>
  <c r="AP101" i="77"/>
  <c r="AP10" i="77"/>
  <c r="AL11" i="36" s="1"/>
  <c r="AJ10" i="158"/>
  <c r="GC10" i="158" s="1"/>
  <c r="AJ86" i="158"/>
  <c r="HZ9" i="158"/>
  <c r="R10" i="77"/>
  <c r="R101" i="77"/>
  <c r="C37" i="32"/>
  <c r="D37" i="32"/>
  <c r="W7" i="177"/>
  <c r="G30" i="119"/>
  <c r="AC33" i="22"/>
  <c r="O33" i="22"/>
  <c r="M1" i="100"/>
  <c r="H45" i="18"/>
  <c r="P34" i="18"/>
  <c r="E33" i="77"/>
  <c r="DE33" i="77" s="1"/>
  <c r="G33" i="77"/>
  <c r="AA33" i="77"/>
  <c r="C36" i="115" s="1"/>
  <c r="O33" i="77"/>
  <c r="BF33" i="77"/>
  <c r="BH33" i="77"/>
  <c r="E29" i="177" s="1"/>
  <c r="X33" i="77"/>
  <c r="N34" i="22"/>
  <c r="AC34" i="22" s="1"/>
  <c r="BL124" i="77"/>
  <c r="T124" i="77"/>
  <c r="AD90" i="18"/>
  <c r="AK90" i="18"/>
  <c r="U90" i="18"/>
  <c r="AH90" i="18"/>
  <c r="AD32" i="22"/>
  <c r="U35" i="18"/>
  <c r="Y35" i="18" s="1"/>
  <c r="AW124" i="77"/>
  <c r="BF124" i="77"/>
  <c r="D35" i="115"/>
  <c r="Z32" i="77"/>
  <c r="Z124" i="77" s="1"/>
  <c r="AE21" i="77"/>
  <c r="AE112" i="77"/>
  <c r="AD20" i="77"/>
  <c r="AD111" i="77"/>
  <c r="AF33" i="22"/>
  <c r="M34" i="22"/>
  <c r="Q32" i="77"/>
  <c r="D30" i="119"/>
  <c r="D36" i="123"/>
  <c r="AB34" i="22"/>
  <c r="O90" i="18"/>
  <c r="Q123" i="77"/>
  <c r="G124" i="77"/>
  <c r="F87" i="147"/>
  <c r="G71" i="147"/>
  <c r="G164" i="147" s="1"/>
  <c r="J90" i="147"/>
  <c r="E73" i="147"/>
  <c r="G81" i="147"/>
  <c r="G100" i="147"/>
  <c r="I62" i="147"/>
  <c r="H69" i="147"/>
  <c r="J83" i="147"/>
  <c r="J92" i="147"/>
  <c r="I89" i="147"/>
  <c r="J81" i="147"/>
  <c r="F78" i="147"/>
  <c r="F156" i="147" s="1"/>
  <c r="I85" i="147"/>
  <c r="F71" i="147"/>
  <c r="F164" i="147" s="1"/>
  <c r="I79" i="147"/>
  <c r="J86" i="147"/>
  <c r="J77" i="147"/>
  <c r="J148" i="147" s="1"/>
  <c r="I96" i="147"/>
  <c r="F61" i="147"/>
  <c r="K83" i="147"/>
  <c r="G75" i="147"/>
  <c r="G85" i="147"/>
  <c r="K72" i="147"/>
  <c r="G70" i="147" a="1"/>
  <c r="G70" i="147" s="1"/>
  <c r="G90" i="147"/>
  <c r="I101" i="147"/>
  <c r="F59" i="147"/>
  <c r="H90" i="147"/>
  <c r="F101" i="147"/>
  <c r="J67" i="147"/>
  <c r="J172" i="147" s="1"/>
  <c r="H80" i="147"/>
  <c r="H176" i="147" s="1"/>
  <c r="H82" i="147"/>
  <c r="F99" i="147"/>
  <c r="F89" i="147"/>
  <c r="K79" i="147"/>
  <c r="I81" i="147"/>
  <c r="J62" i="147"/>
  <c r="H72" i="147"/>
  <c r="F62" i="147"/>
  <c r="G62" i="147"/>
  <c r="H74" i="147"/>
  <c r="H160" i="147" s="1"/>
  <c r="G68" i="147"/>
  <c r="G168" i="147" s="1"/>
  <c r="H86" i="147"/>
  <c r="E89" i="147"/>
  <c r="G77" i="147"/>
  <c r="G148" i="147" s="1"/>
  <c r="I77" i="147"/>
  <c r="I148" i="147" s="1"/>
  <c r="E99" i="147"/>
  <c r="G72" i="147"/>
  <c r="J68" i="147"/>
  <c r="J168" i="147" s="1"/>
  <c r="E70" i="147" a="1"/>
  <c r="E70" i="147" s="1"/>
  <c r="G87" i="147"/>
  <c r="F74" i="147"/>
  <c r="F160" i="147" s="1"/>
  <c r="G60" i="147"/>
  <c r="H100" i="147"/>
  <c r="F90" i="147"/>
  <c r="K61" i="147"/>
  <c r="F60" i="147"/>
  <c r="G84" i="147"/>
  <c r="G180" i="147" s="1"/>
  <c r="E61" i="147"/>
  <c r="E74" i="147"/>
  <c r="I73" i="147"/>
  <c r="H96" i="147"/>
  <c r="E79" i="147"/>
  <c r="K59" i="147"/>
  <c r="H77" i="147"/>
  <c r="H148" i="147" s="1"/>
  <c r="E101" i="147"/>
  <c r="I70" i="147" a="1"/>
  <c r="I70" i="147" s="1"/>
  <c r="F81" i="147"/>
  <c r="K99" i="147"/>
  <c r="H89" i="147"/>
  <c r="I83" i="147"/>
  <c r="I84" i="147"/>
  <c r="I180" i="147" s="1"/>
  <c r="I99" i="147"/>
  <c r="G73" i="147"/>
  <c r="G86" i="147"/>
  <c r="E85" i="147"/>
  <c r="I74" i="147"/>
  <c r="I160" i="147" s="1"/>
  <c r="H92" i="147"/>
  <c r="F76" i="147"/>
  <c r="F66" i="147" s="1"/>
  <c r="J87" i="147"/>
  <c r="G59" i="147"/>
  <c r="F77" i="147"/>
  <c r="F148" i="147" s="1"/>
  <c r="H75" i="147"/>
  <c r="F96" i="147"/>
  <c r="J59" i="147"/>
  <c r="K86" i="147"/>
  <c r="E71" i="147"/>
  <c r="E164" i="147" s="1"/>
  <c r="J80" i="147"/>
  <c r="J176" i="147" s="1"/>
  <c r="K96" i="147"/>
  <c r="J61" i="147"/>
  <c r="F79" i="147"/>
  <c r="I68" i="147"/>
  <c r="I168" i="147" s="1"/>
  <c r="G99" i="147"/>
  <c r="J82" i="147"/>
  <c r="H83" i="147"/>
  <c r="K68" i="147"/>
  <c r="K168" i="147" s="1"/>
  <c r="J74" i="147"/>
  <c r="J160" i="147" s="1"/>
  <c r="E80" i="147"/>
  <c r="K29" i="32"/>
  <c r="H61" i="147"/>
  <c r="H78" i="147"/>
  <c r="H156" i="147" s="1"/>
  <c r="E75" i="147"/>
  <c r="K77" i="147"/>
  <c r="K148" i="147" s="1"/>
  <c r="F83" i="147"/>
  <c r="K67" i="147"/>
  <c r="K172" i="147" s="1"/>
  <c r="K74" i="147"/>
  <c r="K160" i="147" s="1"/>
  <c r="E81" i="147"/>
  <c r="J69" i="147"/>
  <c r="D28" i="32"/>
  <c r="H101" i="147"/>
  <c r="E59" i="147"/>
  <c r="J71" i="147"/>
  <c r="J164" i="147" s="1"/>
  <c r="E60" i="147"/>
  <c r="I72" i="147"/>
  <c r="K82" i="147"/>
  <c r="H99" i="147"/>
  <c r="G78" i="147"/>
  <c r="G156" i="147" s="1"/>
  <c r="I82" i="147"/>
  <c r="I67" i="147"/>
  <c r="I172" i="147" s="1"/>
  <c r="I86" i="147"/>
  <c r="E67" i="147"/>
  <c r="E172" i="147" s="1"/>
  <c r="J85" i="147"/>
  <c r="E77" i="147"/>
  <c r="G80" i="147"/>
  <c r="G176" i="147" s="1"/>
  <c r="I75" i="147"/>
  <c r="K78" i="147"/>
  <c r="K156" i="147" s="1"/>
  <c r="E86" i="147"/>
  <c r="E78" i="147"/>
  <c r="G61" i="147"/>
  <c r="K62" i="147"/>
  <c r="G96" i="147"/>
  <c r="K100" i="147"/>
  <c r="M100" i="147" s="1"/>
  <c r="I87" i="147"/>
  <c r="G101" i="147"/>
  <c r="E96" i="147"/>
  <c r="G83" i="147"/>
  <c r="H79" i="147"/>
  <c r="H59" i="147"/>
  <c r="J78" i="147"/>
  <c r="J156" i="147" s="1"/>
  <c r="E90" i="147"/>
  <c r="H85" i="147"/>
  <c r="G91" i="147"/>
  <c r="I78" i="147"/>
  <c r="I156" i="147" s="1"/>
  <c r="K80" i="147"/>
  <c r="K176" i="147" s="1"/>
  <c r="E62" i="147"/>
  <c r="J76" i="147"/>
  <c r="J66" i="147" s="1"/>
  <c r="E72" i="147"/>
  <c r="G67" i="147"/>
  <c r="G172" i="147" s="1"/>
  <c r="E68" i="147"/>
  <c r="I100" i="147"/>
  <c r="K90" i="147"/>
  <c r="E82" i="147"/>
  <c r="J101" i="147"/>
  <c r="K70" i="147" a="1"/>
  <c r="K70" i="147" s="1"/>
  <c r="K81" i="147"/>
  <c r="F86" i="147"/>
  <c r="J89" i="147"/>
  <c r="J84" i="147"/>
  <c r="J180" i="147" s="1"/>
  <c r="G79" i="147"/>
  <c r="I59" i="147"/>
  <c r="F91" i="147"/>
  <c r="I71" i="147"/>
  <c r="I164" i="147" s="1"/>
  <c r="J99" i="147"/>
  <c r="J70" i="147" a="1"/>
  <c r="J70" i="147" s="1"/>
  <c r="I76" i="147"/>
  <c r="I66" i="147" s="1"/>
  <c r="K84" i="147"/>
  <c r="K180" i="147" s="1"/>
  <c r="J72" i="147"/>
  <c r="E76" i="147"/>
  <c r="F69" i="147"/>
  <c r="F80" i="147"/>
  <c r="F176" i="147" s="1"/>
  <c r="F84" i="147"/>
  <c r="F180" i="147" s="1"/>
  <c r="K71" i="147"/>
  <c r="K164" i="147" s="1"/>
  <c r="K87" i="147"/>
  <c r="I61" i="147"/>
  <c r="K28" i="32"/>
  <c r="F68" i="147"/>
  <c r="F168" i="147" s="1"/>
  <c r="E69" i="147"/>
  <c r="H81" i="147"/>
  <c r="G76" i="147"/>
  <c r="G66" i="147" s="1"/>
  <c r="H73" i="147"/>
  <c r="F82" i="147"/>
  <c r="H70" i="147" a="1"/>
  <c r="H70" i="147" s="1"/>
  <c r="E84" i="147"/>
  <c r="E180" i="147" s="1"/>
  <c r="K76" i="147"/>
  <c r="K66" i="147" s="1"/>
  <c r="H71" i="147"/>
  <c r="H164" i="147" s="1"/>
  <c r="H76" i="147"/>
  <c r="H66" i="147" s="1"/>
  <c r="K75" i="147"/>
  <c r="J73" i="147"/>
  <c r="G82" i="147"/>
  <c r="F72" i="147"/>
  <c r="F73" i="147"/>
  <c r="H67" i="147"/>
  <c r="H172" i="147" s="1"/>
  <c r="J75" i="147"/>
  <c r="K85" i="147"/>
  <c r="K73" i="147"/>
  <c r="I69" i="147"/>
  <c r="I91" i="147"/>
  <c r="H68" i="147"/>
  <c r="H168" i="147" s="1"/>
  <c r="I80" i="147"/>
  <c r="I176" i="147" s="1"/>
  <c r="K89" i="147"/>
  <c r="K101" i="147"/>
  <c r="J96" i="147"/>
  <c r="E83" i="147"/>
  <c r="G92" i="147"/>
  <c r="H87" i="147"/>
  <c r="F85" i="147"/>
  <c r="F100" i="147"/>
  <c r="F75" i="147"/>
  <c r="K69" i="147"/>
  <c r="H62" i="147"/>
  <c r="G89" i="147"/>
  <c r="I92" i="147"/>
  <c r="G69" i="147"/>
  <c r="I90" i="147"/>
  <c r="G74" i="147"/>
  <c r="G160" i="147" s="1"/>
  <c r="K91" i="147"/>
  <c r="E87" i="147"/>
  <c r="E91" i="147"/>
  <c r="F70" i="147" a="1"/>
  <c r="F70" i="147" s="1"/>
  <c r="H91" i="147"/>
  <c r="H84" i="147"/>
  <c r="H180" i="147" s="1"/>
  <c r="J123" i="77"/>
  <c r="AQ90" i="36"/>
  <c r="V34" i="22"/>
  <c r="B65" i="92"/>
  <c r="C36" i="123"/>
  <c r="E83" i="77"/>
  <c r="C30" i="119"/>
  <c r="F34" i="22"/>
  <c r="E124" i="77"/>
  <c r="BH124" i="77"/>
  <c r="AA124" i="77"/>
  <c r="O124" i="77"/>
  <c r="X124" i="77"/>
  <c r="AC124" i="77"/>
  <c r="AA34" i="22"/>
  <c r="AH31" i="77"/>
  <c r="AH123" i="77" s="1"/>
  <c r="AF31" i="77"/>
  <c r="C80" i="115"/>
  <c r="AG35" i="18"/>
  <c r="D34" i="22"/>
  <c r="FC35" i="158"/>
  <c r="GZ35" i="158"/>
  <c r="A30" i="168"/>
  <c r="M30" i="168" s="1"/>
  <c r="D35" i="136"/>
  <c r="A33" i="159"/>
  <c r="B112" i="158"/>
  <c r="BD35" i="158"/>
  <c r="J79" i="147"/>
  <c r="F67" i="147"/>
  <c r="F172" i="147" s="1"/>
  <c r="EB111" i="158"/>
  <c r="DP111" i="158"/>
  <c r="BZ111" i="158"/>
  <c r="BI111" i="158"/>
  <c r="AU111" i="158"/>
  <c r="AI111" i="158"/>
  <c r="W111" i="158"/>
  <c r="K111" i="158"/>
  <c r="EA111" i="158"/>
  <c r="DO111" i="158"/>
  <c r="BY111" i="158"/>
  <c r="BH111" i="158"/>
  <c r="AT111" i="158"/>
  <c r="J111" i="158"/>
  <c r="EL111" i="158"/>
  <c r="DZ111" i="158"/>
  <c r="DN111" i="158"/>
  <c r="BX111" i="158"/>
  <c r="BG111" i="158"/>
  <c r="AG111" i="158"/>
  <c r="U111" i="158"/>
  <c r="I111" i="158"/>
  <c r="DY111" i="158"/>
  <c r="CZ111" i="158"/>
  <c r="BL111" i="158"/>
  <c r="AC111" i="158"/>
  <c r="N111" i="158"/>
  <c r="DX111" i="158"/>
  <c r="CY111" i="158"/>
  <c r="BK111" i="158"/>
  <c r="AQ111" i="158"/>
  <c r="AB111" i="158"/>
  <c r="M111" i="158"/>
  <c r="DW111" i="158"/>
  <c r="CX111" i="158"/>
  <c r="BJ111" i="158"/>
  <c r="AA111" i="158"/>
  <c r="L111" i="158"/>
  <c r="EK111" i="158"/>
  <c r="DV111" i="158"/>
  <c r="CC111" i="158"/>
  <c r="BF111" i="158"/>
  <c r="Z111" i="158"/>
  <c r="H111" i="158"/>
  <c r="EJ111" i="158"/>
  <c r="DU111" i="158"/>
  <c r="CB111" i="158"/>
  <c r="BE111" i="158"/>
  <c r="Y111" i="158"/>
  <c r="G111" i="158"/>
  <c r="EI111" i="158"/>
  <c r="DT111" i="158"/>
  <c r="CA111" i="158"/>
  <c r="BD111" i="158"/>
  <c r="X111" i="158"/>
  <c r="F111" i="158"/>
  <c r="EH111" i="158"/>
  <c r="DS111" i="158"/>
  <c r="BW111" i="158"/>
  <c r="BB111" i="158"/>
  <c r="T111" i="158"/>
  <c r="E111" i="158"/>
  <c r="EG111" i="158"/>
  <c r="DR111" i="158"/>
  <c r="BV111" i="158"/>
  <c r="BA111" i="158"/>
  <c r="S111" i="158"/>
  <c r="EF111" i="158"/>
  <c r="DQ111" i="158"/>
  <c r="BU111" i="158"/>
  <c r="AZ111" i="158"/>
  <c r="C111" i="158"/>
  <c r="EE111" i="158"/>
  <c r="DM111" i="158"/>
  <c r="BT111" i="158"/>
  <c r="AY111" i="158"/>
  <c r="Q111" i="158"/>
  <c r="ED111" i="158"/>
  <c r="DL111" i="158"/>
  <c r="BS111" i="158"/>
  <c r="AX111" i="158"/>
  <c r="AE111" i="158"/>
  <c r="P111" i="158"/>
  <c r="EC111" i="158"/>
  <c r="DA111" i="158"/>
  <c r="BR111" i="158"/>
  <c r="AD111" i="158"/>
  <c r="O111" i="158"/>
  <c r="GD34" i="158"/>
  <c r="HO34" i="158"/>
  <c r="HA34" i="158"/>
  <c r="HY34" i="158"/>
  <c r="HM34" i="158"/>
  <c r="HX34" i="158"/>
  <c r="GG34" i="158"/>
  <c r="FI34" i="158"/>
  <c r="HK34" i="158"/>
  <c r="HV34" i="158"/>
  <c r="HJ34" i="158"/>
  <c r="HT34" i="158"/>
  <c r="HH34" i="158"/>
  <c r="HU34" i="158"/>
  <c r="HF34" i="158"/>
  <c r="FQ34" i="158"/>
  <c r="IE34" i="158"/>
  <c r="HE34" i="158"/>
  <c r="FP34" i="158"/>
  <c r="ID34" i="158"/>
  <c r="HC34" i="158"/>
  <c r="FO34" i="158"/>
  <c r="FJ34" i="158"/>
  <c r="HG34" i="158"/>
  <c r="FH34" i="158"/>
  <c r="FF34" i="158"/>
  <c r="GH34" i="158"/>
  <c r="HI34" i="158"/>
  <c r="FY34" i="158"/>
  <c r="FX34" i="158"/>
  <c r="FW34" i="158"/>
  <c r="HS34" i="158"/>
  <c r="HR34" i="158"/>
  <c r="GF34" i="158"/>
  <c r="HP34" i="158"/>
  <c r="FR34" i="158"/>
  <c r="HQ34" i="158"/>
  <c r="GE34" i="158"/>
  <c r="FZ34" i="158"/>
  <c r="GA34" i="158"/>
  <c r="FL34" i="158"/>
  <c r="FD34" i="158"/>
  <c r="GC34" i="158"/>
  <c r="FV34" i="158"/>
  <c r="FT34" i="158"/>
  <c r="FM34" i="158"/>
  <c r="FS34" i="158"/>
  <c r="GB34" i="158"/>
  <c r="FU34" i="158"/>
  <c r="FE34" i="158"/>
  <c r="FK34" i="158"/>
  <c r="FN34" i="158"/>
  <c r="GJ34" i="158"/>
  <c r="GU34" i="158"/>
  <c r="FA34" i="158"/>
  <c r="AK35" i="18"/>
  <c r="G35" i="18"/>
  <c r="AI35" i="18" s="1"/>
  <c r="AH35" i="18"/>
  <c r="N35" i="18"/>
  <c r="B92" i="18"/>
  <c r="C36" i="18"/>
  <c r="AF36" i="18"/>
  <c r="T36" i="18"/>
  <c r="AP36" i="18"/>
  <c r="AV36" i="18"/>
  <c r="S36" i="18"/>
  <c r="AU36" i="18"/>
  <c r="AD36" i="18"/>
  <c r="AC36" i="18"/>
  <c r="V36" i="18"/>
  <c r="M36" i="18"/>
  <c r="Z36" i="18"/>
  <c r="D36" i="18"/>
  <c r="AC40" i="18" s="1"/>
  <c r="D14" i="155" s="1"/>
  <c r="AB36" i="18"/>
  <c r="R36" i="18"/>
  <c r="F36" i="18"/>
  <c r="AJ36" i="18" s="1"/>
  <c r="AJ40" i="18" s="1"/>
  <c r="DC39" i="77" s="1"/>
  <c r="J36" i="18"/>
  <c r="X36" i="18"/>
  <c r="E36" i="18"/>
  <c r="AA36" i="18"/>
  <c r="AO36" i="18"/>
  <c r="AO40" i="18" s="1"/>
  <c r="AM36" i="18"/>
  <c r="AN36" i="18" s="1"/>
  <c r="AN40" i="18" s="1"/>
  <c r="AM40" i="18" s="1"/>
  <c r="O36" i="18"/>
  <c r="Q36" i="18"/>
  <c r="K36" i="18"/>
  <c r="B36" i="22"/>
  <c r="AP35" i="22"/>
  <c r="CO35" i="22"/>
  <c r="CP35" i="22" s="1"/>
  <c r="T35" i="22"/>
  <c r="U35" i="22"/>
  <c r="I35" i="22"/>
  <c r="AV35" i="22"/>
  <c r="Z35" i="22"/>
  <c r="J35" i="22"/>
  <c r="AX35" i="22"/>
  <c r="Q35" i="22"/>
  <c r="P35" i="22"/>
  <c r="CM35" i="22"/>
  <c r="H35" i="22" s="1"/>
  <c r="E35" i="22"/>
  <c r="S35" i="22"/>
  <c r="K35" i="22"/>
  <c r="L35" i="22"/>
  <c r="AU35" i="22"/>
  <c r="AL35" i="22"/>
  <c r="BB35" i="22"/>
  <c r="G35" i="22"/>
  <c r="X35" i="22"/>
  <c r="R35" i="22"/>
  <c r="C35" i="22"/>
  <c r="K67" i="161"/>
  <c r="L68" i="161"/>
  <c r="AA67" i="161"/>
  <c r="C83" i="77"/>
  <c r="C65" i="92"/>
  <c r="DA32" i="77"/>
  <c r="DA124" i="77" s="1"/>
  <c r="J32" i="77"/>
  <c r="D28" i="177" s="1"/>
  <c r="B36" i="115"/>
  <c r="A66" i="92"/>
  <c r="A29" i="92" s="1"/>
  <c r="K68" i="111"/>
  <c r="E106" i="111" s="1"/>
  <c r="B125" i="77"/>
  <c r="AV33" i="77"/>
  <c r="B34" i="77"/>
  <c r="DC34" i="77" s="1"/>
  <c r="B84" i="77"/>
  <c r="BD33" i="77"/>
  <c r="BA33" i="77"/>
  <c r="E31" i="119" s="1"/>
  <c r="M33" i="77"/>
  <c r="H33" i="77"/>
  <c r="N33" i="77"/>
  <c r="E37" i="123" s="1"/>
  <c r="W33" i="77"/>
  <c r="AW33" i="77"/>
  <c r="BL33" i="77"/>
  <c r="BL125" i="77" s="1"/>
  <c r="AC33" i="77"/>
  <c r="U33" i="77"/>
  <c r="S33" i="77"/>
  <c r="L33" i="77"/>
  <c r="I33" i="77"/>
  <c r="C33" i="77"/>
  <c r="DW29" i="177" s="1"/>
  <c r="BB33" i="77"/>
  <c r="F31" i="119" s="1"/>
  <c r="CW33" i="77"/>
  <c r="K33" i="77" s="1"/>
  <c r="DS29" i="177" s="1"/>
  <c r="BE33" i="77"/>
  <c r="DK29" i="177" s="1"/>
  <c r="T33" i="77"/>
  <c r="V33" i="77"/>
  <c r="F33" i="77"/>
  <c r="BG33" i="77"/>
  <c r="DB124" i="77"/>
  <c r="CM124" i="77"/>
  <c r="CA124" i="77"/>
  <c r="BO124" i="77"/>
  <c r="CY124" i="77"/>
  <c r="CK124" i="77"/>
  <c r="BY124" i="77"/>
  <c r="BM124" i="77"/>
  <c r="CT124" i="77"/>
  <c r="CH124" i="77"/>
  <c r="BV124" i="77"/>
  <c r="BI124" i="77"/>
  <c r="CQ124" i="77"/>
  <c r="CE124" i="77"/>
  <c r="BS124" i="77"/>
  <c r="AX124" i="77"/>
  <c r="CP124" i="77"/>
  <c r="CD124" i="77"/>
  <c r="BR124" i="77"/>
  <c r="AV124" i="77"/>
  <c r="CR124" i="77"/>
  <c r="BW124" i="77"/>
  <c r="CO124" i="77"/>
  <c r="BU124" i="77"/>
  <c r="CZ124" i="77"/>
  <c r="CC124" i="77"/>
  <c r="AZ124" i="77"/>
  <c r="CV124" i="77"/>
  <c r="CB124" i="77"/>
  <c r="AY124" i="77"/>
  <c r="CJ124" i="77"/>
  <c r="CI124" i="77"/>
  <c r="CG124" i="77"/>
  <c r="CF124" i="77"/>
  <c r="BZ124" i="77"/>
  <c r="BX124" i="77"/>
  <c r="BT124" i="77"/>
  <c r="DC124" i="77"/>
  <c r="BQ124" i="77"/>
  <c r="CU124" i="77"/>
  <c r="BP124" i="77"/>
  <c r="CS124" i="77"/>
  <c r="BN124" i="77"/>
  <c r="CN124" i="77"/>
  <c r="BK124" i="77"/>
  <c r="CL124" i="77"/>
  <c r="BJ124" i="77"/>
  <c r="BC124" i="77"/>
  <c r="BA124" i="77"/>
  <c r="C124" i="77"/>
  <c r="BB124" i="77"/>
  <c r="M124" i="77"/>
  <c r="L124" i="77"/>
  <c r="CW124" i="77"/>
  <c r="H124" i="77"/>
  <c r="N124" i="77"/>
  <c r="AS124" i="77"/>
  <c r="Q92" i="147"/>
  <c r="U67" i="111"/>
  <c r="J67" i="111"/>
  <c r="B81" i="115"/>
  <c r="O81" i="115" s="1"/>
  <c r="H35" i="115"/>
  <c r="B31" i="119"/>
  <c r="B67" i="119" s="1"/>
  <c r="B102" i="119" s="1"/>
  <c r="B35" i="36"/>
  <c r="B90" i="36"/>
  <c r="BE34" i="36"/>
  <c r="CY34" i="36" s="1"/>
  <c r="Q124" i="77" l="1"/>
  <c r="AO42" i="18"/>
  <c r="AO41" i="18"/>
  <c r="DO30" i="177"/>
  <c r="DC126" i="77"/>
  <c r="T28" i="177"/>
  <c r="F29" i="177"/>
  <c r="DG33" i="77"/>
  <c r="G29" i="177"/>
  <c r="DI33" i="77"/>
  <c r="F125" i="77"/>
  <c r="BG125" i="77"/>
  <c r="V125" i="77"/>
  <c r="S125" i="77"/>
  <c r="I125" i="77"/>
  <c r="U125" i="77"/>
  <c r="R28" i="177"/>
  <c r="CY28" i="177"/>
  <c r="CD28" i="177"/>
  <c r="Q28" i="177"/>
  <c r="H28" i="177"/>
  <c r="CX113" i="158"/>
  <c r="AA113" i="158"/>
  <c r="BK113" i="158"/>
  <c r="BI113" i="158"/>
  <c r="EK113" i="158"/>
  <c r="EI113" i="158"/>
  <c r="DU113" i="158"/>
  <c r="C113" i="158"/>
  <c r="AT113" i="158"/>
  <c r="AX113" i="158"/>
  <c r="AU113" i="158"/>
  <c r="DY113" i="158"/>
  <c r="DW113" i="158"/>
  <c r="CY113" i="158"/>
  <c r="N113" i="158"/>
  <c r="Z113" i="158"/>
  <c r="EH113" i="158"/>
  <c r="DO113" i="158"/>
  <c r="EF113" i="158"/>
  <c r="Y113" i="158"/>
  <c r="W113" i="158"/>
  <c r="DM113" i="158"/>
  <c r="DA113" i="158"/>
  <c r="EE113" i="158"/>
  <c r="BL113" i="158"/>
  <c r="K113" i="158"/>
  <c r="BD113" i="158"/>
  <c r="DQ113" i="158"/>
  <c r="BF113" i="158"/>
  <c r="DS113" i="158"/>
  <c r="BH113" i="158"/>
  <c r="X113" i="158"/>
  <c r="DZ113" i="158"/>
  <c r="DX113" i="158"/>
  <c r="DV113" i="158"/>
  <c r="L113" i="158"/>
  <c r="DN113" i="158"/>
  <c r="DL113" i="158"/>
  <c r="CZ113" i="158"/>
  <c r="DT113" i="158"/>
  <c r="DR113" i="158"/>
  <c r="BG113" i="158"/>
  <c r="BE113" i="158"/>
  <c r="EG113" i="158"/>
  <c r="DP113" i="158"/>
  <c r="BJ113" i="158"/>
  <c r="EL113" i="158"/>
  <c r="EJ113" i="158"/>
  <c r="EB113" i="158"/>
  <c r="EA113" i="158"/>
  <c r="EC113" i="158"/>
  <c r="ED113" i="158"/>
  <c r="BZ113" i="158"/>
  <c r="BY113" i="158"/>
  <c r="BX113" i="158"/>
  <c r="H113" i="158"/>
  <c r="CA113" i="158"/>
  <c r="CC113" i="158"/>
  <c r="CB113" i="158"/>
  <c r="I113" i="158"/>
  <c r="J113" i="158"/>
  <c r="F113" i="158"/>
  <c r="E113" i="158"/>
  <c r="BS113" i="158"/>
  <c r="G113" i="158"/>
  <c r="BT113" i="158"/>
  <c r="BA113" i="158"/>
  <c r="AG113" i="158"/>
  <c r="AE113" i="158"/>
  <c r="AD113" i="158"/>
  <c r="AZ113" i="158"/>
  <c r="BV113" i="158"/>
  <c r="BW113" i="158"/>
  <c r="BB113" i="158"/>
  <c r="AB113" i="158"/>
  <c r="BR113" i="158"/>
  <c r="BU113" i="158"/>
  <c r="AY113" i="158"/>
  <c r="AQ113" i="158"/>
  <c r="AC113" i="158"/>
  <c r="M113" i="158"/>
  <c r="Q113" i="158"/>
  <c r="P113" i="158"/>
  <c r="O113" i="158"/>
  <c r="U113" i="158"/>
  <c r="T113" i="158"/>
  <c r="S113" i="158"/>
  <c r="AI113" i="158"/>
  <c r="AK113" i="158"/>
  <c r="AS113" i="158"/>
  <c r="AN113" i="158"/>
  <c r="CH29" i="177"/>
  <c r="DC29" i="177"/>
  <c r="B38" i="158"/>
  <c r="FC37" i="158"/>
  <c r="GZ37" i="158"/>
  <c r="BD37" i="158"/>
  <c r="A32" i="168"/>
  <c r="M32" i="168" s="1"/>
  <c r="B114" i="158"/>
  <c r="A35" i="159"/>
  <c r="BD125" i="77"/>
  <c r="DG29" i="177"/>
  <c r="HS36" i="158"/>
  <c r="HX36" i="158"/>
  <c r="GJ36" i="158"/>
  <c r="HG36" i="158"/>
  <c r="HH36" i="158"/>
  <c r="HA36" i="158"/>
  <c r="ID36" i="158"/>
  <c r="HO36" i="158"/>
  <c r="HJ36" i="158"/>
  <c r="HP36" i="158"/>
  <c r="HQ36" i="158"/>
  <c r="IE36" i="158"/>
  <c r="HR36" i="158"/>
  <c r="HE36" i="158"/>
  <c r="HC36" i="158"/>
  <c r="HF36" i="158"/>
  <c r="HV36" i="158"/>
  <c r="HT36" i="158"/>
  <c r="HU36" i="158"/>
  <c r="HI36" i="158"/>
  <c r="HK36" i="158"/>
  <c r="HM36" i="158"/>
  <c r="HY36" i="158"/>
  <c r="IA36" i="158"/>
  <c r="C29" i="177"/>
  <c r="DY29" i="177"/>
  <c r="AV40" i="18"/>
  <c r="D45" i="18"/>
  <c r="D2" i="155"/>
  <c r="F92" i="18"/>
  <c r="E41" i="18"/>
  <c r="Y35" i="22"/>
  <c r="AM35" i="22"/>
  <c r="M59" i="147"/>
  <c r="M8" i="147" s="1"/>
  <c r="M107" i="147" s="1"/>
  <c r="W35" i="22"/>
  <c r="C45" i="18"/>
  <c r="J20" i="123"/>
  <c r="K21" i="123"/>
  <c r="H65" i="147"/>
  <c r="G65" i="147"/>
  <c r="R13" i="158"/>
  <c r="FO13" i="158" s="1"/>
  <c r="HL12" i="158"/>
  <c r="R89" i="158"/>
  <c r="AF98" i="158"/>
  <c r="HW21" i="158"/>
  <c r="AF22" i="158"/>
  <c r="W8" i="177"/>
  <c r="AJ11" i="158"/>
  <c r="GC11" i="158" s="1"/>
  <c r="AJ87" i="158"/>
  <c r="HZ10" i="158"/>
  <c r="Z7" i="177"/>
  <c r="D18" i="92"/>
  <c r="HB22" i="158"/>
  <c r="D99" i="158"/>
  <c r="AP102" i="77"/>
  <c r="D24" i="36"/>
  <c r="D23" i="158"/>
  <c r="H60" i="147" s="1"/>
  <c r="N100" i="161"/>
  <c r="M59" i="161"/>
  <c r="D26" i="144"/>
  <c r="I26" i="144" s="1"/>
  <c r="E48" i="100"/>
  <c r="D75" i="32"/>
  <c r="R75" i="32" s="1"/>
  <c r="E61" i="117" s="1"/>
  <c r="AG10" i="77"/>
  <c r="AG101" i="77"/>
  <c r="P103" i="77"/>
  <c r="P12" i="77"/>
  <c r="AG38" i="32"/>
  <c r="G21" i="155"/>
  <c r="E61" i="126"/>
  <c r="F61" i="126" s="1"/>
  <c r="G61" i="126" s="1"/>
  <c r="E23" i="126"/>
  <c r="E20" i="156"/>
  <c r="E21" i="100"/>
  <c r="J37" i="32"/>
  <c r="L37" i="32" s="1"/>
  <c r="M37" i="32" s="1"/>
  <c r="R37" i="32"/>
  <c r="E25" i="117"/>
  <c r="F25" i="117" s="1"/>
  <c r="G25" i="117" s="1"/>
  <c r="E37" i="32"/>
  <c r="F37" i="32" s="1"/>
  <c r="AA7" i="177"/>
  <c r="CG5" i="148"/>
  <c r="CI5" i="148" s="1"/>
  <c r="DU42" i="158"/>
  <c r="CX1" i="158"/>
  <c r="Y110" i="77"/>
  <c r="Y19" i="77"/>
  <c r="F4" i="156"/>
  <c r="G4" i="156" s="1"/>
  <c r="F142" i="100"/>
  <c r="G142" i="100" s="1"/>
  <c r="J139" i="100"/>
  <c r="R11" i="77"/>
  <c r="R102" i="77"/>
  <c r="AB6" i="177"/>
  <c r="CU5" i="177"/>
  <c r="AB111" i="77"/>
  <c r="AB20" i="77"/>
  <c r="AR103" i="77"/>
  <c r="AR12" i="77"/>
  <c r="F5" i="163"/>
  <c r="I5" i="163"/>
  <c r="J5" i="163" s="1"/>
  <c r="D21" i="163"/>
  <c r="G2" i="161" s="1"/>
  <c r="V88" i="158"/>
  <c r="V12" i="158"/>
  <c r="FQ12" i="158" s="1"/>
  <c r="HN11" i="158"/>
  <c r="AH22" i="158"/>
  <c r="AH98" i="158"/>
  <c r="AI101" i="77"/>
  <c r="AI10" i="77"/>
  <c r="F19" i="100"/>
  <c r="G19" i="100" s="1"/>
  <c r="E152" i="100"/>
  <c r="J10" i="100"/>
  <c r="L10" i="100" s="1"/>
  <c r="G31" i="119"/>
  <c r="AE34" i="22"/>
  <c r="AF34" i="22" s="1"/>
  <c r="O34" i="22"/>
  <c r="AD33" i="22"/>
  <c r="AD34" i="22" s="1"/>
  <c r="F35" i="22"/>
  <c r="K65" i="147"/>
  <c r="J65" i="147"/>
  <c r="N35" i="22"/>
  <c r="AC35" i="22" s="1"/>
  <c r="J124" i="77"/>
  <c r="AS125" i="77"/>
  <c r="BH125" i="77"/>
  <c r="E125" i="77"/>
  <c r="AA125" i="77"/>
  <c r="O125" i="77"/>
  <c r="X125" i="77"/>
  <c r="AB40" i="18"/>
  <c r="AB49" i="18" s="1"/>
  <c r="AA40" i="18"/>
  <c r="AB45" i="18"/>
  <c r="AB92" i="18"/>
  <c r="AA45" i="18"/>
  <c r="T125" i="77"/>
  <c r="W125" i="77"/>
  <c r="U36" i="18"/>
  <c r="U40" i="18" s="1"/>
  <c r="D92" i="144"/>
  <c r="I92" i="144" s="1"/>
  <c r="K67" i="32"/>
  <c r="E148" i="147"/>
  <c r="M77" i="147"/>
  <c r="M25" i="147" s="1"/>
  <c r="M75" i="147"/>
  <c r="M23" i="147" s="1"/>
  <c r="F45" i="18"/>
  <c r="BE125" i="77"/>
  <c r="J40" i="18"/>
  <c r="AA35" i="22"/>
  <c r="I152" i="147"/>
  <c r="I64" i="147"/>
  <c r="R92" i="18"/>
  <c r="U92" i="18" s="1"/>
  <c r="D35" i="22"/>
  <c r="H64" i="147"/>
  <c r="H152" i="147"/>
  <c r="J152" i="147"/>
  <c r="J64" i="147"/>
  <c r="M74" i="147"/>
  <c r="M22" i="147" s="1"/>
  <c r="E160" i="147"/>
  <c r="F65" i="147"/>
  <c r="Q90" i="18"/>
  <c r="E34" i="77"/>
  <c r="BH34" i="77"/>
  <c r="O34" i="77"/>
  <c r="O126" i="77" s="1"/>
  <c r="AA34" i="77"/>
  <c r="G34" i="77"/>
  <c r="G126" i="77" s="1"/>
  <c r="X34" i="77"/>
  <c r="X126" i="77" s="1"/>
  <c r="BF34" i="77"/>
  <c r="BF126" i="77" s="1"/>
  <c r="K125" i="77"/>
  <c r="C92" i="18"/>
  <c r="AG92" i="18" s="1"/>
  <c r="M61" i="147"/>
  <c r="M10" i="147" s="1"/>
  <c r="M82" i="147"/>
  <c r="M30" i="147" s="1"/>
  <c r="M125" i="147" s="1"/>
  <c r="M70" i="147"/>
  <c r="M18" i="147" s="1"/>
  <c r="M122" i="147" s="1"/>
  <c r="M69" i="147"/>
  <c r="M17" i="147" s="1"/>
  <c r="M115" i="147" s="1"/>
  <c r="E64" i="147"/>
  <c r="M71" i="147"/>
  <c r="M19" i="147" s="1"/>
  <c r="M116" i="147" s="1"/>
  <c r="M67" i="147"/>
  <c r="M15" i="147" s="1"/>
  <c r="M113" i="147" s="1"/>
  <c r="M101" i="147"/>
  <c r="M39" i="147" s="1"/>
  <c r="M137" i="147" s="1"/>
  <c r="M68" i="147"/>
  <c r="M16" i="147" s="1"/>
  <c r="M114" i="147" s="1"/>
  <c r="M99" i="147"/>
  <c r="M49" i="147" s="1"/>
  <c r="M126" i="147" s="1"/>
  <c r="E152" i="147"/>
  <c r="M73" i="147"/>
  <c r="M84" i="147"/>
  <c r="M32" i="147" s="1"/>
  <c r="M131" i="147" s="1"/>
  <c r="M72" i="147"/>
  <c r="F152" i="147"/>
  <c r="F64" i="147"/>
  <c r="AF32" i="77"/>
  <c r="AF124" i="77" s="1"/>
  <c r="C81" i="115"/>
  <c r="AH32" i="77"/>
  <c r="AH124" i="77" s="1"/>
  <c r="D93" i="144"/>
  <c r="I93" i="144" s="1"/>
  <c r="K68" i="32"/>
  <c r="L29" i="32"/>
  <c r="M29" i="32" s="1"/>
  <c r="M35" i="22"/>
  <c r="M3" i="100"/>
  <c r="AJ30" i="100"/>
  <c r="M56" i="100"/>
  <c r="M30" i="100"/>
  <c r="M137" i="100"/>
  <c r="BA30" i="100"/>
  <c r="AY37" i="100" s="1"/>
  <c r="M90" i="147"/>
  <c r="M38" i="147" s="1"/>
  <c r="M136" i="147" s="1"/>
  <c r="G64" i="147"/>
  <c r="G152" i="147"/>
  <c r="D16" i="144"/>
  <c r="I16" i="144" s="1"/>
  <c r="E40" i="100"/>
  <c r="D67" i="32"/>
  <c r="R67" i="32" s="1"/>
  <c r="E53" i="117" s="1"/>
  <c r="E176" i="147"/>
  <c r="I65" i="147"/>
  <c r="E45" i="18"/>
  <c r="E168" i="147"/>
  <c r="M86" i="147"/>
  <c r="M34" i="147" s="1"/>
  <c r="M130" i="147" s="1"/>
  <c r="K152" i="147"/>
  <c r="K64" i="147"/>
  <c r="BF125" i="77"/>
  <c r="P35" i="18"/>
  <c r="M76" i="147"/>
  <c r="M24" i="147" s="1"/>
  <c r="E66" i="147"/>
  <c r="M66" i="147" s="1"/>
  <c r="M78" i="147"/>
  <c r="M26" i="147" s="1"/>
  <c r="E156" i="147"/>
  <c r="M81" i="147"/>
  <c r="M29" i="147" s="1"/>
  <c r="M124" i="147" s="1"/>
  <c r="T92" i="18"/>
  <c r="D31" i="119"/>
  <c r="Q33" i="77"/>
  <c r="Q125" i="77" s="1"/>
  <c r="D37" i="123"/>
  <c r="S92" i="18"/>
  <c r="V35" i="22"/>
  <c r="M87" i="147"/>
  <c r="M35" i="147" s="1"/>
  <c r="M133" i="147" s="1"/>
  <c r="M89" i="147"/>
  <c r="M37" i="147" s="1"/>
  <c r="M135" i="147" s="1"/>
  <c r="AD21" i="77"/>
  <c r="AD112" i="77"/>
  <c r="AO46" i="18"/>
  <c r="AP40" i="18"/>
  <c r="AF123" i="77"/>
  <c r="G125" i="77"/>
  <c r="AG36" i="18"/>
  <c r="D40" i="18"/>
  <c r="C40" i="18"/>
  <c r="AD6" i="28"/>
  <c r="AE6" i="28" s="1"/>
  <c r="X5" i="24"/>
  <c r="H40" i="18"/>
  <c r="I40" i="18"/>
  <c r="W35" i="18"/>
  <c r="AB35" i="22"/>
  <c r="AE22" i="77"/>
  <c r="AE113" i="77"/>
  <c r="E84" i="77"/>
  <c r="C37" i="123"/>
  <c r="C31" i="119"/>
  <c r="B66" i="92"/>
  <c r="AW125" i="77"/>
  <c r="F40" i="18"/>
  <c r="T40" i="18"/>
  <c r="AS40" i="18"/>
  <c r="S40" i="18"/>
  <c r="E40" i="18"/>
  <c r="AD40" i="18"/>
  <c r="AE40" i="18"/>
  <c r="K92" i="18"/>
  <c r="AU40" i="18"/>
  <c r="M62" i="147"/>
  <c r="M11" i="147" s="1"/>
  <c r="E65" i="147"/>
  <c r="M79" i="147"/>
  <c r="M27" i="147" s="1"/>
  <c r="M123" i="147" s="1"/>
  <c r="K45" i="18"/>
  <c r="R45" i="18"/>
  <c r="AT40" i="18"/>
  <c r="B32" i="119"/>
  <c r="B68" i="119" s="1"/>
  <c r="B103" i="119" s="1"/>
  <c r="B91" i="36"/>
  <c r="BE35" i="36"/>
  <c r="CY35" i="36" s="1"/>
  <c r="B36" i="36"/>
  <c r="B37" i="36" s="1"/>
  <c r="C84" i="77"/>
  <c r="C66" i="92"/>
  <c r="D36" i="115"/>
  <c r="Z33" i="77"/>
  <c r="Z125" i="77" s="1"/>
  <c r="J33" i="77"/>
  <c r="D29" i="177" s="1"/>
  <c r="DA33" i="77"/>
  <c r="DA125" i="77" s="1"/>
  <c r="A67" i="92"/>
  <c r="A30" i="92" s="1"/>
  <c r="B37" i="115"/>
  <c r="K69" i="111"/>
  <c r="E107" i="111" s="1"/>
  <c r="B35" i="77"/>
  <c r="AV34" i="77"/>
  <c r="B85" i="77"/>
  <c r="BA34" i="77"/>
  <c r="C34" i="77"/>
  <c r="BL34" i="77"/>
  <c r="BL126" i="77" s="1"/>
  <c r="N34" i="77"/>
  <c r="BB34" i="77"/>
  <c r="CW34" i="77"/>
  <c r="W34" i="77"/>
  <c r="W126" i="77" s="1"/>
  <c r="M34" i="77"/>
  <c r="M126" i="77" s="1"/>
  <c r="BE34" i="77"/>
  <c r="BE126" i="77" s="1"/>
  <c r="H34" i="77"/>
  <c r="H126" i="77" s="1"/>
  <c r="S34" i="77"/>
  <c r="S126" i="77" s="1"/>
  <c r="BD34" i="77"/>
  <c r="BD126" i="77" s="1"/>
  <c r="L34" i="77"/>
  <c r="L126" i="77" s="1"/>
  <c r="AC34" i="77"/>
  <c r="AC126" i="77" s="1"/>
  <c r="I34" i="77"/>
  <c r="I126" i="77" s="1"/>
  <c r="AW34" i="77"/>
  <c r="AW126" i="77" s="1"/>
  <c r="U34" i="77"/>
  <c r="U126" i="77" s="1"/>
  <c r="T34" i="77"/>
  <c r="T126" i="77" s="1"/>
  <c r="F34" i="77"/>
  <c r="F126" i="77" s="1"/>
  <c r="V34" i="77"/>
  <c r="V126" i="77" s="1"/>
  <c r="BG34" i="77"/>
  <c r="BG126" i="77" s="1"/>
  <c r="DB125" i="77"/>
  <c r="CM125" i="77"/>
  <c r="CA125" i="77"/>
  <c r="BO125" i="77"/>
  <c r="CY125" i="77"/>
  <c r="CK125" i="77"/>
  <c r="BY125" i="77"/>
  <c r="BM125" i="77"/>
  <c r="CT125" i="77"/>
  <c r="CH125" i="77"/>
  <c r="BV125" i="77"/>
  <c r="BI125" i="77"/>
  <c r="CQ125" i="77"/>
  <c r="CE125" i="77"/>
  <c r="BS125" i="77"/>
  <c r="AX125" i="77"/>
  <c r="CP125" i="77"/>
  <c r="CD125" i="77"/>
  <c r="BR125" i="77"/>
  <c r="AV125" i="77"/>
  <c r="CJ125" i="77"/>
  <c r="BP125" i="77"/>
  <c r="CI125" i="77"/>
  <c r="BN125" i="77"/>
  <c r="CR125" i="77"/>
  <c r="BW125" i="77"/>
  <c r="CO125" i="77"/>
  <c r="BU125" i="77"/>
  <c r="CZ125" i="77"/>
  <c r="BT125" i="77"/>
  <c r="CV125" i="77"/>
  <c r="BQ125" i="77"/>
  <c r="CU125" i="77"/>
  <c r="BK125" i="77"/>
  <c r="CS125" i="77"/>
  <c r="BJ125" i="77"/>
  <c r="CN125" i="77"/>
  <c r="AZ125" i="77"/>
  <c r="CL125" i="77"/>
  <c r="AY125" i="77"/>
  <c r="CG125" i="77"/>
  <c r="CF125" i="77"/>
  <c r="CC125" i="77"/>
  <c r="CB125" i="77"/>
  <c r="BZ125" i="77"/>
  <c r="BX125" i="77"/>
  <c r="DC125" i="77"/>
  <c r="BA125" i="77"/>
  <c r="BC125" i="77"/>
  <c r="C125" i="77"/>
  <c r="BB125" i="77"/>
  <c r="N125" i="77"/>
  <c r="H125" i="77"/>
  <c r="M125" i="77"/>
  <c r="AC125" i="77"/>
  <c r="L125" i="77"/>
  <c r="CW125" i="77"/>
  <c r="Q93" i="147"/>
  <c r="U68" i="111"/>
  <c r="J68" i="111"/>
  <c r="B82" i="115"/>
  <c r="O82" i="115" s="1"/>
  <c r="H36" i="115"/>
  <c r="K68" i="161"/>
  <c r="L69" i="161"/>
  <c r="AA68" i="161"/>
  <c r="B37" i="22"/>
  <c r="AP36" i="22"/>
  <c r="AX36" i="22"/>
  <c r="AL36" i="22"/>
  <c r="AG36" i="22"/>
  <c r="Z36" i="22"/>
  <c r="U36" i="22"/>
  <c r="I36" i="22"/>
  <c r="T36" i="22"/>
  <c r="AU36" i="22"/>
  <c r="E36" i="22"/>
  <c r="R36" i="22"/>
  <c r="G36" i="22"/>
  <c r="CM36" i="22"/>
  <c r="H36" i="22" s="1"/>
  <c r="BB36" i="22"/>
  <c r="CO36" i="22"/>
  <c r="CP36" i="22" s="1"/>
  <c r="S36" i="22"/>
  <c r="P36" i="22"/>
  <c r="K36" i="22"/>
  <c r="X36" i="22"/>
  <c r="C36" i="22"/>
  <c r="Q36" i="22"/>
  <c r="J36" i="22"/>
  <c r="AV36" i="22"/>
  <c r="L36" i="22"/>
  <c r="G36" i="18"/>
  <c r="N36" i="18"/>
  <c r="O92" i="18" s="1"/>
  <c r="AK36" i="18"/>
  <c r="AH36" i="18"/>
  <c r="EG112" i="158"/>
  <c r="DU112" i="158"/>
  <c r="CY112" i="158"/>
  <c r="BS112" i="158"/>
  <c r="BA112" i="158"/>
  <c r="EF112" i="158"/>
  <c r="DT112" i="158"/>
  <c r="CX112" i="158"/>
  <c r="BR112" i="158"/>
  <c r="AZ112" i="158"/>
  <c r="AA112" i="158"/>
  <c r="O112" i="158"/>
  <c r="C112" i="158"/>
  <c r="EE112" i="158"/>
  <c r="DS112" i="158"/>
  <c r="CC112" i="158"/>
  <c r="BL112" i="158"/>
  <c r="AY112" i="158"/>
  <c r="Z112" i="158"/>
  <c r="N112" i="158"/>
  <c r="ED112" i="158"/>
  <c r="DR112" i="158"/>
  <c r="CB112" i="158"/>
  <c r="BK112" i="158"/>
  <c r="AX112" i="158"/>
  <c r="AK112" i="158"/>
  <c r="Y112" i="158"/>
  <c r="M112" i="158"/>
  <c r="DY112" i="158"/>
  <c r="CA112" i="158"/>
  <c r="BF112" i="158"/>
  <c r="U112" i="158"/>
  <c r="F112" i="158"/>
  <c r="DX112" i="158"/>
  <c r="BZ112" i="158"/>
  <c r="BE112" i="158"/>
  <c r="AI112" i="158"/>
  <c r="T112" i="158"/>
  <c r="E112" i="158"/>
  <c r="DW112" i="158"/>
  <c r="BY112" i="158"/>
  <c r="BD112" i="158"/>
  <c r="S112" i="158"/>
  <c r="EL112" i="158"/>
  <c r="DV112" i="158"/>
  <c r="BX112" i="158"/>
  <c r="BB112" i="158"/>
  <c r="AG112" i="158"/>
  <c r="EK112" i="158"/>
  <c r="DQ112" i="158"/>
  <c r="BW112" i="158"/>
  <c r="Q112" i="158"/>
  <c r="EJ112" i="158"/>
  <c r="DP112" i="158"/>
  <c r="BV112" i="158"/>
  <c r="AU112" i="158"/>
  <c r="AE112" i="158"/>
  <c r="P112" i="158"/>
  <c r="EI112" i="158"/>
  <c r="DO112" i="158"/>
  <c r="BU112" i="158"/>
  <c r="AT112" i="158"/>
  <c r="AD112" i="158"/>
  <c r="L112" i="158"/>
  <c r="EH112" i="158"/>
  <c r="DN112" i="158"/>
  <c r="BT112" i="158"/>
  <c r="AS112" i="158"/>
  <c r="AC112" i="158"/>
  <c r="K112" i="158"/>
  <c r="EC112" i="158"/>
  <c r="DM112" i="158"/>
  <c r="BJ112" i="158"/>
  <c r="AB112" i="158"/>
  <c r="J112" i="158"/>
  <c r="EB112" i="158"/>
  <c r="DL112" i="158"/>
  <c r="BI112" i="158"/>
  <c r="AQ112" i="158"/>
  <c r="X112" i="158"/>
  <c r="I112" i="158"/>
  <c r="EA112" i="158"/>
  <c r="DA112" i="158"/>
  <c r="BH112" i="158"/>
  <c r="W112" i="158"/>
  <c r="H112" i="158"/>
  <c r="DZ112" i="158"/>
  <c r="CZ112" i="158"/>
  <c r="BG112" i="158"/>
  <c r="G112" i="158"/>
  <c r="GE35" i="158"/>
  <c r="HU35" i="158"/>
  <c r="HI35" i="158"/>
  <c r="HT35" i="158"/>
  <c r="HH35" i="158"/>
  <c r="IE35" i="158"/>
  <c r="HS35" i="158"/>
  <c r="HG35" i="158"/>
  <c r="ID35" i="158"/>
  <c r="HR35" i="158"/>
  <c r="HF35" i="158"/>
  <c r="FS35" i="158"/>
  <c r="HQ35" i="158"/>
  <c r="HE35" i="158"/>
  <c r="HP35" i="158"/>
  <c r="HC35" i="158"/>
  <c r="HA35" i="158"/>
  <c r="GC35" i="158"/>
  <c r="FI35" i="158"/>
  <c r="GA35" i="158"/>
  <c r="GA39" i="158" s="1"/>
  <c r="FH35" i="158"/>
  <c r="FZ35" i="158"/>
  <c r="FD35" i="158"/>
  <c r="HY35" i="158"/>
  <c r="FY35" i="158"/>
  <c r="HV35" i="158"/>
  <c r="FP35" i="158"/>
  <c r="HO35" i="158"/>
  <c r="FM35" i="158"/>
  <c r="HM35" i="158"/>
  <c r="FK35" i="158"/>
  <c r="FJ35" i="158"/>
  <c r="HK35" i="158"/>
  <c r="GF35" i="158"/>
  <c r="HX35" i="158"/>
  <c r="FX35" i="158"/>
  <c r="HJ35" i="158"/>
  <c r="FR35" i="158"/>
  <c r="FQ35" i="158"/>
  <c r="GH35" i="158"/>
  <c r="GG35" i="158"/>
  <c r="FU35" i="158"/>
  <c r="FN35" i="158"/>
  <c r="FF35" i="158"/>
  <c r="FL35" i="158"/>
  <c r="FV35" i="158"/>
  <c r="FO35" i="158"/>
  <c r="FT35" i="158"/>
  <c r="GD35" i="158"/>
  <c r="FW35" i="158"/>
  <c r="GB35" i="158"/>
  <c r="FE35" i="158"/>
  <c r="GU35" i="158"/>
  <c r="GJ35" i="158"/>
  <c r="FA35" i="158"/>
  <c r="T29" i="177" l="1"/>
  <c r="CL29" i="177"/>
  <c r="U29" i="177"/>
  <c r="S29" i="177"/>
  <c r="AD92" i="18"/>
  <c r="AK92" i="18"/>
  <c r="AH92" i="18"/>
  <c r="E38" i="123"/>
  <c r="N126" i="77"/>
  <c r="E30" i="177"/>
  <c r="BH126" i="77"/>
  <c r="DW30" i="177"/>
  <c r="C126" i="77"/>
  <c r="DE34" i="77"/>
  <c r="E126" i="77"/>
  <c r="E32" i="119"/>
  <c r="BA126" i="77"/>
  <c r="F32" i="119"/>
  <c r="BB126" i="77"/>
  <c r="K34" i="77"/>
  <c r="K126" i="77" s="1"/>
  <c r="CW126" i="77"/>
  <c r="C37" i="115"/>
  <c r="AA126" i="77"/>
  <c r="G30" i="177"/>
  <c r="DI34" i="77"/>
  <c r="F30" i="177"/>
  <c r="CH30" i="177" s="1"/>
  <c r="DG34" i="77"/>
  <c r="DK30" i="177"/>
  <c r="CD29" i="177"/>
  <c r="H29" i="177"/>
  <c r="Q29" i="177"/>
  <c r="HS37" i="158"/>
  <c r="HG37" i="158"/>
  <c r="GJ37" i="158"/>
  <c r="HX37" i="158"/>
  <c r="HO37" i="158"/>
  <c r="ID37" i="158"/>
  <c r="HH37" i="158"/>
  <c r="IE37" i="158"/>
  <c r="HQ37" i="158"/>
  <c r="HA37" i="158"/>
  <c r="HP37" i="158"/>
  <c r="HJ37" i="158"/>
  <c r="HR37" i="158"/>
  <c r="HE37" i="158"/>
  <c r="HC37" i="158"/>
  <c r="HF37" i="158"/>
  <c r="HV37" i="158"/>
  <c r="HT37" i="158"/>
  <c r="HU37" i="158"/>
  <c r="HI37" i="158"/>
  <c r="HK37" i="158"/>
  <c r="HM37" i="158"/>
  <c r="HY37" i="158"/>
  <c r="IA37" i="158"/>
  <c r="DC35" i="77"/>
  <c r="B36" i="77"/>
  <c r="BD38" i="158"/>
  <c r="GZ38" i="158"/>
  <c r="FC38" i="158"/>
  <c r="A33" i="168"/>
  <c r="M33" i="168" s="1"/>
  <c r="B115" i="158"/>
  <c r="A36" i="159"/>
  <c r="C28" i="32"/>
  <c r="D29" i="32"/>
  <c r="T30" i="177"/>
  <c r="DY30" i="177"/>
  <c r="C30" i="177"/>
  <c r="DG30" i="177"/>
  <c r="CP28" i="177"/>
  <c r="V28" i="177"/>
  <c r="CT28" i="177" s="1"/>
  <c r="B38" i="36"/>
  <c r="BE37" i="36"/>
  <c r="CY37" i="36" s="1"/>
  <c r="B93" i="36"/>
  <c r="B34" i="119"/>
  <c r="B70" i="119" s="1"/>
  <c r="B105" i="119" s="1"/>
  <c r="DX114" i="158"/>
  <c r="DA114" i="158"/>
  <c r="DV114" i="158"/>
  <c r="AA114" i="158"/>
  <c r="X114" i="158"/>
  <c r="BH114" i="158"/>
  <c r="DM114" i="158"/>
  <c r="CZ114" i="158"/>
  <c r="C114" i="158"/>
  <c r="L114" i="158"/>
  <c r="BF114" i="158"/>
  <c r="BE114" i="158"/>
  <c r="AX114" i="158"/>
  <c r="EI114" i="158"/>
  <c r="AT114" i="158"/>
  <c r="CY114" i="158"/>
  <c r="AU114" i="158"/>
  <c r="DN114" i="158"/>
  <c r="EG114" i="158"/>
  <c r="DR114" i="158"/>
  <c r="DP114" i="158"/>
  <c r="EL114" i="158"/>
  <c r="EE114" i="158"/>
  <c r="EJ114" i="158"/>
  <c r="BD114" i="158"/>
  <c r="DL114" i="158"/>
  <c r="DW114" i="158"/>
  <c r="DU114" i="158"/>
  <c r="BK114" i="158"/>
  <c r="BI114" i="158"/>
  <c r="DZ114" i="158"/>
  <c r="N114" i="158"/>
  <c r="EF114" i="158"/>
  <c r="Y114" i="158"/>
  <c r="W114" i="158"/>
  <c r="BG114" i="158"/>
  <c r="Z114" i="158"/>
  <c r="DS114" i="158"/>
  <c r="DT114" i="158"/>
  <c r="DQ114" i="158"/>
  <c r="K114" i="158"/>
  <c r="EK114" i="158"/>
  <c r="BL114" i="158"/>
  <c r="CX114" i="158"/>
  <c r="BJ114" i="158"/>
  <c r="DY114" i="158"/>
  <c r="EH114" i="158"/>
  <c r="DO114" i="158"/>
  <c r="ED114" i="158"/>
  <c r="EA114" i="158"/>
  <c r="EC114" i="158"/>
  <c r="EB114" i="158"/>
  <c r="BY114" i="158"/>
  <c r="BX114" i="158"/>
  <c r="I114" i="158"/>
  <c r="CB114" i="158"/>
  <c r="BZ114" i="158"/>
  <c r="CA114" i="158"/>
  <c r="H114" i="158"/>
  <c r="CC114" i="158"/>
  <c r="F114" i="158"/>
  <c r="J114" i="158"/>
  <c r="BS114" i="158"/>
  <c r="E114" i="158"/>
  <c r="BT114" i="158"/>
  <c r="AG114" i="158"/>
  <c r="BB114" i="158"/>
  <c r="AE114" i="158"/>
  <c r="G114" i="158"/>
  <c r="BA114" i="158"/>
  <c r="BU114" i="158"/>
  <c r="BV114" i="158"/>
  <c r="BR114" i="158"/>
  <c r="BW114" i="158"/>
  <c r="AD114" i="158"/>
  <c r="AB114" i="158"/>
  <c r="AZ114" i="158"/>
  <c r="AQ114" i="158"/>
  <c r="AC114" i="158"/>
  <c r="AY114" i="158"/>
  <c r="M114" i="158"/>
  <c r="T114" i="158"/>
  <c r="O114" i="158"/>
  <c r="Q114" i="158"/>
  <c r="U114" i="158"/>
  <c r="P114" i="158"/>
  <c r="S114" i="158"/>
  <c r="AI114" i="158"/>
  <c r="AK114" i="158"/>
  <c r="AN114" i="158"/>
  <c r="AS114" i="158"/>
  <c r="CY29" i="177"/>
  <c r="R29" i="177"/>
  <c r="FI39" i="158"/>
  <c r="AF70" i="32" s="1"/>
  <c r="Y36" i="22"/>
  <c r="AM36" i="22"/>
  <c r="Y36" i="18"/>
  <c r="M65" i="147"/>
  <c r="M14" i="147" s="1"/>
  <c r="M85" i="147"/>
  <c r="M33" i="147" s="1"/>
  <c r="M132" i="147" s="1"/>
  <c r="G5" i="163"/>
  <c r="G3" i="161"/>
  <c r="J21" i="123"/>
  <c r="F36" i="22"/>
  <c r="AH25" i="163"/>
  <c r="F21" i="163"/>
  <c r="G21" i="163" s="1"/>
  <c r="Z24" i="163"/>
  <c r="AN5" i="148"/>
  <c r="F48" i="163"/>
  <c r="H48" i="163" s="1"/>
  <c r="AJ106" i="163"/>
  <c r="AZ25" i="163"/>
  <c r="F63" i="163"/>
  <c r="H63" i="163" s="1"/>
  <c r="AR24" i="163"/>
  <c r="I21" i="163"/>
  <c r="J21" i="163" s="1"/>
  <c r="R103" i="77"/>
  <c r="R12" i="77"/>
  <c r="AP25" i="155"/>
  <c r="AP26" i="155" s="1"/>
  <c r="AJ134" i="155"/>
  <c r="F108" i="155"/>
  <c r="AJ122" i="155"/>
  <c r="F44" i="155"/>
  <c r="AH24" i="155"/>
  <c r="D25" i="36"/>
  <c r="M60" i="161"/>
  <c r="N101" i="161"/>
  <c r="D24" i="158"/>
  <c r="I60" i="147" s="1"/>
  <c r="AI102" i="77"/>
  <c r="AI11" i="77"/>
  <c r="AR13" i="77"/>
  <c r="AR104" i="77"/>
  <c r="P139" i="100"/>
  <c r="L139" i="100"/>
  <c r="AG39" i="32"/>
  <c r="AH38" i="32"/>
  <c r="AI38" i="32" s="1"/>
  <c r="AG40" i="32"/>
  <c r="AG41" i="32"/>
  <c r="AO37" i="32"/>
  <c r="AF23" i="158"/>
  <c r="AF99" i="158"/>
  <c r="HW22" i="158"/>
  <c r="W9" i="177"/>
  <c r="E22" i="156"/>
  <c r="F22" i="156" s="1"/>
  <c r="G22" i="156" s="1"/>
  <c r="E25" i="126"/>
  <c r="D23" i="163"/>
  <c r="G23" i="155"/>
  <c r="E63" i="126"/>
  <c r="F63" i="126" s="1"/>
  <c r="G63" i="126" s="1"/>
  <c r="P13" i="77"/>
  <c r="P104" i="77"/>
  <c r="D19" i="92"/>
  <c r="D100" i="158"/>
  <c r="HB23" i="158"/>
  <c r="Z8" i="177"/>
  <c r="AB21" i="77"/>
  <c r="AB112" i="77"/>
  <c r="J143" i="100"/>
  <c r="L143" i="100" s="1"/>
  <c r="M143" i="100" s="1"/>
  <c r="F152" i="100"/>
  <c r="G152" i="100" s="1"/>
  <c r="AH23" i="158"/>
  <c r="AH99" i="158"/>
  <c r="F21" i="100"/>
  <c r="G21" i="100" s="1"/>
  <c r="E154" i="100"/>
  <c r="F154" i="100" s="1"/>
  <c r="G154" i="100" s="1"/>
  <c r="AG102" i="77"/>
  <c r="AG11" i="77"/>
  <c r="Y111" i="77"/>
  <c r="Y20" i="77"/>
  <c r="AN19" i="156"/>
  <c r="F20" i="156"/>
  <c r="G20" i="156" s="1"/>
  <c r="AF19" i="156"/>
  <c r="R36" i="156"/>
  <c r="H26" i="144"/>
  <c r="M26" i="144" s="1"/>
  <c r="F61" i="117"/>
  <c r="G61" i="117" s="1"/>
  <c r="HN12" i="158"/>
  <c r="V89" i="158"/>
  <c r="V13" i="158"/>
  <c r="FQ13" i="158" s="1"/>
  <c r="CU6" i="177"/>
  <c r="AB7" i="177"/>
  <c r="AA8" i="177"/>
  <c r="V24" i="126"/>
  <c r="AD25" i="126"/>
  <c r="L23" i="126"/>
  <c r="M23" i="126" s="1"/>
  <c r="I23" i="126"/>
  <c r="J23" i="126" s="1"/>
  <c r="G26" i="144"/>
  <c r="L26" i="144" s="1"/>
  <c r="E181" i="100"/>
  <c r="F48" i="100"/>
  <c r="G48" i="100" s="1"/>
  <c r="AJ12" i="158"/>
  <c r="GC12" i="158" s="1"/>
  <c r="AJ88" i="158"/>
  <c r="HZ11" i="158"/>
  <c r="HL13" i="158"/>
  <c r="R90" i="158"/>
  <c r="R14" i="158"/>
  <c r="FO14" i="158" s="1"/>
  <c r="N36" i="22"/>
  <c r="M64" i="147"/>
  <c r="G32" i="119"/>
  <c r="O35" i="22"/>
  <c r="AE35" i="22"/>
  <c r="AF35" i="22" s="1"/>
  <c r="GU39" i="158"/>
  <c r="Y33" i="32" s="1"/>
  <c r="AF71" i="32" s="1"/>
  <c r="AA13" i="155" s="1"/>
  <c r="M80" i="147"/>
  <c r="M28" i="147" s="1"/>
  <c r="M121" i="147" s="1"/>
  <c r="AB36" i="22"/>
  <c r="Y20" i="32"/>
  <c r="Y19" i="32"/>
  <c r="AF82" i="32" s="1"/>
  <c r="AA8" i="155" s="1"/>
  <c r="AI36" i="18"/>
  <c r="AI40" i="18" s="1"/>
  <c r="AK40" i="18" s="1"/>
  <c r="G40" i="18"/>
  <c r="K22" i="147"/>
  <c r="K111" i="147" s="1"/>
  <c r="K161" i="147" s="1"/>
  <c r="K162" i="147" s="1"/>
  <c r="K38" i="147"/>
  <c r="K136" i="147" s="1"/>
  <c r="J41" i="147"/>
  <c r="F37" i="147"/>
  <c r="F135" i="147" s="1"/>
  <c r="F25" i="147"/>
  <c r="I47" i="147"/>
  <c r="I127" i="147" s="1"/>
  <c r="G42" i="147"/>
  <c r="G141" i="147" s="1"/>
  <c r="I23" i="147"/>
  <c r="K40" i="147"/>
  <c r="K139" i="147" s="1"/>
  <c r="E47" i="147"/>
  <c r="E127" i="147" s="1"/>
  <c r="G40" i="147"/>
  <c r="G139" i="147" s="1"/>
  <c r="I28" i="147"/>
  <c r="I121" i="147" s="1"/>
  <c r="I177" i="147" s="1"/>
  <c r="I178" i="147" s="1"/>
  <c r="H41" i="147"/>
  <c r="F11" i="147"/>
  <c r="J23" i="147"/>
  <c r="F31" i="147"/>
  <c r="F129" i="147" s="1"/>
  <c r="E19" i="147"/>
  <c r="E116" i="147" s="1"/>
  <c r="E165" i="147" s="1"/>
  <c r="E166" i="147" s="1"/>
  <c r="F21" i="147"/>
  <c r="F117" i="147" s="1"/>
  <c r="H23" i="147"/>
  <c r="I40" i="147"/>
  <c r="I139" i="147" s="1"/>
  <c r="H17" i="147"/>
  <c r="H115" i="147" s="1"/>
  <c r="F17" i="147"/>
  <c r="F115" i="147" s="1"/>
  <c r="H38" i="147"/>
  <c r="H136" i="147" s="1"/>
  <c r="F39" i="147"/>
  <c r="F137" i="147" s="1"/>
  <c r="H21" i="147"/>
  <c r="H117" i="147" s="1"/>
  <c r="E39" i="147"/>
  <c r="E137" i="147" s="1"/>
  <c r="I24" i="147"/>
  <c r="H47" i="147"/>
  <c r="H127" i="147" s="1"/>
  <c r="I33" i="147"/>
  <c r="I132" i="147" s="1"/>
  <c r="I49" i="147"/>
  <c r="I126" i="147" s="1"/>
  <c r="G17" i="147"/>
  <c r="G115" i="147" s="1"/>
  <c r="K47" i="147"/>
  <c r="K127" i="147" s="1"/>
  <c r="F38" i="147"/>
  <c r="F136" i="147" s="1"/>
  <c r="H10" i="147"/>
  <c r="F18" i="147"/>
  <c r="F122" i="147" s="1"/>
  <c r="H31" i="147"/>
  <c r="H129" i="147" s="1"/>
  <c r="G19" i="147"/>
  <c r="G116" i="147" s="1"/>
  <c r="G165" i="147" s="1"/>
  <c r="G166" i="147" s="1"/>
  <c r="K17" i="147"/>
  <c r="K115" i="147" s="1"/>
  <c r="G30" i="147"/>
  <c r="G125" i="147" s="1"/>
  <c r="G181" i="147" s="1"/>
  <c r="G182" i="147" s="1"/>
  <c r="F40" i="147"/>
  <c r="F139" i="147" s="1"/>
  <c r="G16" i="147"/>
  <c r="G114" i="147" s="1"/>
  <c r="G169" i="147" s="1"/>
  <c r="G170" i="147" s="1"/>
  <c r="G28" i="147"/>
  <c r="G121" i="147" s="1"/>
  <c r="G177" i="147" s="1"/>
  <c r="G178" i="147" s="1"/>
  <c r="F8" i="147"/>
  <c r="F107" i="147" s="1"/>
  <c r="I22" i="147"/>
  <c r="I111" i="147" s="1"/>
  <c r="I161" i="147" s="1"/>
  <c r="I162" i="147" s="1"/>
  <c r="E21" i="147"/>
  <c r="E117" i="147" s="1"/>
  <c r="H28" i="147"/>
  <c r="H121" i="147" s="1"/>
  <c r="H177" i="147" s="1"/>
  <c r="H178" i="147" s="1"/>
  <c r="J24" i="147"/>
  <c r="I8" i="147"/>
  <c r="I107" i="147" s="1"/>
  <c r="K15" i="147"/>
  <c r="K113" i="147" s="1"/>
  <c r="K173" i="147" s="1"/>
  <c r="K174" i="147" s="1"/>
  <c r="G31" i="147"/>
  <c r="G129" i="147" s="1"/>
  <c r="I38" i="147"/>
  <c r="I136" i="147" s="1"/>
  <c r="F49" i="147"/>
  <c r="F126" i="147" s="1"/>
  <c r="G33" i="147"/>
  <c r="G132" i="147" s="1"/>
  <c r="F16" i="147"/>
  <c r="F114" i="147" s="1"/>
  <c r="F169" i="147" s="1"/>
  <c r="F170" i="147" s="1"/>
  <c r="J21" i="147"/>
  <c r="J117" i="147" s="1"/>
  <c r="I12" i="147"/>
  <c r="J39" i="147"/>
  <c r="J137" i="147" s="1"/>
  <c r="J38" i="147"/>
  <c r="J136" i="147" s="1"/>
  <c r="J19" i="147"/>
  <c r="J116" i="147" s="1"/>
  <c r="J165" i="147" s="1"/>
  <c r="J166" i="147" s="1"/>
  <c r="F32" i="147"/>
  <c r="F131" i="147" s="1"/>
  <c r="I31" i="147"/>
  <c r="I129" i="147" s="1"/>
  <c r="K25" i="147"/>
  <c r="I21" i="147"/>
  <c r="I117" i="147" s="1"/>
  <c r="F24" i="147"/>
  <c r="G22" i="147"/>
  <c r="G111" i="147" s="1"/>
  <c r="G161" i="147" s="1"/>
  <c r="G162" i="147" s="1"/>
  <c r="F10" i="147"/>
  <c r="F34" i="147"/>
  <c r="F130" i="147" s="1"/>
  <c r="G47" i="147"/>
  <c r="G127" i="147" s="1"/>
  <c r="I39" i="147"/>
  <c r="I137" i="147" s="1"/>
  <c r="K28" i="147"/>
  <c r="K121" i="147" s="1"/>
  <c r="K177" i="147" s="1"/>
  <c r="K178" i="147" s="1"/>
  <c r="I17" i="147"/>
  <c r="I115" i="147" s="1"/>
  <c r="K32" i="147"/>
  <c r="K131" i="147" s="1"/>
  <c r="E31" i="147"/>
  <c r="E129" i="147" s="1"/>
  <c r="G25" i="147"/>
  <c r="E28" i="147"/>
  <c r="E121" i="147" s="1"/>
  <c r="E177" i="147" s="1"/>
  <c r="E178" i="147" s="1"/>
  <c r="F15" i="147"/>
  <c r="F113" i="147" s="1"/>
  <c r="F173" i="147" s="1"/>
  <c r="F174" i="147" s="1"/>
  <c r="H25" i="147"/>
  <c r="I16" i="147"/>
  <c r="I114" i="147" s="1"/>
  <c r="I169" i="147" s="1"/>
  <c r="I170" i="147" s="1"/>
  <c r="K34" i="147"/>
  <c r="K130" i="147" s="1"/>
  <c r="K49" i="147"/>
  <c r="K126" i="147" s="1"/>
  <c r="E40" i="147"/>
  <c r="K31" i="147"/>
  <c r="K129" i="147" s="1"/>
  <c r="I19" i="147"/>
  <c r="I116" i="147" s="1"/>
  <c r="I165" i="147" s="1"/>
  <c r="I166" i="147" s="1"/>
  <c r="K26" i="147"/>
  <c r="H19" i="147"/>
  <c r="H116" i="147" s="1"/>
  <c r="H165" i="147" s="1"/>
  <c r="H166" i="147" s="1"/>
  <c r="I25" i="147"/>
  <c r="H22" i="147"/>
  <c r="H111" i="147" s="1"/>
  <c r="H161" i="147" s="1"/>
  <c r="H162" i="147" s="1"/>
  <c r="E32" i="147"/>
  <c r="E131" i="147" s="1"/>
  <c r="H49" i="147"/>
  <c r="H126" i="147" s="1"/>
  <c r="E16" i="147"/>
  <c r="F35" i="147"/>
  <c r="F133" i="147" s="1"/>
  <c r="G8" i="147"/>
  <c r="G107" i="147" s="1"/>
  <c r="E17" i="147"/>
  <c r="E115" i="147" s="1"/>
  <c r="G15" i="147"/>
  <c r="G113" i="147" s="1"/>
  <c r="G173" i="147" s="1"/>
  <c r="G174" i="147" s="1"/>
  <c r="I32" i="147"/>
  <c r="I131" i="147" s="1"/>
  <c r="H12" i="147"/>
  <c r="G24" i="147"/>
  <c r="K23" i="147"/>
  <c r="H32" i="147"/>
  <c r="H131" i="147" s="1"/>
  <c r="E33" i="147"/>
  <c r="E132" i="147" s="1"/>
  <c r="G23" i="147"/>
  <c r="G49" i="147"/>
  <c r="G126" i="147" s="1"/>
  <c r="G32" i="147"/>
  <c r="G131" i="147" s="1"/>
  <c r="J10" i="147"/>
  <c r="J12" i="147"/>
  <c r="H34" i="147"/>
  <c r="H130" i="147" s="1"/>
  <c r="E42" i="147"/>
  <c r="I15" i="147"/>
  <c r="I113" i="147" s="1"/>
  <c r="I173" i="147" s="1"/>
  <c r="I174" i="147" s="1"/>
  <c r="K39" i="147"/>
  <c r="K137" i="147" s="1"/>
  <c r="E34" i="147"/>
  <c r="E130" i="147" s="1"/>
  <c r="G34" i="147"/>
  <c r="G130" i="147" s="1"/>
  <c r="H35" i="147"/>
  <c r="H133" i="147" s="1"/>
  <c r="E12" i="147"/>
  <c r="F47" i="147"/>
  <c r="F127" i="147" s="1"/>
  <c r="F33" i="147"/>
  <c r="F132" i="147" s="1"/>
  <c r="F12" i="147"/>
  <c r="G41" i="147"/>
  <c r="F30" i="147"/>
  <c r="F125" i="147" s="1"/>
  <c r="F181" i="147" s="1"/>
  <c r="F182" i="147" s="1"/>
  <c r="H24" i="147"/>
  <c r="K8" i="147"/>
  <c r="K107" i="147" s="1"/>
  <c r="K24" i="147"/>
  <c r="G38" i="147"/>
  <c r="G136" i="147" s="1"/>
  <c r="J22" i="147"/>
  <c r="J111" i="147" s="1"/>
  <c r="J161" i="147" s="1"/>
  <c r="J162" i="147" s="1"/>
  <c r="E25" i="147"/>
  <c r="H15" i="147"/>
  <c r="H113" i="147" s="1"/>
  <c r="H173" i="147" s="1"/>
  <c r="H174" i="147" s="1"/>
  <c r="E41" i="147"/>
  <c r="E143" i="147" s="1"/>
  <c r="H33" i="147"/>
  <c r="H132" i="147" s="1"/>
  <c r="E15" i="147"/>
  <c r="E113" i="147" s="1"/>
  <c r="E173" i="147" s="1"/>
  <c r="E174" i="147" s="1"/>
  <c r="G39" i="147"/>
  <c r="G137" i="147" s="1"/>
  <c r="G21" i="147"/>
  <c r="G117" i="147" s="1"/>
  <c r="K16" i="147"/>
  <c r="K114" i="147" s="1"/>
  <c r="K169" i="147" s="1"/>
  <c r="K170" i="147" s="1"/>
  <c r="E38" i="147"/>
  <c r="E136" i="147" s="1"/>
  <c r="E8" i="147"/>
  <c r="H11" i="147"/>
  <c r="E24" i="147"/>
  <c r="F19" i="147"/>
  <c r="F116" i="147" s="1"/>
  <c r="F165" i="147" s="1"/>
  <c r="F166" i="147" s="1"/>
  <c r="G12" i="147"/>
  <c r="I41" i="147"/>
  <c r="H8" i="147"/>
  <c r="H107" i="147" s="1"/>
  <c r="H40" i="147"/>
  <c r="H139" i="147" s="1"/>
  <c r="G10" i="147"/>
  <c r="I34" i="147"/>
  <c r="I130" i="147" s="1"/>
  <c r="J17" i="147"/>
  <c r="J115" i="147" s="1"/>
  <c r="H39" i="147"/>
  <c r="H137" i="147" s="1"/>
  <c r="F41" i="147"/>
  <c r="E49" i="147"/>
  <c r="E126" i="147" s="1"/>
  <c r="E23" i="147"/>
  <c r="F23" i="147"/>
  <c r="K33" i="147"/>
  <c r="K132" i="147" s="1"/>
  <c r="F28" i="147"/>
  <c r="F121" i="147" s="1"/>
  <c r="F177" i="147" s="1"/>
  <c r="F178" i="147" s="1"/>
  <c r="H16" i="147"/>
  <c r="H114" i="147" s="1"/>
  <c r="H169" i="147" s="1"/>
  <c r="H170" i="147" s="1"/>
  <c r="F42" i="147"/>
  <c r="F141" i="147" s="1"/>
  <c r="J8" i="147"/>
  <c r="J107" i="147" s="1"/>
  <c r="I30" i="147"/>
  <c r="I125" i="147" s="1"/>
  <c r="I181" i="147" s="1"/>
  <c r="I182" i="147" s="1"/>
  <c r="E10" i="147"/>
  <c r="F22" i="147"/>
  <c r="F111" i="147" s="1"/>
  <c r="F161" i="147" s="1"/>
  <c r="F162" i="147" s="1"/>
  <c r="J18" i="147"/>
  <c r="J122" i="147" s="1"/>
  <c r="J11" i="147"/>
  <c r="E30" i="147"/>
  <c r="E125" i="147" s="1"/>
  <c r="E181" i="147" s="1"/>
  <c r="E182" i="147" s="1"/>
  <c r="H18" i="147"/>
  <c r="H122" i="147" s="1"/>
  <c r="H30" i="147"/>
  <c r="H125" i="147" s="1"/>
  <c r="H181" i="147" s="1"/>
  <c r="H182" i="147" s="1"/>
  <c r="G35" i="147"/>
  <c r="G133" i="147" s="1"/>
  <c r="J15" i="147"/>
  <c r="J113" i="147" s="1"/>
  <c r="J173" i="147" s="1"/>
  <c r="J174" i="147" s="1"/>
  <c r="G11" i="147"/>
  <c r="J16" i="147"/>
  <c r="J114" i="147" s="1"/>
  <c r="J169" i="147" s="1"/>
  <c r="J170" i="147" s="1"/>
  <c r="I10" i="147"/>
  <c r="E35" i="147"/>
  <c r="E133" i="147" s="1"/>
  <c r="E11" i="147"/>
  <c r="H37" i="147"/>
  <c r="H135" i="147" s="1"/>
  <c r="E37" i="147"/>
  <c r="E135" i="147" s="1"/>
  <c r="J49" i="147"/>
  <c r="J126" i="147" s="1"/>
  <c r="J47" i="147"/>
  <c r="J127" i="147" s="1"/>
  <c r="G37" i="147"/>
  <c r="G135" i="147" s="1"/>
  <c r="I11" i="147"/>
  <c r="I35" i="147"/>
  <c r="I133" i="147" s="1"/>
  <c r="J30" i="147"/>
  <c r="J125" i="147" s="1"/>
  <c r="J181" i="147" s="1"/>
  <c r="J182" i="147" s="1"/>
  <c r="G18" i="147"/>
  <c r="G122" i="147" s="1"/>
  <c r="J31" i="147"/>
  <c r="J129" i="147" s="1"/>
  <c r="J32" i="147"/>
  <c r="J131" i="147" s="1"/>
  <c r="J33" i="147"/>
  <c r="J132" i="147" s="1"/>
  <c r="J28" i="147"/>
  <c r="J121" i="147" s="1"/>
  <c r="J177" i="147" s="1"/>
  <c r="J178" i="147" s="1"/>
  <c r="J25" i="147"/>
  <c r="I37" i="147"/>
  <c r="I135" i="147" s="1"/>
  <c r="I18" i="147"/>
  <c r="I122" i="147" s="1"/>
  <c r="F26" i="147"/>
  <c r="J27" i="147"/>
  <c r="J123" i="147" s="1"/>
  <c r="F29" i="147"/>
  <c r="F124" i="147" s="1"/>
  <c r="J34" i="147"/>
  <c r="J130" i="147" s="1"/>
  <c r="J26" i="147"/>
  <c r="J29" i="147"/>
  <c r="H26" i="147"/>
  <c r="E26" i="147"/>
  <c r="E120" i="147" s="1"/>
  <c r="E29" i="147"/>
  <c r="G26" i="147"/>
  <c r="H29" i="147"/>
  <c r="H124" i="147" s="1"/>
  <c r="F27" i="147"/>
  <c r="F123" i="147" s="1"/>
  <c r="J35" i="147"/>
  <c r="J133" i="147" s="1"/>
  <c r="I26" i="147"/>
  <c r="J37" i="147"/>
  <c r="J135" i="147" s="1"/>
  <c r="H27" i="147"/>
  <c r="H123" i="147" s="1"/>
  <c r="G27" i="147"/>
  <c r="G123" i="147" s="1"/>
  <c r="G29" i="147"/>
  <c r="G124" i="147" s="1"/>
  <c r="I27" i="147"/>
  <c r="I123" i="147" s="1"/>
  <c r="I29" i="147"/>
  <c r="I124" i="147" s="1"/>
  <c r="E27" i="147"/>
  <c r="E123" i="147" s="1"/>
  <c r="H45" i="36"/>
  <c r="AD20" i="28"/>
  <c r="X31" i="32"/>
  <c r="D15" i="155"/>
  <c r="V36" i="22"/>
  <c r="M40" i="18"/>
  <c r="M36" i="22"/>
  <c r="C38" i="123"/>
  <c r="E85" i="77"/>
  <c r="B67" i="92"/>
  <c r="C32" i="119"/>
  <c r="M111" i="147"/>
  <c r="R26" i="147"/>
  <c r="R27" i="147" s="1"/>
  <c r="N45" i="18"/>
  <c r="S26" i="147"/>
  <c r="M119" i="147"/>
  <c r="ID39" i="158"/>
  <c r="GG39" i="158"/>
  <c r="W36" i="18"/>
  <c r="Y40" i="18"/>
  <c r="Z40" i="18"/>
  <c r="AD15" i="28"/>
  <c r="AX40" i="18"/>
  <c r="R40" i="18"/>
  <c r="X27" i="32"/>
  <c r="AK5" i="18"/>
  <c r="AE70" i="32" s="1"/>
  <c r="AD35" i="22"/>
  <c r="E66" i="100"/>
  <c r="Y68" i="32"/>
  <c r="O45" i="18"/>
  <c r="GH39" i="158"/>
  <c r="IE39" i="158"/>
  <c r="H49" i="18"/>
  <c r="AD21" i="28"/>
  <c r="AE21" i="28" s="1"/>
  <c r="Q187" i="32" s="1"/>
  <c r="AZ37" i="100"/>
  <c r="BA37" i="100"/>
  <c r="L90" i="18"/>
  <c r="M90" i="18"/>
  <c r="D36" i="22"/>
  <c r="AA36" i="22"/>
  <c r="E65" i="100"/>
  <c r="Y67" i="32"/>
  <c r="FD39" i="158"/>
  <c r="FE39" i="158"/>
  <c r="AD37" i="28"/>
  <c r="T49" i="18"/>
  <c r="X42" i="32"/>
  <c r="GC39" i="158"/>
  <c r="GB39" i="158"/>
  <c r="FX39" i="158"/>
  <c r="FW39" i="158"/>
  <c r="FQ39" i="158"/>
  <c r="FP39" i="158"/>
  <c r="E2" i="155"/>
  <c r="D18" i="155"/>
  <c r="AC62" i="32"/>
  <c r="D1" i="155"/>
  <c r="AQ92" i="36"/>
  <c r="K40" i="18"/>
  <c r="T26" i="147"/>
  <c r="M120" i="147"/>
  <c r="M163" i="100"/>
  <c r="W137" i="100"/>
  <c r="M141" i="100"/>
  <c r="M142" i="100"/>
  <c r="M140" i="100"/>
  <c r="X32" i="32"/>
  <c r="D16" i="155"/>
  <c r="C57" i="155" s="1"/>
  <c r="M83" i="147"/>
  <c r="M31" i="147" s="1"/>
  <c r="M129" i="147" s="1"/>
  <c r="U45" i="18"/>
  <c r="AD22" i="77"/>
  <c r="AD113" i="77"/>
  <c r="AD13" i="28"/>
  <c r="D8" i="155"/>
  <c r="X5" i="32"/>
  <c r="X19" i="32"/>
  <c r="M21" i="147"/>
  <c r="M117" i="147" s="1"/>
  <c r="M20" i="147"/>
  <c r="J125" i="77"/>
  <c r="X46" i="32"/>
  <c r="D31" i="155"/>
  <c r="X24" i="32"/>
  <c r="C49" i="18"/>
  <c r="M47" i="147"/>
  <c r="M127" i="147"/>
  <c r="M13" i="147"/>
  <c r="M109" i="147"/>
  <c r="AF40" i="18"/>
  <c r="AB51" i="18"/>
  <c r="AB52" i="18" s="1"/>
  <c r="AB57" i="18"/>
  <c r="AB53" i="18"/>
  <c r="AB55" i="18"/>
  <c r="AB56" i="18" s="1"/>
  <c r="AD19" i="28"/>
  <c r="X33" i="32"/>
  <c r="D13" i="155"/>
  <c r="FZ39" i="158"/>
  <c r="FY39" i="158"/>
  <c r="X30" i="32"/>
  <c r="CW39" i="77"/>
  <c r="D49" i="18"/>
  <c r="X23" i="32"/>
  <c r="Z23" i="32" s="1"/>
  <c r="AA23" i="32" s="1"/>
  <c r="M7" i="100"/>
  <c r="M9" i="100"/>
  <c r="M8" i="100"/>
  <c r="M11" i="100"/>
  <c r="M6" i="100"/>
  <c r="M10" i="100"/>
  <c r="AE23" i="77"/>
  <c r="AE114" i="77"/>
  <c r="AD35" i="28"/>
  <c r="U49" i="18"/>
  <c r="D26" i="155"/>
  <c r="X40" i="32"/>
  <c r="C82" i="115"/>
  <c r="AF33" i="77"/>
  <c r="AH33" i="77"/>
  <c r="AH125" i="77" s="1"/>
  <c r="H16" i="144"/>
  <c r="M16" i="144" s="1"/>
  <c r="F53" i="117"/>
  <c r="G53" i="117" s="1"/>
  <c r="X15" i="24"/>
  <c r="X14" i="24"/>
  <c r="X13" i="24"/>
  <c r="Y5" i="24"/>
  <c r="Y20" i="24" s="1"/>
  <c r="R187" i="32" s="1"/>
  <c r="AM69" i="32" s="1"/>
  <c r="X39" i="24"/>
  <c r="X10" i="24"/>
  <c r="Y10" i="24" s="1"/>
  <c r="R175" i="32" s="1"/>
  <c r="X32" i="24"/>
  <c r="Y32" i="24" s="1"/>
  <c r="E35" i="77"/>
  <c r="AA35" i="77"/>
  <c r="G35" i="77"/>
  <c r="G127" i="77" s="1"/>
  <c r="O35" i="77"/>
  <c r="O127" i="77" s="1"/>
  <c r="AJ35" i="77"/>
  <c r="AJ127" i="77" s="1"/>
  <c r="BF35" i="77"/>
  <c r="BF127" i="77" s="1"/>
  <c r="BH35" i="77"/>
  <c r="X35" i="77"/>
  <c r="X127" i="77" s="1"/>
  <c r="FS39" i="158"/>
  <c r="Y41" i="32" s="1"/>
  <c r="FF39" i="158"/>
  <c r="Y28" i="32" s="1"/>
  <c r="FT39" i="158"/>
  <c r="Y42" i="32" s="1"/>
  <c r="FG39" i="158"/>
  <c r="FA39" i="158" s="1"/>
  <c r="Y31" i="32" s="1"/>
  <c r="AF72" i="32" s="1"/>
  <c r="AA15" i="155" s="1"/>
  <c r="W36" i="22"/>
  <c r="E49" i="18"/>
  <c r="D10" i="155"/>
  <c r="D12" i="155" s="1"/>
  <c r="X28" i="32"/>
  <c r="Z92" i="18"/>
  <c r="G16" i="144"/>
  <c r="L16" i="144" s="1"/>
  <c r="E173" i="100"/>
  <c r="F40" i="100"/>
  <c r="G40" i="100" s="1"/>
  <c r="Q34" i="77"/>
  <c r="Q126" i="77" s="1"/>
  <c r="D32" i="119"/>
  <c r="D38" i="123"/>
  <c r="FO39" i="158"/>
  <c r="FN39" i="158"/>
  <c r="FH39" i="158"/>
  <c r="Y32" i="32" s="1"/>
  <c r="P36" i="18"/>
  <c r="Q45" i="18" s="1"/>
  <c r="L45" i="18" s="1"/>
  <c r="N40" i="18"/>
  <c r="O40" i="18"/>
  <c r="O49" i="18" s="1"/>
  <c r="S49" i="18"/>
  <c r="AD36" i="28"/>
  <c r="X41" i="32"/>
  <c r="B38" i="22"/>
  <c r="AP37" i="22"/>
  <c r="S37" i="22"/>
  <c r="Q37" i="22"/>
  <c r="X37" i="22"/>
  <c r="Y37" i="22" s="1"/>
  <c r="E37" i="22"/>
  <c r="K37" i="22"/>
  <c r="I37" i="22"/>
  <c r="C37" i="22"/>
  <c r="AU37" i="22"/>
  <c r="T37" i="22"/>
  <c r="G37" i="22"/>
  <c r="P37" i="22"/>
  <c r="CO37" i="22"/>
  <c r="CP37" i="22" s="1"/>
  <c r="Z37" i="22"/>
  <c r="AL37" i="22"/>
  <c r="J37" i="22"/>
  <c r="R37" i="22"/>
  <c r="L37" i="22"/>
  <c r="AX37" i="22"/>
  <c r="AV37" i="22"/>
  <c r="CM37" i="22"/>
  <c r="H37" i="22" s="1"/>
  <c r="AG37" i="22"/>
  <c r="BB37" i="22"/>
  <c r="U37" i="22"/>
  <c r="K69" i="161"/>
  <c r="L70" i="161"/>
  <c r="L71" i="161" s="1"/>
  <c r="AA69" i="161"/>
  <c r="D37" i="115"/>
  <c r="Z34" i="77"/>
  <c r="Z126" i="77" s="1"/>
  <c r="DA34" i="77"/>
  <c r="DA126" i="77" s="1"/>
  <c r="J34" i="77"/>
  <c r="C67" i="92"/>
  <c r="C85" i="77"/>
  <c r="A68" i="92"/>
  <c r="A31" i="92" s="1"/>
  <c r="B38" i="115"/>
  <c r="K70" i="111"/>
  <c r="AV35" i="77"/>
  <c r="B86" i="77"/>
  <c r="BD35" i="77"/>
  <c r="BD127" i="77" s="1"/>
  <c r="C35" i="77"/>
  <c r="L35" i="77"/>
  <c r="L127" i="77" s="1"/>
  <c r="BB35" i="77"/>
  <c r="V35" i="77"/>
  <c r="V127" i="77" s="1"/>
  <c r="BL35" i="77"/>
  <c r="BL127" i="77" s="1"/>
  <c r="N35" i="77"/>
  <c r="BA35" i="77"/>
  <c r="U35" i="77"/>
  <c r="U127" i="77" s="1"/>
  <c r="AW35" i="77"/>
  <c r="AW127" i="77" s="1"/>
  <c r="W35" i="77"/>
  <c r="W127" i="77" s="1"/>
  <c r="I35" i="77"/>
  <c r="I127" i="77" s="1"/>
  <c r="T35" i="77"/>
  <c r="T127" i="77" s="1"/>
  <c r="BE35" i="77"/>
  <c r="BE127" i="77" s="1"/>
  <c r="H35" i="77"/>
  <c r="H127" i="77" s="1"/>
  <c r="AC35" i="77"/>
  <c r="AC127" i="77" s="1"/>
  <c r="CW35" i="77"/>
  <c r="M35" i="77"/>
  <c r="M127" i="77" s="1"/>
  <c r="S35" i="77"/>
  <c r="S127" i="77" s="1"/>
  <c r="F35" i="77"/>
  <c r="F127" i="77" s="1"/>
  <c r="BG35" i="77"/>
  <c r="BG127" i="77" s="1"/>
  <c r="Q94" i="147"/>
  <c r="U69" i="111"/>
  <c r="J69" i="111"/>
  <c r="H37" i="115"/>
  <c r="B83" i="115"/>
  <c r="O83" i="115" s="1"/>
  <c r="B33" i="119"/>
  <c r="B69" i="119" s="1"/>
  <c r="B104" i="119" s="1"/>
  <c r="BE36" i="36"/>
  <c r="B92" i="36"/>
  <c r="AY27" i="36"/>
  <c r="Q27" i="150"/>
  <c r="BI27" i="150" s="1"/>
  <c r="BK27" i="150" s="1"/>
  <c r="P40" i="150"/>
  <c r="E61" i="111"/>
  <c r="E74" i="111" s="1"/>
  <c r="S30" i="177" l="1"/>
  <c r="DC30" i="177"/>
  <c r="M45" i="18"/>
  <c r="CL30" i="177"/>
  <c r="U30" i="177"/>
  <c r="X45" i="18"/>
  <c r="X92" i="18"/>
  <c r="V92" i="18" s="1"/>
  <c r="E39" i="123"/>
  <c r="N127" i="77"/>
  <c r="E31" i="177"/>
  <c r="BH127" i="77"/>
  <c r="F33" i="119"/>
  <c r="BB127" i="77"/>
  <c r="E33" i="119"/>
  <c r="BA127" i="77"/>
  <c r="C38" i="115"/>
  <c r="AA127" i="77"/>
  <c r="DW31" i="177"/>
  <c r="C127" i="77"/>
  <c r="K35" i="77"/>
  <c r="K127" i="77" s="1"/>
  <c r="CW127" i="77"/>
  <c r="D30" i="177"/>
  <c r="J126" i="77"/>
  <c r="DE35" i="77"/>
  <c r="E127" i="77"/>
  <c r="DO31" i="177"/>
  <c r="DC127" i="77"/>
  <c r="DS30" i="177"/>
  <c r="F31" i="177"/>
  <c r="DG35" i="77"/>
  <c r="G31" i="177"/>
  <c r="DI35" i="77"/>
  <c r="DK31" i="177"/>
  <c r="HS38" i="158"/>
  <c r="HX38" i="158"/>
  <c r="HX39" i="158" s="1"/>
  <c r="AB8" i="155" s="1"/>
  <c r="GJ38" i="158"/>
  <c r="HG38" i="158"/>
  <c r="HH38" i="158"/>
  <c r="ID38" i="158"/>
  <c r="IE38" i="158"/>
  <c r="HO38" i="158"/>
  <c r="HQ38" i="158"/>
  <c r="HA38" i="158"/>
  <c r="HP38" i="158"/>
  <c r="HJ38" i="158"/>
  <c r="HR38" i="158"/>
  <c r="HE38" i="158"/>
  <c r="HC38" i="158"/>
  <c r="HV38" i="158"/>
  <c r="HF38" i="158"/>
  <c r="HT38" i="158"/>
  <c r="HU38" i="158"/>
  <c r="HI38" i="158"/>
  <c r="HK38" i="158"/>
  <c r="HM38" i="158"/>
  <c r="HY38" i="158"/>
  <c r="IA38" i="158"/>
  <c r="E108" i="111"/>
  <c r="U70" i="111"/>
  <c r="DY31" i="177"/>
  <c r="C31" i="177"/>
  <c r="K71" i="161"/>
  <c r="AA71" i="161"/>
  <c r="L72" i="161"/>
  <c r="D68" i="32"/>
  <c r="R68" i="32" s="1"/>
  <c r="E54" i="117" s="1"/>
  <c r="D17" i="144"/>
  <c r="I17" i="144" s="1"/>
  <c r="E41" i="100"/>
  <c r="E29" i="32"/>
  <c r="F29" i="32" s="1"/>
  <c r="DC31" i="177"/>
  <c r="E17" i="117"/>
  <c r="F17" i="117" s="1"/>
  <c r="G17" i="117" s="1"/>
  <c r="J28" i="32"/>
  <c r="L28" i="32" s="1"/>
  <c r="M28" i="32" s="1"/>
  <c r="E28" i="32"/>
  <c r="F28" i="32" s="1"/>
  <c r="R28" i="32"/>
  <c r="E13" i="100"/>
  <c r="DG31" i="177"/>
  <c r="B39" i="36"/>
  <c r="BE38" i="36"/>
  <c r="CY38" i="36" s="1"/>
  <c r="B35" i="119"/>
  <c r="B71" i="119" s="1"/>
  <c r="B106" i="119" s="1"/>
  <c r="E22" i="147"/>
  <c r="B37" i="77"/>
  <c r="DC36" i="77"/>
  <c r="K71" i="111"/>
  <c r="AV36" i="77"/>
  <c r="A69" i="92"/>
  <c r="A32" i="92" s="1"/>
  <c r="B39" i="115"/>
  <c r="B87" i="77"/>
  <c r="S36" i="77"/>
  <c r="S128" i="77" s="1"/>
  <c r="C36" i="77"/>
  <c r="C128" i="77" s="1"/>
  <c r="BB36" i="77"/>
  <c r="W36" i="77"/>
  <c r="W128" i="77" s="1"/>
  <c r="T36" i="77"/>
  <c r="T128" i="77" s="1"/>
  <c r="BA36" i="77"/>
  <c r="AC36" i="77"/>
  <c r="AC128" i="77" s="1"/>
  <c r="U36" i="77"/>
  <c r="U128" i="77" s="1"/>
  <c r="BD36" i="77"/>
  <c r="CW36" i="77"/>
  <c r="L36" i="77"/>
  <c r="L128" i="77" s="1"/>
  <c r="AW36" i="77"/>
  <c r="AW128" i="77" s="1"/>
  <c r="N36" i="77"/>
  <c r="V36" i="77"/>
  <c r="V128" i="77" s="1"/>
  <c r="BE36" i="77"/>
  <c r="I36" i="77"/>
  <c r="I128" i="77" s="1"/>
  <c r="BL36" i="77"/>
  <c r="BL128" i="77" s="1"/>
  <c r="H36" i="77"/>
  <c r="H128" i="77" s="1"/>
  <c r="F36" i="77"/>
  <c r="F128" i="77" s="1"/>
  <c r="BG36" i="77"/>
  <c r="BG128" i="77" s="1"/>
  <c r="E36" i="77"/>
  <c r="G36" i="77"/>
  <c r="G128" i="77" s="1"/>
  <c r="AA36" i="77"/>
  <c r="BH36" i="77"/>
  <c r="X36" i="77"/>
  <c r="X128" i="77" s="1"/>
  <c r="BF36" i="77"/>
  <c r="BF128" i="77" s="1"/>
  <c r="M36" i="77"/>
  <c r="M128" i="77" s="1"/>
  <c r="O36" i="77"/>
  <c r="O128" i="77" s="1"/>
  <c r="AJ36" i="77"/>
  <c r="AJ128" i="77" s="1"/>
  <c r="AM36" i="77"/>
  <c r="CD30" i="177"/>
  <c r="Q30" i="177"/>
  <c r="H30" i="177"/>
  <c r="EL115" i="158"/>
  <c r="DP115" i="158"/>
  <c r="W115" i="158"/>
  <c r="X115" i="158"/>
  <c r="Z115" i="158"/>
  <c r="DT115" i="158"/>
  <c r="DL115" i="158"/>
  <c r="EK115" i="158"/>
  <c r="CY115" i="158"/>
  <c r="BI115" i="158"/>
  <c r="BJ115" i="158"/>
  <c r="BL115" i="158"/>
  <c r="EF115" i="158"/>
  <c r="DX115" i="158"/>
  <c r="BG115" i="158"/>
  <c r="AX115" i="158"/>
  <c r="DO115" i="158"/>
  <c r="DW115" i="158"/>
  <c r="DU115" i="158"/>
  <c r="DQ115" i="158"/>
  <c r="DS115" i="158"/>
  <c r="EJ115" i="158"/>
  <c r="DN115" i="158"/>
  <c r="DA115" i="158"/>
  <c r="Y115" i="158"/>
  <c r="EE115" i="158"/>
  <c r="CZ115" i="158"/>
  <c r="DZ115" i="158"/>
  <c r="BD115" i="158"/>
  <c r="BK115" i="158"/>
  <c r="C115" i="158"/>
  <c r="C117" i="158" s="1"/>
  <c r="C133" i="77" s="1"/>
  <c r="EH115" i="158"/>
  <c r="BF115" i="158"/>
  <c r="EI115" i="158"/>
  <c r="EG115" i="158"/>
  <c r="K115" i="158"/>
  <c r="K117" i="158" s="1"/>
  <c r="BH115" i="158"/>
  <c r="DR115" i="158"/>
  <c r="AA115" i="158"/>
  <c r="DM115" i="158"/>
  <c r="AT115" i="158"/>
  <c r="AU115" i="158"/>
  <c r="L115" i="158"/>
  <c r="N115" i="158"/>
  <c r="CX115" i="158"/>
  <c r="BE115" i="158"/>
  <c r="DY115" i="158"/>
  <c r="DV115" i="158"/>
  <c r="EA115" i="158"/>
  <c r="EB115" i="158"/>
  <c r="ED115" i="158"/>
  <c r="EC115" i="158"/>
  <c r="BZ115" i="158"/>
  <c r="CB115" i="158"/>
  <c r="BY115" i="158"/>
  <c r="H115" i="158"/>
  <c r="H117" i="158" s="1"/>
  <c r="BX115" i="158"/>
  <c r="I115" i="158"/>
  <c r="I117" i="158" s="1"/>
  <c r="CA115" i="158"/>
  <c r="CC115" i="158"/>
  <c r="J115" i="158"/>
  <c r="J117" i="158" s="1"/>
  <c r="J133" i="77" s="1"/>
  <c r="E137" i="77" s="1"/>
  <c r="E138" i="77" s="1"/>
  <c r="F115" i="158"/>
  <c r="F117" i="158" s="1"/>
  <c r="BS115" i="158"/>
  <c r="E115" i="158"/>
  <c r="G115" i="158"/>
  <c r="G117" i="158" s="1"/>
  <c r="AZ115" i="158"/>
  <c r="BB115" i="158"/>
  <c r="AE115" i="158"/>
  <c r="AE117" i="158" s="1"/>
  <c r="AG115" i="158"/>
  <c r="AG117" i="158" s="1"/>
  <c r="BA115" i="158"/>
  <c r="BT115" i="158"/>
  <c r="BV115" i="158"/>
  <c r="AQ115" i="158"/>
  <c r="BW115" i="158"/>
  <c r="AD115" i="158"/>
  <c r="BU115" i="158"/>
  <c r="BR115" i="158"/>
  <c r="AB115" i="158"/>
  <c r="AY115" i="158"/>
  <c r="AC115" i="158"/>
  <c r="M115" i="158"/>
  <c r="U115" i="158"/>
  <c r="O115" i="158"/>
  <c r="O117" i="158" s="1"/>
  <c r="T115" i="158"/>
  <c r="Q115" i="158"/>
  <c r="P115" i="158"/>
  <c r="S115" i="158"/>
  <c r="S117" i="158" s="1"/>
  <c r="AI115" i="158"/>
  <c r="AN115" i="158"/>
  <c r="AK115" i="158"/>
  <c r="AS115" i="158"/>
  <c r="CP29" i="177"/>
  <c r="V29" i="177"/>
  <c r="CT29" i="177" s="1"/>
  <c r="W45" i="18"/>
  <c r="AM37" i="22"/>
  <c r="J140" i="147"/>
  <c r="J143" i="147"/>
  <c r="H140" i="147"/>
  <c r="H143" i="147"/>
  <c r="G140" i="147"/>
  <c r="G143" i="147"/>
  <c r="I140" i="147"/>
  <c r="I143" i="147"/>
  <c r="F140" i="147"/>
  <c r="F143" i="147"/>
  <c r="Y29" i="32"/>
  <c r="F37" i="22"/>
  <c r="D17" i="155"/>
  <c r="Q40" i="150"/>
  <c r="H44" i="155"/>
  <c r="I44" i="155" s="1"/>
  <c r="O36" i="22"/>
  <c r="AE36" i="22"/>
  <c r="AF36" i="22" s="1"/>
  <c r="AC36" i="22"/>
  <c r="AD36" i="22" s="1"/>
  <c r="W10" i="177"/>
  <c r="AJ13" i="158"/>
  <c r="GC13" i="158" s="1"/>
  <c r="HZ12" i="158"/>
  <c r="AJ89" i="158"/>
  <c r="AA9" i="177"/>
  <c r="I23" i="163"/>
  <c r="J23" i="163" s="1"/>
  <c r="F23" i="163"/>
  <c r="G23" i="163" s="1"/>
  <c r="D20" i="92"/>
  <c r="D101" i="158"/>
  <c r="HB24" i="158"/>
  <c r="AJ135" i="155"/>
  <c r="AJ137" i="155"/>
  <c r="AJ136" i="155"/>
  <c r="AJ107" i="163"/>
  <c r="AJ108" i="163"/>
  <c r="AJ109" i="163"/>
  <c r="W24" i="126"/>
  <c r="X24" i="126" s="1"/>
  <c r="X25" i="126" s="1"/>
  <c r="V25" i="126"/>
  <c r="W25" i="126" s="1"/>
  <c r="AH24" i="158"/>
  <c r="AH100" i="158"/>
  <c r="F111" i="155"/>
  <c r="F110" i="155"/>
  <c r="F109" i="155"/>
  <c r="R39" i="156"/>
  <c r="R37" i="156"/>
  <c r="R38" i="156"/>
  <c r="L25" i="126"/>
  <c r="M25" i="126" s="1"/>
  <c r="I25" i="126"/>
  <c r="J25" i="126" s="1"/>
  <c r="I48" i="163"/>
  <c r="F50" i="163"/>
  <c r="F49" i="163"/>
  <c r="BA25" i="163"/>
  <c r="BB25" i="163" s="1"/>
  <c r="BB26" i="163" s="1"/>
  <c r="AZ26" i="163"/>
  <c r="BA26" i="163" s="1"/>
  <c r="F181" i="100"/>
  <c r="G181" i="100" s="1"/>
  <c r="E268" i="100"/>
  <c r="CU7" i="177"/>
  <c r="AB8" i="177"/>
  <c r="CU8" i="177" s="1"/>
  <c r="AG19" i="156"/>
  <c r="AH19" i="156" s="1"/>
  <c r="AF20" i="156"/>
  <c r="AG20" i="156" s="1"/>
  <c r="AF21" i="156"/>
  <c r="AG21" i="156" s="1"/>
  <c r="AG12" i="77"/>
  <c r="AG103" i="77"/>
  <c r="D26" i="36"/>
  <c r="N102" i="161"/>
  <c r="M61" i="161"/>
  <c r="D25" i="158"/>
  <c r="J60" i="147" s="1"/>
  <c r="R13" i="77"/>
  <c r="R104" i="77"/>
  <c r="HL14" i="158"/>
  <c r="R91" i="158"/>
  <c r="R15" i="158"/>
  <c r="FO15" i="158" s="1"/>
  <c r="AB22" i="77"/>
  <c r="AB113" i="77"/>
  <c r="AA24" i="163"/>
  <c r="AB24" i="163" s="1"/>
  <c r="Z25" i="163"/>
  <c r="AA25" i="163" s="1"/>
  <c r="V14" i="158"/>
  <c r="FQ14" i="158" s="1"/>
  <c r="V90" i="158"/>
  <c r="HN13" i="158"/>
  <c r="AN20" i="156"/>
  <c r="AO20" i="156" s="1"/>
  <c r="AN22" i="156"/>
  <c r="AO22" i="156" s="1"/>
  <c r="AO19" i="156"/>
  <c r="AP19" i="156" s="1"/>
  <c r="AN21" i="156"/>
  <c r="AO21" i="156" s="1"/>
  <c r="Z9" i="177"/>
  <c r="HW23" i="158"/>
  <c r="AF100" i="158"/>
  <c r="AF24" i="158"/>
  <c r="AH25" i="155"/>
  <c r="AI25" i="155" s="1"/>
  <c r="AI24" i="155"/>
  <c r="AJ24" i="155" s="1"/>
  <c r="Y112" i="77"/>
  <c r="Y21" i="77"/>
  <c r="P14" i="77"/>
  <c r="P105" i="77"/>
  <c r="AR37" i="32"/>
  <c r="AO40" i="32"/>
  <c r="AO39" i="32"/>
  <c r="AO38" i="32"/>
  <c r="AR14" i="77"/>
  <c r="AR105" i="77"/>
  <c r="F45" i="155"/>
  <c r="F47" i="155"/>
  <c r="F46" i="155"/>
  <c r="AR25" i="163"/>
  <c r="AS25" i="163" s="1"/>
  <c r="AS24" i="163"/>
  <c r="AT24" i="163" s="1"/>
  <c r="AH26" i="163"/>
  <c r="AI26" i="163" s="1"/>
  <c r="AI25" i="163"/>
  <c r="AJ25" i="163" s="1"/>
  <c r="AJ26" i="163" s="1"/>
  <c r="AD26" i="126"/>
  <c r="AE26" i="126" s="1"/>
  <c r="AE25" i="126"/>
  <c r="AF25" i="126" s="1"/>
  <c r="AF26" i="126" s="1"/>
  <c r="AI12" i="77"/>
  <c r="AI103" i="77"/>
  <c r="AJ123" i="155"/>
  <c r="AJ124" i="155"/>
  <c r="I63" i="163"/>
  <c r="F65" i="163"/>
  <c r="F64" i="163"/>
  <c r="J14" i="147"/>
  <c r="T40" i="150"/>
  <c r="H14" i="147"/>
  <c r="E14" i="147"/>
  <c r="I14" i="147"/>
  <c r="Z28" i="32"/>
  <c r="AA28" i="32" s="1"/>
  <c r="M37" i="22"/>
  <c r="GI39" i="158"/>
  <c r="AB37" i="22"/>
  <c r="D37" i="22"/>
  <c r="AF69" i="32"/>
  <c r="AE7" i="32"/>
  <c r="T28" i="147"/>
  <c r="T27" i="147"/>
  <c r="T29" i="147"/>
  <c r="R176" i="32"/>
  <c r="AM82" i="32"/>
  <c r="Y39" i="24"/>
  <c r="R198" i="32" s="1"/>
  <c r="AZ12" i="32"/>
  <c r="Z41" i="32"/>
  <c r="AA41" i="32" s="1"/>
  <c r="AE77" i="32"/>
  <c r="BI13" i="32"/>
  <c r="C83" i="115"/>
  <c r="AH34" i="77"/>
  <c r="AH126" i="77" s="1"/>
  <c r="AF34" i="77"/>
  <c r="AF126" i="77" s="1"/>
  <c r="Y13" i="24"/>
  <c r="R184" i="32" s="1"/>
  <c r="Y15" i="24"/>
  <c r="Y14" i="24"/>
  <c r="R185" i="32" s="1"/>
  <c r="AM70" i="32" s="1"/>
  <c r="AE24" i="77"/>
  <c r="AE115" i="77"/>
  <c r="D32" i="155"/>
  <c r="X47" i="32"/>
  <c r="Z19" i="32"/>
  <c r="AA19" i="32" s="1"/>
  <c r="AE82" i="32"/>
  <c r="X20" i="32"/>
  <c r="X12" i="32"/>
  <c r="Y14" i="32"/>
  <c r="AY49" i="100"/>
  <c r="G13" i="147"/>
  <c r="G112" i="147" s="1"/>
  <c r="G109" i="147"/>
  <c r="G153" i="147" s="1"/>
  <c r="G154" i="147" s="1"/>
  <c r="G7" i="147"/>
  <c r="E141" i="147"/>
  <c r="I119" i="147"/>
  <c r="I149" i="147"/>
  <c r="I150" i="147" s="1"/>
  <c r="G149" i="147"/>
  <c r="G150" i="147" s="1"/>
  <c r="G119" i="147"/>
  <c r="F149" i="147"/>
  <c r="F150" i="147" s="1"/>
  <c r="F119" i="147"/>
  <c r="FD4" i="158"/>
  <c r="FR39" i="158"/>
  <c r="Y39" i="32" s="1"/>
  <c r="Y27" i="32"/>
  <c r="AF68" i="32" s="1"/>
  <c r="AD114" i="77"/>
  <c r="AD23" i="77"/>
  <c r="AF77" i="32"/>
  <c r="BI6" i="32"/>
  <c r="AZ6" i="32"/>
  <c r="D11" i="155"/>
  <c r="D58" i="155"/>
  <c r="AF125" i="77"/>
  <c r="G33" i="119"/>
  <c r="W37" i="22"/>
  <c r="Y31" i="24"/>
  <c r="X16" i="24"/>
  <c r="M139" i="100"/>
  <c r="Y43" i="32"/>
  <c r="AA29" i="155"/>
  <c r="AD12" i="28"/>
  <c r="AE12" i="28" s="1"/>
  <c r="D7" i="155"/>
  <c r="X18" i="32"/>
  <c r="X6" i="32" s="1"/>
  <c r="S28" i="147"/>
  <c r="S27" i="147"/>
  <c r="G120" i="147"/>
  <c r="G157" i="147"/>
  <c r="G158" i="147" s="1"/>
  <c r="G14" i="147"/>
  <c r="K149" i="147"/>
  <c r="K150" i="147" s="1"/>
  <c r="K119" i="147"/>
  <c r="AS20" i="155"/>
  <c r="E18" i="155"/>
  <c r="AT17" i="156"/>
  <c r="U51" i="18"/>
  <c r="U52" i="18" s="1"/>
  <c r="U53" i="18"/>
  <c r="U57" i="18"/>
  <c r="U55" i="18"/>
  <c r="U56" i="18" s="1"/>
  <c r="H80" i="155"/>
  <c r="I80" i="155" s="1"/>
  <c r="FV39" i="158"/>
  <c r="G93" i="144"/>
  <c r="L93" i="144" s="1"/>
  <c r="J59" i="100"/>
  <c r="F66" i="100"/>
  <c r="G66" i="100" s="1"/>
  <c r="W40" i="18"/>
  <c r="X40" i="18"/>
  <c r="X49" i="18" s="1"/>
  <c r="P45" i="18"/>
  <c r="E124" i="147"/>
  <c r="E50" i="147"/>
  <c r="F50" i="147" s="1"/>
  <c r="G50" i="147" s="1"/>
  <c r="H50" i="147" s="1"/>
  <c r="K157" i="147"/>
  <c r="K158" i="147" s="1"/>
  <c r="K120" i="147"/>
  <c r="O53" i="18"/>
  <c r="O51" i="18"/>
  <c r="O52" i="18" s="1"/>
  <c r="O55" i="18"/>
  <c r="O56" i="18" s="1"/>
  <c r="O57" i="18"/>
  <c r="D39" i="123"/>
  <c r="D33" i="119"/>
  <c r="Q35" i="77"/>
  <c r="Q127" i="77" s="1"/>
  <c r="M112" i="147"/>
  <c r="Q26" i="147"/>
  <c r="U26" i="147" s="1"/>
  <c r="V26" i="147" s="1"/>
  <c r="AE13" i="28"/>
  <c r="Q175" i="32" s="1"/>
  <c r="AD9" i="28"/>
  <c r="AE9" i="28" s="1"/>
  <c r="AA32" i="155"/>
  <c r="Y47" i="32"/>
  <c r="E157" i="147"/>
  <c r="E158" i="147" s="1"/>
  <c r="J149" i="147"/>
  <c r="J150" i="147" s="1"/>
  <c r="J119" i="147"/>
  <c r="F14" i="147"/>
  <c r="AA31" i="155"/>
  <c r="Y46" i="32"/>
  <c r="Z46" i="32" s="1"/>
  <c r="AA46" i="32" s="1"/>
  <c r="C33" i="119"/>
  <c r="B68" i="92"/>
  <c r="E86" i="77"/>
  <c r="C39" i="123"/>
  <c r="AD31" i="28"/>
  <c r="AE31" i="28" s="1"/>
  <c r="Q191" i="32" s="1"/>
  <c r="D22" i="155"/>
  <c r="N49" i="18"/>
  <c r="X36" i="32"/>
  <c r="E260" i="100"/>
  <c r="F173" i="100"/>
  <c r="G173" i="100" s="1"/>
  <c r="FJ39" i="158"/>
  <c r="Y30" i="32" s="1"/>
  <c r="Z30" i="32" s="1"/>
  <c r="AA30" i="32" s="1"/>
  <c r="M5" i="100"/>
  <c r="S9" i="100" s="1"/>
  <c r="P11" i="100" s="1"/>
  <c r="AE71" i="32"/>
  <c r="Z33" i="32"/>
  <c r="AA33" i="32" s="1"/>
  <c r="W163" i="100"/>
  <c r="W141" i="100"/>
  <c r="W143" i="100"/>
  <c r="W142" i="100"/>
  <c r="W140" i="100"/>
  <c r="H120" i="147"/>
  <c r="H157" i="147"/>
  <c r="H158" i="147" s="1"/>
  <c r="J13" i="147"/>
  <c r="J112" i="147" s="1"/>
  <c r="J109" i="147"/>
  <c r="J153" i="147" s="1"/>
  <c r="J154" i="147" s="1"/>
  <c r="J7" i="147"/>
  <c r="E140" i="147"/>
  <c r="E139" i="147"/>
  <c r="Q40" i="18"/>
  <c r="P40" i="18"/>
  <c r="D5" i="155" s="1"/>
  <c r="G61" i="155" s="1"/>
  <c r="AG70" i="32"/>
  <c r="AE94" i="32"/>
  <c r="AD12" i="32"/>
  <c r="AH70" i="32"/>
  <c r="AD32" i="28"/>
  <c r="M49" i="18"/>
  <c r="D23" i="155"/>
  <c r="X37" i="32"/>
  <c r="J120" i="147"/>
  <c r="J157" i="147"/>
  <c r="J158" i="147" s="1"/>
  <c r="L24" i="147"/>
  <c r="O24" i="147" s="1"/>
  <c r="E114" i="147"/>
  <c r="E169" i="147" s="1"/>
  <c r="E170" i="147" s="1"/>
  <c r="L34" i="147"/>
  <c r="O34" i="147" s="1"/>
  <c r="O130" i="147" s="1"/>
  <c r="AD34" i="28"/>
  <c r="D25" i="155"/>
  <c r="R49" i="18"/>
  <c r="X39" i="32"/>
  <c r="E119" i="147"/>
  <c r="E149" i="147"/>
  <c r="E150" i="147" s="1"/>
  <c r="H7" i="147"/>
  <c r="H109" i="147"/>
  <c r="H153" i="147" s="1"/>
  <c r="H154" i="147" s="1"/>
  <c r="H13" i="147"/>
  <c r="H112" i="147" s="1"/>
  <c r="Q92" i="18"/>
  <c r="Z12" i="32"/>
  <c r="Z24" i="32"/>
  <c r="G92" i="144"/>
  <c r="L92" i="144" s="1"/>
  <c r="F65" i="100"/>
  <c r="G65" i="100" s="1"/>
  <c r="AA22" i="155"/>
  <c r="Y36" i="32"/>
  <c r="Y18" i="32"/>
  <c r="AA37" i="22"/>
  <c r="S187" i="32"/>
  <c r="T187" i="32" s="1"/>
  <c r="AL69" i="32"/>
  <c r="AD7" i="32"/>
  <c r="AE93" i="32"/>
  <c r="AA12" i="155"/>
  <c r="D56" i="155" s="1"/>
  <c r="D57" i="155" s="1"/>
  <c r="V37" i="22"/>
  <c r="I120" i="147"/>
  <c r="I157" i="147"/>
  <c r="I158" i="147" s="1"/>
  <c r="R191" i="32"/>
  <c r="Y33" i="24"/>
  <c r="R192" i="32" s="1"/>
  <c r="AM76" i="32" s="1"/>
  <c r="H55" i="18"/>
  <c r="H56" i="18" s="1"/>
  <c r="H51" i="18"/>
  <c r="H52" i="18" s="1"/>
  <c r="H57" i="18"/>
  <c r="H53" i="18"/>
  <c r="AD17" i="28"/>
  <c r="AD16" i="28"/>
  <c r="AE15" i="28"/>
  <c r="E107" i="147"/>
  <c r="L8" i="147"/>
  <c r="H149" i="147"/>
  <c r="H150" i="147" s="1"/>
  <c r="H119" i="147"/>
  <c r="F13" i="147"/>
  <c r="F112" i="147" s="1"/>
  <c r="F7" i="147"/>
  <c r="F109" i="147"/>
  <c r="F153" i="147" s="1"/>
  <c r="F154" i="147" s="1"/>
  <c r="C58" i="155"/>
  <c r="C61" i="155"/>
  <c r="C62" i="155"/>
  <c r="C59" i="155"/>
  <c r="C60" i="155"/>
  <c r="D20" i="155"/>
  <c r="E59" i="155" s="1"/>
  <c r="AD29" i="28"/>
  <c r="X34" i="32"/>
  <c r="K49" i="18"/>
  <c r="BA12" i="32"/>
  <c r="BJ13" i="32"/>
  <c r="AE78" i="32"/>
  <c r="Z42" i="32"/>
  <c r="AA42" i="32" s="1"/>
  <c r="I7" i="147"/>
  <c r="I109" i="147"/>
  <c r="I153" i="147" s="1"/>
  <c r="I154" i="147" s="1"/>
  <c r="I13" i="147"/>
  <c r="I112" i="147" s="1"/>
  <c r="E109" i="147"/>
  <c r="E7" i="147"/>
  <c r="E13" i="147"/>
  <c r="L23" i="147"/>
  <c r="O23" i="147" s="1"/>
  <c r="J124" i="147"/>
  <c r="AE68" i="32"/>
  <c r="X29" i="32"/>
  <c r="AF78" i="32"/>
  <c r="BA6" i="32"/>
  <c r="BJ6" i="32"/>
  <c r="N37" i="22"/>
  <c r="CY36" i="36"/>
  <c r="E55" i="18"/>
  <c r="E56" i="18" s="1"/>
  <c r="E57" i="18"/>
  <c r="E51" i="18"/>
  <c r="E52" i="18" s="1"/>
  <c r="E53" i="18"/>
  <c r="Z32" i="32"/>
  <c r="AA32" i="32" s="1"/>
  <c r="AE12" i="32"/>
  <c r="AE69" i="32"/>
  <c r="AE72" i="32"/>
  <c r="Z31" i="32"/>
  <c r="AA31" i="32" s="1"/>
  <c r="F157" i="147"/>
  <c r="F158" i="147" s="1"/>
  <c r="F120" i="147"/>
  <c r="L38" i="147"/>
  <c r="FK39" i="158"/>
  <c r="Y34" i="32" s="1"/>
  <c r="D38" i="115"/>
  <c r="Z35" i="77"/>
  <c r="Z127" i="77" s="1"/>
  <c r="DA35" i="77"/>
  <c r="DA127" i="77" s="1"/>
  <c r="J35" i="77"/>
  <c r="C86" i="77"/>
  <c r="C68" i="92"/>
  <c r="Q95" i="147"/>
  <c r="J70" i="111"/>
  <c r="B84" i="115"/>
  <c r="O84" i="115" s="1"/>
  <c r="H38" i="115"/>
  <c r="K70" i="161"/>
  <c r="AA70" i="161"/>
  <c r="AP38" i="22"/>
  <c r="K38" i="22"/>
  <c r="C38" i="22"/>
  <c r="Z38" i="22"/>
  <c r="P38" i="22"/>
  <c r="AV38" i="22"/>
  <c r="R38" i="22"/>
  <c r="J38" i="22"/>
  <c r="CO38" i="22"/>
  <c r="AX38" i="22"/>
  <c r="AL38" i="22"/>
  <c r="AL39" i="22" s="1"/>
  <c r="AM39" i="22" s="1"/>
  <c r="AM48" i="22" s="1"/>
  <c r="AG38" i="22"/>
  <c r="U38" i="22"/>
  <c r="T38" i="22"/>
  <c r="Q38" i="22"/>
  <c r="AU38" i="22"/>
  <c r="E38" i="22"/>
  <c r="L38" i="22"/>
  <c r="I38" i="22"/>
  <c r="G38" i="22"/>
  <c r="CM38" i="22"/>
  <c r="X38" i="22"/>
  <c r="Y38" i="22" s="1"/>
  <c r="S38" i="22"/>
  <c r="BB38" i="22"/>
  <c r="K19" i="147"/>
  <c r="K116" i="147" s="1"/>
  <c r="K165" i="147" s="1"/>
  <c r="K166" i="147" s="1"/>
  <c r="BD26" i="77"/>
  <c r="DG22" i="177" s="1"/>
  <c r="I61" i="111"/>
  <c r="CH31" i="177" l="1"/>
  <c r="T31" i="177"/>
  <c r="U31" i="177"/>
  <c r="CL31" i="177"/>
  <c r="E111" i="147"/>
  <c r="E161" i="147" s="1"/>
  <c r="E162" i="147" s="1"/>
  <c r="L22" i="147"/>
  <c r="S31" i="177"/>
  <c r="R30" i="177"/>
  <c r="CY30" i="177"/>
  <c r="F34" i="119"/>
  <c r="BB128" i="77"/>
  <c r="DO32" i="177"/>
  <c r="DC128" i="77"/>
  <c r="K36" i="77"/>
  <c r="CW128" i="77"/>
  <c r="DG32" i="177"/>
  <c r="BD128" i="77"/>
  <c r="E32" i="177"/>
  <c r="BH128" i="77"/>
  <c r="D31" i="177"/>
  <c r="J127" i="77"/>
  <c r="C39" i="115"/>
  <c r="AA128" i="77"/>
  <c r="DK32" i="177"/>
  <c r="BE128" i="77"/>
  <c r="F40" i="123"/>
  <c r="AM128" i="77"/>
  <c r="E34" i="119"/>
  <c r="BA128" i="77"/>
  <c r="DE36" i="77"/>
  <c r="E128" i="77"/>
  <c r="E40" i="123"/>
  <c r="N128" i="77"/>
  <c r="DS31" i="177"/>
  <c r="G32" i="177"/>
  <c r="DI36" i="77"/>
  <c r="F32" i="177"/>
  <c r="DG36" i="77"/>
  <c r="G34" i="119"/>
  <c r="HF39" i="158"/>
  <c r="AB12" i="155" s="1"/>
  <c r="D68" i="155" s="1"/>
  <c r="D69" i="155" s="1"/>
  <c r="Q133" i="77"/>
  <c r="N117" i="158"/>
  <c r="DC32" i="177"/>
  <c r="E146" i="100"/>
  <c r="F146" i="100" s="1"/>
  <c r="G146" i="100" s="1"/>
  <c r="F13" i="100"/>
  <c r="G13" i="100" s="1"/>
  <c r="D39" i="115"/>
  <c r="Z36" i="77"/>
  <c r="Z128" i="77" s="1"/>
  <c r="B85" i="115"/>
  <c r="O85" i="115" s="1"/>
  <c r="H39" i="115"/>
  <c r="E11" i="126"/>
  <c r="E13" i="156"/>
  <c r="F13" i="156" s="1"/>
  <c r="G13" i="156" s="1"/>
  <c r="E54" i="126"/>
  <c r="F54" i="126" s="1"/>
  <c r="G54" i="126" s="1"/>
  <c r="D11" i="163"/>
  <c r="BE39" i="36"/>
  <c r="B36" i="119"/>
  <c r="B72" i="119" s="1"/>
  <c r="B107" i="119" s="1"/>
  <c r="H41" i="36"/>
  <c r="H49" i="36" s="1"/>
  <c r="HT39" i="158"/>
  <c r="AB29" i="155" s="1"/>
  <c r="HU39" i="158"/>
  <c r="HB39" i="158"/>
  <c r="HA39" i="158"/>
  <c r="DY32" i="177"/>
  <c r="C32" i="177"/>
  <c r="E87" i="77"/>
  <c r="C34" i="119"/>
  <c r="B69" i="92"/>
  <c r="C40" i="123"/>
  <c r="E174" i="100"/>
  <c r="AG33" i="100"/>
  <c r="J33" i="100"/>
  <c r="F41" i="100"/>
  <c r="G41" i="100" s="1"/>
  <c r="G17" i="144"/>
  <c r="L17" i="144" s="1"/>
  <c r="D40" i="123"/>
  <c r="Q36" i="77"/>
  <c r="Q128" i="77" s="1"/>
  <c r="D34" i="119"/>
  <c r="J71" i="111"/>
  <c r="E109" i="111"/>
  <c r="U71" i="111"/>
  <c r="Q96" i="147"/>
  <c r="HV39" i="158"/>
  <c r="AB7" i="155" s="1"/>
  <c r="HW39" i="158"/>
  <c r="E117" i="158"/>
  <c r="E133" i="77" s="1"/>
  <c r="L117" i="158"/>
  <c r="L133" i="77" s="1"/>
  <c r="F137" i="77" s="1"/>
  <c r="V30" i="177"/>
  <c r="CT30" i="177" s="1"/>
  <c r="CP30" i="177"/>
  <c r="H17" i="144"/>
  <c r="M17" i="144" s="1"/>
  <c r="F54" i="117"/>
  <c r="G54" i="117" s="1"/>
  <c r="H31" i="177"/>
  <c r="CD31" i="177"/>
  <c r="Q31" i="177"/>
  <c r="HY39" i="158"/>
  <c r="HZ39" i="158"/>
  <c r="HC39" i="158"/>
  <c r="HQ39" i="158"/>
  <c r="HP39" i="158"/>
  <c r="HD39" i="158"/>
  <c r="J36" i="77"/>
  <c r="DA36" i="77"/>
  <c r="DA128" i="77" s="1"/>
  <c r="DW32" i="177"/>
  <c r="C69" i="92"/>
  <c r="C87" i="77"/>
  <c r="B38" i="77"/>
  <c r="DC37" i="77"/>
  <c r="K72" i="111"/>
  <c r="AV37" i="77"/>
  <c r="B40" i="115"/>
  <c r="B88" i="77"/>
  <c r="BE37" i="77"/>
  <c r="BA37" i="77"/>
  <c r="N37" i="77"/>
  <c r="BB37" i="77"/>
  <c r="L37" i="77"/>
  <c r="L129" i="77" s="1"/>
  <c r="W37" i="77"/>
  <c r="W129" i="77" s="1"/>
  <c r="CW37" i="77"/>
  <c r="T37" i="77"/>
  <c r="T129" i="77" s="1"/>
  <c r="V37" i="77"/>
  <c r="V129" i="77" s="1"/>
  <c r="AC37" i="77"/>
  <c r="AC129" i="77" s="1"/>
  <c r="AW37" i="77"/>
  <c r="AW129" i="77" s="1"/>
  <c r="U37" i="77"/>
  <c r="U129" i="77" s="1"/>
  <c r="BD37" i="77"/>
  <c r="C37" i="77"/>
  <c r="C129" i="77" s="1"/>
  <c r="S37" i="77"/>
  <c r="S129" i="77" s="1"/>
  <c r="I37" i="77"/>
  <c r="I129" i="77" s="1"/>
  <c r="BL37" i="77"/>
  <c r="BL129" i="77" s="1"/>
  <c r="H37" i="77"/>
  <c r="H129" i="77" s="1"/>
  <c r="F37" i="77"/>
  <c r="F129" i="77" s="1"/>
  <c r="BG37" i="77"/>
  <c r="BG129" i="77" s="1"/>
  <c r="E37" i="77"/>
  <c r="AA37" i="77"/>
  <c r="G37" i="77"/>
  <c r="G129" i="77" s="1"/>
  <c r="BF37" i="77"/>
  <c r="BF129" i="77" s="1"/>
  <c r="X37" i="77"/>
  <c r="X129" i="77" s="1"/>
  <c r="BH37" i="77"/>
  <c r="M37" i="77"/>
  <c r="M129" i="77" s="1"/>
  <c r="O37" i="77"/>
  <c r="O129" i="77" s="1"/>
  <c r="AM37" i="77"/>
  <c r="AJ37" i="77"/>
  <c r="AJ129" i="77" s="1"/>
  <c r="L73" i="161"/>
  <c r="AA72" i="161"/>
  <c r="K72" i="161"/>
  <c r="HN39" i="158"/>
  <c r="HM39" i="158"/>
  <c r="AB5" i="155" s="1"/>
  <c r="HE39" i="158"/>
  <c r="AB16" i="155" s="1"/>
  <c r="C68" i="155" s="1"/>
  <c r="HL39" i="158"/>
  <c r="AB22" i="155" s="1"/>
  <c r="HK39" i="158"/>
  <c r="CP38" i="22"/>
  <c r="CO39" i="22"/>
  <c r="CP39" i="22" s="1"/>
  <c r="CP48" i="22" s="1"/>
  <c r="E153" i="147"/>
  <c r="E154" i="147" s="1"/>
  <c r="P109" i="147"/>
  <c r="AE37" i="28"/>
  <c r="Q197" i="32" s="1"/>
  <c r="AE36" i="28"/>
  <c r="Q196" i="32" s="1"/>
  <c r="Z29" i="32"/>
  <c r="AA29" i="32" s="1"/>
  <c r="F38" i="22"/>
  <c r="AE35" i="28"/>
  <c r="Q195" i="32" s="1"/>
  <c r="S195" i="32" s="1"/>
  <c r="T195" i="32" s="1"/>
  <c r="AE29" i="28"/>
  <c r="Q189" i="32" s="1"/>
  <c r="Y40" i="24"/>
  <c r="R199" i="32" s="1"/>
  <c r="O37" i="22"/>
  <c r="FU39" i="158"/>
  <c r="AA26" i="155" s="1"/>
  <c r="AC37" i="22"/>
  <c r="AD37" i="22" s="1"/>
  <c r="AH20" i="156"/>
  <c r="AP21" i="156"/>
  <c r="AI13" i="77"/>
  <c r="AI104" i="77"/>
  <c r="AA26" i="163"/>
  <c r="AB25" i="163"/>
  <c r="AH21" i="156"/>
  <c r="AH22" i="156"/>
  <c r="AH25" i="158"/>
  <c r="AH101" i="158"/>
  <c r="AI26" i="155"/>
  <c r="AJ25" i="155"/>
  <c r="R105" i="77"/>
  <c r="R14" i="77"/>
  <c r="AA10" i="177"/>
  <c r="AG104" i="77"/>
  <c r="AG13" i="77"/>
  <c r="AP23" i="156"/>
  <c r="AP22" i="156"/>
  <c r="AB114" i="77"/>
  <c r="AB23" i="77"/>
  <c r="D21" i="92"/>
  <c r="D102" i="158"/>
  <c r="HB25" i="158"/>
  <c r="AR106" i="77"/>
  <c r="AR15" i="77"/>
  <c r="P15" i="77"/>
  <c r="P106" i="77"/>
  <c r="AF25" i="158"/>
  <c r="AF101" i="158"/>
  <c r="HW24" i="158"/>
  <c r="AP20" i="156"/>
  <c r="R16" i="158"/>
  <c r="FO16" i="158" s="1"/>
  <c r="R92" i="158"/>
  <c r="HL15" i="158"/>
  <c r="N103" i="161"/>
  <c r="M62" i="161"/>
  <c r="D26" i="158"/>
  <c r="K60" i="147" s="1"/>
  <c r="M60" i="147" s="1"/>
  <c r="M9" i="147" s="1"/>
  <c r="M108" i="147" s="1"/>
  <c r="AB9" i="177"/>
  <c r="CU9" i="177" s="1"/>
  <c r="AE37" i="22"/>
  <c r="AF37" i="22" s="1"/>
  <c r="Y113" i="77"/>
  <c r="Y22" i="77"/>
  <c r="AJ14" i="158"/>
  <c r="GC14" i="158" s="1"/>
  <c r="AJ90" i="158"/>
  <c r="HZ13" i="158"/>
  <c r="W11" i="177"/>
  <c r="AT25" i="163"/>
  <c r="AS26" i="163"/>
  <c r="E241" i="100"/>
  <c r="F241" i="100" s="1"/>
  <c r="G241" i="100" s="1"/>
  <c r="F268" i="100"/>
  <c r="G268" i="100" s="1"/>
  <c r="Z10" i="177"/>
  <c r="V15" i="158"/>
  <c r="FQ15" i="158" s="1"/>
  <c r="V91" i="158"/>
  <c r="HN14" i="158"/>
  <c r="M38" i="22"/>
  <c r="V40" i="150"/>
  <c r="Z27" i="32"/>
  <c r="AA27" i="32" s="1"/>
  <c r="P6" i="100"/>
  <c r="Q8" i="100"/>
  <c r="P9" i="100"/>
  <c r="Q9" i="100"/>
  <c r="P8" i="100"/>
  <c r="Q7" i="100"/>
  <c r="P10" i="100"/>
  <c r="Z36" i="32"/>
  <c r="AA36" i="32" s="1"/>
  <c r="M44" i="22"/>
  <c r="P140" i="100"/>
  <c r="AU39" i="22"/>
  <c r="C84" i="32" s="1"/>
  <c r="T39" i="22"/>
  <c r="C82" i="32" s="1"/>
  <c r="Q142" i="100"/>
  <c r="S191" i="32"/>
  <c r="T191" i="32" s="1"/>
  <c r="Y21" i="24"/>
  <c r="Y16" i="24" s="1"/>
  <c r="AE20" i="28"/>
  <c r="AL72" i="32" s="1"/>
  <c r="AN72" i="32" s="1"/>
  <c r="AE34" i="28"/>
  <c r="Q194" i="32" s="1"/>
  <c r="S194" i="32" s="1"/>
  <c r="T194" i="32" s="1"/>
  <c r="AF73" i="32"/>
  <c r="AF7" i="32"/>
  <c r="AH69" i="32"/>
  <c r="AF95" i="32"/>
  <c r="AG69" i="32"/>
  <c r="K57" i="18"/>
  <c r="K51" i="18"/>
  <c r="K52" i="18" s="1"/>
  <c r="K53" i="18"/>
  <c r="K55" i="18"/>
  <c r="K56" i="18" s="1"/>
  <c r="L107" i="147"/>
  <c r="N107" i="147" s="1"/>
  <c r="O8" i="147"/>
  <c r="O107" i="147" s="1"/>
  <c r="L40" i="18"/>
  <c r="Q49" i="18"/>
  <c r="X11" i="32"/>
  <c r="Z11" i="32" s="1"/>
  <c r="AA11" i="32" s="1"/>
  <c r="M63" i="100"/>
  <c r="M64" i="100"/>
  <c r="M61" i="100"/>
  <c r="M62" i="100"/>
  <c r="M60" i="100"/>
  <c r="L59" i="100"/>
  <c r="M59" i="100" s="1"/>
  <c r="AF74" i="32"/>
  <c r="AA25" i="155" s="1"/>
  <c r="BH6" i="32"/>
  <c r="AY6" i="32"/>
  <c r="BI10" i="32"/>
  <c r="BI12" i="32"/>
  <c r="BI11" i="32"/>
  <c r="D39" i="22"/>
  <c r="D48" i="22" s="1"/>
  <c r="C39" i="22"/>
  <c r="C48" i="22" s="1"/>
  <c r="D44" i="22"/>
  <c r="C44" i="22"/>
  <c r="O38" i="147"/>
  <c r="O136" i="147" s="1"/>
  <c r="L136" i="147"/>
  <c r="N136" i="147" s="1"/>
  <c r="O78" i="111" a="1"/>
  <c r="O78" i="111" s="1"/>
  <c r="E112" i="147"/>
  <c r="AF12" i="32"/>
  <c r="AE73" i="32"/>
  <c r="Z34" i="32"/>
  <c r="AA34" i="32" s="1"/>
  <c r="BF6" i="32"/>
  <c r="AW6" i="32"/>
  <c r="AL6" i="32"/>
  <c r="P225" i="100"/>
  <c r="Q228" i="100"/>
  <c r="Q227" i="100"/>
  <c r="P230" i="100"/>
  <c r="Q229" i="100"/>
  <c r="P227" i="100"/>
  <c r="Q226" i="100"/>
  <c r="P226" i="100"/>
  <c r="P229" i="100"/>
  <c r="Q225" i="100"/>
  <c r="P228" i="100"/>
  <c r="D59" i="155"/>
  <c r="D62" i="155"/>
  <c r="D61" i="155"/>
  <c r="D60" i="155"/>
  <c r="AH77" i="32"/>
  <c r="AG77" i="32"/>
  <c r="BG6" i="32"/>
  <c r="BG7" i="32" s="1"/>
  <c r="AE8" i="32"/>
  <c r="AM6" i="32"/>
  <c r="AM7" i="32" s="1"/>
  <c r="AX6" i="32"/>
  <c r="AX7" i="32" s="1"/>
  <c r="W38" i="22"/>
  <c r="W39" i="22" s="1"/>
  <c r="Z39" i="22"/>
  <c r="H64" i="20" s="1"/>
  <c r="AA39" i="22"/>
  <c r="AA48" i="22" s="1"/>
  <c r="Z44" i="22"/>
  <c r="AA44" i="22"/>
  <c r="AE19" i="28"/>
  <c r="AE16" i="28"/>
  <c r="Q184" i="32" s="1"/>
  <c r="S184" i="32" s="1"/>
  <c r="T184" i="32" s="1"/>
  <c r="AE17" i="28"/>
  <c r="Q185" i="32" s="1"/>
  <c r="Q183" i="32"/>
  <c r="D38" i="22"/>
  <c r="AO69" i="32"/>
  <c r="AN69" i="32"/>
  <c r="P12" i="100"/>
  <c r="AE25" i="77"/>
  <c r="AE117" i="77" s="1"/>
  <c r="AE116" i="77"/>
  <c r="AA16" i="155"/>
  <c r="C56" i="155" s="1"/>
  <c r="AF93" i="32"/>
  <c r="AF94" i="32" s="1"/>
  <c r="AH68" i="32"/>
  <c r="AG68" i="32"/>
  <c r="E61" i="155"/>
  <c r="E62" i="155"/>
  <c r="E60" i="155"/>
  <c r="Q11" i="100"/>
  <c r="AE76" i="32"/>
  <c r="Z141" i="100"/>
  <c r="AA140" i="100"/>
  <c r="Z140" i="100"/>
  <c r="W139" i="100"/>
  <c r="P142" i="100"/>
  <c r="FL39" i="158"/>
  <c r="AA38" i="22"/>
  <c r="AE74" i="32"/>
  <c r="Z39" i="32"/>
  <c r="AA39" i="32" s="1"/>
  <c r="AY12" i="32"/>
  <c r="BH13" i="32"/>
  <c r="AA142" i="100"/>
  <c r="Z143" i="100"/>
  <c r="Q141" i="100"/>
  <c r="AF35" i="77"/>
  <c r="AF127" i="77" s="1"/>
  <c r="AH35" i="77"/>
  <c r="AH127" i="77" s="1"/>
  <c r="C84" i="115"/>
  <c r="AZ8" i="32"/>
  <c r="AZ7" i="32"/>
  <c r="AZ9" i="32"/>
  <c r="Y4" i="32"/>
  <c r="AP6" i="32" s="1"/>
  <c r="AF79" i="32"/>
  <c r="AA5" i="155" s="1"/>
  <c r="BB39" i="22"/>
  <c r="R51" i="18"/>
  <c r="R52" i="18" s="1"/>
  <c r="R57" i="18"/>
  <c r="R53" i="18"/>
  <c r="R55" i="18"/>
  <c r="R56" i="18" s="1"/>
  <c r="M57" i="18"/>
  <c r="M53" i="18"/>
  <c r="M55" i="18"/>
  <c r="M56" i="18" s="1"/>
  <c r="M51" i="18"/>
  <c r="M52" i="18" s="1"/>
  <c r="L111" i="147"/>
  <c r="N111" i="147" s="1"/>
  <c r="R28" i="147"/>
  <c r="O22" i="147"/>
  <c r="O111" i="147" s="1"/>
  <c r="Z144" i="100"/>
  <c r="AA143" i="100"/>
  <c r="P143" i="100"/>
  <c r="BI9" i="32"/>
  <c r="BI7" i="32"/>
  <c r="BI8" i="32"/>
  <c r="Q143" i="100"/>
  <c r="Y6" i="32"/>
  <c r="BK6" i="32" s="1"/>
  <c r="AF80" i="32"/>
  <c r="AA7" i="155" s="1"/>
  <c r="AA141" i="100"/>
  <c r="Z142" i="100"/>
  <c r="AL82" i="32"/>
  <c r="S175" i="32"/>
  <c r="T175" i="32" s="1"/>
  <c r="Q176" i="32"/>
  <c r="P144" i="100"/>
  <c r="AM38" i="22"/>
  <c r="Y39" i="22"/>
  <c r="Y48" i="22" s="1"/>
  <c r="X39" i="22"/>
  <c r="C60" i="32" s="1"/>
  <c r="H38" i="22"/>
  <c r="CM39" i="22"/>
  <c r="C69" i="32" s="1"/>
  <c r="V38" i="22"/>
  <c r="AB38" i="22"/>
  <c r="G39" i="22"/>
  <c r="G48" i="22" s="1"/>
  <c r="H24" i="20" s="1"/>
  <c r="H24" i="10" s="1"/>
  <c r="G44" i="22"/>
  <c r="M92" i="18"/>
  <c r="L92" i="18"/>
  <c r="E233" i="100"/>
  <c r="F233" i="100" s="1"/>
  <c r="G233" i="100" s="1"/>
  <c r="F260" i="100"/>
  <c r="G260" i="100" s="1"/>
  <c r="P141" i="100"/>
  <c r="Z20" i="32"/>
  <c r="AA20" i="32" s="1"/>
  <c r="X13" i="32"/>
  <c r="AG72" i="32"/>
  <c r="AH72" i="32"/>
  <c r="AG78" i="32"/>
  <c r="AH78" i="32"/>
  <c r="AE95" i="32"/>
  <c r="AE97" i="32"/>
  <c r="AE96" i="32"/>
  <c r="AH71" i="32"/>
  <c r="AG71" i="32"/>
  <c r="X53" i="18"/>
  <c r="X51" i="18"/>
  <c r="X52" i="18" s="1"/>
  <c r="X57" i="18"/>
  <c r="X55" i="18"/>
  <c r="X56" i="18" s="1"/>
  <c r="AO52" i="156"/>
  <c r="AP52" i="156" s="1"/>
  <c r="AP53" i="156" s="1"/>
  <c r="T42" i="156"/>
  <c r="T41" i="156"/>
  <c r="AO24" i="156"/>
  <c r="AP24" i="156" s="1"/>
  <c r="Q140" i="100"/>
  <c r="AD115" i="77"/>
  <c r="AD24" i="77"/>
  <c r="AG82" i="32"/>
  <c r="AH82" i="32"/>
  <c r="V39" i="22"/>
  <c r="U39" i="22"/>
  <c r="U44" i="22"/>
  <c r="V44" i="22"/>
  <c r="N38" i="22"/>
  <c r="AC38" i="22" s="1"/>
  <c r="M39" i="22"/>
  <c r="M48" i="22" s="1"/>
  <c r="H34" i="20" s="1"/>
  <c r="H34" i="10" s="1"/>
  <c r="L39" i="22"/>
  <c r="L44" i="22"/>
  <c r="AV39" i="22"/>
  <c r="BJ7" i="32"/>
  <c r="BJ8" i="32"/>
  <c r="BJ9" i="32"/>
  <c r="BJ10" i="32" s="1"/>
  <c r="BJ12" i="32"/>
  <c r="BJ11" i="32"/>
  <c r="AA24" i="32"/>
  <c r="AA12" i="32"/>
  <c r="L130" i="147"/>
  <c r="N130" i="147" s="1"/>
  <c r="Q6" i="100"/>
  <c r="N53" i="18"/>
  <c r="N55" i="18"/>
  <c r="N56" i="18" s="1"/>
  <c r="N51" i="18"/>
  <c r="N52" i="18" s="1"/>
  <c r="N57" i="18"/>
  <c r="V40" i="18"/>
  <c r="D29" i="155"/>
  <c r="AD38" i="28"/>
  <c r="X43" i="32"/>
  <c r="Z43" i="32" s="1"/>
  <c r="AA43" i="32" s="1"/>
  <c r="BK12" i="32"/>
  <c r="E39" i="22"/>
  <c r="E48" i="22" s="1"/>
  <c r="R39" i="22"/>
  <c r="R48" i="22" s="1"/>
  <c r="H40" i="20" s="1"/>
  <c r="H40" i="10" s="1"/>
  <c r="F39" i="22"/>
  <c r="I39" i="22" s="1"/>
  <c r="I48" i="22" s="1"/>
  <c r="H32" i="20" s="1"/>
  <c r="H32" i="10" s="1"/>
  <c r="S39" i="22"/>
  <c r="S48" i="22" s="1"/>
  <c r="H38" i="20" s="1"/>
  <c r="H38" i="10" s="1"/>
  <c r="Q39" i="22"/>
  <c r="Q48" i="22" s="1"/>
  <c r="H39" i="20" s="1"/>
  <c r="H39" i="10" s="1"/>
  <c r="E44" i="22"/>
  <c r="P44" i="22"/>
  <c r="F44" i="22"/>
  <c r="I44" i="22"/>
  <c r="BA9" i="32"/>
  <c r="BA10" i="32" s="1"/>
  <c r="BB10" i="32" s="1"/>
  <c r="BA7" i="32"/>
  <c r="BA8" i="32"/>
  <c r="AD10" i="28"/>
  <c r="P49" i="18"/>
  <c r="X14" i="32"/>
  <c r="P7" i="100"/>
  <c r="Q10" i="100"/>
  <c r="G108" i="155"/>
  <c r="H108" i="155" s="1"/>
  <c r="AL44" i="155"/>
  <c r="AM44" i="155" s="1"/>
  <c r="AL118" i="155"/>
  <c r="AM118" i="155" s="1"/>
  <c r="AQ22" i="155"/>
  <c r="AR22" i="155" s="1"/>
  <c r="AL119" i="155"/>
  <c r="AQ24" i="155"/>
  <c r="AQ25" i="155"/>
  <c r="AL122" i="155"/>
  <c r="AL121" i="155"/>
  <c r="AQ26" i="155"/>
  <c r="AQ23" i="155"/>
  <c r="AL120" i="155"/>
  <c r="AE80" i="32"/>
  <c r="X21" i="32"/>
  <c r="Z18" i="32"/>
  <c r="AA18" i="32" s="1"/>
  <c r="AA10" i="155"/>
  <c r="AA11" i="155" s="1"/>
  <c r="Z47" i="32"/>
  <c r="AA47" i="32" s="1"/>
  <c r="I74" i="111"/>
  <c r="F27" i="36"/>
  <c r="G61" i="111"/>
  <c r="G74" i="111" s="1"/>
  <c r="BD118" i="77"/>
  <c r="X40" i="150"/>
  <c r="HS39" i="158" l="1"/>
  <c r="CY31" i="177"/>
  <c r="R31" i="177"/>
  <c r="CL32" i="177"/>
  <c r="U32" i="177"/>
  <c r="S32" i="177"/>
  <c r="CH32" i="177"/>
  <c r="T32" i="177"/>
  <c r="DO33" i="177"/>
  <c r="DC129" i="77"/>
  <c r="F35" i="119"/>
  <c r="BB129" i="77"/>
  <c r="K37" i="77"/>
  <c r="CW129" i="77"/>
  <c r="C40" i="115"/>
  <c r="AA129" i="77"/>
  <c r="D32" i="177"/>
  <c r="CY32" i="177" s="1"/>
  <c r="J128" i="77"/>
  <c r="E41" i="123"/>
  <c r="N129" i="77"/>
  <c r="F41" i="123"/>
  <c r="AM129" i="77"/>
  <c r="DE37" i="77"/>
  <c r="E129" i="77"/>
  <c r="DG33" i="177"/>
  <c r="BD129" i="77"/>
  <c r="DS32" i="177"/>
  <c r="K128" i="77"/>
  <c r="E33" i="177"/>
  <c r="BH129" i="77"/>
  <c r="E35" i="119"/>
  <c r="BA129" i="77"/>
  <c r="DK33" i="177"/>
  <c r="BE129" i="77"/>
  <c r="F33" i="177"/>
  <c r="DG37" i="77"/>
  <c r="G33" i="177"/>
  <c r="DI37" i="77"/>
  <c r="W117" i="158"/>
  <c r="M117" i="158"/>
  <c r="M133" i="77" s="1"/>
  <c r="G137" i="77" s="1"/>
  <c r="J72" i="111"/>
  <c r="E110" i="111"/>
  <c r="U72" i="111"/>
  <c r="Q97" i="147"/>
  <c r="D41" i="123"/>
  <c r="Q37" i="77"/>
  <c r="Q129" i="77" s="1"/>
  <c r="D35" i="119"/>
  <c r="F139" i="77"/>
  <c r="F138" i="77"/>
  <c r="M37" i="100"/>
  <c r="M38" i="100"/>
  <c r="M35" i="100"/>
  <c r="L33" i="100"/>
  <c r="M33" i="100" s="1"/>
  <c r="M34" i="100"/>
  <c r="M36" i="100"/>
  <c r="F11" i="163"/>
  <c r="G11" i="163" s="1"/>
  <c r="I11" i="163"/>
  <c r="J11" i="163" s="1"/>
  <c r="HG39" i="158"/>
  <c r="HO39" i="158"/>
  <c r="AB25" i="155" s="1"/>
  <c r="AB10" i="155"/>
  <c r="AB11" i="155" s="1"/>
  <c r="HH39" i="158"/>
  <c r="AB20" i="155" s="1"/>
  <c r="E68" i="155" s="1"/>
  <c r="U33" i="177"/>
  <c r="CL33" i="177"/>
  <c r="DC38" i="77"/>
  <c r="K73" i="111"/>
  <c r="AV38" i="77"/>
  <c r="B41" i="115"/>
  <c r="H41" i="115" s="1"/>
  <c r="CW38" i="77"/>
  <c r="C38" i="77"/>
  <c r="U38" i="77"/>
  <c r="U130" i="77" s="1"/>
  <c r="N38" i="77"/>
  <c r="V38" i="77"/>
  <c r="V130" i="77" s="1"/>
  <c r="AW38" i="77"/>
  <c r="AW130" i="77" s="1"/>
  <c r="S38" i="77"/>
  <c r="S130" i="77" s="1"/>
  <c r="T38" i="77"/>
  <c r="T130" i="77" s="1"/>
  <c r="BA38" i="77"/>
  <c r="BA130" i="77" s="1"/>
  <c r="BE38" i="77"/>
  <c r="W38" i="77"/>
  <c r="W130" i="77" s="1"/>
  <c r="L38" i="77"/>
  <c r="L130" i="77" s="1"/>
  <c r="BD38" i="77"/>
  <c r="AC38" i="77"/>
  <c r="BB38" i="77"/>
  <c r="BB130" i="77" s="1"/>
  <c r="BL38" i="77"/>
  <c r="BL130" i="77" s="1"/>
  <c r="I38" i="77"/>
  <c r="I130" i="77" s="1"/>
  <c r="I132" i="77" s="1"/>
  <c r="F38" i="77"/>
  <c r="H38" i="77"/>
  <c r="BG38" i="77"/>
  <c r="BG130" i="77" s="1"/>
  <c r="E38" i="77"/>
  <c r="E43" i="77" s="1"/>
  <c r="BH38" i="77"/>
  <c r="AA38" i="77"/>
  <c r="G38" i="77"/>
  <c r="G130" i="77" s="1"/>
  <c r="X38" i="77"/>
  <c r="Y43" i="77" s="1"/>
  <c r="BF38" i="77"/>
  <c r="BF130" i="77" s="1"/>
  <c r="M38" i="77"/>
  <c r="M130" i="77" s="1"/>
  <c r="O38" i="77"/>
  <c r="AM38" i="77"/>
  <c r="AJ38" i="77"/>
  <c r="AJ130" i="77" s="1"/>
  <c r="AJ34" i="100"/>
  <c r="AI33" i="100"/>
  <c r="AJ33" i="100" s="1"/>
  <c r="AJ32" i="100" s="1"/>
  <c r="AJ45" i="100" s="1"/>
  <c r="AH45" i="100" s="1"/>
  <c r="AX33" i="100"/>
  <c r="AJ36" i="100"/>
  <c r="AJ35" i="100"/>
  <c r="CP31" i="177"/>
  <c r="V31" i="177"/>
  <c r="CT31" i="177" s="1"/>
  <c r="CY39" i="36"/>
  <c r="BG41" i="36"/>
  <c r="HR39" i="158"/>
  <c r="AB26" i="155" s="1"/>
  <c r="J37" i="77"/>
  <c r="J129" i="77" s="1"/>
  <c r="DA37" i="77"/>
  <c r="DA129" i="77" s="1"/>
  <c r="G44" i="77"/>
  <c r="Z37" i="77"/>
  <c r="Z129" i="77" s="1"/>
  <c r="D40" i="115"/>
  <c r="AD43" i="77"/>
  <c r="AD39" i="77"/>
  <c r="AD47" i="77" s="1"/>
  <c r="AH36" i="77"/>
  <c r="AH128" i="77" s="1"/>
  <c r="AF36" i="77"/>
  <c r="AF128" i="77" s="1"/>
  <c r="C85" i="115"/>
  <c r="E261" i="100"/>
  <c r="T166" i="100"/>
  <c r="J166" i="100"/>
  <c r="F174" i="100"/>
  <c r="G174" i="100" s="1"/>
  <c r="C41" i="123"/>
  <c r="DY33" i="177"/>
  <c r="C33" i="177"/>
  <c r="C35" i="119"/>
  <c r="E88" i="77"/>
  <c r="CD32" i="177"/>
  <c r="H32" i="177"/>
  <c r="Q32" i="177"/>
  <c r="BL39" i="77"/>
  <c r="I11" i="126"/>
  <c r="J11" i="126" s="1"/>
  <c r="L11" i="126"/>
  <c r="M11" i="126" s="1"/>
  <c r="I39" i="77"/>
  <c r="K73" i="161"/>
  <c r="AA73" i="161"/>
  <c r="H40" i="115"/>
  <c r="B86" i="115"/>
  <c r="O86" i="115" s="1"/>
  <c r="H53" i="36"/>
  <c r="H51" i="36"/>
  <c r="H52" i="36" s="1"/>
  <c r="H57" i="36"/>
  <c r="H55" i="36"/>
  <c r="H56" i="36" s="1"/>
  <c r="C88" i="77"/>
  <c r="DW33" i="177"/>
  <c r="BN39" i="77"/>
  <c r="BO39" i="77"/>
  <c r="BM39" i="77"/>
  <c r="C65" i="32"/>
  <c r="H11" i="20"/>
  <c r="H11" i="10" s="1"/>
  <c r="S197" i="32"/>
  <c r="T197" i="32" s="1"/>
  <c r="AL78" i="32"/>
  <c r="S196" i="32"/>
  <c r="T196" i="32" s="1"/>
  <c r="AL77" i="32"/>
  <c r="S189" i="32"/>
  <c r="T189" i="32" s="1"/>
  <c r="AL73" i="32"/>
  <c r="H18" i="20"/>
  <c r="H18" i="10" s="1"/>
  <c r="H64" i="10"/>
  <c r="Y40" i="32"/>
  <c r="Z40" i="32" s="1"/>
  <c r="AA40" i="32" s="1"/>
  <c r="AH23" i="156"/>
  <c r="AP25" i="156"/>
  <c r="Y114" i="77"/>
  <c r="Y23" i="77"/>
  <c r="AF102" i="158"/>
  <c r="AF26" i="158"/>
  <c r="HW25" i="158"/>
  <c r="AH26" i="158"/>
  <c r="AH102" i="158"/>
  <c r="W12" i="177"/>
  <c r="P16" i="77"/>
  <c r="P107" i="77"/>
  <c r="AG14" i="77"/>
  <c r="AG105" i="77"/>
  <c r="V92" i="158"/>
  <c r="V16" i="158"/>
  <c r="FQ16" i="158" s="1"/>
  <c r="HN15" i="158"/>
  <c r="AR16" i="77"/>
  <c r="AR107" i="77"/>
  <c r="Z11" i="177"/>
  <c r="HL16" i="158"/>
  <c r="R93" i="158"/>
  <c r="R17" i="158"/>
  <c r="FO17" i="158" s="1"/>
  <c r="AB115" i="77"/>
  <c r="AB24" i="77"/>
  <c r="AB10" i="177"/>
  <c r="CU10" i="177" s="1"/>
  <c r="AA11" i="177"/>
  <c r="AJ15" i="158"/>
  <c r="GC15" i="158" s="1"/>
  <c r="HZ14" i="158"/>
  <c r="AJ91" i="158"/>
  <c r="D22" i="92"/>
  <c r="HB26" i="158"/>
  <c r="D103" i="158"/>
  <c r="R15" i="77"/>
  <c r="R106" i="77"/>
  <c r="D27" i="158"/>
  <c r="N104" i="161"/>
  <c r="M63" i="161"/>
  <c r="AI105" i="77"/>
  <c r="AI14" i="77"/>
  <c r="AO72" i="32"/>
  <c r="AL74" i="32"/>
  <c r="AN74" i="32" s="1"/>
  <c r="A74" i="111"/>
  <c r="AD61" i="111"/>
  <c r="AA6" i="32"/>
  <c r="T48" i="22"/>
  <c r="AR25" i="155"/>
  <c r="AU48" i="22"/>
  <c r="AR24" i="155"/>
  <c r="AM119" i="155"/>
  <c r="AM121" i="155"/>
  <c r="AC39" i="22"/>
  <c r="AD39" i="22"/>
  <c r="AD44" i="22"/>
  <c r="AC44" i="22"/>
  <c r="C72" i="32"/>
  <c r="I56" i="22"/>
  <c r="I52" i="22"/>
  <c r="I50" i="22"/>
  <c r="I51" i="22" s="1"/>
  <c r="I54" i="22"/>
  <c r="I55" i="22" s="1"/>
  <c r="G32" i="20"/>
  <c r="AG80" i="32"/>
  <c r="AH80" i="32"/>
  <c r="D39" i="155"/>
  <c r="D40" i="155" s="1"/>
  <c r="J60" i="32"/>
  <c r="L60" i="32" s="1"/>
  <c r="M60" i="32" s="1"/>
  <c r="E60" i="32"/>
  <c r="F60" i="32" s="1"/>
  <c r="S44" i="22"/>
  <c r="BH8" i="32"/>
  <c r="BM8" i="32" s="1"/>
  <c r="BH7" i="32"/>
  <c r="BM7" i="32" s="1"/>
  <c r="BC11" i="32"/>
  <c r="G52" i="22"/>
  <c r="C70" i="32"/>
  <c r="G24" i="20"/>
  <c r="G50" i="22"/>
  <c r="G51" i="22" s="1"/>
  <c r="G54" i="22"/>
  <c r="G55" i="22" s="1"/>
  <c r="G56" i="22"/>
  <c r="AE38" i="22"/>
  <c r="AF38" i="22" s="1"/>
  <c r="AM120" i="155"/>
  <c r="AD8" i="28"/>
  <c r="AE8" i="28" s="1"/>
  <c r="AE10" i="28"/>
  <c r="AD116" i="77"/>
  <c r="AD25" i="77"/>
  <c r="M54" i="22"/>
  <c r="M55" i="22" s="1"/>
  <c r="G34" i="20"/>
  <c r="C74" i="32"/>
  <c r="M52" i="22"/>
  <c r="M56" i="22"/>
  <c r="M50" i="22"/>
  <c r="M51" i="22" s="1"/>
  <c r="AA52" i="22"/>
  <c r="AA50" i="22"/>
  <c r="AA51" i="22" s="1"/>
  <c r="AA56" i="22"/>
  <c r="AA54" i="22"/>
  <c r="AA55" i="22" s="1"/>
  <c r="AR23" i="155"/>
  <c r="AR26" i="155" s="1"/>
  <c r="C79" i="32"/>
  <c r="G39" i="20"/>
  <c r="G39" i="10" s="1"/>
  <c r="AP7" i="32"/>
  <c r="AP10" i="32"/>
  <c r="AQ10" i="32" s="1"/>
  <c r="AP8" i="32"/>
  <c r="AP9" i="32"/>
  <c r="S52" i="22"/>
  <c r="S56" i="22"/>
  <c r="G38" i="20"/>
  <c r="G38" i="10" s="1"/>
  <c r="S54" i="22"/>
  <c r="S55" i="22" s="1"/>
  <c r="C78" i="32"/>
  <c r="S50" i="22"/>
  <c r="S51" i="22" s="1"/>
  <c r="AE38" i="28"/>
  <c r="Q198" i="32" s="1"/>
  <c r="S198" i="32" s="1"/>
  <c r="T198" i="32" s="1"/>
  <c r="BK9" i="32"/>
  <c r="BK10" i="32"/>
  <c r="BK8" i="32"/>
  <c r="BK7" i="32"/>
  <c r="BK11" i="32"/>
  <c r="G64" i="20"/>
  <c r="C61" i="32"/>
  <c r="F48" i="22"/>
  <c r="H20" i="20" s="1"/>
  <c r="P39" i="22"/>
  <c r="P48" i="22" s="1"/>
  <c r="H37" i="20" s="1"/>
  <c r="H37" i="10" s="1"/>
  <c r="H39" i="22"/>
  <c r="C85" i="32"/>
  <c r="AV48" i="22"/>
  <c r="V61" i="28"/>
  <c r="S183" i="32"/>
  <c r="T183" i="32" s="1"/>
  <c r="AL68" i="32"/>
  <c r="E84" i="32"/>
  <c r="F84" i="32" s="1"/>
  <c r="J84" i="32"/>
  <c r="L84" i="32" s="1"/>
  <c r="M84" i="32" s="1"/>
  <c r="V49" i="18"/>
  <c r="X44" i="32"/>
  <c r="Z44" i="32" s="1"/>
  <c r="AA44" i="32" s="1"/>
  <c r="AD39" i="28"/>
  <c r="BB9" i="32"/>
  <c r="BC10" i="32" s="1"/>
  <c r="AL70" i="32"/>
  <c r="S185" i="32"/>
  <c r="T185" i="32" s="1"/>
  <c r="AH73" i="32"/>
  <c r="AG73" i="32"/>
  <c r="AG96" i="32"/>
  <c r="AD38" i="22"/>
  <c r="AF97" i="32"/>
  <c r="AF96" i="32"/>
  <c r="AF98" i="32" s="1"/>
  <c r="AF99" i="32" s="1"/>
  <c r="G40" i="20"/>
  <c r="G40" i="10" s="1"/>
  <c r="C80" i="32"/>
  <c r="AM122" i="155"/>
  <c r="E52" i="22"/>
  <c r="E56" i="22"/>
  <c r="E50" i="22"/>
  <c r="E51" i="22" s="1"/>
  <c r="E54" i="22"/>
  <c r="E55" i="22" s="1"/>
  <c r="Q177" i="32"/>
  <c r="S176" i="32"/>
  <c r="T176" i="32" s="1"/>
  <c r="BM13" i="32"/>
  <c r="BL13" i="32" s="1"/>
  <c r="BH10" i="32"/>
  <c r="BM10" i="32" s="1"/>
  <c r="BH12" i="32"/>
  <c r="BH11" i="32"/>
  <c r="BM11" i="32" s="1"/>
  <c r="BH9" i="32"/>
  <c r="BM9" i="32" s="1"/>
  <c r="M58" i="100"/>
  <c r="S62" i="100" s="1"/>
  <c r="Q60" i="100" s="1"/>
  <c r="Q55" i="18"/>
  <c r="Q56" i="18" s="1"/>
  <c r="Q57" i="18"/>
  <c r="Q53" i="18"/>
  <c r="Q51" i="18"/>
  <c r="Q52" i="18" s="1"/>
  <c r="AN8" i="32"/>
  <c r="AF8" i="32"/>
  <c r="AN7" i="32"/>
  <c r="AN6" i="32"/>
  <c r="AF9" i="32"/>
  <c r="O39" i="22"/>
  <c r="N39" i="22"/>
  <c r="N44" i="22"/>
  <c r="O44" i="22"/>
  <c r="J44" i="22" s="1"/>
  <c r="K44" i="22" s="1"/>
  <c r="AO82" i="32"/>
  <c r="AN82" i="32"/>
  <c r="L49" i="18"/>
  <c r="X35" i="32"/>
  <c r="AD30" i="28"/>
  <c r="AE30" i="28" s="1"/>
  <c r="Q190" i="32" s="1"/>
  <c r="D21" i="155"/>
  <c r="F60" i="155" s="1"/>
  <c r="R3" i="18"/>
  <c r="AG93" i="32"/>
  <c r="AA20" i="155"/>
  <c r="E56" i="155" s="1"/>
  <c r="AH74" i="32"/>
  <c r="AG74" i="32"/>
  <c r="X17" i="32"/>
  <c r="Z14" i="32"/>
  <c r="AA14" i="32" s="1"/>
  <c r="AE79" i="32"/>
  <c r="X4" i="32"/>
  <c r="C81" i="32"/>
  <c r="V48" i="22"/>
  <c r="H41" i="20" s="1"/>
  <c r="H41" i="10" s="1"/>
  <c r="AE98" i="32"/>
  <c r="J69" i="32"/>
  <c r="L69" i="32" s="1"/>
  <c r="M69" i="32" s="1"/>
  <c r="E69" i="32"/>
  <c r="F69" i="32" s="1"/>
  <c r="R29" i="147"/>
  <c r="R31" i="147"/>
  <c r="R30" i="147"/>
  <c r="J82" i="32"/>
  <c r="L82" i="32" s="1"/>
  <c r="M82" i="32" s="1"/>
  <c r="E82" i="32"/>
  <c r="F82" i="32" s="1"/>
  <c r="BB6" i="32"/>
  <c r="BC6" i="32" s="1"/>
  <c r="P55" i="18"/>
  <c r="P56" i="18" s="1"/>
  <c r="P51" i="18"/>
  <c r="P52" i="18" s="1"/>
  <c r="P53" i="18"/>
  <c r="P57" i="18"/>
  <c r="AX39" i="22"/>
  <c r="FM39" i="158"/>
  <c r="Y37" i="32" s="1"/>
  <c r="Y35" i="32"/>
  <c r="AF75" i="32" s="1"/>
  <c r="BM6" i="32"/>
  <c r="BL6" i="32" s="1"/>
  <c r="BN6" i="32" s="1"/>
  <c r="AY8" i="32"/>
  <c r="BB8" i="32" s="1"/>
  <c r="AY7" i="32"/>
  <c r="BB7" i="32" s="1"/>
  <c r="O38" i="22"/>
  <c r="Z40" i="150"/>
  <c r="K12" i="147"/>
  <c r="L12" i="147" s="1"/>
  <c r="O12" i="147" s="1"/>
  <c r="F41" i="36"/>
  <c r="F49" i="36" s="1"/>
  <c r="AP27" i="36"/>
  <c r="AE27" i="150" s="1"/>
  <c r="F26" i="77"/>
  <c r="CH33" i="177" l="1"/>
  <c r="T33" i="177"/>
  <c r="DC33" i="177"/>
  <c r="S33" i="177"/>
  <c r="G35" i="119"/>
  <c r="M32" i="100"/>
  <c r="S36" i="100" s="1"/>
  <c r="DG34" i="177"/>
  <c r="BD130" i="77"/>
  <c r="S43" i="77"/>
  <c r="R32" i="177"/>
  <c r="X43" i="77"/>
  <c r="X130" i="77"/>
  <c r="K38" i="77"/>
  <c r="CW130" i="77"/>
  <c r="DE38" i="77"/>
  <c r="E130" i="77"/>
  <c r="C41" i="115"/>
  <c r="AA130" i="77"/>
  <c r="DS33" i="177"/>
  <c r="K129" i="77"/>
  <c r="F42" i="123"/>
  <c r="AM130" i="77"/>
  <c r="DO34" i="177"/>
  <c r="DC130" i="77"/>
  <c r="O43" i="77"/>
  <c r="O130" i="77"/>
  <c r="E34" i="177"/>
  <c r="BH130" i="77"/>
  <c r="AC39" i="77"/>
  <c r="H61" i="28" s="1"/>
  <c r="AC130" i="77"/>
  <c r="AC132" i="77" s="1"/>
  <c r="E8" i="155" s="1"/>
  <c r="E42" i="123"/>
  <c r="N130" i="77"/>
  <c r="H39" i="77"/>
  <c r="H130" i="77"/>
  <c r="H132" i="77" s="1"/>
  <c r="J132" i="77" s="1"/>
  <c r="F43" i="77"/>
  <c r="F130" i="77"/>
  <c r="DK34" i="177"/>
  <c r="BE130" i="77"/>
  <c r="DW34" i="177"/>
  <c r="C130" i="77"/>
  <c r="C132" i="77" s="1"/>
  <c r="F34" i="177"/>
  <c r="DG38" i="77"/>
  <c r="L43" i="77"/>
  <c r="G34" i="177"/>
  <c r="DI38" i="77"/>
  <c r="AX50" i="100"/>
  <c r="AG45" i="100"/>
  <c r="AG46" i="100"/>
  <c r="AH46" i="100"/>
  <c r="AG47" i="100"/>
  <c r="AH47" i="100"/>
  <c r="AH48" i="100"/>
  <c r="H43" i="77"/>
  <c r="AG48" i="100"/>
  <c r="G138" i="77"/>
  <c r="G140" i="77"/>
  <c r="G139" i="77"/>
  <c r="AZ33" i="100"/>
  <c r="BA33" i="100" s="1"/>
  <c r="BA35" i="100"/>
  <c r="BA34" i="100"/>
  <c r="BA36" i="100"/>
  <c r="E69" i="155"/>
  <c r="E70" i="155"/>
  <c r="AF37" i="77"/>
  <c r="AF129" i="77" s="1"/>
  <c r="AH37" i="77"/>
  <c r="AH129" i="77" s="1"/>
  <c r="C86" i="115"/>
  <c r="C43" i="77"/>
  <c r="L166" i="100"/>
  <c r="M166" i="100" s="1"/>
  <c r="M169" i="100"/>
  <c r="M167" i="100"/>
  <c r="M168" i="100"/>
  <c r="AD51" i="77"/>
  <c r="AD55" i="77"/>
  <c r="AD53" i="77"/>
  <c r="AD54" i="77" s="1"/>
  <c r="AD49" i="77"/>
  <c r="AD50" i="77" s="1"/>
  <c r="D43" i="77"/>
  <c r="W169" i="100"/>
  <c r="W168" i="100"/>
  <c r="V166" i="100"/>
  <c r="W166" i="100" s="1"/>
  <c r="W167" i="100"/>
  <c r="D33" i="177"/>
  <c r="DC34" i="177"/>
  <c r="Z38" i="77"/>
  <c r="D41" i="115"/>
  <c r="D42" i="115" s="1"/>
  <c r="J73" i="111"/>
  <c r="E111" i="111"/>
  <c r="U73" i="111"/>
  <c r="Q98" i="147"/>
  <c r="V32" i="177"/>
  <c r="CT32" i="177" s="1"/>
  <c r="CP32" i="177"/>
  <c r="D39" i="77"/>
  <c r="F261" i="100"/>
  <c r="G261" i="100" s="1"/>
  <c r="E234" i="100"/>
  <c r="F234" i="100" s="1"/>
  <c r="G234" i="100" s="1"/>
  <c r="J277" i="100"/>
  <c r="AC43" i="77"/>
  <c r="C42" i="123"/>
  <c r="C34" i="177"/>
  <c r="DY34" i="177"/>
  <c r="AG49" i="100"/>
  <c r="C39" i="77"/>
  <c r="Q38" i="77"/>
  <c r="Q130" i="77" s="1"/>
  <c r="D42" i="123"/>
  <c r="CH34" i="177"/>
  <c r="CD33" i="177"/>
  <c r="H33" i="177"/>
  <c r="Q33" i="177"/>
  <c r="HI39" i="158"/>
  <c r="DA38" i="77"/>
  <c r="J38" i="77"/>
  <c r="P43" i="77"/>
  <c r="J65" i="32"/>
  <c r="L65" i="32" s="1"/>
  <c r="M65" i="32" s="1"/>
  <c r="E65" i="32"/>
  <c r="F65" i="32" s="1"/>
  <c r="AO78" i="32"/>
  <c r="AN78" i="32"/>
  <c r="AN77" i="32"/>
  <c r="AO77" i="32"/>
  <c r="AO73" i="32"/>
  <c r="AN73" i="32"/>
  <c r="G23" i="20"/>
  <c r="G23" i="10" s="1"/>
  <c r="H23" i="20"/>
  <c r="H23" i="10" s="1"/>
  <c r="H21" i="20"/>
  <c r="H21" i="10" s="1"/>
  <c r="H22" i="20"/>
  <c r="H22" i="10" s="1"/>
  <c r="H20" i="10"/>
  <c r="H17" i="20"/>
  <c r="G52" i="20"/>
  <c r="G52" i="10" s="1"/>
  <c r="H52" i="20"/>
  <c r="H52" i="10" s="1"/>
  <c r="G53" i="20"/>
  <c r="G53" i="10" s="1"/>
  <c r="H53" i="20"/>
  <c r="H53" i="10" s="1"/>
  <c r="G42" i="20"/>
  <c r="G42" i="10" s="1"/>
  <c r="H42" i="20"/>
  <c r="H42" i="10" s="1"/>
  <c r="AO74" i="32"/>
  <c r="AF27" i="150"/>
  <c r="AJ16" i="158"/>
  <c r="GC16" i="158" s="1"/>
  <c r="AJ92" i="158"/>
  <c r="HZ15" i="158"/>
  <c r="W13" i="177"/>
  <c r="AB11" i="177"/>
  <c r="CU11" i="177" s="1"/>
  <c r="Z12" i="177"/>
  <c r="AI15" i="77"/>
  <c r="AI106" i="77"/>
  <c r="R16" i="77"/>
  <c r="R107" i="77"/>
  <c r="AH27" i="158"/>
  <c r="AH103" i="158"/>
  <c r="AA12" i="177"/>
  <c r="AG15" i="77"/>
  <c r="AG106" i="77"/>
  <c r="AF103" i="158"/>
  <c r="AF27" i="158"/>
  <c r="HW26" i="158"/>
  <c r="N105" i="161"/>
  <c r="M64" i="161"/>
  <c r="D28" i="158"/>
  <c r="AB116" i="77"/>
  <c r="AB25" i="77"/>
  <c r="AB117" i="77" s="1"/>
  <c r="AR17" i="77"/>
  <c r="AR108" i="77"/>
  <c r="P17" i="77"/>
  <c r="P108" i="77"/>
  <c r="Y115" i="77"/>
  <c r="Y24" i="77"/>
  <c r="D23" i="92"/>
  <c r="HB27" i="158"/>
  <c r="D104" i="158"/>
  <c r="R18" i="158"/>
  <c r="FO18" i="158" s="1"/>
  <c r="HL17" i="158"/>
  <c r="R94" i="158"/>
  <c r="V17" i="158"/>
  <c r="FQ17" i="158" s="1"/>
  <c r="V93" i="158"/>
  <c r="HN16" i="158"/>
  <c r="AF61" i="111"/>
  <c r="AE61" i="111"/>
  <c r="BL10" i="32"/>
  <c r="BL8" i="32"/>
  <c r="BL7" i="32"/>
  <c r="Q64" i="100"/>
  <c r="P61" i="100"/>
  <c r="BL11" i="32"/>
  <c r="BN12" i="32" s="1"/>
  <c r="BC8" i="32"/>
  <c r="P60" i="100"/>
  <c r="P62" i="100"/>
  <c r="AE39" i="28"/>
  <c r="Q199" i="32" s="1"/>
  <c r="S199" i="32" s="1"/>
  <c r="T199" i="32" s="1"/>
  <c r="AG97" i="32"/>
  <c r="AG98" i="32"/>
  <c r="AG99" i="32" s="1"/>
  <c r="AE32" i="28"/>
  <c r="Q192" i="32" s="1"/>
  <c r="Q170" i="32"/>
  <c r="P65" i="100"/>
  <c r="P50" i="22"/>
  <c r="P51" i="22" s="1"/>
  <c r="P54" i="22"/>
  <c r="P55" i="22" s="1"/>
  <c r="G37" i="20"/>
  <c r="C77" i="32"/>
  <c r="P56" i="22"/>
  <c r="P52" i="22"/>
  <c r="P64" i="100"/>
  <c r="G32" i="10"/>
  <c r="AI98" i="32"/>
  <c r="AI99" i="32" s="1"/>
  <c r="AF85" i="32"/>
  <c r="AE86" i="32" s="1"/>
  <c r="AG79" i="32"/>
  <c r="AH79" i="32"/>
  <c r="E58" i="155"/>
  <c r="E57" i="155"/>
  <c r="AG95" i="32"/>
  <c r="AG94" i="32"/>
  <c r="BL9" i="32"/>
  <c r="F50" i="22"/>
  <c r="F51" i="22" s="1"/>
  <c r="F52" i="22"/>
  <c r="F54" i="22"/>
  <c r="F55" i="22" s="1"/>
  <c r="F56" i="22"/>
  <c r="G20" i="20"/>
  <c r="S32" i="20" s="1"/>
  <c r="C148" i="32" s="1"/>
  <c r="E148" i="32" s="1"/>
  <c r="F148" i="32" s="1"/>
  <c r="C66" i="32"/>
  <c r="C68" i="32"/>
  <c r="Q63" i="100"/>
  <c r="P63" i="100"/>
  <c r="BC7" i="32"/>
  <c r="V57" i="18"/>
  <c r="V53" i="18"/>
  <c r="V55" i="18"/>
  <c r="V56" i="18" s="1"/>
  <c r="V51" i="18"/>
  <c r="V52" i="18" s="1"/>
  <c r="AF39" i="22"/>
  <c r="AE39" i="22"/>
  <c r="J61" i="155"/>
  <c r="G62" i="155"/>
  <c r="AE99" i="32"/>
  <c r="Q62" i="100"/>
  <c r="F62" i="155"/>
  <c r="H62" i="155" s="1"/>
  <c r="F61" i="155"/>
  <c r="H61" i="155" s="1"/>
  <c r="H60" i="155"/>
  <c r="AN70" i="32"/>
  <c r="AO70" i="32"/>
  <c r="AF76" i="32"/>
  <c r="Z37" i="32"/>
  <c r="AA37" i="32" s="1"/>
  <c r="V54" i="22"/>
  <c r="V55" i="22" s="1"/>
  <c r="G41" i="20"/>
  <c r="V52" i="22"/>
  <c r="V56" i="22"/>
  <c r="V50" i="22"/>
  <c r="V51" i="22" s="1"/>
  <c r="BC9" i="32"/>
  <c r="V13" i="28"/>
  <c r="E74" i="32"/>
  <c r="F74" i="32" s="1"/>
  <c r="J74" i="32"/>
  <c r="L74" i="32" s="1"/>
  <c r="M74" i="32" s="1"/>
  <c r="AG7" i="32"/>
  <c r="AL75" i="32"/>
  <c r="S190" i="32"/>
  <c r="T190" i="32" s="1"/>
  <c r="Q61" i="100"/>
  <c r="E81" i="32"/>
  <c r="F81" i="32" s="1"/>
  <c r="J81" i="32"/>
  <c r="L81" i="32" s="1"/>
  <c r="M81" i="32" s="1"/>
  <c r="AE75" i="32"/>
  <c r="Z35" i="32"/>
  <c r="AA35" i="32" s="1"/>
  <c r="AG12" i="32"/>
  <c r="J78" i="32"/>
  <c r="L78" i="32" s="1"/>
  <c r="M78" i="32" s="1"/>
  <c r="E78" i="32"/>
  <c r="F78" i="32" s="1"/>
  <c r="S45" i="20"/>
  <c r="U34" i="20"/>
  <c r="C112" i="32" s="1"/>
  <c r="V45" i="20"/>
  <c r="V34" i="20"/>
  <c r="V49" i="20"/>
  <c r="S34" i="20"/>
  <c r="C150" i="32" s="1"/>
  <c r="E150" i="32" s="1"/>
  <c r="F150" i="32" s="1"/>
  <c r="U45" i="20"/>
  <c r="G34" i="10"/>
  <c r="U49" i="20"/>
  <c r="S49" i="20"/>
  <c r="E72" i="32"/>
  <c r="F72" i="32" s="1"/>
  <c r="J72" i="32"/>
  <c r="L72" i="32" s="1"/>
  <c r="M72" i="32" s="1"/>
  <c r="L57" i="18"/>
  <c r="L53" i="18"/>
  <c r="L55" i="18"/>
  <c r="L56" i="18" s="1"/>
  <c r="L51" i="18"/>
  <c r="L52" i="18" s="1"/>
  <c r="J39" i="22"/>
  <c r="O48" i="22"/>
  <c r="H15" i="20" s="1"/>
  <c r="E80" i="32"/>
  <c r="F80" i="32" s="1"/>
  <c r="J80" i="32"/>
  <c r="L80" i="32" s="1"/>
  <c r="M80" i="32" s="1"/>
  <c r="C62" i="32"/>
  <c r="E62" i="32" s="1"/>
  <c r="F62" i="32" s="1"/>
  <c r="J61" i="32"/>
  <c r="E61" i="32"/>
  <c r="F61" i="32" s="1"/>
  <c r="AD117" i="77"/>
  <c r="AD26" i="77"/>
  <c r="U24" i="20"/>
  <c r="C108" i="32" s="1"/>
  <c r="G24" i="10"/>
  <c r="V24" i="20"/>
  <c r="S24" i="20"/>
  <c r="C146" i="32" s="1"/>
  <c r="E146" i="32" s="1"/>
  <c r="F146" i="32" s="1"/>
  <c r="V64" i="20"/>
  <c r="U64" i="20"/>
  <c r="G18" i="20"/>
  <c r="G64" i="10"/>
  <c r="S64" i="20"/>
  <c r="J79" i="32"/>
  <c r="L79" i="32" s="1"/>
  <c r="M79" i="32" s="1"/>
  <c r="E79" i="32"/>
  <c r="F79" i="32" s="1"/>
  <c r="E70" i="32"/>
  <c r="F70" i="32" s="1"/>
  <c r="J70" i="32"/>
  <c r="L70" i="32" s="1"/>
  <c r="M70" i="32" s="1"/>
  <c r="C63" i="32"/>
  <c r="J63" i="32" s="1"/>
  <c r="Q59" i="100"/>
  <c r="J85" i="32"/>
  <c r="L85" i="32" s="1"/>
  <c r="M85" i="32" s="1"/>
  <c r="E85" i="32"/>
  <c r="F85" i="32" s="1"/>
  <c r="V58" i="28"/>
  <c r="AA4" i="32"/>
  <c r="AP11" i="32"/>
  <c r="AQ11" i="32" s="1"/>
  <c r="AS11" i="32" s="1"/>
  <c r="P59" i="100"/>
  <c r="AO68" i="32"/>
  <c r="AN68" i="32"/>
  <c r="F51" i="36"/>
  <c r="F52" i="36" s="1"/>
  <c r="F55" i="36"/>
  <c r="F56" i="36" s="1"/>
  <c r="F53" i="36"/>
  <c r="F57" i="36"/>
  <c r="F118" i="77"/>
  <c r="F39" i="77"/>
  <c r="BI41" i="77" s="1"/>
  <c r="F42" i="77"/>
  <c r="AP41" i="36"/>
  <c r="BG26" i="77"/>
  <c r="T34" i="177" l="1"/>
  <c r="CL34" i="177"/>
  <c r="U34" i="177"/>
  <c r="S34" i="177"/>
  <c r="V43" i="77"/>
  <c r="P38" i="100"/>
  <c r="Q37" i="100"/>
  <c r="Q33" i="100"/>
  <c r="P36" i="100"/>
  <c r="H47" i="77"/>
  <c r="J41" i="77"/>
  <c r="F36" i="155"/>
  <c r="H36" i="155" s="1"/>
  <c r="I36" i="155" s="1"/>
  <c r="F132" i="77"/>
  <c r="Q35" i="100"/>
  <c r="Q36" i="100"/>
  <c r="Q34" i="100"/>
  <c r="P35" i="100"/>
  <c r="P34" i="100"/>
  <c r="P39" i="100"/>
  <c r="Q38" i="100"/>
  <c r="P37" i="100"/>
  <c r="P33" i="100"/>
  <c r="D34" i="177"/>
  <c r="J130" i="77"/>
  <c r="DA39" i="77"/>
  <c r="DA130" i="77"/>
  <c r="DS34" i="177"/>
  <c r="K130" i="77"/>
  <c r="E139" i="77"/>
  <c r="E16" i="155"/>
  <c r="Q19" i="32"/>
  <c r="Z39" i="77"/>
  <c r="Z130" i="77"/>
  <c r="Z132" i="77" s="1"/>
  <c r="AA60" i="155"/>
  <c r="AH38" i="77"/>
  <c r="AH130" i="77" s="1"/>
  <c r="AF38" i="77"/>
  <c r="R43" i="77"/>
  <c r="M43" i="77" s="1"/>
  <c r="N43" i="77" s="1"/>
  <c r="AA167" i="100"/>
  <c r="U179" i="100" s="1"/>
  <c r="W179" i="100" s="1"/>
  <c r="Z168" i="100"/>
  <c r="T180" i="100" s="1"/>
  <c r="V180" i="100" s="1"/>
  <c r="Q43" i="77"/>
  <c r="AY47" i="100"/>
  <c r="AX48" i="100"/>
  <c r="C47" i="77"/>
  <c r="Q24" i="32"/>
  <c r="W165" i="100"/>
  <c r="Z167" i="100"/>
  <c r="T179" i="100" s="1"/>
  <c r="V179" i="100" s="1"/>
  <c r="Z166" i="100"/>
  <c r="T178" i="100" s="1"/>
  <c r="V178" i="100" s="1"/>
  <c r="AA166" i="100"/>
  <c r="U178" i="100" s="1"/>
  <c r="W178" i="100" s="1"/>
  <c r="BA32" i="100"/>
  <c r="AY45" i="100"/>
  <c r="AX45" i="100"/>
  <c r="AX46" i="100"/>
  <c r="V33" i="177"/>
  <c r="CT33" i="177" s="1"/>
  <c r="CP33" i="177"/>
  <c r="Q23" i="32"/>
  <c r="D47" i="77"/>
  <c r="Z169" i="100"/>
  <c r="T181" i="100" s="1"/>
  <c r="V181" i="100" s="1"/>
  <c r="AA168" i="100"/>
  <c r="U180" i="100" s="1"/>
  <c r="W180" i="100" s="1"/>
  <c r="Q168" i="100"/>
  <c r="K180" i="100" s="1"/>
  <c r="M180" i="100" s="1"/>
  <c r="P169" i="100"/>
  <c r="J181" i="100" s="1"/>
  <c r="L181" i="100" s="1"/>
  <c r="M182" i="100" s="1"/>
  <c r="AY46" i="100"/>
  <c r="AX47" i="100"/>
  <c r="AA169" i="100"/>
  <c r="U181" i="100" s="1"/>
  <c r="W181" i="100" s="1"/>
  <c r="Z170" i="100"/>
  <c r="T182" i="100" s="1"/>
  <c r="Q167" i="100"/>
  <c r="K179" i="100" s="1"/>
  <c r="M179" i="100" s="1"/>
  <c r="P168" i="100"/>
  <c r="J180" i="100" s="1"/>
  <c r="L180" i="100" s="1"/>
  <c r="Q34" i="177"/>
  <c r="H34" i="177"/>
  <c r="CD34" i="177"/>
  <c r="P170" i="100"/>
  <c r="J182" i="100" s="1"/>
  <c r="Q169" i="100"/>
  <c r="K181" i="100" s="1"/>
  <c r="M181" i="100" s="1"/>
  <c r="HJ39" i="158"/>
  <c r="AB23" i="155" s="1"/>
  <c r="AB21" i="155"/>
  <c r="F68" i="155" s="1"/>
  <c r="L277" i="100"/>
  <c r="M277" i="100" s="1"/>
  <c r="M276" i="100" s="1"/>
  <c r="Z264" i="100" s="1"/>
  <c r="AM264" i="100" s="1"/>
  <c r="AL309" i="100" s="1"/>
  <c r="M278" i="100"/>
  <c r="J39" i="77"/>
  <c r="P167" i="100"/>
  <c r="J179" i="100" s="1"/>
  <c r="L179" i="100" s="1"/>
  <c r="Q166" i="100"/>
  <c r="K178" i="100" s="1"/>
  <c r="M178" i="100" s="1"/>
  <c r="M165" i="100"/>
  <c r="P166" i="100"/>
  <c r="J178" i="100" s="1"/>
  <c r="L178" i="100" s="1"/>
  <c r="R33" i="177"/>
  <c r="CY33" i="177"/>
  <c r="AY48" i="100"/>
  <c r="AX49" i="100"/>
  <c r="H13" i="28"/>
  <c r="U61" i="28"/>
  <c r="S61" i="28"/>
  <c r="BC12" i="32"/>
  <c r="V53" i="20"/>
  <c r="U53" i="20"/>
  <c r="C123" i="32" s="1"/>
  <c r="S53" i="20"/>
  <c r="C161" i="32" s="1"/>
  <c r="J161" i="32" s="1"/>
  <c r="L161" i="32" s="1"/>
  <c r="M161" i="32" s="1"/>
  <c r="H63" i="20"/>
  <c r="H17" i="10"/>
  <c r="H60" i="20"/>
  <c r="H15" i="10"/>
  <c r="H13" i="20"/>
  <c r="H13" i="10" s="1"/>
  <c r="BN9" i="32"/>
  <c r="AG27" i="150"/>
  <c r="AH27" i="150" s="1"/>
  <c r="AI27" i="150" s="1"/>
  <c r="Y116" i="77"/>
  <c r="Y25" i="77"/>
  <c r="Y117" i="77" s="1"/>
  <c r="M65" i="161"/>
  <c r="N106" i="161"/>
  <c r="D29" i="158"/>
  <c r="Z13" i="177"/>
  <c r="P109" i="77"/>
  <c r="P18" i="77"/>
  <c r="W14" i="177"/>
  <c r="AI107" i="77"/>
  <c r="AI16" i="77"/>
  <c r="R19" i="158"/>
  <c r="FO19" i="158" s="1"/>
  <c r="HL18" i="158"/>
  <c r="R95" i="158"/>
  <c r="AH28" i="158"/>
  <c r="AH104" i="158"/>
  <c r="AG107" i="77"/>
  <c r="AG16" i="77"/>
  <c r="AR109" i="77"/>
  <c r="AF28" i="158"/>
  <c r="AF104" i="158"/>
  <c r="HW27" i="158"/>
  <c r="AB12" i="177"/>
  <c r="CU12" i="177" s="1"/>
  <c r="D105" i="158"/>
  <c r="HB28" i="158"/>
  <c r="D24" i="92"/>
  <c r="AA13" i="177"/>
  <c r="V18" i="158"/>
  <c r="FQ18" i="158" s="1"/>
  <c r="HN17" i="158"/>
  <c r="V94" i="158"/>
  <c r="R17" i="77"/>
  <c r="R108" i="77"/>
  <c r="HZ16" i="158"/>
  <c r="AJ93" i="158"/>
  <c r="AJ17" i="158"/>
  <c r="GC17" i="158" s="1"/>
  <c r="BN8" i="32"/>
  <c r="AG61" i="111"/>
  <c r="AH61" i="111"/>
  <c r="DJ27" i="36" s="1"/>
  <c r="K21" i="147" s="1"/>
  <c r="K117" i="147" s="1"/>
  <c r="BN7" i="32"/>
  <c r="BN11" i="32"/>
  <c r="V11" i="28"/>
  <c r="AA21" i="155"/>
  <c r="F56" i="155" s="1"/>
  <c r="AH93" i="32"/>
  <c r="AD88" i="32"/>
  <c r="V21" i="28"/>
  <c r="G26" i="30"/>
  <c r="BN10" i="32"/>
  <c r="J77" i="32"/>
  <c r="L77" i="32" s="1"/>
  <c r="M77" i="32" s="1"/>
  <c r="E77" i="32"/>
  <c r="F77" i="32" s="1"/>
  <c r="J62" i="32"/>
  <c r="L62" i="32" s="1"/>
  <c r="M62" i="32" s="1"/>
  <c r="L61" i="32"/>
  <c r="M61" i="32" s="1"/>
  <c r="V34" i="10"/>
  <c r="S45" i="10"/>
  <c r="V49" i="10"/>
  <c r="V53" i="10"/>
  <c r="V45" i="10"/>
  <c r="U34" i="10"/>
  <c r="U53" i="10"/>
  <c r="U45" i="10"/>
  <c r="S34" i="10"/>
  <c r="J150" i="32" s="1"/>
  <c r="L150" i="32" s="1"/>
  <c r="M150" i="32" s="1"/>
  <c r="U49" i="10"/>
  <c r="S49" i="10"/>
  <c r="S53" i="10"/>
  <c r="AH97" i="32"/>
  <c r="AH98" i="32" s="1"/>
  <c r="AH75" i="32"/>
  <c r="AG75" i="32"/>
  <c r="AD89" i="32"/>
  <c r="AC87" i="32"/>
  <c r="AD87" i="32"/>
  <c r="G37" i="10"/>
  <c r="S37" i="20"/>
  <c r="C153" i="32" s="1"/>
  <c r="E153" i="32" s="1"/>
  <c r="F153" i="32" s="1"/>
  <c r="AO75" i="32"/>
  <c r="AN75" i="32"/>
  <c r="V24" i="10"/>
  <c r="U24" i="10"/>
  <c r="S24" i="10"/>
  <c r="J146" i="32" s="1"/>
  <c r="L146" i="32" s="1"/>
  <c r="M146" i="32" s="1"/>
  <c r="O56" i="22"/>
  <c r="O50" i="22"/>
  <c r="O51" i="22" s="1"/>
  <c r="AD48" i="22"/>
  <c r="G15" i="20"/>
  <c r="O52" i="22"/>
  <c r="O54" i="22"/>
  <c r="O55" i="22" s="1"/>
  <c r="C56" i="32"/>
  <c r="AG9" i="32"/>
  <c r="AH9" i="32" s="1"/>
  <c r="AO6" i="32"/>
  <c r="AR6" i="32" s="1"/>
  <c r="AQ6" i="32" s="1"/>
  <c r="AS6" i="32" s="1"/>
  <c r="AG10" i="32"/>
  <c r="AH10" i="32" s="1"/>
  <c r="AO9" i="32"/>
  <c r="AR9" i="32" s="1"/>
  <c r="AQ9" i="32" s="1"/>
  <c r="AG8" i="32"/>
  <c r="AH8" i="32" s="1"/>
  <c r="AO7" i="32"/>
  <c r="AR7" i="32" s="1"/>
  <c r="AQ7" i="32" s="1"/>
  <c r="AO8" i="32"/>
  <c r="AR8" i="32" s="1"/>
  <c r="AQ8" i="32" s="1"/>
  <c r="AH7" i="32"/>
  <c r="AI7" i="32" s="1"/>
  <c r="J108" i="32"/>
  <c r="L108" i="32" s="1"/>
  <c r="M108" i="32" s="1"/>
  <c r="E108" i="32"/>
  <c r="F108" i="32" s="1"/>
  <c r="V41" i="20"/>
  <c r="G41" i="10"/>
  <c r="S41" i="20"/>
  <c r="C157" i="32" s="1"/>
  <c r="U41" i="20"/>
  <c r="C119" i="32" s="1"/>
  <c r="J48" i="22"/>
  <c r="H33" i="20" s="1"/>
  <c r="H33" i="10" s="1"/>
  <c r="K39" i="22"/>
  <c r="K48" i="22" s="1"/>
  <c r="H35" i="20" s="1"/>
  <c r="H35" i="10" s="1"/>
  <c r="V18" i="20"/>
  <c r="U18" i="20"/>
  <c r="S18" i="20"/>
  <c r="C137" i="32" s="1"/>
  <c r="G18" i="10"/>
  <c r="S23" i="28"/>
  <c r="J68" i="32"/>
  <c r="L68" i="32" s="1"/>
  <c r="M68" i="32" s="1"/>
  <c r="E68" i="32"/>
  <c r="F68" i="32" s="1"/>
  <c r="AL79" i="32"/>
  <c r="S170" i="32"/>
  <c r="T170" i="32" s="1"/>
  <c r="Q173" i="32"/>
  <c r="AD118" i="77"/>
  <c r="AD27" i="77"/>
  <c r="J66" i="32"/>
  <c r="L66" i="32" s="1"/>
  <c r="M66" i="32" s="1"/>
  <c r="C67" i="32"/>
  <c r="E66" i="32"/>
  <c r="F66" i="32" s="1"/>
  <c r="AL76" i="32"/>
  <c r="S192" i="32"/>
  <c r="T192" i="32" s="1"/>
  <c r="V64" i="10"/>
  <c r="U64" i="10"/>
  <c r="S64" i="10"/>
  <c r="AA23" i="155"/>
  <c r="AH76" i="32"/>
  <c r="AG76" i="32"/>
  <c r="S39" i="20"/>
  <c r="C155" i="32" s="1"/>
  <c r="E155" i="32" s="1"/>
  <c r="F155" i="32" s="1"/>
  <c r="U38" i="20"/>
  <c r="C116" i="32" s="1"/>
  <c r="S40" i="20"/>
  <c r="C156" i="32" s="1"/>
  <c r="E156" i="32" s="1"/>
  <c r="F156" i="32" s="1"/>
  <c r="G21" i="20"/>
  <c r="G21" i="10" s="1"/>
  <c r="G20" i="10"/>
  <c r="U39" i="20"/>
  <c r="C117" i="32" s="1"/>
  <c r="U37" i="20"/>
  <c r="C115" i="32" s="1"/>
  <c r="U40" i="20"/>
  <c r="C118" i="32" s="1"/>
  <c r="S44" i="20"/>
  <c r="S52" i="20"/>
  <c r="C160" i="32" s="1"/>
  <c r="U20" i="20"/>
  <c r="U48" i="20"/>
  <c r="S23" i="20"/>
  <c r="C145" i="32" s="1"/>
  <c r="E145" i="32" s="1"/>
  <c r="F145" i="32" s="1"/>
  <c r="U32" i="20"/>
  <c r="C110" i="32" s="1"/>
  <c r="U23" i="20"/>
  <c r="C107" i="32" s="1"/>
  <c r="U44" i="20"/>
  <c r="U52" i="20"/>
  <c r="C122" i="32" s="1"/>
  <c r="G22" i="20"/>
  <c r="G22" i="10" s="1"/>
  <c r="S20" i="20"/>
  <c r="S48" i="20"/>
  <c r="G17" i="20"/>
  <c r="S38" i="20"/>
  <c r="C154" i="32" s="1"/>
  <c r="E154" i="32" s="1"/>
  <c r="F154" i="32" s="1"/>
  <c r="V32" i="20"/>
  <c r="V20" i="20"/>
  <c r="V44" i="20"/>
  <c r="V39" i="20"/>
  <c r="V48" i="20"/>
  <c r="V40" i="20"/>
  <c r="V38" i="20"/>
  <c r="V37" i="20"/>
  <c r="V52" i="20"/>
  <c r="V23" i="20"/>
  <c r="BG118" i="77"/>
  <c r="BG39" i="77"/>
  <c r="F47" i="77"/>
  <c r="H49" i="77" l="1"/>
  <c r="H50" i="77" s="1"/>
  <c r="H55" i="77"/>
  <c r="H53" i="77"/>
  <c r="H54" i="77" s="1"/>
  <c r="H51" i="77"/>
  <c r="CY34" i="177"/>
  <c r="R34" i="177"/>
  <c r="D35" i="177"/>
  <c r="AJ5" i="177" s="1"/>
  <c r="AF5" i="177" s="1"/>
  <c r="AG5" i="177" s="1"/>
  <c r="AH5" i="177" s="1"/>
  <c r="AI5" i="177" s="1"/>
  <c r="Q61" i="32"/>
  <c r="S19" i="32"/>
  <c r="T19" i="32" s="1"/>
  <c r="D7" i="126"/>
  <c r="Q20" i="32"/>
  <c r="Q5" i="32"/>
  <c r="AF130" i="77"/>
  <c r="AF43" i="77"/>
  <c r="AG43" i="77"/>
  <c r="E17" i="155"/>
  <c r="C69" i="155"/>
  <c r="D177" i="155"/>
  <c r="E142" i="77"/>
  <c r="E141" i="77"/>
  <c r="E140" i="77"/>
  <c r="Z265" i="100"/>
  <c r="AM265" i="100" s="1"/>
  <c r="AL310" i="100" s="1"/>
  <c r="L7" i="126"/>
  <c r="M7" i="126" s="1"/>
  <c r="F7" i="126"/>
  <c r="G7" i="126" s="1"/>
  <c r="Z267" i="100"/>
  <c r="F71" i="155"/>
  <c r="F69" i="155"/>
  <c r="H69" i="155" s="1"/>
  <c r="F70" i="155"/>
  <c r="H68" i="155"/>
  <c r="I68" i="155" s="1"/>
  <c r="W182" i="100"/>
  <c r="CP34" i="177"/>
  <c r="V34" i="177"/>
  <c r="CT34" i="177" s="1"/>
  <c r="P265" i="100"/>
  <c r="AG265" i="100" s="1"/>
  <c r="AF310" i="100" s="1"/>
  <c r="P264" i="100"/>
  <c r="P267" i="100" s="1"/>
  <c r="Q62" i="32"/>
  <c r="S62" i="32" s="1"/>
  <c r="T62" i="32" s="1"/>
  <c r="X61" i="32"/>
  <c r="S61" i="32"/>
  <c r="T61" i="32" s="1"/>
  <c r="D20" i="126"/>
  <c r="K42" i="77"/>
  <c r="J47" i="77"/>
  <c r="H21" i="28" s="1"/>
  <c r="Q32" i="32"/>
  <c r="Q54" i="32"/>
  <c r="S24" i="32"/>
  <c r="S12" i="32"/>
  <c r="U13" i="28"/>
  <c r="S13" i="28"/>
  <c r="N42" i="115"/>
  <c r="P42" i="115" s="1"/>
  <c r="S20" i="32"/>
  <c r="T20" i="32" s="1"/>
  <c r="F8" i="155"/>
  <c r="D8" i="126"/>
  <c r="E161" i="32"/>
  <c r="F161" i="32" s="1"/>
  <c r="H60" i="10"/>
  <c r="H63" i="10"/>
  <c r="H65" i="10" s="1"/>
  <c r="H65" i="20"/>
  <c r="HZ17" i="158"/>
  <c r="AJ18" i="158"/>
  <c r="GC18" i="158" s="1"/>
  <c r="AJ94" i="158"/>
  <c r="AA14" i="177"/>
  <c r="HW28" i="158"/>
  <c r="AF105" i="158"/>
  <c r="AF29" i="158"/>
  <c r="M66" i="161"/>
  <c r="N107" i="161"/>
  <c r="D30" i="158"/>
  <c r="HL19" i="158"/>
  <c r="R20" i="158"/>
  <c r="FO20" i="158" s="1"/>
  <c r="R96" i="158"/>
  <c r="R18" i="77"/>
  <c r="R109" i="77"/>
  <c r="AG108" i="77"/>
  <c r="AG17" i="77"/>
  <c r="AI17" i="77"/>
  <c r="AI108" i="77"/>
  <c r="AB13" i="177"/>
  <c r="CU13" i="177" s="1"/>
  <c r="Z14" i="177"/>
  <c r="P110" i="77"/>
  <c r="P19" i="77"/>
  <c r="V19" i="158"/>
  <c r="FQ19" i="158" s="1"/>
  <c r="HN18" i="158"/>
  <c r="V95" i="158"/>
  <c r="AH105" i="158"/>
  <c r="AH29" i="158"/>
  <c r="W15" i="177"/>
  <c r="D25" i="92"/>
  <c r="HB29" i="158"/>
  <c r="D106" i="158"/>
  <c r="AI61" i="111"/>
  <c r="D61" i="111" s="1"/>
  <c r="AI8" i="32"/>
  <c r="AS7" i="32"/>
  <c r="AI9" i="32"/>
  <c r="C142" i="32"/>
  <c r="E142" i="32" s="1"/>
  <c r="F142" i="32" s="1"/>
  <c r="S21" i="20"/>
  <c r="C143" i="32" s="1"/>
  <c r="E143" i="32" s="1"/>
  <c r="F143" i="32" s="1"/>
  <c r="S22" i="20"/>
  <c r="C144" i="32" s="1"/>
  <c r="E144" i="32" s="1"/>
  <c r="F144" i="32" s="1"/>
  <c r="E115" i="32"/>
  <c r="F115" i="32" s="1"/>
  <c r="J115" i="32"/>
  <c r="L115" i="32" s="1"/>
  <c r="M115" i="32" s="1"/>
  <c r="AD119" i="77"/>
  <c r="AD28" i="77"/>
  <c r="G33" i="20"/>
  <c r="J56" i="22"/>
  <c r="J54" i="22"/>
  <c r="J55" i="22" s="1"/>
  <c r="J52" i="22"/>
  <c r="J50" i="22"/>
  <c r="J51" i="22" s="1"/>
  <c r="C73" i="32"/>
  <c r="AC52" i="22"/>
  <c r="C53" i="32"/>
  <c r="AC54" i="22"/>
  <c r="AC55" i="22" s="1"/>
  <c r="AC56" i="22"/>
  <c r="AC50" i="22"/>
  <c r="AC51" i="22" s="1"/>
  <c r="J117" i="32"/>
  <c r="L117" i="32" s="1"/>
  <c r="M117" i="32" s="1"/>
  <c r="E117" i="32"/>
  <c r="F117" i="32" s="1"/>
  <c r="AS8" i="32"/>
  <c r="V52" i="10"/>
  <c r="S23" i="10"/>
  <c r="J145" i="32" s="1"/>
  <c r="L145" i="32" s="1"/>
  <c r="M145" i="32" s="1"/>
  <c r="V48" i="10"/>
  <c r="S48" i="10"/>
  <c r="V32" i="10"/>
  <c r="U39" i="10"/>
  <c r="V39" i="10"/>
  <c r="U40" i="10"/>
  <c r="V37" i="10"/>
  <c r="S44" i="10"/>
  <c r="V23" i="10"/>
  <c r="U32" i="10"/>
  <c r="S20" i="10"/>
  <c r="S40" i="10"/>
  <c r="J156" i="32" s="1"/>
  <c r="L156" i="32" s="1"/>
  <c r="M156" i="32" s="1"/>
  <c r="V20" i="10"/>
  <c r="V40" i="10"/>
  <c r="V38" i="10"/>
  <c r="V44" i="10"/>
  <c r="S39" i="10"/>
  <c r="J155" i="32" s="1"/>
  <c r="L155" i="32" s="1"/>
  <c r="M155" i="32" s="1"/>
  <c r="U38" i="10"/>
  <c r="S52" i="10"/>
  <c r="U48" i="10"/>
  <c r="S38" i="10"/>
  <c r="J154" i="32" s="1"/>
  <c r="L154" i="32" s="1"/>
  <c r="M154" i="32" s="1"/>
  <c r="U52" i="10"/>
  <c r="U20" i="10"/>
  <c r="U37" i="10"/>
  <c r="U44" i="10"/>
  <c r="U23" i="10"/>
  <c r="V18" i="10"/>
  <c r="S18" i="10"/>
  <c r="J137" i="32" s="1"/>
  <c r="U18" i="10"/>
  <c r="AH99" i="32"/>
  <c r="AJ99" i="32" s="1"/>
  <c r="AJ98" i="32"/>
  <c r="AH94" i="32"/>
  <c r="AH96" i="32"/>
  <c r="AH95" i="32"/>
  <c r="C138" i="32"/>
  <c r="E138" i="32" s="1"/>
  <c r="F138" i="32" s="1"/>
  <c r="E137" i="32"/>
  <c r="F137" i="32" s="1"/>
  <c r="AS9" i="32"/>
  <c r="AS10" i="32"/>
  <c r="F59" i="155"/>
  <c r="H59" i="155" s="1"/>
  <c r="F58" i="155"/>
  <c r="H58" i="155" s="1"/>
  <c r="F57" i="155"/>
  <c r="H57" i="155" s="1"/>
  <c r="H56" i="155"/>
  <c r="I56" i="155" s="1"/>
  <c r="J107" i="32"/>
  <c r="L107" i="32" s="1"/>
  <c r="M107" i="32" s="1"/>
  <c r="E107" i="32"/>
  <c r="F107" i="32" s="1"/>
  <c r="AO76" i="32"/>
  <c r="AN76" i="32"/>
  <c r="AO79" i="32"/>
  <c r="AN79" i="32"/>
  <c r="V21" i="20"/>
  <c r="V22" i="20"/>
  <c r="J110" i="32"/>
  <c r="L110" i="32" s="1"/>
  <c r="M110" i="32" s="1"/>
  <c r="E110" i="32"/>
  <c r="F110" i="32" s="1"/>
  <c r="E116" i="32"/>
  <c r="F116" i="32" s="1"/>
  <c r="J116" i="32"/>
  <c r="L116" i="32" s="1"/>
  <c r="M116" i="32" s="1"/>
  <c r="D84" i="117"/>
  <c r="C99" i="32"/>
  <c r="AI11" i="32"/>
  <c r="AI10" i="32"/>
  <c r="J67" i="32"/>
  <c r="L67" i="32" s="1"/>
  <c r="M67" i="32" s="1"/>
  <c r="E67" i="32"/>
  <c r="F67" i="32" s="1"/>
  <c r="E119" i="32"/>
  <c r="F119" i="32" s="1"/>
  <c r="J119" i="32"/>
  <c r="L119" i="32" s="1"/>
  <c r="M119" i="32" s="1"/>
  <c r="S37" i="10"/>
  <c r="J153" i="32" s="1"/>
  <c r="L153" i="32" s="1"/>
  <c r="M153" i="32" s="1"/>
  <c r="V9" i="28"/>
  <c r="E157" i="32"/>
  <c r="F157" i="32" s="1"/>
  <c r="J157" i="32"/>
  <c r="L157" i="32" s="1"/>
  <c r="M157" i="32" s="1"/>
  <c r="U22" i="20"/>
  <c r="C106" i="32" s="1"/>
  <c r="U21" i="20"/>
  <c r="C105" i="32" s="1"/>
  <c r="C104" i="32"/>
  <c r="V41" i="10"/>
  <c r="U41" i="10"/>
  <c r="S41" i="10"/>
  <c r="J56" i="32"/>
  <c r="L56" i="32" s="1"/>
  <c r="M56" i="32" s="1"/>
  <c r="E56" i="32"/>
  <c r="F56" i="32" s="1"/>
  <c r="S32" i="10"/>
  <c r="J148" i="32" s="1"/>
  <c r="L148" i="32" s="1"/>
  <c r="M148" i="32" s="1"/>
  <c r="J160" i="32"/>
  <c r="L160" i="32" s="1"/>
  <c r="M160" i="32" s="1"/>
  <c r="E160" i="32"/>
  <c r="F160" i="32" s="1"/>
  <c r="V26" i="30"/>
  <c r="V22" i="30" s="1"/>
  <c r="V17" i="20"/>
  <c r="V42" i="20" s="1"/>
  <c r="S17" i="20"/>
  <c r="U17" i="20"/>
  <c r="G17" i="10"/>
  <c r="G63" i="20"/>
  <c r="E118" i="32"/>
  <c r="F118" i="32" s="1"/>
  <c r="J118" i="32"/>
  <c r="L118" i="32" s="1"/>
  <c r="M118" i="32" s="1"/>
  <c r="K50" i="22"/>
  <c r="K51" i="22" s="1"/>
  <c r="G35" i="20"/>
  <c r="G35" i="10" s="1"/>
  <c r="K52" i="22"/>
  <c r="K56" i="22"/>
  <c r="K54" i="22"/>
  <c r="K55" i="22" s="1"/>
  <c r="C75" i="32"/>
  <c r="V15" i="20"/>
  <c r="V35" i="20" s="1"/>
  <c r="U15" i="20"/>
  <c r="G13" i="20"/>
  <c r="G15" i="10"/>
  <c r="S15" i="20"/>
  <c r="G60" i="20"/>
  <c r="F51" i="77"/>
  <c r="F49" i="77"/>
  <c r="F50" i="77" s="1"/>
  <c r="F53" i="77"/>
  <c r="F54" i="77" s="1"/>
  <c r="F55" i="77"/>
  <c r="F34" i="155"/>
  <c r="H34" i="155" s="1"/>
  <c r="I34" i="155" s="1"/>
  <c r="D13" i="126"/>
  <c r="F13" i="126" s="1"/>
  <c r="G13" i="126" s="1"/>
  <c r="D179" i="155" l="1"/>
  <c r="D180" i="155"/>
  <c r="D181" i="155"/>
  <c r="D178" i="155"/>
  <c r="C72" i="155"/>
  <c r="C73" i="155"/>
  <c r="C71" i="155"/>
  <c r="C70" i="155"/>
  <c r="C74" i="155"/>
  <c r="AG264" i="100"/>
  <c r="AF309" i="100" s="1"/>
  <c r="Z13" i="28"/>
  <c r="AA13" i="28" s="1"/>
  <c r="Q137" i="32"/>
  <c r="K8" i="163"/>
  <c r="Q99" i="32"/>
  <c r="Q9" i="156"/>
  <c r="D90" i="100"/>
  <c r="Q8" i="156"/>
  <c r="Z61" i="32"/>
  <c r="AA61" i="32" s="1"/>
  <c r="X62" i="32"/>
  <c r="Z62" i="32" s="1"/>
  <c r="AA62" i="32" s="1"/>
  <c r="T12" i="32"/>
  <c r="T24" i="32"/>
  <c r="I69" i="155"/>
  <c r="J69" i="155" s="1"/>
  <c r="L8" i="126"/>
  <c r="M8" i="126" s="1"/>
  <c r="F8" i="126"/>
  <c r="G8" i="126" s="1"/>
  <c r="S54" i="32"/>
  <c r="T54" i="32" s="1"/>
  <c r="X54" i="32"/>
  <c r="Z54" i="32" s="1"/>
  <c r="AA54" i="32" s="1"/>
  <c r="N8" i="155"/>
  <c r="O8" i="155" s="1"/>
  <c r="K8" i="155"/>
  <c r="L8" i="155" s="1"/>
  <c r="H8" i="155"/>
  <c r="I8" i="155" s="1"/>
  <c r="AE43" i="32"/>
  <c r="F16" i="155"/>
  <c r="S32" i="32"/>
  <c r="T32" i="32" s="1"/>
  <c r="Q70" i="32"/>
  <c r="D18" i="126"/>
  <c r="F18" i="126" s="1"/>
  <c r="G18" i="126" s="1"/>
  <c r="H27" i="28"/>
  <c r="H26" i="30"/>
  <c r="U21" i="28"/>
  <c r="S21" i="28"/>
  <c r="AI12" i="32"/>
  <c r="AS12" i="32"/>
  <c r="AH30" i="158"/>
  <c r="AH106" i="158"/>
  <c r="AF30" i="158"/>
  <c r="AF106" i="158"/>
  <c r="HW29" i="158"/>
  <c r="Z15" i="177"/>
  <c r="AI18" i="77"/>
  <c r="AI109" i="77"/>
  <c r="HL20" i="158"/>
  <c r="R21" i="158"/>
  <c r="FO21" i="158" s="1"/>
  <c r="R97" i="158"/>
  <c r="AG18" i="77"/>
  <c r="AG109" i="77"/>
  <c r="HN19" i="158"/>
  <c r="V20" i="158"/>
  <c r="FQ20" i="158" s="1"/>
  <c r="V96" i="158"/>
  <c r="AB14" i="177"/>
  <c r="CU14" i="177" s="1"/>
  <c r="D107" i="158"/>
  <c r="D26" i="92"/>
  <c r="HB30" i="158"/>
  <c r="AA15" i="177"/>
  <c r="R110" i="77"/>
  <c r="R19" i="77"/>
  <c r="M67" i="161"/>
  <c r="N108" i="161"/>
  <c r="D31" i="158"/>
  <c r="HZ18" i="158"/>
  <c r="AJ95" i="158"/>
  <c r="AJ19" i="158"/>
  <c r="GC19" i="158" s="1"/>
  <c r="W16" i="177"/>
  <c r="P111" i="77"/>
  <c r="P20" i="77"/>
  <c r="F61" i="111"/>
  <c r="AJ61" i="111"/>
  <c r="I57" i="155"/>
  <c r="J57" i="155" s="1"/>
  <c r="I58" i="155"/>
  <c r="J58" i="155" s="1"/>
  <c r="E75" i="32"/>
  <c r="F75" i="32" s="1"/>
  <c r="J75" i="32"/>
  <c r="L75" i="32" s="1"/>
  <c r="M75" i="32" s="1"/>
  <c r="V60" i="20"/>
  <c r="G60" i="10"/>
  <c r="S60" i="20"/>
  <c r="U60" i="20"/>
  <c r="V21" i="10"/>
  <c r="V22" i="10"/>
  <c r="V17" i="10"/>
  <c r="V42" i="10" s="1"/>
  <c r="S17" i="10"/>
  <c r="J136" i="32" s="1"/>
  <c r="L136" i="32" s="1"/>
  <c r="M136" i="32" s="1"/>
  <c r="U17" i="10"/>
  <c r="U42" i="10" s="1"/>
  <c r="C100" i="32"/>
  <c r="E100" i="32" s="1"/>
  <c r="F100" i="32" s="1"/>
  <c r="E99" i="32"/>
  <c r="F99" i="32" s="1"/>
  <c r="J99" i="32"/>
  <c r="V217" i="100"/>
  <c r="D85" i="117"/>
  <c r="F85" i="117" s="1"/>
  <c r="G85" i="117" s="1"/>
  <c r="F84" i="117"/>
  <c r="G84" i="117" s="1"/>
  <c r="L137" i="32"/>
  <c r="M137" i="32" s="1"/>
  <c r="J138" i="32"/>
  <c r="L138" i="32" s="1"/>
  <c r="M138" i="32" s="1"/>
  <c r="U21" i="10"/>
  <c r="U22" i="10"/>
  <c r="S22" i="10"/>
  <c r="J144" i="32" s="1"/>
  <c r="L144" i="32" s="1"/>
  <c r="M144" i="32" s="1"/>
  <c r="J142" i="32"/>
  <c r="L142" i="32" s="1"/>
  <c r="M142" i="32" s="1"/>
  <c r="S21" i="10"/>
  <c r="J143" i="32" s="1"/>
  <c r="L143" i="32" s="1"/>
  <c r="M143" i="32" s="1"/>
  <c r="S35" i="20"/>
  <c r="C151" i="32" s="1"/>
  <c r="E151" i="32" s="1"/>
  <c r="F151" i="32" s="1"/>
  <c r="C132" i="32"/>
  <c r="E132" i="32" s="1"/>
  <c r="F132" i="32" s="1"/>
  <c r="V15" i="10"/>
  <c r="V35" i="10" s="1"/>
  <c r="S15" i="10"/>
  <c r="U15" i="10"/>
  <c r="U35" i="10" s="1"/>
  <c r="V13" i="20"/>
  <c r="U13" i="20"/>
  <c r="C91" i="32" s="1"/>
  <c r="S13" i="20"/>
  <c r="C129" i="32" s="1"/>
  <c r="G13" i="10"/>
  <c r="C94" i="32"/>
  <c r="U35" i="20"/>
  <c r="C113" i="32" s="1"/>
  <c r="G33" i="10"/>
  <c r="U33" i="20"/>
  <c r="C111" i="32" s="1"/>
  <c r="S33" i="20"/>
  <c r="C149" i="32" s="1"/>
  <c r="E149" i="32" s="1"/>
  <c r="F149" i="32" s="1"/>
  <c r="V33" i="20"/>
  <c r="AD120" i="77"/>
  <c r="AD29" i="77"/>
  <c r="C136" i="32"/>
  <c r="E136" i="32" s="1"/>
  <c r="F136" i="32" s="1"/>
  <c r="S42" i="20"/>
  <c r="C158" i="32" s="1"/>
  <c r="E105" i="32"/>
  <c r="F105" i="32" s="1"/>
  <c r="J105" i="32"/>
  <c r="L105" i="32" s="1"/>
  <c r="M105" i="32" s="1"/>
  <c r="AK99" i="32"/>
  <c r="J53" i="32"/>
  <c r="L53" i="32" s="1"/>
  <c r="M53" i="32" s="1"/>
  <c r="E53" i="32"/>
  <c r="F53" i="32" s="1"/>
  <c r="V63" i="20"/>
  <c r="G63" i="10"/>
  <c r="G65" i="20"/>
  <c r="S63" i="20"/>
  <c r="U63" i="20"/>
  <c r="I59" i="155"/>
  <c r="J59" i="155" s="1"/>
  <c r="AA58" i="155" s="1"/>
  <c r="I60" i="155"/>
  <c r="J60" i="155" s="1"/>
  <c r="AA59" i="155" s="1"/>
  <c r="C98" i="32"/>
  <c r="U42" i="20"/>
  <c r="C120" i="32" s="1"/>
  <c r="E104" i="32"/>
  <c r="F104" i="32" s="1"/>
  <c r="J104" i="32"/>
  <c r="L104" i="32" s="1"/>
  <c r="M104" i="32" s="1"/>
  <c r="J106" i="32"/>
  <c r="L106" i="32" s="1"/>
  <c r="M106" i="32" s="1"/>
  <c r="E106" i="32"/>
  <c r="F106" i="32" s="1"/>
  <c r="E73" i="32"/>
  <c r="F73" i="32" s="1"/>
  <c r="J73" i="32"/>
  <c r="L73" i="32" s="1"/>
  <c r="M73" i="32" s="1"/>
  <c r="AA57" i="155" l="1"/>
  <c r="D117" i="100"/>
  <c r="F117" i="100" s="1"/>
  <c r="G117" i="100" s="1"/>
  <c r="D204" i="100"/>
  <c r="F90" i="100"/>
  <c r="G90" i="100" s="1"/>
  <c r="Q146" i="32"/>
  <c r="S146" i="32" s="1"/>
  <c r="T146" i="32" s="1"/>
  <c r="Z21" i="28"/>
  <c r="AA21" i="28" s="1"/>
  <c r="AD1" i="155"/>
  <c r="F17" i="155"/>
  <c r="D148" i="155"/>
  <c r="C45" i="155"/>
  <c r="AI46" i="155"/>
  <c r="H16" i="155"/>
  <c r="I16" i="155" s="1"/>
  <c r="C81" i="155"/>
  <c r="K16" i="155"/>
  <c r="L16" i="155" s="1"/>
  <c r="D110" i="155"/>
  <c r="AH136" i="155"/>
  <c r="N16" i="155"/>
  <c r="O16" i="155" s="1"/>
  <c r="V9" i="156"/>
  <c r="W9" i="156" s="1"/>
  <c r="S9" i="156"/>
  <c r="T9" i="156" s="1"/>
  <c r="Y9" i="156"/>
  <c r="Z9" i="156" s="1"/>
  <c r="D92" i="117"/>
  <c r="F92" i="117" s="1"/>
  <c r="G92" i="117" s="1"/>
  <c r="Q108" i="32"/>
  <c r="D96" i="100"/>
  <c r="BG44" i="32"/>
  <c r="AE42" i="32"/>
  <c r="AE40" i="32"/>
  <c r="AX43" i="32"/>
  <c r="AE41" i="32"/>
  <c r="AM43" i="32"/>
  <c r="S99" i="32"/>
  <c r="T99" i="32" s="1"/>
  <c r="Q100" i="32"/>
  <c r="X99" i="32"/>
  <c r="N7" i="126"/>
  <c r="P7" i="126" s="1"/>
  <c r="Q7" i="126" s="1"/>
  <c r="V8" i="156"/>
  <c r="W8" i="156" s="1"/>
  <c r="S8" i="156"/>
  <c r="T8" i="156" s="1"/>
  <c r="Y8" i="156"/>
  <c r="Z8" i="156" s="1"/>
  <c r="S26" i="30"/>
  <c r="U26" i="30"/>
  <c r="U22" i="30" s="1"/>
  <c r="P8" i="163"/>
  <c r="Q8" i="163" s="1"/>
  <c r="M8" i="163"/>
  <c r="N8" i="163" s="1"/>
  <c r="S8" i="163"/>
  <c r="T8" i="163" s="1"/>
  <c r="S137" i="32"/>
  <c r="T137" i="32" s="1"/>
  <c r="Q138" i="32"/>
  <c r="S138" i="32" s="1"/>
  <c r="T138" i="32" s="1"/>
  <c r="X70" i="32"/>
  <c r="Z70" i="32" s="1"/>
  <c r="AA70" i="32" s="1"/>
  <c r="S70" i="32"/>
  <c r="T70" i="32" s="1"/>
  <c r="AI19" i="77"/>
  <c r="AI110" i="77"/>
  <c r="D27" i="92"/>
  <c r="D108" i="158"/>
  <c r="HB31" i="158"/>
  <c r="AA16" i="177"/>
  <c r="V97" i="158"/>
  <c r="V21" i="158"/>
  <c r="FQ21" i="158" s="1"/>
  <c r="HN20" i="158"/>
  <c r="P112" i="77"/>
  <c r="P21" i="77"/>
  <c r="Z16" i="177"/>
  <c r="HZ19" i="158"/>
  <c r="AJ20" i="158"/>
  <c r="GC20" i="158" s="1"/>
  <c r="AJ96" i="158"/>
  <c r="R22" i="158"/>
  <c r="R98" i="158"/>
  <c r="HL21" i="158"/>
  <c r="AF31" i="158"/>
  <c r="AF107" i="158"/>
  <c r="HW30" i="158"/>
  <c r="AG110" i="77"/>
  <c r="AG19" i="77"/>
  <c r="R111" i="77"/>
  <c r="R20" i="77"/>
  <c r="AB15" i="177"/>
  <c r="CU15" i="177" s="1"/>
  <c r="M68" i="161"/>
  <c r="D32" i="158"/>
  <c r="N109" i="161"/>
  <c r="W17" i="177"/>
  <c r="AH31" i="158"/>
  <c r="AH107" i="158"/>
  <c r="D74" i="111"/>
  <c r="J98" i="32"/>
  <c r="L98" i="32" s="1"/>
  <c r="M98" i="32" s="1"/>
  <c r="E98" i="32"/>
  <c r="F98" i="32" s="1"/>
  <c r="V216" i="100"/>
  <c r="V301" i="100"/>
  <c r="V219" i="100"/>
  <c r="J111" i="32"/>
  <c r="L111" i="32" s="1"/>
  <c r="M111" i="32" s="1"/>
  <c r="E111" i="32"/>
  <c r="F111" i="32" s="1"/>
  <c r="V65" i="20"/>
  <c r="U65" i="20"/>
  <c r="S65" i="20"/>
  <c r="U33" i="10"/>
  <c r="S33" i="10"/>
  <c r="J149" i="32" s="1"/>
  <c r="L149" i="32" s="1"/>
  <c r="M149" i="32" s="1"/>
  <c r="V33" i="10"/>
  <c r="V60" i="10"/>
  <c r="S60" i="10"/>
  <c r="U60" i="10"/>
  <c r="J158" i="32"/>
  <c r="L158" i="32" s="1"/>
  <c r="M158" i="32" s="1"/>
  <c r="E158" i="32"/>
  <c r="F158" i="32" s="1"/>
  <c r="V63" i="10"/>
  <c r="U63" i="10"/>
  <c r="G65" i="10"/>
  <c r="S63" i="10"/>
  <c r="E91" i="32"/>
  <c r="F91" i="32" s="1"/>
  <c r="J91" i="32"/>
  <c r="L91" i="32" s="1"/>
  <c r="M91" i="32" s="1"/>
  <c r="J100" i="32"/>
  <c r="L100" i="32" s="1"/>
  <c r="M100" i="32" s="1"/>
  <c r="L99" i="32"/>
  <c r="M99" i="32" s="1"/>
  <c r="AD121" i="77"/>
  <c r="AD30" i="77"/>
  <c r="J113" i="32"/>
  <c r="L113" i="32" s="1"/>
  <c r="M113" i="32" s="1"/>
  <c r="E113" i="32"/>
  <c r="F113" i="32" s="1"/>
  <c r="E94" i="32"/>
  <c r="F94" i="32" s="1"/>
  <c r="J94" i="32"/>
  <c r="L94" i="32" s="1"/>
  <c r="M94" i="32" s="1"/>
  <c r="V13" i="10"/>
  <c r="S13" i="10"/>
  <c r="J129" i="32" s="1"/>
  <c r="U13" i="10"/>
  <c r="S35" i="10"/>
  <c r="J151" i="32" s="1"/>
  <c r="L151" i="32" s="1"/>
  <c r="M151" i="32" s="1"/>
  <c r="J132" i="32"/>
  <c r="L132" i="32" s="1"/>
  <c r="M132" i="32" s="1"/>
  <c r="S42" i="10"/>
  <c r="BG39" i="32" l="1"/>
  <c r="BG42" i="32"/>
  <c r="BG41" i="32"/>
  <c r="BG43" i="32"/>
  <c r="BG40" i="32"/>
  <c r="K17" i="155"/>
  <c r="L17" i="155" s="1"/>
  <c r="H17" i="155"/>
  <c r="I17" i="155" s="1"/>
  <c r="N8" i="126"/>
  <c r="P8" i="126" s="1"/>
  <c r="Q8" i="126" s="1"/>
  <c r="P8" i="155"/>
  <c r="S100" i="32"/>
  <c r="T100" i="32" s="1"/>
  <c r="K87" i="100"/>
  <c r="L87" i="100" s="1"/>
  <c r="D210" i="100"/>
  <c r="D123" i="100"/>
  <c r="F96" i="100"/>
  <c r="G96" i="100" s="1"/>
  <c r="D113" i="155"/>
  <c r="D112" i="155"/>
  <c r="D111" i="155"/>
  <c r="X100" i="32"/>
  <c r="Z100" i="32" s="1"/>
  <c r="AA100" i="32" s="1"/>
  <c r="Z99" i="32"/>
  <c r="AA99" i="32" s="1"/>
  <c r="AH138" i="155"/>
  <c r="AH140" i="155"/>
  <c r="AH137" i="155"/>
  <c r="AH139" i="155"/>
  <c r="P16" i="155"/>
  <c r="S108" i="32"/>
  <c r="T108" i="32" s="1"/>
  <c r="N18" i="126"/>
  <c r="P18" i="126" s="1"/>
  <c r="Q18" i="126" s="1"/>
  <c r="X108" i="32"/>
  <c r="Z108" i="32" s="1"/>
  <c r="AA108" i="32" s="1"/>
  <c r="X146" i="32"/>
  <c r="S22" i="30"/>
  <c r="X144" i="32" s="1"/>
  <c r="AM39" i="32"/>
  <c r="AM41" i="32"/>
  <c r="AM42" i="32" s="1"/>
  <c r="AM40" i="32"/>
  <c r="C82" i="155"/>
  <c r="C84" i="155"/>
  <c r="C85" i="155"/>
  <c r="C86" i="155"/>
  <c r="H81" i="155"/>
  <c r="I81" i="155" s="1"/>
  <c r="J81" i="155" s="1"/>
  <c r="C83" i="155"/>
  <c r="D149" i="155"/>
  <c r="D152" i="155"/>
  <c r="D151" i="155"/>
  <c r="D150" i="155"/>
  <c r="AX41" i="32"/>
  <c r="AX42" i="32" s="1"/>
  <c r="AX40" i="32"/>
  <c r="AX39" i="32"/>
  <c r="AI49" i="155"/>
  <c r="AI48" i="155"/>
  <c r="AI47" i="155"/>
  <c r="D289" i="100"/>
  <c r="F289" i="100" s="1"/>
  <c r="G289" i="100" s="1"/>
  <c r="F204" i="100"/>
  <c r="G204" i="100" s="1"/>
  <c r="H45" i="155"/>
  <c r="I45" i="155" s="1"/>
  <c r="J45" i="155" s="1"/>
  <c r="C47" i="155"/>
  <c r="C49" i="155"/>
  <c r="C50" i="155"/>
  <c r="C46" i="155"/>
  <c r="C48" i="155"/>
  <c r="R112" i="77"/>
  <c r="R21" i="77"/>
  <c r="W18" i="177"/>
  <c r="R23" i="158"/>
  <c r="HL22" i="158"/>
  <c r="R99" i="158"/>
  <c r="AA17" i="177"/>
  <c r="Z17" i="177"/>
  <c r="D28" i="92"/>
  <c r="D109" i="158"/>
  <c r="HB32" i="158"/>
  <c r="AH108" i="158"/>
  <c r="AH32" i="158"/>
  <c r="D33" i="158"/>
  <c r="N110" i="161"/>
  <c r="M69" i="161"/>
  <c r="P113" i="77"/>
  <c r="P22" i="77"/>
  <c r="AJ97" i="158"/>
  <c r="HZ20" i="158"/>
  <c r="AJ21" i="158"/>
  <c r="GC21" i="158" s="1"/>
  <c r="AB16" i="177"/>
  <c r="CU16" i="177" s="1"/>
  <c r="AF32" i="158"/>
  <c r="HW31" i="158"/>
  <c r="AF108" i="158"/>
  <c r="AG20" i="77"/>
  <c r="AG111" i="77"/>
  <c r="V22" i="158"/>
  <c r="V98" i="158"/>
  <c r="HN21" i="158"/>
  <c r="AI111" i="77"/>
  <c r="AI20" i="77"/>
  <c r="F74" i="111"/>
  <c r="Q61" i="111"/>
  <c r="AS26" i="77" s="1"/>
  <c r="H61" i="111"/>
  <c r="V65" i="10"/>
  <c r="U65" i="10"/>
  <c r="S65" i="10"/>
  <c r="J139" i="32" s="1"/>
  <c r="C101" i="32"/>
  <c r="J101" i="32" s="1"/>
  <c r="C139" i="32"/>
  <c r="AD122" i="77"/>
  <c r="AD31" i="77"/>
  <c r="V304" i="100"/>
  <c r="AI301" i="100"/>
  <c r="AI304" i="100" s="1"/>
  <c r="X182" i="32" l="1"/>
  <c r="Z182" i="32" s="1"/>
  <c r="AA182" i="32" s="1"/>
  <c r="Z144" i="32"/>
  <c r="AA144" i="32" s="1"/>
  <c r="K114" i="100"/>
  <c r="L114" i="100" s="1"/>
  <c r="F123" i="100"/>
  <c r="G123" i="100" s="1"/>
  <c r="Z146" i="32"/>
  <c r="AA146" i="32" s="1"/>
  <c r="X184" i="32"/>
  <c r="Z184" i="32" s="1"/>
  <c r="AA184" i="32" s="1"/>
  <c r="F210" i="100"/>
  <c r="G210" i="100" s="1"/>
  <c r="U201" i="100"/>
  <c r="V201" i="100" s="1"/>
  <c r="K201" i="100"/>
  <c r="L201" i="100" s="1"/>
  <c r="D295" i="100"/>
  <c r="X16" i="155"/>
  <c r="Y16" i="155" s="1"/>
  <c r="AI67" i="155"/>
  <c r="R16" i="155"/>
  <c r="S16" i="155" s="1"/>
  <c r="P17" i="155"/>
  <c r="X17" i="155" s="1"/>
  <c r="Y17" i="155" s="1"/>
  <c r="R8" i="155"/>
  <c r="S8" i="155" s="1"/>
  <c r="X8" i="155"/>
  <c r="Y8" i="155" s="1"/>
  <c r="N61" i="111"/>
  <c r="L61" i="111" s="1"/>
  <c r="L62" i="111" s="1"/>
  <c r="L63" i="111" s="1"/>
  <c r="L64" i="111" s="1"/>
  <c r="L65" i="111" s="1"/>
  <c r="L66" i="111" s="1"/>
  <c r="L67" i="111" s="1"/>
  <c r="L68" i="111" s="1"/>
  <c r="L69" i="111" s="1"/>
  <c r="L70" i="111" s="1"/>
  <c r="L71" i="111" s="1"/>
  <c r="L72" i="111" s="1"/>
  <c r="L73" i="111" s="1"/>
  <c r="AB17" i="177"/>
  <c r="CU17" i="177" s="1"/>
  <c r="P23" i="77"/>
  <c r="P114" i="77"/>
  <c r="AJ22" i="158"/>
  <c r="AJ98" i="158"/>
  <c r="HZ21" i="158"/>
  <c r="AI112" i="77"/>
  <c r="AI21" i="77"/>
  <c r="R100" i="158"/>
  <c r="HL23" i="158"/>
  <c r="R24" i="158"/>
  <c r="AG112" i="77"/>
  <c r="AG21" i="77"/>
  <c r="D110" i="158"/>
  <c r="HB33" i="158"/>
  <c r="D29" i="92"/>
  <c r="W19" i="177"/>
  <c r="N111" i="161"/>
  <c r="D34" i="158"/>
  <c r="M70" i="161"/>
  <c r="Z18" i="177"/>
  <c r="AH33" i="158"/>
  <c r="AH109" i="158"/>
  <c r="R113" i="77"/>
  <c r="R22" i="77"/>
  <c r="V23" i="158"/>
  <c r="V99" i="158"/>
  <c r="HN22" i="158"/>
  <c r="AF109" i="158"/>
  <c r="AF33" i="158"/>
  <c r="HW32" i="158"/>
  <c r="AA18" i="177"/>
  <c r="H74" i="111"/>
  <c r="F77" i="77"/>
  <c r="AS118" i="77"/>
  <c r="AD123" i="77"/>
  <c r="AD32" i="77"/>
  <c r="AI68" i="155" l="1"/>
  <c r="AI69" i="155"/>
  <c r="AI70" i="155"/>
  <c r="K310" i="100"/>
  <c r="L310" i="100" s="1"/>
  <c r="M310" i="100" s="1"/>
  <c r="F295" i="100"/>
  <c r="G295" i="100" s="1"/>
  <c r="Z19" i="177"/>
  <c r="AA19" i="177"/>
  <c r="M71" i="161"/>
  <c r="D35" i="158"/>
  <c r="N112" i="161"/>
  <c r="W20" i="177"/>
  <c r="R23" i="77"/>
  <c r="R114" i="77"/>
  <c r="D30" i="92"/>
  <c r="D111" i="158"/>
  <c r="HB34" i="158"/>
  <c r="AG113" i="77"/>
  <c r="AG22" i="77"/>
  <c r="P24" i="77"/>
  <c r="P115" i="77"/>
  <c r="V100" i="158"/>
  <c r="V24" i="158"/>
  <c r="HN23" i="158"/>
  <c r="HW33" i="158"/>
  <c r="AF34" i="158"/>
  <c r="AF110" i="158"/>
  <c r="AH34" i="158"/>
  <c r="AH110" i="158"/>
  <c r="HZ22" i="158"/>
  <c r="AJ23" i="158"/>
  <c r="AJ99" i="158"/>
  <c r="AB18" i="177"/>
  <c r="CU18" i="177" s="1"/>
  <c r="AI113" i="77"/>
  <c r="AI22" i="77"/>
  <c r="R101" i="158"/>
  <c r="HL24" i="158"/>
  <c r="R25" i="158"/>
  <c r="E27" i="36"/>
  <c r="K10" i="147" s="1"/>
  <c r="L16" i="147" s="1"/>
  <c r="P61" i="111"/>
  <c r="AD124" i="77"/>
  <c r="AD33" i="77"/>
  <c r="L39" i="147" l="1"/>
  <c r="O39" i="147" s="1"/>
  <c r="O137" i="147" s="1"/>
  <c r="K13" i="147"/>
  <c r="L33" i="147" s="1"/>
  <c r="L15" i="147"/>
  <c r="O15" i="147" s="1"/>
  <c r="O113" i="147" s="1"/>
  <c r="K109" i="147"/>
  <c r="K153" i="147" s="1"/>
  <c r="K154" i="147" s="1"/>
  <c r="L17" i="147"/>
  <c r="L115" i="147" s="1"/>
  <c r="N115" i="147" s="1"/>
  <c r="L19" i="147"/>
  <c r="O19" i="147" s="1"/>
  <c r="O116" i="147" s="1"/>
  <c r="L32" i="147"/>
  <c r="O32" i="147" s="1"/>
  <c r="O131" i="147" s="1"/>
  <c r="L26" i="147"/>
  <c r="O26" i="147" s="1"/>
  <c r="O120" i="147" s="1"/>
  <c r="L21" i="147"/>
  <c r="L117" i="147" s="1"/>
  <c r="N117" i="147" s="1"/>
  <c r="L49" i="147"/>
  <c r="L126" i="147" s="1"/>
  <c r="N126" i="147" s="1"/>
  <c r="L20" i="147"/>
  <c r="O20" i="147" s="1"/>
  <c r="L25" i="147"/>
  <c r="O25" i="147" s="1"/>
  <c r="O119" i="147" s="1"/>
  <c r="L47" i="147"/>
  <c r="L127" i="147" s="1"/>
  <c r="N127" i="147" s="1"/>
  <c r="K7" i="147"/>
  <c r="L10" i="147"/>
  <c r="L31" i="147" s="1"/>
  <c r="L129" i="147" s="1"/>
  <c r="N129" i="147" s="1"/>
  <c r="P25" i="77"/>
  <c r="P117" i="77" s="1"/>
  <c r="P116" i="77"/>
  <c r="D112" i="158"/>
  <c r="HB35" i="158"/>
  <c r="D31" i="92"/>
  <c r="AA20" i="177"/>
  <c r="AF35" i="158"/>
  <c r="HW34" i="158"/>
  <c r="AF111" i="158"/>
  <c r="R115" i="77"/>
  <c r="R24" i="77"/>
  <c r="R102" i="158"/>
  <c r="HL25" i="158"/>
  <c r="R26" i="158"/>
  <c r="AJ24" i="158"/>
  <c r="AJ100" i="158"/>
  <c r="HZ23" i="158"/>
  <c r="D36" i="158"/>
  <c r="D37" i="36"/>
  <c r="M72" i="161"/>
  <c r="N113" i="161"/>
  <c r="AI114" i="77"/>
  <c r="AI23" i="77"/>
  <c r="AH111" i="158"/>
  <c r="AH35" i="158"/>
  <c r="AB19" i="177"/>
  <c r="CU19" i="177" s="1"/>
  <c r="AG114" i="77"/>
  <c r="AG23" i="77"/>
  <c r="HN24" i="158"/>
  <c r="V25" i="158"/>
  <c r="V101" i="158"/>
  <c r="W21" i="177"/>
  <c r="Z20" i="177"/>
  <c r="D27" i="36"/>
  <c r="BZ43" i="36"/>
  <c r="K83" i="36"/>
  <c r="R85" i="36"/>
  <c r="S41" i="36"/>
  <c r="S49" i="36" s="1"/>
  <c r="R83" i="36"/>
  <c r="E26" i="77"/>
  <c r="T41" i="36"/>
  <c r="T49" i="36" s="1"/>
  <c r="S83" i="36"/>
  <c r="E41" i="36"/>
  <c r="S85" i="36"/>
  <c r="AQ27" i="36"/>
  <c r="BH26" i="77" s="1"/>
  <c r="E44" i="36"/>
  <c r="AV41" i="36"/>
  <c r="F83" i="36"/>
  <c r="T83" i="36"/>
  <c r="DF27" i="36"/>
  <c r="R44" i="36"/>
  <c r="G27" i="36"/>
  <c r="K11" i="147" s="1"/>
  <c r="K14" i="147" s="1"/>
  <c r="L14" i="147" s="1"/>
  <c r="O14" i="147" s="1"/>
  <c r="K44" i="36"/>
  <c r="K85" i="36"/>
  <c r="AN27" i="36"/>
  <c r="BA27" i="36" s="1"/>
  <c r="F44" i="36"/>
  <c r="N27" i="36"/>
  <c r="K29" i="147" s="1"/>
  <c r="L29" i="147" s="1"/>
  <c r="L28" i="147" s="1"/>
  <c r="J41" i="36"/>
  <c r="AW41" i="36"/>
  <c r="U41" i="36"/>
  <c r="U49" i="36" s="1"/>
  <c r="F85" i="36"/>
  <c r="Z27" i="36"/>
  <c r="K35" i="147" s="1"/>
  <c r="K133" i="147" s="1"/>
  <c r="DB27" i="36"/>
  <c r="T85" i="36"/>
  <c r="AD125" i="77"/>
  <c r="AD34" i="77"/>
  <c r="AD126" i="77" s="1"/>
  <c r="O16" i="147"/>
  <c r="O114" i="147" s="1"/>
  <c r="L114" i="147"/>
  <c r="N114" i="147" s="1"/>
  <c r="DY22" i="177" l="1"/>
  <c r="DE26" i="77"/>
  <c r="DF26" i="77" s="1"/>
  <c r="DH26" i="77" s="1"/>
  <c r="CI22" i="177" s="1"/>
  <c r="L119" i="147"/>
  <c r="N119" i="147" s="1"/>
  <c r="L113" i="147"/>
  <c r="N113" i="147" s="1"/>
  <c r="L131" i="147"/>
  <c r="N131" i="147" s="1"/>
  <c r="L137" i="147"/>
  <c r="N137" i="147" s="1"/>
  <c r="S29" i="147"/>
  <c r="S31" i="147" s="1"/>
  <c r="K112" i="147"/>
  <c r="O49" i="147"/>
  <c r="O126" i="147" s="1"/>
  <c r="L13" i="147"/>
  <c r="Q27" i="147" s="1"/>
  <c r="Q3" i="147"/>
  <c r="O10" i="147"/>
  <c r="O109" i="147" s="1"/>
  <c r="O31" i="147"/>
  <c r="O127" i="147" s="1"/>
  <c r="L109" i="147"/>
  <c r="N109" i="147" s="1"/>
  <c r="K124" i="147"/>
  <c r="T30" i="147"/>
  <c r="T31" i="147" s="1"/>
  <c r="O17" i="147"/>
  <c r="O115" i="147" s="1"/>
  <c r="L120" i="147"/>
  <c r="N120" i="147" s="1"/>
  <c r="L116" i="147"/>
  <c r="N116" i="147" s="1"/>
  <c r="O47" i="147"/>
  <c r="L35" i="147"/>
  <c r="O35" i="147" s="1"/>
  <c r="O133" i="147" s="1"/>
  <c r="L11" i="147"/>
  <c r="O11" i="147" s="1"/>
  <c r="BA41" i="36"/>
  <c r="K30" i="147"/>
  <c r="L132" i="147"/>
  <c r="N132" i="147" s="1"/>
  <c r="O33" i="147"/>
  <c r="O132" i="147" s="1"/>
  <c r="HB36" i="158"/>
  <c r="D32" i="92"/>
  <c r="D113" i="158"/>
  <c r="Z21" i="177"/>
  <c r="AI24" i="77"/>
  <c r="AI115" i="77"/>
  <c r="HZ24" i="158"/>
  <c r="AJ25" i="158"/>
  <c r="AJ101" i="158"/>
  <c r="AF36" i="158"/>
  <c r="AF112" i="158"/>
  <c r="HW35" i="158"/>
  <c r="HL26" i="158"/>
  <c r="R27" i="158"/>
  <c r="R103" i="158"/>
  <c r="AH36" i="158"/>
  <c r="AH112" i="158"/>
  <c r="AG115" i="77"/>
  <c r="AG24" i="77"/>
  <c r="AB20" i="177"/>
  <c r="CU20" i="177" s="1"/>
  <c r="AA21" i="177"/>
  <c r="D37" i="158"/>
  <c r="D38" i="36"/>
  <c r="N114" i="161"/>
  <c r="M73" i="161"/>
  <c r="V26" i="158"/>
  <c r="HN25" i="158"/>
  <c r="V102" i="158"/>
  <c r="R25" i="77"/>
  <c r="R117" i="77" s="1"/>
  <c r="R116" i="77"/>
  <c r="DA27" i="36"/>
  <c r="DC27" i="36"/>
  <c r="Z41" i="36"/>
  <c r="AA85" i="36"/>
  <c r="U85" i="36" s="1"/>
  <c r="AA41" i="36"/>
  <c r="AA49" i="36" s="1"/>
  <c r="AA57" i="36" s="1"/>
  <c r="Z44" i="36"/>
  <c r="AA83" i="36"/>
  <c r="U83" i="36" s="1"/>
  <c r="AA27" i="36"/>
  <c r="AA28" i="36" s="1"/>
  <c r="AA29" i="36" s="1"/>
  <c r="AA30" i="36" s="1"/>
  <c r="AA31" i="36" s="1"/>
  <c r="AA32" i="36" s="1"/>
  <c r="AA33" i="36" s="1"/>
  <c r="AA34" i="36" s="1"/>
  <c r="AA35" i="36" s="1"/>
  <c r="AA36" i="36" s="1"/>
  <c r="AA37" i="36" s="1"/>
  <c r="AA38" i="36" s="1"/>
  <c r="AA39" i="36" s="1"/>
  <c r="AA26" i="77"/>
  <c r="W27" i="36"/>
  <c r="K37" i="147" s="1"/>
  <c r="K135" i="147" s="1"/>
  <c r="AA44" i="36"/>
  <c r="U44" i="36" s="1"/>
  <c r="AQ85" i="36"/>
  <c r="AV85" i="36"/>
  <c r="BH118" i="77"/>
  <c r="BH132" i="77" s="1"/>
  <c r="E22" i="177"/>
  <c r="DC22" i="177" s="1"/>
  <c r="U57" i="36"/>
  <c r="U55" i="36"/>
  <c r="U56" i="36" s="1"/>
  <c r="U53" i="36"/>
  <c r="U51" i="36"/>
  <c r="U52" i="36" s="1"/>
  <c r="AO27" i="36"/>
  <c r="W27" i="150" s="1"/>
  <c r="G41" i="36"/>
  <c r="G26" i="77"/>
  <c r="BC41" i="36"/>
  <c r="E49" i="36"/>
  <c r="AQ41" i="36"/>
  <c r="AQ42" i="36"/>
  <c r="R41" i="36"/>
  <c r="R49" i="36" s="1"/>
  <c r="AY41" i="36"/>
  <c r="K41" i="36"/>
  <c r="K49" i="36" s="1"/>
  <c r="DE27" i="36"/>
  <c r="DG27" i="36"/>
  <c r="P27" i="36"/>
  <c r="K27" i="147" s="1"/>
  <c r="L27" i="147" s="1"/>
  <c r="AX41" i="36"/>
  <c r="N44" i="36"/>
  <c r="O41" i="36"/>
  <c r="O49" i="36" s="1"/>
  <c r="O27" i="36"/>
  <c r="O28" i="36" s="1"/>
  <c r="O29" i="36" s="1"/>
  <c r="O30" i="36" s="1"/>
  <c r="O31" i="36" s="1"/>
  <c r="O32" i="36" s="1"/>
  <c r="O33" i="36" s="1"/>
  <c r="O34" i="36" s="1"/>
  <c r="O35" i="36" s="1"/>
  <c r="O36" i="36" s="1"/>
  <c r="O37" i="36" s="1"/>
  <c r="O38" i="36" s="1"/>
  <c r="O39" i="36" s="1"/>
  <c r="O85" i="36"/>
  <c r="O83" i="36"/>
  <c r="O26" i="77"/>
  <c r="O44" i="36"/>
  <c r="D28" i="36"/>
  <c r="E9" i="147" s="1"/>
  <c r="E108" i="147" s="1"/>
  <c r="AQ83" i="36"/>
  <c r="AV83" i="36"/>
  <c r="E42" i="77"/>
  <c r="D26" i="77"/>
  <c r="DX22" i="177" s="1"/>
  <c r="BA39" i="77"/>
  <c r="BA47" i="77" s="1"/>
  <c r="H49" i="28" s="1"/>
  <c r="W39" i="77"/>
  <c r="H39" i="28" s="1"/>
  <c r="B59" i="92"/>
  <c r="L42" i="77"/>
  <c r="E77" i="77"/>
  <c r="BD39" i="77"/>
  <c r="H20" i="28" s="1"/>
  <c r="V39" i="77"/>
  <c r="V47" i="77" s="1"/>
  <c r="H35" i="28" s="1"/>
  <c r="U39" i="77"/>
  <c r="U47" i="77" s="1"/>
  <c r="H37" i="28" s="1"/>
  <c r="E39" i="77"/>
  <c r="DE39" i="77" s="1"/>
  <c r="BE39" i="77"/>
  <c r="H19" i="28" s="1"/>
  <c r="S42" i="77"/>
  <c r="V42" i="77" s="1"/>
  <c r="L39" i="77"/>
  <c r="E118" i="77"/>
  <c r="C22" i="177"/>
  <c r="CD22" i="177" s="1"/>
  <c r="CE22" i="177" s="1"/>
  <c r="CE23" i="177" s="1"/>
  <c r="CE24" i="177" s="1"/>
  <c r="CE25" i="177" s="1"/>
  <c r="CE26" i="177" s="1"/>
  <c r="CE27" i="177" s="1"/>
  <c r="CE28" i="177" s="1"/>
  <c r="CE29" i="177" s="1"/>
  <c r="CE30" i="177" s="1"/>
  <c r="CE31" i="177" s="1"/>
  <c r="CE32" i="177" s="1"/>
  <c r="CE33" i="177" s="1"/>
  <c r="CE34" i="177" s="1"/>
  <c r="C30" i="123"/>
  <c r="C43" i="123" s="1"/>
  <c r="C24" i="119"/>
  <c r="E37" i="119" s="1"/>
  <c r="AW39" i="77"/>
  <c r="H53" i="28" s="1"/>
  <c r="T39" i="77"/>
  <c r="T47" i="77" s="1"/>
  <c r="H36" i="28" s="1"/>
  <c r="K39" i="77"/>
  <c r="Q30" i="32" s="1"/>
  <c r="AD35" i="77"/>
  <c r="AD127" i="77" s="1"/>
  <c r="O29" i="147"/>
  <c r="O124" i="147" s="1"/>
  <c r="L124" i="147"/>
  <c r="N124" i="147" s="1"/>
  <c r="O28" i="147"/>
  <c r="O121" i="147" s="1"/>
  <c r="L121" i="147"/>
  <c r="N121" i="147" s="1"/>
  <c r="DJ26" i="77" l="1" a="1"/>
  <c r="DJ26" i="77" s="1"/>
  <c r="CM22" i="177" s="1"/>
  <c r="DF27" i="77"/>
  <c r="DH27" i="77" s="1"/>
  <c r="CI23" i="177" s="1"/>
  <c r="L47" i="77"/>
  <c r="DG39" i="77"/>
  <c r="DH41" i="77"/>
  <c r="L37" i="147"/>
  <c r="S30" i="147"/>
  <c r="L133" i="147"/>
  <c r="N133" i="147" s="1"/>
  <c r="L112" i="147"/>
  <c r="N112" i="147" s="1"/>
  <c r="O13" i="147"/>
  <c r="O112" i="147" s="1"/>
  <c r="K123" i="147"/>
  <c r="K125" i="147"/>
  <c r="K181" i="147" s="1"/>
  <c r="K182" i="147" s="1"/>
  <c r="L30" i="147"/>
  <c r="AD36" i="77"/>
  <c r="AK27" i="150"/>
  <c r="AJ27" i="150"/>
  <c r="V24" i="111" s="1"/>
  <c r="AG116" i="77"/>
  <c r="AG25" i="77"/>
  <c r="AG117" i="77" s="1"/>
  <c r="HW36" i="158"/>
  <c r="AF113" i="158"/>
  <c r="AF37" i="158"/>
  <c r="HN26" i="158"/>
  <c r="V27" i="158"/>
  <c r="V103" i="158"/>
  <c r="D39" i="36"/>
  <c r="D38" i="158"/>
  <c r="N115" i="161"/>
  <c r="HB37" i="158"/>
  <c r="R23" i="32"/>
  <c r="S23" i="32" s="1"/>
  <c r="T23" i="32" s="1"/>
  <c r="D39" i="158"/>
  <c r="D114" i="158"/>
  <c r="AH113" i="158"/>
  <c r="AH37" i="158"/>
  <c r="HZ25" i="158"/>
  <c r="AJ102" i="158"/>
  <c r="AJ26" i="158"/>
  <c r="Z22" i="177"/>
  <c r="AA22" i="177"/>
  <c r="R28" i="158"/>
  <c r="R104" i="158"/>
  <c r="HL27" i="158"/>
  <c r="AB21" i="177"/>
  <c r="CU21" i="177" s="1"/>
  <c r="AI116" i="77"/>
  <c r="AI25" i="77"/>
  <c r="AI117" i="77" s="1"/>
  <c r="AA51" i="36"/>
  <c r="AA52" i="36" s="1"/>
  <c r="AA55" i="36"/>
  <c r="AA56" i="36" s="1"/>
  <c r="AA53" i="36"/>
  <c r="Q33" i="32"/>
  <c r="F14" i="155"/>
  <c r="BH39" i="77"/>
  <c r="S39" i="77"/>
  <c r="S47" i="77" s="1"/>
  <c r="H34" i="28" s="1"/>
  <c r="Q28" i="32"/>
  <c r="E47" i="77"/>
  <c r="H15" i="28" s="1"/>
  <c r="Q46" i="32"/>
  <c r="BB39" i="77"/>
  <c r="BB47" i="77" s="1"/>
  <c r="H50" i="28" s="1"/>
  <c r="Q26" i="77"/>
  <c r="AP26" i="77" s="1"/>
  <c r="AP27" i="77" s="1"/>
  <c r="P39" i="77"/>
  <c r="P47" i="77" s="1"/>
  <c r="H31" i="28" s="1"/>
  <c r="D30" i="123"/>
  <c r="O39" i="77"/>
  <c r="P26" i="77"/>
  <c r="O42" i="77"/>
  <c r="O118" i="77"/>
  <c r="O132" i="77" s="1"/>
  <c r="E22" i="155" s="1"/>
  <c r="P42" i="77"/>
  <c r="D24" i="119"/>
  <c r="F37" i="119" s="1"/>
  <c r="Q42" i="32"/>
  <c r="D59" i="92"/>
  <c r="D77" i="77"/>
  <c r="D27" i="77"/>
  <c r="DX23" i="177" s="1"/>
  <c r="D118" i="77"/>
  <c r="G39" i="77"/>
  <c r="G118" i="77"/>
  <c r="G132" i="77" s="1"/>
  <c r="W47" i="77"/>
  <c r="Q44" i="32" s="1"/>
  <c r="AB40" i="77"/>
  <c r="S22" i="177"/>
  <c r="Y22" i="177" s="1"/>
  <c r="Y23" i="177" s="1"/>
  <c r="Y24" i="177" s="1"/>
  <c r="Y25" i="177" s="1"/>
  <c r="Y26" i="177" s="1"/>
  <c r="Y27" i="177" s="1"/>
  <c r="Y28" i="177" s="1"/>
  <c r="Y29" i="177" s="1"/>
  <c r="Y30" i="177" s="1"/>
  <c r="Y31" i="177" s="1"/>
  <c r="Y32" i="177" s="1"/>
  <c r="Y33" i="177" s="1"/>
  <c r="Y34" i="177" s="1"/>
  <c r="R22" i="177"/>
  <c r="X22" i="177" s="1"/>
  <c r="X23" i="177" s="1"/>
  <c r="X24" i="177" s="1"/>
  <c r="X25" i="177" s="1"/>
  <c r="X26" i="177" s="1"/>
  <c r="X27" i="177" s="1"/>
  <c r="X28" i="177" s="1"/>
  <c r="X29" i="177" s="1"/>
  <c r="X30" i="177" s="1"/>
  <c r="X31" i="177" s="1"/>
  <c r="X32" i="177" s="1"/>
  <c r="X33" i="177" s="1"/>
  <c r="X34" i="177" s="1"/>
  <c r="Q40" i="32"/>
  <c r="V55" i="77"/>
  <c r="V53" i="77"/>
  <c r="V54" i="77" s="1"/>
  <c r="V51" i="77"/>
  <c r="V49" i="77"/>
  <c r="V50" i="77" s="1"/>
  <c r="K51" i="36"/>
  <c r="K52" i="36" s="1"/>
  <c r="K53" i="36"/>
  <c r="K57" i="36"/>
  <c r="K55" i="36"/>
  <c r="K56" i="36" s="1"/>
  <c r="AO41" i="36"/>
  <c r="BF26" i="77"/>
  <c r="Q41" i="32"/>
  <c r="E57" i="36"/>
  <c r="E51" i="36"/>
  <c r="E52" i="36" s="1"/>
  <c r="E55" i="36"/>
  <c r="E56" i="36" s="1"/>
  <c r="E53" i="36"/>
  <c r="G35" i="177"/>
  <c r="AJ8" i="177" s="1"/>
  <c r="AI8" i="177" s="1"/>
  <c r="B35" i="177"/>
  <c r="F35" i="177"/>
  <c r="AJ7" i="177" s="1"/>
  <c r="C35" i="177"/>
  <c r="H22" i="177"/>
  <c r="CP22" i="177" s="1"/>
  <c r="Q22" i="177"/>
  <c r="D137" i="77"/>
  <c r="H137" i="77" s="1"/>
  <c r="I137" i="77" s="1"/>
  <c r="E132" i="77"/>
  <c r="O51" i="36"/>
  <c r="O52" i="36" s="1"/>
  <c r="O57" i="36"/>
  <c r="O53" i="36"/>
  <c r="O55" i="36"/>
  <c r="O56" i="36" s="1"/>
  <c r="R57" i="36"/>
  <c r="R55" i="36"/>
  <c r="R56" i="36" s="1"/>
  <c r="R53" i="36"/>
  <c r="R51" i="36"/>
  <c r="R52" i="36" s="1"/>
  <c r="Q31" i="32"/>
  <c r="F15" i="155"/>
  <c r="X26" i="77"/>
  <c r="X85" i="36"/>
  <c r="V85" i="36" s="1"/>
  <c r="W44" i="36"/>
  <c r="X44" i="36"/>
  <c r="X41" i="36"/>
  <c r="X27" i="36"/>
  <c r="X28" i="36" s="1"/>
  <c r="X29" i="36" s="1"/>
  <c r="X30" i="36" s="1"/>
  <c r="X31" i="36" s="1"/>
  <c r="X32" i="36" s="1"/>
  <c r="X33" i="36" s="1"/>
  <c r="X34" i="36" s="1"/>
  <c r="X35" i="36" s="1"/>
  <c r="X36" i="36" s="1"/>
  <c r="X37" i="36" s="1"/>
  <c r="X38" i="36" s="1"/>
  <c r="X39" i="36" s="1"/>
  <c r="W41" i="36"/>
  <c r="X83" i="36"/>
  <c r="V83" i="36" s="1"/>
  <c r="AD27" i="36"/>
  <c r="Q27" i="36"/>
  <c r="Q28" i="36" s="1"/>
  <c r="Q29" i="36" s="1"/>
  <c r="Q30" i="36" s="1"/>
  <c r="Q31" i="36" s="1"/>
  <c r="Q32" i="36" s="1"/>
  <c r="Q33" i="36" s="1"/>
  <c r="Q34" i="36" s="1"/>
  <c r="Q35" i="36" s="1"/>
  <c r="Q36" i="36" s="1"/>
  <c r="Q37" i="36" s="1"/>
  <c r="Q38" i="36" s="1"/>
  <c r="Q39" i="36" s="1"/>
  <c r="Q83" i="36"/>
  <c r="Q85" i="36"/>
  <c r="Q41" i="36"/>
  <c r="P41" i="36"/>
  <c r="Q44" i="36"/>
  <c r="L44" i="36" s="1"/>
  <c r="M44" i="36" s="1"/>
  <c r="P44" i="36"/>
  <c r="D15" i="126"/>
  <c r="F15" i="126" s="1"/>
  <c r="G15" i="126" s="1"/>
  <c r="S30" i="32"/>
  <c r="T30" i="32" s="1"/>
  <c r="Q69" i="32"/>
  <c r="F35" i="155"/>
  <c r="H35" i="155" s="1"/>
  <c r="I35" i="155" s="1"/>
  <c r="D29" i="36"/>
  <c r="F9" i="147" s="1"/>
  <c r="F108" i="147" s="1"/>
  <c r="AA118" i="77"/>
  <c r="AA132" i="77" s="1"/>
  <c r="E7" i="155" s="1"/>
  <c r="AB39" i="77"/>
  <c r="AB47" i="77" s="1"/>
  <c r="C29" i="115"/>
  <c r="C42" i="115" s="1"/>
  <c r="AB26" i="77"/>
  <c r="AE26" i="77"/>
  <c r="AA39" i="77"/>
  <c r="Q31" i="147"/>
  <c r="U31" i="147" s="1"/>
  <c r="Q30" i="147"/>
  <c r="U27" i="147"/>
  <c r="V27" i="147" s="1"/>
  <c r="Q29" i="147"/>
  <c r="U29" i="147" s="1"/>
  <c r="Q28" i="147"/>
  <c r="U28" i="147" s="1"/>
  <c r="L123" i="147"/>
  <c r="N123" i="147" s="1"/>
  <c r="O27" i="147"/>
  <c r="O123" i="147" s="1"/>
  <c r="U30" i="147" l="1"/>
  <c r="V30" i="147" s="1"/>
  <c r="H29" i="28"/>
  <c r="L49" i="77"/>
  <c r="L50" i="77" s="1"/>
  <c r="L55" i="77"/>
  <c r="L51" i="77"/>
  <c r="L53" i="77"/>
  <c r="L54" i="77" s="1"/>
  <c r="Q34" i="32"/>
  <c r="O37" i="147"/>
  <c r="O135" i="147" s="1"/>
  <c r="L135" i="147"/>
  <c r="N135" i="147" s="1"/>
  <c r="AD37" i="77"/>
  <c r="AD128" i="77"/>
  <c r="DF28" i="77"/>
  <c r="DH28" i="77" s="1"/>
  <c r="CI24" i="177" s="1"/>
  <c r="DJ27" i="77" a="1"/>
  <c r="DJ27" i="77" s="1"/>
  <c r="CM23" i="177" s="1"/>
  <c r="O30" i="147"/>
  <c r="O125" i="147" s="1"/>
  <c r="L125" i="147"/>
  <c r="N125" i="147" s="1"/>
  <c r="H17" i="28"/>
  <c r="H16" i="28"/>
  <c r="H12" i="28"/>
  <c r="H60" i="28" s="1"/>
  <c r="H62" i="28" s="1"/>
  <c r="AU27" i="150"/>
  <c r="AV27" i="150" s="1"/>
  <c r="AZ27" i="150" s="1"/>
  <c r="BQ27" i="150" s="1"/>
  <c r="BS27" i="150" s="1"/>
  <c r="BM27" i="150"/>
  <c r="BO27" i="150" s="1"/>
  <c r="BB132" i="77"/>
  <c r="E32" i="155" s="1"/>
  <c r="R29" i="158"/>
  <c r="R105" i="158"/>
  <c r="HL28" i="158"/>
  <c r="AH114" i="158"/>
  <c r="AH38" i="158"/>
  <c r="AA23" i="177"/>
  <c r="D115" i="158"/>
  <c r="HB38" i="158"/>
  <c r="HW37" i="158"/>
  <c r="AF38" i="158"/>
  <c r="AF114" i="158"/>
  <c r="Z23" i="177"/>
  <c r="V28" i="158"/>
  <c r="HN27" i="158"/>
  <c r="V104" i="158"/>
  <c r="AJ103" i="158"/>
  <c r="HZ26" i="158"/>
  <c r="AJ27" i="158"/>
  <c r="S132" i="77"/>
  <c r="E25" i="155" s="1"/>
  <c r="BA132" i="77"/>
  <c r="E31" i="155" s="1"/>
  <c r="BC132" i="77"/>
  <c r="BD132" i="77"/>
  <c r="E15" i="155" s="1"/>
  <c r="T132" i="77"/>
  <c r="BE132" i="77"/>
  <c r="E13" i="155" s="1"/>
  <c r="AW132" i="77"/>
  <c r="E14" i="155" s="1"/>
  <c r="L132" i="77"/>
  <c r="E10" i="155"/>
  <c r="E12" i="155" s="1"/>
  <c r="D138" i="77"/>
  <c r="M35" i="177"/>
  <c r="W40" i="150"/>
  <c r="E53" i="77"/>
  <c r="E54" i="77" s="1"/>
  <c r="S29" i="28"/>
  <c r="E51" i="77"/>
  <c r="E55" i="77"/>
  <c r="Q27" i="32"/>
  <c r="E49" i="77"/>
  <c r="E50" i="77" s="1"/>
  <c r="X49" i="36"/>
  <c r="V41" i="36"/>
  <c r="V49" i="36" s="1"/>
  <c r="D30" i="36"/>
  <c r="G9" i="147" s="1"/>
  <c r="G108" i="147" s="1"/>
  <c r="BF39" i="77"/>
  <c r="BF118" i="77"/>
  <c r="D32" i="126"/>
  <c r="S44" i="32"/>
  <c r="T44" i="32" s="1"/>
  <c r="Q82" i="32"/>
  <c r="S28" i="32"/>
  <c r="T28" i="32" s="1"/>
  <c r="D11" i="126"/>
  <c r="F11" i="126" s="1"/>
  <c r="G11" i="126" s="1"/>
  <c r="Q67" i="32"/>
  <c r="E43" i="123"/>
  <c r="D43" i="123"/>
  <c r="S49" i="77"/>
  <c r="S50" i="77" s="1"/>
  <c r="S51" i="77"/>
  <c r="S55" i="77"/>
  <c r="Q39" i="32"/>
  <c r="S53" i="77"/>
  <c r="S54" i="77" s="1"/>
  <c r="I43" i="115"/>
  <c r="Q18" i="32"/>
  <c r="L85" i="36"/>
  <c r="M85" i="36"/>
  <c r="P53" i="77"/>
  <c r="P54" i="77" s="1"/>
  <c r="Q36" i="32"/>
  <c r="P49" i="77"/>
  <c r="P50" i="77" s="1"/>
  <c r="P51" i="77"/>
  <c r="P55" i="77"/>
  <c r="D14" i="126"/>
  <c r="F14" i="126" s="1"/>
  <c r="G14" i="126" s="1"/>
  <c r="Q29" i="32"/>
  <c r="AE27" i="77"/>
  <c r="AE118" i="77"/>
  <c r="S69" i="32"/>
  <c r="T69" i="32" s="1"/>
  <c r="X69" i="32"/>
  <c r="Z69" i="32" s="1"/>
  <c r="AA69" i="32" s="1"/>
  <c r="L83" i="36"/>
  <c r="M83" i="36"/>
  <c r="W22" i="177"/>
  <c r="S40" i="32"/>
  <c r="T40" i="32" s="1"/>
  <c r="D28" i="126"/>
  <c r="F28" i="126" s="1"/>
  <c r="G28" i="126" s="1"/>
  <c r="Q78" i="32"/>
  <c r="F26" i="155"/>
  <c r="C75" i="115"/>
  <c r="Q42" i="77"/>
  <c r="Q39" i="77"/>
  <c r="C89" i="115" s="1"/>
  <c r="Q118" i="77"/>
  <c r="Q132" i="77" s="1"/>
  <c r="E5" i="155" s="1"/>
  <c r="R39" i="77"/>
  <c r="AH26" i="77"/>
  <c r="R42" i="77"/>
  <c r="M42" i="77" s="1"/>
  <c r="N42" i="77" s="1"/>
  <c r="R26" i="77"/>
  <c r="AF26" i="77"/>
  <c r="AB118" i="77"/>
  <c r="AB27" i="77"/>
  <c r="H15" i="155"/>
  <c r="I15" i="155" s="1"/>
  <c r="K15" i="155"/>
  <c r="L15" i="155" s="1"/>
  <c r="N15" i="155"/>
  <c r="O15" i="155" s="1"/>
  <c r="V22" i="177"/>
  <c r="CT22" i="177" s="1"/>
  <c r="H35" i="177"/>
  <c r="V35" i="177" s="1"/>
  <c r="Q47" i="32"/>
  <c r="H14" i="155"/>
  <c r="I14" i="155" s="1"/>
  <c r="N14" i="155"/>
  <c r="O14" i="155" s="1"/>
  <c r="K14" i="155"/>
  <c r="L14" i="155" s="1"/>
  <c r="Q49" i="36"/>
  <c r="L41" i="36"/>
  <c r="AD41" i="36"/>
  <c r="AE85" i="36"/>
  <c r="AD44" i="36"/>
  <c r="AE44" i="36"/>
  <c r="AE27" i="36"/>
  <c r="AE28" i="36" s="1"/>
  <c r="AE29" i="36" s="1"/>
  <c r="AE30" i="36" s="1"/>
  <c r="AE31" i="36" s="1"/>
  <c r="AE32" i="36" s="1"/>
  <c r="AE33" i="36" s="1"/>
  <c r="AE34" i="36" s="1"/>
  <c r="AE35" i="36" s="1"/>
  <c r="AE36" i="36" s="1"/>
  <c r="AE37" i="36" s="1"/>
  <c r="AE38" i="36" s="1"/>
  <c r="AE39" i="36" s="1"/>
  <c r="AE83" i="36"/>
  <c r="AE41" i="36"/>
  <c r="AE49" i="36" s="1"/>
  <c r="X42" i="77"/>
  <c r="Y42" i="77"/>
  <c r="Y39" i="77"/>
  <c r="Y47" i="77" s="1"/>
  <c r="X39" i="77"/>
  <c r="H38" i="28" s="1"/>
  <c r="Y26" i="77"/>
  <c r="X118" i="77"/>
  <c r="X132" i="77" s="1"/>
  <c r="S31" i="32"/>
  <c r="T31" i="32" s="1"/>
  <c r="D17" i="126"/>
  <c r="F17" i="126" s="1"/>
  <c r="G17" i="126" s="1"/>
  <c r="E35" i="177"/>
  <c r="AJ6" i="177" s="1"/>
  <c r="AG6" i="177" s="1"/>
  <c r="AH6" i="177" s="1"/>
  <c r="AI6" i="177" s="1"/>
  <c r="D60" i="92"/>
  <c r="D28" i="77"/>
  <c r="DX24" i="177" s="1"/>
  <c r="D119" i="77"/>
  <c r="D78" i="77"/>
  <c r="S53" i="28"/>
  <c r="F28" i="155"/>
  <c r="BA43" i="32"/>
  <c r="BA42" i="32" s="1"/>
  <c r="D30" i="126"/>
  <c r="S42" i="32"/>
  <c r="T42" i="32" s="1"/>
  <c r="Q80" i="32"/>
  <c r="BJ44" i="32"/>
  <c r="AH7" i="177"/>
  <c r="AI7" i="177"/>
  <c r="S41" i="32"/>
  <c r="T41" i="32" s="1"/>
  <c r="BI44" i="32"/>
  <c r="D29" i="126"/>
  <c r="AZ43" i="32"/>
  <c r="AZ41" i="32" s="1"/>
  <c r="AZ42" i="32" s="1"/>
  <c r="Q79" i="32"/>
  <c r="F27" i="155"/>
  <c r="P27" i="77"/>
  <c r="P118" i="77"/>
  <c r="F31" i="155"/>
  <c r="Q84" i="32"/>
  <c r="D31" i="156"/>
  <c r="D72" i="126"/>
  <c r="S46" i="32"/>
  <c r="T46" i="32" s="1"/>
  <c r="D34" i="126"/>
  <c r="F13" i="155"/>
  <c r="S33" i="32"/>
  <c r="T33" i="32" s="1"/>
  <c r="D16" i="126"/>
  <c r="F16" i="126" s="1"/>
  <c r="G16" i="126" s="1"/>
  <c r="V28" i="147"/>
  <c r="V29" i="147"/>
  <c r="S34" i="32" l="1"/>
  <c r="T34" i="32" s="1"/>
  <c r="D22" i="126"/>
  <c r="F22" i="126" s="1"/>
  <c r="G22" i="126" s="1"/>
  <c r="Q72" i="32"/>
  <c r="AF43" i="32"/>
  <c r="F20" i="155"/>
  <c r="AD38" i="77"/>
  <c r="AD130" i="77" s="1"/>
  <c r="AD129" i="77"/>
  <c r="DJ28" i="77" a="1"/>
  <c r="DJ28" i="77" s="1"/>
  <c r="CM24" i="177" s="1"/>
  <c r="DF29" i="77"/>
  <c r="DH29" i="77" s="1"/>
  <c r="CI25" i="177" s="1"/>
  <c r="V31" i="147"/>
  <c r="AH9" i="177"/>
  <c r="AH115" i="158"/>
  <c r="AH39" i="158"/>
  <c r="AJ28" i="158"/>
  <c r="HZ27" i="158"/>
  <c r="AJ104" i="158"/>
  <c r="AF115" i="158"/>
  <c r="HW38" i="158"/>
  <c r="HL29" i="158"/>
  <c r="R106" i="158"/>
  <c r="R30" i="158"/>
  <c r="V29" i="158"/>
  <c r="HN28" i="158"/>
  <c r="V105" i="158"/>
  <c r="Z24" i="177"/>
  <c r="AA24" i="177"/>
  <c r="AZ27" i="36"/>
  <c r="K18" i="147" s="1"/>
  <c r="L18" i="147" s="1"/>
  <c r="U35" i="177"/>
  <c r="S34" i="28"/>
  <c r="Z29" i="28"/>
  <c r="AA29" i="28" s="1"/>
  <c r="Q148" i="32"/>
  <c r="S148" i="32" s="1"/>
  <c r="T148" i="32" s="1"/>
  <c r="D10" i="126"/>
  <c r="F10" i="126" s="1"/>
  <c r="Q66" i="32"/>
  <c r="S27" i="32"/>
  <c r="T27" i="32" s="1"/>
  <c r="F10" i="155"/>
  <c r="F12" i="155" s="1"/>
  <c r="S84" i="32"/>
  <c r="T84" i="32" s="1"/>
  <c r="X84" i="32"/>
  <c r="Z84" i="32" s="1"/>
  <c r="AA84" i="32" s="1"/>
  <c r="BI43" i="32"/>
  <c r="BI41" i="32"/>
  <c r="BI42" i="32"/>
  <c r="Y118" i="77"/>
  <c r="Y27" i="77"/>
  <c r="AI39" i="77"/>
  <c r="AH39" i="77"/>
  <c r="AI26" i="77"/>
  <c r="AH118" i="77"/>
  <c r="AH132" i="77" s="1"/>
  <c r="Q74" i="32"/>
  <c r="S36" i="32"/>
  <c r="T36" i="32" s="1"/>
  <c r="F22" i="155"/>
  <c r="D24" i="126"/>
  <c r="F24" i="126" s="1"/>
  <c r="G24" i="126" s="1"/>
  <c r="F25" i="155"/>
  <c r="D27" i="126"/>
  <c r="F27" i="126" s="1"/>
  <c r="G27" i="126" s="1"/>
  <c r="Q77" i="32"/>
  <c r="AY43" i="32"/>
  <c r="BH44" i="32"/>
  <c r="S39" i="32"/>
  <c r="T39" i="32" s="1"/>
  <c r="F33" i="155"/>
  <c r="H33" i="155" s="1"/>
  <c r="I33" i="155" s="1"/>
  <c r="D12" i="126"/>
  <c r="F12" i="126" s="1"/>
  <c r="G12" i="126" s="1"/>
  <c r="AE6" i="177"/>
  <c r="R35" i="177"/>
  <c r="S35" i="177"/>
  <c r="I29" i="126"/>
  <c r="J29" i="126" s="1"/>
  <c r="F29" i="126"/>
  <c r="G29" i="126" s="1"/>
  <c r="O29" i="126" s="1"/>
  <c r="P29" i="126" s="1"/>
  <c r="L29" i="126"/>
  <c r="M29" i="126" s="1"/>
  <c r="K31" i="155"/>
  <c r="L31" i="155" s="1"/>
  <c r="N31" i="155"/>
  <c r="O31" i="155" s="1"/>
  <c r="H31" i="155"/>
  <c r="I31" i="155" s="1"/>
  <c r="BJ43" i="32"/>
  <c r="BJ42" i="32"/>
  <c r="V38" i="28"/>
  <c r="S38" i="28"/>
  <c r="U38" i="28"/>
  <c r="K27" i="163" s="1"/>
  <c r="R47" i="77"/>
  <c r="H10" i="28" s="1"/>
  <c r="M39" i="77"/>
  <c r="AE119" i="77"/>
  <c r="AE28" i="77"/>
  <c r="AJ9" i="177"/>
  <c r="AJ11" i="177" s="1"/>
  <c r="L31" i="156"/>
  <c r="M31" i="156" s="1"/>
  <c r="O31" i="156"/>
  <c r="P31" i="156" s="1"/>
  <c r="I31" i="156"/>
  <c r="J31" i="156" s="1"/>
  <c r="F31" i="156"/>
  <c r="G31" i="156" s="1"/>
  <c r="AI9" i="177"/>
  <c r="X80" i="32"/>
  <c r="Z80" i="32" s="1"/>
  <c r="AA80" i="32" s="1"/>
  <c r="S80" i="32"/>
  <c r="T80" i="32" s="1"/>
  <c r="D61" i="92"/>
  <c r="D79" i="77"/>
  <c r="D120" i="77"/>
  <c r="D29" i="77"/>
  <c r="DX25" i="177" s="1"/>
  <c r="Y49" i="77"/>
  <c r="Y50" i="77" s="1"/>
  <c r="Y55" i="77"/>
  <c r="Q43" i="32"/>
  <c r="Y51" i="77"/>
  <c r="Y53" i="77"/>
  <c r="Y54" i="77" s="1"/>
  <c r="D32" i="156"/>
  <c r="D73" i="126"/>
  <c r="Q85" i="32"/>
  <c r="S47" i="32"/>
  <c r="T47" i="32" s="1"/>
  <c r="D35" i="126"/>
  <c r="F32" i="155"/>
  <c r="AB119" i="77"/>
  <c r="AB28" i="77"/>
  <c r="M132" i="77"/>
  <c r="N132" i="77"/>
  <c r="E23" i="155" s="1"/>
  <c r="Q134" i="77"/>
  <c r="S29" i="32"/>
  <c r="T29" i="32" s="1"/>
  <c r="Q68" i="32"/>
  <c r="AD43" i="32"/>
  <c r="V45" i="28"/>
  <c r="U15" i="28"/>
  <c r="U20" i="28"/>
  <c r="K15" i="163" s="1"/>
  <c r="U45" i="28"/>
  <c r="V15" i="28"/>
  <c r="V35" i="28"/>
  <c r="S15" i="28"/>
  <c r="U49" i="28"/>
  <c r="K28" i="163" s="1"/>
  <c r="S45" i="28"/>
  <c r="S35" i="28"/>
  <c r="V41" i="28"/>
  <c r="V34" i="28"/>
  <c r="U41" i="28"/>
  <c r="S41" i="28"/>
  <c r="V37" i="28"/>
  <c r="U29" i="28"/>
  <c r="K20" i="163" s="1"/>
  <c r="U36" i="28"/>
  <c r="U53" i="28"/>
  <c r="V49" i="28"/>
  <c r="S36" i="28"/>
  <c r="S37" i="28"/>
  <c r="S20" i="28"/>
  <c r="Z20" i="28" s="1"/>
  <c r="AA20" i="28" s="1"/>
  <c r="U34" i="28"/>
  <c r="K25" i="163" s="1"/>
  <c r="V53" i="28"/>
  <c r="V20" i="28"/>
  <c r="U37" i="28"/>
  <c r="S49" i="28"/>
  <c r="Q160" i="32" s="1"/>
  <c r="S19" i="28"/>
  <c r="Z19" i="28" s="1"/>
  <c r="AA19" i="28" s="1"/>
  <c r="V29" i="28"/>
  <c r="V19" i="28"/>
  <c r="U19" i="28"/>
  <c r="U35" i="28"/>
  <c r="V36" i="28"/>
  <c r="AG9" i="177"/>
  <c r="E29" i="155"/>
  <c r="W132" i="77"/>
  <c r="H13" i="155"/>
  <c r="I13" i="155" s="1"/>
  <c r="N13" i="155"/>
  <c r="O13" i="155" s="1"/>
  <c r="K13" i="155"/>
  <c r="L13" i="155" s="1"/>
  <c r="P119" i="77"/>
  <c r="P28" i="77"/>
  <c r="W23" i="177"/>
  <c r="D31" i="36"/>
  <c r="H9" i="147" s="1"/>
  <c r="H108" i="147" s="1"/>
  <c r="D141" i="77"/>
  <c r="D142" i="77"/>
  <c r="H138" i="77"/>
  <c r="I138" i="77" s="1"/>
  <c r="D140" i="77"/>
  <c r="D139" i="77"/>
  <c r="H139" i="77" s="1"/>
  <c r="L34" i="126"/>
  <c r="M34" i="126" s="1"/>
  <c r="O34" i="126"/>
  <c r="P34" i="126" s="1"/>
  <c r="I34" i="126"/>
  <c r="J34" i="126" s="1"/>
  <c r="F34" i="126"/>
  <c r="G34" i="126" s="1"/>
  <c r="K27" i="155"/>
  <c r="L27" i="155" s="1"/>
  <c r="H27" i="155"/>
  <c r="I27" i="155" s="1"/>
  <c r="L30" i="126"/>
  <c r="M30" i="126" s="1"/>
  <c r="F30" i="126"/>
  <c r="G30" i="126" s="1"/>
  <c r="O30" i="126" s="1"/>
  <c r="P30" i="126" s="1"/>
  <c r="I30" i="126"/>
  <c r="J30" i="126" s="1"/>
  <c r="M41" i="36"/>
  <c r="L49" i="36"/>
  <c r="AF39" i="77"/>
  <c r="Q11" i="32" s="1"/>
  <c r="AF118" i="77"/>
  <c r="AF132" i="77" s="1"/>
  <c r="AG39" i="77"/>
  <c r="AG42" i="77"/>
  <c r="AF42" i="77"/>
  <c r="AG26" i="77"/>
  <c r="S46" i="28"/>
  <c r="S50" i="28"/>
  <c r="Q161" i="32" s="1"/>
  <c r="U42" i="28"/>
  <c r="U31" i="28"/>
  <c r="V46" i="28"/>
  <c r="U46" i="28"/>
  <c r="V42" i="28"/>
  <c r="S31" i="28"/>
  <c r="V31" i="28"/>
  <c r="S42" i="28"/>
  <c r="V50" i="28"/>
  <c r="U50" i="28"/>
  <c r="K29" i="163" s="1"/>
  <c r="Q6" i="32"/>
  <c r="Q21" i="32"/>
  <c r="Q63" i="32" s="1"/>
  <c r="X63" i="32" s="1"/>
  <c r="D6" i="126"/>
  <c r="F7" i="155"/>
  <c r="Q60" i="32"/>
  <c r="S18" i="32"/>
  <c r="T18" i="32" s="1"/>
  <c r="X82" i="32"/>
  <c r="Z82" i="32" s="1"/>
  <c r="AA82" i="32" s="1"/>
  <c r="S82" i="32"/>
  <c r="T82" i="32" s="1"/>
  <c r="E11" i="155"/>
  <c r="S79" i="32"/>
  <c r="T79" i="32" s="1"/>
  <c r="X79" i="32"/>
  <c r="Z79" i="32" s="1"/>
  <c r="AA79" i="32" s="1"/>
  <c r="Q53" i="36"/>
  <c r="Q55" i="36"/>
  <c r="Q56" i="36" s="1"/>
  <c r="Q51" i="36"/>
  <c r="Q52" i="36" s="1"/>
  <c r="Q57" i="36"/>
  <c r="C88" i="115"/>
  <c r="X53" i="36"/>
  <c r="X51" i="36"/>
  <c r="X52" i="36" s="1"/>
  <c r="X57" i="36"/>
  <c r="X55" i="36"/>
  <c r="X56" i="36" s="1"/>
  <c r="E20" i="155"/>
  <c r="F140" i="77"/>
  <c r="V132" i="77"/>
  <c r="E26" i="155" s="1"/>
  <c r="X78" i="32"/>
  <c r="Z78" i="32" s="1"/>
  <c r="AA78" i="32" s="1"/>
  <c r="S78" i="32"/>
  <c r="T78" i="32" s="1"/>
  <c r="D73" i="144"/>
  <c r="I73" i="144" s="1"/>
  <c r="L72" i="126"/>
  <c r="M72" i="126" s="1"/>
  <c r="F72" i="126"/>
  <c r="G72" i="126" s="1"/>
  <c r="I72" i="126"/>
  <c r="J72" i="126" s="1"/>
  <c r="H28" i="155"/>
  <c r="I28" i="155" s="1"/>
  <c r="K28" i="155"/>
  <c r="L28" i="155" s="1"/>
  <c r="AB22" i="177"/>
  <c r="CU22" i="177" s="1"/>
  <c r="R118" i="77"/>
  <c r="R27" i="77"/>
  <c r="K26" i="155"/>
  <c r="L26" i="155" s="1"/>
  <c r="N26" i="155"/>
  <c r="O26" i="155" s="1"/>
  <c r="H26" i="155"/>
  <c r="I26" i="155" s="1"/>
  <c r="X67" i="32"/>
  <c r="Z67" i="32" s="1"/>
  <c r="AA67" i="32" s="1"/>
  <c r="S67" i="32"/>
  <c r="T67" i="32" s="1"/>
  <c r="O32" i="126"/>
  <c r="P32" i="126" s="1"/>
  <c r="F32" i="126"/>
  <c r="G32" i="126" s="1"/>
  <c r="L32" i="126"/>
  <c r="M32" i="126" s="1"/>
  <c r="I32" i="126"/>
  <c r="J32" i="126" s="1"/>
  <c r="T35" i="177"/>
  <c r="X72" i="32" l="1"/>
  <c r="Z72" i="32" s="1"/>
  <c r="AA72" i="32" s="1"/>
  <c r="S72" i="32"/>
  <c r="T72" i="32" s="1"/>
  <c r="AF41" i="32"/>
  <c r="AN43" i="32"/>
  <c r="AF42" i="32"/>
  <c r="E149" i="155"/>
  <c r="AI137" i="155"/>
  <c r="E47" i="155"/>
  <c r="AJ47" i="155"/>
  <c r="K20" i="155"/>
  <c r="L20" i="155" s="1"/>
  <c r="H20" i="155"/>
  <c r="I20" i="155" s="1"/>
  <c r="E83" i="155"/>
  <c r="N20" i="155"/>
  <c r="O20" i="155" s="1"/>
  <c r="E111" i="155"/>
  <c r="DF30" i="77"/>
  <c r="DH30" i="77" s="1"/>
  <c r="CI26" i="177" s="1"/>
  <c r="DJ29" i="77" a="1"/>
  <c r="DJ29" i="77" s="1"/>
  <c r="CM25" i="177" s="1"/>
  <c r="DJ41" i="77"/>
  <c r="DI39" i="77"/>
  <c r="O18" i="147"/>
  <c r="O122" i="147" s="1"/>
  <c r="L122" i="147"/>
  <c r="N122" i="147" s="1"/>
  <c r="H57" i="28"/>
  <c r="H8" i="28"/>
  <c r="AH11" i="177"/>
  <c r="AH18" i="177" s="1"/>
  <c r="AI11" i="177"/>
  <c r="AI18" i="177" s="1"/>
  <c r="P15" i="163"/>
  <c r="Q15" i="163" s="1"/>
  <c r="M15" i="163"/>
  <c r="N15" i="163" s="1"/>
  <c r="S15" i="163"/>
  <c r="T15" i="163" s="1"/>
  <c r="M25" i="163"/>
  <c r="N25" i="163" s="1"/>
  <c r="S25" i="163"/>
  <c r="T25" i="163" s="1"/>
  <c r="P25" i="163"/>
  <c r="Q25" i="163" s="1"/>
  <c r="Q114" i="32"/>
  <c r="N16" i="126" s="1"/>
  <c r="P16" i="126" s="1"/>
  <c r="Q16" i="126" s="1"/>
  <c r="K13" i="163"/>
  <c r="P28" i="163"/>
  <c r="Q28" i="163" s="1"/>
  <c r="M28" i="163"/>
  <c r="N28" i="163" s="1"/>
  <c r="S28" i="163"/>
  <c r="T28" i="163" s="1"/>
  <c r="P27" i="163"/>
  <c r="Q27" i="163" s="1"/>
  <c r="M27" i="163"/>
  <c r="N27" i="163" s="1"/>
  <c r="S27" i="163"/>
  <c r="T27" i="163" s="1"/>
  <c r="P10" i="155"/>
  <c r="P12" i="155" s="1"/>
  <c r="K10" i="163"/>
  <c r="P14" i="155"/>
  <c r="X14" i="155" s="1"/>
  <c r="Y14" i="155" s="1"/>
  <c r="K14" i="163"/>
  <c r="P29" i="163"/>
  <c r="Q29" i="163" s="1"/>
  <c r="S29" i="163"/>
  <c r="T29" i="163" s="1"/>
  <c r="M29" i="163"/>
  <c r="N29" i="163" s="1"/>
  <c r="AA47" i="163"/>
  <c r="P20" i="163"/>
  <c r="Q20" i="163" s="1"/>
  <c r="S20" i="163"/>
  <c r="T20" i="163" s="1"/>
  <c r="M20" i="163"/>
  <c r="N20" i="163" s="1"/>
  <c r="F11" i="155"/>
  <c r="Z25" i="177"/>
  <c r="V30" i="158"/>
  <c r="HN29" i="158"/>
  <c r="V106" i="158"/>
  <c r="AJ29" i="158"/>
  <c r="HZ28" i="158"/>
  <c r="AJ105" i="158"/>
  <c r="R31" i="158"/>
  <c r="R107" i="158"/>
  <c r="HL30" i="158"/>
  <c r="AA25" i="177"/>
  <c r="Z43" i="150" a="1"/>
  <c r="K122" i="147"/>
  <c r="Q153" i="32"/>
  <c r="S153" i="32" s="1"/>
  <c r="T153" i="32" s="1"/>
  <c r="Z34" i="28"/>
  <c r="AA34" i="28" s="1"/>
  <c r="Q118" i="32"/>
  <c r="D106" i="100"/>
  <c r="D102" i="117"/>
  <c r="F102" i="117" s="1"/>
  <c r="G102" i="117" s="1"/>
  <c r="Q27" i="156"/>
  <c r="S68" i="32"/>
  <c r="T68" i="32" s="1"/>
  <c r="X68" i="32"/>
  <c r="Z68" i="32" s="1"/>
  <c r="AA68" i="32" s="1"/>
  <c r="R119" i="77"/>
  <c r="R28" i="77"/>
  <c r="E71" i="155"/>
  <c r="E178" i="155"/>
  <c r="Q53" i="32"/>
  <c r="S11" i="32"/>
  <c r="T11" i="32" s="1"/>
  <c r="Q117" i="32"/>
  <c r="Q26" i="156"/>
  <c r="D105" i="100"/>
  <c r="D101" i="117"/>
  <c r="F101" i="117" s="1"/>
  <c r="G101" i="117" s="1"/>
  <c r="Z35" i="28"/>
  <c r="AA35" i="28" s="1"/>
  <c r="Q154" i="32"/>
  <c r="S154" i="32" s="1"/>
  <c r="T154" i="32" s="1"/>
  <c r="Q16" i="156"/>
  <c r="Q109" i="32"/>
  <c r="F35" i="126"/>
  <c r="G35" i="126" s="1"/>
  <c r="I35" i="126"/>
  <c r="J35" i="126" s="1"/>
  <c r="O35" i="126"/>
  <c r="P35" i="126" s="1"/>
  <c r="L35" i="126"/>
  <c r="M35" i="126" s="1"/>
  <c r="S77" i="32"/>
  <c r="T77" i="32" s="1"/>
  <c r="X77" i="32"/>
  <c r="Z77" i="32" s="1"/>
  <c r="AA77" i="32" s="1"/>
  <c r="AI27" i="77"/>
  <c r="AI118" i="77"/>
  <c r="S161" i="32"/>
  <c r="T161" i="32" s="1"/>
  <c r="X161" i="32"/>
  <c r="Z161" i="32" s="1"/>
  <c r="AA161" i="32" s="1"/>
  <c r="L51" i="36"/>
  <c r="L52" i="36" s="1"/>
  <c r="L53" i="36"/>
  <c r="L57" i="36"/>
  <c r="L55" i="36"/>
  <c r="L56" i="36" s="1"/>
  <c r="D104" i="100"/>
  <c r="Q116" i="32"/>
  <c r="D100" i="117"/>
  <c r="F100" i="117" s="1"/>
  <c r="G100" i="117" s="1"/>
  <c r="Q25" i="156"/>
  <c r="Q19" i="156"/>
  <c r="D98" i="100"/>
  <c r="Q110" i="32"/>
  <c r="D94" i="117"/>
  <c r="F94" i="117" s="1"/>
  <c r="G94" i="117" s="1"/>
  <c r="U16" i="28"/>
  <c r="K11" i="163" s="1"/>
  <c r="D88" i="117"/>
  <c r="F88" i="117" s="1"/>
  <c r="G88" i="117" s="1"/>
  <c r="Q104" i="32"/>
  <c r="D92" i="100"/>
  <c r="Q12" i="156"/>
  <c r="AE29" i="77"/>
  <c r="AE120" i="77"/>
  <c r="Q35" i="177"/>
  <c r="Q123" i="32"/>
  <c r="P32" i="155" s="1"/>
  <c r="Q32" i="156"/>
  <c r="D107" i="117"/>
  <c r="F107" i="117" s="1"/>
  <c r="G107" i="117" s="1"/>
  <c r="P29" i="77"/>
  <c r="P120" i="77"/>
  <c r="S60" i="32"/>
  <c r="T60" i="32" s="1"/>
  <c r="X60" i="32"/>
  <c r="Z60" i="32" s="1"/>
  <c r="AA60" i="32" s="1"/>
  <c r="M49" i="36"/>
  <c r="N41" i="36"/>
  <c r="Q24" i="156"/>
  <c r="Q115" i="32"/>
  <c r="D99" i="117"/>
  <c r="F99" i="117" s="1"/>
  <c r="G99" i="117" s="1"/>
  <c r="D103" i="100"/>
  <c r="Q122" i="32"/>
  <c r="P31" i="155" s="1"/>
  <c r="Q31" i="156"/>
  <c r="D106" i="117"/>
  <c r="F106" i="117" s="1"/>
  <c r="G106" i="117" s="1"/>
  <c r="X85" i="32"/>
  <c r="Z85" i="32" s="1"/>
  <c r="AA85" i="32" s="1"/>
  <c r="S85" i="32"/>
  <c r="T85" i="32" s="1"/>
  <c r="D30" i="77"/>
  <c r="DX26" i="177" s="1"/>
  <c r="D121" i="77"/>
  <c r="D62" i="92"/>
  <c r="D80" i="77"/>
  <c r="AF6" i="177"/>
  <c r="AF9" i="177" s="1"/>
  <c r="AG11" i="177" s="1"/>
  <c r="AE9" i="177"/>
  <c r="AE11" i="177" s="1"/>
  <c r="AE18" i="177" s="1"/>
  <c r="H25" i="155"/>
  <c r="I25" i="155" s="1"/>
  <c r="K25" i="155"/>
  <c r="L25" i="155" s="1"/>
  <c r="N25" i="155"/>
  <c r="O25" i="155" s="1"/>
  <c r="H10" i="155"/>
  <c r="N10" i="155"/>
  <c r="O10" i="155" s="1"/>
  <c r="K10" i="155"/>
  <c r="L10" i="155" s="1"/>
  <c r="D31" i="126"/>
  <c r="F29" i="155"/>
  <c r="S43" i="32"/>
  <c r="T43" i="32" s="1"/>
  <c r="Q81" i="32"/>
  <c r="AB23" i="177"/>
  <c r="CU23" i="177" s="1"/>
  <c r="C176" i="155"/>
  <c r="D70" i="155"/>
  <c r="K7" i="155"/>
  <c r="L7" i="155" s="1"/>
  <c r="H7" i="155"/>
  <c r="I7" i="155" s="1"/>
  <c r="N7" i="155"/>
  <c r="O7" i="155" s="1"/>
  <c r="Q150" i="32"/>
  <c r="S150" i="32" s="1"/>
  <c r="T150" i="32" s="1"/>
  <c r="Z31" i="28"/>
  <c r="AA31" i="28" s="1"/>
  <c r="AG27" i="77"/>
  <c r="AG118" i="77"/>
  <c r="D32" i="36"/>
  <c r="I9" i="147" s="1"/>
  <c r="I108" i="147" s="1"/>
  <c r="Z15" i="28"/>
  <c r="AA15" i="28" s="1"/>
  <c r="Q142" i="32"/>
  <c r="S142" i="32" s="1"/>
  <c r="T142" i="32" s="1"/>
  <c r="S16" i="28"/>
  <c r="G141" i="77"/>
  <c r="G142" i="77" s="1"/>
  <c r="E21" i="155"/>
  <c r="I73" i="126"/>
  <c r="J73" i="126" s="1"/>
  <c r="D74" i="144"/>
  <c r="I74" i="144" s="1"/>
  <c r="L73" i="126"/>
  <c r="M73" i="126" s="1"/>
  <c r="F73" i="126"/>
  <c r="G73" i="126" s="1"/>
  <c r="T40" i="77"/>
  <c r="N39" i="77"/>
  <c r="N47" i="77" s="1"/>
  <c r="H32" i="28" s="1"/>
  <c r="M47" i="77"/>
  <c r="H30" i="28" s="1"/>
  <c r="Y119" i="77"/>
  <c r="Y28" i="77"/>
  <c r="D100" i="100"/>
  <c r="Q112" i="32"/>
  <c r="Q21" i="156"/>
  <c r="D96" i="117"/>
  <c r="F96" i="117" s="1"/>
  <c r="G96" i="117" s="1"/>
  <c r="N32" i="155"/>
  <c r="O32" i="155" s="1"/>
  <c r="H32" i="155"/>
  <c r="I32" i="155" s="1"/>
  <c r="K32" i="155"/>
  <c r="L32" i="155" s="1"/>
  <c r="L6" i="126"/>
  <c r="M6" i="126" s="1"/>
  <c r="F6" i="126"/>
  <c r="G6" i="126" s="1"/>
  <c r="W24" i="177"/>
  <c r="Q156" i="32"/>
  <c r="S156" i="32" s="1"/>
  <c r="T156" i="32" s="1"/>
  <c r="Z37" i="28"/>
  <c r="AA37" i="28" s="1"/>
  <c r="O32" i="156"/>
  <c r="P32" i="156" s="1"/>
  <c r="F32" i="156"/>
  <c r="G32" i="156" s="1"/>
  <c r="I32" i="156"/>
  <c r="J32" i="156" s="1"/>
  <c r="L32" i="156"/>
  <c r="M32" i="156" s="1"/>
  <c r="R49" i="77"/>
  <c r="R50" i="77" s="1"/>
  <c r="R55" i="77"/>
  <c r="AG47" i="77"/>
  <c r="R53" i="77"/>
  <c r="R54" i="77" s="1"/>
  <c r="R51" i="77"/>
  <c r="Q14" i="32"/>
  <c r="N22" i="155"/>
  <c r="O22" i="155" s="1"/>
  <c r="H22" i="155"/>
  <c r="I22" i="155" s="1"/>
  <c r="K22" i="155"/>
  <c r="L22" i="155" s="1"/>
  <c r="X66" i="32"/>
  <c r="Z66" i="32" s="1"/>
  <c r="AA66" i="32" s="1"/>
  <c r="S66" i="32"/>
  <c r="T66" i="32" s="1"/>
  <c r="F142" i="77"/>
  <c r="F141" i="77"/>
  <c r="I139" i="77"/>
  <c r="Q155" i="32"/>
  <c r="S155" i="32" s="1"/>
  <c r="T155" i="32" s="1"/>
  <c r="Z36" i="28"/>
  <c r="AA36" i="28" s="1"/>
  <c r="V12" i="28"/>
  <c r="V39" i="28" s="1"/>
  <c r="U12" i="28"/>
  <c r="K7" i="163" s="1"/>
  <c r="S12" i="28"/>
  <c r="V16" i="28"/>
  <c r="AB120" i="77"/>
  <c r="AB29" i="77"/>
  <c r="D103" i="117"/>
  <c r="F103" i="117" s="1"/>
  <c r="G103" i="117" s="1"/>
  <c r="Q28" i="156"/>
  <c r="Q119" i="32"/>
  <c r="F20" i="126"/>
  <c r="G10" i="126"/>
  <c r="G20" i="126" s="1"/>
  <c r="BK43" i="32"/>
  <c r="BK44" i="32" s="1"/>
  <c r="T6" i="32"/>
  <c r="H140" i="77"/>
  <c r="I140" i="77" s="1"/>
  <c r="S160" i="32"/>
  <c r="T160" i="32" s="1"/>
  <c r="X160" i="32"/>
  <c r="Z160" i="32" s="1"/>
  <c r="AA160" i="32" s="1"/>
  <c r="AD40" i="32"/>
  <c r="AH40" i="32" s="1"/>
  <c r="AD42" i="32"/>
  <c r="AD39" i="32"/>
  <c r="AH39" i="32" s="1"/>
  <c r="AI39" i="32" s="1"/>
  <c r="BF44" i="32"/>
  <c r="AW43" i="32"/>
  <c r="AD41" i="32"/>
  <c r="AL43" i="32"/>
  <c r="Z38" i="28"/>
  <c r="AA38" i="28" s="1"/>
  <c r="Q157" i="32"/>
  <c r="BH41" i="32"/>
  <c r="BH40" i="32"/>
  <c r="BH43" i="32"/>
  <c r="BH42" i="32"/>
  <c r="S74" i="32"/>
  <c r="T74" i="32" s="1"/>
  <c r="X74" i="32"/>
  <c r="Z74" i="32" s="1"/>
  <c r="AA74" i="32" s="1"/>
  <c r="AY41" i="32"/>
  <c r="AY42" i="32" s="1"/>
  <c r="AY40" i="32"/>
  <c r="AH41" i="32" l="1"/>
  <c r="AI41" i="32" s="1"/>
  <c r="AN41" i="32"/>
  <c r="AN42" i="32" s="1"/>
  <c r="AN40" i="32"/>
  <c r="E150" i="155"/>
  <c r="E151" i="155"/>
  <c r="E152" i="155"/>
  <c r="AI138" i="155"/>
  <c r="AI139" i="155"/>
  <c r="AI140" i="155"/>
  <c r="E49" i="155"/>
  <c r="E50" i="155"/>
  <c r="E48" i="155"/>
  <c r="AJ49" i="155"/>
  <c r="AJ48" i="155"/>
  <c r="E86" i="155"/>
  <c r="E84" i="155"/>
  <c r="E85" i="155"/>
  <c r="E112" i="155"/>
  <c r="E113" i="155"/>
  <c r="DF31" i="77"/>
  <c r="DH31" i="77" s="1"/>
  <c r="CI27" i="177" s="1"/>
  <c r="DJ30" i="77" a="1"/>
  <c r="DJ30" i="77" s="1"/>
  <c r="CM26" i="177" s="1"/>
  <c r="AA26" i="177"/>
  <c r="Z26" i="177"/>
  <c r="Z43" i="150"/>
  <c r="AH13" i="177"/>
  <c r="AI13" i="177"/>
  <c r="P13" i="155"/>
  <c r="X13" i="155" s="1"/>
  <c r="Y13" i="155" s="1"/>
  <c r="R14" i="155"/>
  <c r="S14" i="155" s="1"/>
  <c r="H141" i="77"/>
  <c r="I141" i="77" s="1"/>
  <c r="I145" i="77" s="1"/>
  <c r="AA49" i="163"/>
  <c r="AA50" i="163" s="1"/>
  <c r="AA65" i="163"/>
  <c r="AA48" i="163"/>
  <c r="M13" i="163"/>
  <c r="N13" i="163" s="1"/>
  <c r="P13" i="163"/>
  <c r="Q13" i="163" s="1"/>
  <c r="S13" i="163"/>
  <c r="T13" i="163" s="1"/>
  <c r="S14" i="163"/>
  <c r="T14" i="163" s="1"/>
  <c r="P14" i="163"/>
  <c r="Q14" i="163" s="1"/>
  <c r="M14" i="163"/>
  <c r="N14" i="163" s="1"/>
  <c r="S10" i="163"/>
  <c r="T10" i="163" s="1"/>
  <c r="P10" i="163"/>
  <c r="Q10" i="163" s="1"/>
  <c r="M10" i="163"/>
  <c r="N10" i="163" s="1"/>
  <c r="K26" i="163"/>
  <c r="M7" i="163"/>
  <c r="N7" i="163" s="1"/>
  <c r="S7" i="163"/>
  <c r="T7" i="163" s="1"/>
  <c r="P7" i="163"/>
  <c r="Q7" i="163" s="1"/>
  <c r="M11" i="163"/>
  <c r="N11" i="163" s="1"/>
  <c r="P11" i="163"/>
  <c r="Q11" i="163" s="1"/>
  <c r="S11" i="163"/>
  <c r="T11" i="163" s="1"/>
  <c r="K11" i="155"/>
  <c r="L11" i="155" s="1"/>
  <c r="H11" i="155"/>
  <c r="I11" i="155" s="1"/>
  <c r="N11" i="155"/>
  <c r="O11" i="155" s="1"/>
  <c r="AJ30" i="158"/>
  <c r="AJ106" i="158"/>
  <c r="HZ29" i="158"/>
  <c r="R108" i="158"/>
  <c r="HL31" i="158"/>
  <c r="R32" i="158"/>
  <c r="V107" i="158"/>
  <c r="V31" i="158"/>
  <c r="HN30" i="158"/>
  <c r="AI40" i="32"/>
  <c r="H70" i="155"/>
  <c r="I70" i="155" s="1"/>
  <c r="J70" i="155" s="1"/>
  <c r="D74" i="155"/>
  <c r="D71" i="155"/>
  <c r="H71" i="155" s="1"/>
  <c r="D73" i="155"/>
  <c r="D72" i="155"/>
  <c r="X110" i="32"/>
  <c r="Z110" i="32" s="1"/>
  <c r="AA110" i="32" s="1"/>
  <c r="S110" i="32"/>
  <c r="T110" i="32" s="1"/>
  <c r="N22" i="126"/>
  <c r="P22" i="126" s="1"/>
  <c r="Q22" i="126" s="1"/>
  <c r="P20" i="155"/>
  <c r="R120" i="77"/>
  <c r="R29" i="77"/>
  <c r="AW40" i="32"/>
  <c r="BB40" i="32" s="1"/>
  <c r="AW38" i="32"/>
  <c r="BB38" i="32" s="1"/>
  <c r="BC38" i="32" s="1"/>
  <c r="BB43" i="32"/>
  <c r="AW39" i="32"/>
  <c r="BB39" i="32" s="1"/>
  <c r="AW41" i="32"/>
  <c r="D89" i="100"/>
  <c r="Q98" i="32"/>
  <c r="U39" i="28"/>
  <c r="Q7" i="156"/>
  <c r="H142" i="77"/>
  <c r="W25" i="177"/>
  <c r="W26" i="177" s="1"/>
  <c r="W27" i="177" s="1"/>
  <c r="W28" i="177" s="1"/>
  <c r="W29" i="177" s="1"/>
  <c r="W30" i="177" s="1"/>
  <c r="W31" i="177" s="1"/>
  <c r="W32" i="177" s="1"/>
  <c r="W33" i="177" s="1"/>
  <c r="W34" i="177" s="1"/>
  <c r="N53" i="77"/>
  <c r="N54" i="77" s="1"/>
  <c r="Q37" i="32"/>
  <c r="N49" i="77"/>
  <c r="N50" i="77" s="1"/>
  <c r="N55" i="77"/>
  <c r="N51" i="77"/>
  <c r="C180" i="155"/>
  <c r="C181" i="155"/>
  <c r="H176" i="155"/>
  <c r="I176" i="155" s="1"/>
  <c r="C179" i="155"/>
  <c r="C177" i="155"/>
  <c r="H177" i="155" s="1"/>
  <c r="C178" i="155"/>
  <c r="H178" i="155" s="1"/>
  <c r="AD74" i="156"/>
  <c r="V12" i="156"/>
  <c r="W12" i="156" s="1"/>
  <c r="S12" i="156"/>
  <c r="T12" i="156" s="1"/>
  <c r="Y12" i="156"/>
  <c r="Z12" i="156" s="1"/>
  <c r="D125" i="100"/>
  <c r="D212" i="100"/>
  <c r="K88" i="100"/>
  <c r="L88" i="100" s="1"/>
  <c r="F98" i="100"/>
  <c r="G98" i="100" s="1"/>
  <c r="AI119" i="77"/>
  <c r="AI28" i="77"/>
  <c r="K35" i="163"/>
  <c r="P27" i="155"/>
  <c r="X27" i="155" s="1"/>
  <c r="Y27" i="155" s="1"/>
  <c r="S117" i="32"/>
  <c r="T117" i="32" s="1"/>
  <c r="X117" i="32"/>
  <c r="Z117" i="32" s="1"/>
  <c r="AA117" i="32" s="1"/>
  <c r="S39" i="28"/>
  <c r="Z12" i="28"/>
  <c r="AA12" i="28" s="1"/>
  <c r="AE121" i="77"/>
  <c r="AE30" i="77"/>
  <c r="Y26" i="156"/>
  <c r="Z26" i="156" s="1"/>
  <c r="S26" i="156"/>
  <c r="T26" i="156" s="1"/>
  <c r="V26" i="156"/>
  <c r="W26" i="156" s="1"/>
  <c r="BF41" i="32"/>
  <c r="BM41" i="32" s="1"/>
  <c r="BL41" i="32" s="1"/>
  <c r="BF40" i="32"/>
  <c r="BM40" i="32" s="1"/>
  <c r="BL40" i="32" s="1"/>
  <c r="BF38" i="32"/>
  <c r="BM38" i="32" s="1"/>
  <c r="BL38" i="32" s="1"/>
  <c r="BN38" i="32" s="1"/>
  <c r="BM44" i="32"/>
  <c r="BL44" i="32" s="1"/>
  <c r="BF43" i="32"/>
  <c r="BM43" i="32" s="1"/>
  <c r="BL43" i="32" s="1"/>
  <c r="BF42" i="32"/>
  <c r="BM42" i="32" s="1"/>
  <c r="BL42" i="32" s="1"/>
  <c r="BF39" i="32"/>
  <c r="BM39" i="32" s="1"/>
  <c r="BL39" i="32" s="1"/>
  <c r="AF55" i="77"/>
  <c r="AF49" i="77"/>
  <c r="AF50" i="77" s="1"/>
  <c r="AF51" i="77"/>
  <c r="AF53" i="77"/>
  <c r="AF54" i="77" s="1"/>
  <c r="Z16" i="28"/>
  <c r="AA16" i="28" s="1"/>
  <c r="Q143" i="32"/>
  <c r="S143" i="32" s="1"/>
  <c r="T143" i="32" s="1"/>
  <c r="AG119" i="77"/>
  <c r="AG28" i="77"/>
  <c r="AB24" i="177"/>
  <c r="CU24" i="177" s="1"/>
  <c r="AF11" i="177"/>
  <c r="Y31" i="156"/>
  <c r="Z31" i="156" s="1"/>
  <c r="V31" i="156"/>
  <c r="W31" i="156" s="1"/>
  <c r="S31" i="156"/>
  <c r="T31" i="156" s="1"/>
  <c r="P30" i="77"/>
  <c r="P121" i="77"/>
  <c r="S19" i="156"/>
  <c r="T19" i="156" s="1"/>
  <c r="AE75" i="156"/>
  <c r="V19" i="156"/>
  <c r="W19" i="156" s="1"/>
  <c r="AM76" i="156"/>
  <c r="Y19" i="156"/>
  <c r="Z19" i="156" s="1"/>
  <c r="N17" i="126"/>
  <c r="P17" i="126" s="1"/>
  <c r="Q17" i="126" s="1"/>
  <c r="S109" i="32"/>
  <c r="T109" i="32" s="1"/>
  <c r="P15" i="155"/>
  <c r="AB30" i="77"/>
  <c r="AB121" i="77"/>
  <c r="S21" i="156"/>
  <c r="T21" i="156" s="1"/>
  <c r="V21" i="156"/>
  <c r="W21" i="156" s="1"/>
  <c r="Y21" i="156"/>
  <c r="Z21" i="156" s="1"/>
  <c r="X31" i="155"/>
  <c r="Y31" i="155" s="1"/>
  <c r="R31" i="155"/>
  <c r="S31" i="155" s="1"/>
  <c r="D206" i="100"/>
  <c r="D119" i="100"/>
  <c r="F119" i="100" s="1"/>
  <c r="G119" i="100" s="1"/>
  <c r="F92" i="100"/>
  <c r="G92" i="100" s="1"/>
  <c r="V25" i="156"/>
  <c r="W25" i="156" s="1"/>
  <c r="Y25" i="156"/>
  <c r="Z25" i="156" s="1"/>
  <c r="S25" i="156"/>
  <c r="T25" i="156" s="1"/>
  <c r="S16" i="156"/>
  <c r="T16" i="156" s="1"/>
  <c r="V16" i="156"/>
  <c r="W16" i="156" s="1"/>
  <c r="Y16" i="156"/>
  <c r="Z16" i="156" s="1"/>
  <c r="X53" i="32"/>
  <c r="Z53" i="32" s="1"/>
  <c r="AA53" i="32" s="1"/>
  <c r="S53" i="32"/>
  <c r="T53" i="32" s="1"/>
  <c r="V10" i="28"/>
  <c r="V32" i="28" s="1"/>
  <c r="S10" i="28"/>
  <c r="U10" i="28"/>
  <c r="K5" i="163" s="1"/>
  <c r="P22" i="155"/>
  <c r="N24" i="126"/>
  <c r="P24" i="126" s="1"/>
  <c r="Q24" i="126" s="1"/>
  <c r="S81" i="32"/>
  <c r="T81" i="32" s="1"/>
  <c r="X81" i="32"/>
  <c r="Z81" i="32" s="1"/>
  <c r="AA81" i="32" s="1"/>
  <c r="D82" i="155"/>
  <c r="C147" i="155"/>
  <c r="AG135" i="155"/>
  <c r="D46" i="155"/>
  <c r="N12" i="155"/>
  <c r="O12" i="155" s="1"/>
  <c r="AH45" i="155"/>
  <c r="K12" i="155"/>
  <c r="L12" i="155" s="1"/>
  <c r="H12" i="155"/>
  <c r="I12" i="155" s="1"/>
  <c r="C109" i="155"/>
  <c r="D217" i="100"/>
  <c r="F103" i="100"/>
  <c r="G103" i="100" s="1"/>
  <c r="K89" i="100"/>
  <c r="L89" i="100" s="1"/>
  <c r="D130" i="100"/>
  <c r="V32" i="156"/>
  <c r="W32" i="156" s="1"/>
  <c r="Y32" i="156"/>
  <c r="Z32" i="156" s="1"/>
  <c r="S32" i="156"/>
  <c r="T32" i="156" s="1"/>
  <c r="N10" i="126"/>
  <c r="P10" i="126" s="1"/>
  <c r="Q10" i="126" s="1"/>
  <c r="X104" i="32"/>
  <c r="Z104" i="32" s="1"/>
  <c r="AA104" i="32" s="1"/>
  <c r="S104" i="32"/>
  <c r="T104" i="32" s="1"/>
  <c r="V27" i="156"/>
  <c r="W27" i="156" s="1"/>
  <c r="S27" i="156"/>
  <c r="T27" i="156" s="1"/>
  <c r="Y27" i="156"/>
  <c r="Z27" i="156" s="1"/>
  <c r="S157" i="32"/>
  <c r="T157" i="32" s="1"/>
  <c r="X157" i="32"/>
  <c r="Z157" i="32" s="1"/>
  <c r="AA157" i="32" s="1"/>
  <c r="F100" i="100"/>
  <c r="G100" i="100" s="1"/>
  <c r="D214" i="100"/>
  <c r="D127" i="100"/>
  <c r="F127" i="100" s="1"/>
  <c r="G127" i="100" s="1"/>
  <c r="D33" i="36"/>
  <c r="J9" i="147" s="1"/>
  <c r="J108" i="147" s="1"/>
  <c r="I10" i="155"/>
  <c r="F38" i="111"/>
  <c r="X32" i="155"/>
  <c r="Y32" i="155" s="1"/>
  <c r="R32" i="155"/>
  <c r="S32" i="155" s="1"/>
  <c r="S116" i="32"/>
  <c r="T116" i="32" s="1"/>
  <c r="P26" i="155"/>
  <c r="X116" i="32"/>
  <c r="Z116" i="32" s="1"/>
  <c r="AA116" i="32" s="1"/>
  <c r="N28" i="126"/>
  <c r="P28" i="126" s="1"/>
  <c r="Q28" i="126" s="1"/>
  <c r="M55" i="77"/>
  <c r="Q35" i="32"/>
  <c r="M49" i="77"/>
  <c r="M50" i="77" s="1"/>
  <c r="M51" i="77"/>
  <c r="M53" i="77"/>
  <c r="M54" i="77" s="1"/>
  <c r="S119" i="32"/>
  <c r="T119" i="32" s="1"/>
  <c r="P29" i="155"/>
  <c r="X119" i="32"/>
  <c r="Z119" i="32" s="1"/>
  <c r="AA119" i="32" s="1"/>
  <c r="Y29" i="77"/>
  <c r="Y120" i="77"/>
  <c r="K29" i="155"/>
  <c r="L29" i="155" s="1"/>
  <c r="H29" i="155"/>
  <c r="I29" i="155" s="1"/>
  <c r="N29" i="155"/>
  <c r="O29" i="155" s="1"/>
  <c r="D81" i="77"/>
  <c r="D122" i="77"/>
  <c r="D63" i="92"/>
  <c r="D31" i="77"/>
  <c r="DX27" i="177" s="1"/>
  <c r="P25" i="155"/>
  <c r="S115" i="32"/>
  <c r="T115" i="32" s="1"/>
  <c r="X115" i="32"/>
  <c r="Z115" i="32" s="1"/>
  <c r="AA115" i="32" s="1"/>
  <c r="N27" i="126"/>
  <c r="P27" i="126" s="1"/>
  <c r="Q27" i="126" s="1"/>
  <c r="M51" i="36"/>
  <c r="M52" i="36" s="1"/>
  <c r="M57" i="36"/>
  <c r="M55" i="36"/>
  <c r="M56" i="36" s="1"/>
  <c r="M53" i="36"/>
  <c r="Q105" i="32"/>
  <c r="Q13" i="156"/>
  <c r="D93" i="100"/>
  <c r="D89" i="117"/>
  <c r="F89" i="117" s="1"/>
  <c r="G89" i="117" s="1"/>
  <c r="K91" i="100"/>
  <c r="D218" i="100"/>
  <c r="D131" i="100"/>
  <c r="F104" i="100"/>
  <c r="G104" i="100" s="1"/>
  <c r="E180" i="155"/>
  <c r="E181" i="155"/>
  <c r="E179" i="155"/>
  <c r="F106" i="100"/>
  <c r="G106" i="100" s="1"/>
  <c r="D220" i="100"/>
  <c r="F220" i="100" s="1"/>
  <c r="G220" i="100" s="1"/>
  <c r="D133" i="100"/>
  <c r="F133" i="100" s="1"/>
  <c r="G133" i="100" s="1"/>
  <c r="AG18" i="177"/>
  <c r="AG13" i="177"/>
  <c r="AL40" i="32"/>
  <c r="AL38" i="32"/>
  <c r="AR38" i="32" s="1"/>
  <c r="AL41" i="32"/>
  <c r="AL42" i="32" s="1"/>
  <c r="AL39" i="32"/>
  <c r="AR39" i="32" s="1"/>
  <c r="V28" i="156"/>
  <c r="W28" i="156" s="1"/>
  <c r="S28" i="156"/>
  <c r="T28" i="156" s="1"/>
  <c r="Y28" i="156"/>
  <c r="Z28" i="156" s="1"/>
  <c r="V60" i="28"/>
  <c r="U60" i="28"/>
  <c r="S60" i="28"/>
  <c r="F5" i="155"/>
  <c r="D4" i="126"/>
  <c r="J85" i="115"/>
  <c r="S14" i="32"/>
  <c r="Q56" i="32"/>
  <c r="F179" i="155"/>
  <c r="F72" i="155"/>
  <c r="F31" i="126"/>
  <c r="G31" i="126" s="1"/>
  <c r="L31" i="126"/>
  <c r="M31" i="126" s="1"/>
  <c r="O31" i="126"/>
  <c r="P31" i="126" s="1"/>
  <c r="I31" i="126"/>
  <c r="J31" i="126" s="1"/>
  <c r="V24" i="156"/>
  <c r="W24" i="156" s="1"/>
  <c r="Y24" i="156"/>
  <c r="Z24" i="156" s="1"/>
  <c r="S24" i="156"/>
  <c r="T24" i="156" s="1"/>
  <c r="D132" i="100"/>
  <c r="F132" i="100" s="1"/>
  <c r="G132" i="100" s="1"/>
  <c r="D219" i="100"/>
  <c r="F105" i="100"/>
  <c r="G105" i="100" s="1"/>
  <c r="E74" i="155"/>
  <c r="E73" i="155"/>
  <c r="E72" i="155"/>
  <c r="K36" i="163"/>
  <c r="S118" i="32"/>
  <c r="T118" i="32" s="1"/>
  <c r="X118" i="32"/>
  <c r="Z118" i="32" s="1"/>
  <c r="AA118" i="32" s="1"/>
  <c r="P28" i="155"/>
  <c r="X28" i="155" s="1"/>
  <c r="Y28" i="155" s="1"/>
  <c r="AR40" i="32" l="1"/>
  <c r="DF32" i="77"/>
  <c r="DH32" i="77" s="1"/>
  <c r="CI28" i="177" s="1"/>
  <c r="DJ31" i="77" a="1"/>
  <c r="DJ31" i="77" s="1"/>
  <c r="CM27" i="177" s="1"/>
  <c r="AA27" i="177"/>
  <c r="Z27" i="177"/>
  <c r="R13" i="155"/>
  <c r="S13" i="155" s="1"/>
  <c r="K21" i="163"/>
  <c r="P5" i="163"/>
  <c r="Q5" i="163" s="1"/>
  <c r="S5" i="163"/>
  <c r="T5" i="163" s="1"/>
  <c r="M5" i="163"/>
  <c r="N5" i="163" s="1"/>
  <c r="P26" i="163"/>
  <c r="Q26" i="163" s="1"/>
  <c r="M26" i="163"/>
  <c r="N26" i="163" s="1"/>
  <c r="S26" i="163"/>
  <c r="T26" i="163" s="1"/>
  <c r="AA66" i="163"/>
  <c r="AA67" i="163"/>
  <c r="AA68" i="163" s="1"/>
  <c r="I142" i="77"/>
  <c r="I178" i="155"/>
  <c r="HL32" i="158"/>
  <c r="R33" i="158"/>
  <c r="R109" i="158"/>
  <c r="V32" i="158"/>
  <c r="V108" i="158"/>
  <c r="HN31" i="158"/>
  <c r="AJ31" i="158"/>
  <c r="HZ30" i="158"/>
  <c r="AJ107" i="158"/>
  <c r="I71" i="155"/>
  <c r="J71" i="155" s="1"/>
  <c r="BN40" i="32"/>
  <c r="I177" i="155"/>
  <c r="BC39" i="32"/>
  <c r="BN42" i="32"/>
  <c r="BN41" i="32"/>
  <c r="AD75" i="156"/>
  <c r="AG75" i="156" s="1"/>
  <c r="AG74" i="156"/>
  <c r="AH74" i="156" s="1"/>
  <c r="AD77" i="156"/>
  <c r="AD76" i="156"/>
  <c r="R10" i="155"/>
  <c r="S10" i="155" s="1"/>
  <c r="X10" i="155"/>
  <c r="Y10" i="155" s="1"/>
  <c r="V8" i="28"/>
  <c r="U8" i="28"/>
  <c r="S8" i="28"/>
  <c r="F4" i="126"/>
  <c r="G4" i="126" s="1"/>
  <c r="L4" i="126"/>
  <c r="M4" i="126" s="1"/>
  <c r="D303" i="100"/>
  <c r="F218" i="100"/>
  <c r="G218" i="100" s="1"/>
  <c r="U203" i="100"/>
  <c r="R29" i="155"/>
  <c r="S29" i="155" s="1"/>
  <c r="X29" i="155"/>
  <c r="Y29" i="155" s="1"/>
  <c r="AH46" i="155"/>
  <c r="AL46" i="155" s="1"/>
  <c r="AH47" i="155"/>
  <c r="AL47" i="155" s="1"/>
  <c r="AL45" i="155"/>
  <c r="AM45" i="155" s="1"/>
  <c r="AH49" i="155"/>
  <c r="AH48" i="155"/>
  <c r="AB31" i="77"/>
  <c r="AB122" i="77"/>
  <c r="M35" i="163"/>
  <c r="N35" i="163" s="1"/>
  <c r="P35" i="163"/>
  <c r="Q35" i="163" s="1"/>
  <c r="AW42" i="32"/>
  <c r="BB42" i="32" s="1"/>
  <c r="BB41" i="32"/>
  <c r="BC41" i="32" s="1"/>
  <c r="F181" i="155"/>
  <c r="F180" i="155"/>
  <c r="D207" i="100"/>
  <c r="D120" i="100"/>
  <c r="F120" i="100" s="1"/>
  <c r="G120" i="100" s="1"/>
  <c r="F93" i="100"/>
  <c r="G93" i="100" s="1"/>
  <c r="AG140" i="155"/>
  <c r="AG136" i="155"/>
  <c r="AG139" i="155"/>
  <c r="AG138" i="155"/>
  <c r="AG137" i="155"/>
  <c r="F219" i="100"/>
  <c r="G219" i="100" s="1"/>
  <c r="D304" i="100"/>
  <c r="F304" i="100" s="1"/>
  <c r="G304" i="100" s="1"/>
  <c r="L91" i="100"/>
  <c r="M91" i="100" s="1"/>
  <c r="M89" i="100"/>
  <c r="K116" i="100"/>
  <c r="L116" i="100" s="1"/>
  <c r="F130" i="100"/>
  <c r="G130" i="100" s="1"/>
  <c r="X22" i="155"/>
  <c r="Y22" i="155" s="1"/>
  <c r="R22" i="155"/>
  <c r="S22" i="155" s="1"/>
  <c r="D291" i="100"/>
  <c r="F206" i="100"/>
  <c r="G206" i="100" s="1"/>
  <c r="R15" i="155"/>
  <c r="S15" i="155" s="1"/>
  <c r="X15" i="155"/>
  <c r="Y15" i="155" s="1"/>
  <c r="BN43" i="32"/>
  <c r="AE31" i="77"/>
  <c r="AE122" i="77"/>
  <c r="AI120" i="77"/>
  <c r="AI29" i="77"/>
  <c r="F74" i="155"/>
  <c r="H74" i="155" s="1"/>
  <c r="F73" i="155"/>
  <c r="H73" i="155" s="1"/>
  <c r="H72" i="155"/>
  <c r="I72" i="155" s="1"/>
  <c r="M36" i="163"/>
  <c r="N36" i="163" s="1"/>
  <c r="P36" i="163"/>
  <c r="Q36" i="163" s="1"/>
  <c r="S56" i="32"/>
  <c r="T56" i="32" s="1"/>
  <c r="X56" i="32"/>
  <c r="Z56" i="32" s="1"/>
  <c r="AA56" i="32" s="1"/>
  <c r="V13" i="156"/>
  <c r="W13" i="156" s="1"/>
  <c r="Y13" i="156"/>
  <c r="Z13" i="156" s="1"/>
  <c r="S13" i="156"/>
  <c r="T13" i="156" s="1"/>
  <c r="U202" i="100"/>
  <c r="V202" i="100" s="1"/>
  <c r="D302" i="100"/>
  <c r="F217" i="100"/>
  <c r="G217" i="100" s="1"/>
  <c r="C150" i="155"/>
  <c r="C152" i="155"/>
  <c r="C151" i="155"/>
  <c r="H147" i="155"/>
  <c r="I147" i="155" s="1"/>
  <c r="C148" i="155"/>
  <c r="H148" i="155" s="1"/>
  <c r="C149" i="155"/>
  <c r="H149" i="155" s="1"/>
  <c r="V57" i="28"/>
  <c r="U57" i="28"/>
  <c r="S57" i="28"/>
  <c r="AB25" i="177"/>
  <c r="Z39" i="28"/>
  <c r="AA39" i="28" s="1"/>
  <c r="Q158" i="32"/>
  <c r="Y7" i="156"/>
  <c r="Z7" i="156" s="1"/>
  <c r="S7" i="156"/>
  <c r="T7" i="156" s="1"/>
  <c r="V7" i="156"/>
  <c r="W7" i="156" s="1"/>
  <c r="BC40" i="32"/>
  <c r="D48" i="155"/>
  <c r="H46" i="155"/>
  <c r="I46" i="155" s="1"/>
  <c r="J46" i="155" s="1"/>
  <c r="D49" i="155"/>
  <c r="D47" i="155"/>
  <c r="H47" i="155" s="1"/>
  <c r="D50" i="155"/>
  <c r="V30" i="28"/>
  <c r="S30" i="28"/>
  <c r="U30" i="28"/>
  <c r="L85" i="115"/>
  <c r="T14" i="32"/>
  <c r="V62" i="28"/>
  <c r="S62" i="28"/>
  <c r="U62" i="28"/>
  <c r="S105" i="32"/>
  <c r="T105" i="32" s="1"/>
  <c r="N11" i="126"/>
  <c r="P11" i="126" s="1"/>
  <c r="Q11" i="126" s="1"/>
  <c r="X105" i="32"/>
  <c r="Z105" i="32" s="1"/>
  <c r="AA105" i="32" s="1"/>
  <c r="P11" i="155"/>
  <c r="X25" i="155"/>
  <c r="Y25" i="155" s="1"/>
  <c r="R25" i="155"/>
  <c r="S25" i="155" s="1"/>
  <c r="D34" i="36"/>
  <c r="K9" i="147" s="1"/>
  <c r="C111" i="155"/>
  <c r="G111" i="155" s="1"/>
  <c r="C110" i="155"/>
  <c r="G110" i="155" s="1"/>
  <c r="G109" i="155"/>
  <c r="H109" i="155" s="1"/>
  <c r="C112" i="155"/>
  <c r="C113" i="155"/>
  <c r="D85" i="155"/>
  <c r="H82" i="155"/>
  <c r="I82" i="155" s="1"/>
  <c r="J82" i="155" s="1"/>
  <c r="D83" i="155"/>
  <c r="H83" i="155" s="1"/>
  <c r="D84" i="155"/>
  <c r="D86" i="155"/>
  <c r="S32" i="28"/>
  <c r="Z10" i="28"/>
  <c r="AA10" i="28" s="1"/>
  <c r="Q132" i="32"/>
  <c r="S132" i="32" s="1"/>
  <c r="T132" i="32" s="1"/>
  <c r="AM77" i="156"/>
  <c r="AM78" i="156"/>
  <c r="AG120" i="77"/>
  <c r="AG29" i="77"/>
  <c r="F212" i="100"/>
  <c r="G212" i="100" s="1"/>
  <c r="K202" i="100"/>
  <c r="L202" i="100" s="1"/>
  <c r="D297" i="100"/>
  <c r="H179" i="155"/>
  <c r="I179" i="155" s="1"/>
  <c r="Q120" i="32"/>
  <c r="D104" i="117"/>
  <c r="F104" i="117" s="1"/>
  <c r="G104" i="117" s="1"/>
  <c r="Q29" i="156"/>
  <c r="R121" i="77"/>
  <c r="R30" i="77"/>
  <c r="AF13" i="177"/>
  <c r="AF18" i="177"/>
  <c r="D123" i="77"/>
  <c r="D64" i="92"/>
  <c r="D82" i="77"/>
  <c r="D32" i="77"/>
  <c r="DX28" i="177" s="1"/>
  <c r="Y121" i="77"/>
  <c r="Y30" i="77"/>
  <c r="X26" i="155"/>
  <c r="Y26" i="155" s="1"/>
  <c r="R26" i="155"/>
  <c r="S26" i="155" s="1"/>
  <c r="P31" i="77"/>
  <c r="P122" i="77"/>
  <c r="F125" i="100"/>
  <c r="G125" i="100" s="1"/>
  <c r="K115" i="100"/>
  <c r="L115" i="100" s="1"/>
  <c r="S98" i="32"/>
  <c r="T98" i="32" s="1"/>
  <c r="P7" i="155"/>
  <c r="N6" i="126"/>
  <c r="P6" i="126" s="1"/>
  <c r="Q6" i="126" s="1"/>
  <c r="X98" i="32"/>
  <c r="Z98" i="32" s="1"/>
  <c r="AA98" i="32" s="1"/>
  <c r="H5" i="155"/>
  <c r="N5" i="155"/>
  <c r="O5" i="155" s="1"/>
  <c r="CC44" i="36"/>
  <c r="CC47" i="36" s="1"/>
  <c r="K5" i="155"/>
  <c r="L5" i="155" s="1"/>
  <c r="H39" i="111"/>
  <c r="J39" i="111" s="1"/>
  <c r="D38" i="111"/>
  <c r="Q4" i="156"/>
  <c r="D88" i="100"/>
  <c r="U32" i="28"/>
  <c r="K23" i="163" s="1"/>
  <c r="Q94" i="32"/>
  <c r="K118" i="100"/>
  <c r="F131" i="100"/>
  <c r="G131" i="100" s="1"/>
  <c r="S35" i="32"/>
  <c r="T35" i="32" s="1"/>
  <c r="Q73" i="32"/>
  <c r="D23" i="126"/>
  <c r="F23" i="126" s="1"/>
  <c r="G23" i="126" s="1"/>
  <c r="AG43" i="32"/>
  <c r="F21" i="155"/>
  <c r="F214" i="100"/>
  <c r="G214" i="100" s="1"/>
  <c r="D299" i="100"/>
  <c r="F299" i="100" s="1"/>
  <c r="G299" i="100" s="1"/>
  <c r="AE76" i="156"/>
  <c r="AE77" i="156"/>
  <c r="BN39" i="32"/>
  <c r="F23" i="155"/>
  <c r="S37" i="32"/>
  <c r="T37" i="32" s="1"/>
  <c r="Q75" i="32"/>
  <c r="D25" i="126"/>
  <c r="F25" i="126" s="1"/>
  <c r="G25" i="126" s="1"/>
  <c r="D203" i="100"/>
  <c r="D116" i="100"/>
  <c r="F116" i="100" s="1"/>
  <c r="G116" i="100" s="1"/>
  <c r="F89" i="100"/>
  <c r="G89" i="100" s="1"/>
  <c r="D83" i="117"/>
  <c r="F83" i="117" s="1"/>
  <c r="G83" i="117" s="1"/>
  <c r="R20" i="155"/>
  <c r="S20" i="155" s="1"/>
  <c r="X20" i="155"/>
  <c r="Y20" i="155" s="1"/>
  <c r="AJ68" i="155"/>
  <c r="L9" i="147" l="1"/>
  <c r="K108" i="147"/>
  <c r="DF33" i="77"/>
  <c r="DH33" i="77" s="1"/>
  <c r="CI29" i="177" s="1"/>
  <c r="DJ32" i="77" a="1"/>
  <c r="DJ32" i="77" s="1"/>
  <c r="CM28" i="177" s="1"/>
  <c r="CU25" i="177"/>
  <c r="AB26" i="177"/>
  <c r="Z28" i="177"/>
  <c r="AA28" i="177"/>
  <c r="I5" i="155"/>
  <c r="D1" i="111"/>
  <c r="P23" i="163"/>
  <c r="Q23" i="163" s="1"/>
  <c r="M23" i="163"/>
  <c r="N23" i="163" s="1"/>
  <c r="S23" i="163"/>
  <c r="T23" i="163" s="1"/>
  <c r="AB48" i="163"/>
  <c r="S21" i="163"/>
  <c r="T21" i="163" s="1"/>
  <c r="M21" i="163"/>
  <c r="N21" i="163" s="1"/>
  <c r="P21" i="163"/>
  <c r="Q21" i="163" s="1"/>
  <c r="K22" i="163"/>
  <c r="AJ32" i="158"/>
  <c r="HZ31" i="158"/>
  <c r="AJ108" i="158"/>
  <c r="V33" i="158"/>
  <c r="HN32" i="158"/>
  <c r="V109" i="158"/>
  <c r="R34" i="158"/>
  <c r="HL33" i="158"/>
  <c r="R110" i="158"/>
  <c r="BN44" i="32"/>
  <c r="I83" i="155"/>
  <c r="J83" i="155" s="1"/>
  <c r="AM47" i="155"/>
  <c r="AH75" i="156"/>
  <c r="I148" i="155"/>
  <c r="I153" i="155" s="1"/>
  <c r="H111" i="155"/>
  <c r="I47" i="155"/>
  <c r="J47" i="155" s="1"/>
  <c r="BC42" i="32"/>
  <c r="BC43" i="32" s="1"/>
  <c r="AG121" i="77"/>
  <c r="AG30" i="77"/>
  <c r="AJ69" i="155"/>
  <c r="AJ70" i="155"/>
  <c r="X75" i="32"/>
  <c r="Z75" i="32" s="1"/>
  <c r="AA75" i="32" s="1"/>
  <c r="S75" i="32"/>
  <c r="T75" i="32" s="1"/>
  <c r="F84" i="155"/>
  <c r="H84" i="155" s="1"/>
  <c r="I84" i="155" s="1"/>
  <c r="J84" i="155" s="1"/>
  <c r="H21" i="155"/>
  <c r="I21" i="155" s="1"/>
  <c r="AC47" i="155"/>
  <c r="F48" i="155"/>
  <c r="AK48" i="155"/>
  <c r="F112" i="155"/>
  <c r="AJ138" i="155"/>
  <c r="N21" i="155"/>
  <c r="O21" i="155" s="1"/>
  <c r="F150" i="155"/>
  <c r="K21" i="155"/>
  <c r="L21" i="155" s="1"/>
  <c r="X94" i="32"/>
  <c r="Z94" i="32" s="1"/>
  <c r="AA94" i="32" s="1"/>
  <c r="S94" i="32"/>
  <c r="T94" i="32" s="1"/>
  <c r="P5" i="155"/>
  <c r="N4" i="126"/>
  <c r="P4" i="126" s="1"/>
  <c r="Q4" i="126" s="1"/>
  <c r="Z32" i="28"/>
  <c r="AA32" i="28" s="1"/>
  <c r="Q151" i="32"/>
  <c r="S151" i="32" s="1"/>
  <c r="T151" i="32" s="1"/>
  <c r="U286" i="100"/>
  <c r="V286" i="100" s="1"/>
  <c r="F302" i="100"/>
  <c r="G302" i="100" s="1"/>
  <c r="K23" i="155"/>
  <c r="L23" i="155" s="1"/>
  <c r="N23" i="155"/>
  <c r="O23" i="155" s="1"/>
  <c r="H23" i="155"/>
  <c r="I23" i="155" s="1"/>
  <c r="S4" i="156"/>
  <c r="T4" i="156" s="1"/>
  <c r="V4" i="156"/>
  <c r="W4" i="156" s="1"/>
  <c r="Y4" i="156"/>
  <c r="Z4" i="156" s="1"/>
  <c r="AO43" i="32"/>
  <c r="AH43" i="32"/>
  <c r="AG42" i="32"/>
  <c r="AH42" i="32" s="1"/>
  <c r="AI42" i="32" s="1"/>
  <c r="AI43" i="32" s="1"/>
  <c r="Q22" i="156"/>
  <c r="Q113" i="32"/>
  <c r="D101" i="100"/>
  <c r="D97" i="117"/>
  <c r="F97" i="117" s="1"/>
  <c r="G97" i="117" s="1"/>
  <c r="R7" i="155"/>
  <c r="S7" i="155" s="1"/>
  <c r="X7" i="155"/>
  <c r="Y7" i="155" s="1"/>
  <c r="Y122" i="77"/>
  <c r="Y31" i="77"/>
  <c r="R31" i="77"/>
  <c r="R122" i="77"/>
  <c r="H110" i="155"/>
  <c r="D99" i="100"/>
  <c r="Q20" i="156"/>
  <c r="D95" i="117"/>
  <c r="F95" i="117" s="1"/>
  <c r="G95" i="117" s="1"/>
  <c r="Q111" i="32"/>
  <c r="I149" i="155"/>
  <c r="J72" i="155"/>
  <c r="AB32" i="77"/>
  <c r="AB123" i="77"/>
  <c r="W201" i="100"/>
  <c r="V203" i="100"/>
  <c r="W203" i="100" s="1"/>
  <c r="W202" i="100"/>
  <c r="D124" i="77"/>
  <c r="D33" i="77"/>
  <c r="DX29" i="177" s="1"/>
  <c r="D65" i="92"/>
  <c r="D83" i="77"/>
  <c r="AI30" i="77"/>
  <c r="AI121" i="77"/>
  <c r="F291" i="100"/>
  <c r="G291" i="100" s="1"/>
  <c r="U285" i="100"/>
  <c r="V285" i="100" s="1"/>
  <c r="K285" i="100"/>
  <c r="U287" i="100"/>
  <c r="F303" i="100"/>
  <c r="G303" i="100" s="1"/>
  <c r="R12" i="155"/>
  <c r="S12" i="155" s="1"/>
  <c r="X12" i="155"/>
  <c r="Y12" i="155" s="1"/>
  <c r="AH66" i="155"/>
  <c r="L74" i="111"/>
  <c r="D35" i="36"/>
  <c r="X158" i="32"/>
  <c r="Z158" i="32" s="1"/>
  <c r="AA158" i="32" s="1"/>
  <c r="S158" i="32"/>
  <c r="T158" i="32" s="1"/>
  <c r="D115" i="100"/>
  <c r="F115" i="100" s="1"/>
  <c r="G115" i="100" s="1"/>
  <c r="D80" i="117"/>
  <c r="F80" i="117" s="1"/>
  <c r="G80" i="117" s="1"/>
  <c r="F88" i="100"/>
  <c r="G88" i="100" s="1"/>
  <c r="D202" i="100"/>
  <c r="X73" i="32"/>
  <c r="Z73" i="32" s="1"/>
  <c r="AA73" i="32" s="1"/>
  <c r="S73" i="32"/>
  <c r="T73" i="32" s="1"/>
  <c r="S29" i="156"/>
  <c r="T29" i="156" s="1"/>
  <c r="V29" i="156"/>
  <c r="W29" i="156" s="1"/>
  <c r="Y29" i="156"/>
  <c r="Z29" i="156" s="1"/>
  <c r="Q101" i="32"/>
  <c r="Q139" i="32"/>
  <c r="U199" i="100"/>
  <c r="V199" i="100" s="1"/>
  <c r="D288" i="100"/>
  <c r="F203" i="100"/>
  <c r="G203" i="100" s="1"/>
  <c r="M116" i="100"/>
  <c r="L118" i="100"/>
  <c r="M118" i="100" s="1"/>
  <c r="P32" i="77"/>
  <c r="P123" i="77"/>
  <c r="V59" i="28"/>
  <c r="AE32" i="77"/>
  <c r="AE123" i="77"/>
  <c r="D292" i="100"/>
  <c r="F292" i="100" s="1"/>
  <c r="G292" i="100" s="1"/>
  <c r="F207" i="100"/>
  <c r="G207" i="100" s="1"/>
  <c r="AM46" i="155"/>
  <c r="Z8" i="28"/>
  <c r="AA8" i="28" s="1"/>
  <c r="Q129" i="32"/>
  <c r="Q149" i="32"/>
  <c r="S149" i="32" s="1"/>
  <c r="T149" i="32" s="1"/>
  <c r="Z30" i="28"/>
  <c r="AA30" i="28" s="1"/>
  <c r="F297" i="100"/>
  <c r="G297" i="100" s="1"/>
  <c r="K286" i="100"/>
  <c r="L286" i="100" s="1"/>
  <c r="R11" i="155"/>
  <c r="S11" i="155" s="1"/>
  <c r="X11" i="155"/>
  <c r="Y11" i="155" s="1"/>
  <c r="D86" i="100"/>
  <c r="Q91" i="32"/>
  <c r="L108" i="147" l="1"/>
  <c r="N108" i="147" s="1"/>
  <c r="O9" i="147"/>
  <c r="O108" i="147" s="1"/>
  <c r="DF34" i="77"/>
  <c r="DH34" i="77" s="1"/>
  <c r="CI30" i="177" s="1"/>
  <c r="DJ33" i="77" a="1"/>
  <c r="DJ33" i="77" s="1"/>
  <c r="CM29" i="177" s="1"/>
  <c r="CU26" i="177"/>
  <c r="AB27" i="177"/>
  <c r="Z29" i="177"/>
  <c r="AA29" i="177"/>
  <c r="M22" i="163"/>
  <c r="N22" i="163" s="1"/>
  <c r="S22" i="163"/>
  <c r="T22" i="163" s="1"/>
  <c r="P22" i="163"/>
  <c r="Q22" i="163" s="1"/>
  <c r="AB49" i="163"/>
  <c r="AB50" i="163" s="1"/>
  <c r="AB66" i="163"/>
  <c r="AB67" i="163" s="1"/>
  <c r="AB68" i="163" s="1"/>
  <c r="R111" i="158"/>
  <c r="R35" i="158"/>
  <c r="HL34" i="158"/>
  <c r="AJ109" i="158"/>
  <c r="AJ33" i="158"/>
  <c r="HZ32" i="158"/>
  <c r="V110" i="158"/>
  <c r="HN33" i="158"/>
  <c r="V34" i="158"/>
  <c r="X91" i="32"/>
  <c r="Z91" i="32" s="1"/>
  <c r="AA91" i="32" s="1"/>
  <c r="S91" i="32"/>
  <c r="T91" i="32" s="1"/>
  <c r="Z204" i="100"/>
  <c r="T216" i="100" s="1"/>
  <c r="AA203" i="100"/>
  <c r="U215" i="100" s="1"/>
  <c r="W215" i="100" s="1"/>
  <c r="AN77" i="156"/>
  <c r="AN78" i="156" s="1"/>
  <c r="AF76" i="156"/>
  <c r="V20" i="156"/>
  <c r="W20" i="156" s="1"/>
  <c r="Y20" i="156"/>
  <c r="Z20" i="156" s="1"/>
  <c r="S20" i="156"/>
  <c r="T20" i="156" s="1"/>
  <c r="L75" i="111"/>
  <c r="D36" i="36"/>
  <c r="M75" i="111"/>
  <c r="W286" i="100"/>
  <c r="V287" i="100"/>
  <c r="W287" i="100" s="1"/>
  <c r="D34" i="77"/>
  <c r="D66" i="92"/>
  <c r="D84" i="77"/>
  <c r="D125" i="77"/>
  <c r="Z202" i="100"/>
  <c r="T214" i="100" s="1"/>
  <c r="V214" i="100" s="1"/>
  <c r="AA201" i="100"/>
  <c r="U213" i="100" s="1"/>
  <c r="W213" i="100" s="1"/>
  <c r="D213" i="100"/>
  <c r="K90" i="100"/>
  <c r="D126" i="100"/>
  <c r="F99" i="100"/>
  <c r="G99" i="100" s="1"/>
  <c r="AR43" i="32"/>
  <c r="AO41" i="32"/>
  <c r="AJ140" i="155"/>
  <c r="AJ139" i="155"/>
  <c r="W285" i="100"/>
  <c r="AB33" i="77"/>
  <c r="AB124" i="77"/>
  <c r="R5" i="155"/>
  <c r="S5" i="155" s="1"/>
  <c r="X5" i="155"/>
  <c r="Y5" i="155" s="1"/>
  <c r="AK49" i="155"/>
  <c r="AL49" i="155" s="1"/>
  <c r="AL48" i="155"/>
  <c r="AM48" i="155" s="1"/>
  <c r="AM49" i="155" s="1"/>
  <c r="R123" i="77"/>
  <c r="R32" i="77"/>
  <c r="Y22" i="156"/>
  <c r="Z22" i="156" s="1"/>
  <c r="V22" i="156"/>
  <c r="W22" i="156" s="1"/>
  <c r="S22" i="156"/>
  <c r="T22" i="156" s="1"/>
  <c r="H48" i="155"/>
  <c r="I48" i="155" s="1"/>
  <c r="J48" i="155" s="1"/>
  <c r="F49" i="155"/>
  <c r="F50" i="155"/>
  <c r="H50" i="155" s="1"/>
  <c r="AG122" i="77"/>
  <c r="AG31" i="77"/>
  <c r="K85" i="100"/>
  <c r="L85" i="100" s="1"/>
  <c r="F86" i="100"/>
  <c r="G86" i="100" s="1"/>
  <c r="D200" i="100"/>
  <c r="D113" i="100"/>
  <c r="D77" i="117"/>
  <c r="F77" i="117" s="1"/>
  <c r="G77" i="117" s="1"/>
  <c r="F113" i="155"/>
  <c r="G113" i="155" s="1"/>
  <c r="G112" i="155"/>
  <c r="H112" i="155" s="1"/>
  <c r="H113" i="155" s="1"/>
  <c r="D287" i="100"/>
  <c r="K199" i="100"/>
  <c r="L199" i="100" s="1"/>
  <c r="F202" i="100"/>
  <c r="G202" i="100" s="1"/>
  <c r="AH67" i="155"/>
  <c r="AL67" i="155" s="1"/>
  <c r="AH68" i="155"/>
  <c r="AL68" i="155" s="1"/>
  <c r="AL66" i="155"/>
  <c r="AM66" i="155" s="1"/>
  <c r="AH69" i="155"/>
  <c r="AH70" i="155"/>
  <c r="Y123" i="77"/>
  <c r="Y32" i="77"/>
  <c r="AD47" i="155"/>
  <c r="AE47" i="155" s="1"/>
  <c r="AE48" i="155" s="1"/>
  <c r="AC48" i="155"/>
  <c r="AD48" i="155" s="1"/>
  <c r="L285" i="100"/>
  <c r="K308" i="100"/>
  <c r="L308" i="100" s="1"/>
  <c r="D215" i="100"/>
  <c r="F101" i="100"/>
  <c r="G101" i="100" s="1"/>
  <c r="D128" i="100"/>
  <c r="F128" i="100" s="1"/>
  <c r="G128" i="100" s="1"/>
  <c r="AE124" i="77"/>
  <c r="AE33" i="77"/>
  <c r="U284" i="100"/>
  <c r="V284" i="100" s="1"/>
  <c r="F288" i="100"/>
  <c r="G288" i="100" s="1"/>
  <c r="S113" i="32"/>
  <c r="T113" i="32" s="1"/>
  <c r="N25" i="126"/>
  <c r="P25" i="126" s="1"/>
  <c r="Q25" i="126" s="1"/>
  <c r="P23" i="155"/>
  <c r="X113" i="32"/>
  <c r="Z113" i="32" s="1"/>
  <c r="AA113" i="32" s="1"/>
  <c r="P124" i="77"/>
  <c r="P33" i="77"/>
  <c r="AI31" i="77"/>
  <c r="AI122" i="77"/>
  <c r="S111" i="32"/>
  <c r="T111" i="32" s="1"/>
  <c r="X111" i="32"/>
  <c r="Z111" i="32" s="1"/>
  <c r="AA111" i="32" s="1"/>
  <c r="P21" i="155"/>
  <c r="N23" i="126"/>
  <c r="P23" i="126" s="1"/>
  <c r="Q23" i="126" s="1"/>
  <c r="X101" i="32"/>
  <c r="S101" i="32"/>
  <c r="AA202" i="100"/>
  <c r="U214" i="100" s="1"/>
  <c r="W214" i="100" s="1"/>
  <c r="Z203" i="100"/>
  <c r="T215" i="100" s="1"/>
  <c r="V215" i="100" s="1"/>
  <c r="H150" i="155"/>
  <c r="I150" i="155" s="1"/>
  <c r="I154" i="155" s="1"/>
  <c r="F151" i="155"/>
  <c r="F152" i="155"/>
  <c r="F86" i="155"/>
  <c r="H86" i="155" s="1"/>
  <c r="F85" i="155"/>
  <c r="H85" i="155" s="1"/>
  <c r="I85" i="155" s="1"/>
  <c r="I86" i="155" s="1"/>
  <c r="DX30" i="177" l="1"/>
  <c r="D126" i="77"/>
  <c r="DF35" i="77"/>
  <c r="DH35" i="77" s="1"/>
  <c r="CI31" i="177" s="1"/>
  <c r="DJ34" i="77" a="1"/>
  <c r="DJ34" i="77" s="1"/>
  <c r="CM30" i="177" s="1"/>
  <c r="CU27" i="177"/>
  <c r="AB28" i="177"/>
  <c r="Z30" i="177"/>
  <c r="AA30" i="177"/>
  <c r="AJ110" i="158"/>
  <c r="AJ34" i="158"/>
  <c r="HZ33" i="158"/>
  <c r="V111" i="158"/>
  <c r="V35" i="158"/>
  <c r="HN34" i="158"/>
  <c r="R36" i="158"/>
  <c r="HL35" i="158"/>
  <c r="R112" i="158"/>
  <c r="W284" i="100"/>
  <c r="AA283" i="100" s="1"/>
  <c r="AM68" i="155"/>
  <c r="K112" i="100"/>
  <c r="L112" i="100" s="1"/>
  <c r="F113" i="100"/>
  <c r="G113" i="100" s="1"/>
  <c r="AI32" i="77"/>
  <c r="AI123" i="77"/>
  <c r="AR41" i="32"/>
  <c r="AO42" i="32"/>
  <c r="AR42" i="32" s="1"/>
  <c r="AB125" i="77"/>
  <c r="AB34" i="77"/>
  <c r="AB126" i="77" s="1"/>
  <c r="AM67" i="155"/>
  <c r="D285" i="100"/>
  <c r="F285" i="100" s="1"/>
  <c r="G285" i="100" s="1"/>
  <c r="F200" i="100"/>
  <c r="G200" i="100" s="1"/>
  <c r="F126" i="100"/>
  <c r="G126" i="100" s="1"/>
  <c r="K117" i="100"/>
  <c r="D67" i="92"/>
  <c r="D85" i="77"/>
  <c r="D35" i="77"/>
  <c r="D127" i="77" s="1"/>
  <c r="D300" i="100"/>
  <c r="F300" i="100" s="1"/>
  <c r="G300" i="100" s="1"/>
  <c r="F215" i="100"/>
  <c r="G215" i="100" s="1"/>
  <c r="P34" i="77"/>
  <c r="P126" i="77" s="1"/>
  <c r="P125" i="77"/>
  <c r="AE125" i="77"/>
  <c r="AE34" i="77"/>
  <c r="AE126" i="77" s="1"/>
  <c r="L90" i="100"/>
  <c r="M90" i="100" s="1"/>
  <c r="M88" i="100"/>
  <c r="M87" i="100"/>
  <c r="W216" i="100"/>
  <c r="Y124" i="77"/>
  <c r="Y33" i="77"/>
  <c r="F213" i="100"/>
  <c r="G213" i="100" s="1"/>
  <c r="K203" i="100"/>
  <c r="D298" i="100"/>
  <c r="K284" i="100"/>
  <c r="L284" i="100" s="1"/>
  <c r="F287" i="100"/>
  <c r="G287" i="100" s="1"/>
  <c r="AG32" i="77"/>
  <c r="AG123" i="77"/>
  <c r="R33" i="77"/>
  <c r="R124" i="77"/>
  <c r="AF77" i="156"/>
  <c r="AG77" i="156" s="1"/>
  <c r="AG76" i="156"/>
  <c r="AH76" i="156" s="1"/>
  <c r="AH77" i="156" s="1"/>
  <c r="X21" i="155"/>
  <c r="Y21" i="155" s="1"/>
  <c r="R21" i="155"/>
  <c r="S21" i="155" s="1"/>
  <c r="AK69" i="155"/>
  <c r="AK70" i="155" s="1"/>
  <c r="AL70" i="155" s="1"/>
  <c r="AC68" i="155"/>
  <c r="X23" i="155"/>
  <c r="Y23" i="155" s="1"/>
  <c r="R23" i="155"/>
  <c r="S23" i="155" s="1"/>
  <c r="DJ35" i="77" l="1" a="1"/>
  <c r="DJ35" i="77" s="1"/>
  <c r="CM31" i="177" s="1"/>
  <c r="DF36" i="77"/>
  <c r="DH36" i="77" s="1"/>
  <c r="CI32" i="177" s="1"/>
  <c r="CU28" i="177"/>
  <c r="AB29" i="177"/>
  <c r="D36" i="77"/>
  <c r="DX31" i="177"/>
  <c r="AA31" i="177"/>
  <c r="Z31" i="177"/>
  <c r="V36" i="158"/>
  <c r="V112" i="158"/>
  <c r="HN35" i="158"/>
  <c r="HL36" i="158"/>
  <c r="R37" i="158"/>
  <c r="R113" i="158"/>
  <c r="AJ111" i="158"/>
  <c r="HZ34" i="158"/>
  <c r="AJ35" i="158"/>
  <c r="M114" i="100"/>
  <c r="M115" i="100"/>
  <c r="L117" i="100"/>
  <c r="M117" i="100" s="1"/>
  <c r="AA285" i="100"/>
  <c r="AA287" i="100"/>
  <c r="U299" i="100" s="1"/>
  <c r="W299" i="100" s="1"/>
  <c r="AJ299" i="100" s="1"/>
  <c r="AA286" i="100"/>
  <c r="U298" i="100" s="1"/>
  <c r="W298" i="100" s="1"/>
  <c r="AJ298" i="100" s="1"/>
  <c r="F298" i="100"/>
  <c r="G298" i="100" s="1"/>
  <c r="K287" i="100"/>
  <c r="AI124" i="77"/>
  <c r="AI33" i="77"/>
  <c r="L203" i="100"/>
  <c r="M203" i="100" s="1"/>
  <c r="M201" i="100"/>
  <c r="M202" i="100"/>
  <c r="AB35" i="77"/>
  <c r="AB127" i="77" s="1"/>
  <c r="R125" i="77"/>
  <c r="R34" i="77"/>
  <c r="R126" i="77" s="1"/>
  <c r="Y34" i="77"/>
  <c r="Y126" i="77" s="1"/>
  <c r="Y125" i="77"/>
  <c r="AE35" i="77"/>
  <c r="AE127" i="77" s="1"/>
  <c r="P35" i="77"/>
  <c r="P127" i="77" s="1"/>
  <c r="AD68" i="155"/>
  <c r="AE68" i="155" s="1"/>
  <c r="AE69" i="155" s="1"/>
  <c r="AC69" i="155"/>
  <c r="AD69" i="155" s="1"/>
  <c r="D86" i="77"/>
  <c r="D68" i="92"/>
  <c r="AG33" i="77"/>
  <c r="AG124" i="77"/>
  <c r="AL69" i="155"/>
  <c r="AM69" i="155" s="1"/>
  <c r="AM70" i="155" s="1"/>
  <c r="DX32" i="177" l="1"/>
  <c r="D128" i="77"/>
  <c r="DF37" i="77"/>
  <c r="DH37" i="77" s="1"/>
  <c r="CI33" i="177" s="1"/>
  <c r="DJ36" i="77" a="1"/>
  <c r="DJ36" i="77" s="1"/>
  <c r="CM32" i="177" s="1"/>
  <c r="D87" i="77"/>
  <c r="D69" i="92"/>
  <c r="D37" i="77"/>
  <c r="CU29" i="177"/>
  <c r="AB30" i="177"/>
  <c r="Z32" i="177"/>
  <c r="AA32" i="177"/>
  <c r="AE36" i="77"/>
  <c r="AJ36" i="158"/>
  <c r="HZ35" i="158"/>
  <c r="AJ112" i="158"/>
  <c r="AB36" i="77"/>
  <c r="HN36" i="158"/>
  <c r="V37" i="158"/>
  <c r="V113" i="158"/>
  <c r="HL37" i="158"/>
  <c r="R38" i="158"/>
  <c r="R114" i="158"/>
  <c r="P36" i="77"/>
  <c r="Q203" i="100"/>
  <c r="K215" i="100" s="1"/>
  <c r="M215" i="100" s="1"/>
  <c r="P204" i="100"/>
  <c r="J216" i="100" s="1"/>
  <c r="U297" i="100"/>
  <c r="W297" i="100" s="1"/>
  <c r="Z285" i="100"/>
  <c r="AG34" i="77"/>
  <c r="AG126" i="77" s="1"/>
  <c r="AG125" i="77"/>
  <c r="AI34" i="77"/>
  <c r="AI126" i="77" s="1"/>
  <c r="AI125" i="77"/>
  <c r="P202" i="100"/>
  <c r="J214" i="100" s="1"/>
  <c r="L214" i="100" s="1"/>
  <c r="Q201" i="100"/>
  <c r="K213" i="100" s="1"/>
  <c r="M213" i="100" s="1"/>
  <c r="L287" i="100"/>
  <c r="M287" i="100" s="1"/>
  <c r="M286" i="100"/>
  <c r="M285" i="100"/>
  <c r="Y35" i="77"/>
  <c r="Y127" i="77" s="1"/>
  <c r="Q202" i="100"/>
  <c r="K214" i="100" s="1"/>
  <c r="M214" i="100" s="1"/>
  <c r="P203" i="100"/>
  <c r="J215" i="100" s="1"/>
  <c r="L215" i="100" s="1"/>
  <c r="R35" i="77"/>
  <c r="R127" i="77" s="1"/>
  <c r="AB37" i="77" l="1"/>
  <c r="AB128" i="77"/>
  <c r="P37" i="77"/>
  <c r="P128" i="77"/>
  <c r="AE37" i="77"/>
  <c r="AE128" i="77"/>
  <c r="DX33" i="177"/>
  <c r="D129" i="77"/>
  <c r="D38" i="77"/>
  <c r="DJ37" i="77" a="1"/>
  <c r="DJ37" i="77" s="1"/>
  <c r="CM33" i="177" s="1"/>
  <c r="DF38" i="77"/>
  <c r="DH38" i="77" s="1"/>
  <c r="CI34" i="177" s="1"/>
  <c r="D88" i="77"/>
  <c r="CU30" i="177"/>
  <c r="AB31" i="177"/>
  <c r="AA33" i="177"/>
  <c r="Z33" i="177"/>
  <c r="M284" i="100"/>
  <c r="Q283" i="100" s="1"/>
  <c r="Q286" i="100" s="1"/>
  <c r="K298" i="100" s="1"/>
  <c r="M298" i="100" s="1"/>
  <c r="AD298" i="100" s="1"/>
  <c r="R115" i="158"/>
  <c r="HL38" i="158"/>
  <c r="HZ36" i="158"/>
  <c r="AJ37" i="158"/>
  <c r="AJ113" i="158"/>
  <c r="HN37" i="158"/>
  <c r="V38" i="158"/>
  <c r="V114" i="158"/>
  <c r="AM86" i="32"/>
  <c r="AM88" i="32" s="1"/>
  <c r="AN88" i="32" s="1"/>
  <c r="R36" i="77"/>
  <c r="Y36" i="77"/>
  <c r="AI35" i="77"/>
  <c r="AI127" i="77" s="1"/>
  <c r="T297" i="100"/>
  <c r="V297" i="100" s="1"/>
  <c r="AI297" i="100" s="1"/>
  <c r="Z286" i="100"/>
  <c r="AJ297" i="100"/>
  <c r="W304" i="100"/>
  <c r="X304" i="100" s="1"/>
  <c r="Z298" i="100"/>
  <c r="AG35" i="77"/>
  <c r="AG127" i="77" s="1"/>
  <c r="AE38" i="77" l="1"/>
  <c r="AE129" i="77"/>
  <c r="Y37" i="77"/>
  <c r="Y128" i="77"/>
  <c r="P38" i="77"/>
  <c r="P130" i="77" s="1"/>
  <c r="P129" i="77"/>
  <c r="R37" i="77"/>
  <c r="R128" i="77"/>
  <c r="AB38" i="77"/>
  <c r="AB130" i="77" s="1"/>
  <c r="AB129" i="77"/>
  <c r="DX34" i="177"/>
  <c r="D130" i="77"/>
  <c r="DJ38" i="77" a="1"/>
  <c r="DJ38" i="77" s="1"/>
  <c r="CM34" i="177" s="1"/>
  <c r="CU31" i="177"/>
  <c r="AB32" i="177"/>
  <c r="Z34" i="177"/>
  <c r="AA34" i="177"/>
  <c r="Q287" i="100"/>
  <c r="K299" i="100" s="1"/>
  <c r="M299" i="100" s="1"/>
  <c r="AD299" i="100" s="1"/>
  <c r="Q285" i="100"/>
  <c r="K297" i="100" s="1"/>
  <c r="M297" i="100" s="1"/>
  <c r="AD297" i="100" s="1"/>
  <c r="AG36" i="77"/>
  <c r="V115" i="158"/>
  <c r="HN38" i="158"/>
  <c r="HZ37" i="158"/>
  <c r="AJ38" i="158"/>
  <c r="AJ114" i="158"/>
  <c r="AI36" i="77"/>
  <c r="T298" i="100"/>
  <c r="V298" i="100" s="1"/>
  <c r="AI298" i="100" s="1"/>
  <c r="Z287" i="100"/>
  <c r="AM298" i="100"/>
  <c r="AM311" i="100" s="1"/>
  <c r="R38" i="77" l="1"/>
  <c r="R130" i="77" s="1"/>
  <c r="R129" i="77"/>
  <c r="Y38" i="77"/>
  <c r="Y130" i="77" s="1"/>
  <c r="Y129" i="77"/>
  <c r="AI37" i="77"/>
  <c r="AI128" i="77"/>
  <c r="AG37" i="77"/>
  <c r="AG128" i="77"/>
  <c r="AE39" i="77"/>
  <c r="AE130" i="77"/>
  <c r="CU32" i="177"/>
  <c r="AB33" i="177"/>
  <c r="P285" i="100"/>
  <c r="J297" i="100" s="1"/>
  <c r="L297" i="100" s="1"/>
  <c r="AC297" i="100" s="1"/>
  <c r="P298" i="100"/>
  <c r="M304" i="100"/>
  <c r="AJ115" i="158"/>
  <c r="HZ38" i="158"/>
  <c r="T299" i="100"/>
  <c r="V299" i="100" s="1"/>
  <c r="Z288" i="100"/>
  <c r="T300" i="100" s="1"/>
  <c r="AI38" i="77" l="1"/>
  <c r="AI130" i="77" s="1"/>
  <c r="AI129" i="77"/>
  <c r="AG38" i="77"/>
  <c r="AG130" i="77" s="1"/>
  <c r="AG129" i="77"/>
  <c r="CU33" i="177"/>
  <c r="AB34" i="177"/>
  <c r="CU34" i="177" s="1"/>
  <c r="P286" i="100"/>
  <c r="J298" i="100" s="1"/>
  <c r="L298" i="100" s="1"/>
  <c r="AC298" i="100" s="1"/>
  <c r="AG298" i="100"/>
  <c r="AG311" i="100" s="1"/>
  <c r="W300" i="100"/>
  <c r="V300" i="100"/>
  <c r="AI300" i="100" s="1"/>
  <c r="AI299" i="100"/>
  <c r="P287" i="100" l="1"/>
  <c r="P288" i="100" s="1"/>
  <c r="J300" i="100" s="1"/>
  <c r="W305" i="100"/>
  <c r="AJ300" i="100"/>
  <c r="J299" i="100" l="1"/>
  <c r="L299" i="100" s="1"/>
  <c r="AC299" i="100" s="1"/>
  <c r="G23" i="161"/>
  <c r="C39" i="149"/>
  <c r="C42" i="149"/>
  <c r="G15" i="161"/>
  <c r="S27" i="28" l="1"/>
  <c r="S17" i="28" s="1"/>
  <c r="Z17" i="28" s="1"/>
  <c r="AA17" i="28" s="1"/>
  <c r="V27" i="28"/>
  <c r="V17" i="28" s="1"/>
  <c r="U27" i="28"/>
  <c r="K17" i="163" s="1"/>
  <c r="K12" i="163" l="1"/>
  <c r="S17" i="163"/>
  <c r="T17" i="163" s="1"/>
  <c r="M17" i="163"/>
  <c r="N17" i="163" s="1"/>
  <c r="K16" i="163"/>
  <c r="Q144" i="32"/>
  <c r="S144" i="32" s="1"/>
  <c r="T144" i="32" s="1"/>
  <c r="U17" i="28"/>
  <c r="D90" i="117" l="1"/>
  <c r="F90" i="117" s="1"/>
  <c r="G90" i="117" s="1"/>
  <c r="D94" i="100"/>
  <c r="Q14" i="156"/>
  <c r="Q106" i="32"/>
  <c r="P16" i="163"/>
  <c r="Q16" i="163" s="1"/>
  <c r="S16" i="163"/>
  <c r="T16" i="163" s="1"/>
  <c r="M16" i="163"/>
  <c r="N16" i="163" s="1"/>
  <c r="Z46" i="163"/>
  <c r="M12" i="163"/>
  <c r="N12" i="163" s="1"/>
  <c r="P12" i="163"/>
  <c r="Q12" i="163" s="1"/>
  <c r="Y45" i="163"/>
  <c r="S12" i="163"/>
  <c r="T12" i="163" s="1"/>
  <c r="Y47" i="163" l="1"/>
  <c r="AD45" i="163"/>
  <c r="AE45" i="163" s="1"/>
  <c r="Y63" i="163"/>
  <c r="Y49" i="163"/>
  <c r="Y46" i="163"/>
  <c r="AD46" i="163" s="1"/>
  <c r="Y48" i="163"/>
  <c r="Z47" i="163"/>
  <c r="Z49" i="163"/>
  <c r="Z50" i="163" s="1"/>
  <c r="Z64" i="163"/>
  <c r="Z48" i="163"/>
  <c r="N12" i="126"/>
  <c r="P12" i="126" s="1"/>
  <c r="Q12" i="126" s="1"/>
  <c r="P34" i="155"/>
  <c r="S106" i="32"/>
  <c r="T106" i="32" s="1"/>
  <c r="X106" i="32"/>
  <c r="Z106" i="32" s="1"/>
  <c r="AA106" i="32" s="1"/>
  <c r="P33" i="155"/>
  <c r="K30" i="163"/>
  <c r="K31" i="163"/>
  <c r="Q17" i="156"/>
  <c r="V14" i="156"/>
  <c r="AK74" i="156"/>
  <c r="S14" i="156"/>
  <c r="T14" i="156" s="1"/>
  <c r="T17" i="156" s="1"/>
  <c r="Y14" i="156"/>
  <c r="Z14" i="156" s="1"/>
  <c r="D208" i="100"/>
  <c r="K86" i="100"/>
  <c r="L86" i="100" s="1"/>
  <c r="M86" i="100" s="1"/>
  <c r="F94" i="100"/>
  <c r="G94" i="100" s="1"/>
  <c r="D121" i="100"/>
  <c r="AE46" i="163" l="1"/>
  <c r="AF46" i="163" s="1"/>
  <c r="M85" i="100"/>
  <c r="S89" i="100" s="1"/>
  <c r="U34" i="155"/>
  <c r="R34" i="155"/>
  <c r="S34" i="155" s="1"/>
  <c r="V17" i="156"/>
  <c r="W14" i="156"/>
  <c r="W17" i="156" s="1"/>
  <c r="R33" i="155"/>
  <c r="S33" i="155" s="1"/>
  <c r="U33" i="155"/>
  <c r="F208" i="100"/>
  <c r="G208" i="100" s="1"/>
  <c r="U200" i="100"/>
  <c r="V200" i="100" s="1"/>
  <c r="W200" i="100" s="1"/>
  <c r="D293" i="100"/>
  <c r="K200" i="100"/>
  <c r="L200" i="100" s="1"/>
  <c r="M200" i="100" s="1"/>
  <c r="Z67" i="163"/>
  <c r="Z68" i="163" s="1"/>
  <c r="Z65" i="163"/>
  <c r="Z66" i="163"/>
  <c r="AO74" i="156"/>
  <c r="AP74" i="156" s="1"/>
  <c r="AK77" i="156"/>
  <c r="AK78" i="156"/>
  <c r="AK76" i="156"/>
  <c r="AK75" i="156"/>
  <c r="AL75" i="156"/>
  <c r="Y17" i="156"/>
  <c r="Z17" i="156" s="1"/>
  <c r="S17" i="156"/>
  <c r="AD48" i="163"/>
  <c r="M31" i="163"/>
  <c r="N31" i="163" s="1"/>
  <c r="P31" i="163"/>
  <c r="P30" i="163"/>
  <c r="M30" i="163"/>
  <c r="N30" i="163" s="1"/>
  <c r="Y50" i="163"/>
  <c r="Y64" i="163"/>
  <c r="AD64" i="163" s="1"/>
  <c r="AD63" i="163"/>
  <c r="AE63" i="163" s="1"/>
  <c r="Y65" i="163"/>
  <c r="Y66" i="163"/>
  <c r="Y67" i="163"/>
  <c r="K113" i="100"/>
  <c r="L113" i="100" s="1"/>
  <c r="M113" i="100" s="1"/>
  <c r="F121" i="100"/>
  <c r="G121" i="100" s="1"/>
  <c r="AD47" i="163"/>
  <c r="AE47" i="163" s="1"/>
  <c r="AD65" i="163" l="1"/>
  <c r="AE65" i="163" s="1"/>
  <c r="AD66" i="163"/>
  <c r="AE64" i="163"/>
  <c r="AF64" i="163" s="1"/>
  <c r="Q86" i="100"/>
  <c r="P86" i="100" s="1"/>
  <c r="AL76" i="156"/>
  <c r="AO76" i="156" s="1"/>
  <c r="AL77" i="156"/>
  <c r="AO77" i="156" s="1"/>
  <c r="AL78" i="156"/>
  <c r="AO78" i="156" s="1"/>
  <c r="W199" i="100"/>
  <c r="AA200" i="100"/>
  <c r="U212" i="100" s="1"/>
  <c r="W212" i="100" s="1"/>
  <c r="Z201" i="100"/>
  <c r="T213" i="100" s="1"/>
  <c r="V213" i="100" s="1"/>
  <c r="Z200" i="100"/>
  <c r="T212" i="100" s="1"/>
  <c r="V212" i="100" s="1"/>
  <c r="AO75" i="156"/>
  <c r="AP75" i="156" s="1"/>
  <c r="Q200" i="100"/>
  <c r="K212" i="100" s="1"/>
  <c r="M212" i="100" s="1"/>
  <c r="M199" i="100"/>
  <c r="P200" i="100"/>
  <c r="J212" i="100" s="1"/>
  <c r="L212" i="100" s="1"/>
  <c r="P201" i="100"/>
  <c r="J213" i="100" s="1"/>
  <c r="L213" i="100" s="1"/>
  <c r="M112" i="100"/>
  <c r="S116" i="100" s="1"/>
  <c r="Q113" i="100" s="1"/>
  <c r="AE48" i="163"/>
  <c r="Y68" i="163"/>
  <c r="K309" i="100"/>
  <c r="L309" i="100" s="1"/>
  <c r="M309" i="100" s="1"/>
  <c r="F293" i="100"/>
  <c r="G293" i="100" s="1"/>
  <c r="Q89" i="100"/>
  <c r="Q87" i="100"/>
  <c r="Q90" i="100"/>
  <c r="Q91" i="100"/>
  <c r="Q88" i="100"/>
  <c r="AE66" i="163" l="1"/>
  <c r="P87" i="100"/>
  <c r="P88" i="100" s="1"/>
  <c r="P89" i="100" s="1"/>
  <c r="P90" i="100" s="1"/>
  <c r="P91" i="100" s="1"/>
  <c r="P92" i="100" s="1"/>
  <c r="AP77" i="156"/>
  <c r="P113" i="100"/>
  <c r="P114" i="100" s="1"/>
  <c r="AP76" i="156"/>
  <c r="Q114" i="100"/>
  <c r="Q117" i="100"/>
  <c r="Q115" i="100"/>
  <c r="Q116" i="100"/>
  <c r="Q118" i="100"/>
  <c r="M308" i="100"/>
  <c r="AP78" i="156" l="1"/>
  <c r="P115" i="100"/>
  <c r="P116" i="100" s="1"/>
  <c r="P117" i="100" s="1"/>
  <c r="P118" i="100" s="1"/>
  <c r="P119" i="100" s="1"/>
  <c r="Z297" i="100"/>
  <c r="AM297" i="100" s="1"/>
  <c r="AM310" i="100" s="1"/>
  <c r="P297" i="100"/>
  <c r="AG297" i="100" s="1"/>
  <c r="AG310" i="100" s="1"/>
  <c r="P296" i="100"/>
  <c r="Z296" i="100"/>
  <c r="AM296" i="100" l="1"/>
  <c r="AM309" i="100" s="1"/>
  <c r="Z299" i="100"/>
  <c r="AG296" i="100"/>
  <c r="AG309" i="100" s="1"/>
  <c r="P299" i="100"/>
  <c r="F15" i="171" l="1"/>
  <c r="F28" i="171"/>
  <c r="K27" i="171"/>
  <c r="F14" i="171"/>
  <c r="F24" i="171"/>
  <c r="F30" i="171"/>
  <c r="K30" i="171"/>
  <c r="K16" i="171" l="1"/>
  <c r="AK97" i="158"/>
  <c r="H27" i="171"/>
  <c r="H30" i="171"/>
  <c r="G14" i="171"/>
  <c r="D35" i="171"/>
  <c r="F27" i="171"/>
  <c r="H16" i="171"/>
  <c r="F17" i="171"/>
  <c r="F26" i="171"/>
  <c r="F25" i="171"/>
  <c r="F29" i="171"/>
  <c r="K28" i="171"/>
  <c r="F16" i="171"/>
  <c r="H17" i="171"/>
  <c r="H12" i="171"/>
  <c r="I12" i="171" s="1"/>
  <c r="F13" i="171"/>
  <c r="G15" i="171"/>
  <c r="K24" i="171"/>
  <c r="K26" i="171"/>
  <c r="K25" i="171"/>
  <c r="K29" i="171"/>
  <c r="F12" i="171"/>
  <c r="G13" i="171"/>
  <c r="AK17" i="158" s="1"/>
  <c r="K15" i="171" l="1"/>
  <c r="AK19" i="158"/>
  <c r="K14" i="171"/>
  <c r="AK18" i="158"/>
  <c r="J91" i="147" s="1"/>
  <c r="M91" i="147" s="1"/>
  <c r="M40" i="147" s="1"/>
  <c r="M139" i="147" s="1"/>
  <c r="AS20" i="158"/>
  <c r="AN21" i="158"/>
  <c r="O44" i="158"/>
  <c r="AN18" i="158"/>
  <c r="GD18" i="158" s="1"/>
  <c r="K13" i="171"/>
  <c r="H15" i="171"/>
  <c r="AF18" i="36"/>
  <c r="H25" i="171"/>
  <c r="H28" i="171"/>
  <c r="H14" i="171"/>
  <c r="H26" i="171"/>
  <c r="AN35" i="158"/>
  <c r="AS34" i="158"/>
  <c r="AS111" i="158" s="1"/>
  <c r="AK111" i="158"/>
  <c r="AM21" i="77"/>
  <c r="AG21" i="22"/>
  <c r="IA21" i="158"/>
  <c r="AN98" i="158"/>
  <c r="AN32" i="158"/>
  <c r="AS31" i="158"/>
  <c r="AS108" i="158" s="1"/>
  <c r="AK108" i="158"/>
  <c r="H29" i="171"/>
  <c r="H24" i="171"/>
  <c r="S2" i="36"/>
  <c r="T2" i="36" s="1"/>
  <c r="AJ20" i="77"/>
  <c r="G35" i="171"/>
  <c r="G36" i="171" s="1"/>
  <c r="H13" i="171"/>
  <c r="GD21" i="158" l="1"/>
  <c r="F92" i="147"/>
  <c r="AS97" i="158"/>
  <c r="E100" i="147"/>
  <c r="AJ34" i="77"/>
  <c r="AJ126" i="77" s="1"/>
  <c r="AI36" i="36"/>
  <c r="AH35" i="36"/>
  <c r="AI19" i="36"/>
  <c r="AK19" i="36" s="1"/>
  <c r="AH18" i="36"/>
  <c r="K35" i="171"/>
  <c r="L36" i="171" s="1"/>
  <c r="AS17" i="158"/>
  <c r="AS94" i="158" s="1"/>
  <c r="AK94" i="158"/>
  <c r="AK39" i="158"/>
  <c r="AK40" i="158" s="1"/>
  <c r="AN31" i="158"/>
  <c r="AS30" i="158"/>
  <c r="AS107" i="158" s="1"/>
  <c r="AK107" i="158"/>
  <c r="AG32" i="22"/>
  <c r="IA32" i="158"/>
  <c r="AN109" i="158"/>
  <c r="AG18" i="22"/>
  <c r="IA18" i="158"/>
  <c r="AN95" i="158"/>
  <c r="F25" i="123"/>
  <c r="AM113" i="77"/>
  <c r="AN33" i="158"/>
  <c r="AS32" i="158"/>
  <c r="AS109" i="158" s="1"/>
  <c r="AK109" i="158"/>
  <c r="AJ17" i="77"/>
  <c r="AJ112" i="77"/>
  <c r="AN19" i="158"/>
  <c r="AK95" i="158"/>
  <c r="AS18" i="158"/>
  <c r="AJ19" i="77"/>
  <c r="AN20" i="158"/>
  <c r="AK96" i="158"/>
  <c r="AS19" i="158"/>
  <c r="AS96" i="158" s="1"/>
  <c r="AN29" i="158"/>
  <c r="AS28" i="158"/>
  <c r="AS105" i="158" s="1"/>
  <c r="AK105" i="158"/>
  <c r="F35" i="171"/>
  <c r="AJ33" i="77"/>
  <c r="AN34" i="158"/>
  <c r="AS33" i="158"/>
  <c r="AS110" i="158" s="1"/>
  <c r="AK110" i="158"/>
  <c r="AG35" i="22"/>
  <c r="AN112" i="158"/>
  <c r="IA35" i="158"/>
  <c r="AN30" i="158"/>
  <c r="AM29" i="158"/>
  <c r="AS29" i="158"/>
  <c r="AS106" i="158" s="1"/>
  <c r="AK106" i="158"/>
  <c r="I13" i="171"/>
  <c r="I14" i="171" s="1"/>
  <c r="I15" i="171" s="1"/>
  <c r="I16" i="171" s="1"/>
  <c r="I17" i="171" s="1"/>
  <c r="I18" i="171" s="1"/>
  <c r="I19" i="171" s="1"/>
  <c r="I20" i="171" s="1"/>
  <c r="I21" i="171" s="1"/>
  <c r="I22" i="171" s="1"/>
  <c r="I23" i="171" s="1"/>
  <c r="I24" i="171" s="1"/>
  <c r="I25" i="171" s="1"/>
  <c r="I26" i="171" s="1"/>
  <c r="I27" i="171" s="1"/>
  <c r="I28" i="171" s="1"/>
  <c r="I29" i="171" s="1"/>
  <c r="I30" i="171" s="1"/>
  <c r="I31" i="171" s="1"/>
  <c r="I32" i="171" s="1"/>
  <c r="I33" i="171" s="1"/>
  <c r="I34" i="171" s="1"/>
  <c r="I35" i="171" s="1"/>
  <c r="I36" i="171" s="1"/>
  <c r="AK36" i="36" l="1"/>
  <c r="AM35" i="77"/>
  <c r="AJ30" i="77"/>
  <c r="AJ122" i="77" s="1"/>
  <c r="AI32" i="36"/>
  <c r="AH31" i="36"/>
  <c r="AJ29" i="77"/>
  <c r="AJ121" i="77" s="1"/>
  <c r="AI31" i="36"/>
  <c r="AH30" i="36"/>
  <c r="AJ32" i="77"/>
  <c r="AJ124" i="77" s="1"/>
  <c r="AI34" i="36"/>
  <c r="AH33" i="36"/>
  <c r="K92" i="147"/>
  <c r="GD19" i="158"/>
  <c r="GD20" i="158"/>
  <c r="E92" i="147"/>
  <c r="AJ18" i="77"/>
  <c r="AJ110" i="77" s="1"/>
  <c r="AI20" i="36"/>
  <c r="AH19" i="36"/>
  <c r="J40" i="147"/>
  <c r="AS95" i="158"/>
  <c r="J100" i="147"/>
  <c r="M30" i="171"/>
  <c r="N30" i="171" s="1"/>
  <c r="AO35" i="158" s="1"/>
  <c r="M17" i="171"/>
  <c r="N17" i="171" s="1"/>
  <c r="AO22" i="158" s="1"/>
  <c r="M15" i="171"/>
  <c r="N15" i="171" s="1"/>
  <c r="M26" i="171"/>
  <c r="N26" i="171" s="1"/>
  <c r="M32" i="171"/>
  <c r="N32" i="171" s="1"/>
  <c r="AO37" i="158" s="1"/>
  <c r="M7" i="171"/>
  <c r="N7" i="171" s="1"/>
  <c r="AO12" i="158" s="1"/>
  <c r="GE12" i="158" s="1"/>
  <c r="M14" i="171"/>
  <c r="N14" i="171" s="1"/>
  <c r="M18" i="171"/>
  <c r="N18" i="171" s="1"/>
  <c r="AO23" i="158" s="1"/>
  <c r="M24" i="171"/>
  <c r="N24" i="171" s="1"/>
  <c r="AO29" i="158" s="1"/>
  <c r="M29" i="171"/>
  <c r="N29" i="171" s="1"/>
  <c r="AO34" i="158" s="1"/>
  <c r="M6" i="171"/>
  <c r="N6" i="171" s="1"/>
  <c r="AO11" i="158" s="1"/>
  <c r="GE11" i="158" s="1"/>
  <c r="M31" i="171"/>
  <c r="N31" i="171" s="1"/>
  <c r="AO36" i="158" s="1"/>
  <c r="M10" i="171"/>
  <c r="N10" i="171" s="1"/>
  <c r="AO15" i="158" s="1"/>
  <c r="GE15" i="158" s="1"/>
  <c r="M16" i="171"/>
  <c r="N16" i="171" s="1"/>
  <c r="AO21" i="158" s="1"/>
  <c r="GE21" i="158" s="1"/>
  <c r="M21" i="171"/>
  <c r="N21" i="171" s="1"/>
  <c r="AO26" i="158" s="1"/>
  <c r="M28" i="171"/>
  <c r="N28" i="171" s="1"/>
  <c r="M34" i="171"/>
  <c r="N34" i="171" s="1"/>
  <c r="M33" i="171"/>
  <c r="N33" i="171" s="1"/>
  <c r="AO38" i="158" s="1"/>
  <c r="AP38" i="158" s="1"/>
  <c r="M8" i="171"/>
  <c r="N8" i="171" s="1"/>
  <c r="AO13" i="158" s="1"/>
  <c r="GE13" i="158" s="1"/>
  <c r="M13" i="171"/>
  <c r="N13" i="171" s="1"/>
  <c r="AO18" i="158" s="1"/>
  <c r="GE18" i="158" s="1"/>
  <c r="M20" i="171"/>
  <c r="N20" i="171" s="1"/>
  <c r="AO25" i="158" s="1"/>
  <c r="M4" i="171"/>
  <c r="M22" i="171"/>
  <c r="N22" i="171" s="1"/>
  <c r="AO27" i="158" s="1"/>
  <c r="M25" i="171"/>
  <c r="N25" i="171" s="1"/>
  <c r="AO30" i="158" s="1"/>
  <c r="M27" i="171"/>
  <c r="N27" i="171" s="1"/>
  <c r="AO32" i="158" s="1"/>
  <c r="M5" i="171"/>
  <c r="M12" i="171"/>
  <c r="M19" i="171"/>
  <c r="N19" i="171" s="1"/>
  <c r="AO24" i="158" s="1"/>
  <c r="M11" i="171"/>
  <c r="N11" i="171" s="1"/>
  <c r="AO16" i="158" s="1"/>
  <c r="GE16" i="158" s="1"/>
  <c r="M9" i="171"/>
  <c r="N9" i="171" s="1"/>
  <c r="AO14" i="158" s="1"/>
  <c r="GE14" i="158" s="1"/>
  <c r="M23" i="171"/>
  <c r="N23" i="171" s="1"/>
  <c r="AO28" i="158" s="1"/>
  <c r="AM19" i="158"/>
  <c r="AO20" i="158"/>
  <c r="GE20" i="158" s="1"/>
  <c r="AM18" i="158"/>
  <c r="R67" i="115" s="1"/>
  <c r="AO19" i="158"/>
  <c r="GE19" i="158" s="1"/>
  <c r="AM32" i="158"/>
  <c r="AO33" i="158"/>
  <c r="AP33" i="158" s="1"/>
  <c r="AM30" i="158"/>
  <c r="R79" i="115" s="1"/>
  <c r="AO31" i="158"/>
  <c r="AP31" i="158" s="1"/>
  <c r="AK36" i="77"/>
  <c r="AL113" i="158"/>
  <c r="AM36" i="158"/>
  <c r="AK22" i="77"/>
  <c r="AL99" i="158"/>
  <c r="AM22" i="158"/>
  <c r="AK25" i="77"/>
  <c r="AL102" i="158"/>
  <c r="AM25" i="158"/>
  <c r="AK17" i="77"/>
  <c r="AK109" i="77" s="1"/>
  <c r="AL94" i="158"/>
  <c r="AK29" i="77"/>
  <c r="AK121" i="77" s="1"/>
  <c r="AL106" i="158"/>
  <c r="AK31" i="77"/>
  <c r="AL108" i="158"/>
  <c r="AM31" i="158"/>
  <c r="AK28" i="77"/>
  <c r="AK120" i="77" s="1"/>
  <c r="AL105" i="158"/>
  <c r="AP34" i="158"/>
  <c r="AK33" i="77"/>
  <c r="AK125" i="77" s="1"/>
  <c r="AL110" i="158"/>
  <c r="AK14" i="77"/>
  <c r="AL91" i="158"/>
  <c r="AM14" i="158"/>
  <c r="AK12" i="77"/>
  <c r="AL89" i="158"/>
  <c r="AM12" i="158"/>
  <c r="AM28" i="158"/>
  <c r="R77" i="115" s="1"/>
  <c r="AK21" i="77"/>
  <c r="AL98" i="158"/>
  <c r="AM21" i="158"/>
  <c r="AK35" i="77"/>
  <c r="AK127" i="77" s="1"/>
  <c r="AM35" i="158"/>
  <c r="AL112" i="158"/>
  <c r="AK23" i="77"/>
  <c r="AL100" i="158"/>
  <c r="AM23" i="158"/>
  <c r="AK30" i="77"/>
  <c r="AK122" i="77" s="1"/>
  <c r="AL107" i="158"/>
  <c r="AP19" i="158"/>
  <c r="GF19" i="158" s="1"/>
  <c r="AK18" i="77"/>
  <c r="AK110" i="77" s="1"/>
  <c r="AL95" i="158"/>
  <c r="AK10" i="77"/>
  <c r="AL87" i="158"/>
  <c r="AM10" i="158"/>
  <c r="AK20" i="77"/>
  <c r="AL97" i="158"/>
  <c r="AM20" i="158"/>
  <c r="AK37" i="77"/>
  <c r="AL114" i="158"/>
  <c r="AM37" i="158"/>
  <c r="AK15" i="77"/>
  <c r="AL92" i="158"/>
  <c r="AM15" i="158"/>
  <c r="AK13" i="77"/>
  <c r="AL90" i="158"/>
  <c r="AM13" i="158"/>
  <c r="AK27" i="77"/>
  <c r="AL104" i="158"/>
  <c r="AM27" i="158"/>
  <c r="AK34" i="77"/>
  <c r="AK126" i="77" s="1"/>
  <c r="AL111" i="158"/>
  <c r="AM34" i="158"/>
  <c r="AK11" i="77"/>
  <c r="AL88" i="158"/>
  <c r="AM11" i="158"/>
  <c r="AK32" i="77"/>
  <c r="AK124" i="77" s="1"/>
  <c r="AL109" i="158"/>
  <c r="AK24" i="77"/>
  <c r="AL101" i="158"/>
  <c r="AM24" i="158"/>
  <c r="AM33" i="158"/>
  <c r="AM110" i="158" s="1"/>
  <c r="AK38" i="77"/>
  <c r="AL115" i="158"/>
  <c r="AM38" i="158"/>
  <c r="AP20" i="158"/>
  <c r="AK19" i="77"/>
  <c r="AK111" i="77" s="1"/>
  <c r="AL96" i="158"/>
  <c r="AK26" i="77"/>
  <c r="AL103" i="158"/>
  <c r="AM26" i="158"/>
  <c r="AM17" i="158"/>
  <c r="AK117" i="158"/>
  <c r="AJ111" i="77"/>
  <c r="AJ109" i="77"/>
  <c r="AM18" i="77"/>
  <c r="AM107" i="158"/>
  <c r="R78" i="115"/>
  <c r="AM106" i="158"/>
  <c r="AG31" i="22"/>
  <c r="AN108" i="158"/>
  <c r="IA31" i="158"/>
  <c r="AG30" i="22"/>
  <c r="IA30" i="158"/>
  <c r="AN107" i="158"/>
  <c r="AM29" i="77"/>
  <c r="AG29" i="22"/>
  <c r="AN106" i="158"/>
  <c r="IA29" i="158"/>
  <c r="AM20" i="77"/>
  <c r="AG20" i="22"/>
  <c r="AN97" i="158"/>
  <c r="IA20" i="158"/>
  <c r="AN39" i="158"/>
  <c r="AJ125" i="77"/>
  <c r="AM19" i="77"/>
  <c r="AG19" i="22"/>
  <c r="IA19" i="158"/>
  <c r="AN96" i="158"/>
  <c r="AJ28" i="77"/>
  <c r="R81" i="115"/>
  <c r="AM109" i="158"/>
  <c r="AM34" i="77"/>
  <c r="AM126" i="77" s="1"/>
  <c r="AG34" i="22"/>
  <c r="AN111" i="158"/>
  <c r="IA34" i="158"/>
  <c r="AG33" i="22"/>
  <c r="IA33" i="158"/>
  <c r="AN110" i="158"/>
  <c r="AM127" i="77" l="1"/>
  <c r="F39" i="123"/>
  <c r="AK31" i="36"/>
  <c r="H42" i="147" s="1"/>
  <c r="H141" i="147" s="1"/>
  <c r="AM30" i="77"/>
  <c r="AK34" i="36"/>
  <c r="AM33" i="77"/>
  <c r="AF45" i="36"/>
  <c r="AF41" i="36"/>
  <c r="AK32" i="36"/>
  <c r="I42" i="147" s="1"/>
  <c r="I141" i="147" s="1"/>
  <c r="AM31" i="77"/>
  <c r="AL38" i="77"/>
  <c r="AL130" i="77" s="1"/>
  <c r="AK130" i="77"/>
  <c r="AL37" i="77"/>
  <c r="AL129" i="77" s="1"/>
  <c r="AK129" i="77"/>
  <c r="AL36" i="77"/>
  <c r="AL128" i="77" s="1"/>
  <c r="AK128" i="77"/>
  <c r="GD39" i="158"/>
  <c r="M92" i="147"/>
  <c r="M41" i="147" s="1"/>
  <c r="GF20" i="158"/>
  <c r="E98" i="147"/>
  <c r="E93" i="147"/>
  <c r="AI33" i="36"/>
  <c r="AI41" i="36" s="1"/>
  <c r="AH32" i="36"/>
  <c r="AJ31" i="77"/>
  <c r="AJ123" i="77" s="1"/>
  <c r="K41" i="147"/>
  <c r="AK20" i="36"/>
  <c r="J50" i="147"/>
  <c r="K50" i="147" s="1"/>
  <c r="M50" i="147" s="1"/>
  <c r="O50" i="147" s="1"/>
  <c r="L40" i="147"/>
  <c r="J139" i="147"/>
  <c r="K93" i="147"/>
  <c r="AM95" i="158"/>
  <c r="M35" i="171"/>
  <c r="M36" i="171" s="1"/>
  <c r="R68" i="115"/>
  <c r="AM96" i="158"/>
  <c r="AM105" i="158"/>
  <c r="AL33" i="77"/>
  <c r="AL125" i="77" s="1"/>
  <c r="R82" i="115"/>
  <c r="AL29" i="77"/>
  <c r="AL121" i="77" s="1"/>
  <c r="AL32" i="77"/>
  <c r="AL124" i="77" s="1"/>
  <c r="AL19" i="77"/>
  <c r="AL111" i="77" s="1"/>
  <c r="AL23" i="77"/>
  <c r="AL115" i="77" s="1"/>
  <c r="AK115" i="77"/>
  <c r="AN30" i="77"/>
  <c r="AO30" i="77" s="1"/>
  <c r="J26" i="177" s="1"/>
  <c r="I26" i="177" s="1"/>
  <c r="AH30" i="22"/>
  <c r="AI30" i="22" s="1"/>
  <c r="AO107" i="158"/>
  <c r="IB30" i="158"/>
  <c r="AP30" i="158"/>
  <c r="AK107" i="77"/>
  <c r="AL15" i="77"/>
  <c r="AL107" i="77" s="1"/>
  <c r="AM101" i="158"/>
  <c r="R73" i="115"/>
  <c r="AM91" i="158"/>
  <c r="R63" i="115"/>
  <c r="AK103" i="77"/>
  <c r="AL11" i="77"/>
  <c r="AL103" i="77" s="1"/>
  <c r="AN22" i="77"/>
  <c r="AH22" i="22"/>
  <c r="AI22" i="22" s="1"/>
  <c r="IB22" i="158"/>
  <c r="AO99" i="158"/>
  <c r="AP22" i="158"/>
  <c r="AN12" i="77"/>
  <c r="AH12" i="22"/>
  <c r="AI12" i="22" s="1"/>
  <c r="AO89" i="158"/>
  <c r="IB12" i="158"/>
  <c r="AP12" i="158"/>
  <c r="GF12" i="158" s="1"/>
  <c r="AN19" i="77"/>
  <c r="AO19" i="77" s="1"/>
  <c r="AH19" i="22"/>
  <c r="AI19" i="22" s="1"/>
  <c r="AO96" i="158"/>
  <c r="IB19" i="158"/>
  <c r="AN20" i="77"/>
  <c r="AO20" i="77" s="1"/>
  <c r="AH20" i="22"/>
  <c r="AI20" i="22" s="1"/>
  <c r="IB20" i="158"/>
  <c r="AO97" i="158"/>
  <c r="R62" i="115"/>
  <c r="AM90" i="158"/>
  <c r="AN18" i="77"/>
  <c r="AO18" i="77" s="1"/>
  <c r="AH18" i="22"/>
  <c r="AI18" i="22" s="1"/>
  <c r="AO95" i="158"/>
  <c r="IB18" i="158"/>
  <c r="AP18" i="158"/>
  <c r="GF18" i="158" s="1"/>
  <c r="AM94" i="158"/>
  <c r="R66" i="115"/>
  <c r="AM115" i="158"/>
  <c r="R59" i="115"/>
  <c r="S59" i="115" s="1"/>
  <c r="T59" i="115" s="1"/>
  <c r="AM87" i="158"/>
  <c r="AL35" i="77"/>
  <c r="AL127" i="77" s="1"/>
  <c r="R61" i="115"/>
  <c r="AM89" i="158"/>
  <c r="AK123" i="77"/>
  <c r="AM102" i="158"/>
  <c r="R74" i="115"/>
  <c r="R85" i="115"/>
  <c r="AM113" i="158"/>
  <c r="AK119" i="77"/>
  <c r="AL27" i="77"/>
  <c r="AL119" i="77" s="1"/>
  <c r="AN21" i="77"/>
  <c r="AH21" i="22"/>
  <c r="AI21" i="22" s="1"/>
  <c r="IB21" i="158"/>
  <c r="AO98" i="158"/>
  <c r="AP21" i="158"/>
  <c r="AK106" i="77"/>
  <c r="AL14" i="77"/>
  <c r="AL106" i="77" s="1"/>
  <c r="AN25" i="77"/>
  <c r="AH25" i="22"/>
  <c r="AI25" i="22" s="1"/>
  <c r="IB25" i="158"/>
  <c r="AO102" i="158"/>
  <c r="AP25" i="158"/>
  <c r="AH15" i="22"/>
  <c r="AI15" i="22" s="1"/>
  <c r="IB15" i="158"/>
  <c r="AO92" i="158"/>
  <c r="AP15" i="158"/>
  <c r="GF15" i="158" s="1"/>
  <c r="AL17" i="77"/>
  <c r="AL109" i="77" s="1"/>
  <c r="AM103" i="158"/>
  <c r="R75" i="115"/>
  <c r="AL34" i="77"/>
  <c r="AL126" i="77" s="1"/>
  <c r="AK105" i="77"/>
  <c r="AL13" i="77"/>
  <c r="AL105" i="77" s="1"/>
  <c r="AN31" i="77"/>
  <c r="AH31" i="22"/>
  <c r="AI31" i="22" s="1"/>
  <c r="IB31" i="158"/>
  <c r="AO108" i="158"/>
  <c r="AN36" i="77"/>
  <c r="AN128" i="77" s="1"/>
  <c r="AO113" i="158"/>
  <c r="IB36" i="158"/>
  <c r="AP36" i="158"/>
  <c r="AH36" i="22"/>
  <c r="AI36" i="22" s="1"/>
  <c r="AN32" i="77"/>
  <c r="AH32" i="22"/>
  <c r="AI32" i="22" s="1"/>
  <c r="AO109" i="158"/>
  <c r="IB32" i="158"/>
  <c r="AP32" i="158"/>
  <c r="AK113" i="77"/>
  <c r="AL21" i="77"/>
  <c r="AL113" i="77" s="1"/>
  <c r="AM99" i="158"/>
  <c r="R71" i="115"/>
  <c r="AN29" i="77"/>
  <c r="AO29" i="77" s="1"/>
  <c r="AH29" i="22"/>
  <c r="AI29" i="22" s="1"/>
  <c r="IB29" i="158"/>
  <c r="AO106" i="158"/>
  <c r="AN28" i="77"/>
  <c r="AH28" i="22"/>
  <c r="AI28" i="22" s="1"/>
  <c r="IB28" i="158"/>
  <c r="AP28" i="158"/>
  <c r="AO105" i="158"/>
  <c r="R80" i="115"/>
  <c r="AM108" i="158"/>
  <c r="AM39" i="158"/>
  <c r="AL39" i="158" s="1"/>
  <c r="AM114" i="158"/>
  <c r="R86" i="115"/>
  <c r="AN23" i="77"/>
  <c r="AH23" i="22"/>
  <c r="AI23" i="22" s="1"/>
  <c r="IB23" i="158"/>
  <c r="AO100" i="158"/>
  <c r="AP23" i="158"/>
  <c r="AP29" i="158"/>
  <c r="AW29" i="158" s="1"/>
  <c r="AW106" i="158" s="1"/>
  <c r="AL30" i="77"/>
  <c r="AL122" i="77" s="1"/>
  <c r="AN33" i="77"/>
  <c r="AH33" i="22"/>
  <c r="AI33" i="22" s="1"/>
  <c r="IB33" i="158"/>
  <c r="AO110" i="158"/>
  <c r="AN35" i="77"/>
  <c r="AN127" i="77" s="1"/>
  <c r="AH35" i="22"/>
  <c r="AI35" i="22" s="1"/>
  <c r="AO112" i="158"/>
  <c r="IB35" i="158"/>
  <c r="AP35" i="158"/>
  <c r="AN14" i="77"/>
  <c r="AH14" i="22"/>
  <c r="AI14" i="22" s="1"/>
  <c r="IB14" i="158"/>
  <c r="AO91" i="158"/>
  <c r="AP14" i="158"/>
  <c r="GF14" i="158" s="1"/>
  <c r="AN38" i="77"/>
  <c r="AN130" i="77" s="1"/>
  <c r="IB38" i="158"/>
  <c r="AO115" i="158"/>
  <c r="AH38" i="22"/>
  <c r="AI38" i="22" s="1"/>
  <c r="AK102" i="77"/>
  <c r="AL10" i="77"/>
  <c r="AL102" i="77" s="1"/>
  <c r="AM100" i="158"/>
  <c r="R72" i="115"/>
  <c r="R70" i="115"/>
  <c r="AM98" i="158"/>
  <c r="AK104" i="77"/>
  <c r="AL12" i="77"/>
  <c r="AL104" i="77" s="1"/>
  <c r="AN34" i="77"/>
  <c r="AH34" i="22"/>
  <c r="AI34" i="22" s="1"/>
  <c r="AO111" i="158"/>
  <c r="IB34" i="158"/>
  <c r="AK117" i="77"/>
  <c r="AL25" i="77"/>
  <c r="AL117" i="77" s="1"/>
  <c r="AN27" i="77"/>
  <c r="AH27" i="22"/>
  <c r="AI27" i="22" s="1"/>
  <c r="AO104" i="158"/>
  <c r="IB27" i="158"/>
  <c r="AP27" i="158"/>
  <c r="AK112" i="77"/>
  <c r="AL20" i="77"/>
  <c r="AL112" i="77" s="1"/>
  <c r="AN24" i="77"/>
  <c r="AH24" i="22"/>
  <c r="AI24" i="22" s="1"/>
  <c r="AO101" i="158"/>
  <c r="IB24" i="158"/>
  <c r="AP24" i="158"/>
  <c r="AK116" i="77"/>
  <c r="AL24" i="77"/>
  <c r="AL116" i="77" s="1"/>
  <c r="AN16" i="77"/>
  <c r="AO16" i="77" s="1"/>
  <c r="AH16" i="22"/>
  <c r="AI16" i="22" s="1"/>
  <c r="AO93" i="158"/>
  <c r="IB16" i="158"/>
  <c r="AP16" i="158"/>
  <c r="GF16" i="158" s="1"/>
  <c r="AK114" i="77"/>
  <c r="AL22" i="77"/>
  <c r="AL114" i="77" s="1"/>
  <c r="R83" i="115"/>
  <c r="AM111" i="158"/>
  <c r="R84" i="115"/>
  <c r="AM112" i="158"/>
  <c r="AL18" i="77"/>
  <c r="AL110" i="77" s="1"/>
  <c r="AK118" i="77"/>
  <c r="AL26" i="77"/>
  <c r="AL118" i="77" s="1"/>
  <c r="AM88" i="158"/>
  <c r="R60" i="115"/>
  <c r="AM104" i="158"/>
  <c r="R76" i="115"/>
  <c r="R64" i="115"/>
  <c r="AM92" i="158"/>
  <c r="R69" i="115"/>
  <c r="AM97" i="158"/>
  <c r="AN11" i="77"/>
  <c r="AH11" i="22"/>
  <c r="AI11" i="22" s="1"/>
  <c r="AO88" i="158"/>
  <c r="IB11" i="158"/>
  <c r="AP11" i="158"/>
  <c r="AN13" i="77"/>
  <c r="AH13" i="22"/>
  <c r="AI13" i="22" s="1"/>
  <c r="IB13" i="158"/>
  <c r="AO90" i="158"/>
  <c r="AP13" i="158"/>
  <c r="GF13" i="158" s="1"/>
  <c r="AN26" i="77"/>
  <c r="AO26" i="77" s="1"/>
  <c r="AH26" i="22"/>
  <c r="AI26" i="22" s="1"/>
  <c r="IB26" i="158"/>
  <c r="AO103" i="158"/>
  <c r="AP26" i="158"/>
  <c r="K98" i="147" s="1"/>
  <c r="IB37" i="158"/>
  <c r="AN37" i="77"/>
  <c r="AO114" i="158"/>
  <c r="AP37" i="158"/>
  <c r="AH37" i="22"/>
  <c r="AI37" i="22" s="1"/>
  <c r="AN117" i="158"/>
  <c r="IA39" i="158"/>
  <c r="F23" i="123"/>
  <c r="AM111" i="77"/>
  <c r="F24" i="123"/>
  <c r="AM112" i="77"/>
  <c r="AM110" i="77"/>
  <c r="F22" i="123"/>
  <c r="AR18" i="77"/>
  <c r="AW20" i="158"/>
  <c r="AP97" i="158"/>
  <c r="IC20" i="158"/>
  <c r="AG39" i="22"/>
  <c r="AW31" i="158"/>
  <c r="AW108" i="158" s="1"/>
  <c r="AP108" i="158"/>
  <c r="IC31" i="158"/>
  <c r="AL28" i="77"/>
  <c r="AL120" i="77" s="1"/>
  <c r="AJ120" i="77"/>
  <c r="F38" i="123"/>
  <c r="AW34" i="158"/>
  <c r="AW111" i="158" s="1"/>
  <c r="AP111" i="158"/>
  <c r="IC34" i="158"/>
  <c r="AW33" i="158"/>
  <c r="AW110" i="158" s="1"/>
  <c r="IC33" i="158"/>
  <c r="AP110" i="158"/>
  <c r="AW19" i="158"/>
  <c r="IC19" i="158"/>
  <c r="AP96" i="158"/>
  <c r="AM121" i="77"/>
  <c r="F33" i="123"/>
  <c r="K42" i="147" l="1"/>
  <c r="K141" i="147" s="1"/>
  <c r="AO31" i="77"/>
  <c r="AJ132" i="77"/>
  <c r="F34" i="123"/>
  <c r="AM122" i="77"/>
  <c r="F35" i="123"/>
  <c r="AM123" i="77"/>
  <c r="AO33" i="77"/>
  <c r="F37" i="123"/>
  <c r="AM125" i="77"/>
  <c r="AO37" i="77"/>
  <c r="AN129" i="77"/>
  <c r="AO34" i="77"/>
  <c r="P83" i="115" s="1"/>
  <c r="AN126" i="77"/>
  <c r="AJ39" i="77"/>
  <c r="GF21" i="158"/>
  <c r="F93" i="147"/>
  <c r="F98" i="147"/>
  <c r="AW97" i="158"/>
  <c r="E95" i="147"/>
  <c r="H93" i="147"/>
  <c r="H98" i="147"/>
  <c r="J98" i="147"/>
  <c r="J93" i="147"/>
  <c r="G93" i="147"/>
  <c r="G98" i="147"/>
  <c r="AK33" i="36"/>
  <c r="J42" i="147" s="1"/>
  <c r="AM32" i="77"/>
  <c r="AO32" i="77" s="1"/>
  <c r="J28" i="177" s="1"/>
  <c r="I28" i="177" s="1"/>
  <c r="I93" i="147"/>
  <c r="M93" i="147" s="1"/>
  <c r="I98" i="147"/>
  <c r="AL31" i="77"/>
  <c r="AL123" i="77" s="1"/>
  <c r="AL132" i="77" s="1"/>
  <c r="AK132" i="77" s="1"/>
  <c r="AR11" i="158"/>
  <c r="GF11" i="158"/>
  <c r="GF39" i="158" s="1"/>
  <c r="M143" i="147"/>
  <c r="M140" i="147"/>
  <c r="L41" i="147"/>
  <c r="K143" i="147"/>
  <c r="K140" i="147"/>
  <c r="O40" i="147"/>
  <c r="O139" i="147" s="1"/>
  <c r="L139" i="147"/>
  <c r="N139" i="147" s="1"/>
  <c r="AW96" i="158"/>
  <c r="K95" i="147"/>
  <c r="AR12" i="158"/>
  <c r="AP39" i="158"/>
  <c r="AO36" i="77"/>
  <c r="G40" i="123"/>
  <c r="AO38" i="77"/>
  <c r="AO130" i="77" s="1"/>
  <c r="G42" i="123"/>
  <c r="D86" i="115"/>
  <c r="G41" i="123"/>
  <c r="S60" i="115"/>
  <c r="S61" i="115" s="1"/>
  <c r="S62" i="115" s="1"/>
  <c r="S63" i="115" s="1"/>
  <c r="S64" i="115" s="1"/>
  <c r="S65" i="115" s="1"/>
  <c r="S66" i="115" s="1"/>
  <c r="S67" i="115" s="1"/>
  <c r="S68" i="115" s="1"/>
  <c r="S69" i="115" s="1"/>
  <c r="S70" i="115" s="1"/>
  <c r="S71" i="115" s="1"/>
  <c r="S72" i="115" s="1"/>
  <c r="S73" i="115" s="1"/>
  <c r="S74" i="115" s="1"/>
  <c r="S75" i="115" s="1"/>
  <c r="S76" i="115" s="1"/>
  <c r="S77" i="115" s="1"/>
  <c r="S78" i="115" s="1"/>
  <c r="S79" i="115" s="1"/>
  <c r="S80" i="115" s="1"/>
  <c r="S81" i="115" s="1"/>
  <c r="S82" i="115" s="1"/>
  <c r="S83" i="115" s="1"/>
  <c r="S84" i="115" s="1"/>
  <c r="S85" i="115" s="1"/>
  <c r="S86" i="115" s="1"/>
  <c r="AW30" i="158"/>
  <c r="AW107" i="158" s="1"/>
  <c r="AM117" i="158"/>
  <c r="AH41" i="36"/>
  <c r="AG41" i="36" s="1"/>
  <c r="AP107" i="158"/>
  <c r="IC30" i="158"/>
  <c r="AI39" i="22"/>
  <c r="AH39" i="22" s="1"/>
  <c r="IC36" i="158"/>
  <c r="AP113" i="158"/>
  <c r="AW36" i="158"/>
  <c r="AW113" i="158" s="1"/>
  <c r="R88" i="115"/>
  <c r="G28" i="123"/>
  <c r="AN116" i="77"/>
  <c r="AO24" i="77"/>
  <c r="G25" i="123"/>
  <c r="AN113" i="77"/>
  <c r="AO21" i="77"/>
  <c r="AW37" i="158"/>
  <c r="AW114" i="158" s="1"/>
  <c r="AP114" i="158"/>
  <c r="IC37" i="158"/>
  <c r="G20" i="123"/>
  <c r="AN108" i="77"/>
  <c r="IC38" i="158"/>
  <c r="AP115" i="158"/>
  <c r="AW38" i="158"/>
  <c r="AW115" i="158" s="1"/>
  <c r="AW32" i="158"/>
  <c r="AW109" i="158" s="1"/>
  <c r="IC32" i="158"/>
  <c r="AP109" i="158"/>
  <c r="G29" i="123"/>
  <c r="AN117" i="77"/>
  <c r="AO25" i="77"/>
  <c r="IC13" i="158"/>
  <c r="AW13" i="158"/>
  <c r="AW90" i="158" s="1"/>
  <c r="AP90" i="158"/>
  <c r="AW35" i="158"/>
  <c r="AW112" i="158" s="1"/>
  <c r="AP112" i="158"/>
  <c r="IC35" i="158"/>
  <c r="G37" i="123"/>
  <c r="AN125" i="77"/>
  <c r="G27" i="123"/>
  <c r="AN115" i="77"/>
  <c r="AO23" i="77"/>
  <c r="G33" i="123"/>
  <c r="AN121" i="77"/>
  <c r="AW18" i="158"/>
  <c r="AW95" i="158" s="1"/>
  <c r="IC18" i="158"/>
  <c r="AP95" i="158"/>
  <c r="AW12" i="158"/>
  <c r="AW89" i="158" s="1"/>
  <c r="AP89" i="158"/>
  <c r="IC12" i="158"/>
  <c r="AP88" i="158"/>
  <c r="AW11" i="158"/>
  <c r="AW88" i="158" s="1"/>
  <c r="IC11" i="158"/>
  <c r="G31" i="123"/>
  <c r="AN119" i="77"/>
  <c r="AO27" i="77"/>
  <c r="AW15" i="158"/>
  <c r="AW92" i="158" s="1"/>
  <c r="AP92" i="158"/>
  <c r="IC15" i="158"/>
  <c r="IC22" i="158"/>
  <c r="AP99" i="158"/>
  <c r="AW22" i="158"/>
  <c r="G30" i="123"/>
  <c r="AN118" i="77"/>
  <c r="G23" i="123"/>
  <c r="AN111" i="77"/>
  <c r="AP106" i="158"/>
  <c r="IC29" i="158"/>
  <c r="G15" i="123"/>
  <c r="AN103" i="77"/>
  <c r="AO11" i="77"/>
  <c r="AP11" i="77" s="1"/>
  <c r="AW27" i="158"/>
  <c r="AW104" i="158" s="1"/>
  <c r="AP104" i="158"/>
  <c r="IC27" i="158"/>
  <c r="IC28" i="158"/>
  <c r="AP105" i="158"/>
  <c r="AW28" i="158"/>
  <c r="AW105" i="158" s="1"/>
  <c r="G18" i="123"/>
  <c r="AN106" i="77"/>
  <c r="AO14" i="77"/>
  <c r="AW24" i="158"/>
  <c r="IC24" i="158"/>
  <c r="AP101" i="158"/>
  <c r="G19" i="123"/>
  <c r="AN107" i="77"/>
  <c r="AP98" i="158"/>
  <c r="AW21" i="158"/>
  <c r="IC21" i="158"/>
  <c r="G26" i="123"/>
  <c r="AN114" i="77"/>
  <c r="AO22" i="77"/>
  <c r="G34" i="123"/>
  <c r="AN122" i="77"/>
  <c r="AP103" i="158"/>
  <c r="AW26" i="158"/>
  <c r="AW103" i="158" s="1"/>
  <c r="IC26" i="158"/>
  <c r="AP93" i="158"/>
  <c r="AW16" i="158"/>
  <c r="AW93" i="158" s="1"/>
  <c r="IC16" i="158"/>
  <c r="G38" i="123"/>
  <c r="IC14" i="158"/>
  <c r="AP91" i="158"/>
  <c r="AW14" i="158"/>
  <c r="AW91" i="158" s="1"/>
  <c r="G36" i="123"/>
  <c r="AN124" i="77"/>
  <c r="AW25" i="158"/>
  <c r="AP102" i="158"/>
  <c r="IC25" i="158"/>
  <c r="G24" i="123"/>
  <c r="AN112" i="77"/>
  <c r="G17" i="123"/>
  <c r="AN105" i="77"/>
  <c r="AO13" i="77"/>
  <c r="G39" i="123"/>
  <c r="AO35" i="77"/>
  <c r="AW23" i="158"/>
  <c r="AP100" i="158"/>
  <c r="IC23" i="158"/>
  <c r="G32" i="123"/>
  <c r="AO28" i="77"/>
  <c r="AP28" i="77" s="1"/>
  <c r="AP29" i="77" s="1"/>
  <c r="AP30" i="77" s="1"/>
  <c r="AP31" i="77" s="1"/>
  <c r="AN120" i="77"/>
  <c r="G35" i="123"/>
  <c r="AN123" i="77"/>
  <c r="G22" i="123"/>
  <c r="AN110" i="77"/>
  <c r="G16" i="123"/>
  <c r="AN104" i="77"/>
  <c r="AO12" i="77"/>
  <c r="AO112" i="77"/>
  <c r="J16" i="177"/>
  <c r="I16" i="177" s="1"/>
  <c r="D69" i="115"/>
  <c r="P69" i="115"/>
  <c r="AQ20" i="77"/>
  <c r="K22" i="123"/>
  <c r="D67" i="115"/>
  <c r="J14" i="177"/>
  <c r="AQ18" i="77"/>
  <c r="P67" i="115"/>
  <c r="AO110" i="77"/>
  <c r="AO121" i="77"/>
  <c r="AQ29" i="77"/>
  <c r="D78" i="115"/>
  <c r="P78" i="115"/>
  <c r="J25" i="177"/>
  <c r="I25" i="177" s="1"/>
  <c r="AO122" i="77"/>
  <c r="D79" i="115"/>
  <c r="AQ30" i="77"/>
  <c r="P79" i="115"/>
  <c r="AR19" i="77"/>
  <c r="AR110" i="77"/>
  <c r="AO111" i="77"/>
  <c r="AQ19" i="77"/>
  <c r="P68" i="115"/>
  <c r="J15" i="177"/>
  <c r="I15" i="177" s="1"/>
  <c r="D68" i="115"/>
  <c r="AP32" i="77" l="1"/>
  <c r="AP33" i="77" s="1"/>
  <c r="L42" i="147"/>
  <c r="J141" i="147"/>
  <c r="J27" i="177"/>
  <c r="I27" i="177" s="1"/>
  <c r="AQ31" i="77"/>
  <c r="AM32" i="36" s="1"/>
  <c r="AO123" i="77"/>
  <c r="P80" i="115"/>
  <c r="D80" i="115"/>
  <c r="J29" i="177"/>
  <c r="I29" i="177" s="1"/>
  <c r="AQ33" i="77"/>
  <c r="D82" i="115"/>
  <c r="AO125" i="77"/>
  <c r="P82" i="115"/>
  <c r="D83" i="115"/>
  <c r="AQ34" i="77"/>
  <c r="AQ126" i="77" s="1"/>
  <c r="J31" i="177"/>
  <c r="I31" i="177" s="1"/>
  <c r="AO127" i="77"/>
  <c r="J32" i="177"/>
  <c r="I32" i="177" s="1"/>
  <c r="AO128" i="77"/>
  <c r="J30" i="177"/>
  <c r="I30" i="177" s="1"/>
  <c r="AO126" i="77"/>
  <c r="J33" i="177"/>
  <c r="I33" i="177" s="1"/>
  <c r="AO129" i="77"/>
  <c r="AL39" i="77"/>
  <c r="AK39" i="77" s="1"/>
  <c r="M97" i="147"/>
  <c r="M42" i="147"/>
  <c r="M141" i="147" s="1"/>
  <c r="AW99" i="158"/>
  <c r="G95" i="147"/>
  <c r="AW100" i="158"/>
  <c r="H95" i="147"/>
  <c r="AQ38" i="77"/>
  <c r="J34" i="177"/>
  <c r="I34" i="177" s="1"/>
  <c r="F36" i="123"/>
  <c r="F43" i="123" s="1"/>
  <c r="AM124" i="77"/>
  <c r="AM132" i="77" s="1"/>
  <c r="AM39" i="77"/>
  <c r="AW98" i="158"/>
  <c r="F95" i="147"/>
  <c r="AW102" i="158"/>
  <c r="J95" i="147"/>
  <c r="Y16" i="32"/>
  <c r="Y15" i="32"/>
  <c r="GE39" i="158"/>
  <c r="AW101" i="158"/>
  <c r="I95" i="147"/>
  <c r="O41" i="147"/>
  <c r="L140" i="147"/>
  <c r="N140" i="147" s="1"/>
  <c r="L143" i="147"/>
  <c r="N143" i="147" s="1"/>
  <c r="AP12" i="77"/>
  <c r="AP13" i="77" s="1"/>
  <c r="P85" i="115"/>
  <c r="D85" i="115"/>
  <c r="AR13" i="158"/>
  <c r="P86" i="115"/>
  <c r="AQ37" i="77"/>
  <c r="AQ36" i="77"/>
  <c r="IC39" i="158"/>
  <c r="IB39" i="158" s="1"/>
  <c r="AP117" i="158"/>
  <c r="AK41" i="36"/>
  <c r="AJ41" i="36" s="1"/>
  <c r="G43" i="123"/>
  <c r="AW117" i="158"/>
  <c r="AW39" i="158"/>
  <c r="AO120" i="77"/>
  <c r="D77" i="115"/>
  <c r="J24" i="177"/>
  <c r="I24" i="177" s="1"/>
  <c r="AQ28" i="77"/>
  <c r="P77" i="115"/>
  <c r="AO103" i="77"/>
  <c r="CX11" i="77"/>
  <c r="CX103" i="77" s="1"/>
  <c r="D60" i="115"/>
  <c r="E60" i="115" s="1"/>
  <c r="J7" i="177"/>
  <c r="I7" i="177" s="1"/>
  <c r="P60" i="115"/>
  <c r="Q60" i="115" s="1"/>
  <c r="T60" i="115" s="1"/>
  <c r="AQ11" i="77"/>
  <c r="AO39" i="77"/>
  <c r="H58" i="28" s="1"/>
  <c r="AO117" i="77"/>
  <c r="P74" i="115"/>
  <c r="AQ25" i="77"/>
  <c r="D74" i="115"/>
  <c r="J21" i="177"/>
  <c r="I21" i="177" s="1"/>
  <c r="P81" i="115"/>
  <c r="AO124" i="77"/>
  <c r="D81" i="115"/>
  <c r="AQ32" i="77"/>
  <c r="J7" i="167"/>
  <c r="AR88" i="158"/>
  <c r="AO119" i="77"/>
  <c r="J23" i="177"/>
  <c r="I23" i="177" s="1"/>
  <c r="P76" i="115"/>
  <c r="AQ27" i="77"/>
  <c r="D76" i="115"/>
  <c r="D61" i="115"/>
  <c r="P61" i="115"/>
  <c r="AO104" i="77"/>
  <c r="J8" i="177"/>
  <c r="I8" i="177" s="1"/>
  <c r="AQ12" i="77"/>
  <c r="J10" i="177"/>
  <c r="I10" i="177" s="1"/>
  <c r="AQ14" i="77"/>
  <c r="AO106" i="77"/>
  <c r="P63" i="115"/>
  <c r="D63" i="115"/>
  <c r="AQ21" i="77"/>
  <c r="D70" i="115"/>
  <c r="P70" i="115"/>
  <c r="AO113" i="77"/>
  <c r="J17" i="177"/>
  <c r="I17" i="177" s="1"/>
  <c r="AO105" i="77"/>
  <c r="D62" i="115"/>
  <c r="P62" i="115"/>
  <c r="AQ13" i="77"/>
  <c r="J9" i="177"/>
  <c r="I9" i="177" s="1"/>
  <c r="P64" i="115"/>
  <c r="D64" i="115"/>
  <c r="J11" i="177"/>
  <c r="I11" i="177" s="1"/>
  <c r="AO107" i="77"/>
  <c r="AQ15" i="77"/>
  <c r="AO118" i="77"/>
  <c r="D75" i="115"/>
  <c r="P75" i="115"/>
  <c r="AQ26" i="77"/>
  <c r="J22" i="177"/>
  <c r="I22" i="177" s="1"/>
  <c r="J19" i="177"/>
  <c r="I19" i="177" s="1"/>
  <c r="AQ23" i="77"/>
  <c r="P72" i="115"/>
  <c r="D72" i="115"/>
  <c r="AO115" i="77"/>
  <c r="AO108" i="77"/>
  <c r="AQ16" i="77"/>
  <c r="P65" i="115"/>
  <c r="D65" i="115"/>
  <c r="J12" i="177"/>
  <c r="I12" i="177" s="1"/>
  <c r="AQ22" i="77"/>
  <c r="J18" i="177"/>
  <c r="I18" i="177" s="1"/>
  <c r="P71" i="115"/>
  <c r="D71" i="115"/>
  <c r="AO114" i="77"/>
  <c r="AQ35" i="77"/>
  <c r="AQ127" i="77" s="1"/>
  <c r="D84" i="115"/>
  <c r="P84" i="115"/>
  <c r="AO116" i="77"/>
  <c r="AQ24" i="77"/>
  <c r="P73" i="115"/>
  <c r="D73" i="115"/>
  <c r="J20" i="177"/>
  <c r="I20" i="177" s="1"/>
  <c r="H61" i="20"/>
  <c r="G61" i="20"/>
  <c r="C57" i="32"/>
  <c r="AQ123" i="77"/>
  <c r="AM30" i="36"/>
  <c r="AQ121" i="77"/>
  <c r="I14" i="177"/>
  <c r="AM20" i="36"/>
  <c r="AQ111" i="77"/>
  <c r="J22" i="123"/>
  <c r="K23" i="123"/>
  <c r="AM34" i="36"/>
  <c r="AQ125" i="77"/>
  <c r="AM19" i="36"/>
  <c r="AQ110" i="77"/>
  <c r="AM21" i="36"/>
  <c r="AQ112" i="77"/>
  <c r="AM31" i="36"/>
  <c r="AQ122" i="77"/>
  <c r="AM35" i="36"/>
  <c r="AR20" i="77"/>
  <c r="AR111" i="77"/>
  <c r="O42" i="147" l="1"/>
  <c r="O141" i="147" s="1"/>
  <c r="L141" i="147"/>
  <c r="N141" i="147" s="1"/>
  <c r="AM38" i="36"/>
  <c r="AQ129" i="77"/>
  <c r="AM39" i="36"/>
  <c r="AQ130" i="77"/>
  <c r="AM37" i="36"/>
  <c r="AQ128" i="77"/>
  <c r="M95" i="147"/>
  <c r="M45" i="147"/>
  <c r="M144" i="147" s="1"/>
  <c r="M98" i="147"/>
  <c r="Z15" i="32"/>
  <c r="AA15" i="32" s="1"/>
  <c r="Y17" i="32"/>
  <c r="AF81" i="32"/>
  <c r="Z16" i="32"/>
  <c r="AA16" i="32" s="1"/>
  <c r="AR14" i="158"/>
  <c r="O143" i="147"/>
  <c r="O140" i="147"/>
  <c r="AP14" i="77"/>
  <c r="AL14" i="36"/>
  <c r="Q61" i="115"/>
  <c r="C15" i="32"/>
  <c r="J15" i="32" s="1"/>
  <c r="AB6" i="155"/>
  <c r="G68" i="155" s="1"/>
  <c r="G72" i="155" s="1"/>
  <c r="E61" i="115"/>
  <c r="E62" i="115" s="1"/>
  <c r="E63" i="115" s="1"/>
  <c r="E64" i="115" s="1"/>
  <c r="E65" i="115" s="1"/>
  <c r="E66" i="115" s="1"/>
  <c r="E67" i="115" s="1"/>
  <c r="E68" i="115" s="1"/>
  <c r="E69" i="115" s="1"/>
  <c r="E70" i="115" s="1"/>
  <c r="E71" i="115" s="1"/>
  <c r="E72" i="115" s="1"/>
  <c r="E73" i="115" s="1"/>
  <c r="E74" i="115" s="1"/>
  <c r="E75" i="115" s="1"/>
  <c r="E76" i="115" s="1"/>
  <c r="E77" i="115" s="1"/>
  <c r="E78" i="115" s="1"/>
  <c r="E79" i="115" s="1"/>
  <c r="E80" i="115" s="1"/>
  <c r="E81" i="115" s="1"/>
  <c r="E82" i="115" s="1"/>
  <c r="E83" i="115" s="1"/>
  <c r="E84" i="115" s="1"/>
  <c r="E85" i="115" s="1"/>
  <c r="E86" i="115" s="1"/>
  <c r="AO132" i="77"/>
  <c r="AN132" i="77" s="1"/>
  <c r="AN39" i="77"/>
  <c r="P88" i="115"/>
  <c r="AP41" i="77"/>
  <c r="D89" i="115"/>
  <c r="F6" i="155"/>
  <c r="G85" i="155" s="1"/>
  <c r="Q15" i="32"/>
  <c r="Q16" i="32" s="1"/>
  <c r="D5" i="126"/>
  <c r="L5" i="126" s="1"/>
  <c r="M5" i="126" s="1"/>
  <c r="AM17" i="36"/>
  <c r="AQ108" i="77"/>
  <c r="AQ119" i="77"/>
  <c r="AM28" i="36"/>
  <c r="AN41" i="77"/>
  <c r="E57" i="32"/>
  <c r="F57" i="32" s="1"/>
  <c r="C54" i="32"/>
  <c r="C59" i="32"/>
  <c r="J59" i="32" s="1"/>
  <c r="J57" i="32"/>
  <c r="C58" i="32"/>
  <c r="AM14" i="36"/>
  <c r="AQ105" i="77"/>
  <c r="AQ113" i="77"/>
  <c r="AM22" i="36"/>
  <c r="AL12" i="36"/>
  <c r="AP103" i="77"/>
  <c r="AM29" i="36"/>
  <c r="AQ120" i="77"/>
  <c r="AQ118" i="77"/>
  <c r="AM27" i="36"/>
  <c r="AQ116" i="77"/>
  <c r="AM25" i="36"/>
  <c r="G69" i="20"/>
  <c r="G68" i="20" s="1"/>
  <c r="G62" i="20"/>
  <c r="G61" i="10"/>
  <c r="U61" i="20"/>
  <c r="G16" i="20"/>
  <c r="S61" i="20"/>
  <c r="V61" i="20"/>
  <c r="AM23" i="36"/>
  <c r="AQ114" i="77"/>
  <c r="AM16" i="36"/>
  <c r="AQ107" i="77"/>
  <c r="AM12" i="36"/>
  <c r="AQ103" i="77"/>
  <c r="AQ106" i="77"/>
  <c r="AM15" i="36"/>
  <c r="AM33" i="36"/>
  <c r="AQ124" i="77"/>
  <c r="H16" i="20"/>
  <c r="H61" i="10"/>
  <c r="H62" i="10" s="1"/>
  <c r="H69" i="20"/>
  <c r="H62" i="20"/>
  <c r="AM24" i="36"/>
  <c r="AQ115" i="77"/>
  <c r="J8" i="167"/>
  <c r="AR89" i="158"/>
  <c r="AM36" i="36"/>
  <c r="AM26" i="36"/>
  <c r="AQ117" i="77"/>
  <c r="AM13" i="36"/>
  <c r="AQ104" i="77"/>
  <c r="D88" i="115"/>
  <c r="J35" i="177"/>
  <c r="AL11" i="177" s="1"/>
  <c r="AK13" i="177" s="1"/>
  <c r="AL19" i="177" s="1"/>
  <c r="CX12" i="77"/>
  <c r="K24" i="123"/>
  <c r="J23" i="123"/>
  <c r="H11" i="28"/>
  <c r="S58" i="28"/>
  <c r="U58" i="28"/>
  <c r="H59" i="28"/>
  <c r="AR21" i="77"/>
  <c r="AR112" i="77"/>
  <c r="I45" i="147" l="1"/>
  <c r="I144" i="147" s="1"/>
  <c r="AR15" i="158"/>
  <c r="AR16" i="158" s="1"/>
  <c r="AA6" i="155"/>
  <c r="AG81" i="32"/>
  <c r="AH81" i="32"/>
  <c r="AI93" i="32"/>
  <c r="G45" i="147"/>
  <c r="G144" i="147" s="1"/>
  <c r="AL15" i="36"/>
  <c r="AP15" i="77"/>
  <c r="Q62" i="115"/>
  <c r="T61" i="115"/>
  <c r="H45" i="147"/>
  <c r="H144" i="147" s="1"/>
  <c r="K45" i="147"/>
  <c r="K144" i="147" s="1"/>
  <c r="F45" i="147"/>
  <c r="F144" i="147" s="1"/>
  <c r="J45" i="147"/>
  <c r="J144" i="147" s="1"/>
  <c r="E45" i="147"/>
  <c r="G69" i="155"/>
  <c r="J68" i="155"/>
  <c r="G71" i="155"/>
  <c r="I73" i="155"/>
  <c r="I74" i="155" s="1"/>
  <c r="C16" i="32"/>
  <c r="E16" i="32" s="1"/>
  <c r="F16" i="32" s="1"/>
  <c r="E15" i="32"/>
  <c r="F15" i="32" s="1"/>
  <c r="R15" i="32"/>
  <c r="S15" i="32" s="1"/>
  <c r="T15" i="32" s="1"/>
  <c r="G70" i="155"/>
  <c r="AO133" i="77"/>
  <c r="E6" i="155" s="1"/>
  <c r="Q12" i="32"/>
  <c r="Q57" i="32"/>
  <c r="S57" i="32" s="1"/>
  <c r="T57" i="32" s="1"/>
  <c r="Q3" i="32"/>
  <c r="Q4" i="32" s="1"/>
  <c r="AP42" i="32" s="1"/>
  <c r="J86" i="115"/>
  <c r="Q17" i="32"/>
  <c r="Q59" i="32" s="1"/>
  <c r="X59" i="32" s="1"/>
  <c r="C12" i="32"/>
  <c r="E6" i="117" s="1"/>
  <c r="F6" i="117" s="1"/>
  <c r="G6" i="117" s="1"/>
  <c r="E7" i="100"/>
  <c r="F7" i="100" s="1"/>
  <c r="G7" i="100" s="1"/>
  <c r="E9" i="117"/>
  <c r="F9" i="117" s="1"/>
  <c r="G9" i="117" s="1"/>
  <c r="AL14" i="177"/>
  <c r="F39" i="155"/>
  <c r="F40" i="155" s="1"/>
  <c r="AK139" i="155"/>
  <c r="AK140" i="155" s="1"/>
  <c r="AK11" i="177"/>
  <c r="AK18" i="177" s="1"/>
  <c r="G151" i="155"/>
  <c r="G152" i="155" s="1"/>
  <c r="H152" i="155" s="1"/>
  <c r="G49" i="155"/>
  <c r="G50" i="155" s="1"/>
  <c r="K6" i="155"/>
  <c r="L6" i="155" s="1"/>
  <c r="N6" i="155"/>
  <c r="O6" i="155" s="1"/>
  <c r="D39" i="111"/>
  <c r="H68" i="20"/>
  <c r="I68" i="20" s="1"/>
  <c r="J68" i="20" s="1"/>
  <c r="K68" i="20" s="1"/>
  <c r="L68" i="20" s="1"/>
  <c r="M68" i="20" s="1"/>
  <c r="N68" i="20" s="1"/>
  <c r="O68" i="20" s="1"/>
  <c r="P68" i="20" s="1"/>
  <c r="Q68" i="20" s="1"/>
  <c r="CX104" i="77"/>
  <c r="CX13" i="77"/>
  <c r="E54" i="32"/>
  <c r="F54" i="32" s="1"/>
  <c r="J54" i="32"/>
  <c r="L54" i="32" s="1"/>
  <c r="M54" i="32" s="1"/>
  <c r="G16" i="10"/>
  <c r="G14" i="20"/>
  <c r="V16" i="20"/>
  <c r="U16" i="20"/>
  <c r="S16" i="20"/>
  <c r="C133" i="32" s="1"/>
  <c r="H16" i="10"/>
  <c r="H14" i="20"/>
  <c r="H14" i="10" s="1"/>
  <c r="G62" i="10"/>
  <c r="U61" i="10"/>
  <c r="V61" i="10"/>
  <c r="S61" i="10"/>
  <c r="E58" i="32"/>
  <c r="F58" i="32" s="1"/>
  <c r="C55" i="32"/>
  <c r="E55" i="32" s="1"/>
  <c r="F55" i="32" s="1"/>
  <c r="J9" i="167"/>
  <c r="AR90" i="158"/>
  <c r="U62" i="20"/>
  <c r="S62" i="20"/>
  <c r="V62" i="20"/>
  <c r="J58" i="32"/>
  <c r="L57" i="32"/>
  <c r="M57" i="32" s="1"/>
  <c r="AP104" i="77"/>
  <c r="AL13" i="36"/>
  <c r="AR22" i="77"/>
  <c r="AR113" i="77"/>
  <c r="G86" i="155"/>
  <c r="J85" i="155"/>
  <c r="J86" i="155" s="1"/>
  <c r="H9" i="28"/>
  <c r="U11" i="28"/>
  <c r="S11" i="28"/>
  <c r="E5" i="156"/>
  <c r="F5" i="156" s="1"/>
  <c r="G5" i="156" s="1"/>
  <c r="G6" i="155"/>
  <c r="R16" i="32"/>
  <c r="S16" i="32" s="1"/>
  <c r="S59" i="28"/>
  <c r="U59" i="28"/>
  <c r="L15" i="32"/>
  <c r="M15" i="32" s="1"/>
  <c r="J16" i="32"/>
  <c r="Q13" i="32"/>
  <c r="J87" i="115"/>
  <c r="J24" i="123"/>
  <c r="K25" i="123"/>
  <c r="AI96" i="32" l="1"/>
  <c r="AI95" i="32"/>
  <c r="AJ95" i="32" s="1"/>
  <c r="AI94" i="32"/>
  <c r="AJ94" i="32" s="1"/>
  <c r="AJ93" i="32"/>
  <c r="AK93" i="32" s="1"/>
  <c r="J56" i="155"/>
  <c r="G56" i="155"/>
  <c r="AR17" i="158"/>
  <c r="G180" i="155"/>
  <c r="T62" i="115"/>
  <c r="Q63" i="115"/>
  <c r="E144" i="147"/>
  <c r="L45" i="147"/>
  <c r="R12" i="32"/>
  <c r="E46" i="126"/>
  <c r="F46" i="126" s="1"/>
  <c r="G46" i="126" s="1"/>
  <c r="R3" i="32"/>
  <c r="R4" i="32" s="1"/>
  <c r="E10" i="117"/>
  <c r="F10" i="117" s="1"/>
  <c r="G10" i="117" s="1"/>
  <c r="K86" i="115"/>
  <c r="C13" i="32"/>
  <c r="G73" i="155"/>
  <c r="J73" i="155" s="1"/>
  <c r="J74" i="155" s="1"/>
  <c r="Q58" i="32"/>
  <c r="X57" i="32"/>
  <c r="X58" i="32" s="1"/>
  <c r="L86" i="115"/>
  <c r="H49" i="155"/>
  <c r="E141" i="100"/>
  <c r="F141" i="100" s="1"/>
  <c r="G141" i="100" s="1"/>
  <c r="J49" i="155"/>
  <c r="AJ13" i="177"/>
  <c r="AL139" i="155"/>
  <c r="H151" i="155"/>
  <c r="I151" i="155" s="1"/>
  <c r="I152" i="155" s="1"/>
  <c r="I155" i="155" s="1"/>
  <c r="C134" i="32"/>
  <c r="E133" i="32"/>
  <c r="F133" i="32" s="1"/>
  <c r="C135" i="32"/>
  <c r="C97" i="32"/>
  <c r="J97" i="32" s="1"/>
  <c r="C95" i="32"/>
  <c r="D81" i="117"/>
  <c r="AR91" i="158"/>
  <c r="J10" i="167"/>
  <c r="U62" i="10"/>
  <c r="V62" i="10"/>
  <c r="S62" i="10"/>
  <c r="J135" i="32" s="1"/>
  <c r="G14" i="10"/>
  <c r="S14" i="20"/>
  <c r="C130" i="32" s="1"/>
  <c r="E130" i="32" s="1"/>
  <c r="F130" i="32" s="1"/>
  <c r="V14" i="20"/>
  <c r="U14" i="20"/>
  <c r="V16" i="10"/>
  <c r="U16" i="10"/>
  <c r="S16" i="10"/>
  <c r="J133" i="32" s="1"/>
  <c r="AP105" i="77"/>
  <c r="J55" i="32"/>
  <c r="L55" i="32" s="1"/>
  <c r="M55" i="32" s="1"/>
  <c r="L58" i="32"/>
  <c r="M58" i="32" s="1"/>
  <c r="CX14" i="77"/>
  <c r="CX105" i="77"/>
  <c r="L87" i="115"/>
  <c r="T16" i="32"/>
  <c r="K26" i="123"/>
  <c r="J25" i="123"/>
  <c r="Q135" i="32"/>
  <c r="Q97" i="32"/>
  <c r="X97" i="32" s="1"/>
  <c r="AP43" i="32"/>
  <c r="AQ43" i="32" s="1"/>
  <c r="AQ42" i="32"/>
  <c r="Z11" i="28"/>
  <c r="AA11" i="28" s="1"/>
  <c r="Q133" i="32"/>
  <c r="AR114" i="77"/>
  <c r="AR23" i="77"/>
  <c r="K6" i="163"/>
  <c r="Q5" i="156"/>
  <c r="D87" i="100"/>
  <c r="Q6" i="156"/>
  <c r="Q95" i="32"/>
  <c r="J44" i="155"/>
  <c r="AK134" i="155"/>
  <c r="G44" i="155"/>
  <c r="G39" i="155"/>
  <c r="G40" i="155" s="1"/>
  <c r="AK123" i="155"/>
  <c r="H6" i="155"/>
  <c r="I6" i="155" s="1"/>
  <c r="L16" i="32"/>
  <c r="M16" i="32" s="1"/>
  <c r="J13" i="32"/>
  <c r="L13" i="32" s="1"/>
  <c r="M13" i="32" s="1"/>
  <c r="U9" i="28"/>
  <c r="Q92" i="32" s="1"/>
  <c r="S9" i="28"/>
  <c r="R13" i="32"/>
  <c r="S13" i="32" s="1"/>
  <c r="T13" i="32" s="1"/>
  <c r="E47" i="126"/>
  <c r="F47" i="126" s="1"/>
  <c r="G47" i="126" s="1"/>
  <c r="K87" i="115"/>
  <c r="E5" i="126"/>
  <c r="D6" i="163"/>
  <c r="E6" i="156"/>
  <c r="AA56" i="155" l="1"/>
  <c r="J62" i="155"/>
  <c r="AK94" i="32"/>
  <c r="AK95" i="32"/>
  <c r="AI97" i="32"/>
  <c r="AJ97" i="32" s="1"/>
  <c r="AJ96" i="32"/>
  <c r="AK96" i="32" s="1"/>
  <c r="G60" i="155"/>
  <c r="G57" i="155"/>
  <c r="G58" i="155"/>
  <c r="G59" i="155"/>
  <c r="I61" i="155"/>
  <c r="I62" i="155" s="1"/>
  <c r="AR18" i="158"/>
  <c r="AR19" i="158" s="1"/>
  <c r="AR20" i="158" s="1"/>
  <c r="H180" i="155"/>
  <c r="I180" i="155" s="1"/>
  <c r="G181" i="155"/>
  <c r="T63" i="115"/>
  <c r="Q64" i="115"/>
  <c r="T64" i="115" s="1"/>
  <c r="O45" i="147"/>
  <c r="O144" i="147" s="1"/>
  <c r="L144" i="147"/>
  <c r="N144" i="147" s="1"/>
  <c r="E13" i="32"/>
  <c r="F13" i="32" s="1"/>
  <c r="E7" i="117"/>
  <c r="F7" i="117" s="1"/>
  <c r="G7" i="117" s="1"/>
  <c r="AP37" i="32"/>
  <c r="T4" i="32"/>
  <c r="S58" i="32"/>
  <c r="T58" i="32" s="1"/>
  <c r="Q55" i="32"/>
  <c r="S55" i="32" s="1"/>
  <c r="T55" i="32" s="1"/>
  <c r="Y13" i="32"/>
  <c r="Z13" i="32" s="1"/>
  <c r="AA13" i="32" s="1"/>
  <c r="G74" i="155"/>
  <c r="Z57" i="32"/>
  <c r="AA57" i="32" s="1"/>
  <c r="I49" i="155"/>
  <c r="I50" i="155" s="1"/>
  <c r="J134" i="32"/>
  <c r="L133" i="32"/>
  <c r="M133" i="32" s="1"/>
  <c r="E95" i="32"/>
  <c r="F95" i="32" s="1"/>
  <c r="C96" i="32"/>
  <c r="J95" i="32"/>
  <c r="F81" i="117"/>
  <c r="G81" i="117" s="1"/>
  <c r="D82" i="117"/>
  <c r="S14" i="10"/>
  <c r="J130" i="32" s="1"/>
  <c r="L130" i="32" s="1"/>
  <c r="M130" i="32" s="1"/>
  <c r="V14" i="10"/>
  <c r="U14" i="10"/>
  <c r="CX15" i="77"/>
  <c r="CX106" i="77"/>
  <c r="C92" i="32"/>
  <c r="D78" i="117"/>
  <c r="F78" i="117" s="1"/>
  <c r="G78" i="117" s="1"/>
  <c r="AR92" i="158"/>
  <c r="J11" i="167"/>
  <c r="AP106" i="77"/>
  <c r="AL16" i="36"/>
  <c r="C131" i="32"/>
  <c r="E131" i="32" s="1"/>
  <c r="F131" i="32" s="1"/>
  <c r="E134" i="32"/>
  <c r="F134" i="32" s="1"/>
  <c r="AR115" i="77"/>
  <c r="AR24" i="77"/>
  <c r="P6" i="155"/>
  <c r="L217" i="100"/>
  <c r="N5" i="126"/>
  <c r="P5" i="126" s="1"/>
  <c r="Q5" i="126" s="1"/>
  <c r="S95" i="32"/>
  <c r="T95" i="32" s="1"/>
  <c r="X95" i="32"/>
  <c r="Q96" i="32"/>
  <c r="Z9" i="28"/>
  <c r="AA9" i="28" s="1"/>
  <c r="Q130" i="32"/>
  <c r="S130" i="32" s="1"/>
  <c r="T130" i="32" s="1"/>
  <c r="F6" i="163"/>
  <c r="G6" i="163" s="1"/>
  <c r="I6" i="163"/>
  <c r="J6" i="163" s="1"/>
  <c r="G49" i="163"/>
  <c r="H49" i="163" s="1"/>
  <c r="AK106" i="163"/>
  <c r="G64" i="163"/>
  <c r="Y6" i="156"/>
  <c r="Z6" i="156" s="1"/>
  <c r="V6" i="156"/>
  <c r="W6" i="156" s="1"/>
  <c r="S6" i="156"/>
  <c r="T6" i="156" s="1"/>
  <c r="G45" i="155"/>
  <c r="G46" i="155"/>
  <c r="G47" i="155"/>
  <c r="G48" i="155"/>
  <c r="AK135" i="155"/>
  <c r="AL135" i="155" s="1"/>
  <c r="AK137" i="155"/>
  <c r="AL137" i="155" s="1"/>
  <c r="AK136" i="155"/>
  <c r="AL136" i="155" s="1"/>
  <c r="AK138" i="155"/>
  <c r="AL138" i="155" s="1"/>
  <c r="AL134" i="155"/>
  <c r="AM134" i="155" s="1"/>
  <c r="I5" i="126"/>
  <c r="J5" i="126" s="1"/>
  <c r="F5" i="126"/>
  <c r="G5" i="126" s="1"/>
  <c r="D114" i="100"/>
  <c r="F114" i="100" s="1"/>
  <c r="G114" i="100" s="1"/>
  <c r="F87" i="100"/>
  <c r="G87" i="100" s="1"/>
  <c r="D201" i="100"/>
  <c r="Z58" i="32"/>
  <c r="AA58" i="32" s="1"/>
  <c r="X55" i="32"/>
  <c r="Z55" i="32" s="1"/>
  <c r="AA55" i="32" s="1"/>
  <c r="K27" i="123"/>
  <c r="J26" i="123"/>
  <c r="J50" i="155"/>
  <c r="AK124" i="155"/>
  <c r="AL123" i="155"/>
  <c r="AM123" i="155" s="1"/>
  <c r="AM124" i="155" s="1"/>
  <c r="AM126" i="155" s="1"/>
  <c r="Q134" i="32"/>
  <c r="S133" i="32"/>
  <c r="T133" i="32" s="1"/>
  <c r="F6" i="156"/>
  <c r="G6" i="156" s="1"/>
  <c r="S36" i="156"/>
  <c r="S92" i="32"/>
  <c r="T92" i="32" s="1"/>
  <c r="X92" i="32"/>
  <c r="Z92" i="32" s="1"/>
  <c r="AA92" i="32" s="1"/>
  <c r="P6" i="163"/>
  <c r="Q6" i="163" s="1"/>
  <c r="M6" i="163"/>
  <c r="N6" i="163" s="1"/>
  <c r="S6" i="163"/>
  <c r="T6" i="163" s="1"/>
  <c r="K38" i="163"/>
  <c r="AC49" i="163"/>
  <c r="AL95" i="32" l="1"/>
  <c r="AR21" i="158"/>
  <c r="E94" i="147"/>
  <c r="AK97" i="32"/>
  <c r="AK98" i="32"/>
  <c r="Q65" i="115"/>
  <c r="T65" i="115" s="1"/>
  <c r="AQ37" i="32"/>
  <c r="AS37" i="32" s="1"/>
  <c r="AP39" i="32"/>
  <c r="AQ39" i="32" s="1"/>
  <c r="AP40" i="32"/>
  <c r="AQ40" i="32" s="1"/>
  <c r="AP38" i="32"/>
  <c r="AQ38" i="32" s="1"/>
  <c r="AP41" i="32"/>
  <c r="AQ41" i="32" s="1"/>
  <c r="AP107" i="77"/>
  <c r="AP16" i="77"/>
  <c r="E92" i="32"/>
  <c r="F92" i="32" s="1"/>
  <c r="J92" i="32"/>
  <c r="L92" i="32" s="1"/>
  <c r="M92" i="32" s="1"/>
  <c r="L95" i="32"/>
  <c r="M95" i="32" s="1"/>
  <c r="J96" i="32"/>
  <c r="C93" i="32"/>
  <c r="E93" i="32" s="1"/>
  <c r="F93" i="32" s="1"/>
  <c r="E96" i="32"/>
  <c r="F96" i="32" s="1"/>
  <c r="F82" i="117"/>
  <c r="G82" i="117" s="1"/>
  <c r="D79" i="117"/>
  <c r="F79" i="117" s="1"/>
  <c r="G79" i="117" s="1"/>
  <c r="CX107" i="77"/>
  <c r="CX16" i="77"/>
  <c r="J12" i="167"/>
  <c r="AR93" i="158"/>
  <c r="J131" i="32"/>
  <c r="L131" i="32" s="1"/>
  <c r="M131" i="32" s="1"/>
  <c r="L134" i="32"/>
  <c r="M134" i="32" s="1"/>
  <c r="AM135" i="155"/>
  <c r="AM136" i="155"/>
  <c r="AC50" i="163"/>
  <c r="AD50" i="163" s="1"/>
  <c r="AE50" i="163" s="1"/>
  <c r="AE52" i="163" s="1"/>
  <c r="AC67" i="163"/>
  <c r="AD49" i="163"/>
  <c r="AE49" i="163" s="1"/>
  <c r="AM137" i="155"/>
  <c r="J27" i="123"/>
  <c r="K28" i="123"/>
  <c r="S134" i="32"/>
  <c r="T134" i="32" s="1"/>
  <c r="Q131" i="32"/>
  <c r="S131" i="32" s="1"/>
  <c r="T131" i="32" s="1"/>
  <c r="D286" i="100"/>
  <c r="F201" i="100"/>
  <c r="G201" i="100" s="1"/>
  <c r="L219" i="100"/>
  <c r="L216" i="100"/>
  <c r="M216" i="100"/>
  <c r="R6" i="155"/>
  <c r="S6" i="155" s="1"/>
  <c r="X6" i="155"/>
  <c r="Y6" i="155" s="1"/>
  <c r="Z95" i="32"/>
  <c r="AA95" i="32" s="1"/>
  <c r="X96" i="32"/>
  <c r="G65" i="163"/>
  <c r="H65" i="163" s="1"/>
  <c r="H64" i="163"/>
  <c r="I64" i="163" s="1"/>
  <c r="I65" i="163" s="1"/>
  <c r="I67" i="163" s="1"/>
  <c r="AR116" i="77"/>
  <c r="AR25" i="77"/>
  <c r="AK110" i="163"/>
  <c r="AL110" i="163" s="1"/>
  <c r="AK108" i="163"/>
  <c r="AL108" i="163" s="1"/>
  <c r="AK107" i="163"/>
  <c r="AL107" i="163" s="1"/>
  <c r="AK109" i="163"/>
  <c r="AL109" i="163" s="1"/>
  <c r="AL106" i="163"/>
  <c r="AM106" i="163" s="1"/>
  <c r="S39" i="156"/>
  <c r="T39" i="156" s="1"/>
  <c r="S40" i="156"/>
  <c r="T40" i="156" s="1"/>
  <c r="S38" i="156"/>
  <c r="T38" i="156" s="1"/>
  <c r="S37" i="156"/>
  <c r="T37" i="156" s="1"/>
  <c r="T36" i="156"/>
  <c r="U36" i="156" s="1"/>
  <c r="AM138" i="155"/>
  <c r="AM139" i="155"/>
  <c r="G50" i="163"/>
  <c r="H50" i="163" s="1"/>
  <c r="I49" i="163"/>
  <c r="S96" i="32"/>
  <c r="T96" i="32" s="1"/>
  <c r="Q93" i="32"/>
  <c r="S93" i="32" s="1"/>
  <c r="T93" i="32" s="1"/>
  <c r="Q66" i="115" l="1"/>
  <c r="T66" i="115" s="1"/>
  <c r="AL99" i="32"/>
  <c r="AR22" i="158"/>
  <c r="F94" i="147"/>
  <c r="AS40" i="32"/>
  <c r="AS38" i="32"/>
  <c r="AP17" i="77"/>
  <c r="AL18" i="36" s="1"/>
  <c r="AL17" i="36"/>
  <c r="AS41" i="32"/>
  <c r="AS42" i="32"/>
  <c r="AS39" i="32"/>
  <c r="I50" i="163"/>
  <c r="I52" i="163" s="1"/>
  <c r="AR94" i="158"/>
  <c r="J13" i="167"/>
  <c r="CX17" i="77"/>
  <c r="CX108" i="77"/>
  <c r="AP108" i="77"/>
  <c r="Q67" i="115"/>
  <c r="J93" i="32"/>
  <c r="L93" i="32" s="1"/>
  <c r="M93" i="32" s="1"/>
  <c r="L96" i="32"/>
  <c r="M96" i="32" s="1"/>
  <c r="AN136" i="155"/>
  <c r="AM140" i="155"/>
  <c r="AN140" i="155" s="1"/>
  <c r="AM108" i="163"/>
  <c r="AM109" i="163"/>
  <c r="U37" i="156"/>
  <c r="U39" i="156"/>
  <c r="AM111" i="163"/>
  <c r="AM110" i="163"/>
  <c r="AR117" i="77"/>
  <c r="AR26" i="77"/>
  <c r="U40" i="156"/>
  <c r="J28" i="123"/>
  <c r="K29" i="123"/>
  <c r="U38" i="156"/>
  <c r="Z96" i="32"/>
  <c r="AA96" i="32" s="1"/>
  <c r="X93" i="32"/>
  <c r="Z93" i="32" s="1"/>
  <c r="AA93" i="32" s="1"/>
  <c r="F286" i="100"/>
  <c r="G286" i="100" s="1"/>
  <c r="L301" i="100"/>
  <c r="AM107" i="163"/>
  <c r="AM112" i="163" s="1"/>
  <c r="AN112" i="163" s="1"/>
  <c r="AC68" i="163"/>
  <c r="AD68" i="163" s="1"/>
  <c r="AE68" i="163" s="1"/>
  <c r="AE70" i="163" s="1"/>
  <c r="AD67" i="163"/>
  <c r="AE67" i="163" s="1"/>
  <c r="AR23" i="158" l="1"/>
  <c r="G94" i="147"/>
  <c r="AS43" i="32"/>
  <c r="CX109" i="77"/>
  <c r="CX18" i="77"/>
  <c r="AR95" i="158"/>
  <c r="J14" i="167"/>
  <c r="T67" i="115"/>
  <c r="Q68" i="115"/>
  <c r="AP109" i="77"/>
  <c r="AP18" i="77"/>
  <c r="AL19" i="36" s="1"/>
  <c r="U41" i="156"/>
  <c r="AR27" i="77"/>
  <c r="AR118" i="77"/>
  <c r="L304" i="100"/>
  <c r="N304" i="100" s="1"/>
  <c r="AC301" i="100"/>
  <c r="AC304" i="100" s="1"/>
  <c r="L300" i="100"/>
  <c r="AC300" i="100" s="1"/>
  <c r="M300" i="100"/>
  <c r="J29" i="123"/>
  <c r="K30" i="123"/>
  <c r="AR24" i="158" l="1"/>
  <c r="H94" i="147"/>
  <c r="AR96" i="158"/>
  <c r="J15" i="167"/>
  <c r="CX19" i="77"/>
  <c r="CX110" i="77"/>
  <c r="T68" i="115"/>
  <c r="Q69" i="115"/>
  <c r="AP19" i="77"/>
  <c r="AL20" i="36" s="1"/>
  <c r="AP110" i="77"/>
  <c r="AD300" i="100"/>
  <c r="M305" i="100"/>
  <c r="AR28" i="77"/>
  <c r="AR119" i="77"/>
  <c r="J30" i="123"/>
  <c r="K31" i="123"/>
  <c r="AR25" i="158" l="1"/>
  <c r="I94" i="147"/>
  <c r="CX20" i="77"/>
  <c r="CX111" i="77"/>
  <c r="Q70" i="115"/>
  <c r="T69" i="115"/>
  <c r="J16" i="167"/>
  <c r="AR97" i="158"/>
  <c r="AP111" i="77"/>
  <c r="AP20" i="77"/>
  <c r="AL21" i="36" s="1"/>
  <c r="AR29" i="77"/>
  <c r="AR120" i="77"/>
  <c r="J31" i="123"/>
  <c r="K32" i="123"/>
  <c r="AR26" i="158" l="1"/>
  <c r="J94" i="147"/>
  <c r="J17" i="167"/>
  <c r="AR98" i="158"/>
  <c r="T70" i="115"/>
  <c r="Q71" i="115"/>
  <c r="AP112" i="77"/>
  <c r="AP21" i="77"/>
  <c r="CX112" i="77"/>
  <c r="CX21" i="77"/>
  <c r="J32" i="123"/>
  <c r="K33" i="123"/>
  <c r="AR121" i="77"/>
  <c r="AR30" i="77"/>
  <c r="AR27" i="158" l="1"/>
  <c r="AR28" i="158" s="1"/>
  <c r="AR29" i="158" s="1"/>
  <c r="AR30" i="158" s="1"/>
  <c r="AR31" i="158" s="1"/>
  <c r="AR32" i="158" s="1"/>
  <c r="AR33" i="158" s="1"/>
  <c r="AR34" i="158" s="1"/>
  <c r="AR35" i="158" s="1"/>
  <c r="AR36" i="158" s="1"/>
  <c r="AR37" i="158" s="1"/>
  <c r="AR38" i="158" s="1"/>
  <c r="K94" i="147"/>
  <c r="Q72" i="115"/>
  <c r="T71" i="115"/>
  <c r="J18" i="167"/>
  <c r="AR99" i="158"/>
  <c r="AL22" i="36"/>
  <c r="AP113" i="77"/>
  <c r="CX22" i="77"/>
  <c r="CX113" i="77"/>
  <c r="AR122" i="77"/>
  <c r="AR31" i="77"/>
  <c r="J33" i="123"/>
  <c r="K34" i="123"/>
  <c r="M44" i="147" l="1"/>
  <c r="M142" i="147" s="1"/>
  <c r="M94" i="147"/>
  <c r="M43" i="147" s="1"/>
  <c r="CX23" i="77"/>
  <c r="CX114" i="77"/>
  <c r="AP114" i="77"/>
  <c r="AL23" i="36"/>
  <c r="J19" i="167"/>
  <c r="AR100" i="158"/>
  <c r="Q73" i="115"/>
  <c r="T72" i="115"/>
  <c r="AR123" i="77"/>
  <c r="AR32" i="77"/>
  <c r="K35" i="123"/>
  <c r="J34" i="123"/>
  <c r="T73" i="115" l="1"/>
  <c r="Q74" i="115"/>
  <c r="AR101" i="158"/>
  <c r="J20" i="167"/>
  <c r="AL24" i="36"/>
  <c r="AP115" i="77"/>
  <c r="CX24" i="77"/>
  <c r="CX115" i="77"/>
  <c r="K36" i="123"/>
  <c r="J35" i="123"/>
  <c r="AR33" i="77"/>
  <c r="AR124" i="77"/>
  <c r="AL25" i="36" l="1"/>
  <c r="AP116" i="77"/>
  <c r="J21" i="167"/>
  <c r="AR102" i="158"/>
  <c r="Q75" i="115"/>
  <c r="T74" i="115"/>
  <c r="CX116" i="77"/>
  <c r="CX25" i="77"/>
  <c r="J36" i="123"/>
  <c r="K37" i="123"/>
  <c r="AR125" i="77"/>
  <c r="AR34" i="77"/>
  <c r="AR126" i="77" s="1"/>
  <c r="CX117" i="77" l="1"/>
  <c r="CX26" i="77"/>
  <c r="AR103" i="158"/>
  <c r="J22" i="167"/>
  <c r="AP117" i="77"/>
  <c r="AL26" i="36"/>
  <c r="T75" i="115"/>
  <c r="Q76" i="115"/>
  <c r="K38" i="123"/>
  <c r="J37" i="123"/>
  <c r="AR35" i="77"/>
  <c r="AR127" i="77" s="1"/>
  <c r="T76" i="115" l="1"/>
  <c r="Q77" i="115"/>
  <c r="AP118" i="77"/>
  <c r="AL28" i="36"/>
  <c r="AL27" i="36"/>
  <c r="AR104" i="158"/>
  <c r="J23" i="167"/>
  <c r="CX118" i="77"/>
  <c r="CX27" i="77"/>
  <c r="J38" i="123"/>
  <c r="K39" i="123"/>
  <c r="AR36" i="77"/>
  <c r="E43" i="147" l="1"/>
  <c r="E44" i="147"/>
  <c r="E142" i="147" s="1"/>
  <c r="AR37" i="77"/>
  <c r="AR128" i="77"/>
  <c r="J39" i="123"/>
  <c r="K40" i="123"/>
  <c r="AP119" i="77"/>
  <c r="AL29" i="36"/>
  <c r="AR105" i="158"/>
  <c r="J24" i="167"/>
  <c r="CX119" i="77"/>
  <c r="CX28" i="77"/>
  <c r="T77" i="115"/>
  <c r="Q78" i="115"/>
  <c r="F43" i="147" l="1"/>
  <c r="F44" i="147"/>
  <c r="F142" i="147" s="1"/>
  <c r="AR38" i="77"/>
  <c r="AR130" i="77" s="1"/>
  <c r="AR129" i="77"/>
  <c r="J40" i="123"/>
  <c r="K41" i="123"/>
  <c r="AR106" i="158"/>
  <c r="J25" i="167"/>
  <c r="T78" i="115"/>
  <c r="Q79" i="115"/>
  <c r="AL30" i="36"/>
  <c r="AP120" i="77"/>
  <c r="CX120" i="77"/>
  <c r="CX29" i="77"/>
  <c r="G44" i="147" l="1"/>
  <c r="G142" i="147" s="1"/>
  <c r="G43" i="147"/>
  <c r="J41" i="123"/>
  <c r="K42" i="123"/>
  <c r="J42" i="123" s="1"/>
  <c r="J26" i="167"/>
  <c r="AR107" i="158"/>
  <c r="CX121" i="77"/>
  <c r="CX30" i="77"/>
  <c r="AL31" i="36"/>
  <c r="AP121" i="77"/>
  <c r="T79" i="115"/>
  <c r="Q80" i="115"/>
  <c r="H44" i="147" l="1"/>
  <c r="H142" i="147" s="1"/>
  <c r="H43" i="147"/>
  <c r="AP122" i="77"/>
  <c r="AL32" i="36"/>
  <c r="CX122" i="77"/>
  <c r="CX31" i="77"/>
  <c r="Q81" i="115"/>
  <c r="T80" i="115"/>
  <c r="J27" i="167"/>
  <c r="AR108" i="158"/>
  <c r="I44" i="147" l="1"/>
  <c r="I142" i="147" s="1"/>
  <c r="I43" i="147"/>
  <c r="CX32" i="77"/>
  <c r="CX123" i="77"/>
  <c r="J28" i="167"/>
  <c r="AR109" i="158"/>
  <c r="T81" i="115"/>
  <c r="Q82" i="115"/>
  <c r="AP123" i="77"/>
  <c r="AL33" i="36"/>
  <c r="J44" i="147" l="1"/>
  <c r="J142" i="147" s="1"/>
  <c r="J43" i="147"/>
  <c r="Q83" i="115"/>
  <c r="T82" i="115"/>
  <c r="J29" i="167"/>
  <c r="AR110" i="158"/>
  <c r="AP124" i="77"/>
  <c r="AL34" i="36"/>
  <c r="CX33" i="77"/>
  <c r="CX124" i="77"/>
  <c r="K43" i="147" l="1"/>
  <c r="L43" i="147" s="1"/>
  <c r="O43" i="147" s="1"/>
  <c r="K44" i="147"/>
  <c r="CX125" i="77"/>
  <c r="CX34" i="77"/>
  <c r="CX126" i="77" s="1"/>
  <c r="T83" i="115"/>
  <c r="Q84" i="115"/>
  <c r="AP125" i="77"/>
  <c r="AP34" i="77"/>
  <c r="J30" i="167"/>
  <c r="AR111" i="158"/>
  <c r="L44" i="147" l="1"/>
  <c r="K142" i="147"/>
  <c r="AP126" i="77"/>
  <c r="AL35" i="36"/>
  <c r="AR112" i="158"/>
  <c r="E1" i="163"/>
  <c r="J31" i="167"/>
  <c r="AP35" i="77"/>
  <c r="AP127" i="77" s="1"/>
  <c r="Q85" i="115"/>
  <c r="T84" i="115"/>
  <c r="CX35" i="77"/>
  <c r="CX127" i="77" s="1"/>
  <c r="O44" i="147" l="1"/>
  <c r="O142" i="147" s="1"/>
  <c r="L142" i="147"/>
  <c r="N142" i="147" s="1"/>
  <c r="Q86" i="115"/>
  <c r="T86" i="115" s="1"/>
  <c r="T85" i="115"/>
  <c r="AL36" i="36"/>
  <c r="AP36" i="77"/>
  <c r="AP128" i="77" s="1"/>
  <c r="CX36" i="77"/>
  <c r="J32" i="167"/>
  <c r="AR113" i="158"/>
  <c r="CX37" i="77" l="1"/>
  <c r="CX128" i="77"/>
  <c r="AP37" i="77"/>
  <c r="AL37" i="36"/>
  <c r="AR114" i="158"/>
  <c r="J33" i="167"/>
  <c r="CX38" i="77" l="1"/>
  <c r="CX129" i="77"/>
  <c r="AP38" i="77"/>
  <c r="F2" i="155" s="1"/>
  <c r="AP129" i="77"/>
  <c r="AR39" i="158"/>
  <c r="J34" i="167"/>
  <c r="AR115" i="158"/>
  <c r="AL38" i="36"/>
  <c r="AV39" i="158"/>
  <c r="AP43" i="158"/>
  <c r="AP41" i="158"/>
  <c r="AO39" i="158"/>
  <c r="AR4" i="158" s="1"/>
  <c r="CX39" i="77" l="1"/>
  <c r="CX130" i="77"/>
  <c r="AL39" i="36"/>
  <c r="AP130" i="7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 Adolfo San Martin Martinez</author>
  </authors>
  <commentList>
    <comment ref="G3" authorId="0" shapeId="0" xr:uid="{82660A3D-9B9E-456E-85D3-4025E5E90A9F}">
      <text>
        <r>
          <rPr>
            <b/>
            <sz val="9"/>
            <color indexed="81"/>
            <rFont val="Tahoma"/>
            <family val="2"/>
          </rPr>
          <t>Marco Adolfo San Martin Martinez:</t>
        </r>
        <r>
          <rPr>
            <sz val="9"/>
            <color indexed="81"/>
            <rFont val="Tahoma"/>
            <family val="2"/>
          </rPr>
          <t xml:space="preserve">
AGREGAR ESTOS DATOS A LA HOJA COMPARACION SIN BM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Lopez Torres</author>
    <author>Shintaro Kwawashiro</author>
  </authors>
  <commentList>
    <comment ref="AK5" authorId="0" shapeId="0" xr:uid="{86B83527-1264-454F-8123-E1D9CD229813}">
      <text>
        <r>
          <rPr>
            <sz val="11"/>
            <color indexed="81"/>
            <rFont val="Tahoma"/>
            <family val="2"/>
          </rPr>
          <t>Verificar que el número de días reales sea el correcto para los cuatro ejercicios</t>
        </r>
      </text>
    </comment>
    <comment ref="BE5" authorId="0" shapeId="0" xr:uid="{50D7D2E3-A29E-4575-B48C-A7D9414E38CD}">
      <text>
        <r>
          <rPr>
            <sz val="11"/>
            <color indexed="81"/>
            <rFont val="Tahoma"/>
            <family val="2"/>
          </rPr>
          <t>Verificar que el número de días reales sea el correcto para los cuatro ejercicios</t>
        </r>
      </text>
    </comment>
    <comment ref="AC6" authorId="0" shapeId="0" xr:uid="{00000000-0006-0000-0300-000001000000}">
      <text>
        <r>
          <rPr>
            <sz val="11"/>
            <color indexed="81"/>
            <rFont val="Tahoma"/>
            <family val="2"/>
          </rPr>
          <t>Verificar que el número de días reales sea el correcto para los cuatro ejercicios</t>
        </r>
      </text>
    </comment>
    <comment ref="BE36" authorId="0" shapeId="0" xr:uid="{05FA96D1-A5E3-41D0-81B8-100468BD0490}">
      <text>
        <r>
          <rPr>
            <sz val="11"/>
            <color indexed="81"/>
            <rFont val="Tahoma"/>
            <family val="2"/>
          </rPr>
          <t>Verificar que el número de días reales sea el correcto para los cuatro ejercicios</t>
        </r>
      </text>
    </comment>
    <comment ref="AL86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Shintaro Kwawashiro:</t>
        </r>
        <r>
          <rPr>
            <sz val="9"/>
            <color indexed="81"/>
            <rFont val="Tahoma"/>
            <family val="2"/>
          </rPr>
          <t xml:space="preserve">
Cambia ruta cada mes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Kodai Mano .</author>
  </authors>
  <commentList>
    <comment ref="Z1" authorId="0" shapeId="0" xr:uid="{006AEB2B-8102-40E1-A622-D1C04F243BA5}">
      <text>
        <r>
          <rPr>
            <b/>
            <sz val="9"/>
            <color indexed="81"/>
            <rFont val="Tahoma"/>
            <family val="2"/>
          </rPr>
          <t>No olvidar cambiar mes</t>
        </r>
      </text>
    </comment>
    <comment ref="AA1" authorId="0" shapeId="0" xr:uid="{292CB1E7-3402-4645-8741-E29BB15D77F8}">
      <text>
        <r>
          <rPr>
            <b/>
            <sz val="9"/>
            <color indexed="81"/>
            <rFont val="Tahoma"/>
            <family val="2"/>
          </rPr>
          <t>No olvidar cambiar mes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Rintaro Hayashi</author>
  </authors>
  <commentList>
    <comment ref="A2" authorId="0" shapeId="0" xr:uid="{895112CA-F0B0-4D78-BB9F-2F8D8A0AC52C}">
      <text>
        <r>
          <rPr>
            <sz val="9"/>
            <color indexed="81"/>
            <rFont val="Tahoma"/>
            <family val="2"/>
          </rPr>
          <t>[SBM]Acumulado Año'!$B$9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Javier</author>
    <author>Marco San Martin Martinez</author>
  </authors>
  <commentList>
    <comment ref="BC1" authorId="0" shapeId="0" xr:uid="{B70A7521-746A-4828-9952-EF6DE1C6515A}">
      <text>
        <r>
          <rPr>
            <b/>
            <sz val="9"/>
            <color indexed="81"/>
            <rFont val="Tahoma"/>
            <family val="2"/>
          </rPr>
          <t>Javier:</t>
        </r>
        <r>
          <rPr>
            <sz val="9"/>
            <color indexed="81"/>
            <rFont val="Tahoma"/>
            <family val="2"/>
          </rPr>
          <t xml:space="preserve">
Se considera mayor a 1 por valores decimales que podrian aplicarse con los valores de 0 TMF</t>
        </r>
      </text>
    </comment>
    <comment ref="B15" authorId="1" shapeId="0" xr:uid="{5DB3EA38-4EA0-4D69-B15C-023BEA87C2FB}">
      <text>
        <r>
          <rPr>
            <b/>
            <sz val="9"/>
            <color indexed="81"/>
            <rFont val="Tahoma"/>
            <family val="2"/>
          </rPr>
          <t>Marco San Martin Martinez:</t>
        </r>
        <r>
          <rPr>
            <sz val="9"/>
            <color indexed="81"/>
            <rFont val="Tahoma"/>
            <family val="2"/>
          </rPr>
          <t xml:space="preserve">
Se asume 1812 , ya que no existe rendimiento por separado en BDGT OFICIAL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Jaime Ariel Barrera Novoa</author>
    <author>Gabriela Monsalvez Rodriguez</author>
    <author>Marco Adolfo San Martin Martinez</author>
    <author>Shinya Suzuki</author>
    <author>tc={ADB4DB5C-E3EE-4409-9C41-18213D081464}</author>
  </authors>
  <commentList>
    <comment ref="AR3" authorId="0" shapeId="0" xr:uid="{8C2B2DFF-53E7-460B-B44C-E748859B7DFA}">
      <text>
        <r>
          <rPr>
            <b/>
            <sz val="9"/>
            <color indexed="81"/>
            <rFont val="Tahoma"/>
            <family val="2"/>
          </rPr>
          <t>Jaime: estaba en 0,5 y lo deje en 0 porque el tph daba erratico.favor ver.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" authorId="1" shapeId="0" xr:uid="{8B53B669-2EA4-487A-9A09-8CFAC4AA63E2}">
      <text>
        <r>
          <rPr>
            <b/>
            <sz val="9"/>
            <color indexed="81"/>
            <rFont val="Tahoma"/>
            <family val="2"/>
          </rPr>
          <t>Gabriela Monsalvez Rodriguez:</t>
        </r>
        <r>
          <rPr>
            <sz val="9"/>
            <color indexed="81"/>
            <rFont val="Tahoma"/>
            <family val="2"/>
          </rPr>
          <t xml:space="preserve">
vector L1+2+3</t>
        </r>
      </text>
    </comment>
    <comment ref="I4" authorId="1" shapeId="0" xr:uid="{E12BCE2A-226F-4EE3-AD2C-61D2FEB9CB8F}">
      <text>
        <r>
          <rPr>
            <b/>
            <sz val="9"/>
            <color indexed="81"/>
            <rFont val="Tahoma"/>
            <family val="2"/>
          </rPr>
          <t>Gabriela Monsalvez Rodriguez:</t>
        </r>
        <r>
          <rPr>
            <sz val="9"/>
            <color indexed="81"/>
            <rFont val="Tahoma"/>
            <family val="2"/>
          </rPr>
          <t xml:space="preserve">
Vector L4</t>
        </r>
      </text>
    </comment>
    <comment ref="I6" authorId="1" shapeId="0" xr:uid="{FBFEF4C7-1C14-4582-97B0-BD201949EDE7}">
      <text>
        <r>
          <rPr>
            <b/>
            <sz val="9"/>
            <color indexed="81"/>
            <rFont val="Tahoma"/>
            <family val="2"/>
          </rPr>
          <t>Gabriela Monsalvez Rodriguez:</t>
        </r>
        <r>
          <rPr>
            <sz val="9"/>
            <color indexed="81"/>
            <rFont val="Tahoma"/>
            <family val="2"/>
          </rPr>
          <t xml:space="preserve">
calculo ingresando horas de operación</t>
        </r>
      </text>
    </comment>
    <comment ref="AX6" authorId="2" shapeId="0" xr:uid="{9CB0A94D-5C01-455D-802E-7DCB6EF4BB4D}">
      <text>
        <r>
          <rPr>
            <b/>
            <sz val="9"/>
            <color indexed="81"/>
            <rFont val="Tahoma"/>
            <family val="2"/>
          </rPr>
          <t>Marco Adolfo San Martin Martinez:</t>
        </r>
        <r>
          <rPr>
            <sz val="9"/>
            <color indexed="81"/>
            <rFont val="Tahoma"/>
            <family val="2"/>
          </rPr>
          <t xml:space="preserve">
SOLICITAR/ BUSCAR FOMALIDAD DE TAGS MINA EXTRACCION MINA, DURO, ARSENICO Y AXB</t>
        </r>
      </text>
    </comment>
    <comment ref="AE7" authorId="3" shapeId="0" xr:uid="{00000000-0006-0000-1200-000001000000}">
      <text>
        <r>
          <rPr>
            <b/>
            <sz val="9"/>
            <color indexed="81"/>
            <rFont val="Tahoma"/>
            <family val="2"/>
          </rPr>
          <t>Shinya Suzuki:</t>
        </r>
        <r>
          <rPr>
            <sz val="9"/>
            <color indexed="81"/>
            <rFont val="Tahoma"/>
            <family val="2"/>
          </rPr>
          <t xml:space="preserve">
Ingresar valor cada dia en mano</t>
        </r>
      </text>
    </comment>
    <comment ref="B98" authorId="4" shapeId="0" xr:uid="{ADB4DB5C-E3EE-4409-9C41-18213D0814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comparación día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 San Martin Martinez</author>
  </authors>
  <commentList>
    <comment ref="C23" authorId="0" shapeId="0" xr:uid="{11CCDD19-72B0-4229-8339-001060EA3AC5}">
      <text>
        <r>
          <rPr>
            <b/>
            <sz val="9"/>
            <color indexed="81"/>
            <rFont val="Tahoma"/>
            <family val="2"/>
          </rPr>
          <t>Marco San Martin Martinez:</t>
        </r>
        <r>
          <rPr>
            <sz val="9"/>
            <color indexed="81"/>
            <rFont val="Tahoma"/>
            <family val="2"/>
          </rPr>
          <t xml:space="preserve">
Mtto fila 64, controlable, , restanto exogeno</t>
        </r>
      </text>
    </comment>
    <comment ref="C27" authorId="0" shapeId="0" xr:uid="{CEB767D3-D0CA-45F8-8194-B57BA76AF325}">
      <text>
        <r>
          <rPr>
            <b/>
            <sz val="9"/>
            <color indexed="81"/>
            <rFont val="Tahoma"/>
            <family val="2"/>
          </rPr>
          <t>Marco San Martin Martinez:</t>
        </r>
        <r>
          <rPr>
            <sz val="9"/>
            <color indexed="81"/>
            <rFont val="Tahoma"/>
            <family val="2"/>
          </rPr>
          <t xml:space="preserve">
 Fila 71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Freddy Hauyon Belmonte</author>
  </authors>
  <commentList>
    <comment ref="F75" authorId="0" shapeId="0" xr:uid="{728313A7-2498-4A33-9BE4-81B7E25C644E}">
      <text>
        <r>
          <rPr>
            <b/>
            <sz val="9"/>
            <color indexed="81"/>
            <rFont val="Tahoma"/>
            <family val="2"/>
          </rPr>
          <t>Freddy Hauyon Belmonte:</t>
        </r>
        <r>
          <rPr>
            <sz val="9"/>
            <color indexed="81"/>
            <rFont val="Tahoma"/>
            <family val="2"/>
          </rPr>
          <t xml:space="preserve">
1 Masa igual a producción</t>
        </r>
      </text>
    </comment>
    <comment ref="N76" authorId="0" shapeId="0" xr:uid="{13D20B60-F816-4FB7-AE2B-871861F7C7A9}">
      <text>
        <r>
          <rPr>
            <b/>
            <sz val="9"/>
            <color indexed="81"/>
            <rFont val="Tahoma"/>
            <family val="2"/>
          </rPr>
          <t>Freddy Hauyon Belmonte:</t>
        </r>
        <r>
          <rPr>
            <sz val="9"/>
            <color indexed="81"/>
            <rFont val="Tahoma"/>
            <family val="2"/>
          </rPr>
          <t xml:space="preserve">
2 Buscar objetivo celda Q33=0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 San Martin Martinez</author>
    <author>tc={DD1A1700-EE48-469E-B65D-273F0E1E70C6}</author>
    <author>Marco Adolfo San Martin Martinez</author>
  </authors>
  <commentList>
    <comment ref="AI2" authorId="0" shapeId="0" xr:uid="{A6389DA6-9776-4BDB-A5E3-CBA062C26C73}">
      <text>
        <r>
          <rPr>
            <b/>
            <sz val="9"/>
            <color indexed="81"/>
            <rFont val="Tahoma"/>
            <family val="2"/>
          </rPr>
          <t>Marco San Martin Martinez:</t>
        </r>
        <r>
          <rPr>
            <sz val="9"/>
            <color indexed="81"/>
            <rFont val="Tahoma"/>
            <family val="2"/>
          </rPr>
          <t xml:space="preserve">
Valores se cambian por ajuste de modelo para P80 y Recuperación</t>
        </r>
      </text>
    </comment>
    <comment ref="AO2" authorId="0" shapeId="0" xr:uid="{F17AAD9F-5103-4AAD-834A-7837ED684044}">
      <text>
        <r>
          <rPr>
            <b/>
            <sz val="9"/>
            <color indexed="81"/>
            <rFont val="Tahoma"/>
            <family val="2"/>
          </rPr>
          <t>Marco San Martin Martinez:</t>
        </r>
        <r>
          <rPr>
            <sz val="9"/>
            <color indexed="81"/>
            <rFont val="Tahoma"/>
            <family val="2"/>
          </rPr>
          <t xml:space="preserve">
No utlizar !!</t>
        </r>
      </text>
    </comment>
    <comment ref="Q7" authorId="1" shapeId="0" xr:uid="{DD1A1700-EE48-469E-B65D-273F0E1E70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OL considera un ajuste de 1.08 al mes por F80, nos ajustamos a esa consideraicón</t>
      </text>
    </comment>
    <comment ref="L8" authorId="2" shapeId="0" xr:uid="{31A157B6-FBAC-4E10-94FD-5E7E6319C685}">
      <text>
        <r>
          <rPr>
            <b/>
            <sz val="9"/>
            <color indexed="81"/>
            <rFont val="Tahoma"/>
            <family val="2"/>
          </rPr>
          <t>Marco Adolfo San Martin Martinez:</t>
        </r>
        <r>
          <rPr>
            <sz val="9"/>
            <color indexed="81"/>
            <rFont val="Tahoma"/>
            <family val="2"/>
          </rPr>
          <t xml:space="preserve">
este es m5</t>
        </r>
      </text>
    </comment>
    <comment ref="M8" authorId="2" shapeId="0" xr:uid="{D09EACAE-D7F0-4235-B290-0A07343E26B4}">
      <text>
        <r>
          <rPr>
            <b/>
            <sz val="9"/>
            <color indexed="81"/>
            <rFont val="Tahoma"/>
            <family val="2"/>
          </rPr>
          <t>Marco Adolfo San Martin Martinez:</t>
        </r>
        <r>
          <rPr>
            <sz val="9"/>
            <color indexed="81"/>
            <rFont val="Tahoma"/>
            <family val="2"/>
          </rPr>
          <t xml:space="preserve">
este es el m8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Kodai Mano .</author>
    <author>Shintaro Kwawashiro</author>
    <author>Shinya Suzuki</author>
    <author>Rodrigo Garces Escare</author>
  </authors>
  <commentList>
    <comment ref="DW3" authorId="0" shapeId="0" xr:uid="{FF443415-943A-4CEE-8AFA-5C2673843B3F}">
      <text>
        <r>
          <rPr>
            <b/>
            <sz val="9"/>
            <color indexed="81"/>
            <rFont val="Tahoma"/>
            <family val="2"/>
          </rPr>
          <t>Kodai Mano .:
Días x 4línea - 24hrs detención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J4" authorId="1" shapeId="0" xr:uid="{00000000-0006-0000-0C00-000001000000}">
      <text>
        <r>
          <rPr>
            <b/>
            <sz val="9"/>
            <color indexed="81"/>
            <rFont val="Tahoma"/>
            <family val="2"/>
          </rPr>
          <t>Shintaro Kwawashiro:</t>
        </r>
        <r>
          <rPr>
            <sz val="9"/>
            <color indexed="81"/>
            <rFont val="Tahoma"/>
            <family val="2"/>
          </rPr>
          <t xml:space="preserve">
Budget 2022
Enriquecimiento = 42,0</t>
        </r>
      </text>
    </comment>
    <comment ref="GF4" authorId="2" shapeId="0" xr:uid="{00000000-0006-0000-0C00-000002000000}">
      <text>
        <r>
          <rPr>
            <b/>
            <sz val="9"/>
            <color indexed="81"/>
            <rFont val="Tahoma"/>
            <family val="2"/>
          </rPr>
          <t>Shinya Suzuki:</t>
        </r>
        <r>
          <rPr>
            <sz val="9"/>
            <color indexed="81"/>
            <rFont val="Tahoma"/>
            <family val="2"/>
          </rPr>
          <t xml:space="preserve">
No se cambié(igual de 2020)
Si necesitamos cambiar valor, por favor modificarlo</t>
        </r>
      </text>
    </comment>
    <comment ref="GJ4" authorId="2" shapeId="0" xr:uid="{00000000-0006-0000-0C00-000003000000}">
      <text>
        <r>
          <rPr>
            <b/>
            <sz val="9"/>
            <color indexed="81"/>
            <rFont val="Tahoma"/>
            <family val="2"/>
          </rPr>
          <t>Shinya Suzuki:</t>
        </r>
        <r>
          <rPr>
            <sz val="9"/>
            <color indexed="81"/>
            <rFont val="Tahoma"/>
            <family val="2"/>
          </rPr>
          <t xml:space="preserve">
No se cambié(igual de 2020)
Si necesitamos cambiar valor, por favor modificarlo</t>
        </r>
      </text>
    </comment>
    <comment ref="GO4" authorId="2" shapeId="0" xr:uid="{00000000-0006-0000-0C00-000004000000}">
      <text>
        <r>
          <rPr>
            <b/>
            <sz val="9"/>
            <color indexed="81"/>
            <rFont val="Tahoma"/>
            <family val="2"/>
          </rPr>
          <t>Shinya Suzuki:</t>
        </r>
        <r>
          <rPr>
            <sz val="9"/>
            <color indexed="81"/>
            <rFont val="Tahoma"/>
            <family val="2"/>
          </rPr>
          <t xml:space="preserve">
No se cambié(igual de 2020)
Si necesitamos cambiar valor, por favor modificarlo</t>
        </r>
      </text>
    </comment>
    <comment ref="AV5" authorId="0" shapeId="0" xr:uid="{229FD98E-1A3F-4EDB-98F8-20A19070DED6}">
      <text>
        <r>
          <rPr>
            <b/>
            <sz val="9"/>
            <color indexed="81"/>
            <rFont val="Tahoma"/>
            <family val="2"/>
          </rPr>
          <t>Kodai Mano .:</t>
        </r>
        <r>
          <rPr>
            <sz val="9"/>
            <color indexed="81"/>
            <rFont val="Tahoma"/>
            <family val="2"/>
          </rPr>
          <t xml:space="preserve">
Agregué</t>
        </r>
      </text>
    </comment>
    <comment ref="AN8" authorId="3" shapeId="0" xr:uid="{A9177759-E9B6-4CDD-A423-421719538662}">
      <text>
        <r>
          <rPr>
            <b/>
            <sz val="9"/>
            <color indexed="81"/>
            <rFont val="Tahoma"/>
            <family val="2"/>
          </rPr>
          <t>Rodrigo Garces Escare:</t>
        </r>
        <r>
          <rPr>
            <sz val="9"/>
            <color indexed="81"/>
            <rFont val="Tahoma"/>
            <family val="2"/>
          </rPr>
          <t xml:space="preserve">
Filtrado TB</t>
        </r>
      </text>
    </comment>
    <comment ref="AK10" authorId="3" shapeId="0" xr:uid="{6021053C-0F4B-4EDA-9B64-E4ECACCE4FC6}">
      <text>
        <r>
          <rPr>
            <b/>
            <sz val="9"/>
            <color indexed="81"/>
            <rFont val="Tahoma"/>
            <family val="2"/>
          </rPr>
          <t>Rodrigo Garces Escare:</t>
        </r>
        <r>
          <rPr>
            <sz val="9"/>
            <color indexed="81"/>
            <rFont val="Tahoma"/>
            <family val="2"/>
          </rPr>
          <t xml:space="preserve">
Mantencion Rougher 3</t>
        </r>
      </text>
    </comment>
    <comment ref="AG17" authorId="3" shapeId="0" xr:uid="{A06245DE-8879-4FC7-98A7-C1220500B84A}">
      <text>
        <r>
          <rPr>
            <b/>
            <sz val="9"/>
            <color indexed="81"/>
            <rFont val="Tahoma"/>
            <family val="2"/>
          </rPr>
          <t>Rodrigo Garces Escare:</t>
        </r>
        <r>
          <rPr>
            <sz val="9"/>
            <color indexed="81"/>
            <rFont val="Tahoma"/>
            <family val="2"/>
          </rPr>
          <t xml:space="preserve">
Mantencion PLF</t>
        </r>
      </text>
    </comment>
    <comment ref="AN17" authorId="3" shapeId="0" xr:uid="{CC4CF459-4D14-432E-9871-09B34697F9CB}">
      <text>
        <r>
          <rPr>
            <b/>
            <sz val="9"/>
            <color indexed="81"/>
            <rFont val="Tahoma"/>
            <family val="2"/>
          </rPr>
          <t>Rodrigo Garces Escare:</t>
        </r>
        <r>
          <rPr>
            <sz val="9"/>
            <color indexed="81"/>
            <rFont val="Tahoma"/>
            <family val="2"/>
          </rPr>
          <t xml:space="preserve">
CV-111 detenido 12 Hrs</t>
        </r>
      </text>
    </comment>
    <comment ref="AK22" authorId="3" shapeId="0" xr:uid="{B9B79E57-98F2-457F-BBA8-5349C452C0E4}">
      <text>
        <r>
          <rPr>
            <b/>
            <sz val="9"/>
            <color indexed="81"/>
            <rFont val="Tahoma"/>
            <family val="2"/>
          </rPr>
          <t>Rodrigo Garces Escare:</t>
        </r>
        <r>
          <rPr>
            <sz val="9"/>
            <color indexed="81"/>
            <rFont val="Tahoma"/>
            <family val="2"/>
          </rPr>
          <t xml:space="preserve">
Mantencion Cleaner 1</t>
        </r>
      </text>
    </comment>
    <comment ref="DL24" authorId="3" shapeId="0" xr:uid="{9170E78B-0D7F-4B48-B576-06C2D0880434}">
      <text>
        <r>
          <rPr>
            <b/>
            <sz val="9"/>
            <color indexed="81"/>
            <rFont val="Tahoma"/>
            <family val="2"/>
          </rPr>
          <t>Rodrigo Garces Escare:</t>
        </r>
        <r>
          <rPr>
            <sz val="9"/>
            <color indexed="81"/>
            <rFont val="Tahoma"/>
            <family val="2"/>
          </rPr>
          <t xml:space="preserve">
Medicion Crash Stop y Grind Out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Garces Escare</author>
    <author>Marco San Martin Martinez</author>
    <author>Kodai Mano .</author>
  </authors>
  <commentList>
    <comment ref="C6" authorId="0" shapeId="0" xr:uid="{331ED273-74A3-4D35-9823-53B486D51D99}">
      <text>
        <r>
          <rPr>
            <b/>
            <sz val="9"/>
            <color indexed="81"/>
            <rFont val="Tahoma"/>
            <family val="2"/>
          </rPr>
          <t>Rodrigo Garces Escare:</t>
        </r>
        <r>
          <rPr>
            <sz val="9"/>
            <color indexed="81"/>
            <rFont val="Tahoma"/>
            <family val="2"/>
          </rPr>
          <t xml:space="preserve">
Mantencion Rougher 1</t>
        </r>
      </text>
    </comment>
    <comment ref="C16" authorId="0" shapeId="0" xr:uid="{1061B9AA-26B1-4811-B242-7709AB5C7A56}">
      <text>
        <r>
          <rPr>
            <b/>
            <sz val="9"/>
            <color indexed="81"/>
            <rFont val="Tahoma"/>
            <family val="2"/>
          </rPr>
          <t>Rodrigo Garces Escare:</t>
        </r>
        <r>
          <rPr>
            <sz val="9"/>
            <color indexed="81"/>
            <rFont val="Tahoma"/>
            <family val="2"/>
          </rPr>
          <t xml:space="preserve">
Mantencion 11 al 23</t>
        </r>
      </text>
    </comment>
    <comment ref="C31" authorId="0" shapeId="0" xr:uid="{F26DC765-7C95-46EC-B5C6-D714B9E2381D}">
      <text>
        <r>
          <rPr>
            <b/>
            <sz val="9"/>
            <color indexed="81"/>
            <rFont val="Tahoma"/>
            <family val="2"/>
          </rPr>
          <t>Rodrigo Garces Escare:</t>
        </r>
        <r>
          <rPr>
            <sz val="9"/>
            <color indexed="81"/>
            <rFont val="Tahoma"/>
            <family val="2"/>
          </rPr>
          <t xml:space="preserve">
Mantencion rougher 2</t>
        </r>
      </text>
    </comment>
    <comment ref="A42" authorId="1" shapeId="0" xr:uid="{1C2D8DE4-CCBE-4117-B2AC-30FBFDF45DAC}">
      <text>
        <r>
          <rPr>
            <b/>
            <sz val="9"/>
            <color indexed="81"/>
            <rFont val="Tahoma"/>
            <family val="2"/>
          </rPr>
          <t>Marco San Martin Martinez:</t>
        </r>
        <r>
          <rPr>
            <sz val="9"/>
            <color indexed="81"/>
            <rFont val="Tahoma"/>
            <family val="2"/>
          </rPr>
          <t xml:space="preserve">
Cambiar formula una vez lista primera iteración</t>
        </r>
      </text>
    </comment>
    <comment ref="B42" authorId="2" shapeId="0" xr:uid="{22BB2A29-B4A0-4EEF-995D-DE71BD54BA3E}">
      <text>
        <r>
          <rPr>
            <b/>
            <sz val="9"/>
            <color indexed="81"/>
            <rFont val="Tahoma"/>
            <family val="2"/>
          </rPr>
          <t>Kodai Mano .:</t>
        </r>
        <r>
          <rPr>
            <sz val="9"/>
            <color indexed="81"/>
            <rFont val="Tahoma"/>
            <family val="2"/>
          </rPr>
          <t xml:space="preserve">
Cambié de CM a Hrs operación.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tc={D32DC27C-172C-4125-B765-6DA09F488395}</author>
  </authors>
  <commentList>
    <comment ref="M4" authorId="0" shapeId="0" xr:uid="{D32DC27C-172C-4125-B765-6DA09F4883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SAG1 y SAG2 F/S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 San Martin Martinez</author>
    <author>Marco Adolfo San Martin Martinez</author>
    <author>Rodrigo Garces Escare</author>
    <author>Jaime Ariel Barrera Novoa</author>
  </authors>
  <commentList>
    <comment ref="AE4" authorId="0" shapeId="0" xr:uid="{6AAC603D-F0EB-416E-A5F8-AEEC4961FAE8}">
      <text>
        <r>
          <rPr>
            <b/>
            <sz val="9"/>
            <color indexed="81"/>
            <rFont val="Tahoma"/>
            <family val="2"/>
          </rPr>
          <t>Marco San Martin Martinez:</t>
        </r>
        <r>
          <rPr>
            <sz val="9"/>
            <color indexed="81"/>
            <rFont val="Tahoma"/>
            <family val="2"/>
          </rPr>
          <t xml:space="preserve">
Ingresado el 02/12/2025</t>
        </r>
      </text>
    </comment>
    <comment ref="I6" authorId="1" shapeId="0" xr:uid="{5B253C71-4A55-4A9B-87BB-50528346F902}">
      <text>
        <r>
          <rPr>
            <b/>
            <sz val="9"/>
            <color indexed="81"/>
            <rFont val="Tahoma"/>
            <family val="2"/>
          </rPr>
          <t>Marco Adolfo San Martin Martinez:</t>
        </r>
        <r>
          <rPr>
            <sz val="9"/>
            <color indexed="81"/>
            <rFont val="Tahoma"/>
            <family val="2"/>
          </rPr>
          <t xml:space="preserve">
Columna pegada
</t>
        </r>
      </text>
    </comment>
    <comment ref="AP7" authorId="2" shapeId="0" xr:uid="{00000000-0006-0000-0800-000002000000}">
      <text>
        <r>
          <rPr>
            <sz val="9"/>
            <color indexed="81"/>
            <rFont val="Tahoma"/>
            <family val="2"/>
          </rPr>
          <t xml:space="preserve">
02-02-2026</t>
        </r>
      </text>
    </comment>
    <comment ref="AP22" authorId="3" shapeId="0" xr:uid="{E3F01EC8-8992-46B7-8331-CF6FE9623E65}">
      <text>
        <r>
          <rPr>
            <b/>
            <sz val="9"/>
            <color indexed="81"/>
            <rFont val="Tahoma"/>
            <family val="2"/>
          </rPr>
          <t>Jaime Ariel Barrera Novoa:</t>
        </r>
        <r>
          <rPr>
            <sz val="9"/>
            <color indexed="81"/>
            <rFont val="Tahoma"/>
            <family val="2"/>
          </rPr>
          <t xml:space="preserve">
inventario prebalance al 15/03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Jaime Ariel Barrera Novoa</author>
  </authors>
  <commentList>
    <comment ref="C2" authorId="0" shapeId="0" xr:uid="{54A72D18-D7B3-4DEB-9372-E9D62F6176F1}">
      <text>
        <r>
          <rPr>
            <b/>
            <sz val="9"/>
            <color indexed="81"/>
            <rFont val="Tahoma"/>
            <family val="2"/>
          </rPr>
          <t>Consideracion de PM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Shinya Suzuki</author>
    <author>Marco Adolfo San Martin Martinez</author>
    <author>Jaime Ariel Barrera Novoa</author>
    <author>Marco San Martin Martinez</author>
  </authors>
  <commentList>
    <comment ref="CZ5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Shinya Suzuki:</t>
        </r>
        <r>
          <rPr>
            <sz val="9"/>
            <color indexed="81"/>
            <rFont val="Tahoma"/>
            <family val="2"/>
          </rPr>
          <t xml:space="preserve">
No se cambié(igual de 2020)
Si necesitamos cambiar valor, por favor modificarlo</t>
        </r>
      </text>
    </comment>
    <comment ref="DD5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Shinya Suzuki:</t>
        </r>
        <r>
          <rPr>
            <sz val="9"/>
            <color indexed="81"/>
            <rFont val="Tahoma"/>
            <family val="2"/>
          </rPr>
          <t xml:space="preserve">
No se cambié(igual de 2020)
Si necesitamos cambiar valor, por favor modificarlo</t>
        </r>
      </text>
    </comment>
    <comment ref="DI5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Shinya Suzuki:</t>
        </r>
        <r>
          <rPr>
            <sz val="9"/>
            <color indexed="81"/>
            <rFont val="Tahoma"/>
            <family val="2"/>
          </rPr>
          <t xml:space="preserve">
No se cambié(igual de 2020)
Si necesitamos cambiar valor, por favor modificarlo</t>
        </r>
      </text>
    </comment>
    <comment ref="I6" authorId="1" shapeId="0" xr:uid="{0F35B59D-06EE-4674-8569-3ED56D23B370}">
      <text>
        <r>
          <rPr>
            <b/>
            <sz val="9"/>
            <color indexed="81"/>
            <rFont val="Tahoma"/>
            <family val="2"/>
          </rPr>
          <t>Marco Adolfo San Martin Martinez:</t>
        </r>
        <r>
          <rPr>
            <sz val="9"/>
            <color indexed="81"/>
            <rFont val="Tahoma"/>
            <family val="2"/>
          </rPr>
          <t xml:space="preserve">
Columna pegada
</t>
        </r>
      </text>
    </comment>
    <comment ref="S6" authorId="0" shapeId="0" xr:uid="{00000000-0006-0000-1100-000004000000}">
      <text>
        <r>
          <rPr>
            <sz val="9"/>
            <color indexed="81"/>
            <rFont val="Tahoma"/>
            <family val="2"/>
          </rPr>
          <t>Uso modelo Budget2022
if (mo gt 100) then
rmoc=(4.5021*ln(mo)+67.127)
if (mo gt 0 and mo le 100) then
rmoc=(4.6478*ln(mo)+66.538)</t>
        </r>
      </text>
    </comment>
    <comment ref="T6" authorId="0" shapeId="0" xr:uid="{00000000-0006-0000-1100-000005000000}">
      <text>
        <r>
          <rPr>
            <sz val="9"/>
            <color indexed="81"/>
            <rFont val="Tahoma"/>
            <family val="2"/>
          </rPr>
          <t>Uso modelo Budget2022
if (mo gt 100) then
rmos=(3.5522*ln(mo)+73.094)
if (mo gt 0 and mo le 100) then
rmos=(9.2781*ln(mo)+42.769)</t>
        </r>
      </text>
    </comment>
    <comment ref="AF17" authorId="2" shapeId="0" xr:uid="{62EDC214-16E9-4247-98C6-B1EF6B2AB69A}">
      <text>
        <r>
          <rPr>
            <b/>
            <sz val="9"/>
            <color indexed="81"/>
            <rFont val="Tahoma"/>
            <family val="2"/>
          </rPr>
          <t>CV111</t>
        </r>
        <r>
          <rPr>
            <sz val="9"/>
            <color indexed="81"/>
            <rFont val="Tahoma"/>
            <family val="2"/>
          </rPr>
          <t xml:space="preserve">
de las 13hrs en adelante parte el envio de agua por 15 hr +/-</t>
        </r>
      </text>
    </comment>
    <comment ref="BS17" authorId="2" shapeId="0" xr:uid="{963BFE56-BA5A-4E0A-AB93-C356CB85D625}">
      <text>
        <r>
          <rPr>
            <b/>
            <sz val="9"/>
            <color indexed="81"/>
            <rFont val="Tahoma"/>
            <family val="2"/>
          </rPr>
          <t>Cambio PS (originalmente inicia 09/03 a las 23hr). inicia a las 9:44 se extendera por 12 horas.reapriete pernos.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18" authorId="2" shapeId="0" xr:uid="{BF7919D4-5C99-43A9-BC83-D5D8F8822B38}">
      <text>
        <r>
          <rPr>
            <b/>
            <sz val="9"/>
            <color indexed="81"/>
            <rFont val="Tahoma"/>
            <family val="2"/>
          </rPr>
          <t>MP CV111 por 9hr.</t>
        </r>
      </text>
    </comment>
    <comment ref="BS18" authorId="2" shapeId="0" xr:uid="{9B268367-7448-48D3-9086-DB69B34FAA05}">
      <text>
        <r>
          <rPr>
            <b/>
            <sz val="9"/>
            <color indexed="81"/>
            <rFont val="Tahoma"/>
            <family val="2"/>
          </rPr>
          <t>Jaime Ariel Barrera Novoa:</t>
        </r>
        <r>
          <rPr>
            <sz val="9"/>
            <color indexed="81"/>
            <rFont val="Tahoma"/>
            <family val="2"/>
          </rPr>
          <t xml:space="preserve">
inicia a las 23:00 hrs. (12hrs)</t>
        </r>
      </text>
    </comment>
    <comment ref="AI39" authorId="3" shapeId="0" xr:uid="{97D3E77F-58A4-4EEA-9AB9-F702C87D6D2C}">
      <text>
        <r>
          <rPr>
            <b/>
            <sz val="9"/>
            <color indexed="81"/>
            <rFont val="Tahoma"/>
            <family val="2"/>
          </rPr>
          <t>Marco San Martin Martinez:</t>
        </r>
        <r>
          <rPr>
            <sz val="9"/>
            <color indexed="81"/>
            <rFont val="Tahoma"/>
            <family val="2"/>
          </rPr>
          <t xml:space="preserve">
Cambiar de acuerdo a indicación de cierre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Rintaro Hayashi</author>
    <author>Carlos Lopez Torres</author>
  </authors>
  <commentList>
    <comment ref="A43" authorId="0" shapeId="0" xr:uid="{00000000-0006-0000-0500-000002000000}">
      <text>
        <r>
          <rPr>
            <sz val="9"/>
            <color indexed="81"/>
            <rFont val="Tahoma"/>
            <family val="2"/>
          </rPr>
          <t>[SBM]Acumulado Año'!$B$9</t>
        </r>
      </text>
    </comment>
    <comment ref="H75" authorId="1" shapeId="0" xr:uid="{00000000-0006-0000-0500-000003000000}">
      <text>
        <r>
          <rPr>
            <b/>
            <sz val="8"/>
            <color indexed="81"/>
            <rFont val="Tahoma"/>
            <family val="2"/>
          </rPr>
          <t xml:space="preserve">Se pegan los valores mensuales de OL acá! 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Jaime Ariel Barrera Novoa</author>
    <author>tc={AA0C472A-1CCF-4393-96EF-272531077B48}</author>
  </authors>
  <commentList>
    <comment ref="E12" authorId="0" shapeId="0" xr:uid="{B84DAE17-995A-41BC-A973-EDA93B526895}">
      <text>
        <r>
          <rPr>
            <b/>
            <sz val="9"/>
            <color indexed="81"/>
            <rFont val="Tahoma"/>
            <family val="2"/>
          </rPr>
          <t>ponderados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8" authorId="1" shapeId="0" xr:uid="{AA0C472A-1CCF-4393-96EF-272531077B4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Como Stock se encuentra alto, se toma dato de excel Geologico 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Jaime Ariel Barrera Novoa</author>
    <author>Marco Adolfo San Martin Martinez</author>
    <author>Marco San Martin Martinez</author>
  </authors>
  <commentList>
    <comment ref="P7" authorId="0" shapeId="0" xr:uid="{18C56399-AB7F-4F6C-A8D0-DCFFAB3B8FD8}">
      <text>
        <r>
          <rPr>
            <b/>
            <sz val="9"/>
            <color indexed="81"/>
            <rFont val="Tahoma"/>
            <family val="2"/>
          </rPr>
          <t>JBN. Queda en 30% (01-10) ir consultando.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8" authorId="1" shapeId="0" xr:uid="{06C310DA-4CE8-4623-A3A3-5AF7EC014BF6}">
      <text>
        <r>
          <rPr>
            <b/>
            <sz val="9"/>
            <color indexed="81"/>
            <rFont val="Tahoma"/>
            <family val="2"/>
          </rPr>
          <t>Marco Adolfo San Martin Martinez:</t>
        </r>
        <r>
          <rPr>
            <sz val="9"/>
            <color indexed="81"/>
            <rFont val="Tahoma"/>
            <family val="2"/>
          </rPr>
          <t xml:space="preserve">
Este dato no viene en el conciliado </t>
        </r>
      </text>
    </comment>
    <comment ref="H8" authorId="1" shapeId="0" xr:uid="{BA4AFC8E-BBD8-4B65-97DA-EC4A87887B54}">
      <text>
        <r>
          <rPr>
            <b/>
            <sz val="9"/>
            <color indexed="81"/>
            <rFont val="Tahoma"/>
            <family val="2"/>
          </rPr>
          <t>Marco Adolfo San Martin Martinez:</t>
        </r>
        <r>
          <rPr>
            <sz val="9"/>
            <color indexed="81"/>
            <rFont val="Tahoma"/>
            <family val="2"/>
          </rPr>
          <t xml:space="preserve">
Los M están en el diario ?
</t>
        </r>
      </text>
    </comment>
    <comment ref="L8" authorId="1" shapeId="0" xr:uid="{4DC2B470-936A-4754-ABB3-65A7196331C8}">
      <text>
        <r>
          <rPr>
            <b/>
            <sz val="9"/>
            <color indexed="81"/>
            <rFont val="Tahoma"/>
            <family val="2"/>
          </rPr>
          <t>Marco Adolfo San Martin Martinez:</t>
        </r>
        <r>
          <rPr>
            <sz val="9"/>
            <color indexed="81"/>
            <rFont val="Tahoma"/>
            <family val="2"/>
          </rPr>
          <t xml:space="preserve">
este es m5</t>
        </r>
      </text>
    </comment>
    <comment ref="M8" authorId="1" shapeId="0" xr:uid="{58A22830-74ED-4BB1-96B0-5BD2D1D4EBB4}">
      <text>
        <r>
          <rPr>
            <b/>
            <sz val="9"/>
            <color indexed="81"/>
            <rFont val="Tahoma"/>
            <family val="2"/>
          </rPr>
          <t>Marco Adolfo San Martin Martinez:</t>
        </r>
        <r>
          <rPr>
            <sz val="9"/>
            <color indexed="81"/>
            <rFont val="Tahoma"/>
            <family val="2"/>
          </rPr>
          <t xml:space="preserve">
este es el m8</t>
        </r>
      </text>
    </comment>
    <comment ref="BG8" authorId="2" shapeId="0" xr:uid="{8B5DC7C3-4ECD-4395-87DD-CB533FFF1B22}">
      <text>
        <r>
          <rPr>
            <b/>
            <sz val="9"/>
            <color indexed="81"/>
            <rFont val="Tahoma"/>
            <family val="2"/>
          </rPr>
          <t>Marco San Martin Martinez:</t>
        </r>
        <r>
          <rPr>
            <sz val="9"/>
            <color indexed="81"/>
            <rFont val="Tahoma"/>
            <family val="2"/>
          </rPr>
          <t xml:space="preserve">
Calculado en base al archivo con detalle del Master Semanal
</t>
        </r>
      </text>
    </comment>
    <comment ref="AJ15" authorId="0" shapeId="0" xr:uid="{85135D00-5380-4E45-B79C-1A4A5EC4EBC6}">
      <text>
        <r>
          <rPr>
            <b/>
            <sz val="9"/>
            <color indexed="81"/>
            <rFont val="Tahoma"/>
            <family val="2"/>
          </rPr>
          <t xml:space="preserve">JBN: se aplica Factor para bajarlo, dado que no se trabaja con SAG4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8" authorId="0" shapeId="0" xr:uid="{ECA2E1E3-A649-438A-9A40-09F337FCA712}">
      <text>
        <r>
          <rPr>
            <b/>
            <sz val="9"/>
            <color indexed="81"/>
            <rFont val="Tahoma"/>
            <family val="2"/>
          </rPr>
          <t>JBN. Para subir P80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9" authorId="0" shapeId="0" xr:uid="{7763D7D1-31C4-4029-B1B3-3951F2FC8621}">
      <text>
        <r>
          <rPr>
            <b/>
            <sz val="9"/>
            <color indexed="81"/>
            <rFont val="Tahoma"/>
            <family val="2"/>
          </rPr>
          <t>por remanejo stock pile</t>
        </r>
      </text>
    </comment>
    <comment ref="X28" authorId="0" shapeId="0" xr:uid="{BBC26CE0-5426-4670-96FE-4F173EE43C8E}">
      <text>
        <r>
          <rPr>
            <b/>
            <sz val="9"/>
            <color indexed="81"/>
            <rFont val="Tahoma"/>
            <family val="2"/>
          </rPr>
          <t>cambio rotacion vector P80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Hector Lazo</author>
  </authors>
  <commentList>
    <comment ref="B7" authorId="0" shapeId="0" xr:uid="{00000000-0006-0000-0D00-000001000000}">
      <text>
        <r>
          <rPr>
            <b/>
            <sz val="11"/>
            <color indexed="81"/>
            <rFont val="Tahoma"/>
            <family val="2"/>
          </rPr>
          <t>Hector Lazo:</t>
        </r>
        <r>
          <rPr>
            <sz val="11"/>
            <color indexed="81"/>
            <rFont val="Tahoma"/>
            <family val="2"/>
          </rPr>
          <t xml:space="preserve">
De los relaves que llegan a Mauro, el 45% va a clasificación</t>
        </r>
      </text>
    </comment>
    <comment ref="B8" authorId="0" shapeId="0" xr:uid="{00000000-0006-0000-0D00-000002000000}">
      <text>
        <r>
          <rPr>
            <b/>
            <sz val="11"/>
            <color indexed="81"/>
            <rFont val="Tahoma"/>
            <family val="2"/>
          </rPr>
          <t>Hector Lazo:</t>
        </r>
        <r>
          <rPr>
            <sz val="11"/>
            <color indexed="81"/>
            <rFont val="Tahoma"/>
            <family val="2"/>
          </rPr>
          <t xml:space="preserve">
De los relaves que llegan a clasificación, el 28% es depositado en el muro (ARENAS)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Hitoshi Yoshizaka</author>
  </authors>
  <commentList>
    <comment ref="L183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Hitoshi Yoshizaka:</t>
        </r>
        <r>
          <rPr>
            <sz val="9"/>
            <color indexed="81"/>
            <rFont val="Tahoma"/>
            <family val="2"/>
          </rPr>
          <t xml:space="preserve">
12</t>
        </r>
        <r>
          <rPr>
            <sz val="9"/>
            <color indexed="81"/>
            <rFont val="ＭＳ Ｐゴシック"/>
            <family val="3"/>
            <charset val="128"/>
          </rPr>
          <t>月末</t>
        </r>
        <r>
          <rPr>
            <sz val="9"/>
            <color indexed="81"/>
            <rFont val="Tahoma"/>
            <family val="2"/>
          </rPr>
          <t>BM</t>
        </r>
        <r>
          <rPr>
            <sz val="9"/>
            <color indexed="81"/>
            <rFont val="ＭＳ Ｐゴシック"/>
            <family val="3"/>
            <charset val="128"/>
          </rPr>
          <t>入力時に更新</t>
        </r>
      </text>
    </comment>
    <comment ref="V183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Hitoshi Yoshizaka:</t>
        </r>
        <r>
          <rPr>
            <sz val="9"/>
            <color indexed="81"/>
            <rFont val="Tahoma"/>
            <family val="2"/>
          </rPr>
          <t xml:space="preserve">
12</t>
        </r>
        <r>
          <rPr>
            <sz val="9"/>
            <color indexed="81"/>
            <rFont val="ＭＳ Ｐゴシック"/>
            <family val="3"/>
            <charset val="128"/>
          </rPr>
          <t>月末</t>
        </r>
        <r>
          <rPr>
            <sz val="9"/>
            <color indexed="81"/>
            <rFont val="Tahoma"/>
            <family val="2"/>
          </rPr>
          <t>BM</t>
        </r>
        <r>
          <rPr>
            <sz val="9"/>
            <color indexed="81"/>
            <rFont val="ＭＳ Ｐゴシック"/>
            <family val="3"/>
            <charset val="128"/>
          </rPr>
          <t>入力時に更新</t>
        </r>
      </text>
    </comment>
    <comment ref="L217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Hitoshi Yoshizaka:</t>
        </r>
        <r>
          <rPr>
            <sz val="9"/>
            <color indexed="81"/>
            <rFont val="Tahoma"/>
            <family val="2"/>
          </rPr>
          <t xml:space="preserve">
12</t>
        </r>
        <r>
          <rPr>
            <sz val="9"/>
            <color indexed="81"/>
            <rFont val="ＭＳ Ｐゴシック"/>
            <family val="3"/>
            <charset val="128"/>
          </rPr>
          <t>月メタルバランス入力時に修正する</t>
        </r>
      </text>
    </comment>
    <comment ref="V217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Hitoshi Yoshizaka:</t>
        </r>
        <r>
          <rPr>
            <sz val="9"/>
            <color indexed="81"/>
            <rFont val="Tahoma"/>
            <family val="2"/>
          </rPr>
          <t xml:space="preserve">
12</t>
        </r>
        <r>
          <rPr>
            <sz val="9"/>
            <color indexed="81"/>
            <rFont val="ＭＳ Ｐゴシック"/>
            <family val="3"/>
            <charset val="128"/>
          </rPr>
          <t>月末メタルバランス入力時に修正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 Adolfo San Martin Martinez</author>
  </authors>
  <commentList>
    <comment ref="B50" authorId="0" shapeId="0" xr:uid="{810A986F-ECCB-4192-A687-B8A36AB9DEE7}">
      <text>
        <r>
          <rPr>
            <b/>
            <sz val="9"/>
            <color indexed="81"/>
            <rFont val="Tahoma"/>
            <family val="2"/>
          </rPr>
          <t>Marco Adolfo San Martin Martinez:</t>
        </r>
        <r>
          <rPr>
            <sz val="9"/>
            <color indexed="81"/>
            <rFont val="Tahoma"/>
            <family val="2"/>
          </rPr>
          <t xml:space="preserve">
No borrar, estimación de inventarios en base a información que emite control de procesos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tc={6DD2C813-3E44-4D4C-8855-8FD7BDF09570}</author>
    <author>Rodrigo Garces Escare</author>
  </authors>
  <commentList>
    <comment ref="D6" authorId="0" shapeId="0" xr:uid="{6DD2C813-3E44-4D4C-8855-8FD7BDF095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Mantención Rougher 3</t>
      </text>
    </comment>
    <comment ref="D18" authorId="1" shapeId="0" xr:uid="{10F38B40-8071-403B-B482-466C9C23FD16}">
      <text>
        <r>
          <rPr>
            <b/>
            <sz val="9"/>
            <color indexed="81"/>
            <rFont val="Tahoma"/>
            <family val="2"/>
          </rPr>
          <t>Rodrigo Garces Escare:</t>
        </r>
        <r>
          <rPr>
            <sz val="9"/>
            <color indexed="81"/>
            <rFont val="Tahoma"/>
            <family val="2"/>
          </rPr>
          <t xml:space="preserve">
Cleaner 1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<sst xmlns="http://schemas.openxmlformats.org/spreadsheetml/2006/main" count="9830" uniqueCount="1888">
  <si>
    <t>Fecha Actualización:</t>
  </si>
  <si>
    <t>Cu</t>
  </si>
  <si>
    <t>Mo</t>
  </si>
  <si>
    <t>Relacion Mo/Cu</t>
  </si>
  <si>
    <t>INFORME :</t>
  </si>
  <si>
    <t>MES :</t>
  </si>
  <si>
    <t>F    : Forecast</t>
  </si>
  <si>
    <t xml:space="preserve">DELTA INVENTARIO MES </t>
  </si>
  <si>
    <t xml:space="preserve">R+P </t>
  </si>
  <si>
    <t>ST</t>
  </si>
  <si>
    <t>Q</t>
  </si>
  <si>
    <t>REAL</t>
  </si>
  <si>
    <t>S.T.</t>
  </si>
  <si>
    <t>S.T.: Short Term</t>
  </si>
  <si>
    <t xml:space="preserve">Cu Fino Filtrado </t>
  </si>
  <si>
    <t>CuFFP Real vs ST</t>
  </si>
  <si>
    <t>P    : Proyeccion</t>
  </si>
  <si>
    <t>Delta Inventario Cu</t>
  </si>
  <si>
    <t>CUMPLIMIENTO REAL vs ST ACUM. MES</t>
  </si>
  <si>
    <t>Dias</t>
  </si>
  <si>
    <t>R    : Real</t>
  </si>
  <si>
    <t>Mo Fin o Envasado</t>
  </si>
  <si>
    <t>TPH</t>
  </si>
  <si>
    <t>CM</t>
  </si>
  <si>
    <t>Ley Cu</t>
  </si>
  <si>
    <t>Rec Cu</t>
  </si>
  <si>
    <t>Inv</t>
  </si>
  <si>
    <t>FP</t>
  </si>
  <si>
    <t>TMF</t>
  </si>
  <si>
    <t>dif</t>
  </si>
  <si>
    <t>Ley Mo</t>
  </si>
  <si>
    <t>RMoCol, %</t>
  </si>
  <si>
    <t>RMoSel, %</t>
  </si>
  <si>
    <t>Mo Fino, ton</t>
  </si>
  <si>
    <t xml:space="preserve">Nota : Se usó valores de comercialización de </t>
  </si>
  <si>
    <t xml:space="preserve">Delta Inventario Mo </t>
  </si>
  <si>
    <t>Rendimiento</t>
  </si>
  <si>
    <t>COMPARACION SHORT TERM ORIGINAL VS BUDGET</t>
  </si>
  <si>
    <t>COMPARACION SHORT TERM ORIGINAL VS FORECAST</t>
  </si>
  <si>
    <t>COMPARACION REAL+PROYECCION VS SHORT TERM</t>
  </si>
  <si>
    <t>REAL VS SHORT TERM</t>
  </si>
  <si>
    <t xml:space="preserve">C.M. </t>
  </si>
  <si>
    <t>PARA EL MES</t>
  </si>
  <si>
    <t>VARIACION</t>
  </si>
  <si>
    <t>PARA EL DIA</t>
  </si>
  <si>
    <t>Ley Cab. Cu,%</t>
  </si>
  <si>
    <t>UNIDAD</t>
  </si>
  <si>
    <t>B</t>
  </si>
  <si>
    <t>%</t>
  </si>
  <si>
    <t>F</t>
  </si>
  <si>
    <t>R+P</t>
  </si>
  <si>
    <t>RCu, %</t>
  </si>
  <si>
    <t>Cu Fino Eq. Producido</t>
  </si>
  <si>
    <t>Kton</t>
  </si>
  <si>
    <t>Cu Fino Eq. Filtrado (Ppto)</t>
  </si>
  <si>
    <t>Cu Fino Eq. Filtrado (Bdgt)</t>
  </si>
  <si>
    <t>Cu Fino Eq. Filtrado</t>
  </si>
  <si>
    <t>Real</t>
  </si>
  <si>
    <t>Cu Fino Eq. Filtrado (Real)</t>
  </si>
  <si>
    <t>Cu Fino Producido</t>
  </si>
  <si>
    <t>Cu Fino Filtrado Pagable (Ppto)</t>
  </si>
  <si>
    <t>Cu Fino Filtrado Pagable (Bdgt)</t>
  </si>
  <si>
    <t>Cu Fino Filtrado Pagable</t>
  </si>
  <si>
    <t>Cu Fino Filtrado Pagable (Real)</t>
  </si>
  <si>
    <t>Cu Fino Filtrado pagable real</t>
  </si>
  <si>
    <t>Delta Inventario Cu Fino</t>
  </si>
  <si>
    <t>Mo Fino Producido</t>
  </si>
  <si>
    <t>Mo Fino Envasado Pagable (Ppto)</t>
  </si>
  <si>
    <t>Mo Fino Envasado Pagable (Bdgt)</t>
  </si>
  <si>
    <t>Mo Fino Envasado Pagable (Real)</t>
  </si>
  <si>
    <t>Delta Inventario Mo Fino</t>
  </si>
  <si>
    <t>Deducción Metalúrgica del Mo</t>
  </si>
  <si>
    <t>Stockpile Fin de Mes</t>
  </si>
  <si>
    <t>Tonelaje Enviado STMG</t>
  </si>
  <si>
    <t xml:space="preserve">Toneladas enviado STMG por día </t>
  </si>
  <si>
    <t>Ktpd</t>
  </si>
  <si>
    <t>Extracción</t>
  </si>
  <si>
    <t>Kton</t>
    <phoneticPr fontId="98" type="noConversion"/>
  </si>
  <si>
    <t xml:space="preserve">Tonelaje Procesado </t>
  </si>
  <si>
    <t xml:space="preserve">Toneladas por día </t>
  </si>
  <si>
    <t xml:space="preserve">Rendimiento </t>
  </si>
  <si>
    <t>Tph</t>
  </si>
  <si>
    <t>Mineral Duro</t>
  </si>
  <si>
    <t>F80</t>
  </si>
  <si>
    <t>In</t>
  </si>
  <si>
    <t xml:space="preserve">Coeficiente de Marcha </t>
  </si>
  <si>
    <t>AxB</t>
  </si>
  <si>
    <t>ton/kwh</t>
  </si>
  <si>
    <t>Axb</t>
  </si>
  <si>
    <t>Ley Alim. Cu</t>
  </si>
  <si>
    <t>Rec. Cu</t>
  </si>
  <si>
    <t>Cu Fino Producido R+P vs ST</t>
  </si>
  <si>
    <t>Conc Cu Producido</t>
  </si>
  <si>
    <t>Ley Conc. Cu</t>
  </si>
  <si>
    <t>Ley Alim. Mo</t>
  </si>
  <si>
    <t>ppm</t>
  </si>
  <si>
    <t>Rec. Mo Global</t>
  </si>
  <si>
    <t>Rec. Mo Colectiva</t>
  </si>
  <si>
    <t>Rec. Mo Selectiva</t>
  </si>
  <si>
    <t>Conc Mo Producido</t>
    <phoneticPr fontId="98" type="noConversion"/>
  </si>
  <si>
    <t>ton</t>
  </si>
  <si>
    <t>R + P</t>
  </si>
  <si>
    <t>Ley Conc. Mo</t>
  </si>
  <si>
    <t>As Alim.</t>
    <phoneticPr fontId="98" type="noConversion"/>
  </si>
  <si>
    <t>ppm</t>
    <phoneticPr fontId="98" type="noConversion"/>
  </si>
  <si>
    <t>As Alim.</t>
  </si>
  <si>
    <t>As Conc.</t>
    <phoneticPr fontId="98" type="noConversion"/>
  </si>
  <si>
    <t>As Conc.</t>
  </si>
  <si>
    <t>COMPARACION REAL y SHORT TERM ORIGINAL VS BUDGET</t>
  </si>
  <si>
    <t>COMPARACION REAL y SHORT TERM ORIGINAL VS FORECAST</t>
  </si>
  <si>
    <t>COMPARACION REAL y PROYECCION VS BUDGET</t>
  </si>
  <si>
    <t>COMPARACION REAL y PROYECCION VS FORECAST</t>
  </si>
  <si>
    <t>R+S.T.</t>
  </si>
  <si>
    <t>CUMPLIMIENTO REAL vs BUDGET ACUM. AÑO</t>
  </si>
  <si>
    <t>,</t>
  </si>
  <si>
    <t>Delta</t>
  </si>
  <si>
    <t>% Desv.</t>
  </si>
  <si>
    <t>BUDGET</t>
  </si>
  <si>
    <t>Extracción Mina</t>
  </si>
  <si>
    <t>ktms</t>
  </si>
  <si>
    <t>Tratamiento</t>
  </si>
  <si>
    <t>tph</t>
  </si>
  <si>
    <t>Dureza Mineral</t>
  </si>
  <si>
    <t>Ley Cu Mineral</t>
  </si>
  <si>
    <t>Ley Mo Mineral</t>
  </si>
  <si>
    <t>Recup Cu</t>
  </si>
  <si>
    <t>Ley Cu Concol</t>
  </si>
  <si>
    <t>Recup Mo Colectiva</t>
  </si>
  <si>
    <t>Recup Mo Selectiva</t>
  </si>
  <si>
    <t>Finos Cu Producidos</t>
  </si>
  <si>
    <t>tmf</t>
  </si>
  <si>
    <t>Finos Mo Producido</t>
  </si>
  <si>
    <t>Conc Mo  Producido</t>
    <phoneticPr fontId="98" type="noConversion"/>
  </si>
  <si>
    <t xml:space="preserve">Finos Cu Filt. Pagable  </t>
  </si>
  <si>
    <t xml:space="preserve">Finos Mo Env. Pagable  </t>
  </si>
  <si>
    <t>Cu Fino Filtrado</t>
  </si>
  <si>
    <t>ACUMULADO HASTA</t>
  </si>
  <si>
    <t>Ene</t>
  </si>
  <si>
    <t>CASCADA FIN DE MES CUFFP ST, DATOS BM</t>
  </si>
  <si>
    <t>l</t>
  </si>
  <si>
    <t>t/kwh</t>
  </si>
  <si>
    <t>COMPARACION REAL, S.T., y BUDGET VS BUDGET</t>
  </si>
  <si>
    <t>COMPARACION REAL ,S.T., y FORECAST VS FORECAST</t>
  </si>
  <si>
    <t>COMPARACION REAL, PROYECCION y BUDGET VS BUDGET</t>
  </si>
  <si>
    <t>COMPARACION REAL, PROYECCION y FORECAST VS FORECAST</t>
  </si>
  <si>
    <t>ACUMULADO AÑO</t>
  </si>
  <si>
    <t>R+S.T.+B</t>
  </si>
  <si>
    <t>R+S.T.+F</t>
  </si>
  <si>
    <t>R+P+B</t>
  </si>
  <si>
    <t>R+P+F</t>
  </si>
  <si>
    <t>REAL VS BUDGET ACUM AÑO</t>
  </si>
  <si>
    <t>COMPARACION REAL, PROYECCION y FORECAST VS BUDGET</t>
  </si>
  <si>
    <t>Movimiento Mina</t>
  </si>
  <si>
    <t>Conc Mo Producido</t>
  </si>
  <si>
    <t>Sin BM</t>
  </si>
  <si>
    <t>Plan Mensual</t>
  </si>
  <si>
    <t>Plan Mensual v/s Budget</t>
  </si>
  <si>
    <t>R+ P v/s Budget</t>
  </si>
  <si>
    <t>v/s Budget Acum.</t>
  </si>
  <si>
    <t>Unidad</t>
  </si>
  <si>
    <t>PM marzo</t>
  </si>
  <si>
    <t>Δ%</t>
  </si>
  <si>
    <t>R+P Acum.</t>
  </si>
  <si>
    <t>Tonelaje Procesado (L1L2L3L4)</t>
  </si>
  <si>
    <t>Rendimiento (L1L2L3)</t>
  </si>
  <si>
    <t>Rendimiento (L4)</t>
  </si>
  <si>
    <t>Rentimiento Global</t>
  </si>
  <si>
    <t>-</t>
  </si>
  <si>
    <t>CM (L1L2L3)</t>
  </si>
  <si>
    <t>CM (L4)</t>
  </si>
  <si>
    <t xml:space="preserve">CM Global </t>
  </si>
  <si>
    <t>BDGT</t>
  </si>
  <si>
    <t>días/mes</t>
  </si>
  <si>
    <t xml:space="preserve">Tratamiento </t>
  </si>
  <si>
    <t>PM</t>
  </si>
  <si>
    <t>Conc Mo Producido</t>
    <phoneticPr fontId="99" type="noConversion"/>
  </si>
  <si>
    <t>As Alim.</t>
    <phoneticPr fontId="99" type="noConversion"/>
  </si>
  <si>
    <t>ppm</t>
    <phoneticPr fontId="99" type="noConversion"/>
  </si>
  <si>
    <t>As Conc.</t>
    <phoneticPr fontId="99" type="noConversion"/>
  </si>
  <si>
    <t>Con BM</t>
  </si>
  <si>
    <t>v/s Plan Mensual</t>
  </si>
  <si>
    <t xml:space="preserve">Outlook </t>
  </si>
  <si>
    <t>v/s Forecast</t>
  </si>
  <si>
    <t>v/s Budget</t>
  </si>
  <si>
    <t>v/s OL Acum.</t>
  </si>
  <si>
    <t>Real con BM</t>
    <phoneticPr fontId="141"/>
  </si>
  <si>
    <t>P.M.</t>
  </si>
  <si>
    <t>OL</t>
  </si>
  <si>
    <t>F.C.</t>
  </si>
  <si>
    <t>O.L.</t>
  </si>
  <si>
    <t>OL _Diciembre</t>
    <phoneticPr fontId="141"/>
  </si>
  <si>
    <t>pulg</t>
  </si>
  <si>
    <t>Acum.</t>
  </si>
  <si>
    <t>Acumulado</t>
  </si>
  <si>
    <t>hasta este mas</t>
  </si>
  <si>
    <t>hasta el mes anterior</t>
  </si>
  <si>
    <t>Dia</t>
  </si>
  <si>
    <t>Toneladas de mineral Mined</t>
  </si>
  <si>
    <t>kton</t>
  </si>
  <si>
    <t>Mineral Baja Ley</t>
  </si>
  <si>
    <t xml:space="preserve">Esteril </t>
  </si>
  <si>
    <t>Stock</t>
  </si>
  <si>
    <t>Mton</t>
  </si>
  <si>
    <t>Fino Cu Equivalente Producido</t>
  </si>
  <si>
    <t>ktons</t>
  </si>
  <si>
    <t>Fino Cu Equivalente Filtrado</t>
  </si>
  <si>
    <t>Fino Cu Producido</t>
  </si>
  <si>
    <t>Fino Cu Filtrado Pagable</t>
  </si>
  <si>
    <t>Fino Mo Producido</t>
  </si>
  <si>
    <t>Fino Mo Envasado Pagable</t>
  </si>
  <si>
    <t>Mineral Procesado Planta</t>
  </si>
  <si>
    <t>ktpd</t>
  </si>
  <si>
    <t>Rendimiento Pta</t>
  </si>
  <si>
    <t>Mineral Duro (Sin M3)</t>
  </si>
  <si>
    <t>t/kWh</t>
  </si>
  <si>
    <t>Coeficiente Marcha Pta</t>
  </si>
  <si>
    <t>Disponibilidad Pta</t>
  </si>
  <si>
    <t>Horas Total</t>
  </si>
  <si>
    <t>Hrs</t>
  </si>
  <si>
    <t>Horas Mantención</t>
  </si>
  <si>
    <t>Horas Detencion Operación</t>
  </si>
  <si>
    <t>Horas Detencion Invierno</t>
  </si>
  <si>
    <t>Horas Operación</t>
  </si>
  <si>
    <t>Ley Alimentación Cobre</t>
  </si>
  <si>
    <t>Recuperación Global Cu</t>
  </si>
  <si>
    <t>Concentrado Cu Producido</t>
  </si>
  <si>
    <t>Ley Concentrado Cu</t>
  </si>
  <si>
    <t>Ley Alimentación Mo</t>
  </si>
  <si>
    <t>Recuperación Global Mo</t>
  </si>
  <si>
    <t>Recuperación Colectiva Mo</t>
  </si>
  <si>
    <t>Recuperación Selectiva Mo</t>
  </si>
  <si>
    <t>Concentrado Mo Producido</t>
  </si>
  <si>
    <t>Ley Concentrado Mo</t>
  </si>
  <si>
    <t>Ley de Oro en Mineral</t>
  </si>
  <si>
    <t>g/t</t>
  </si>
  <si>
    <t>Ley de Oro en Concentrado</t>
  </si>
  <si>
    <t>Onzas de oro PAGABLES</t>
  </si>
  <si>
    <t>oz</t>
  </si>
  <si>
    <t>Ley de Plata Mineral</t>
  </si>
  <si>
    <t>Ley de Plata en Concentrado</t>
  </si>
  <si>
    <t>Onzas de Plata PAGABLES</t>
  </si>
  <si>
    <t>koz</t>
  </si>
  <si>
    <t>Arsénico Mineral</t>
  </si>
  <si>
    <t>Arsénico Concentrado</t>
  </si>
  <si>
    <t>Relación Mo/Cu</t>
  </si>
  <si>
    <t>Deducción Metalúrgica del Cu</t>
  </si>
  <si>
    <t xml:space="preserve">F80 Alimentación SAG </t>
  </si>
  <si>
    <t xml:space="preserve">in </t>
  </si>
  <si>
    <t>Gerencia Planificación y Desarrollo</t>
  </si>
  <si>
    <t>Minera Los Pelambres</t>
  </si>
  <si>
    <t>Semana</t>
  </si>
  <si>
    <t>Manejo Mineral</t>
  </si>
  <si>
    <t>Tonelaje Molido</t>
  </si>
  <si>
    <t>PRODUCCION DE COBRE</t>
  </si>
  <si>
    <t>PRODUCCION DE MOLIBDENO</t>
  </si>
  <si>
    <t>Cu Fino Equiv.
Sin Inv. Mo</t>
  </si>
  <si>
    <t>Cu Fino Equiv.
Con Inv. Mo</t>
  </si>
  <si>
    <t>DATOS DE COMERCIALIZACON</t>
  </si>
  <si>
    <t>Día</t>
  </si>
  <si>
    <t>Transp.</t>
  </si>
  <si>
    <t>Acopio Pta</t>
  </si>
  <si>
    <t>Molido Total L1L2L3L4</t>
  </si>
  <si>
    <t>Molido L4</t>
  </si>
  <si>
    <t>Molido L1L2L3</t>
  </si>
  <si>
    <t>L1L2L3</t>
  </si>
  <si>
    <t>L4</t>
  </si>
  <si>
    <t>Global</t>
  </si>
  <si>
    <t>Ley Cab.</t>
  </si>
  <si>
    <t>Recup.Cu</t>
  </si>
  <si>
    <t>Ley Conc.</t>
  </si>
  <si>
    <t>Conc.Prod</t>
  </si>
  <si>
    <t>Fino Cu</t>
  </si>
  <si>
    <t>R%. Colec.</t>
  </si>
  <si>
    <t>R%.Select.</t>
  </si>
  <si>
    <t>R%.Global</t>
  </si>
  <si>
    <t>Conc. Mo Prod</t>
  </si>
  <si>
    <t>Fino Mo sin inv.</t>
  </si>
  <si>
    <t>Fino Mo Env.</t>
  </si>
  <si>
    <t>%Duro</t>
  </si>
  <si>
    <t>ppm Ley As</t>
  </si>
  <si>
    <t>STMG</t>
  </si>
  <si>
    <t>Rendimiento L1L2L3</t>
  </si>
  <si>
    <t>Rendimiento L4</t>
  </si>
  <si>
    <t>Rendimiento Global</t>
  </si>
  <si>
    <t>Conc Cu Enviado a Puerto</t>
  </si>
  <si>
    <t>Conc Cu Filtrado en Puerto</t>
  </si>
  <si>
    <t>Mov. Mina</t>
  </si>
  <si>
    <t>Actual</t>
  </si>
  <si>
    <t>Budget</t>
  </si>
  <si>
    <t>Cal</t>
  </si>
  <si>
    <t>P80</t>
  </si>
  <si>
    <t>TMSD</t>
  </si>
  <si>
    <t>TMS Acum.</t>
  </si>
  <si>
    <t>Cu%</t>
  </si>
  <si>
    <t>TMD</t>
  </si>
  <si>
    <t>Mo ppm</t>
  </si>
  <si>
    <t>Mo%</t>
  </si>
  <si>
    <t>Alimentacion</t>
    <phoneticPr fontId="98" type="noConversion"/>
  </si>
  <si>
    <t>Concol</t>
  </si>
  <si>
    <t>Conc. Cu TMS</t>
  </si>
  <si>
    <t>Ley Cu %</t>
  </si>
  <si>
    <t>Fino Cu TMF</t>
  </si>
  <si>
    <t>Cuffp</t>
  </si>
  <si>
    <t>in</t>
  </si>
  <si>
    <t>Relación Mo /Cu</t>
  </si>
  <si>
    <t>µm</t>
  </si>
  <si>
    <t>120:WQI0001_BLD</t>
  </si>
  <si>
    <t>320:WQI0012_BLD</t>
  </si>
  <si>
    <t>320:WQ0041TMS_BLD</t>
  </si>
  <si>
    <t>320:YI0041CfM_BLD</t>
  </si>
  <si>
    <t>330:AR0300%CuT_BLD</t>
  </si>
  <si>
    <t>330:AR0306%Cu_BLD</t>
  </si>
  <si>
    <t>330:AR0302%CuT_BLD</t>
  </si>
  <si>
    <t>330:AR0301%Mo_BLD</t>
  </si>
  <si>
    <t>330:AR0307%Mo_BLD</t>
  </si>
  <si>
    <t>350:YI0005_BLD</t>
  </si>
  <si>
    <t>350:AR0303%Mo_BLD</t>
  </si>
  <si>
    <t>350:WQI0324_BLD</t>
  </si>
  <si>
    <t>PI:Min_Duro</t>
  </si>
  <si>
    <t>330:AR0017As_LMS</t>
  </si>
  <si>
    <t>370:STC_Enviado_Puerto_TMS</t>
  </si>
  <si>
    <t>350:AR0105CuVOL%_LMS</t>
  </si>
  <si>
    <t>510:WQI0311_BLD</t>
  </si>
  <si>
    <t>510:RI0311_BLD</t>
  </si>
  <si>
    <t>320:F80(inch)</t>
  </si>
  <si>
    <t>390:CE_CAL_VAL</t>
  </si>
  <si>
    <t>Primera</t>
  </si>
  <si>
    <t>Segunda</t>
  </si>
  <si>
    <t>Tercera</t>
  </si>
  <si>
    <t>Cuarta</t>
  </si>
  <si>
    <t>Total Mes</t>
  </si>
  <si>
    <t>Prom/Total 1Sem</t>
  </si>
  <si>
    <t>Prom/Total 2Sem</t>
  </si>
  <si>
    <t>Prom/Total 3Sem</t>
  </si>
  <si>
    <t>Prom/Total 4Sem</t>
  </si>
  <si>
    <t>Short Term</t>
  </si>
  <si>
    <t>Dif.Real-STerm</t>
  </si>
  <si>
    <t>%Dif.Real-STerm</t>
  </si>
  <si>
    <t>% Cump STerm</t>
  </si>
  <si>
    <t>Dif. Real-Bud</t>
  </si>
  <si>
    <t>%Dif. Real-Bud</t>
  </si>
  <si>
    <t>% Cump Bud</t>
  </si>
  <si>
    <t/>
  </si>
  <si>
    <t>Molido</t>
  </si>
  <si>
    <t>Planta</t>
  </si>
  <si>
    <t>Fino Mo con inv.</t>
  </si>
  <si>
    <t>SAG1</t>
  </si>
  <si>
    <t>SAG2</t>
  </si>
  <si>
    <t>SAG3</t>
  </si>
  <si>
    <t>SAG4</t>
  </si>
  <si>
    <t>MB#4</t>
  </si>
  <si>
    <t>MB#5</t>
  </si>
  <si>
    <t>MB#6</t>
  </si>
  <si>
    <t>MB#7</t>
  </si>
  <si>
    <t>MB#8</t>
  </si>
  <si>
    <t>MB#9</t>
  </si>
  <si>
    <t>MB#10</t>
  </si>
  <si>
    <t>CONCENTRADO DE COBRE</t>
  </si>
  <si>
    <t>CONCENTRADO DE Mo</t>
  </si>
  <si>
    <t>Rec Au</t>
  </si>
  <si>
    <t>Rec Ag</t>
  </si>
  <si>
    <t>Enriquecimiento</t>
  </si>
  <si>
    <t>Inventario Inicial</t>
  </si>
  <si>
    <t>MANEJO MINERAL</t>
  </si>
  <si>
    <t>Duro</t>
  </si>
  <si>
    <t>Cu Fino Equiv.</t>
  </si>
  <si>
    <t>Conc. Cu Enviado a Puerto</t>
  </si>
  <si>
    <t>Conc. Cu Filtrado en Puerto</t>
  </si>
  <si>
    <t>Inventario Cu fino</t>
  </si>
  <si>
    <t>CUFFP</t>
  </si>
  <si>
    <t>ORO</t>
  </si>
  <si>
    <t>PLATA</t>
  </si>
  <si>
    <t>ARSENICO</t>
  </si>
  <si>
    <t xml:space="preserve"> RENDIMIENTO</t>
  </si>
  <si>
    <t>Hrs Detención Planta</t>
  </si>
  <si>
    <t>Conc. Cu Firtrado en Puerto</t>
  </si>
  <si>
    <t>As ppm</t>
    <phoneticPr fontId="85" type="noConversion"/>
  </si>
  <si>
    <t>Au</t>
  </si>
  <si>
    <t>Ag</t>
  </si>
  <si>
    <t>As</t>
  </si>
  <si>
    <t>Ca</t>
  </si>
  <si>
    <t>R%. Col.</t>
  </si>
  <si>
    <t>R%.Sel.</t>
  </si>
  <si>
    <t>R%.Glo.</t>
  </si>
  <si>
    <t>Fino Mo</t>
  </si>
  <si>
    <t>Au Cab.</t>
  </si>
  <si>
    <t>Au Conc.</t>
  </si>
  <si>
    <t>Ag Cab.</t>
  </si>
  <si>
    <t>Ag Conc.</t>
  </si>
  <si>
    <t>As Cab.</t>
  </si>
  <si>
    <t>Calcio</t>
  </si>
  <si>
    <t>TPH L1L2L3</t>
  </si>
  <si>
    <t>TPH L4</t>
  </si>
  <si>
    <t>TPH L1L2L3L4</t>
  </si>
  <si>
    <t>TPH SAG1</t>
  </si>
  <si>
    <t>TPH SAG2</t>
  </si>
  <si>
    <t>TPH SAG3</t>
  </si>
  <si>
    <t>L 1</t>
  </si>
  <si>
    <t>L 2</t>
  </si>
  <si>
    <t>L 3</t>
  </si>
  <si>
    <t>L 4</t>
  </si>
  <si>
    <t>Total Hrs Detención</t>
  </si>
  <si>
    <t>Hrs. Mantención (Cambio Rev. y Mant. Prog.)</t>
  </si>
  <si>
    <t>Hrs. Imprevistos</t>
  </si>
  <si>
    <t>Hrs. Invierno</t>
  </si>
  <si>
    <t>Hrs. Operacionales</t>
  </si>
  <si>
    <t xml:space="preserve">Otros </t>
  </si>
  <si>
    <t>Fino Mo sin Inv</t>
  </si>
  <si>
    <t>Ley Au Conc</t>
  </si>
  <si>
    <t>Fino Au</t>
  </si>
  <si>
    <t>Ley Conc</t>
  </si>
  <si>
    <t>Fino Ag</t>
  </si>
  <si>
    <t>Total TMSD</t>
  </si>
  <si>
    <t>L1L2L3 TMSD</t>
  </si>
  <si>
    <t>L4 TMSD</t>
  </si>
  <si>
    <t>Sin Inv</t>
  </si>
  <si>
    <t>Env</t>
  </si>
  <si>
    <t>Prod</t>
  </si>
  <si>
    <t>Env.</t>
  </si>
  <si>
    <t>Inventario</t>
  </si>
  <si>
    <t>TMS</t>
  </si>
  <si>
    <t>%Cu</t>
  </si>
  <si>
    <t>Fino TMF</t>
  </si>
  <si>
    <t>TMSD</t>
    <phoneticPr fontId="85" type="noConversion"/>
  </si>
  <si>
    <t>gpt</t>
  </si>
  <si>
    <t>LINEA 1</t>
  </si>
  <si>
    <t>LINEA 2</t>
  </si>
  <si>
    <t>LINEA 3</t>
  </si>
  <si>
    <t>LINEA 4</t>
  </si>
  <si>
    <t>SAG 4</t>
  </si>
  <si>
    <t>ML04</t>
  </si>
  <si>
    <t>ML05</t>
  </si>
  <si>
    <t>ML06</t>
  </si>
  <si>
    <t>ML07</t>
  </si>
  <si>
    <t>ML08</t>
  </si>
  <si>
    <t>ML09</t>
  </si>
  <si>
    <t>ML10</t>
  </si>
  <si>
    <t>Alim.</t>
    <phoneticPr fontId="85" type="noConversion"/>
  </si>
  <si>
    <t>CONCOL</t>
    <phoneticPr fontId="85" type="noConversion"/>
  </si>
  <si>
    <t>Au gpt</t>
  </si>
  <si>
    <t>g</t>
  </si>
  <si>
    <t>Ag gpt</t>
  </si>
  <si>
    <t>As ppm</t>
  </si>
  <si>
    <t>Ca %</t>
  </si>
  <si>
    <t>Deducción Metalurgica Cobre</t>
  </si>
  <si>
    <t>Deducción Metalurgica Molibdeno</t>
  </si>
  <si>
    <t>Forecast</t>
  </si>
  <si>
    <t>Total</t>
  </si>
  <si>
    <t>AR</t>
  </si>
  <si>
    <t>BR</t>
  </si>
  <si>
    <t>Factor</t>
  </si>
  <si>
    <t>Leycu conc. Rev.</t>
  </si>
  <si>
    <t>Reccu Rev.</t>
  </si>
  <si>
    <t>Ley Cu Alim. Rev.</t>
  </si>
  <si>
    <t>Ley Mo Alim. Rev.</t>
  </si>
  <si>
    <t>cueq</t>
  </si>
  <si>
    <t>cu_min original</t>
  </si>
  <si>
    <t>mo_ min original</t>
  </si>
  <si>
    <t>au</t>
  </si>
  <si>
    <t>Leycc original</t>
  </si>
  <si>
    <t>Reccu original</t>
  </si>
  <si>
    <t>wi</t>
  </si>
  <si>
    <t>con_cal</t>
  </si>
  <si>
    <t>cpy_min</t>
  </si>
  <si>
    <t>py_min</t>
  </si>
  <si>
    <t>bo_min</t>
  </si>
  <si>
    <t>as_min</t>
  </si>
  <si>
    <t>Cccv</t>
  </si>
  <si>
    <t>p80_min</t>
  </si>
  <si>
    <t>axb</t>
  </si>
  <si>
    <t>spi_min</t>
  </si>
  <si>
    <t>rqd_min</t>
  </si>
  <si>
    <t>m1_min</t>
  </si>
  <si>
    <t>m2_min</t>
  </si>
  <si>
    <t>m3_min</t>
  </si>
  <si>
    <t>m4_min</t>
  </si>
  <si>
    <t>m5_min</t>
  </si>
  <si>
    <t>m7_min</t>
  </si>
  <si>
    <t>m8_min</t>
  </si>
  <si>
    <t>ESTIMACION EFECTO NETO MEJORA (CONTIENE MANTENCIONES CV-125)</t>
  </si>
  <si>
    <t xml:space="preserve">TPH : CHACADO PLANTAS P&amp;G </t>
  </si>
  <si>
    <t>factor P&amp;G</t>
  </si>
  <si>
    <t>Fecha</t>
  </si>
  <si>
    <t>Modelo Pebbles 2015/16</t>
  </si>
  <si>
    <t>RCC s/chancar</t>
  </si>
  <si>
    <t>TPH ST CORR</t>
  </si>
  <si>
    <t>Original</t>
  </si>
  <si>
    <t>Hrs Mant</t>
  </si>
  <si>
    <t>CM Gravilla</t>
  </si>
  <si>
    <t>MAX TPH Grav</t>
  </si>
  <si>
    <t xml:space="preserve">CM Pebble </t>
  </si>
  <si>
    <t>MAX TPH Pebbl</t>
  </si>
  <si>
    <t>Capacidad Máx P&amp;G</t>
  </si>
  <si>
    <t>TPH ST</t>
  </si>
  <si>
    <t>Gener</t>
  </si>
  <si>
    <t>Impacto en TPH</t>
  </si>
  <si>
    <t xml:space="preserve">FECHA </t>
  </si>
  <si>
    <t>kton Mes</t>
  </si>
  <si>
    <t>TOTAL</t>
  </si>
  <si>
    <t>OSS</t>
  </si>
  <si>
    <t>ue_axb1</t>
  </si>
  <si>
    <t>MM10SAG</t>
  </si>
  <si>
    <t>ue_axb2</t>
  </si>
  <si>
    <t>ECS SAG</t>
  </si>
  <si>
    <t xml:space="preserve">CTES </t>
  </si>
  <si>
    <t>ue_axb34</t>
  </si>
  <si>
    <t>POT</t>
  </si>
  <si>
    <t>RQDm1</t>
  </si>
  <si>
    <t>RQDm2</t>
  </si>
  <si>
    <t>RQDm34</t>
  </si>
  <si>
    <t>RQDm7</t>
  </si>
  <si>
    <t>RQDm86</t>
  </si>
  <si>
    <t>RQDm85</t>
  </si>
  <si>
    <t>ue_axb7</t>
  </si>
  <si>
    <t>ue_axb86-85</t>
  </si>
  <si>
    <t>Dwim1</t>
  </si>
  <si>
    <t>Dwim2</t>
  </si>
  <si>
    <t>Dwim34</t>
  </si>
  <si>
    <t>Dwim7</t>
  </si>
  <si>
    <t>Dwim86</t>
  </si>
  <si>
    <t>Dwim85</t>
  </si>
  <si>
    <t>Ton</t>
  </si>
  <si>
    <t>Dwi</t>
  </si>
  <si>
    <t xml:space="preserve">RQD </t>
  </si>
  <si>
    <t>UE_AxB_1</t>
  </si>
  <si>
    <t>UE_AxB_2</t>
  </si>
  <si>
    <t>UE_AxB_34</t>
  </si>
  <si>
    <t>UE_AxB_7</t>
  </si>
  <si>
    <t>UE_AxB_86</t>
  </si>
  <si>
    <t>UE_AxB_85</t>
  </si>
  <si>
    <t>LIMITANTE123</t>
  </si>
  <si>
    <t>EcsSAG L4 A</t>
  </si>
  <si>
    <t>POT SAG L4 A</t>
  </si>
  <si>
    <t>Intercepto</t>
  </si>
  <si>
    <t>Pendiente</t>
  </si>
  <si>
    <t>Resumen Diario</t>
  </si>
  <si>
    <t>cu_min</t>
  </si>
  <si>
    <t>mo</t>
  </si>
  <si>
    <t>Fe</t>
  </si>
  <si>
    <t>leycc</t>
  </si>
  <si>
    <t>rec</t>
  </si>
  <si>
    <t>Rmog</t>
  </si>
  <si>
    <t>A x B</t>
  </si>
  <si>
    <t>finor_min</t>
  </si>
  <si>
    <t>finoc_min</t>
  </si>
  <si>
    <t>toncon_min</t>
  </si>
  <si>
    <t>Total_mass</t>
  </si>
  <si>
    <t>hras_min</t>
  </si>
  <si>
    <t xml:space="preserve"> Rdto_planta </t>
  </si>
  <si>
    <t xml:space="preserve">Día </t>
  </si>
  <si>
    <t>SOURCE</t>
  </si>
  <si>
    <t>REGION</t>
  </si>
  <si>
    <t>UG</t>
  </si>
  <si>
    <t>M</t>
  </si>
  <si>
    <t>LITO</t>
  </si>
  <si>
    <t>ALTERACION</t>
  </si>
  <si>
    <t>CAT</t>
  </si>
  <si>
    <t>PRODUCT</t>
  </si>
  <si>
    <t>CU</t>
  </si>
  <si>
    <t>MO</t>
  </si>
  <si>
    <t>AU</t>
  </si>
  <si>
    <t>AG</t>
  </si>
  <si>
    <t>LEYCONC</t>
  </si>
  <si>
    <t>RECCU</t>
  </si>
  <si>
    <t>CONCAL</t>
  </si>
  <si>
    <t>PY</t>
  </si>
  <si>
    <t>CPY</t>
  </si>
  <si>
    <t>CSCV</t>
  </si>
  <si>
    <t>BO</t>
  </si>
  <si>
    <t>CUEQ</t>
  </si>
  <si>
    <t>WI</t>
  </si>
  <si>
    <t>FINOC</t>
  </si>
  <si>
    <t>FINOR</t>
  </si>
  <si>
    <t>FINOREQ</t>
  </si>
  <si>
    <t>TONCON</t>
  </si>
  <si>
    <t>AS</t>
  </si>
  <si>
    <t>AXB</t>
  </si>
  <si>
    <t>SPI</t>
  </si>
  <si>
    <t>HRS</t>
  </si>
  <si>
    <t>RDTO_PLANTA</t>
  </si>
  <si>
    <t>RQD</t>
  </si>
  <si>
    <t>FINOMO</t>
  </si>
  <si>
    <t>RMOS</t>
  </si>
  <si>
    <t>RECMO</t>
  </si>
  <si>
    <t>RMOG</t>
  </si>
  <si>
    <t>FE</t>
  </si>
  <si>
    <t>CA</t>
  </si>
  <si>
    <t>CUS</t>
  </si>
  <si>
    <t>RCU137</t>
  </si>
  <si>
    <t>RCU150</t>
  </si>
  <si>
    <t>RCU180</t>
  </si>
  <si>
    <t>RCU240</t>
  </si>
  <si>
    <t>RCU250</t>
  </si>
  <si>
    <t>RCU300</t>
  </si>
  <si>
    <t>TOTAL_VOLUME</t>
  </si>
  <si>
    <t>TOTAL_MASS</t>
  </si>
  <si>
    <t>Axb_Mass</t>
  </si>
  <si>
    <t>RQD_Mass</t>
  </si>
  <si>
    <t>Wi_Mass</t>
  </si>
  <si>
    <t>FINOR137</t>
  </si>
  <si>
    <t>FINOR150</t>
  </si>
  <si>
    <t>FINOR180</t>
  </si>
  <si>
    <t>FINOR240</t>
  </si>
  <si>
    <t>FINOR250</t>
  </si>
  <si>
    <t>FINOR300</t>
  </si>
  <si>
    <t>clp_125.bmf</t>
  </si>
  <si>
    <t>F10N_3050_PH07_01_S1_01.00t</t>
  </si>
  <si>
    <t>MIN_046</t>
  </si>
  <si>
    <t>F10N_3050_PH07_01_S1_02.00t</t>
  </si>
  <si>
    <t>EST_046</t>
  </si>
  <si>
    <t>F10N_3050_PH07_01_S1_03.00t</t>
  </si>
  <si>
    <t>F10N_3050_PH07_01_S1_04.00t</t>
  </si>
  <si>
    <t>F10N_3050_PH07_01_S1_05.00t</t>
  </si>
  <si>
    <t>F10N_3050_PH07_01_S1_06.00t</t>
  </si>
  <si>
    <t>F10N_3050_PH07_01_S1_07.00t</t>
  </si>
  <si>
    <t>F9SE_3020_ph10_01_S1_01.00t</t>
  </si>
  <si>
    <t>F9SE_3020_ph10_01_S1_02.00t</t>
  </si>
  <si>
    <t>BLE_046</t>
  </si>
  <si>
    <t>F9SE_3020_ph10_01_S1_03.00t</t>
  </si>
  <si>
    <t>F9SE_3020_ph10_01_S1_04.00t</t>
  </si>
  <si>
    <t>F9SE_3020_ph10_01_S1_05.00t</t>
  </si>
  <si>
    <t>F9SE_3020_ph10_01_S1_06.00t</t>
  </si>
  <si>
    <t>F9SE_3020_ph10_01_S1_07.00t</t>
  </si>
  <si>
    <t>F9SE_3035_bh09_01_S1_01.00t</t>
  </si>
  <si>
    <t>STK_046</t>
  </si>
  <si>
    <t>F9SE_3035_bh09_01_S1_02.00t</t>
  </si>
  <si>
    <t>F9SE_3035_bh09_01_S1_03.00t</t>
  </si>
  <si>
    <t>F9SE_3035_bh09_01_S1_04.00t</t>
  </si>
  <si>
    <t>F9SE_3035_cf11_01_S1_05.00t</t>
  </si>
  <si>
    <t>F10N_3050_ph07_01_S2_08.00t</t>
  </si>
  <si>
    <t>F10N_3050_ph07_01_S2_09.00t</t>
  </si>
  <si>
    <t>F10N_3050_ph07_01_S2_10.00t</t>
  </si>
  <si>
    <t>F10N_3050_ph07_01_S2_11.00t</t>
  </si>
  <si>
    <t>F10N_3050_ph07_01_S2_12.00t</t>
  </si>
  <si>
    <t>F9SE_3020_ph10_01_S2_08.00t</t>
  </si>
  <si>
    <t>F9SE_3020_ph10_01_S2_09.00t</t>
  </si>
  <si>
    <t>F9SE_3020_ph10_01_S2_10.00t</t>
  </si>
  <si>
    <t>F9SE_3020_ph10_01_S2_11.00t</t>
  </si>
  <si>
    <t>F9SE_3020_ph10_01_S2_12.00t</t>
  </si>
  <si>
    <t>F9SE_3020_ph10_01_S2_13.00t</t>
  </si>
  <si>
    <t>F9SE_3020_ph10_01_S2_14.00t</t>
  </si>
  <si>
    <t>F9SE_3035_ph05_01_S2_10.00t</t>
  </si>
  <si>
    <t>F9SE_3035_ph05_01_S2_10f.00t</t>
  </si>
  <si>
    <t>F9SE_3035_ph05_01_S2_11.00t</t>
  </si>
  <si>
    <t>F9SE_3035_ph05_01_S2_11f.00t</t>
  </si>
  <si>
    <t>F9SE_3035_ph05_01_S2_12.00t</t>
  </si>
  <si>
    <t>F9SE_3035_ph05_01_S2_12f.00t</t>
  </si>
  <si>
    <t>F9SE_3035_ph05_01_S2_13.00t</t>
  </si>
  <si>
    <t>F9SE_3035_ph05_01_S2_13f.00t</t>
  </si>
  <si>
    <t>F9SE_3035_ph05_01_S2_14.00t</t>
  </si>
  <si>
    <t>F9SE_3035_ph05_01_S2_14f.00t</t>
  </si>
  <si>
    <t>F10N_3050_ph07_01_S3_15.00t</t>
  </si>
  <si>
    <t>F10N_3050_ph07_01_S3_16.00t</t>
  </si>
  <si>
    <t>F10N_3050_ph07_01_S3_17.00t</t>
  </si>
  <si>
    <t>F10N_3050_ph07_01_S3_18.00t</t>
  </si>
  <si>
    <t>F10N_3050_ph07_01_S3_19.00t</t>
  </si>
  <si>
    <t>F10N_3050_ph07_01_S3_20.00t</t>
  </si>
  <si>
    <t>F9SE_3020_bh09_01_S3_15.00t</t>
  </si>
  <si>
    <t>F9SE_3020_bh09_01_S3_16.00t</t>
  </si>
  <si>
    <t>F9SE_3020_bh09_01_S3_19.00t</t>
  </si>
  <si>
    <t>F9SE_3020_bh09_01_S3_20.00t</t>
  </si>
  <si>
    <t>F9SE_3020_bh09_01_S3_21.00t</t>
  </si>
  <si>
    <t>F9SE_3020_cf11_01_S3_15.00t</t>
  </si>
  <si>
    <t>F9SE_3020_cf11_01_S3_16.00t</t>
  </si>
  <si>
    <t>F9SE_3020_cf11_01_S3_17.00t</t>
  </si>
  <si>
    <t>F9SE_3020_cf11_01_S3_18.00t</t>
  </si>
  <si>
    <t>F9SE_3020_cf11_01_S3_19.00t</t>
  </si>
  <si>
    <t>F9SE_3020_cf11_01_S3_20.00t</t>
  </si>
  <si>
    <t>F9SE_3020_cf11_01_S3_21.00t</t>
  </si>
  <si>
    <t>F9SE_3020_ph05_01_S3_17.00t</t>
  </si>
  <si>
    <t>F9SE_3020_ph05_01_S3_18.00t</t>
  </si>
  <si>
    <t>F9SE_3020_ph05_01_S3_19.00t</t>
  </si>
  <si>
    <t>F9SE_3020_ph05_01_S3_20.00t</t>
  </si>
  <si>
    <t>F9SE_3020_ph05_01_S3_21.00t</t>
  </si>
  <si>
    <t>F9SE_3020_ph10_01_S3_15.00t</t>
  </si>
  <si>
    <t>F9SE_3020_ph10_01_S3_16.00t</t>
  </si>
  <si>
    <t>F9SE_3020_ph10_01_S3_19.00t</t>
  </si>
  <si>
    <t>F9SE_3020_ph10_01_S3_20.00t</t>
  </si>
  <si>
    <t>F9SE_3020_ph10_01_S3_21.00t</t>
  </si>
  <si>
    <t>F9SE_3035_bh09_01_S3_17.00t</t>
  </si>
  <si>
    <t>F9SE_3035_bh09_01_S3_18.00t</t>
  </si>
  <si>
    <t>F9SE_3035_ph05_01_S3_15.00t</t>
  </si>
  <si>
    <t>F9SE_3035_ph05_01_S3_15f.00t</t>
  </si>
  <si>
    <t>F9SE_3035_ph05_01_S3_16.00t</t>
  </si>
  <si>
    <t>F9SE_3035_ph05_01_S3_16f.00t</t>
  </si>
  <si>
    <t>F12N_3650_ph04_01_S3a.00t</t>
  </si>
  <si>
    <t>F12N_3650_ph04_01_S3b.00t</t>
  </si>
  <si>
    <t>F10N_3035_ph07_01_S4_28.00t</t>
  </si>
  <si>
    <t>F10N_3035_ph07_01_S4_29.00t</t>
  </si>
  <si>
    <t>F10N_3035_ph07_01_S4_30.00t</t>
  </si>
  <si>
    <t>F10N_3035_ph07_01_S4_31.00t</t>
  </si>
  <si>
    <t>F12N_3635_ph04_01_S4.00t</t>
  </si>
  <si>
    <t>F12N_3650_ph04_01_S4.00t</t>
  </si>
  <si>
    <t>F9SE_3020_bh09_01_S4_22.00t</t>
  </si>
  <si>
    <t>F9SE_3020_bh09_01_S4_23.00t</t>
  </si>
  <si>
    <t>F9SE_3020_bh09_01_S4_24.00t</t>
  </si>
  <si>
    <t>F9SE_3020_bh09_01_S4_25.00t</t>
  </si>
  <si>
    <t>F9SE_3020_bh09_01_S4_26.00t</t>
  </si>
  <si>
    <t>F9SE_3020_bh09_01_S4_26b.00t</t>
  </si>
  <si>
    <t>F9SE_3020_bh09_01_S4_27.00t</t>
  </si>
  <si>
    <t>F9SE_3020_bh09_01_S4_28.00t</t>
  </si>
  <si>
    <t>F9SE_3020_bh09_01_S4_29.00t</t>
  </si>
  <si>
    <t>F9SE_3020_bh09_01_S4_30.00t</t>
  </si>
  <si>
    <t>F9SE_3020_bh09_01_S4_31.00t</t>
  </si>
  <si>
    <t>F9SE_3020_cf11_01_S4_22.00t</t>
  </si>
  <si>
    <t>F9SE_3020_cf11_01_S4_23.00t</t>
  </si>
  <si>
    <t>F9SE_3020_cf11_01_S4_24.00t</t>
  </si>
  <si>
    <t>F9SE_3020_cf11_01_S4_25.00t</t>
  </si>
  <si>
    <t>F9SE_3020_cf11_01_S4_26.00t</t>
  </si>
  <si>
    <t>F9SE_3020_ph05_01_S4_22.00t</t>
  </si>
  <si>
    <t>F9SE_3020_ph05_01_S4_23.00t</t>
  </si>
  <si>
    <t>F9SE_3020_ph05_01_S4_26.00t</t>
  </si>
  <si>
    <t>F9SE_3020_ph05_01_S4_27.00t</t>
  </si>
  <si>
    <t>F9SE_3020_ph05_01_S4_28.00t</t>
  </si>
  <si>
    <t>F9SE_3020_ph05_01_S4_29.00t</t>
  </si>
  <si>
    <t>F9SE_3020_ph05_01_S4_30.00t</t>
  </si>
  <si>
    <t>F9SE_3020_ph05_01_S4_31.00t</t>
  </si>
  <si>
    <t>F9SE_3020_ph10_01_S4_22.00t</t>
  </si>
  <si>
    <t>2.728128269476e-05</t>
  </si>
  <si>
    <t>4.285376482911e-05</t>
  </si>
  <si>
    <t>F9SE_3020_ph10_01_S4_23.00t</t>
  </si>
  <si>
    <t>F9SE_3020_ph10_01_S4_24.00t</t>
  </si>
  <si>
    <t>F9SE_3020_ph10_01_S4_25.00t</t>
  </si>
  <si>
    <t>F9SE_3020_ph10_01_S4_26.00t</t>
  </si>
  <si>
    <t>4.398166652957e-05</t>
  </si>
  <si>
    <t>F9SE_3020_ph10_01_S4_27.00t</t>
  </si>
  <si>
    <t>F9SE_3020_ph10_01_S4_28.00t</t>
  </si>
  <si>
    <t>F9SE_3020_ph10_01_S4_29.00t</t>
  </si>
  <si>
    <t>F9SE_3020_ph10_01_S4_30.00t</t>
  </si>
  <si>
    <t>F9SE_3020_ph10_01_S4_31.00t</t>
  </si>
  <si>
    <t>Etiquetas de fila</t>
  </si>
  <si>
    <t>Suma de UE_AxB_1</t>
  </si>
  <si>
    <t>Suma de UE_AxB_2</t>
  </si>
  <si>
    <t>Suma de UE_AxB_34</t>
  </si>
  <si>
    <t>Suma de UE_AxB_7</t>
  </si>
  <si>
    <t>Suma de UE_AxB_86</t>
  </si>
  <si>
    <t>Suma de UE_AxB_85</t>
  </si>
  <si>
    <t>Suma de Axb_Mass</t>
  </si>
  <si>
    <t>Suma de RQD_Mass</t>
  </si>
  <si>
    <t>Suma de Wi_Mass</t>
  </si>
  <si>
    <t>Suma de TOTAL_MASS</t>
  </si>
  <si>
    <t>Suma de FINOR137</t>
  </si>
  <si>
    <t>Suma de FINOR150</t>
  </si>
  <si>
    <t>Suma de FINOR180</t>
  </si>
  <si>
    <t>Suma de FINOR240</t>
  </si>
  <si>
    <t>Suma de FINOR250</t>
  </si>
  <si>
    <t>Suma de FINOR300</t>
  </si>
  <si>
    <t>Suma de FINOC</t>
  </si>
  <si>
    <t>Wi</t>
  </si>
  <si>
    <t>PENDIENTE REC.</t>
  </si>
  <si>
    <t>INT.</t>
  </si>
  <si>
    <t>.0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</si>
  <si>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</si>
  <si>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</si>
  <si>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</si>
  <si>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</si>
  <si>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</si>
  <si>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</si>
  <si>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</si>
  <si>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</si>
  <si>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</si>
  <si>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</si>
  <si>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</si>
  <si>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</si>
  <si>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</si>
  <si>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</si>
  <si>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</si>
  <si>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</si>
  <si>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</si>
  <si>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</si>
  <si>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</si>
  <si>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</si>
  <si>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</si>
  <si>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</si>
  <si>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</si>
  <si>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</si>
  <si>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</si>
  <si>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</si>
  <si>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</si>
  <si>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</si>
  <si>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</si>
  <si>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</si>
  <si>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</si>
  <si>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</si>
  <si>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 general</t>
  </si>
  <si>
    <t>Plan Mina Proyeccion</t>
  </si>
  <si>
    <t>PLANTA</t>
  </si>
  <si>
    <t>RCC s/chancar Modelo</t>
  </si>
  <si>
    <t>Tratamiento L4</t>
  </si>
  <si>
    <t>Restricción L1L2L3</t>
  </si>
  <si>
    <t>Chancad</t>
  </si>
  <si>
    <t>Gerencia Olanificación y Desarrollo</t>
  </si>
  <si>
    <t>PROYECCION</t>
  </si>
  <si>
    <t>Minera Los Oelambres</t>
  </si>
  <si>
    <t>Hrs Operación</t>
  </si>
  <si>
    <t>Hrs. Mantención</t>
  </si>
  <si>
    <t>Otros</t>
  </si>
  <si>
    <t>Inv.</t>
  </si>
  <si>
    <t>Alim</t>
  </si>
  <si>
    <t>um</t>
  </si>
  <si>
    <t>Cuf</t>
  </si>
  <si>
    <t>Proyeccion</t>
  </si>
  <si>
    <t>Dif.Proyeccion - Forecast</t>
  </si>
  <si>
    <t>%Dif.Proyeccion- Forecast</t>
  </si>
  <si>
    <t>% Cump Forecast</t>
  </si>
  <si>
    <t>Dif. Proyeccion-Bud</t>
  </si>
  <si>
    <t>%Dif. Proyeccion-Bud</t>
  </si>
  <si>
    <t xml:space="preserve">TPH </t>
  </si>
  <si>
    <t xml:space="preserve">SEMANAL </t>
  </si>
  <si>
    <t>Variable</t>
  </si>
  <si>
    <t xml:space="preserve">SEMANA ST </t>
  </si>
  <si>
    <t xml:space="preserve">Extracción Mina PM </t>
  </si>
  <si>
    <t>Envio Mineral</t>
  </si>
  <si>
    <t>kTMS</t>
  </si>
  <si>
    <t>Stock Pile</t>
  </si>
  <si>
    <t>Tratamiento (L1/L2/L3/L4)</t>
  </si>
  <si>
    <t>Tratamiento (L1/L2/L3)</t>
  </si>
  <si>
    <t>Rendimiento planta (L1/L2/L3/L4)</t>
  </si>
  <si>
    <t>Rendimiento planta (L1/L2/L3)</t>
  </si>
  <si>
    <t>Rendimiento  (L4)</t>
  </si>
  <si>
    <t>% Duro</t>
  </si>
  <si>
    <t>plg</t>
  </si>
  <si>
    <t>mm</t>
  </si>
  <si>
    <t>Coeficiente Marcha (L1/L2/L3/L4)</t>
  </si>
  <si>
    <t>Coeficiente Marcha (L1/L2/L3)</t>
  </si>
  <si>
    <t>Coeficiente Marcha (L4)</t>
  </si>
  <si>
    <t>Ley Alimentación Cu</t>
  </si>
  <si>
    <t>Recuperación Cu</t>
  </si>
  <si>
    <t>Consumo de Cal</t>
  </si>
  <si>
    <t>t/h</t>
  </si>
  <si>
    <t>Recuperacion Colectiva Mo</t>
  </si>
  <si>
    <t>Recuperacion Selectiva Mo</t>
  </si>
  <si>
    <t>Mo Fino Envasado</t>
  </si>
  <si>
    <t>Envío a Puerto</t>
  </si>
  <si>
    <t xml:space="preserve">Concentrado filtrado </t>
  </si>
  <si>
    <t>Finos Cu Filtrado</t>
  </si>
  <si>
    <t>Inventario Cu</t>
  </si>
  <si>
    <t>Inventario Concentrado Rebajable</t>
  </si>
  <si>
    <t>Deduc Metalurgica Cu Bdgt</t>
  </si>
  <si>
    <t>Cu Fino Filtrado ST</t>
  </si>
  <si>
    <t>Cu Fino Filtrado Pagable ST</t>
  </si>
  <si>
    <t>Ley As Concentrado</t>
  </si>
  <si>
    <t>Inventario Rebajable</t>
  </si>
  <si>
    <t xml:space="preserve">PLAN MENSUAL </t>
  </si>
  <si>
    <t>budget</t>
  </si>
  <si>
    <t>Σ MESES CON SBM</t>
  </si>
  <si>
    <t>MES EN CURSO</t>
  </si>
  <si>
    <t>hasta este mes</t>
  </si>
  <si>
    <t>Fino Cu Pagable</t>
  </si>
  <si>
    <t>Fino Mo Producido</t>
    <phoneticPr fontId="0" type="noConversion"/>
  </si>
  <si>
    <t>Fino Mo Envasado</t>
  </si>
  <si>
    <t>Rendimiento L4</t>
    <phoneticPr fontId="0" type="noConversion"/>
  </si>
  <si>
    <t>Horas Operacion</t>
  </si>
  <si>
    <t>Horas Mantención Programas</t>
  </si>
  <si>
    <t>Horas Mantención Imprevistas</t>
  </si>
  <si>
    <t>Recuperación L4</t>
  </si>
  <si>
    <t>Onzas de Oro Producidas</t>
  </si>
  <si>
    <t xml:space="preserve">Onzas de Oro Filtradas </t>
  </si>
  <si>
    <t>Onzas de Oro Filtradas Pagables</t>
  </si>
  <si>
    <t>Onzas de Plata Producidas</t>
  </si>
  <si>
    <t xml:space="preserve">Onzas de Plata Filtradas </t>
  </si>
  <si>
    <t>Onzas de Plata Filtradas Pagables</t>
  </si>
  <si>
    <t>REAL + PROYECCION</t>
  </si>
  <si>
    <t>SI($K$3&gt;=$B8;Real!AM9;AB4+'Real+Proy.'!X8-'Real+Proy.'!Z8)</t>
  </si>
  <si>
    <t xml:space="preserve">Inventario </t>
  </si>
  <si>
    <t>CALCIO</t>
  </si>
  <si>
    <t>Fino Mo Prod</t>
  </si>
  <si>
    <t>Cufino</t>
  </si>
  <si>
    <t>Concentrado</t>
  </si>
  <si>
    <t>Hrs. Gring Out</t>
  </si>
  <si>
    <t>Cu Fino filtrado acumulado, tmf</t>
  </si>
  <si>
    <t>TMSD</t>
    <phoneticPr fontId="51" type="noConversion"/>
  </si>
  <si>
    <t>Acum.</t>
    <phoneticPr fontId="51" type="noConversion"/>
  </si>
  <si>
    <t>Tiempo</t>
  </si>
  <si>
    <t>contar</t>
  </si>
  <si>
    <t>Real+Proyeccion</t>
  </si>
  <si>
    <t>Dif.Real+Proyeccion - FC</t>
  </si>
  <si>
    <t>%Dif.R+Proyeccion - FC</t>
  </si>
  <si>
    <t>% Cump FC</t>
  </si>
  <si>
    <t>Dif.Real+Proyeccion - Budget</t>
  </si>
  <si>
    <t>%Dif.R+Proyeccion - Budget</t>
  </si>
  <si>
    <t>% Cump Budget</t>
  </si>
  <si>
    <t xml:space="preserve">REAL + SHORT TERM ORIGINAL </t>
  </si>
  <si>
    <t>LIMITE IMPRESIÓN</t>
  </si>
  <si>
    <t>Movement Mina</t>
    <phoneticPr fontId="51" type="noConversion"/>
  </si>
  <si>
    <t>TPH Planta</t>
  </si>
  <si>
    <t>Real+S.T.</t>
  </si>
  <si>
    <t>Dif.Real+ST - FC</t>
  </si>
  <si>
    <t>%Dif.R+ST - FC</t>
  </si>
  <si>
    <t>Dif.Real+ST - Budget</t>
  </si>
  <si>
    <t>%Dif.R+ST - Budget</t>
  </si>
  <si>
    <t>factor relaves</t>
  </si>
  <si>
    <t>Relaves</t>
  </si>
  <si>
    <t>Rel. a Ciclones</t>
  </si>
  <si>
    <t xml:space="preserve">Estimación Arenas dep. </t>
  </si>
  <si>
    <t>P80 corregido</t>
  </si>
  <si>
    <t>Arenas depositadas</t>
  </si>
  <si>
    <t>N° lineas</t>
  </si>
  <si>
    <t>Clasificando</t>
  </si>
  <si>
    <t>m3/hr</t>
  </si>
  <si>
    <t>%Sol</t>
  </si>
  <si>
    <t>factor realves a ciclones</t>
  </si>
  <si>
    <t>Operando</t>
  </si>
  <si>
    <t>SI/NO</t>
  </si>
  <si>
    <t>trabajan 2 linea cuando está Ok el P80</t>
  </si>
  <si>
    <t>factor estimación arenas depositadas</t>
  </si>
  <si>
    <t>SI</t>
  </si>
  <si>
    <t>BBA+BBA</t>
  </si>
  <si>
    <t>BBA+gravitacional</t>
  </si>
  <si>
    <t>por linea</t>
  </si>
  <si>
    <t>NO</t>
  </si>
  <si>
    <t>1 linea operando</t>
  </si>
  <si>
    <t>con P80 bajo 200um</t>
  </si>
  <si>
    <t>2 Lineas operando</t>
  </si>
  <si>
    <t>con P80 sobre 200um</t>
  </si>
  <si>
    <t>total</t>
  </si>
  <si>
    <t>INFORME:   SEGUIMIENTO DE PROGRAMA DE EMBARQUES</t>
  </si>
  <si>
    <t>Superintendencia de Metalurgia</t>
  </si>
  <si>
    <t>MES:</t>
  </si>
  <si>
    <t>ACTUALIZACION</t>
  </si>
  <si>
    <t>DIA OPERACIONAL</t>
  </si>
  <si>
    <t>Tto</t>
  </si>
  <si>
    <t xml:space="preserve">REAL + PROYECCION </t>
  </si>
  <si>
    <t>RECIBIDO EN PUERTO</t>
  </si>
  <si>
    <t>EMBARQUES</t>
  </si>
  <si>
    <t>CONCENTRADO EDIFICIO</t>
  </si>
  <si>
    <t>NAVE</t>
  </si>
  <si>
    <t>Conc. Producido</t>
  </si>
  <si>
    <t>Filtrado en puerto</t>
  </si>
  <si>
    <t>ley Cu</t>
  </si>
  <si>
    <t xml:space="preserve"> TMS/DIA</t>
  </si>
  <si>
    <t>%CuT</t>
  </si>
  <si>
    <t>TMH</t>
  </si>
  <si>
    <t xml:space="preserve"> </t>
  </si>
  <si>
    <t>GESTION INVENTARIO DE MOLIBDENO</t>
  </si>
  <si>
    <t xml:space="preserve">INV. INICIAL </t>
  </si>
  <si>
    <t>TMF Mo</t>
  </si>
  <si>
    <t>ACTUALIZAR INV INICIAL!!!</t>
  </si>
  <si>
    <t>Según Balance Met.</t>
  </si>
  <si>
    <t>NO MODIFICAR CELDAS</t>
  </si>
  <si>
    <t>MODIFICAR</t>
  </si>
  <si>
    <t xml:space="preserve">DESDE " REAL + PROY " </t>
  </si>
  <si>
    <t>AQUÍ</t>
  </si>
  <si>
    <t>TMF SIN INV</t>
  </si>
  <si>
    <t>ENVASADO</t>
  </si>
  <si>
    <t>INVENTARIO</t>
  </si>
  <si>
    <t>Proyección ENVASADO</t>
  </si>
  <si>
    <t>S.Term</t>
  </si>
  <si>
    <t>OJO CON EL NUMERO DE DIAS</t>
  </si>
  <si>
    <t>GESTION INVENTARIO DE COBRE</t>
  </si>
  <si>
    <t>TMF Cu</t>
  </si>
  <si>
    <t>PRODUCIDO</t>
  </si>
  <si>
    <t>FILTRADO</t>
  </si>
  <si>
    <t>DELTA INVENTARIO</t>
  </si>
  <si>
    <t>CuFFP R+P</t>
  </si>
  <si>
    <t>CuFFP ST</t>
  </si>
  <si>
    <t>R+P Acum</t>
  </si>
  <si>
    <t>ST acum</t>
  </si>
  <si>
    <t>Delta acum</t>
  </si>
  <si>
    <t>Seguimiento Producción</t>
  </si>
  <si>
    <t>A</t>
  </si>
  <si>
    <t>Seguimiento producción área Metalúrgia</t>
  </si>
  <si>
    <t>SIP - SI Metalurgia</t>
  </si>
  <si>
    <t>Seguimiento Producción.xlsm</t>
  </si>
  <si>
    <t>S.T. Original</t>
  </si>
  <si>
    <t>Trat. Planta ST</t>
  </si>
  <si>
    <t>Envío Mina(kTon)</t>
  </si>
  <si>
    <t>Stock Planta(kTon)</t>
  </si>
  <si>
    <t xml:space="preserve">Proyeccion </t>
  </si>
  <si>
    <t>Trat. Planta(kTon)</t>
  </si>
  <si>
    <t>REALES</t>
  </si>
  <si>
    <t>Acum.
Budget</t>
  </si>
  <si>
    <r>
      <rPr>
        <b/>
        <sz val="12"/>
        <rFont val="Calibri"/>
        <family val="2"/>
      </rPr>
      <t xml:space="preserve">Σ </t>
    </r>
    <r>
      <rPr>
        <b/>
        <sz val="12"/>
        <rFont val="Arial"/>
        <family val="2"/>
      </rPr>
      <t>MESES CON SBM</t>
    </r>
  </si>
  <si>
    <t>2CP0020</t>
  </si>
  <si>
    <t>2CPM04</t>
  </si>
  <si>
    <t>2CL001</t>
  </si>
  <si>
    <t>2CL003</t>
  </si>
  <si>
    <t>2CP005</t>
  </si>
  <si>
    <t>2CL005</t>
  </si>
  <si>
    <t>2CL011</t>
  </si>
  <si>
    <t>2CL013</t>
  </si>
  <si>
    <t>2CPM03</t>
  </si>
  <si>
    <t>2CL014</t>
  </si>
  <si>
    <t>2CL021</t>
  </si>
  <si>
    <t>4VL004</t>
  </si>
  <si>
    <t>4VP009</t>
  </si>
  <si>
    <t>Onzas de oro producido</t>
  </si>
  <si>
    <t>2CL031</t>
  </si>
  <si>
    <t>4VL003</t>
  </si>
  <si>
    <t>4VP007</t>
  </si>
  <si>
    <t>Onzas de Plata producido</t>
  </si>
  <si>
    <t>ARSMIN</t>
  </si>
  <si>
    <t>ARSCONC</t>
  </si>
  <si>
    <t>Fino Cu Producido (Sin Cemento)</t>
  </si>
  <si>
    <t>Fino Cu Filtrado</t>
  </si>
  <si>
    <t>Delta Inventario Cu Fino (Final-Inicio)</t>
  </si>
  <si>
    <t>Delta Inventario Mo Fino (Final-Inicio)</t>
  </si>
  <si>
    <t>Delta ACC</t>
  </si>
  <si>
    <t xml:space="preserve">Delta </t>
  </si>
  <si>
    <t>Procedimiento de ingresar valor de balance metalurgico</t>
  </si>
  <si>
    <r>
      <t>1.Guardar archivo "</t>
    </r>
    <r>
      <rPr>
        <b/>
        <sz val="12"/>
        <color indexed="10"/>
        <rFont val="Arial"/>
        <family val="2"/>
      </rPr>
      <t>SBM (mes,año) v.0</t>
    </r>
    <r>
      <rPr>
        <b/>
        <sz val="12"/>
        <rFont val="Arial"/>
        <family val="2"/>
      </rPr>
      <t>" en carpeta "</t>
    </r>
    <r>
      <rPr>
        <b/>
        <sz val="12"/>
        <color indexed="12"/>
        <rFont val="Arial"/>
        <family val="2"/>
      </rPr>
      <t>Back Data</t>
    </r>
    <r>
      <rPr>
        <b/>
        <sz val="12"/>
        <rFont val="Arial"/>
        <family val="2"/>
      </rPr>
      <t>", y abrirlo</t>
    </r>
  </si>
  <si>
    <t>2. Copiar y pegar los siguientes parametros (ver la tabla de abajo)</t>
  </si>
  <si>
    <t>Parametro</t>
  </si>
  <si>
    <t>Hoja (en archivo SBM)</t>
  </si>
  <si>
    <t>Celda</t>
  </si>
  <si>
    <t>Produccion</t>
  </si>
  <si>
    <t>B10</t>
  </si>
  <si>
    <t>SBMFEBRERO
.v0.2012</t>
  </si>
  <si>
    <t>(G118-G117)
/1000</t>
  </si>
  <si>
    <t>Mineral Procesado
Planta Mensual</t>
  </si>
  <si>
    <t>B4</t>
  </si>
  <si>
    <t>CM planta</t>
  </si>
  <si>
    <t>Preguntar a Jorge Cortinez</t>
  </si>
  <si>
    <t>B6</t>
  </si>
  <si>
    <t>Rec Cu Global</t>
  </si>
  <si>
    <t>Acumlado Año</t>
  </si>
  <si>
    <t>E38</t>
  </si>
  <si>
    <t>Conc. Cu Producido</t>
  </si>
  <si>
    <t>B14</t>
  </si>
  <si>
    <t>B12</t>
  </si>
  <si>
    <t>B7</t>
  </si>
  <si>
    <t>Rec Mo Global</t>
  </si>
  <si>
    <t>SBM vs Minco</t>
  </si>
  <si>
    <t>E26</t>
  </si>
  <si>
    <t>Rec Mo Colectiva</t>
  </si>
  <si>
    <t>E22</t>
  </si>
  <si>
    <t>Rec Mo Selectiva</t>
  </si>
  <si>
    <t>E24</t>
  </si>
  <si>
    <t>Conc. Mo Producido</t>
  </si>
  <si>
    <t>E28</t>
  </si>
  <si>
    <t>Fino Mo / Conc. Mo Prod.</t>
  </si>
  <si>
    <t>Fino Cu Producido
hasta P.Colectiva (Fila 60)</t>
  </si>
  <si>
    <t>SBMENERO.v0.2012</t>
  </si>
  <si>
    <t>G30</t>
  </si>
  <si>
    <t>Fino Cu Filtrado
(Fila 61)</t>
  </si>
  <si>
    <t>Fila 13</t>
  </si>
  <si>
    <t>Onzas de oro</t>
  </si>
  <si>
    <t>Fino Mo Envasado
(Fila 64)</t>
  </si>
  <si>
    <t>B28</t>
  </si>
  <si>
    <t>Onzas de Plata</t>
  </si>
  <si>
    <t>Moz</t>
  </si>
  <si>
    <t>Fino Cu Producido (Hasta P.Colectiva)</t>
  </si>
  <si>
    <r>
      <t xml:space="preserve">Cambiar color de barras de graficos. (Positivo </t>
    </r>
    <r>
      <rPr>
        <b/>
        <sz val="14"/>
        <color indexed="11"/>
        <rFont val="Arial"/>
        <family val="2"/>
      </rPr>
      <t>Verde</t>
    </r>
    <r>
      <rPr>
        <b/>
        <sz val="14"/>
        <rFont val="Arial"/>
        <family val="2"/>
      </rPr>
      <t xml:space="preserve">, Negativo </t>
    </r>
    <r>
      <rPr>
        <b/>
        <sz val="14"/>
        <color indexed="10"/>
        <rFont val="Arial"/>
        <family val="2"/>
      </rPr>
      <t>Rojo</t>
    </r>
    <r>
      <rPr>
        <b/>
        <sz val="14"/>
        <rFont val="Arial"/>
        <family val="2"/>
      </rPr>
      <t>)</t>
    </r>
  </si>
  <si>
    <t>COMPARACION REAL VS SHORT TERM (CON BM)</t>
  </si>
  <si>
    <t>VS SHORT TERM</t>
  </si>
  <si>
    <t xml:space="preserve">PARA EL MES </t>
  </si>
  <si>
    <t>δ</t>
  </si>
  <si>
    <t>Calc.</t>
  </si>
  <si>
    <t xml:space="preserve">Cu Fino Eq, ktons </t>
  </si>
  <si>
    <t>S.T. (Kton)</t>
  </si>
  <si>
    <t>Cu Fino Equivalente</t>
  </si>
  <si>
    <t>Rend. (tph)</t>
  </si>
  <si>
    <t>C.M. (%)</t>
  </si>
  <si>
    <t>Ley Cu (%)</t>
  </si>
  <si>
    <t>Ley Cab. Mo, ppm</t>
  </si>
  <si>
    <t>Ley Mo (ppm)</t>
  </si>
  <si>
    <t>Mo Fino Envasado Pagable</t>
    <phoneticPr fontId="0" type="noConversion"/>
  </si>
  <si>
    <t>Kton</t>
    <phoneticPr fontId="0" type="noConversion"/>
  </si>
  <si>
    <t>RCu (%)</t>
  </si>
  <si>
    <t>RMo, %</t>
  </si>
  <si>
    <t>RMo (%)</t>
  </si>
  <si>
    <t>Real (Kton)</t>
  </si>
  <si>
    <t>COMPARACION REAL VS BUDGET (CON BM)</t>
  </si>
  <si>
    <t>VS BUDGET</t>
  </si>
  <si>
    <t>Budget (Kton)</t>
  </si>
  <si>
    <t>Cu Fino</t>
  </si>
  <si>
    <t>Mo Fino</t>
  </si>
  <si>
    <t>Ley Cab. Mo,%</t>
  </si>
  <si>
    <t>Delta Inv.</t>
  </si>
  <si>
    <t>Ley Mo (%)</t>
  </si>
  <si>
    <t>COMPARACION REAL VS FORECAST (CON BM)</t>
  </si>
  <si>
    <t>VS FORECAST</t>
  </si>
  <si>
    <t>Frcst (Kton)</t>
  </si>
  <si>
    <t>COMPARACION REAL VS BUDGET(CON BM)</t>
  </si>
  <si>
    <t>ACUM. HASTA</t>
  </si>
  <si>
    <t>VS BUDGET (ACUM.)</t>
  </si>
  <si>
    <t>COMPARACION REAL VS FORECAST(CON BM)</t>
  </si>
  <si>
    <t>VS FORECAST (ACUM.)</t>
  </si>
  <si>
    <t>Fino</t>
    <phoneticPr fontId="0" type="noConversion"/>
  </si>
  <si>
    <t xml:space="preserve">Cu </t>
    <phoneticPr fontId="0" type="noConversion"/>
  </si>
  <si>
    <t>Mo</t>
    <phoneticPr fontId="0" type="noConversion"/>
  </si>
  <si>
    <t xml:space="preserve">Mo Fino Pro, ktons </t>
    <phoneticPr fontId="0" type="noConversion"/>
  </si>
  <si>
    <t>Ley Mo (%)</t>
    <phoneticPr fontId="0" type="noConversion"/>
  </si>
  <si>
    <t>RMo (%)</t>
    <phoneticPr fontId="0" type="noConversion"/>
  </si>
  <si>
    <t>Budjet</t>
    <phoneticPr fontId="0" type="noConversion"/>
  </si>
  <si>
    <t>Real</t>
    <phoneticPr fontId="0" type="noConversion"/>
  </si>
  <si>
    <t>B.D. (Kton)</t>
    <phoneticPr fontId="0" type="noConversion"/>
  </si>
  <si>
    <t>Cu Filtrado Pagable</t>
  </si>
  <si>
    <t>Mo Envasado Pagable</t>
  </si>
  <si>
    <t>B.D. (Kton)</t>
  </si>
  <si>
    <t>Filtrado Pagable</t>
  </si>
  <si>
    <t>Envasado Pagable</t>
  </si>
  <si>
    <t>Min.Procesado</t>
  </si>
  <si>
    <t xml:space="preserve">Cu Fino Producido, ktons </t>
  </si>
  <si>
    <t>Min.Procesado(Kton)</t>
  </si>
  <si>
    <t>Filtrado</t>
  </si>
  <si>
    <t>Ppto</t>
  </si>
  <si>
    <t>Rend.</t>
  </si>
  <si>
    <t>C.M.</t>
  </si>
  <si>
    <t>Ley</t>
  </si>
  <si>
    <t>Recuperacion</t>
  </si>
  <si>
    <t xml:space="preserve">Inventario 
y otoros </t>
  </si>
  <si>
    <t xml:space="preserve">para calcuro de Inv. </t>
  </si>
  <si>
    <t>rendimiento</t>
  </si>
  <si>
    <t>Mes</t>
  </si>
  <si>
    <t>Acum</t>
  </si>
  <si>
    <t>Rendimiento de molienda - hora</t>
  </si>
  <si>
    <t>Coeficiento de Marcha</t>
  </si>
  <si>
    <t>COMPARACION REAL VS SHORT TERM</t>
  </si>
  <si>
    <t>Movimiento Mina</t>
    <phoneticPr fontId="141"/>
  </si>
  <si>
    <t>Kton</t>
    <phoneticPr fontId="141"/>
  </si>
  <si>
    <t>As Alim.</t>
    <phoneticPr fontId="51" type="noConversion"/>
  </si>
  <si>
    <t>ppm</t>
    <phoneticPr fontId="51" type="noConversion"/>
  </si>
  <si>
    <t>As Conc.</t>
    <phoneticPr fontId="51" type="noConversion"/>
  </si>
  <si>
    <t>As Alim.</t>
    <phoneticPr fontId="141"/>
  </si>
  <si>
    <t>ppm</t>
    <phoneticPr fontId="141"/>
  </si>
  <si>
    <t>As Conc.</t>
    <phoneticPr fontId="141"/>
  </si>
  <si>
    <t>FECHA</t>
  </si>
  <si>
    <t>As Mineral</t>
  </si>
  <si>
    <t>A Conc Prod</t>
  </si>
  <si>
    <t>TMS Alim</t>
  </si>
  <si>
    <t>TMS Conc</t>
  </si>
  <si>
    <t>As Alim</t>
  </si>
  <si>
    <t>As Conc</t>
  </si>
  <si>
    <t>Razón Enr</t>
  </si>
  <si>
    <t>Budget</t>
    <phoneticPr fontId="273"/>
  </si>
  <si>
    <t>Badget Anual</t>
    <phoneticPr fontId="273"/>
  </si>
  <si>
    <t>Comparacion
 (Sin BM)</t>
    <phoneticPr fontId="273"/>
  </si>
  <si>
    <t>Tablas de 
producción</t>
    <phoneticPr fontId="273"/>
  </si>
  <si>
    <t>ST Original</t>
    <phoneticPr fontId="273"/>
  </si>
  <si>
    <t>Explicacion Cueq
(Con BM)</t>
    <phoneticPr fontId="273"/>
  </si>
  <si>
    <t>BM con
 CuF pagable</t>
    <phoneticPr fontId="273"/>
  </si>
  <si>
    <t>Tablas de producción</t>
    <phoneticPr fontId="273"/>
  </si>
  <si>
    <t>BM con 
CuF pagable</t>
    <phoneticPr fontId="273"/>
  </si>
  <si>
    <t>kt</t>
    <phoneticPr fontId="273"/>
  </si>
  <si>
    <t>Mo Fino Envasado</t>
    <phoneticPr fontId="273"/>
  </si>
  <si>
    <t>17*162+5*0+132*2</t>
  </si>
  <si>
    <t>132*24</t>
  </si>
  <si>
    <t>t/h</t>
    <phoneticPr fontId="273"/>
  </si>
  <si>
    <t>%</t>
    <phoneticPr fontId="273"/>
  </si>
  <si>
    <t>AxB</t>
    <phoneticPr fontId="273"/>
  </si>
  <si>
    <t>F80</t>
    <phoneticPr fontId="273"/>
  </si>
  <si>
    <t>inch</t>
    <phoneticPr fontId="273"/>
  </si>
  <si>
    <t>ppm</t>
    <phoneticPr fontId="273"/>
  </si>
  <si>
    <t>Real con BM</t>
    <phoneticPr fontId="273"/>
  </si>
  <si>
    <t>R + RP + B</t>
    <phoneticPr fontId="273"/>
  </si>
  <si>
    <t>BM con CuF pagable</t>
    <phoneticPr fontId="273"/>
  </si>
  <si>
    <t>Fino Cu Filtrado</t>
    <phoneticPr fontId="273"/>
  </si>
  <si>
    <t>Forcast</t>
    <phoneticPr fontId="273"/>
  </si>
  <si>
    <t>Frcst</t>
    <phoneticPr fontId="273"/>
  </si>
  <si>
    <t>Explicacion Cueq 
(Con BM)</t>
    <phoneticPr fontId="273"/>
  </si>
  <si>
    <t>Comparacion 
(Sin BM)</t>
    <phoneticPr fontId="273"/>
  </si>
  <si>
    <t>Outlook</t>
    <phoneticPr fontId="273"/>
  </si>
  <si>
    <t>% Stock</t>
  </si>
  <si>
    <t>GLOBAL</t>
  </si>
  <si>
    <t>Rcu137</t>
  </si>
  <si>
    <t>Rcu150</t>
  </si>
  <si>
    <t>Rcu180</t>
  </si>
  <si>
    <t>Rcu210</t>
  </si>
  <si>
    <t>Rcu240</t>
  </si>
  <si>
    <t>Rcu250</t>
  </si>
  <si>
    <t>Rcu300</t>
  </si>
  <si>
    <t>Cus</t>
  </si>
  <si>
    <t>RecCu0 Total</t>
  </si>
  <si>
    <t>TPH SAG1</t>
    <phoneticPr fontId="141"/>
  </si>
  <si>
    <t>L1-L3</t>
    <phoneticPr fontId="98" type="noConversion"/>
  </si>
  <si>
    <t>Plan Mensual Versus Budget</t>
  </si>
  <si>
    <t>Ley Cu,%</t>
  </si>
  <si>
    <t>ton</t>
    <phoneticPr fontId="141"/>
  </si>
  <si>
    <t>Real + Proy.</t>
  </si>
  <si>
    <t>BD Acum.</t>
  </si>
  <si>
    <t>Real + Proy. Acum.</t>
  </si>
  <si>
    <t>v/s Forcast</t>
    <phoneticPr fontId="273"/>
  </si>
  <si>
    <t>v/s FC Acum.</t>
    <phoneticPr fontId="273"/>
  </si>
  <si>
    <t>v/s BDAcum.</t>
    <phoneticPr fontId="273"/>
  </si>
  <si>
    <t>Real con BM Acum</t>
    <phoneticPr fontId="141"/>
  </si>
  <si>
    <t>BD</t>
    <phoneticPr fontId="273"/>
  </si>
  <si>
    <t>Real con BM. Versus PM</t>
    <phoneticPr fontId="141"/>
  </si>
  <si>
    <t>Dias de operación</t>
    <phoneticPr fontId="273"/>
  </si>
  <si>
    <t>PM,OutLook, Forcast, BD</t>
    <phoneticPr fontId="273"/>
  </si>
  <si>
    <t>dias/mes</t>
    <phoneticPr fontId="273"/>
  </si>
  <si>
    <t>OutLook, Forcast, BD Acum</t>
    <phoneticPr fontId="273"/>
  </si>
  <si>
    <t>días/hasta el mes</t>
    <phoneticPr fontId="273"/>
  </si>
  <si>
    <t>Ley Cu</t>
    <phoneticPr fontId="273"/>
  </si>
  <si>
    <t>Real con BM Acum</t>
    <phoneticPr fontId="273"/>
  </si>
  <si>
    <t>Días</t>
    <phoneticPr fontId="273"/>
  </si>
  <si>
    <t>Real con BM. Versus Budget</t>
    <phoneticPr fontId="273"/>
  </si>
  <si>
    <t>Dias</t>
    <phoneticPr fontId="273"/>
  </si>
  <si>
    <t>Real con BM. Acum Versus Budget Acum</t>
    <phoneticPr fontId="273"/>
  </si>
  <si>
    <t>SEM PM</t>
  </si>
  <si>
    <t>Rec Cu, %</t>
  </si>
  <si>
    <t>SEMANAL</t>
  </si>
  <si>
    <t>días/semana</t>
  </si>
  <si>
    <t>TPH SAGL1L2L3 Recal.</t>
  </si>
  <si>
    <t>POT SAG L4 Recal.</t>
  </si>
  <si>
    <t>CuT (Cu_min)</t>
  </si>
  <si>
    <t>CuS</t>
  </si>
  <si>
    <t>Factor CuS</t>
  </si>
  <si>
    <t>F. Correc RecCu</t>
  </si>
  <si>
    <t>RecCu (Recal)</t>
  </si>
  <si>
    <t>F80 Mod Recalculado um</t>
  </si>
  <si>
    <t>Razón Solubilidad</t>
  </si>
  <si>
    <t xml:space="preserve">Mo Fino Envasado Pagable </t>
  </si>
  <si>
    <t xml:space="preserve">Cu Fino Filtrado Pagable </t>
  </si>
  <si>
    <t>K0</t>
  </si>
  <si>
    <t>K1</t>
  </si>
  <si>
    <t>K2</t>
  </si>
  <si>
    <t>K3</t>
  </si>
  <si>
    <t>K4</t>
  </si>
  <si>
    <t>C</t>
  </si>
  <si>
    <t>D</t>
  </si>
  <si>
    <t xml:space="preserve">Modelo 2023 Ley de concentrado </t>
  </si>
  <si>
    <t>Ley Concol Rec</t>
  </si>
  <si>
    <t>OSS 1</t>
  </si>
  <si>
    <t>OSS 2</t>
  </si>
  <si>
    <t>mm-micra</t>
  </si>
  <si>
    <t>CTE OSS</t>
  </si>
  <si>
    <t>Pot. SAGS</t>
  </si>
  <si>
    <t>F80 Mod</t>
  </si>
  <si>
    <t>Pot. SAG L4</t>
  </si>
  <si>
    <t>TPH Modelo L4</t>
  </si>
  <si>
    <t>Pot. Bolas L4</t>
  </si>
  <si>
    <t xml:space="preserve">T80 </t>
  </si>
  <si>
    <t>Factor Ajuste</t>
  </si>
  <si>
    <t xml:space="preserve">F. Esc. </t>
  </si>
  <si>
    <t>T80</t>
  </si>
  <si>
    <t>Pot. Bolas L123</t>
  </si>
  <si>
    <t>P80 Max</t>
  </si>
  <si>
    <t>P80 Min</t>
  </si>
  <si>
    <t>P80 L4</t>
  </si>
  <si>
    <t>EcsBolas Bond L4</t>
  </si>
  <si>
    <t>TPH Bolas L4</t>
  </si>
  <si>
    <t xml:space="preserve">LIMITANTE L4 </t>
  </si>
  <si>
    <t>P80 L1L2L3</t>
  </si>
  <si>
    <t xml:space="preserve">P80 PONDERADO </t>
  </si>
  <si>
    <t>RecCu Total</t>
  </si>
  <si>
    <t xml:space="preserve">F80 Recalculado </t>
  </si>
  <si>
    <t>F80 MCP</t>
  </si>
  <si>
    <t xml:space="preserve">P80 Recalculado </t>
  </si>
  <si>
    <t>P80 MCP</t>
  </si>
  <si>
    <t xml:space="preserve">RecCu Recalculado </t>
  </si>
  <si>
    <t>RecCu MCP</t>
  </si>
  <si>
    <t xml:space="preserve">Ley de Concol Recalculado </t>
  </si>
  <si>
    <t>Ley de ConCol MCP</t>
  </si>
  <si>
    <t>Diferencia</t>
  </si>
  <si>
    <t>F. Esc. 1</t>
  </si>
  <si>
    <t>F. Esc. 2</t>
  </si>
  <si>
    <t>F. Esc. 3</t>
  </si>
  <si>
    <t>TPH SAGL1L2L3</t>
  </si>
  <si>
    <t>POT SAGL1L2L3</t>
  </si>
  <si>
    <t>EcsSAG L1L2L3</t>
  </si>
  <si>
    <t>Mm10SAG</t>
  </si>
  <si>
    <t>Mm10ROM</t>
  </si>
  <si>
    <t>TPH Bolas L1L2L3</t>
  </si>
  <si>
    <t>EcsBolas Bond L1L2L3</t>
  </si>
  <si>
    <t>Potencia l123</t>
  </si>
  <si>
    <t xml:space="preserve">Stock </t>
  </si>
  <si>
    <t>320:YI004CfM_D</t>
  </si>
  <si>
    <t>330:AR0024.P80_BLD</t>
  </si>
  <si>
    <t>Ton/Hr</t>
  </si>
  <si>
    <t>Ley de Concol Recalculado M1</t>
  </si>
  <si>
    <t>leyconc = A + B / (K0 + K1*(cpy/cu) + K2 * (py/cu) + K3 * (bo/cu) + K4 * (cscv/cu))</t>
  </si>
  <si>
    <t>320:WT3095_BLD</t>
  </si>
  <si>
    <t>OL 6+6</t>
  </si>
  <si>
    <t>SAG 1</t>
  </si>
  <si>
    <t>SAG 2</t>
  </si>
  <si>
    <t>SAG 3</t>
  </si>
  <si>
    <t>L1</t>
  </si>
  <si>
    <t>L2</t>
  </si>
  <si>
    <t>L3</t>
  </si>
  <si>
    <t>Potencia SAG 1 a 3</t>
  </si>
  <si>
    <t>Potencia SAG  4</t>
  </si>
  <si>
    <t>Potencia Bolas 1 a 3</t>
  </si>
  <si>
    <t>Potencia Bolas 10</t>
  </si>
  <si>
    <t>Potencia SAG 1 (KW)</t>
  </si>
  <si>
    <t>ML-004 (KW)</t>
  </si>
  <si>
    <t>ML-005 (KW)</t>
  </si>
  <si>
    <t>Potencia SAG 2 (KW)</t>
  </si>
  <si>
    <t>ML-006 (KW)</t>
  </si>
  <si>
    <t>ML-007 (KW)</t>
  </si>
  <si>
    <t>Potencia SAG 3 (KW)</t>
  </si>
  <si>
    <t>ML-008 (KW)</t>
  </si>
  <si>
    <t>ML-009 (KW)</t>
  </si>
  <si>
    <t>(KW)</t>
  </si>
  <si>
    <t>320:YI1041_BLD</t>
  </si>
  <si>
    <t>320:YI2041_BLD</t>
  </si>
  <si>
    <t>320:YI10370_BLD</t>
  </si>
  <si>
    <t>330:AR0002As_LMS</t>
  </si>
  <si>
    <t>330:AR0002As.L2_LMS</t>
  </si>
  <si>
    <t>330:AR0002As.L3_LMS</t>
  </si>
  <si>
    <t>CALCULADO</t>
  </si>
  <si>
    <t>320:SMAPWR</t>
  </si>
  <si>
    <t>320:BMAPWR</t>
  </si>
  <si>
    <t>JI1154</t>
  </si>
  <si>
    <t>JIML004A</t>
  </si>
  <si>
    <t>JIML005A</t>
  </si>
  <si>
    <t>JI2154</t>
  </si>
  <si>
    <t>JIML006A</t>
  </si>
  <si>
    <t>JIML007A</t>
  </si>
  <si>
    <t>320ML704_P(PV)</t>
  </si>
  <si>
    <t>JIML702A</t>
  </si>
  <si>
    <t>320ML703_P(PV)</t>
  </si>
  <si>
    <t>100:AxB_CGD</t>
  </si>
  <si>
    <t>EXTRACCIÓN</t>
  </si>
  <si>
    <t xml:space="preserve">TPH SAGL1L2L3 MODELO </t>
  </si>
  <si>
    <t xml:space="preserve">TPH Bolas L1L2L3 MODELO </t>
  </si>
  <si>
    <t xml:space="preserve">TPH Bolas L4 MODELO </t>
  </si>
  <si>
    <t xml:space="preserve">TPH SAGL1L2L3 Recal y con restricciones </t>
  </si>
  <si>
    <t>TPH MODELO L1L2L3</t>
  </si>
  <si>
    <t xml:space="preserve">TPH MODELO </t>
  </si>
  <si>
    <t>Ley Concol BD 2024</t>
  </si>
  <si>
    <t>Modelo Script Actual</t>
  </si>
  <si>
    <t>BD 2023</t>
  </si>
  <si>
    <t xml:space="preserve">Coeficiente Marcha </t>
  </si>
  <si>
    <t xml:space="preserve">Rendimiento planta </t>
  </si>
  <si>
    <t>Recirculación de gravilla</t>
  </si>
  <si>
    <t xml:space="preserve">Repulpeo </t>
  </si>
  <si>
    <t xml:space="preserve">Rateo Mìnimo </t>
  </si>
  <si>
    <t>Rateo Max</t>
  </si>
  <si>
    <t>Func. Roughers Selcs.</t>
  </si>
  <si>
    <t>e</t>
  </si>
  <si>
    <t>DIF</t>
  </si>
  <si>
    <t>DUREZA</t>
  </si>
  <si>
    <t>Totales (Base Alimentación)</t>
  </si>
  <si>
    <t xml:space="preserve">Fecha </t>
  </si>
  <si>
    <t>Chancado</t>
  </si>
  <si>
    <t>Hrs Mant Pebbles</t>
  </si>
  <si>
    <t>Hrs Mant Gravilla</t>
  </si>
  <si>
    <t>Potencial Mineral</t>
  </si>
  <si>
    <t>C.Marcha L4</t>
  </si>
  <si>
    <t>Original L1L2L3</t>
  </si>
  <si>
    <t>RCC c/chancar Modelo</t>
  </si>
  <si>
    <t>TRATAMIENTO</t>
  </si>
  <si>
    <t>STOCK</t>
  </si>
  <si>
    <t>Stock fin de mes anterior (kton)</t>
  </si>
  <si>
    <t>100:RQD.MCP_CGD</t>
  </si>
  <si>
    <t>POTENCIAL MINERAL</t>
  </si>
  <si>
    <t>cao</t>
  </si>
  <si>
    <t>CE SAG 1</t>
  </si>
  <si>
    <t>CE SAG 2</t>
  </si>
  <si>
    <t>CE SAG 3</t>
  </si>
  <si>
    <t xml:space="preserve">CE 1 2 3 </t>
  </si>
  <si>
    <t>kw/t</t>
  </si>
  <si>
    <t>TOTAL ENVIO STC</t>
  </si>
  <si>
    <t>CE SAG 4</t>
  </si>
  <si>
    <t>CM %</t>
  </si>
  <si>
    <t>CuFFP-CuFP</t>
  </si>
  <si>
    <t>Envíos-Otros</t>
  </si>
  <si>
    <t>Real c/BM</t>
  </si>
  <si>
    <t>F80 Ajustado (mm)</t>
  </si>
  <si>
    <t>F80 Ajustado (pulg)</t>
  </si>
  <si>
    <t xml:space="preserve">Tratamiento L4 C/Restricciones </t>
  </si>
  <si>
    <t xml:space="preserve">Tratamiento L123 C/Restricciones </t>
  </si>
  <si>
    <t>Otras Restricciones</t>
  </si>
  <si>
    <t>Tratamiento Mod. L1L2L3 (ton)</t>
  </si>
  <si>
    <t>Tratamiento Mod. L4 (ton)</t>
  </si>
  <si>
    <t>Efecto P&amp;G L123</t>
  </si>
  <si>
    <t>Rendimiento Planta</t>
  </si>
  <si>
    <t xml:space="preserve">P80 Flotación </t>
  </si>
  <si>
    <t>C. Marcha L123</t>
  </si>
  <si>
    <t>Ramp Up L4</t>
  </si>
  <si>
    <t>F80 Mod Recal. um</t>
  </si>
  <si>
    <t>TMS filtrado</t>
  </si>
  <si>
    <t>Fino</t>
  </si>
  <si>
    <t>Finos pagables</t>
  </si>
  <si>
    <t>Cte Modelo</t>
  </si>
  <si>
    <t>Bdgt</t>
  </si>
  <si>
    <t>Ley Concol BD2025</t>
  </si>
  <si>
    <t>Mod. BD25</t>
  </si>
  <si>
    <t>rotbolas1</t>
  </si>
  <si>
    <t>rotbolas2</t>
  </si>
  <si>
    <t>bdgt</t>
  </si>
  <si>
    <t>pm Script</t>
  </si>
  <si>
    <t>PM Esc.</t>
  </si>
  <si>
    <t>BDGT. Esc</t>
  </si>
  <si>
    <t>PM SCRIP</t>
  </si>
  <si>
    <t>Tratamiento Total Modelo</t>
  </si>
  <si>
    <t>Equipo F/S TFT/Otros</t>
  </si>
  <si>
    <t>Inventarios</t>
  </si>
  <si>
    <t>CV125</t>
  </si>
  <si>
    <t xml:space="preserve">SAG4 </t>
  </si>
  <si>
    <t>Tk712</t>
  </si>
  <si>
    <t>Tk712 + SAG3</t>
  </si>
  <si>
    <t>SAG4 + CV125 + VT10</t>
  </si>
  <si>
    <t>SAG4 + VT10</t>
  </si>
  <si>
    <t>SAG2 + MB6</t>
  </si>
  <si>
    <t xml:space="preserve"> MB6</t>
  </si>
  <si>
    <t>MB6</t>
  </si>
  <si>
    <t>Tk712 + VT10 + SAG2</t>
  </si>
  <si>
    <t>Tk712 + VT10</t>
  </si>
  <si>
    <t>Ley Concol Rec MCB 2024</t>
  </si>
  <si>
    <t>Ley Concol BDGT25</t>
  </si>
  <si>
    <t>Mod. BD25 Selectiva</t>
  </si>
  <si>
    <t>Mod. BD25Colectiva</t>
  </si>
  <si>
    <t>F80 BLOQUE</t>
  </si>
  <si>
    <t>F80 CALCULADO OSS (8")</t>
  </si>
  <si>
    <t>TPH Afectacion</t>
  </si>
  <si>
    <t>TPH BLOQUE</t>
  </si>
  <si>
    <t>TPH Resultante (8")</t>
  </si>
  <si>
    <t>p80_min bloque</t>
  </si>
  <si>
    <t>p80_recalculado</t>
  </si>
  <si>
    <t>TPH_min bloque</t>
  </si>
  <si>
    <t>TPH_min PLAN</t>
  </si>
  <si>
    <t>Tratam total</t>
  </si>
  <si>
    <t>PS</t>
  </si>
  <si>
    <t>F80 castigo OSS (8")</t>
  </si>
  <si>
    <t xml:space="preserve">BDGT </t>
  </si>
  <si>
    <t xml:space="preserve">bdgt original </t>
  </si>
  <si>
    <t>PROGRAMA DE PRODUCCIÓN 2025</t>
  </si>
  <si>
    <t>Concentrado producido (TMS)</t>
  </si>
  <si>
    <t>Producido Finos (TMF)</t>
  </si>
  <si>
    <t>Inventarios TKs</t>
  </si>
  <si>
    <t xml:space="preserve">Inventario Helipiscina </t>
  </si>
  <si>
    <t>Avance</t>
  </si>
  <si>
    <t>Rebaja TKs</t>
  </si>
  <si>
    <t>Repulpe Heli</t>
  </si>
  <si>
    <t>STC 2 DE FEBRERO - Concentrado Enviado (TMS)</t>
  </si>
  <si>
    <t>Inventario Cu Fino</t>
  </si>
  <si>
    <t>R+P v/s Budget Original Acum.</t>
  </si>
  <si>
    <t>BDGT Ajustado</t>
  </si>
  <si>
    <t>Proyección</t>
  </si>
  <si>
    <t>PROYECCIÓN</t>
  </si>
  <si>
    <t>CuFFP</t>
  </si>
  <si>
    <t>Conc. Cu Prod</t>
  </si>
  <si>
    <t>Cu Prod</t>
  </si>
  <si>
    <t>Ley Cu Conc</t>
  </si>
  <si>
    <t>Ley Alim Mo</t>
  </si>
  <si>
    <t>Mo Prod</t>
  </si>
  <si>
    <t>Mo Env. Pagable</t>
  </si>
  <si>
    <t>COMP REAL</t>
  </si>
  <si>
    <t>COMP PROY</t>
  </si>
  <si>
    <t>BDGT Original</t>
  </si>
  <si>
    <t>PAGABILIDAD</t>
  </si>
  <si>
    <t xml:space="preserve">Enero </t>
  </si>
  <si>
    <t>TOTALES</t>
  </si>
  <si>
    <t>Fecha inicio PS semana</t>
  </si>
  <si>
    <t>Días:</t>
  </si>
  <si>
    <t>CALCULO</t>
  </si>
  <si>
    <t>shortmizado</t>
  </si>
  <si>
    <t>Budget Shortemizado Abril 2025</t>
  </si>
  <si>
    <t>% Fse 9</t>
  </si>
  <si>
    <t>Factor Stock</t>
  </si>
  <si>
    <t>Factor Fase 9</t>
  </si>
  <si>
    <t>% F9</t>
  </si>
  <si>
    <t>Fase 9</t>
  </si>
  <si>
    <t>Inv. Final:</t>
  </si>
  <si>
    <t>Tmf</t>
  </si>
  <si>
    <t>ENERO</t>
  </si>
  <si>
    <t>Tonelaje Procesado</t>
  </si>
  <si>
    <t>FEBRERO</t>
  </si>
  <si>
    <t>Aporte flujo cero</t>
  </si>
  <si>
    <t>MARZO</t>
  </si>
  <si>
    <t>Ley de Moly</t>
  </si>
  <si>
    <t>PPM</t>
  </si>
  <si>
    <t xml:space="preserve">Km0 </t>
  </si>
  <si>
    <t>producido</t>
  </si>
  <si>
    <t>Moly enviado</t>
  </si>
  <si>
    <t>Producción</t>
  </si>
  <si>
    <t>Rebaja</t>
  </si>
  <si>
    <t>R+P v/s Budget  Acum.</t>
  </si>
  <si>
    <t xml:space="preserve">PM  v/s Budget </t>
  </si>
  <si>
    <t>BD</t>
  </si>
  <si>
    <t>BM Ene</t>
  </si>
  <si>
    <t>BM Feb</t>
  </si>
  <si>
    <t>BM Mar</t>
  </si>
  <si>
    <t>BM Abr</t>
  </si>
  <si>
    <t>BM May</t>
  </si>
  <si>
    <t>Acum. H1</t>
  </si>
  <si>
    <t>BD Ene</t>
  </si>
  <si>
    <t>BD Feb</t>
  </si>
  <si>
    <t>BD Mar</t>
  </si>
  <si>
    <t>BD Abr</t>
  </si>
  <si>
    <t>BD May</t>
  </si>
  <si>
    <t>BD Jun</t>
  </si>
  <si>
    <t>BD H1</t>
  </si>
  <si>
    <t>DIF H1</t>
  </si>
  <si>
    <t>Daily</t>
  </si>
  <si>
    <t>Inv. Final Proy</t>
  </si>
  <si>
    <t>BD Acum</t>
  </si>
  <si>
    <t>R+PM</t>
  </si>
  <si>
    <t>Acum a Julio</t>
  </si>
  <si>
    <t>BD Jul</t>
  </si>
  <si>
    <t>BD a Julio</t>
  </si>
  <si>
    <t>DIF a Julio</t>
  </si>
  <si>
    <t xml:space="preserve">MAXIMO </t>
  </si>
  <si>
    <t>&lt;- Poner la fecha dia anPerior en celda "D3".</t>
  </si>
  <si>
    <t>B    : BudgeP</t>
  </si>
  <si>
    <t>Cu/Fe</t>
  </si>
  <si>
    <t>Rendimiento Efec.</t>
  </si>
  <si>
    <t xml:space="preserve">Comentario </t>
  </si>
  <si>
    <t xml:space="preserve">Avance </t>
  </si>
  <si>
    <t>310:WI04_Avance</t>
  </si>
  <si>
    <t>\\MLPFAEPI01\100:KPI.Extraccion_Mina_BLD</t>
  </si>
  <si>
    <t>330:CabezaPlantaMo_D</t>
  </si>
  <si>
    <t>BM Jun</t>
  </si>
  <si>
    <t>R+P Jul</t>
  </si>
  <si>
    <t>Pagabilidad</t>
  </si>
  <si>
    <t>Cu Filtrado</t>
  </si>
  <si>
    <t>BDGT H1</t>
  </si>
  <si>
    <t>Real H1</t>
  </si>
  <si>
    <t>Rend</t>
  </si>
  <si>
    <t>Rec</t>
  </si>
  <si>
    <t>Pag</t>
  </si>
  <si>
    <t>Crash Stop</t>
  </si>
  <si>
    <t>OL Acum</t>
  </si>
  <si>
    <t>Plan Mensual Versus OL 6+6</t>
  </si>
  <si>
    <t>v/s OL 6+6</t>
  </si>
  <si>
    <t>v/s OL 6+6 Acum.</t>
  </si>
  <si>
    <t>Producción Concol, TMS</t>
  </si>
  <si>
    <t>Avance Moly, TMS</t>
  </si>
  <si>
    <t>Inv. Conc.Colectivo, TMS</t>
  </si>
  <si>
    <t>Enviado STC, TMS</t>
  </si>
  <si>
    <t>Inv. Conc. Final, TMS</t>
  </si>
  <si>
    <t>Acum Inv. Conc. Final</t>
  </si>
  <si>
    <t>Limpieza mecánica y química</t>
  </si>
  <si>
    <t>MP STC (120 horas)</t>
  </si>
  <si>
    <t>Rebaja de inventarios operacionales (inventario TK-20/21 y TK-711)</t>
  </si>
  <si>
    <t>Rebaja de inventarios Concentrado Colectivo</t>
  </si>
  <si>
    <t>MP Rougher/Selectiva Moly</t>
  </si>
  <si>
    <t>Grind Out /Calibración Pesómetro</t>
  </si>
  <si>
    <t>Comentario</t>
  </si>
  <si>
    <t>Mantenimiento Mayor</t>
  </si>
  <si>
    <t>Tms Concentrado para rebajar</t>
  </si>
  <si>
    <t>Tms Concentrado Producido Sin Enviar</t>
  </si>
  <si>
    <t>Tmf Cu Sin enviar</t>
  </si>
  <si>
    <t>BM Jul</t>
  </si>
  <si>
    <t>BD Ago</t>
  </si>
  <si>
    <t>BD Sept</t>
  </si>
  <si>
    <t>Repulpeo o Avance carga, TMS</t>
  </si>
  <si>
    <t>Real con BM Oct</t>
  </si>
  <si>
    <t>BM  Ago</t>
  </si>
  <si>
    <t>BD Oct</t>
  </si>
  <si>
    <t xml:space="preserve">Duro </t>
  </si>
  <si>
    <t>ACTIVIDAD</t>
  </si>
  <si>
    <t>INICIO</t>
  </si>
  <si>
    <t xml:space="preserve">TERMINO </t>
  </si>
  <si>
    <t>CH1</t>
  </si>
  <si>
    <t>CH2</t>
  </si>
  <si>
    <t>STR36''(Cor.U)</t>
  </si>
  <si>
    <t>MB4</t>
  </si>
  <si>
    <t>MB5</t>
  </si>
  <si>
    <t>MB7</t>
  </si>
  <si>
    <t>MB10</t>
  </si>
  <si>
    <t>SAG1 (1)</t>
  </si>
  <si>
    <t>SAG1 (2)</t>
  </si>
  <si>
    <t>DURACIÓN (H)</t>
  </si>
  <si>
    <t>MB9(1)</t>
  </si>
  <si>
    <t>MB9(2)</t>
  </si>
  <si>
    <t>MB8 (2)</t>
  </si>
  <si>
    <t>MB8(1)</t>
  </si>
  <si>
    <t>FACTORES</t>
  </si>
  <si>
    <t>BD Nov</t>
  </si>
  <si>
    <t>$P</t>
  </si>
  <si>
    <t>242 ton por restricciones adicionales</t>
  </si>
  <si>
    <t>BM  Sep</t>
  </si>
  <si>
    <t>12 ton OSS los 3 primeros dias CH-1</t>
  </si>
  <si>
    <t>PM VS OL</t>
  </si>
  <si>
    <t>BD VS OL</t>
  </si>
  <si>
    <t>OL NO HAY MM STR 28</t>
  </si>
  <si>
    <t>BD NO ESTAN ALIENADAS MM PEBBES GRA CON STR 36</t>
  </si>
  <si>
    <t>75 ton por modelo</t>
  </si>
  <si>
    <t>BD Restriccion por RCA LIBERADA EN OL</t>
  </si>
  <si>
    <t>$Q</t>
  </si>
  <si>
    <t>2300 objetivo</t>
  </si>
  <si>
    <t>}{+0'</t>
  </si>
  <si>
    <t>Ductos</t>
  </si>
  <si>
    <t>36"+28"</t>
  </si>
  <si>
    <t>R+P vs PM</t>
  </si>
  <si>
    <t xml:space="preserve">R+P v/s Budget </t>
  </si>
  <si>
    <t>R+P Acum. v/s Budget  Acum.</t>
  </si>
  <si>
    <t>R+P Dic</t>
  </si>
  <si>
    <t>BM  Oct</t>
  </si>
  <si>
    <t>BM  Nov</t>
  </si>
  <si>
    <t>Acum a Dic</t>
  </si>
  <si>
    <t>BD Dic</t>
  </si>
  <si>
    <t>BD a Dic</t>
  </si>
  <si>
    <t>DIF a Dic</t>
  </si>
  <si>
    <t>1,1 Ton por Hora</t>
  </si>
  <si>
    <t>Cierre 03/12</t>
  </si>
  <si>
    <t>TA 04/12</t>
  </si>
  <si>
    <t xml:space="preserve">Real </t>
  </si>
  <si>
    <t>Stock (TMS)</t>
  </si>
  <si>
    <t>TB 04/12</t>
  </si>
  <si>
    <t>Proyectado</t>
  </si>
  <si>
    <t>STMG(TMS)</t>
  </si>
  <si>
    <t>Tratamiento (TMS)</t>
  </si>
  <si>
    <t>Impacto SAG1 40 horas tratamiento y finas</t>
  </si>
  <si>
    <t>En planta como inventario, no pagables en puerto</t>
  </si>
  <si>
    <t>Horas Horas Planta</t>
  </si>
  <si>
    <t>PROGRAMA DE PRODUCCIÓN 2026</t>
  </si>
  <si>
    <t>Razon externa (0,5)</t>
  </si>
  <si>
    <t>Total Hrs detencion total</t>
  </si>
  <si>
    <t>hora día</t>
  </si>
  <si>
    <t>día</t>
  </si>
  <si>
    <t>número</t>
  </si>
  <si>
    <t>tph SAG</t>
  </si>
  <si>
    <t>Envío</t>
  </si>
  <si>
    <t>chancado</t>
  </si>
  <si>
    <t>stmg</t>
  </si>
  <si>
    <t>STR 36</t>
  </si>
  <si>
    <t>STR 28</t>
  </si>
  <si>
    <t>DETENCION PLANTA</t>
  </si>
  <si>
    <t>Inicio STMG</t>
  </si>
  <si>
    <t>Rdto SAGs</t>
  </si>
  <si>
    <t>PEM POST FLUJO CERO</t>
  </si>
  <si>
    <t>INGRESO DUCTO 28"</t>
  </si>
  <si>
    <t>Hrs Base</t>
  </si>
  <si>
    <t>horas disponibles</t>
  </si>
  <si>
    <t>SAG 2 Inicio 06:00 Hrs (75 Hrs), SAG 4 (90 Hrs)</t>
  </si>
  <si>
    <t xml:space="preserve">TPH SAG L4  MODELO </t>
  </si>
  <si>
    <t xml:space="preserve">TPH SAG L4 Recal. Y con restricciones </t>
  </si>
  <si>
    <t>Disponibilidad Electromecánica</t>
  </si>
  <si>
    <t>Hrs Disponibles Electromecánicas</t>
  </si>
  <si>
    <t>Hrs Disponibles Totales</t>
  </si>
  <si>
    <t>Mantenciones Programadas</t>
  </si>
  <si>
    <t>Razón externa</t>
  </si>
  <si>
    <t>Total Hrs detencion disponibilidad</t>
  </si>
  <si>
    <t>FLUJO CERO</t>
  </si>
  <si>
    <t>BOLAS 9</t>
  </si>
  <si>
    <t>EXTERNALIDADES</t>
  </si>
  <si>
    <t>STR</t>
  </si>
  <si>
    <t>CEE L1-L3</t>
  </si>
  <si>
    <t>POT L1 a L3</t>
  </si>
  <si>
    <t>POT L4</t>
  </si>
  <si>
    <t>kWH/Ton</t>
  </si>
  <si>
    <t>MW</t>
  </si>
  <si>
    <t>POT L1</t>
  </si>
  <si>
    <t>POT L2</t>
  </si>
  <si>
    <t>POT L3</t>
  </si>
  <si>
    <t>Potencia Requerida</t>
  </si>
  <si>
    <t>Mes Actual              :</t>
  </si>
  <si>
    <t>Deduccion Metalurgica</t>
  </si>
  <si>
    <t>Deduccion Metalurgica (real)</t>
  </si>
  <si>
    <t>Deduccion Metalurgica (Bdgt)</t>
  </si>
  <si>
    <t>Cu en CuCons</t>
  </si>
  <si>
    <t>Pagable Cu</t>
  </si>
  <si>
    <t>Pababilidad</t>
  </si>
  <si>
    <t>BDGT 2026</t>
  </si>
  <si>
    <t>Forecast 0+12</t>
  </si>
  <si>
    <t>PM v/s OL 0+12</t>
  </si>
  <si>
    <t xml:space="preserve">Horas Planta </t>
  </si>
  <si>
    <t>kwh/t</t>
  </si>
  <si>
    <t>Vector Concentrado con inventarios</t>
  </si>
  <si>
    <t>Vector Concentrado Filtrado</t>
  </si>
  <si>
    <t>Vector Concentrado por pagabilidad</t>
  </si>
  <si>
    <t>Toneladas de mineral Mineral</t>
  </si>
  <si>
    <t>OL 0+12</t>
  </si>
  <si>
    <t>R+P Acum. v/s OL 0+12 Acum</t>
  </si>
  <si>
    <t>TPH Efectivo</t>
  </si>
  <si>
    <t>Remanejo Previo MP</t>
  </si>
  <si>
    <t>Dia 18 ponderado</t>
  </si>
  <si>
    <t>Tratamiento 18</t>
  </si>
  <si>
    <t>MCP 18/02</t>
  </si>
  <si>
    <t xml:space="preserve">Factor de pagabilidad </t>
  </si>
  <si>
    <t>Consumo de Cal TPH Efectivo</t>
  </si>
  <si>
    <t>Consumo Cal TPH con CM</t>
  </si>
  <si>
    <t>Inv Final</t>
  </si>
  <si>
    <t>Hasta 6800 Gravitacional</t>
  </si>
  <si>
    <t>Luego 6800 a 7800 con bombas</t>
  </si>
  <si>
    <t>Hoy en día no se pueden ocupar</t>
  </si>
  <si>
    <t xml:space="preserve">7800 hacia arriba con ambos ductos </t>
  </si>
  <si>
    <t>POTENCIA</t>
  </si>
  <si>
    <t>TBN</t>
  </si>
  <si>
    <t>Enero Proy</t>
  </si>
  <si>
    <t>Molienda-Flota -TFT</t>
  </si>
  <si>
    <t>Mediciones</t>
  </si>
  <si>
    <t>Horas Disponibles</t>
  </si>
  <si>
    <t>Horas Totales</t>
  </si>
  <si>
    <t>Por hora MP R2</t>
  </si>
  <si>
    <t>Ajuste de leyes de concentrado pensando en inventariarse las 90 de MP solicitadas por desplzaamiento de enero a febrero</t>
  </si>
  <si>
    <t>Producido</t>
  </si>
  <si>
    <t>Enviado</t>
  </si>
  <si>
    <t>TMF Ajustada</t>
  </si>
  <si>
    <t>Ley de concentrado Recalculado</t>
  </si>
  <si>
    <t>TPF Efectivo</t>
  </si>
  <si>
    <t>R+P vs OL 0+12</t>
  </si>
  <si>
    <t>SI((I55+J55)&gt;$X$41;$X$41;(I55+J55))</t>
  </si>
  <si>
    <t>SI((I56+J56)&gt;$X$41;$X$41;(I56+J56))</t>
  </si>
  <si>
    <t>SI((I57+J57)&gt;$X$41;$X$41;(I57+J57))</t>
  </si>
  <si>
    <t>SI((I58+J58)&gt;$X$41;$X$41;(I58+J58))</t>
  </si>
  <si>
    <t>SI((I59+J59)&gt;$X$41;$X$41;(I59+J59))</t>
  </si>
  <si>
    <t>SI((I60+J60)&gt;$X$41;$X$41;(I60+J60))-13*0,5</t>
  </si>
  <si>
    <t>SI((I61+J61)&gt;$X$41;$X$41;(I61+J61))-11*0,5</t>
  </si>
  <si>
    <t>SI((I62+J62)&gt;$X$41;$X$41;(I62+J62))</t>
  </si>
  <si>
    <t>SI((I63+J63)&gt;$X$41;$X$41;(I63+J63))-24*0,5</t>
  </si>
  <si>
    <t>SI((I64+J64)&gt;$X$41;$X$41;(I64+J64))-24*0,5</t>
  </si>
  <si>
    <t>SI((I65+J65)&gt;$X$41;$X$41;(I65+J65))-24*0,5</t>
  </si>
  <si>
    <t>SI((I66+J66)&gt;$X$41;$X$41;(I66+J66))-24*0,4</t>
  </si>
  <si>
    <t>SI((I67+J67)&gt;$X$41;$X$41;(I67+J67))-24*0,4</t>
  </si>
  <si>
    <t>SI((I68+J68)&gt;$X$41;$X$41;(I68+J68))-24*0,4</t>
  </si>
  <si>
    <t>SI((I69+J69)&gt;$X$41;$X$41;(I69+J69))-24*0,3</t>
  </si>
  <si>
    <t>SI((I70+J70)&gt;$X$41;$X$41;(I70+J70))-24*0,3</t>
  </si>
  <si>
    <t>Ley de Fe</t>
  </si>
  <si>
    <t xml:space="preserve">Comparación por día </t>
  </si>
  <si>
    <t xml:space="preserve">Ley de cu </t>
  </si>
  <si>
    <t>Plan</t>
  </si>
  <si>
    <t>Recuperación de Cu</t>
  </si>
  <si>
    <t>Ley de Concol</t>
  </si>
  <si>
    <t>YTD</t>
  </si>
  <si>
    <t>Cu Producido</t>
  </si>
  <si>
    <t>CuFF ST</t>
  </si>
  <si>
    <t>CuFFP Ac ST</t>
  </si>
  <si>
    <t>CuFFP Bdgt</t>
  </si>
  <si>
    <t>Acum Bdgt</t>
  </si>
  <si>
    <t>Cálculo</t>
  </si>
  <si>
    <t>Ac Calculo</t>
  </si>
  <si>
    <t>Conc. Cu</t>
  </si>
  <si>
    <t>Acum ST</t>
  </si>
  <si>
    <t>Cu Bdgt</t>
  </si>
  <si>
    <t>Cu ST</t>
  </si>
  <si>
    <t>Trat ST</t>
  </si>
  <si>
    <t>Trat Bdgt</t>
  </si>
  <si>
    <t>MES</t>
  </si>
  <si>
    <t>FY</t>
  </si>
  <si>
    <t>Q1</t>
  </si>
  <si>
    <t>Q2</t>
  </si>
  <si>
    <t>Q3</t>
  </si>
  <si>
    <t>Q4</t>
  </si>
  <si>
    <t>Planta Concentradora</t>
  </si>
  <si>
    <t>Mineral Procesado</t>
  </si>
  <si>
    <t>kt</t>
  </si>
  <si>
    <t>Ley de Cu</t>
  </si>
  <si>
    <t>Ley de Au</t>
  </si>
  <si>
    <t>Ley de Mo</t>
  </si>
  <si>
    <t xml:space="preserve">Ley de Ag </t>
  </si>
  <si>
    <t>Recuperación de cobre</t>
  </si>
  <si>
    <t>Recuperación de oro</t>
  </si>
  <si>
    <t>Recuperación de Moly</t>
  </si>
  <si>
    <t>Recuperación de Ag</t>
  </si>
  <si>
    <t>Concentrado Cu producido</t>
  </si>
  <si>
    <t>Ley de Cu en concentrado</t>
  </si>
  <si>
    <t>Ley de Au en concentrado</t>
  </si>
  <si>
    <t>Ley de Ag en concentrado</t>
  </si>
  <si>
    <t>Concentrado Moly producido</t>
  </si>
  <si>
    <t>Ley de Mo en concentrado</t>
  </si>
  <si>
    <t>Cu fino producido</t>
  </si>
  <si>
    <t>t</t>
  </si>
  <si>
    <t>Au fino producido</t>
  </si>
  <si>
    <t>Mo fino producido</t>
  </si>
  <si>
    <t>Ag fino producido</t>
  </si>
  <si>
    <t>Puerto</t>
  </si>
  <si>
    <t>Concentrado Cu filtrado</t>
  </si>
  <si>
    <t>Cu fino contenido filtrado</t>
  </si>
  <si>
    <t>Au fino contenido filtrado</t>
  </si>
  <si>
    <t>Ag fino contenido filtrado</t>
  </si>
  <si>
    <t>Cu fino pagable filtrado</t>
  </si>
  <si>
    <t>Mo fino envasado</t>
  </si>
  <si>
    <t>Au fino pagable filtrado</t>
  </si>
  <si>
    <t>Ag fino pagable filtrado</t>
  </si>
  <si>
    <t>Concentrado embarcado</t>
  </si>
  <si>
    <t>Indicadores Op. Planta</t>
  </si>
  <si>
    <t>Chancado Primario</t>
  </si>
  <si>
    <t>Disponibilidad Chancado</t>
  </si>
  <si>
    <t>Utilización Chancado</t>
  </si>
  <si>
    <t>Coef. de Marcha Chancado</t>
  </si>
  <si>
    <t>Horas disponibles</t>
  </si>
  <si>
    <t>h</t>
  </si>
  <si>
    <t>Horas de uso</t>
  </si>
  <si>
    <t>Rendimiento Chancado</t>
  </si>
  <si>
    <t>Rendimiento energía</t>
  </si>
  <si>
    <t>kWh/t</t>
  </si>
  <si>
    <t>Dureza</t>
  </si>
  <si>
    <t>Humedad</t>
  </si>
  <si>
    <t>Procesamiento diario</t>
  </si>
  <si>
    <t>Disponibilidad</t>
  </si>
  <si>
    <t>Utilización</t>
  </si>
  <si>
    <t>Coef. marcha</t>
  </si>
  <si>
    <t>Horas detención Mantención</t>
  </si>
  <si>
    <t>Horas detención Operación</t>
  </si>
  <si>
    <t>Horas hábiles</t>
  </si>
  <si>
    <t>Stock Cu en cancha</t>
  </si>
  <si>
    <t>tms</t>
  </si>
  <si>
    <t>Cu fino equivalente filtrado</t>
  </si>
  <si>
    <t>C11</t>
  </si>
  <si>
    <t>C12</t>
  </si>
  <si>
    <t>C13</t>
  </si>
  <si>
    <t>C14</t>
  </si>
  <si>
    <t>Diferencia acumulado</t>
  </si>
  <si>
    <t>Rec.Cu</t>
  </si>
  <si>
    <t>tCu</t>
  </si>
  <si>
    <t>CuFF</t>
  </si>
  <si>
    <t>tCu ST</t>
  </si>
  <si>
    <t>Dif.ton</t>
  </si>
  <si>
    <t>Dif.CM</t>
  </si>
  <si>
    <t>Dif.tph</t>
  </si>
  <si>
    <t>Dif.%Cu</t>
  </si>
  <si>
    <t>Dif.Rec.Cu</t>
  </si>
  <si>
    <t>Dif.tCu</t>
  </si>
  <si>
    <t>Dif. Ton Acc.</t>
  </si>
  <si>
    <t>Dif. Cu Fino por Ley de Cu</t>
  </si>
  <si>
    <t>Dif. Cu Fino por Rec. De Cu</t>
  </si>
  <si>
    <t xml:space="preserve">Dif. Cu Fino </t>
  </si>
  <si>
    <t xml:space="preserve">Dif. Acum. Cu Fino </t>
  </si>
  <si>
    <t>Delta CM</t>
  </si>
  <si>
    <t>Delta TPH</t>
  </si>
  <si>
    <t>Delta F80</t>
  </si>
  <si>
    <t>Delta Axb</t>
  </si>
  <si>
    <t>Delta RQD</t>
  </si>
  <si>
    <t xml:space="preserve">Delta Duro </t>
  </si>
  <si>
    <t>CuFProd.-Planta</t>
  </si>
  <si>
    <t>CuFinoFiltrado</t>
  </si>
  <si>
    <t>Cu fino</t>
  </si>
  <si>
    <t>E</t>
  </si>
  <si>
    <t>MTD</t>
  </si>
  <si>
    <t>Pagabilidad ST</t>
  </si>
  <si>
    <t>CuFFP Real</t>
  </si>
  <si>
    <t>Ajuste Fino</t>
  </si>
  <si>
    <t>Proy PM</t>
  </si>
  <si>
    <r>
      <t xml:space="preserve">Waterfall CuFFP     /    Real + Proy. vs PM </t>
    </r>
    <r>
      <rPr>
        <b/>
        <sz val="12"/>
        <color theme="4"/>
        <rFont val="Calibri"/>
        <family val="2"/>
        <scheme val="minor"/>
      </rPr>
      <t>(Cierre de mes)</t>
    </r>
  </si>
  <si>
    <r>
      <t xml:space="preserve">Waterfall CuFFP     /    Real MTD  vs PM </t>
    </r>
    <r>
      <rPr>
        <b/>
        <sz val="12"/>
        <color theme="4"/>
        <rFont val="Calibri"/>
        <family val="2"/>
        <scheme val="minor"/>
      </rPr>
      <t>(MTD)</t>
    </r>
  </si>
  <si>
    <r>
      <t xml:space="preserve">Waterfall CuFFP     /    Proyección Resto del mes vs PM </t>
    </r>
    <r>
      <rPr>
        <b/>
        <sz val="12"/>
        <color theme="4"/>
        <rFont val="Calibri"/>
        <family val="2"/>
        <scheme val="minor"/>
      </rPr>
      <t>(Proyectado vs ST)</t>
    </r>
  </si>
  <si>
    <t>(Proyección PM)</t>
  </si>
  <si>
    <t>Real (PM)</t>
  </si>
  <si>
    <r>
      <t xml:space="preserve">Waterfall CuFFP     /    </t>
    </r>
    <r>
      <rPr>
        <b/>
        <sz val="12"/>
        <color theme="4"/>
        <rFont val="Calibri"/>
        <family val="2"/>
        <scheme val="minor"/>
      </rPr>
      <t>R+P VS BDGT FEBRERO</t>
    </r>
  </si>
  <si>
    <t>Pagabilidad BDGT FEBRERO</t>
  </si>
  <si>
    <t>R + P Mar</t>
  </si>
  <si>
    <t>PM Mar</t>
  </si>
  <si>
    <t>º</t>
  </si>
  <si>
    <t>Hrs L1-3</t>
  </si>
  <si>
    <t>Hrs L4</t>
  </si>
  <si>
    <t>Planta de Pebbles 120 Hrs</t>
  </si>
  <si>
    <t>CR.12 Gravilla 75 Hrs</t>
  </si>
  <si>
    <t>CV-125 (2 Hrs)</t>
  </si>
  <si>
    <t>Choapa detendio 8 Hrs</t>
  </si>
  <si>
    <t>Mantencion TK-13 (23 al 30)</t>
  </si>
  <si>
    <t>STMG, CH-1, CH-2 (20 Hrs) inicio 06:00 Hrs</t>
  </si>
  <si>
    <t>Ramp Up SAG 1</t>
  </si>
  <si>
    <t>Tratamiento 10</t>
  </si>
  <si>
    <t>MCP 10/02</t>
  </si>
  <si>
    <t>SAG1 (18 Hrs inicio 06:00 Hrs)</t>
  </si>
  <si>
    <t>Dia 10 ponderado</t>
  </si>
  <si>
    <t>Crash Stop y Grind Out SAG1 (4 Hrs)</t>
  </si>
  <si>
    <t>Termino ramp up SAG 3 (Hasta dia 6)</t>
  </si>
  <si>
    <t>Termino Ramp Up SAG 1 (15 Dias)</t>
  </si>
  <si>
    <t>36"</t>
  </si>
  <si>
    <t>Hrs disp.</t>
  </si>
  <si>
    <t>Vertimill 9 (75 Hrs), CV-125 (2 Hrs), mantencion SAG 1 (141 Hrs)</t>
  </si>
  <si>
    <t>Ley Con Producido</t>
  </si>
  <si>
    <t>Finos Producidos</t>
  </si>
  <si>
    <t>Finos Enviados</t>
  </si>
  <si>
    <t>Ajuste de Finos Enviados</t>
  </si>
  <si>
    <t>Ajuste de Ley Conc Enviada</t>
  </si>
  <si>
    <t>ORION</t>
  </si>
  <si>
    <t>PIPIT ARROW</t>
  </si>
  <si>
    <t>Nombre</t>
  </si>
  <si>
    <t>Turno</t>
  </si>
  <si>
    <t>Grupo</t>
  </si>
  <si>
    <t>Horario</t>
  </si>
  <si>
    <t>Solo día</t>
  </si>
  <si>
    <t>Solange Vera</t>
  </si>
  <si>
    <t>Marco San Martín</t>
  </si>
  <si>
    <t>3 y 4</t>
  </si>
  <si>
    <t>1 y 2</t>
  </si>
  <si>
    <t xml:space="preserve">Solo día </t>
  </si>
  <si>
    <t>Mina (Miercoles a martes)</t>
  </si>
  <si>
    <t>Con SBM</t>
  </si>
  <si>
    <t>CV-125 (2 Hrs);  bolas 9 (6hr)</t>
  </si>
  <si>
    <t>remanejo</t>
  </si>
  <si>
    <t>envio</t>
  </si>
  <si>
    <t>tto planta</t>
  </si>
  <si>
    <t>Cu Stock</t>
  </si>
  <si>
    <t>Mo Stock</t>
  </si>
  <si>
    <t>Ley ponde.</t>
  </si>
  <si>
    <t>Cu envio</t>
  </si>
  <si>
    <t>Mo envio</t>
  </si>
  <si>
    <t>SAG1 (MP hasta 23:00 Hrs); STR28 (2am)</t>
  </si>
  <si>
    <t>Reapriete pernos SAG1 (12hrs, inicio 23:00hrs)- Ramp Up SAG 1 - MP STMG (24hr inicio 8am)</t>
  </si>
  <si>
    <t>Rooling</t>
  </si>
  <si>
    <t>MB9 por 6 h</t>
  </si>
  <si>
    <t xml:space="preserve">SAG2 por 4 horas medicion </t>
  </si>
  <si>
    <t>Salida AM de planta de Pebbles</t>
  </si>
  <si>
    <t>Delta Tratamiento</t>
  </si>
  <si>
    <t>Delta Tratamiento Acum.</t>
  </si>
  <si>
    <t>Axb ST</t>
  </si>
  <si>
    <t>Axb proy</t>
  </si>
  <si>
    <t>Trat.</t>
  </si>
  <si>
    <t>Trat. Acum.</t>
  </si>
  <si>
    <t>Ley Cu Acum.</t>
  </si>
  <si>
    <t xml:space="preserve">Ley Cu </t>
  </si>
  <si>
    <t>Rec Cu Acum</t>
  </si>
  <si>
    <t>Tratamiento Ac</t>
  </si>
  <si>
    <t>Delta Ley Cu Acum.</t>
  </si>
  <si>
    <t>Delta Rec Cu Acum.</t>
  </si>
  <si>
    <t>reapriete pernos M.Bolas 9 (6hr)</t>
  </si>
  <si>
    <t>Mantención TK-13 (23 al 30); reapriete pernos M.Bolas 9 (6hr)</t>
  </si>
  <si>
    <t>duro</t>
  </si>
  <si>
    <t>TTO Planta, TMSD</t>
  </si>
  <si>
    <t>Stock pile, TMS Ac.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</si>
</sst>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5">
    <numFmt numFmtId="41" formatCode="_ * #,##0_ ;_ * \-#,##0_ ;_ * &quot;-&quot;_ ;_ @_ "/>
    <numFmt numFmtId="43" formatCode="_ * #,##0.00_ ;_ * \-#,##0.00_ ;_ * &quot;-&quot;??_ ;_ @_ "/>
    <numFmt numFmtId="164" formatCode="_-* #,##0.00\ &quot;€&quot;_-;\-* #,##0.00\ &quot;€&quot;_-;_-* &quot;-&quot;??\ &quot;€&quot;_-;_-@_-"/>
    <numFmt numFmtId="165" formatCode="_-* #,##0.00_-;\-* #,##0.00_-;_-* &quot;-&quot;??_-;_-@_-"/>
    <numFmt numFmtId="166" formatCode="_(* #,##0_);_(* \(#,##0\);_(* &quot;-&quot;_);_(@_)"/>
    <numFmt numFmtId="167" formatCode="_(* #,##0.00_);_(* \(#,##0.00\);_(* &quot;-&quot;??_);_(@_)"/>
    <numFmt numFmtId="168" formatCode="_-* #,##0\ _€_-;\-* #,##0\ _€_-;_-* &quot;-&quot;\ _€_-;_-@_-"/>
    <numFmt numFmtId="169" formatCode="_-* #,##0.00\ _€_-;\-* #,##0.00\ _€_-;_-* &quot;-&quot;??\ _€_-;_-@_-"/>
    <numFmt numFmtId="170" formatCode="_(&quot;$&quot;* #,##0.00_);_(&quot;$&quot;* \(#,##0.00\);_(&quot;$&quot;* &quot;-&quot;??_);_(@_)"/>
    <numFmt numFmtId="171" formatCode="&quot;$&quot;#,##0_);[Red]\(&quot;$&quot;#,##0\)"/>
    <numFmt numFmtId="172" formatCode="&quot;$&quot;#,##0.00_);[Red]\(&quot;$&quot;#,##0.00\)"/>
    <numFmt numFmtId="173" formatCode="_(&quot;$&quot;* #,##0_);_(&quot;$&quot;* \(#,##0\);_(&quot;$&quot;* &quot;-&quot;_);_(@_)"/>
    <numFmt numFmtId="174" formatCode="_-* #,##0.00\ _$_-;\-* #,##0.00\ _$_-;_-* &quot;-&quot;??\ _$_-;_-@_-"/>
    <numFmt numFmtId="175" formatCode="_-* #,##0.00\ _P_t_s_-;\-* #,##0.00\ _P_t_s_-;_-* &quot;-&quot;??\ _P_t_s_-;_-@_-"/>
    <numFmt numFmtId="176" formatCode="0.0"/>
    <numFmt numFmtId="177" formatCode="_-* #,##0.0_-;\-* #,##0.0_-;_-* &quot;-&quot;??_-;_-@_-"/>
    <numFmt numFmtId="178" formatCode="_-* #,##0_-;\-* #,##0_-;_-* &quot;-&quot;??_-;_-@_-"/>
    <numFmt numFmtId="179" formatCode="0.000"/>
    <numFmt numFmtId="180" formatCode="_-[$€-2]\ * #,##0.00_-;\-[$€-2]\ * #,##0.00_-;_-[$€-2]\ * &quot;-&quot;??_-"/>
    <numFmt numFmtId="181" formatCode="0.0000"/>
    <numFmt numFmtId="182" formatCode="#,##0.0"/>
    <numFmt numFmtId="183" formatCode="#,##0.000"/>
    <numFmt numFmtId="184" formatCode="#,##0.000000"/>
    <numFmt numFmtId="185" formatCode="0.0%"/>
    <numFmt numFmtId="186" formatCode="_(* #,##0.000_);_(* \(#,##0.000\);_(* &quot;-&quot;??_);_(@_)"/>
    <numFmt numFmtId="187" formatCode="_(* #,##0_);_(* \(#,##0\);_(* &quot;-&quot;??_);_(@_)"/>
    <numFmt numFmtId="188" formatCode="_(* #,##0.0_);_(* \(#,##0.0\);_(* &quot;-&quot;??_);_(@_)"/>
    <numFmt numFmtId="189" formatCode="#,##0.0000"/>
    <numFmt numFmtId="190" formatCode="&quot;$&quot;#,##0\ ;\(&quot;$&quot;#,##0\)"/>
    <numFmt numFmtId="191" formatCode="&quot;$&quot;#,##0.00\ ;\(&quot;$&quot;#,##0.00\)"/>
    <numFmt numFmtId="192" formatCode="_-* #,##0.000_-;\-* #,##0.000_-;_-* &quot;-&quot;??_-;_-@_-"/>
    <numFmt numFmtId="193" formatCode="[$-C0A]d\-mmm\-yy;@"/>
    <numFmt numFmtId="194" formatCode="dd/mm/yy;@"/>
    <numFmt numFmtId="195" formatCode="mmmm"/>
    <numFmt numFmtId="196" formatCode="0.0_ ;\-0.0\ "/>
    <numFmt numFmtId="197" formatCode="0.00000"/>
    <numFmt numFmtId="198" formatCode="[$-409]d\-mmm;@"/>
    <numFmt numFmtId="199" formatCode="[$-C0A]d\-mmm;@"/>
    <numFmt numFmtId="200" formatCode="#,#00"/>
    <numFmt numFmtId="201" formatCode="#,#00.0"/>
    <numFmt numFmtId="202" formatCode="#,##0.00000"/>
    <numFmt numFmtId="203" formatCode="#,##0.0;[Red]\-#,##0.0"/>
    <numFmt numFmtId="204" formatCode="_([$€]* #,##0.00_);_([$€]* \(#,##0.00\);_([$€]* &quot;-&quot;??_);_(@_)"/>
    <numFmt numFmtId="205" formatCode="#,##0[$€];[Red]\-#,##0[$€]"/>
    <numFmt numFmtId="206" formatCode="[$-409]mmm\-yy;@"/>
    <numFmt numFmtId="207" formatCode="ddd"/>
    <numFmt numFmtId="208" formatCode="0_ "/>
    <numFmt numFmtId="209" formatCode="#,##0.00_ "/>
    <numFmt numFmtId="210" formatCode="#,##0.0_ "/>
    <numFmt numFmtId="211" formatCode="#,##0.0000_ "/>
    <numFmt numFmtId="212" formatCode="0.0_ "/>
    <numFmt numFmtId="213" formatCode="#,##0_ "/>
    <numFmt numFmtId="214" formatCode="#,##0.000000_ "/>
    <numFmt numFmtId="215" formatCode="_-* #,##0.00\ [$€-1]_-;\-* #,##0.00\ [$€-1]_-;_-* &quot;-&quot;??\ [$€-1]_-"/>
    <numFmt numFmtId="216" formatCode="0.000_ "/>
    <numFmt numFmtId="217" formatCode="#,##0.00000_ "/>
    <numFmt numFmtId="218" formatCode="#,##0_ ;\(#,##0_ \)"/>
    <numFmt numFmtId="219" formatCode="#0\ ;\(#0\ \)"/>
    <numFmt numFmtId="220" formatCode="0.00000000"/>
    <numFmt numFmtId="221" formatCode="0.000000000"/>
    <numFmt numFmtId="222" formatCode="0.000000"/>
    <numFmt numFmtId="223" formatCode="_-* #,##0.0_-;\-* #,##0.0_-;_-* &quot;-&quot;?_-;_-@_-"/>
    <numFmt numFmtId="224" formatCode="_-* #,##0.00\ [$€]_-;\-* #,##0.00\ [$€]_-;_-* &quot;-&quot;??\ [$€]_-;_-@_-"/>
    <numFmt numFmtId="225" formatCode="d\-m\-yy;@"/>
    <numFmt numFmtId="226" formatCode="_-* #,##0.00\ _P_t_a_-;\-* #,##0.00\ _P_t_a_-;_-* &quot;-&quot;??\ _P_t_a_-;_-@_-"/>
    <numFmt numFmtId="227" formatCode="_(&quot;Ch$&quot;* #,##0.00_);_(&quot;Ch$&quot;* \(#,##0.00\);_(&quot;Ch$&quot;* &quot;-&quot;??_);_(@_)"/>
    <numFmt numFmtId="228" formatCode="_-* #,##0.00\ &quot;Pts&quot;_-;\-* #,##0.00\ &quot;Pts&quot;_-;_-* &quot;-&quot;??\ &quot;Pts&quot;_-;_-@_-"/>
    <numFmt numFmtId="229" formatCode="_-* #,##0.00\ &quot;pta&quot;_-;\-* #,##0.00\ &quot;pta&quot;_-;_-* &quot;-&quot;??\ &quot;pta&quot;_-;_-@_-"/>
    <numFmt numFmtId="230" formatCode="_-* #,##0.00\ _p_t_a_-;\-* #,##0.00\ _p_t_a_-;_-* &quot;-&quot;??\ _p_t_a_-;_-@_-"/>
    <numFmt numFmtId="231" formatCode="dd/mm"/>
    <numFmt numFmtId="232" formatCode="_-* #,##0.000\ _P_t_s_-;\-* #,##0.000\ _P_t_s_-;_-* &quot;-&quot;??\ _P_t_s_-;_-@_-"/>
    <numFmt numFmtId="233" formatCode="#,##0.000;\-#,##0.000;"/>
    <numFmt numFmtId="234" formatCode="_-[$€]\ * #,##0.00_-;\-[$€]\ * #,##0.00_-;_-[$€]\ * &quot;-&quot;??_-;_-@_-"/>
    <numFmt numFmtId="235" formatCode="_-* #,##0.0000\ _P_t_s_-;\-* #,##0.0000\ _P_t_s_-;_-* &quot;-&quot;??\ _P_t_s_-;_-@_-"/>
    <numFmt numFmtId="236" formatCode="_-* #,##0.0000_-;\-* #,##0.0000_-;_-* &quot;-&quot;?_-;_-@_-"/>
    <numFmt numFmtId="237" formatCode="#,##0.0000000000000000000000000000000000000000000000"/>
    <numFmt numFmtId="238" formatCode="0.000000000000000000000%"/>
    <numFmt numFmtId="239" formatCode="[$-409]mmm/yy;@"/>
    <numFmt numFmtId="240" formatCode="_-&quot;$&quot;\ * #,##0.00_-;\-&quot;$&quot;\ * #,##0.00_-;_-&quot;$&quot;\ * &quot;-&quot;??_-;_-@_-"/>
    <numFmt numFmtId="241" formatCode="_(&quot;€&quot;* #,##0.00_);_(&quot;€&quot;* \(#,##0.00\);_(&quot;€&quot;* &quot;-&quot;??_);_(@_)"/>
    <numFmt numFmtId="242" formatCode="_(* #,##0.0000_);_(* \(#,##0.0000\);_(* &quot;-&quot;??_);_(@_)"/>
    <numFmt numFmtId="243" formatCode="_-* #,##0\ _P_t_a_-;\-* #,##0\ _P_t_a_-;_-* &quot;-&quot;\ _P_t_a_-;_-@_-"/>
    <numFmt numFmtId="244" formatCode="_-* #,##0\ _$_-;\-* #,##0\ _$_-;_-* &quot;-&quot;\ _$_-;_-@_-"/>
    <numFmt numFmtId="245" formatCode="_-* #,##0\ _P_t_s_-;\-* #,##0\ _P_t_s_-;_-* &quot;-&quot;\ _P_t_s_-;_-@_-"/>
    <numFmt numFmtId="246" formatCode="#,##0.000;[Red]\-#,##0.000"/>
    <numFmt numFmtId="247" formatCode="#,##0_ ;\-#,##0\ "/>
    <numFmt numFmtId="248" formatCode="#,##0.000_ ;\-#,##0.000\ "/>
    <numFmt numFmtId="249" formatCode="_(* #,##0.00_);_(* \(#,##0.00\);_(* &quot;-&quot;_);_(@_)"/>
    <numFmt numFmtId="250" formatCode="_(* #,##0.000_);_(* \(#,##0.000\);_(* &quot;-&quot;_);_(@_)"/>
    <numFmt numFmtId="251" formatCode="#,##0.000000000"/>
    <numFmt numFmtId="252" formatCode="_ * #,##0.0_ ;_ * \-#,##0.0_ ;_ * &quot;-&quot;_ ;_ @_ "/>
    <numFmt numFmtId="253" formatCode="_ * #,##0.000_ ;_ * \-#,##0.000_ ;_ * &quot;-&quot;??_ ;_ @_ "/>
    <numFmt numFmtId="254" formatCode="_(* #,##0.0_);_(* \(#,##0.0\);_(* &quot;-&quot;_);_(@_)"/>
    <numFmt numFmtId="255" formatCode="#,##0_ ;[Red]\-#,##0\ "/>
    <numFmt numFmtId="256" formatCode="0_);[Red]\(0\)"/>
    <numFmt numFmtId="257" formatCode="_ * #,##0.000_ ;_ * \-#,##0.000_ ;_ * &quot;-&quot;_ ;_ @_ "/>
    <numFmt numFmtId="258" formatCode="_ * #,##0.000000_ ;_ * \-#,##0.000000_ ;_ * &quot;-&quot;??????_ ;_ @_ "/>
    <numFmt numFmtId="259" formatCode="0.000%"/>
    <numFmt numFmtId="260" formatCode="0.0000000"/>
    <numFmt numFmtId="261" formatCode="_-* #,##0.0\ _P_t_s_-;\-* #,##0.0\ _P_t_s_-;_-* &quot;-&quot;??\ _P_t_s_-;_-@_-"/>
    <numFmt numFmtId="262" formatCode="_-* #,##0\ _P_t_s_-;\-* #,##0\ _P_t_s_-;_-* &quot;-&quot;??\ _P_t_s_-;_-@_-"/>
    <numFmt numFmtId="263" formatCode="_(* #,##0.00000_);_(* \(#,##0.00000\);_(* &quot;-&quot;??_);_(@_)"/>
    <numFmt numFmtId="264" formatCode="yyyy/mm/dd;@"/>
    <numFmt numFmtId="265" formatCode="#,##0.0000000"/>
    <numFmt numFmtId="266" formatCode="0.000_ ;[Red]\-0.000\ "/>
    <numFmt numFmtId="267" formatCode="0_ ;[Red]\-0\ "/>
    <numFmt numFmtId="268" formatCode="0.0_ ;[Red]\-0.0\ "/>
    <numFmt numFmtId="269" formatCode="0.00_ ;[Red]\-0.00\ "/>
    <numFmt numFmtId="270" formatCode="dddd\,\ d\ &quot;de&quot;\ mmm\ hh:mm"/>
    <numFmt numFmtId="271" formatCode="_ * #,##0.0_ ;_ * \-#,##0.0_ ;_ * &quot;-&quot;?_ ;_ @_ "/>
    <numFmt numFmtId="272" formatCode="#,##0.0000000000000"/>
    <numFmt numFmtId="273" formatCode="#,##0.0;\(#,##0.0\);"/>
    <numFmt numFmtId="274" formatCode="#,##0;\(#,##0\);"/>
    <numFmt numFmtId="275" formatCode="#,##0.000;\(#,##0.000\);"/>
    <numFmt numFmtId="276" formatCode="#,##0.00;\(#,##0.00\);"/>
    <numFmt numFmtId="277" formatCode="_ * #,##0.00_ ;_ * \-#,##0.00_ ;_ * &quot;-&quot;_ ;_ @_ "/>
    <numFmt numFmtId="278" formatCode="_-[$€-2]\ * #,##0.00000_-;\-[$€-2]\ * #,##0.00000_-;_-[$€-2]\ * &quot;-&quot;??_-"/>
    <numFmt numFmtId="279" formatCode="#,##0;\-#,##0;\-"/>
    <numFmt numFmtId="280" formatCode="#,##0.0;\-#,##0.0;\-"/>
    <numFmt numFmtId="281" formatCode="#,##0.00;\-#,##0.00;\-"/>
    <numFmt numFmtId="282" formatCode="#,##0;\(#,##0\);\-"/>
    <numFmt numFmtId="283" formatCode="#,##0.000;\-#,##0.000;\-"/>
    <numFmt numFmtId="284" formatCode="d"/>
    <numFmt numFmtId="285" formatCode="_ * #,##0.0000_ ;_ * \-#,##0.0000_ ;_ * &quot;-&quot;??_ ;_ @_ "/>
    <numFmt numFmtId="286" formatCode="_ * #,##0.00000_ ;_ * \-#,##0.00000_ ;_ * &quot;-&quot;??_ ;_ @_ "/>
  </numFmts>
  <fonts count="38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color indexed="24"/>
      <name val="Arial"/>
      <family val="2"/>
    </font>
    <font>
      <sz val="10"/>
      <color indexed="24"/>
      <name val="MS Sans Serif"/>
      <family val="2"/>
    </font>
    <font>
      <i/>
      <sz val="11"/>
      <color indexed="23"/>
      <name val="Calibri"/>
      <family val="2"/>
    </font>
    <font>
      <sz val="10"/>
      <color indexed="22"/>
      <name val="Arial"/>
      <family val="2"/>
    </font>
    <font>
      <sz val="11"/>
      <color indexed="17"/>
      <name val="Calibri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Helv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name val="ＭＳ Ｐゴシック"/>
      <family val="3"/>
      <charset val="128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sz val="10"/>
      <color indexed="24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color indexed="10"/>
      <name val="Times New Roman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0"/>
      <color indexed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2"/>
      <name val="Times New Roman"/>
      <family val="1"/>
    </font>
    <font>
      <b/>
      <sz val="12"/>
      <color indexed="9"/>
      <name val="Arial"/>
      <family val="2"/>
    </font>
    <font>
      <b/>
      <sz val="10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sz val="9"/>
      <name val="Arial"/>
      <family val="2"/>
    </font>
    <font>
      <sz val="8"/>
      <name val="Calibri"/>
      <family val="2"/>
    </font>
    <font>
      <b/>
      <u/>
      <sz val="12"/>
      <color indexed="9"/>
      <name val="Arial"/>
      <family val="2"/>
    </font>
    <font>
      <b/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10"/>
      <name val="Times New Roman"/>
      <family val="1"/>
    </font>
    <font>
      <sz val="8"/>
      <name val="Times New Roman"/>
      <family val="1"/>
    </font>
    <font>
      <b/>
      <sz val="10"/>
      <color indexed="9"/>
      <name val="Times New Roman"/>
      <family val="1"/>
    </font>
    <font>
      <b/>
      <sz val="14"/>
      <color indexed="10"/>
      <name val="Arial"/>
      <family val="2"/>
    </font>
    <font>
      <b/>
      <sz val="14"/>
      <color indexed="11"/>
      <name val="Arial"/>
      <family val="2"/>
    </font>
    <font>
      <sz val="16"/>
      <color indexed="12"/>
      <name val="Times New Roman"/>
      <family val="1"/>
    </font>
    <font>
      <sz val="16"/>
      <color indexed="8"/>
      <name val="Times New Roman"/>
      <family val="1"/>
    </font>
    <font>
      <b/>
      <sz val="11"/>
      <color indexed="8"/>
      <name val="Calibri"/>
      <family val="2"/>
    </font>
    <font>
      <sz val="10"/>
      <name val="MS Sans Serif"/>
      <family val="2"/>
    </font>
    <font>
      <u/>
      <sz val="7.5"/>
      <color indexed="12"/>
      <name val="Arial"/>
      <family val="2"/>
    </font>
    <font>
      <sz val="14"/>
      <name val="Arial"/>
      <family val="2"/>
    </font>
    <font>
      <b/>
      <sz val="12"/>
      <color indexed="10"/>
      <name val="Arial"/>
      <family val="2"/>
    </font>
    <font>
      <sz val="6"/>
      <name val="ＭＳ Ｐゴシック"/>
      <family val="3"/>
      <charset val="128"/>
    </font>
    <font>
      <b/>
      <sz val="18"/>
      <color indexed="56"/>
      <name val="Cambria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9"/>
      <color indexed="81"/>
      <name val="ＭＳ Ｐゴシック"/>
      <family val="3"/>
      <charset val="128"/>
    </font>
    <font>
      <sz val="10"/>
      <name val="Helv"/>
    </font>
    <font>
      <b/>
      <sz val="18"/>
      <color indexed="56"/>
      <name val="Cambria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b/>
      <sz val="12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b/>
      <sz val="10"/>
      <color indexed="63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sz val="11"/>
      <color indexed="81"/>
      <name val="Tahoma"/>
      <family val="2"/>
    </font>
    <font>
      <sz val="10"/>
      <name val="Arial"/>
      <family val="2"/>
    </font>
    <font>
      <sz val="12"/>
      <color theme="0" tint="-0.14999847407452621"/>
      <name val="Arial"/>
      <family val="2"/>
    </font>
    <font>
      <b/>
      <sz val="8"/>
      <color indexed="81"/>
      <name val="Tahoma"/>
      <family val="2"/>
    </font>
    <font>
      <b/>
      <sz val="11"/>
      <color theme="3"/>
      <name val="Arial"/>
      <family val="2"/>
    </font>
    <font>
      <b/>
      <sz val="11"/>
      <color indexed="10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color indexed="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19"/>
      <name val="Calibri"/>
      <family val="2"/>
      <scheme val="minor"/>
    </font>
    <font>
      <sz val="12"/>
      <color indexed="24"/>
      <name val="Arial"/>
      <family val="2"/>
    </font>
    <font>
      <b/>
      <sz val="15"/>
      <color indexed="62"/>
      <name val="Calibri"/>
      <family val="2"/>
      <scheme val="minor"/>
    </font>
    <font>
      <b/>
      <sz val="18"/>
      <color indexed="62"/>
      <name val="Cambria"/>
      <family val="2"/>
      <scheme val="major"/>
    </font>
    <font>
      <b/>
      <sz val="13"/>
      <color indexed="62"/>
      <name val="Calibri"/>
      <family val="2"/>
      <scheme val="minor"/>
    </font>
    <font>
      <sz val="8"/>
      <color indexed="8"/>
      <name val="Arial"/>
      <family val="2"/>
    </font>
    <font>
      <sz val="8"/>
      <color indexed="8"/>
      <name val="Verdana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sz val="8"/>
      <color rgb="FF006100"/>
      <name val="Arial"/>
      <family val="2"/>
    </font>
    <font>
      <b/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A7D00"/>
      <name val="Arial"/>
      <family val="2"/>
    </font>
    <font>
      <sz val="8"/>
      <color rgb="FF3F3F76"/>
      <name val="Arial"/>
      <family val="2"/>
    </font>
    <font>
      <sz val="8"/>
      <color rgb="FF9C0006"/>
      <name val="Arial"/>
      <family val="2"/>
    </font>
    <font>
      <sz val="8"/>
      <color rgb="FF9C6500"/>
      <name val="Arial"/>
      <family val="2"/>
    </font>
    <font>
      <sz val="10"/>
      <color theme="1"/>
      <name val="Arial"/>
      <family val="2"/>
    </font>
    <font>
      <b/>
      <sz val="8"/>
      <color rgb="FF3F3F3F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8"/>
      <color theme="1"/>
      <name val="Arial"/>
      <family val="2"/>
    </font>
    <font>
      <b/>
      <sz val="10"/>
      <color rgb="FFFF0000"/>
      <name val="Times New Roman"/>
      <family val="1"/>
    </font>
    <font>
      <b/>
      <sz val="10"/>
      <color theme="0"/>
      <name val="Arial"/>
      <family val="2"/>
    </font>
    <font>
      <b/>
      <sz val="12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2"/>
      <name val="Calibri"/>
      <family val="2"/>
    </font>
    <font>
      <b/>
      <sz val="12"/>
      <color indexed="8"/>
      <name val="Calibri"/>
      <family val="2"/>
      <scheme val="minor"/>
    </font>
    <font>
      <sz val="12"/>
      <color theme="0"/>
      <name val="Arial"/>
      <family val="2"/>
    </font>
    <font>
      <b/>
      <sz val="12"/>
      <color indexed="12"/>
      <name val="Arial"/>
      <family val="2"/>
    </font>
    <font>
      <b/>
      <sz val="12"/>
      <color rgb="FFFF0000"/>
      <name val="Arial"/>
      <family val="2"/>
    </font>
    <font>
      <b/>
      <sz val="18"/>
      <color theme="3"/>
      <name val="Cambria"/>
      <family val="2"/>
    </font>
    <font>
      <sz val="18"/>
      <color theme="3"/>
      <name val="Cambria"/>
      <family val="2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1"/>
      <color theme="0"/>
      <name val="Arial"/>
      <family val="2"/>
    </font>
    <font>
      <b/>
      <sz val="11"/>
      <color indexed="62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b/>
      <sz val="11"/>
      <color indexed="81"/>
      <name val="Tahoma"/>
      <family val="2"/>
    </font>
    <font>
      <sz val="14"/>
      <color theme="7" tint="-0.499984740745262"/>
      <name val="Arial"/>
      <family val="2"/>
    </font>
    <font>
      <sz val="10"/>
      <color theme="7" tint="-0.499984740745262"/>
      <name val="Arial"/>
      <family val="2"/>
    </font>
    <font>
      <b/>
      <sz val="10"/>
      <color theme="0" tint="-0.499984740745262"/>
      <name val="Arial"/>
      <family val="2"/>
    </font>
    <font>
      <sz val="10"/>
      <color indexed="8"/>
      <name val="Calibri"/>
      <family val="2"/>
    </font>
    <font>
      <b/>
      <sz val="10"/>
      <color theme="3"/>
      <name val="Arial"/>
      <family val="2"/>
    </font>
    <font>
      <sz val="10"/>
      <color indexed="12"/>
      <name val="Arial"/>
      <family val="2"/>
    </font>
    <font>
      <b/>
      <sz val="18"/>
      <color theme="0" tint="-0.499984740745262"/>
      <name val="Arial"/>
      <family val="2"/>
    </font>
    <font>
      <sz val="14"/>
      <color theme="0"/>
      <name val="Arial"/>
      <family val="2"/>
    </font>
    <font>
      <u/>
      <sz val="14"/>
      <color indexed="12"/>
      <name val="Arial"/>
      <family val="2"/>
    </font>
    <font>
      <sz val="14"/>
      <color indexed="8"/>
      <name val="Arial"/>
      <family val="2"/>
    </font>
    <font>
      <sz val="14"/>
      <color theme="6"/>
      <name val="Arial"/>
      <family val="2"/>
    </font>
    <font>
      <b/>
      <sz val="12"/>
      <color theme="0" tint="-0.499984740745262"/>
      <name val="Arial"/>
      <family val="2"/>
    </font>
    <font>
      <sz val="12"/>
      <color theme="0" tint="-0.499984740745262"/>
      <name val="Arial"/>
      <family val="2"/>
    </font>
    <font>
      <sz val="10"/>
      <color indexed="55"/>
      <name val="Arial"/>
      <family val="2"/>
    </font>
    <font>
      <b/>
      <u/>
      <sz val="8"/>
      <name val="Arial"/>
      <family val="2"/>
    </font>
    <font>
      <b/>
      <sz val="8"/>
      <name val="Arial"/>
      <family val="2"/>
    </font>
    <font>
      <sz val="8"/>
      <color theme="0" tint="-0.249977111117893"/>
      <name val="Arial"/>
      <family val="2"/>
    </font>
    <font>
      <sz val="8"/>
      <color indexed="12"/>
      <name val="Arial"/>
      <family val="2"/>
    </font>
    <font>
      <sz val="11"/>
      <color theme="0"/>
      <name val="Arial"/>
      <family val="2"/>
    </font>
    <font>
      <sz val="11"/>
      <color indexed="9"/>
      <name val="Arial"/>
      <family val="2"/>
    </font>
    <font>
      <sz val="11"/>
      <color indexed="10"/>
      <name val="Arial"/>
      <family val="2"/>
    </font>
    <font>
      <b/>
      <sz val="10"/>
      <color indexed="9"/>
      <name val="Calibri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6"/>
      <name val="HGGothicE"/>
      <family val="3"/>
      <charset val="128"/>
    </font>
    <font>
      <sz val="11"/>
      <color theme="1"/>
      <name val="Calibri"/>
      <family val="2"/>
      <charset val="128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8.5"/>
      <name val="Arial"/>
      <family val="2"/>
    </font>
    <font>
      <sz val="8.5"/>
      <name val="Arial"/>
      <family val="2"/>
    </font>
    <font>
      <b/>
      <sz val="8.5"/>
      <color theme="0"/>
      <name val="Arial"/>
      <family val="2"/>
    </font>
    <font>
      <b/>
      <sz val="10"/>
      <color theme="0"/>
      <name val="Times New Roman"/>
      <family val="1"/>
    </font>
    <font>
      <sz val="18"/>
      <color theme="3"/>
      <name val="Cambria"/>
      <family val="2"/>
      <scheme val="major"/>
    </font>
    <font>
      <sz val="12"/>
      <color indexed="18"/>
      <name val="Arial Narrow"/>
      <family val="2"/>
    </font>
    <font>
      <sz val="12"/>
      <name val="Arial Narrow"/>
      <family val="2"/>
    </font>
    <font>
      <sz val="10"/>
      <color theme="2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Arial Narrow"/>
      <family val="2"/>
    </font>
    <font>
      <sz val="12"/>
      <color rgb="FFFF0000"/>
      <name val="Arial Narrow"/>
      <family val="2"/>
    </font>
    <font>
      <b/>
      <sz val="9"/>
      <color theme="0"/>
      <name val="Times New Roman"/>
      <family val="1"/>
    </font>
    <font>
      <sz val="9"/>
      <color theme="0"/>
      <name val="Times New Roman"/>
      <family val="1"/>
    </font>
    <font>
      <sz val="18"/>
      <name val="Arial"/>
      <family val="2"/>
    </font>
    <font>
      <b/>
      <sz val="10"/>
      <color rgb="FF0000FF"/>
      <name val="Arial"/>
      <family val="2"/>
    </font>
    <font>
      <b/>
      <sz val="12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sz val="12"/>
      <color theme="0"/>
      <name val="Calibri"/>
      <family val="2"/>
    </font>
    <font>
      <b/>
      <u/>
      <sz val="12"/>
      <color theme="0"/>
      <name val="Arial"/>
      <family val="2"/>
    </font>
    <font>
      <sz val="8"/>
      <color theme="0"/>
      <name val="Times New Roman"/>
      <family val="1"/>
    </font>
    <font>
      <b/>
      <u/>
      <sz val="9"/>
      <color theme="0"/>
      <name val="Calibri"/>
      <family val="2"/>
      <scheme val="minor"/>
    </font>
    <font>
      <b/>
      <sz val="10"/>
      <color theme="0"/>
      <name val="Aptos"/>
      <family val="2"/>
    </font>
    <font>
      <b/>
      <sz val="10"/>
      <color theme="1"/>
      <name val="Calibri"/>
      <family val="2"/>
      <scheme val="minor"/>
    </font>
    <font>
      <sz val="9"/>
      <color theme="0"/>
      <name val="Arial"/>
      <family val="2"/>
    </font>
    <font>
      <b/>
      <sz val="18"/>
      <name val="Arial"/>
      <family val="2"/>
    </font>
    <font>
      <sz val="10"/>
      <color rgb="FFFFFFFF"/>
      <name val="Arial"/>
      <family val="2"/>
    </font>
    <font>
      <sz val="8"/>
      <color rgb="FFFF0000"/>
      <name val="Calibri"/>
      <family val="2"/>
      <scheme val="minor"/>
    </font>
    <font>
      <i/>
      <sz val="9"/>
      <name val="Calibri"/>
      <family val="2"/>
      <scheme val="minor"/>
    </font>
    <font>
      <b/>
      <sz val="9"/>
      <name val="Arial"/>
      <family val="2"/>
    </font>
    <font>
      <b/>
      <i/>
      <sz val="9"/>
      <name val="Calibri"/>
      <family val="2"/>
      <scheme val="minor"/>
    </font>
    <font>
      <b/>
      <i/>
      <sz val="8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0" tint="-0.34998626667073579"/>
      <name val="Calibri"/>
      <family val="2"/>
    </font>
    <font>
      <b/>
      <sz val="11"/>
      <color theme="1" tint="0.34998626667073579"/>
      <name val="Calibri"/>
      <family val="2"/>
      <scheme val="minor"/>
    </font>
    <font>
      <b/>
      <sz val="13"/>
      <color theme="1" tint="0.24994659260841701"/>
      <name val="Cambria"/>
      <family val="2"/>
      <scheme val="major"/>
    </font>
    <font>
      <b/>
      <sz val="13"/>
      <color theme="7"/>
      <name val="Cambria"/>
      <family val="2"/>
      <scheme val="major"/>
    </font>
    <font>
      <b/>
      <sz val="10"/>
      <color indexed="56"/>
      <name val="Calibri"/>
      <family val="2"/>
    </font>
    <font>
      <b/>
      <sz val="10"/>
      <color theme="1" tint="0.24994659260841701"/>
      <name val="Calibri"/>
      <family val="2"/>
    </font>
    <font>
      <sz val="10"/>
      <color theme="1" tint="0.24994659260841701"/>
      <name val="Calibri"/>
      <family val="2"/>
    </font>
    <font>
      <sz val="3"/>
      <name val="Arial"/>
      <family val="2"/>
    </font>
    <font>
      <b/>
      <sz val="12"/>
      <name val="Arial Narrow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2"/>
      <color theme="1"/>
      <name val="Arial Narrow"/>
      <family val="2"/>
    </font>
    <font>
      <b/>
      <sz val="9"/>
      <color theme="1"/>
      <name val="Arial"/>
      <family val="2"/>
    </font>
    <font>
      <b/>
      <sz val="9"/>
      <color rgb="FFFF0000"/>
      <name val="Calibri"/>
      <family val="2"/>
      <scheme val="minor"/>
    </font>
    <font>
      <sz val="8"/>
      <name val="Trebuchet MS"/>
      <family val="2"/>
    </font>
    <font>
      <sz val="9"/>
      <name val="Trebuchet MS"/>
      <family val="2"/>
    </font>
    <font>
      <b/>
      <sz val="14"/>
      <color theme="0"/>
      <name val="Trebuchet MS"/>
      <family val="2"/>
    </font>
    <font>
      <b/>
      <sz val="9"/>
      <color theme="0"/>
      <name val="Trebuchet MS"/>
      <family val="2"/>
    </font>
    <font>
      <b/>
      <sz val="9"/>
      <name val="Trebuchet MS"/>
      <family val="2"/>
    </font>
    <font>
      <i/>
      <sz val="9"/>
      <name val="Trebuchet MS"/>
      <family val="2"/>
    </font>
    <font>
      <b/>
      <sz val="8"/>
      <color theme="0" tint="-0.34998626667073579"/>
      <name val="Calibri"/>
      <family val="2"/>
      <scheme val="minor"/>
    </font>
    <font>
      <b/>
      <sz val="9"/>
      <color theme="0" tint="-0.34998626667073579"/>
      <name val="Trebuchet MS"/>
      <family val="2"/>
    </font>
    <font>
      <sz val="9"/>
      <color rgb="FF003B49"/>
      <name val="Trebuchet MS"/>
      <family val="2"/>
    </font>
    <font>
      <sz val="9"/>
      <color theme="1" tint="0.34998626667073579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b/>
      <i/>
      <sz val="9"/>
      <color theme="0"/>
      <name val="Trebuchet MS"/>
      <family val="2"/>
    </font>
    <font>
      <b/>
      <sz val="9"/>
      <color theme="0" tint="-0.14999847407452621"/>
      <name val="Calibri"/>
      <family val="2"/>
      <scheme val="minor"/>
    </font>
    <font>
      <b/>
      <sz val="9"/>
      <color indexed="12"/>
      <name val="Trebuchet MS"/>
      <family val="2"/>
    </font>
    <font>
      <sz val="9"/>
      <color indexed="8"/>
      <name val="Trebuchet MS"/>
      <family val="2"/>
    </font>
    <font>
      <sz val="9"/>
      <color indexed="9"/>
      <name val="Trebuchet MS"/>
      <family val="2"/>
    </font>
    <font>
      <b/>
      <i/>
      <sz val="9"/>
      <name val="Trebuchet MS"/>
      <family val="2"/>
    </font>
    <font>
      <b/>
      <sz val="9"/>
      <color theme="1" tint="0.34998626667073579"/>
      <name val="Trebuchet MS"/>
      <family val="2"/>
    </font>
    <font>
      <sz val="9"/>
      <color theme="0" tint="-0.499984740745262"/>
      <name val="Trebuchet MS"/>
      <family val="2"/>
    </font>
    <font>
      <b/>
      <sz val="9"/>
      <color theme="0" tint="-0.499984740745262"/>
      <name val="Trebuchet MS"/>
      <family val="2"/>
    </font>
    <font>
      <sz val="9"/>
      <color theme="1" tint="0.34998626667073579"/>
      <name val="Trebuchet MS"/>
      <family val="2"/>
    </font>
    <font>
      <sz val="9"/>
      <color theme="1"/>
      <name val="Trebuchet MS"/>
      <family val="2"/>
    </font>
    <font>
      <sz val="9"/>
      <color theme="0" tint="-0.34998626667073579"/>
      <name val="Trebuchet MS"/>
      <family val="2"/>
    </font>
    <font>
      <b/>
      <sz val="9"/>
      <color theme="1" tint="0.34998626667073579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b/>
      <sz val="10"/>
      <color theme="4"/>
      <name val="Arial"/>
      <family val="2"/>
    </font>
    <font>
      <b/>
      <sz val="9"/>
      <color theme="4"/>
      <name val="Calibri"/>
      <family val="2"/>
      <scheme val="minor"/>
    </font>
    <font>
      <sz val="12"/>
      <color theme="1"/>
      <name val="Arial"/>
      <family val="2"/>
    </font>
    <font>
      <sz val="7"/>
      <color rgb="FF0A0A0A"/>
      <name val="Courier New"/>
      <family val="3"/>
    </font>
    <font>
      <b/>
      <sz val="14"/>
      <color theme="0"/>
      <name val="Arial"/>
      <family val="2"/>
    </font>
    <font>
      <b/>
      <sz val="9"/>
      <color theme="0"/>
      <name val="Arial Narrow"/>
      <family val="2"/>
    </font>
    <font>
      <b/>
      <sz val="9"/>
      <color theme="0"/>
      <name val="Arial"/>
      <family val="2"/>
    </font>
    <font>
      <sz val="9"/>
      <name val="Arial Narrow"/>
      <family val="2"/>
    </font>
    <font>
      <sz val="8"/>
      <color theme="4" tint="-0.499984740745262"/>
      <name val="Arial"/>
      <family val="2"/>
    </font>
    <font>
      <sz val="12"/>
      <color indexed="62"/>
      <name val="Arial"/>
      <family val="2"/>
    </font>
    <font>
      <sz val="12"/>
      <color theme="4" tint="-0.499984740745262"/>
      <name val="Arial"/>
      <family val="2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sz val="24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1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9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26727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78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398999"/>
        <bgColor indexed="64"/>
      </patternFill>
    </fill>
    <fill>
      <patternFill patternType="solid">
        <fgColor rgb="FFEFFE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A94"/>
        <bgColor indexed="64"/>
      </patternFill>
    </fill>
    <fill>
      <patternFill patternType="solid">
        <fgColor rgb="FF003B49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30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dashed">
        <color theme="0" tint="-0.24994659260841701"/>
      </top>
      <bottom/>
      <diagonal/>
    </border>
    <border>
      <left/>
      <right style="medium">
        <color indexed="64"/>
      </right>
      <top style="dashed">
        <color theme="0" tint="-0.24994659260841701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34998626667073579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2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8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 style="medium">
        <color indexed="64"/>
      </top>
      <bottom/>
      <diagonal/>
    </border>
    <border>
      <left/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77111117893"/>
      </right>
      <top/>
      <bottom/>
      <diagonal/>
    </border>
    <border>
      <left style="medium">
        <color indexed="64"/>
      </left>
      <right style="thin">
        <color theme="0" tint="-0.249977111117893"/>
      </right>
      <top/>
      <bottom style="medium">
        <color indexed="64"/>
      </bottom>
      <diagonal/>
    </border>
    <border>
      <left style="thin">
        <color theme="0" tint="-0.249977111117893"/>
      </left>
      <right/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theme="8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theme="0" tint="-0.249977111117893"/>
      </bottom>
      <diagonal/>
    </border>
    <border>
      <left style="medium">
        <color theme="0" tint="-0.499984740745262"/>
      </left>
      <right style="thin">
        <color theme="0" tint="-0.24994659260841701"/>
      </right>
      <top/>
      <bottom style="medium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theme="0" tint="-0.499984740745262"/>
      </bottom>
      <diagonal/>
    </border>
    <border>
      <left style="thin">
        <color theme="0" tint="-0.24994659260841701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/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/>
      <right/>
      <top/>
      <bottom style="thin">
        <color theme="7"/>
      </bottom>
      <diagonal/>
    </border>
    <border>
      <left style="thin">
        <color indexed="64"/>
      </left>
      <right/>
      <top style="thin">
        <color indexed="64"/>
      </top>
      <bottom style="thick">
        <color indexed="22"/>
      </bottom>
      <diagonal/>
    </border>
    <border>
      <left/>
      <right/>
      <top style="thin">
        <color indexed="64"/>
      </top>
      <bottom style="medium">
        <color indexed="3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/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theme="0" tint="-0.1499984740745262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/>
      <bottom style="thin">
        <color theme="0" tint="-0.249977111117893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/>
      <bottom/>
      <diagonal/>
    </border>
    <border>
      <left style="thin">
        <color theme="0" tint="-0.249977111117893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hair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hair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 style="hair">
        <color indexed="55"/>
      </top>
      <bottom style="hair">
        <color indexed="55"/>
      </bottom>
      <diagonal/>
    </border>
    <border>
      <left style="thin">
        <color indexed="55"/>
      </left>
      <right style="thin">
        <color indexed="55"/>
      </right>
      <top style="hair">
        <color indexed="55"/>
      </top>
      <bottom style="hair">
        <color indexed="55"/>
      </bottom>
      <diagonal/>
    </border>
    <border>
      <left style="thin">
        <color indexed="55"/>
      </left>
      <right style="hair">
        <color indexed="55"/>
      </right>
      <top style="thin">
        <color indexed="55"/>
      </top>
      <bottom style="hair">
        <color indexed="55"/>
      </bottom>
      <diagonal/>
    </border>
    <border>
      <left style="hair">
        <color indexed="55"/>
      </left>
      <right style="thin">
        <color indexed="55"/>
      </right>
      <top style="thin">
        <color indexed="55"/>
      </top>
      <bottom style="hair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hair">
        <color indexed="55"/>
      </left>
      <right style="hair">
        <color indexed="55"/>
      </right>
      <top style="thin">
        <color indexed="55"/>
      </top>
      <bottom style="hair">
        <color indexed="55"/>
      </bottom>
      <diagonal/>
    </border>
    <border>
      <left style="hair">
        <color indexed="55"/>
      </left>
      <right/>
      <top style="thin">
        <color indexed="55"/>
      </top>
      <bottom style="hair">
        <color indexed="55"/>
      </bottom>
      <diagonal/>
    </border>
    <border>
      <left style="thin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 style="thin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 style="thin">
        <color indexed="55"/>
      </left>
      <right style="hair">
        <color indexed="55"/>
      </right>
      <top style="hair">
        <color indexed="55"/>
      </top>
      <bottom/>
      <diagonal/>
    </border>
    <border>
      <left style="hair">
        <color indexed="55"/>
      </left>
      <right style="hair">
        <color indexed="55"/>
      </right>
      <top style="hair">
        <color indexed="55"/>
      </top>
      <bottom/>
      <diagonal/>
    </border>
    <border>
      <left style="hair">
        <color indexed="55"/>
      </left>
      <right/>
      <top style="hair">
        <color indexed="55"/>
      </top>
      <bottom/>
      <diagonal/>
    </border>
    <border>
      <left style="thin">
        <color indexed="55"/>
      </left>
      <right/>
      <top style="hair">
        <color indexed="55"/>
      </top>
      <bottom/>
      <diagonal/>
    </border>
    <border>
      <left style="thin">
        <color indexed="55"/>
      </left>
      <right style="thin">
        <color indexed="55"/>
      </right>
      <top style="hair">
        <color indexed="55"/>
      </top>
      <bottom style="thin">
        <color indexed="55"/>
      </bottom>
      <diagonal/>
    </border>
    <border>
      <left style="thin">
        <color indexed="55"/>
      </left>
      <right/>
      <top style="hair">
        <color indexed="55"/>
      </top>
      <bottom style="thin">
        <color indexed="55"/>
      </bottom>
      <diagonal/>
    </border>
    <border>
      <left style="thin">
        <color indexed="55"/>
      </left>
      <right style="hair">
        <color indexed="55"/>
      </right>
      <top style="hair">
        <color indexed="55"/>
      </top>
      <bottom style="thin">
        <color indexed="55"/>
      </bottom>
      <diagonal/>
    </border>
    <border>
      <left style="hair">
        <color indexed="55"/>
      </left>
      <right style="thin">
        <color indexed="55"/>
      </right>
      <top style="hair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thin">
        <color indexed="55"/>
      </left>
      <right style="hair">
        <color indexed="55"/>
      </right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 style="thin">
        <color indexed="55"/>
      </top>
      <bottom style="thin">
        <color indexed="55"/>
      </bottom>
      <diagonal/>
    </border>
    <border>
      <left style="hair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hair">
        <color indexed="55"/>
      </right>
      <top/>
      <bottom style="hair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 style="hair">
        <color indexed="55"/>
      </left>
      <right style="thin">
        <color indexed="55"/>
      </right>
      <top/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thin">
        <color indexed="55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theme="0" tint="-0.24994659260841701"/>
      </top>
      <bottom/>
      <diagonal/>
    </border>
    <border>
      <left style="medium">
        <color theme="0" tint="-0.499984740745262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medium">
        <color indexed="64"/>
      </left>
      <right style="thin">
        <color theme="0" tint="-0.1499984740745262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indexed="64"/>
      </bottom>
      <diagonal/>
    </border>
  </borders>
  <cellStyleXfs count="32028">
    <xf numFmtId="0" fontId="0" fillId="0" borderId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48" fillId="2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10" borderId="0" applyNumberFormat="0" applyBorder="0" applyAlignment="0" applyProtection="0"/>
    <xf numFmtId="0" fontId="71" fillId="10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2" borderId="0" applyNumberFormat="0" applyBorder="0" applyAlignment="0" applyProtection="0"/>
    <xf numFmtId="0" fontId="71" fillId="9" borderId="0" applyNumberFormat="0" applyBorder="0" applyAlignment="0" applyProtection="0"/>
    <xf numFmtId="0" fontId="71" fillId="10" borderId="0" applyNumberFormat="0" applyBorder="0" applyAlignment="0" applyProtection="0"/>
    <xf numFmtId="0" fontId="71" fillId="13" borderId="0" applyNumberFormat="0" applyBorder="0" applyAlignment="0" applyProtection="0"/>
    <xf numFmtId="0" fontId="71" fillId="14" borderId="0" applyNumberFormat="0" applyBorder="0" applyAlignment="0" applyProtection="0"/>
    <xf numFmtId="0" fontId="71" fillId="15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2" fillId="3" borderId="0" applyNumberFormat="0" applyBorder="0" applyAlignment="0" applyProtection="0"/>
    <xf numFmtId="0" fontId="72" fillId="3" borderId="0" applyNumberFormat="0" applyBorder="0" applyAlignment="0" applyProtection="0"/>
    <xf numFmtId="205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206" fontId="53" fillId="0" borderId="0">
      <alignment vertical="center"/>
    </xf>
    <xf numFmtId="0" fontId="81" fillId="4" borderId="0" applyNumberFormat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206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206" fontId="74" fillId="0" borderId="0" applyNumberFormat="0" applyFill="0" applyBorder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6" fillId="21" borderId="2" applyNumberFormat="0" applyAlignment="0" applyProtection="0"/>
    <xf numFmtId="0" fontId="86" fillId="0" borderId="3" applyNumberFormat="0" applyFill="0" applyAlignment="0" applyProtection="0"/>
    <xf numFmtId="0" fontId="76" fillId="21" borderId="2" applyNumberFormat="0" applyAlignment="0" applyProtection="0"/>
    <xf numFmtId="0" fontId="76" fillId="21" borderId="2" applyNumberFormat="0" applyAlignment="0" applyProtection="0"/>
    <xf numFmtId="168" fontId="47" fillId="0" borderId="0" applyFont="0" applyFill="0" applyBorder="0" applyAlignment="0" applyProtection="0"/>
    <xf numFmtId="202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204" fontId="5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47" fillId="0" borderId="0" applyFont="0" applyFill="0" applyBorder="0" applyAlignment="0" applyProtection="0"/>
    <xf numFmtId="3" fontId="77" fillId="0" borderId="0" applyFont="0" applyFill="0" applyBorder="0" applyAlignment="0" applyProtection="0"/>
    <xf numFmtId="173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190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0" fontId="84" fillId="0" borderId="0" applyNumberFormat="0" applyFill="0" applyBorder="0" applyAlignment="0" applyProtection="0"/>
    <xf numFmtId="0" fontId="71" fillId="16" borderId="0" applyNumberFormat="0" applyBorder="0" applyAlignment="0" applyProtection="0"/>
    <xf numFmtId="0" fontId="71" fillId="17" borderId="0" applyNumberFormat="0" applyBorder="0" applyAlignment="0" applyProtection="0"/>
    <xf numFmtId="0" fontId="71" fillId="18" borderId="0" applyNumberFormat="0" applyBorder="0" applyAlignment="0" applyProtection="0"/>
    <xf numFmtId="0" fontId="71" fillId="13" borderId="0" applyNumberFormat="0" applyBorder="0" applyAlignment="0" applyProtection="0"/>
    <xf numFmtId="0" fontId="71" fillId="14" borderId="0" applyNumberFormat="0" applyBorder="0" applyAlignment="0" applyProtection="0"/>
    <xf numFmtId="0" fontId="71" fillId="19" borderId="0" applyNumberFormat="0" applyBorder="0" applyAlignment="0" applyProtection="0"/>
    <xf numFmtId="0" fontId="85" fillId="7" borderId="1" applyNumberFormat="0" applyAlignment="0" applyProtection="0"/>
    <xf numFmtId="0" fontId="47" fillId="0" borderId="0"/>
    <xf numFmtId="0" fontId="50" fillId="0" borderId="0"/>
    <xf numFmtId="0" fontId="50" fillId="0" borderId="0"/>
    <xf numFmtId="206" fontId="50" fillId="0" borderId="0"/>
    <xf numFmtId="205" fontId="50" fillId="0" borderId="0"/>
    <xf numFmtId="180" fontId="50" fillId="0" borderId="0" applyFont="0" applyFill="0" applyBorder="0" applyAlignment="0" applyProtection="0"/>
    <xf numFmtId="205" fontId="137" fillId="0" borderId="0" applyFont="0" applyFill="0" applyBorder="0" applyAlignment="0" applyProtection="0"/>
    <xf numFmtId="204" fontId="50" fillId="0" borderId="0" applyFont="0" applyFill="0" applyBorder="0" applyAlignment="0" applyProtection="0"/>
    <xf numFmtId="204" fontId="50" fillId="0" borderId="0" applyFont="0" applyFill="0" applyBorder="0" applyAlignment="0" applyProtection="0"/>
    <xf numFmtId="204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206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206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206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206" fontId="51" fillId="0" borderId="0" applyNumberFormat="0" applyFill="0" applyBorder="0" applyAlignment="0" applyProtection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206" fontId="80" fillId="0" borderId="0" applyFont="0" applyFill="0" applyBorder="0" applyAlignment="0" applyProtection="0"/>
    <xf numFmtId="2" fontId="50" fillId="0" borderId="0" applyFill="0" applyBorder="0" applyAlignment="0" applyProtection="0"/>
    <xf numFmtId="2" fontId="77" fillId="0" borderId="0" applyFont="0" applyFill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2" fillId="0" borderId="0" applyNumberFormat="0" applyFill="0" applyBorder="0" applyAlignment="0" applyProtection="0"/>
    <xf numFmtId="0" fontId="104" fillId="0" borderId="4" applyNumberFormat="0" applyFill="0" applyAlignment="0" applyProtection="0"/>
    <xf numFmtId="0" fontId="83" fillId="0" borderId="0" applyNumberFormat="0" applyFill="0" applyBorder="0" applyAlignment="0" applyProtection="0"/>
    <xf numFmtId="0" fontId="105" fillId="0" borderId="5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205" fontId="138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206" fontId="138" fillId="0" borderId="0" applyNumberFormat="0" applyFill="0" applyBorder="0" applyAlignment="0" applyProtection="0">
      <alignment vertical="top"/>
      <protection locked="0"/>
    </xf>
    <xf numFmtId="0" fontId="72" fillId="3" borderId="0" applyNumberFormat="0" applyBorder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86" fillId="0" borderId="3" applyNumberFormat="0" applyFill="0" applyAlignment="0" applyProtection="0"/>
    <xf numFmtId="0" fontId="86" fillId="0" borderId="3" applyNumberFormat="0" applyFill="0" applyAlignment="0" applyProtection="0"/>
    <xf numFmtId="175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0" fontId="50" fillId="0" borderId="0" applyFont="0" applyFill="0" applyBorder="0" applyAlignment="0" applyProtection="0"/>
    <xf numFmtId="169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3" fontId="123" fillId="0" borderId="0"/>
    <xf numFmtId="191" fontId="77" fillId="0" borderId="0" applyFont="0" applyFill="0" applyBorder="0" applyAlignment="0" applyProtection="0"/>
    <xf numFmtId="190" fontId="80" fillId="0" borderId="0" applyFont="0" applyFill="0" applyBorder="0" applyAlignment="0" applyProtection="0"/>
    <xf numFmtId="0" fontId="87" fillId="22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206" fontId="53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0" fontId="47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0" fontId="70" fillId="0" borderId="0"/>
    <xf numFmtId="0" fontId="70" fillId="0" borderId="0"/>
    <xf numFmtId="206" fontId="70" fillId="0" borderId="0"/>
    <xf numFmtId="0" fontId="70" fillId="0" borderId="0"/>
    <xf numFmtId="0" fontId="70" fillId="0" borderId="0"/>
    <xf numFmtId="206" fontId="70" fillId="0" borderId="0"/>
    <xf numFmtId="205" fontId="70" fillId="0" borderId="0"/>
    <xf numFmtId="205" fontId="70" fillId="0" borderId="0"/>
    <xf numFmtId="0" fontId="70" fillId="0" borderId="0"/>
    <xf numFmtId="0" fontId="70" fillId="0" borderId="0"/>
    <xf numFmtId="206" fontId="70" fillId="0" borderId="0"/>
    <xf numFmtId="0" fontId="70" fillId="0" borderId="0"/>
    <xf numFmtId="0" fontId="70" fillId="0" borderId="0"/>
    <xf numFmtId="206" fontId="70" fillId="0" borderId="0"/>
    <xf numFmtId="205" fontId="70" fillId="0" borderId="0"/>
    <xf numFmtId="205" fontId="70" fillId="0" borderId="0"/>
    <xf numFmtId="205" fontId="50" fillId="0" borderId="0"/>
    <xf numFmtId="0" fontId="50" fillId="0" borderId="0"/>
    <xf numFmtId="0" fontId="50" fillId="0" borderId="0"/>
    <xf numFmtId="206" fontId="50" fillId="0" borderId="0"/>
    <xf numFmtId="0" fontId="50" fillId="0" borderId="0"/>
    <xf numFmtId="0" fontId="50" fillId="0" borderId="0"/>
    <xf numFmtId="0" fontId="50" fillId="0" borderId="0"/>
    <xf numFmtId="206" fontId="5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0" fontId="47" fillId="0" borderId="0"/>
    <xf numFmtId="0" fontId="70" fillId="0" borderId="0"/>
    <xf numFmtId="0" fontId="70" fillId="0" borderId="0"/>
    <xf numFmtId="0" fontId="47" fillId="0" borderId="0"/>
    <xf numFmtId="0" fontId="47" fillId="0" borderId="0"/>
    <xf numFmtId="0" fontId="47" fillId="23" borderId="7" applyNumberFormat="0" applyFont="0" applyAlignment="0" applyProtection="0"/>
    <xf numFmtId="0" fontId="70" fillId="23" borderId="7" applyNumberFormat="0" applyFont="0" applyAlignment="0" applyProtection="0"/>
    <xf numFmtId="0" fontId="50" fillId="23" borderId="7" applyNumberFormat="0" applyFont="0" applyAlignment="0" applyProtection="0"/>
    <xf numFmtId="0" fontId="70" fillId="23" borderId="7" applyNumberFormat="0" applyFont="0" applyAlignment="0" applyProtection="0"/>
    <xf numFmtId="0" fontId="88" fillId="20" borderId="8" applyNumberFormat="0" applyAlignment="0" applyProtection="0"/>
    <xf numFmtId="0" fontId="88" fillId="20" borderId="8" applyNumberFormat="0" applyAlignment="0" applyProtection="0"/>
    <xf numFmtId="9" fontId="5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10" fontId="97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0" fillId="0" borderId="0" applyFont="0" applyFill="0" applyBorder="0" applyAlignment="0" applyProtection="0"/>
    <xf numFmtId="4" fontId="77" fillId="0" borderId="0" applyFont="0" applyFill="0" applyBorder="0" applyAlignment="0" applyProtection="0"/>
    <xf numFmtId="3" fontId="80" fillId="0" borderId="0" applyFont="0" applyFill="0" applyBorder="0" applyAlignment="0" applyProtection="0"/>
    <xf numFmtId="0" fontId="89" fillId="0" borderId="0"/>
    <xf numFmtId="0" fontId="89" fillId="0" borderId="0"/>
    <xf numFmtId="0" fontId="89" fillId="0" borderId="0"/>
    <xf numFmtId="0" fontId="89" fillId="0" borderId="0"/>
    <xf numFmtId="206" fontId="89" fillId="0" borderId="0"/>
    <xf numFmtId="0" fontId="88" fillId="20" borderId="8" applyNumberFormat="0" applyAlignment="0" applyProtection="0"/>
    <xf numFmtId="0" fontId="47" fillId="0" borderId="0"/>
    <xf numFmtId="0" fontId="50" fillId="0" borderId="0"/>
    <xf numFmtId="0" fontId="50" fillId="0" borderId="0"/>
    <xf numFmtId="0" fontId="50" fillId="0" borderId="0"/>
    <xf numFmtId="206" fontId="50" fillId="0" borderId="0"/>
    <xf numFmtId="205" fontId="50" fillId="0" borderId="0"/>
    <xf numFmtId="0" fontId="9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4" fillId="0" borderId="4" applyNumberFormat="0" applyFill="0" applyAlignment="0" applyProtection="0"/>
    <xf numFmtId="0" fontId="105" fillId="0" borderId="5" applyNumberFormat="0" applyFill="0" applyAlignment="0" applyProtection="0"/>
    <xf numFmtId="0" fontId="84" fillId="0" borderId="6" applyNumberFormat="0" applyFill="0" applyAlignment="0" applyProtection="0"/>
    <xf numFmtId="0" fontId="80" fillId="0" borderId="9" applyNumberFormat="0" applyFont="0" applyFill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21" borderId="2" applyNumberFormat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0" fillId="23" borderId="7" applyNumberFormat="0" applyFont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5" fillId="20" borderId="1" applyNumberForma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40" fontId="92" fillId="0" borderId="0" applyFont="0" applyFill="0" applyBorder="0" applyAlignment="0" applyProtection="0"/>
    <xf numFmtId="38" fontId="92" fillId="0" borderId="0" applyFont="0" applyFill="0" applyBorder="0" applyAlignment="0" applyProtection="0"/>
    <xf numFmtId="0" fontId="62" fillId="0" borderId="4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8" fillId="0" borderId="10" applyNumberFormat="0" applyFill="0" applyAlignment="0" applyProtection="0">
      <alignment vertical="center"/>
    </xf>
    <xf numFmtId="0" fontId="59" fillId="20" borderId="8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172" fontId="92" fillId="0" borderId="0" applyFont="0" applyFill="0" applyBorder="0" applyAlignment="0" applyProtection="0"/>
    <xf numFmtId="171" fontId="92" fillId="0" borderId="0" applyFont="0" applyFill="0" applyBorder="0" applyAlignment="0" applyProtection="0"/>
    <xf numFmtId="0" fontId="58" fillId="7" borderId="1" applyNumberFormat="0" applyAlignment="0" applyProtection="0">
      <alignment vertical="center"/>
    </xf>
    <xf numFmtId="0" fontId="92" fillId="0" borderId="0"/>
    <xf numFmtId="0" fontId="61" fillId="4" borderId="0" applyNumberFormat="0" applyBorder="0" applyAlignment="0" applyProtection="0">
      <alignment vertical="center"/>
    </xf>
    <xf numFmtId="202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0" fontId="47" fillId="0" borderId="0"/>
    <xf numFmtId="0" fontId="47" fillId="0" borderId="0"/>
    <xf numFmtId="206" fontId="47" fillId="0" borderId="0"/>
    <xf numFmtId="180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06" fontId="47" fillId="0" borderId="0" applyFont="0" applyFill="0" applyBorder="0" applyAlignment="0" applyProtection="0"/>
    <xf numFmtId="2" fontId="47" fillId="0" borderId="0" applyFill="0" applyBorder="0" applyAlignment="0" applyProtection="0"/>
    <xf numFmtId="0" fontId="47" fillId="0" borderId="0"/>
    <xf numFmtId="205" fontId="47" fillId="0" borderId="0"/>
    <xf numFmtId="0" fontId="47" fillId="0" borderId="0"/>
    <xf numFmtId="0" fontId="47" fillId="0" borderId="0"/>
    <xf numFmtId="206" fontId="47" fillId="0" borderId="0"/>
    <xf numFmtId="0" fontId="47" fillId="0" borderId="0"/>
    <xf numFmtId="0" fontId="47" fillId="0" borderId="0"/>
    <xf numFmtId="0" fontId="47" fillId="0" borderId="0"/>
    <xf numFmtId="206" fontId="47" fillId="0" borderId="0"/>
    <xf numFmtId="0" fontId="47" fillId="23" borderId="7" applyNumberFormat="0" applyFont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206" fontId="47" fillId="0" borderId="0"/>
    <xf numFmtId="0" fontId="47" fillId="23" borderId="7" applyNumberFormat="0" applyFont="0" applyAlignment="0" applyProtection="0">
      <alignment vertical="center"/>
    </xf>
    <xf numFmtId="175" fontId="47" fillId="0" borderId="0" applyFont="0" applyFill="0" applyBorder="0" applyAlignment="0" applyProtection="0"/>
    <xf numFmtId="0" fontId="47" fillId="0" borderId="0"/>
    <xf numFmtId="0" fontId="47" fillId="23" borderId="7" applyNumberFormat="0" applyFont="0" applyAlignment="0" applyProtection="0"/>
    <xf numFmtId="9" fontId="47" fillId="0" borderId="0" applyFont="0" applyFill="0" applyBorder="0" applyAlignment="0" applyProtection="0"/>
    <xf numFmtId="0" fontId="70" fillId="2" borderId="0" applyNumberFormat="0" applyBorder="0" applyAlignment="0" applyProtection="0"/>
    <xf numFmtId="0" fontId="70" fillId="3" borderId="0" applyNumberFormat="0" applyBorder="0" applyAlignment="0" applyProtection="0"/>
    <xf numFmtId="0" fontId="70" fillId="4" borderId="0" applyNumberFormat="0" applyBorder="0" applyAlignment="0" applyProtection="0"/>
    <xf numFmtId="0" fontId="70" fillId="5" borderId="0" applyNumberFormat="0" applyBorder="0" applyAlignment="0" applyProtection="0"/>
    <xf numFmtId="0" fontId="70" fillId="6" borderId="0" applyNumberFormat="0" applyBorder="0" applyAlignment="0" applyProtection="0"/>
    <xf numFmtId="0" fontId="70" fillId="7" borderId="0" applyNumberFormat="0" applyBorder="0" applyAlignment="0" applyProtection="0"/>
    <xf numFmtId="0" fontId="70" fillId="8" borderId="0" applyNumberFormat="0" applyBorder="0" applyAlignment="0" applyProtection="0"/>
    <xf numFmtId="0" fontId="70" fillId="9" borderId="0" applyNumberFormat="0" applyBorder="0" applyAlignment="0" applyProtection="0"/>
    <xf numFmtId="0" fontId="70" fillId="10" borderId="0" applyNumberFormat="0" applyBorder="0" applyAlignment="0" applyProtection="0"/>
    <xf numFmtId="0" fontId="70" fillId="5" borderId="0" applyNumberFormat="0" applyBorder="0" applyAlignment="0" applyProtection="0"/>
    <xf numFmtId="0" fontId="70" fillId="8" borderId="0" applyNumberFormat="0" applyBorder="0" applyAlignment="0" applyProtection="0"/>
    <xf numFmtId="0" fontId="70" fillId="11" borderId="0" applyNumberFormat="0" applyBorder="0" applyAlignment="0" applyProtection="0"/>
    <xf numFmtId="215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0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0" fontId="46" fillId="0" borderId="0"/>
    <xf numFmtId="167" fontId="46" fillId="0" borderId="0" applyFont="0" applyFill="0" applyBorder="0" applyAlignment="0" applyProtection="0"/>
    <xf numFmtId="0" fontId="46" fillId="0" borderId="0"/>
    <xf numFmtId="0" fontId="46" fillId="0" borderId="0"/>
    <xf numFmtId="0" fontId="47" fillId="0" borderId="0"/>
    <xf numFmtId="205" fontId="47" fillId="0" borderId="0"/>
    <xf numFmtId="0" fontId="45" fillId="0" borderId="0"/>
    <xf numFmtId="167" fontId="45" fillId="0" borderId="0" applyFont="0" applyFill="0" applyBorder="0" applyAlignment="0" applyProtection="0"/>
    <xf numFmtId="0" fontId="45" fillId="0" borderId="0"/>
    <xf numFmtId="0" fontId="45" fillId="0" borderId="0"/>
    <xf numFmtId="0" fontId="92" fillId="0" borderId="0">
      <alignment vertical="center"/>
    </xf>
    <xf numFmtId="0" fontId="70" fillId="0" borderId="0"/>
    <xf numFmtId="0" fontId="148" fillId="2" borderId="0" applyNumberFormat="0" applyBorder="0" applyAlignment="0" applyProtection="0">
      <alignment vertical="center"/>
    </xf>
    <xf numFmtId="0" fontId="48" fillId="2" borderId="0" applyNumberFormat="0" applyBorder="0" applyAlignment="0" applyProtection="0">
      <alignment vertical="center"/>
    </xf>
    <xf numFmtId="0" fontId="1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1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1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1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1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1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1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1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1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10" borderId="0" applyNumberFormat="0" applyBorder="0" applyAlignment="0" applyProtection="0"/>
    <xf numFmtId="0" fontId="71" fillId="10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1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206" fontId="53" fillId="0" borderId="0">
      <alignment vertical="center"/>
    </xf>
    <xf numFmtId="205" fontId="53" fillId="0" borderId="0">
      <alignment vertical="center"/>
    </xf>
    <xf numFmtId="205" fontId="53" fillId="0" borderId="0">
      <alignment vertical="center"/>
    </xf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206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206" fontId="74" fillId="0" borderId="0" applyNumberFormat="0" applyFill="0" applyBorder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6" fillId="21" borderId="2" applyNumberFormat="0" applyAlignment="0" applyProtection="0"/>
    <xf numFmtId="0" fontId="76" fillId="21" borderId="2" applyNumberFormat="0" applyAlignment="0" applyProtection="0"/>
    <xf numFmtId="0" fontId="86" fillId="0" borderId="3" applyNumberFormat="0" applyFill="0" applyAlignment="0" applyProtection="0"/>
    <xf numFmtId="0" fontId="86" fillId="0" borderId="3" applyNumberFormat="0" applyFill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202" fontId="47" fillId="0" borderId="0" applyFont="0" applyFill="0" applyBorder="0" applyAlignment="0" applyProtection="0"/>
    <xf numFmtId="202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206" fontId="47" fillId="0" borderId="0"/>
    <xf numFmtId="206" fontId="47" fillId="0" borderId="0"/>
    <xf numFmtId="0" fontId="47" fillId="0" borderId="0"/>
    <xf numFmtId="205" fontId="137" fillId="0" borderId="0" applyFont="0" applyFill="0" applyBorder="0" applyAlignment="0" applyProtection="0"/>
    <xf numFmtId="20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06" fontId="47" fillId="0" borderId="0" applyFont="0" applyFill="0" applyBorder="0" applyAlignment="0" applyProtection="0"/>
    <xf numFmtId="206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215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206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206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206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206" fontId="51" fillId="0" borderId="0" applyNumberFormat="0" applyFill="0" applyBorder="0" applyAlignment="0" applyProtection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206" fontId="80" fillId="0" borderId="0" applyFont="0" applyFill="0" applyBorder="0" applyAlignment="0" applyProtection="0"/>
    <xf numFmtId="2" fontId="47" fillId="0" borderId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72" fillId="3" borderId="0" applyNumberFormat="0" applyBorder="0" applyAlignment="0" applyProtection="0"/>
    <xf numFmtId="0" fontId="72" fillId="3" borderId="0" applyNumberFormat="0" applyBorder="0" applyAlignment="0" applyProtection="0"/>
    <xf numFmtId="167" fontId="70" fillId="0" borderId="0" applyFont="0" applyFill="0" applyBorder="0" applyAlignment="0" applyProtection="0"/>
    <xf numFmtId="17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4" fillId="0" borderId="0" applyFont="0" applyFill="0" applyBorder="0" applyAlignment="0" applyProtection="0"/>
    <xf numFmtId="175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0" fontId="53" fillId="0" borderId="0"/>
    <xf numFmtId="0" fontId="53" fillId="0" borderId="0"/>
    <xf numFmtId="0" fontId="53" fillId="0" borderId="0"/>
    <xf numFmtId="206" fontId="53" fillId="0" borderId="0"/>
    <xf numFmtId="0" fontId="47" fillId="0" borderId="0"/>
    <xf numFmtId="0" fontId="47" fillId="0" borderId="0"/>
    <xf numFmtId="0" fontId="47" fillId="0" borderId="0"/>
    <xf numFmtId="0" fontId="70" fillId="0" borderId="0"/>
    <xf numFmtId="0" fontId="44" fillId="0" borderId="0"/>
    <xf numFmtId="0" fontId="44" fillId="0" borderId="0"/>
    <xf numFmtId="0" fontId="47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47" fillId="0" borderId="0"/>
    <xf numFmtId="205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206" fontId="47" fillId="0" borderId="0"/>
    <xf numFmtId="206" fontId="47" fillId="0" borderId="0"/>
    <xf numFmtId="205" fontId="47" fillId="0" borderId="0"/>
    <xf numFmtId="205" fontId="47" fillId="0" borderId="0"/>
    <xf numFmtId="205" fontId="47" fillId="0" borderId="0"/>
    <xf numFmtId="205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206" fontId="47" fillId="0" borderId="0"/>
    <xf numFmtId="206" fontId="47" fillId="0" borderId="0"/>
    <xf numFmtId="0" fontId="47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7" fillId="0" borderId="0"/>
    <xf numFmtId="0" fontId="92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0" fontId="77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46" fillId="0" borderId="0"/>
    <xf numFmtId="0" fontId="146" fillId="0" borderId="0"/>
    <xf numFmtId="0" fontId="89" fillId="0" borderId="0"/>
    <xf numFmtId="0" fontId="146" fillId="0" borderId="0"/>
    <xf numFmtId="0" fontId="89" fillId="0" borderId="0"/>
    <xf numFmtId="0" fontId="146" fillId="0" borderId="0"/>
    <xf numFmtId="0" fontId="89" fillId="0" borderId="0"/>
    <xf numFmtId="206" fontId="146" fillId="0" borderId="0"/>
    <xf numFmtId="206" fontId="89" fillId="0" borderId="0"/>
    <xf numFmtId="0" fontId="89" fillId="0" borderId="0"/>
    <xf numFmtId="0" fontId="88" fillId="20" borderId="8" applyNumberFormat="0" applyAlignment="0" applyProtection="0"/>
    <xf numFmtId="0" fontId="88" fillId="20" borderId="8" applyNumberFormat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206" fontId="47" fillId="0" borderId="0"/>
    <xf numFmtId="206" fontId="47" fillId="0" borderId="0"/>
    <xf numFmtId="0" fontId="70" fillId="0" borderId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04" fillId="0" borderId="4" applyNumberFormat="0" applyFill="0" applyAlignment="0" applyProtection="0"/>
    <xf numFmtId="0" fontId="104" fillId="0" borderId="4" applyNumberFormat="0" applyFill="0" applyAlignment="0" applyProtection="0"/>
    <xf numFmtId="0" fontId="105" fillId="0" borderId="5" applyNumberFormat="0" applyFill="0" applyAlignment="0" applyProtection="0"/>
    <xf numFmtId="0" fontId="105" fillId="0" borderId="5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90" fillId="0" borderId="0" applyNumberFormat="0" applyFill="0" applyBorder="0" applyAlignment="0" applyProtection="0"/>
    <xf numFmtId="0" fontId="136" fillId="0" borderId="10" applyNumberFormat="0" applyFill="0" applyAlignment="0" applyProtection="0"/>
    <xf numFmtId="0" fontId="80" fillId="0" borderId="9" applyNumberFormat="0" applyFont="0" applyFill="0" applyAlignment="0" applyProtection="0"/>
    <xf numFmtId="0" fontId="1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1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1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1" fillId="21" borderId="2" applyNumberFormat="0" applyAlignment="0" applyProtection="0">
      <alignment vertical="center"/>
    </xf>
    <xf numFmtId="0" fontId="55" fillId="21" borderId="2" applyNumberFormat="0" applyAlignment="0" applyProtection="0">
      <alignment vertical="center"/>
    </xf>
    <xf numFmtId="0" fontId="152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47" fillId="23" borderId="7" applyNumberFormat="0" applyFont="0" applyAlignment="0" applyProtection="0">
      <alignment vertical="center"/>
    </xf>
    <xf numFmtId="0" fontId="47" fillId="23" borderId="7" applyNumberFormat="0" applyFont="0" applyAlignment="0" applyProtection="0">
      <alignment vertical="center"/>
    </xf>
    <xf numFmtId="0" fontId="47" fillId="23" borderId="7" applyNumberFormat="0" applyFont="0" applyAlignment="0" applyProtection="0">
      <alignment vertical="center"/>
    </xf>
    <xf numFmtId="0" fontId="153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154" fillId="7" borderId="1" applyNumberFormat="0" applyAlignment="0" applyProtection="0">
      <alignment vertical="center"/>
    </xf>
    <xf numFmtId="0" fontId="58" fillId="7" borderId="1" applyNumberFormat="0" applyAlignment="0" applyProtection="0">
      <alignment vertical="center"/>
    </xf>
    <xf numFmtId="0" fontId="155" fillId="20" borderId="8" applyNumberFormat="0" applyAlignment="0" applyProtection="0">
      <alignment vertical="center"/>
    </xf>
    <xf numFmtId="0" fontId="59" fillId="20" borderId="8" applyNumberFormat="0" applyAlignment="0" applyProtection="0">
      <alignment vertical="center"/>
    </xf>
    <xf numFmtId="0" fontId="156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70" fillId="0" borderId="0"/>
    <xf numFmtId="0" fontId="157" fillId="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158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159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160" fillId="0" borderId="6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61" fillId="20" borderId="1" applyNumberFormat="0" applyAlignment="0" applyProtection="0">
      <alignment vertical="center"/>
    </xf>
    <xf numFmtId="0" fontId="65" fillId="20" borderId="1" applyNumberFormat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64" fillId="0" borderId="10" applyNumberFormat="0" applyFill="0" applyAlignment="0" applyProtection="0">
      <alignment vertical="center"/>
    </xf>
    <xf numFmtId="0" fontId="68" fillId="0" borderId="10" applyNumberFormat="0" applyFill="0" applyAlignment="0" applyProtection="0">
      <alignment vertical="center"/>
    </xf>
    <xf numFmtId="0" fontId="70" fillId="0" borderId="0"/>
    <xf numFmtId="0" fontId="43" fillId="0" borderId="0"/>
    <xf numFmtId="0" fontId="112" fillId="2" borderId="0" applyNumberFormat="0" applyBorder="0" applyAlignment="0" applyProtection="0"/>
    <xf numFmtId="0" fontId="112" fillId="2" borderId="0" applyNumberFormat="0" applyBorder="0" applyAlignment="0" applyProtection="0"/>
    <xf numFmtId="0" fontId="112" fillId="3" borderId="0" applyNumberFormat="0" applyBorder="0" applyAlignment="0" applyProtection="0"/>
    <xf numFmtId="0" fontId="112" fillId="3" borderId="0" applyNumberFormat="0" applyBorder="0" applyAlignment="0" applyProtection="0"/>
    <xf numFmtId="0" fontId="112" fillId="4" borderId="0" applyNumberFormat="0" applyBorder="0" applyAlignment="0" applyProtection="0"/>
    <xf numFmtId="0" fontId="112" fillId="4" borderId="0" applyNumberFormat="0" applyBorder="0" applyAlignment="0" applyProtection="0"/>
    <xf numFmtId="0" fontId="112" fillId="5" borderId="0" applyNumberFormat="0" applyBorder="0" applyAlignment="0" applyProtection="0"/>
    <xf numFmtId="0" fontId="112" fillId="5" borderId="0" applyNumberFormat="0" applyBorder="0" applyAlignment="0" applyProtection="0"/>
    <xf numFmtId="0" fontId="112" fillId="6" borderId="0" applyNumberFormat="0" applyBorder="0" applyAlignment="0" applyProtection="0"/>
    <xf numFmtId="0" fontId="112" fillId="6" borderId="0" applyNumberFormat="0" applyBorder="0" applyAlignment="0" applyProtection="0"/>
    <xf numFmtId="0" fontId="112" fillId="7" borderId="0" applyNumberFormat="0" applyBorder="0" applyAlignment="0" applyProtection="0"/>
    <xf numFmtId="0" fontId="112" fillId="7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43" fillId="64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43" fillId="65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43" fillId="66" borderId="0" applyNumberFormat="0" applyBorder="0" applyAlignment="0" applyProtection="0"/>
    <xf numFmtId="0" fontId="43" fillId="67" borderId="0" applyNumberFormat="0" applyBorder="0" applyAlignment="0" applyProtection="0"/>
    <xf numFmtId="0" fontId="43" fillId="67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43" fillId="67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43" fillId="41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43" fillId="42" borderId="0" applyNumberFormat="0" applyBorder="0" applyAlignment="0" applyProtection="0"/>
    <xf numFmtId="0" fontId="112" fillId="8" borderId="0" applyNumberFormat="0" applyBorder="0" applyAlignment="0" applyProtection="0"/>
    <xf numFmtId="0" fontId="112" fillId="8" borderId="0" applyNumberFormat="0" applyBorder="0" applyAlignment="0" applyProtection="0"/>
    <xf numFmtId="0" fontId="112" fillId="9" borderId="0" applyNumberFormat="0" applyBorder="0" applyAlignment="0" applyProtection="0"/>
    <xf numFmtId="0" fontId="112" fillId="9" borderId="0" applyNumberFormat="0" applyBorder="0" applyAlignment="0" applyProtection="0"/>
    <xf numFmtId="0" fontId="112" fillId="10" borderId="0" applyNumberFormat="0" applyBorder="0" applyAlignment="0" applyProtection="0"/>
    <xf numFmtId="0" fontId="112" fillId="10" borderId="0" applyNumberFormat="0" applyBorder="0" applyAlignment="0" applyProtection="0"/>
    <xf numFmtId="0" fontId="112" fillId="5" borderId="0" applyNumberFormat="0" applyBorder="0" applyAlignment="0" applyProtection="0"/>
    <xf numFmtId="0" fontId="112" fillId="5" borderId="0" applyNumberFormat="0" applyBorder="0" applyAlignment="0" applyProtection="0"/>
    <xf numFmtId="0" fontId="112" fillId="8" borderId="0" applyNumberFormat="0" applyBorder="0" applyAlignment="0" applyProtection="0"/>
    <xf numFmtId="0" fontId="112" fillId="8" borderId="0" applyNumberFormat="0" applyBorder="0" applyAlignment="0" applyProtection="0"/>
    <xf numFmtId="0" fontId="112" fillId="11" borderId="0" applyNumberFormat="0" applyBorder="0" applyAlignment="0" applyProtection="0"/>
    <xf numFmtId="0" fontId="112" fillId="11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43" fillId="44" borderId="0" applyNumberFormat="0" applyBorder="0" applyAlignment="0" applyProtection="0"/>
    <xf numFmtId="0" fontId="43" fillId="68" borderId="0" applyNumberFormat="0" applyBorder="0" applyAlignment="0" applyProtection="0"/>
    <xf numFmtId="0" fontId="43" fillId="68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43" fillId="68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43" fillId="45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43" fillId="47" borderId="0" applyNumberFormat="0" applyBorder="0" applyAlignment="0" applyProtection="0"/>
    <xf numFmtId="0" fontId="96" fillId="12" borderId="0" applyNumberFormat="0" applyBorder="0" applyAlignment="0" applyProtection="0"/>
    <xf numFmtId="0" fontId="96" fillId="12" borderId="0" applyNumberFormat="0" applyBorder="0" applyAlignment="0" applyProtection="0"/>
    <xf numFmtId="0" fontId="96" fillId="9" borderId="0" applyNumberFormat="0" applyBorder="0" applyAlignment="0" applyProtection="0"/>
    <xf numFmtId="0" fontId="96" fillId="9" borderId="0" applyNumberFormat="0" applyBorder="0" applyAlignment="0" applyProtection="0"/>
    <xf numFmtId="0" fontId="96" fillId="10" borderId="0" applyNumberFormat="0" applyBorder="0" applyAlignment="0" applyProtection="0"/>
    <xf numFmtId="0" fontId="96" fillId="10" borderId="0" applyNumberFormat="0" applyBorder="0" applyAlignment="0" applyProtection="0"/>
    <xf numFmtId="0" fontId="96" fillId="13" borderId="0" applyNumberFormat="0" applyBorder="0" applyAlignment="0" applyProtection="0"/>
    <xf numFmtId="0" fontId="96" fillId="13" borderId="0" applyNumberFormat="0" applyBorder="0" applyAlignment="0" applyProtection="0"/>
    <xf numFmtId="0" fontId="96" fillId="14" borderId="0" applyNumberFormat="0" applyBorder="0" applyAlignment="0" applyProtection="0"/>
    <xf numFmtId="0" fontId="96" fillId="14" borderId="0" applyNumberFormat="0" applyBorder="0" applyAlignment="0" applyProtection="0"/>
    <xf numFmtId="0" fontId="96" fillId="15" borderId="0" applyNumberFormat="0" applyBorder="0" applyAlignment="0" applyProtection="0"/>
    <xf numFmtId="0" fontId="96" fillId="15" borderId="0" applyNumberFormat="0" applyBorder="0" applyAlignment="0" applyProtection="0"/>
    <xf numFmtId="0" fontId="166" fillId="48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166" fillId="48" borderId="0" applyNumberFormat="0" applyBorder="0" applyAlignment="0" applyProtection="0"/>
    <xf numFmtId="0" fontId="166" fillId="4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166" fillId="49" borderId="0" applyNumberFormat="0" applyBorder="0" applyAlignment="0" applyProtection="0"/>
    <xf numFmtId="0" fontId="166" fillId="69" borderId="0" applyNumberFormat="0" applyBorder="0" applyAlignment="0" applyProtection="0"/>
    <xf numFmtId="0" fontId="71" fillId="10" borderId="0" applyNumberFormat="0" applyBorder="0" applyAlignment="0" applyProtection="0"/>
    <xf numFmtId="0" fontId="71" fillId="10" borderId="0" applyNumberFormat="0" applyBorder="0" applyAlignment="0" applyProtection="0"/>
    <xf numFmtId="0" fontId="71" fillId="10" borderId="0" applyNumberFormat="0" applyBorder="0" applyAlignment="0" applyProtection="0"/>
    <xf numFmtId="0" fontId="71" fillId="10" borderId="0" applyNumberFormat="0" applyBorder="0" applyAlignment="0" applyProtection="0"/>
    <xf numFmtId="0" fontId="71" fillId="10" borderId="0" applyNumberFormat="0" applyBorder="0" applyAlignment="0" applyProtection="0"/>
    <xf numFmtId="0" fontId="71" fillId="10" borderId="0" applyNumberFormat="0" applyBorder="0" applyAlignment="0" applyProtection="0"/>
    <xf numFmtId="0" fontId="166" fillId="69" borderId="0" applyNumberFormat="0" applyBorder="0" applyAlignment="0" applyProtection="0"/>
    <xf numFmtId="0" fontId="166" fillId="70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166" fillId="70" borderId="0" applyNumberFormat="0" applyBorder="0" applyAlignment="0" applyProtection="0"/>
    <xf numFmtId="0" fontId="166" fillId="50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166" fillId="50" borderId="0" applyNumberFormat="0" applyBorder="0" applyAlignment="0" applyProtection="0"/>
    <xf numFmtId="0" fontId="166" fillId="71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166" fillId="71" borderId="0" applyNumberFormat="0" applyBorder="0" applyAlignment="0" applyProtection="0"/>
    <xf numFmtId="0" fontId="96" fillId="16" borderId="0" applyNumberFormat="0" applyBorder="0" applyAlignment="0" applyProtection="0"/>
    <xf numFmtId="0" fontId="96" fillId="16" borderId="0" applyNumberFormat="0" applyBorder="0" applyAlignment="0" applyProtection="0"/>
    <xf numFmtId="0" fontId="96" fillId="17" borderId="0" applyNumberFormat="0" applyBorder="0" applyAlignment="0" applyProtection="0"/>
    <xf numFmtId="0" fontId="96" fillId="17" borderId="0" applyNumberFormat="0" applyBorder="0" applyAlignment="0" applyProtection="0"/>
    <xf numFmtId="0" fontId="96" fillId="18" borderId="0" applyNumberFormat="0" applyBorder="0" applyAlignment="0" applyProtection="0"/>
    <xf numFmtId="0" fontId="96" fillId="18" borderId="0" applyNumberFormat="0" applyBorder="0" applyAlignment="0" applyProtection="0"/>
    <xf numFmtId="0" fontId="96" fillId="13" borderId="0" applyNumberFormat="0" applyBorder="0" applyAlignment="0" applyProtection="0"/>
    <xf numFmtId="0" fontId="96" fillId="13" borderId="0" applyNumberFormat="0" applyBorder="0" applyAlignment="0" applyProtection="0"/>
    <xf numFmtId="0" fontId="96" fillId="14" borderId="0" applyNumberFormat="0" applyBorder="0" applyAlignment="0" applyProtection="0"/>
    <xf numFmtId="0" fontId="96" fillId="14" borderId="0" applyNumberFormat="0" applyBorder="0" applyAlignment="0" applyProtection="0"/>
    <xf numFmtId="0" fontId="96" fillId="19" borderId="0" applyNumberFormat="0" applyBorder="0" applyAlignment="0" applyProtection="0"/>
    <xf numFmtId="0" fontId="96" fillId="19" borderId="0" applyNumberFormat="0" applyBorder="0" applyAlignment="0" applyProtection="0"/>
    <xf numFmtId="0" fontId="182" fillId="3" borderId="0" applyNumberFormat="0" applyBorder="0" applyAlignment="0" applyProtection="0"/>
    <xf numFmtId="0" fontId="182" fillId="3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167" fillId="51" borderId="0" applyNumberFormat="0" applyBorder="0" applyAlignment="0" applyProtection="0"/>
    <xf numFmtId="0" fontId="183" fillId="20" borderId="1" applyNumberFormat="0" applyAlignment="0" applyProtection="0"/>
    <xf numFmtId="0" fontId="183" fillId="20" borderId="1" applyNumberFormat="0" applyAlignment="0" applyProtection="0"/>
    <xf numFmtId="0" fontId="168" fillId="52" borderId="62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168" fillId="52" borderId="62" applyNumberFormat="0" applyAlignment="0" applyProtection="0"/>
    <xf numFmtId="0" fontId="76" fillId="21" borderId="2" applyNumberFormat="0" applyAlignment="0" applyProtection="0"/>
    <xf numFmtId="0" fontId="76" fillId="21" borderId="2" applyNumberFormat="0" applyAlignment="0" applyProtection="0"/>
    <xf numFmtId="0" fontId="76" fillId="21" borderId="2" applyNumberFormat="0" applyAlignment="0" applyProtection="0"/>
    <xf numFmtId="0" fontId="76" fillId="21" borderId="2" applyNumberFormat="0" applyAlignment="0" applyProtection="0"/>
    <xf numFmtId="0" fontId="76" fillId="21" borderId="2" applyNumberFormat="0" applyAlignment="0" applyProtection="0"/>
    <xf numFmtId="0" fontId="76" fillId="21" borderId="2" applyNumberFormat="0" applyAlignment="0" applyProtection="0"/>
    <xf numFmtId="0" fontId="169" fillId="53" borderId="63" applyNumberFormat="0" applyAlignment="0" applyProtection="0"/>
    <xf numFmtId="0" fontId="86" fillId="0" borderId="3" applyNumberFormat="0" applyFill="0" applyAlignment="0" applyProtection="0"/>
    <xf numFmtId="0" fontId="86" fillId="0" borderId="3" applyNumberFormat="0" applyFill="0" applyAlignment="0" applyProtection="0"/>
    <xf numFmtId="0" fontId="86" fillId="0" borderId="3" applyNumberFormat="0" applyFill="0" applyAlignment="0" applyProtection="0"/>
    <xf numFmtId="0" fontId="86" fillId="0" borderId="3" applyNumberFormat="0" applyFill="0" applyAlignment="0" applyProtection="0"/>
    <xf numFmtId="0" fontId="86" fillId="0" borderId="3" applyNumberFormat="0" applyFill="0" applyAlignment="0" applyProtection="0"/>
    <xf numFmtId="0" fontId="86" fillId="0" borderId="3" applyNumberFormat="0" applyFill="0" applyAlignment="0" applyProtection="0"/>
    <xf numFmtId="0" fontId="170" fillId="0" borderId="64" applyNumberFormat="0" applyFill="0" applyAlignment="0" applyProtection="0"/>
    <xf numFmtId="0" fontId="93" fillId="21" borderId="2" applyNumberFormat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66" fillId="54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166" fillId="54" borderId="0" applyNumberFormat="0" applyBorder="0" applyAlignment="0" applyProtection="0"/>
    <xf numFmtId="0" fontId="166" fillId="55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166" fillId="55" borderId="0" applyNumberFormat="0" applyBorder="0" applyAlignment="0" applyProtection="0"/>
    <xf numFmtId="0" fontId="166" fillId="56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166" fillId="56" borderId="0" applyNumberFormat="0" applyBorder="0" applyAlignment="0" applyProtection="0"/>
    <xf numFmtId="0" fontId="166" fillId="57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166" fillId="57" borderId="0" applyNumberFormat="0" applyBorder="0" applyAlignment="0" applyProtection="0"/>
    <xf numFmtId="0" fontId="166" fillId="58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166" fillId="58" borderId="0" applyNumberFormat="0" applyBorder="0" applyAlignment="0" applyProtection="0"/>
    <xf numFmtId="0" fontId="166" fillId="5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166" fillId="59" borderId="0" applyNumberFormat="0" applyBorder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172" fillId="60" borderId="62" applyNumberFormat="0" applyAlignment="0" applyProtection="0"/>
    <xf numFmtId="0" fontId="184" fillId="0" borderId="0" applyNumberFormat="0" applyFill="0" applyBorder="0" applyAlignment="0" applyProtection="0"/>
    <xf numFmtId="0" fontId="184" fillId="0" borderId="0" applyNumberFormat="0" applyFill="0" applyBorder="0" applyAlignment="0" applyProtection="0"/>
    <xf numFmtId="0" fontId="185" fillId="4" borderId="0" applyNumberFormat="0" applyBorder="0" applyAlignment="0" applyProtection="0"/>
    <xf numFmtId="0" fontId="186" fillId="0" borderId="4" applyNumberFormat="0" applyFill="0" applyAlignment="0" applyProtection="0"/>
    <xf numFmtId="0" fontId="186" fillId="0" borderId="4" applyNumberFormat="0" applyFill="0" applyAlignment="0" applyProtection="0"/>
    <xf numFmtId="0" fontId="187" fillId="0" borderId="5" applyNumberFormat="0" applyFill="0" applyAlignment="0" applyProtection="0"/>
    <xf numFmtId="0" fontId="187" fillId="0" borderId="5" applyNumberFormat="0" applyFill="0" applyAlignment="0" applyProtection="0"/>
    <xf numFmtId="0" fontId="188" fillId="0" borderId="6" applyNumberFormat="0" applyFill="0" applyAlignment="0" applyProtection="0"/>
    <xf numFmtId="0" fontId="188" fillId="0" borderId="6" applyNumberFormat="0" applyFill="0" applyAlignment="0" applyProtection="0"/>
    <xf numFmtId="0" fontId="188" fillId="0" borderId="0" applyNumberFormat="0" applyFill="0" applyBorder="0" applyAlignment="0" applyProtection="0"/>
    <xf numFmtId="0" fontId="173" fillId="61" borderId="0" applyNumberFormat="0" applyBorder="0" applyAlignment="0" applyProtection="0"/>
    <xf numFmtId="0" fontId="72" fillId="3" borderId="0" applyNumberFormat="0" applyBorder="0" applyAlignment="0" applyProtection="0"/>
    <xf numFmtId="0" fontId="72" fillId="3" borderId="0" applyNumberFormat="0" applyBorder="0" applyAlignment="0" applyProtection="0"/>
    <xf numFmtId="0" fontId="72" fillId="3" borderId="0" applyNumberFormat="0" applyBorder="0" applyAlignment="0" applyProtection="0"/>
    <xf numFmtId="0" fontId="72" fillId="3" borderId="0" applyNumberFormat="0" applyBorder="0" applyAlignment="0" applyProtection="0"/>
    <xf numFmtId="0" fontId="72" fillId="3" borderId="0" applyNumberFormat="0" applyBorder="0" applyAlignment="0" applyProtection="0"/>
    <xf numFmtId="0" fontId="72" fillId="3" borderId="0" applyNumberFormat="0" applyBorder="0" applyAlignment="0" applyProtection="0"/>
    <xf numFmtId="0" fontId="173" fillId="61" borderId="0" applyNumberFormat="0" applyBorder="0" applyAlignment="0" applyProtection="0"/>
    <xf numFmtId="0" fontId="189" fillId="7" borderId="1" applyNumberFormat="0" applyAlignment="0" applyProtection="0"/>
    <xf numFmtId="0" fontId="190" fillId="0" borderId="3" applyNumberFormat="0" applyFill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70" fillId="0" borderId="0" applyFont="0" applyFill="0" applyBorder="0" applyAlignment="0" applyProtection="0"/>
    <xf numFmtId="0" fontId="174" fillId="62" borderId="0" applyNumberFormat="0" applyBorder="0" applyAlignment="0" applyProtection="0"/>
    <xf numFmtId="0" fontId="87" fillId="22" borderId="0" applyNumberFormat="0" applyBorder="0" applyAlignment="0" applyProtection="0"/>
    <xf numFmtId="0" fontId="87" fillId="22" borderId="0" applyNumberFormat="0" applyBorder="0" applyAlignment="0" applyProtection="0"/>
    <xf numFmtId="0" fontId="87" fillId="22" borderId="0" applyNumberFormat="0" applyBorder="0" applyAlignment="0" applyProtection="0"/>
    <xf numFmtId="0" fontId="87" fillId="22" borderId="0" applyNumberFormat="0" applyBorder="0" applyAlignment="0" applyProtection="0"/>
    <xf numFmtId="0" fontId="87" fillId="22" borderId="0" applyNumberFormat="0" applyBorder="0" applyAlignment="0" applyProtection="0"/>
    <xf numFmtId="0" fontId="87" fillId="22" borderId="0" applyNumberFormat="0" applyBorder="0" applyAlignment="0" applyProtection="0"/>
    <xf numFmtId="0" fontId="87" fillId="22" borderId="0" applyNumberFormat="0" applyBorder="0" applyAlignment="0" applyProtection="0"/>
    <xf numFmtId="0" fontId="87" fillId="22" borderId="0" applyNumberFormat="0" applyBorder="0" applyAlignment="0" applyProtection="0"/>
    <xf numFmtId="0" fontId="174" fillId="62" borderId="0" applyNumberFormat="0" applyBorder="0" applyAlignment="0" applyProtection="0"/>
    <xf numFmtId="0" fontId="43" fillId="0" borderId="0"/>
    <xf numFmtId="0" fontId="115" fillId="0" borderId="0"/>
    <xf numFmtId="0" fontId="47" fillId="0" borderId="0"/>
    <xf numFmtId="0" fontId="115" fillId="0" borderId="0"/>
    <xf numFmtId="0" fontId="70" fillId="0" borderId="0"/>
    <xf numFmtId="0" fontId="7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3" fillId="0" borderId="0"/>
    <xf numFmtId="0" fontId="70" fillId="63" borderId="65" applyNumberFormat="0" applyFont="0" applyAlignment="0" applyProtection="0"/>
    <xf numFmtId="0" fontId="70" fillId="63" borderId="65" applyNumberFormat="0" applyFont="0" applyAlignment="0" applyProtection="0"/>
    <xf numFmtId="0" fontId="47" fillId="23" borderId="7" applyNumberFormat="0" applyFont="0" applyAlignment="0" applyProtection="0"/>
    <xf numFmtId="0" fontId="43" fillId="63" borderId="65" applyNumberFormat="0" applyFont="0" applyAlignment="0" applyProtection="0"/>
    <xf numFmtId="0" fontId="47" fillId="23" borderId="7" applyNumberFormat="0" applyFont="0" applyAlignment="0" applyProtection="0"/>
    <xf numFmtId="0" fontId="70" fillId="23" borderId="7" applyNumberFormat="0" applyFont="0" applyAlignment="0" applyProtection="0"/>
    <xf numFmtId="0" fontId="70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70" fillId="63" borderId="65" applyNumberFormat="0" applyFont="0" applyAlignment="0" applyProtection="0"/>
    <xf numFmtId="0" fontId="70" fillId="63" borderId="65" applyNumberFormat="0" applyFont="0" applyAlignment="0" applyProtection="0"/>
    <xf numFmtId="0" fontId="47" fillId="23" borderId="7" applyNumberFormat="0" applyFont="0" applyAlignment="0" applyProtection="0"/>
    <xf numFmtId="0" fontId="191" fillId="20" borderId="8" applyNumberFormat="0" applyAlignment="0" applyProtection="0"/>
    <xf numFmtId="0" fontId="191" fillId="20" borderId="8" applyNumberFormat="0" applyAlignment="0" applyProtection="0"/>
    <xf numFmtId="10" fontId="77" fillId="0" borderId="0" applyFont="0" applyFill="0" applyBorder="0" applyAlignment="0" applyProtection="0"/>
    <xf numFmtId="9" fontId="70" fillId="0" borderId="0" applyFont="0" applyFill="0" applyBorder="0" applyAlignment="0" applyProtection="0"/>
    <xf numFmtId="0" fontId="175" fillId="52" borderId="66" applyNumberFormat="0" applyAlignment="0" applyProtection="0"/>
    <xf numFmtId="0" fontId="88" fillId="20" borderId="8" applyNumberFormat="0" applyAlignment="0" applyProtection="0"/>
    <xf numFmtId="0" fontId="88" fillId="20" borderId="8" applyNumberFormat="0" applyAlignment="0" applyProtection="0"/>
    <xf numFmtId="0" fontId="88" fillId="20" borderId="8" applyNumberFormat="0" applyAlignment="0" applyProtection="0"/>
    <xf numFmtId="0" fontId="88" fillId="20" borderId="8" applyNumberFormat="0" applyAlignment="0" applyProtection="0"/>
    <xf numFmtId="0" fontId="88" fillId="20" borderId="8" applyNumberFormat="0" applyAlignment="0" applyProtection="0"/>
    <xf numFmtId="0" fontId="88" fillId="20" borderId="8" applyNumberFormat="0" applyAlignment="0" applyProtection="0"/>
    <xf numFmtId="0" fontId="175" fillId="52" borderId="66" applyNumberFormat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9" fillId="0" borderId="67" applyNumberFormat="0" applyFill="0" applyAlignment="0" applyProtection="0"/>
    <xf numFmtId="0" fontId="104" fillId="0" borderId="4" applyNumberFormat="0" applyFill="0" applyAlignment="0" applyProtection="0"/>
    <xf numFmtId="0" fontId="104" fillId="0" borderId="4" applyNumberFormat="0" applyFill="0" applyAlignment="0" applyProtection="0"/>
    <xf numFmtId="0" fontId="104" fillId="0" borderId="4" applyNumberFormat="0" applyFill="0" applyAlignment="0" applyProtection="0"/>
    <xf numFmtId="0" fontId="104" fillId="0" borderId="4" applyNumberFormat="0" applyFill="0" applyAlignment="0" applyProtection="0"/>
    <xf numFmtId="0" fontId="104" fillId="0" borderId="4" applyNumberFormat="0" applyFill="0" applyAlignment="0" applyProtection="0"/>
    <xf numFmtId="0" fontId="104" fillId="0" borderId="4" applyNumberFormat="0" applyFill="0" applyAlignment="0" applyProtection="0"/>
    <xf numFmtId="0" fontId="179" fillId="0" borderId="67" applyNumberFormat="0" applyFill="0" applyAlignment="0" applyProtection="0"/>
    <xf numFmtId="0" fontId="14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80" fillId="0" borderId="68" applyNumberFormat="0" applyFill="0" applyAlignment="0" applyProtection="0"/>
    <xf numFmtId="0" fontId="105" fillId="0" borderId="5" applyNumberFormat="0" applyFill="0" applyAlignment="0" applyProtection="0"/>
    <xf numFmtId="0" fontId="105" fillId="0" borderId="5" applyNumberFormat="0" applyFill="0" applyAlignment="0" applyProtection="0"/>
    <xf numFmtId="0" fontId="105" fillId="0" borderId="5" applyNumberFormat="0" applyFill="0" applyAlignment="0" applyProtection="0"/>
    <xf numFmtId="0" fontId="105" fillId="0" borderId="5" applyNumberFormat="0" applyFill="0" applyAlignment="0" applyProtection="0"/>
    <xf numFmtId="0" fontId="105" fillId="0" borderId="5" applyNumberFormat="0" applyFill="0" applyAlignment="0" applyProtection="0"/>
    <xf numFmtId="0" fontId="105" fillId="0" borderId="5" applyNumberFormat="0" applyFill="0" applyAlignment="0" applyProtection="0"/>
    <xf numFmtId="0" fontId="180" fillId="0" borderId="68" applyNumberFormat="0" applyFill="0" applyAlignment="0" applyProtection="0"/>
    <xf numFmtId="0" fontId="171" fillId="0" borderId="69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171" fillId="0" borderId="69" applyNumberFormat="0" applyFill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81" fillId="0" borderId="70" applyNumberFormat="0" applyFill="0" applyAlignment="0" applyProtection="0"/>
    <xf numFmtId="0" fontId="136" fillId="0" borderId="10" applyNumberFormat="0" applyFill="0" applyAlignment="0" applyProtection="0"/>
    <xf numFmtId="0" fontId="80" fillId="0" borderId="9" applyNumberFormat="0" applyFont="0" applyFill="0" applyAlignment="0" applyProtection="0"/>
    <xf numFmtId="0" fontId="136" fillId="0" borderId="10" applyNumberFormat="0" applyFill="0" applyAlignment="0" applyProtection="0"/>
    <xf numFmtId="0" fontId="136" fillId="0" borderId="10" applyNumberFormat="0" applyFill="0" applyAlignment="0" applyProtection="0"/>
    <xf numFmtId="0" fontId="136" fillId="0" borderId="10" applyNumberFormat="0" applyFill="0" applyAlignment="0" applyProtection="0"/>
    <xf numFmtId="0" fontId="136" fillId="0" borderId="10" applyNumberFormat="0" applyFill="0" applyAlignment="0" applyProtection="0"/>
    <xf numFmtId="0" fontId="136" fillId="0" borderId="10" applyNumberFormat="0" applyFill="0" applyAlignment="0" applyProtection="0"/>
    <xf numFmtId="0" fontId="136" fillId="0" borderId="10" applyNumberFormat="0" applyFill="0" applyAlignment="0" applyProtection="0"/>
    <xf numFmtId="0" fontId="181" fillId="0" borderId="70" applyNumberFormat="0" applyFill="0" applyAlignment="0" applyProtection="0"/>
    <xf numFmtId="0" fontId="95" fillId="0" borderId="0" applyNumberFormat="0" applyFill="0" applyBorder="0" applyAlignment="0" applyProtection="0"/>
    <xf numFmtId="0" fontId="42" fillId="0" borderId="0"/>
    <xf numFmtId="0" fontId="47" fillId="0" borderId="0"/>
    <xf numFmtId="0" fontId="70" fillId="2" borderId="0" applyNumberFormat="0" applyBorder="0" applyAlignment="0" applyProtection="0"/>
    <xf numFmtId="0" fontId="70" fillId="3" borderId="0" applyNumberFormat="0" applyBorder="0" applyAlignment="0" applyProtection="0"/>
    <xf numFmtId="0" fontId="70" fillId="4" borderId="0" applyNumberFormat="0" applyBorder="0" applyAlignment="0" applyProtection="0"/>
    <xf numFmtId="0" fontId="70" fillId="5" borderId="0" applyNumberFormat="0" applyBorder="0" applyAlignment="0" applyProtection="0"/>
    <xf numFmtId="0" fontId="70" fillId="6" borderId="0" applyNumberFormat="0" applyBorder="0" applyAlignment="0" applyProtection="0"/>
    <xf numFmtId="0" fontId="70" fillId="7" borderId="0" applyNumberFormat="0" applyBorder="0" applyAlignment="0" applyProtection="0"/>
    <xf numFmtId="0" fontId="70" fillId="8" borderId="0" applyNumberFormat="0" applyBorder="0" applyAlignment="0" applyProtection="0"/>
    <xf numFmtId="0" fontId="70" fillId="9" borderId="0" applyNumberFormat="0" applyBorder="0" applyAlignment="0" applyProtection="0"/>
    <xf numFmtId="0" fontId="70" fillId="10" borderId="0" applyNumberFormat="0" applyBorder="0" applyAlignment="0" applyProtection="0"/>
    <xf numFmtId="0" fontId="70" fillId="5" borderId="0" applyNumberFormat="0" applyBorder="0" applyAlignment="0" applyProtection="0"/>
    <xf numFmtId="0" fontId="70" fillId="8" borderId="0" applyNumberFormat="0" applyBorder="0" applyAlignment="0" applyProtection="0"/>
    <xf numFmtId="0" fontId="70" fillId="11" borderId="0" applyNumberFormat="0" applyBorder="0" applyAlignment="0" applyProtection="0"/>
    <xf numFmtId="0" fontId="71" fillId="12" borderId="0" applyNumberFormat="0" applyBorder="0" applyAlignment="0" applyProtection="0"/>
    <xf numFmtId="0" fontId="71" fillId="9" borderId="0" applyNumberFormat="0" applyBorder="0" applyAlignment="0" applyProtection="0"/>
    <xf numFmtId="0" fontId="71" fillId="10" borderId="0" applyNumberFormat="0" applyBorder="0" applyAlignment="0" applyProtection="0"/>
    <xf numFmtId="0" fontId="71" fillId="13" borderId="0" applyNumberFormat="0" applyBorder="0" applyAlignment="0" applyProtection="0"/>
    <xf numFmtId="0" fontId="71" fillId="14" borderId="0" applyNumberFormat="0" applyBorder="0" applyAlignment="0" applyProtection="0"/>
    <xf numFmtId="0" fontId="71" fillId="15" borderId="0" applyNumberFormat="0" applyBorder="0" applyAlignment="0" applyProtection="0"/>
    <xf numFmtId="0" fontId="81" fillId="4" borderId="0" applyNumberFormat="0" applyBorder="0" applyAlignment="0" applyProtection="0"/>
    <xf numFmtId="0" fontId="75" fillId="20" borderId="1" applyNumberFormat="0" applyAlignment="0" applyProtection="0"/>
    <xf numFmtId="0" fontId="76" fillId="21" borderId="2" applyNumberFormat="0" applyAlignment="0" applyProtection="0"/>
    <xf numFmtId="0" fontId="86" fillId="0" borderId="3" applyNumberFormat="0" applyFill="0" applyAlignment="0" applyProtection="0"/>
    <xf numFmtId="0" fontId="84" fillId="0" borderId="0" applyNumberFormat="0" applyFill="0" applyBorder="0" applyAlignment="0" applyProtection="0"/>
    <xf numFmtId="0" fontId="71" fillId="16" borderId="0" applyNumberFormat="0" applyBorder="0" applyAlignment="0" applyProtection="0"/>
    <xf numFmtId="0" fontId="71" fillId="17" borderId="0" applyNumberFormat="0" applyBorder="0" applyAlignment="0" applyProtection="0"/>
    <xf numFmtId="0" fontId="71" fillId="18" borderId="0" applyNumberFormat="0" applyBorder="0" applyAlignment="0" applyProtection="0"/>
    <xf numFmtId="0" fontId="71" fillId="13" borderId="0" applyNumberFormat="0" applyBorder="0" applyAlignment="0" applyProtection="0"/>
    <xf numFmtId="0" fontId="71" fillId="14" borderId="0" applyNumberFormat="0" applyBorder="0" applyAlignment="0" applyProtection="0"/>
    <xf numFmtId="0" fontId="71" fillId="19" borderId="0" applyNumberFormat="0" applyBorder="0" applyAlignment="0" applyProtection="0"/>
    <xf numFmtId="0" fontId="85" fillId="7" borderId="1" applyNumberFormat="0" applyAlignment="0" applyProtection="0"/>
    <xf numFmtId="0" fontId="72" fillId="3" borderId="0" applyNumberFormat="0" applyBorder="0" applyAlignment="0" applyProtection="0"/>
    <xf numFmtId="175" fontId="47" fillId="0" borderId="0" applyFont="0" applyFill="0" applyBorder="0" applyAlignment="0" applyProtection="0"/>
    <xf numFmtId="0" fontId="87" fillId="22" borderId="0" applyNumberFormat="0" applyBorder="0" applyAlignment="0" applyProtection="0"/>
    <xf numFmtId="0" fontId="47" fillId="23" borderId="7" applyNumberFormat="0" applyFont="0" applyAlignment="0" applyProtection="0"/>
    <xf numFmtId="9" fontId="47" fillId="0" borderId="0" applyFont="0" applyFill="0" applyBorder="0" applyAlignment="0" applyProtection="0"/>
    <xf numFmtId="0" fontId="88" fillId="20" borderId="8" applyNumberFormat="0" applyAlignment="0" applyProtection="0"/>
    <xf numFmtId="0" fontId="9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4" fillId="0" borderId="4" applyNumberFormat="0" applyFill="0" applyAlignment="0" applyProtection="0"/>
    <xf numFmtId="0" fontId="105" fillId="0" borderId="5" applyNumberFormat="0" applyFill="0" applyAlignment="0" applyProtection="0"/>
    <xf numFmtId="0" fontId="84" fillId="0" borderId="6" applyNumberFormat="0" applyFill="0" applyAlignment="0" applyProtection="0"/>
    <xf numFmtId="0" fontId="80" fillId="0" borderId="9" applyNumberFormat="0" applyFont="0" applyFill="0" applyAlignment="0" applyProtection="0"/>
    <xf numFmtId="0" fontId="42" fillId="0" borderId="0"/>
    <xf numFmtId="167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167" fontId="42" fillId="0" borderId="0" applyFont="0" applyFill="0" applyBorder="0" applyAlignment="0" applyProtection="0"/>
    <xf numFmtId="0" fontId="42" fillId="0" borderId="0"/>
    <xf numFmtId="0" fontId="42" fillId="0" borderId="0"/>
    <xf numFmtId="167" fontId="42" fillId="0" borderId="0" applyFont="0" applyFill="0" applyBorder="0" applyAlignment="0" applyProtection="0"/>
    <xf numFmtId="167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5" borderId="0" applyNumberFormat="0" applyBorder="0" applyAlignment="0" applyProtection="0"/>
    <xf numFmtId="0" fontId="42" fillId="65" borderId="0" applyNumberFormat="0" applyBorder="0" applyAlignment="0" applyProtection="0"/>
    <xf numFmtId="0" fontId="42" fillId="65" borderId="0" applyNumberFormat="0" applyBorder="0" applyAlignment="0" applyProtection="0"/>
    <xf numFmtId="0" fontId="42" fillId="66" borderId="0" applyNumberFormat="0" applyBorder="0" applyAlignment="0" applyProtection="0"/>
    <xf numFmtId="0" fontId="42" fillId="66" borderId="0" applyNumberFormat="0" applyBorder="0" applyAlignment="0" applyProtection="0"/>
    <xf numFmtId="0" fontId="42" fillId="66" borderId="0" applyNumberFormat="0" applyBorder="0" applyAlignment="0" applyProtection="0"/>
    <xf numFmtId="0" fontId="42" fillId="67" borderId="0" applyNumberFormat="0" applyBorder="0" applyAlignment="0" applyProtection="0"/>
    <xf numFmtId="0" fontId="42" fillId="67" borderId="0" applyNumberFormat="0" applyBorder="0" applyAlignment="0" applyProtection="0"/>
    <xf numFmtId="0" fontId="42" fillId="67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68" borderId="0" applyNumberFormat="0" applyBorder="0" applyAlignment="0" applyProtection="0"/>
    <xf numFmtId="0" fontId="42" fillId="68" borderId="0" applyNumberFormat="0" applyBorder="0" applyAlignment="0" applyProtection="0"/>
    <xf numFmtId="0" fontId="42" fillId="68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0" borderId="0"/>
    <xf numFmtId="0" fontId="42" fillId="0" borderId="0"/>
    <xf numFmtId="0" fontId="42" fillId="63" borderId="65" applyNumberFormat="0" applyFont="0" applyAlignment="0" applyProtection="0"/>
    <xf numFmtId="0" fontId="41" fillId="64" borderId="0" applyNumberFormat="0" applyBorder="0" applyAlignment="0" applyProtection="0"/>
    <xf numFmtId="0" fontId="41" fillId="64" borderId="0" applyNumberFormat="0" applyBorder="0" applyAlignment="0" applyProtection="0"/>
    <xf numFmtId="0" fontId="41" fillId="64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0" fontId="41" fillId="0" borderId="0"/>
    <xf numFmtId="0" fontId="47" fillId="0" borderId="0"/>
    <xf numFmtId="0" fontId="41" fillId="0" borderId="0"/>
    <xf numFmtId="0" fontId="41" fillId="0" borderId="0"/>
    <xf numFmtId="0" fontId="41" fillId="63" borderId="65" applyNumberFormat="0" applyFont="0" applyAlignment="0" applyProtection="0"/>
    <xf numFmtId="9" fontId="70" fillId="0" borderId="0" applyFont="0" applyFill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7" borderId="0" applyNumberFormat="0" applyBorder="0" applyAlignment="0" applyProtection="0"/>
    <xf numFmtId="0" fontId="40" fillId="67" borderId="0" applyNumberFormat="0" applyBorder="0" applyAlignment="0" applyProtection="0"/>
    <xf numFmtId="0" fontId="40" fillId="67" borderId="0" applyNumberFormat="0" applyBorder="0" applyAlignment="0" applyProtection="0"/>
    <xf numFmtId="0" fontId="40" fillId="67" borderId="0" applyNumberFormat="0" applyBorder="0" applyAlignment="0" applyProtection="0"/>
    <xf numFmtId="0" fontId="40" fillId="67" borderId="0" applyNumberFormat="0" applyBorder="0" applyAlignment="0" applyProtection="0"/>
    <xf numFmtId="0" fontId="40" fillId="67" borderId="0" applyNumberFormat="0" applyBorder="0" applyAlignment="0" applyProtection="0"/>
    <xf numFmtId="0" fontId="40" fillId="67" borderId="0" applyNumberFormat="0" applyBorder="0" applyAlignment="0" applyProtection="0"/>
    <xf numFmtId="0" fontId="40" fillId="67" borderId="0" applyNumberFormat="0" applyBorder="0" applyAlignment="0" applyProtection="0"/>
    <xf numFmtId="0" fontId="40" fillId="67" borderId="0" applyNumberFormat="0" applyBorder="0" applyAlignment="0" applyProtection="0"/>
    <xf numFmtId="0" fontId="40" fillId="67" borderId="0" applyNumberFormat="0" applyBorder="0" applyAlignment="0" applyProtection="0"/>
    <xf numFmtId="0" fontId="40" fillId="67" borderId="0" applyNumberFormat="0" applyBorder="0" applyAlignment="0" applyProtection="0"/>
    <xf numFmtId="0" fontId="40" fillId="67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68" borderId="0" applyNumberFormat="0" applyBorder="0" applyAlignment="0" applyProtection="0"/>
    <xf numFmtId="0" fontId="40" fillId="68" borderId="0" applyNumberFormat="0" applyBorder="0" applyAlignment="0" applyProtection="0"/>
    <xf numFmtId="0" fontId="40" fillId="68" borderId="0" applyNumberFormat="0" applyBorder="0" applyAlignment="0" applyProtection="0"/>
    <xf numFmtId="0" fontId="40" fillId="68" borderId="0" applyNumberFormat="0" applyBorder="0" applyAlignment="0" applyProtection="0"/>
    <xf numFmtId="0" fontId="40" fillId="68" borderId="0" applyNumberFormat="0" applyBorder="0" applyAlignment="0" applyProtection="0"/>
    <xf numFmtId="0" fontId="40" fillId="68" borderId="0" applyNumberFormat="0" applyBorder="0" applyAlignment="0" applyProtection="0"/>
    <xf numFmtId="0" fontId="40" fillId="68" borderId="0" applyNumberFormat="0" applyBorder="0" applyAlignment="0" applyProtection="0"/>
    <xf numFmtId="0" fontId="40" fillId="68" borderId="0" applyNumberFormat="0" applyBorder="0" applyAlignment="0" applyProtection="0"/>
    <xf numFmtId="0" fontId="40" fillId="68" borderId="0" applyNumberFormat="0" applyBorder="0" applyAlignment="0" applyProtection="0"/>
    <xf numFmtId="0" fontId="40" fillId="68" borderId="0" applyNumberFormat="0" applyBorder="0" applyAlignment="0" applyProtection="0"/>
    <xf numFmtId="0" fontId="40" fillId="68" borderId="0" applyNumberFormat="0" applyBorder="0" applyAlignment="0" applyProtection="0"/>
    <xf numFmtId="0" fontId="40" fillId="68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167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63" borderId="65" applyNumberFormat="0" applyFont="0" applyAlignment="0" applyProtection="0"/>
    <xf numFmtId="0" fontId="40" fillId="63" borderId="65" applyNumberFormat="0" applyFont="0" applyAlignment="0" applyProtection="0"/>
    <xf numFmtId="0" fontId="40" fillId="63" borderId="65" applyNumberFormat="0" applyFont="0" applyAlignment="0" applyProtection="0"/>
    <xf numFmtId="0" fontId="40" fillId="63" borderId="65" applyNumberFormat="0" applyFont="0" applyAlignment="0" applyProtection="0"/>
    <xf numFmtId="9" fontId="70" fillId="0" borderId="0" applyFont="0" applyFill="0" applyBorder="0" applyAlignment="0" applyProtection="0"/>
    <xf numFmtId="0" fontId="195" fillId="0" borderId="0"/>
    <xf numFmtId="204" fontId="195" fillId="0" borderId="0" applyFont="0" applyFill="0" applyBorder="0" applyAlignment="0" applyProtection="0"/>
    <xf numFmtId="2" fontId="195" fillId="0" borderId="0" applyFill="0" applyBorder="0" applyAlignment="0" applyProtection="0"/>
    <xf numFmtId="9" fontId="195" fillId="0" borderId="0" applyFont="0" applyFill="0" applyBorder="0" applyAlignment="0" applyProtection="0"/>
    <xf numFmtId="0" fontId="47" fillId="0" borderId="0"/>
    <xf numFmtId="0" fontId="39" fillId="0" borderId="0"/>
    <xf numFmtId="167" fontId="47" fillId="0" borderId="0" applyFont="0" applyFill="0" applyBorder="0" applyAlignment="0" applyProtection="0"/>
    <xf numFmtId="0" fontId="38" fillId="0" borderId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38" fillId="41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148" fillId="2" borderId="0" applyNumberFormat="0" applyBorder="0" applyAlignment="0" applyProtection="0">
      <alignment vertical="center"/>
    </xf>
    <xf numFmtId="0" fontId="48" fillId="2" borderId="0" applyNumberFormat="0" applyBorder="0" applyAlignment="0" applyProtection="0">
      <alignment vertical="center"/>
    </xf>
    <xf numFmtId="0" fontId="48" fillId="2" borderId="0" applyNumberFormat="0" applyBorder="0" applyAlignment="0" applyProtection="0">
      <alignment vertical="center"/>
    </xf>
    <xf numFmtId="0" fontId="1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1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1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1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1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38" fillId="44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1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1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1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1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10" borderId="0" applyNumberFormat="0" applyBorder="0" applyAlignment="0" applyProtection="0"/>
    <xf numFmtId="0" fontId="71" fillId="10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166" fillId="6" borderId="0" applyNumberFormat="0" applyBorder="0" applyAlignment="0" applyProtection="0"/>
    <xf numFmtId="0" fontId="166" fillId="6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166" fillId="19" borderId="0" applyNumberFormat="0" applyBorder="0" applyAlignment="0" applyProtection="0"/>
    <xf numFmtId="0" fontId="166" fillId="19" borderId="0" applyNumberFormat="0" applyBorder="0" applyAlignment="0" applyProtection="0"/>
    <xf numFmtId="0" fontId="71" fillId="10" borderId="0" applyNumberFormat="0" applyBorder="0" applyAlignment="0" applyProtection="0"/>
    <xf numFmtId="0" fontId="71" fillId="10" borderId="0" applyNumberFormat="0" applyBorder="0" applyAlignment="0" applyProtection="0"/>
    <xf numFmtId="0" fontId="71" fillId="10" borderId="0" applyNumberFormat="0" applyBorder="0" applyAlignment="0" applyProtection="0"/>
    <xf numFmtId="0" fontId="166" fillId="11" borderId="0" applyNumberFormat="0" applyBorder="0" applyAlignment="0" applyProtection="0"/>
    <xf numFmtId="0" fontId="166" fillId="11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166" fillId="3" borderId="0" applyNumberFormat="0" applyBorder="0" applyAlignment="0" applyProtection="0"/>
    <xf numFmtId="0" fontId="166" fillId="3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166" fillId="6" borderId="0" applyNumberFormat="0" applyBorder="0" applyAlignment="0" applyProtection="0"/>
    <xf numFmtId="0" fontId="166" fillId="6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166" fillId="9" borderId="0" applyNumberFormat="0" applyBorder="0" applyAlignment="0" applyProtection="0"/>
    <xf numFmtId="0" fontId="166" fillId="9" borderId="0" applyNumberFormat="0" applyBorder="0" applyAlignment="0" applyProtection="0"/>
    <xf numFmtId="0" fontId="1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2" fillId="3" borderId="0" applyNumberFormat="0" applyBorder="0" applyAlignment="0" applyProtection="0"/>
    <xf numFmtId="0" fontId="72" fillId="3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167" fillId="6" borderId="0" applyNumberFormat="0" applyBorder="0" applyAlignment="0" applyProtection="0"/>
    <xf numFmtId="0" fontId="167" fillId="6" borderId="0" applyNumberFormat="0" applyBorder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199" fillId="81" borderId="62" applyNumberFormat="0" applyAlignment="0" applyProtection="0"/>
    <xf numFmtId="0" fontId="199" fillId="81" borderId="62" applyNumberFormat="0" applyAlignment="0" applyProtection="0"/>
    <xf numFmtId="0" fontId="76" fillId="21" borderId="2" applyNumberFormat="0" applyAlignment="0" applyProtection="0"/>
    <xf numFmtId="0" fontId="76" fillId="21" borderId="2" applyNumberFormat="0" applyAlignment="0" applyProtection="0"/>
    <xf numFmtId="0" fontId="76" fillId="21" borderId="2" applyNumberFormat="0" applyAlignment="0" applyProtection="0"/>
    <xf numFmtId="0" fontId="169" fillId="53" borderId="63" applyNumberFormat="0" applyAlignment="0" applyProtection="0"/>
    <xf numFmtId="0" fontId="86" fillId="0" borderId="3" applyNumberFormat="0" applyFill="0" applyAlignment="0" applyProtection="0"/>
    <xf numFmtId="0" fontId="86" fillId="0" borderId="3" applyNumberFormat="0" applyFill="0" applyAlignment="0" applyProtection="0"/>
    <xf numFmtId="0" fontId="86" fillId="0" borderId="3" applyNumberFormat="0" applyFill="0" applyAlignment="0" applyProtection="0"/>
    <xf numFmtId="0" fontId="200" fillId="0" borderId="86" applyNumberFormat="0" applyFill="0" applyAlignment="0" applyProtection="0"/>
    <xf numFmtId="0" fontId="200" fillId="0" borderId="86" applyNumberFormat="0" applyFill="0" applyAlignment="0" applyProtection="0"/>
    <xf numFmtId="0" fontId="76" fillId="21" borderId="2" applyNumberFormat="0" applyAlignment="0" applyProtection="0"/>
    <xf numFmtId="0" fontId="76" fillId="21" borderId="2" applyNumberFormat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4" fontId="47" fillId="0" borderId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166" fillId="82" borderId="0" applyNumberFormat="0" applyBorder="0" applyAlignment="0" applyProtection="0"/>
    <xf numFmtId="0" fontId="166" fillId="82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166" fillId="19" borderId="0" applyNumberFormat="0" applyBorder="0" applyAlignment="0" applyProtection="0"/>
    <xf numFmtId="0" fontId="166" fillId="19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166" fillId="11" borderId="0" applyNumberFormat="0" applyBorder="0" applyAlignment="0" applyProtection="0"/>
    <xf numFmtId="0" fontId="166" fillId="11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166" fillId="83" borderId="0" applyNumberFormat="0" applyBorder="0" applyAlignment="0" applyProtection="0"/>
    <xf numFmtId="0" fontId="166" fillId="83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166" fillId="58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166" fillId="17" borderId="0" applyNumberFormat="0" applyBorder="0" applyAlignment="0" applyProtection="0"/>
    <xf numFmtId="0" fontId="166" fillId="17" borderId="0" applyNumberFormat="0" applyBorder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172" fillId="22" borderId="62" applyNumberFormat="0" applyAlignment="0" applyProtection="0"/>
    <xf numFmtId="0" fontId="172" fillId="22" borderId="62" applyNumberFormat="0" applyAlignment="0" applyProtection="0"/>
    <xf numFmtId="0" fontId="47" fillId="0" borderId="0"/>
    <xf numFmtId="0" fontId="47" fillId="0" borderId="0"/>
    <xf numFmtId="206" fontId="47" fillId="0" borderId="0"/>
    <xf numFmtId="224" fontId="47" fillId="0" borderId="0" applyFont="0" applyFill="0" applyBorder="0" applyAlignment="0" applyProtection="0"/>
    <xf numFmtId="224" fontId="47" fillId="0" borderId="0" applyFont="0" applyFill="0" applyBorder="0" applyAlignment="0" applyProtection="0"/>
    <xf numFmtId="224" fontId="47" fillId="0" borderId="0" applyFont="0" applyFill="0" applyBorder="0" applyAlignment="0" applyProtection="0"/>
    <xf numFmtId="22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25" fontId="47" fillId="0" borderId="0" applyFont="0" applyFill="0" applyBorder="0" applyAlignment="0" applyProtection="0"/>
    <xf numFmtId="205" fontId="137" fillId="0" borderId="0" applyFont="0" applyFill="0" applyBorder="0" applyAlignment="0" applyProtection="0"/>
    <xf numFmtId="225" fontId="47" fillId="0" borderId="0" applyFont="0" applyFill="0" applyBorder="0" applyAlignment="0" applyProtection="0"/>
    <xf numFmtId="22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25" fontId="47" fillId="0" borderId="0" applyFont="0" applyFill="0" applyBorder="0" applyAlignment="0" applyProtection="0"/>
    <xf numFmtId="205" fontId="137" fillId="0" borderId="0" applyFont="0" applyFill="0" applyBorder="0" applyAlignment="0" applyProtection="0"/>
    <xf numFmtId="205" fontId="137" fillId="0" borderId="0" applyFont="0" applyFill="0" applyBorder="0" applyAlignment="0" applyProtection="0"/>
    <xf numFmtId="180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224" fontId="47" fillId="0" borderId="0" applyFont="0" applyFill="0" applyBorder="0" applyAlignment="0" applyProtection="0"/>
    <xf numFmtId="22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2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22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22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2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24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15" fontId="47" fillId="0" borderId="0" applyFont="0" applyFill="0" applyBorder="0" applyAlignment="0" applyProtection="0"/>
    <xf numFmtId="22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15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22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24" fontId="47" fillId="0" borderId="0" applyFont="0" applyFill="0" applyBorder="0" applyAlignment="0" applyProtection="0"/>
    <xf numFmtId="224" fontId="47" fillId="0" borderId="0" applyFont="0" applyFill="0" applyBorder="0" applyAlignment="0" applyProtection="0"/>
    <xf numFmtId="224" fontId="47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2" fontId="47" fillId="0" borderId="0" applyFill="0" applyBorder="0" applyAlignment="0" applyProtection="0"/>
    <xf numFmtId="2" fontId="47" fillId="0" borderId="0" applyFill="0" applyBorder="0" applyAlignment="0" applyProtection="0"/>
    <xf numFmtId="2" fontId="47" fillId="0" borderId="0" applyFill="0" applyBorder="0" applyAlignment="0" applyProtection="0"/>
    <xf numFmtId="2" fontId="47" fillId="0" borderId="0" applyFill="0" applyBorder="0" applyAlignment="0" applyProtection="0"/>
    <xf numFmtId="2" fontId="47" fillId="0" borderId="0" applyFill="0" applyBorder="0" applyAlignment="0" applyProtection="0"/>
    <xf numFmtId="2" fontId="47" fillId="0" borderId="0" applyFill="0" applyBorder="0" applyAlignment="0" applyProtection="0"/>
    <xf numFmtId="2" fontId="47" fillId="0" borderId="0" applyFill="0" applyBorder="0" applyAlignment="0" applyProtection="0"/>
    <xf numFmtId="2" fontId="47" fillId="0" borderId="0" applyFill="0" applyBorder="0" applyAlignment="0" applyProtection="0"/>
    <xf numFmtId="2" fontId="47" fillId="0" borderId="0" applyFill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104" fillId="0" borderId="4" applyNumberFormat="0" applyFill="0" applyAlignment="0" applyProtection="0"/>
    <xf numFmtId="0" fontId="104" fillId="0" borderId="4" applyNumberFormat="0" applyFill="0" applyAlignment="0" applyProtection="0"/>
    <xf numFmtId="0" fontId="105" fillId="0" borderId="5" applyNumberFormat="0" applyFill="0" applyAlignment="0" applyProtection="0"/>
    <xf numFmtId="0" fontId="105" fillId="0" borderId="5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72" fillId="3" borderId="0" applyNumberFormat="0" applyBorder="0" applyAlignment="0" applyProtection="0"/>
    <xf numFmtId="0" fontId="72" fillId="3" borderId="0" applyNumberFormat="0" applyBorder="0" applyAlignment="0" applyProtection="0"/>
    <xf numFmtId="0" fontId="72" fillId="3" borderId="0" applyNumberFormat="0" applyBorder="0" applyAlignment="0" applyProtection="0"/>
    <xf numFmtId="0" fontId="173" fillId="5" borderId="0" applyNumberFormat="0" applyBorder="0" applyAlignment="0" applyProtection="0"/>
    <xf numFmtId="0" fontId="173" fillId="5" borderId="0" applyNumberFormat="0" applyBorder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86" fillId="0" borderId="3" applyNumberFormat="0" applyFill="0" applyAlignment="0" applyProtection="0"/>
    <xf numFmtId="0" fontId="86" fillId="0" borderId="3" applyNumberFormat="0" applyFill="0" applyAlignment="0" applyProtection="0"/>
    <xf numFmtId="222" fontId="47" fillId="0" borderId="0" applyFont="0" applyFill="0" applyBorder="0" applyAlignment="0" applyProtection="0"/>
    <xf numFmtId="222" fontId="47" fillId="0" borderId="0" applyFont="0" applyFill="0" applyBorder="0" applyAlignment="0" applyProtection="0"/>
    <xf numFmtId="222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75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200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200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75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226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226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226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227" fontId="47" fillId="0" borderId="0" applyFont="0" applyFill="0" applyBorder="0" applyAlignment="0" applyProtection="0"/>
    <xf numFmtId="227" fontId="47" fillId="0" borderId="0" applyFont="0" applyFill="0" applyBorder="0" applyAlignment="0" applyProtection="0"/>
    <xf numFmtId="227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228" fontId="47" fillId="0" borderId="0" applyFont="0" applyFill="0" applyBorder="0" applyAlignment="0" applyProtection="0"/>
    <xf numFmtId="170" fontId="70" fillId="0" borderId="0" applyFont="0" applyFill="0" applyBorder="0" applyAlignment="0" applyProtection="0"/>
    <xf numFmtId="170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227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229" fontId="47" fillId="0" borderId="0" applyFont="0" applyFill="0" applyBorder="0" applyAlignment="0" applyProtection="0"/>
    <xf numFmtId="229" fontId="47" fillId="0" borderId="0" applyFont="0" applyFill="0" applyBorder="0" applyAlignment="0" applyProtection="0"/>
    <xf numFmtId="229" fontId="47" fillId="0" borderId="0" applyFont="0" applyFill="0" applyBorder="0" applyAlignment="0" applyProtection="0"/>
    <xf numFmtId="229" fontId="47" fillId="0" borderId="0" applyFont="0" applyFill="0" applyBorder="0" applyAlignment="0" applyProtection="0"/>
    <xf numFmtId="228" fontId="47" fillId="0" borderId="0" applyFont="0" applyFill="0" applyBorder="0" applyAlignment="0" applyProtection="0"/>
    <xf numFmtId="0" fontId="87" fillId="22" borderId="0" applyNumberFormat="0" applyBorder="0" applyAlignment="0" applyProtection="0"/>
    <xf numFmtId="0" fontId="87" fillId="22" borderId="0" applyNumberFormat="0" applyBorder="0" applyAlignment="0" applyProtection="0"/>
    <xf numFmtId="0" fontId="87" fillId="22" borderId="0" applyNumberFormat="0" applyBorder="0" applyAlignment="0" applyProtection="0"/>
    <xf numFmtId="0" fontId="203" fillId="62" borderId="0" applyNumberFormat="0" applyBorder="0" applyAlignment="0" applyProtection="0"/>
    <xf numFmtId="0" fontId="203" fillId="62" borderId="0" applyNumberFormat="0" applyBorder="0" applyAlignment="0" applyProtection="0"/>
    <xf numFmtId="205" fontId="70" fillId="0" borderId="0"/>
    <xf numFmtId="205" fontId="70" fillId="0" borderId="0"/>
    <xf numFmtId="0" fontId="47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0" fontId="47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0" fontId="47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0" fontId="38" fillId="0" borderId="0"/>
    <xf numFmtId="0" fontId="70" fillId="0" borderId="0"/>
    <xf numFmtId="0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0" fontId="38" fillId="0" borderId="0"/>
    <xf numFmtId="0" fontId="47" fillId="0" borderId="0"/>
    <xf numFmtId="0" fontId="38" fillId="0" borderId="0"/>
    <xf numFmtId="0" fontId="47" fillId="0" borderId="0"/>
    <xf numFmtId="0" fontId="38" fillId="0" borderId="0"/>
    <xf numFmtId="0" fontId="47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205" fontId="70" fillId="0" borderId="0"/>
    <xf numFmtId="205" fontId="70" fillId="0" borderId="0"/>
    <xf numFmtId="0" fontId="47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205" fontId="70" fillId="0" borderId="0"/>
    <xf numFmtId="205" fontId="70" fillId="0" borderId="0"/>
    <xf numFmtId="0" fontId="47" fillId="0" borderId="0"/>
    <xf numFmtId="0" fontId="47" fillId="0" borderId="0"/>
    <xf numFmtId="206" fontId="47" fillId="0" borderId="0"/>
    <xf numFmtId="205" fontId="47" fillId="0" borderId="0"/>
    <xf numFmtId="0" fontId="47" fillId="0" borderId="0"/>
    <xf numFmtId="0" fontId="47" fillId="0" borderId="0"/>
    <xf numFmtId="0" fontId="47" fillId="0" borderId="0"/>
    <xf numFmtId="206" fontId="47" fillId="0" borderId="0"/>
    <xf numFmtId="0" fontId="47" fillId="0" borderId="0"/>
    <xf numFmtId="0" fontId="38" fillId="0" borderId="0"/>
    <xf numFmtId="0" fontId="47" fillId="0" borderId="0"/>
    <xf numFmtId="0" fontId="38" fillId="0" borderId="0"/>
    <xf numFmtId="0" fontId="47" fillId="0" borderId="0"/>
    <xf numFmtId="0" fontId="38" fillId="0" borderId="0"/>
    <xf numFmtId="0" fontId="38" fillId="0" borderId="0"/>
    <xf numFmtId="0" fontId="47" fillId="0" borderId="0"/>
    <xf numFmtId="0" fontId="38" fillId="0" borderId="0"/>
    <xf numFmtId="0" fontId="47" fillId="0" borderId="0"/>
    <xf numFmtId="0" fontId="38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0" fontId="38" fillId="0" borderId="0"/>
    <xf numFmtId="0" fontId="3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04" fillId="0" borderId="0"/>
    <xf numFmtId="205" fontId="70" fillId="0" borderId="0"/>
    <xf numFmtId="0" fontId="47" fillId="0" borderId="0"/>
    <xf numFmtId="205" fontId="70" fillId="0" borderId="0"/>
    <xf numFmtId="205" fontId="70" fillId="0" borderId="0"/>
    <xf numFmtId="0" fontId="47" fillId="0" borderId="0"/>
    <xf numFmtId="205" fontId="70" fillId="0" borderId="0"/>
    <xf numFmtId="205" fontId="70" fillId="0" borderId="0"/>
    <xf numFmtId="0" fontId="47" fillId="0" borderId="0"/>
    <xf numFmtId="0" fontId="70" fillId="0" borderId="0"/>
    <xf numFmtId="0" fontId="70" fillId="0" borderId="0"/>
    <xf numFmtId="0" fontId="47" fillId="0" borderId="0"/>
    <xf numFmtId="0" fontId="38" fillId="0" borderId="0"/>
    <xf numFmtId="205" fontId="70" fillId="0" borderId="0"/>
    <xf numFmtId="0" fontId="38" fillId="0" borderId="0"/>
    <xf numFmtId="205" fontId="70" fillId="0" borderId="0"/>
    <xf numFmtId="205" fontId="70" fillId="0" borderId="0"/>
    <xf numFmtId="205" fontId="70" fillId="0" borderId="0"/>
    <xf numFmtId="0" fontId="7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0" fontId="38" fillId="0" borderId="0"/>
    <xf numFmtId="205" fontId="70" fillId="0" borderId="0"/>
    <xf numFmtId="205" fontId="70" fillId="0" borderId="0"/>
    <xf numFmtId="0" fontId="38" fillId="0" borderId="0"/>
    <xf numFmtId="0" fontId="38" fillId="0" borderId="0"/>
    <xf numFmtId="0" fontId="38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0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205" fontId="70" fillId="0" borderId="0"/>
    <xf numFmtId="0" fontId="47" fillId="0" borderId="0"/>
    <xf numFmtId="205" fontId="70" fillId="0" borderId="0"/>
    <xf numFmtId="205" fontId="70" fillId="0" borderId="0"/>
    <xf numFmtId="0" fontId="70" fillId="23" borderId="7" applyNumberFormat="0" applyFont="0" applyAlignment="0" applyProtection="0"/>
    <xf numFmtId="0" fontId="70" fillId="23" borderId="7" applyNumberFormat="0" applyFont="0" applyAlignment="0" applyProtection="0"/>
    <xf numFmtId="0" fontId="70" fillId="23" borderId="7" applyNumberFormat="0" applyFont="0" applyAlignment="0" applyProtection="0"/>
    <xf numFmtId="0" fontId="47" fillId="23" borderId="7" applyNumberFormat="0" applyFont="0" applyAlignment="0" applyProtection="0"/>
    <xf numFmtId="0" fontId="70" fillId="23" borderId="7" applyNumberFormat="0" applyFont="0" applyAlignment="0" applyProtection="0"/>
    <xf numFmtId="0" fontId="47" fillId="23" borderId="7" applyNumberFormat="0" applyFont="0" applyAlignment="0" applyProtection="0"/>
    <xf numFmtId="0" fontId="70" fillId="63" borderId="65" applyNumberFormat="0" applyFont="0" applyAlignment="0" applyProtection="0"/>
    <xf numFmtId="0" fontId="70" fillId="63" borderId="65" applyNumberFormat="0" applyFont="0" applyAlignment="0" applyProtection="0"/>
    <xf numFmtId="0" fontId="70" fillId="63" borderId="65" applyNumberFormat="0" applyFont="0" applyAlignment="0" applyProtection="0"/>
    <xf numFmtId="0" fontId="70" fillId="63" borderId="65" applyNumberFormat="0" applyFont="0" applyAlignment="0" applyProtection="0"/>
    <xf numFmtId="0" fontId="70" fillId="63" borderId="65" applyNumberFormat="0" applyFont="0" applyAlignment="0" applyProtection="0"/>
    <xf numFmtId="0" fontId="70" fillId="63" borderId="65" applyNumberFormat="0" applyFont="0" applyAlignment="0" applyProtection="0"/>
    <xf numFmtId="0" fontId="70" fillId="63" borderId="65" applyNumberFormat="0" applyFont="0" applyAlignment="0" applyProtection="0"/>
    <xf numFmtId="0" fontId="70" fillId="23" borderId="7" applyNumberFormat="0" applyFont="0" applyAlignment="0" applyProtection="0"/>
    <xf numFmtId="0" fontId="47" fillId="23" borderId="7" applyNumberFormat="0" applyFont="0" applyAlignment="0" applyProtection="0"/>
    <xf numFmtId="0" fontId="70" fillId="23" borderId="7" applyNumberFormat="0" applyFont="0" applyAlignment="0" applyProtection="0"/>
    <xf numFmtId="0" fontId="70" fillId="23" borderId="7" applyNumberFormat="0" applyFont="0" applyAlignment="0" applyProtection="0"/>
    <xf numFmtId="0" fontId="88" fillId="20" borderId="8" applyNumberFormat="0" applyAlignment="0" applyProtection="0"/>
    <xf numFmtId="0" fontId="88" fillId="20" borderId="8" applyNumberFormat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46" fillId="0" borderId="0"/>
    <xf numFmtId="0" fontId="89" fillId="0" borderId="0"/>
    <xf numFmtId="0" fontId="89" fillId="0" borderId="0"/>
    <xf numFmtId="0" fontId="88" fillId="20" borderId="8" applyNumberFormat="0" applyAlignment="0" applyProtection="0"/>
    <xf numFmtId="0" fontId="88" fillId="20" borderId="8" applyNumberFormat="0" applyAlignment="0" applyProtection="0"/>
    <xf numFmtId="0" fontId="88" fillId="20" borderId="8" applyNumberFormat="0" applyAlignment="0" applyProtection="0"/>
    <xf numFmtId="0" fontId="175" fillId="81" borderId="66" applyNumberFormat="0" applyAlignment="0" applyProtection="0"/>
    <xf numFmtId="0" fontId="175" fillId="81" borderId="66" applyNumberFormat="0" applyAlignment="0" applyProtection="0"/>
    <xf numFmtId="0" fontId="47" fillId="0" borderId="0"/>
    <xf numFmtId="0" fontId="47" fillId="0" borderId="0"/>
    <xf numFmtId="0" fontId="47" fillId="0" borderId="0"/>
    <xf numFmtId="206" fontId="47" fillId="0" borderId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4" fillId="0" borderId="4" applyNumberFormat="0" applyFill="0" applyAlignment="0" applyProtection="0"/>
    <xf numFmtId="0" fontId="104" fillId="0" borderId="4" applyNumberFormat="0" applyFill="0" applyAlignment="0" applyProtection="0"/>
    <xf numFmtId="0" fontId="104" fillId="0" borderId="4" applyNumberFormat="0" applyFill="0" applyAlignment="0" applyProtection="0"/>
    <xf numFmtId="0" fontId="104" fillId="0" borderId="4" applyNumberFormat="0" applyFill="0" applyAlignment="0" applyProtection="0"/>
    <xf numFmtId="0" fontId="205" fillId="0" borderId="87" applyNumberFormat="0" applyFill="0" applyAlignment="0" applyProtection="0"/>
    <xf numFmtId="0" fontId="206" fillId="0" borderId="0" applyNumberFormat="0" applyFill="0" applyBorder="0" applyAlignment="0" applyProtection="0"/>
    <xf numFmtId="0" fontId="105" fillId="0" borderId="5" applyNumberFormat="0" applyFill="0" applyAlignment="0" applyProtection="0"/>
    <xf numFmtId="0" fontId="105" fillId="0" borderId="5" applyNumberFormat="0" applyFill="0" applyAlignment="0" applyProtection="0"/>
    <xf numFmtId="0" fontId="105" fillId="0" borderId="5" applyNumberFormat="0" applyFill="0" applyAlignment="0" applyProtection="0"/>
    <xf numFmtId="0" fontId="207" fillId="0" borderId="88" applyNumberFormat="0" applyFill="0" applyAlignment="0" applyProtection="0"/>
    <xf numFmtId="0" fontId="207" fillId="0" borderId="88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201" fillId="0" borderId="89" applyNumberFormat="0" applyFill="0" applyAlignment="0" applyProtection="0"/>
    <xf numFmtId="0" fontId="201" fillId="0" borderId="89" applyNumberFormat="0" applyFill="0" applyAlignment="0" applyProtection="0"/>
    <xf numFmtId="0" fontId="90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136" fillId="0" borderId="10" applyNumberFormat="0" applyFill="0" applyAlignment="0" applyProtection="0"/>
    <xf numFmtId="0" fontId="136" fillId="0" borderId="10" applyNumberFormat="0" applyFill="0" applyAlignment="0" applyProtection="0"/>
    <xf numFmtId="0" fontId="80" fillId="0" borderId="9" applyNumberFormat="0" applyFont="0" applyFill="0" applyAlignment="0" applyProtection="0"/>
    <xf numFmtId="0" fontId="181" fillId="0" borderId="90" applyNumberFormat="0" applyFill="0" applyAlignment="0" applyProtection="0"/>
    <xf numFmtId="0" fontId="181" fillId="0" borderId="90" applyNumberFormat="0" applyFill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1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1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1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1" fillId="21" borderId="2" applyNumberFormat="0" applyAlignment="0" applyProtection="0">
      <alignment vertical="center"/>
    </xf>
    <xf numFmtId="0" fontId="55" fillId="21" borderId="2" applyNumberFormat="0" applyAlignment="0" applyProtection="0">
      <alignment vertical="center"/>
    </xf>
    <xf numFmtId="0" fontId="55" fillId="21" borderId="2" applyNumberFormat="0" applyAlignment="0" applyProtection="0">
      <alignment vertical="center"/>
    </xf>
    <xf numFmtId="0" fontId="152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153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154" fillId="7" borderId="1" applyNumberFormat="0" applyAlignment="0" applyProtection="0">
      <alignment vertical="center"/>
    </xf>
    <xf numFmtId="0" fontId="58" fillId="7" borderId="1" applyNumberFormat="0" applyAlignment="0" applyProtection="0">
      <alignment vertical="center"/>
    </xf>
    <xf numFmtId="0" fontId="58" fillId="7" borderId="1" applyNumberFormat="0" applyAlignment="0" applyProtection="0">
      <alignment vertical="center"/>
    </xf>
    <xf numFmtId="0" fontId="155" fillId="20" borderId="8" applyNumberFormat="0" applyAlignment="0" applyProtection="0">
      <alignment vertical="center"/>
    </xf>
    <xf numFmtId="0" fontId="59" fillId="20" borderId="8" applyNumberFormat="0" applyAlignment="0" applyProtection="0">
      <alignment vertical="center"/>
    </xf>
    <xf numFmtId="0" fontId="59" fillId="20" borderId="8" applyNumberFormat="0" applyAlignment="0" applyProtection="0">
      <alignment vertical="center"/>
    </xf>
    <xf numFmtId="0" fontId="156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158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159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160" fillId="0" borderId="6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61" fillId="20" borderId="1" applyNumberFormat="0" applyAlignment="0" applyProtection="0">
      <alignment vertical="center"/>
    </xf>
    <xf numFmtId="0" fontId="65" fillId="20" borderId="1" applyNumberFormat="0" applyAlignment="0" applyProtection="0">
      <alignment vertical="center"/>
    </xf>
    <xf numFmtId="0" fontId="65" fillId="20" borderId="1" applyNumberFormat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8" fillId="0" borderId="0"/>
    <xf numFmtId="0" fontId="164" fillId="0" borderId="10" applyNumberFormat="0" applyFill="0" applyAlignment="0" applyProtection="0">
      <alignment vertical="center"/>
    </xf>
    <xf numFmtId="0" fontId="68" fillId="0" borderId="10" applyNumberFormat="0" applyFill="0" applyAlignment="0" applyProtection="0">
      <alignment vertical="center"/>
    </xf>
    <xf numFmtId="0" fontId="68" fillId="0" borderId="10" applyNumberFormat="0" applyFill="0" applyAlignment="0" applyProtection="0">
      <alignment vertical="center"/>
    </xf>
    <xf numFmtId="0" fontId="38" fillId="0" borderId="0"/>
    <xf numFmtId="0" fontId="38" fillId="0" borderId="0"/>
    <xf numFmtId="0" fontId="37" fillId="0" borderId="0"/>
    <xf numFmtId="0" fontId="37" fillId="8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7" fillId="41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6" borderId="0" applyNumberFormat="0" applyBorder="0" applyAlignment="0" applyProtection="0"/>
    <xf numFmtId="0" fontId="37" fillId="6" borderId="0" applyNumberFormat="0" applyBorder="0" applyAlignment="0" applyProtection="0"/>
    <xf numFmtId="0" fontId="37" fillId="44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6" borderId="0" applyNumberFormat="0" applyBorder="0" applyAlignment="0" applyProtection="0"/>
    <xf numFmtId="0" fontId="37" fillId="6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4" fontId="47" fillId="0" borderId="0" applyFont="0" applyFill="0" applyBorder="0" applyAlignment="0" applyProtection="0"/>
    <xf numFmtId="0" fontId="36" fillId="0" borderId="0"/>
    <xf numFmtId="0" fontId="36" fillId="64" borderId="0" applyNumberFormat="0" applyBorder="0" applyAlignment="0" applyProtection="0"/>
    <xf numFmtId="0" fontId="36" fillId="43" borderId="0" applyNumberFormat="0" applyBorder="0" applyAlignment="0" applyProtection="0"/>
    <xf numFmtId="0" fontId="36" fillId="65" borderId="0" applyNumberFormat="0" applyBorder="0" applyAlignment="0" applyProtection="0"/>
    <xf numFmtId="0" fontId="36" fillId="44" borderId="0" applyNumberFormat="0" applyBorder="0" applyAlignment="0" applyProtection="0"/>
    <xf numFmtId="0" fontId="36" fillId="66" borderId="0" applyNumberFormat="0" applyBorder="0" applyAlignment="0" applyProtection="0"/>
    <xf numFmtId="0" fontId="36" fillId="68" borderId="0" applyNumberFormat="0" applyBorder="0" applyAlignment="0" applyProtection="0"/>
    <xf numFmtId="0" fontId="36" fillId="67" borderId="0" applyNumberFormat="0" applyBorder="0" applyAlignment="0" applyProtection="0"/>
    <xf numFmtId="0" fontId="36" fillId="45" borderId="0" applyNumberFormat="0" applyBorder="0" applyAlignment="0" applyProtection="0"/>
    <xf numFmtId="0" fontId="36" fillId="41" borderId="0" applyNumberFormat="0" applyBorder="0" applyAlignment="0" applyProtection="0"/>
    <xf numFmtId="0" fontId="36" fillId="46" borderId="0" applyNumberFormat="0" applyBorder="0" applyAlignment="0" applyProtection="0"/>
    <xf numFmtId="0" fontId="36" fillId="42" borderId="0" applyNumberFormat="0" applyBorder="0" applyAlignment="0" applyProtection="0"/>
    <xf numFmtId="0" fontId="36" fillId="47" borderId="0" applyNumberFormat="0" applyBorder="0" applyAlignment="0" applyProtection="0"/>
    <xf numFmtId="230" fontId="47" fillId="0" borderId="0" applyFont="0" applyFill="0" applyBorder="0" applyAlignment="0" applyProtection="0"/>
    <xf numFmtId="167" fontId="36" fillId="0" borderId="0" applyFont="0" applyFill="0" applyBorder="0" applyAlignment="0" applyProtection="0"/>
    <xf numFmtId="0" fontId="36" fillId="0" borderId="0"/>
    <xf numFmtId="0" fontId="36" fillId="63" borderId="65" applyNumberFormat="0" applyFont="0" applyAlignment="0" applyProtection="0"/>
    <xf numFmtId="226" fontId="47" fillId="0" borderId="0" applyFont="0" applyFill="0" applyBorder="0" applyAlignment="0" applyProtection="0"/>
    <xf numFmtId="215" fontId="47" fillId="0" borderId="0" applyFont="0" applyFill="0" applyBorder="0" applyAlignment="0" applyProtection="0"/>
    <xf numFmtId="174" fontId="47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47" fillId="23" borderId="7" applyNumberFormat="0" applyFont="0" applyAlignment="0" applyProtection="0"/>
    <xf numFmtId="0" fontId="48" fillId="2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205" fontId="137" fillId="0" borderId="0" applyFont="0" applyFill="0" applyBorder="0" applyAlignment="0" applyProtection="0"/>
    <xf numFmtId="204" fontId="47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175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205" fontId="70" fillId="0" borderId="0"/>
    <xf numFmtId="0" fontId="89" fillId="0" borderId="0"/>
    <xf numFmtId="0" fontId="90" fillId="0" borderId="0" applyNumberFormat="0" applyFill="0" applyBorder="0" applyAlignment="0" applyProtection="0"/>
    <xf numFmtId="0" fontId="80" fillId="0" borderId="9" applyNumberFormat="0" applyFont="0" applyFill="0" applyAlignment="0" applyProtection="0"/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21" borderId="2" applyNumberFormat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5" fillId="20" borderId="1" applyNumberForma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8" fillId="0" borderId="10" applyNumberFormat="0" applyFill="0" applyAlignment="0" applyProtection="0">
      <alignment vertical="center"/>
    </xf>
    <xf numFmtId="0" fontId="59" fillId="20" borderId="8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8" fillId="7" borderId="1" applyNumberFormat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175" fontId="47" fillId="0" borderId="0" applyFont="0" applyFill="0" applyBorder="0" applyAlignment="0" applyProtection="0"/>
    <xf numFmtId="0" fontId="47" fillId="23" borderId="7" applyNumberFormat="0" applyFont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36" fillId="0" borderId="0"/>
    <xf numFmtId="167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167" fontId="36" fillId="0" borderId="0" applyFont="0" applyFill="0" applyBorder="0" applyAlignment="0" applyProtection="0"/>
    <xf numFmtId="0" fontId="36" fillId="0" borderId="0"/>
    <xf numFmtId="0" fontId="36" fillId="0" borderId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0" fillId="0" borderId="0" applyNumberFormat="0" applyFill="0" applyBorder="0" applyAlignment="0" applyProtection="0"/>
    <xf numFmtId="0" fontId="80" fillId="0" borderId="9" applyNumberFormat="0" applyFont="0" applyFill="0" applyAlignment="0" applyProtection="0"/>
    <xf numFmtId="0" fontId="36" fillId="0" borderId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167" fontId="47" fillId="0" borderId="0" applyFont="0" applyFill="0" applyBorder="0" applyAlignment="0" applyProtection="0"/>
    <xf numFmtId="0" fontId="36" fillId="0" borderId="0"/>
    <xf numFmtId="0" fontId="36" fillId="0" borderId="0"/>
    <xf numFmtId="0" fontId="36" fillId="63" borderId="65" applyNumberFormat="0" applyFont="0" applyAlignment="0" applyProtection="0"/>
    <xf numFmtId="10" fontId="77" fillId="0" borderId="0" applyFont="0" applyFill="0" applyBorder="0" applyAlignment="0" applyProtection="0"/>
    <xf numFmtId="0" fontId="36" fillId="0" borderId="0"/>
    <xf numFmtId="0" fontId="36" fillId="0" borderId="0"/>
    <xf numFmtId="167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167" fontId="36" fillId="0" borderId="0" applyFont="0" applyFill="0" applyBorder="0" applyAlignment="0" applyProtection="0"/>
    <xf numFmtId="0" fontId="36" fillId="0" borderId="0"/>
    <xf numFmtId="0" fontId="36" fillId="0" borderId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0" borderId="0"/>
    <xf numFmtId="0" fontId="36" fillId="0" borderId="0"/>
    <xf numFmtId="0" fontId="36" fillId="63" borderId="65" applyNumberFormat="0" applyFont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63" borderId="65" applyNumberFormat="0" applyFont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63" borderId="65" applyNumberFormat="0" applyFont="0" applyAlignment="0" applyProtection="0"/>
    <xf numFmtId="0" fontId="36" fillId="63" borderId="65" applyNumberFormat="0" applyFont="0" applyAlignment="0" applyProtection="0"/>
    <xf numFmtId="0" fontId="36" fillId="63" borderId="65" applyNumberFormat="0" applyFont="0" applyAlignment="0" applyProtection="0"/>
    <xf numFmtId="0" fontId="36" fillId="63" borderId="65" applyNumberFormat="0" applyFont="0" applyAlignment="0" applyProtection="0"/>
    <xf numFmtId="0" fontId="47" fillId="0" borderId="0"/>
    <xf numFmtId="204" fontId="47" fillId="0" borderId="0" applyFont="0" applyFill="0" applyBorder="0" applyAlignment="0" applyProtection="0"/>
    <xf numFmtId="0" fontId="36" fillId="0" borderId="0"/>
    <xf numFmtId="0" fontId="36" fillId="63" borderId="65" applyNumberFormat="0" applyFont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167" fontId="36" fillId="0" borderId="0" applyFont="0" applyFill="0" applyBorder="0" applyAlignment="0" applyProtection="0"/>
    <xf numFmtId="0" fontId="36" fillId="0" borderId="0"/>
    <xf numFmtId="0" fontId="35" fillId="0" borderId="0"/>
    <xf numFmtId="0" fontId="35" fillId="64" borderId="0" applyNumberFormat="0" applyBorder="0" applyAlignment="0" applyProtection="0"/>
    <xf numFmtId="0" fontId="210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5" borderId="0" applyNumberFormat="0" applyBorder="0" applyAlignment="0" applyProtection="0"/>
    <xf numFmtId="0" fontId="210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6" borderId="0" applyNumberFormat="0" applyBorder="0" applyAlignment="0" applyProtection="0"/>
    <xf numFmtId="0" fontId="210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7" borderId="0" applyNumberFormat="0" applyBorder="0" applyAlignment="0" applyProtection="0"/>
    <xf numFmtId="0" fontId="210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41" borderId="0" applyNumberFormat="0" applyBorder="0" applyAlignment="0" applyProtection="0"/>
    <xf numFmtId="0" fontId="210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2" borderId="0" applyNumberFormat="0" applyBorder="0" applyAlignment="0" applyProtection="0"/>
    <xf numFmtId="0" fontId="210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210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210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68" borderId="0" applyNumberFormat="0" applyBorder="0" applyAlignment="0" applyProtection="0"/>
    <xf numFmtId="0" fontId="210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45" borderId="0" applyNumberFormat="0" applyBorder="0" applyAlignment="0" applyProtection="0"/>
    <xf numFmtId="0" fontId="210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6" borderId="0" applyNumberFormat="0" applyBorder="0" applyAlignment="0" applyProtection="0"/>
    <xf numFmtId="0" fontId="210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210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211" fillId="48" borderId="0" applyNumberFormat="0" applyBorder="0" applyAlignment="0" applyProtection="0"/>
    <xf numFmtId="0" fontId="166" fillId="48" borderId="0" applyNumberFormat="0" applyBorder="0" applyAlignment="0" applyProtection="0"/>
    <xf numFmtId="0" fontId="166" fillId="48" borderId="0" applyNumberFormat="0" applyBorder="0" applyAlignment="0" applyProtection="0"/>
    <xf numFmtId="0" fontId="211" fillId="49" borderId="0" applyNumberFormat="0" applyBorder="0" applyAlignment="0" applyProtection="0"/>
    <xf numFmtId="0" fontId="166" fillId="49" borderId="0" applyNumberFormat="0" applyBorder="0" applyAlignment="0" applyProtection="0"/>
    <xf numFmtId="0" fontId="166" fillId="49" borderId="0" applyNumberFormat="0" applyBorder="0" applyAlignment="0" applyProtection="0"/>
    <xf numFmtId="0" fontId="211" fillId="69" borderId="0" applyNumberFormat="0" applyBorder="0" applyAlignment="0" applyProtection="0"/>
    <xf numFmtId="0" fontId="166" fillId="69" borderId="0" applyNumberFormat="0" applyBorder="0" applyAlignment="0" applyProtection="0"/>
    <xf numFmtId="0" fontId="166" fillId="69" borderId="0" applyNumberFormat="0" applyBorder="0" applyAlignment="0" applyProtection="0"/>
    <xf numFmtId="0" fontId="211" fillId="70" borderId="0" applyNumberFormat="0" applyBorder="0" applyAlignment="0" applyProtection="0"/>
    <xf numFmtId="0" fontId="166" fillId="70" borderId="0" applyNumberFormat="0" applyBorder="0" applyAlignment="0" applyProtection="0"/>
    <xf numFmtId="0" fontId="166" fillId="70" borderId="0" applyNumberFormat="0" applyBorder="0" applyAlignment="0" applyProtection="0"/>
    <xf numFmtId="0" fontId="211" fillId="50" borderId="0" applyNumberFormat="0" applyBorder="0" applyAlignment="0" applyProtection="0"/>
    <xf numFmtId="0" fontId="166" fillId="50" borderId="0" applyNumberFormat="0" applyBorder="0" applyAlignment="0" applyProtection="0"/>
    <xf numFmtId="0" fontId="166" fillId="50" borderId="0" applyNumberFormat="0" applyBorder="0" applyAlignment="0" applyProtection="0"/>
    <xf numFmtId="0" fontId="211" fillId="71" borderId="0" applyNumberFormat="0" applyBorder="0" applyAlignment="0" applyProtection="0"/>
    <xf numFmtId="0" fontId="166" fillId="71" borderId="0" applyNumberFormat="0" applyBorder="0" applyAlignment="0" applyProtection="0"/>
    <xf numFmtId="0" fontId="166" fillId="71" borderId="0" applyNumberFormat="0" applyBorder="0" applyAlignment="0" applyProtection="0"/>
    <xf numFmtId="0" fontId="212" fillId="51" borderId="0" applyNumberFormat="0" applyBorder="0" applyAlignment="0" applyProtection="0"/>
    <xf numFmtId="0" fontId="167" fillId="51" borderId="0" applyNumberFormat="0" applyBorder="0" applyAlignment="0" applyProtection="0"/>
    <xf numFmtId="0" fontId="167" fillId="51" borderId="0" applyNumberFormat="0" applyBorder="0" applyAlignment="0" applyProtection="0"/>
    <xf numFmtId="0" fontId="213" fillId="52" borderId="62" applyNumberFormat="0" applyAlignment="0" applyProtection="0"/>
    <xf numFmtId="0" fontId="168" fillId="52" borderId="62" applyNumberFormat="0" applyAlignment="0" applyProtection="0"/>
    <xf numFmtId="0" fontId="168" fillId="52" borderId="62" applyNumberFormat="0" applyAlignment="0" applyProtection="0"/>
    <xf numFmtId="0" fontId="214" fillId="53" borderId="63" applyNumberFormat="0" applyAlignment="0" applyProtection="0"/>
    <xf numFmtId="0" fontId="169" fillId="53" borderId="63" applyNumberFormat="0" applyAlignment="0" applyProtection="0"/>
    <xf numFmtId="0" fontId="215" fillId="0" borderId="64" applyNumberFormat="0" applyFill="0" applyAlignment="0" applyProtection="0"/>
    <xf numFmtId="0" fontId="170" fillId="0" borderId="64" applyNumberFormat="0" applyFill="0" applyAlignment="0" applyProtection="0"/>
    <xf numFmtId="0" fontId="170" fillId="0" borderId="64" applyNumberFormat="0" applyFill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202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233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09" fillId="0" borderId="0" applyFont="0" applyFill="0" applyBorder="0" applyAlignment="0" applyProtection="0"/>
    <xf numFmtId="0" fontId="198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211" fillId="54" borderId="0" applyNumberFormat="0" applyBorder="0" applyAlignment="0" applyProtection="0"/>
    <xf numFmtId="0" fontId="166" fillId="54" borderId="0" applyNumberFormat="0" applyBorder="0" applyAlignment="0" applyProtection="0"/>
    <xf numFmtId="0" fontId="166" fillId="54" borderId="0" applyNumberFormat="0" applyBorder="0" applyAlignment="0" applyProtection="0"/>
    <xf numFmtId="0" fontId="211" fillId="55" borderId="0" applyNumberFormat="0" applyBorder="0" applyAlignment="0" applyProtection="0"/>
    <xf numFmtId="0" fontId="166" fillId="55" borderId="0" applyNumberFormat="0" applyBorder="0" applyAlignment="0" applyProtection="0"/>
    <xf numFmtId="0" fontId="166" fillId="55" borderId="0" applyNumberFormat="0" applyBorder="0" applyAlignment="0" applyProtection="0"/>
    <xf numFmtId="0" fontId="211" fillId="56" borderId="0" applyNumberFormat="0" applyBorder="0" applyAlignment="0" applyProtection="0"/>
    <xf numFmtId="0" fontId="166" fillId="56" borderId="0" applyNumberFormat="0" applyBorder="0" applyAlignment="0" applyProtection="0"/>
    <xf numFmtId="0" fontId="166" fillId="56" borderId="0" applyNumberFormat="0" applyBorder="0" applyAlignment="0" applyProtection="0"/>
    <xf numFmtId="0" fontId="211" fillId="57" borderId="0" applyNumberFormat="0" applyBorder="0" applyAlignment="0" applyProtection="0"/>
    <xf numFmtId="0" fontId="166" fillId="57" borderId="0" applyNumberFormat="0" applyBorder="0" applyAlignment="0" applyProtection="0"/>
    <xf numFmtId="0" fontId="166" fillId="57" borderId="0" applyNumberFormat="0" applyBorder="0" applyAlignment="0" applyProtection="0"/>
    <xf numFmtId="0" fontId="211" fillId="58" borderId="0" applyNumberFormat="0" applyBorder="0" applyAlignment="0" applyProtection="0"/>
    <xf numFmtId="0" fontId="166" fillId="58" borderId="0" applyNumberFormat="0" applyBorder="0" applyAlignment="0" applyProtection="0"/>
    <xf numFmtId="0" fontId="211" fillId="59" borderId="0" applyNumberFormat="0" applyBorder="0" applyAlignment="0" applyProtection="0"/>
    <xf numFmtId="0" fontId="166" fillId="59" borderId="0" applyNumberFormat="0" applyBorder="0" applyAlignment="0" applyProtection="0"/>
    <xf numFmtId="0" fontId="166" fillId="59" borderId="0" applyNumberFormat="0" applyBorder="0" applyAlignment="0" applyProtection="0"/>
    <xf numFmtId="0" fontId="216" fillId="60" borderId="62" applyNumberFormat="0" applyAlignment="0" applyProtection="0"/>
    <xf numFmtId="0" fontId="172" fillId="60" borderId="62" applyNumberFormat="0" applyAlignment="0" applyProtection="0"/>
    <xf numFmtId="0" fontId="172" fillId="60" borderId="62" applyNumberFormat="0" applyAlignment="0" applyProtection="0"/>
    <xf numFmtId="205" fontId="47" fillId="0" borderId="0"/>
    <xf numFmtId="205" fontId="47" fillId="0" borderId="0"/>
    <xf numFmtId="205" fontId="47" fillId="0" borderId="0"/>
    <xf numFmtId="225" fontId="47" fillId="0" borderId="0" applyFont="0" applyFill="0" applyBorder="0" applyAlignment="0" applyProtection="0"/>
    <xf numFmtId="22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234" fontId="100" fillId="0" borderId="0" applyFont="0" applyFill="0" applyBorder="0" applyAlignment="0" applyProtection="0"/>
    <xf numFmtId="0" fontId="47" fillId="0" borderId="0" applyFont="0" applyFill="0" applyBorder="0" applyAlignment="0" applyProtection="0"/>
    <xf numFmtId="205" fontId="80" fillId="0" borderId="0" applyFont="0" applyFill="0" applyBorder="0" applyAlignment="0" applyProtection="0"/>
    <xf numFmtId="0" fontId="217" fillId="61" borderId="0" applyNumberFormat="0" applyBorder="0" applyAlignment="0" applyProtection="0"/>
    <xf numFmtId="0" fontId="173" fillId="61" borderId="0" applyNumberFormat="0" applyBorder="0" applyAlignment="0" applyProtection="0"/>
    <xf numFmtId="0" fontId="173" fillId="61" borderId="0" applyNumberFormat="0" applyBorder="0" applyAlignment="0" applyProtection="0"/>
    <xf numFmtId="183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226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226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200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75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08" fillId="0" borderId="0" applyFont="0" applyFill="0" applyBorder="0" applyAlignment="0" applyProtection="0"/>
    <xf numFmtId="167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70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170" fontId="70" fillId="0" borderId="0" applyFont="0" applyFill="0" applyBorder="0" applyAlignment="0" applyProtection="0"/>
    <xf numFmtId="170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0" fontId="218" fillId="62" borderId="0" applyNumberFormat="0" applyBorder="0" applyAlignment="0" applyProtection="0"/>
    <xf numFmtId="0" fontId="174" fillId="62" borderId="0" applyNumberFormat="0" applyBorder="0" applyAlignment="0" applyProtection="0"/>
    <xf numFmtId="0" fontId="174" fillId="62" borderId="0" applyNumberFormat="0" applyBorder="0" applyAlignment="0" applyProtection="0"/>
    <xf numFmtId="0" fontId="35" fillId="0" borderId="0"/>
    <xf numFmtId="0" fontId="70" fillId="0" borderId="0"/>
    <xf numFmtId="0" fontId="35" fillId="0" borderId="0"/>
    <xf numFmtId="0" fontId="47" fillId="0" borderId="0">
      <alignment vertical="top"/>
    </xf>
    <xf numFmtId="0" fontId="35" fillId="0" borderId="0"/>
    <xf numFmtId="0" fontId="35" fillId="0" borderId="0"/>
    <xf numFmtId="0" fontId="35" fillId="0" borderId="0"/>
    <xf numFmtId="0" fontId="219" fillId="0" borderId="0"/>
    <xf numFmtId="0" fontId="47" fillId="0" borderId="0"/>
    <xf numFmtId="205" fontId="70" fillId="0" borderId="0"/>
    <xf numFmtId="205" fontId="70" fillId="0" borderId="0"/>
    <xf numFmtId="205" fontId="7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205" fontId="70" fillId="0" borderId="0"/>
    <xf numFmtId="205" fontId="70" fillId="0" borderId="0"/>
    <xf numFmtId="0" fontId="70" fillId="0" borderId="0"/>
    <xf numFmtId="0" fontId="35" fillId="0" borderId="0"/>
    <xf numFmtId="0" fontId="35" fillId="0" borderId="0"/>
    <xf numFmtId="0" fontId="209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7" fillId="0" borderId="0"/>
    <xf numFmtId="0" fontId="70" fillId="0" borderId="0"/>
    <xf numFmtId="0" fontId="35" fillId="0" borderId="0"/>
    <xf numFmtId="0" fontId="4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7" fillId="0" borderId="0"/>
    <xf numFmtId="0" fontId="35" fillId="0" borderId="0"/>
    <xf numFmtId="0" fontId="35" fillId="0" borderId="0"/>
    <xf numFmtId="205" fontId="7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7" fillId="0" borderId="0"/>
    <xf numFmtId="0" fontId="210" fillId="0" borderId="0"/>
    <xf numFmtId="205" fontId="7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08" fillId="63" borderId="65" applyNumberFormat="0" applyFont="0" applyAlignment="0" applyProtection="0"/>
    <xf numFmtId="0" fontId="70" fillId="63" borderId="65" applyNumberFormat="0" applyFont="0" applyAlignment="0" applyProtection="0"/>
    <xf numFmtId="9" fontId="70" fillId="0" borderId="0" applyFont="0" applyFill="0" applyBorder="0" applyAlignment="0" applyProtection="0"/>
    <xf numFmtId="9" fontId="47" fillId="0" borderId="0" applyFont="0" applyFill="0" applyBorder="0" applyAlignment="0" applyProtection="0"/>
    <xf numFmtId="10" fontId="77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0" fontId="146" fillId="0" borderId="0"/>
    <xf numFmtId="0" fontId="146" fillId="0" borderId="0"/>
    <xf numFmtId="0" fontId="146" fillId="0" borderId="0"/>
    <xf numFmtId="206" fontId="146" fillId="0" borderId="0"/>
    <xf numFmtId="205" fontId="146" fillId="0" borderId="0"/>
    <xf numFmtId="0" fontId="220" fillId="52" borderId="66" applyNumberFormat="0" applyAlignment="0" applyProtection="0"/>
    <xf numFmtId="0" fontId="175" fillId="52" borderId="66" applyNumberFormat="0" applyAlignment="0" applyProtection="0"/>
    <xf numFmtId="0" fontId="175" fillId="52" borderId="66" applyNumberFormat="0" applyAlignment="0" applyProtection="0"/>
    <xf numFmtId="205" fontId="47" fillId="0" borderId="0"/>
    <xf numFmtId="205" fontId="47" fillId="0" borderId="0"/>
    <xf numFmtId="205" fontId="47" fillId="0" borderId="0"/>
    <xf numFmtId="0" fontId="221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222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223" fillId="0" borderId="67" applyNumberFormat="0" applyFill="0" applyAlignment="0" applyProtection="0"/>
    <xf numFmtId="0" fontId="179" fillId="0" borderId="67" applyNumberFormat="0" applyFill="0" applyAlignment="0" applyProtection="0"/>
    <xf numFmtId="0" fontId="179" fillId="0" borderId="67" applyNumberFormat="0" applyFill="0" applyAlignment="0" applyProtection="0"/>
    <xf numFmtId="0" fontId="178" fillId="0" borderId="0" applyNumberFormat="0" applyFill="0" applyBorder="0" applyAlignment="0" applyProtection="0"/>
    <xf numFmtId="0" fontId="224" fillId="0" borderId="68" applyNumberFormat="0" applyFill="0" applyAlignment="0" applyProtection="0"/>
    <xf numFmtId="0" fontId="180" fillId="0" borderId="68" applyNumberFormat="0" applyFill="0" applyAlignment="0" applyProtection="0"/>
    <xf numFmtId="0" fontId="180" fillId="0" borderId="68" applyNumberFormat="0" applyFill="0" applyAlignment="0" applyProtection="0"/>
    <xf numFmtId="0" fontId="198" fillId="0" borderId="69" applyNumberFormat="0" applyFill="0" applyAlignment="0" applyProtection="0"/>
    <xf numFmtId="0" fontId="171" fillId="0" borderId="69" applyNumberFormat="0" applyFill="0" applyAlignment="0" applyProtection="0"/>
    <xf numFmtId="0" fontId="171" fillId="0" borderId="69" applyNumberFormat="0" applyFill="0" applyAlignment="0" applyProtection="0"/>
    <xf numFmtId="0" fontId="178" fillId="0" borderId="0" applyNumberFormat="0" applyFill="0" applyBorder="0" applyAlignment="0" applyProtection="0"/>
    <xf numFmtId="0" fontId="136" fillId="0" borderId="10" applyNumberFormat="0" applyFill="0" applyAlignment="0" applyProtection="0"/>
    <xf numFmtId="0" fontId="225" fillId="0" borderId="70" applyNumberFormat="0" applyFill="0" applyAlignment="0" applyProtection="0"/>
    <xf numFmtId="0" fontId="181" fillId="0" borderId="70" applyNumberFormat="0" applyFill="0" applyAlignment="0" applyProtection="0"/>
    <xf numFmtId="0" fontId="181" fillId="0" borderId="70" applyNumberFormat="0" applyFill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7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0" fontId="92" fillId="0" borderId="0">
      <alignment vertical="center"/>
    </xf>
    <xf numFmtId="0" fontId="70" fillId="0" borderId="0"/>
    <xf numFmtId="0" fontId="148" fillId="2" borderId="0" applyNumberFormat="0" applyBorder="0" applyAlignment="0" applyProtection="0">
      <alignment vertical="center"/>
    </xf>
    <xf numFmtId="0" fontId="148" fillId="3" borderId="0" applyNumberFormat="0" applyBorder="0" applyAlignment="0" applyProtection="0">
      <alignment vertical="center"/>
    </xf>
    <xf numFmtId="0" fontId="148" fillId="4" borderId="0" applyNumberFormat="0" applyBorder="0" applyAlignment="0" applyProtection="0">
      <alignment vertical="center"/>
    </xf>
    <xf numFmtId="0" fontId="148" fillId="5" borderId="0" applyNumberFormat="0" applyBorder="0" applyAlignment="0" applyProtection="0">
      <alignment vertical="center"/>
    </xf>
    <xf numFmtId="0" fontId="148" fillId="6" borderId="0" applyNumberFormat="0" applyBorder="0" applyAlignment="0" applyProtection="0">
      <alignment vertical="center"/>
    </xf>
    <xf numFmtId="0" fontId="148" fillId="7" borderId="0" applyNumberFormat="0" applyBorder="0" applyAlignment="0" applyProtection="0">
      <alignment vertical="center"/>
    </xf>
    <xf numFmtId="0" fontId="148" fillId="8" borderId="0" applyNumberFormat="0" applyBorder="0" applyAlignment="0" applyProtection="0">
      <alignment vertical="center"/>
    </xf>
    <xf numFmtId="0" fontId="148" fillId="9" borderId="0" applyNumberFormat="0" applyBorder="0" applyAlignment="0" applyProtection="0">
      <alignment vertical="center"/>
    </xf>
    <xf numFmtId="0" fontId="148" fillId="10" borderId="0" applyNumberFormat="0" applyBorder="0" applyAlignment="0" applyProtection="0">
      <alignment vertical="center"/>
    </xf>
    <xf numFmtId="0" fontId="148" fillId="5" borderId="0" applyNumberFormat="0" applyBorder="0" applyAlignment="0" applyProtection="0">
      <alignment vertical="center"/>
    </xf>
    <xf numFmtId="0" fontId="148" fillId="8" borderId="0" applyNumberFormat="0" applyBorder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9" borderId="0" applyNumberFormat="0" applyBorder="0" applyAlignment="0" applyProtection="0">
      <alignment vertical="center"/>
    </xf>
    <xf numFmtId="0" fontId="149" fillId="10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4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06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5" fillId="0" borderId="0" applyFont="0" applyFill="0" applyBorder="0" applyAlignment="0" applyProtection="0"/>
    <xf numFmtId="0" fontId="70" fillId="0" borderId="0"/>
    <xf numFmtId="0" fontId="47" fillId="0" borderId="0"/>
    <xf numFmtId="205" fontId="70" fillId="0" borderId="0"/>
    <xf numFmtId="0" fontId="47" fillId="0" borderId="0"/>
    <xf numFmtId="0" fontId="92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23" borderId="7" applyNumberFormat="0" applyFont="0" applyAlignment="0" applyProtection="0"/>
    <xf numFmtId="10" fontId="77" fillId="0" borderId="0" applyFont="0" applyFill="0" applyBorder="0" applyAlignment="0" applyProtection="0"/>
    <xf numFmtId="0" fontId="146" fillId="0" borderId="0"/>
    <xf numFmtId="0" fontId="89" fillId="0" borderId="0"/>
    <xf numFmtId="0" fontId="89" fillId="0" borderId="0"/>
    <xf numFmtId="0" fontId="89" fillId="0" borderId="0"/>
    <xf numFmtId="206" fontId="89" fillId="0" borderId="0"/>
    <xf numFmtId="0" fontId="70" fillId="0" borderId="0"/>
    <xf numFmtId="0" fontId="90" fillId="0" borderId="0" applyNumberFormat="0" applyFill="0" applyBorder="0" applyAlignment="0" applyProtection="0"/>
    <xf numFmtId="0" fontId="149" fillId="16" borderId="0" applyNumberFormat="0" applyBorder="0" applyAlignment="0" applyProtection="0">
      <alignment vertical="center"/>
    </xf>
    <xf numFmtId="0" fontId="149" fillId="17" borderId="0" applyNumberFormat="0" applyBorder="0" applyAlignment="0" applyProtection="0">
      <alignment vertical="center"/>
    </xf>
    <xf numFmtId="0" fontId="149" fillId="18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4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1" fillId="21" borderId="2" applyNumberFormat="0" applyAlignment="0" applyProtection="0">
      <alignment vertical="center"/>
    </xf>
    <xf numFmtId="0" fontId="152" fillId="22" borderId="0" applyNumberFormat="0" applyBorder="0" applyAlignment="0" applyProtection="0">
      <alignment vertical="center"/>
    </xf>
    <xf numFmtId="0" fontId="153" fillId="0" borderId="3" applyNumberFormat="0" applyFill="0" applyAlignment="0" applyProtection="0">
      <alignment vertical="center"/>
    </xf>
    <xf numFmtId="0" fontId="154" fillId="7" borderId="1" applyNumberFormat="0" applyAlignment="0" applyProtection="0">
      <alignment vertical="center"/>
    </xf>
    <xf numFmtId="0" fontId="155" fillId="20" borderId="8" applyNumberFormat="0" applyAlignment="0" applyProtection="0">
      <alignment vertical="center"/>
    </xf>
    <xf numFmtId="0" fontId="156" fillId="3" borderId="0" applyNumberFormat="0" applyBorder="0" applyAlignment="0" applyProtection="0">
      <alignment vertical="center"/>
    </xf>
    <xf numFmtId="0" fontId="70" fillId="0" borderId="0"/>
    <xf numFmtId="0" fontId="157" fillId="4" borderId="0" applyNumberFormat="0" applyBorder="0" applyAlignment="0" applyProtection="0">
      <alignment vertical="center"/>
    </xf>
    <xf numFmtId="0" fontId="158" fillId="0" borderId="4" applyNumberFormat="0" applyFill="0" applyAlignment="0" applyProtection="0">
      <alignment vertical="center"/>
    </xf>
    <xf numFmtId="0" fontId="159" fillId="0" borderId="5" applyNumberFormat="0" applyFill="0" applyAlignment="0" applyProtection="0">
      <alignment vertical="center"/>
    </xf>
    <xf numFmtId="0" fontId="160" fillId="0" borderId="6" applyNumberFormat="0" applyFill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1" fillId="20" borderId="1" applyNumberFormat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4" fillId="0" borderId="10" applyNumberFormat="0" applyFill="0" applyAlignment="0" applyProtection="0">
      <alignment vertical="center"/>
    </xf>
    <xf numFmtId="0" fontId="70" fillId="0" borderId="0"/>
    <xf numFmtId="0" fontId="112" fillId="2" borderId="0" applyNumberFormat="0" applyBorder="0" applyAlignment="0" applyProtection="0"/>
    <xf numFmtId="0" fontId="112" fillId="2" borderId="0" applyNumberFormat="0" applyBorder="0" applyAlignment="0" applyProtection="0"/>
    <xf numFmtId="0" fontId="112" fillId="3" borderId="0" applyNumberFormat="0" applyBorder="0" applyAlignment="0" applyProtection="0"/>
    <xf numFmtId="0" fontId="112" fillId="3" borderId="0" applyNumberFormat="0" applyBorder="0" applyAlignment="0" applyProtection="0"/>
    <xf numFmtId="0" fontId="112" fillId="4" borderId="0" applyNumberFormat="0" applyBorder="0" applyAlignment="0" applyProtection="0"/>
    <xf numFmtId="0" fontId="112" fillId="4" borderId="0" applyNumberFormat="0" applyBorder="0" applyAlignment="0" applyProtection="0"/>
    <xf numFmtId="0" fontId="112" fillId="5" borderId="0" applyNumberFormat="0" applyBorder="0" applyAlignment="0" applyProtection="0"/>
    <xf numFmtId="0" fontId="112" fillId="5" borderId="0" applyNumberFormat="0" applyBorder="0" applyAlignment="0" applyProtection="0"/>
    <xf numFmtId="0" fontId="112" fillId="6" borderId="0" applyNumberFormat="0" applyBorder="0" applyAlignment="0" applyProtection="0"/>
    <xf numFmtId="0" fontId="112" fillId="6" borderId="0" applyNumberFormat="0" applyBorder="0" applyAlignment="0" applyProtection="0"/>
    <xf numFmtId="0" fontId="112" fillId="7" borderId="0" applyNumberFormat="0" applyBorder="0" applyAlignment="0" applyProtection="0"/>
    <xf numFmtId="0" fontId="112" fillId="7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35" fillId="64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35" fillId="65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35" fillId="66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35" fillId="67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35" fillId="41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35" fillId="42" borderId="0" applyNumberFormat="0" applyBorder="0" applyAlignment="0" applyProtection="0"/>
    <xf numFmtId="0" fontId="112" fillId="8" borderId="0" applyNumberFormat="0" applyBorder="0" applyAlignment="0" applyProtection="0"/>
    <xf numFmtId="0" fontId="112" fillId="8" borderId="0" applyNumberFormat="0" applyBorder="0" applyAlignment="0" applyProtection="0"/>
    <xf numFmtId="0" fontId="112" fillId="9" borderId="0" applyNumberFormat="0" applyBorder="0" applyAlignment="0" applyProtection="0"/>
    <xf numFmtId="0" fontId="112" fillId="9" borderId="0" applyNumberFormat="0" applyBorder="0" applyAlignment="0" applyProtection="0"/>
    <xf numFmtId="0" fontId="112" fillId="10" borderId="0" applyNumberFormat="0" applyBorder="0" applyAlignment="0" applyProtection="0"/>
    <xf numFmtId="0" fontId="112" fillId="10" borderId="0" applyNumberFormat="0" applyBorder="0" applyAlignment="0" applyProtection="0"/>
    <xf numFmtId="0" fontId="112" fillId="5" borderId="0" applyNumberFormat="0" applyBorder="0" applyAlignment="0" applyProtection="0"/>
    <xf numFmtId="0" fontId="112" fillId="5" borderId="0" applyNumberFormat="0" applyBorder="0" applyAlignment="0" applyProtection="0"/>
    <xf numFmtId="0" fontId="112" fillId="8" borderId="0" applyNumberFormat="0" applyBorder="0" applyAlignment="0" applyProtection="0"/>
    <xf numFmtId="0" fontId="112" fillId="8" borderId="0" applyNumberFormat="0" applyBorder="0" applyAlignment="0" applyProtection="0"/>
    <xf numFmtId="0" fontId="112" fillId="11" borderId="0" applyNumberFormat="0" applyBorder="0" applyAlignment="0" applyProtection="0"/>
    <xf numFmtId="0" fontId="112" fillId="11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35" fillId="44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35" fillId="68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35" fillId="45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35" fillId="47" borderId="0" applyNumberFormat="0" applyBorder="0" applyAlignment="0" applyProtection="0"/>
    <xf numFmtId="0" fontId="96" fillId="12" borderId="0" applyNumberFormat="0" applyBorder="0" applyAlignment="0" applyProtection="0"/>
    <xf numFmtId="0" fontId="96" fillId="12" borderId="0" applyNumberFormat="0" applyBorder="0" applyAlignment="0" applyProtection="0"/>
    <xf numFmtId="0" fontId="96" fillId="9" borderId="0" applyNumberFormat="0" applyBorder="0" applyAlignment="0" applyProtection="0"/>
    <xf numFmtId="0" fontId="96" fillId="9" borderId="0" applyNumberFormat="0" applyBorder="0" applyAlignment="0" applyProtection="0"/>
    <xf numFmtId="0" fontId="96" fillId="10" borderId="0" applyNumberFormat="0" applyBorder="0" applyAlignment="0" applyProtection="0"/>
    <xf numFmtId="0" fontId="96" fillId="10" borderId="0" applyNumberFormat="0" applyBorder="0" applyAlignment="0" applyProtection="0"/>
    <xf numFmtId="0" fontId="96" fillId="13" borderId="0" applyNumberFormat="0" applyBorder="0" applyAlignment="0" applyProtection="0"/>
    <xf numFmtId="0" fontId="96" fillId="13" borderId="0" applyNumberFormat="0" applyBorder="0" applyAlignment="0" applyProtection="0"/>
    <xf numFmtId="0" fontId="96" fillId="14" borderId="0" applyNumberFormat="0" applyBorder="0" applyAlignment="0" applyProtection="0"/>
    <xf numFmtId="0" fontId="96" fillId="14" borderId="0" applyNumberFormat="0" applyBorder="0" applyAlignment="0" applyProtection="0"/>
    <xf numFmtId="0" fontId="96" fillId="15" borderId="0" applyNumberFormat="0" applyBorder="0" applyAlignment="0" applyProtection="0"/>
    <xf numFmtId="0" fontId="96" fillId="15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10" borderId="0" applyNumberFormat="0" applyBorder="0" applyAlignment="0" applyProtection="0"/>
    <xf numFmtId="0" fontId="71" fillId="10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96" fillId="16" borderId="0" applyNumberFormat="0" applyBorder="0" applyAlignment="0" applyProtection="0"/>
    <xf numFmtId="0" fontId="96" fillId="16" borderId="0" applyNumberFormat="0" applyBorder="0" applyAlignment="0" applyProtection="0"/>
    <xf numFmtId="0" fontId="96" fillId="17" borderId="0" applyNumberFormat="0" applyBorder="0" applyAlignment="0" applyProtection="0"/>
    <xf numFmtId="0" fontId="96" fillId="17" borderId="0" applyNumberFormat="0" applyBorder="0" applyAlignment="0" applyProtection="0"/>
    <xf numFmtId="0" fontId="96" fillId="18" borderId="0" applyNumberFormat="0" applyBorder="0" applyAlignment="0" applyProtection="0"/>
    <xf numFmtId="0" fontId="96" fillId="18" borderId="0" applyNumberFormat="0" applyBorder="0" applyAlignment="0" applyProtection="0"/>
    <xf numFmtId="0" fontId="96" fillId="13" borderId="0" applyNumberFormat="0" applyBorder="0" applyAlignment="0" applyProtection="0"/>
    <xf numFmtId="0" fontId="96" fillId="13" borderId="0" applyNumberFormat="0" applyBorder="0" applyAlignment="0" applyProtection="0"/>
    <xf numFmtId="0" fontId="96" fillId="14" borderId="0" applyNumberFormat="0" applyBorder="0" applyAlignment="0" applyProtection="0"/>
    <xf numFmtId="0" fontId="96" fillId="14" borderId="0" applyNumberFormat="0" applyBorder="0" applyAlignment="0" applyProtection="0"/>
    <xf numFmtId="0" fontId="96" fillId="19" borderId="0" applyNumberFormat="0" applyBorder="0" applyAlignment="0" applyProtection="0"/>
    <xf numFmtId="0" fontId="96" fillId="19" borderId="0" applyNumberFormat="0" applyBorder="0" applyAlignment="0" applyProtection="0"/>
    <xf numFmtId="0" fontId="182" fillId="3" borderId="0" applyNumberFormat="0" applyBorder="0" applyAlignment="0" applyProtection="0"/>
    <xf numFmtId="0" fontId="182" fillId="3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183" fillId="20" borderId="1" applyNumberFormat="0" applyAlignment="0" applyProtection="0"/>
    <xf numFmtId="0" fontId="183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6" fillId="21" borderId="2" applyNumberFormat="0" applyAlignment="0" applyProtection="0"/>
    <xf numFmtId="0" fontId="76" fillId="21" borderId="2" applyNumberFormat="0" applyAlignment="0" applyProtection="0"/>
    <xf numFmtId="0" fontId="86" fillId="0" borderId="3" applyNumberFormat="0" applyFill="0" applyAlignment="0" applyProtection="0"/>
    <xf numFmtId="0" fontId="86" fillId="0" borderId="3" applyNumberFormat="0" applyFill="0" applyAlignment="0" applyProtection="0"/>
    <xf numFmtId="0" fontId="93" fillId="21" borderId="2" applyNumberFormat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184" fillId="0" borderId="0" applyNumberFormat="0" applyFill="0" applyBorder="0" applyAlignment="0" applyProtection="0"/>
    <xf numFmtId="0" fontId="184" fillId="0" borderId="0" applyNumberFormat="0" applyFill="0" applyBorder="0" applyAlignment="0" applyProtection="0"/>
    <xf numFmtId="0" fontId="185" fillId="4" borderId="0" applyNumberFormat="0" applyBorder="0" applyAlignment="0" applyProtection="0"/>
    <xf numFmtId="0" fontId="186" fillId="0" borderId="4" applyNumberFormat="0" applyFill="0" applyAlignment="0" applyProtection="0"/>
    <xf numFmtId="0" fontId="187" fillId="0" borderId="5" applyNumberFormat="0" applyFill="0" applyAlignment="0" applyProtection="0"/>
    <xf numFmtId="0" fontId="188" fillId="0" borderId="6" applyNumberFormat="0" applyFill="0" applyAlignment="0" applyProtection="0"/>
    <xf numFmtId="0" fontId="188" fillId="0" borderId="6" applyNumberFormat="0" applyFill="0" applyAlignment="0" applyProtection="0"/>
    <xf numFmtId="0" fontId="188" fillId="0" borderId="0" applyNumberFormat="0" applyFill="0" applyBorder="0" applyAlignment="0" applyProtection="0"/>
    <xf numFmtId="0" fontId="72" fillId="3" borderId="0" applyNumberFormat="0" applyBorder="0" applyAlignment="0" applyProtection="0"/>
    <xf numFmtId="0" fontId="72" fillId="3" borderId="0" applyNumberFormat="0" applyBorder="0" applyAlignment="0" applyProtection="0"/>
    <xf numFmtId="0" fontId="189" fillId="7" borderId="1" applyNumberFormat="0" applyAlignment="0" applyProtection="0"/>
    <xf numFmtId="0" fontId="190" fillId="0" borderId="3" applyNumberFormat="0" applyFill="0" applyAlignment="0" applyProtection="0"/>
    <xf numFmtId="167" fontId="70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70" fillId="0" borderId="0" applyFont="0" applyFill="0" applyBorder="0" applyAlignment="0" applyProtection="0"/>
    <xf numFmtId="0" fontId="87" fillId="22" borderId="0" applyNumberFormat="0" applyBorder="0" applyAlignment="0" applyProtection="0"/>
    <xf numFmtId="0" fontId="87" fillId="22" borderId="0" applyNumberFormat="0" applyBorder="0" applyAlignment="0" applyProtection="0"/>
    <xf numFmtId="0" fontId="35" fillId="0" borderId="0"/>
    <xf numFmtId="0" fontId="115" fillId="0" borderId="0"/>
    <xf numFmtId="0" fontId="115" fillId="0" borderId="0"/>
    <xf numFmtId="0" fontId="70" fillId="0" borderId="0"/>
    <xf numFmtId="0" fontId="70" fillId="0" borderId="0"/>
    <xf numFmtId="0" fontId="35" fillId="0" borderId="0"/>
    <xf numFmtId="0" fontId="35" fillId="63" borderId="65" applyNumberFormat="0" applyFont="0" applyAlignment="0" applyProtection="0"/>
    <xf numFmtId="0" fontId="70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191" fillId="20" borderId="8" applyNumberFormat="0" applyAlignment="0" applyProtection="0"/>
    <xf numFmtId="0" fontId="191" fillId="20" borderId="8" applyNumberFormat="0" applyAlignment="0" applyProtection="0"/>
    <xf numFmtId="10" fontId="77" fillId="0" borderId="0" applyFont="0" applyFill="0" applyBorder="0" applyAlignment="0" applyProtection="0"/>
    <xf numFmtId="9" fontId="70" fillId="0" borderId="0" applyFont="0" applyFill="0" applyBorder="0" applyAlignment="0" applyProtection="0"/>
    <xf numFmtId="0" fontId="88" fillId="20" borderId="8" applyNumberFormat="0" applyAlignment="0" applyProtection="0"/>
    <xf numFmtId="0" fontId="88" fillId="20" borderId="8" applyNumberFormat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04" fillId="0" borderId="4" applyNumberFormat="0" applyFill="0" applyAlignment="0" applyProtection="0"/>
    <xf numFmtId="0" fontId="104" fillId="0" borderId="4" applyNumberFormat="0" applyFill="0" applyAlignment="0" applyProtection="0"/>
    <xf numFmtId="0" fontId="147" fillId="0" borderId="0" applyNumberFormat="0" applyFill="0" applyBorder="0" applyAlignment="0" applyProtection="0"/>
    <xf numFmtId="0" fontId="105" fillId="0" borderId="5" applyNumberFormat="0" applyFill="0" applyAlignment="0" applyProtection="0"/>
    <xf numFmtId="0" fontId="105" fillId="0" borderId="5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36" fillId="0" borderId="10" applyNumberFormat="0" applyFill="0" applyAlignment="0" applyProtection="0"/>
    <xf numFmtId="0" fontId="136" fillId="0" borderId="10" applyNumberFormat="0" applyFill="0" applyAlignment="0" applyProtection="0"/>
    <xf numFmtId="0" fontId="95" fillId="0" borderId="0" applyNumberFormat="0" applyFill="0" applyBorder="0" applyAlignment="0" applyProtection="0"/>
    <xf numFmtId="0" fontId="47" fillId="0" borderId="0"/>
    <xf numFmtId="175" fontId="47" fillId="0" borderId="0" applyFont="0" applyFill="0" applyBorder="0" applyAlignment="0" applyProtection="0"/>
    <xf numFmtId="0" fontId="35" fillId="0" borderId="0"/>
    <xf numFmtId="167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7" fontId="35" fillId="0" borderId="0" applyFont="0" applyFill="0" applyBorder="0" applyAlignment="0" applyProtection="0"/>
    <xf numFmtId="0" fontId="35" fillId="0" borderId="0"/>
    <xf numFmtId="0" fontId="35" fillId="0" borderId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0" borderId="0"/>
    <xf numFmtId="0" fontId="35" fillId="0" borderId="0"/>
    <xf numFmtId="0" fontId="35" fillId="63" borderId="65" applyNumberFormat="0" applyFont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167" fontId="70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0" fontId="35" fillId="0" borderId="0"/>
    <xf numFmtId="0" fontId="47" fillId="0" borderId="0"/>
    <xf numFmtId="0" fontId="35" fillId="0" borderId="0"/>
    <xf numFmtId="0" fontId="35" fillId="63" borderId="65" applyNumberFormat="0" applyFont="0" applyAlignment="0" applyProtection="0"/>
    <xf numFmtId="9" fontId="70" fillId="0" borderId="0" applyFont="0" applyFill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63" borderId="65" applyNumberFormat="0" applyFont="0" applyAlignment="0" applyProtection="0"/>
    <xf numFmtId="0" fontId="35" fillId="63" borderId="65" applyNumberFormat="0" applyFont="0" applyAlignment="0" applyProtection="0"/>
    <xf numFmtId="0" fontId="35" fillId="63" borderId="65" applyNumberFormat="0" applyFont="0" applyAlignment="0" applyProtection="0"/>
    <xf numFmtId="0" fontId="35" fillId="63" borderId="65" applyNumberFormat="0" applyFont="0" applyAlignment="0" applyProtection="0"/>
    <xf numFmtId="0" fontId="47" fillId="0" borderId="0"/>
    <xf numFmtId="204" fontId="47" fillId="0" borderId="0" applyFont="0" applyFill="0" applyBorder="0" applyAlignment="0" applyProtection="0"/>
    <xf numFmtId="0" fontId="47" fillId="0" borderId="0"/>
    <xf numFmtId="167" fontId="47" fillId="0" borderId="0" applyFont="0" applyFill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41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44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224" fontId="47" fillId="0" borderId="0" applyFont="0" applyFill="0" applyBorder="0" applyAlignment="0" applyProtection="0"/>
    <xf numFmtId="205" fontId="137" fillId="0" borderId="0" applyFont="0" applyFill="0" applyBorder="0" applyAlignment="0" applyProtection="0"/>
    <xf numFmtId="20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226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170" fontId="70" fillId="0" borderId="0" applyFont="0" applyFill="0" applyBorder="0" applyAlignment="0" applyProtection="0"/>
    <xf numFmtId="170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4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70" fillId="23" borderId="7" applyNumberFormat="0" applyFont="0" applyAlignment="0" applyProtection="0"/>
    <xf numFmtId="175" fontId="47" fillId="0" borderId="0" applyFont="0" applyFill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41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44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64" borderId="0" applyNumberFormat="0" applyBorder="0" applyAlignment="0" applyProtection="0"/>
    <xf numFmtId="0" fontId="35" fillId="43" borderId="0" applyNumberFormat="0" applyBorder="0" applyAlignment="0" applyProtection="0"/>
    <xf numFmtId="0" fontId="35" fillId="65" borderId="0" applyNumberFormat="0" applyBorder="0" applyAlignment="0" applyProtection="0"/>
    <xf numFmtId="0" fontId="35" fillId="44" borderId="0" applyNumberFormat="0" applyBorder="0" applyAlignment="0" applyProtection="0"/>
    <xf numFmtId="0" fontId="35" fillId="66" borderId="0" applyNumberFormat="0" applyBorder="0" applyAlignment="0" applyProtection="0"/>
    <xf numFmtId="0" fontId="35" fillId="68" borderId="0" applyNumberFormat="0" applyBorder="0" applyAlignment="0" applyProtection="0"/>
    <xf numFmtId="0" fontId="35" fillId="67" borderId="0" applyNumberFormat="0" applyBorder="0" applyAlignment="0" applyProtection="0"/>
    <xf numFmtId="0" fontId="35" fillId="45" borderId="0" applyNumberFormat="0" applyBorder="0" applyAlignment="0" applyProtection="0"/>
    <xf numFmtId="0" fontId="35" fillId="41" borderId="0" applyNumberFormat="0" applyBorder="0" applyAlignment="0" applyProtection="0"/>
    <xf numFmtId="0" fontId="35" fillId="46" borderId="0" applyNumberFormat="0" applyBorder="0" applyAlignment="0" applyProtection="0"/>
    <xf numFmtId="0" fontId="35" fillId="42" borderId="0" applyNumberFormat="0" applyBorder="0" applyAlignment="0" applyProtection="0"/>
    <xf numFmtId="0" fontId="35" fillId="47" borderId="0" applyNumberFormat="0" applyBorder="0" applyAlignment="0" applyProtection="0"/>
    <xf numFmtId="167" fontId="35" fillId="0" borderId="0" applyFont="0" applyFill="0" applyBorder="0" applyAlignment="0" applyProtection="0"/>
    <xf numFmtId="0" fontId="35" fillId="0" borderId="0"/>
    <xf numFmtId="0" fontId="35" fillId="63" borderId="65" applyNumberFormat="0" applyFont="0" applyAlignment="0" applyProtection="0"/>
    <xf numFmtId="9" fontId="35" fillId="0" borderId="0" applyFont="0" applyFill="0" applyBorder="0" applyAlignment="0" applyProtection="0"/>
    <xf numFmtId="0" fontId="47" fillId="23" borderId="7" applyNumberFormat="0" applyFont="0" applyAlignment="0" applyProtection="0"/>
    <xf numFmtId="175" fontId="47" fillId="0" borderId="0" applyFont="0" applyFill="0" applyBorder="0" applyAlignment="0" applyProtection="0"/>
    <xf numFmtId="0" fontId="35" fillId="0" borderId="0"/>
    <xf numFmtId="167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7" fontId="35" fillId="0" borderId="0" applyFont="0" applyFill="0" applyBorder="0" applyAlignment="0" applyProtection="0"/>
    <xf numFmtId="0" fontId="35" fillId="0" borderId="0"/>
    <xf numFmtId="0" fontId="35" fillId="0" borderId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167" fontId="47" fillId="0" borderId="0" applyFont="0" applyFill="0" applyBorder="0" applyAlignment="0" applyProtection="0"/>
    <xf numFmtId="0" fontId="35" fillId="0" borderId="0"/>
    <xf numFmtId="0" fontId="35" fillId="0" borderId="0"/>
    <xf numFmtId="0" fontId="35" fillId="63" borderId="65" applyNumberFormat="0" applyFont="0" applyAlignment="0" applyProtection="0"/>
    <xf numFmtId="0" fontId="35" fillId="0" borderId="0"/>
    <xf numFmtId="0" fontId="35" fillId="0" borderId="0"/>
    <xf numFmtId="167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7" fontId="35" fillId="0" borderId="0" applyFont="0" applyFill="0" applyBorder="0" applyAlignment="0" applyProtection="0"/>
    <xf numFmtId="0" fontId="35" fillId="0" borderId="0"/>
    <xf numFmtId="0" fontId="35" fillId="0" borderId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0" borderId="0"/>
    <xf numFmtId="0" fontId="35" fillId="0" borderId="0"/>
    <xf numFmtId="0" fontId="35" fillId="63" borderId="65" applyNumberFormat="0" applyFont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63" borderId="65" applyNumberFormat="0" applyFont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68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63" borderId="65" applyNumberFormat="0" applyFont="0" applyAlignment="0" applyProtection="0"/>
    <xf numFmtId="0" fontId="35" fillId="63" borderId="65" applyNumberFormat="0" applyFont="0" applyAlignment="0" applyProtection="0"/>
    <xf numFmtId="0" fontId="35" fillId="63" borderId="65" applyNumberFormat="0" applyFont="0" applyAlignment="0" applyProtection="0"/>
    <xf numFmtId="0" fontId="35" fillId="63" borderId="65" applyNumberFormat="0" applyFont="0" applyAlignment="0" applyProtection="0"/>
    <xf numFmtId="0" fontId="35" fillId="0" borderId="0"/>
    <xf numFmtId="0" fontId="35" fillId="63" borderId="65" applyNumberFormat="0" applyFont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5" fillId="0" borderId="0" applyFont="0" applyFill="0" applyBorder="0" applyAlignment="0" applyProtection="0"/>
    <xf numFmtId="0" fontId="35" fillId="0" borderId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0" fontId="34" fillId="0" borderId="0"/>
    <xf numFmtId="0" fontId="34" fillId="64" borderId="0" applyNumberFormat="0" applyBorder="0" applyAlignment="0" applyProtection="0"/>
    <xf numFmtId="0" fontId="34" fillId="64" borderId="0" applyNumberFormat="0" applyBorder="0" applyAlignment="0" applyProtection="0"/>
    <xf numFmtId="0" fontId="34" fillId="64" borderId="0" applyNumberFormat="0" applyBorder="0" applyAlignment="0" applyProtection="0"/>
    <xf numFmtId="0" fontId="34" fillId="65" borderId="0" applyNumberFormat="0" applyBorder="0" applyAlignment="0" applyProtection="0"/>
    <xf numFmtId="0" fontId="34" fillId="65" borderId="0" applyNumberFormat="0" applyBorder="0" applyAlignment="0" applyProtection="0"/>
    <xf numFmtId="0" fontId="34" fillId="65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34" fillId="67" borderId="0" applyNumberFormat="0" applyBorder="0" applyAlignment="0" applyProtection="0"/>
    <xf numFmtId="0" fontId="34" fillId="67" borderId="0" applyNumberFormat="0" applyBorder="0" applyAlignment="0" applyProtection="0"/>
    <xf numFmtId="0" fontId="34" fillId="67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68" borderId="0" applyNumberFormat="0" applyBorder="0" applyAlignment="0" applyProtection="0"/>
    <xf numFmtId="0" fontId="34" fillId="68" borderId="0" applyNumberFormat="0" applyBorder="0" applyAlignment="0" applyProtection="0"/>
    <xf numFmtId="0" fontId="34" fillId="68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167" fontId="70" fillId="0" borderId="0" applyFont="0" applyFill="0" applyBorder="0" applyAlignment="0" applyProtection="0"/>
    <xf numFmtId="167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63" borderId="65" applyNumberFormat="0" applyFont="0" applyAlignment="0" applyProtection="0"/>
    <xf numFmtId="0" fontId="34" fillId="63" borderId="65" applyNumberFormat="0" applyFont="0" applyAlignment="0" applyProtection="0"/>
    <xf numFmtId="0" fontId="33" fillId="0" borderId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3" fillId="65" borderId="0" applyNumberFormat="0" applyBorder="0" applyAlignment="0" applyProtection="0"/>
    <xf numFmtId="0" fontId="33" fillId="65" borderId="0" applyNumberFormat="0" applyBorder="0" applyAlignment="0" applyProtection="0"/>
    <xf numFmtId="0" fontId="33" fillId="65" borderId="0" applyNumberFormat="0" applyBorder="0" applyAlignment="0" applyProtection="0"/>
    <xf numFmtId="0" fontId="33" fillId="66" borderId="0" applyNumberFormat="0" applyBorder="0" applyAlignment="0" applyProtection="0"/>
    <xf numFmtId="0" fontId="33" fillId="66" borderId="0" applyNumberFormat="0" applyBorder="0" applyAlignment="0" applyProtection="0"/>
    <xf numFmtId="0" fontId="33" fillId="66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167" fontId="70" fillId="0" borderId="0" applyFont="0" applyFill="0" applyBorder="0" applyAlignment="0" applyProtection="0"/>
    <xf numFmtId="0" fontId="33" fillId="42" borderId="0" applyNumberFormat="0" applyBorder="0" applyAlignment="0" applyProtection="0"/>
    <xf numFmtId="167" fontId="70" fillId="0" borderId="0" applyFont="0" applyFill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68" borderId="0" applyNumberFormat="0" applyBorder="0" applyAlignment="0" applyProtection="0"/>
    <xf numFmtId="0" fontId="33" fillId="68" borderId="0" applyNumberFormat="0" applyBorder="0" applyAlignment="0" applyProtection="0"/>
    <xf numFmtId="0" fontId="33" fillId="68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63" borderId="65" applyNumberFormat="0" applyFont="0" applyAlignment="0" applyProtection="0"/>
    <xf numFmtId="0" fontId="33" fillId="63" borderId="65" applyNumberFormat="0" applyFont="0" applyAlignment="0" applyProtection="0"/>
    <xf numFmtId="0" fontId="32" fillId="0" borderId="0"/>
    <xf numFmtId="0" fontId="70" fillId="2" borderId="0" applyNumberFormat="0" applyBorder="0" applyAlignment="0" applyProtection="0"/>
    <xf numFmtId="0" fontId="70" fillId="3" borderId="0" applyNumberFormat="0" applyBorder="0" applyAlignment="0" applyProtection="0"/>
    <xf numFmtId="0" fontId="70" fillId="4" borderId="0" applyNumberFormat="0" applyBorder="0" applyAlignment="0" applyProtection="0"/>
    <xf numFmtId="0" fontId="70" fillId="5" borderId="0" applyNumberFormat="0" applyBorder="0" applyAlignment="0" applyProtection="0"/>
    <xf numFmtId="0" fontId="70" fillId="6" borderId="0" applyNumberFormat="0" applyBorder="0" applyAlignment="0" applyProtection="0"/>
    <xf numFmtId="0" fontId="70" fillId="7" borderId="0" applyNumberFormat="0" applyBorder="0" applyAlignment="0" applyProtection="0"/>
    <xf numFmtId="0" fontId="70" fillId="8" borderId="0" applyNumberFormat="0" applyBorder="0" applyAlignment="0" applyProtection="0"/>
    <xf numFmtId="0" fontId="70" fillId="9" borderId="0" applyNumberFormat="0" applyBorder="0" applyAlignment="0" applyProtection="0"/>
    <xf numFmtId="0" fontId="70" fillId="10" borderId="0" applyNumberFormat="0" applyBorder="0" applyAlignment="0" applyProtection="0"/>
    <xf numFmtId="0" fontId="70" fillId="5" borderId="0" applyNumberFormat="0" applyBorder="0" applyAlignment="0" applyProtection="0"/>
    <xf numFmtId="0" fontId="70" fillId="8" borderId="0" applyNumberFormat="0" applyBorder="0" applyAlignment="0" applyProtection="0"/>
    <xf numFmtId="0" fontId="70" fillId="11" borderId="0" applyNumberFormat="0" applyBorder="0" applyAlignment="0" applyProtection="0"/>
    <xf numFmtId="0" fontId="71" fillId="12" borderId="0" applyNumberFormat="0" applyBorder="0" applyAlignment="0" applyProtection="0"/>
    <xf numFmtId="0" fontId="71" fillId="9" borderId="0" applyNumberFormat="0" applyBorder="0" applyAlignment="0" applyProtection="0"/>
    <xf numFmtId="0" fontId="71" fillId="10" borderId="0" applyNumberFormat="0" applyBorder="0" applyAlignment="0" applyProtection="0"/>
    <xf numFmtId="0" fontId="71" fillId="13" borderId="0" applyNumberFormat="0" applyBorder="0" applyAlignment="0" applyProtection="0"/>
    <xf numFmtId="0" fontId="71" fillId="14" borderId="0" applyNumberFormat="0" applyBorder="0" applyAlignment="0" applyProtection="0"/>
    <xf numFmtId="0" fontId="71" fillId="15" borderId="0" applyNumberFormat="0" applyBorder="0" applyAlignment="0" applyProtection="0"/>
    <xf numFmtId="0" fontId="81" fillId="4" borderId="0" applyNumberFormat="0" applyBorder="0" applyAlignment="0" applyProtection="0"/>
    <xf numFmtId="0" fontId="75" fillId="20" borderId="1" applyNumberFormat="0" applyAlignment="0" applyProtection="0"/>
    <xf numFmtId="0" fontId="76" fillId="21" borderId="2" applyNumberFormat="0" applyAlignment="0" applyProtection="0"/>
    <xf numFmtId="0" fontId="86" fillId="0" borderId="3" applyNumberFormat="0" applyFill="0" applyAlignment="0" applyProtection="0"/>
    <xf numFmtId="0" fontId="84" fillId="0" borderId="0" applyNumberFormat="0" applyFill="0" applyBorder="0" applyAlignment="0" applyProtection="0"/>
    <xf numFmtId="0" fontId="71" fillId="16" borderId="0" applyNumberFormat="0" applyBorder="0" applyAlignment="0" applyProtection="0"/>
    <xf numFmtId="0" fontId="71" fillId="17" borderId="0" applyNumberFormat="0" applyBorder="0" applyAlignment="0" applyProtection="0"/>
    <xf numFmtId="0" fontId="71" fillId="18" borderId="0" applyNumberFormat="0" applyBorder="0" applyAlignment="0" applyProtection="0"/>
    <xf numFmtId="0" fontId="71" fillId="13" borderId="0" applyNumberFormat="0" applyBorder="0" applyAlignment="0" applyProtection="0"/>
    <xf numFmtId="0" fontId="71" fillId="14" borderId="0" applyNumberFormat="0" applyBorder="0" applyAlignment="0" applyProtection="0"/>
    <xf numFmtId="0" fontId="71" fillId="19" borderId="0" applyNumberFormat="0" applyBorder="0" applyAlignment="0" applyProtection="0"/>
    <xf numFmtId="0" fontId="85" fillId="7" borderId="1" applyNumberFormat="0" applyAlignment="0" applyProtection="0"/>
    <xf numFmtId="0" fontId="72" fillId="3" borderId="0" applyNumberFormat="0" applyBorder="0" applyAlignment="0" applyProtection="0"/>
    <xf numFmtId="175" fontId="47" fillId="0" borderId="0" applyFont="0" applyFill="0" applyBorder="0" applyAlignment="0" applyProtection="0"/>
    <xf numFmtId="0" fontId="87" fillId="22" borderId="0" applyNumberFormat="0" applyBorder="0" applyAlignment="0" applyProtection="0"/>
    <xf numFmtId="0" fontId="47" fillId="23" borderId="7" applyNumberFormat="0" applyFont="0" applyAlignment="0" applyProtection="0"/>
    <xf numFmtId="9" fontId="47" fillId="0" borderId="0" applyFont="0" applyFill="0" applyBorder="0" applyAlignment="0" applyProtection="0"/>
    <xf numFmtId="0" fontId="88" fillId="20" borderId="8" applyNumberFormat="0" applyAlignment="0" applyProtection="0"/>
    <xf numFmtId="0" fontId="9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4" fillId="0" borderId="4" applyNumberFormat="0" applyFill="0" applyAlignment="0" applyProtection="0"/>
    <xf numFmtId="0" fontId="105" fillId="0" borderId="5" applyNumberFormat="0" applyFill="0" applyAlignment="0" applyProtection="0"/>
    <xf numFmtId="0" fontId="84" fillId="0" borderId="6" applyNumberFormat="0" applyFill="0" applyAlignment="0" applyProtection="0"/>
    <xf numFmtId="0" fontId="80" fillId="0" borderId="9" applyNumberFormat="0" applyFont="0" applyFill="0" applyAlignment="0" applyProtection="0"/>
    <xf numFmtId="0" fontId="32" fillId="0" borderId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0" borderId="0"/>
    <xf numFmtId="0" fontId="32" fillId="0" borderId="0"/>
    <xf numFmtId="0" fontId="32" fillId="63" borderId="65" applyNumberFormat="0" applyFont="0" applyAlignment="0" applyProtection="0"/>
    <xf numFmtId="0" fontId="32" fillId="0" borderId="0"/>
    <xf numFmtId="0" fontId="32" fillId="0" borderId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0" borderId="0"/>
    <xf numFmtId="0" fontId="32" fillId="0" borderId="0"/>
    <xf numFmtId="0" fontId="32" fillId="63" borderId="65" applyNumberFormat="0" applyFont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63" borderId="65" applyNumberFormat="0" applyFont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63" borderId="65" applyNumberFormat="0" applyFont="0" applyAlignment="0" applyProtection="0"/>
    <xf numFmtId="0" fontId="32" fillId="63" borderId="65" applyNumberFormat="0" applyFont="0" applyAlignment="0" applyProtection="0"/>
    <xf numFmtId="0" fontId="32" fillId="63" borderId="65" applyNumberFormat="0" applyFont="0" applyAlignment="0" applyProtection="0"/>
    <xf numFmtId="0" fontId="32" fillId="63" borderId="65" applyNumberFormat="0" applyFont="0" applyAlignment="0" applyProtection="0"/>
    <xf numFmtId="0" fontId="32" fillId="0" borderId="0"/>
    <xf numFmtId="0" fontId="32" fillId="0" borderId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41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44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41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44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64" borderId="0" applyNumberFormat="0" applyBorder="0" applyAlignment="0" applyProtection="0"/>
    <xf numFmtId="0" fontId="32" fillId="43" borderId="0" applyNumberFormat="0" applyBorder="0" applyAlignment="0" applyProtection="0"/>
    <xf numFmtId="0" fontId="32" fillId="65" borderId="0" applyNumberFormat="0" applyBorder="0" applyAlignment="0" applyProtection="0"/>
    <xf numFmtId="0" fontId="32" fillId="44" borderId="0" applyNumberFormat="0" applyBorder="0" applyAlignment="0" applyProtection="0"/>
    <xf numFmtId="0" fontId="32" fillId="66" borderId="0" applyNumberFormat="0" applyBorder="0" applyAlignment="0" applyProtection="0"/>
    <xf numFmtId="0" fontId="32" fillId="68" borderId="0" applyNumberFormat="0" applyBorder="0" applyAlignment="0" applyProtection="0"/>
    <xf numFmtId="0" fontId="32" fillId="67" borderId="0" applyNumberFormat="0" applyBorder="0" applyAlignment="0" applyProtection="0"/>
    <xf numFmtId="0" fontId="32" fillId="45" borderId="0" applyNumberFormat="0" applyBorder="0" applyAlignment="0" applyProtection="0"/>
    <xf numFmtId="0" fontId="32" fillId="41" borderId="0" applyNumberFormat="0" applyBorder="0" applyAlignment="0" applyProtection="0"/>
    <xf numFmtId="0" fontId="32" fillId="46" borderId="0" applyNumberFormat="0" applyBorder="0" applyAlignment="0" applyProtection="0"/>
    <xf numFmtId="0" fontId="32" fillId="42" borderId="0" applyNumberFormat="0" applyBorder="0" applyAlignment="0" applyProtection="0"/>
    <xf numFmtId="0" fontId="32" fillId="47" borderId="0" applyNumberFormat="0" applyBorder="0" applyAlignment="0" applyProtection="0"/>
    <xf numFmtId="167" fontId="32" fillId="0" borderId="0" applyFont="0" applyFill="0" applyBorder="0" applyAlignment="0" applyProtection="0"/>
    <xf numFmtId="0" fontId="32" fillId="0" borderId="0"/>
    <xf numFmtId="0" fontId="32" fillId="63" borderId="65" applyNumberFormat="0" applyFont="0" applyAlignment="0" applyProtection="0"/>
    <xf numFmtId="9" fontId="32" fillId="0" borderId="0" applyFont="0" applyFill="0" applyBorder="0" applyAlignment="0" applyProtection="0"/>
    <xf numFmtId="0" fontId="32" fillId="0" borderId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0" borderId="0"/>
    <xf numFmtId="0" fontId="32" fillId="0" borderId="0"/>
    <xf numFmtId="0" fontId="32" fillId="63" borderId="65" applyNumberFormat="0" applyFont="0" applyAlignment="0" applyProtection="0"/>
    <xf numFmtId="0" fontId="32" fillId="0" borderId="0"/>
    <xf numFmtId="0" fontId="32" fillId="0" borderId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0" borderId="0"/>
    <xf numFmtId="0" fontId="32" fillId="0" borderId="0"/>
    <xf numFmtId="0" fontId="32" fillId="63" borderId="65" applyNumberFormat="0" applyFont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63" borderId="65" applyNumberFormat="0" applyFont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63" borderId="65" applyNumberFormat="0" applyFont="0" applyAlignment="0" applyProtection="0"/>
    <xf numFmtId="0" fontId="32" fillId="63" borderId="65" applyNumberFormat="0" applyFont="0" applyAlignment="0" applyProtection="0"/>
    <xf numFmtId="0" fontId="32" fillId="63" borderId="65" applyNumberFormat="0" applyFont="0" applyAlignment="0" applyProtection="0"/>
    <xf numFmtId="0" fontId="32" fillId="63" borderId="65" applyNumberFormat="0" applyFont="0" applyAlignment="0" applyProtection="0"/>
    <xf numFmtId="0" fontId="32" fillId="0" borderId="0"/>
    <xf numFmtId="0" fontId="32" fillId="63" borderId="65" applyNumberFormat="0" applyFont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0" borderId="0"/>
    <xf numFmtId="0" fontId="32" fillId="0" borderId="0"/>
    <xf numFmtId="0" fontId="32" fillId="63" borderId="65" applyNumberFormat="0" applyFont="0" applyAlignment="0" applyProtection="0"/>
    <xf numFmtId="0" fontId="32" fillId="0" borderId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0" borderId="0"/>
    <xf numFmtId="0" fontId="32" fillId="0" borderId="0"/>
    <xf numFmtId="0" fontId="32" fillId="63" borderId="65" applyNumberFormat="0" applyFont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0" borderId="0"/>
    <xf numFmtId="0" fontId="32" fillId="0" borderId="0"/>
    <xf numFmtId="0" fontId="32" fillId="63" borderId="65" applyNumberFormat="0" applyFont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63" borderId="65" applyNumberFormat="0" applyFont="0" applyAlignment="0" applyProtection="0"/>
    <xf numFmtId="0" fontId="32" fillId="63" borderId="65" applyNumberFormat="0" applyFont="0" applyAlignment="0" applyProtection="0"/>
    <xf numFmtId="0" fontId="32" fillId="63" borderId="65" applyNumberFormat="0" applyFont="0" applyAlignment="0" applyProtection="0"/>
    <xf numFmtId="0" fontId="32" fillId="63" borderId="65" applyNumberFormat="0" applyFont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41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44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41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44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64" borderId="0" applyNumberFormat="0" applyBorder="0" applyAlignment="0" applyProtection="0"/>
    <xf numFmtId="0" fontId="32" fillId="43" borderId="0" applyNumberFormat="0" applyBorder="0" applyAlignment="0" applyProtection="0"/>
    <xf numFmtId="0" fontId="32" fillId="65" borderId="0" applyNumberFormat="0" applyBorder="0" applyAlignment="0" applyProtection="0"/>
    <xf numFmtId="0" fontId="32" fillId="44" borderId="0" applyNumberFormat="0" applyBorder="0" applyAlignment="0" applyProtection="0"/>
    <xf numFmtId="0" fontId="32" fillId="66" borderId="0" applyNumberFormat="0" applyBorder="0" applyAlignment="0" applyProtection="0"/>
    <xf numFmtId="0" fontId="32" fillId="68" borderId="0" applyNumberFormat="0" applyBorder="0" applyAlignment="0" applyProtection="0"/>
    <xf numFmtId="0" fontId="32" fillId="67" borderId="0" applyNumberFormat="0" applyBorder="0" applyAlignment="0" applyProtection="0"/>
    <xf numFmtId="0" fontId="32" fillId="45" borderId="0" applyNumberFormat="0" applyBorder="0" applyAlignment="0" applyProtection="0"/>
    <xf numFmtId="0" fontId="32" fillId="41" borderId="0" applyNumberFormat="0" applyBorder="0" applyAlignment="0" applyProtection="0"/>
    <xf numFmtId="0" fontId="32" fillId="46" borderId="0" applyNumberFormat="0" applyBorder="0" applyAlignment="0" applyProtection="0"/>
    <xf numFmtId="0" fontId="32" fillId="42" borderId="0" applyNumberFormat="0" applyBorder="0" applyAlignment="0" applyProtection="0"/>
    <xf numFmtId="0" fontId="32" fillId="47" borderId="0" applyNumberFormat="0" applyBorder="0" applyAlignment="0" applyProtection="0"/>
    <xf numFmtId="167" fontId="32" fillId="0" borderId="0" applyFont="0" applyFill="0" applyBorder="0" applyAlignment="0" applyProtection="0"/>
    <xf numFmtId="0" fontId="32" fillId="0" borderId="0"/>
    <xf numFmtId="0" fontId="32" fillId="63" borderId="65" applyNumberFormat="0" applyFont="0" applyAlignment="0" applyProtection="0"/>
    <xf numFmtId="9" fontId="32" fillId="0" borderId="0" applyFont="0" applyFill="0" applyBorder="0" applyAlignment="0" applyProtection="0"/>
    <xf numFmtId="0" fontId="32" fillId="0" borderId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0" borderId="0"/>
    <xf numFmtId="0" fontId="32" fillId="0" borderId="0"/>
    <xf numFmtId="0" fontId="32" fillId="63" borderId="65" applyNumberFormat="0" applyFont="0" applyAlignment="0" applyProtection="0"/>
    <xf numFmtId="0" fontId="32" fillId="0" borderId="0"/>
    <xf numFmtId="0" fontId="32" fillId="0" borderId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0" borderId="0"/>
    <xf numFmtId="0" fontId="32" fillId="0" borderId="0"/>
    <xf numFmtId="0" fontId="32" fillId="63" borderId="65" applyNumberFormat="0" applyFont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63" borderId="65" applyNumberFormat="0" applyFont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63" borderId="65" applyNumberFormat="0" applyFont="0" applyAlignment="0" applyProtection="0"/>
    <xf numFmtId="0" fontId="32" fillId="63" borderId="65" applyNumberFormat="0" applyFont="0" applyAlignment="0" applyProtection="0"/>
    <xf numFmtId="0" fontId="32" fillId="63" borderId="65" applyNumberFormat="0" applyFont="0" applyAlignment="0" applyProtection="0"/>
    <xf numFmtId="0" fontId="32" fillId="63" borderId="65" applyNumberFormat="0" applyFont="0" applyAlignment="0" applyProtection="0"/>
    <xf numFmtId="0" fontId="32" fillId="0" borderId="0"/>
    <xf numFmtId="0" fontId="32" fillId="63" borderId="65" applyNumberFormat="0" applyFont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63" borderId="65" applyNumberFormat="0" applyFont="0" applyAlignment="0" applyProtection="0"/>
    <xf numFmtId="0" fontId="32" fillId="63" borderId="65" applyNumberFormat="0" applyFont="0" applyAlignment="0" applyProtection="0"/>
    <xf numFmtId="0" fontId="32" fillId="0" borderId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68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167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63" borderId="65" applyNumberFormat="0" applyFont="0" applyAlignment="0" applyProtection="0"/>
    <xf numFmtId="0" fontId="32" fillId="63" borderId="65" applyNumberFormat="0" applyFont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63" borderId="65" applyNumberFormat="0" applyFont="0" applyAlignment="0" applyProtection="0"/>
    <xf numFmtId="10" fontId="77" fillId="0" borderId="0" applyFont="0" applyFill="0" applyBorder="0" applyAlignment="0" applyProtection="0"/>
    <xf numFmtId="0" fontId="30" fillId="0" borderId="0"/>
    <xf numFmtId="9" fontId="30" fillId="0" borderId="0" applyFont="0" applyFill="0" applyBorder="0" applyAlignment="0" applyProtection="0"/>
    <xf numFmtId="0" fontId="30" fillId="63" borderId="65" applyNumberFormat="0" applyFont="0" applyAlignment="0" applyProtection="0"/>
    <xf numFmtId="0" fontId="30" fillId="64" borderId="0" applyNumberFormat="0" applyBorder="0" applyAlignment="0" applyProtection="0"/>
    <xf numFmtId="0" fontId="30" fillId="65" borderId="0" applyNumberFormat="0" applyBorder="0" applyAlignment="0" applyProtection="0"/>
    <xf numFmtId="0" fontId="30" fillId="44" borderId="0" applyNumberFormat="0" applyBorder="0" applyAlignment="0" applyProtection="0"/>
    <xf numFmtId="0" fontId="30" fillId="67" borderId="0" applyNumberFormat="0" applyBorder="0" applyAlignment="0" applyProtection="0"/>
    <xf numFmtId="0" fontId="137" fillId="0" borderId="0"/>
    <xf numFmtId="0" fontId="29" fillId="0" borderId="0"/>
    <xf numFmtId="167" fontId="47" fillId="0" borderId="0" applyFont="0" applyFill="0" applyBorder="0" applyAlignment="0" applyProtection="0"/>
    <xf numFmtId="239" fontId="47" fillId="0" borderId="0" applyFont="0" applyFill="0" applyBorder="0" applyAlignment="0" applyProtection="0"/>
    <xf numFmtId="0" fontId="28" fillId="0" borderId="0"/>
    <xf numFmtId="0" fontId="28" fillId="64" borderId="0" applyNumberFormat="0" applyBorder="0" applyAlignment="0" applyProtection="0"/>
    <xf numFmtId="0" fontId="28" fillId="64" borderId="0" applyNumberFormat="0" applyBorder="0" applyAlignment="0" applyProtection="0"/>
    <xf numFmtId="0" fontId="28" fillId="64" borderId="0" applyNumberFormat="0" applyBorder="0" applyAlignment="0" applyProtection="0"/>
    <xf numFmtId="0" fontId="28" fillId="65" borderId="0" applyNumberFormat="0" applyBorder="0" applyAlignment="0" applyProtection="0"/>
    <xf numFmtId="0" fontId="28" fillId="65" borderId="0" applyNumberFormat="0" applyBorder="0" applyAlignment="0" applyProtection="0"/>
    <xf numFmtId="0" fontId="28" fillId="65" borderId="0" applyNumberFormat="0" applyBorder="0" applyAlignment="0" applyProtection="0"/>
    <xf numFmtId="0" fontId="28" fillId="66" borderId="0" applyNumberFormat="0" applyBorder="0" applyAlignment="0" applyProtection="0"/>
    <xf numFmtId="0" fontId="28" fillId="66" borderId="0" applyNumberFormat="0" applyBorder="0" applyAlignment="0" applyProtection="0"/>
    <xf numFmtId="0" fontId="28" fillId="66" borderId="0" applyNumberFormat="0" applyBorder="0" applyAlignment="0" applyProtection="0"/>
    <xf numFmtId="0" fontId="28" fillId="67" borderId="0" applyNumberFormat="0" applyBorder="0" applyAlignment="0" applyProtection="0"/>
    <xf numFmtId="0" fontId="28" fillId="67" borderId="0" applyNumberFormat="0" applyBorder="0" applyAlignment="0" applyProtection="0"/>
    <xf numFmtId="0" fontId="28" fillId="67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68" borderId="0" applyNumberFormat="0" applyBorder="0" applyAlignment="0" applyProtection="0"/>
    <xf numFmtId="0" fontId="28" fillId="68" borderId="0" applyNumberFormat="0" applyBorder="0" applyAlignment="0" applyProtection="0"/>
    <xf numFmtId="0" fontId="28" fillId="68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167" fillId="51" borderId="0" applyNumberFormat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209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208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240" fontId="47" fillId="0" borderId="0" applyFont="0" applyFill="0" applyBorder="0" applyAlignment="0" applyProtection="0"/>
    <xf numFmtId="240" fontId="47" fillId="0" borderId="0" applyFont="0" applyFill="0" applyBorder="0" applyAlignment="0" applyProtection="0"/>
    <xf numFmtId="240" fontId="47" fillId="0" borderId="0" applyFont="0" applyFill="0" applyBorder="0" applyAlignment="0" applyProtection="0"/>
    <xf numFmtId="240" fontId="70" fillId="0" borderId="0" applyFont="0" applyFill="0" applyBorder="0" applyAlignment="0" applyProtection="0"/>
    <xf numFmtId="240" fontId="47" fillId="0" borderId="0" applyFont="0" applyFill="0" applyBorder="0" applyAlignment="0" applyProtection="0"/>
    <xf numFmtId="240" fontId="47" fillId="0" borderId="0" applyFont="0" applyFill="0" applyBorder="0" applyAlignment="0" applyProtection="0"/>
    <xf numFmtId="240" fontId="47" fillId="0" borderId="0" applyFont="0" applyFill="0" applyBorder="0" applyAlignment="0" applyProtection="0"/>
    <xf numFmtId="240" fontId="47" fillId="0" borderId="0" applyFont="0" applyFill="0" applyBorder="0" applyAlignment="0" applyProtection="0"/>
    <xf numFmtId="240" fontId="47" fillId="0" borderId="0" applyFont="0" applyFill="0" applyBorder="0" applyAlignment="0" applyProtection="0"/>
    <xf numFmtId="240" fontId="47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79" fillId="0" borderId="67" applyNumberFormat="0" applyFill="0" applyAlignment="0" applyProtection="0"/>
    <xf numFmtId="0" fontId="229" fillId="0" borderId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226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44" borderId="0" applyNumberFormat="0" applyBorder="0" applyAlignment="0" applyProtection="0"/>
    <xf numFmtId="0" fontId="27" fillId="41" borderId="0" applyNumberFormat="0" applyBorder="0" applyAlignment="0" applyProtection="0"/>
    <xf numFmtId="0" fontId="27" fillId="0" borderId="0"/>
    <xf numFmtId="0" fontId="47" fillId="0" borderId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41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44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3" borderId="0" applyNumberFormat="0" applyBorder="0" applyAlignment="0" applyProtection="0"/>
    <xf numFmtId="0" fontId="27" fillId="3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215" fontId="47" fillId="0" borderId="0" applyFont="0" applyFill="0" applyBorder="0" applyAlignment="0" applyProtection="0"/>
    <xf numFmtId="215" fontId="47" fillId="0" borderId="0" applyFont="0" applyFill="0" applyBorder="0" applyAlignment="0" applyProtection="0"/>
    <xf numFmtId="241" fontId="47" fillId="0" borderId="0" applyFont="0" applyFill="0" applyBorder="0" applyAlignment="0" applyProtection="0"/>
    <xf numFmtId="241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240" fontId="47" fillId="0" borderId="0" applyFont="0" applyFill="0" applyBorder="0" applyAlignment="0" applyProtection="0"/>
    <xf numFmtId="240" fontId="4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0" fillId="0" borderId="0"/>
    <xf numFmtId="0" fontId="230" fillId="0" borderId="0"/>
    <xf numFmtId="0" fontId="230" fillId="0" borderId="0"/>
    <xf numFmtId="0" fontId="230" fillId="0" borderId="0"/>
    <xf numFmtId="0" fontId="230" fillId="0" borderId="0"/>
    <xf numFmtId="0" fontId="230" fillId="0" borderId="0"/>
    <xf numFmtId="0" fontId="230" fillId="0" borderId="0"/>
    <xf numFmtId="0" fontId="47" fillId="23" borderId="7" applyNumberFormat="0" applyFont="0" applyAlignment="0" applyProtection="0"/>
    <xf numFmtId="9" fontId="230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27" fillId="0" borderId="0"/>
    <xf numFmtId="0" fontId="229" fillId="0" borderId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0" fontId="27" fillId="64" borderId="0" applyNumberFormat="0" applyBorder="0" applyAlignment="0" applyProtection="0"/>
    <xf numFmtId="0" fontId="27" fillId="43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8" borderId="0" applyNumberFormat="0" applyBorder="0" applyAlignment="0" applyProtection="0"/>
    <xf numFmtId="0" fontId="27" fillId="67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2" borderId="0" applyNumberFormat="0" applyBorder="0" applyAlignment="0" applyProtection="0"/>
    <xf numFmtId="0" fontId="27" fillId="47" borderId="0" applyNumberFormat="0" applyBorder="0" applyAlignment="0" applyProtection="0"/>
    <xf numFmtId="0" fontId="27" fillId="0" borderId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241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27" fillId="64" borderId="0" applyNumberFormat="0" applyBorder="0" applyAlignment="0" applyProtection="0"/>
    <xf numFmtId="0" fontId="210" fillId="64" borderId="0" applyNumberFormat="0" applyBorder="0" applyAlignment="0" applyProtection="0"/>
    <xf numFmtId="0" fontId="70" fillId="2" borderId="0" applyNumberFormat="0" applyBorder="0" applyAlignment="0" applyProtection="0"/>
    <xf numFmtId="0" fontId="210" fillId="64" borderId="0" applyNumberFormat="0" applyBorder="0" applyAlignment="0" applyProtection="0"/>
    <xf numFmtId="0" fontId="210" fillId="64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81" borderId="0" applyNumberFormat="0" applyBorder="0" applyAlignment="0" applyProtection="0"/>
    <xf numFmtId="0" fontId="70" fillId="81" borderId="0" applyNumberFormat="0" applyBorder="0" applyAlignment="0" applyProtection="0"/>
    <xf numFmtId="0" fontId="70" fillId="81" borderId="0" applyNumberFormat="0" applyBorder="0" applyAlignment="0" applyProtection="0"/>
    <xf numFmtId="0" fontId="70" fillId="81" borderId="0" applyNumberFormat="0" applyBorder="0" applyAlignment="0" applyProtection="0"/>
    <xf numFmtId="0" fontId="27" fillId="64" borderId="0" applyNumberFormat="0" applyBorder="0" applyAlignment="0" applyProtection="0"/>
    <xf numFmtId="0" fontId="70" fillId="81" borderId="0" applyNumberFormat="0" applyBorder="0" applyAlignment="0" applyProtection="0"/>
    <xf numFmtId="0" fontId="27" fillId="64" borderId="0" applyNumberFormat="0" applyBorder="0" applyAlignment="0" applyProtection="0"/>
    <xf numFmtId="0" fontId="70" fillId="2" borderId="0" applyNumberFormat="0" applyBorder="0" applyAlignment="0" applyProtection="0"/>
    <xf numFmtId="0" fontId="27" fillId="8" borderId="0" applyNumberFormat="0" applyBorder="0" applyAlignment="0" applyProtection="0"/>
    <xf numFmtId="0" fontId="27" fillId="64" borderId="0" applyNumberFormat="0" applyBorder="0" applyAlignment="0" applyProtection="0"/>
    <xf numFmtId="0" fontId="27" fillId="8" borderId="0" applyNumberFormat="0" applyBorder="0" applyAlignment="0" applyProtection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10" fillId="65" borderId="0" applyNumberFormat="0" applyBorder="0" applyAlignment="0" applyProtection="0"/>
    <xf numFmtId="0" fontId="70" fillId="3" borderId="0" applyNumberFormat="0" applyBorder="0" applyAlignment="0" applyProtection="0"/>
    <xf numFmtId="0" fontId="210" fillId="65" borderId="0" applyNumberFormat="0" applyBorder="0" applyAlignment="0" applyProtection="0"/>
    <xf numFmtId="0" fontId="210" fillId="65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27" fillId="65" borderId="0" applyNumberFormat="0" applyBorder="0" applyAlignment="0" applyProtection="0"/>
    <xf numFmtId="0" fontId="70" fillId="7" borderId="0" applyNumberFormat="0" applyBorder="0" applyAlignment="0" applyProtection="0"/>
    <xf numFmtId="0" fontId="27" fillId="65" borderId="0" applyNumberFormat="0" applyBorder="0" applyAlignment="0" applyProtection="0"/>
    <xf numFmtId="0" fontId="70" fillId="3" borderId="0" applyNumberFormat="0" applyBorder="0" applyAlignment="0" applyProtection="0"/>
    <xf numFmtId="0" fontId="27" fillId="9" borderId="0" applyNumberFormat="0" applyBorder="0" applyAlignment="0" applyProtection="0"/>
    <xf numFmtId="0" fontId="27" fillId="65" borderId="0" applyNumberFormat="0" applyBorder="0" applyAlignment="0" applyProtection="0"/>
    <xf numFmtId="0" fontId="27" fillId="9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10" fillId="66" borderId="0" applyNumberFormat="0" applyBorder="0" applyAlignment="0" applyProtection="0"/>
    <xf numFmtId="0" fontId="70" fillId="4" borderId="0" applyNumberFormat="0" applyBorder="0" applyAlignment="0" applyProtection="0"/>
    <xf numFmtId="0" fontId="210" fillId="66" borderId="0" applyNumberFormat="0" applyBorder="0" applyAlignment="0" applyProtection="0"/>
    <xf numFmtId="0" fontId="210" fillId="66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23" borderId="0" applyNumberFormat="0" applyBorder="0" applyAlignment="0" applyProtection="0"/>
    <xf numFmtId="0" fontId="70" fillId="23" borderId="0" applyNumberFormat="0" applyBorder="0" applyAlignment="0" applyProtection="0"/>
    <xf numFmtId="0" fontId="70" fillId="23" borderId="0" applyNumberFormat="0" applyBorder="0" applyAlignment="0" applyProtection="0"/>
    <xf numFmtId="0" fontId="70" fillId="23" borderId="0" applyNumberFormat="0" applyBorder="0" applyAlignment="0" applyProtection="0"/>
    <xf numFmtId="0" fontId="27" fillId="66" borderId="0" applyNumberFormat="0" applyBorder="0" applyAlignment="0" applyProtection="0"/>
    <xf numFmtId="0" fontId="70" fillId="23" borderId="0" applyNumberFormat="0" applyBorder="0" applyAlignment="0" applyProtection="0"/>
    <xf numFmtId="0" fontId="27" fillId="66" borderId="0" applyNumberFormat="0" applyBorder="0" applyAlignment="0" applyProtection="0"/>
    <xf numFmtId="0" fontId="70" fillId="4" borderId="0" applyNumberFormat="0" applyBorder="0" applyAlignment="0" applyProtection="0"/>
    <xf numFmtId="0" fontId="27" fillId="23" borderId="0" applyNumberFormat="0" applyBorder="0" applyAlignment="0" applyProtection="0"/>
    <xf numFmtId="0" fontId="27" fillId="66" borderId="0" applyNumberFormat="0" applyBorder="0" applyAlignment="0" applyProtection="0"/>
    <xf numFmtId="0" fontId="27" fillId="23" borderId="0" applyNumberFormat="0" applyBorder="0" applyAlignment="0" applyProtection="0"/>
    <xf numFmtId="0" fontId="27" fillId="66" borderId="0" applyNumberFormat="0" applyBorder="0" applyAlignment="0" applyProtection="0"/>
    <xf numFmtId="0" fontId="27" fillId="67" borderId="0" applyNumberFormat="0" applyBorder="0" applyAlignment="0" applyProtection="0"/>
    <xf numFmtId="0" fontId="210" fillId="67" borderId="0" applyNumberFormat="0" applyBorder="0" applyAlignment="0" applyProtection="0"/>
    <xf numFmtId="0" fontId="70" fillId="5" borderId="0" applyNumberFormat="0" applyBorder="0" applyAlignment="0" applyProtection="0"/>
    <xf numFmtId="0" fontId="210" fillId="67" borderId="0" applyNumberFormat="0" applyBorder="0" applyAlignment="0" applyProtection="0"/>
    <xf numFmtId="0" fontId="210" fillId="67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81" borderId="0" applyNumberFormat="0" applyBorder="0" applyAlignment="0" applyProtection="0"/>
    <xf numFmtId="0" fontId="70" fillId="81" borderId="0" applyNumberFormat="0" applyBorder="0" applyAlignment="0" applyProtection="0"/>
    <xf numFmtId="0" fontId="70" fillId="81" borderId="0" applyNumberFormat="0" applyBorder="0" applyAlignment="0" applyProtection="0"/>
    <xf numFmtId="0" fontId="70" fillId="81" borderId="0" applyNumberFormat="0" applyBorder="0" applyAlignment="0" applyProtection="0"/>
    <xf numFmtId="0" fontId="27" fillId="67" borderId="0" applyNumberFormat="0" applyBorder="0" applyAlignment="0" applyProtection="0"/>
    <xf numFmtId="0" fontId="70" fillId="81" borderId="0" applyNumberFormat="0" applyBorder="0" applyAlignment="0" applyProtection="0"/>
    <xf numFmtId="0" fontId="27" fillId="67" borderId="0" applyNumberFormat="0" applyBorder="0" applyAlignment="0" applyProtection="0"/>
    <xf numFmtId="0" fontId="70" fillId="5" borderId="0" applyNumberFormat="0" applyBorder="0" applyAlignment="0" applyProtection="0"/>
    <xf numFmtId="0" fontId="27" fillId="7" borderId="0" applyNumberFormat="0" applyBorder="0" applyAlignment="0" applyProtection="0"/>
    <xf numFmtId="0" fontId="27" fillId="67" borderId="0" applyNumberFormat="0" applyBorder="0" applyAlignment="0" applyProtection="0"/>
    <xf numFmtId="0" fontId="27" fillId="7" borderId="0" applyNumberFormat="0" applyBorder="0" applyAlignment="0" applyProtection="0"/>
    <xf numFmtId="0" fontId="27" fillId="67" borderId="0" applyNumberFormat="0" applyBorder="0" applyAlignment="0" applyProtection="0"/>
    <xf numFmtId="0" fontId="27" fillId="41" borderId="0" applyNumberFormat="0" applyBorder="0" applyAlignment="0" applyProtection="0"/>
    <xf numFmtId="0" fontId="210" fillId="41" borderId="0" applyNumberFormat="0" applyBorder="0" applyAlignment="0" applyProtection="0"/>
    <xf numFmtId="0" fontId="70" fillId="6" borderId="0" applyNumberFormat="0" applyBorder="0" applyAlignment="0" applyProtection="0"/>
    <xf numFmtId="0" fontId="210" fillId="41" borderId="0" applyNumberFormat="0" applyBorder="0" applyAlignment="0" applyProtection="0"/>
    <xf numFmtId="0" fontId="210" fillId="41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70" fillId="6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10" fillId="42" borderId="0" applyNumberFormat="0" applyBorder="0" applyAlignment="0" applyProtection="0"/>
    <xf numFmtId="0" fontId="70" fillId="7" borderId="0" applyNumberFormat="0" applyBorder="0" applyAlignment="0" applyProtection="0"/>
    <xf numFmtId="0" fontId="210" fillId="42" borderId="0" applyNumberFormat="0" applyBorder="0" applyAlignment="0" applyProtection="0"/>
    <xf numFmtId="0" fontId="210" fillId="42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70" fillId="7" borderId="0" applyNumberFormat="0" applyBorder="0" applyAlignment="0" applyProtection="0"/>
    <xf numFmtId="0" fontId="27" fillId="23" borderId="0" applyNumberFormat="0" applyBorder="0" applyAlignment="0" applyProtection="0"/>
    <xf numFmtId="0" fontId="27" fillId="42" borderId="0" applyNumberFormat="0" applyBorder="0" applyAlignment="0" applyProtection="0"/>
    <xf numFmtId="0" fontId="27" fillId="23" borderId="0" applyNumberFormat="0" applyBorder="0" applyAlignment="0" applyProtection="0"/>
    <xf numFmtId="0" fontId="27" fillId="42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27" fillId="43" borderId="0" applyNumberFormat="0" applyBorder="0" applyAlignment="0" applyProtection="0"/>
    <xf numFmtId="0" fontId="210" fillId="43" borderId="0" applyNumberFormat="0" applyBorder="0" applyAlignment="0" applyProtection="0"/>
    <xf numFmtId="0" fontId="70" fillId="8" borderId="0" applyNumberFormat="0" applyBorder="0" applyAlignment="0" applyProtection="0"/>
    <xf numFmtId="0" fontId="210" fillId="43" borderId="0" applyNumberFormat="0" applyBorder="0" applyAlignment="0" applyProtection="0"/>
    <xf numFmtId="0" fontId="210" fillId="43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20" borderId="0" applyNumberFormat="0" applyBorder="0" applyAlignment="0" applyProtection="0"/>
    <xf numFmtId="0" fontId="70" fillId="20" borderId="0" applyNumberFormat="0" applyBorder="0" applyAlignment="0" applyProtection="0"/>
    <xf numFmtId="0" fontId="70" fillId="20" borderId="0" applyNumberFormat="0" applyBorder="0" applyAlignment="0" applyProtection="0"/>
    <xf numFmtId="0" fontId="70" fillId="20" borderId="0" applyNumberFormat="0" applyBorder="0" applyAlignment="0" applyProtection="0"/>
    <xf numFmtId="0" fontId="27" fillId="43" borderId="0" applyNumberFormat="0" applyBorder="0" applyAlignment="0" applyProtection="0"/>
    <xf numFmtId="0" fontId="70" fillId="20" borderId="0" applyNumberFormat="0" applyBorder="0" applyAlignment="0" applyProtection="0"/>
    <xf numFmtId="0" fontId="27" fillId="43" borderId="0" applyNumberFormat="0" applyBorder="0" applyAlignment="0" applyProtection="0"/>
    <xf numFmtId="0" fontId="70" fillId="8" borderId="0" applyNumberFormat="0" applyBorder="0" applyAlignment="0" applyProtection="0"/>
    <xf numFmtId="0" fontId="27" fillId="6" borderId="0" applyNumberFormat="0" applyBorder="0" applyAlignment="0" applyProtection="0"/>
    <xf numFmtId="0" fontId="27" fillId="43" borderId="0" applyNumberFormat="0" applyBorder="0" applyAlignment="0" applyProtection="0"/>
    <xf numFmtId="0" fontId="27" fillId="6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10" fillId="44" borderId="0" applyNumberFormat="0" applyBorder="0" applyAlignment="0" applyProtection="0"/>
    <xf numFmtId="0" fontId="70" fillId="9" borderId="0" applyNumberFormat="0" applyBorder="0" applyAlignment="0" applyProtection="0"/>
    <xf numFmtId="0" fontId="210" fillId="44" borderId="0" applyNumberFormat="0" applyBorder="0" applyAlignment="0" applyProtection="0"/>
    <xf numFmtId="0" fontId="210" fillId="44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70" fillId="9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68" borderId="0" applyNumberFormat="0" applyBorder="0" applyAlignment="0" applyProtection="0"/>
    <xf numFmtId="0" fontId="210" fillId="68" borderId="0" applyNumberFormat="0" applyBorder="0" applyAlignment="0" applyProtection="0"/>
    <xf numFmtId="0" fontId="70" fillId="10" borderId="0" applyNumberFormat="0" applyBorder="0" applyAlignment="0" applyProtection="0"/>
    <xf numFmtId="0" fontId="210" fillId="68" borderId="0" applyNumberFormat="0" applyBorder="0" applyAlignment="0" applyProtection="0"/>
    <xf numFmtId="0" fontId="210" fillId="68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23" borderId="0" applyNumberFormat="0" applyBorder="0" applyAlignment="0" applyProtection="0"/>
    <xf numFmtId="0" fontId="70" fillId="23" borderId="0" applyNumberFormat="0" applyBorder="0" applyAlignment="0" applyProtection="0"/>
    <xf numFmtId="0" fontId="70" fillId="23" borderId="0" applyNumberFormat="0" applyBorder="0" applyAlignment="0" applyProtection="0"/>
    <xf numFmtId="0" fontId="70" fillId="23" borderId="0" applyNumberFormat="0" applyBorder="0" applyAlignment="0" applyProtection="0"/>
    <xf numFmtId="0" fontId="27" fillId="68" borderId="0" applyNumberFormat="0" applyBorder="0" applyAlignment="0" applyProtection="0"/>
    <xf numFmtId="0" fontId="70" fillId="23" borderId="0" applyNumberFormat="0" applyBorder="0" applyAlignment="0" applyProtection="0"/>
    <xf numFmtId="0" fontId="27" fillId="68" borderId="0" applyNumberFormat="0" applyBorder="0" applyAlignment="0" applyProtection="0"/>
    <xf numFmtId="0" fontId="70" fillId="10" borderId="0" applyNumberFormat="0" applyBorder="0" applyAlignment="0" applyProtection="0"/>
    <xf numFmtId="0" fontId="27" fillId="22" borderId="0" applyNumberFormat="0" applyBorder="0" applyAlignment="0" applyProtection="0"/>
    <xf numFmtId="0" fontId="27" fillId="68" borderId="0" applyNumberFormat="0" applyBorder="0" applyAlignment="0" applyProtection="0"/>
    <xf numFmtId="0" fontId="27" fillId="22" borderId="0" applyNumberFormat="0" applyBorder="0" applyAlignment="0" applyProtection="0"/>
    <xf numFmtId="0" fontId="27" fillId="68" borderId="0" applyNumberFormat="0" applyBorder="0" applyAlignment="0" applyProtection="0"/>
    <xf numFmtId="0" fontId="27" fillId="45" borderId="0" applyNumberFormat="0" applyBorder="0" applyAlignment="0" applyProtection="0"/>
    <xf numFmtId="0" fontId="210" fillId="45" borderId="0" applyNumberFormat="0" applyBorder="0" applyAlignment="0" applyProtection="0"/>
    <xf numFmtId="0" fontId="70" fillId="5" borderId="0" applyNumberFormat="0" applyBorder="0" applyAlignment="0" applyProtection="0"/>
    <xf numFmtId="0" fontId="210" fillId="45" borderId="0" applyNumberFormat="0" applyBorder="0" applyAlignment="0" applyProtection="0"/>
    <xf numFmtId="0" fontId="210" fillId="4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20" borderId="0" applyNumberFormat="0" applyBorder="0" applyAlignment="0" applyProtection="0"/>
    <xf numFmtId="0" fontId="70" fillId="20" borderId="0" applyNumberFormat="0" applyBorder="0" applyAlignment="0" applyProtection="0"/>
    <xf numFmtId="0" fontId="70" fillId="20" borderId="0" applyNumberFormat="0" applyBorder="0" applyAlignment="0" applyProtection="0"/>
    <xf numFmtId="0" fontId="70" fillId="20" borderId="0" applyNumberFormat="0" applyBorder="0" applyAlignment="0" applyProtection="0"/>
    <xf numFmtId="0" fontId="27" fillId="45" borderId="0" applyNumberFormat="0" applyBorder="0" applyAlignment="0" applyProtection="0"/>
    <xf numFmtId="0" fontId="70" fillId="20" borderId="0" applyNumberFormat="0" applyBorder="0" applyAlignment="0" applyProtection="0"/>
    <xf numFmtId="0" fontId="27" fillId="45" borderId="0" applyNumberFormat="0" applyBorder="0" applyAlignment="0" applyProtection="0"/>
    <xf numFmtId="0" fontId="70" fillId="5" borderId="0" applyNumberFormat="0" applyBorder="0" applyAlignment="0" applyProtection="0"/>
    <xf numFmtId="0" fontId="27" fillId="3" borderId="0" applyNumberFormat="0" applyBorder="0" applyAlignment="0" applyProtection="0"/>
    <xf numFmtId="0" fontId="27" fillId="45" borderId="0" applyNumberFormat="0" applyBorder="0" applyAlignment="0" applyProtection="0"/>
    <xf numFmtId="0" fontId="27" fillId="3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10" fillId="46" borderId="0" applyNumberFormat="0" applyBorder="0" applyAlignment="0" applyProtection="0"/>
    <xf numFmtId="0" fontId="70" fillId="8" borderId="0" applyNumberFormat="0" applyBorder="0" applyAlignment="0" applyProtection="0"/>
    <xf numFmtId="0" fontId="210" fillId="46" borderId="0" applyNumberFormat="0" applyBorder="0" applyAlignment="0" applyProtection="0"/>
    <xf numFmtId="0" fontId="210" fillId="46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70" fillId="8" borderId="0" applyNumberFormat="0" applyBorder="0" applyAlignment="0" applyProtection="0"/>
    <xf numFmtId="0" fontId="27" fillId="6" borderId="0" applyNumberFormat="0" applyBorder="0" applyAlignment="0" applyProtection="0"/>
    <xf numFmtId="0" fontId="27" fillId="46" borderId="0" applyNumberFormat="0" applyBorder="0" applyAlignment="0" applyProtection="0"/>
    <xf numFmtId="0" fontId="27" fillId="6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10" fillId="47" borderId="0" applyNumberFormat="0" applyBorder="0" applyAlignment="0" applyProtection="0"/>
    <xf numFmtId="0" fontId="70" fillId="11" borderId="0" applyNumberFormat="0" applyBorder="0" applyAlignment="0" applyProtection="0"/>
    <xf numFmtId="0" fontId="210" fillId="47" borderId="0" applyNumberFormat="0" applyBorder="0" applyAlignment="0" applyProtection="0"/>
    <xf numFmtId="0" fontId="210" fillId="47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27" fillId="47" borderId="0" applyNumberFormat="0" applyBorder="0" applyAlignment="0" applyProtection="0"/>
    <xf numFmtId="0" fontId="70" fillId="7" borderId="0" applyNumberFormat="0" applyBorder="0" applyAlignment="0" applyProtection="0"/>
    <xf numFmtId="0" fontId="27" fillId="47" borderId="0" applyNumberFormat="0" applyBorder="0" applyAlignment="0" applyProtection="0"/>
    <xf numFmtId="0" fontId="70" fillId="11" borderId="0" applyNumberFormat="0" applyBorder="0" applyAlignment="0" applyProtection="0"/>
    <xf numFmtId="0" fontId="27" fillId="23" borderId="0" applyNumberFormat="0" applyBorder="0" applyAlignment="0" applyProtection="0"/>
    <xf numFmtId="0" fontId="27" fillId="47" borderId="0" applyNumberFormat="0" applyBorder="0" applyAlignment="0" applyProtection="0"/>
    <xf numFmtId="0" fontId="27" fillId="23" borderId="0" applyNumberFormat="0" applyBorder="0" applyAlignment="0" applyProtection="0"/>
    <xf numFmtId="0" fontId="27" fillId="47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10" borderId="0" applyNumberFormat="0" applyBorder="0" applyAlignment="0" applyProtection="0"/>
    <xf numFmtId="0" fontId="71" fillId="10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211" fillId="48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166" fillId="48" borderId="0" applyNumberFormat="0" applyBorder="0" applyAlignment="0" applyProtection="0"/>
    <xf numFmtId="0" fontId="71" fillId="14" borderId="0" applyNumberFormat="0" applyBorder="0" applyAlignment="0" applyProtection="0"/>
    <xf numFmtId="0" fontId="166" fillId="48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166" fillId="6" borderId="0" applyNumberFormat="0" applyBorder="0" applyAlignment="0" applyProtection="0"/>
    <xf numFmtId="0" fontId="166" fillId="48" borderId="0" applyNumberFormat="0" applyBorder="0" applyAlignment="0" applyProtection="0"/>
    <xf numFmtId="0" fontId="211" fillId="4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166" fillId="49" borderId="0" applyNumberFormat="0" applyBorder="0" applyAlignment="0" applyProtection="0"/>
    <xf numFmtId="0" fontId="166" fillId="4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166" fillId="19" borderId="0" applyNumberFormat="0" applyBorder="0" applyAlignment="0" applyProtection="0"/>
    <xf numFmtId="0" fontId="166" fillId="49" borderId="0" applyNumberFormat="0" applyBorder="0" applyAlignment="0" applyProtection="0"/>
    <xf numFmtId="0" fontId="211" fillId="69" borderId="0" applyNumberFormat="0" applyBorder="0" applyAlignment="0" applyProtection="0"/>
    <xf numFmtId="0" fontId="71" fillId="10" borderId="0" applyNumberFormat="0" applyBorder="0" applyAlignment="0" applyProtection="0"/>
    <xf numFmtId="0" fontId="71" fillId="10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166" fillId="69" borderId="0" applyNumberFormat="0" applyBorder="0" applyAlignment="0" applyProtection="0"/>
    <xf numFmtId="0" fontId="71" fillId="23" borderId="0" applyNumberFormat="0" applyBorder="0" applyAlignment="0" applyProtection="0"/>
    <xf numFmtId="0" fontId="166" fillId="69" borderId="0" applyNumberFormat="0" applyBorder="0" applyAlignment="0" applyProtection="0"/>
    <xf numFmtId="0" fontId="71" fillId="10" borderId="0" applyNumberFormat="0" applyBorder="0" applyAlignment="0" applyProtection="0"/>
    <xf numFmtId="0" fontId="71" fillId="10" borderId="0" applyNumberFormat="0" applyBorder="0" applyAlignment="0" applyProtection="0"/>
    <xf numFmtId="0" fontId="71" fillId="10" borderId="0" applyNumberFormat="0" applyBorder="0" applyAlignment="0" applyProtection="0"/>
    <xf numFmtId="0" fontId="166" fillId="11" borderId="0" applyNumberFormat="0" applyBorder="0" applyAlignment="0" applyProtection="0"/>
    <xf numFmtId="0" fontId="166" fillId="69" borderId="0" applyNumberFormat="0" applyBorder="0" applyAlignment="0" applyProtection="0"/>
    <xf numFmtId="0" fontId="211" fillId="70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166" fillId="70" borderId="0" applyNumberFormat="0" applyBorder="0" applyAlignment="0" applyProtection="0"/>
    <xf numFmtId="0" fontId="71" fillId="20" borderId="0" applyNumberFormat="0" applyBorder="0" applyAlignment="0" applyProtection="0"/>
    <xf numFmtId="0" fontId="166" fillId="70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166" fillId="3" borderId="0" applyNumberFormat="0" applyBorder="0" applyAlignment="0" applyProtection="0"/>
    <xf numFmtId="0" fontId="166" fillId="70" borderId="0" applyNumberFormat="0" applyBorder="0" applyAlignment="0" applyProtection="0"/>
    <xf numFmtId="0" fontId="211" fillId="50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166" fillId="50" borderId="0" applyNumberFormat="0" applyBorder="0" applyAlignment="0" applyProtection="0"/>
    <xf numFmtId="0" fontId="166" fillId="50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166" fillId="6" borderId="0" applyNumberFormat="0" applyBorder="0" applyAlignment="0" applyProtection="0"/>
    <xf numFmtId="0" fontId="166" fillId="50" borderId="0" applyNumberFormat="0" applyBorder="0" applyAlignment="0" applyProtection="0"/>
    <xf numFmtId="0" fontId="211" fillId="71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166" fillId="71" borderId="0" applyNumberFormat="0" applyBorder="0" applyAlignment="0" applyProtection="0"/>
    <xf numFmtId="0" fontId="71" fillId="7" borderId="0" applyNumberFormat="0" applyBorder="0" applyAlignment="0" applyProtection="0"/>
    <xf numFmtId="0" fontId="166" fillId="71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166" fillId="9" borderId="0" applyNumberFormat="0" applyBorder="0" applyAlignment="0" applyProtection="0"/>
    <xf numFmtId="0" fontId="166" fillId="71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2" fillId="3" borderId="0" applyNumberFormat="0" applyBorder="0" applyAlignment="0" applyProtection="0"/>
    <xf numFmtId="0" fontId="72" fillId="3" borderId="0" applyNumberFormat="0" applyBorder="0" applyAlignment="0" applyProtection="0"/>
    <xf numFmtId="0" fontId="212" fillId="51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167" fillId="51" borderId="0" applyNumberFormat="0" applyBorder="0" applyAlignment="0" applyProtection="0"/>
    <xf numFmtId="0" fontId="167" fillId="51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81" fillId="4" borderId="0" applyNumberFormat="0" applyBorder="0" applyAlignment="0" applyProtection="0"/>
    <xf numFmtId="0" fontId="167" fillId="6" borderId="0" applyNumberFormat="0" applyBorder="0" applyAlignment="0" applyProtection="0"/>
    <xf numFmtId="0" fontId="167" fillId="51" borderId="0" applyNumberFormat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213" fillId="52" borderId="62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213" fillId="52" borderId="62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213" fillId="52" borderId="62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168" fillId="52" borderId="62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75" fillId="81" borderId="1" applyNumberFormat="0" applyAlignment="0" applyProtection="0"/>
    <xf numFmtId="0" fontId="168" fillId="52" borderId="62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199" fillId="81" borderId="62" applyNumberFormat="0" applyAlignment="0" applyProtection="0"/>
    <xf numFmtId="0" fontId="168" fillId="52" borderId="62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214" fillId="53" borderId="63" applyNumberFormat="0" applyAlignment="0" applyProtection="0"/>
    <xf numFmtId="0" fontId="76" fillId="21" borderId="2" applyNumberFormat="0" applyAlignment="0" applyProtection="0"/>
    <xf numFmtId="0" fontId="76" fillId="21" borderId="2" applyNumberFormat="0" applyAlignment="0" applyProtection="0"/>
    <xf numFmtId="0" fontId="76" fillId="21" borderId="2" applyNumberFormat="0" applyAlignment="0" applyProtection="0"/>
    <xf numFmtId="0" fontId="169" fillId="53" borderId="63" applyNumberFormat="0" applyAlignment="0" applyProtection="0"/>
    <xf numFmtId="0" fontId="169" fillId="53" borderId="63" applyNumberFormat="0" applyAlignment="0" applyProtection="0"/>
    <xf numFmtId="0" fontId="76" fillId="21" borderId="2" applyNumberFormat="0" applyAlignment="0" applyProtection="0"/>
    <xf numFmtId="0" fontId="76" fillId="21" borderId="2" applyNumberFormat="0" applyAlignment="0" applyProtection="0"/>
    <xf numFmtId="0" fontId="76" fillId="21" borderId="2" applyNumberFormat="0" applyAlignment="0" applyProtection="0"/>
    <xf numFmtId="0" fontId="169" fillId="53" borderId="63" applyNumberFormat="0" applyAlignment="0" applyProtection="0"/>
    <xf numFmtId="0" fontId="169" fillId="53" borderId="63" applyNumberFormat="0" applyAlignment="0" applyProtection="0"/>
    <xf numFmtId="0" fontId="215" fillId="0" borderId="64" applyNumberFormat="0" applyFill="0" applyAlignment="0" applyProtection="0"/>
    <xf numFmtId="0" fontId="86" fillId="0" borderId="3" applyNumberFormat="0" applyFill="0" applyAlignment="0" applyProtection="0"/>
    <xf numFmtId="0" fontId="86" fillId="0" borderId="3" applyNumberFormat="0" applyFill="0" applyAlignment="0" applyProtection="0"/>
    <xf numFmtId="0" fontId="86" fillId="0" borderId="3" applyNumberFormat="0" applyFill="0" applyAlignment="0" applyProtection="0"/>
    <xf numFmtId="0" fontId="170" fillId="0" borderId="64" applyNumberFormat="0" applyFill="0" applyAlignment="0" applyProtection="0"/>
    <xf numFmtId="0" fontId="170" fillId="0" borderId="64" applyNumberFormat="0" applyFill="0" applyAlignment="0" applyProtection="0"/>
    <xf numFmtId="0" fontId="86" fillId="0" borderId="3" applyNumberFormat="0" applyFill="0" applyAlignment="0" applyProtection="0"/>
    <xf numFmtId="0" fontId="86" fillId="0" borderId="3" applyNumberFormat="0" applyFill="0" applyAlignment="0" applyProtection="0"/>
    <xf numFmtId="0" fontId="86" fillId="0" borderId="3" applyNumberFormat="0" applyFill="0" applyAlignment="0" applyProtection="0"/>
    <xf numFmtId="0" fontId="91" fillId="0" borderId="86" applyNumberFormat="0" applyFill="0" applyAlignment="0" applyProtection="0"/>
    <xf numFmtId="0" fontId="91" fillId="0" borderId="86" applyNumberFormat="0" applyFill="0" applyAlignment="0" applyProtection="0"/>
    <xf numFmtId="0" fontId="170" fillId="0" borderId="64" applyNumberFormat="0" applyFill="0" applyAlignment="0" applyProtection="0"/>
    <xf numFmtId="0" fontId="76" fillId="21" borderId="2" applyNumberFormat="0" applyAlignment="0" applyProtection="0"/>
    <xf numFmtId="0" fontId="76" fillId="21" borderId="2" applyNumberFormat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202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202" fontId="47" fillId="0" borderId="0" applyFont="0" applyFill="0" applyBorder="0" applyAlignment="0" applyProtection="0"/>
    <xf numFmtId="202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8" borderId="0" applyNumberFormat="0" applyBorder="0" applyAlignment="0" applyProtection="0"/>
    <xf numFmtId="0" fontId="27" fillId="64" borderId="0" applyNumberFormat="0" applyBorder="0" applyAlignment="0" applyProtection="0"/>
    <xf numFmtId="0" fontId="27" fillId="8" borderId="0" applyNumberFormat="0" applyBorder="0" applyAlignment="0" applyProtection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9" borderId="0" applyNumberFormat="0" applyBorder="0" applyAlignment="0" applyProtection="0"/>
    <xf numFmtId="0" fontId="27" fillId="65" borderId="0" applyNumberFormat="0" applyBorder="0" applyAlignment="0" applyProtection="0"/>
    <xf numFmtId="0" fontId="27" fillId="9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6" borderId="0" applyNumberFormat="0" applyBorder="0" applyAlignment="0" applyProtection="0"/>
    <xf numFmtId="0" fontId="27" fillId="66" borderId="0" applyNumberFormat="0" applyBorder="0" applyAlignment="0" applyProtection="0"/>
    <xf numFmtId="0" fontId="27" fillId="23" borderId="0" applyNumberFormat="0" applyBorder="0" applyAlignment="0" applyProtection="0"/>
    <xf numFmtId="0" fontId="27" fillId="66" borderId="0" applyNumberFormat="0" applyBorder="0" applyAlignment="0" applyProtection="0"/>
    <xf numFmtId="0" fontId="27" fillId="23" borderId="0" applyNumberFormat="0" applyBorder="0" applyAlignment="0" applyProtection="0"/>
    <xf numFmtId="0" fontId="27" fillId="66" borderId="0" applyNumberFormat="0" applyBorder="0" applyAlignment="0" applyProtection="0"/>
    <xf numFmtId="0" fontId="27" fillId="67" borderId="0" applyNumberFormat="0" applyBorder="0" applyAlignment="0" applyProtection="0"/>
    <xf numFmtId="0" fontId="27" fillId="67" borderId="0" applyNumberFormat="0" applyBorder="0" applyAlignment="0" applyProtection="0"/>
    <xf numFmtId="0" fontId="27" fillId="67" borderId="0" applyNumberFormat="0" applyBorder="0" applyAlignment="0" applyProtection="0"/>
    <xf numFmtId="0" fontId="27" fillId="7" borderId="0" applyNumberFormat="0" applyBorder="0" applyAlignment="0" applyProtection="0"/>
    <xf numFmtId="0" fontId="27" fillId="67" borderId="0" applyNumberFormat="0" applyBorder="0" applyAlignment="0" applyProtection="0"/>
    <xf numFmtId="0" fontId="27" fillId="7" borderId="0" applyNumberFormat="0" applyBorder="0" applyAlignment="0" applyProtection="0"/>
    <xf numFmtId="0" fontId="27" fillId="67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23" borderId="0" applyNumberFormat="0" applyBorder="0" applyAlignment="0" applyProtection="0"/>
    <xf numFmtId="0" fontId="27" fillId="42" borderId="0" applyNumberFormat="0" applyBorder="0" applyAlignment="0" applyProtection="0"/>
    <xf numFmtId="0" fontId="27" fillId="23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6" borderId="0" applyNumberFormat="0" applyBorder="0" applyAlignment="0" applyProtection="0"/>
    <xf numFmtId="0" fontId="27" fillId="43" borderId="0" applyNumberFormat="0" applyBorder="0" applyAlignment="0" applyProtection="0"/>
    <xf numFmtId="0" fontId="27" fillId="6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68" borderId="0" applyNumberFormat="0" applyBorder="0" applyAlignment="0" applyProtection="0"/>
    <xf numFmtId="0" fontId="27" fillId="68" borderId="0" applyNumberFormat="0" applyBorder="0" applyAlignment="0" applyProtection="0"/>
    <xf numFmtId="0" fontId="27" fillId="68" borderId="0" applyNumberFormat="0" applyBorder="0" applyAlignment="0" applyProtection="0"/>
    <xf numFmtId="0" fontId="27" fillId="22" borderId="0" applyNumberFormat="0" applyBorder="0" applyAlignment="0" applyProtection="0"/>
    <xf numFmtId="0" fontId="27" fillId="68" borderId="0" applyNumberFormat="0" applyBorder="0" applyAlignment="0" applyProtection="0"/>
    <xf numFmtId="0" fontId="27" fillId="22" borderId="0" applyNumberFormat="0" applyBorder="0" applyAlignment="0" applyProtection="0"/>
    <xf numFmtId="0" fontId="27" fillId="68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3" borderId="0" applyNumberFormat="0" applyBorder="0" applyAlignment="0" applyProtection="0"/>
    <xf numFmtId="0" fontId="27" fillId="45" borderId="0" applyNumberFormat="0" applyBorder="0" applyAlignment="0" applyProtection="0"/>
    <xf numFmtId="0" fontId="27" fillId="3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6" borderId="0" applyNumberFormat="0" applyBorder="0" applyAlignment="0" applyProtection="0"/>
    <xf numFmtId="0" fontId="27" fillId="46" borderId="0" applyNumberFormat="0" applyBorder="0" applyAlignment="0" applyProtection="0"/>
    <xf numFmtId="0" fontId="27" fillId="6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23" borderId="0" applyNumberFormat="0" applyBorder="0" applyAlignment="0" applyProtection="0"/>
    <xf numFmtId="0" fontId="27" fillId="47" borderId="0" applyNumberFormat="0" applyBorder="0" applyAlignment="0" applyProtection="0"/>
    <xf numFmtId="0" fontId="27" fillId="23" borderId="0" applyNumberFormat="0" applyBorder="0" applyAlignment="0" applyProtection="0"/>
    <xf numFmtId="0" fontId="27" fillId="47" borderId="0" applyNumberFormat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10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10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10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10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10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10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10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10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68" borderId="0" applyNumberFormat="0" applyBorder="0" applyAlignment="0" applyProtection="0"/>
    <xf numFmtId="0" fontId="26" fillId="68" borderId="0" applyNumberFormat="0" applyBorder="0" applyAlignment="0" applyProtection="0"/>
    <xf numFmtId="0" fontId="210" fillId="68" borderId="0" applyNumberFormat="0" applyBorder="0" applyAlignment="0" applyProtection="0"/>
    <xf numFmtId="0" fontId="26" fillId="68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10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10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10" fillId="47" borderId="0" applyNumberFormat="0" applyBorder="0" applyAlignment="0" applyProtection="0"/>
    <xf numFmtId="0" fontId="26" fillId="47" borderId="0" applyNumberFormat="0" applyBorder="0" applyAlignment="0" applyProtection="0"/>
    <xf numFmtId="0" fontId="211" fillId="48" borderId="0" applyNumberFormat="0" applyBorder="0" applyAlignment="0" applyProtection="0"/>
    <xf numFmtId="0" fontId="211" fillId="49" borderId="0" applyNumberFormat="0" applyBorder="0" applyAlignment="0" applyProtection="0"/>
    <xf numFmtId="0" fontId="211" fillId="69" borderId="0" applyNumberFormat="0" applyBorder="0" applyAlignment="0" applyProtection="0"/>
    <xf numFmtId="0" fontId="211" fillId="70" borderId="0" applyNumberFormat="0" applyBorder="0" applyAlignment="0" applyProtection="0"/>
    <xf numFmtId="0" fontId="211" fillId="50" borderId="0" applyNumberFormat="0" applyBorder="0" applyAlignment="0" applyProtection="0"/>
    <xf numFmtId="0" fontId="211" fillId="71" borderId="0" applyNumberFormat="0" applyBorder="0" applyAlignment="0" applyProtection="0"/>
    <xf numFmtId="0" fontId="212" fillId="51" borderId="0" applyNumberFormat="0" applyBorder="0" applyAlignment="0" applyProtection="0"/>
    <xf numFmtId="0" fontId="213" fillId="52" borderId="62" applyNumberFormat="0" applyAlignment="0" applyProtection="0"/>
    <xf numFmtId="0" fontId="214" fillId="53" borderId="63" applyNumberFormat="0" applyAlignment="0" applyProtection="0"/>
    <xf numFmtId="0" fontId="215" fillId="0" borderId="64" applyNumberFormat="0" applyFill="0" applyAlignment="0" applyProtection="0"/>
    <xf numFmtId="167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233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0" fontId="198" fillId="0" borderId="0" applyNumberFormat="0" applyFill="0" applyBorder="0" applyAlignment="0" applyProtection="0"/>
    <xf numFmtId="0" fontId="211" fillId="54" borderId="0" applyNumberFormat="0" applyBorder="0" applyAlignment="0" applyProtection="0"/>
    <xf numFmtId="0" fontId="211" fillId="55" borderId="0" applyNumberFormat="0" applyBorder="0" applyAlignment="0" applyProtection="0"/>
    <xf numFmtId="0" fontId="211" fillId="56" borderId="0" applyNumberFormat="0" applyBorder="0" applyAlignment="0" applyProtection="0"/>
    <xf numFmtId="0" fontId="211" fillId="57" borderId="0" applyNumberFormat="0" applyBorder="0" applyAlignment="0" applyProtection="0"/>
    <xf numFmtId="0" fontId="211" fillId="58" borderId="0" applyNumberFormat="0" applyBorder="0" applyAlignment="0" applyProtection="0"/>
    <xf numFmtId="0" fontId="211" fillId="59" borderId="0" applyNumberFormat="0" applyBorder="0" applyAlignment="0" applyProtection="0"/>
    <xf numFmtId="0" fontId="216" fillId="60" borderId="62" applyNumberFormat="0" applyAlignment="0" applyProtection="0"/>
    <xf numFmtId="0" fontId="186" fillId="0" borderId="4" applyNumberFormat="0" applyFill="0" applyAlignment="0" applyProtection="0"/>
    <xf numFmtId="0" fontId="82" fillId="0" borderId="0" applyNumberFormat="0" applyFill="0" applyBorder="0" applyAlignment="0" applyProtection="0"/>
    <xf numFmtId="0" fontId="187" fillId="0" borderId="5" applyNumberFormat="0" applyFill="0" applyAlignment="0" applyProtection="0"/>
    <xf numFmtId="0" fontId="83" fillId="0" borderId="0" applyNumberFormat="0" applyFill="0" applyBorder="0" applyAlignment="0" applyProtection="0"/>
    <xf numFmtId="0" fontId="217" fillId="61" borderId="0" applyNumberFormat="0" applyBorder="0" applyAlignment="0" applyProtection="0"/>
    <xf numFmtId="167" fontId="70" fillId="0" borderId="0" applyFont="0" applyFill="0" applyBorder="0" applyAlignment="0" applyProtection="0"/>
    <xf numFmtId="168" fontId="70" fillId="0" borderId="0" applyFont="0" applyFill="0" applyBorder="0" applyAlignment="0" applyProtection="0"/>
    <xf numFmtId="168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5" fontId="115" fillId="0" borderId="0" applyFont="0" applyFill="0" applyBorder="0" applyAlignment="0" applyProtection="0"/>
    <xf numFmtId="165" fontId="115" fillId="0" borderId="0" applyFont="0" applyFill="0" applyBorder="0" applyAlignment="0" applyProtection="0"/>
    <xf numFmtId="165" fontId="115" fillId="0" borderId="0" applyFont="0" applyFill="0" applyBorder="0" applyAlignment="0" applyProtection="0"/>
    <xf numFmtId="165" fontId="115" fillId="0" borderId="0" applyFont="0" applyFill="0" applyBorder="0" applyAlignment="0" applyProtection="0"/>
    <xf numFmtId="165" fontId="115" fillId="0" borderId="0" applyFont="0" applyFill="0" applyBorder="0" applyAlignment="0" applyProtection="0"/>
    <xf numFmtId="165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5" fontId="208" fillId="0" borderId="0" applyFont="0" applyFill="0" applyBorder="0" applyAlignment="0" applyProtection="0"/>
    <xf numFmtId="165" fontId="208" fillId="0" borderId="0" applyFont="0" applyFill="0" applyBorder="0" applyAlignment="0" applyProtection="0"/>
    <xf numFmtId="165" fontId="208" fillId="0" borderId="0" applyFont="0" applyFill="0" applyBorder="0" applyAlignment="0" applyProtection="0"/>
    <xf numFmtId="165" fontId="208" fillId="0" borderId="0" applyFont="0" applyFill="0" applyBorder="0" applyAlignment="0" applyProtection="0"/>
    <xf numFmtId="165" fontId="208" fillId="0" borderId="0" applyFont="0" applyFill="0" applyBorder="0" applyAlignment="0" applyProtection="0"/>
    <xf numFmtId="165" fontId="208" fillId="0" borderId="0" applyFont="0" applyFill="0" applyBorder="0" applyAlignment="0" applyProtection="0"/>
    <xf numFmtId="165" fontId="208" fillId="0" borderId="0" applyFont="0" applyFill="0" applyBorder="0" applyAlignment="0" applyProtection="0"/>
    <xf numFmtId="165" fontId="115" fillId="0" borderId="0" applyFont="0" applyFill="0" applyBorder="0" applyAlignment="0" applyProtection="0"/>
    <xf numFmtId="165" fontId="115" fillId="0" borderId="0" applyFont="0" applyFill="0" applyBorder="0" applyAlignment="0" applyProtection="0"/>
    <xf numFmtId="165" fontId="115" fillId="0" borderId="0" applyFont="0" applyFill="0" applyBorder="0" applyAlignment="0" applyProtection="0"/>
    <xf numFmtId="165" fontId="115" fillId="0" borderId="0" applyFont="0" applyFill="0" applyBorder="0" applyAlignment="0" applyProtection="0"/>
    <xf numFmtId="165" fontId="115" fillId="0" borderId="0" applyFont="0" applyFill="0" applyBorder="0" applyAlignment="0" applyProtection="0"/>
    <xf numFmtId="165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4" fontId="70" fillId="0" borderId="0" applyFont="0" applyFill="0" applyBorder="0" applyAlignment="0" applyProtection="0"/>
    <xf numFmtId="0" fontId="218" fillId="62" borderId="0" applyNumberFormat="0" applyBorder="0" applyAlignment="0" applyProtection="0"/>
    <xf numFmtId="0" fontId="26" fillId="0" borderId="0"/>
    <xf numFmtId="0" fontId="47" fillId="0" borderId="0"/>
    <xf numFmtId="0" fontId="26" fillId="0" borderId="0"/>
    <xf numFmtId="0" fontId="26" fillId="0" borderId="0"/>
    <xf numFmtId="0" fontId="47" fillId="0" borderId="0"/>
    <xf numFmtId="0" fontId="47" fillId="0" borderId="0"/>
    <xf numFmtId="0" fontId="26" fillId="0" borderId="0"/>
    <xf numFmtId="0" fontId="47" fillId="0" borderId="0"/>
    <xf numFmtId="0" fontId="26" fillId="0" borderId="0"/>
    <xf numFmtId="0" fontId="47" fillId="0" borderId="0"/>
    <xf numFmtId="0" fontId="26" fillId="0" borderId="0"/>
    <xf numFmtId="0" fontId="47" fillId="0" borderId="0"/>
    <xf numFmtId="0" fontId="210" fillId="0" borderId="0"/>
    <xf numFmtId="0" fontId="47" fillId="0" borderId="0"/>
    <xf numFmtId="0" fontId="26" fillId="0" borderId="0"/>
    <xf numFmtId="0" fontId="26" fillId="0" borderId="0"/>
    <xf numFmtId="0" fontId="70" fillId="63" borderId="65" applyNumberFormat="0" applyFont="0" applyAlignment="0" applyProtection="0"/>
    <xf numFmtId="0" fontId="70" fillId="63" borderId="65" applyNumberFormat="0" applyFont="0" applyAlignment="0" applyProtection="0"/>
    <xf numFmtId="0" fontId="70" fillId="63" borderId="65" applyNumberFormat="0" applyFont="0" applyAlignment="0" applyProtection="0"/>
    <xf numFmtId="0" fontId="70" fillId="63" borderId="65" applyNumberFormat="0" applyFont="0" applyAlignment="0" applyProtection="0"/>
    <xf numFmtId="0" fontId="208" fillId="63" borderId="65" applyNumberFormat="0" applyFont="0" applyAlignment="0" applyProtection="0"/>
    <xf numFmtId="0" fontId="208" fillId="63" borderId="65" applyNumberFormat="0" applyFont="0" applyAlignment="0" applyProtection="0"/>
    <xf numFmtId="0" fontId="208" fillId="63" borderId="65" applyNumberFormat="0" applyFont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10" fontId="7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0" fillId="0" borderId="0" applyFont="0" applyFill="0" applyBorder="0" applyAlignment="0" applyProtection="0"/>
    <xf numFmtId="0" fontId="220" fillId="52" borderId="66" applyNumberFormat="0" applyAlignment="0" applyProtection="0"/>
    <xf numFmtId="0" fontId="221" fillId="0" borderId="0" applyNumberFormat="0" applyFill="0" applyBorder="0" applyAlignment="0" applyProtection="0"/>
    <xf numFmtId="0" fontId="222" fillId="0" borderId="0" applyNumberFormat="0" applyFill="0" applyBorder="0" applyAlignment="0" applyProtection="0"/>
    <xf numFmtId="0" fontId="236" fillId="0" borderId="0" applyNumberFormat="0" applyFill="0" applyBorder="0" applyAlignment="0" applyProtection="0"/>
    <xf numFmtId="0" fontId="223" fillId="0" borderId="67" applyNumberFormat="0" applyFill="0" applyAlignment="0" applyProtection="0"/>
    <xf numFmtId="0" fontId="236" fillId="0" borderId="0" applyNumberFormat="0" applyFill="0" applyBorder="0" applyAlignment="0" applyProtection="0"/>
    <xf numFmtId="0" fontId="236" fillId="0" borderId="0" applyNumberFormat="0" applyFill="0" applyBorder="0" applyAlignment="0" applyProtection="0"/>
    <xf numFmtId="0" fontId="236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236" fillId="0" borderId="0" applyNumberFormat="0" applyFill="0" applyBorder="0" applyAlignment="0" applyProtection="0"/>
    <xf numFmtId="0" fontId="236" fillId="0" borderId="0" applyNumberFormat="0" applyFill="0" applyBorder="0" applyAlignment="0" applyProtection="0"/>
    <xf numFmtId="0" fontId="224" fillId="0" borderId="68" applyNumberFormat="0" applyFill="0" applyAlignment="0" applyProtection="0"/>
    <xf numFmtId="0" fontId="198" fillId="0" borderId="69" applyNumberFormat="0" applyFill="0" applyAlignment="0" applyProtection="0"/>
    <xf numFmtId="0" fontId="225" fillId="0" borderId="70" applyNumberFormat="0" applyFill="0" applyAlignment="0" applyProtection="0"/>
    <xf numFmtId="0" fontId="25" fillId="0" borderId="0"/>
    <xf numFmtId="0" fontId="25" fillId="63" borderId="65" applyNumberFormat="0" applyFont="0" applyAlignment="0" applyProtection="0"/>
    <xf numFmtId="0" fontId="25" fillId="64" borderId="0" applyNumberFormat="0" applyBorder="0" applyAlignment="0" applyProtection="0"/>
    <xf numFmtId="0" fontId="25" fillId="43" borderId="0" applyNumberFormat="0" applyBorder="0" applyAlignment="0" applyProtection="0"/>
    <xf numFmtId="0" fontId="25" fillId="65" borderId="0" applyNumberFormat="0" applyBorder="0" applyAlignment="0" applyProtection="0"/>
    <xf numFmtId="0" fontId="25" fillId="44" borderId="0" applyNumberFormat="0" applyBorder="0" applyAlignment="0" applyProtection="0"/>
    <xf numFmtId="0" fontId="25" fillId="66" borderId="0" applyNumberFormat="0" applyBorder="0" applyAlignment="0" applyProtection="0"/>
    <xf numFmtId="0" fontId="25" fillId="68" borderId="0" applyNumberFormat="0" applyBorder="0" applyAlignment="0" applyProtection="0"/>
    <xf numFmtId="0" fontId="25" fillId="67" borderId="0" applyNumberFormat="0" applyBorder="0" applyAlignment="0" applyProtection="0"/>
    <xf numFmtId="0" fontId="25" fillId="45" borderId="0" applyNumberFormat="0" applyBorder="0" applyAlignment="0" applyProtection="0"/>
    <xf numFmtId="0" fontId="25" fillId="41" borderId="0" applyNumberFormat="0" applyBorder="0" applyAlignment="0" applyProtection="0"/>
    <xf numFmtId="0" fontId="25" fillId="46" borderId="0" applyNumberFormat="0" applyBorder="0" applyAlignment="0" applyProtection="0"/>
    <xf numFmtId="0" fontId="25" fillId="42" borderId="0" applyNumberFormat="0" applyBorder="0" applyAlignment="0" applyProtection="0"/>
    <xf numFmtId="0" fontId="25" fillId="47" borderId="0" applyNumberFormat="0" applyBorder="0" applyAlignment="0" applyProtection="0"/>
    <xf numFmtId="0" fontId="112" fillId="2" borderId="0" applyNumberFormat="0" applyBorder="0" applyAlignment="0" applyProtection="0"/>
    <xf numFmtId="0" fontId="112" fillId="2" borderId="0" applyNumberFormat="0" applyBorder="0" applyAlignment="0" applyProtection="0"/>
    <xf numFmtId="0" fontId="112" fillId="3" borderId="0" applyNumberFormat="0" applyBorder="0" applyAlignment="0" applyProtection="0"/>
    <xf numFmtId="0" fontId="112" fillId="3" borderId="0" applyNumberFormat="0" applyBorder="0" applyAlignment="0" applyProtection="0"/>
    <xf numFmtId="0" fontId="112" fillId="4" borderId="0" applyNumberFormat="0" applyBorder="0" applyAlignment="0" applyProtection="0"/>
    <xf numFmtId="0" fontId="112" fillId="4" borderId="0" applyNumberFormat="0" applyBorder="0" applyAlignment="0" applyProtection="0"/>
    <xf numFmtId="0" fontId="112" fillId="5" borderId="0" applyNumberFormat="0" applyBorder="0" applyAlignment="0" applyProtection="0"/>
    <xf numFmtId="0" fontId="112" fillId="5" borderId="0" applyNumberFormat="0" applyBorder="0" applyAlignment="0" applyProtection="0"/>
    <xf numFmtId="0" fontId="112" fillId="6" borderId="0" applyNumberFormat="0" applyBorder="0" applyAlignment="0" applyProtection="0"/>
    <xf numFmtId="0" fontId="112" fillId="6" borderId="0" applyNumberFormat="0" applyBorder="0" applyAlignment="0" applyProtection="0"/>
    <xf numFmtId="0" fontId="112" fillId="7" borderId="0" applyNumberFormat="0" applyBorder="0" applyAlignment="0" applyProtection="0"/>
    <xf numFmtId="0" fontId="112" fillId="7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81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81" borderId="0" applyNumberFormat="0" applyBorder="0" applyAlignment="0" applyProtection="0"/>
    <xf numFmtId="0" fontId="70" fillId="81" borderId="0" applyNumberFormat="0" applyBorder="0" applyAlignment="0" applyProtection="0"/>
    <xf numFmtId="0" fontId="25" fillId="8" borderId="0" applyNumberFormat="0" applyBorder="0" applyAlignment="0" applyProtection="0"/>
    <xf numFmtId="0" fontId="70" fillId="2" borderId="0" applyNumberFormat="0" applyBorder="0" applyAlignment="0" applyProtection="0"/>
    <xf numFmtId="0" fontId="25" fillId="64" borderId="0" applyNumberFormat="0" applyBorder="0" applyAlignment="0" applyProtection="0"/>
    <xf numFmtId="0" fontId="25" fillId="8" borderId="0" applyNumberFormat="0" applyBorder="0" applyAlignment="0" applyProtection="0"/>
    <xf numFmtId="0" fontId="70" fillId="2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7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25" fillId="9" borderId="0" applyNumberFormat="0" applyBorder="0" applyAlignment="0" applyProtection="0"/>
    <xf numFmtId="0" fontId="70" fillId="3" borderId="0" applyNumberFormat="0" applyBorder="0" applyAlignment="0" applyProtection="0"/>
    <xf numFmtId="0" fontId="25" fillId="65" borderId="0" applyNumberFormat="0" applyBorder="0" applyAlignment="0" applyProtection="0"/>
    <xf numFmtId="0" fontId="25" fillId="9" borderId="0" applyNumberFormat="0" applyBorder="0" applyAlignment="0" applyProtection="0"/>
    <xf numFmtId="0" fontId="70" fillId="3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23" borderId="0" applyNumberFormat="0" applyBorder="0" applyAlignment="0" applyProtection="0"/>
    <xf numFmtId="0" fontId="70" fillId="4" borderId="0" applyNumberFormat="0" applyBorder="0" applyAlignment="0" applyProtection="0"/>
    <xf numFmtId="0" fontId="70" fillId="4" borderId="0" applyNumberFormat="0" applyBorder="0" applyAlignment="0" applyProtection="0"/>
    <xf numFmtId="0" fontId="70" fillId="23" borderId="0" applyNumberFormat="0" applyBorder="0" applyAlignment="0" applyProtection="0"/>
    <xf numFmtId="0" fontId="70" fillId="23" borderId="0" applyNumberFormat="0" applyBorder="0" applyAlignment="0" applyProtection="0"/>
    <xf numFmtId="0" fontId="25" fillId="23" borderId="0" applyNumberFormat="0" applyBorder="0" applyAlignment="0" applyProtection="0"/>
    <xf numFmtId="0" fontId="70" fillId="4" borderId="0" applyNumberFormat="0" applyBorder="0" applyAlignment="0" applyProtection="0"/>
    <xf numFmtId="0" fontId="25" fillId="66" borderId="0" applyNumberFormat="0" applyBorder="0" applyAlignment="0" applyProtection="0"/>
    <xf numFmtId="0" fontId="25" fillId="23" borderId="0" applyNumberFormat="0" applyBorder="0" applyAlignment="0" applyProtection="0"/>
    <xf numFmtId="0" fontId="70" fillId="4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81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81" borderId="0" applyNumberFormat="0" applyBorder="0" applyAlignment="0" applyProtection="0"/>
    <xf numFmtId="0" fontId="70" fillId="81" borderId="0" applyNumberFormat="0" applyBorder="0" applyAlignment="0" applyProtection="0"/>
    <xf numFmtId="0" fontId="25" fillId="7" borderId="0" applyNumberFormat="0" applyBorder="0" applyAlignment="0" applyProtection="0"/>
    <xf numFmtId="0" fontId="70" fillId="5" borderId="0" applyNumberFormat="0" applyBorder="0" applyAlignment="0" applyProtection="0"/>
    <xf numFmtId="0" fontId="25" fillId="67" borderId="0" applyNumberFormat="0" applyBorder="0" applyAlignment="0" applyProtection="0"/>
    <xf numFmtId="0" fontId="25" fillId="7" borderId="0" applyNumberFormat="0" applyBorder="0" applyAlignment="0" applyProtection="0"/>
    <xf numFmtId="0" fontId="70" fillId="5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25" fillId="41" borderId="0" applyNumberFormat="0" applyBorder="0" applyAlignment="0" applyProtection="0"/>
    <xf numFmtId="0" fontId="70" fillId="6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25" fillId="23" borderId="0" applyNumberFormat="0" applyBorder="0" applyAlignment="0" applyProtection="0"/>
    <xf numFmtId="0" fontId="70" fillId="7" borderId="0" applyNumberFormat="0" applyBorder="0" applyAlignment="0" applyProtection="0"/>
    <xf numFmtId="0" fontId="25" fillId="42" borderId="0" applyNumberFormat="0" applyBorder="0" applyAlignment="0" applyProtection="0"/>
    <xf numFmtId="0" fontId="25" fillId="23" borderId="0" applyNumberFormat="0" applyBorder="0" applyAlignment="0" applyProtection="0"/>
    <xf numFmtId="0" fontId="70" fillId="7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148" fillId="2" borderId="0" applyNumberFormat="0" applyBorder="0" applyAlignment="0" applyProtection="0">
      <alignment vertical="center"/>
    </xf>
    <xf numFmtId="0" fontId="148" fillId="3" borderId="0" applyNumberFormat="0" applyBorder="0" applyAlignment="0" applyProtection="0">
      <alignment vertical="center"/>
    </xf>
    <xf numFmtId="0" fontId="148" fillId="4" borderId="0" applyNumberFormat="0" applyBorder="0" applyAlignment="0" applyProtection="0">
      <alignment vertical="center"/>
    </xf>
    <xf numFmtId="0" fontId="148" fillId="5" borderId="0" applyNumberFormat="0" applyBorder="0" applyAlignment="0" applyProtection="0">
      <alignment vertical="center"/>
    </xf>
    <xf numFmtId="0" fontId="148" fillId="6" borderId="0" applyNumberFormat="0" applyBorder="0" applyAlignment="0" applyProtection="0">
      <alignment vertical="center"/>
    </xf>
    <xf numFmtId="0" fontId="148" fillId="7" borderId="0" applyNumberFormat="0" applyBorder="0" applyAlignment="0" applyProtection="0">
      <alignment vertical="center"/>
    </xf>
    <xf numFmtId="0" fontId="112" fillId="8" borderId="0" applyNumberFormat="0" applyBorder="0" applyAlignment="0" applyProtection="0"/>
    <xf numFmtId="0" fontId="112" fillId="8" borderId="0" applyNumberFormat="0" applyBorder="0" applyAlignment="0" applyProtection="0"/>
    <xf numFmtId="0" fontId="112" fillId="9" borderId="0" applyNumberFormat="0" applyBorder="0" applyAlignment="0" applyProtection="0"/>
    <xf numFmtId="0" fontId="112" fillId="9" borderId="0" applyNumberFormat="0" applyBorder="0" applyAlignment="0" applyProtection="0"/>
    <xf numFmtId="0" fontId="112" fillId="10" borderId="0" applyNumberFormat="0" applyBorder="0" applyAlignment="0" applyProtection="0"/>
    <xf numFmtId="0" fontId="112" fillId="10" borderId="0" applyNumberFormat="0" applyBorder="0" applyAlignment="0" applyProtection="0"/>
    <xf numFmtId="0" fontId="112" fillId="5" borderId="0" applyNumberFormat="0" applyBorder="0" applyAlignment="0" applyProtection="0"/>
    <xf numFmtId="0" fontId="112" fillId="5" borderId="0" applyNumberFormat="0" applyBorder="0" applyAlignment="0" applyProtection="0"/>
    <xf numFmtId="0" fontId="112" fillId="8" borderId="0" applyNumberFormat="0" applyBorder="0" applyAlignment="0" applyProtection="0"/>
    <xf numFmtId="0" fontId="112" fillId="8" borderId="0" applyNumberFormat="0" applyBorder="0" applyAlignment="0" applyProtection="0"/>
    <xf numFmtId="0" fontId="112" fillId="11" borderId="0" applyNumberFormat="0" applyBorder="0" applyAlignment="0" applyProtection="0"/>
    <xf numFmtId="0" fontId="112" fillId="11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20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20" borderId="0" applyNumberFormat="0" applyBorder="0" applyAlignment="0" applyProtection="0"/>
    <xf numFmtId="0" fontId="70" fillId="20" borderId="0" applyNumberFormat="0" applyBorder="0" applyAlignment="0" applyProtection="0"/>
    <xf numFmtId="0" fontId="25" fillId="6" borderId="0" applyNumberFormat="0" applyBorder="0" applyAlignment="0" applyProtection="0"/>
    <xf numFmtId="0" fontId="70" fillId="8" borderId="0" applyNumberFormat="0" applyBorder="0" applyAlignment="0" applyProtection="0"/>
    <xf numFmtId="0" fontId="25" fillId="43" borderId="0" applyNumberFormat="0" applyBorder="0" applyAlignment="0" applyProtection="0"/>
    <xf numFmtId="0" fontId="25" fillId="6" borderId="0" applyNumberFormat="0" applyBorder="0" applyAlignment="0" applyProtection="0"/>
    <xf numFmtId="0" fontId="70" fillId="8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25" fillId="44" borderId="0" applyNumberFormat="0" applyBorder="0" applyAlignment="0" applyProtection="0"/>
    <xf numFmtId="0" fontId="70" fillId="9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23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23" borderId="0" applyNumberFormat="0" applyBorder="0" applyAlignment="0" applyProtection="0"/>
    <xf numFmtId="0" fontId="70" fillId="23" borderId="0" applyNumberFormat="0" applyBorder="0" applyAlignment="0" applyProtection="0"/>
    <xf numFmtId="0" fontId="25" fillId="22" borderId="0" applyNumberFormat="0" applyBorder="0" applyAlignment="0" applyProtection="0"/>
    <xf numFmtId="0" fontId="70" fillId="10" borderId="0" applyNumberFormat="0" applyBorder="0" applyAlignment="0" applyProtection="0"/>
    <xf numFmtId="0" fontId="25" fillId="68" borderId="0" applyNumberFormat="0" applyBorder="0" applyAlignment="0" applyProtection="0"/>
    <xf numFmtId="0" fontId="25" fillId="22" borderId="0" applyNumberFormat="0" applyBorder="0" applyAlignment="0" applyProtection="0"/>
    <xf numFmtId="0" fontId="70" fillId="10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20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20" borderId="0" applyNumberFormat="0" applyBorder="0" applyAlignment="0" applyProtection="0"/>
    <xf numFmtId="0" fontId="70" fillId="20" borderId="0" applyNumberFormat="0" applyBorder="0" applyAlignment="0" applyProtection="0"/>
    <xf numFmtId="0" fontId="25" fillId="3" borderId="0" applyNumberFormat="0" applyBorder="0" applyAlignment="0" applyProtection="0"/>
    <xf numFmtId="0" fontId="70" fillId="5" borderId="0" applyNumberFormat="0" applyBorder="0" applyAlignment="0" applyProtection="0"/>
    <xf numFmtId="0" fontId="25" fillId="45" borderId="0" applyNumberFormat="0" applyBorder="0" applyAlignment="0" applyProtection="0"/>
    <xf numFmtId="0" fontId="25" fillId="3" borderId="0" applyNumberFormat="0" applyBorder="0" applyAlignment="0" applyProtection="0"/>
    <xf numFmtId="0" fontId="70" fillId="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25" fillId="6" borderId="0" applyNumberFormat="0" applyBorder="0" applyAlignment="0" applyProtection="0"/>
    <xf numFmtId="0" fontId="70" fillId="8" borderId="0" applyNumberFormat="0" applyBorder="0" applyAlignment="0" applyProtection="0"/>
    <xf numFmtId="0" fontId="25" fillId="46" borderId="0" applyNumberFormat="0" applyBorder="0" applyAlignment="0" applyProtection="0"/>
    <xf numFmtId="0" fontId="25" fillId="6" borderId="0" applyNumberFormat="0" applyBorder="0" applyAlignment="0" applyProtection="0"/>
    <xf numFmtId="0" fontId="70" fillId="8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7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25" fillId="23" borderId="0" applyNumberFormat="0" applyBorder="0" applyAlignment="0" applyProtection="0"/>
    <xf numFmtId="0" fontId="70" fillId="11" borderId="0" applyNumberFormat="0" applyBorder="0" applyAlignment="0" applyProtection="0"/>
    <xf numFmtId="0" fontId="25" fillId="47" borderId="0" applyNumberFormat="0" applyBorder="0" applyAlignment="0" applyProtection="0"/>
    <xf numFmtId="0" fontId="25" fillId="23" borderId="0" applyNumberFormat="0" applyBorder="0" applyAlignment="0" applyProtection="0"/>
    <xf numFmtId="0" fontId="70" fillId="11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148" fillId="8" borderId="0" applyNumberFormat="0" applyBorder="0" applyAlignment="0" applyProtection="0">
      <alignment vertical="center"/>
    </xf>
    <xf numFmtId="0" fontId="148" fillId="9" borderId="0" applyNumberFormat="0" applyBorder="0" applyAlignment="0" applyProtection="0">
      <alignment vertical="center"/>
    </xf>
    <xf numFmtId="0" fontId="148" fillId="10" borderId="0" applyNumberFormat="0" applyBorder="0" applyAlignment="0" applyProtection="0">
      <alignment vertical="center"/>
    </xf>
    <xf numFmtId="0" fontId="148" fillId="5" borderId="0" applyNumberFormat="0" applyBorder="0" applyAlignment="0" applyProtection="0">
      <alignment vertical="center"/>
    </xf>
    <xf numFmtId="0" fontId="148" fillId="8" borderId="0" applyNumberFormat="0" applyBorder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/>
    <xf numFmtId="0" fontId="96" fillId="12" borderId="0" applyNumberFormat="0" applyBorder="0" applyAlignment="0" applyProtection="0"/>
    <xf numFmtId="0" fontId="96" fillId="9" borderId="0" applyNumberFormat="0" applyBorder="0" applyAlignment="0" applyProtection="0"/>
    <xf numFmtId="0" fontId="96" fillId="9" borderId="0" applyNumberFormat="0" applyBorder="0" applyAlignment="0" applyProtection="0"/>
    <xf numFmtId="0" fontId="96" fillId="10" borderId="0" applyNumberFormat="0" applyBorder="0" applyAlignment="0" applyProtection="0"/>
    <xf numFmtId="0" fontId="96" fillId="10" borderId="0" applyNumberFormat="0" applyBorder="0" applyAlignment="0" applyProtection="0"/>
    <xf numFmtId="0" fontId="96" fillId="13" borderId="0" applyNumberFormat="0" applyBorder="0" applyAlignment="0" applyProtection="0"/>
    <xf numFmtId="0" fontId="96" fillId="13" borderId="0" applyNumberFormat="0" applyBorder="0" applyAlignment="0" applyProtection="0"/>
    <xf numFmtId="0" fontId="96" fillId="14" borderId="0" applyNumberFormat="0" applyBorder="0" applyAlignment="0" applyProtection="0"/>
    <xf numFmtId="0" fontId="96" fillId="14" borderId="0" applyNumberFormat="0" applyBorder="0" applyAlignment="0" applyProtection="0"/>
    <xf numFmtId="0" fontId="96" fillId="15" borderId="0" applyNumberFormat="0" applyBorder="0" applyAlignment="0" applyProtection="0"/>
    <xf numFmtId="0" fontId="96" fillId="15" borderId="0" applyNumberFormat="0" applyBorder="0" applyAlignment="0" applyProtection="0"/>
    <xf numFmtId="0" fontId="166" fillId="48" borderId="0" applyNumberFormat="0" applyBorder="0" applyAlignment="0" applyProtection="0"/>
    <xf numFmtId="0" fontId="71" fillId="12" borderId="0" applyNumberFormat="0" applyBorder="0" applyAlignment="0" applyProtection="0"/>
    <xf numFmtId="0" fontId="166" fillId="48" borderId="0" applyNumberFormat="0" applyBorder="0" applyAlignment="0" applyProtection="0"/>
    <xf numFmtId="0" fontId="166" fillId="49" borderId="0" applyNumberFormat="0" applyBorder="0" applyAlignment="0" applyProtection="0"/>
    <xf numFmtId="0" fontId="71" fillId="9" borderId="0" applyNumberFormat="0" applyBorder="0" applyAlignment="0" applyProtection="0"/>
    <xf numFmtId="0" fontId="166" fillId="49" borderId="0" applyNumberFormat="0" applyBorder="0" applyAlignment="0" applyProtection="0"/>
    <xf numFmtId="0" fontId="166" fillId="69" borderId="0" applyNumberFormat="0" applyBorder="0" applyAlignment="0" applyProtection="0"/>
    <xf numFmtId="0" fontId="71" fillId="10" borderId="0" applyNumberFormat="0" applyBorder="0" applyAlignment="0" applyProtection="0"/>
    <xf numFmtId="0" fontId="166" fillId="69" borderId="0" applyNumberFormat="0" applyBorder="0" applyAlignment="0" applyProtection="0"/>
    <xf numFmtId="0" fontId="166" fillId="70" borderId="0" applyNumberFormat="0" applyBorder="0" applyAlignment="0" applyProtection="0"/>
    <xf numFmtId="0" fontId="71" fillId="13" borderId="0" applyNumberFormat="0" applyBorder="0" applyAlignment="0" applyProtection="0"/>
    <xf numFmtId="0" fontId="166" fillId="70" borderId="0" applyNumberFormat="0" applyBorder="0" applyAlignment="0" applyProtection="0"/>
    <xf numFmtId="0" fontId="166" fillId="50" borderId="0" applyNumberFormat="0" applyBorder="0" applyAlignment="0" applyProtection="0"/>
    <xf numFmtId="0" fontId="71" fillId="14" borderId="0" applyNumberFormat="0" applyBorder="0" applyAlignment="0" applyProtection="0"/>
    <xf numFmtId="0" fontId="166" fillId="50" borderId="0" applyNumberFormat="0" applyBorder="0" applyAlignment="0" applyProtection="0"/>
    <xf numFmtId="0" fontId="166" fillId="71" borderId="0" applyNumberFormat="0" applyBorder="0" applyAlignment="0" applyProtection="0"/>
    <xf numFmtId="0" fontId="71" fillId="15" borderId="0" applyNumberFormat="0" applyBorder="0" applyAlignment="0" applyProtection="0"/>
    <xf numFmtId="0" fontId="166" fillId="71" borderId="0" applyNumberFormat="0" applyBorder="0" applyAlignment="0" applyProtection="0"/>
    <xf numFmtId="0" fontId="149" fillId="12" borderId="0" applyNumberFormat="0" applyBorder="0" applyAlignment="0" applyProtection="0">
      <alignment vertical="center"/>
    </xf>
    <xf numFmtId="0" fontId="149" fillId="9" borderId="0" applyNumberFormat="0" applyBorder="0" applyAlignment="0" applyProtection="0">
      <alignment vertical="center"/>
    </xf>
    <xf numFmtId="0" fontId="149" fillId="10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4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/>
    <xf numFmtId="0" fontId="96" fillId="16" borderId="0" applyNumberFormat="0" applyBorder="0" applyAlignment="0" applyProtection="0"/>
    <xf numFmtId="0" fontId="96" fillId="17" borderId="0" applyNumberFormat="0" applyBorder="0" applyAlignment="0" applyProtection="0"/>
    <xf numFmtId="0" fontId="96" fillId="17" borderId="0" applyNumberFormat="0" applyBorder="0" applyAlignment="0" applyProtection="0"/>
    <xf numFmtId="0" fontId="96" fillId="18" borderId="0" applyNumberFormat="0" applyBorder="0" applyAlignment="0" applyProtection="0"/>
    <xf numFmtId="0" fontId="96" fillId="18" borderId="0" applyNumberFormat="0" applyBorder="0" applyAlignment="0" applyProtection="0"/>
    <xf numFmtId="0" fontId="96" fillId="13" borderId="0" applyNumberFormat="0" applyBorder="0" applyAlignment="0" applyProtection="0"/>
    <xf numFmtId="0" fontId="96" fillId="13" borderId="0" applyNumberFormat="0" applyBorder="0" applyAlignment="0" applyProtection="0"/>
    <xf numFmtId="0" fontId="96" fillId="14" borderId="0" applyNumberFormat="0" applyBorder="0" applyAlignment="0" applyProtection="0"/>
    <xf numFmtId="0" fontId="96" fillId="14" borderId="0" applyNumberFormat="0" applyBorder="0" applyAlignment="0" applyProtection="0"/>
    <xf numFmtId="0" fontId="96" fillId="19" borderId="0" applyNumberFormat="0" applyBorder="0" applyAlignment="0" applyProtection="0"/>
    <xf numFmtId="0" fontId="96" fillId="19" borderId="0" applyNumberFormat="0" applyBorder="0" applyAlignment="0" applyProtection="0"/>
    <xf numFmtId="0" fontId="182" fillId="3" borderId="0" applyNumberFormat="0" applyBorder="0" applyAlignment="0" applyProtection="0"/>
    <xf numFmtId="0" fontId="182" fillId="3" borderId="0" applyNumberFormat="0" applyBorder="0" applyAlignment="0" applyProtection="0"/>
    <xf numFmtId="0" fontId="167" fillId="51" borderId="0" applyNumberFormat="0" applyBorder="0" applyAlignment="0" applyProtection="0"/>
    <xf numFmtId="0" fontId="81" fillId="4" borderId="0" applyNumberFormat="0" applyBorder="0" applyAlignment="0" applyProtection="0"/>
    <xf numFmtId="0" fontId="167" fillId="51" borderId="0" applyNumberFormat="0" applyBorder="0" applyAlignment="0" applyProtection="0"/>
    <xf numFmtId="0" fontId="183" fillId="20" borderId="1" applyNumberFormat="0" applyAlignment="0" applyProtection="0"/>
    <xf numFmtId="0" fontId="183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75" fillId="20" borderId="1" applyNumberFormat="0" applyAlignment="0" applyProtection="0"/>
    <xf numFmtId="0" fontId="168" fillId="52" borderId="62" applyNumberFormat="0" applyAlignment="0" applyProtection="0"/>
    <xf numFmtId="0" fontId="75" fillId="20" borderId="1" applyNumberFormat="0" applyAlignment="0" applyProtection="0"/>
    <xf numFmtId="0" fontId="168" fillId="52" borderId="62" applyNumberFormat="0" applyAlignment="0" applyProtection="0"/>
    <xf numFmtId="0" fontId="169" fillId="53" borderId="63" applyNumberFormat="0" applyAlignment="0" applyProtection="0"/>
    <xf numFmtId="0" fontId="170" fillId="0" borderId="64" applyNumberFormat="0" applyFill="0" applyAlignment="0" applyProtection="0"/>
    <xf numFmtId="0" fontId="86" fillId="0" borderId="3" applyNumberFormat="0" applyFill="0" applyAlignment="0" applyProtection="0"/>
    <xf numFmtId="0" fontId="170" fillId="0" borderId="64" applyNumberFormat="0" applyFill="0" applyAlignment="0" applyProtection="0"/>
    <xf numFmtId="0" fontId="93" fillId="21" borderId="2" applyNumberFormat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4" fontId="47" fillId="0" borderId="0"/>
    <xf numFmtId="14" fontId="47" fillId="0" borderId="0"/>
    <xf numFmtId="14" fontId="47" fillId="0" borderId="0"/>
    <xf numFmtId="14" fontId="47" fillId="0" borderId="0"/>
    <xf numFmtId="0" fontId="241" fillId="0" borderId="0" applyNumberFormat="0" applyFill="0" applyBorder="0" applyAlignment="0" applyProtection="0"/>
    <xf numFmtId="0" fontId="241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6" borderId="0" applyNumberFormat="0" applyBorder="0" applyAlignment="0" applyProtection="0"/>
    <xf numFmtId="0" fontId="166" fillId="54" borderId="0" applyNumberFormat="0" applyBorder="0" applyAlignment="0" applyProtection="0"/>
    <xf numFmtId="0" fontId="71" fillId="16" borderId="0" applyNumberFormat="0" applyBorder="0" applyAlignment="0" applyProtection="0"/>
    <xf numFmtId="0" fontId="166" fillId="54" borderId="0" applyNumberFormat="0" applyBorder="0" applyAlignment="0" applyProtection="0"/>
    <xf numFmtId="0" fontId="71" fillId="17" borderId="0" applyNumberFormat="0" applyBorder="0" applyAlignment="0" applyProtection="0"/>
    <xf numFmtId="0" fontId="166" fillId="55" borderId="0" applyNumberFormat="0" applyBorder="0" applyAlignment="0" applyProtection="0"/>
    <xf numFmtId="0" fontId="71" fillId="17" borderId="0" applyNumberFormat="0" applyBorder="0" applyAlignment="0" applyProtection="0"/>
    <xf numFmtId="0" fontId="166" fillId="55" borderId="0" applyNumberFormat="0" applyBorder="0" applyAlignment="0" applyProtection="0"/>
    <xf numFmtId="0" fontId="71" fillId="18" borderId="0" applyNumberFormat="0" applyBorder="0" applyAlignment="0" applyProtection="0"/>
    <xf numFmtId="0" fontId="166" fillId="56" borderId="0" applyNumberFormat="0" applyBorder="0" applyAlignment="0" applyProtection="0"/>
    <xf numFmtId="0" fontId="71" fillId="18" borderId="0" applyNumberFormat="0" applyBorder="0" applyAlignment="0" applyProtection="0"/>
    <xf numFmtId="0" fontId="166" fillId="56" borderId="0" applyNumberFormat="0" applyBorder="0" applyAlignment="0" applyProtection="0"/>
    <xf numFmtId="0" fontId="71" fillId="83" borderId="0" applyNumberFormat="0" applyBorder="0" applyAlignment="0" applyProtection="0"/>
    <xf numFmtId="0" fontId="71" fillId="83" borderId="0" applyNumberFormat="0" applyBorder="0" applyAlignment="0" applyProtection="0"/>
    <xf numFmtId="0" fontId="71" fillId="13" borderId="0" applyNumberFormat="0" applyBorder="0" applyAlignment="0" applyProtection="0"/>
    <xf numFmtId="0" fontId="166" fillId="57" borderId="0" applyNumberFormat="0" applyBorder="0" applyAlignment="0" applyProtection="0"/>
    <xf numFmtId="0" fontId="71" fillId="13" borderId="0" applyNumberFormat="0" applyBorder="0" applyAlignment="0" applyProtection="0"/>
    <xf numFmtId="0" fontId="166" fillId="57" borderId="0" applyNumberFormat="0" applyBorder="0" applyAlignment="0" applyProtection="0"/>
    <xf numFmtId="0" fontId="71" fillId="14" borderId="0" applyNumberFormat="0" applyBorder="0" applyAlignment="0" applyProtection="0"/>
    <xf numFmtId="0" fontId="166" fillId="58" borderId="0" applyNumberFormat="0" applyBorder="0" applyAlignment="0" applyProtection="0"/>
    <xf numFmtId="0" fontId="71" fillId="19" borderId="0" applyNumberFormat="0" applyBorder="0" applyAlignment="0" applyProtection="0"/>
    <xf numFmtId="0" fontId="166" fillId="59" borderId="0" applyNumberFormat="0" applyBorder="0" applyAlignment="0" applyProtection="0"/>
    <xf numFmtId="0" fontId="71" fillId="19" borderId="0" applyNumberFormat="0" applyBorder="0" applyAlignment="0" applyProtection="0"/>
    <xf numFmtId="0" fontId="166" fillId="59" borderId="0" applyNumberFormat="0" applyBorder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172" fillId="60" borderId="62" applyNumberFormat="0" applyAlignment="0" applyProtection="0"/>
    <xf numFmtId="0" fontId="85" fillId="7" borderId="1" applyNumberFormat="0" applyAlignment="0" applyProtection="0"/>
    <xf numFmtId="0" fontId="172" fillId="60" borderId="62" applyNumberFormat="0" applyAlignment="0" applyProtection="0"/>
    <xf numFmtId="0" fontId="47" fillId="0" borderId="0"/>
    <xf numFmtId="205" fontId="47" fillId="0" borderId="0"/>
    <xf numFmtId="20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2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24" fontId="47" fillId="0" borderId="0" applyFont="0" applyFill="0" applyBorder="0" applyAlignment="0" applyProtection="0"/>
    <xf numFmtId="234" fontId="100" fillId="0" borderId="0" applyFont="0" applyFill="0" applyBorder="0" applyAlignment="0" applyProtection="0"/>
    <xf numFmtId="224" fontId="47" fillId="0" borderId="0" applyFont="0" applyFill="0" applyBorder="0" applyAlignment="0" applyProtection="0"/>
    <xf numFmtId="224" fontId="47" fillId="0" borderId="0" applyFont="0" applyFill="0" applyBorder="0" applyAlignment="0" applyProtection="0"/>
    <xf numFmtId="205" fontId="137" fillId="0" borderId="0" applyFont="0" applyFill="0" applyBorder="0" applyAlignment="0" applyProtection="0"/>
    <xf numFmtId="225" fontId="47" fillId="0" borderId="0" applyFont="0" applyFill="0" applyBorder="0" applyAlignment="0" applyProtection="0"/>
    <xf numFmtId="225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25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05" fontId="137" fillId="0" borderId="0" applyFont="0" applyFill="0" applyBorder="0" applyAlignment="0" applyProtection="0"/>
    <xf numFmtId="204" fontId="47" fillId="0" borderId="0" applyFont="0" applyFill="0" applyBorder="0" applyAlignment="0" applyProtection="0"/>
    <xf numFmtId="225" fontId="47" fillId="0" borderId="0" applyFont="0" applyFill="0" applyBorder="0" applyAlignment="0" applyProtection="0"/>
    <xf numFmtId="205" fontId="137" fillId="0" borderId="0" applyFont="0" applyFill="0" applyBorder="0" applyAlignment="0" applyProtection="0"/>
    <xf numFmtId="241" fontId="47" fillId="0" borderId="0" applyFont="0" applyFill="0" applyBorder="0" applyAlignment="0" applyProtection="0"/>
    <xf numFmtId="241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234" fontId="100" fillId="0" borderId="0" applyFont="0" applyFill="0" applyBorder="0" applyAlignment="0" applyProtection="0"/>
    <xf numFmtId="224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215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224" fontId="47" fillId="0" borderId="0" applyFont="0" applyFill="0" applyBorder="0" applyAlignment="0" applyProtection="0"/>
    <xf numFmtId="215" fontId="47" fillId="0" borderId="0" applyFont="0" applyFill="0" applyBorder="0" applyAlignment="0" applyProtection="0"/>
    <xf numFmtId="215" fontId="47" fillId="0" borderId="0" applyFont="0" applyFill="0" applyBorder="0" applyAlignment="0" applyProtection="0"/>
    <xf numFmtId="206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15" fontId="47" fillId="0" borderId="0" applyFont="0" applyFill="0" applyBorder="0" applyAlignment="0" applyProtection="0"/>
    <xf numFmtId="206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215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215" fontId="47" fillId="0" borderId="0" applyFont="0" applyFill="0" applyBorder="0" applyAlignment="0" applyProtection="0"/>
    <xf numFmtId="215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224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0" fontId="184" fillId="0" borderId="0" applyNumberFormat="0" applyFill="0" applyBorder="0" applyAlignment="0" applyProtection="0"/>
    <xf numFmtId="0" fontId="184" fillId="0" borderId="0" applyNumberFormat="0" applyFill="0" applyBorder="0" applyAlignment="0" applyProtection="0"/>
    <xf numFmtId="2" fontId="47" fillId="0" borderId="0" applyFill="0" applyBorder="0" applyAlignment="0" applyProtection="0"/>
    <xf numFmtId="2" fontId="47" fillId="0" borderId="0" applyFill="0" applyBorder="0" applyAlignment="0" applyProtection="0"/>
    <xf numFmtId="0" fontId="185" fillId="4" borderId="0" applyNumberFormat="0" applyBorder="0" applyAlignment="0" applyProtection="0"/>
    <xf numFmtId="0" fontId="186" fillId="0" borderId="4" applyNumberFormat="0" applyFill="0" applyAlignment="0" applyProtection="0"/>
    <xf numFmtId="0" fontId="187" fillId="0" borderId="5" applyNumberFormat="0" applyFill="0" applyAlignment="0" applyProtection="0"/>
    <xf numFmtId="0" fontId="188" fillId="0" borderId="6" applyNumberFormat="0" applyFill="0" applyAlignment="0" applyProtection="0"/>
    <xf numFmtId="0" fontId="188" fillId="0" borderId="6" applyNumberFormat="0" applyFill="0" applyAlignment="0" applyProtection="0"/>
    <xf numFmtId="0" fontId="188" fillId="0" borderId="0" applyNumberFormat="0" applyFill="0" applyBorder="0" applyAlignment="0" applyProtection="0"/>
    <xf numFmtId="0" fontId="138" fillId="0" borderId="0" applyNumberFormat="0" applyFill="0" applyBorder="0" applyAlignment="0" applyProtection="0">
      <alignment vertical="top"/>
      <protection locked="0"/>
    </xf>
    <xf numFmtId="0" fontId="72" fillId="3" borderId="0" applyNumberFormat="0" applyBorder="0" applyAlignment="0" applyProtection="0"/>
    <xf numFmtId="0" fontId="173" fillId="61" borderId="0" applyNumberFormat="0" applyBorder="0" applyAlignment="0" applyProtection="0"/>
    <xf numFmtId="0" fontId="72" fillId="3" borderId="0" applyNumberFormat="0" applyBorder="0" applyAlignment="0" applyProtection="0"/>
    <xf numFmtId="0" fontId="173" fillId="61" borderId="0" applyNumberFormat="0" applyBorder="0" applyAlignment="0" applyProtection="0"/>
    <xf numFmtId="0" fontId="189" fillId="7" borderId="1" applyNumberFormat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85" fillId="7" borderId="1" applyNumberFormat="0" applyAlignment="0" applyProtection="0"/>
    <xf numFmtId="0" fontId="190" fillId="0" borderId="3" applyNumberFormat="0" applyFill="0" applyAlignment="0" applyProtection="0"/>
    <xf numFmtId="243" fontId="47" fillId="0" borderId="0" applyFont="0" applyFill="0" applyBorder="0" applyAlignment="0" applyProtection="0"/>
    <xf numFmtId="222" fontId="47" fillId="0" borderId="0" applyFont="0" applyFill="0" applyBorder="0" applyAlignment="0" applyProtection="0"/>
    <xf numFmtId="222" fontId="47" fillId="0" borderId="0" applyFont="0" applyFill="0" applyBorder="0" applyAlignment="0" applyProtection="0"/>
    <xf numFmtId="222" fontId="47" fillId="0" borderId="0" applyFont="0" applyFill="0" applyBorder="0" applyAlignment="0" applyProtection="0"/>
    <xf numFmtId="245" fontId="47" fillId="0" borderId="0" applyFont="0" applyFill="0" applyBorder="0" applyAlignment="0" applyProtection="0"/>
    <xf numFmtId="244" fontId="47" fillId="0" borderId="0" applyFont="0" applyFill="0" applyBorder="0" applyAlignment="0" applyProtection="0"/>
    <xf numFmtId="244" fontId="47" fillId="0" borderId="0" applyFont="0" applyFill="0" applyBorder="0" applyAlignment="0" applyProtection="0"/>
    <xf numFmtId="244" fontId="47" fillId="0" borderId="0" applyFont="0" applyFill="0" applyBorder="0" applyAlignment="0" applyProtection="0"/>
    <xf numFmtId="244" fontId="47" fillId="0" borderId="0" applyFont="0" applyFill="0" applyBorder="0" applyAlignment="0" applyProtection="0"/>
    <xf numFmtId="244" fontId="47" fillId="0" borderId="0" applyFont="0" applyFill="0" applyBorder="0" applyAlignment="0" applyProtection="0"/>
    <xf numFmtId="243" fontId="47" fillId="0" borderId="0" applyFont="0" applyFill="0" applyBorder="0" applyAlignment="0" applyProtection="0"/>
    <xf numFmtId="243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0" fillId="0" borderId="0" applyFont="0" applyFill="0" applyBorder="0" applyAlignment="0" applyProtection="0"/>
    <xf numFmtId="17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7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7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200" fontId="47" fillId="0" borderId="0" applyFont="0" applyFill="0" applyBorder="0" applyAlignment="0" applyProtection="0"/>
    <xf numFmtId="200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75" fontId="47" fillId="0" borderId="0" applyFont="0" applyFill="0" applyBorder="0" applyAlignment="0" applyProtection="0"/>
    <xf numFmtId="174" fontId="47" fillId="0" borderId="0" applyFont="0" applyFill="0" applyBorder="0" applyAlignment="0" applyProtection="0"/>
    <xf numFmtId="174" fontId="47" fillId="0" borderId="0" applyFont="0" applyFill="0" applyBorder="0" applyAlignment="0" applyProtection="0"/>
    <xf numFmtId="174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200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7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74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4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74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74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74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74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226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226" fontId="47" fillId="0" borderId="0" applyFont="0" applyFill="0" applyBorder="0" applyAlignment="0" applyProtection="0"/>
    <xf numFmtId="174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226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7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74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226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74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74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226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226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74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74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87" fillId="7" borderId="0" applyNumberFormat="0" applyBorder="0" applyAlignment="0" applyProtection="0"/>
    <xf numFmtId="0" fontId="87" fillId="7" borderId="0" applyNumberFormat="0" applyBorder="0" applyAlignment="0" applyProtection="0"/>
    <xf numFmtId="0" fontId="87" fillId="22" borderId="0" applyNumberFormat="0" applyBorder="0" applyAlignment="0" applyProtection="0"/>
    <xf numFmtId="0" fontId="174" fillId="62" borderId="0" applyNumberFormat="0" applyBorder="0" applyAlignment="0" applyProtection="0"/>
    <xf numFmtId="0" fontId="87" fillId="22" borderId="0" applyNumberFormat="0" applyBorder="0" applyAlignment="0" applyProtection="0"/>
    <xf numFmtId="0" fontId="174" fillId="62" borderId="0" applyNumberFormat="0" applyBorder="0" applyAlignment="0" applyProtection="0"/>
    <xf numFmtId="0" fontId="47" fillId="0" borderId="0"/>
    <xf numFmtId="0" fontId="47" fillId="0" borderId="0"/>
    <xf numFmtId="0" fontId="47" fillId="0" borderId="0"/>
    <xf numFmtId="0" fontId="25" fillId="0" borderId="0"/>
    <xf numFmtId="0" fontId="100" fillId="0" borderId="0"/>
    <xf numFmtId="0" fontId="25" fillId="0" borderId="0"/>
    <xf numFmtId="0" fontId="2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7" fillId="0" borderId="0">
      <alignment vertical="top"/>
    </xf>
    <xf numFmtId="0" fontId="47" fillId="0" borderId="0"/>
    <xf numFmtId="0" fontId="70" fillId="0" borderId="0"/>
    <xf numFmtId="0" fontId="47" fillId="0" borderId="0"/>
    <xf numFmtId="0" fontId="47" fillId="0" borderId="0"/>
    <xf numFmtId="0" fontId="4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7" fillId="0" borderId="0"/>
    <xf numFmtId="205" fontId="70" fillId="0" borderId="0"/>
    <xf numFmtId="205" fontId="70" fillId="0" borderId="0"/>
    <xf numFmtId="0" fontId="47" fillId="0" borderId="0"/>
    <xf numFmtId="0" fontId="47" fillId="0" borderId="0"/>
    <xf numFmtId="0" fontId="47" fillId="0" borderId="0"/>
    <xf numFmtId="205" fontId="70" fillId="0" borderId="0"/>
    <xf numFmtId="0" fontId="25" fillId="0" borderId="0"/>
    <xf numFmtId="205" fontId="47" fillId="0" borderId="0"/>
    <xf numFmtId="0" fontId="25" fillId="0" borderId="0"/>
    <xf numFmtId="205" fontId="47" fillId="0" borderId="0"/>
    <xf numFmtId="0" fontId="25" fillId="0" borderId="0"/>
    <xf numFmtId="205" fontId="4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92" fillId="0" borderId="0">
      <alignment vertical="center"/>
    </xf>
    <xf numFmtId="0" fontId="92" fillId="0" borderId="0">
      <alignment vertical="center"/>
    </xf>
    <xf numFmtId="0" fontId="47" fillId="0" borderId="0"/>
    <xf numFmtId="0" fontId="47" fillId="0" borderId="0"/>
    <xf numFmtId="0" fontId="25" fillId="0" borderId="0"/>
    <xf numFmtId="0" fontId="25" fillId="0" borderId="0"/>
    <xf numFmtId="0" fontId="25" fillId="0" borderId="0"/>
    <xf numFmtId="0" fontId="47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47" fillId="0" borderId="0"/>
    <xf numFmtId="0" fontId="25" fillId="0" borderId="0"/>
    <xf numFmtId="0" fontId="115" fillId="0" borderId="0"/>
    <xf numFmtId="0" fontId="25" fillId="0" borderId="0"/>
    <xf numFmtId="0" fontId="25" fillId="0" borderId="0"/>
    <xf numFmtId="0" fontId="47" fillId="0" borderId="0"/>
    <xf numFmtId="0" fontId="25" fillId="0" borderId="0"/>
    <xf numFmtId="0" fontId="25" fillId="0" borderId="0"/>
    <xf numFmtId="0" fontId="47" fillId="0" borderId="0"/>
    <xf numFmtId="205" fontId="70" fillId="0" borderId="0"/>
    <xf numFmtId="0" fontId="47" fillId="0" borderId="0"/>
    <xf numFmtId="0" fontId="25" fillId="0" borderId="0"/>
    <xf numFmtId="0" fontId="47" fillId="0" borderId="0"/>
    <xf numFmtId="0" fontId="47" fillId="0" borderId="0"/>
    <xf numFmtId="205" fontId="70" fillId="0" borderId="0"/>
    <xf numFmtId="0" fontId="25" fillId="0" borderId="0"/>
    <xf numFmtId="0" fontId="47" fillId="0" borderId="0"/>
    <xf numFmtId="0" fontId="25" fillId="0" borderId="0"/>
    <xf numFmtId="0" fontId="25" fillId="0" borderId="0"/>
    <xf numFmtId="0" fontId="25" fillId="0" borderId="0"/>
    <xf numFmtId="0" fontId="47" fillId="0" borderId="0"/>
    <xf numFmtId="0" fontId="47" fillId="0" borderId="0"/>
    <xf numFmtId="0" fontId="25" fillId="0" borderId="0"/>
    <xf numFmtId="0" fontId="47" fillId="0" borderId="0"/>
    <xf numFmtId="0" fontId="25" fillId="0" borderId="0"/>
    <xf numFmtId="205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205" fontId="70" fillId="0" borderId="0"/>
    <xf numFmtId="0" fontId="25" fillId="0" borderId="0"/>
    <xf numFmtId="0" fontId="219" fillId="0" borderId="0"/>
    <xf numFmtId="0" fontId="25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47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47" fillId="0" borderId="0"/>
    <xf numFmtId="0" fontId="25" fillId="0" borderId="0"/>
    <xf numFmtId="0" fontId="47" fillId="0" borderId="0"/>
    <xf numFmtId="0" fontId="25" fillId="0" borderId="0"/>
    <xf numFmtId="0" fontId="70" fillId="0" borderId="0"/>
    <xf numFmtId="0" fontId="25" fillId="0" borderId="0"/>
    <xf numFmtId="0" fontId="47" fillId="0" borderId="0"/>
    <xf numFmtId="0" fontId="230" fillId="0" borderId="0"/>
    <xf numFmtId="205" fontId="7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7" fillId="0" borderId="0"/>
    <xf numFmtId="0" fontId="47" fillId="0" borderId="0"/>
    <xf numFmtId="0" fontId="25" fillId="0" borderId="0"/>
    <xf numFmtId="205" fontId="70" fillId="0" borderId="0"/>
    <xf numFmtId="0" fontId="47" fillId="0" borderId="0"/>
    <xf numFmtId="0" fontId="25" fillId="0" borderId="0"/>
    <xf numFmtId="205" fontId="7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7" fillId="0" borderId="0"/>
    <xf numFmtId="205" fontId="7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0" fillId="63" borderId="65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70" fillId="23" borderId="7" applyNumberFormat="0" applyFont="0" applyAlignment="0" applyProtection="0"/>
    <xf numFmtId="0" fontId="47" fillId="23" borderId="7" applyNumberFormat="0" applyFont="0" applyAlignment="0" applyProtection="0"/>
    <xf numFmtId="0" fontId="70" fillId="23" borderId="7" applyNumberFormat="0" applyFont="0" applyAlignment="0" applyProtection="0"/>
    <xf numFmtId="0" fontId="70" fillId="23" borderId="7" applyNumberFormat="0" applyFont="0" applyAlignment="0" applyProtection="0"/>
    <xf numFmtId="0" fontId="70" fillId="23" borderId="7" applyNumberFormat="0" applyFont="0" applyAlignment="0" applyProtection="0"/>
    <xf numFmtId="0" fontId="208" fillId="63" borderId="65" applyNumberFormat="0" applyFont="0" applyAlignment="0" applyProtection="0"/>
    <xf numFmtId="0" fontId="70" fillId="23" borderId="7" applyNumberFormat="0" applyFont="0" applyAlignment="0" applyProtection="0"/>
    <xf numFmtId="0" fontId="70" fillId="23" borderId="7" applyNumberFormat="0" applyFont="0" applyAlignment="0" applyProtection="0"/>
    <xf numFmtId="0" fontId="70" fillId="63" borderId="65" applyNumberFormat="0" applyFont="0" applyAlignment="0" applyProtection="0"/>
    <xf numFmtId="0" fontId="70" fillId="23" borderId="7" applyNumberFormat="0" applyFont="0" applyAlignment="0" applyProtection="0"/>
    <xf numFmtId="0" fontId="70" fillId="23" borderId="7" applyNumberFormat="0" applyFont="0" applyAlignment="0" applyProtection="0"/>
    <xf numFmtId="0" fontId="70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70" fillId="23" borderId="7" applyNumberFormat="0" applyFont="0" applyAlignment="0" applyProtection="0"/>
    <xf numFmtId="0" fontId="47" fillId="23" borderId="7" applyNumberFormat="0" applyFont="0" applyAlignment="0" applyProtection="0"/>
    <xf numFmtId="0" fontId="70" fillId="23" borderId="7" applyNumberFormat="0" applyFont="0" applyAlignment="0" applyProtection="0"/>
    <xf numFmtId="0" fontId="70" fillId="23" borderId="7" applyNumberFormat="0" applyFont="0" applyAlignment="0" applyProtection="0"/>
    <xf numFmtId="0" fontId="70" fillId="23" borderId="7" applyNumberFormat="0" applyFont="0" applyAlignment="0" applyProtection="0"/>
    <xf numFmtId="0" fontId="70" fillId="23" borderId="7" applyNumberFormat="0" applyFont="0" applyAlignment="0" applyProtection="0"/>
    <xf numFmtId="0" fontId="47" fillId="23" borderId="7" applyNumberFormat="0" applyFont="0" applyAlignment="0" applyProtection="0"/>
    <xf numFmtId="0" fontId="70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70" fillId="23" borderId="7" applyNumberFormat="0" applyFont="0" applyAlignment="0" applyProtection="0"/>
    <xf numFmtId="0" fontId="47" fillId="23" borderId="7" applyNumberFormat="0" applyFont="0" applyAlignment="0" applyProtection="0"/>
    <xf numFmtId="0" fontId="70" fillId="23" borderId="7" applyNumberFormat="0" applyFont="0" applyAlignment="0" applyProtection="0"/>
    <xf numFmtId="0" fontId="70" fillId="23" borderId="7" applyNumberFormat="0" applyFont="0" applyAlignment="0" applyProtection="0"/>
    <xf numFmtId="0" fontId="70" fillId="23" borderId="7" applyNumberFormat="0" applyFont="0" applyAlignment="0" applyProtection="0"/>
    <xf numFmtId="0" fontId="70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70" fillId="23" borderId="7" applyNumberFormat="0" applyFont="0" applyAlignment="0" applyProtection="0"/>
    <xf numFmtId="0" fontId="70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70" fillId="23" borderId="7" applyNumberFormat="0" applyFont="0" applyAlignment="0" applyProtection="0"/>
    <xf numFmtId="0" fontId="70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70" fillId="23" borderId="7" applyNumberFormat="0" applyFont="0" applyAlignment="0" applyProtection="0"/>
    <xf numFmtId="0" fontId="70" fillId="23" borderId="7" applyNumberFormat="0" applyFont="0" applyAlignment="0" applyProtection="0"/>
    <xf numFmtId="0" fontId="70" fillId="23" borderId="7" applyNumberFormat="0" applyFont="0" applyAlignment="0" applyProtection="0"/>
    <xf numFmtId="0" fontId="70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47" fillId="23" borderId="7" applyNumberFormat="0" applyFont="0" applyAlignment="0" applyProtection="0"/>
    <xf numFmtId="0" fontId="191" fillId="20" borderId="8" applyNumberFormat="0" applyAlignment="0" applyProtection="0"/>
    <xf numFmtId="0" fontId="88" fillId="20" borderId="8" applyNumberFormat="0" applyAlignment="0" applyProtection="0"/>
    <xf numFmtId="0" fontId="88" fillId="20" borderId="8" applyNumberFormat="0" applyAlignment="0" applyProtection="0"/>
    <xf numFmtId="0" fontId="88" fillId="20" borderId="8" applyNumberFormat="0" applyAlignment="0" applyProtection="0"/>
    <xf numFmtId="0" fontId="88" fillId="20" borderId="8" applyNumberFormat="0" applyAlignment="0" applyProtection="0"/>
    <xf numFmtId="0" fontId="191" fillId="20" borderId="8" applyNumberFormat="0" applyAlignment="0" applyProtection="0"/>
    <xf numFmtId="0" fontId="88" fillId="20" borderId="8" applyNumberFormat="0" applyAlignment="0" applyProtection="0"/>
    <xf numFmtId="0" fontId="88" fillId="20" borderId="8" applyNumberFormat="0" applyAlignment="0" applyProtection="0"/>
    <xf numFmtId="0" fontId="88" fillId="20" borderId="8" applyNumberFormat="0" applyAlignment="0" applyProtection="0"/>
    <xf numFmtId="0" fontId="88" fillId="20" borderId="8" applyNumberFormat="0" applyAlignment="0" applyProtection="0"/>
    <xf numFmtId="9" fontId="47" fillId="0" borderId="0" applyFill="0" applyBorder="0" applyAlignment="0" applyProtection="0"/>
    <xf numFmtId="10" fontId="7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10" fontId="77" fillId="0" borderId="0" applyFont="0" applyFill="0" applyBorder="0" applyAlignment="0" applyProtection="0"/>
    <xf numFmtId="9" fontId="70" fillId="0" borderId="0" applyFont="0" applyFill="0" applyBorder="0" applyAlignment="0" applyProtection="0"/>
    <xf numFmtId="0" fontId="146" fillId="0" borderId="0"/>
    <xf numFmtId="0" fontId="146" fillId="0" borderId="0"/>
    <xf numFmtId="0" fontId="88" fillId="20" borderId="8" applyNumberFormat="0" applyAlignment="0" applyProtection="0"/>
    <xf numFmtId="0" fontId="88" fillId="20" borderId="8" applyNumberFormat="0" applyAlignment="0" applyProtection="0"/>
    <xf numFmtId="0" fontId="88" fillId="20" borderId="8" applyNumberFormat="0" applyAlignment="0" applyProtection="0"/>
    <xf numFmtId="0" fontId="88" fillId="20" borderId="8" applyNumberFormat="0" applyAlignment="0" applyProtection="0"/>
    <xf numFmtId="0" fontId="88" fillId="20" borderId="8" applyNumberFormat="0" applyAlignment="0" applyProtection="0"/>
    <xf numFmtId="0" fontId="88" fillId="20" borderId="8" applyNumberFormat="0" applyAlignment="0" applyProtection="0"/>
    <xf numFmtId="0" fontId="88" fillId="20" borderId="8" applyNumberFormat="0" applyAlignment="0" applyProtection="0"/>
    <xf numFmtId="0" fontId="88" fillId="20" borderId="8" applyNumberFormat="0" applyAlignment="0" applyProtection="0"/>
    <xf numFmtId="0" fontId="88" fillId="81" borderId="8" applyNumberFormat="0" applyAlignment="0" applyProtection="0"/>
    <xf numFmtId="0" fontId="88" fillId="81" borderId="8" applyNumberFormat="0" applyAlignment="0" applyProtection="0"/>
    <xf numFmtId="0" fontId="88" fillId="20" borderId="8" applyNumberFormat="0" applyAlignment="0" applyProtection="0"/>
    <xf numFmtId="0" fontId="88" fillId="20" borderId="8" applyNumberFormat="0" applyAlignment="0" applyProtection="0"/>
    <xf numFmtId="0" fontId="88" fillId="20" borderId="8" applyNumberFormat="0" applyAlignment="0" applyProtection="0"/>
    <xf numFmtId="0" fontId="88" fillId="20" borderId="8" applyNumberFormat="0" applyAlignment="0" applyProtection="0"/>
    <xf numFmtId="0" fontId="88" fillId="20" borderId="8" applyNumberFormat="0" applyAlignment="0" applyProtection="0"/>
    <xf numFmtId="0" fontId="175" fillId="52" borderId="66" applyNumberFormat="0" applyAlignment="0" applyProtection="0"/>
    <xf numFmtId="0" fontId="88" fillId="20" borderId="8" applyNumberFormat="0" applyAlignment="0" applyProtection="0"/>
    <xf numFmtId="0" fontId="175" fillId="52" borderId="66" applyNumberFormat="0" applyAlignment="0" applyProtection="0"/>
    <xf numFmtId="0" fontId="91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242" fillId="0" borderId="91" applyNumberFormat="0" applyFill="0" applyAlignment="0" applyProtection="0"/>
    <xf numFmtId="0" fontId="242" fillId="0" borderId="91" applyNumberFormat="0" applyFill="0" applyAlignment="0" applyProtection="0"/>
    <xf numFmtId="0" fontId="104" fillId="0" borderId="4" applyNumberFormat="0" applyFill="0" applyAlignment="0" applyProtection="0"/>
    <xf numFmtId="0" fontId="179" fillId="0" borderId="67" applyNumberFormat="0" applyFill="0" applyAlignment="0" applyProtection="0"/>
    <xf numFmtId="0" fontId="179" fillId="0" borderId="67" applyNumberFormat="0" applyFill="0" applyAlignment="0" applyProtection="0"/>
    <xf numFmtId="0" fontId="14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243" fillId="0" borderId="5" applyNumberFormat="0" applyFill="0" applyAlignment="0" applyProtection="0"/>
    <xf numFmtId="0" fontId="243" fillId="0" borderId="5" applyNumberFormat="0" applyFill="0" applyAlignment="0" applyProtection="0"/>
    <xf numFmtId="0" fontId="105" fillId="0" borderId="5" applyNumberFormat="0" applyFill="0" applyAlignment="0" applyProtection="0"/>
    <xf numFmtId="0" fontId="180" fillId="0" borderId="68" applyNumberFormat="0" applyFill="0" applyAlignment="0" applyProtection="0"/>
    <xf numFmtId="0" fontId="105" fillId="0" borderId="5" applyNumberFormat="0" applyFill="0" applyAlignment="0" applyProtection="0"/>
    <xf numFmtId="0" fontId="180" fillId="0" borderId="68" applyNumberFormat="0" applyFill="0" applyAlignment="0" applyProtection="0"/>
    <xf numFmtId="0" fontId="241" fillId="0" borderId="92" applyNumberFormat="0" applyFill="0" applyAlignment="0" applyProtection="0"/>
    <xf numFmtId="0" fontId="241" fillId="0" borderId="92" applyNumberFormat="0" applyFill="0" applyAlignment="0" applyProtection="0"/>
    <xf numFmtId="0" fontId="84" fillId="0" borderId="6" applyNumberFormat="0" applyFill="0" applyAlignment="0" applyProtection="0"/>
    <xf numFmtId="0" fontId="171" fillId="0" borderId="69" applyNumberFormat="0" applyFill="0" applyAlignment="0" applyProtection="0"/>
    <xf numFmtId="0" fontId="84" fillId="0" borderId="6" applyNumberFormat="0" applyFill="0" applyAlignment="0" applyProtection="0"/>
    <xf numFmtId="0" fontId="171" fillId="0" borderId="69" applyNumberFormat="0" applyFill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81" fillId="0" borderId="90" applyNumberFormat="0" applyFill="0" applyAlignment="0" applyProtection="0"/>
    <xf numFmtId="0" fontId="181" fillId="0" borderId="90" applyNumberFormat="0" applyFill="0" applyAlignment="0" applyProtection="0"/>
    <xf numFmtId="0" fontId="80" fillId="0" borderId="9" applyNumberFormat="0" applyFont="0" applyFill="0" applyAlignment="0" applyProtection="0"/>
    <xf numFmtId="0" fontId="136" fillId="0" borderId="10" applyNumberFormat="0" applyFill="0" applyAlignment="0" applyProtection="0"/>
    <xf numFmtId="0" fontId="136" fillId="0" borderId="10" applyNumberFormat="0" applyFill="0" applyAlignment="0" applyProtection="0"/>
    <xf numFmtId="0" fontId="136" fillId="0" borderId="10" applyNumberFormat="0" applyFill="0" applyAlignment="0" applyProtection="0"/>
    <xf numFmtId="0" fontId="136" fillId="0" borderId="10" applyNumberFormat="0" applyFill="0" applyAlignment="0" applyProtection="0"/>
    <xf numFmtId="0" fontId="136" fillId="0" borderId="10" applyNumberFormat="0" applyFill="0" applyAlignment="0" applyProtection="0"/>
    <xf numFmtId="0" fontId="136" fillId="0" borderId="10" applyNumberFormat="0" applyFill="0" applyAlignment="0" applyProtection="0"/>
    <xf numFmtId="0" fontId="136" fillId="0" borderId="10" applyNumberFormat="0" applyFill="0" applyAlignment="0" applyProtection="0"/>
    <xf numFmtId="0" fontId="136" fillId="0" borderId="93" applyNumberFormat="0" applyFill="0" applyAlignment="0" applyProtection="0"/>
    <xf numFmtId="0" fontId="80" fillId="0" borderId="9" applyNumberFormat="0" applyFont="0" applyFill="0" applyAlignment="0" applyProtection="0"/>
    <xf numFmtId="0" fontId="136" fillId="0" borderId="93" applyNumberFormat="0" applyFill="0" applyAlignment="0" applyProtection="0"/>
    <xf numFmtId="0" fontId="136" fillId="0" borderId="10" applyNumberFormat="0" applyFill="0" applyAlignment="0" applyProtection="0"/>
    <xf numFmtId="0" fontId="136" fillId="0" borderId="10" applyNumberFormat="0" applyFill="0" applyAlignment="0" applyProtection="0"/>
    <xf numFmtId="0" fontId="136" fillId="0" borderId="10" applyNumberFormat="0" applyFill="0" applyAlignment="0" applyProtection="0"/>
    <xf numFmtId="0" fontId="181" fillId="0" borderId="70" applyNumberFormat="0" applyFill="0" applyAlignment="0" applyProtection="0"/>
    <xf numFmtId="0" fontId="181" fillId="0" borderId="90" applyNumberFormat="0" applyFill="0" applyAlignment="0" applyProtection="0"/>
    <xf numFmtId="0" fontId="181" fillId="0" borderId="90" applyNumberFormat="0" applyFill="0" applyAlignment="0" applyProtection="0"/>
    <xf numFmtId="0" fontId="136" fillId="0" borderId="10" applyNumberFormat="0" applyFill="0" applyAlignment="0" applyProtection="0"/>
    <xf numFmtId="0" fontId="181" fillId="0" borderId="70" applyNumberFormat="0" applyFill="0" applyAlignment="0" applyProtection="0"/>
    <xf numFmtId="0" fontId="95" fillId="0" borderId="0" applyNumberFormat="0" applyFill="0" applyBorder="0" applyAlignment="0" applyProtection="0"/>
    <xf numFmtId="0" fontId="149" fillId="16" borderId="0" applyNumberFormat="0" applyBorder="0" applyAlignment="0" applyProtection="0">
      <alignment vertical="center"/>
    </xf>
    <xf numFmtId="0" fontId="149" fillId="17" borderId="0" applyNumberFormat="0" applyBorder="0" applyAlignment="0" applyProtection="0">
      <alignment vertical="center"/>
    </xf>
    <xf numFmtId="0" fontId="149" fillId="18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4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1" fillId="21" borderId="2" applyNumberFormat="0" applyAlignment="0" applyProtection="0">
      <alignment vertical="center"/>
    </xf>
    <xf numFmtId="0" fontId="152" fillId="22" borderId="0" applyNumberFormat="0" applyBorder="0" applyAlignment="0" applyProtection="0">
      <alignment vertical="center"/>
    </xf>
    <xf numFmtId="0" fontId="47" fillId="23" borderId="7" applyNumberFormat="0" applyFont="0" applyAlignment="0" applyProtection="0">
      <alignment vertical="center"/>
    </xf>
    <xf numFmtId="0" fontId="47" fillId="23" borderId="7" applyNumberFormat="0" applyFont="0" applyAlignment="0" applyProtection="0">
      <alignment vertical="center"/>
    </xf>
    <xf numFmtId="0" fontId="47" fillId="23" borderId="7" applyNumberFormat="0" applyFont="0" applyAlignment="0" applyProtection="0">
      <alignment vertical="center"/>
    </xf>
    <xf numFmtId="0" fontId="47" fillId="23" borderId="7" applyNumberFormat="0" applyFont="0" applyAlignment="0" applyProtection="0">
      <alignment vertical="center"/>
    </xf>
    <xf numFmtId="0" fontId="153" fillId="0" borderId="3" applyNumberFormat="0" applyFill="0" applyAlignment="0" applyProtection="0">
      <alignment vertical="center"/>
    </xf>
    <xf numFmtId="0" fontId="58" fillId="7" borderId="1" applyNumberFormat="0" applyAlignment="0" applyProtection="0">
      <alignment vertical="center"/>
    </xf>
    <xf numFmtId="0" fontId="58" fillId="7" borderId="1" applyNumberFormat="0" applyAlignment="0" applyProtection="0">
      <alignment vertical="center"/>
    </xf>
    <xf numFmtId="0" fontId="154" fillId="7" borderId="1" applyNumberFormat="0" applyAlignment="0" applyProtection="0">
      <alignment vertical="center"/>
    </xf>
    <xf numFmtId="0" fontId="154" fillId="7" borderId="1" applyNumberFormat="0" applyAlignment="0" applyProtection="0">
      <alignment vertical="center"/>
    </xf>
    <xf numFmtId="0" fontId="154" fillId="7" borderId="1" applyNumberFormat="0" applyAlignment="0" applyProtection="0">
      <alignment vertical="center"/>
    </xf>
    <xf numFmtId="0" fontId="58" fillId="7" borderId="1" applyNumberFormat="0" applyAlignment="0" applyProtection="0">
      <alignment vertical="center"/>
    </xf>
    <xf numFmtId="0" fontId="58" fillId="7" borderId="1" applyNumberFormat="0" applyAlignment="0" applyProtection="0">
      <alignment vertical="center"/>
    </xf>
    <xf numFmtId="0" fontId="154" fillId="7" borderId="1" applyNumberFormat="0" applyAlignment="0" applyProtection="0">
      <alignment vertical="center"/>
    </xf>
    <xf numFmtId="0" fontId="154" fillId="7" borderId="1" applyNumberFormat="0" applyAlignment="0" applyProtection="0">
      <alignment vertical="center"/>
    </xf>
    <xf numFmtId="0" fontId="59" fillId="20" borderId="8" applyNumberFormat="0" applyAlignment="0" applyProtection="0">
      <alignment vertical="center"/>
    </xf>
    <xf numFmtId="0" fontId="59" fillId="20" borderId="8" applyNumberFormat="0" applyAlignment="0" applyProtection="0">
      <alignment vertical="center"/>
    </xf>
    <xf numFmtId="0" fontId="155" fillId="20" borderId="8" applyNumberFormat="0" applyAlignment="0" applyProtection="0">
      <alignment vertical="center"/>
    </xf>
    <xf numFmtId="0" fontId="155" fillId="20" borderId="8" applyNumberFormat="0" applyAlignment="0" applyProtection="0">
      <alignment vertical="center"/>
    </xf>
    <xf numFmtId="0" fontId="155" fillId="20" borderId="8" applyNumberFormat="0" applyAlignment="0" applyProtection="0">
      <alignment vertical="center"/>
    </xf>
    <xf numFmtId="0" fontId="59" fillId="20" borderId="8" applyNumberFormat="0" applyAlignment="0" applyProtection="0">
      <alignment vertical="center"/>
    </xf>
    <xf numFmtId="0" fontId="59" fillId="20" borderId="8" applyNumberFormat="0" applyAlignment="0" applyProtection="0">
      <alignment vertical="center"/>
    </xf>
    <xf numFmtId="0" fontId="155" fillId="20" borderId="8" applyNumberFormat="0" applyAlignment="0" applyProtection="0">
      <alignment vertical="center"/>
    </xf>
    <xf numFmtId="0" fontId="155" fillId="20" borderId="8" applyNumberFormat="0" applyAlignment="0" applyProtection="0">
      <alignment vertical="center"/>
    </xf>
    <xf numFmtId="0" fontId="156" fillId="3" borderId="0" applyNumberFormat="0" applyBorder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0" fontId="158" fillId="0" borderId="4" applyNumberFormat="0" applyFill="0" applyAlignment="0" applyProtection="0">
      <alignment vertical="center"/>
    </xf>
    <xf numFmtId="0" fontId="159" fillId="0" borderId="5" applyNumberFormat="0" applyFill="0" applyAlignment="0" applyProtection="0">
      <alignment vertical="center"/>
    </xf>
    <xf numFmtId="0" fontId="160" fillId="0" borderId="6" applyNumberFormat="0" applyFill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65" fillId="20" borderId="1" applyNumberFormat="0" applyAlignment="0" applyProtection="0">
      <alignment vertical="center"/>
    </xf>
    <xf numFmtId="0" fontId="65" fillId="20" borderId="1" applyNumberFormat="0" applyAlignment="0" applyProtection="0">
      <alignment vertical="center"/>
    </xf>
    <xf numFmtId="0" fontId="161" fillId="20" borderId="1" applyNumberFormat="0" applyAlignment="0" applyProtection="0">
      <alignment vertical="center"/>
    </xf>
    <xf numFmtId="0" fontId="161" fillId="20" borderId="1" applyNumberFormat="0" applyAlignment="0" applyProtection="0">
      <alignment vertical="center"/>
    </xf>
    <xf numFmtId="0" fontId="161" fillId="20" borderId="1" applyNumberFormat="0" applyAlignment="0" applyProtection="0">
      <alignment vertical="center"/>
    </xf>
    <xf numFmtId="0" fontId="65" fillId="20" borderId="1" applyNumberFormat="0" applyAlignment="0" applyProtection="0">
      <alignment vertical="center"/>
    </xf>
    <xf numFmtId="0" fontId="65" fillId="20" borderId="1" applyNumberFormat="0" applyAlignment="0" applyProtection="0">
      <alignment vertical="center"/>
    </xf>
    <xf numFmtId="0" fontId="161" fillId="20" borderId="1" applyNumberFormat="0" applyAlignment="0" applyProtection="0">
      <alignment vertical="center"/>
    </xf>
    <xf numFmtId="0" fontId="161" fillId="20" borderId="1" applyNumberFormat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68" fillId="0" borderId="10" applyNumberFormat="0" applyFill="0" applyAlignment="0" applyProtection="0">
      <alignment vertical="center"/>
    </xf>
    <xf numFmtId="0" fontId="68" fillId="0" borderId="10" applyNumberFormat="0" applyFill="0" applyAlignment="0" applyProtection="0">
      <alignment vertical="center"/>
    </xf>
    <xf numFmtId="0" fontId="164" fillId="0" borderId="10" applyNumberFormat="0" applyFill="0" applyAlignment="0" applyProtection="0">
      <alignment vertical="center"/>
    </xf>
    <xf numFmtId="0" fontId="164" fillId="0" borderId="10" applyNumberFormat="0" applyFill="0" applyAlignment="0" applyProtection="0">
      <alignment vertical="center"/>
    </xf>
    <xf numFmtId="0" fontId="164" fillId="0" borderId="10" applyNumberFormat="0" applyFill="0" applyAlignment="0" applyProtection="0">
      <alignment vertical="center"/>
    </xf>
    <xf numFmtId="0" fontId="68" fillId="0" borderId="10" applyNumberFormat="0" applyFill="0" applyAlignment="0" applyProtection="0">
      <alignment vertical="center"/>
    </xf>
    <xf numFmtId="0" fontId="68" fillId="0" borderId="10" applyNumberFormat="0" applyFill="0" applyAlignment="0" applyProtection="0">
      <alignment vertical="center"/>
    </xf>
    <xf numFmtId="0" fontId="164" fillId="0" borderId="10" applyNumberFormat="0" applyFill="0" applyAlignment="0" applyProtection="0">
      <alignment vertical="center"/>
    </xf>
    <xf numFmtId="0" fontId="164" fillId="0" borderId="10" applyNumberFormat="0" applyFill="0" applyAlignment="0" applyProtection="0">
      <alignment vertical="center"/>
    </xf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70" fillId="0" borderId="0" applyFont="0" applyFill="0" applyBorder="0" applyAlignment="0" applyProtection="0"/>
    <xf numFmtId="0" fontId="25" fillId="63" borderId="65" applyNumberFormat="0" applyFont="0" applyAlignment="0" applyProtection="0"/>
    <xf numFmtId="9" fontId="70" fillId="0" borderId="0" applyFont="0" applyFill="0" applyBorder="0" applyAlignment="0" applyProtection="0"/>
    <xf numFmtId="230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25" fillId="63" borderId="65" applyNumberFormat="0" applyFont="0" applyAlignment="0" applyProtection="0"/>
    <xf numFmtId="230" fontId="47" fillId="0" borderId="0" applyFont="0" applyFill="0" applyBorder="0" applyAlignment="0" applyProtection="0"/>
    <xf numFmtId="230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6" fontId="25" fillId="0" borderId="0" applyFont="0" applyFill="0" applyBorder="0" applyAlignment="0" applyProtection="0"/>
    <xf numFmtId="0" fontId="24" fillId="0" borderId="0"/>
    <xf numFmtId="0" fontId="24" fillId="63" borderId="65" applyNumberFormat="0" applyFont="0" applyAlignment="0" applyProtection="0"/>
    <xf numFmtId="0" fontId="24" fillId="64" borderId="0" applyNumberFormat="0" applyBorder="0" applyAlignment="0" applyProtection="0"/>
    <xf numFmtId="0" fontId="24" fillId="43" borderId="0" applyNumberFormat="0" applyBorder="0" applyAlignment="0" applyProtection="0"/>
    <xf numFmtId="0" fontId="24" fillId="65" borderId="0" applyNumberFormat="0" applyBorder="0" applyAlignment="0" applyProtection="0"/>
    <xf numFmtId="0" fontId="24" fillId="44" borderId="0" applyNumberFormat="0" applyBorder="0" applyAlignment="0" applyProtection="0"/>
    <xf numFmtId="0" fontId="24" fillId="66" borderId="0" applyNumberFormat="0" applyBorder="0" applyAlignment="0" applyProtection="0"/>
    <xf numFmtId="0" fontId="24" fillId="68" borderId="0" applyNumberFormat="0" applyBorder="0" applyAlignment="0" applyProtection="0"/>
    <xf numFmtId="0" fontId="24" fillId="67" borderId="0" applyNumberFormat="0" applyBorder="0" applyAlignment="0" applyProtection="0"/>
    <xf numFmtId="0" fontId="24" fillId="45" borderId="0" applyNumberFormat="0" applyBorder="0" applyAlignment="0" applyProtection="0"/>
    <xf numFmtId="0" fontId="24" fillId="41" borderId="0" applyNumberFormat="0" applyBorder="0" applyAlignment="0" applyProtection="0"/>
    <xf numFmtId="0" fontId="24" fillId="46" borderId="0" applyNumberFormat="0" applyBorder="0" applyAlignment="0" applyProtection="0"/>
    <xf numFmtId="0" fontId="24" fillId="42" borderId="0" applyNumberFormat="0" applyBorder="0" applyAlignment="0" applyProtection="0"/>
    <xf numFmtId="0" fontId="24" fillId="47" borderId="0" applyNumberFormat="0" applyBorder="0" applyAlignment="0" applyProtection="0"/>
    <xf numFmtId="0" fontId="24" fillId="64" borderId="0" applyNumberFormat="0" applyBorder="0" applyAlignment="0" applyProtection="0"/>
    <xf numFmtId="0" fontId="24" fillId="64" borderId="0" applyNumberFormat="0" applyBorder="0" applyAlignment="0" applyProtection="0"/>
    <xf numFmtId="0" fontId="24" fillId="64" borderId="0" applyNumberFormat="0" applyBorder="0" applyAlignment="0" applyProtection="0"/>
    <xf numFmtId="0" fontId="24" fillId="64" borderId="0" applyNumberFormat="0" applyBorder="0" applyAlignment="0" applyProtection="0"/>
    <xf numFmtId="0" fontId="24" fillId="8" borderId="0" applyNumberFormat="0" applyBorder="0" applyAlignment="0" applyProtection="0"/>
    <xf numFmtId="0" fontId="24" fillId="64" borderId="0" applyNumberFormat="0" applyBorder="0" applyAlignment="0" applyProtection="0"/>
    <xf numFmtId="0" fontId="24" fillId="8" borderId="0" applyNumberFormat="0" applyBorder="0" applyAlignment="0" applyProtection="0"/>
    <xf numFmtId="0" fontId="24" fillId="64" borderId="0" applyNumberFormat="0" applyBorder="0" applyAlignment="0" applyProtection="0"/>
    <xf numFmtId="0" fontId="24" fillId="64" borderId="0" applyNumberFormat="0" applyBorder="0" applyAlignment="0" applyProtection="0"/>
    <xf numFmtId="0" fontId="24" fillId="64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9" borderId="0" applyNumberFormat="0" applyBorder="0" applyAlignment="0" applyProtection="0"/>
    <xf numFmtId="0" fontId="24" fillId="65" borderId="0" applyNumberFormat="0" applyBorder="0" applyAlignment="0" applyProtection="0"/>
    <xf numFmtId="0" fontId="24" fillId="9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6" borderId="0" applyNumberFormat="0" applyBorder="0" applyAlignment="0" applyProtection="0"/>
    <xf numFmtId="0" fontId="24" fillId="66" borderId="0" applyNumberFormat="0" applyBorder="0" applyAlignment="0" applyProtection="0"/>
    <xf numFmtId="0" fontId="24" fillId="66" borderId="0" applyNumberFormat="0" applyBorder="0" applyAlignment="0" applyProtection="0"/>
    <xf numFmtId="0" fontId="24" fillId="66" borderId="0" applyNumberFormat="0" applyBorder="0" applyAlignment="0" applyProtection="0"/>
    <xf numFmtId="0" fontId="24" fillId="23" borderId="0" applyNumberFormat="0" applyBorder="0" applyAlignment="0" applyProtection="0"/>
    <xf numFmtId="0" fontId="24" fillId="66" borderId="0" applyNumberFormat="0" applyBorder="0" applyAlignment="0" applyProtection="0"/>
    <xf numFmtId="0" fontId="24" fillId="23" borderId="0" applyNumberFormat="0" applyBorder="0" applyAlignment="0" applyProtection="0"/>
    <xf numFmtId="0" fontId="24" fillId="66" borderId="0" applyNumberFormat="0" applyBorder="0" applyAlignment="0" applyProtection="0"/>
    <xf numFmtId="0" fontId="24" fillId="66" borderId="0" applyNumberFormat="0" applyBorder="0" applyAlignment="0" applyProtection="0"/>
    <xf numFmtId="0" fontId="24" fillId="66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7" borderId="0" applyNumberFormat="0" applyBorder="0" applyAlignment="0" applyProtection="0"/>
    <xf numFmtId="0" fontId="24" fillId="67" borderId="0" applyNumberFormat="0" applyBorder="0" applyAlignment="0" applyProtection="0"/>
    <xf numFmtId="0" fontId="24" fillId="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23" borderId="0" applyNumberFormat="0" applyBorder="0" applyAlignment="0" applyProtection="0"/>
    <xf numFmtId="0" fontId="24" fillId="42" borderId="0" applyNumberFormat="0" applyBorder="0" applyAlignment="0" applyProtection="0"/>
    <xf numFmtId="0" fontId="24" fillId="23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6" borderId="0" applyNumberFormat="0" applyBorder="0" applyAlignment="0" applyProtection="0"/>
    <xf numFmtId="0" fontId="24" fillId="43" borderId="0" applyNumberFormat="0" applyBorder="0" applyAlignment="0" applyProtection="0"/>
    <xf numFmtId="0" fontId="24" fillId="6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22" borderId="0" applyNumberFormat="0" applyBorder="0" applyAlignment="0" applyProtection="0"/>
    <xf numFmtId="0" fontId="24" fillId="68" borderId="0" applyNumberFormat="0" applyBorder="0" applyAlignment="0" applyProtection="0"/>
    <xf numFmtId="0" fontId="24" fillId="22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3" borderId="0" applyNumberFormat="0" applyBorder="0" applyAlignment="0" applyProtection="0"/>
    <xf numFmtId="0" fontId="24" fillId="45" borderId="0" applyNumberFormat="0" applyBorder="0" applyAlignment="0" applyProtection="0"/>
    <xf numFmtId="0" fontId="24" fillId="3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6" borderId="0" applyNumberFormat="0" applyBorder="0" applyAlignment="0" applyProtection="0"/>
    <xf numFmtId="0" fontId="24" fillId="46" borderId="0" applyNumberFormat="0" applyBorder="0" applyAlignment="0" applyProtection="0"/>
    <xf numFmtId="0" fontId="24" fillId="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23" borderId="0" applyNumberFormat="0" applyBorder="0" applyAlignment="0" applyProtection="0"/>
    <xf numFmtId="0" fontId="24" fillId="47" borderId="0" applyNumberFormat="0" applyBorder="0" applyAlignment="0" applyProtection="0"/>
    <xf numFmtId="0" fontId="24" fillId="23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70" fillId="0" borderId="0" applyFont="0" applyFill="0" applyBorder="0" applyAlignment="0" applyProtection="0"/>
    <xf numFmtId="0" fontId="24" fillId="63" borderId="65" applyNumberFormat="0" applyFont="0" applyAlignment="0" applyProtection="0"/>
    <xf numFmtId="167" fontId="47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63" borderId="65" applyNumberFormat="0" applyFont="0" applyAlignment="0" applyProtection="0"/>
    <xf numFmtId="167" fontId="47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3" fillId="0" borderId="0"/>
    <xf numFmtId="0" fontId="23" fillId="63" borderId="65" applyNumberFormat="0" applyFont="0" applyAlignment="0" applyProtection="0"/>
    <xf numFmtId="0" fontId="23" fillId="64" borderId="0" applyNumberFormat="0" applyBorder="0" applyAlignment="0" applyProtection="0"/>
    <xf numFmtId="0" fontId="23" fillId="43" borderId="0" applyNumberFormat="0" applyBorder="0" applyAlignment="0" applyProtection="0"/>
    <xf numFmtId="0" fontId="23" fillId="65" borderId="0" applyNumberFormat="0" applyBorder="0" applyAlignment="0" applyProtection="0"/>
    <xf numFmtId="0" fontId="23" fillId="44" borderId="0" applyNumberFormat="0" applyBorder="0" applyAlignment="0" applyProtection="0"/>
    <xf numFmtId="0" fontId="23" fillId="66" borderId="0" applyNumberFormat="0" applyBorder="0" applyAlignment="0" applyProtection="0"/>
    <xf numFmtId="0" fontId="23" fillId="68" borderId="0" applyNumberFormat="0" applyBorder="0" applyAlignment="0" applyProtection="0"/>
    <xf numFmtId="0" fontId="23" fillId="67" borderId="0" applyNumberFormat="0" applyBorder="0" applyAlignment="0" applyProtection="0"/>
    <xf numFmtId="0" fontId="23" fillId="45" borderId="0" applyNumberFormat="0" applyBorder="0" applyAlignment="0" applyProtection="0"/>
    <xf numFmtId="0" fontId="23" fillId="41" borderId="0" applyNumberFormat="0" applyBorder="0" applyAlignment="0" applyProtection="0"/>
    <xf numFmtId="0" fontId="23" fillId="46" borderId="0" applyNumberFormat="0" applyBorder="0" applyAlignment="0" applyProtection="0"/>
    <xf numFmtId="0" fontId="23" fillId="42" borderId="0" applyNumberFormat="0" applyBorder="0" applyAlignment="0" applyProtection="0"/>
    <xf numFmtId="0" fontId="23" fillId="47" borderId="0" applyNumberFormat="0" applyBorder="0" applyAlignment="0" applyProtection="0"/>
    <xf numFmtId="0" fontId="23" fillId="64" borderId="0" applyNumberFormat="0" applyBorder="0" applyAlignment="0" applyProtection="0"/>
    <xf numFmtId="0" fontId="23" fillId="64" borderId="0" applyNumberFormat="0" applyBorder="0" applyAlignment="0" applyProtection="0"/>
    <xf numFmtId="0" fontId="23" fillId="64" borderId="0" applyNumberFormat="0" applyBorder="0" applyAlignment="0" applyProtection="0"/>
    <xf numFmtId="0" fontId="23" fillId="64" borderId="0" applyNumberFormat="0" applyBorder="0" applyAlignment="0" applyProtection="0"/>
    <xf numFmtId="0" fontId="23" fillId="8" borderId="0" applyNumberFormat="0" applyBorder="0" applyAlignment="0" applyProtection="0"/>
    <xf numFmtId="0" fontId="23" fillId="64" borderId="0" applyNumberFormat="0" applyBorder="0" applyAlignment="0" applyProtection="0"/>
    <xf numFmtId="0" fontId="23" fillId="8" borderId="0" applyNumberFormat="0" applyBorder="0" applyAlignment="0" applyProtection="0"/>
    <xf numFmtId="0" fontId="23" fillId="64" borderId="0" applyNumberFormat="0" applyBorder="0" applyAlignment="0" applyProtection="0"/>
    <xf numFmtId="0" fontId="23" fillId="64" borderId="0" applyNumberFormat="0" applyBorder="0" applyAlignment="0" applyProtection="0"/>
    <xf numFmtId="0" fontId="23" fillId="64" borderId="0" applyNumberFormat="0" applyBorder="0" applyAlignment="0" applyProtection="0"/>
    <xf numFmtId="0" fontId="23" fillId="65" borderId="0" applyNumberFormat="0" applyBorder="0" applyAlignment="0" applyProtection="0"/>
    <xf numFmtId="0" fontId="23" fillId="65" borderId="0" applyNumberFormat="0" applyBorder="0" applyAlignment="0" applyProtection="0"/>
    <xf numFmtId="0" fontId="23" fillId="65" borderId="0" applyNumberFormat="0" applyBorder="0" applyAlignment="0" applyProtection="0"/>
    <xf numFmtId="0" fontId="23" fillId="65" borderId="0" applyNumberFormat="0" applyBorder="0" applyAlignment="0" applyProtection="0"/>
    <xf numFmtId="0" fontId="23" fillId="9" borderId="0" applyNumberFormat="0" applyBorder="0" applyAlignment="0" applyProtection="0"/>
    <xf numFmtId="0" fontId="23" fillId="65" borderId="0" applyNumberFormat="0" applyBorder="0" applyAlignment="0" applyProtection="0"/>
    <xf numFmtId="0" fontId="23" fillId="9" borderId="0" applyNumberFormat="0" applyBorder="0" applyAlignment="0" applyProtection="0"/>
    <xf numFmtId="0" fontId="23" fillId="65" borderId="0" applyNumberFormat="0" applyBorder="0" applyAlignment="0" applyProtection="0"/>
    <xf numFmtId="0" fontId="23" fillId="65" borderId="0" applyNumberFormat="0" applyBorder="0" applyAlignment="0" applyProtection="0"/>
    <xf numFmtId="0" fontId="23" fillId="65" borderId="0" applyNumberFormat="0" applyBorder="0" applyAlignment="0" applyProtection="0"/>
    <xf numFmtId="0" fontId="23" fillId="66" borderId="0" applyNumberFormat="0" applyBorder="0" applyAlignment="0" applyProtection="0"/>
    <xf numFmtId="0" fontId="23" fillId="66" borderId="0" applyNumberFormat="0" applyBorder="0" applyAlignment="0" applyProtection="0"/>
    <xf numFmtId="0" fontId="23" fillId="66" borderId="0" applyNumberFormat="0" applyBorder="0" applyAlignment="0" applyProtection="0"/>
    <xf numFmtId="0" fontId="23" fillId="66" borderId="0" applyNumberFormat="0" applyBorder="0" applyAlignment="0" applyProtection="0"/>
    <xf numFmtId="0" fontId="23" fillId="23" borderId="0" applyNumberFormat="0" applyBorder="0" applyAlignment="0" applyProtection="0"/>
    <xf numFmtId="0" fontId="23" fillId="66" borderId="0" applyNumberFormat="0" applyBorder="0" applyAlignment="0" applyProtection="0"/>
    <xf numFmtId="0" fontId="23" fillId="23" borderId="0" applyNumberFormat="0" applyBorder="0" applyAlignment="0" applyProtection="0"/>
    <xf numFmtId="0" fontId="23" fillId="66" borderId="0" applyNumberFormat="0" applyBorder="0" applyAlignment="0" applyProtection="0"/>
    <xf numFmtId="0" fontId="23" fillId="66" borderId="0" applyNumberFormat="0" applyBorder="0" applyAlignment="0" applyProtection="0"/>
    <xf numFmtId="0" fontId="23" fillId="66" borderId="0" applyNumberFormat="0" applyBorder="0" applyAlignment="0" applyProtection="0"/>
    <xf numFmtId="0" fontId="23" fillId="67" borderId="0" applyNumberFormat="0" applyBorder="0" applyAlignment="0" applyProtection="0"/>
    <xf numFmtId="0" fontId="23" fillId="67" borderId="0" applyNumberFormat="0" applyBorder="0" applyAlignment="0" applyProtection="0"/>
    <xf numFmtId="0" fontId="23" fillId="67" borderId="0" applyNumberFormat="0" applyBorder="0" applyAlignment="0" applyProtection="0"/>
    <xf numFmtId="0" fontId="23" fillId="67" borderId="0" applyNumberFormat="0" applyBorder="0" applyAlignment="0" applyProtection="0"/>
    <xf numFmtId="0" fontId="23" fillId="7" borderId="0" applyNumberFormat="0" applyBorder="0" applyAlignment="0" applyProtection="0"/>
    <xf numFmtId="0" fontId="23" fillId="67" borderId="0" applyNumberFormat="0" applyBorder="0" applyAlignment="0" applyProtection="0"/>
    <xf numFmtId="0" fontId="23" fillId="7" borderId="0" applyNumberFormat="0" applyBorder="0" applyAlignment="0" applyProtection="0"/>
    <xf numFmtId="0" fontId="23" fillId="67" borderId="0" applyNumberFormat="0" applyBorder="0" applyAlignment="0" applyProtection="0"/>
    <xf numFmtId="0" fontId="23" fillId="67" borderId="0" applyNumberFormat="0" applyBorder="0" applyAlignment="0" applyProtection="0"/>
    <xf numFmtId="0" fontId="23" fillId="67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23" borderId="0" applyNumberFormat="0" applyBorder="0" applyAlignment="0" applyProtection="0"/>
    <xf numFmtId="0" fontId="23" fillId="42" borderId="0" applyNumberFormat="0" applyBorder="0" applyAlignment="0" applyProtection="0"/>
    <xf numFmtId="0" fontId="23" fillId="23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6" borderId="0" applyNumberFormat="0" applyBorder="0" applyAlignment="0" applyProtection="0"/>
    <xf numFmtId="0" fontId="23" fillId="43" borderId="0" applyNumberFormat="0" applyBorder="0" applyAlignment="0" applyProtection="0"/>
    <xf numFmtId="0" fontId="23" fillId="6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68" borderId="0" applyNumberFormat="0" applyBorder="0" applyAlignment="0" applyProtection="0"/>
    <xf numFmtId="0" fontId="23" fillId="68" borderId="0" applyNumberFormat="0" applyBorder="0" applyAlignment="0" applyProtection="0"/>
    <xf numFmtId="0" fontId="23" fillId="68" borderId="0" applyNumberFormat="0" applyBorder="0" applyAlignment="0" applyProtection="0"/>
    <xf numFmtId="0" fontId="23" fillId="68" borderId="0" applyNumberFormat="0" applyBorder="0" applyAlignment="0" applyProtection="0"/>
    <xf numFmtId="0" fontId="23" fillId="22" borderId="0" applyNumberFormat="0" applyBorder="0" applyAlignment="0" applyProtection="0"/>
    <xf numFmtId="0" fontId="23" fillId="68" borderId="0" applyNumberFormat="0" applyBorder="0" applyAlignment="0" applyProtection="0"/>
    <xf numFmtId="0" fontId="23" fillId="22" borderId="0" applyNumberFormat="0" applyBorder="0" applyAlignment="0" applyProtection="0"/>
    <xf numFmtId="0" fontId="23" fillId="68" borderId="0" applyNumberFormat="0" applyBorder="0" applyAlignment="0" applyProtection="0"/>
    <xf numFmtId="0" fontId="23" fillId="68" borderId="0" applyNumberFormat="0" applyBorder="0" applyAlignment="0" applyProtection="0"/>
    <xf numFmtId="0" fontId="23" fillId="68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3" borderId="0" applyNumberFormat="0" applyBorder="0" applyAlignment="0" applyProtection="0"/>
    <xf numFmtId="0" fontId="23" fillId="45" borderId="0" applyNumberFormat="0" applyBorder="0" applyAlignment="0" applyProtection="0"/>
    <xf numFmtId="0" fontId="23" fillId="3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6" borderId="0" applyNumberFormat="0" applyBorder="0" applyAlignment="0" applyProtection="0"/>
    <xf numFmtId="0" fontId="23" fillId="46" borderId="0" applyNumberFormat="0" applyBorder="0" applyAlignment="0" applyProtection="0"/>
    <xf numFmtId="0" fontId="23" fillId="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23" borderId="0" applyNumberFormat="0" applyBorder="0" applyAlignment="0" applyProtection="0"/>
    <xf numFmtId="0" fontId="23" fillId="47" borderId="0" applyNumberFormat="0" applyBorder="0" applyAlignment="0" applyProtection="0"/>
    <xf numFmtId="0" fontId="23" fillId="23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70" fillId="0" borderId="0" applyFont="0" applyFill="0" applyBorder="0" applyAlignment="0" applyProtection="0"/>
    <xf numFmtId="0" fontId="23" fillId="63" borderId="65" applyNumberFormat="0" applyFont="0" applyAlignment="0" applyProtection="0"/>
    <xf numFmtId="167" fontId="47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23" fillId="63" borderId="65" applyNumberFormat="0" applyFont="0" applyAlignment="0" applyProtection="0"/>
    <xf numFmtId="167" fontId="47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22" fillId="0" borderId="0"/>
    <xf numFmtId="0" fontId="22" fillId="63" borderId="65" applyNumberFormat="0" applyFont="0" applyAlignment="0" applyProtection="0"/>
    <xf numFmtId="0" fontId="22" fillId="64" borderId="0" applyNumberFormat="0" applyBorder="0" applyAlignment="0" applyProtection="0"/>
    <xf numFmtId="0" fontId="22" fillId="43" borderId="0" applyNumberFormat="0" applyBorder="0" applyAlignment="0" applyProtection="0"/>
    <xf numFmtId="0" fontId="22" fillId="65" borderId="0" applyNumberFormat="0" applyBorder="0" applyAlignment="0" applyProtection="0"/>
    <xf numFmtId="0" fontId="22" fillId="44" borderId="0" applyNumberFormat="0" applyBorder="0" applyAlignment="0" applyProtection="0"/>
    <xf numFmtId="0" fontId="22" fillId="66" borderId="0" applyNumberFormat="0" applyBorder="0" applyAlignment="0" applyProtection="0"/>
    <xf numFmtId="0" fontId="22" fillId="68" borderId="0" applyNumberFormat="0" applyBorder="0" applyAlignment="0" applyProtection="0"/>
    <xf numFmtId="0" fontId="22" fillId="67" borderId="0" applyNumberFormat="0" applyBorder="0" applyAlignment="0" applyProtection="0"/>
    <xf numFmtId="0" fontId="22" fillId="45" borderId="0" applyNumberFormat="0" applyBorder="0" applyAlignment="0" applyProtection="0"/>
    <xf numFmtId="0" fontId="22" fillId="41" borderId="0" applyNumberFormat="0" applyBorder="0" applyAlignment="0" applyProtection="0"/>
    <xf numFmtId="0" fontId="22" fillId="46" borderId="0" applyNumberFormat="0" applyBorder="0" applyAlignment="0" applyProtection="0"/>
    <xf numFmtId="0" fontId="22" fillId="42" borderId="0" applyNumberFormat="0" applyBorder="0" applyAlignment="0" applyProtection="0"/>
    <xf numFmtId="0" fontId="22" fillId="47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8" borderId="0" applyNumberFormat="0" applyBorder="0" applyAlignment="0" applyProtection="0"/>
    <xf numFmtId="0" fontId="22" fillId="64" borderId="0" applyNumberFormat="0" applyBorder="0" applyAlignment="0" applyProtection="0"/>
    <xf numFmtId="0" fontId="22" fillId="8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9" borderId="0" applyNumberFormat="0" applyBorder="0" applyAlignment="0" applyProtection="0"/>
    <xf numFmtId="0" fontId="22" fillId="65" borderId="0" applyNumberFormat="0" applyBorder="0" applyAlignment="0" applyProtection="0"/>
    <xf numFmtId="0" fontId="22" fillId="9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23" borderId="0" applyNumberFormat="0" applyBorder="0" applyAlignment="0" applyProtection="0"/>
    <xf numFmtId="0" fontId="22" fillId="66" borderId="0" applyNumberFormat="0" applyBorder="0" applyAlignment="0" applyProtection="0"/>
    <xf numFmtId="0" fontId="22" fillId="23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7" borderId="0" applyNumberFormat="0" applyBorder="0" applyAlignment="0" applyProtection="0"/>
    <xf numFmtId="0" fontId="22" fillId="67" borderId="0" applyNumberFormat="0" applyBorder="0" applyAlignment="0" applyProtection="0"/>
    <xf numFmtId="0" fontId="22" fillId="67" borderId="0" applyNumberFormat="0" applyBorder="0" applyAlignment="0" applyProtection="0"/>
    <xf numFmtId="0" fontId="22" fillId="67" borderId="0" applyNumberFormat="0" applyBorder="0" applyAlignment="0" applyProtection="0"/>
    <xf numFmtId="0" fontId="22" fillId="7" borderId="0" applyNumberFormat="0" applyBorder="0" applyAlignment="0" applyProtection="0"/>
    <xf numFmtId="0" fontId="22" fillId="67" borderId="0" applyNumberFormat="0" applyBorder="0" applyAlignment="0" applyProtection="0"/>
    <xf numFmtId="0" fontId="22" fillId="7" borderId="0" applyNumberFormat="0" applyBorder="0" applyAlignment="0" applyProtection="0"/>
    <xf numFmtId="0" fontId="22" fillId="67" borderId="0" applyNumberFormat="0" applyBorder="0" applyAlignment="0" applyProtection="0"/>
    <xf numFmtId="0" fontId="22" fillId="67" borderId="0" applyNumberFormat="0" applyBorder="0" applyAlignment="0" applyProtection="0"/>
    <xf numFmtId="0" fontId="22" fillId="67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23" borderId="0" applyNumberFormat="0" applyBorder="0" applyAlignment="0" applyProtection="0"/>
    <xf numFmtId="0" fontId="22" fillId="42" borderId="0" applyNumberFormat="0" applyBorder="0" applyAlignment="0" applyProtection="0"/>
    <xf numFmtId="0" fontId="22" fillId="23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6" borderId="0" applyNumberFormat="0" applyBorder="0" applyAlignment="0" applyProtection="0"/>
    <xf numFmtId="0" fontId="22" fillId="43" borderId="0" applyNumberFormat="0" applyBorder="0" applyAlignment="0" applyProtection="0"/>
    <xf numFmtId="0" fontId="22" fillId="6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68" borderId="0" applyNumberFormat="0" applyBorder="0" applyAlignment="0" applyProtection="0"/>
    <xf numFmtId="0" fontId="22" fillId="68" borderId="0" applyNumberFormat="0" applyBorder="0" applyAlignment="0" applyProtection="0"/>
    <xf numFmtId="0" fontId="22" fillId="68" borderId="0" applyNumberFormat="0" applyBorder="0" applyAlignment="0" applyProtection="0"/>
    <xf numFmtId="0" fontId="22" fillId="68" borderId="0" applyNumberFormat="0" applyBorder="0" applyAlignment="0" applyProtection="0"/>
    <xf numFmtId="0" fontId="22" fillId="22" borderId="0" applyNumberFormat="0" applyBorder="0" applyAlignment="0" applyProtection="0"/>
    <xf numFmtId="0" fontId="22" fillId="68" borderId="0" applyNumberFormat="0" applyBorder="0" applyAlignment="0" applyProtection="0"/>
    <xf numFmtId="0" fontId="22" fillId="22" borderId="0" applyNumberFormat="0" applyBorder="0" applyAlignment="0" applyProtection="0"/>
    <xf numFmtId="0" fontId="22" fillId="68" borderId="0" applyNumberFormat="0" applyBorder="0" applyAlignment="0" applyProtection="0"/>
    <xf numFmtId="0" fontId="22" fillId="68" borderId="0" applyNumberFormat="0" applyBorder="0" applyAlignment="0" applyProtection="0"/>
    <xf numFmtId="0" fontId="22" fillId="68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3" borderId="0" applyNumberFormat="0" applyBorder="0" applyAlignment="0" applyProtection="0"/>
    <xf numFmtId="0" fontId="22" fillId="45" borderId="0" applyNumberFormat="0" applyBorder="0" applyAlignment="0" applyProtection="0"/>
    <xf numFmtId="0" fontId="22" fillId="3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6" borderId="0" applyNumberFormat="0" applyBorder="0" applyAlignment="0" applyProtection="0"/>
    <xf numFmtId="0" fontId="22" fillId="46" borderId="0" applyNumberFormat="0" applyBorder="0" applyAlignment="0" applyProtection="0"/>
    <xf numFmtId="0" fontId="22" fillId="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23" borderId="0" applyNumberFormat="0" applyBorder="0" applyAlignment="0" applyProtection="0"/>
    <xf numFmtId="0" fontId="22" fillId="47" borderId="0" applyNumberFormat="0" applyBorder="0" applyAlignment="0" applyProtection="0"/>
    <xf numFmtId="0" fontId="22" fillId="23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70" fillId="0" borderId="0" applyFont="0" applyFill="0" applyBorder="0" applyAlignment="0" applyProtection="0"/>
    <xf numFmtId="0" fontId="22" fillId="63" borderId="65" applyNumberFormat="0" applyFont="0" applyAlignment="0" applyProtection="0"/>
    <xf numFmtId="167" fontId="47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22" fillId="63" borderId="65" applyNumberFormat="0" applyFont="0" applyAlignment="0" applyProtection="0"/>
    <xf numFmtId="167" fontId="47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1" fillId="0" borderId="0"/>
    <xf numFmtId="0" fontId="21" fillId="63" borderId="65" applyNumberFormat="0" applyFont="0" applyAlignment="0" applyProtection="0"/>
    <xf numFmtId="0" fontId="21" fillId="64" borderId="0" applyNumberFormat="0" applyBorder="0" applyAlignment="0" applyProtection="0"/>
    <xf numFmtId="0" fontId="21" fillId="43" borderId="0" applyNumberFormat="0" applyBorder="0" applyAlignment="0" applyProtection="0"/>
    <xf numFmtId="0" fontId="21" fillId="65" borderId="0" applyNumberFormat="0" applyBorder="0" applyAlignment="0" applyProtection="0"/>
    <xf numFmtId="0" fontId="21" fillId="44" borderId="0" applyNumberFormat="0" applyBorder="0" applyAlignment="0" applyProtection="0"/>
    <xf numFmtId="0" fontId="21" fillId="66" borderId="0" applyNumberFormat="0" applyBorder="0" applyAlignment="0" applyProtection="0"/>
    <xf numFmtId="0" fontId="21" fillId="68" borderId="0" applyNumberFormat="0" applyBorder="0" applyAlignment="0" applyProtection="0"/>
    <xf numFmtId="0" fontId="21" fillId="67" borderId="0" applyNumberFormat="0" applyBorder="0" applyAlignment="0" applyProtection="0"/>
    <xf numFmtId="0" fontId="21" fillId="45" borderId="0" applyNumberFormat="0" applyBorder="0" applyAlignment="0" applyProtection="0"/>
    <xf numFmtId="0" fontId="21" fillId="41" borderId="0" applyNumberFormat="0" applyBorder="0" applyAlignment="0" applyProtection="0"/>
    <xf numFmtId="0" fontId="21" fillId="46" borderId="0" applyNumberFormat="0" applyBorder="0" applyAlignment="0" applyProtection="0"/>
    <xf numFmtId="0" fontId="21" fillId="42" borderId="0" applyNumberFormat="0" applyBorder="0" applyAlignment="0" applyProtection="0"/>
    <xf numFmtId="0" fontId="21" fillId="47" borderId="0" applyNumberFormat="0" applyBorder="0" applyAlignment="0" applyProtection="0"/>
    <xf numFmtId="0" fontId="21" fillId="64" borderId="0" applyNumberFormat="0" applyBorder="0" applyAlignment="0" applyProtection="0"/>
    <xf numFmtId="0" fontId="21" fillId="64" borderId="0" applyNumberFormat="0" applyBorder="0" applyAlignment="0" applyProtection="0"/>
    <xf numFmtId="0" fontId="21" fillId="64" borderId="0" applyNumberFormat="0" applyBorder="0" applyAlignment="0" applyProtection="0"/>
    <xf numFmtId="0" fontId="21" fillId="64" borderId="0" applyNumberFormat="0" applyBorder="0" applyAlignment="0" applyProtection="0"/>
    <xf numFmtId="0" fontId="21" fillId="8" borderId="0" applyNumberFormat="0" applyBorder="0" applyAlignment="0" applyProtection="0"/>
    <xf numFmtId="0" fontId="21" fillId="64" borderId="0" applyNumberFormat="0" applyBorder="0" applyAlignment="0" applyProtection="0"/>
    <xf numFmtId="0" fontId="21" fillId="8" borderId="0" applyNumberFormat="0" applyBorder="0" applyAlignment="0" applyProtection="0"/>
    <xf numFmtId="0" fontId="21" fillId="64" borderId="0" applyNumberFormat="0" applyBorder="0" applyAlignment="0" applyProtection="0"/>
    <xf numFmtId="0" fontId="21" fillId="64" borderId="0" applyNumberFormat="0" applyBorder="0" applyAlignment="0" applyProtection="0"/>
    <xf numFmtId="0" fontId="21" fillId="64" borderId="0" applyNumberFormat="0" applyBorder="0" applyAlignment="0" applyProtection="0"/>
    <xf numFmtId="0" fontId="21" fillId="65" borderId="0" applyNumberFormat="0" applyBorder="0" applyAlignment="0" applyProtection="0"/>
    <xf numFmtId="0" fontId="21" fillId="65" borderId="0" applyNumberFormat="0" applyBorder="0" applyAlignment="0" applyProtection="0"/>
    <xf numFmtId="0" fontId="21" fillId="65" borderId="0" applyNumberFormat="0" applyBorder="0" applyAlignment="0" applyProtection="0"/>
    <xf numFmtId="0" fontId="21" fillId="65" borderId="0" applyNumberFormat="0" applyBorder="0" applyAlignment="0" applyProtection="0"/>
    <xf numFmtId="0" fontId="21" fillId="9" borderId="0" applyNumberFormat="0" applyBorder="0" applyAlignment="0" applyProtection="0"/>
    <xf numFmtId="0" fontId="21" fillId="65" borderId="0" applyNumberFormat="0" applyBorder="0" applyAlignment="0" applyProtection="0"/>
    <xf numFmtId="0" fontId="21" fillId="9" borderId="0" applyNumberFormat="0" applyBorder="0" applyAlignment="0" applyProtection="0"/>
    <xf numFmtId="0" fontId="21" fillId="65" borderId="0" applyNumberFormat="0" applyBorder="0" applyAlignment="0" applyProtection="0"/>
    <xf numFmtId="0" fontId="21" fillId="65" borderId="0" applyNumberFormat="0" applyBorder="0" applyAlignment="0" applyProtection="0"/>
    <xf numFmtId="0" fontId="21" fillId="65" borderId="0" applyNumberFormat="0" applyBorder="0" applyAlignment="0" applyProtection="0"/>
    <xf numFmtId="0" fontId="21" fillId="66" borderId="0" applyNumberFormat="0" applyBorder="0" applyAlignment="0" applyProtection="0"/>
    <xf numFmtId="0" fontId="21" fillId="66" borderId="0" applyNumberFormat="0" applyBorder="0" applyAlignment="0" applyProtection="0"/>
    <xf numFmtId="0" fontId="21" fillId="66" borderId="0" applyNumberFormat="0" applyBorder="0" applyAlignment="0" applyProtection="0"/>
    <xf numFmtId="0" fontId="21" fillId="66" borderId="0" applyNumberFormat="0" applyBorder="0" applyAlignment="0" applyProtection="0"/>
    <xf numFmtId="0" fontId="21" fillId="23" borderId="0" applyNumberFormat="0" applyBorder="0" applyAlignment="0" applyProtection="0"/>
    <xf numFmtId="0" fontId="21" fillId="66" borderId="0" applyNumberFormat="0" applyBorder="0" applyAlignment="0" applyProtection="0"/>
    <xf numFmtId="0" fontId="21" fillId="23" borderId="0" applyNumberFormat="0" applyBorder="0" applyAlignment="0" applyProtection="0"/>
    <xf numFmtId="0" fontId="21" fillId="66" borderId="0" applyNumberFormat="0" applyBorder="0" applyAlignment="0" applyProtection="0"/>
    <xf numFmtId="0" fontId="21" fillId="66" borderId="0" applyNumberFormat="0" applyBorder="0" applyAlignment="0" applyProtection="0"/>
    <xf numFmtId="0" fontId="21" fillId="66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7" borderId="0" applyNumberFormat="0" applyBorder="0" applyAlignment="0" applyProtection="0"/>
    <xf numFmtId="0" fontId="21" fillId="67" borderId="0" applyNumberFormat="0" applyBorder="0" applyAlignment="0" applyProtection="0"/>
    <xf numFmtId="0" fontId="21" fillId="7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23" borderId="0" applyNumberFormat="0" applyBorder="0" applyAlignment="0" applyProtection="0"/>
    <xf numFmtId="0" fontId="21" fillId="42" borderId="0" applyNumberFormat="0" applyBorder="0" applyAlignment="0" applyProtection="0"/>
    <xf numFmtId="0" fontId="21" fillId="23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6" borderId="0" applyNumberFormat="0" applyBorder="0" applyAlignment="0" applyProtection="0"/>
    <xf numFmtId="0" fontId="21" fillId="43" borderId="0" applyNumberFormat="0" applyBorder="0" applyAlignment="0" applyProtection="0"/>
    <xf numFmtId="0" fontId="21" fillId="6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22" borderId="0" applyNumberFormat="0" applyBorder="0" applyAlignment="0" applyProtection="0"/>
    <xf numFmtId="0" fontId="21" fillId="68" borderId="0" applyNumberFormat="0" applyBorder="0" applyAlignment="0" applyProtection="0"/>
    <xf numFmtId="0" fontId="21" fillId="22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3" borderId="0" applyNumberFormat="0" applyBorder="0" applyAlignment="0" applyProtection="0"/>
    <xf numFmtId="0" fontId="21" fillId="45" borderId="0" applyNumberFormat="0" applyBorder="0" applyAlignment="0" applyProtection="0"/>
    <xf numFmtId="0" fontId="21" fillId="3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6" borderId="0" applyNumberFormat="0" applyBorder="0" applyAlignment="0" applyProtection="0"/>
    <xf numFmtId="0" fontId="21" fillId="46" borderId="0" applyNumberFormat="0" applyBorder="0" applyAlignment="0" applyProtection="0"/>
    <xf numFmtId="0" fontId="21" fillId="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23" borderId="0" applyNumberFormat="0" applyBorder="0" applyAlignment="0" applyProtection="0"/>
    <xf numFmtId="0" fontId="21" fillId="47" borderId="0" applyNumberFormat="0" applyBorder="0" applyAlignment="0" applyProtection="0"/>
    <xf numFmtId="0" fontId="21" fillId="23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70" fillId="0" borderId="0" applyFont="0" applyFill="0" applyBorder="0" applyAlignment="0" applyProtection="0"/>
    <xf numFmtId="0" fontId="21" fillId="63" borderId="65" applyNumberFormat="0" applyFont="0" applyAlignment="0" applyProtection="0"/>
    <xf numFmtId="167" fontId="47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63" borderId="65" applyNumberFormat="0" applyFont="0" applyAlignment="0" applyProtection="0"/>
    <xf numFmtId="167" fontId="47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0" fillId="0" borderId="0"/>
    <xf numFmtId="0" fontId="20" fillId="63" borderId="65" applyNumberFormat="0" applyFont="0" applyAlignment="0" applyProtection="0"/>
    <xf numFmtId="0" fontId="20" fillId="64" borderId="0" applyNumberFormat="0" applyBorder="0" applyAlignment="0" applyProtection="0"/>
    <xf numFmtId="0" fontId="20" fillId="43" borderId="0" applyNumberFormat="0" applyBorder="0" applyAlignment="0" applyProtection="0"/>
    <xf numFmtId="0" fontId="20" fillId="65" borderId="0" applyNumberFormat="0" applyBorder="0" applyAlignment="0" applyProtection="0"/>
    <xf numFmtId="0" fontId="20" fillId="44" borderId="0" applyNumberFormat="0" applyBorder="0" applyAlignment="0" applyProtection="0"/>
    <xf numFmtId="0" fontId="20" fillId="66" borderId="0" applyNumberFormat="0" applyBorder="0" applyAlignment="0" applyProtection="0"/>
    <xf numFmtId="0" fontId="20" fillId="68" borderId="0" applyNumberFormat="0" applyBorder="0" applyAlignment="0" applyProtection="0"/>
    <xf numFmtId="0" fontId="20" fillId="67" borderId="0" applyNumberFormat="0" applyBorder="0" applyAlignment="0" applyProtection="0"/>
    <xf numFmtId="0" fontId="20" fillId="45" borderId="0" applyNumberFormat="0" applyBorder="0" applyAlignment="0" applyProtection="0"/>
    <xf numFmtId="0" fontId="20" fillId="41" borderId="0" applyNumberFormat="0" applyBorder="0" applyAlignment="0" applyProtection="0"/>
    <xf numFmtId="0" fontId="20" fillId="46" borderId="0" applyNumberFormat="0" applyBorder="0" applyAlignment="0" applyProtection="0"/>
    <xf numFmtId="0" fontId="20" fillId="42" borderId="0" applyNumberFormat="0" applyBorder="0" applyAlignment="0" applyProtection="0"/>
    <xf numFmtId="0" fontId="20" fillId="47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8" borderId="0" applyNumberFormat="0" applyBorder="0" applyAlignment="0" applyProtection="0"/>
    <xf numFmtId="0" fontId="20" fillId="64" borderId="0" applyNumberFormat="0" applyBorder="0" applyAlignment="0" applyProtection="0"/>
    <xf numFmtId="0" fontId="20" fillId="8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9" borderId="0" applyNumberFormat="0" applyBorder="0" applyAlignment="0" applyProtection="0"/>
    <xf numFmtId="0" fontId="20" fillId="65" borderId="0" applyNumberFormat="0" applyBorder="0" applyAlignment="0" applyProtection="0"/>
    <xf numFmtId="0" fontId="20" fillId="9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23" borderId="0" applyNumberFormat="0" applyBorder="0" applyAlignment="0" applyProtection="0"/>
    <xf numFmtId="0" fontId="20" fillId="66" borderId="0" applyNumberFormat="0" applyBorder="0" applyAlignment="0" applyProtection="0"/>
    <xf numFmtId="0" fontId="20" fillId="23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67" borderId="0" applyNumberFormat="0" applyBorder="0" applyAlignment="0" applyProtection="0"/>
    <xf numFmtId="0" fontId="20" fillId="67" borderId="0" applyNumberFormat="0" applyBorder="0" applyAlignment="0" applyProtection="0"/>
    <xf numFmtId="0" fontId="20" fillId="67" borderId="0" applyNumberFormat="0" applyBorder="0" applyAlignment="0" applyProtection="0"/>
    <xf numFmtId="0" fontId="20" fillId="67" borderId="0" applyNumberFormat="0" applyBorder="0" applyAlignment="0" applyProtection="0"/>
    <xf numFmtId="0" fontId="20" fillId="7" borderId="0" applyNumberFormat="0" applyBorder="0" applyAlignment="0" applyProtection="0"/>
    <xf numFmtId="0" fontId="20" fillId="67" borderId="0" applyNumberFormat="0" applyBorder="0" applyAlignment="0" applyProtection="0"/>
    <xf numFmtId="0" fontId="20" fillId="7" borderId="0" applyNumberFormat="0" applyBorder="0" applyAlignment="0" applyProtection="0"/>
    <xf numFmtId="0" fontId="20" fillId="67" borderId="0" applyNumberFormat="0" applyBorder="0" applyAlignment="0" applyProtection="0"/>
    <xf numFmtId="0" fontId="20" fillId="67" borderId="0" applyNumberFormat="0" applyBorder="0" applyAlignment="0" applyProtection="0"/>
    <xf numFmtId="0" fontId="20" fillId="67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23" borderId="0" applyNumberFormat="0" applyBorder="0" applyAlignment="0" applyProtection="0"/>
    <xf numFmtId="0" fontId="20" fillId="42" borderId="0" applyNumberFormat="0" applyBorder="0" applyAlignment="0" applyProtection="0"/>
    <xf numFmtId="0" fontId="20" fillId="23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6" borderId="0" applyNumberFormat="0" applyBorder="0" applyAlignment="0" applyProtection="0"/>
    <xf numFmtId="0" fontId="20" fillId="43" borderId="0" applyNumberFormat="0" applyBorder="0" applyAlignment="0" applyProtection="0"/>
    <xf numFmtId="0" fontId="20" fillId="6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68" borderId="0" applyNumberFormat="0" applyBorder="0" applyAlignment="0" applyProtection="0"/>
    <xf numFmtId="0" fontId="20" fillId="68" borderId="0" applyNumberFormat="0" applyBorder="0" applyAlignment="0" applyProtection="0"/>
    <xf numFmtId="0" fontId="20" fillId="68" borderId="0" applyNumberFormat="0" applyBorder="0" applyAlignment="0" applyProtection="0"/>
    <xf numFmtId="0" fontId="20" fillId="68" borderId="0" applyNumberFormat="0" applyBorder="0" applyAlignment="0" applyProtection="0"/>
    <xf numFmtId="0" fontId="20" fillId="22" borderId="0" applyNumberFormat="0" applyBorder="0" applyAlignment="0" applyProtection="0"/>
    <xf numFmtId="0" fontId="20" fillId="68" borderId="0" applyNumberFormat="0" applyBorder="0" applyAlignment="0" applyProtection="0"/>
    <xf numFmtId="0" fontId="20" fillId="22" borderId="0" applyNumberFormat="0" applyBorder="0" applyAlignment="0" applyProtection="0"/>
    <xf numFmtId="0" fontId="20" fillId="68" borderId="0" applyNumberFormat="0" applyBorder="0" applyAlignment="0" applyProtection="0"/>
    <xf numFmtId="0" fontId="20" fillId="68" borderId="0" applyNumberFormat="0" applyBorder="0" applyAlignment="0" applyProtection="0"/>
    <xf numFmtId="0" fontId="20" fillId="68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3" borderId="0" applyNumberFormat="0" applyBorder="0" applyAlignment="0" applyProtection="0"/>
    <xf numFmtId="0" fontId="20" fillId="45" borderId="0" applyNumberFormat="0" applyBorder="0" applyAlignment="0" applyProtection="0"/>
    <xf numFmtId="0" fontId="20" fillId="3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6" borderId="0" applyNumberFormat="0" applyBorder="0" applyAlignment="0" applyProtection="0"/>
    <xf numFmtId="0" fontId="20" fillId="46" borderId="0" applyNumberFormat="0" applyBorder="0" applyAlignment="0" applyProtection="0"/>
    <xf numFmtId="0" fontId="20" fillId="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23" borderId="0" applyNumberFormat="0" applyBorder="0" applyAlignment="0" applyProtection="0"/>
    <xf numFmtId="0" fontId="20" fillId="47" borderId="0" applyNumberFormat="0" applyBorder="0" applyAlignment="0" applyProtection="0"/>
    <xf numFmtId="0" fontId="20" fillId="23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5" fontId="2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2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70" fillId="0" borderId="0" applyFont="0" applyFill="0" applyBorder="0" applyAlignment="0" applyProtection="0"/>
    <xf numFmtId="0" fontId="20" fillId="63" borderId="65" applyNumberFormat="0" applyFont="0" applyAlignment="0" applyProtection="0"/>
    <xf numFmtId="167" fontId="47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0" fillId="63" borderId="65" applyNumberFormat="0" applyFont="0" applyAlignment="0" applyProtection="0"/>
    <xf numFmtId="167" fontId="47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19" fillId="0" borderId="0"/>
    <xf numFmtId="0" fontId="19" fillId="63" borderId="65" applyNumberFormat="0" applyFont="0" applyAlignment="0" applyProtection="0"/>
    <xf numFmtId="0" fontId="19" fillId="64" borderId="0" applyNumberFormat="0" applyBorder="0" applyAlignment="0" applyProtection="0"/>
    <xf numFmtId="0" fontId="19" fillId="43" borderId="0" applyNumberFormat="0" applyBorder="0" applyAlignment="0" applyProtection="0"/>
    <xf numFmtId="0" fontId="19" fillId="65" borderId="0" applyNumberFormat="0" applyBorder="0" applyAlignment="0" applyProtection="0"/>
    <xf numFmtId="0" fontId="19" fillId="44" borderId="0" applyNumberFormat="0" applyBorder="0" applyAlignment="0" applyProtection="0"/>
    <xf numFmtId="0" fontId="19" fillId="66" borderId="0" applyNumberFormat="0" applyBorder="0" applyAlignment="0" applyProtection="0"/>
    <xf numFmtId="0" fontId="19" fillId="68" borderId="0" applyNumberFormat="0" applyBorder="0" applyAlignment="0" applyProtection="0"/>
    <xf numFmtId="0" fontId="19" fillId="67" borderId="0" applyNumberFormat="0" applyBorder="0" applyAlignment="0" applyProtection="0"/>
    <xf numFmtId="0" fontId="19" fillId="45" borderId="0" applyNumberFormat="0" applyBorder="0" applyAlignment="0" applyProtection="0"/>
    <xf numFmtId="0" fontId="19" fillId="41" borderId="0" applyNumberFormat="0" applyBorder="0" applyAlignment="0" applyProtection="0"/>
    <xf numFmtId="0" fontId="19" fillId="46" borderId="0" applyNumberFormat="0" applyBorder="0" applyAlignment="0" applyProtection="0"/>
    <xf numFmtId="0" fontId="19" fillId="42" borderId="0" applyNumberFormat="0" applyBorder="0" applyAlignment="0" applyProtection="0"/>
    <xf numFmtId="0" fontId="19" fillId="47" borderId="0" applyNumberFormat="0" applyBorder="0" applyAlignment="0" applyProtection="0"/>
    <xf numFmtId="0" fontId="19" fillId="64" borderId="0" applyNumberFormat="0" applyBorder="0" applyAlignment="0" applyProtection="0"/>
    <xf numFmtId="0" fontId="19" fillId="64" borderId="0" applyNumberFormat="0" applyBorder="0" applyAlignment="0" applyProtection="0"/>
    <xf numFmtId="0" fontId="19" fillId="64" borderId="0" applyNumberFormat="0" applyBorder="0" applyAlignment="0" applyProtection="0"/>
    <xf numFmtId="0" fontId="19" fillId="64" borderId="0" applyNumberFormat="0" applyBorder="0" applyAlignment="0" applyProtection="0"/>
    <xf numFmtId="0" fontId="19" fillId="8" borderId="0" applyNumberFormat="0" applyBorder="0" applyAlignment="0" applyProtection="0"/>
    <xf numFmtId="0" fontId="19" fillId="64" borderId="0" applyNumberFormat="0" applyBorder="0" applyAlignment="0" applyProtection="0"/>
    <xf numFmtId="0" fontId="19" fillId="8" borderId="0" applyNumberFormat="0" applyBorder="0" applyAlignment="0" applyProtection="0"/>
    <xf numFmtId="0" fontId="19" fillId="64" borderId="0" applyNumberFormat="0" applyBorder="0" applyAlignment="0" applyProtection="0"/>
    <xf numFmtId="0" fontId="19" fillId="64" borderId="0" applyNumberFormat="0" applyBorder="0" applyAlignment="0" applyProtection="0"/>
    <xf numFmtId="0" fontId="19" fillId="64" borderId="0" applyNumberFormat="0" applyBorder="0" applyAlignment="0" applyProtection="0"/>
    <xf numFmtId="0" fontId="19" fillId="65" borderId="0" applyNumberFormat="0" applyBorder="0" applyAlignment="0" applyProtection="0"/>
    <xf numFmtId="0" fontId="19" fillId="65" borderId="0" applyNumberFormat="0" applyBorder="0" applyAlignment="0" applyProtection="0"/>
    <xf numFmtId="0" fontId="19" fillId="65" borderId="0" applyNumberFormat="0" applyBorder="0" applyAlignment="0" applyProtection="0"/>
    <xf numFmtId="0" fontId="19" fillId="65" borderId="0" applyNumberFormat="0" applyBorder="0" applyAlignment="0" applyProtection="0"/>
    <xf numFmtId="0" fontId="19" fillId="9" borderId="0" applyNumberFormat="0" applyBorder="0" applyAlignment="0" applyProtection="0"/>
    <xf numFmtId="0" fontId="19" fillId="65" borderId="0" applyNumberFormat="0" applyBorder="0" applyAlignment="0" applyProtection="0"/>
    <xf numFmtId="0" fontId="19" fillId="9" borderId="0" applyNumberFormat="0" applyBorder="0" applyAlignment="0" applyProtection="0"/>
    <xf numFmtId="0" fontId="19" fillId="65" borderId="0" applyNumberFormat="0" applyBorder="0" applyAlignment="0" applyProtection="0"/>
    <xf numFmtId="0" fontId="19" fillId="65" borderId="0" applyNumberFormat="0" applyBorder="0" applyAlignment="0" applyProtection="0"/>
    <xf numFmtId="0" fontId="19" fillId="65" borderId="0" applyNumberFormat="0" applyBorder="0" applyAlignment="0" applyProtection="0"/>
    <xf numFmtId="0" fontId="19" fillId="66" borderId="0" applyNumberFormat="0" applyBorder="0" applyAlignment="0" applyProtection="0"/>
    <xf numFmtId="0" fontId="19" fillId="66" borderId="0" applyNumberFormat="0" applyBorder="0" applyAlignment="0" applyProtection="0"/>
    <xf numFmtId="0" fontId="19" fillId="66" borderId="0" applyNumberFormat="0" applyBorder="0" applyAlignment="0" applyProtection="0"/>
    <xf numFmtId="0" fontId="19" fillId="66" borderId="0" applyNumberFormat="0" applyBorder="0" applyAlignment="0" applyProtection="0"/>
    <xf numFmtId="0" fontId="19" fillId="23" borderId="0" applyNumberFormat="0" applyBorder="0" applyAlignment="0" applyProtection="0"/>
    <xf numFmtId="0" fontId="19" fillId="66" borderId="0" applyNumberFormat="0" applyBorder="0" applyAlignment="0" applyProtection="0"/>
    <xf numFmtId="0" fontId="19" fillId="23" borderId="0" applyNumberFormat="0" applyBorder="0" applyAlignment="0" applyProtection="0"/>
    <xf numFmtId="0" fontId="19" fillId="66" borderId="0" applyNumberFormat="0" applyBorder="0" applyAlignment="0" applyProtection="0"/>
    <xf numFmtId="0" fontId="19" fillId="66" borderId="0" applyNumberFormat="0" applyBorder="0" applyAlignment="0" applyProtection="0"/>
    <xf numFmtId="0" fontId="19" fillId="66" borderId="0" applyNumberFormat="0" applyBorder="0" applyAlignment="0" applyProtection="0"/>
    <xf numFmtId="0" fontId="19" fillId="67" borderId="0" applyNumberFormat="0" applyBorder="0" applyAlignment="0" applyProtection="0"/>
    <xf numFmtId="0" fontId="19" fillId="67" borderId="0" applyNumberFormat="0" applyBorder="0" applyAlignment="0" applyProtection="0"/>
    <xf numFmtId="0" fontId="19" fillId="67" borderId="0" applyNumberFormat="0" applyBorder="0" applyAlignment="0" applyProtection="0"/>
    <xf numFmtId="0" fontId="19" fillId="67" borderId="0" applyNumberFormat="0" applyBorder="0" applyAlignment="0" applyProtection="0"/>
    <xf numFmtId="0" fontId="19" fillId="7" borderId="0" applyNumberFormat="0" applyBorder="0" applyAlignment="0" applyProtection="0"/>
    <xf numFmtId="0" fontId="19" fillId="67" borderId="0" applyNumberFormat="0" applyBorder="0" applyAlignment="0" applyProtection="0"/>
    <xf numFmtId="0" fontId="19" fillId="7" borderId="0" applyNumberFormat="0" applyBorder="0" applyAlignment="0" applyProtection="0"/>
    <xf numFmtId="0" fontId="19" fillId="67" borderId="0" applyNumberFormat="0" applyBorder="0" applyAlignment="0" applyProtection="0"/>
    <xf numFmtId="0" fontId="19" fillId="67" borderId="0" applyNumberFormat="0" applyBorder="0" applyAlignment="0" applyProtection="0"/>
    <xf numFmtId="0" fontId="19" fillId="67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23" borderId="0" applyNumberFormat="0" applyBorder="0" applyAlignment="0" applyProtection="0"/>
    <xf numFmtId="0" fontId="19" fillId="42" borderId="0" applyNumberFormat="0" applyBorder="0" applyAlignment="0" applyProtection="0"/>
    <xf numFmtId="0" fontId="19" fillId="23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6" borderId="0" applyNumberFormat="0" applyBorder="0" applyAlignment="0" applyProtection="0"/>
    <xf numFmtId="0" fontId="19" fillId="43" borderId="0" applyNumberFormat="0" applyBorder="0" applyAlignment="0" applyProtection="0"/>
    <xf numFmtId="0" fontId="19" fillId="6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68" borderId="0" applyNumberFormat="0" applyBorder="0" applyAlignment="0" applyProtection="0"/>
    <xf numFmtId="0" fontId="19" fillId="68" borderId="0" applyNumberFormat="0" applyBorder="0" applyAlignment="0" applyProtection="0"/>
    <xf numFmtId="0" fontId="19" fillId="68" borderId="0" applyNumberFormat="0" applyBorder="0" applyAlignment="0" applyProtection="0"/>
    <xf numFmtId="0" fontId="19" fillId="68" borderId="0" applyNumberFormat="0" applyBorder="0" applyAlignment="0" applyProtection="0"/>
    <xf numFmtId="0" fontId="19" fillId="22" borderId="0" applyNumberFormat="0" applyBorder="0" applyAlignment="0" applyProtection="0"/>
    <xf numFmtId="0" fontId="19" fillId="68" borderId="0" applyNumberFormat="0" applyBorder="0" applyAlignment="0" applyProtection="0"/>
    <xf numFmtId="0" fontId="19" fillId="22" borderId="0" applyNumberFormat="0" applyBorder="0" applyAlignment="0" applyProtection="0"/>
    <xf numFmtId="0" fontId="19" fillId="68" borderId="0" applyNumberFormat="0" applyBorder="0" applyAlignment="0" applyProtection="0"/>
    <xf numFmtId="0" fontId="19" fillId="68" borderId="0" applyNumberFormat="0" applyBorder="0" applyAlignment="0" applyProtection="0"/>
    <xf numFmtId="0" fontId="19" fillId="68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3" borderId="0" applyNumberFormat="0" applyBorder="0" applyAlignment="0" applyProtection="0"/>
    <xf numFmtId="0" fontId="19" fillId="45" borderId="0" applyNumberFormat="0" applyBorder="0" applyAlignment="0" applyProtection="0"/>
    <xf numFmtId="0" fontId="19" fillId="3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6" borderId="0" applyNumberFormat="0" applyBorder="0" applyAlignment="0" applyProtection="0"/>
    <xf numFmtId="0" fontId="19" fillId="46" borderId="0" applyNumberFormat="0" applyBorder="0" applyAlignment="0" applyProtection="0"/>
    <xf numFmtId="0" fontId="19" fillId="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23" borderId="0" applyNumberFormat="0" applyBorder="0" applyAlignment="0" applyProtection="0"/>
    <xf numFmtId="0" fontId="19" fillId="47" borderId="0" applyNumberFormat="0" applyBorder="0" applyAlignment="0" applyProtection="0"/>
    <xf numFmtId="0" fontId="19" fillId="23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5" fontId="19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70" fillId="0" borderId="0" applyFont="0" applyFill="0" applyBorder="0" applyAlignment="0" applyProtection="0"/>
    <xf numFmtId="0" fontId="19" fillId="63" borderId="65" applyNumberFormat="0" applyFont="0" applyAlignment="0" applyProtection="0"/>
    <xf numFmtId="167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9" fillId="63" borderId="65" applyNumberFormat="0" applyFont="0" applyAlignment="0" applyProtection="0"/>
    <xf numFmtId="167" fontId="47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8" fillId="0" borderId="0"/>
    <xf numFmtId="0" fontId="18" fillId="63" borderId="65" applyNumberFormat="0" applyFont="0" applyAlignment="0" applyProtection="0"/>
    <xf numFmtId="0" fontId="18" fillId="64" borderId="0" applyNumberFormat="0" applyBorder="0" applyAlignment="0" applyProtection="0"/>
    <xf numFmtId="0" fontId="18" fillId="43" borderId="0" applyNumberFormat="0" applyBorder="0" applyAlignment="0" applyProtection="0"/>
    <xf numFmtId="0" fontId="18" fillId="65" borderId="0" applyNumberFormat="0" applyBorder="0" applyAlignment="0" applyProtection="0"/>
    <xf numFmtId="0" fontId="18" fillId="44" borderId="0" applyNumberFormat="0" applyBorder="0" applyAlignment="0" applyProtection="0"/>
    <xf numFmtId="0" fontId="18" fillId="66" borderId="0" applyNumberFormat="0" applyBorder="0" applyAlignment="0" applyProtection="0"/>
    <xf numFmtId="0" fontId="18" fillId="68" borderId="0" applyNumberFormat="0" applyBorder="0" applyAlignment="0" applyProtection="0"/>
    <xf numFmtId="0" fontId="18" fillId="67" borderId="0" applyNumberFormat="0" applyBorder="0" applyAlignment="0" applyProtection="0"/>
    <xf numFmtId="0" fontId="18" fillId="45" borderId="0" applyNumberFormat="0" applyBorder="0" applyAlignment="0" applyProtection="0"/>
    <xf numFmtId="0" fontId="18" fillId="41" borderId="0" applyNumberFormat="0" applyBorder="0" applyAlignment="0" applyProtection="0"/>
    <xf numFmtId="0" fontId="18" fillId="46" borderId="0" applyNumberFormat="0" applyBorder="0" applyAlignment="0" applyProtection="0"/>
    <xf numFmtId="0" fontId="18" fillId="42" borderId="0" applyNumberFormat="0" applyBorder="0" applyAlignment="0" applyProtection="0"/>
    <xf numFmtId="0" fontId="18" fillId="47" borderId="0" applyNumberFormat="0" applyBorder="0" applyAlignment="0" applyProtection="0"/>
    <xf numFmtId="0" fontId="18" fillId="64" borderId="0" applyNumberFormat="0" applyBorder="0" applyAlignment="0" applyProtection="0"/>
    <xf numFmtId="0" fontId="18" fillId="64" borderId="0" applyNumberFormat="0" applyBorder="0" applyAlignment="0" applyProtection="0"/>
    <xf numFmtId="0" fontId="18" fillId="64" borderId="0" applyNumberFormat="0" applyBorder="0" applyAlignment="0" applyProtection="0"/>
    <xf numFmtId="0" fontId="18" fillId="64" borderId="0" applyNumberFormat="0" applyBorder="0" applyAlignment="0" applyProtection="0"/>
    <xf numFmtId="0" fontId="18" fillId="8" borderId="0" applyNumberFormat="0" applyBorder="0" applyAlignment="0" applyProtection="0"/>
    <xf numFmtId="0" fontId="18" fillId="64" borderId="0" applyNumberFormat="0" applyBorder="0" applyAlignment="0" applyProtection="0"/>
    <xf numFmtId="0" fontId="18" fillId="8" borderId="0" applyNumberFormat="0" applyBorder="0" applyAlignment="0" applyProtection="0"/>
    <xf numFmtId="0" fontId="18" fillId="64" borderId="0" applyNumberFormat="0" applyBorder="0" applyAlignment="0" applyProtection="0"/>
    <xf numFmtId="0" fontId="18" fillId="64" borderId="0" applyNumberFormat="0" applyBorder="0" applyAlignment="0" applyProtection="0"/>
    <xf numFmtId="0" fontId="18" fillId="64" borderId="0" applyNumberFormat="0" applyBorder="0" applyAlignment="0" applyProtection="0"/>
    <xf numFmtId="0" fontId="18" fillId="65" borderId="0" applyNumberFormat="0" applyBorder="0" applyAlignment="0" applyProtection="0"/>
    <xf numFmtId="0" fontId="18" fillId="65" borderId="0" applyNumberFormat="0" applyBorder="0" applyAlignment="0" applyProtection="0"/>
    <xf numFmtId="0" fontId="18" fillId="65" borderId="0" applyNumberFormat="0" applyBorder="0" applyAlignment="0" applyProtection="0"/>
    <xf numFmtId="0" fontId="18" fillId="65" borderId="0" applyNumberFormat="0" applyBorder="0" applyAlignment="0" applyProtection="0"/>
    <xf numFmtId="0" fontId="18" fillId="9" borderId="0" applyNumberFormat="0" applyBorder="0" applyAlignment="0" applyProtection="0"/>
    <xf numFmtId="0" fontId="18" fillId="65" borderId="0" applyNumberFormat="0" applyBorder="0" applyAlignment="0" applyProtection="0"/>
    <xf numFmtId="0" fontId="18" fillId="9" borderId="0" applyNumberFormat="0" applyBorder="0" applyAlignment="0" applyProtection="0"/>
    <xf numFmtId="0" fontId="18" fillId="65" borderId="0" applyNumberFormat="0" applyBorder="0" applyAlignment="0" applyProtection="0"/>
    <xf numFmtId="0" fontId="18" fillId="65" borderId="0" applyNumberFormat="0" applyBorder="0" applyAlignment="0" applyProtection="0"/>
    <xf numFmtId="0" fontId="18" fillId="65" borderId="0" applyNumberFormat="0" applyBorder="0" applyAlignment="0" applyProtection="0"/>
    <xf numFmtId="0" fontId="18" fillId="66" borderId="0" applyNumberFormat="0" applyBorder="0" applyAlignment="0" applyProtection="0"/>
    <xf numFmtId="0" fontId="18" fillId="66" borderId="0" applyNumberFormat="0" applyBorder="0" applyAlignment="0" applyProtection="0"/>
    <xf numFmtId="0" fontId="18" fillId="66" borderId="0" applyNumberFormat="0" applyBorder="0" applyAlignment="0" applyProtection="0"/>
    <xf numFmtId="0" fontId="18" fillId="66" borderId="0" applyNumberFormat="0" applyBorder="0" applyAlignment="0" applyProtection="0"/>
    <xf numFmtId="0" fontId="18" fillId="23" borderId="0" applyNumberFormat="0" applyBorder="0" applyAlignment="0" applyProtection="0"/>
    <xf numFmtId="0" fontId="18" fillId="66" borderId="0" applyNumberFormat="0" applyBorder="0" applyAlignment="0" applyProtection="0"/>
    <xf numFmtId="0" fontId="18" fillId="23" borderId="0" applyNumberFormat="0" applyBorder="0" applyAlignment="0" applyProtection="0"/>
    <xf numFmtId="0" fontId="18" fillId="66" borderId="0" applyNumberFormat="0" applyBorder="0" applyAlignment="0" applyProtection="0"/>
    <xf numFmtId="0" fontId="18" fillId="66" borderId="0" applyNumberFormat="0" applyBorder="0" applyAlignment="0" applyProtection="0"/>
    <xf numFmtId="0" fontId="18" fillId="66" borderId="0" applyNumberFormat="0" applyBorder="0" applyAlignment="0" applyProtection="0"/>
    <xf numFmtId="0" fontId="18" fillId="67" borderId="0" applyNumberFormat="0" applyBorder="0" applyAlignment="0" applyProtection="0"/>
    <xf numFmtId="0" fontId="18" fillId="67" borderId="0" applyNumberFormat="0" applyBorder="0" applyAlignment="0" applyProtection="0"/>
    <xf numFmtId="0" fontId="18" fillId="67" borderId="0" applyNumberFormat="0" applyBorder="0" applyAlignment="0" applyProtection="0"/>
    <xf numFmtId="0" fontId="18" fillId="67" borderId="0" applyNumberFormat="0" applyBorder="0" applyAlignment="0" applyProtection="0"/>
    <xf numFmtId="0" fontId="18" fillId="7" borderId="0" applyNumberFormat="0" applyBorder="0" applyAlignment="0" applyProtection="0"/>
    <xf numFmtId="0" fontId="18" fillId="67" borderId="0" applyNumberFormat="0" applyBorder="0" applyAlignment="0" applyProtection="0"/>
    <xf numFmtId="0" fontId="18" fillId="7" borderId="0" applyNumberFormat="0" applyBorder="0" applyAlignment="0" applyProtection="0"/>
    <xf numFmtId="0" fontId="18" fillId="67" borderId="0" applyNumberFormat="0" applyBorder="0" applyAlignment="0" applyProtection="0"/>
    <xf numFmtId="0" fontId="18" fillId="67" borderId="0" applyNumberFormat="0" applyBorder="0" applyAlignment="0" applyProtection="0"/>
    <xf numFmtId="0" fontId="18" fillId="67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23" borderId="0" applyNumberFormat="0" applyBorder="0" applyAlignment="0" applyProtection="0"/>
    <xf numFmtId="0" fontId="18" fillId="42" borderId="0" applyNumberFormat="0" applyBorder="0" applyAlignment="0" applyProtection="0"/>
    <xf numFmtId="0" fontId="18" fillId="23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6" borderId="0" applyNumberFormat="0" applyBorder="0" applyAlignment="0" applyProtection="0"/>
    <xf numFmtId="0" fontId="18" fillId="43" borderId="0" applyNumberFormat="0" applyBorder="0" applyAlignment="0" applyProtection="0"/>
    <xf numFmtId="0" fontId="18" fillId="6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22" borderId="0" applyNumberFormat="0" applyBorder="0" applyAlignment="0" applyProtection="0"/>
    <xf numFmtId="0" fontId="18" fillId="68" borderId="0" applyNumberFormat="0" applyBorder="0" applyAlignment="0" applyProtection="0"/>
    <xf numFmtId="0" fontId="18" fillId="22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68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3" borderId="0" applyNumberFormat="0" applyBorder="0" applyAlignment="0" applyProtection="0"/>
    <xf numFmtId="0" fontId="18" fillId="45" borderId="0" applyNumberFormat="0" applyBorder="0" applyAlignment="0" applyProtection="0"/>
    <xf numFmtId="0" fontId="18" fillId="3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6" borderId="0" applyNumberFormat="0" applyBorder="0" applyAlignment="0" applyProtection="0"/>
    <xf numFmtId="0" fontId="18" fillId="46" borderId="0" applyNumberFormat="0" applyBorder="0" applyAlignment="0" applyProtection="0"/>
    <xf numFmtId="0" fontId="18" fillId="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23" borderId="0" applyNumberFormat="0" applyBorder="0" applyAlignment="0" applyProtection="0"/>
    <xf numFmtId="0" fontId="18" fillId="47" borderId="0" applyNumberFormat="0" applyBorder="0" applyAlignment="0" applyProtection="0"/>
    <xf numFmtId="0" fontId="18" fillId="23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5" fontId="18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18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70" fillId="0" borderId="0" applyFont="0" applyFill="0" applyBorder="0" applyAlignment="0" applyProtection="0"/>
    <xf numFmtId="0" fontId="18" fillId="63" borderId="65" applyNumberFormat="0" applyFont="0" applyAlignment="0" applyProtection="0"/>
    <xf numFmtId="167" fontId="47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63" borderId="65" applyNumberFormat="0" applyFont="0" applyAlignment="0" applyProtection="0"/>
    <xf numFmtId="167" fontId="47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17" fillId="0" borderId="0"/>
    <xf numFmtId="0" fontId="17" fillId="63" borderId="65" applyNumberFormat="0" applyFont="0" applyAlignment="0" applyProtection="0"/>
    <xf numFmtId="0" fontId="17" fillId="64" borderId="0" applyNumberFormat="0" applyBorder="0" applyAlignment="0" applyProtection="0"/>
    <xf numFmtId="0" fontId="17" fillId="43" borderId="0" applyNumberFormat="0" applyBorder="0" applyAlignment="0" applyProtection="0"/>
    <xf numFmtId="0" fontId="17" fillId="65" borderId="0" applyNumberFormat="0" applyBorder="0" applyAlignment="0" applyProtection="0"/>
    <xf numFmtId="0" fontId="17" fillId="44" borderId="0" applyNumberFormat="0" applyBorder="0" applyAlignment="0" applyProtection="0"/>
    <xf numFmtId="0" fontId="17" fillId="66" borderId="0" applyNumberFormat="0" applyBorder="0" applyAlignment="0" applyProtection="0"/>
    <xf numFmtId="0" fontId="17" fillId="68" borderId="0" applyNumberFormat="0" applyBorder="0" applyAlignment="0" applyProtection="0"/>
    <xf numFmtId="0" fontId="17" fillId="67" borderId="0" applyNumberFormat="0" applyBorder="0" applyAlignment="0" applyProtection="0"/>
    <xf numFmtId="0" fontId="17" fillId="45" borderId="0" applyNumberFormat="0" applyBorder="0" applyAlignment="0" applyProtection="0"/>
    <xf numFmtId="0" fontId="17" fillId="41" borderId="0" applyNumberFormat="0" applyBorder="0" applyAlignment="0" applyProtection="0"/>
    <xf numFmtId="0" fontId="17" fillId="46" borderId="0" applyNumberFormat="0" applyBorder="0" applyAlignment="0" applyProtection="0"/>
    <xf numFmtId="0" fontId="17" fillId="42" borderId="0" applyNumberFormat="0" applyBorder="0" applyAlignment="0" applyProtection="0"/>
    <xf numFmtId="0" fontId="17" fillId="47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8" borderId="0" applyNumberFormat="0" applyBorder="0" applyAlignment="0" applyProtection="0"/>
    <xf numFmtId="0" fontId="17" fillId="64" borderId="0" applyNumberFormat="0" applyBorder="0" applyAlignment="0" applyProtection="0"/>
    <xf numFmtId="0" fontId="17" fillId="8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5" borderId="0" applyNumberFormat="0" applyBorder="0" applyAlignment="0" applyProtection="0"/>
    <xf numFmtId="0" fontId="17" fillId="65" borderId="0" applyNumberFormat="0" applyBorder="0" applyAlignment="0" applyProtection="0"/>
    <xf numFmtId="0" fontId="17" fillId="65" borderId="0" applyNumberFormat="0" applyBorder="0" applyAlignment="0" applyProtection="0"/>
    <xf numFmtId="0" fontId="17" fillId="65" borderId="0" applyNumberFormat="0" applyBorder="0" applyAlignment="0" applyProtection="0"/>
    <xf numFmtId="0" fontId="17" fillId="9" borderId="0" applyNumberFormat="0" applyBorder="0" applyAlignment="0" applyProtection="0"/>
    <xf numFmtId="0" fontId="17" fillId="65" borderId="0" applyNumberFormat="0" applyBorder="0" applyAlignment="0" applyProtection="0"/>
    <xf numFmtId="0" fontId="17" fillId="9" borderId="0" applyNumberFormat="0" applyBorder="0" applyAlignment="0" applyProtection="0"/>
    <xf numFmtId="0" fontId="17" fillId="65" borderId="0" applyNumberFormat="0" applyBorder="0" applyAlignment="0" applyProtection="0"/>
    <xf numFmtId="0" fontId="17" fillId="65" borderId="0" applyNumberFormat="0" applyBorder="0" applyAlignment="0" applyProtection="0"/>
    <xf numFmtId="0" fontId="17" fillId="65" borderId="0" applyNumberFormat="0" applyBorder="0" applyAlignment="0" applyProtection="0"/>
    <xf numFmtId="0" fontId="17" fillId="66" borderId="0" applyNumberFormat="0" applyBorder="0" applyAlignment="0" applyProtection="0"/>
    <xf numFmtId="0" fontId="17" fillId="66" borderId="0" applyNumberFormat="0" applyBorder="0" applyAlignment="0" applyProtection="0"/>
    <xf numFmtId="0" fontId="17" fillId="66" borderId="0" applyNumberFormat="0" applyBorder="0" applyAlignment="0" applyProtection="0"/>
    <xf numFmtId="0" fontId="17" fillId="66" borderId="0" applyNumberFormat="0" applyBorder="0" applyAlignment="0" applyProtection="0"/>
    <xf numFmtId="0" fontId="17" fillId="23" borderId="0" applyNumberFormat="0" applyBorder="0" applyAlignment="0" applyProtection="0"/>
    <xf numFmtId="0" fontId="17" fillId="66" borderId="0" applyNumberFormat="0" applyBorder="0" applyAlignment="0" applyProtection="0"/>
    <xf numFmtId="0" fontId="17" fillId="23" borderId="0" applyNumberFormat="0" applyBorder="0" applyAlignment="0" applyProtection="0"/>
    <xf numFmtId="0" fontId="17" fillId="66" borderId="0" applyNumberFormat="0" applyBorder="0" applyAlignment="0" applyProtection="0"/>
    <xf numFmtId="0" fontId="17" fillId="66" borderId="0" applyNumberFormat="0" applyBorder="0" applyAlignment="0" applyProtection="0"/>
    <xf numFmtId="0" fontId="17" fillId="66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7" borderId="0" applyNumberFormat="0" applyBorder="0" applyAlignment="0" applyProtection="0"/>
    <xf numFmtId="0" fontId="17" fillId="67" borderId="0" applyNumberFormat="0" applyBorder="0" applyAlignment="0" applyProtection="0"/>
    <xf numFmtId="0" fontId="17" fillId="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23" borderId="0" applyNumberFormat="0" applyBorder="0" applyAlignment="0" applyProtection="0"/>
    <xf numFmtId="0" fontId="17" fillId="42" borderId="0" applyNumberFormat="0" applyBorder="0" applyAlignment="0" applyProtection="0"/>
    <xf numFmtId="0" fontId="17" fillId="23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6" borderId="0" applyNumberFormat="0" applyBorder="0" applyAlignment="0" applyProtection="0"/>
    <xf numFmtId="0" fontId="17" fillId="43" borderId="0" applyNumberFormat="0" applyBorder="0" applyAlignment="0" applyProtection="0"/>
    <xf numFmtId="0" fontId="17" fillId="6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68" borderId="0" applyNumberFormat="0" applyBorder="0" applyAlignment="0" applyProtection="0"/>
    <xf numFmtId="0" fontId="17" fillId="68" borderId="0" applyNumberFormat="0" applyBorder="0" applyAlignment="0" applyProtection="0"/>
    <xf numFmtId="0" fontId="17" fillId="68" borderId="0" applyNumberFormat="0" applyBorder="0" applyAlignment="0" applyProtection="0"/>
    <xf numFmtId="0" fontId="17" fillId="68" borderId="0" applyNumberFormat="0" applyBorder="0" applyAlignment="0" applyProtection="0"/>
    <xf numFmtId="0" fontId="17" fillId="22" borderId="0" applyNumberFormat="0" applyBorder="0" applyAlignment="0" applyProtection="0"/>
    <xf numFmtId="0" fontId="17" fillId="68" borderId="0" applyNumberFormat="0" applyBorder="0" applyAlignment="0" applyProtection="0"/>
    <xf numFmtId="0" fontId="17" fillId="22" borderId="0" applyNumberFormat="0" applyBorder="0" applyAlignment="0" applyProtection="0"/>
    <xf numFmtId="0" fontId="17" fillId="68" borderId="0" applyNumberFormat="0" applyBorder="0" applyAlignment="0" applyProtection="0"/>
    <xf numFmtId="0" fontId="17" fillId="68" borderId="0" applyNumberFormat="0" applyBorder="0" applyAlignment="0" applyProtection="0"/>
    <xf numFmtId="0" fontId="17" fillId="68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3" borderId="0" applyNumberFormat="0" applyBorder="0" applyAlignment="0" applyProtection="0"/>
    <xf numFmtId="0" fontId="17" fillId="45" borderId="0" applyNumberFormat="0" applyBorder="0" applyAlignment="0" applyProtection="0"/>
    <xf numFmtId="0" fontId="17" fillId="3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6" borderId="0" applyNumberFormat="0" applyBorder="0" applyAlignment="0" applyProtection="0"/>
    <xf numFmtId="0" fontId="17" fillId="46" borderId="0" applyNumberFormat="0" applyBorder="0" applyAlignment="0" applyProtection="0"/>
    <xf numFmtId="0" fontId="17" fillId="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23" borderId="0" applyNumberFormat="0" applyBorder="0" applyAlignment="0" applyProtection="0"/>
    <xf numFmtId="0" fontId="17" fillId="47" borderId="0" applyNumberFormat="0" applyBorder="0" applyAlignment="0" applyProtection="0"/>
    <xf numFmtId="0" fontId="17" fillId="23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5" fontId="1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1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70" fillId="0" borderId="0" applyFont="0" applyFill="0" applyBorder="0" applyAlignment="0" applyProtection="0"/>
    <xf numFmtId="0" fontId="17" fillId="63" borderId="65" applyNumberFormat="0" applyFont="0" applyAlignment="0" applyProtection="0"/>
    <xf numFmtId="167" fontId="4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7" fillId="63" borderId="65" applyNumberFormat="0" applyFont="0" applyAlignment="0" applyProtection="0"/>
    <xf numFmtId="167" fontId="4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6" fillId="0" borderId="0"/>
    <xf numFmtId="0" fontId="16" fillId="63" borderId="65" applyNumberFormat="0" applyFont="0" applyAlignment="0" applyProtection="0"/>
    <xf numFmtId="0" fontId="16" fillId="64" borderId="0" applyNumberFormat="0" applyBorder="0" applyAlignment="0" applyProtection="0"/>
    <xf numFmtId="0" fontId="16" fillId="43" borderId="0" applyNumberFormat="0" applyBorder="0" applyAlignment="0" applyProtection="0"/>
    <xf numFmtId="0" fontId="16" fillId="65" borderId="0" applyNumberFormat="0" applyBorder="0" applyAlignment="0" applyProtection="0"/>
    <xf numFmtId="0" fontId="16" fillId="44" borderId="0" applyNumberFormat="0" applyBorder="0" applyAlignment="0" applyProtection="0"/>
    <xf numFmtId="0" fontId="16" fillId="66" borderId="0" applyNumberFormat="0" applyBorder="0" applyAlignment="0" applyProtection="0"/>
    <xf numFmtId="0" fontId="16" fillId="68" borderId="0" applyNumberFormat="0" applyBorder="0" applyAlignment="0" applyProtection="0"/>
    <xf numFmtId="0" fontId="16" fillId="67" borderId="0" applyNumberFormat="0" applyBorder="0" applyAlignment="0" applyProtection="0"/>
    <xf numFmtId="0" fontId="16" fillId="45" borderId="0" applyNumberFormat="0" applyBorder="0" applyAlignment="0" applyProtection="0"/>
    <xf numFmtId="0" fontId="16" fillId="41" borderId="0" applyNumberFormat="0" applyBorder="0" applyAlignment="0" applyProtection="0"/>
    <xf numFmtId="0" fontId="16" fillId="46" borderId="0" applyNumberFormat="0" applyBorder="0" applyAlignment="0" applyProtection="0"/>
    <xf numFmtId="0" fontId="16" fillId="42" borderId="0" applyNumberFormat="0" applyBorder="0" applyAlignment="0" applyProtection="0"/>
    <xf numFmtId="0" fontId="16" fillId="47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8" borderId="0" applyNumberFormat="0" applyBorder="0" applyAlignment="0" applyProtection="0"/>
    <xf numFmtId="0" fontId="16" fillId="64" borderId="0" applyNumberFormat="0" applyBorder="0" applyAlignment="0" applyProtection="0"/>
    <xf numFmtId="0" fontId="16" fillId="8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9" borderId="0" applyNumberFormat="0" applyBorder="0" applyAlignment="0" applyProtection="0"/>
    <xf numFmtId="0" fontId="16" fillId="65" borderId="0" applyNumberFormat="0" applyBorder="0" applyAlignment="0" applyProtection="0"/>
    <xf numFmtId="0" fontId="16" fillId="9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23" borderId="0" applyNumberFormat="0" applyBorder="0" applyAlignment="0" applyProtection="0"/>
    <xf numFmtId="0" fontId="16" fillId="66" borderId="0" applyNumberFormat="0" applyBorder="0" applyAlignment="0" applyProtection="0"/>
    <xf numFmtId="0" fontId="16" fillId="23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7" borderId="0" applyNumberFormat="0" applyBorder="0" applyAlignment="0" applyProtection="0"/>
    <xf numFmtId="0" fontId="16" fillId="67" borderId="0" applyNumberFormat="0" applyBorder="0" applyAlignment="0" applyProtection="0"/>
    <xf numFmtId="0" fontId="16" fillId="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23" borderId="0" applyNumberFormat="0" applyBorder="0" applyAlignment="0" applyProtection="0"/>
    <xf numFmtId="0" fontId="16" fillId="42" borderId="0" applyNumberFormat="0" applyBorder="0" applyAlignment="0" applyProtection="0"/>
    <xf numFmtId="0" fontId="16" fillId="23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6" borderId="0" applyNumberFormat="0" applyBorder="0" applyAlignment="0" applyProtection="0"/>
    <xf numFmtId="0" fontId="16" fillId="43" borderId="0" applyNumberFormat="0" applyBorder="0" applyAlignment="0" applyProtection="0"/>
    <xf numFmtId="0" fontId="16" fillId="6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68" borderId="0" applyNumberFormat="0" applyBorder="0" applyAlignment="0" applyProtection="0"/>
    <xf numFmtId="0" fontId="16" fillId="68" borderId="0" applyNumberFormat="0" applyBorder="0" applyAlignment="0" applyProtection="0"/>
    <xf numFmtId="0" fontId="16" fillId="68" borderId="0" applyNumberFormat="0" applyBorder="0" applyAlignment="0" applyProtection="0"/>
    <xf numFmtId="0" fontId="16" fillId="68" borderId="0" applyNumberFormat="0" applyBorder="0" applyAlignment="0" applyProtection="0"/>
    <xf numFmtId="0" fontId="16" fillId="22" borderId="0" applyNumberFormat="0" applyBorder="0" applyAlignment="0" applyProtection="0"/>
    <xf numFmtId="0" fontId="16" fillId="68" borderId="0" applyNumberFormat="0" applyBorder="0" applyAlignment="0" applyProtection="0"/>
    <xf numFmtId="0" fontId="16" fillId="22" borderId="0" applyNumberFormat="0" applyBorder="0" applyAlignment="0" applyProtection="0"/>
    <xf numFmtId="0" fontId="16" fillId="68" borderId="0" applyNumberFormat="0" applyBorder="0" applyAlignment="0" applyProtection="0"/>
    <xf numFmtId="0" fontId="16" fillId="68" borderId="0" applyNumberFormat="0" applyBorder="0" applyAlignment="0" applyProtection="0"/>
    <xf numFmtId="0" fontId="16" fillId="68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3" borderId="0" applyNumberFormat="0" applyBorder="0" applyAlignment="0" applyProtection="0"/>
    <xf numFmtId="0" fontId="16" fillId="45" borderId="0" applyNumberFormat="0" applyBorder="0" applyAlignment="0" applyProtection="0"/>
    <xf numFmtId="0" fontId="16" fillId="3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6" borderId="0" applyNumberFormat="0" applyBorder="0" applyAlignment="0" applyProtection="0"/>
    <xf numFmtId="0" fontId="16" fillId="46" borderId="0" applyNumberFormat="0" applyBorder="0" applyAlignment="0" applyProtection="0"/>
    <xf numFmtId="0" fontId="16" fillId="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23" borderId="0" applyNumberFormat="0" applyBorder="0" applyAlignment="0" applyProtection="0"/>
    <xf numFmtId="0" fontId="16" fillId="47" borderId="0" applyNumberFormat="0" applyBorder="0" applyAlignment="0" applyProtection="0"/>
    <xf numFmtId="0" fontId="16" fillId="23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5" fontId="16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16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70" fillId="0" borderId="0" applyFont="0" applyFill="0" applyBorder="0" applyAlignment="0" applyProtection="0"/>
    <xf numFmtId="0" fontId="16" fillId="63" borderId="65" applyNumberFormat="0" applyFont="0" applyAlignment="0" applyProtection="0"/>
    <xf numFmtId="167" fontId="47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63" borderId="65" applyNumberFormat="0" applyFont="0" applyAlignment="0" applyProtection="0"/>
    <xf numFmtId="167" fontId="47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5" fillId="0" borderId="0"/>
    <xf numFmtId="0" fontId="15" fillId="63" borderId="65" applyNumberFormat="0" applyFont="0" applyAlignment="0" applyProtection="0"/>
    <xf numFmtId="0" fontId="15" fillId="64" borderId="0" applyNumberFormat="0" applyBorder="0" applyAlignment="0" applyProtection="0"/>
    <xf numFmtId="0" fontId="15" fillId="43" borderId="0" applyNumberFormat="0" applyBorder="0" applyAlignment="0" applyProtection="0"/>
    <xf numFmtId="0" fontId="15" fillId="65" borderId="0" applyNumberFormat="0" applyBorder="0" applyAlignment="0" applyProtection="0"/>
    <xf numFmtId="0" fontId="15" fillId="44" borderId="0" applyNumberFormat="0" applyBorder="0" applyAlignment="0" applyProtection="0"/>
    <xf numFmtId="0" fontId="15" fillId="66" borderId="0" applyNumberFormat="0" applyBorder="0" applyAlignment="0" applyProtection="0"/>
    <xf numFmtId="0" fontId="15" fillId="68" borderId="0" applyNumberFormat="0" applyBorder="0" applyAlignment="0" applyProtection="0"/>
    <xf numFmtId="0" fontId="15" fillId="67" borderId="0" applyNumberFormat="0" applyBorder="0" applyAlignment="0" applyProtection="0"/>
    <xf numFmtId="0" fontId="15" fillId="45" borderId="0" applyNumberFormat="0" applyBorder="0" applyAlignment="0" applyProtection="0"/>
    <xf numFmtId="0" fontId="15" fillId="41" borderId="0" applyNumberFormat="0" applyBorder="0" applyAlignment="0" applyProtection="0"/>
    <xf numFmtId="0" fontId="15" fillId="46" borderId="0" applyNumberFormat="0" applyBorder="0" applyAlignment="0" applyProtection="0"/>
    <xf numFmtId="0" fontId="15" fillId="42" borderId="0" applyNumberFormat="0" applyBorder="0" applyAlignment="0" applyProtection="0"/>
    <xf numFmtId="0" fontId="15" fillId="47" borderId="0" applyNumberFormat="0" applyBorder="0" applyAlignment="0" applyProtection="0"/>
    <xf numFmtId="0" fontId="15" fillId="64" borderId="0" applyNumberFormat="0" applyBorder="0" applyAlignment="0" applyProtection="0"/>
    <xf numFmtId="0" fontId="15" fillId="64" borderId="0" applyNumberFormat="0" applyBorder="0" applyAlignment="0" applyProtection="0"/>
    <xf numFmtId="0" fontId="15" fillId="64" borderId="0" applyNumberFormat="0" applyBorder="0" applyAlignment="0" applyProtection="0"/>
    <xf numFmtId="0" fontId="15" fillId="64" borderId="0" applyNumberFormat="0" applyBorder="0" applyAlignment="0" applyProtection="0"/>
    <xf numFmtId="0" fontId="15" fillId="8" borderId="0" applyNumberFormat="0" applyBorder="0" applyAlignment="0" applyProtection="0"/>
    <xf numFmtId="0" fontId="15" fillId="64" borderId="0" applyNumberFormat="0" applyBorder="0" applyAlignment="0" applyProtection="0"/>
    <xf numFmtId="0" fontId="15" fillId="8" borderId="0" applyNumberFormat="0" applyBorder="0" applyAlignment="0" applyProtection="0"/>
    <xf numFmtId="0" fontId="15" fillId="64" borderId="0" applyNumberFormat="0" applyBorder="0" applyAlignment="0" applyProtection="0"/>
    <xf numFmtId="0" fontId="15" fillId="64" borderId="0" applyNumberFormat="0" applyBorder="0" applyAlignment="0" applyProtection="0"/>
    <xf numFmtId="0" fontId="15" fillId="64" borderId="0" applyNumberFormat="0" applyBorder="0" applyAlignment="0" applyProtection="0"/>
    <xf numFmtId="0" fontId="15" fillId="65" borderId="0" applyNumberFormat="0" applyBorder="0" applyAlignment="0" applyProtection="0"/>
    <xf numFmtId="0" fontId="15" fillId="65" borderId="0" applyNumberFormat="0" applyBorder="0" applyAlignment="0" applyProtection="0"/>
    <xf numFmtId="0" fontId="15" fillId="65" borderId="0" applyNumberFormat="0" applyBorder="0" applyAlignment="0" applyProtection="0"/>
    <xf numFmtId="0" fontId="15" fillId="65" borderId="0" applyNumberFormat="0" applyBorder="0" applyAlignment="0" applyProtection="0"/>
    <xf numFmtId="0" fontId="15" fillId="9" borderId="0" applyNumberFormat="0" applyBorder="0" applyAlignment="0" applyProtection="0"/>
    <xf numFmtId="0" fontId="15" fillId="65" borderId="0" applyNumberFormat="0" applyBorder="0" applyAlignment="0" applyProtection="0"/>
    <xf numFmtId="0" fontId="15" fillId="9" borderId="0" applyNumberFormat="0" applyBorder="0" applyAlignment="0" applyProtection="0"/>
    <xf numFmtId="0" fontId="15" fillId="65" borderId="0" applyNumberFormat="0" applyBorder="0" applyAlignment="0" applyProtection="0"/>
    <xf numFmtId="0" fontId="15" fillId="65" borderId="0" applyNumberFormat="0" applyBorder="0" applyAlignment="0" applyProtection="0"/>
    <xf numFmtId="0" fontId="15" fillId="65" borderId="0" applyNumberFormat="0" applyBorder="0" applyAlignment="0" applyProtection="0"/>
    <xf numFmtId="0" fontId="15" fillId="66" borderId="0" applyNumberFormat="0" applyBorder="0" applyAlignment="0" applyProtection="0"/>
    <xf numFmtId="0" fontId="15" fillId="66" borderId="0" applyNumberFormat="0" applyBorder="0" applyAlignment="0" applyProtection="0"/>
    <xf numFmtId="0" fontId="15" fillId="66" borderId="0" applyNumberFormat="0" applyBorder="0" applyAlignment="0" applyProtection="0"/>
    <xf numFmtId="0" fontId="15" fillId="66" borderId="0" applyNumberFormat="0" applyBorder="0" applyAlignment="0" applyProtection="0"/>
    <xf numFmtId="0" fontId="15" fillId="23" borderId="0" applyNumberFormat="0" applyBorder="0" applyAlignment="0" applyProtection="0"/>
    <xf numFmtId="0" fontId="15" fillId="66" borderId="0" applyNumberFormat="0" applyBorder="0" applyAlignment="0" applyProtection="0"/>
    <xf numFmtId="0" fontId="15" fillId="23" borderId="0" applyNumberFormat="0" applyBorder="0" applyAlignment="0" applyProtection="0"/>
    <xf numFmtId="0" fontId="15" fillId="66" borderId="0" applyNumberFormat="0" applyBorder="0" applyAlignment="0" applyProtection="0"/>
    <xf numFmtId="0" fontId="15" fillId="66" borderId="0" applyNumberFormat="0" applyBorder="0" applyAlignment="0" applyProtection="0"/>
    <xf numFmtId="0" fontId="15" fillId="66" borderId="0" applyNumberFormat="0" applyBorder="0" applyAlignment="0" applyProtection="0"/>
    <xf numFmtId="0" fontId="15" fillId="67" borderId="0" applyNumberFormat="0" applyBorder="0" applyAlignment="0" applyProtection="0"/>
    <xf numFmtId="0" fontId="15" fillId="67" borderId="0" applyNumberFormat="0" applyBorder="0" applyAlignment="0" applyProtection="0"/>
    <xf numFmtId="0" fontId="15" fillId="67" borderId="0" applyNumberFormat="0" applyBorder="0" applyAlignment="0" applyProtection="0"/>
    <xf numFmtId="0" fontId="15" fillId="67" borderId="0" applyNumberFormat="0" applyBorder="0" applyAlignment="0" applyProtection="0"/>
    <xf numFmtId="0" fontId="15" fillId="7" borderId="0" applyNumberFormat="0" applyBorder="0" applyAlignment="0" applyProtection="0"/>
    <xf numFmtId="0" fontId="15" fillId="67" borderId="0" applyNumberFormat="0" applyBorder="0" applyAlignment="0" applyProtection="0"/>
    <xf numFmtId="0" fontId="15" fillId="7" borderId="0" applyNumberFormat="0" applyBorder="0" applyAlignment="0" applyProtection="0"/>
    <xf numFmtId="0" fontId="15" fillId="67" borderId="0" applyNumberFormat="0" applyBorder="0" applyAlignment="0" applyProtection="0"/>
    <xf numFmtId="0" fontId="15" fillId="67" borderId="0" applyNumberFormat="0" applyBorder="0" applyAlignment="0" applyProtection="0"/>
    <xf numFmtId="0" fontId="15" fillId="67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23" borderId="0" applyNumberFormat="0" applyBorder="0" applyAlignment="0" applyProtection="0"/>
    <xf numFmtId="0" fontId="15" fillId="42" borderId="0" applyNumberFormat="0" applyBorder="0" applyAlignment="0" applyProtection="0"/>
    <xf numFmtId="0" fontId="15" fillId="23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6" borderId="0" applyNumberFormat="0" applyBorder="0" applyAlignment="0" applyProtection="0"/>
    <xf numFmtId="0" fontId="15" fillId="43" borderId="0" applyNumberFormat="0" applyBorder="0" applyAlignment="0" applyProtection="0"/>
    <xf numFmtId="0" fontId="15" fillId="6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68" borderId="0" applyNumberFormat="0" applyBorder="0" applyAlignment="0" applyProtection="0"/>
    <xf numFmtId="0" fontId="15" fillId="68" borderId="0" applyNumberFormat="0" applyBorder="0" applyAlignment="0" applyProtection="0"/>
    <xf numFmtId="0" fontId="15" fillId="68" borderId="0" applyNumberFormat="0" applyBorder="0" applyAlignment="0" applyProtection="0"/>
    <xf numFmtId="0" fontId="15" fillId="68" borderId="0" applyNumberFormat="0" applyBorder="0" applyAlignment="0" applyProtection="0"/>
    <xf numFmtId="0" fontId="15" fillId="22" borderId="0" applyNumberFormat="0" applyBorder="0" applyAlignment="0" applyProtection="0"/>
    <xf numFmtId="0" fontId="15" fillId="68" borderId="0" applyNumberFormat="0" applyBorder="0" applyAlignment="0" applyProtection="0"/>
    <xf numFmtId="0" fontId="15" fillId="22" borderId="0" applyNumberFormat="0" applyBorder="0" applyAlignment="0" applyProtection="0"/>
    <xf numFmtId="0" fontId="15" fillId="68" borderId="0" applyNumberFormat="0" applyBorder="0" applyAlignment="0" applyProtection="0"/>
    <xf numFmtId="0" fontId="15" fillId="68" borderId="0" applyNumberFormat="0" applyBorder="0" applyAlignment="0" applyProtection="0"/>
    <xf numFmtId="0" fontId="15" fillId="68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3" borderId="0" applyNumberFormat="0" applyBorder="0" applyAlignment="0" applyProtection="0"/>
    <xf numFmtId="0" fontId="15" fillId="45" borderId="0" applyNumberFormat="0" applyBorder="0" applyAlignment="0" applyProtection="0"/>
    <xf numFmtId="0" fontId="15" fillId="3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6" borderId="0" applyNumberFormat="0" applyBorder="0" applyAlignment="0" applyProtection="0"/>
    <xf numFmtId="0" fontId="15" fillId="46" borderId="0" applyNumberFormat="0" applyBorder="0" applyAlignment="0" applyProtection="0"/>
    <xf numFmtId="0" fontId="15" fillId="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23" borderId="0" applyNumberFormat="0" applyBorder="0" applyAlignment="0" applyProtection="0"/>
    <xf numFmtId="0" fontId="15" fillId="47" borderId="0" applyNumberFormat="0" applyBorder="0" applyAlignment="0" applyProtection="0"/>
    <xf numFmtId="0" fontId="15" fillId="23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5" fontId="15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15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70" fillId="0" borderId="0" applyFont="0" applyFill="0" applyBorder="0" applyAlignment="0" applyProtection="0"/>
    <xf numFmtId="0" fontId="15" fillId="63" borderId="65" applyNumberFormat="0" applyFont="0" applyAlignment="0" applyProtection="0"/>
    <xf numFmtId="167" fontId="47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63" borderId="65" applyNumberFormat="0" applyFont="0" applyAlignment="0" applyProtection="0"/>
    <xf numFmtId="167" fontId="47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4" fillId="0" borderId="0"/>
    <xf numFmtId="0" fontId="14" fillId="63" borderId="65" applyNumberFormat="0" applyFont="0" applyAlignment="0" applyProtection="0"/>
    <xf numFmtId="0" fontId="14" fillId="64" borderId="0" applyNumberFormat="0" applyBorder="0" applyAlignment="0" applyProtection="0"/>
    <xf numFmtId="0" fontId="14" fillId="43" borderId="0" applyNumberFormat="0" applyBorder="0" applyAlignment="0" applyProtection="0"/>
    <xf numFmtId="0" fontId="14" fillId="65" borderId="0" applyNumberFormat="0" applyBorder="0" applyAlignment="0" applyProtection="0"/>
    <xf numFmtId="0" fontId="14" fillId="44" borderId="0" applyNumberFormat="0" applyBorder="0" applyAlignment="0" applyProtection="0"/>
    <xf numFmtId="0" fontId="14" fillId="66" borderId="0" applyNumberFormat="0" applyBorder="0" applyAlignment="0" applyProtection="0"/>
    <xf numFmtId="0" fontId="14" fillId="68" borderId="0" applyNumberFormat="0" applyBorder="0" applyAlignment="0" applyProtection="0"/>
    <xf numFmtId="0" fontId="14" fillId="67" borderId="0" applyNumberFormat="0" applyBorder="0" applyAlignment="0" applyProtection="0"/>
    <xf numFmtId="0" fontId="14" fillId="45" borderId="0" applyNumberFormat="0" applyBorder="0" applyAlignment="0" applyProtection="0"/>
    <xf numFmtId="0" fontId="14" fillId="41" borderId="0" applyNumberFormat="0" applyBorder="0" applyAlignment="0" applyProtection="0"/>
    <xf numFmtId="0" fontId="14" fillId="46" borderId="0" applyNumberFormat="0" applyBorder="0" applyAlignment="0" applyProtection="0"/>
    <xf numFmtId="0" fontId="14" fillId="42" borderId="0" applyNumberFormat="0" applyBorder="0" applyAlignment="0" applyProtection="0"/>
    <xf numFmtId="0" fontId="14" fillId="47" borderId="0" applyNumberFormat="0" applyBorder="0" applyAlignment="0" applyProtection="0"/>
    <xf numFmtId="0" fontId="14" fillId="64" borderId="0" applyNumberFormat="0" applyBorder="0" applyAlignment="0" applyProtection="0"/>
    <xf numFmtId="0" fontId="14" fillId="64" borderId="0" applyNumberFormat="0" applyBorder="0" applyAlignment="0" applyProtection="0"/>
    <xf numFmtId="0" fontId="14" fillId="64" borderId="0" applyNumberFormat="0" applyBorder="0" applyAlignment="0" applyProtection="0"/>
    <xf numFmtId="0" fontId="14" fillId="64" borderId="0" applyNumberFormat="0" applyBorder="0" applyAlignment="0" applyProtection="0"/>
    <xf numFmtId="0" fontId="14" fillId="8" borderId="0" applyNumberFormat="0" applyBorder="0" applyAlignment="0" applyProtection="0"/>
    <xf numFmtId="0" fontId="14" fillId="64" borderId="0" applyNumberFormat="0" applyBorder="0" applyAlignment="0" applyProtection="0"/>
    <xf numFmtId="0" fontId="14" fillId="8" borderId="0" applyNumberFormat="0" applyBorder="0" applyAlignment="0" applyProtection="0"/>
    <xf numFmtId="0" fontId="14" fillId="64" borderId="0" applyNumberFormat="0" applyBorder="0" applyAlignment="0" applyProtection="0"/>
    <xf numFmtId="0" fontId="14" fillId="64" borderId="0" applyNumberFormat="0" applyBorder="0" applyAlignment="0" applyProtection="0"/>
    <xf numFmtId="0" fontId="14" fillId="64" borderId="0" applyNumberFormat="0" applyBorder="0" applyAlignment="0" applyProtection="0"/>
    <xf numFmtId="0" fontId="14" fillId="65" borderId="0" applyNumberFormat="0" applyBorder="0" applyAlignment="0" applyProtection="0"/>
    <xf numFmtId="0" fontId="14" fillId="65" borderId="0" applyNumberFormat="0" applyBorder="0" applyAlignment="0" applyProtection="0"/>
    <xf numFmtId="0" fontId="14" fillId="65" borderId="0" applyNumberFormat="0" applyBorder="0" applyAlignment="0" applyProtection="0"/>
    <xf numFmtId="0" fontId="14" fillId="65" borderId="0" applyNumberFormat="0" applyBorder="0" applyAlignment="0" applyProtection="0"/>
    <xf numFmtId="0" fontId="14" fillId="9" borderId="0" applyNumberFormat="0" applyBorder="0" applyAlignment="0" applyProtection="0"/>
    <xf numFmtId="0" fontId="14" fillId="65" borderId="0" applyNumberFormat="0" applyBorder="0" applyAlignment="0" applyProtection="0"/>
    <xf numFmtId="0" fontId="14" fillId="9" borderId="0" applyNumberFormat="0" applyBorder="0" applyAlignment="0" applyProtection="0"/>
    <xf numFmtId="0" fontId="14" fillId="65" borderId="0" applyNumberFormat="0" applyBorder="0" applyAlignment="0" applyProtection="0"/>
    <xf numFmtId="0" fontId="14" fillId="65" borderId="0" applyNumberFormat="0" applyBorder="0" applyAlignment="0" applyProtection="0"/>
    <xf numFmtId="0" fontId="14" fillId="65" borderId="0" applyNumberFormat="0" applyBorder="0" applyAlignment="0" applyProtection="0"/>
    <xf numFmtId="0" fontId="14" fillId="66" borderId="0" applyNumberFormat="0" applyBorder="0" applyAlignment="0" applyProtection="0"/>
    <xf numFmtId="0" fontId="14" fillId="66" borderId="0" applyNumberFormat="0" applyBorder="0" applyAlignment="0" applyProtection="0"/>
    <xf numFmtId="0" fontId="14" fillId="66" borderId="0" applyNumberFormat="0" applyBorder="0" applyAlignment="0" applyProtection="0"/>
    <xf numFmtId="0" fontId="14" fillId="66" borderId="0" applyNumberFormat="0" applyBorder="0" applyAlignment="0" applyProtection="0"/>
    <xf numFmtId="0" fontId="14" fillId="23" borderId="0" applyNumberFormat="0" applyBorder="0" applyAlignment="0" applyProtection="0"/>
    <xf numFmtId="0" fontId="14" fillId="66" borderId="0" applyNumberFormat="0" applyBorder="0" applyAlignment="0" applyProtection="0"/>
    <xf numFmtId="0" fontId="14" fillId="23" borderId="0" applyNumberFormat="0" applyBorder="0" applyAlignment="0" applyProtection="0"/>
    <xf numFmtId="0" fontId="14" fillId="66" borderId="0" applyNumberFormat="0" applyBorder="0" applyAlignment="0" applyProtection="0"/>
    <xf numFmtId="0" fontId="14" fillId="66" borderId="0" applyNumberFormat="0" applyBorder="0" applyAlignment="0" applyProtection="0"/>
    <xf numFmtId="0" fontId="14" fillId="66" borderId="0" applyNumberFormat="0" applyBorder="0" applyAlignment="0" applyProtection="0"/>
    <xf numFmtId="0" fontId="14" fillId="67" borderId="0" applyNumberFormat="0" applyBorder="0" applyAlignment="0" applyProtection="0"/>
    <xf numFmtId="0" fontId="14" fillId="67" borderId="0" applyNumberFormat="0" applyBorder="0" applyAlignment="0" applyProtection="0"/>
    <xf numFmtId="0" fontId="14" fillId="67" borderId="0" applyNumberFormat="0" applyBorder="0" applyAlignment="0" applyProtection="0"/>
    <xf numFmtId="0" fontId="14" fillId="67" borderId="0" applyNumberFormat="0" applyBorder="0" applyAlignment="0" applyProtection="0"/>
    <xf numFmtId="0" fontId="14" fillId="7" borderId="0" applyNumberFormat="0" applyBorder="0" applyAlignment="0" applyProtection="0"/>
    <xf numFmtId="0" fontId="14" fillId="67" borderId="0" applyNumberFormat="0" applyBorder="0" applyAlignment="0" applyProtection="0"/>
    <xf numFmtId="0" fontId="14" fillId="7" borderId="0" applyNumberFormat="0" applyBorder="0" applyAlignment="0" applyProtection="0"/>
    <xf numFmtId="0" fontId="14" fillId="67" borderId="0" applyNumberFormat="0" applyBorder="0" applyAlignment="0" applyProtection="0"/>
    <xf numFmtId="0" fontId="14" fillId="67" borderId="0" applyNumberFormat="0" applyBorder="0" applyAlignment="0" applyProtection="0"/>
    <xf numFmtId="0" fontId="14" fillId="67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23" borderId="0" applyNumberFormat="0" applyBorder="0" applyAlignment="0" applyProtection="0"/>
    <xf numFmtId="0" fontId="14" fillId="42" borderId="0" applyNumberFormat="0" applyBorder="0" applyAlignment="0" applyProtection="0"/>
    <xf numFmtId="0" fontId="14" fillId="23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6" borderId="0" applyNumberFormat="0" applyBorder="0" applyAlignment="0" applyProtection="0"/>
    <xf numFmtId="0" fontId="14" fillId="43" borderId="0" applyNumberFormat="0" applyBorder="0" applyAlignment="0" applyProtection="0"/>
    <xf numFmtId="0" fontId="14" fillId="6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68" borderId="0" applyNumberFormat="0" applyBorder="0" applyAlignment="0" applyProtection="0"/>
    <xf numFmtId="0" fontId="14" fillId="68" borderId="0" applyNumberFormat="0" applyBorder="0" applyAlignment="0" applyProtection="0"/>
    <xf numFmtId="0" fontId="14" fillId="68" borderId="0" applyNumberFormat="0" applyBorder="0" applyAlignment="0" applyProtection="0"/>
    <xf numFmtId="0" fontId="14" fillId="68" borderId="0" applyNumberFormat="0" applyBorder="0" applyAlignment="0" applyProtection="0"/>
    <xf numFmtId="0" fontId="14" fillId="22" borderId="0" applyNumberFormat="0" applyBorder="0" applyAlignment="0" applyProtection="0"/>
    <xf numFmtId="0" fontId="14" fillId="68" borderId="0" applyNumberFormat="0" applyBorder="0" applyAlignment="0" applyProtection="0"/>
    <xf numFmtId="0" fontId="14" fillId="22" borderId="0" applyNumberFormat="0" applyBorder="0" applyAlignment="0" applyProtection="0"/>
    <xf numFmtId="0" fontId="14" fillId="68" borderId="0" applyNumberFormat="0" applyBorder="0" applyAlignment="0" applyProtection="0"/>
    <xf numFmtId="0" fontId="14" fillId="68" borderId="0" applyNumberFormat="0" applyBorder="0" applyAlignment="0" applyProtection="0"/>
    <xf numFmtId="0" fontId="14" fillId="68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3" borderId="0" applyNumberFormat="0" applyBorder="0" applyAlignment="0" applyProtection="0"/>
    <xf numFmtId="0" fontId="14" fillId="45" borderId="0" applyNumberFormat="0" applyBorder="0" applyAlignment="0" applyProtection="0"/>
    <xf numFmtId="0" fontId="14" fillId="3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6" borderId="0" applyNumberFormat="0" applyBorder="0" applyAlignment="0" applyProtection="0"/>
    <xf numFmtId="0" fontId="14" fillId="46" borderId="0" applyNumberFormat="0" applyBorder="0" applyAlignment="0" applyProtection="0"/>
    <xf numFmtId="0" fontId="14" fillId="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23" borderId="0" applyNumberFormat="0" applyBorder="0" applyAlignment="0" applyProtection="0"/>
    <xf numFmtId="0" fontId="14" fillId="47" borderId="0" applyNumberFormat="0" applyBorder="0" applyAlignment="0" applyProtection="0"/>
    <xf numFmtId="0" fontId="14" fillId="23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5" fontId="14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14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70" fillId="0" borderId="0" applyFont="0" applyFill="0" applyBorder="0" applyAlignment="0" applyProtection="0"/>
    <xf numFmtId="0" fontId="14" fillId="63" borderId="65" applyNumberFormat="0" applyFont="0" applyAlignment="0" applyProtection="0"/>
    <xf numFmtId="167" fontId="47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63" borderId="65" applyNumberFormat="0" applyFont="0" applyAlignment="0" applyProtection="0"/>
    <xf numFmtId="167" fontId="47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13" fillId="0" borderId="0"/>
    <xf numFmtId="0" fontId="13" fillId="63" borderId="65" applyNumberFormat="0" applyFont="0" applyAlignment="0" applyProtection="0"/>
    <xf numFmtId="0" fontId="13" fillId="64" borderId="0" applyNumberFormat="0" applyBorder="0" applyAlignment="0" applyProtection="0"/>
    <xf numFmtId="0" fontId="13" fillId="43" borderId="0" applyNumberFormat="0" applyBorder="0" applyAlignment="0" applyProtection="0"/>
    <xf numFmtId="0" fontId="13" fillId="65" borderId="0" applyNumberFormat="0" applyBorder="0" applyAlignment="0" applyProtection="0"/>
    <xf numFmtId="0" fontId="13" fillId="44" borderId="0" applyNumberFormat="0" applyBorder="0" applyAlignment="0" applyProtection="0"/>
    <xf numFmtId="0" fontId="13" fillId="66" borderId="0" applyNumberFormat="0" applyBorder="0" applyAlignment="0" applyProtection="0"/>
    <xf numFmtId="0" fontId="13" fillId="68" borderId="0" applyNumberFormat="0" applyBorder="0" applyAlignment="0" applyProtection="0"/>
    <xf numFmtId="0" fontId="13" fillId="67" borderId="0" applyNumberFormat="0" applyBorder="0" applyAlignment="0" applyProtection="0"/>
    <xf numFmtId="0" fontId="13" fillId="45" borderId="0" applyNumberFormat="0" applyBorder="0" applyAlignment="0" applyProtection="0"/>
    <xf numFmtId="0" fontId="13" fillId="41" borderId="0" applyNumberFormat="0" applyBorder="0" applyAlignment="0" applyProtection="0"/>
    <xf numFmtId="0" fontId="13" fillId="46" borderId="0" applyNumberFormat="0" applyBorder="0" applyAlignment="0" applyProtection="0"/>
    <xf numFmtId="0" fontId="13" fillId="42" borderId="0" applyNumberFormat="0" applyBorder="0" applyAlignment="0" applyProtection="0"/>
    <xf numFmtId="0" fontId="13" fillId="47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8" borderId="0" applyNumberFormat="0" applyBorder="0" applyAlignment="0" applyProtection="0"/>
    <xf numFmtId="0" fontId="13" fillId="64" borderId="0" applyNumberFormat="0" applyBorder="0" applyAlignment="0" applyProtection="0"/>
    <xf numFmtId="0" fontId="13" fillId="8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9" borderId="0" applyNumberFormat="0" applyBorder="0" applyAlignment="0" applyProtection="0"/>
    <xf numFmtId="0" fontId="13" fillId="65" borderId="0" applyNumberFormat="0" applyBorder="0" applyAlignment="0" applyProtection="0"/>
    <xf numFmtId="0" fontId="13" fillId="9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23" borderId="0" applyNumberFormat="0" applyBorder="0" applyAlignment="0" applyProtection="0"/>
    <xf numFmtId="0" fontId="13" fillId="66" borderId="0" applyNumberFormat="0" applyBorder="0" applyAlignment="0" applyProtection="0"/>
    <xf numFmtId="0" fontId="13" fillId="23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7" borderId="0" applyNumberFormat="0" applyBorder="0" applyAlignment="0" applyProtection="0"/>
    <xf numFmtId="0" fontId="13" fillId="67" borderId="0" applyNumberFormat="0" applyBorder="0" applyAlignment="0" applyProtection="0"/>
    <xf numFmtId="0" fontId="13" fillId="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23" borderId="0" applyNumberFormat="0" applyBorder="0" applyAlignment="0" applyProtection="0"/>
    <xf numFmtId="0" fontId="13" fillId="42" borderId="0" applyNumberFormat="0" applyBorder="0" applyAlignment="0" applyProtection="0"/>
    <xf numFmtId="0" fontId="13" fillId="23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6" borderId="0" applyNumberFormat="0" applyBorder="0" applyAlignment="0" applyProtection="0"/>
    <xf numFmtId="0" fontId="13" fillId="43" borderId="0" applyNumberFormat="0" applyBorder="0" applyAlignment="0" applyProtection="0"/>
    <xf numFmtId="0" fontId="13" fillId="6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68" borderId="0" applyNumberFormat="0" applyBorder="0" applyAlignment="0" applyProtection="0"/>
    <xf numFmtId="0" fontId="13" fillId="68" borderId="0" applyNumberFormat="0" applyBorder="0" applyAlignment="0" applyProtection="0"/>
    <xf numFmtId="0" fontId="13" fillId="68" borderId="0" applyNumberFormat="0" applyBorder="0" applyAlignment="0" applyProtection="0"/>
    <xf numFmtId="0" fontId="13" fillId="68" borderId="0" applyNumberFormat="0" applyBorder="0" applyAlignment="0" applyProtection="0"/>
    <xf numFmtId="0" fontId="13" fillId="22" borderId="0" applyNumberFormat="0" applyBorder="0" applyAlignment="0" applyProtection="0"/>
    <xf numFmtId="0" fontId="13" fillId="68" borderId="0" applyNumberFormat="0" applyBorder="0" applyAlignment="0" applyProtection="0"/>
    <xf numFmtId="0" fontId="13" fillId="22" borderId="0" applyNumberFormat="0" applyBorder="0" applyAlignment="0" applyProtection="0"/>
    <xf numFmtId="0" fontId="13" fillId="68" borderId="0" applyNumberFormat="0" applyBorder="0" applyAlignment="0" applyProtection="0"/>
    <xf numFmtId="0" fontId="13" fillId="68" borderId="0" applyNumberFormat="0" applyBorder="0" applyAlignment="0" applyProtection="0"/>
    <xf numFmtId="0" fontId="13" fillId="68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3" borderId="0" applyNumberFormat="0" applyBorder="0" applyAlignment="0" applyProtection="0"/>
    <xf numFmtId="0" fontId="13" fillId="45" borderId="0" applyNumberFormat="0" applyBorder="0" applyAlignment="0" applyProtection="0"/>
    <xf numFmtId="0" fontId="13" fillId="3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6" borderId="0" applyNumberFormat="0" applyBorder="0" applyAlignment="0" applyProtection="0"/>
    <xf numFmtId="0" fontId="13" fillId="46" borderId="0" applyNumberFormat="0" applyBorder="0" applyAlignment="0" applyProtection="0"/>
    <xf numFmtId="0" fontId="13" fillId="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23" borderId="0" applyNumberFormat="0" applyBorder="0" applyAlignment="0" applyProtection="0"/>
    <xf numFmtId="0" fontId="13" fillId="47" borderId="0" applyNumberFormat="0" applyBorder="0" applyAlignment="0" applyProtection="0"/>
    <xf numFmtId="0" fontId="13" fillId="23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5" fontId="13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13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70" fillId="0" borderId="0" applyFont="0" applyFill="0" applyBorder="0" applyAlignment="0" applyProtection="0"/>
    <xf numFmtId="0" fontId="13" fillId="63" borderId="65" applyNumberFormat="0" applyFont="0" applyAlignment="0" applyProtection="0"/>
    <xf numFmtId="167" fontId="47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63" borderId="65" applyNumberFormat="0" applyFont="0" applyAlignment="0" applyProtection="0"/>
    <xf numFmtId="167" fontId="47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2" fillId="0" borderId="0"/>
    <xf numFmtId="0" fontId="12" fillId="63" borderId="65" applyNumberFormat="0" applyFont="0" applyAlignment="0" applyProtection="0"/>
    <xf numFmtId="0" fontId="12" fillId="64" borderId="0" applyNumberFormat="0" applyBorder="0" applyAlignment="0" applyProtection="0"/>
    <xf numFmtId="0" fontId="12" fillId="43" borderId="0" applyNumberFormat="0" applyBorder="0" applyAlignment="0" applyProtection="0"/>
    <xf numFmtId="0" fontId="12" fillId="65" borderId="0" applyNumberFormat="0" applyBorder="0" applyAlignment="0" applyProtection="0"/>
    <xf numFmtId="0" fontId="12" fillId="44" borderId="0" applyNumberFormat="0" applyBorder="0" applyAlignment="0" applyProtection="0"/>
    <xf numFmtId="0" fontId="12" fillId="66" borderId="0" applyNumberFormat="0" applyBorder="0" applyAlignment="0" applyProtection="0"/>
    <xf numFmtId="0" fontId="12" fillId="68" borderId="0" applyNumberFormat="0" applyBorder="0" applyAlignment="0" applyProtection="0"/>
    <xf numFmtId="0" fontId="12" fillId="67" borderId="0" applyNumberFormat="0" applyBorder="0" applyAlignment="0" applyProtection="0"/>
    <xf numFmtId="0" fontId="12" fillId="45" borderId="0" applyNumberFormat="0" applyBorder="0" applyAlignment="0" applyProtection="0"/>
    <xf numFmtId="0" fontId="12" fillId="41" borderId="0" applyNumberFormat="0" applyBorder="0" applyAlignment="0" applyProtection="0"/>
    <xf numFmtId="0" fontId="12" fillId="46" borderId="0" applyNumberFormat="0" applyBorder="0" applyAlignment="0" applyProtection="0"/>
    <xf numFmtId="0" fontId="12" fillId="42" borderId="0" applyNumberFormat="0" applyBorder="0" applyAlignment="0" applyProtection="0"/>
    <xf numFmtId="0" fontId="12" fillId="47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8" borderId="0" applyNumberFormat="0" applyBorder="0" applyAlignment="0" applyProtection="0"/>
    <xf numFmtId="0" fontId="12" fillId="64" borderId="0" applyNumberFormat="0" applyBorder="0" applyAlignment="0" applyProtection="0"/>
    <xf numFmtId="0" fontId="12" fillId="8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5" borderId="0" applyNumberFormat="0" applyBorder="0" applyAlignment="0" applyProtection="0"/>
    <xf numFmtId="0" fontId="12" fillId="65" borderId="0" applyNumberFormat="0" applyBorder="0" applyAlignment="0" applyProtection="0"/>
    <xf numFmtId="0" fontId="12" fillId="65" borderId="0" applyNumberFormat="0" applyBorder="0" applyAlignment="0" applyProtection="0"/>
    <xf numFmtId="0" fontId="12" fillId="65" borderId="0" applyNumberFormat="0" applyBorder="0" applyAlignment="0" applyProtection="0"/>
    <xf numFmtId="0" fontId="12" fillId="9" borderId="0" applyNumberFormat="0" applyBorder="0" applyAlignment="0" applyProtection="0"/>
    <xf numFmtId="0" fontId="12" fillId="65" borderId="0" applyNumberFormat="0" applyBorder="0" applyAlignment="0" applyProtection="0"/>
    <xf numFmtId="0" fontId="12" fillId="9" borderId="0" applyNumberFormat="0" applyBorder="0" applyAlignment="0" applyProtection="0"/>
    <xf numFmtId="0" fontId="12" fillId="65" borderId="0" applyNumberFormat="0" applyBorder="0" applyAlignment="0" applyProtection="0"/>
    <xf numFmtId="0" fontId="12" fillId="65" borderId="0" applyNumberFormat="0" applyBorder="0" applyAlignment="0" applyProtection="0"/>
    <xf numFmtId="0" fontId="12" fillId="65" borderId="0" applyNumberFormat="0" applyBorder="0" applyAlignment="0" applyProtection="0"/>
    <xf numFmtId="0" fontId="12" fillId="66" borderId="0" applyNumberFormat="0" applyBorder="0" applyAlignment="0" applyProtection="0"/>
    <xf numFmtId="0" fontId="12" fillId="66" borderId="0" applyNumberFormat="0" applyBorder="0" applyAlignment="0" applyProtection="0"/>
    <xf numFmtId="0" fontId="12" fillId="66" borderId="0" applyNumberFormat="0" applyBorder="0" applyAlignment="0" applyProtection="0"/>
    <xf numFmtId="0" fontId="12" fillId="66" borderId="0" applyNumberFormat="0" applyBorder="0" applyAlignment="0" applyProtection="0"/>
    <xf numFmtId="0" fontId="12" fillId="23" borderId="0" applyNumberFormat="0" applyBorder="0" applyAlignment="0" applyProtection="0"/>
    <xf numFmtId="0" fontId="12" fillId="66" borderId="0" applyNumberFormat="0" applyBorder="0" applyAlignment="0" applyProtection="0"/>
    <xf numFmtId="0" fontId="12" fillId="23" borderId="0" applyNumberFormat="0" applyBorder="0" applyAlignment="0" applyProtection="0"/>
    <xf numFmtId="0" fontId="12" fillId="66" borderId="0" applyNumberFormat="0" applyBorder="0" applyAlignment="0" applyProtection="0"/>
    <xf numFmtId="0" fontId="12" fillId="66" borderId="0" applyNumberFormat="0" applyBorder="0" applyAlignment="0" applyProtection="0"/>
    <xf numFmtId="0" fontId="12" fillId="66" borderId="0" applyNumberFormat="0" applyBorder="0" applyAlignment="0" applyProtection="0"/>
    <xf numFmtId="0" fontId="12" fillId="67" borderId="0" applyNumberFormat="0" applyBorder="0" applyAlignment="0" applyProtection="0"/>
    <xf numFmtId="0" fontId="12" fillId="67" borderId="0" applyNumberFormat="0" applyBorder="0" applyAlignment="0" applyProtection="0"/>
    <xf numFmtId="0" fontId="12" fillId="67" borderId="0" applyNumberFormat="0" applyBorder="0" applyAlignment="0" applyProtection="0"/>
    <xf numFmtId="0" fontId="12" fillId="67" borderId="0" applyNumberFormat="0" applyBorder="0" applyAlignment="0" applyProtection="0"/>
    <xf numFmtId="0" fontId="12" fillId="7" borderId="0" applyNumberFormat="0" applyBorder="0" applyAlignment="0" applyProtection="0"/>
    <xf numFmtId="0" fontId="12" fillId="67" borderId="0" applyNumberFormat="0" applyBorder="0" applyAlignment="0" applyProtection="0"/>
    <xf numFmtId="0" fontId="12" fillId="7" borderId="0" applyNumberFormat="0" applyBorder="0" applyAlignment="0" applyProtection="0"/>
    <xf numFmtId="0" fontId="12" fillId="67" borderId="0" applyNumberFormat="0" applyBorder="0" applyAlignment="0" applyProtection="0"/>
    <xf numFmtId="0" fontId="12" fillId="67" borderId="0" applyNumberFormat="0" applyBorder="0" applyAlignment="0" applyProtection="0"/>
    <xf numFmtId="0" fontId="12" fillId="67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23" borderId="0" applyNumberFormat="0" applyBorder="0" applyAlignment="0" applyProtection="0"/>
    <xf numFmtId="0" fontId="12" fillId="42" borderId="0" applyNumberFormat="0" applyBorder="0" applyAlignment="0" applyProtection="0"/>
    <xf numFmtId="0" fontId="12" fillId="23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6" borderId="0" applyNumberFormat="0" applyBorder="0" applyAlignment="0" applyProtection="0"/>
    <xf numFmtId="0" fontId="12" fillId="43" borderId="0" applyNumberFormat="0" applyBorder="0" applyAlignment="0" applyProtection="0"/>
    <xf numFmtId="0" fontId="12" fillId="6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68" borderId="0" applyNumberFormat="0" applyBorder="0" applyAlignment="0" applyProtection="0"/>
    <xf numFmtId="0" fontId="12" fillId="68" borderId="0" applyNumberFormat="0" applyBorder="0" applyAlignment="0" applyProtection="0"/>
    <xf numFmtId="0" fontId="12" fillId="68" borderId="0" applyNumberFormat="0" applyBorder="0" applyAlignment="0" applyProtection="0"/>
    <xf numFmtId="0" fontId="12" fillId="68" borderId="0" applyNumberFormat="0" applyBorder="0" applyAlignment="0" applyProtection="0"/>
    <xf numFmtId="0" fontId="12" fillId="22" borderId="0" applyNumberFormat="0" applyBorder="0" applyAlignment="0" applyProtection="0"/>
    <xf numFmtId="0" fontId="12" fillId="68" borderId="0" applyNumberFormat="0" applyBorder="0" applyAlignment="0" applyProtection="0"/>
    <xf numFmtId="0" fontId="12" fillId="22" borderId="0" applyNumberFormat="0" applyBorder="0" applyAlignment="0" applyProtection="0"/>
    <xf numFmtId="0" fontId="12" fillId="68" borderId="0" applyNumberFormat="0" applyBorder="0" applyAlignment="0" applyProtection="0"/>
    <xf numFmtId="0" fontId="12" fillId="68" borderId="0" applyNumberFormat="0" applyBorder="0" applyAlignment="0" applyProtection="0"/>
    <xf numFmtId="0" fontId="12" fillId="68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3" borderId="0" applyNumberFormat="0" applyBorder="0" applyAlignment="0" applyProtection="0"/>
    <xf numFmtId="0" fontId="12" fillId="45" borderId="0" applyNumberFormat="0" applyBorder="0" applyAlignment="0" applyProtection="0"/>
    <xf numFmtId="0" fontId="12" fillId="3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6" borderId="0" applyNumberFormat="0" applyBorder="0" applyAlignment="0" applyProtection="0"/>
    <xf numFmtId="0" fontId="12" fillId="46" borderId="0" applyNumberFormat="0" applyBorder="0" applyAlignment="0" applyProtection="0"/>
    <xf numFmtId="0" fontId="12" fillId="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23" borderId="0" applyNumberFormat="0" applyBorder="0" applyAlignment="0" applyProtection="0"/>
    <xf numFmtId="0" fontId="12" fillId="47" borderId="0" applyNumberFormat="0" applyBorder="0" applyAlignment="0" applyProtection="0"/>
    <xf numFmtId="0" fontId="12" fillId="2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7" fontId="209" fillId="0" borderId="0" applyFont="0" applyFill="0" applyBorder="0" applyAlignment="0" applyProtection="0"/>
    <xf numFmtId="165" fontId="12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12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70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115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70" fillId="0" borderId="0" applyFont="0" applyFill="0" applyBorder="0" applyAlignment="0" applyProtection="0"/>
    <xf numFmtId="0" fontId="12" fillId="63" borderId="65" applyNumberFormat="0" applyFont="0" applyAlignment="0" applyProtection="0"/>
    <xf numFmtId="167" fontId="47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63" borderId="65" applyNumberFormat="0" applyFont="0" applyAlignment="0" applyProtection="0"/>
    <xf numFmtId="167" fontId="47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47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63" borderId="65" applyNumberFormat="0" applyFont="0" applyAlignment="0" applyProtection="0"/>
    <xf numFmtId="0" fontId="10" fillId="64" borderId="0" applyNumberFormat="0" applyBorder="0" applyAlignment="0" applyProtection="0"/>
    <xf numFmtId="0" fontId="10" fillId="65" borderId="0" applyNumberFormat="0" applyBorder="0" applyAlignment="0" applyProtection="0"/>
    <xf numFmtId="0" fontId="10" fillId="44" borderId="0" applyNumberFormat="0" applyBorder="0" applyAlignment="0" applyProtection="0"/>
    <xf numFmtId="0" fontId="10" fillId="67" borderId="0" applyNumberFormat="0" applyBorder="0" applyAlignment="0" applyProtection="0"/>
    <xf numFmtId="0" fontId="10" fillId="0" borderId="0"/>
    <xf numFmtId="38" fontId="274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9" fillId="63" borderId="65" applyNumberFormat="0" applyFont="0" applyAlignment="0" applyProtection="0"/>
    <xf numFmtId="0" fontId="9" fillId="64" borderId="0" applyNumberFormat="0" applyBorder="0" applyAlignment="0" applyProtection="0"/>
    <xf numFmtId="0" fontId="9" fillId="65" borderId="0" applyNumberFormat="0" applyBorder="0" applyAlignment="0" applyProtection="0"/>
    <xf numFmtId="0" fontId="9" fillId="44" borderId="0" applyNumberFormat="0" applyBorder="0" applyAlignment="0" applyProtection="0"/>
    <xf numFmtId="0" fontId="9" fillId="67" borderId="0" applyNumberFormat="0" applyBorder="0" applyAlignment="0" applyProtection="0"/>
    <xf numFmtId="41" fontId="9" fillId="0" borderId="0" applyFont="0" applyFill="0" applyBorder="0" applyAlignment="0" applyProtection="0"/>
    <xf numFmtId="0" fontId="277" fillId="62" borderId="0" applyNumberFormat="0" applyBorder="0" applyAlignment="0" applyProtection="0"/>
    <xf numFmtId="0" fontId="8" fillId="64" borderId="0" applyNumberFormat="0" applyBorder="0" applyAlignment="0" applyProtection="0"/>
    <xf numFmtId="0" fontId="8" fillId="65" borderId="0" applyNumberFormat="0" applyBorder="0" applyAlignment="0" applyProtection="0"/>
    <xf numFmtId="0" fontId="8" fillId="66" borderId="0" applyNumberFormat="0" applyBorder="0" applyAlignment="0" applyProtection="0"/>
    <xf numFmtId="0" fontId="8" fillId="67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68" borderId="0" applyNumberFormat="0" applyBorder="0" applyAlignment="0" applyProtection="0"/>
    <xf numFmtId="0" fontId="8" fillId="45" borderId="0" applyNumberFormat="0" applyBorder="0" applyAlignment="0" applyProtection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69" borderId="0" applyNumberFormat="0" applyBorder="0" applyAlignment="0" applyProtection="0"/>
    <xf numFmtId="0" fontId="8" fillId="70" borderId="0" applyNumberFormat="0" applyBorder="0" applyAlignment="0" applyProtection="0"/>
    <xf numFmtId="0" fontId="8" fillId="50" borderId="0" applyNumberFormat="0" applyBorder="0" applyAlignment="0" applyProtection="0"/>
    <xf numFmtId="0" fontId="8" fillId="71" borderId="0" applyNumberFormat="0" applyBorder="0" applyAlignment="0" applyProtection="0"/>
    <xf numFmtId="230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230" fontId="47" fillId="0" borderId="0" applyFont="0" applyFill="0" applyBorder="0" applyAlignment="0" applyProtection="0"/>
    <xf numFmtId="230" fontId="47" fillId="0" borderId="0" applyFont="0" applyFill="0" applyBorder="0" applyAlignment="0" applyProtection="0"/>
    <xf numFmtId="230" fontId="47" fillId="0" borderId="0" applyFont="0" applyFill="0" applyBorder="0" applyAlignment="0" applyProtection="0"/>
    <xf numFmtId="230" fontId="47" fillId="0" borderId="0" applyFont="0" applyFill="0" applyBorder="0" applyAlignment="0" applyProtection="0"/>
    <xf numFmtId="0" fontId="277" fillId="62" borderId="0" applyNumberFormat="0" applyBorder="0" applyAlignment="0" applyProtection="0"/>
    <xf numFmtId="0" fontId="8" fillId="0" borderId="0"/>
    <xf numFmtId="0" fontId="8" fillId="63" borderId="65" applyNumberFormat="0" applyFont="0" applyAlignment="0" applyProtection="0"/>
    <xf numFmtId="0" fontId="282" fillId="0" borderId="0" applyNumberForma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230" fontId="47" fillId="0" borderId="0" applyFont="0" applyFill="0" applyBorder="0" applyAlignment="0" applyProtection="0"/>
    <xf numFmtId="230" fontId="47" fillId="0" borderId="0" applyFont="0" applyFill="0" applyBorder="0" applyAlignment="0" applyProtection="0"/>
    <xf numFmtId="230" fontId="47" fillId="0" borderId="0" applyFont="0" applyFill="0" applyBorder="0" applyAlignment="0" applyProtection="0"/>
    <xf numFmtId="230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8" fillId="64" borderId="0" applyNumberFormat="0" applyBorder="0" applyAlignment="0" applyProtection="0"/>
    <xf numFmtId="0" fontId="8" fillId="65" borderId="0" applyNumberFormat="0" applyBorder="0" applyAlignment="0" applyProtection="0"/>
    <xf numFmtId="0" fontId="8" fillId="66" borderId="0" applyNumberFormat="0" applyBorder="0" applyAlignment="0" applyProtection="0"/>
    <xf numFmtId="0" fontId="8" fillId="67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68" borderId="0" applyNumberFormat="0" applyBorder="0" applyAlignment="0" applyProtection="0"/>
    <xf numFmtId="0" fontId="8" fillId="45" borderId="0" applyNumberFormat="0" applyBorder="0" applyAlignment="0" applyProtection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69" borderId="0" applyNumberFormat="0" applyBorder="0" applyAlignment="0" applyProtection="0"/>
    <xf numFmtId="0" fontId="8" fillId="70" borderId="0" applyNumberFormat="0" applyBorder="0" applyAlignment="0" applyProtection="0"/>
    <xf numFmtId="0" fontId="8" fillId="50" borderId="0" applyNumberFormat="0" applyBorder="0" applyAlignment="0" applyProtection="0"/>
    <xf numFmtId="0" fontId="8" fillId="71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8" fillId="0" borderId="0"/>
    <xf numFmtId="0" fontId="8" fillId="63" borderId="65" applyNumberFormat="0" applyFont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230" fontId="47" fillId="0" borderId="0" applyFont="0" applyFill="0" applyBorder="0" applyAlignment="0" applyProtection="0"/>
    <xf numFmtId="230" fontId="47" fillId="0" borderId="0" applyFont="0" applyFill="0" applyBorder="0" applyAlignment="0" applyProtection="0"/>
    <xf numFmtId="0" fontId="7" fillId="0" borderId="0"/>
    <xf numFmtId="0" fontId="7" fillId="0" borderId="0"/>
    <xf numFmtId="43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63" borderId="65" applyNumberFormat="0" applyFont="0" applyAlignment="0" applyProtection="0"/>
    <xf numFmtId="0" fontId="4" fillId="64" borderId="0" applyNumberFormat="0" applyBorder="0" applyAlignment="0" applyProtection="0"/>
    <xf numFmtId="0" fontId="4" fillId="65" borderId="0" applyNumberFormat="0" applyBorder="0" applyAlignment="0" applyProtection="0"/>
    <xf numFmtId="0" fontId="4" fillId="44" borderId="0" applyNumberFormat="0" applyBorder="0" applyAlignment="0" applyProtection="0"/>
    <xf numFmtId="0" fontId="4" fillId="67" borderId="0" applyNumberFormat="0" applyBorder="0" applyAlignment="0" applyProtection="0"/>
    <xf numFmtId="0" fontId="3" fillId="0" borderId="0"/>
    <xf numFmtId="0" fontId="3" fillId="0" borderId="0"/>
    <xf numFmtId="43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0" fontId="2" fillId="0" borderId="0"/>
    <xf numFmtId="0" fontId="326" fillId="0" borderId="0" applyFill="0" applyBorder="0" applyProtection="0">
      <alignment horizontal="center" wrapText="1"/>
    </xf>
    <xf numFmtId="3" fontId="326" fillId="0" borderId="215" applyFill="0" applyProtection="0">
      <alignment horizontal="center"/>
    </xf>
    <xf numFmtId="0" fontId="327" fillId="0" borderId="0" applyFill="0" applyBorder="0" applyProtection="0">
      <alignment horizontal="left" wrapText="1"/>
    </xf>
    <xf numFmtId="9" fontId="328" fillId="0" borderId="0" applyFill="0" applyBorder="0" applyProtection="0">
      <alignment horizontal="center" vertical="center"/>
    </xf>
    <xf numFmtId="0" fontId="1" fillId="0" borderId="0"/>
    <xf numFmtId="9" fontId="1" fillId="0" borderId="0" applyFont="0" applyFill="0" applyBorder="0" applyAlignment="0" applyProtection="0"/>
  </cellStyleXfs>
  <cellXfs count="4827">
    <xf numFmtId="0" fontId="0" fillId="0" borderId="0" xfId="0"/>
    <xf numFmtId="0" fontId="120" fillId="0" borderId="0" xfId="0" applyFont="1" applyAlignment="1">
      <alignment horizontal="center"/>
    </xf>
    <xf numFmtId="0" fontId="94" fillId="0" borderId="0" xfId="0" applyFont="1"/>
    <xf numFmtId="0" fontId="100" fillId="0" borderId="0" xfId="0" applyFont="1" applyAlignment="1">
      <alignment vertical="center"/>
    </xf>
    <xf numFmtId="0" fontId="101" fillId="0" borderId="0" xfId="0" applyFont="1" applyAlignment="1">
      <alignment vertical="center"/>
    </xf>
    <xf numFmtId="0" fontId="102" fillId="0" borderId="0" xfId="0" applyFont="1" applyAlignment="1">
      <alignment vertical="center"/>
    </xf>
    <xf numFmtId="0" fontId="102" fillId="0" borderId="0" xfId="0" applyFont="1" applyAlignment="1">
      <alignment horizontal="left" vertical="center"/>
    </xf>
    <xf numFmtId="0" fontId="100" fillId="0" borderId="11" xfId="0" applyFont="1" applyBorder="1" applyAlignment="1">
      <alignment horizontal="center" vertical="center"/>
    </xf>
    <xf numFmtId="0" fontId="100" fillId="0" borderId="12" xfId="0" applyFont="1" applyBorder="1" applyAlignment="1">
      <alignment horizontal="center" vertical="center"/>
    </xf>
    <xf numFmtId="0" fontId="100" fillId="0" borderId="13" xfId="0" applyFont="1" applyBorder="1" applyAlignment="1">
      <alignment horizontal="center" vertical="center"/>
    </xf>
    <xf numFmtId="0" fontId="100" fillId="0" borderId="11" xfId="0" applyFont="1" applyBorder="1" applyAlignment="1">
      <alignment vertical="center"/>
    </xf>
    <xf numFmtId="193" fontId="100" fillId="0" borderId="12" xfId="0" applyNumberFormat="1" applyFont="1" applyBorder="1" applyAlignment="1">
      <alignment horizontal="center" vertical="center"/>
    </xf>
    <xf numFmtId="3" fontId="100" fillId="0" borderId="17" xfId="0" applyNumberFormat="1" applyFont="1" applyBorder="1" applyAlignment="1">
      <alignment horizontal="center"/>
    </xf>
    <xf numFmtId="182" fontId="100" fillId="0" borderId="12" xfId="0" applyNumberFormat="1" applyFont="1" applyBorder="1" applyAlignment="1">
      <alignment horizontal="center"/>
    </xf>
    <xf numFmtId="4" fontId="100" fillId="0" borderId="16" xfId="0" applyNumberFormat="1" applyFont="1" applyBorder="1" applyAlignment="1">
      <alignment horizontal="center"/>
    </xf>
    <xf numFmtId="182" fontId="100" fillId="0" borderId="0" xfId="0" applyNumberFormat="1" applyFont="1" applyAlignment="1">
      <alignment horizontal="center"/>
    </xf>
    <xf numFmtId="3" fontId="100" fillId="0" borderId="0" xfId="0" applyNumberFormat="1" applyFont="1" applyAlignment="1">
      <alignment horizontal="center"/>
    </xf>
    <xf numFmtId="176" fontId="100" fillId="0" borderId="0" xfId="0" applyNumberFormat="1" applyFont="1" applyAlignment="1">
      <alignment horizontal="center" vertical="center"/>
    </xf>
    <xf numFmtId="3" fontId="100" fillId="0" borderId="0" xfId="0" applyNumberFormat="1" applyFont="1" applyAlignment="1">
      <alignment vertical="center"/>
    </xf>
    <xf numFmtId="3" fontId="100" fillId="0" borderId="16" xfId="0" applyNumberFormat="1" applyFont="1" applyBorder="1" applyAlignment="1">
      <alignment horizontal="center" vertical="center"/>
    </xf>
    <xf numFmtId="3" fontId="100" fillId="0" borderId="0" xfId="0" applyNumberFormat="1" applyFont="1" applyAlignment="1">
      <alignment horizontal="center" vertical="center"/>
    </xf>
    <xf numFmtId="3" fontId="100" fillId="0" borderId="17" xfId="0" applyNumberFormat="1" applyFont="1" applyBorder="1" applyAlignment="1">
      <alignment horizontal="center" vertical="center"/>
    </xf>
    <xf numFmtId="182" fontId="100" fillId="0" borderId="0" xfId="0" applyNumberFormat="1" applyFont="1" applyAlignment="1">
      <alignment horizontal="center" vertical="center"/>
    </xf>
    <xf numFmtId="3" fontId="100" fillId="0" borderId="18" xfId="0" applyNumberFormat="1" applyFont="1" applyBorder="1" applyAlignment="1">
      <alignment horizontal="center"/>
    </xf>
    <xf numFmtId="3" fontId="100" fillId="0" borderId="19" xfId="0" applyNumberFormat="1" applyFont="1" applyBorder="1" applyAlignment="1">
      <alignment horizontal="center"/>
    </xf>
    <xf numFmtId="182" fontId="100" fillId="0" borderId="20" xfId="0" applyNumberFormat="1" applyFont="1" applyBorder="1" applyAlignment="1">
      <alignment horizontal="center"/>
    </xf>
    <xf numFmtId="3" fontId="100" fillId="0" borderId="20" xfId="0" applyNumberFormat="1" applyFont="1" applyBorder="1" applyAlignment="1">
      <alignment horizontal="center"/>
    </xf>
    <xf numFmtId="182" fontId="100" fillId="0" borderId="13" xfId="0" applyNumberFormat="1" applyFont="1" applyBorder="1" applyAlignment="1">
      <alignment horizontal="center"/>
    </xf>
    <xf numFmtId="3" fontId="100" fillId="0" borderId="14" xfId="0" applyNumberFormat="1" applyFont="1" applyBorder="1" applyAlignment="1">
      <alignment horizontal="center"/>
    </xf>
    <xf numFmtId="3" fontId="100" fillId="0" borderId="22" xfId="0" applyNumberFormat="1" applyFont="1" applyBorder="1" applyAlignment="1">
      <alignment horizontal="center"/>
    </xf>
    <xf numFmtId="3" fontId="100" fillId="0" borderId="21" xfId="0" applyNumberFormat="1" applyFont="1" applyBorder="1" applyAlignment="1">
      <alignment horizontal="center"/>
    </xf>
    <xf numFmtId="182" fontId="100" fillId="0" borderId="22" xfId="0" applyNumberFormat="1" applyFont="1" applyBorder="1" applyAlignment="1">
      <alignment horizontal="center"/>
    </xf>
    <xf numFmtId="4" fontId="100" fillId="0" borderId="0" xfId="0" applyNumberFormat="1" applyFont="1" applyAlignment="1">
      <alignment horizontal="center"/>
    </xf>
    <xf numFmtId="3" fontId="100" fillId="0" borderId="16" xfId="0" applyNumberFormat="1" applyFont="1" applyBorder="1" applyAlignment="1">
      <alignment horizontal="center"/>
    </xf>
    <xf numFmtId="4" fontId="100" fillId="0" borderId="20" xfId="0" applyNumberFormat="1" applyFont="1" applyBorder="1" applyAlignment="1">
      <alignment horizontal="center"/>
    </xf>
    <xf numFmtId="185" fontId="100" fillId="0" borderId="16" xfId="322" applyNumberFormat="1" applyFont="1" applyBorder="1" applyAlignment="1">
      <alignment horizontal="center"/>
    </xf>
    <xf numFmtId="185" fontId="100" fillId="0" borderId="0" xfId="322" applyNumberFormat="1" applyFont="1" applyBorder="1" applyAlignment="1">
      <alignment horizontal="center"/>
    </xf>
    <xf numFmtId="0" fontId="100" fillId="0" borderId="14" xfId="0" applyFont="1" applyBorder="1" applyAlignment="1">
      <alignment vertical="center"/>
    </xf>
    <xf numFmtId="0" fontId="100" fillId="0" borderId="20" xfId="0" applyFont="1" applyBorder="1" applyAlignment="1">
      <alignment horizontal="center" vertical="center"/>
    </xf>
    <xf numFmtId="185" fontId="100" fillId="0" borderId="18" xfId="322" applyNumberFormat="1" applyFont="1" applyBorder="1" applyAlignment="1">
      <alignment horizontal="center" vertical="center"/>
    </xf>
    <xf numFmtId="185" fontId="100" fillId="0" borderId="20" xfId="322" applyNumberFormat="1" applyFont="1" applyBorder="1" applyAlignment="1">
      <alignment horizontal="center" vertical="center"/>
    </xf>
    <xf numFmtId="185" fontId="100" fillId="0" borderId="12" xfId="322" applyNumberFormat="1" applyFont="1" applyBorder="1" applyAlignment="1">
      <alignment horizontal="center"/>
    </xf>
    <xf numFmtId="185" fontId="100" fillId="0" borderId="13" xfId="322" applyNumberFormat="1" applyFont="1" applyBorder="1" applyAlignment="1">
      <alignment horizontal="center" vertical="center"/>
    </xf>
    <xf numFmtId="4" fontId="100" fillId="0" borderId="22" xfId="0" applyNumberFormat="1" applyFont="1" applyBorder="1" applyAlignment="1">
      <alignment horizontal="center"/>
    </xf>
    <xf numFmtId="15" fontId="101" fillId="0" borderId="0" xfId="0" applyNumberFormat="1" applyFont="1" applyAlignment="1">
      <alignment vertical="center"/>
    </xf>
    <xf numFmtId="17" fontId="101" fillId="0" borderId="0" xfId="0" applyNumberFormat="1" applyFont="1" applyAlignment="1">
      <alignment horizontal="left" vertical="center"/>
    </xf>
    <xf numFmtId="15" fontId="101" fillId="0" borderId="0" xfId="0" applyNumberFormat="1" applyFont="1" applyAlignment="1">
      <alignment horizontal="left" vertical="center"/>
    </xf>
    <xf numFmtId="185" fontId="100" fillId="0" borderId="18" xfId="322" applyNumberFormat="1" applyFont="1" applyFill="1" applyBorder="1" applyAlignment="1">
      <alignment horizontal="center" vertical="center"/>
    </xf>
    <xf numFmtId="185" fontId="100" fillId="0" borderId="20" xfId="322" applyNumberFormat="1" applyFont="1" applyFill="1" applyBorder="1" applyAlignment="1">
      <alignment horizontal="center" vertical="center"/>
    </xf>
    <xf numFmtId="185" fontId="100" fillId="0" borderId="13" xfId="322" applyNumberFormat="1" applyFont="1" applyFill="1" applyBorder="1" applyAlignment="1">
      <alignment horizontal="center" vertical="center"/>
    </xf>
    <xf numFmtId="182" fontId="100" fillId="0" borderId="16" xfId="0" applyNumberFormat="1" applyFont="1" applyBorder="1" applyAlignment="1">
      <alignment horizontal="center"/>
    </xf>
    <xf numFmtId="0" fontId="100" fillId="25" borderId="0" xfId="0" applyFont="1" applyFill="1" applyAlignment="1">
      <alignment vertical="center"/>
    </xf>
    <xf numFmtId="179" fontId="100" fillId="0" borderId="11" xfId="0" applyNumberFormat="1" applyFont="1" applyBorder="1" applyAlignment="1">
      <alignment horizontal="center"/>
    </xf>
    <xf numFmtId="3" fontId="117" fillId="0" borderId="18" xfId="0" applyNumberFormat="1" applyFont="1" applyBorder="1" applyAlignment="1">
      <alignment horizontal="center"/>
    </xf>
    <xf numFmtId="0" fontId="117" fillId="0" borderId="0" xfId="0" applyFont="1" applyAlignment="1">
      <alignment vertical="center"/>
    </xf>
    <xf numFmtId="3" fontId="117" fillId="0" borderId="20" xfId="0" applyNumberFormat="1" applyFont="1" applyBorder="1" applyAlignment="1">
      <alignment horizontal="center"/>
    </xf>
    <xf numFmtId="3" fontId="117" fillId="0" borderId="19" xfId="0" applyNumberFormat="1" applyFont="1" applyBorder="1" applyAlignment="1">
      <alignment horizontal="center"/>
    </xf>
    <xf numFmtId="182" fontId="117" fillId="0" borderId="20" xfId="0" applyNumberFormat="1" applyFont="1" applyBorder="1" applyAlignment="1">
      <alignment horizontal="center"/>
    </xf>
    <xf numFmtId="4" fontId="117" fillId="0" borderId="18" xfId="0" applyNumberFormat="1" applyFont="1" applyBorder="1" applyAlignment="1">
      <alignment horizontal="center"/>
    </xf>
    <xf numFmtId="0" fontId="118" fillId="0" borderId="0" xfId="0" applyFont="1"/>
    <xf numFmtId="0" fontId="118" fillId="0" borderId="0" xfId="0" applyFont="1" applyAlignment="1">
      <alignment horizontal="center"/>
    </xf>
    <xf numFmtId="3" fontId="100" fillId="0" borderId="12" xfId="0" applyNumberFormat="1" applyFont="1" applyBorder="1" applyAlignment="1">
      <alignment horizontal="center"/>
    </xf>
    <xf numFmtId="1" fontId="100" fillId="0" borderId="0" xfId="0" applyNumberFormat="1" applyFont="1" applyAlignment="1">
      <alignment vertical="center"/>
    </xf>
    <xf numFmtId="0" fontId="100" fillId="0" borderId="20" xfId="0" applyFont="1" applyBorder="1" applyAlignment="1">
      <alignment vertical="center"/>
    </xf>
    <xf numFmtId="183" fontId="100" fillId="0" borderId="14" xfId="0" applyNumberFormat="1" applyFont="1" applyBorder="1" applyAlignment="1">
      <alignment horizontal="center"/>
    </xf>
    <xf numFmtId="0" fontId="120" fillId="0" borderId="0" xfId="0" applyFont="1"/>
    <xf numFmtId="0" fontId="100" fillId="0" borderId="14" xfId="0" applyFont="1" applyBorder="1" applyAlignment="1">
      <alignment horizontal="center" vertical="center"/>
    </xf>
    <xf numFmtId="0" fontId="100" fillId="0" borderId="22" xfId="0" applyFont="1" applyBorder="1" applyAlignment="1">
      <alignment horizontal="center" vertical="center"/>
    </xf>
    <xf numFmtId="0" fontId="100" fillId="0" borderId="21" xfId="0" applyFont="1" applyBorder="1" applyAlignment="1">
      <alignment horizontal="center" vertical="center"/>
    </xf>
    <xf numFmtId="0" fontId="100" fillId="0" borderId="16" xfId="0" applyFont="1" applyBorder="1" applyAlignment="1">
      <alignment vertical="center"/>
    </xf>
    <xf numFmtId="0" fontId="47" fillId="0" borderId="0" xfId="306"/>
    <xf numFmtId="182" fontId="110" fillId="0" borderId="11" xfId="0" applyNumberFormat="1" applyFont="1" applyBorder="1" applyAlignment="1">
      <alignment vertical="center"/>
    </xf>
    <xf numFmtId="182" fontId="114" fillId="0" borderId="11" xfId="0" applyNumberFormat="1" applyFont="1" applyBorder="1" applyAlignment="1">
      <alignment horizontal="center" vertical="center"/>
    </xf>
    <xf numFmtId="0" fontId="113" fillId="0" borderId="0" xfId="306" applyFont="1" applyAlignment="1">
      <alignment horizontal="center" vertical="center"/>
    </xf>
    <xf numFmtId="178" fontId="114" fillId="0" borderId="11" xfId="229" applyNumberFormat="1" applyFont="1" applyFill="1" applyBorder="1" applyAlignment="1" applyProtection="1">
      <alignment horizontal="center" vertical="center"/>
      <protection hidden="1"/>
    </xf>
    <xf numFmtId="0" fontId="110" fillId="0" borderId="11" xfId="0" applyFont="1" applyBorder="1" applyAlignment="1">
      <alignment vertical="center"/>
    </xf>
    <xf numFmtId="0" fontId="114" fillId="0" borderId="11" xfId="0" applyFont="1" applyBorder="1" applyAlignment="1">
      <alignment horizontal="center" vertical="center"/>
    </xf>
    <xf numFmtId="0" fontId="113" fillId="0" borderId="0" xfId="306" applyFont="1"/>
    <xf numFmtId="0" fontId="108" fillId="0" borderId="11" xfId="305" applyFont="1" applyBorder="1" applyAlignment="1">
      <alignment vertical="center"/>
    </xf>
    <xf numFmtId="0" fontId="114" fillId="0" borderId="11" xfId="306" applyFont="1" applyBorder="1" applyAlignment="1">
      <alignment horizontal="center" vertical="center"/>
    </xf>
    <xf numFmtId="0" fontId="114" fillId="0" borderId="0" xfId="306" applyFont="1" applyAlignment="1">
      <alignment horizontal="center" vertical="center"/>
    </xf>
    <xf numFmtId="2" fontId="113" fillId="0" borderId="11" xfId="306" applyNumberFormat="1" applyFont="1" applyBorder="1" applyAlignment="1">
      <alignment horizontal="center" vertical="center"/>
    </xf>
    <xf numFmtId="182" fontId="114" fillId="0" borderId="22" xfId="306" applyNumberFormat="1" applyFont="1" applyBorder="1" applyAlignment="1">
      <alignment horizontal="center" vertical="center"/>
    </xf>
    <xf numFmtId="1" fontId="113" fillId="0" borderId="11" xfId="306" applyNumberFormat="1" applyFont="1" applyBorder="1" applyAlignment="1">
      <alignment horizontal="center" vertical="center"/>
    </xf>
    <xf numFmtId="1" fontId="113" fillId="0" borderId="0" xfId="306" applyNumberFormat="1" applyFont="1" applyAlignment="1">
      <alignment horizontal="center" vertical="center"/>
    </xf>
    <xf numFmtId="196" fontId="113" fillId="0" borderId="11" xfId="229" applyNumberFormat="1" applyFont="1" applyBorder="1" applyAlignment="1">
      <alignment horizontal="center" vertical="center"/>
    </xf>
    <xf numFmtId="176" fontId="113" fillId="0" borderId="0" xfId="306" applyNumberFormat="1" applyFont="1" applyAlignment="1">
      <alignment horizontal="center" vertical="center"/>
    </xf>
    <xf numFmtId="0" fontId="108" fillId="0" borderId="11" xfId="305" applyFont="1" applyBorder="1" applyAlignment="1">
      <alignment horizontal="center" vertical="center"/>
    </xf>
    <xf numFmtId="0" fontId="113" fillId="0" borderId="11" xfId="305" applyFont="1" applyBorder="1" applyAlignment="1">
      <alignment horizontal="center" vertical="center"/>
    </xf>
    <xf numFmtId="9" fontId="108" fillId="0" borderId="11" xfId="305" applyNumberFormat="1" applyFont="1" applyBorder="1" applyAlignment="1">
      <alignment horizontal="center" vertical="center"/>
    </xf>
    <xf numFmtId="0" fontId="108" fillId="0" borderId="11" xfId="306" applyFont="1" applyBorder="1" applyAlignment="1">
      <alignment horizontal="left" vertical="center"/>
    </xf>
    <xf numFmtId="0" fontId="115" fillId="0" borderId="11" xfId="306" applyFont="1" applyBorder="1" applyAlignment="1">
      <alignment horizontal="center" vertical="center"/>
    </xf>
    <xf numFmtId="0" fontId="110" fillId="0" borderId="11" xfId="0" applyFont="1" applyBorder="1"/>
    <xf numFmtId="0" fontId="110" fillId="0" borderId="11" xfId="0" applyFont="1" applyBorder="1" applyAlignment="1">
      <alignment horizontal="left"/>
    </xf>
    <xf numFmtId="182" fontId="118" fillId="0" borderId="0" xfId="0" applyNumberFormat="1" applyFont="1" applyAlignment="1">
      <alignment horizontal="center"/>
    </xf>
    <xf numFmtId="0" fontId="119" fillId="0" borderId="0" xfId="0" applyFont="1" applyAlignment="1">
      <alignment horizontal="right" vertical="center"/>
    </xf>
    <xf numFmtId="185" fontId="118" fillId="0" borderId="0" xfId="322" applyNumberFormat="1" applyFont="1" applyBorder="1" applyAlignment="1">
      <alignment horizontal="center"/>
    </xf>
    <xf numFmtId="184" fontId="118" fillId="0" borderId="0" xfId="0" applyNumberFormat="1" applyFont="1"/>
    <xf numFmtId="182" fontId="110" fillId="0" borderId="11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center"/>
    </xf>
    <xf numFmtId="3" fontId="108" fillId="0" borderId="11" xfId="232" applyNumberFormat="1" applyFont="1" applyFill="1" applyBorder="1" applyAlignment="1" applyProtection="1">
      <alignment horizontal="center" vertical="center"/>
      <protection hidden="1"/>
    </xf>
    <xf numFmtId="0" fontId="110" fillId="0" borderId="11" xfId="0" applyFont="1" applyBorder="1" applyAlignment="1">
      <alignment horizontal="center" vertical="center"/>
    </xf>
    <xf numFmtId="0" fontId="108" fillId="0" borderId="0" xfId="0" applyFont="1"/>
    <xf numFmtId="0" fontId="110" fillId="0" borderId="11" xfId="306" applyFont="1" applyBorder="1" applyAlignment="1">
      <alignment horizontal="center" vertical="center"/>
    </xf>
    <xf numFmtId="0" fontId="110" fillId="0" borderId="0" xfId="306" applyFont="1" applyAlignment="1">
      <alignment horizontal="center" vertical="center"/>
    </xf>
    <xf numFmtId="176" fontId="108" fillId="0" borderId="11" xfId="306" applyNumberFormat="1" applyFont="1" applyBorder="1" applyAlignment="1">
      <alignment horizontal="center" vertical="center"/>
    </xf>
    <xf numFmtId="2" fontId="108" fillId="0" borderId="11" xfId="306" applyNumberFormat="1" applyFont="1" applyBorder="1" applyAlignment="1">
      <alignment horizontal="center" vertical="center"/>
    </xf>
    <xf numFmtId="182" fontId="110" fillId="0" borderId="22" xfId="306" applyNumberFormat="1" applyFont="1" applyBorder="1" applyAlignment="1">
      <alignment horizontal="center" vertical="center"/>
    </xf>
    <xf numFmtId="3" fontId="108" fillId="0" borderId="22" xfId="306" applyNumberFormat="1" applyFont="1" applyBorder="1" applyAlignment="1">
      <alignment horizontal="center" vertical="center"/>
    </xf>
    <xf numFmtId="3" fontId="108" fillId="0" borderId="11" xfId="306" applyNumberFormat="1" applyFont="1" applyBorder="1" applyAlignment="1">
      <alignment horizontal="center" vertical="center"/>
    </xf>
    <xf numFmtId="1" fontId="108" fillId="0" borderId="11" xfId="306" applyNumberFormat="1" applyFont="1" applyBorder="1" applyAlignment="1">
      <alignment horizontal="center" vertical="center"/>
    </xf>
    <xf numFmtId="182" fontId="110" fillId="0" borderId="22" xfId="306" applyNumberFormat="1" applyFont="1" applyBorder="1" applyAlignment="1">
      <alignment vertical="center"/>
    </xf>
    <xf numFmtId="179" fontId="108" fillId="0" borderId="11" xfId="306" applyNumberFormat="1" applyFont="1" applyBorder="1" applyAlignment="1">
      <alignment horizontal="center" vertical="center"/>
    </xf>
    <xf numFmtId="0" fontId="121" fillId="0" borderId="11" xfId="306" applyFont="1" applyBorder="1" applyAlignment="1">
      <alignment horizontal="center" vertical="center"/>
    </xf>
    <xf numFmtId="0" fontId="122" fillId="0" borderId="13" xfId="0" applyFont="1" applyBorder="1" applyAlignment="1">
      <alignment vertical="center" textRotation="90"/>
    </xf>
    <xf numFmtId="0" fontId="117" fillId="0" borderId="0" xfId="0" applyFont="1" applyAlignment="1">
      <alignment horizontal="center" vertical="center"/>
    </xf>
    <xf numFmtId="0" fontId="103" fillId="0" borderId="12" xfId="0" applyFont="1" applyBorder="1" applyAlignment="1">
      <alignment vertical="center" textRotation="90"/>
    </xf>
    <xf numFmtId="0" fontId="111" fillId="0" borderId="11" xfId="303" applyFont="1" applyBorder="1" applyAlignment="1">
      <alignment horizontal="left"/>
    </xf>
    <xf numFmtId="0" fontId="100" fillId="25" borderId="11" xfId="0" applyFont="1" applyFill="1" applyBorder="1" applyAlignment="1">
      <alignment vertical="center"/>
    </xf>
    <xf numFmtId="0" fontId="125" fillId="31" borderId="31" xfId="306" applyFont="1" applyFill="1" applyBorder="1" applyAlignment="1">
      <alignment horizontal="centerContinuous" vertical="center"/>
    </xf>
    <xf numFmtId="0" fontId="116" fillId="31" borderId="39" xfId="306" applyFont="1" applyFill="1" applyBorder="1" applyAlignment="1">
      <alignment horizontal="center" vertical="center"/>
    </xf>
    <xf numFmtId="0" fontId="100" fillId="0" borderId="17" xfId="0" applyFont="1" applyBorder="1" applyAlignment="1">
      <alignment vertical="center"/>
    </xf>
    <xf numFmtId="0" fontId="100" fillId="0" borderId="11" xfId="0" applyFont="1" applyBorder="1"/>
    <xf numFmtId="0" fontId="103" fillId="0" borderId="0" xfId="0" applyFont="1" applyAlignment="1">
      <alignment vertical="center"/>
    </xf>
    <xf numFmtId="0" fontId="100" fillId="0" borderId="12" xfId="0" applyFont="1" applyBorder="1" applyAlignment="1">
      <alignment vertical="center" textRotation="90"/>
    </xf>
    <xf numFmtId="1" fontId="94" fillId="0" borderId="0" xfId="0" applyNumberFormat="1" applyFont="1" applyAlignment="1">
      <alignment horizontal="center"/>
    </xf>
    <xf numFmtId="0" fontId="129" fillId="0" borderId="0" xfId="0" applyFont="1" applyAlignment="1">
      <alignment horizontal="right" vertical="center"/>
    </xf>
    <xf numFmtId="0" fontId="129" fillId="0" borderId="0" xfId="0" applyFont="1" applyAlignment="1">
      <alignment horizontal="left" vertical="center"/>
    </xf>
    <xf numFmtId="0" fontId="100" fillId="0" borderId="22" xfId="0" applyFont="1" applyBorder="1" applyAlignment="1">
      <alignment vertical="center"/>
    </xf>
    <xf numFmtId="0" fontId="122" fillId="0" borderId="12" xfId="0" applyFont="1" applyBorder="1" applyAlignment="1">
      <alignment vertical="center" textRotation="90"/>
    </xf>
    <xf numFmtId="0" fontId="122" fillId="0" borderId="0" xfId="0" applyFont="1" applyAlignment="1">
      <alignment vertical="center"/>
    </xf>
    <xf numFmtId="0" fontId="100" fillId="34" borderId="11" xfId="0" applyFont="1" applyFill="1" applyBorder="1" applyAlignment="1">
      <alignment vertical="center"/>
    </xf>
    <xf numFmtId="0" fontId="100" fillId="0" borderId="12" xfId="0" applyFont="1" applyBorder="1" applyAlignment="1">
      <alignment horizontal="center" vertical="center" textRotation="90"/>
    </xf>
    <xf numFmtId="2" fontId="100" fillId="0" borderId="0" xfId="0" applyNumberFormat="1" applyFont="1" applyAlignment="1">
      <alignment horizontal="center"/>
    </xf>
    <xf numFmtId="0" fontId="126" fillId="0" borderId="0" xfId="0" applyFont="1"/>
    <xf numFmtId="0" fontId="132" fillId="0" borderId="0" xfId="0" applyFont="1"/>
    <xf numFmtId="0" fontId="126" fillId="0" borderId="0" xfId="0" quotePrefix="1" applyFont="1"/>
    <xf numFmtId="0" fontId="100" fillId="0" borderId="0" xfId="0" applyFont="1" applyAlignment="1">
      <alignment horizontal="center" vertical="center" wrapText="1"/>
    </xf>
    <xf numFmtId="0" fontId="100" fillId="0" borderId="16" xfId="0" applyFont="1" applyBorder="1" applyAlignment="1">
      <alignment horizontal="center" vertical="center" wrapText="1"/>
    </xf>
    <xf numFmtId="0" fontId="100" fillId="0" borderId="17" xfId="0" applyFont="1" applyBorder="1" applyAlignment="1">
      <alignment horizontal="center" vertical="center" wrapText="1"/>
    </xf>
    <xf numFmtId="0" fontId="100" fillId="0" borderId="17" xfId="0" applyFont="1" applyBorder="1" applyAlignment="1">
      <alignment horizontal="center" vertical="center"/>
    </xf>
    <xf numFmtId="0" fontId="100" fillId="0" borderId="17" xfId="0" applyFont="1" applyBorder="1" applyAlignment="1">
      <alignment horizontal="center" vertical="center" textRotation="90"/>
    </xf>
    <xf numFmtId="0" fontId="131" fillId="0" borderId="0" xfId="0" applyFont="1" applyAlignment="1">
      <alignment vertical="center" wrapText="1"/>
    </xf>
    <xf numFmtId="0" fontId="131" fillId="0" borderId="0" xfId="0" applyFont="1" applyAlignment="1">
      <alignment vertical="center"/>
    </xf>
    <xf numFmtId="0" fontId="108" fillId="35" borderId="11" xfId="306" applyFont="1" applyFill="1" applyBorder="1" applyAlignment="1">
      <alignment horizontal="center" vertical="center"/>
    </xf>
    <xf numFmtId="0" fontId="108" fillId="0" borderId="0" xfId="306" applyFont="1" applyAlignment="1">
      <alignment horizontal="center" vertical="center"/>
    </xf>
    <xf numFmtId="0" fontId="108" fillId="29" borderId="30" xfId="306" applyFont="1" applyFill="1" applyBorder="1" applyAlignment="1">
      <alignment horizontal="center" vertical="center"/>
    </xf>
    <xf numFmtId="0" fontId="108" fillId="0" borderId="23" xfId="306" applyFont="1" applyBorder="1" applyAlignment="1">
      <alignment horizontal="center" vertical="center"/>
    </xf>
    <xf numFmtId="0" fontId="108" fillId="29" borderId="30" xfId="305" applyFont="1" applyFill="1" applyBorder="1" applyAlignment="1">
      <alignment horizontal="center" vertical="center" wrapText="1"/>
    </xf>
    <xf numFmtId="0" fontId="108" fillId="33" borderId="30" xfId="306" applyFont="1" applyFill="1" applyBorder="1" applyAlignment="1">
      <alignment horizontal="center" vertical="center"/>
    </xf>
    <xf numFmtId="0" fontId="116" fillId="30" borderId="11" xfId="306" applyFont="1" applyFill="1" applyBorder="1" applyAlignment="1">
      <alignment horizontal="center" vertical="center"/>
    </xf>
    <xf numFmtId="0" fontId="108" fillId="29" borderId="42" xfId="306" applyFont="1" applyFill="1" applyBorder="1" applyAlignment="1">
      <alignment horizontal="center" vertical="center" wrapText="1"/>
    </xf>
    <xf numFmtId="0" fontId="108" fillId="35" borderId="43" xfId="306" applyFont="1" applyFill="1" applyBorder="1" applyAlignment="1">
      <alignment horizontal="center" vertical="center"/>
    </xf>
    <xf numFmtId="0" fontId="108" fillId="29" borderId="30" xfId="306" applyFont="1" applyFill="1" applyBorder="1" applyAlignment="1">
      <alignment horizontal="center" vertical="center" wrapText="1"/>
    </xf>
    <xf numFmtId="2" fontId="0" fillId="0" borderId="0" xfId="0" applyNumberFormat="1"/>
    <xf numFmtId="0" fontId="119" fillId="0" borderId="0" xfId="0" applyFont="1" applyAlignment="1">
      <alignment horizontal="left" vertical="center"/>
    </xf>
    <xf numFmtId="14" fontId="0" fillId="0" borderId="0" xfId="0" applyNumberFormat="1"/>
    <xf numFmtId="1" fontId="0" fillId="0" borderId="0" xfId="0" applyNumberFormat="1"/>
    <xf numFmtId="182" fontId="120" fillId="0" borderId="0" xfId="0" applyNumberFormat="1" applyFont="1" applyAlignment="1">
      <alignment horizontal="center"/>
    </xf>
    <xf numFmtId="185" fontId="120" fillId="0" borderId="0" xfId="322" applyNumberFormat="1" applyFont="1" applyFill="1" applyBorder="1" applyAlignment="1">
      <alignment horizontal="center"/>
    </xf>
    <xf numFmtId="4" fontId="120" fillId="0" borderId="0" xfId="0" applyNumberFormat="1" applyFont="1" applyAlignment="1">
      <alignment horizontal="center"/>
    </xf>
    <xf numFmtId="3" fontId="120" fillId="0" borderId="0" xfId="0" applyNumberFormat="1" applyFont="1" applyAlignment="1">
      <alignment horizontal="center"/>
    </xf>
    <xf numFmtId="185" fontId="120" fillId="0" borderId="0" xfId="322" applyNumberFormat="1" applyFont="1" applyBorder="1" applyAlignment="1">
      <alignment horizontal="center"/>
    </xf>
    <xf numFmtId="0" fontId="134" fillId="0" borderId="0" xfId="0" applyFont="1"/>
    <xf numFmtId="0" fontId="134" fillId="0" borderId="0" xfId="0" applyFont="1" applyAlignment="1">
      <alignment horizontal="center"/>
    </xf>
    <xf numFmtId="3" fontId="134" fillId="0" borderId="0" xfId="0" applyNumberFormat="1" applyFont="1" applyAlignment="1">
      <alignment horizontal="center"/>
    </xf>
    <xf numFmtId="185" fontId="134" fillId="0" borderId="0" xfId="322" applyNumberFormat="1" applyFont="1" applyFill="1" applyBorder="1" applyAlignment="1">
      <alignment horizontal="center"/>
    </xf>
    <xf numFmtId="182" fontId="135" fillId="0" borderId="0" xfId="0" applyNumberFormat="1" applyFont="1" applyAlignment="1">
      <alignment horizontal="center"/>
    </xf>
    <xf numFmtId="3" fontId="135" fillId="0" borderId="0" xfId="0" applyNumberFormat="1" applyFont="1" applyAlignment="1">
      <alignment horizontal="center"/>
    </xf>
    <xf numFmtId="0" fontId="94" fillId="0" borderId="0" xfId="0" applyFont="1" applyAlignment="1">
      <alignment horizontal="left"/>
    </xf>
    <xf numFmtId="3" fontId="100" fillId="0" borderId="14" xfId="0" applyNumberFormat="1" applyFont="1" applyBorder="1" applyAlignment="1">
      <alignment vertical="center"/>
    </xf>
    <xf numFmtId="1" fontId="100" fillId="0" borderId="21" xfId="0" applyNumberFormat="1" applyFont="1" applyBorder="1" applyAlignment="1">
      <alignment vertical="center"/>
    </xf>
    <xf numFmtId="1" fontId="101" fillId="0" borderId="0" xfId="0" applyNumberFormat="1" applyFont="1" applyAlignment="1">
      <alignment vertical="center"/>
    </xf>
    <xf numFmtId="179" fontId="0" fillId="0" borderId="0" xfId="0" applyNumberFormat="1"/>
    <xf numFmtId="2" fontId="114" fillId="0" borderId="11" xfId="233" applyNumberFormat="1" applyFont="1" applyFill="1" applyBorder="1" applyAlignment="1" applyProtection="1">
      <alignment horizontal="center" vertical="center"/>
      <protection hidden="1"/>
    </xf>
    <xf numFmtId="0" fontId="108" fillId="35" borderId="11" xfId="306" applyFont="1" applyFill="1" applyBorder="1" applyAlignment="1">
      <alignment horizontal="center" vertical="center" wrapText="1"/>
    </xf>
    <xf numFmtId="0" fontId="108" fillId="0" borderId="45" xfId="306" applyFont="1" applyBorder="1" applyAlignment="1">
      <alignment horizontal="center" vertical="center"/>
    </xf>
    <xf numFmtId="0" fontId="108" fillId="0" borderId="46" xfId="306" applyFont="1" applyBorder="1" applyAlignment="1">
      <alignment horizontal="center" vertical="center"/>
    </xf>
    <xf numFmtId="0" fontId="108" fillId="0" borderId="22" xfId="306" applyFont="1" applyBorder="1" applyAlignment="1">
      <alignment horizontal="center" vertical="center"/>
    </xf>
    <xf numFmtId="2" fontId="114" fillId="0" borderId="11" xfId="229" applyNumberFormat="1" applyFont="1" applyFill="1" applyBorder="1" applyAlignment="1" applyProtection="1">
      <alignment horizontal="center" vertical="center"/>
      <protection hidden="1"/>
    </xf>
    <xf numFmtId="17" fontId="120" fillId="0" borderId="0" xfId="0" applyNumberFormat="1" applyFont="1" applyAlignment="1">
      <alignment horizontal="center"/>
    </xf>
    <xf numFmtId="0" fontId="119" fillId="34" borderId="0" xfId="0" applyFont="1" applyFill="1"/>
    <xf numFmtId="0" fontId="119" fillId="34" borderId="0" xfId="0" applyFont="1" applyFill="1" applyAlignment="1">
      <alignment horizontal="center"/>
    </xf>
    <xf numFmtId="182" fontId="119" fillId="34" borderId="0" xfId="0" applyNumberFormat="1" applyFont="1" applyFill="1" applyAlignment="1">
      <alignment horizontal="center"/>
    </xf>
    <xf numFmtId="185" fontId="119" fillId="34" borderId="0" xfId="322" applyNumberFormat="1" applyFont="1" applyFill="1" applyBorder="1" applyAlignment="1">
      <alignment horizontal="center"/>
    </xf>
    <xf numFmtId="4" fontId="119" fillId="34" borderId="0" xfId="0" applyNumberFormat="1" applyFont="1" applyFill="1" applyAlignment="1">
      <alignment horizontal="center"/>
    </xf>
    <xf numFmtId="0" fontId="94" fillId="0" borderId="0" xfId="0" applyFont="1" applyAlignment="1">
      <alignment horizontal="center"/>
    </xf>
    <xf numFmtId="3" fontId="100" fillId="25" borderId="11" xfId="0" applyNumberFormat="1" applyFont="1" applyFill="1" applyBorder="1" applyAlignment="1">
      <alignment vertical="center"/>
    </xf>
    <xf numFmtId="0" fontId="113" fillId="0" borderId="0" xfId="0" applyFont="1"/>
    <xf numFmtId="183" fontId="120" fillId="0" borderId="0" xfId="0" applyNumberFormat="1" applyFont="1"/>
    <xf numFmtId="3" fontId="119" fillId="34" borderId="0" xfId="0" applyNumberFormat="1" applyFont="1" applyFill="1" applyAlignment="1">
      <alignment horizontal="center"/>
    </xf>
    <xf numFmtId="182" fontId="119" fillId="34" borderId="0" xfId="322" applyNumberFormat="1" applyFont="1" applyFill="1" applyBorder="1" applyAlignment="1">
      <alignment horizontal="center"/>
    </xf>
    <xf numFmtId="4" fontId="119" fillId="34" borderId="0" xfId="322" applyNumberFormat="1" applyFont="1" applyFill="1" applyBorder="1" applyAlignment="1">
      <alignment horizontal="center"/>
    </xf>
    <xf numFmtId="2" fontId="100" fillId="0" borderId="0" xfId="0" applyNumberFormat="1" applyFont="1" applyAlignment="1">
      <alignment vertical="center"/>
    </xf>
    <xf numFmtId="22" fontId="0" fillId="0" borderId="0" xfId="0" applyNumberFormat="1"/>
    <xf numFmtId="0" fontId="100" fillId="0" borderId="31" xfId="0" applyFont="1" applyBorder="1" applyAlignment="1">
      <alignment vertical="center"/>
    </xf>
    <xf numFmtId="0" fontId="117" fillId="0" borderId="39" xfId="0" applyFont="1" applyBorder="1" applyAlignment="1">
      <alignment vertical="center"/>
    </xf>
    <xf numFmtId="3" fontId="100" fillId="0" borderId="33" xfId="0" applyNumberFormat="1" applyFont="1" applyBorder="1" applyAlignment="1">
      <alignment vertical="center"/>
    </xf>
    <xf numFmtId="3" fontId="100" fillId="0" borderId="34" xfId="0" applyNumberFormat="1" applyFont="1" applyBorder="1" applyAlignment="1">
      <alignment vertical="center"/>
    </xf>
    <xf numFmtId="177" fontId="114" fillId="0" borderId="22" xfId="229" applyNumberFormat="1" applyFont="1" applyFill="1" applyBorder="1" applyAlignment="1" applyProtection="1">
      <alignment horizontal="center" vertical="center"/>
      <protection hidden="1"/>
    </xf>
    <xf numFmtId="1" fontId="100" fillId="0" borderId="22" xfId="0" applyNumberFormat="1" applyFont="1" applyBorder="1" applyAlignment="1">
      <alignment horizontal="center" vertical="center"/>
    </xf>
    <xf numFmtId="3" fontId="100" fillId="0" borderId="31" xfId="0" applyNumberFormat="1" applyFont="1" applyBorder="1" applyAlignment="1">
      <alignment vertical="center"/>
    </xf>
    <xf numFmtId="208" fontId="117" fillId="0" borderId="39" xfId="0" applyNumberFormat="1" applyFont="1" applyBorder="1" applyAlignment="1">
      <alignment vertical="center"/>
    </xf>
    <xf numFmtId="3" fontId="117" fillId="0" borderId="39" xfId="0" applyNumberFormat="1" applyFont="1" applyBorder="1" applyAlignment="1">
      <alignment vertical="center"/>
    </xf>
    <xf numFmtId="3" fontId="117" fillId="0" borderId="41" xfId="0" applyNumberFormat="1" applyFont="1" applyBorder="1" applyAlignment="1">
      <alignment vertical="center"/>
    </xf>
    <xf numFmtId="4" fontId="100" fillId="0" borderId="0" xfId="0" applyNumberFormat="1" applyFont="1" applyAlignment="1">
      <alignment vertical="center"/>
    </xf>
    <xf numFmtId="212" fontId="120" fillId="0" borderId="0" xfId="0" applyNumberFormat="1" applyFont="1" applyAlignment="1">
      <alignment horizontal="center"/>
    </xf>
    <xf numFmtId="208" fontId="120" fillId="0" borderId="0" xfId="0" applyNumberFormat="1" applyFont="1" applyAlignment="1">
      <alignment horizontal="center"/>
    </xf>
    <xf numFmtId="176" fontId="110" fillId="0" borderId="11" xfId="233" applyNumberFormat="1" applyFont="1" applyFill="1" applyBorder="1" applyAlignment="1" applyProtection="1">
      <alignment horizontal="center" vertical="center"/>
      <protection hidden="1"/>
    </xf>
    <xf numFmtId="2" fontId="110" fillId="0" borderId="12" xfId="306" applyNumberFormat="1" applyFont="1" applyBorder="1" applyAlignment="1">
      <alignment horizontal="center" vertical="center"/>
    </xf>
    <xf numFmtId="176" fontId="110" fillId="0" borderId="12" xfId="306" applyNumberFormat="1" applyFont="1" applyBorder="1" applyAlignment="1">
      <alignment horizontal="center" vertical="center"/>
    </xf>
    <xf numFmtId="182" fontId="114" fillId="0" borderId="22" xfId="233" applyNumberFormat="1" applyFont="1" applyFill="1" applyBorder="1" applyAlignment="1" applyProtection="1">
      <alignment horizontal="center" vertical="center"/>
      <protection hidden="1"/>
    </xf>
    <xf numFmtId="4" fontId="94" fillId="0" borderId="0" xfId="234" applyNumberFormat="1" applyFont="1"/>
    <xf numFmtId="192" fontId="0" fillId="0" borderId="0" xfId="234" applyNumberFormat="1" applyFont="1" applyAlignment="1">
      <alignment horizontal="center"/>
    </xf>
    <xf numFmtId="3" fontId="100" fillId="0" borderId="12" xfId="0" applyNumberFormat="1" applyFont="1" applyBorder="1" applyAlignment="1">
      <alignment vertical="center"/>
    </xf>
    <xf numFmtId="182" fontId="114" fillId="0" borderId="0" xfId="233" applyNumberFormat="1" applyFont="1" applyFill="1" applyBorder="1" applyAlignment="1" applyProtection="1">
      <alignment horizontal="center" vertical="center"/>
      <protection hidden="1"/>
    </xf>
    <xf numFmtId="182" fontId="114" fillId="0" borderId="20" xfId="233" applyNumberFormat="1" applyFont="1" applyFill="1" applyBorder="1" applyAlignment="1" applyProtection="1">
      <alignment horizontal="center" vertical="center"/>
      <protection hidden="1"/>
    </xf>
    <xf numFmtId="0" fontId="100" fillId="0" borderId="0" xfId="0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47" fillId="0" borderId="0" xfId="306" applyAlignment="1">
      <alignment vertical="center"/>
    </xf>
    <xf numFmtId="3" fontId="114" fillId="0" borderId="0" xfId="233" applyNumberFormat="1" applyFont="1" applyFill="1" applyBorder="1" applyAlignment="1" applyProtection="1">
      <alignment horizontal="center" vertical="center"/>
      <protection hidden="1"/>
    </xf>
    <xf numFmtId="176" fontId="113" fillId="0" borderId="11" xfId="306" applyNumberFormat="1" applyFont="1" applyBorder="1" applyAlignment="1">
      <alignment horizontal="center" vertical="center"/>
    </xf>
    <xf numFmtId="3" fontId="113" fillId="0" borderId="11" xfId="306" applyNumberFormat="1" applyFont="1" applyBorder="1" applyAlignment="1">
      <alignment horizontal="center" vertical="center"/>
    </xf>
    <xf numFmtId="176" fontId="114" fillId="0" borderId="11" xfId="233" applyNumberFormat="1" applyFont="1" applyFill="1" applyBorder="1" applyAlignment="1" applyProtection="1">
      <alignment horizontal="center" vertical="center"/>
      <protection hidden="1"/>
    </xf>
    <xf numFmtId="3" fontId="114" fillId="0" borderId="11" xfId="233" applyNumberFormat="1" applyFont="1" applyFill="1" applyBorder="1" applyAlignment="1" applyProtection="1">
      <alignment horizontal="center" vertical="center"/>
      <protection hidden="1"/>
    </xf>
    <xf numFmtId="182" fontId="114" fillId="0" borderId="11" xfId="233" applyNumberFormat="1" applyFont="1" applyFill="1" applyBorder="1" applyAlignment="1" applyProtection="1">
      <alignment horizontal="center" vertical="center"/>
      <protection hidden="1"/>
    </xf>
    <xf numFmtId="3" fontId="114" fillId="0" borderId="20" xfId="233" applyNumberFormat="1" applyFont="1" applyFill="1" applyBorder="1" applyAlignment="1" applyProtection="1">
      <alignment horizontal="center" vertical="center"/>
      <protection hidden="1"/>
    </xf>
    <xf numFmtId="4" fontId="114" fillId="0" borderId="11" xfId="233" applyNumberFormat="1" applyFont="1" applyFill="1" applyBorder="1" applyAlignment="1" applyProtection="1">
      <alignment horizontal="center" vertical="center"/>
      <protection hidden="1"/>
    </xf>
    <xf numFmtId="183" fontId="114" fillId="0" borderId="11" xfId="233" applyNumberFormat="1" applyFont="1" applyFill="1" applyBorder="1" applyAlignment="1" applyProtection="1">
      <alignment horizontal="center" vertical="center"/>
      <protection hidden="1"/>
    </xf>
    <xf numFmtId="3" fontId="110" fillId="0" borderId="11" xfId="306" applyNumberFormat="1" applyFont="1" applyBorder="1" applyAlignment="1">
      <alignment horizontal="center" vertical="center"/>
    </xf>
    <xf numFmtId="0" fontId="100" fillId="37" borderId="13" xfId="0" applyFont="1" applyFill="1" applyBorder="1" applyAlignment="1">
      <alignment horizontal="center" vertical="center"/>
    </xf>
    <xf numFmtId="17" fontId="165" fillId="39" borderId="48" xfId="302" applyNumberFormat="1" applyFont="1" applyFill="1" applyBorder="1" applyAlignment="1">
      <alignment horizontal="center" vertical="center" wrapText="1"/>
    </xf>
    <xf numFmtId="17" fontId="165" fillId="39" borderId="43" xfId="302" applyNumberFormat="1" applyFont="1" applyFill="1" applyBorder="1" applyAlignment="1">
      <alignment horizontal="center" vertical="center" wrapText="1"/>
    </xf>
    <xf numFmtId="17" fontId="165" fillId="40" borderId="48" xfId="302" applyNumberFormat="1" applyFont="1" applyFill="1" applyBorder="1" applyAlignment="1">
      <alignment horizontal="center" vertical="center" wrapText="1"/>
    </xf>
    <xf numFmtId="17" fontId="165" fillId="40" borderId="43" xfId="302" applyNumberFormat="1" applyFont="1" applyFill="1" applyBorder="1" applyAlignment="1">
      <alignment horizontal="center" vertical="center" wrapText="1"/>
    </xf>
    <xf numFmtId="4" fontId="0" fillId="0" borderId="0" xfId="234" applyNumberFormat="1" applyFont="1"/>
    <xf numFmtId="178" fontId="94" fillId="0" borderId="0" xfId="234" applyNumberFormat="1" applyFont="1" applyAlignment="1">
      <alignment horizontal="center"/>
    </xf>
    <xf numFmtId="3" fontId="94" fillId="0" borderId="0" xfId="234" applyNumberFormat="1" applyFont="1" applyAlignment="1">
      <alignment horizontal="center"/>
    </xf>
    <xf numFmtId="4" fontId="94" fillId="0" borderId="0" xfId="234" applyNumberFormat="1" applyFont="1" applyAlignment="1">
      <alignment horizontal="center"/>
    </xf>
    <xf numFmtId="0" fontId="117" fillId="0" borderId="0" xfId="0" applyFont="1" applyAlignment="1">
      <alignment horizontal="left" vertical="center"/>
    </xf>
    <xf numFmtId="0" fontId="100" fillId="37" borderId="0" xfId="0" applyFont="1" applyFill="1"/>
    <xf numFmtId="182" fontId="100" fillId="37" borderId="0" xfId="0" applyNumberFormat="1" applyFont="1" applyFill="1" applyAlignment="1">
      <alignment horizontal="center"/>
    </xf>
    <xf numFmtId="0" fontId="100" fillId="37" borderId="0" xfId="0" applyFont="1" applyFill="1" applyAlignment="1">
      <alignment vertical="center"/>
    </xf>
    <xf numFmtId="182" fontId="100" fillId="37" borderId="0" xfId="0" applyNumberFormat="1" applyFont="1" applyFill="1" applyAlignment="1">
      <alignment horizontal="center" vertical="center"/>
    </xf>
    <xf numFmtId="4" fontId="100" fillId="37" borderId="0" xfId="0" applyNumberFormat="1" applyFont="1" applyFill="1" applyAlignment="1">
      <alignment horizontal="center" vertical="center"/>
    </xf>
    <xf numFmtId="3" fontId="100" fillId="37" borderId="0" xfId="0" applyNumberFormat="1" applyFont="1" applyFill="1" applyAlignment="1">
      <alignment horizontal="center" vertical="center"/>
    </xf>
    <xf numFmtId="2" fontId="94" fillId="0" borderId="0" xfId="0" applyNumberFormat="1" applyFont="1" applyAlignment="1">
      <alignment horizontal="center"/>
    </xf>
    <xf numFmtId="4" fontId="101" fillId="0" borderId="0" xfId="0" applyNumberFormat="1" applyFont="1" applyAlignment="1">
      <alignment vertical="center"/>
    </xf>
    <xf numFmtId="3" fontId="100" fillId="0" borderId="21" xfId="0" applyNumberFormat="1" applyFont="1" applyBorder="1" applyAlignment="1">
      <alignment vertical="center"/>
    </xf>
    <xf numFmtId="183" fontId="100" fillId="37" borderId="0" xfId="0" applyNumberFormat="1" applyFont="1" applyFill="1" applyAlignment="1">
      <alignment horizontal="center" vertical="center"/>
    </xf>
    <xf numFmtId="4" fontId="100" fillId="0" borderId="22" xfId="0" applyNumberFormat="1" applyFont="1" applyBorder="1" applyAlignment="1">
      <alignment vertical="center"/>
    </xf>
    <xf numFmtId="3" fontId="0" fillId="0" borderId="0" xfId="234" applyNumberFormat="1" applyFont="1"/>
    <xf numFmtId="1" fontId="113" fillId="0" borderId="0" xfId="306" applyNumberFormat="1" applyFont="1"/>
    <xf numFmtId="3" fontId="0" fillId="0" borderId="0" xfId="0" applyNumberFormat="1"/>
    <xf numFmtId="3" fontId="100" fillId="37" borderId="16" xfId="0" applyNumberFormat="1" applyFont="1" applyFill="1" applyBorder="1" applyAlignment="1">
      <alignment horizontal="center"/>
    </xf>
    <xf numFmtId="4" fontId="100" fillId="37" borderId="16" xfId="0" applyNumberFormat="1" applyFont="1" applyFill="1" applyBorder="1" applyAlignment="1">
      <alignment horizontal="center"/>
    </xf>
    <xf numFmtId="3" fontId="100" fillId="37" borderId="0" xfId="0" applyNumberFormat="1" applyFont="1" applyFill="1" applyAlignment="1">
      <alignment horizontal="center"/>
    </xf>
    <xf numFmtId="193" fontId="100" fillId="37" borderId="12" xfId="0" applyNumberFormat="1" applyFont="1" applyFill="1" applyBorder="1" applyAlignment="1">
      <alignment horizontal="center" vertical="center"/>
    </xf>
    <xf numFmtId="3" fontId="100" fillId="37" borderId="17" xfId="0" applyNumberFormat="1" applyFont="1" applyFill="1" applyBorder="1" applyAlignment="1">
      <alignment horizontal="center"/>
    </xf>
    <xf numFmtId="193" fontId="100" fillId="37" borderId="13" xfId="0" applyNumberFormat="1" applyFont="1" applyFill="1" applyBorder="1" applyAlignment="1">
      <alignment horizontal="center" vertical="center"/>
    </xf>
    <xf numFmtId="3" fontId="100" fillId="37" borderId="18" xfId="0" applyNumberFormat="1" applyFont="1" applyFill="1" applyBorder="1" applyAlignment="1">
      <alignment horizontal="center"/>
    </xf>
    <xf numFmtId="3" fontId="100" fillId="37" borderId="19" xfId="0" applyNumberFormat="1" applyFont="1" applyFill="1" applyBorder="1" applyAlignment="1">
      <alignment horizontal="center"/>
    </xf>
    <xf numFmtId="3" fontId="100" fillId="37" borderId="20" xfId="0" applyNumberFormat="1" applyFont="1" applyFill="1" applyBorder="1" applyAlignment="1">
      <alignment horizontal="center"/>
    </xf>
    <xf numFmtId="182" fontId="100" fillId="37" borderId="20" xfId="0" applyNumberFormat="1" applyFont="1" applyFill="1" applyBorder="1" applyAlignment="1">
      <alignment horizontal="center"/>
    </xf>
    <xf numFmtId="1" fontId="101" fillId="37" borderId="17" xfId="0" applyNumberFormat="1" applyFont="1" applyFill="1" applyBorder="1" applyAlignment="1">
      <alignment vertical="center"/>
    </xf>
    <xf numFmtId="3" fontId="100" fillId="37" borderId="12" xfId="0" applyNumberFormat="1" applyFont="1" applyFill="1" applyBorder="1" applyAlignment="1">
      <alignment horizontal="center"/>
    </xf>
    <xf numFmtId="1" fontId="101" fillId="37" borderId="16" xfId="0" applyNumberFormat="1" applyFont="1" applyFill="1" applyBorder="1" applyAlignment="1">
      <alignment vertical="center"/>
    </xf>
    <xf numFmtId="0" fontId="108" fillId="0" borderId="0" xfId="306" applyFont="1"/>
    <xf numFmtId="4" fontId="100" fillId="37" borderId="16" xfId="0" applyNumberFormat="1" applyFont="1" applyFill="1" applyBorder="1" applyAlignment="1">
      <alignment horizontal="center" vertical="center"/>
    </xf>
    <xf numFmtId="4" fontId="100" fillId="37" borderId="17" xfId="0" applyNumberFormat="1" applyFont="1" applyFill="1" applyBorder="1" applyAlignment="1">
      <alignment horizontal="center" vertical="center"/>
    </xf>
    <xf numFmtId="0" fontId="100" fillId="0" borderId="18" xfId="0" applyFont="1" applyBorder="1" applyAlignment="1">
      <alignment horizontal="center" vertical="center"/>
    </xf>
    <xf numFmtId="4" fontId="100" fillId="0" borderId="17" xfId="0" applyNumberFormat="1" applyFont="1" applyBorder="1" applyAlignment="1">
      <alignment horizontal="center"/>
    </xf>
    <xf numFmtId="0" fontId="0" fillId="37" borderId="0" xfId="0" applyFill="1"/>
    <xf numFmtId="4" fontId="100" fillId="37" borderId="0" xfId="0" applyNumberFormat="1" applyFont="1" applyFill="1" applyAlignment="1">
      <alignment horizontal="center"/>
    </xf>
    <xf numFmtId="182" fontId="100" fillId="37" borderId="12" xfId="0" applyNumberFormat="1" applyFont="1" applyFill="1" applyBorder="1" applyAlignment="1">
      <alignment horizontal="center"/>
    </xf>
    <xf numFmtId="3" fontId="100" fillId="37" borderId="16" xfId="0" applyNumberFormat="1" applyFont="1" applyFill="1" applyBorder="1" applyAlignment="1">
      <alignment horizontal="center" vertical="center"/>
    </xf>
    <xf numFmtId="182" fontId="100" fillId="37" borderId="16" xfId="0" applyNumberFormat="1" applyFont="1" applyFill="1" applyBorder="1" applyAlignment="1">
      <alignment horizontal="center" vertical="center"/>
    </xf>
    <xf numFmtId="208" fontId="100" fillId="37" borderId="17" xfId="0" applyNumberFormat="1" applyFont="1" applyFill="1" applyBorder="1" applyAlignment="1">
      <alignment vertical="center"/>
    </xf>
    <xf numFmtId="3" fontId="100" fillId="37" borderId="17" xfId="0" applyNumberFormat="1" applyFont="1" applyFill="1" applyBorder="1" applyAlignment="1">
      <alignment horizontal="center" vertical="center"/>
    </xf>
    <xf numFmtId="1" fontId="100" fillId="37" borderId="0" xfId="0" applyNumberFormat="1" applyFont="1" applyFill="1" applyAlignment="1">
      <alignment horizontal="center" vertical="center"/>
    </xf>
    <xf numFmtId="182" fontId="100" fillId="37" borderId="13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76" fontId="101" fillId="37" borderId="0" xfId="0" applyNumberFormat="1" applyFont="1" applyFill="1" applyAlignment="1">
      <alignment vertical="center"/>
    </xf>
    <xf numFmtId="3" fontId="100" fillId="37" borderId="16" xfId="0" applyNumberFormat="1" applyFont="1" applyFill="1" applyBorder="1" applyAlignment="1">
      <alignment vertical="center"/>
    </xf>
    <xf numFmtId="3" fontId="100" fillId="37" borderId="17" xfId="0" applyNumberFormat="1" applyFont="1" applyFill="1" applyBorder="1" applyAlignment="1">
      <alignment vertical="center"/>
    </xf>
    <xf numFmtId="3" fontId="100" fillId="37" borderId="13" xfId="0" applyNumberFormat="1" applyFont="1" applyFill="1" applyBorder="1" applyAlignment="1">
      <alignment horizontal="center"/>
    </xf>
    <xf numFmtId="4" fontId="100" fillId="37" borderId="18" xfId="0" applyNumberFormat="1" applyFont="1" applyFill="1" applyBorder="1" applyAlignment="1">
      <alignment horizontal="center"/>
    </xf>
    <xf numFmtId="3" fontId="100" fillId="37" borderId="18" xfId="0" applyNumberFormat="1" applyFont="1" applyFill="1" applyBorder="1" applyAlignment="1">
      <alignment vertical="center"/>
    </xf>
    <xf numFmtId="3" fontId="100" fillId="37" borderId="19" xfId="0" applyNumberFormat="1" applyFont="1" applyFill="1" applyBorder="1" applyAlignment="1">
      <alignment vertical="center"/>
    </xf>
    <xf numFmtId="1" fontId="101" fillId="37" borderId="18" xfId="0" applyNumberFormat="1" applyFont="1" applyFill="1" applyBorder="1" applyAlignment="1">
      <alignment vertical="center"/>
    </xf>
    <xf numFmtId="176" fontId="101" fillId="37" borderId="20" xfId="0" applyNumberFormat="1" applyFont="1" applyFill="1" applyBorder="1" applyAlignment="1">
      <alignment vertical="center"/>
    </xf>
    <xf numFmtId="1" fontId="101" fillId="37" borderId="19" xfId="0" applyNumberFormat="1" applyFont="1" applyFill="1" applyBorder="1" applyAlignment="1">
      <alignment vertical="center"/>
    </xf>
    <xf numFmtId="1" fontId="100" fillId="37" borderId="17" xfId="0" applyNumberFormat="1" applyFont="1" applyFill="1" applyBorder="1" applyAlignment="1">
      <alignment horizontal="center" vertical="center"/>
    </xf>
    <xf numFmtId="179" fontId="114" fillId="0" borderId="11" xfId="233" applyNumberFormat="1" applyFont="1" applyFill="1" applyBorder="1" applyAlignment="1" applyProtection="1">
      <alignment horizontal="center" vertical="center"/>
      <protection hidden="1"/>
    </xf>
    <xf numFmtId="3" fontId="108" fillId="37" borderId="22" xfId="306" applyNumberFormat="1" applyFont="1" applyFill="1" applyBorder="1" applyAlignment="1">
      <alignment horizontal="center" vertical="center"/>
    </xf>
    <xf numFmtId="182" fontId="100" fillId="37" borderId="12" xfId="0" applyNumberFormat="1" applyFont="1" applyFill="1" applyBorder="1" applyAlignment="1">
      <alignment horizontal="center" vertical="center"/>
    </xf>
    <xf numFmtId="0" fontId="0" fillId="26" borderId="0" xfId="0" applyFill="1" applyAlignment="1">
      <alignment horizontal="right"/>
    </xf>
    <xf numFmtId="0" fontId="0" fillId="26" borderId="0" xfId="0" applyFill="1"/>
    <xf numFmtId="0" fontId="94" fillId="0" borderId="0" xfId="0" applyFont="1" applyAlignment="1">
      <alignment horizontal="left" vertical="center"/>
    </xf>
    <xf numFmtId="232" fontId="94" fillId="26" borderId="0" xfId="229" applyNumberFormat="1" applyFont="1" applyFill="1" applyBorder="1" applyAlignment="1">
      <alignment horizontal="right"/>
    </xf>
    <xf numFmtId="0" fontId="103" fillId="0" borderId="0" xfId="0" applyFont="1" applyAlignment="1">
      <alignment horizontal="center" vertical="center"/>
    </xf>
    <xf numFmtId="179" fontId="94" fillId="0" borderId="0" xfId="0" applyNumberFormat="1" applyFont="1" applyAlignment="1">
      <alignment horizontal="center"/>
    </xf>
    <xf numFmtId="3" fontId="100" fillId="37" borderId="12" xfId="0" applyNumberFormat="1" applyFont="1" applyFill="1" applyBorder="1" applyAlignment="1">
      <alignment vertical="center"/>
    </xf>
    <xf numFmtId="182" fontId="100" fillId="37" borderId="0" xfId="0" applyNumberFormat="1" applyFont="1" applyFill="1" applyAlignment="1">
      <alignment vertical="center"/>
    </xf>
    <xf numFmtId="193" fontId="100" fillId="37" borderId="12" xfId="0" applyNumberFormat="1" applyFont="1" applyFill="1" applyBorder="1" applyAlignment="1">
      <alignment vertical="center"/>
    </xf>
    <xf numFmtId="3" fontId="100" fillId="37" borderId="13" xfId="0" applyNumberFormat="1" applyFont="1" applyFill="1" applyBorder="1" applyAlignment="1">
      <alignment vertical="center"/>
    </xf>
    <xf numFmtId="193" fontId="100" fillId="37" borderId="13" xfId="0" applyNumberFormat="1" applyFont="1" applyFill="1" applyBorder="1" applyAlignment="1">
      <alignment vertical="center"/>
    </xf>
    <xf numFmtId="1" fontId="0" fillId="37" borderId="0" xfId="0" applyNumberFormat="1" applyFill="1" applyAlignment="1">
      <alignment horizontal="center"/>
    </xf>
    <xf numFmtId="1" fontId="0" fillId="37" borderId="0" xfId="0" applyNumberFormat="1" applyFill="1"/>
    <xf numFmtId="0" fontId="100" fillId="0" borderId="19" xfId="0" applyFont="1" applyBorder="1" applyAlignment="1">
      <alignment horizontal="center" vertical="center"/>
    </xf>
    <xf numFmtId="0" fontId="100" fillId="0" borderId="21" xfId="0" applyFont="1" applyBorder="1" applyAlignment="1">
      <alignment horizontal="left" vertical="center"/>
    </xf>
    <xf numFmtId="0" fontId="100" fillId="25" borderId="11" xfId="0" applyFont="1" applyFill="1" applyBorder="1" applyAlignment="1">
      <alignment horizontal="center" vertical="center"/>
    </xf>
    <xf numFmtId="0" fontId="100" fillId="0" borderId="18" xfId="0" applyFont="1" applyBorder="1" applyAlignment="1">
      <alignment horizontal="left" vertical="center"/>
    </xf>
    <xf numFmtId="17" fontId="100" fillId="0" borderId="0" xfId="0" applyNumberFormat="1" applyFont="1" applyAlignment="1">
      <alignment horizontal="left" vertical="center"/>
    </xf>
    <xf numFmtId="3" fontId="114" fillId="0" borderId="11" xfId="229" applyNumberFormat="1" applyFont="1" applyFill="1" applyBorder="1" applyAlignment="1" applyProtection="1">
      <alignment horizontal="center" vertical="center"/>
      <protection hidden="1"/>
    </xf>
    <xf numFmtId="0" fontId="100" fillId="37" borderId="11" xfId="0" applyFont="1" applyFill="1" applyBorder="1" applyAlignment="1">
      <alignment horizontal="left" vertical="center"/>
    </xf>
    <xf numFmtId="182" fontId="100" fillId="37" borderId="22" xfId="0" applyNumberFormat="1" applyFont="1" applyFill="1" applyBorder="1" applyAlignment="1">
      <alignment horizontal="center"/>
    </xf>
    <xf numFmtId="3" fontId="100" fillId="37" borderId="14" xfId="0" applyNumberFormat="1" applyFont="1" applyFill="1" applyBorder="1" applyAlignment="1">
      <alignment horizontal="center"/>
    </xf>
    <xf numFmtId="3" fontId="100" fillId="37" borderId="22" xfId="0" applyNumberFormat="1" applyFont="1" applyFill="1" applyBorder="1" applyAlignment="1">
      <alignment horizontal="center"/>
    </xf>
    <xf numFmtId="3" fontId="100" fillId="37" borderId="21" xfId="0" applyNumberFormat="1" applyFont="1" applyFill="1" applyBorder="1" applyAlignment="1">
      <alignment horizontal="center"/>
    </xf>
    <xf numFmtId="178" fontId="0" fillId="0" borderId="0" xfId="234" applyNumberFormat="1" applyFont="1" applyFill="1"/>
    <xf numFmtId="0" fontId="100" fillId="37" borderId="0" xfId="0" applyFont="1" applyFill="1" applyAlignment="1">
      <alignment horizontal="center"/>
    </xf>
    <xf numFmtId="185" fontId="100" fillId="37" borderId="0" xfId="322" applyNumberFormat="1" applyFont="1" applyFill="1" applyBorder="1" applyAlignment="1">
      <alignment horizontal="center"/>
    </xf>
    <xf numFmtId="0" fontId="100" fillId="37" borderId="21" xfId="0" applyFont="1" applyFill="1" applyBorder="1" applyAlignment="1">
      <alignment horizontal="left" vertical="center"/>
    </xf>
    <xf numFmtId="4" fontId="100" fillId="37" borderId="14" xfId="0" applyNumberFormat="1" applyFont="1" applyFill="1" applyBorder="1" applyAlignment="1">
      <alignment horizontal="center"/>
    </xf>
    <xf numFmtId="4" fontId="100" fillId="37" borderId="22" xfId="0" applyNumberFormat="1" applyFont="1" applyFill="1" applyBorder="1" applyAlignment="1">
      <alignment horizontal="center"/>
    </xf>
    <xf numFmtId="3" fontId="100" fillId="37" borderId="14" xfId="0" applyNumberFormat="1" applyFont="1" applyFill="1" applyBorder="1" applyAlignment="1">
      <alignment vertical="center"/>
    </xf>
    <xf numFmtId="3" fontId="100" fillId="37" borderId="21" xfId="0" applyNumberFormat="1" applyFont="1" applyFill="1" applyBorder="1" applyAlignment="1">
      <alignment vertical="center"/>
    </xf>
    <xf numFmtId="181" fontId="100" fillId="0" borderId="11" xfId="0" applyNumberFormat="1" applyFont="1" applyBorder="1" applyAlignment="1">
      <alignment horizontal="center"/>
    </xf>
    <xf numFmtId="0" fontId="100" fillId="37" borderId="1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8" fontId="0" fillId="0" borderId="0" xfId="234" applyNumberFormat="1" applyFont="1"/>
    <xf numFmtId="3" fontId="100" fillId="37" borderId="0" xfId="0" applyNumberFormat="1" applyFont="1" applyFill="1" applyAlignment="1">
      <alignment vertical="center"/>
    </xf>
    <xf numFmtId="208" fontId="100" fillId="37" borderId="12" xfId="0" applyNumberFormat="1" applyFont="1" applyFill="1" applyBorder="1" applyAlignment="1">
      <alignment vertical="center"/>
    </xf>
    <xf numFmtId="208" fontId="100" fillId="37" borderId="13" xfId="0" applyNumberFormat="1" applyFont="1" applyFill="1" applyBorder="1" applyAlignment="1">
      <alignment vertical="center"/>
    </xf>
    <xf numFmtId="208" fontId="100" fillId="37" borderId="19" xfId="0" applyNumberFormat="1" applyFont="1" applyFill="1" applyBorder="1" applyAlignment="1">
      <alignment vertical="center"/>
    </xf>
    <xf numFmtId="3" fontId="100" fillId="37" borderId="20" xfId="0" applyNumberFormat="1" applyFont="1" applyFill="1" applyBorder="1" applyAlignment="1">
      <alignment vertical="center"/>
    </xf>
    <xf numFmtId="3" fontId="100" fillId="0" borderId="11" xfId="0" applyNumberFormat="1" applyFont="1" applyBorder="1" applyAlignment="1">
      <alignment vertical="center"/>
    </xf>
    <xf numFmtId="0" fontId="100" fillId="37" borderId="11" xfId="0" applyFont="1" applyFill="1" applyBorder="1" applyAlignment="1">
      <alignment horizontal="right" vertical="center"/>
    </xf>
    <xf numFmtId="3" fontId="100" fillId="37" borderId="11" xfId="0" applyNumberFormat="1" applyFont="1" applyFill="1" applyBorder="1" applyAlignment="1">
      <alignment horizontal="center"/>
    </xf>
    <xf numFmtId="182" fontId="100" fillId="37" borderId="11" xfId="0" applyNumberFormat="1" applyFont="1" applyFill="1" applyBorder="1" applyAlignment="1">
      <alignment horizontal="center"/>
    </xf>
    <xf numFmtId="183" fontId="100" fillId="37" borderId="11" xfId="0" applyNumberFormat="1" applyFont="1" applyFill="1" applyBorder="1" applyAlignment="1">
      <alignment horizontal="center"/>
    </xf>
    <xf numFmtId="176" fontId="100" fillId="37" borderId="11" xfId="0" applyNumberFormat="1" applyFont="1" applyFill="1" applyBorder="1" applyAlignment="1">
      <alignment horizontal="center" vertical="center"/>
    </xf>
    <xf numFmtId="177" fontId="0" fillId="26" borderId="0" xfId="234" applyNumberFormat="1" applyFont="1" applyFill="1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vertical="center"/>
    </xf>
    <xf numFmtId="4" fontId="100" fillId="37" borderId="11" xfId="0" applyNumberFormat="1" applyFont="1" applyFill="1" applyBorder="1" applyAlignment="1">
      <alignment horizontal="center"/>
    </xf>
    <xf numFmtId="0" fontId="100" fillId="37" borderId="12" xfId="0" applyFont="1" applyFill="1" applyBorder="1" applyAlignment="1">
      <alignment vertical="center"/>
    </xf>
    <xf numFmtId="189" fontId="0" fillId="0" borderId="0" xfId="0" applyNumberFormat="1"/>
    <xf numFmtId="178" fontId="0" fillId="0" borderId="0" xfId="234" applyNumberFormat="1" applyFont="1" applyFill="1" applyBorder="1"/>
    <xf numFmtId="178" fontId="0" fillId="0" borderId="0" xfId="234" applyNumberFormat="1" applyFont="1" applyAlignment="1">
      <alignment horizontal="center"/>
    </xf>
    <xf numFmtId="0" fontId="0" fillId="32" borderId="0" xfId="0" applyFill="1"/>
    <xf numFmtId="0" fontId="0" fillId="26" borderId="0" xfId="0" applyFill="1" applyAlignment="1">
      <alignment horizontal="center"/>
    </xf>
    <xf numFmtId="183" fontId="0" fillId="0" borderId="0" xfId="234" applyNumberFormat="1" applyFont="1" applyFill="1"/>
    <xf numFmtId="4" fontId="0" fillId="0" borderId="0" xfId="234" applyNumberFormat="1" applyFont="1" applyFill="1"/>
    <xf numFmtId="189" fontId="0" fillId="0" borderId="0" xfId="234" applyNumberFormat="1" applyFont="1" applyFill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236" fontId="0" fillId="0" borderId="0" xfId="0" applyNumberFormat="1"/>
    <xf numFmtId="192" fontId="0" fillId="0" borderId="0" xfId="234" applyNumberFormat="1" applyFont="1" applyFill="1" applyAlignment="1">
      <alignment horizontal="center"/>
    </xf>
    <xf numFmtId="0" fontId="0" fillId="37" borderId="0" xfId="0" applyFill="1" applyAlignment="1">
      <alignment horizontal="center"/>
    </xf>
    <xf numFmtId="4" fontId="0" fillId="0" borderId="0" xfId="0" applyNumberFormat="1" applyAlignment="1">
      <alignment horizontal="center"/>
    </xf>
    <xf numFmtId="0" fontId="0" fillId="32" borderId="0" xfId="0" applyFill="1" applyAlignment="1">
      <alignment horizontal="center"/>
    </xf>
    <xf numFmtId="178" fontId="0" fillId="32" borderId="0" xfId="234" applyNumberFormat="1" applyFont="1" applyFill="1" applyBorder="1"/>
    <xf numFmtId="4" fontId="0" fillId="32" borderId="20" xfId="234" applyNumberFormat="1" applyFont="1" applyFill="1" applyBorder="1"/>
    <xf numFmtId="3" fontId="0" fillId="32" borderId="20" xfId="234" applyNumberFormat="1" applyFont="1" applyFill="1" applyBorder="1"/>
    <xf numFmtId="4" fontId="0" fillId="32" borderId="20" xfId="234" applyNumberFormat="1" applyFont="1" applyFill="1" applyBorder="1" applyAlignment="1">
      <alignment horizontal="center"/>
    </xf>
    <xf numFmtId="178" fontId="0" fillId="32" borderId="0" xfId="234" applyNumberFormat="1" applyFont="1" applyFill="1" applyBorder="1" applyAlignment="1">
      <alignment horizontal="center"/>
    </xf>
    <xf numFmtId="177" fontId="0" fillId="32" borderId="0" xfId="234" applyNumberFormat="1" applyFont="1" applyFill="1" applyBorder="1"/>
    <xf numFmtId="0" fontId="0" fillId="32" borderId="0" xfId="0" applyFill="1" applyAlignment="1">
      <alignment horizontal="right"/>
    </xf>
    <xf numFmtId="189" fontId="0" fillId="32" borderId="0" xfId="0" applyNumberFormat="1" applyFill="1"/>
    <xf numFmtId="1" fontId="0" fillId="32" borderId="0" xfId="0" applyNumberFormat="1" applyFill="1" applyAlignment="1">
      <alignment horizontal="center"/>
    </xf>
    <xf numFmtId="0" fontId="0" fillId="32" borderId="20" xfId="0" applyFill="1" applyBorder="1" applyAlignment="1">
      <alignment horizontal="center"/>
    </xf>
    <xf numFmtId="0" fontId="0" fillId="32" borderId="20" xfId="0" applyFill="1" applyBorder="1"/>
    <xf numFmtId="4" fontId="0" fillId="0" borderId="0" xfId="234" applyNumberFormat="1" applyFont="1" applyAlignment="1">
      <alignment horizontal="center"/>
    </xf>
    <xf numFmtId="178" fontId="0" fillId="0" borderId="0" xfId="234" applyNumberFormat="1" applyFont="1" applyFill="1" applyBorder="1" applyAlignment="1">
      <alignment horizontal="center"/>
    </xf>
    <xf numFmtId="177" fontId="0" fillId="0" borderId="0" xfId="234" applyNumberFormat="1" applyFont="1" applyFill="1" applyBorder="1"/>
    <xf numFmtId="179" fontId="0" fillId="0" borderId="0" xfId="234" applyNumberFormat="1" applyFont="1" applyFill="1" applyBorder="1"/>
    <xf numFmtId="0" fontId="0" fillId="38" borderId="0" xfId="0" applyFill="1"/>
    <xf numFmtId="177" fontId="0" fillId="38" borderId="0" xfId="0" applyNumberFormat="1" applyFill="1"/>
    <xf numFmtId="179" fontId="0" fillId="0" borderId="0" xfId="234" applyNumberFormat="1" applyFont="1"/>
    <xf numFmtId="3" fontId="0" fillId="0" borderId="0" xfId="0" applyNumberFormat="1" applyAlignment="1">
      <alignment horizontal="center"/>
    </xf>
    <xf numFmtId="3" fontId="0" fillId="26" borderId="0" xfId="0" applyNumberFormat="1" applyFill="1" applyAlignment="1">
      <alignment horizontal="right"/>
    </xf>
    <xf numFmtId="0" fontId="144" fillId="37" borderId="0" xfId="0" applyFont="1" applyFill="1" applyAlignment="1">
      <alignment horizontal="center"/>
    </xf>
    <xf numFmtId="16" fontId="100" fillId="0" borderId="0" xfId="0" applyNumberFormat="1" applyFont="1" applyAlignment="1">
      <alignment vertical="center"/>
    </xf>
    <xf numFmtId="176" fontId="100" fillId="0" borderId="11" xfId="0" applyNumberFormat="1" applyFont="1" applyBorder="1" applyAlignment="1">
      <alignment vertical="center"/>
    </xf>
    <xf numFmtId="182" fontId="100" fillId="37" borderId="14" xfId="0" applyNumberFormat="1" applyFont="1" applyFill="1" applyBorder="1" applyAlignment="1">
      <alignment horizontal="center"/>
    </xf>
    <xf numFmtId="4" fontId="100" fillId="37" borderId="20" xfId="0" applyNumberFormat="1" applyFont="1" applyFill="1" applyBorder="1" applyAlignment="1">
      <alignment horizontal="center"/>
    </xf>
    <xf numFmtId="0" fontId="100" fillId="37" borderId="14" xfId="0" applyFont="1" applyFill="1" applyBorder="1" applyAlignment="1">
      <alignment horizontal="left" vertical="center"/>
    </xf>
    <xf numFmtId="3" fontId="100" fillId="37" borderId="14" xfId="0" applyNumberFormat="1" applyFont="1" applyFill="1" applyBorder="1" applyAlignment="1">
      <alignment horizontal="center" vertical="center"/>
    </xf>
    <xf numFmtId="3" fontId="100" fillId="37" borderId="22" xfId="0" applyNumberFormat="1" applyFont="1" applyFill="1" applyBorder="1" applyAlignment="1">
      <alignment horizontal="center" vertical="center"/>
    </xf>
    <xf numFmtId="0" fontId="100" fillId="37" borderId="11" xfId="0" applyFont="1" applyFill="1" applyBorder="1" applyAlignment="1">
      <alignment vertical="center"/>
    </xf>
    <xf numFmtId="17" fontId="100" fillId="38" borderId="0" xfId="0" applyNumberFormat="1" applyFont="1" applyFill="1" applyAlignment="1">
      <alignment vertical="center"/>
    </xf>
    <xf numFmtId="0" fontId="100" fillId="38" borderId="11" xfId="0" applyFont="1" applyFill="1" applyBorder="1" applyAlignment="1">
      <alignment vertical="center"/>
    </xf>
    <xf numFmtId="0" fontId="100" fillId="38" borderId="11" xfId="0" applyFont="1" applyFill="1" applyBorder="1" applyAlignment="1">
      <alignment horizontal="center" vertical="center"/>
    </xf>
    <xf numFmtId="0" fontId="100" fillId="38" borderId="13" xfId="0" applyFont="1" applyFill="1" applyBorder="1" applyAlignment="1">
      <alignment horizontal="center" vertical="center"/>
    </xf>
    <xf numFmtId="0" fontId="118" fillId="0" borderId="36" xfId="0" applyFont="1" applyBorder="1" applyAlignment="1">
      <alignment horizontal="center"/>
    </xf>
    <xf numFmtId="182" fontId="119" fillId="34" borderId="35" xfId="0" applyNumberFormat="1" applyFont="1" applyFill="1" applyBorder="1" applyAlignment="1">
      <alignment horizontal="center"/>
    </xf>
    <xf numFmtId="182" fontId="120" fillId="0" borderId="35" xfId="0" applyNumberFormat="1" applyFont="1" applyBorder="1" applyAlignment="1">
      <alignment horizontal="center"/>
    </xf>
    <xf numFmtId="4" fontId="120" fillId="0" borderId="35" xfId="0" applyNumberFormat="1" applyFont="1" applyBorder="1" applyAlignment="1">
      <alignment horizontal="center"/>
    </xf>
    <xf numFmtId="4" fontId="119" fillId="34" borderId="35" xfId="0" applyNumberFormat="1" applyFont="1" applyFill="1" applyBorder="1" applyAlignment="1">
      <alignment horizontal="center"/>
    </xf>
    <xf numFmtId="3" fontId="134" fillId="0" borderId="35" xfId="0" applyNumberFormat="1" applyFont="1" applyBorder="1" applyAlignment="1">
      <alignment horizontal="center"/>
    </xf>
    <xf numFmtId="3" fontId="120" fillId="0" borderId="35" xfId="0" applyNumberFormat="1" applyFont="1" applyBorder="1" applyAlignment="1">
      <alignment horizontal="center"/>
    </xf>
    <xf numFmtId="176" fontId="120" fillId="0" borderId="35" xfId="0" applyNumberFormat="1" applyFont="1" applyBorder="1" applyAlignment="1">
      <alignment horizontal="center"/>
    </xf>
    <xf numFmtId="176" fontId="120" fillId="0" borderId="35" xfId="0" applyNumberFormat="1" applyFont="1" applyBorder="1"/>
    <xf numFmtId="2" fontId="120" fillId="0" borderId="35" xfId="0" applyNumberFormat="1" applyFont="1" applyBorder="1" applyAlignment="1">
      <alignment horizontal="center"/>
    </xf>
    <xf numFmtId="3" fontId="120" fillId="0" borderId="38" xfId="0" applyNumberFormat="1" applyFont="1" applyBorder="1" applyAlignment="1">
      <alignment horizontal="center"/>
    </xf>
    <xf numFmtId="176" fontId="0" fillId="0" borderId="0" xfId="0" applyNumberFormat="1"/>
    <xf numFmtId="0" fontId="100" fillId="37" borderId="14" xfId="0" applyFont="1" applyFill="1" applyBorder="1" applyAlignment="1">
      <alignment vertical="center"/>
    </xf>
    <xf numFmtId="1" fontId="114" fillId="0" borderId="11" xfId="229" applyNumberFormat="1" applyFont="1" applyFill="1" applyBorder="1" applyAlignment="1" applyProtection="1">
      <alignment horizontal="center" vertical="center"/>
      <protection hidden="1"/>
    </xf>
    <xf numFmtId="179" fontId="114" fillId="0" borderId="11" xfId="233" applyNumberFormat="1" applyFont="1" applyBorder="1" applyAlignment="1" applyProtection="1">
      <alignment horizontal="center" vertical="center"/>
      <protection hidden="1"/>
    </xf>
    <xf numFmtId="2" fontId="100" fillId="0" borderId="22" xfId="0" applyNumberFormat="1" applyFont="1" applyBorder="1" applyAlignment="1">
      <alignment horizontal="center" vertical="center"/>
    </xf>
    <xf numFmtId="0" fontId="100" fillId="37" borderId="13" xfId="0" applyFont="1" applyFill="1" applyBorder="1" applyAlignment="1">
      <alignment vertical="center"/>
    </xf>
    <xf numFmtId="183" fontId="100" fillId="37" borderId="0" xfId="0" applyNumberFormat="1" applyFont="1" applyFill="1" applyAlignment="1">
      <alignment horizontal="center"/>
    </xf>
    <xf numFmtId="179" fontId="114" fillId="0" borderId="11" xfId="229" applyNumberFormat="1" applyFont="1" applyFill="1" applyBorder="1" applyAlignment="1" applyProtection="1">
      <alignment horizontal="center" vertical="center"/>
      <protection hidden="1"/>
    </xf>
    <xf numFmtId="0" fontId="108" fillId="85" borderId="11" xfId="305" applyFont="1" applyFill="1" applyBorder="1" applyAlignment="1">
      <alignment vertical="center"/>
    </xf>
    <xf numFmtId="176" fontId="114" fillId="0" borderId="11" xfId="233" applyNumberFormat="1" applyFont="1" applyBorder="1" applyAlignment="1" applyProtection="1">
      <alignment horizontal="center" vertical="center"/>
      <protection hidden="1"/>
    </xf>
    <xf numFmtId="1" fontId="108" fillId="0" borderId="11" xfId="232" applyNumberFormat="1" applyFont="1" applyFill="1" applyBorder="1" applyAlignment="1" applyProtection="1">
      <alignment horizontal="center" vertical="center"/>
      <protection hidden="1"/>
    </xf>
    <xf numFmtId="1" fontId="108" fillId="0" borderId="11" xfId="229" applyNumberFormat="1" applyFont="1" applyBorder="1" applyAlignment="1">
      <alignment horizontal="center" vertical="center"/>
    </xf>
    <xf numFmtId="1" fontId="114" fillId="0" borderId="0" xfId="233" applyNumberFormat="1" applyFont="1" applyFill="1" applyBorder="1" applyAlignment="1" applyProtection="1">
      <alignment horizontal="center" vertical="center"/>
      <protection hidden="1"/>
    </xf>
    <xf numFmtId="1" fontId="114" fillId="0" borderId="20" xfId="233" applyNumberFormat="1" applyFont="1" applyFill="1" applyBorder="1" applyAlignment="1" applyProtection="1">
      <alignment horizontal="center" vertical="center"/>
      <protection hidden="1"/>
    </xf>
    <xf numFmtId="0" fontId="110" fillId="85" borderId="11" xfId="306" applyFont="1" applyFill="1" applyBorder="1" applyAlignment="1">
      <alignment horizontal="center" vertical="center"/>
    </xf>
    <xf numFmtId="0" fontId="110" fillId="85" borderId="0" xfId="306" applyFont="1" applyFill="1" applyAlignment="1">
      <alignment horizontal="center" vertical="center"/>
    </xf>
    <xf numFmtId="3" fontId="110" fillId="0" borderId="11" xfId="233" applyNumberFormat="1" applyFont="1" applyFill="1" applyBorder="1" applyAlignment="1" applyProtection="1">
      <alignment horizontal="center" vertical="center"/>
      <protection hidden="1"/>
    </xf>
    <xf numFmtId="0" fontId="113" fillId="0" borderId="0" xfId="306" applyFont="1" applyAlignment="1">
      <alignment vertical="center"/>
    </xf>
    <xf numFmtId="0" fontId="113" fillId="37" borderId="0" xfId="306" applyFont="1" applyFill="1" applyAlignment="1">
      <alignment vertical="center"/>
    </xf>
    <xf numFmtId="0" fontId="108" fillId="0" borderId="0" xfId="306" applyFont="1" applyAlignment="1">
      <alignment vertical="center"/>
    </xf>
    <xf numFmtId="179" fontId="113" fillId="0" borderId="0" xfId="306" applyNumberFormat="1" applyFont="1" applyAlignment="1">
      <alignment horizontal="center" vertical="center"/>
    </xf>
    <xf numFmtId="1" fontId="113" fillId="0" borderId="0" xfId="306" applyNumberFormat="1" applyFont="1" applyAlignment="1">
      <alignment vertical="center"/>
    </xf>
    <xf numFmtId="169" fontId="113" fillId="0" borderId="0" xfId="306" applyNumberFormat="1" applyFont="1" applyAlignment="1">
      <alignment vertical="center"/>
    </xf>
    <xf numFmtId="0" fontId="113" fillId="0" borderId="11" xfId="306" applyFont="1" applyBorder="1"/>
    <xf numFmtId="176" fontId="113" fillId="0" borderId="0" xfId="306" applyNumberFormat="1" applyFont="1" applyAlignment="1">
      <alignment vertical="center"/>
    </xf>
    <xf numFmtId="176" fontId="113" fillId="37" borderId="0" xfId="306" applyNumberFormat="1" applyFont="1" applyFill="1" applyAlignment="1">
      <alignment vertical="center"/>
    </xf>
    <xf numFmtId="183" fontId="113" fillId="0" borderId="0" xfId="306" applyNumberFormat="1" applyFont="1" applyAlignment="1">
      <alignment horizontal="center" vertical="center"/>
    </xf>
    <xf numFmtId="169" fontId="113" fillId="37" borderId="0" xfId="306" applyNumberFormat="1" applyFont="1" applyFill="1" applyAlignment="1">
      <alignment vertical="center"/>
    </xf>
    <xf numFmtId="0" fontId="108" fillId="0" borderId="11" xfId="306" applyFont="1" applyBorder="1"/>
    <xf numFmtId="176" fontId="114" fillId="0" borderId="11" xfId="229" applyNumberFormat="1" applyFont="1" applyFill="1" applyBorder="1" applyAlignment="1" applyProtection="1">
      <alignment horizontal="center" vertical="center"/>
      <protection hidden="1"/>
    </xf>
    <xf numFmtId="0" fontId="100" fillId="37" borderId="16" xfId="0" applyFont="1" applyFill="1" applyBorder="1" applyAlignment="1">
      <alignment vertical="center"/>
    </xf>
    <xf numFmtId="182" fontId="100" fillId="0" borderId="17" xfId="0" applyNumberFormat="1" applyFont="1" applyBorder="1" applyAlignment="1">
      <alignment horizontal="center"/>
    </xf>
    <xf numFmtId="182" fontId="103" fillId="37" borderId="22" xfId="0" applyNumberFormat="1" applyFont="1" applyFill="1" applyBorder="1" applyAlignment="1">
      <alignment horizontal="center"/>
    </xf>
    <xf numFmtId="176" fontId="100" fillId="37" borderId="22" xfId="0" applyNumberFormat="1" applyFont="1" applyFill="1" applyBorder="1" applyAlignment="1">
      <alignment vertical="center"/>
    </xf>
    <xf numFmtId="208" fontId="100" fillId="37" borderId="21" xfId="0" applyNumberFormat="1" applyFont="1" applyFill="1" applyBorder="1" applyAlignment="1">
      <alignment vertical="center"/>
    </xf>
    <xf numFmtId="2" fontId="100" fillId="37" borderId="11" xfId="0" applyNumberFormat="1" applyFont="1" applyFill="1" applyBorder="1" applyAlignment="1">
      <alignment horizontal="center" vertical="center"/>
    </xf>
    <xf numFmtId="183" fontId="100" fillId="37" borderId="14" xfId="0" applyNumberFormat="1" applyFont="1" applyFill="1" applyBorder="1" applyAlignment="1">
      <alignment horizontal="center" vertical="center"/>
    </xf>
    <xf numFmtId="183" fontId="100" fillId="37" borderId="22" xfId="0" applyNumberFormat="1" applyFont="1" applyFill="1" applyBorder="1" applyAlignment="1">
      <alignment horizontal="center" vertical="center"/>
    </xf>
    <xf numFmtId="0" fontId="143" fillId="0" borderId="0" xfId="0" applyFont="1" applyAlignment="1">
      <alignment vertical="center"/>
    </xf>
    <xf numFmtId="0" fontId="100" fillId="0" borderId="21" xfId="0" applyFont="1" applyBorder="1" applyAlignment="1">
      <alignment vertical="center"/>
    </xf>
    <xf numFmtId="1" fontId="100" fillId="0" borderId="16" xfId="0" applyNumberFormat="1" applyFont="1" applyBorder="1" applyAlignment="1">
      <alignment horizontal="center" vertical="center"/>
    </xf>
    <xf numFmtId="176" fontId="100" fillId="0" borderId="17" xfId="0" applyNumberFormat="1" applyFont="1" applyBorder="1" applyAlignment="1">
      <alignment horizontal="center" vertical="center"/>
    </xf>
    <xf numFmtId="176" fontId="100" fillId="0" borderId="12" xfId="0" applyNumberFormat="1" applyFont="1" applyBorder="1" applyAlignment="1">
      <alignment horizontal="center" vertical="center"/>
    </xf>
    <xf numFmtId="3" fontId="100" fillId="0" borderId="13" xfId="0" applyNumberFormat="1" applyFont="1" applyBorder="1" applyAlignment="1">
      <alignment horizontal="center"/>
    </xf>
    <xf numFmtId="176" fontId="100" fillId="0" borderId="20" xfId="0" applyNumberFormat="1" applyFont="1" applyBorder="1" applyAlignment="1">
      <alignment horizontal="center" vertical="center"/>
    </xf>
    <xf numFmtId="193" fontId="100" fillId="0" borderId="13" xfId="0" applyNumberFormat="1" applyFont="1" applyBorder="1" applyAlignment="1">
      <alignment horizontal="center" vertical="center"/>
    </xf>
    <xf numFmtId="182" fontId="100" fillId="37" borderId="21" xfId="0" applyNumberFormat="1" applyFont="1" applyFill="1" applyBorder="1" applyAlignment="1">
      <alignment horizontal="center" vertical="center"/>
    </xf>
    <xf numFmtId="3" fontId="100" fillId="0" borderId="13" xfId="0" applyNumberFormat="1" applyFont="1" applyBorder="1" applyAlignment="1">
      <alignment vertical="center"/>
    </xf>
    <xf numFmtId="3" fontId="100" fillId="0" borderId="20" xfId="0" applyNumberFormat="1" applyFont="1" applyBorder="1" applyAlignment="1">
      <alignment vertical="center"/>
    </xf>
    <xf numFmtId="1" fontId="100" fillId="0" borderId="20" xfId="0" applyNumberFormat="1" applyFont="1" applyBorder="1" applyAlignment="1">
      <alignment vertical="center"/>
    </xf>
    <xf numFmtId="200" fontId="100" fillId="0" borderId="12" xfId="0" applyNumberFormat="1" applyFont="1" applyBorder="1" applyAlignment="1">
      <alignment horizontal="center"/>
    </xf>
    <xf numFmtId="179" fontId="100" fillId="0" borderId="16" xfId="0" applyNumberFormat="1" applyFont="1" applyBorder="1" applyAlignment="1">
      <alignment horizontal="center"/>
    </xf>
    <xf numFmtId="200" fontId="100" fillId="0" borderId="16" xfId="0" applyNumberFormat="1" applyFont="1" applyBorder="1" applyAlignment="1">
      <alignment horizontal="center"/>
    </xf>
    <xf numFmtId="201" fontId="100" fillId="0" borderId="16" xfId="0" applyNumberFormat="1" applyFont="1" applyBorder="1" applyAlignment="1">
      <alignment horizontal="center"/>
    </xf>
    <xf numFmtId="176" fontId="100" fillId="0" borderId="16" xfId="0" applyNumberFormat="1" applyFont="1" applyBorder="1" applyAlignment="1">
      <alignment horizontal="center"/>
    </xf>
    <xf numFmtId="0" fontId="100" fillId="0" borderId="18" xfId="0" applyFont="1" applyBorder="1" applyAlignment="1">
      <alignment vertical="center"/>
    </xf>
    <xf numFmtId="0" fontId="100" fillId="0" borderId="19" xfId="0" applyFont="1" applyBorder="1" applyAlignment="1">
      <alignment vertical="center"/>
    </xf>
    <xf numFmtId="3" fontId="100" fillId="0" borderId="32" xfId="0" applyNumberFormat="1" applyFont="1" applyBorder="1" applyAlignment="1">
      <alignment vertical="center"/>
    </xf>
    <xf numFmtId="3" fontId="100" fillId="0" borderId="23" xfId="0" applyNumberFormat="1" applyFont="1" applyBorder="1" applyAlignment="1">
      <alignment vertical="center"/>
    </xf>
    <xf numFmtId="3" fontId="117" fillId="0" borderId="37" xfId="0" applyNumberFormat="1" applyFont="1" applyBorder="1" applyAlignment="1">
      <alignment vertical="center"/>
    </xf>
    <xf numFmtId="179" fontId="0" fillId="37" borderId="0" xfId="0" applyNumberFormat="1" applyFill="1"/>
    <xf numFmtId="1" fontId="94" fillId="0" borderId="0" xfId="0" applyNumberFormat="1" applyFont="1" applyAlignment="1">
      <alignment horizontal="left"/>
    </xf>
    <xf numFmtId="1" fontId="100" fillId="37" borderId="0" xfId="0" applyNumberFormat="1" applyFont="1" applyFill="1" applyAlignment="1">
      <alignment vertical="center"/>
    </xf>
    <xf numFmtId="183" fontId="100" fillId="37" borderId="16" xfId="0" applyNumberFormat="1" applyFont="1" applyFill="1" applyBorder="1" applyAlignment="1">
      <alignment horizontal="center" vertical="center"/>
    </xf>
    <xf numFmtId="179" fontId="0" fillId="37" borderId="0" xfId="0" applyNumberFormat="1" applyFill="1" applyAlignment="1">
      <alignment horizontal="center"/>
    </xf>
    <xf numFmtId="0" fontId="100" fillId="37" borderId="12" xfId="0" applyFont="1" applyFill="1" applyBorder="1" applyAlignment="1">
      <alignment vertical="center" textRotation="90"/>
    </xf>
    <xf numFmtId="0" fontId="100" fillId="37" borderId="13" xfId="0" applyFont="1" applyFill="1" applyBorder="1" applyAlignment="1">
      <alignment vertical="center" textRotation="90"/>
    </xf>
    <xf numFmtId="179" fontId="0" fillId="0" borderId="0" xfId="0" applyNumberFormat="1" applyAlignment="1">
      <alignment horizontal="center"/>
    </xf>
    <xf numFmtId="0" fontId="100" fillId="37" borderId="0" xfId="0" applyFont="1" applyFill="1" applyAlignment="1">
      <alignment horizontal="center" vertical="center"/>
    </xf>
    <xf numFmtId="0" fontId="228" fillId="37" borderId="11" xfId="306" applyFont="1" applyFill="1" applyBorder="1" applyAlignment="1">
      <alignment horizontal="left" vertical="center"/>
    </xf>
    <xf numFmtId="0" fontId="228" fillId="37" borderId="11" xfId="306" applyFont="1" applyFill="1" applyBorder="1" applyAlignment="1">
      <alignment horizontal="center" vertical="center"/>
    </xf>
    <xf numFmtId="184" fontId="100" fillId="37" borderId="0" xfId="0" applyNumberFormat="1" applyFont="1" applyFill="1" applyAlignment="1">
      <alignment horizontal="center"/>
    </xf>
    <xf numFmtId="17" fontId="100" fillId="37" borderId="0" xfId="0" applyNumberFormat="1" applyFont="1" applyFill="1" applyAlignment="1">
      <alignment vertical="center"/>
    </xf>
    <xf numFmtId="182" fontId="100" fillId="37" borderId="11" xfId="0" applyNumberFormat="1" applyFont="1" applyFill="1" applyBorder="1" applyAlignment="1">
      <alignment horizontal="center" vertical="center"/>
    </xf>
    <xf numFmtId="208" fontId="100" fillId="37" borderId="11" xfId="0" applyNumberFormat="1" applyFont="1" applyFill="1" applyBorder="1" applyAlignment="1">
      <alignment vertical="center"/>
    </xf>
    <xf numFmtId="182" fontId="100" fillId="37" borderId="22" xfId="0" applyNumberFormat="1" applyFont="1" applyFill="1" applyBorder="1" applyAlignment="1">
      <alignment horizontal="center" vertical="center"/>
    </xf>
    <xf numFmtId="182" fontId="100" fillId="37" borderId="14" xfId="0" applyNumberFormat="1" applyFont="1" applyFill="1" applyBorder="1" applyAlignment="1">
      <alignment horizontal="center" vertical="center"/>
    </xf>
    <xf numFmtId="179" fontId="100" fillId="37" borderId="11" xfId="0" applyNumberFormat="1" applyFont="1" applyFill="1" applyBorder="1" applyAlignment="1">
      <alignment horizontal="center" vertical="center"/>
    </xf>
    <xf numFmtId="185" fontId="100" fillId="37" borderId="16" xfId="322" applyNumberFormat="1" applyFont="1" applyFill="1" applyBorder="1" applyAlignment="1">
      <alignment horizontal="center"/>
    </xf>
    <xf numFmtId="0" fontId="100" fillId="37" borderId="18" xfId="0" applyFont="1" applyFill="1" applyBorder="1" applyAlignment="1">
      <alignment horizontal="center" vertical="center"/>
    </xf>
    <xf numFmtId="0" fontId="100" fillId="37" borderId="20" xfId="0" applyFont="1" applyFill="1" applyBorder="1" applyAlignment="1">
      <alignment horizontal="center" vertical="center"/>
    </xf>
    <xf numFmtId="185" fontId="100" fillId="37" borderId="18" xfId="322" applyNumberFormat="1" applyFont="1" applyFill="1" applyBorder="1" applyAlignment="1">
      <alignment horizontal="center" vertical="center"/>
    </xf>
    <xf numFmtId="185" fontId="100" fillId="37" borderId="20" xfId="322" applyNumberFormat="1" applyFont="1" applyFill="1" applyBorder="1" applyAlignment="1">
      <alignment horizontal="center" vertical="center"/>
    </xf>
    <xf numFmtId="0" fontId="100" fillId="37" borderId="19" xfId="0" applyFont="1" applyFill="1" applyBorder="1" applyAlignment="1">
      <alignment horizontal="center" vertical="center"/>
    </xf>
    <xf numFmtId="185" fontId="100" fillId="37" borderId="12" xfId="322" applyNumberFormat="1" applyFont="1" applyFill="1" applyBorder="1" applyAlignment="1">
      <alignment horizontal="center"/>
    </xf>
    <xf numFmtId="185" fontId="100" fillId="37" borderId="13" xfId="322" applyNumberFormat="1" applyFont="1" applyFill="1" applyBorder="1" applyAlignment="1">
      <alignment horizontal="center" vertical="center"/>
    </xf>
    <xf numFmtId="0" fontId="100" fillId="86" borderId="0" xfId="0" applyFont="1" applyFill="1" applyAlignment="1">
      <alignment vertical="center"/>
    </xf>
    <xf numFmtId="3" fontId="100" fillId="86" borderId="0" xfId="0" applyNumberFormat="1" applyFont="1" applyFill="1" applyAlignment="1">
      <alignment vertical="center"/>
    </xf>
    <xf numFmtId="0" fontId="100" fillId="86" borderId="0" xfId="0" applyFont="1" applyFill="1" applyAlignment="1">
      <alignment horizontal="center" vertical="center"/>
    </xf>
    <xf numFmtId="176" fontId="100" fillId="0" borderId="16" xfId="0" applyNumberFormat="1" applyFont="1" applyBorder="1" applyAlignment="1">
      <alignment vertical="center"/>
    </xf>
    <xf numFmtId="176" fontId="100" fillId="0" borderId="18" xfId="0" applyNumberFormat="1" applyFont="1" applyBorder="1" applyAlignment="1">
      <alignment vertical="center"/>
    </xf>
    <xf numFmtId="2" fontId="113" fillId="0" borderId="0" xfId="306" applyNumberFormat="1" applyFont="1" applyAlignment="1">
      <alignment horizontal="center" vertical="center"/>
    </xf>
    <xf numFmtId="0" fontId="113" fillId="0" borderId="0" xfId="306" applyFont="1" applyAlignment="1">
      <alignment horizontal="center" wrapText="1"/>
    </xf>
    <xf numFmtId="0" fontId="113" fillId="0" borderId="0" xfId="306" applyFont="1" applyAlignment="1">
      <alignment horizontal="centerContinuous"/>
    </xf>
    <xf numFmtId="167" fontId="113" fillId="0" borderId="0" xfId="306" applyNumberFormat="1" applyFont="1" applyAlignment="1">
      <alignment vertical="center"/>
    </xf>
    <xf numFmtId="167" fontId="113" fillId="37" borderId="0" xfId="306" applyNumberFormat="1" applyFont="1" applyFill="1" applyAlignment="1">
      <alignment vertical="center"/>
    </xf>
    <xf numFmtId="177" fontId="113" fillId="0" borderId="0" xfId="306" applyNumberFormat="1" applyFont="1" applyAlignment="1">
      <alignment vertical="center"/>
    </xf>
    <xf numFmtId="0" fontId="108" fillId="0" borderId="0" xfId="306" applyFont="1" applyAlignment="1">
      <alignment horizontal="center" wrapText="1"/>
    </xf>
    <xf numFmtId="0" fontId="116" fillId="36" borderId="24" xfId="306" applyFont="1" applyFill="1" applyBorder="1" applyAlignment="1">
      <alignment vertical="center"/>
    </xf>
    <xf numFmtId="0" fontId="116" fillId="36" borderId="25" xfId="306" applyFont="1" applyFill="1" applyBorder="1" applyAlignment="1">
      <alignment vertical="center"/>
    </xf>
    <xf numFmtId="0" fontId="116" fillId="36" borderId="26" xfId="306" applyFont="1" applyFill="1" applyBorder="1" applyAlignment="1">
      <alignment vertical="center"/>
    </xf>
    <xf numFmtId="0" fontId="116" fillId="36" borderId="36" xfId="306" applyFont="1" applyFill="1" applyBorder="1" applyAlignment="1">
      <alignment vertical="center"/>
    </xf>
    <xf numFmtId="0" fontId="125" fillId="36" borderId="31" xfId="306" applyFont="1" applyFill="1" applyBorder="1" applyAlignment="1">
      <alignment horizontal="center" vertical="center"/>
    </xf>
    <xf numFmtId="17" fontId="116" fillId="36" borderId="47" xfId="302" applyNumberFormat="1" applyFont="1" applyFill="1" applyBorder="1" applyAlignment="1">
      <alignment horizontal="center" vertical="center" wrapText="1"/>
    </xf>
    <xf numFmtId="188" fontId="116" fillId="36" borderId="31" xfId="233" applyNumberFormat="1" applyFont="1" applyFill="1" applyBorder="1" applyAlignment="1">
      <alignment vertical="center"/>
    </xf>
    <xf numFmtId="1" fontId="113" fillId="0" borderId="0" xfId="0" applyNumberFormat="1" applyFont="1"/>
    <xf numFmtId="0" fontId="116" fillId="36" borderId="38" xfId="306" applyFont="1" applyFill="1" applyBorder="1" applyAlignment="1">
      <alignment vertical="center"/>
    </xf>
    <xf numFmtId="0" fontId="116" fillId="36" borderId="39" xfId="306" applyFont="1" applyFill="1" applyBorder="1" applyAlignment="1">
      <alignment horizontal="center" vertical="center"/>
    </xf>
    <xf numFmtId="17" fontId="116" fillId="36" borderId="43" xfId="302" applyNumberFormat="1" applyFont="1" applyFill="1" applyBorder="1" applyAlignment="1">
      <alignment horizontal="center" vertical="center" wrapText="1"/>
    </xf>
    <xf numFmtId="188" fontId="116" fillId="36" borderId="39" xfId="233" applyNumberFormat="1" applyFont="1" applyFill="1" applyBorder="1" applyAlignment="1">
      <alignment vertical="center"/>
    </xf>
    <xf numFmtId="17" fontId="116" fillId="36" borderId="44" xfId="302" applyNumberFormat="1" applyFont="1" applyFill="1" applyBorder="1" applyAlignment="1">
      <alignment vertical="center" wrapText="1"/>
    </xf>
    <xf numFmtId="0" fontId="228" fillId="37" borderId="0" xfId="0" applyFont="1" applyFill="1"/>
    <xf numFmtId="0" fontId="125" fillId="36" borderId="31" xfId="306" applyFont="1" applyFill="1" applyBorder="1" applyAlignment="1">
      <alignment horizontal="centerContinuous" vertical="center"/>
    </xf>
    <xf numFmtId="0" fontId="108" fillId="0" borderId="47" xfId="306" applyFont="1" applyBorder="1"/>
    <xf numFmtId="0" fontId="113" fillId="0" borderId="11" xfId="306" applyFont="1" applyBorder="1" applyAlignment="1">
      <alignment vertical="center"/>
    </xf>
    <xf numFmtId="0" fontId="113" fillId="0" borderId="12" xfId="306" applyFont="1" applyBorder="1" applyAlignment="1">
      <alignment vertical="center"/>
    </xf>
    <xf numFmtId="2" fontId="113" fillId="0" borderId="0" xfId="306" applyNumberFormat="1" applyFont="1" applyAlignment="1">
      <alignment vertical="center"/>
    </xf>
    <xf numFmtId="182" fontId="114" fillId="0" borderId="11" xfId="229" applyNumberFormat="1" applyFont="1" applyFill="1" applyBorder="1" applyAlignment="1" applyProtection="1">
      <alignment horizontal="center" vertical="center"/>
      <protection hidden="1"/>
    </xf>
    <xf numFmtId="178" fontId="110" fillId="0" borderId="11" xfId="229" applyNumberFormat="1" applyFont="1" applyFill="1" applyBorder="1" applyAlignment="1" applyProtection="1">
      <alignment horizontal="center" vertical="center"/>
      <protection hidden="1"/>
    </xf>
    <xf numFmtId="196" fontId="108" fillId="0" borderId="11" xfId="229" applyNumberFormat="1" applyFont="1" applyBorder="1" applyAlignment="1">
      <alignment horizontal="center" vertical="center"/>
    </xf>
    <xf numFmtId="183" fontId="110" fillId="0" borderId="11" xfId="233" applyNumberFormat="1" applyFont="1" applyFill="1" applyBorder="1" applyAlignment="1" applyProtection="1">
      <alignment horizontal="center" vertical="center"/>
      <protection hidden="1"/>
    </xf>
    <xf numFmtId="3" fontId="110" fillId="0" borderId="22" xfId="233" applyNumberFormat="1" applyFont="1" applyFill="1" applyBorder="1" applyAlignment="1" applyProtection="1">
      <alignment horizontal="center" vertical="center"/>
      <protection hidden="1"/>
    </xf>
    <xf numFmtId="2" fontId="110" fillId="0" borderId="11" xfId="233" applyNumberFormat="1" applyFont="1" applyFill="1" applyBorder="1" applyAlignment="1" applyProtection="1">
      <alignment horizontal="center" vertical="center"/>
      <protection hidden="1"/>
    </xf>
    <xf numFmtId="0" fontId="108" fillId="0" borderId="23" xfId="306" applyFont="1" applyBorder="1" applyAlignment="1">
      <alignment vertical="center"/>
    </xf>
    <xf numFmtId="182" fontId="113" fillId="0" borderId="0" xfId="306" applyNumberFormat="1" applyFont="1" applyAlignment="1">
      <alignment horizontal="center" vertical="center"/>
    </xf>
    <xf numFmtId="3" fontId="113" fillId="0" borderId="0" xfId="306" applyNumberFormat="1" applyFont="1" applyAlignment="1">
      <alignment horizontal="center" vertical="center"/>
    </xf>
    <xf numFmtId="176" fontId="108" fillId="0" borderId="22" xfId="306" applyNumberFormat="1" applyFont="1" applyBorder="1" applyAlignment="1">
      <alignment horizontal="center" vertical="center"/>
    </xf>
    <xf numFmtId="3" fontId="110" fillId="0" borderId="12" xfId="306" applyNumberFormat="1" applyFont="1" applyBorder="1" applyAlignment="1">
      <alignment horizontal="center" vertical="center"/>
    </xf>
    <xf numFmtId="202" fontId="0" fillId="0" borderId="0" xfId="234" applyNumberFormat="1" applyFont="1"/>
    <xf numFmtId="179" fontId="100" fillId="37" borderId="0" xfId="0" applyNumberFormat="1" applyFont="1" applyFill="1" applyAlignment="1">
      <alignment vertical="center"/>
    </xf>
    <xf numFmtId="3" fontId="0" fillId="37" borderId="0" xfId="0" applyNumberFormat="1" applyFill="1" applyAlignment="1">
      <alignment horizontal="center"/>
    </xf>
    <xf numFmtId="1" fontId="100" fillId="0" borderId="22" xfId="0" applyNumberFormat="1" applyFont="1" applyBorder="1" applyAlignment="1">
      <alignment vertical="center"/>
    </xf>
    <xf numFmtId="167" fontId="113" fillId="0" borderId="0" xfId="306" applyNumberFormat="1" applyFont="1" applyAlignment="1">
      <alignment horizontal="center" vertical="center"/>
    </xf>
    <xf numFmtId="183" fontId="0" fillId="0" borderId="0" xfId="234" applyNumberFormat="1" applyFont="1" applyAlignment="1">
      <alignment horizontal="center"/>
    </xf>
    <xf numFmtId="200" fontId="239" fillId="0" borderId="0" xfId="0" applyNumberFormat="1" applyFont="1" applyAlignment="1">
      <alignment vertical="center"/>
    </xf>
    <xf numFmtId="3" fontId="239" fillId="0" borderId="0" xfId="0" applyNumberFormat="1" applyFont="1" applyAlignment="1">
      <alignment vertical="center"/>
    </xf>
    <xf numFmtId="0" fontId="239" fillId="0" borderId="0" xfId="0" applyFont="1" applyAlignment="1">
      <alignment vertical="center"/>
    </xf>
    <xf numFmtId="0" fontId="100" fillId="0" borderId="13" xfId="0" applyFont="1" applyBorder="1" applyAlignment="1">
      <alignment vertical="center" textRotation="90"/>
    </xf>
    <xf numFmtId="182" fontId="100" fillId="0" borderId="12" xfId="0" applyNumberFormat="1" applyFont="1" applyBorder="1" applyAlignment="1">
      <alignment horizontal="center" vertical="center"/>
    </xf>
    <xf numFmtId="0" fontId="238" fillId="37" borderId="0" xfId="0" applyFont="1" applyFill="1" applyAlignment="1">
      <alignment vertical="center"/>
    </xf>
    <xf numFmtId="0" fontId="226" fillId="0" borderId="0" xfId="0" applyFont="1" applyAlignment="1">
      <alignment vertical="center"/>
    </xf>
    <xf numFmtId="0" fontId="226" fillId="0" borderId="0" xfId="0" applyFont="1" applyAlignment="1">
      <alignment vertical="center" wrapText="1"/>
    </xf>
    <xf numFmtId="196" fontId="113" fillId="0" borderId="11" xfId="229" applyNumberFormat="1" applyFont="1" applyFill="1" applyBorder="1" applyAlignment="1">
      <alignment horizontal="center" vertical="center"/>
    </xf>
    <xf numFmtId="235" fontId="144" fillId="26" borderId="0" xfId="229" applyNumberFormat="1" applyFont="1" applyFill="1" applyBorder="1"/>
    <xf numFmtId="16" fontId="0" fillId="0" borderId="0" xfId="0" applyNumberFormat="1" applyAlignment="1">
      <alignment horizontal="center"/>
    </xf>
    <xf numFmtId="0" fontId="143" fillId="37" borderId="0" xfId="0" applyFont="1" applyFill="1" applyAlignment="1">
      <alignment vertical="center"/>
    </xf>
    <xf numFmtId="17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83" fontId="100" fillId="0" borderId="0" xfId="0" applyNumberFormat="1" applyFont="1" applyAlignment="1">
      <alignment horizontal="center" vertical="center"/>
    </xf>
    <xf numFmtId="0" fontId="100" fillId="0" borderId="96" xfId="0" applyFont="1" applyBorder="1" applyAlignment="1">
      <alignment vertical="center"/>
    </xf>
    <xf numFmtId="17" fontId="116" fillId="36" borderId="53" xfId="302" applyNumberFormat="1" applyFont="1" applyFill="1" applyBorder="1" applyAlignment="1">
      <alignment horizontal="center" vertical="center" wrapText="1"/>
    </xf>
    <xf numFmtId="0" fontId="116" fillId="31" borderId="24" xfId="306" applyFont="1" applyFill="1" applyBorder="1" applyAlignment="1">
      <alignment vertical="center"/>
    </xf>
    <xf numFmtId="0" fontId="116" fillId="31" borderId="25" xfId="306" applyFont="1" applyFill="1" applyBorder="1" applyAlignment="1">
      <alignment vertical="center"/>
    </xf>
    <xf numFmtId="0" fontId="108" fillId="0" borderId="0" xfId="306" applyFont="1" applyAlignment="1">
      <alignment horizontal="centerContinuous" vertical="center" wrapText="1"/>
    </xf>
    <xf numFmtId="0" fontId="113" fillId="0" borderId="0" xfId="306" applyFont="1" applyAlignment="1">
      <alignment horizontal="centerContinuous" vertical="center" wrapText="1"/>
    </xf>
    <xf numFmtId="0" fontId="113" fillId="0" borderId="39" xfId="306" applyFont="1" applyBorder="1" applyAlignment="1">
      <alignment vertical="center" wrapText="1"/>
    </xf>
    <xf numFmtId="0" fontId="113" fillId="0" borderId="0" xfId="306" applyFont="1" applyAlignment="1">
      <alignment horizontal="centerContinuous" vertical="center"/>
    </xf>
    <xf numFmtId="0" fontId="113" fillId="0" borderId="0" xfId="0" applyFont="1" applyAlignment="1">
      <alignment vertical="center"/>
    </xf>
    <xf numFmtId="0" fontId="114" fillId="0" borderId="0" xfId="0" applyFont="1" applyAlignment="1">
      <alignment horizontal="center" vertical="center"/>
    </xf>
    <xf numFmtId="179" fontId="113" fillId="0" borderId="0" xfId="306" applyNumberFormat="1" applyFont="1" applyAlignment="1">
      <alignment vertical="center"/>
    </xf>
    <xf numFmtId="183" fontId="113" fillId="0" borderId="0" xfId="306" applyNumberFormat="1" applyFont="1" applyAlignment="1">
      <alignment vertical="center"/>
    </xf>
    <xf numFmtId="0" fontId="121" fillId="0" borderId="0" xfId="305" applyFont="1" applyAlignment="1">
      <alignment vertical="center"/>
    </xf>
    <xf numFmtId="0" fontId="121" fillId="0" borderId="0" xfId="305" applyFont="1" applyAlignment="1">
      <alignment horizontal="center" vertical="center"/>
    </xf>
    <xf numFmtId="0" fontId="110" fillId="38" borderId="11" xfId="0" applyFont="1" applyFill="1" applyBorder="1" applyAlignment="1">
      <alignment vertical="center"/>
    </xf>
    <xf numFmtId="179" fontId="114" fillId="38" borderId="11" xfId="0" applyNumberFormat="1" applyFont="1" applyFill="1" applyBorder="1" applyAlignment="1">
      <alignment horizontal="center" vertical="center"/>
    </xf>
    <xf numFmtId="0" fontId="110" fillId="38" borderId="11" xfId="0" applyFont="1" applyFill="1" applyBorder="1" applyAlignment="1">
      <alignment horizontal="left" vertical="center"/>
    </xf>
    <xf numFmtId="194" fontId="100" fillId="0" borderId="13" xfId="0" applyNumberFormat="1" applyFont="1" applyBorder="1" applyAlignment="1">
      <alignment horizontal="center" vertical="center"/>
    </xf>
    <xf numFmtId="4" fontId="100" fillId="37" borderId="21" xfId="0" applyNumberFormat="1" applyFont="1" applyFill="1" applyBorder="1" applyAlignment="1">
      <alignment horizontal="center"/>
    </xf>
    <xf numFmtId="193" fontId="100" fillId="37" borderId="11" xfId="0" applyNumberFormat="1" applyFont="1" applyFill="1" applyBorder="1" applyAlignment="1">
      <alignment horizontal="center" vertical="center"/>
    </xf>
    <xf numFmtId="3" fontId="100" fillId="37" borderId="21" xfId="0" applyNumberFormat="1" applyFont="1" applyFill="1" applyBorder="1" applyAlignment="1">
      <alignment horizontal="center" vertical="center"/>
    </xf>
    <xf numFmtId="0" fontId="100" fillId="0" borderId="94" xfId="0" applyFont="1" applyBorder="1" applyAlignment="1">
      <alignment horizontal="center" vertical="center"/>
    </xf>
    <xf numFmtId="0" fontId="100" fillId="0" borderId="94" xfId="0" applyFont="1" applyBorder="1" applyAlignment="1">
      <alignment vertical="center"/>
    </xf>
    <xf numFmtId="0" fontId="100" fillId="0" borderId="97" xfId="0" applyFont="1" applyBorder="1" applyAlignment="1">
      <alignment vertical="center"/>
    </xf>
    <xf numFmtId="0" fontId="100" fillId="0" borderId="95" xfId="0" applyFont="1" applyBorder="1" applyAlignment="1">
      <alignment vertical="center"/>
    </xf>
    <xf numFmtId="0" fontId="100" fillId="34" borderId="94" xfId="0" applyFont="1" applyFill="1" applyBorder="1" applyAlignment="1">
      <alignment vertical="center"/>
    </xf>
    <xf numFmtId="0" fontId="103" fillId="0" borderId="94" xfId="0" applyFont="1" applyBorder="1" applyAlignment="1">
      <alignment vertical="center" textRotation="90"/>
    </xf>
    <xf numFmtId="193" fontId="100" fillId="0" borderId="94" xfId="0" applyNumberFormat="1" applyFont="1" applyBorder="1" applyAlignment="1">
      <alignment horizontal="center" vertical="center"/>
    </xf>
    <xf numFmtId="3" fontId="100" fillId="0" borderId="97" xfId="0" applyNumberFormat="1" applyFont="1" applyBorder="1" applyAlignment="1">
      <alignment horizontal="center"/>
    </xf>
    <xf numFmtId="3" fontId="100" fillId="0" borderId="94" xfId="0" applyNumberFormat="1" applyFont="1" applyBorder="1" applyAlignment="1">
      <alignment horizontal="center"/>
    </xf>
    <xf numFmtId="3" fontId="100" fillId="0" borderId="96" xfId="0" applyNumberFormat="1" applyFont="1" applyBorder="1" applyAlignment="1">
      <alignment horizontal="center"/>
    </xf>
    <xf numFmtId="4" fontId="100" fillId="0" borderId="96" xfId="0" applyNumberFormat="1" applyFont="1" applyBorder="1" applyAlignment="1">
      <alignment horizontal="center"/>
    </xf>
    <xf numFmtId="182" fontId="100" fillId="0" borderId="96" xfId="0" applyNumberFormat="1" applyFont="1" applyBorder="1" applyAlignment="1">
      <alignment horizontal="center"/>
    </xf>
    <xf numFmtId="176" fontId="100" fillId="0" borderId="96" xfId="0" applyNumberFormat="1" applyFont="1" applyBorder="1" applyAlignment="1">
      <alignment horizontal="center" vertical="center"/>
    </xf>
    <xf numFmtId="3" fontId="100" fillId="0" borderId="94" xfId="0" applyNumberFormat="1" applyFont="1" applyBorder="1" applyAlignment="1">
      <alignment vertical="center"/>
    </xf>
    <xf numFmtId="0" fontId="100" fillId="37" borderId="21" xfId="0" applyFont="1" applyFill="1" applyBorder="1" applyAlignment="1">
      <alignment horizontal="center" vertical="center"/>
    </xf>
    <xf numFmtId="0" fontId="100" fillId="37" borderId="11" xfId="0" applyFont="1" applyFill="1" applyBorder="1" applyAlignment="1">
      <alignment horizontal="center" vertical="center"/>
    </xf>
    <xf numFmtId="0" fontId="100" fillId="37" borderId="22" xfId="0" applyFont="1" applyFill="1" applyBorder="1" applyAlignment="1">
      <alignment horizontal="center" vertical="center"/>
    </xf>
    <xf numFmtId="0" fontId="100" fillId="37" borderId="0" xfId="0" applyFont="1" applyFill="1" applyAlignment="1">
      <alignment horizontal="center" vertical="center" wrapText="1"/>
    </xf>
    <xf numFmtId="0" fontId="100" fillId="37" borderId="12" xfId="0" applyFont="1" applyFill="1" applyBorder="1" applyAlignment="1">
      <alignment horizontal="center" vertical="center"/>
    </xf>
    <xf numFmtId="0" fontId="116" fillId="36" borderId="25" xfId="306" applyFont="1" applyFill="1" applyBorder="1" applyAlignment="1">
      <alignment horizontal="center" vertical="center"/>
    </xf>
    <xf numFmtId="0" fontId="116" fillId="36" borderId="26" xfId="306" applyFont="1" applyFill="1" applyBorder="1" applyAlignment="1">
      <alignment horizontal="center" vertical="center"/>
    </xf>
    <xf numFmtId="3" fontId="113" fillId="0" borderId="0" xfId="306" applyNumberFormat="1" applyFont="1" applyAlignment="1">
      <alignment vertical="center"/>
    </xf>
    <xf numFmtId="15" fontId="47" fillId="0" borderId="0" xfId="306" applyNumberFormat="1" applyAlignment="1">
      <alignment vertical="center"/>
    </xf>
    <xf numFmtId="181" fontId="113" fillId="0" borderId="0" xfId="306" applyNumberFormat="1" applyFont="1" applyAlignment="1">
      <alignment vertical="center"/>
    </xf>
    <xf numFmtId="182" fontId="113" fillId="0" borderId="0" xfId="306" applyNumberFormat="1" applyFont="1" applyAlignment="1">
      <alignment vertical="center"/>
    </xf>
    <xf numFmtId="0" fontId="113" fillId="0" borderId="0" xfId="306" applyFont="1" applyAlignment="1">
      <alignment horizontal="center" vertical="center" wrapText="1"/>
    </xf>
    <xf numFmtId="0" fontId="113" fillId="0" borderId="34" xfId="306" applyFont="1" applyBorder="1" applyAlignment="1">
      <alignment vertical="center"/>
    </xf>
    <xf numFmtId="0" fontId="113" fillId="0" borderId="23" xfId="306" applyFont="1" applyBorder="1" applyAlignment="1">
      <alignment vertical="center"/>
    </xf>
    <xf numFmtId="2" fontId="196" fillId="0" borderId="0" xfId="306" applyNumberFormat="1" applyFont="1" applyAlignment="1">
      <alignment vertical="center"/>
    </xf>
    <xf numFmtId="0" fontId="113" fillId="0" borderId="39" xfId="306" applyFont="1" applyBorder="1" applyAlignment="1">
      <alignment vertical="center"/>
    </xf>
    <xf numFmtId="0" fontId="113" fillId="0" borderId="41" xfId="306" applyFont="1" applyBorder="1" applyAlignment="1">
      <alignment vertical="center"/>
    </xf>
    <xf numFmtId="0" fontId="116" fillId="31" borderId="25" xfId="306" applyFont="1" applyFill="1" applyBorder="1" applyAlignment="1">
      <alignment horizontal="center" vertical="center"/>
    </xf>
    <xf numFmtId="0" fontId="116" fillId="31" borderId="26" xfId="306" applyFont="1" applyFill="1" applyBorder="1" applyAlignment="1">
      <alignment horizontal="center" vertical="center"/>
    </xf>
    <xf numFmtId="188" fontId="116" fillId="31" borderId="31" xfId="233" applyNumberFormat="1" applyFont="1" applyFill="1" applyBorder="1" applyAlignment="1">
      <alignment horizontal="center" vertical="center"/>
    </xf>
    <xf numFmtId="188" fontId="116" fillId="31" borderId="39" xfId="233" applyNumberFormat="1" applyFont="1" applyFill="1" applyBorder="1" applyAlignment="1">
      <alignment horizontal="center" vertical="center"/>
    </xf>
    <xf numFmtId="247" fontId="113" fillId="0" borderId="0" xfId="306" applyNumberFormat="1" applyFont="1" applyAlignment="1">
      <alignment horizontal="center" vertical="center"/>
    </xf>
    <xf numFmtId="247" fontId="110" fillId="0" borderId="11" xfId="229" applyNumberFormat="1" applyFont="1" applyFill="1" applyBorder="1" applyAlignment="1" applyProtection="1">
      <alignment horizontal="center" vertical="center"/>
      <protection hidden="1"/>
    </xf>
    <xf numFmtId="247" fontId="114" fillId="0" borderId="11" xfId="229" applyNumberFormat="1" applyFont="1" applyFill="1" applyBorder="1" applyAlignment="1" applyProtection="1">
      <alignment horizontal="center" vertical="center"/>
      <protection hidden="1"/>
    </xf>
    <xf numFmtId="179" fontId="110" fillId="0" borderId="11" xfId="233" applyNumberFormat="1" applyFont="1" applyFill="1" applyBorder="1" applyAlignment="1" applyProtection="1">
      <alignment horizontal="center" vertical="center"/>
      <protection hidden="1"/>
    </xf>
    <xf numFmtId="179" fontId="110" fillId="0" borderId="12" xfId="306" applyNumberFormat="1" applyFont="1" applyBorder="1" applyAlignment="1">
      <alignment horizontal="center" vertical="center"/>
    </xf>
    <xf numFmtId="179" fontId="113" fillId="0" borderId="12" xfId="306" applyNumberFormat="1" applyFont="1" applyBorder="1" applyAlignment="1">
      <alignment vertical="center"/>
    </xf>
    <xf numFmtId="179" fontId="113" fillId="0" borderId="11" xfId="306" applyNumberFormat="1" applyFont="1" applyBorder="1" applyAlignment="1">
      <alignment horizontal="center" vertical="center"/>
    </xf>
    <xf numFmtId="179" fontId="113" fillId="0" borderId="11" xfId="306" applyNumberFormat="1" applyFont="1" applyBorder="1" applyAlignment="1" applyProtection="1">
      <alignment horizontal="center" vertical="center"/>
      <protection locked="0"/>
    </xf>
    <xf numFmtId="179" fontId="113" fillId="0" borderId="12" xfId="306" applyNumberFormat="1" applyFont="1" applyBorder="1" applyAlignment="1" applyProtection="1">
      <alignment horizontal="center" vertical="center"/>
      <protection locked="0"/>
    </xf>
    <xf numFmtId="166" fontId="100" fillId="37" borderId="11" xfId="31096" applyFont="1" applyFill="1" applyBorder="1" applyAlignment="1">
      <alignment vertical="center"/>
    </xf>
    <xf numFmtId="166" fontId="100" fillId="37" borderId="12" xfId="31096" applyFont="1" applyFill="1" applyBorder="1" applyAlignment="1">
      <alignment vertical="center"/>
    </xf>
    <xf numFmtId="166" fontId="100" fillId="37" borderId="17" xfId="31096" applyFont="1" applyFill="1" applyBorder="1" applyAlignment="1">
      <alignment vertical="center"/>
    </xf>
    <xf numFmtId="166" fontId="100" fillId="37" borderId="13" xfId="31096" applyFont="1" applyFill="1" applyBorder="1" applyAlignment="1">
      <alignment vertical="center"/>
    </xf>
    <xf numFmtId="166" fontId="100" fillId="37" borderId="19" xfId="31096" applyFont="1" applyFill="1" applyBorder="1" applyAlignment="1">
      <alignment vertical="center"/>
    </xf>
    <xf numFmtId="166" fontId="117" fillId="0" borderId="41" xfId="31096" applyFont="1" applyFill="1" applyBorder="1" applyAlignment="1">
      <alignment vertical="center"/>
    </xf>
    <xf numFmtId="179" fontId="114" fillId="0" borderId="11" xfId="0" applyNumberFormat="1" applyFont="1" applyBorder="1" applyAlignment="1">
      <alignment horizontal="center" vertical="center"/>
    </xf>
    <xf numFmtId="0" fontId="110" fillId="0" borderId="11" xfId="0" applyFont="1" applyBorder="1" applyAlignment="1">
      <alignment horizontal="left" vertical="center"/>
    </xf>
    <xf numFmtId="176" fontId="108" fillId="0" borderId="0" xfId="306" applyNumberFormat="1" applyFont="1" applyAlignment="1">
      <alignment vertical="center"/>
    </xf>
    <xf numFmtId="248" fontId="113" fillId="0" borderId="12" xfId="306" applyNumberFormat="1" applyFont="1" applyBorder="1" applyAlignment="1">
      <alignment vertical="center"/>
    </xf>
    <xf numFmtId="248" fontId="114" fillId="0" borderId="11" xfId="233" applyNumberFormat="1" applyFont="1" applyFill="1" applyBorder="1" applyAlignment="1" applyProtection="1">
      <alignment horizontal="center" vertical="center"/>
      <protection hidden="1"/>
    </xf>
    <xf numFmtId="3" fontId="110" fillId="0" borderId="11" xfId="229" applyNumberFormat="1" applyFont="1" applyFill="1" applyBorder="1" applyAlignment="1" applyProtection="1">
      <alignment horizontal="center" vertical="center"/>
      <protection hidden="1"/>
    </xf>
    <xf numFmtId="183" fontId="108" fillId="0" borderId="11" xfId="306" applyNumberFormat="1" applyFont="1" applyBorder="1" applyAlignment="1">
      <alignment horizontal="center" vertical="center"/>
    </xf>
    <xf numFmtId="182" fontId="108" fillId="0" borderId="11" xfId="306" applyNumberFormat="1" applyFont="1" applyBorder="1" applyAlignment="1">
      <alignment horizontal="center" vertical="center"/>
    </xf>
    <xf numFmtId="3" fontId="108" fillId="0" borderId="11" xfId="305" applyNumberFormat="1" applyFont="1" applyBorder="1" applyAlignment="1">
      <alignment vertical="center"/>
    </xf>
    <xf numFmtId="2" fontId="108" fillId="0" borderId="11" xfId="305" applyNumberFormat="1" applyFont="1" applyBorder="1" applyAlignment="1">
      <alignment vertical="center"/>
    </xf>
    <xf numFmtId="3" fontId="108" fillId="0" borderId="11" xfId="306" applyNumberFormat="1" applyFont="1" applyBorder="1" applyAlignment="1">
      <alignment horizontal="left" vertical="center"/>
    </xf>
    <xf numFmtId="1" fontId="108" fillId="0" borderId="11" xfId="305" applyNumberFormat="1" applyFont="1" applyBorder="1" applyAlignment="1">
      <alignment vertical="center"/>
    </xf>
    <xf numFmtId="1" fontId="113" fillId="0" borderId="11" xfId="305" applyNumberFormat="1" applyFont="1" applyBorder="1" applyAlignment="1">
      <alignment horizontal="center" vertical="center"/>
    </xf>
    <xf numFmtId="1" fontId="114" fillId="0" borderId="0" xfId="306" applyNumberFormat="1" applyFont="1" applyAlignment="1">
      <alignment horizontal="center" vertical="center"/>
    </xf>
    <xf numFmtId="1" fontId="114" fillId="0" borderId="11" xfId="233" applyNumberFormat="1" applyFont="1" applyBorder="1" applyAlignment="1" applyProtection="1">
      <alignment horizontal="center" vertical="center"/>
      <protection hidden="1"/>
    </xf>
    <xf numFmtId="1" fontId="196" fillId="0" borderId="0" xfId="306" applyNumberFormat="1" applyFont="1" applyAlignment="1">
      <alignment vertical="center"/>
    </xf>
    <xf numFmtId="1" fontId="108" fillId="29" borderId="30" xfId="306" applyNumberFormat="1" applyFont="1" applyFill="1" applyBorder="1" applyAlignment="1">
      <alignment horizontal="center" vertical="center"/>
    </xf>
    <xf numFmtId="1" fontId="108" fillId="35" borderId="11" xfId="306" applyNumberFormat="1" applyFont="1" applyFill="1" applyBorder="1" applyAlignment="1">
      <alignment horizontal="center" vertical="center"/>
    </xf>
    <xf numFmtId="1" fontId="113" fillId="0" borderId="34" xfId="306" applyNumberFormat="1" applyFont="1" applyBorder="1" applyAlignment="1">
      <alignment vertical="center"/>
    </xf>
    <xf numFmtId="169" fontId="113" fillId="0" borderId="0" xfId="306" applyNumberFormat="1" applyFont="1" applyAlignment="1">
      <alignment horizontal="center" vertical="center"/>
    </xf>
    <xf numFmtId="181" fontId="100" fillId="37" borderId="11" xfId="0" applyNumberFormat="1" applyFont="1" applyFill="1" applyBorder="1" applyAlignment="1">
      <alignment horizontal="center" vertical="center"/>
    </xf>
    <xf numFmtId="3" fontId="100" fillId="37" borderId="12" xfId="0" applyNumberFormat="1" applyFont="1" applyFill="1" applyBorder="1" applyAlignment="1">
      <alignment horizontal="center" vertical="center"/>
    </xf>
    <xf numFmtId="3" fontId="100" fillId="37" borderId="18" xfId="0" applyNumberFormat="1" applyFont="1" applyFill="1" applyBorder="1" applyAlignment="1">
      <alignment horizontal="center" vertical="center"/>
    </xf>
    <xf numFmtId="3" fontId="100" fillId="37" borderId="13" xfId="0" applyNumberFormat="1" applyFont="1" applyFill="1" applyBorder="1" applyAlignment="1">
      <alignment horizontal="center" vertical="center"/>
    </xf>
    <xf numFmtId="3" fontId="100" fillId="37" borderId="19" xfId="0" applyNumberFormat="1" applyFont="1" applyFill="1" applyBorder="1" applyAlignment="1">
      <alignment horizontal="center" vertical="center"/>
    </xf>
    <xf numFmtId="182" fontId="100" fillId="37" borderId="18" xfId="0" applyNumberFormat="1" applyFont="1" applyFill="1" applyBorder="1" applyAlignment="1">
      <alignment horizontal="center" vertical="center"/>
    </xf>
    <xf numFmtId="183" fontId="100" fillId="37" borderId="18" xfId="0" applyNumberFormat="1" applyFont="1" applyFill="1" applyBorder="1" applyAlignment="1">
      <alignment horizontal="center" vertical="center"/>
    </xf>
    <xf numFmtId="3" fontId="100" fillId="37" borderId="20" xfId="0" applyNumberFormat="1" applyFont="1" applyFill="1" applyBorder="1" applyAlignment="1">
      <alignment horizontal="center" vertical="center"/>
    </xf>
    <xf numFmtId="182" fontId="100" fillId="37" borderId="20" xfId="0" applyNumberFormat="1" applyFont="1" applyFill="1" applyBorder="1" applyAlignment="1">
      <alignment horizontal="center" vertical="center"/>
    </xf>
    <xf numFmtId="3" fontId="101" fillId="37" borderId="14" xfId="0" applyNumberFormat="1" applyFont="1" applyFill="1" applyBorder="1" applyAlignment="1">
      <alignment horizontal="center" vertical="center"/>
    </xf>
    <xf numFmtId="182" fontId="101" fillId="37" borderId="22" xfId="0" applyNumberFormat="1" applyFont="1" applyFill="1" applyBorder="1" applyAlignment="1">
      <alignment horizontal="center" vertical="center"/>
    </xf>
    <xf numFmtId="3" fontId="101" fillId="37" borderId="21" xfId="0" applyNumberFormat="1" applyFont="1" applyFill="1" applyBorder="1" applyAlignment="1">
      <alignment horizontal="center" vertical="center"/>
    </xf>
    <xf numFmtId="182" fontId="100" fillId="37" borderId="13" xfId="0" applyNumberFormat="1" applyFont="1" applyFill="1" applyBorder="1" applyAlignment="1">
      <alignment horizontal="center" vertical="center"/>
    </xf>
    <xf numFmtId="183" fontId="100" fillId="37" borderId="20" xfId="0" applyNumberFormat="1" applyFont="1" applyFill="1" applyBorder="1" applyAlignment="1">
      <alignment horizontal="center" vertical="center"/>
    </xf>
    <xf numFmtId="3" fontId="100" fillId="0" borderId="49" xfId="0" applyNumberFormat="1" applyFont="1" applyBorder="1" applyAlignment="1">
      <alignment horizontal="center" vertical="center"/>
    </xf>
    <xf numFmtId="3" fontId="100" fillId="0" borderId="31" xfId="0" applyNumberFormat="1" applyFont="1" applyBorder="1" applyAlignment="1">
      <alignment horizontal="center" vertical="center"/>
    </xf>
    <xf numFmtId="182" fontId="100" fillId="0" borderId="48" xfId="0" applyNumberFormat="1" applyFont="1" applyBorder="1" applyAlignment="1">
      <alignment horizontal="center" vertical="center"/>
    </xf>
    <xf numFmtId="182" fontId="100" fillId="0" borderId="31" xfId="0" applyNumberFormat="1" applyFont="1" applyBorder="1" applyAlignment="1">
      <alignment horizontal="center" vertical="center"/>
    </xf>
    <xf numFmtId="183" fontId="100" fillId="0" borderId="31" xfId="0" applyNumberFormat="1" applyFont="1" applyBorder="1" applyAlignment="1">
      <alignment horizontal="center" vertical="center"/>
    </xf>
    <xf numFmtId="3" fontId="100" fillId="0" borderId="50" xfId="0" applyNumberFormat="1" applyFont="1" applyBorder="1" applyAlignment="1">
      <alignment horizontal="center" vertical="center"/>
    </xf>
    <xf numFmtId="3" fontId="117" fillId="0" borderId="51" xfId="0" applyNumberFormat="1" applyFont="1" applyBorder="1" applyAlignment="1">
      <alignment horizontal="center" vertical="center"/>
    </xf>
    <xf numFmtId="3" fontId="117" fillId="0" borderId="39" xfId="0" applyNumberFormat="1" applyFont="1" applyBorder="1" applyAlignment="1">
      <alignment horizontal="center" vertical="center"/>
    </xf>
    <xf numFmtId="182" fontId="117" fillId="0" borderId="43" xfId="0" applyNumberFormat="1" applyFont="1" applyBorder="1" applyAlignment="1">
      <alignment horizontal="center" vertical="center"/>
    </xf>
    <xf numFmtId="182" fontId="117" fillId="0" borderId="51" xfId="0" applyNumberFormat="1" applyFont="1" applyBorder="1" applyAlignment="1">
      <alignment horizontal="center" vertical="center"/>
    </xf>
    <xf numFmtId="183" fontId="117" fillId="0" borderId="39" xfId="0" applyNumberFormat="1" applyFont="1" applyBorder="1" applyAlignment="1">
      <alignment horizontal="center" vertical="center"/>
    </xf>
    <xf numFmtId="182" fontId="117" fillId="0" borderId="39" xfId="0" applyNumberFormat="1" applyFont="1" applyBorder="1" applyAlignment="1">
      <alignment horizontal="center" vertical="center"/>
    </xf>
    <xf numFmtId="3" fontId="100" fillId="0" borderId="39" xfId="0" applyNumberFormat="1" applyFont="1" applyBorder="1" applyAlignment="1">
      <alignment horizontal="center" vertical="center"/>
    </xf>
    <xf numFmtId="3" fontId="117" fillId="0" borderId="52" xfId="0" applyNumberFormat="1" applyFont="1" applyBorder="1" applyAlignment="1">
      <alignment horizontal="center" vertical="center"/>
    </xf>
    <xf numFmtId="185" fontId="100" fillId="0" borderId="16" xfId="322" applyNumberFormat="1" applyFont="1" applyFill="1" applyBorder="1" applyAlignment="1">
      <alignment horizontal="center" vertical="center"/>
    </xf>
    <xf numFmtId="185" fontId="100" fillId="0" borderId="0" xfId="322" applyNumberFormat="1" applyFont="1" applyFill="1" applyBorder="1" applyAlignment="1">
      <alignment horizontal="center" vertical="center"/>
    </xf>
    <xf numFmtId="185" fontId="100" fillId="0" borderId="12" xfId="322" applyNumberFormat="1" applyFont="1" applyFill="1" applyBorder="1" applyAlignment="1">
      <alignment horizontal="center" vertical="center"/>
    </xf>
    <xf numFmtId="179" fontId="114" fillId="0" borderId="12" xfId="233" applyNumberFormat="1" applyFont="1" applyBorder="1" applyAlignment="1" applyProtection="1">
      <alignment horizontal="center" vertical="center"/>
      <protection hidden="1"/>
    </xf>
    <xf numFmtId="196" fontId="108" fillId="0" borderId="11" xfId="229" applyNumberFormat="1" applyFont="1" applyFill="1" applyBorder="1" applyAlignment="1">
      <alignment horizontal="center" vertical="center"/>
    </xf>
    <xf numFmtId="179" fontId="114" fillId="0" borderId="12" xfId="233" applyNumberFormat="1" applyFont="1" applyFill="1" applyBorder="1" applyAlignment="1" applyProtection="1">
      <alignment horizontal="center" vertical="center"/>
      <protection hidden="1"/>
    </xf>
    <xf numFmtId="1" fontId="110" fillId="0" borderId="11" xfId="233" applyNumberFormat="1" applyFont="1" applyFill="1" applyBorder="1" applyAlignment="1" applyProtection="1">
      <alignment horizontal="center" vertical="center"/>
      <protection hidden="1"/>
    </xf>
    <xf numFmtId="3" fontId="108" fillId="0" borderId="12" xfId="306" applyNumberFormat="1" applyFont="1" applyBorder="1" applyAlignment="1">
      <alignment horizontal="center" vertical="center"/>
    </xf>
    <xf numFmtId="179" fontId="108" fillId="0" borderId="12" xfId="306" applyNumberFormat="1" applyFont="1" applyBorder="1" applyAlignment="1">
      <alignment horizontal="center" vertical="center"/>
    </xf>
    <xf numFmtId="2" fontId="108" fillId="0" borderId="12" xfId="306" applyNumberFormat="1" applyFont="1" applyBorder="1" applyAlignment="1">
      <alignment horizontal="center" vertical="center"/>
    </xf>
    <xf numFmtId="176" fontId="108" fillId="0" borderId="12" xfId="306" applyNumberFormat="1" applyFont="1" applyBorder="1" applyAlignment="1">
      <alignment horizontal="center" vertical="center"/>
    </xf>
    <xf numFmtId="176" fontId="108" fillId="37" borderId="16" xfId="306" applyNumberFormat="1" applyFont="1" applyFill="1" applyBorder="1" applyAlignment="1">
      <alignment horizontal="center" vertical="center"/>
    </xf>
    <xf numFmtId="1" fontId="114" fillId="0" borderId="11" xfId="233" applyNumberFormat="1" applyFont="1" applyFill="1" applyBorder="1" applyAlignment="1" applyProtection="1">
      <alignment horizontal="center" vertical="center"/>
      <protection hidden="1"/>
    </xf>
    <xf numFmtId="176" fontId="113" fillId="0" borderId="0" xfId="306" applyNumberFormat="1" applyFont="1"/>
    <xf numFmtId="1" fontId="113" fillId="0" borderId="11" xfId="229" applyNumberFormat="1" applyFont="1" applyFill="1" applyBorder="1" applyAlignment="1">
      <alignment horizontal="center" vertical="center"/>
    </xf>
    <xf numFmtId="176" fontId="108" fillId="0" borderId="0" xfId="306" applyNumberFormat="1" applyFont="1"/>
    <xf numFmtId="1" fontId="108" fillId="0" borderId="0" xfId="306" applyNumberFormat="1" applyFont="1" applyAlignment="1">
      <alignment horizontal="center" vertical="center"/>
    </xf>
    <xf numFmtId="1" fontId="108" fillId="0" borderId="11" xfId="229" applyNumberFormat="1" applyFont="1" applyFill="1" applyBorder="1" applyAlignment="1">
      <alignment horizontal="center" vertical="center"/>
    </xf>
    <xf numFmtId="179" fontId="113" fillId="0" borderId="0" xfId="306" applyNumberFormat="1" applyFont="1"/>
    <xf numFmtId="176" fontId="108" fillId="0" borderId="0" xfId="306" applyNumberFormat="1" applyFont="1" applyAlignment="1">
      <alignment horizontal="center" vertical="center"/>
    </xf>
    <xf numFmtId="2" fontId="108" fillId="0" borderId="0" xfId="306" applyNumberFormat="1" applyFont="1" applyAlignment="1">
      <alignment horizontal="center" vertical="center"/>
    </xf>
    <xf numFmtId="2" fontId="113" fillId="0" borderId="0" xfId="306" applyNumberFormat="1" applyFont="1"/>
    <xf numFmtId="176" fontId="228" fillId="0" borderId="0" xfId="306" applyNumberFormat="1" applyFont="1" applyAlignment="1">
      <alignment vertical="center"/>
    </xf>
    <xf numFmtId="2" fontId="232" fillId="0" borderId="11" xfId="6769" applyNumberFormat="1" applyFont="1" applyFill="1" applyBorder="1" applyAlignment="1" applyProtection="1">
      <alignment horizontal="center" vertical="center"/>
      <protection hidden="1"/>
    </xf>
    <xf numFmtId="2" fontId="228" fillId="0" borderId="0" xfId="0" applyNumberFormat="1" applyFont="1"/>
    <xf numFmtId="0" fontId="113" fillId="0" borderId="11" xfId="306" applyFont="1" applyBorder="1" applyAlignment="1">
      <alignment horizontal="center" vertical="center"/>
    </xf>
    <xf numFmtId="169" fontId="108" fillId="0" borderId="0" xfId="306" applyNumberFormat="1" applyFont="1" applyAlignment="1">
      <alignment horizontal="center" vertical="center"/>
    </xf>
    <xf numFmtId="0" fontId="108" fillId="37" borderId="0" xfId="306" applyFont="1" applyFill="1" applyAlignment="1">
      <alignment horizontal="center" vertical="center"/>
    </xf>
    <xf numFmtId="0" fontId="108" fillId="37" borderId="22" xfId="306" applyFont="1" applyFill="1" applyBorder="1" applyAlignment="1">
      <alignment horizontal="center" vertical="center"/>
    </xf>
    <xf numFmtId="248" fontId="108" fillId="0" borderId="11" xfId="306" applyNumberFormat="1" applyFont="1" applyBorder="1" applyAlignment="1">
      <alignment horizontal="center" vertical="center"/>
    </xf>
    <xf numFmtId="3" fontId="0" fillId="32" borderId="0" xfId="0" applyNumberFormat="1" applyFill="1"/>
    <xf numFmtId="3" fontId="0" fillId="37" borderId="0" xfId="0" applyNumberFormat="1" applyFill="1"/>
    <xf numFmtId="3" fontId="0" fillId="32" borderId="20" xfId="0" applyNumberFormat="1" applyFill="1" applyBorder="1"/>
    <xf numFmtId="3" fontId="0" fillId="0" borderId="0" xfId="234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2" fontId="110" fillId="0" borderId="11" xfId="306" applyNumberFormat="1" applyFont="1" applyBorder="1" applyAlignment="1">
      <alignment horizontal="center" vertical="center"/>
    </xf>
    <xf numFmtId="2" fontId="110" fillId="0" borderId="0" xfId="306" applyNumberFormat="1" applyFont="1" applyAlignment="1">
      <alignment horizontal="center" vertical="center"/>
    </xf>
    <xf numFmtId="2" fontId="108" fillId="0" borderId="11" xfId="305" applyNumberFormat="1" applyFont="1" applyBorder="1" applyAlignment="1">
      <alignment horizontal="center" vertical="center"/>
    </xf>
    <xf numFmtId="3" fontId="113" fillId="0" borderId="0" xfId="306" applyNumberFormat="1" applyFont="1"/>
    <xf numFmtId="3" fontId="121" fillId="0" borderId="11" xfId="306" applyNumberFormat="1" applyFont="1" applyBorder="1" applyAlignment="1">
      <alignment horizontal="center" vertical="center"/>
    </xf>
    <xf numFmtId="3" fontId="108" fillId="0" borderId="0" xfId="306" applyNumberFormat="1" applyFont="1" applyAlignment="1">
      <alignment vertical="center"/>
    </xf>
    <xf numFmtId="3" fontId="108" fillId="0" borderId="0" xfId="306" applyNumberFormat="1" applyFont="1" applyAlignment="1">
      <alignment horizontal="center" vertical="center"/>
    </xf>
    <xf numFmtId="3" fontId="47" fillId="0" borderId="0" xfId="306" applyNumberFormat="1"/>
    <xf numFmtId="176" fontId="108" fillId="0" borderId="11" xfId="306" applyNumberFormat="1" applyFont="1" applyBorder="1" applyAlignment="1">
      <alignment horizontal="left" vertical="center"/>
    </xf>
    <xf numFmtId="176" fontId="121" fillId="0" borderId="11" xfId="306" applyNumberFormat="1" applyFont="1" applyBorder="1" applyAlignment="1">
      <alignment horizontal="center" vertical="center"/>
    </xf>
    <xf numFmtId="2" fontId="0" fillId="37" borderId="0" xfId="0" applyNumberFormat="1" applyFill="1"/>
    <xf numFmtId="183" fontId="0" fillId="37" borderId="0" xfId="0" applyNumberFormat="1" applyFill="1"/>
    <xf numFmtId="183" fontId="0" fillId="0" borderId="0" xfId="0" applyNumberFormat="1" applyAlignment="1">
      <alignment horizontal="center"/>
    </xf>
    <xf numFmtId="167" fontId="0" fillId="37" borderId="0" xfId="234" applyFont="1" applyFill="1" applyBorder="1" applyAlignment="1" applyProtection="1">
      <alignment horizontal="center" vertical="center" wrapText="1"/>
      <protection locked="0"/>
    </xf>
    <xf numFmtId="3" fontId="113" fillId="0" borderId="11" xfId="229" applyNumberFormat="1" applyFont="1" applyFill="1" applyBorder="1" applyAlignment="1" applyProtection="1">
      <alignment horizontal="center" vertical="center"/>
      <protection hidden="1"/>
    </xf>
    <xf numFmtId="176" fontId="113" fillId="0" borderId="11" xfId="233" applyNumberFormat="1" applyFont="1" applyFill="1" applyBorder="1" applyAlignment="1" applyProtection="1">
      <alignment horizontal="center" vertical="center"/>
      <protection hidden="1"/>
    </xf>
    <xf numFmtId="3" fontId="113" fillId="0" borderId="11" xfId="233" applyNumberFormat="1" applyFont="1" applyFill="1" applyBorder="1" applyAlignment="1" applyProtection="1">
      <alignment horizontal="center" vertical="center"/>
      <protection hidden="1"/>
    </xf>
    <xf numFmtId="3" fontId="113" fillId="0" borderId="0" xfId="0" applyNumberFormat="1" applyFont="1"/>
    <xf numFmtId="3" fontId="110" fillId="0" borderId="0" xfId="306" applyNumberFormat="1" applyFont="1" applyAlignment="1">
      <alignment horizontal="center" vertical="center"/>
    </xf>
    <xf numFmtId="2" fontId="113" fillId="0" borderId="0" xfId="0" applyNumberFormat="1" applyFont="1"/>
    <xf numFmtId="179" fontId="113" fillId="0" borderId="0" xfId="0" applyNumberFormat="1" applyFont="1"/>
    <xf numFmtId="179" fontId="108" fillId="0" borderId="11" xfId="305" applyNumberFormat="1" applyFont="1" applyBorder="1" applyAlignment="1">
      <alignment vertical="center"/>
    </xf>
    <xf numFmtId="179" fontId="108" fillId="0" borderId="11" xfId="305" applyNumberFormat="1" applyFont="1" applyBorder="1" applyAlignment="1">
      <alignment horizontal="center" vertical="center"/>
    </xf>
    <xf numFmtId="179" fontId="110" fillId="0" borderId="0" xfId="306" applyNumberFormat="1" applyFont="1" applyAlignment="1">
      <alignment horizontal="center" vertical="center"/>
    </xf>
    <xf numFmtId="176" fontId="113" fillId="0" borderId="0" xfId="0" applyNumberFormat="1" applyFont="1"/>
    <xf numFmtId="3" fontId="239" fillId="0" borderId="0" xfId="0" applyNumberFormat="1" applyFont="1" applyAlignment="1">
      <alignment vertical="center" wrapText="1"/>
    </xf>
    <xf numFmtId="3" fontId="117" fillId="0" borderId="0" xfId="0" applyNumberFormat="1" applyFont="1" applyAlignment="1">
      <alignment vertical="center"/>
    </xf>
    <xf numFmtId="3" fontId="100" fillId="0" borderId="14" xfId="0" applyNumberFormat="1" applyFont="1" applyBorder="1" applyAlignment="1">
      <alignment horizontal="center" vertical="center"/>
    </xf>
    <xf numFmtId="3" fontId="100" fillId="0" borderId="16" xfId="0" applyNumberFormat="1" applyFont="1" applyBorder="1" applyAlignment="1">
      <alignment horizontal="center" vertical="center" wrapText="1"/>
    </xf>
    <xf numFmtId="0" fontId="0" fillId="37" borderId="18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/>
    </xf>
    <xf numFmtId="0" fontId="94" fillId="0" borderId="0" xfId="0" applyFont="1" applyAlignment="1">
      <alignment vertical="center"/>
    </xf>
    <xf numFmtId="0" fontId="0" fillId="37" borderId="0" xfId="0" applyFill="1" applyAlignment="1">
      <alignment vertical="center"/>
    </xf>
    <xf numFmtId="3" fontId="0" fillId="0" borderId="0" xfId="0" applyNumberFormat="1" applyAlignment="1">
      <alignment vertical="center"/>
    </xf>
    <xf numFmtId="17" fontId="0" fillId="0" borderId="0" xfId="0" applyNumberFormat="1" applyAlignment="1">
      <alignment horizontal="left" vertical="center"/>
    </xf>
    <xf numFmtId="1" fontId="0" fillId="0" borderId="0" xfId="0" applyNumberFormat="1" applyAlignment="1">
      <alignment vertical="center"/>
    </xf>
    <xf numFmtId="15" fontId="0" fillId="0" borderId="0" xfId="0" applyNumberFormat="1" applyAlignment="1">
      <alignment horizontal="left" vertical="center"/>
    </xf>
    <xf numFmtId="15" fontId="0" fillId="0" borderId="0" xfId="0" applyNumberFormat="1" applyAlignment="1">
      <alignment vertical="center"/>
    </xf>
    <xf numFmtId="183" fontId="0" fillId="37" borderId="0" xfId="0" applyNumberFormat="1" applyFill="1" applyAlignment="1">
      <alignment vertical="center"/>
    </xf>
    <xf numFmtId="1" fontId="0" fillId="26" borderId="0" xfId="0" applyNumberFormat="1" applyFill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75" borderId="1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38" borderId="0" xfId="0" applyFill="1" applyAlignment="1">
      <alignment vertical="center"/>
    </xf>
    <xf numFmtId="17" fontId="0" fillId="38" borderId="0" xfId="0" applyNumberFormat="1" applyFill="1" applyAlignment="1">
      <alignment vertical="center"/>
    </xf>
    <xf numFmtId="0" fontId="0" fillId="0" borderId="12" xfId="0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12" xfId="0" applyBorder="1" applyAlignment="1">
      <alignment horizontal="center" vertical="center" textRotation="90"/>
    </xf>
    <xf numFmtId="0" fontId="0" fillId="0" borderId="12" xfId="0" applyBorder="1" applyAlignment="1">
      <alignment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38" borderId="11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 textRotation="90" wrapText="1"/>
    </xf>
    <xf numFmtId="3" fontId="0" fillId="75" borderId="0" xfId="0" applyNumberFormat="1" applyFill="1" applyAlignment="1">
      <alignment vertical="center"/>
    </xf>
    <xf numFmtId="0" fontId="0" fillId="0" borderId="13" xfId="0" applyBorder="1" applyAlignment="1">
      <alignment horizontal="center" vertical="center" textRotation="90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4" xfId="0" applyBorder="1"/>
    <xf numFmtId="179" fontId="0" fillId="0" borderId="11" xfId="0" applyNumberFormat="1" applyBorder="1" applyAlignment="1">
      <alignment horizontal="center"/>
    </xf>
    <xf numFmtId="3" fontId="0" fillId="37" borderId="16" xfId="0" applyNumberFormat="1" applyFill="1" applyBorder="1" applyAlignment="1">
      <alignment horizontal="center"/>
    </xf>
    <xf numFmtId="182" fontId="0" fillId="37" borderId="16" xfId="0" applyNumberFormat="1" applyFill="1" applyBorder="1" applyAlignment="1">
      <alignment horizontal="center"/>
    </xf>
    <xf numFmtId="3" fontId="0" fillId="37" borderId="17" xfId="0" applyNumberFormat="1" applyFill="1" applyBorder="1" applyAlignment="1">
      <alignment horizontal="center"/>
    </xf>
    <xf numFmtId="3" fontId="0" fillId="37" borderId="0" xfId="0" applyNumberFormat="1" applyFill="1" applyAlignment="1">
      <alignment vertical="center"/>
    </xf>
    <xf numFmtId="3" fontId="0" fillId="37" borderId="12" xfId="0" applyNumberFormat="1" applyFill="1" applyBorder="1" applyAlignment="1">
      <alignment vertical="center"/>
    </xf>
    <xf numFmtId="3" fontId="0" fillId="37" borderId="0" xfId="0" applyNumberFormat="1" applyFill="1" applyAlignment="1">
      <alignment horizontal="center" vertical="center"/>
    </xf>
    <xf numFmtId="0" fontId="0" fillId="37" borderId="16" xfId="0" applyFill="1" applyBorder="1" applyAlignment="1">
      <alignment vertical="center"/>
    </xf>
    <xf numFmtId="3" fontId="0" fillId="37" borderId="18" xfId="0" applyNumberFormat="1" applyFill="1" applyBorder="1" applyAlignment="1">
      <alignment horizontal="center"/>
    </xf>
    <xf numFmtId="3" fontId="0" fillId="37" borderId="20" xfId="0" applyNumberFormat="1" applyFill="1" applyBorder="1" applyAlignment="1">
      <alignment horizontal="center"/>
    </xf>
    <xf numFmtId="3" fontId="0" fillId="37" borderId="19" xfId="0" applyNumberFormat="1" applyFill="1" applyBorder="1" applyAlignment="1">
      <alignment horizontal="center"/>
    </xf>
    <xf numFmtId="18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16" xfId="0" applyBorder="1" applyAlignment="1">
      <alignment vertical="center"/>
    </xf>
    <xf numFmtId="193" fontId="0" fillId="0" borderId="12" xfId="0" applyNumberFormat="1" applyBorder="1" applyAlignment="1">
      <alignment horizontal="center" vertical="center"/>
    </xf>
    <xf numFmtId="182" fontId="0" fillId="0" borderId="0" xfId="0" applyNumberFormat="1" applyAlignment="1">
      <alignment vertical="center"/>
    </xf>
    <xf numFmtId="0" fontId="0" fillId="37" borderId="14" xfId="0" applyFill="1" applyBorder="1" applyAlignment="1">
      <alignment horizontal="left" vertical="center"/>
    </xf>
    <xf numFmtId="0" fontId="0" fillId="37" borderId="21" xfId="0" applyFill="1" applyBorder="1" applyAlignment="1">
      <alignment horizontal="left" vertical="center"/>
    </xf>
    <xf numFmtId="3" fontId="0" fillId="37" borderId="14" xfId="0" applyNumberFormat="1" applyFill="1" applyBorder="1" applyAlignment="1">
      <alignment horizontal="center"/>
    </xf>
    <xf numFmtId="3" fontId="0" fillId="37" borderId="21" xfId="0" applyNumberFormat="1" applyFill="1" applyBorder="1" applyAlignment="1">
      <alignment horizontal="center"/>
    </xf>
    <xf numFmtId="182" fontId="0" fillId="37" borderId="11" xfId="0" applyNumberFormat="1" applyFill="1" applyBorder="1" applyAlignment="1">
      <alignment horizontal="center"/>
    </xf>
    <xf numFmtId="4" fontId="0" fillId="37" borderId="22" xfId="0" applyNumberFormat="1" applyFill="1" applyBorder="1" applyAlignment="1">
      <alignment horizontal="center"/>
    </xf>
    <xf numFmtId="183" fontId="0" fillId="37" borderId="14" xfId="0" applyNumberFormat="1" applyFill="1" applyBorder="1" applyAlignment="1">
      <alignment horizontal="center"/>
    </xf>
    <xf numFmtId="182" fontId="0" fillId="37" borderId="22" xfId="0" applyNumberFormat="1" applyFill="1" applyBorder="1" applyAlignment="1">
      <alignment horizontal="center"/>
    </xf>
    <xf numFmtId="3" fontId="0" fillId="37" borderId="22" xfId="0" applyNumberFormat="1" applyFill="1" applyBorder="1" applyAlignment="1">
      <alignment horizontal="center"/>
    </xf>
    <xf numFmtId="3" fontId="0" fillId="37" borderId="14" xfId="0" applyNumberFormat="1" applyFill="1" applyBorder="1"/>
    <xf numFmtId="182" fontId="0" fillId="37" borderId="22" xfId="0" applyNumberFormat="1" applyFill="1" applyBorder="1" applyAlignment="1">
      <alignment vertical="center"/>
    </xf>
    <xf numFmtId="3" fontId="0" fillId="37" borderId="21" xfId="0" applyNumberFormat="1" applyFill="1" applyBorder="1"/>
    <xf numFmtId="4" fontId="0" fillId="37" borderId="22" xfId="0" applyNumberFormat="1" applyFill="1" applyBorder="1"/>
    <xf numFmtId="4" fontId="0" fillId="37" borderId="11" xfId="0" applyNumberFormat="1" applyFill="1" applyBorder="1" applyAlignment="1">
      <alignment horizontal="center"/>
    </xf>
    <xf numFmtId="3" fontId="0" fillId="37" borderId="14" xfId="0" applyNumberFormat="1" applyFill="1" applyBorder="1" applyAlignment="1">
      <alignment horizontal="center" vertical="center"/>
    </xf>
    <xf numFmtId="4" fontId="95" fillId="37" borderId="14" xfId="0" applyNumberFormat="1" applyFont="1" applyFill="1" applyBorder="1" applyAlignment="1">
      <alignment horizontal="center"/>
    </xf>
    <xf numFmtId="182" fontId="95" fillId="37" borderId="22" xfId="0" applyNumberFormat="1" applyFont="1" applyFill="1" applyBorder="1" applyAlignment="1">
      <alignment horizontal="center"/>
    </xf>
    <xf numFmtId="182" fontId="0" fillId="37" borderId="14" xfId="0" applyNumberFormat="1" applyFill="1" applyBorder="1" applyAlignment="1">
      <alignment horizontal="center"/>
    </xf>
    <xf numFmtId="182" fontId="0" fillId="37" borderId="21" xfId="0" applyNumberFormat="1" applyFill="1" applyBorder="1" applyAlignment="1">
      <alignment horizontal="center"/>
    </xf>
    <xf numFmtId="182" fontId="0" fillId="37" borderId="22" xfId="0" applyNumberFormat="1" applyFill="1" applyBorder="1" applyAlignment="1">
      <alignment horizontal="center" vertical="center"/>
    </xf>
    <xf numFmtId="182" fontId="0" fillId="37" borderId="21" xfId="0" applyNumberFormat="1" applyFill="1" applyBorder="1" applyAlignment="1">
      <alignment horizontal="center" vertical="center"/>
    </xf>
    <xf numFmtId="182" fontId="0" fillId="37" borderId="14" xfId="0" applyNumberFormat="1" applyFill="1" applyBorder="1" applyAlignment="1">
      <alignment horizontal="center" vertical="center"/>
    </xf>
    <xf numFmtId="4" fontId="0" fillId="37" borderId="0" xfId="0" applyNumberFormat="1" applyFill="1" applyAlignment="1">
      <alignment horizontal="center"/>
    </xf>
    <xf numFmtId="182" fontId="0" fillId="37" borderId="0" xfId="0" applyNumberFormat="1" applyFill="1" applyAlignment="1">
      <alignment horizontal="center"/>
    </xf>
    <xf numFmtId="0" fontId="0" fillId="37" borderId="16" xfId="0" applyFill="1" applyBorder="1" applyAlignment="1">
      <alignment horizontal="left" vertical="center"/>
    </xf>
    <xf numFmtId="0" fontId="0" fillId="37" borderId="17" xfId="0" applyFill="1" applyBorder="1" applyAlignment="1">
      <alignment horizontal="left" vertical="center"/>
    </xf>
    <xf numFmtId="182" fontId="0" fillId="37" borderId="12" xfId="0" applyNumberFormat="1" applyFill="1" applyBorder="1" applyAlignment="1">
      <alignment horizontal="center"/>
    </xf>
    <xf numFmtId="0" fontId="0" fillId="37" borderId="18" xfId="0" applyFill="1" applyBorder="1" applyAlignment="1">
      <alignment horizontal="left" vertical="center"/>
    </xf>
    <xf numFmtId="0" fontId="0" fillId="37" borderId="19" xfId="0" applyFill="1" applyBorder="1" applyAlignment="1">
      <alignment horizontal="left" vertical="center"/>
    </xf>
    <xf numFmtId="182" fontId="0" fillId="37" borderId="13" xfId="0" applyNumberFormat="1" applyFill="1" applyBorder="1" applyAlignment="1">
      <alignment horizontal="center"/>
    </xf>
    <xf numFmtId="4" fontId="0" fillId="37" borderId="20" xfId="0" applyNumberFormat="1" applyFill="1" applyBorder="1" applyAlignment="1">
      <alignment horizontal="center"/>
    </xf>
    <xf numFmtId="182" fontId="0" fillId="37" borderId="20" xfId="0" applyNumberFormat="1" applyFill="1" applyBorder="1" applyAlignment="1">
      <alignment horizontal="center"/>
    </xf>
    <xf numFmtId="3" fontId="0" fillId="37" borderId="49" xfId="0" applyNumberFormat="1" applyFill="1" applyBorder="1" applyAlignment="1">
      <alignment horizontal="center"/>
    </xf>
    <xf numFmtId="3" fontId="0" fillId="37" borderId="31" xfId="0" applyNumberFormat="1" applyFill="1" applyBorder="1" applyAlignment="1">
      <alignment horizontal="center"/>
    </xf>
    <xf numFmtId="182" fontId="0" fillId="37" borderId="48" xfId="0" applyNumberFormat="1" applyFill="1" applyBorder="1" applyAlignment="1">
      <alignment horizontal="center"/>
    </xf>
    <xf numFmtId="4" fontId="0" fillId="37" borderId="31" xfId="0" applyNumberFormat="1" applyFill="1" applyBorder="1" applyAlignment="1">
      <alignment horizontal="center"/>
    </xf>
    <xf numFmtId="182" fontId="0" fillId="37" borderId="31" xfId="0" applyNumberFormat="1" applyFill="1" applyBorder="1" applyAlignment="1">
      <alignment horizontal="center"/>
    </xf>
    <xf numFmtId="0" fontId="0" fillId="37" borderId="49" xfId="0" applyFill="1" applyBorder="1" applyAlignment="1">
      <alignment vertical="center"/>
    </xf>
    <xf numFmtId="3" fontId="0" fillId="37" borderId="50" xfId="0" applyNumberFormat="1" applyFill="1" applyBorder="1" applyAlignment="1">
      <alignment horizontal="center"/>
    </xf>
    <xf numFmtId="0" fontId="0" fillId="37" borderId="31" xfId="0" applyFill="1" applyBorder="1" applyAlignment="1">
      <alignment vertical="center"/>
    </xf>
    <xf numFmtId="3" fontId="0" fillId="37" borderId="31" xfId="0" applyNumberFormat="1" applyFill="1" applyBorder="1" applyAlignment="1">
      <alignment vertical="center"/>
    </xf>
    <xf numFmtId="3" fontId="0" fillId="37" borderId="48" xfId="0" applyNumberFormat="1" applyFill="1" applyBorder="1" applyAlignment="1">
      <alignment vertical="center"/>
    </xf>
    <xf numFmtId="0" fontId="0" fillId="37" borderId="31" xfId="0" applyFill="1" applyBorder="1" applyAlignment="1">
      <alignment horizontal="center" vertical="center"/>
    </xf>
    <xf numFmtId="3" fontId="0" fillId="37" borderId="53" xfId="0" applyNumberFormat="1" applyFill="1" applyBorder="1" applyAlignment="1">
      <alignment vertical="center"/>
    </xf>
    <xf numFmtId="3" fontId="0" fillId="37" borderId="32" xfId="0" applyNumberFormat="1" applyFill="1" applyBorder="1" applyAlignment="1">
      <alignment vertical="center"/>
    </xf>
    <xf numFmtId="0" fontId="0" fillId="37" borderId="0" xfId="0" applyFill="1" applyAlignment="1">
      <alignment horizontal="center" vertical="center"/>
    </xf>
    <xf numFmtId="3" fontId="0" fillId="37" borderId="54" xfId="0" applyNumberFormat="1" applyFill="1" applyBorder="1" applyAlignment="1">
      <alignment vertical="center"/>
    </xf>
    <xf numFmtId="3" fontId="0" fillId="37" borderId="23" xfId="0" applyNumberFormat="1" applyFill="1" applyBorder="1" applyAlignment="1">
      <alignment vertical="center"/>
    </xf>
    <xf numFmtId="3" fontId="94" fillId="37" borderId="51" xfId="0" applyNumberFormat="1" applyFont="1" applyFill="1" applyBorder="1" applyAlignment="1">
      <alignment horizontal="center"/>
    </xf>
    <xf numFmtId="3" fontId="94" fillId="37" borderId="39" xfId="0" applyNumberFormat="1" applyFont="1" applyFill="1" applyBorder="1" applyAlignment="1">
      <alignment horizontal="center"/>
    </xf>
    <xf numFmtId="182" fontId="94" fillId="37" borderId="43" xfId="0" applyNumberFormat="1" applyFont="1" applyFill="1" applyBorder="1" applyAlignment="1">
      <alignment horizontal="center"/>
    </xf>
    <xf numFmtId="4" fontId="94" fillId="37" borderId="39" xfId="0" applyNumberFormat="1" applyFont="1" applyFill="1" applyBorder="1" applyAlignment="1">
      <alignment horizontal="center"/>
    </xf>
    <xf numFmtId="182" fontId="94" fillId="37" borderId="39" xfId="0" applyNumberFormat="1" applyFont="1" applyFill="1" applyBorder="1" applyAlignment="1">
      <alignment horizontal="center"/>
    </xf>
    <xf numFmtId="0" fontId="94" fillId="37" borderId="51" xfId="0" applyFont="1" applyFill="1" applyBorder="1" applyAlignment="1">
      <alignment vertical="center"/>
    </xf>
    <xf numFmtId="3" fontId="94" fillId="37" borderId="52" xfId="0" applyNumberFormat="1" applyFont="1" applyFill="1" applyBorder="1" applyAlignment="1">
      <alignment horizontal="center"/>
    </xf>
    <xf numFmtId="0" fontId="94" fillId="37" borderId="39" xfId="0" applyFont="1" applyFill="1" applyBorder="1" applyAlignment="1">
      <alignment vertical="center"/>
    </xf>
    <xf numFmtId="3" fontId="94" fillId="37" borderId="39" xfId="0" applyNumberFormat="1" applyFont="1" applyFill="1" applyBorder="1" applyAlignment="1">
      <alignment vertical="center"/>
    </xf>
    <xf numFmtId="0" fontId="94" fillId="37" borderId="39" xfId="0" applyFont="1" applyFill="1" applyBorder="1" applyAlignment="1">
      <alignment horizontal="center" vertical="center"/>
    </xf>
    <xf numFmtId="3" fontId="94" fillId="37" borderId="43" xfId="0" applyNumberFormat="1" applyFont="1" applyFill="1" applyBorder="1" applyAlignment="1">
      <alignment vertical="center"/>
    </xf>
    <xf numFmtId="3" fontId="94" fillId="37" borderId="44" xfId="0" applyNumberFormat="1" applyFont="1" applyFill="1" applyBorder="1" applyAlignment="1">
      <alignment vertical="center"/>
    </xf>
    <xf numFmtId="3" fontId="94" fillId="37" borderId="37" xfId="0" applyNumberFormat="1" applyFont="1" applyFill="1" applyBorder="1" applyAlignment="1">
      <alignment vertical="center"/>
    </xf>
    <xf numFmtId="0" fontId="94" fillId="37" borderId="0" xfId="0" applyFont="1" applyFill="1" applyAlignment="1">
      <alignment vertical="center"/>
    </xf>
    <xf numFmtId="185" fontId="0" fillId="37" borderId="16" xfId="322" applyNumberFormat="1" applyFont="1" applyFill="1" applyBorder="1" applyAlignment="1">
      <alignment horizontal="center"/>
    </xf>
    <xf numFmtId="185" fontId="0" fillId="37" borderId="0" xfId="322" applyNumberFormat="1" applyFont="1" applyFill="1" applyBorder="1" applyAlignment="1">
      <alignment horizontal="center"/>
    </xf>
    <xf numFmtId="0" fontId="0" fillId="37" borderId="20" xfId="0" applyFill="1" applyBorder="1" applyAlignment="1">
      <alignment horizontal="center" vertical="center"/>
    </xf>
    <xf numFmtId="185" fontId="0" fillId="37" borderId="18" xfId="322" applyNumberFormat="1" applyFont="1" applyFill="1" applyBorder="1" applyAlignment="1">
      <alignment horizontal="center" vertical="center"/>
    </xf>
    <xf numFmtId="185" fontId="0" fillId="37" borderId="20" xfId="322" applyNumberFormat="1" applyFont="1" applyFill="1" applyBorder="1" applyAlignment="1">
      <alignment horizontal="center" vertical="center"/>
    </xf>
    <xf numFmtId="0" fontId="0" fillId="37" borderId="11" xfId="0" applyFill="1" applyBorder="1" applyAlignment="1">
      <alignment horizontal="center" vertical="center"/>
    </xf>
    <xf numFmtId="185" fontId="0" fillId="37" borderId="12" xfId="322" applyNumberFormat="1" applyFont="1" applyFill="1" applyBorder="1" applyAlignment="1">
      <alignment horizontal="center"/>
    </xf>
    <xf numFmtId="0" fontId="0" fillId="37" borderId="14" xfId="0" applyFill="1" applyBorder="1" applyAlignment="1">
      <alignment vertical="center"/>
    </xf>
    <xf numFmtId="0" fontId="0" fillId="37" borderId="11" xfId="0" applyFill="1" applyBorder="1" applyAlignment="1">
      <alignment vertical="center"/>
    </xf>
    <xf numFmtId="185" fontId="0" fillId="37" borderId="13" xfId="322" applyNumberFormat="1" applyFont="1" applyFill="1" applyBorder="1" applyAlignment="1">
      <alignment horizontal="center" vertical="center"/>
    </xf>
    <xf numFmtId="0" fontId="246" fillId="37" borderId="0" xfId="0" applyFont="1" applyFill="1" applyAlignment="1">
      <alignment vertical="center"/>
    </xf>
    <xf numFmtId="0" fontId="247" fillId="37" borderId="0" xfId="0" applyFont="1" applyFill="1" applyAlignment="1">
      <alignment vertical="center"/>
    </xf>
    <xf numFmtId="0" fontId="247" fillId="0" borderId="0" xfId="0" applyFont="1" applyAlignment="1">
      <alignment vertical="center"/>
    </xf>
    <xf numFmtId="0" fontId="69" fillId="0" borderId="0" xfId="0" applyFont="1"/>
    <xf numFmtId="0" fontId="112" fillId="0" borderId="0" xfId="303" applyFont="1"/>
    <xf numFmtId="4" fontId="112" fillId="0" borderId="0" xfId="303" applyNumberFormat="1" applyFont="1"/>
    <xf numFmtId="166" fontId="112" fillId="0" borderId="0" xfId="303" applyNumberFormat="1" applyFont="1"/>
    <xf numFmtId="0" fontId="0" fillId="0" borderId="98" xfId="0" applyBorder="1"/>
    <xf numFmtId="166" fontId="0" fillId="0" borderId="98" xfId="31096" applyFont="1" applyFill="1" applyBorder="1"/>
    <xf numFmtId="0" fontId="112" fillId="0" borderId="98" xfId="303" applyFont="1" applyBorder="1" applyAlignment="1">
      <alignment horizontal="left" vertical="center"/>
    </xf>
    <xf numFmtId="182" fontId="112" fillId="0" borderId="98" xfId="303" applyNumberFormat="1" applyFont="1" applyBorder="1"/>
    <xf numFmtId="0" fontId="126" fillId="37" borderId="0" xfId="0" applyFont="1" applyFill="1"/>
    <xf numFmtId="0" fontId="0" fillId="79" borderId="0" xfId="0" applyFill="1"/>
    <xf numFmtId="3" fontId="94" fillId="0" borderId="0" xfId="0" applyNumberFormat="1" applyFont="1" applyAlignment="1">
      <alignment horizontal="left"/>
    </xf>
    <xf numFmtId="3" fontId="250" fillId="0" borderId="0" xfId="0" applyNumberFormat="1" applyFont="1" applyAlignment="1">
      <alignment horizontal="center"/>
    </xf>
    <xf numFmtId="185" fontId="250" fillId="0" borderId="0" xfId="322" applyNumberFormat="1" applyFont="1" applyFill="1" applyBorder="1" applyAlignment="1">
      <alignment horizontal="center"/>
    </xf>
    <xf numFmtId="17" fontId="0" fillId="0" borderId="0" xfId="0" applyNumberFormat="1" applyAlignment="1">
      <alignment horizontal="center" vertical="center"/>
    </xf>
    <xf numFmtId="4" fontId="0" fillId="0" borderId="0" xfId="0" applyNumberFormat="1"/>
    <xf numFmtId="0" fontId="251" fillId="0" borderId="0" xfId="0" applyFont="1"/>
    <xf numFmtId="15" fontId="0" fillId="0" borderId="0" xfId="0" applyNumberFormat="1" applyAlignment="1">
      <alignment horizontal="center"/>
    </xf>
    <xf numFmtId="185" fontId="0" fillId="0" borderId="0" xfId="322" applyNumberFormat="1" applyFont="1" applyFill="1" applyBorder="1" applyAlignment="1">
      <alignment horizontal="center"/>
    </xf>
    <xf numFmtId="0" fontId="112" fillId="0" borderId="11" xfId="303" applyFont="1" applyBorder="1"/>
    <xf numFmtId="0" fontId="251" fillId="0" borderId="0" xfId="0" applyFont="1" applyAlignment="1">
      <alignment horizontal="right"/>
    </xf>
    <xf numFmtId="0" fontId="96" fillId="0" borderId="0" xfId="0" applyFont="1" applyAlignment="1">
      <alignment horizontal="left"/>
    </xf>
    <xf numFmtId="17" fontId="96" fillId="0" borderId="0" xfId="0" applyNumberFormat="1" applyFont="1" applyAlignment="1">
      <alignment horizontal="left" vertical="center"/>
    </xf>
    <xf numFmtId="17" fontId="94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83" fontId="0" fillId="0" borderId="0" xfId="0" applyNumberFormat="1"/>
    <xf numFmtId="182" fontId="0" fillId="0" borderId="0" xfId="0" applyNumberFormat="1" applyAlignment="1">
      <alignment horizontal="center"/>
    </xf>
    <xf numFmtId="0" fontId="251" fillId="0" borderId="0" xfId="0" applyFont="1" applyAlignment="1">
      <alignment horizontal="center"/>
    </xf>
    <xf numFmtId="3" fontId="251" fillId="0" borderId="0" xfId="0" applyNumberFormat="1" applyFont="1" applyAlignment="1">
      <alignment horizontal="center"/>
    </xf>
    <xf numFmtId="182" fontId="251" fillId="0" borderId="0" xfId="0" applyNumberFormat="1" applyFont="1" applyAlignment="1">
      <alignment horizontal="center"/>
    </xf>
    <xf numFmtId="213" fontId="0" fillId="0" borderId="0" xfId="0" applyNumberFormat="1" applyAlignment="1">
      <alignment horizontal="center"/>
    </xf>
    <xf numFmtId="4" fontId="219" fillId="0" borderId="0" xfId="0" applyNumberFormat="1" applyFont="1" applyAlignment="1">
      <alignment horizontal="center"/>
    </xf>
    <xf numFmtId="182" fontId="112" fillId="0" borderId="0" xfId="0" applyNumberFormat="1" applyFont="1" applyAlignment="1">
      <alignment horizontal="center"/>
    </xf>
    <xf numFmtId="3" fontId="112" fillId="0" borderId="0" xfId="0" applyNumberFormat="1" applyFont="1" applyAlignment="1">
      <alignment horizontal="center"/>
    </xf>
    <xf numFmtId="184" fontId="0" fillId="0" borderId="0" xfId="0" applyNumberFormat="1"/>
    <xf numFmtId="185" fontId="0" fillId="0" borderId="0" xfId="322" applyNumberFormat="1" applyFont="1" applyBorder="1" applyAlignment="1">
      <alignment horizontal="center"/>
    </xf>
    <xf numFmtId="0" fontId="0" fillId="0" borderId="0" xfId="306" applyFont="1"/>
    <xf numFmtId="202" fontId="0" fillId="0" borderId="0" xfId="0" applyNumberFormat="1"/>
    <xf numFmtId="212" fontId="0" fillId="0" borderId="0" xfId="0" applyNumberFormat="1" applyAlignment="1">
      <alignment horizontal="center"/>
    </xf>
    <xf numFmtId="0" fontId="94" fillId="0" borderId="0" xfId="0" applyFont="1" applyAlignment="1">
      <alignment horizontal="right" vertical="center"/>
    </xf>
    <xf numFmtId="185" fontId="0" fillId="0" borderId="0" xfId="322" applyNumberFormat="1" applyFont="1" applyAlignment="1">
      <alignment horizontal="center"/>
    </xf>
    <xf numFmtId="17" fontId="94" fillId="0" borderId="0" xfId="0" applyNumberFormat="1" applyFont="1" applyAlignment="1">
      <alignment horizontal="left" vertical="center"/>
    </xf>
    <xf numFmtId="0" fontId="252" fillId="0" borderId="0" xfId="0" applyFont="1" applyAlignment="1">
      <alignment vertical="center"/>
    </xf>
    <xf numFmtId="0" fontId="94" fillId="79" borderId="0" xfId="0" applyFont="1" applyFill="1" applyAlignment="1">
      <alignment horizontal="center"/>
    </xf>
    <xf numFmtId="182" fontId="94" fillId="79" borderId="0" xfId="0" applyNumberFormat="1" applyFont="1" applyFill="1" applyAlignment="1">
      <alignment horizontal="center"/>
    </xf>
    <xf numFmtId="0" fontId="227" fillId="72" borderId="99" xfId="0" applyFont="1" applyFill="1" applyBorder="1"/>
    <xf numFmtId="0" fontId="227" fillId="72" borderId="100" xfId="0" applyFont="1" applyFill="1" applyBorder="1" applyAlignment="1">
      <alignment horizontal="center"/>
    </xf>
    <xf numFmtId="182" fontId="227" fillId="72" borderId="100" xfId="0" applyNumberFormat="1" applyFont="1" applyFill="1" applyBorder="1" applyAlignment="1">
      <alignment horizontal="center"/>
    </xf>
    <xf numFmtId="4" fontId="227" fillId="72" borderId="100" xfId="0" applyNumberFormat="1" applyFont="1" applyFill="1" applyBorder="1" applyAlignment="1">
      <alignment horizontal="center"/>
    </xf>
    <xf numFmtId="185" fontId="227" fillId="72" borderId="101" xfId="322" applyNumberFormat="1" applyFont="1" applyFill="1" applyBorder="1" applyAlignment="1">
      <alignment horizontal="center"/>
    </xf>
    <xf numFmtId="3" fontId="139" fillId="0" borderId="0" xfId="0" applyNumberFormat="1" applyFont="1"/>
    <xf numFmtId="0" fontId="139" fillId="0" borderId="0" xfId="0" applyFont="1"/>
    <xf numFmtId="0" fontId="139" fillId="0" borderId="108" xfId="0" applyFont="1" applyBorder="1"/>
    <xf numFmtId="0" fontId="139" fillId="0" borderId="109" xfId="0" applyFont="1" applyBorder="1"/>
    <xf numFmtId="17" fontId="253" fillId="72" borderId="110" xfId="0" applyNumberFormat="1" applyFont="1" applyFill="1" applyBorder="1" applyAlignment="1">
      <alignment horizontal="left"/>
    </xf>
    <xf numFmtId="0" fontId="139" fillId="0" borderId="108" xfId="0" applyFont="1" applyBorder="1" applyAlignment="1">
      <alignment vertical="center"/>
    </xf>
    <xf numFmtId="15" fontId="253" fillId="72" borderId="110" xfId="0" applyNumberFormat="1" applyFont="1" applyFill="1" applyBorder="1" applyAlignment="1">
      <alignment horizontal="left" vertical="center"/>
    </xf>
    <xf numFmtId="0" fontId="254" fillId="0" borderId="0" xfId="218" applyFont="1" applyAlignment="1" applyProtection="1"/>
    <xf numFmtId="0" fontId="255" fillId="0" borderId="98" xfId="0" applyFont="1" applyBorder="1"/>
    <xf numFmtId="0" fontId="255" fillId="0" borderId="98" xfId="0" applyFont="1" applyBorder="1" applyAlignment="1">
      <alignment vertical="center" wrapText="1"/>
    </xf>
    <xf numFmtId="0" fontId="255" fillId="0" borderId="98" xfId="0" applyFont="1" applyBorder="1" applyAlignment="1">
      <alignment horizontal="left"/>
    </xf>
    <xf numFmtId="181" fontId="139" fillId="0" borderId="0" xfId="0" applyNumberFormat="1" applyFont="1"/>
    <xf numFmtId="0" fontId="139" fillId="0" borderId="0" xfId="0" applyFont="1" applyAlignment="1">
      <alignment horizontal="center"/>
    </xf>
    <xf numFmtId="166" fontId="0" fillId="89" borderId="98" xfId="31096" applyFont="1" applyFill="1" applyBorder="1"/>
    <xf numFmtId="2" fontId="0" fillId="89" borderId="98" xfId="0" applyNumberFormat="1" applyFill="1" applyBorder="1" applyAlignment="1">
      <alignment horizontal="center"/>
    </xf>
    <xf numFmtId="2" fontId="0" fillId="78" borderId="98" xfId="0" applyNumberFormat="1" applyFill="1" applyBorder="1" applyAlignment="1">
      <alignment horizontal="center"/>
    </xf>
    <xf numFmtId="166" fontId="0" fillId="78" borderId="111" xfId="31096" applyFont="1" applyFill="1" applyBorder="1"/>
    <xf numFmtId="0" fontId="192" fillId="72" borderId="102" xfId="0" applyFont="1" applyFill="1" applyBorder="1" applyAlignment="1">
      <alignment horizontal="center" vertical="center"/>
    </xf>
    <xf numFmtId="0" fontId="248" fillId="0" borderId="0" xfId="0" applyFont="1"/>
    <xf numFmtId="0" fontId="257" fillId="0" borderId="0" xfId="0" applyFont="1"/>
    <xf numFmtId="3" fontId="94" fillId="0" borderId="112" xfId="0" applyNumberFormat="1" applyFont="1" applyBorder="1" applyAlignment="1">
      <alignment horizontal="center"/>
    </xf>
    <xf numFmtId="3" fontId="0" fillId="0" borderId="113" xfId="0" applyNumberFormat="1" applyBorder="1" applyAlignment="1">
      <alignment horizontal="center"/>
    </xf>
    <xf numFmtId="182" fontId="0" fillId="0" borderId="113" xfId="0" applyNumberFormat="1" applyBorder="1" applyAlignment="1">
      <alignment horizontal="center"/>
    </xf>
    <xf numFmtId="0" fontId="192" fillId="72" borderId="114" xfId="0" applyFont="1" applyFill="1" applyBorder="1" applyAlignment="1">
      <alignment horizontal="center" vertical="center"/>
    </xf>
    <xf numFmtId="249" fontId="0" fillId="89" borderId="98" xfId="31096" applyNumberFormat="1" applyFont="1" applyFill="1" applyBorder="1"/>
    <xf numFmtId="166" fontId="0" fillId="0" borderId="0" xfId="0" applyNumberFormat="1"/>
    <xf numFmtId="249" fontId="0" fillId="89" borderId="98" xfId="31096" applyNumberFormat="1" applyFont="1" applyFill="1" applyBorder="1" applyAlignment="1">
      <alignment horizontal="left"/>
    </xf>
    <xf numFmtId="0" fontId="258" fillId="0" borderId="0" xfId="0" applyFont="1"/>
    <xf numFmtId="0" fontId="192" fillId="72" borderId="114" xfId="0" applyFont="1" applyFill="1" applyBorder="1" applyAlignment="1">
      <alignment horizontal="left" vertical="center"/>
    </xf>
    <xf numFmtId="249" fontId="0" fillId="78" borderId="111" xfId="31096" applyNumberFormat="1" applyFont="1" applyFill="1" applyBorder="1" applyAlignment="1">
      <alignment horizontal="center"/>
    </xf>
    <xf numFmtId="179" fontId="0" fillId="78" borderId="98" xfId="0" applyNumberFormat="1" applyFill="1" applyBorder="1" applyAlignment="1">
      <alignment horizontal="center"/>
    </xf>
    <xf numFmtId="179" fontId="0" fillId="89" borderId="98" xfId="0" applyNumberFormat="1" applyFill="1" applyBorder="1" applyAlignment="1">
      <alignment horizontal="center"/>
    </xf>
    <xf numFmtId="181" fontId="0" fillId="78" borderId="98" xfId="0" applyNumberFormat="1" applyFill="1" applyBorder="1" applyAlignment="1">
      <alignment horizontal="center"/>
    </xf>
    <xf numFmtId="181" fontId="0" fillId="89" borderId="98" xfId="0" applyNumberFormat="1" applyFill="1" applyBorder="1" applyAlignment="1">
      <alignment horizontal="center"/>
    </xf>
    <xf numFmtId="181" fontId="0" fillId="89" borderId="98" xfId="31096" applyNumberFormat="1" applyFont="1" applyFill="1" applyBorder="1" applyAlignment="1">
      <alignment horizontal="center"/>
    </xf>
    <xf numFmtId="9" fontId="0" fillId="89" borderId="98" xfId="322" applyFont="1" applyFill="1" applyBorder="1"/>
    <xf numFmtId="249" fontId="0" fillId="37" borderId="98" xfId="31096" applyNumberFormat="1" applyFont="1" applyFill="1" applyBorder="1"/>
    <xf numFmtId="0" fontId="144" fillId="0" borderId="0" xfId="0" applyFont="1" applyAlignment="1">
      <alignment vertical="center"/>
    </xf>
    <xf numFmtId="9" fontId="0" fillId="0" borderId="0" xfId="322" applyFont="1" applyAlignment="1">
      <alignment vertical="center"/>
    </xf>
    <xf numFmtId="10" fontId="0" fillId="0" borderId="0" xfId="322" applyNumberFormat="1" applyFont="1" applyAlignment="1">
      <alignment vertical="center"/>
    </xf>
    <xf numFmtId="179" fontId="0" fillId="0" borderId="0" xfId="0" applyNumberFormat="1" applyAlignment="1">
      <alignment vertical="center"/>
    </xf>
    <xf numFmtId="216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83" fontId="0" fillId="0" borderId="0" xfId="0" applyNumberFormat="1" applyAlignment="1">
      <alignment vertical="center"/>
    </xf>
    <xf numFmtId="1" fontId="94" fillId="0" borderId="0" xfId="0" applyNumberFormat="1" applyFont="1" applyAlignment="1">
      <alignment vertical="center"/>
    </xf>
    <xf numFmtId="2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0" fontId="259" fillId="0" borderId="0" xfId="0" applyFont="1" applyAlignment="1">
      <alignment vertical="center"/>
    </xf>
    <xf numFmtId="0" fontId="0" fillId="38" borderId="13" xfId="0" applyFill="1" applyBorder="1" applyAlignment="1">
      <alignment horizontal="center" vertical="center"/>
    </xf>
    <xf numFmtId="0" fontId="0" fillId="38" borderId="11" xfId="0" applyFill="1" applyBorder="1" applyAlignment="1">
      <alignment vertical="center"/>
    </xf>
    <xf numFmtId="0" fontId="0" fillId="0" borderId="21" xfId="0" applyBorder="1" applyAlignment="1">
      <alignment vertical="center"/>
    </xf>
    <xf numFmtId="1" fontId="0" fillId="38" borderId="11" xfId="0" applyNumberFormat="1" applyFill="1" applyBorder="1" applyAlignment="1">
      <alignment horizontal="center" vertical="center"/>
    </xf>
    <xf numFmtId="0" fontId="0" fillId="37" borderId="14" xfId="0" applyFill="1" applyBorder="1"/>
    <xf numFmtId="179" fontId="0" fillId="37" borderId="11" xfId="0" applyNumberForma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182" fontId="0" fillId="37" borderId="96" xfId="0" applyNumberFormat="1" applyFill="1" applyBorder="1" applyAlignment="1">
      <alignment horizontal="center"/>
    </xf>
    <xf numFmtId="3" fontId="0" fillId="37" borderId="95" xfId="0" applyNumberFormat="1" applyFill="1" applyBorder="1" applyAlignment="1">
      <alignment horizontal="center"/>
    </xf>
    <xf numFmtId="183" fontId="0" fillId="37" borderId="0" xfId="0" applyNumberFormat="1" applyFill="1" applyAlignment="1">
      <alignment horizontal="center"/>
    </xf>
    <xf numFmtId="3" fontId="94" fillId="37" borderId="0" xfId="0" applyNumberFormat="1" applyFont="1" applyFill="1" applyAlignment="1">
      <alignment horizontal="center"/>
    </xf>
    <xf numFmtId="0" fontId="0" fillId="37" borderId="116" xfId="0" applyFill="1" applyBorder="1" applyAlignment="1">
      <alignment horizontal="center"/>
    </xf>
    <xf numFmtId="0" fontId="260" fillId="38" borderId="0" xfId="0" applyFont="1" applyFill="1" applyAlignment="1">
      <alignment horizontal="center"/>
    </xf>
    <xf numFmtId="0" fontId="51" fillId="37" borderId="0" xfId="0" applyFont="1" applyFill="1"/>
    <xf numFmtId="0" fontId="51" fillId="37" borderId="0" xfId="0" applyFont="1" applyFill="1" applyAlignment="1">
      <alignment horizontal="center"/>
    </xf>
    <xf numFmtId="0" fontId="214" fillId="72" borderId="98" xfId="0" applyFont="1" applyFill="1" applyBorder="1" applyAlignment="1">
      <alignment horizontal="centerContinuous"/>
    </xf>
    <xf numFmtId="0" fontId="214" fillId="78" borderId="98" xfId="0" applyFont="1" applyFill="1" applyBorder="1" applyAlignment="1">
      <alignment horizontal="centerContinuous"/>
    </xf>
    <xf numFmtId="0" fontId="214" fillId="90" borderId="98" xfId="0" applyFont="1" applyFill="1" applyBorder="1" applyAlignment="1">
      <alignment horizontal="centerContinuous"/>
    </xf>
    <xf numFmtId="0" fontId="261" fillId="37" borderId="0" xfId="0" applyFont="1" applyFill="1"/>
    <xf numFmtId="0" fontId="214" fillId="72" borderId="99" xfId="0" applyFont="1" applyFill="1" applyBorder="1" applyAlignment="1">
      <alignment horizontal="centerContinuous"/>
    </xf>
    <xf numFmtId="0" fontId="214" fillId="72" borderId="100" xfId="0" applyFont="1" applyFill="1" applyBorder="1" applyAlignment="1">
      <alignment horizontal="centerContinuous"/>
    </xf>
    <xf numFmtId="0" fontId="214" fillId="72" borderId="101" xfId="0" applyFont="1" applyFill="1" applyBorder="1" applyAlignment="1">
      <alignment horizontal="centerContinuous"/>
    </xf>
    <xf numFmtId="0" fontId="51" fillId="37" borderId="99" xfId="0" applyFont="1" applyFill="1" applyBorder="1" applyAlignment="1">
      <alignment horizontal="center"/>
    </xf>
    <xf numFmtId="0" fontId="214" fillId="91" borderId="118" xfId="0" applyFont="1" applyFill="1" applyBorder="1" applyAlignment="1">
      <alignment horizontal="center"/>
    </xf>
    <xf numFmtId="0" fontId="214" fillId="72" borderId="118" xfId="0" applyFont="1" applyFill="1" applyBorder="1"/>
    <xf numFmtId="176" fontId="51" fillId="37" borderId="0" xfId="0" applyNumberFormat="1" applyFont="1" applyFill="1"/>
    <xf numFmtId="0" fontId="51" fillId="37" borderId="117" xfId="0" applyFont="1" applyFill="1" applyBorder="1"/>
    <xf numFmtId="0" fontId="51" fillId="37" borderId="117" xfId="0" applyFont="1" applyFill="1" applyBorder="1" applyAlignment="1">
      <alignment horizontal="center"/>
    </xf>
    <xf numFmtId="179" fontId="51" fillId="37" borderId="117" xfId="0" applyNumberFormat="1" applyFont="1" applyFill="1" applyBorder="1" applyAlignment="1">
      <alignment horizontal="center" vertical="center"/>
    </xf>
    <xf numFmtId="183" fontId="51" fillId="37" borderId="117" xfId="0" applyNumberFormat="1" applyFont="1" applyFill="1" applyBorder="1" applyAlignment="1">
      <alignment horizontal="center" vertical="center"/>
    </xf>
    <xf numFmtId="185" fontId="51" fillId="37" borderId="117" xfId="322" applyNumberFormat="1" applyFont="1" applyFill="1" applyBorder="1" applyAlignment="1">
      <alignment horizontal="center" vertical="center"/>
    </xf>
    <xf numFmtId="185" fontId="51" fillId="37" borderId="117" xfId="0" applyNumberFormat="1" applyFont="1" applyFill="1" applyBorder="1" applyAlignment="1">
      <alignment horizontal="center" vertical="center"/>
    </xf>
    <xf numFmtId="0" fontId="262" fillId="37" borderId="0" xfId="0" applyFont="1" applyFill="1"/>
    <xf numFmtId="179" fontId="51" fillId="37" borderId="0" xfId="0" applyNumberFormat="1" applyFont="1" applyFill="1"/>
    <xf numFmtId="4" fontId="51" fillId="37" borderId="117" xfId="0" applyNumberFormat="1" applyFont="1" applyFill="1" applyBorder="1" applyAlignment="1">
      <alignment horizontal="center" vertical="center"/>
    </xf>
    <xf numFmtId="0" fontId="51" fillId="37" borderId="117" xfId="0" applyFont="1" applyFill="1" applyBorder="1" applyAlignment="1">
      <alignment horizontal="center" vertical="center"/>
    </xf>
    <xf numFmtId="176" fontId="51" fillId="37" borderId="117" xfId="0" applyNumberFormat="1" applyFont="1" applyFill="1" applyBorder="1" applyAlignment="1">
      <alignment vertical="center"/>
    </xf>
    <xf numFmtId="3" fontId="51" fillId="37" borderId="0" xfId="0" applyNumberFormat="1" applyFont="1" applyFill="1"/>
    <xf numFmtId="3" fontId="51" fillId="37" borderId="117" xfId="0" applyNumberFormat="1" applyFont="1" applyFill="1" applyBorder="1" applyAlignment="1">
      <alignment horizontal="center" vertical="center"/>
    </xf>
    <xf numFmtId="1" fontId="51" fillId="37" borderId="0" xfId="0" applyNumberFormat="1" applyFont="1" applyFill="1"/>
    <xf numFmtId="182" fontId="51" fillId="37" borderId="0" xfId="0" applyNumberFormat="1" applyFont="1" applyFill="1"/>
    <xf numFmtId="176" fontId="51" fillId="37" borderId="117" xfId="0" applyNumberFormat="1" applyFont="1" applyFill="1" applyBorder="1" applyAlignment="1">
      <alignment horizontal="center" vertical="center"/>
    </xf>
    <xf numFmtId="182" fontId="51" fillId="37" borderId="117" xfId="0" applyNumberFormat="1" applyFont="1" applyFill="1" applyBorder="1" applyAlignment="1">
      <alignment horizontal="center" vertical="center"/>
    </xf>
    <xf numFmtId="2" fontId="51" fillId="37" borderId="117" xfId="0" applyNumberFormat="1" applyFont="1" applyFill="1" applyBorder="1" applyAlignment="1">
      <alignment horizontal="center" vertical="center"/>
    </xf>
    <xf numFmtId="2" fontId="51" fillId="37" borderId="0" xfId="0" applyNumberFormat="1" applyFont="1" applyFill="1"/>
    <xf numFmtId="10" fontId="51" fillId="37" borderId="117" xfId="322" applyNumberFormat="1" applyFont="1" applyFill="1" applyBorder="1" applyAlignment="1">
      <alignment horizontal="center" vertical="center"/>
    </xf>
    <xf numFmtId="4" fontId="51" fillId="37" borderId="0" xfId="0" applyNumberFormat="1" applyFont="1" applyFill="1"/>
    <xf numFmtId="1" fontId="51" fillId="37" borderId="117" xfId="0" applyNumberFormat="1" applyFont="1" applyFill="1" applyBorder="1" applyAlignment="1">
      <alignment horizontal="center" vertical="center"/>
    </xf>
    <xf numFmtId="185" fontId="51" fillId="37" borderId="117" xfId="0" applyNumberFormat="1" applyFont="1" applyFill="1" applyBorder="1" applyAlignment="1">
      <alignment vertical="center"/>
    </xf>
    <xf numFmtId="0" fontId="51" fillId="37" borderId="111" xfId="0" applyFont="1" applyFill="1" applyBorder="1"/>
    <xf numFmtId="0" fontId="51" fillId="37" borderId="111" xfId="0" applyFont="1" applyFill="1" applyBorder="1" applyAlignment="1">
      <alignment horizontal="center"/>
    </xf>
    <xf numFmtId="3" fontId="51" fillId="37" borderId="111" xfId="0" applyNumberFormat="1" applyFont="1" applyFill="1" applyBorder="1" applyAlignment="1">
      <alignment horizontal="center" vertical="center"/>
    </xf>
    <xf numFmtId="185" fontId="51" fillId="37" borderId="111" xfId="322" applyNumberFormat="1" applyFont="1" applyFill="1" applyBorder="1" applyAlignment="1">
      <alignment horizontal="center" vertical="center"/>
    </xf>
    <xf numFmtId="0" fontId="51" fillId="37" borderId="0" xfId="0" applyFont="1" applyFill="1" applyAlignment="1">
      <alignment vertical="center"/>
    </xf>
    <xf numFmtId="0" fontId="51" fillId="37" borderId="0" xfId="0" applyFont="1" applyFill="1" applyAlignment="1">
      <alignment horizontal="center" vertical="center"/>
    </xf>
    <xf numFmtId="179" fontId="51" fillId="37" borderId="0" xfId="0" applyNumberFormat="1" applyFont="1" applyFill="1" applyAlignment="1">
      <alignment horizontal="center" vertical="center"/>
    </xf>
    <xf numFmtId="183" fontId="51" fillId="37" borderId="0" xfId="0" applyNumberFormat="1" applyFont="1" applyFill="1" applyAlignment="1">
      <alignment horizontal="center" vertical="center"/>
    </xf>
    <xf numFmtId="3" fontId="51" fillId="37" borderId="0" xfId="0" applyNumberFormat="1" applyFont="1" applyFill="1" applyAlignment="1">
      <alignment horizontal="center" vertical="center"/>
    </xf>
    <xf numFmtId="185" fontId="51" fillId="37" borderId="0" xfId="322" applyNumberFormat="1" applyFont="1" applyFill="1" applyBorder="1" applyAlignment="1">
      <alignment horizontal="center" vertical="center"/>
    </xf>
    <xf numFmtId="1" fontId="51" fillId="37" borderId="0" xfId="0" applyNumberFormat="1" applyFont="1" applyFill="1" applyAlignment="1">
      <alignment horizontal="center" vertical="center"/>
    </xf>
    <xf numFmtId="237" fontId="51" fillId="37" borderId="0" xfId="0" applyNumberFormat="1" applyFont="1" applyFill="1" applyAlignment="1">
      <alignment horizontal="center" vertical="center"/>
    </xf>
    <xf numFmtId="238" fontId="51" fillId="37" borderId="0" xfId="322" applyNumberFormat="1" applyFont="1" applyFill="1" applyBorder="1" applyAlignment="1">
      <alignment horizontal="center" vertical="center"/>
    </xf>
    <xf numFmtId="179" fontId="261" fillId="0" borderId="0" xfId="0" applyNumberFormat="1" applyFont="1" applyAlignment="1">
      <alignment horizontal="center" vertical="center"/>
    </xf>
    <xf numFmtId="1" fontId="51" fillId="37" borderId="0" xfId="0" applyNumberFormat="1" applyFont="1" applyFill="1" applyAlignment="1">
      <alignment horizontal="center"/>
    </xf>
    <xf numFmtId="3" fontId="261" fillId="37" borderId="0" xfId="0" applyNumberFormat="1" applyFont="1" applyFill="1" applyAlignment="1">
      <alignment horizontal="left"/>
    </xf>
    <xf numFmtId="0" fontId="261" fillId="73" borderId="40" xfId="0" applyFont="1" applyFill="1" applyBorder="1" applyAlignment="1">
      <alignment horizontal="center"/>
    </xf>
    <xf numFmtId="0" fontId="261" fillId="74" borderId="32" xfId="0" applyFont="1" applyFill="1" applyBorder="1" applyAlignment="1">
      <alignment vertical="center"/>
    </xf>
    <xf numFmtId="0" fontId="261" fillId="74" borderId="33" xfId="0" applyFont="1" applyFill="1" applyBorder="1" applyAlignment="1">
      <alignment horizontal="center" vertical="center"/>
    </xf>
    <xf numFmtId="0" fontId="51" fillId="37" borderId="23" xfId="0" applyFont="1" applyFill="1" applyBorder="1" applyAlignment="1">
      <alignment vertical="center"/>
    </xf>
    <xf numFmtId="0" fontId="51" fillId="37" borderId="34" xfId="0" applyFont="1" applyFill="1" applyBorder="1" applyAlignment="1">
      <alignment horizontal="center" vertical="center"/>
    </xf>
    <xf numFmtId="0" fontId="261" fillId="74" borderId="23" xfId="0" applyFont="1" applyFill="1" applyBorder="1" applyAlignment="1">
      <alignment vertical="center"/>
    </xf>
    <xf numFmtId="0" fontId="261" fillId="74" borderId="34" xfId="0" applyFont="1" applyFill="1" applyBorder="1" applyAlignment="1">
      <alignment horizontal="center" vertical="center"/>
    </xf>
    <xf numFmtId="0" fontId="51" fillId="37" borderId="71" xfId="0" applyFont="1" applyFill="1" applyBorder="1" applyAlignment="1">
      <alignment vertical="center"/>
    </xf>
    <xf numFmtId="0" fontId="51" fillId="37" borderId="72" xfId="0" applyFont="1" applyFill="1" applyBorder="1" applyAlignment="1">
      <alignment horizontal="center" vertical="center"/>
    </xf>
    <xf numFmtId="0" fontId="51" fillId="37" borderId="37" xfId="0" applyFont="1" applyFill="1" applyBorder="1" applyAlignment="1">
      <alignment vertical="center"/>
    </xf>
    <xf numFmtId="0" fontId="51" fillId="37" borderId="41" xfId="0" applyFont="1" applyFill="1" applyBorder="1" applyAlignment="1">
      <alignment horizontal="center" vertical="center"/>
    </xf>
    <xf numFmtId="0" fontId="51" fillId="37" borderId="59" xfId="0" applyFont="1" applyFill="1" applyBorder="1"/>
    <xf numFmtId="179" fontId="51" fillId="37" borderId="58" xfId="0" applyNumberFormat="1" applyFont="1" applyFill="1" applyBorder="1"/>
    <xf numFmtId="0" fontId="51" fillId="37" borderId="74" xfId="0" applyFont="1" applyFill="1" applyBorder="1"/>
    <xf numFmtId="179" fontId="51" fillId="37" borderId="75" xfId="0" applyNumberFormat="1" applyFont="1" applyFill="1" applyBorder="1"/>
    <xf numFmtId="0" fontId="51" fillId="37" borderId="76" xfId="0" applyFont="1" applyFill="1" applyBorder="1"/>
    <xf numFmtId="179" fontId="51" fillId="37" borderId="77" xfId="0" applyNumberFormat="1" applyFont="1" applyFill="1" applyBorder="1"/>
    <xf numFmtId="0" fontId="51" fillId="37" borderId="78" xfId="0" applyFont="1" applyFill="1" applyBorder="1" applyAlignment="1">
      <alignment horizontal="center" vertical="center"/>
    </xf>
    <xf numFmtId="0" fontId="51" fillId="37" borderId="79" xfId="0" applyFont="1" applyFill="1" applyBorder="1"/>
    <xf numFmtId="0" fontId="263" fillId="37" borderId="81" xfId="0" applyFont="1" applyFill="1" applyBorder="1" applyAlignment="1">
      <alignment vertical="center"/>
    </xf>
    <xf numFmtId="179" fontId="263" fillId="37" borderId="82" xfId="0" applyNumberFormat="1" applyFont="1" applyFill="1" applyBorder="1" applyAlignment="1">
      <alignment horizontal="center" vertical="center"/>
    </xf>
    <xf numFmtId="0" fontId="51" fillId="37" borderId="83" xfId="0" applyFont="1" applyFill="1" applyBorder="1"/>
    <xf numFmtId="0" fontId="51" fillId="37" borderId="84" xfId="0" applyFont="1" applyFill="1" applyBorder="1"/>
    <xf numFmtId="0" fontId="51" fillId="37" borderId="85" xfId="0" applyFont="1" applyFill="1" applyBorder="1"/>
    <xf numFmtId="3" fontId="51" fillId="37" borderId="77" xfId="0" applyNumberFormat="1" applyFont="1" applyFill="1" applyBorder="1"/>
    <xf numFmtId="1" fontId="51" fillId="37" borderId="77" xfId="0" applyNumberFormat="1" applyFont="1" applyFill="1" applyBorder="1"/>
    <xf numFmtId="176" fontId="51" fillId="37" borderId="77" xfId="0" applyNumberFormat="1" applyFont="1" applyFill="1" applyBorder="1"/>
    <xf numFmtId="0" fontId="51" fillId="37" borderId="73" xfId="0" applyFont="1" applyFill="1" applyBorder="1" applyAlignment="1">
      <alignment vertical="center"/>
    </xf>
    <xf numFmtId="4" fontId="51" fillId="37" borderId="59" xfId="0" applyNumberFormat="1" applyFont="1" applyFill="1" applyBorder="1"/>
    <xf numFmtId="2" fontId="51" fillId="37" borderId="80" xfId="0" applyNumberFormat="1" applyFont="1" applyFill="1" applyBorder="1"/>
    <xf numFmtId="2" fontId="51" fillId="37" borderId="77" xfId="0" applyNumberFormat="1" applyFont="1" applyFill="1" applyBorder="1"/>
    <xf numFmtId="176" fontId="51" fillId="37" borderId="80" xfId="0" applyNumberFormat="1" applyFont="1" applyFill="1" applyBorder="1"/>
    <xf numFmtId="2" fontId="51" fillId="37" borderId="59" xfId="0" applyNumberFormat="1" applyFont="1" applyFill="1" applyBorder="1"/>
    <xf numFmtId="0" fontId="51" fillId="37" borderId="82" xfId="0" applyFont="1" applyFill="1" applyBorder="1" applyAlignment="1">
      <alignment horizontal="center" vertical="center"/>
    </xf>
    <xf numFmtId="2" fontId="51" fillId="0" borderId="80" xfId="0" applyNumberFormat="1" applyFont="1" applyBorder="1"/>
    <xf numFmtId="1" fontId="51" fillId="37" borderId="59" xfId="0" applyNumberFormat="1" applyFont="1" applyFill="1" applyBorder="1"/>
    <xf numFmtId="3" fontId="51" fillId="37" borderId="80" xfId="0" applyNumberFormat="1" applyFont="1" applyFill="1" applyBorder="1"/>
    <xf numFmtId="0" fontId="51" fillId="37" borderId="24" xfId="0" applyFont="1" applyFill="1" applyBorder="1" applyAlignment="1">
      <alignment vertical="center"/>
    </xf>
    <xf numFmtId="0" fontId="51" fillId="37" borderId="26" xfId="0" applyFont="1" applyFill="1" applyBorder="1" applyAlignment="1">
      <alignment horizontal="center" vertical="center"/>
    </xf>
    <xf numFmtId="1" fontId="51" fillId="37" borderId="85" xfId="0" applyNumberFormat="1" applyFont="1" applyFill="1" applyBorder="1"/>
    <xf numFmtId="0" fontId="0" fillId="0" borderId="115" xfId="0" applyBorder="1"/>
    <xf numFmtId="0" fontId="0" fillId="0" borderId="119" xfId="0" applyBorder="1" applyAlignment="1">
      <alignment horizontal="center"/>
    </xf>
    <xf numFmtId="185" fontId="0" fillId="0" borderId="119" xfId="322" applyNumberFormat="1" applyFont="1" applyFill="1" applyBorder="1" applyAlignment="1">
      <alignment horizontal="center"/>
    </xf>
    <xf numFmtId="185" fontId="0" fillId="0" borderId="119" xfId="322" applyNumberFormat="1" applyFont="1" applyBorder="1" applyAlignment="1">
      <alignment horizontal="center"/>
    </xf>
    <xf numFmtId="0" fontId="0" fillId="0" borderId="120" xfId="0" applyBorder="1"/>
    <xf numFmtId="0" fontId="0" fillId="0" borderId="113" xfId="0" applyBorder="1" applyAlignment="1">
      <alignment horizontal="center"/>
    </xf>
    <xf numFmtId="185" fontId="0" fillId="0" borderId="121" xfId="322" applyNumberFormat="1" applyFont="1" applyBorder="1" applyAlignment="1">
      <alignment horizontal="center"/>
    </xf>
    <xf numFmtId="0" fontId="94" fillId="0" borderId="122" xfId="0" applyFont="1" applyBorder="1" applyAlignment="1">
      <alignment horizontal="right" vertical="center"/>
    </xf>
    <xf numFmtId="17" fontId="94" fillId="0" borderId="123" xfId="0" applyNumberFormat="1" applyFont="1" applyBorder="1" applyAlignment="1">
      <alignment horizontal="center"/>
    </xf>
    <xf numFmtId="0" fontId="0" fillId="0" borderId="123" xfId="0" applyBorder="1"/>
    <xf numFmtId="0" fontId="94" fillId="76" borderId="115" xfId="0" applyFont="1" applyFill="1" applyBorder="1"/>
    <xf numFmtId="0" fontId="94" fillId="76" borderId="0" xfId="0" applyFont="1" applyFill="1" applyAlignment="1">
      <alignment horizontal="center"/>
    </xf>
    <xf numFmtId="182" fontId="94" fillId="76" borderId="0" xfId="0" applyNumberFormat="1" applyFont="1" applyFill="1" applyAlignment="1">
      <alignment horizontal="center"/>
    </xf>
    <xf numFmtId="185" fontId="94" fillId="76" borderId="119" xfId="322" applyNumberFormat="1" applyFont="1" applyFill="1" applyBorder="1" applyAlignment="1">
      <alignment horizontal="center"/>
    </xf>
    <xf numFmtId="0" fontId="94" fillId="0" borderId="118" xfId="0" applyFont="1" applyBorder="1" applyAlignment="1">
      <alignment horizontal="right" vertical="center"/>
    </xf>
    <xf numFmtId="17" fontId="192" fillId="78" borderId="0" xfId="0" applyNumberFormat="1" applyFont="1" applyFill="1" applyAlignment="1">
      <alignment horizontal="center" vertical="center"/>
    </xf>
    <xf numFmtId="0" fontId="264" fillId="72" borderId="99" xfId="0" applyFont="1" applyFill="1" applyBorder="1" applyAlignment="1">
      <alignment horizontal="centerContinuous"/>
    </xf>
    <xf numFmtId="0" fontId="94" fillId="0" borderId="115" xfId="0" applyFont="1" applyBorder="1" applyAlignment="1">
      <alignment horizontal="right" vertical="center"/>
    </xf>
    <xf numFmtId="0" fontId="251" fillId="0" borderId="115" xfId="0" applyFont="1" applyBorder="1"/>
    <xf numFmtId="185" fontId="251" fillId="0" borderId="119" xfId="322" applyNumberFormat="1" applyFont="1" applyFill="1" applyBorder="1" applyAlignment="1">
      <alignment horizontal="center"/>
    </xf>
    <xf numFmtId="0" fontId="0" fillId="0" borderId="119" xfId="0" applyBorder="1"/>
    <xf numFmtId="185" fontId="0" fillId="0" borderId="121" xfId="322" applyNumberFormat="1" applyFont="1" applyFill="1" applyBorder="1" applyAlignment="1">
      <alignment horizontal="center"/>
    </xf>
    <xf numFmtId="0" fontId="94" fillId="79" borderId="115" xfId="0" applyFont="1" applyFill="1" applyBorder="1"/>
    <xf numFmtId="183" fontId="94" fillId="79" borderId="0" xfId="0" applyNumberFormat="1" applyFont="1" applyFill="1" applyAlignment="1">
      <alignment horizontal="center"/>
    </xf>
    <xf numFmtId="185" fontId="94" fillId="79" borderId="119" xfId="322" applyNumberFormat="1" applyFont="1" applyFill="1" applyBorder="1" applyAlignment="1">
      <alignment horizontal="center"/>
    </xf>
    <xf numFmtId="4" fontId="94" fillId="79" borderId="0" xfId="0" applyNumberFormat="1" applyFont="1" applyFill="1" applyAlignment="1">
      <alignment horizontal="center"/>
    </xf>
    <xf numFmtId="0" fontId="264" fillId="78" borderId="99" xfId="0" applyFont="1" applyFill="1" applyBorder="1" applyAlignment="1">
      <alignment horizontal="centerContinuous"/>
    </xf>
    <xf numFmtId="0" fontId="214" fillId="78" borderId="99" xfId="0" applyFont="1" applyFill="1" applyBorder="1" applyAlignment="1">
      <alignment horizontal="centerContinuous"/>
    </xf>
    <xf numFmtId="0" fontId="264" fillId="90" borderId="99" xfId="0" applyFont="1" applyFill="1" applyBorder="1" applyAlignment="1">
      <alignment horizontal="centerContinuous"/>
    </xf>
    <xf numFmtId="0" fontId="214" fillId="90" borderId="99" xfId="0" applyFont="1" applyFill="1" applyBorder="1" applyAlignment="1">
      <alignment horizontal="centerContinuous"/>
    </xf>
    <xf numFmtId="0" fontId="106" fillId="0" borderId="115" xfId="0" applyFont="1" applyBorder="1" applyAlignment="1">
      <alignment horizontal="right" vertical="center"/>
    </xf>
    <xf numFmtId="182" fontId="112" fillId="0" borderId="119" xfId="0" applyNumberFormat="1" applyFont="1" applyBorder="1" applyAlignment="1">
      <alignment horizontal="center"/>
    </xf>
    <xf numFmtId="0" fontId="227" fillId="92" borderId="0" xfId="0" applyFont="1" applyFill="1"/>
    <xf numFmtId="0" fontId="227" fillId="92" borderId="0" xfId="0" applyFont="1" applyFill="1" applyAlignment="1">
      <alignment horizontal="center"/>
    </xf>
    <xf numFmtId="183" fontId="227" fillId="92" borderId="0" xfId="0" applyNumberFormat="1" applyFont="1" applyFill="1" applyAlignment="1">
      <alignment horizontal="center"/>
    </xf>
    <xf numFmtId="4" fontId="227" fillId="92" borderId="0" xfId="0" applyNumberFormat="1" applyFont="1" applyFill="1" applyAlignment="1">
      <alignment horizontal="center"/>
    </xf>
    <xf numFmtId="0" fontId="94" fillId="87" borderId="115" xfId="0" applyFont="1" applyFill="1" applyBorder="1"/>
    <xf numFmtId="0" fontId="94" fillId="87" borderId="0" xfId="0" applyFont="1" applyFill="1" applyAlignment="1">
      <alignment horizontal="center"/>
    </xf>
    <xf numFmtId="182" fontId="94" fillId="87" borderId="0" xfId="0" applyNumberFormat="1" applyFont="1" applyFill="1" applyAlignment="1">
      <alignment horizontal="center"/>
    </xf>
    <xf numFmtId="185" fontId="94" fillId="87" borderId="119" xfId="322" applyNumberFormat="1" applyFont="1" applyFill="1" applyBorder="1" applyAlignment="1">
      <alignment horizontal="center"/>
    </xf>
    <xf numFmtId="4" fontId="94" fillId="87" borderId="0" xfId="0" applyNumberFormat="1" applyFont="1" applyFill="1" applyAlignment="1">
      <alignment horizontal="center"/>
    </xf>
    <xf numFmtId="0" fontId="94" fillId="0" borderId="115" xfId="0" applyFont="1" applyBorder="1" applyAlignment="1">
      <alignment horizontal="left" vertical="center"/>
    </xf>
    <xf numFmtId="3" fontId="0" fillId="0" borderId="113" xfId="0" applyNumberFormat="1" applyBorder="1"/>
    <xf numFmtId="208" fontId="0" fillId="0" borderId="113" xfId="0" applyNumberFormat="1" applyBorder="1" applyAlignment="1">
      <alignment horizontal="center"/>
    </xf>
    <xf numFmtId="4" fontId="0" fillId="0" borderId="113" xfId="0" applyNumberFormat="1" applyBorder="1" applyAlignment="1">
      <alignment horizontal="center"/>
    </xf>
    <xf numFmtId="0" fontId="94" fillId="37" borderId="115" xfId="0" applyFont="1" applyFill="1" applyBorder="1"/>
    <xf numFmtId="0" fontId="94" fillId="37" borderId="0" xfId="0" applyFont="1" applyFill="1" applyAlignment="1">
      <alignment horizontal="center"/>
    </xf>
    <xf numFmtId="182" fontId="94" fillId="37" borderId="0" xfId="0" applyNumberFormat="1" applyFont="1" applyFill="1" applyAlignment="1">
      <alignment horizontal="center"/>
    </xf>
    <xf numFmtId="185" fontId="94" fillId="37" borderId="119" xfId="322" applyNumberFormat="1" applyFont="1" applyFill="1" applyBorder="1" applyAlignment="1">
      <alignment horizontal="center"/>
    </xf>
    <xf numFmtId="0" fontId="0" fillId="37" borderId="115" xfId="0" applyFill="1" applyBorder="1"/>
    <xf numFmtId="185" fontId="0" fillId="37" borderId="119" xfId="322" applyNumberFormat="1" applyFont="1" applyFill="1" applyBorder="1" applyAlignment="1">
      <alignment horizontal="center"/>
    </xf>
    <xf numFmtId="4" fontId="94" fillId="37" borderId="0" xfId="0" applyNumberFormat="1" applyFont="1" applyFill="1" applyAlignment="1">
      <alignment horizontal="center"/>
    </xf>
    <xf numFmtId="0" fontId="251" fillId="37" borderId="115" xfId="0" applyFont="1" applyFill="1" applyBorder="1"/>
    <xf numFmtId="0" fontId="251" fillId="37" borderId="0" xfId="0" applyFont="1" applyFill="1" applyAlignment="1">
      <alignment horizontal="center"/>
    </xf>
    <xf numFmtId="3" fontId="251" fillId="37" borderId="0" xfId="0" applyNumberFormat="1" applyFont="1" applyFill="1" applyAlignment="1">
      <alignment horizontal="center"/>
    </xf>
    <xf numFmtId="185" fontId="251" fillId="37" borderId="119" xfId="322" applyNumberFormat="1" applyFont="1" applyFill="1" applyBorder="1" applyAlignment="1">
      <alignment horizontal="center"/>
    </xf>
    <xf numFmtId="176" fontId="0" fillId="37" borderId="0" xfId="0" applyNumberFormat="1" applyFill="1"/>
    <xf numFmtId="0" fontId="0" fillId="37" borderId="119" xfId="0" applyFill="1" applyBorder="1"/>
    <xf numFmtId="2" fontId="94" fillId="37" borderId="0" xfId="0" applyNumberFormat="1" applyFont="1" applyFill="1" applyAlignment="1">
      <alignment horizontal="center"/>
    </xf>
    <xf numFmtId="182" fontId="112" fillId="37" borderId="0" xfId="0" applyNumberFormat="1" applyFont="1" applyFill="1" applyAlignment="1">
      <alignment horizontal="center"/>
    </xf>
    <xf numFmtId="182" fontId="112" fillId="37" borderId="119" xfId="0" applyNumberFormat="1" applyFont="1" applyFill="1" applyBorder="1" applyAlignment="1">
      <alignment horizontal="center"/>
    </xf>
    <xf numFmtId="2" fontId="0" fillId="37" borderId="0" xfId="0" applyNumberFormat="1" applyFill="1" applyAlignment="1">
      <alignment horizontal="center"/>
    </xf>
    <xf numFmtId="0" fontId="94" fillId="93" borderId="115" xfId="0" applyFont="1" applyFill="1" applyBorder="1"/>
    <xf numFmtId="0" fontId="94" fillId="93" borderId="0" xfId="0" applyFont="1" applyFill="1" applyAlignment="1">
      <alignment horizontal="center"/>
    </xf>
    <xf numFmtId="182" fontId="94" fillId="93" borderId="0" xfId="0" applyNumberFormat="1" applyFont="1" applyFill="1" applyAlignment="1">
      <alignment horizontal="center"/>
    </xf>
    <xf numFmtId="182" fontId="94" fillId="94" borderId="0" xfId="0" applyNumberFormat="1" applyFont="1" applyFill="1" applyAlignment="1">
      <alignment horizontal="center"/>
    </xf>
    <xf numFmtId="185" fontId="94" fillId="94" borderId="119" xfId="322" applyNumberFormat="1" applyFont="1" applyFill="1" applyBorder="1" applyAlignment="1">
      <alignment horizontal="center"/>
    </xf>
    <xf numFmtId="4" fontId="94" fillId="93" borderId="0" xfId="0" applyNumberFormat="1" applyFont="1" applyFill="1" applyAlignment="1">
      <alignment horizontal="center"/>
    </xf>
    <xf numFmtId="4" fontId="94" fillId="94" borderId="0" xfId="0" applyNumberFormat="1" applyFont="1" applyFill="1" applyAlignment="1">
      <alignment horizontal="center"/>
    </xf>
    <xf numFmtId="166" fontId="0" fillId="37" borderId="98" xfId="31096" applyFont="1" applyFill="1" applyBorder="1"/>
    <xf numFmtId="0" fontId="69" fillId="26" borderId="0" xfId="0" applyFont="1" applyFill="1" applyAlignment="1">
      <alignment vertical="center"/>
    </xf>
    <xf numFmtId="4" fontId="69" fillId="0" borderId="0" xfId="0" applyNumberFormat="1" applyFont="1" applyAlignment="1">
      <alignment vertical="center"/>
    </xf>
    <xf numFmtId="1" fontId="69" fillId="0" borderId="0" xfId="0" applyNumberFormat="1" applyFont="1" applyAlignment="1">
      <alignment vertical="center"/>
    </xf>
    <xf numFmtId="195" fontId="69" fillId="26" borderId="0" xfId="0" applyNumberFormat="1" applyFont="1" applyFill="1" applyAlignment="1">
      <alignment vertical="center"/>
    </xf>
    <xf numFmtId="194" fontId="266" fillId="26" borderId="0" xfId="0" applyNumberFormat="1" applyFont="1" applyFill="1" applyAlignment="1">
      <alignment vertical="center"/>
    </xf>
    <xf numFmtId="3" fontId="69" fillId="0" borderId="0" xfId="0" applyNumberFormat="1" applyFont="1" applyAlignment="1">
      <alignment vertical="center"/>
    </xf>
    <xf numFmtId="0" fontId="265" fillId="26" borderId="0" xfId="0" applyFont="1" applyFill="1" applyAlignment="1">
      <alignment vertical="center"/>
    </xf>
    <xf numFmtId="0" fontId="69" fillId="37" borderId="0" xfId="0" applyFont="1" applyFill="1"/>
    <xf numFmtId="2" fontId="69" fillId="0" borderId="0" xfId="0" applyNumberFormat="1" applyFont="1" applyAlignment="1">
      <alignment vertical="center"/>
    </xf>
    <xf numFmtId="0" fontId="265" fillId="26" borderId="103" xfId="0" applyFont="1" applyFill="1" applyBorder="1" applyAlignment="1">
      <alignment horizontal="center" vertical="center"/>
    </xf>
    <xf numFmtId="0" fontId="265" fillId="26" borderId="104" xfId="0" applyFont="1" applyFill="1" applyBorder="1" applyAlignment="1">
      <alignment horizontal="center" vertical="center"/>
    </xf>
    <xf numFmtId="4" fontId="265" fillId="0" borderId="104" xfId="0" applyNumberFormat="1" applyFont="1" applyBorder="1" applyAlignment="1">
      <alignment vertical="center"/>
    </xf>
    <xf numFmtId="4" fontId="265" fillId="0" borderId="105" xfId="0" applyNumberFormat="1" applyFont="1" applyBorder="1" applyAlignment="1">
      <alignment vertical="center"/>
    </xf>
    <xf numFmtId="0" fontId="69" fillId="26" borderId="106" xfId="0" applyFont="1" applyFill="1" applyBorder="1" applyAlignment="1">
      <alignment horizontal="center" vertical="center"/>
    </xf>
    <xf numFmtId="4" fontId="69" fillId="0" borderId="107" xfId="0" applyNumberFormat="1" applyFont="1" applyBorder="1" applyAlignment="1">
      <alignment vertical="center"/>
    </xf>
    <xf numFmtId="0" fontId="69" fillId="26" borderId="106" xfId="0" applyFont="1" applyFill="1" applyBorder="1" applyAlignment="1">
      <alignment vertical="center"/>
    </xf>
    <xf numFmtId="16" fontId="69" fillId="0" borderId="117" xfId="0" applyNumberFormat="1" applyFont="1" applyBorder="1" applyAlignment="1">
      <alignment horizontal="center" vertical="center"/>
    </xf>
    <xf numFmtId="3" fontId="69" fillId="0" borderId="117" xfId="0" applyNumberFormat="1" applyFont="1" applyBorder="1" applyAlignment="1">
      <alignment horizontal="center" vertical="center"/>
    </xf>
    <xf numFmtId="182" fontId="69" fillId="0" borderId="117" xfId="0" applyNumberFormat="1" applyFont="1" applyBorder="1" applyAlignment="1">
      <alignment horizontal="center" vertical="center"/>
    </xf>
    <xf numFmtId="3" fontId="107" fillId="0" borderId="117" xfId="0" quotePrefix="1" applyNumberFormat="1" applyFont="1" applyBorder="1" applyAlignment="1">
      <alignment horizontal="center" vertical="center" wrapText="1"/>
    </xf>
    <xf numFmtId="16" fontId="69" fillId="37" borderId="117" xfId="0" applyNumberFormat="1" applyFont="1" applyFill="1" applyBorder="1" applyAlignment="1">
      <alignment horizontal="center" vertical="center"/>
    </xf>
    <xf numFmtId="3" fontId="69" fillId="37" borderId="117" xfId="0" applyNumberFormat="1" applyFont="1" applyFill="1" applyBorder="1" applyAlignment="1">
      <alignment horizontal="center" vertical="center"/>
    </xf>
    <xf numFmtId="182" fontId="69" fillId="37" borderId="117" xfId="0" applyNumberFormat="1" applyFont="1" applyFill="1" applyBorder="1" applyAlignment="1">
      <alignment horizontal="center" vertical="center"/>
    </xf>
    <xf numFmtId="3" fontId="107" fillId="37" borderId="117" xfId="0" quotePrefix="1" applyNumberFormat="1" applyFont="1" applyFill="1" applyBorder="1" applyAlignment="1">
      <alignment horizontal="center" vertical="center" wrapText="1"/>
    </xf>
    <xf numFmtId="3" fontId="107" fillId="37" borderId="117" xfId="0" applyNumberFormat="1" applyFont="1" applyFill="1" applyBorder="1" applyAlignment="1">
      <alignment horizontal="center" vertical="center" wrapText="1"/>
    </xf>
    <xf numFmtId="3" fontId="107" fillId="0" borderId="98" xfId="0" applyNumberFormat="1" applyFont="1" applyBorder="1" applyAlignment="1">
      <alignment horizontal="center" vertical="center"/>
    </xf>
    <xf numFmtId="182" fontId="107" fillId="0" borderId="98" xfId="0" applyNumberFormat="1" applyFont="1" applyBorder="1" applyAlignment="1">
      <alignment horizontal="center" vertical="center"/>
    </xf>
    <xf numFmtId="0" fontId="192" fillId="72" borderId="116" xfId="0" applyFont="1" applyFill="1" applyBorder="1"/>
    <xf numFmtId="0" fontId="192" fillId="72" borderId="116" xfId="0" applyFont="1" applyFill="1" applyBorder="1" applyAlignment="1">
      <alignment horizontal="center"/>
    </xf>
    <xf numFmtId="0" fontId="192" fillId="72" borderId="117" xfId="0" applyFont="1" applyFill="1" applyBorder="1"/>
    <xf numFmtId="0" fontId="192" fillId="72" borderId="117" xfId="0" applyFont="1" applyFill="1" applyBorder="1" applyAlignment="1">
      <alignment horizontal="center"/>
    </xf>
    <xf numFmtId="14" fontId="0" fillId="37" borderId="116" xfId="0" applyNumberFormat="1" applyFill="1" applyBorder="1"/>
    <xf numFmtId="3" fontId="0" fillId="37" borderId="116" xfId="0" applyNumberFormat="1" applyFill="1" applyBorder="1"/>
    <xf numFmtId="1" fontId="0" fillId="37" borderId="116" xfId="0" applyNumberFormat="1" applyFill="1" applyBorder="1" applyAlignment="1">
      <alignment horizontal="center"/>
    </xf>
    <xf numFmtId="0" fontId="113" fillId="37" borderId="116" xfId="0" applyFont="1" applyFill="1" applyBorder="1"/>
    <xf numFmtId="14" fontId="0" fillId="37" borderId="117" xfId="0" applyNumberFormat="1" applyFill="1" applyBorder="1"/>
    <xf numFmtId="3" fontId="0" fillId="37" borderId="117" xfId="0" applyNumberFormat="1" applyFill="1" applyBorder="1"/>
    <xf numFmtId="1" fontId="0" fillId="37" borderId="117" xfId="0" applyNumberFormat="1" applyFill="1" applyBorder="1" applyAlignment="1">
      <alignment horizontal="center"/>
    </xf>
    <xf numFmtId="0" fontId="113" fillId="37" borderId="117" xfId="0" applyFont="1" applyFill="1" applyBorder="1"/>
    <xf numFmtId="0" fontId="113" fillId="37" borderId="111" xfId="0" applyFont="1" applyFill="1" applyBorder="1"/>
    <xf numFmtId="0" fontId="0" fillId="37" borderId="98" xfId="0" applyFill="1" applyBorder="1" applyAlignment="1">
      <alignment horizontal="center"/>
    </xf>
    <xf numFmtId="3" fontId="0" fillId="37" borderId="98" xfId="0" applyNumberFormat="1" applyFill="1" applyBorder="1"/>
    <xf numFmtId="0" fontId="0" fillId="37" borderId="98" xfId="0" applyFill="1" applyBorder="1"/>
    <xf numFmtId="1" fontId="0" fillId="37" borderId="98" xfId="0" applyNumberFormat="1" applyFill="1" applyBorder="1" applyAlignment="1">
      <alignment horizontal="center"/>
    </xf>
    <xf numFmtId="1" fontId="0" fillId="79" borderId="117" xfId="0" applyNumberFormat="1" applyFill="1" applyBorder="1" applyAlignment="1">
      <alignment horizontal="center"/>
    </xf>
    <xf numFmtId="0" fontId="192" fillId="92" borderId="0" xfId="0" applyFont="1" applyFill="1"/>
    <xf numFmtId="1" fontId="192" fillId="92" borderId="111" xfId="0" applyNumberFormat="1" applyFont="1" applyFill="1" applyBorder="1" applyAlignment="1">
      <alignment horizontal="center"/>
    </xf>
    <xf numFmtId="4" fontId="106" fillId="0" borderId="0" xfId="234" applyNumberFormat="1" applyFont="1"/>
    <xf numFmtId="0" fontId="94" fillId="27" borderId="0" xfId="0" applyFont="1" applyFill="1" applyAlignment="1">
      <alignment horizontal="center"/>
    </xf>
    <xf numFmtId="4" fontId="94" fillId="27" borderId="0" xfId="234" applyNumberFormat="1" applyFont="1" applyFill="1" applyAlignment="1">
      <alignment horizontal="center"/>
    </xf>
    <xf numFmtId="178" fontId="0" fillId="26" borderId="0" xfId="234" applyNumberFormat="1" applyFont="1" applyFill="1"/>
    <xf numFmtId="182" fontId="0" fillId="37" borderId="0" xfId="234" applyNumberFormat="1" applyFont="1" applyFill="1"/>
    <xf numFmtId="182" fontId="0" fillId="0" borderId="0" xfId="234" applyNumberFormat="1" applyFont="1" applyFill="1"/>
    <xf numFmtId="182" fontId="0" fillId="0" borderId="0" xfId="234" applyNumberFormat="1" applyFont="1"/>
    <xf numFmtId="178" fontId="94" fillId="26" borderId="0" xfId="234" applyNumberFormat="1" applyFont="1" applyFill="1" applyAlignment="1">
      <alignment horizontal="center"/>
    </xf>
    <xf numFmtId="179" fontId="94" fillId="26" borderId="0" xfId="234" applyNumberFormat="1" applyFont="1" applyFill="1" applyAlignment="1">
      <alignment horizontal="center"/>
    </xf>
    <xf numFmtId="2" fontId="111" fillId="0" borderId="0" xfId="0" applyNumberFormat="1" applyFont="1"/>
    <xf numFmtId="179" fontId="111" fillId="0" borderId="0" xfId="0" applyNumberFormat="1" applyFont="1"/>
    <xf numFmtId="192" fontId="0" fillId="0" borderId="0" xfId="234" applyNumberFormat="1" applyFont="1" applyFill="1" applyBorder="1"/>
    <xf numFmtId="177" fontId="192" fillId="92" borderId="0" xfId="234" applyNumberFormat="1" applyFont="1" applyFill="1"/>
    <xf numFmtId="0" fontId="192" fillId="92" borderId="0" xfId="0" applyFont="1" applyFill="1" applyAlignment="1">
      <alignment horizontal="right"/>
    </xf>
    <xf numFmtId="178" fontId="192" fillId="92" borderId="0" xfId="234" applyNumberFormat="1" applyFont="1" applyFill="1"/>
    <xf numFmtId="1" fontId="227" fillId="78" borderId="98" xfId="0" applyNumberFormat="1" applyFont="1" applyFill="1" applyBorder="1" applyAlignment="1">
      <alignment horizontal="center"/>
    </xf>
    <xf numFmtId="192" fontId="227" fillId="78" borderId="98" xfId="234" applyNumberFormat="1" applyFont="1" applyFill="1" applyBorder="1" applyAlignment="1">
      <alignment horizontal="center"/>
    </xf>
    <xf numFmtId="0" fontId="192" fillId="91" borderId="0" xfId="0" applyFont="1" applyFill="1"/>
    <xf numFmtId="0" fontId="94" fillId="0" borderId="98" xfId="0" applyFont="1" applyBorder="1" applyAlignment="1">
      <alignment horizontal="center"/>
    </xf>
    <xf numFmtId="0" fontId="94" fillId="24" borderId="98" xfId="0" applyFont="1" applyFill="1" applyBorder="1" applyAlignment="1">
      <alignment horizontal="center"/>
    </xf>
    <xf numFmtId="16" fontId="0" fillId="37" borderId="98" xfId="0" applyNumberFormat="1" applyFill="1" applyBorder="1" applyAlignment="1">
      <alignment horizontal="center"/>
    </xf>
    <xf numFmtId="176" fontId="0" fillId="37" borderId="98" xfId="0" applyNumberFormat="1" applyFill="1" applyBorder="1" applyAlignment="1">
      <alignment horizontal="center"/>
    </xf>
    <xf numFmtId="176" fontId="0" fillId="0" borderId="98" xfId="0" applyNumberFormat="1" applyBorder="1" applyAlignment="1">
      <alignment horizontal="center"/>
    </xf>
    <xf numFmtId="16" fontId="0" fillId="0" borderId="98" xfId="0" applyNumberFormat="1" applyBorder="1" applyAlignment="1">
      <alignment horizontal="center"/>
    </xf>
    <xf numFmtId="1" fontId="0" fillId="0" borderId="98" xfId="0" applyNumberFormat="1" applyBorder="1" applyAlignment="1">
      <alignment horizontal="center"/>
    </xf>
    <xf numFmtId="0" fontId="192" fillId="92" borderId="0" xfId="0" applyFont="1" applyFill="1" applyAlignment="1">
      <alignment horizontal="center"/>
    </xf>
    <xf numFmtId="0" fontId="192" fillId="91" borderId="0" xfId="0" applyFont="1" applyFill="1" applyAlignment="1">
      <alignment horizontal="centerContinuous"/>
    </xf>
    <xf numFmtId="1" fontId="0" fillId="37" borderId="101" xfId="0" applyNumberFormat="1" applyFill="1" applyBorder="1" applyAlignment="1">
      <alignment horizontal="center"/>
    </xf>
    <xf numFmtId="1" fontId="0" fillId="37" borderId="101" xfId="0" applyNumberFormat="1" applyFill="1" applyBorder="1" applyAlignment="1">
      <alignment horizontal="centerContinuous"/>
    </xf>
    <xf numFmtId="1" fontId="192" fillId="96" borderId="101" xfId="0" applyNumberFormat="1" applyFont="1" applyFill="1" applyBorder="1" applyAlignment="1">
      <alignment horizontal="center"/>
    </xf>
    <xf numFmtId="176" fontId="0" fillId="37" borderId="101" xfId="0" applyNumberFormat="1" applyFill="1" applyBorder="1" applyAlignment="1">
      <alignment horizontal="center"/>
    </xf>
    <xf numFmtId="1" fontId="0" fillId="37" borderId="98" xfId="0" applyNumberFormat="1" applyFill="1" applyBorder="1" applyAlignment="1">
      <alignment horizontal="centerContinuous"/>
    </xf>
    <xf numFmtId="3" fontId="0" fillId="0" borderId="98" xfId="31096" applyNumberFormat="1" applyFont="1" applyFill="1" applyBorder="1" applyAlignment="1">
      <alignment horizontal="center"/>
    </xf>
    <xf numFmtId="1" fontId="227" fillId="78" borderId="116" xfId="0" applyNumberFormat="1" applyFont="1" applyFill="1" applyBorder="1" applyAlignment="1">
      <alignment horizontal="center"/>
    </xf>
    <xf numFmtId="0" fontId="94" fillId="24" borderId="116" xfId="0" applyFont="1" applyFill="1" applyBorder="1" applyAlignment="1">
      <alignment horizontal="center"/>
    </xf>
    <xf numFmtId="0" fontId="192" fillId="92" borderId="100" xfId="0" applyFont="1" applyFill="1" applyBorder="1" applyAlignment="1">
      <alignment horizontal="center"/>
    </xf>
    <xf numFmtId="0" fontId="93" fillId="96" borderId="0" xfId="0" applyFont="1" applyFill="1"/>
    <xf numFmtId="0" fontId="96" fillId="96" borderId="0" xfId="0" applyFont="1" applyFill="1"/>
    <xf numFmtId="177" fontId="96" fillId="96" borderId="0" xfId="234" applyNumberFormat="1" applyFont="1" applyFill="1"/>
    <xf numFmtId="0" fontId="96" fillId="96" borderId="0" xfId="0" applyFont="1" applyFill="1" applyAlignment="1">
      <alignment horizontal="right"/>
    </xf>
    <xf numFmtId="178" fontId="96" fillId="96" borderId="0" xfId="234" applyNumberFormat="1" applyFont="1" applyFill="1"/>
    <xf numFmtId="1" fontId="227" fillId="78" borderId="116" xfId="0" applyNumberFormat="1" applyFont="1" applyFill="1" applyBorder="1" applyAlignment="1">
      <alignment horizontal="centerContinuous" vertical="center"/>
    </xf>
    <xf numFmtId="1" fontId="227" fillId="88" borderId="116" xfId="0" applyNumberFormat="1" applyFont="1" applyFill="1" applyBorder="1" applyAlignment="1">
      <alignment horizontal="centerContinuous" vertical="center"/>
    </xf>
    <xf numFmtId="1" fontId="227" fillId="88" borderId="98" xfId="0" applyNumberFormat="1" applyFont="1" applyFill="1" applyBorder="1" applyAlignment="1">
      <alignment horizontal="center"/>
    </xf>
    <xf numFmtId="1" fontId="94" fillId="80" borderId="98" xfId="0" applyNumberFormat="1" applyFont="1" applyFill="1" applyBorder="1" applyAlignment="1">
      <alignment horizontal="center"/>
    </xf>
    <xf numFmtId="0" fontId="94" fillId="79" borderId="116" xfId="0" applyFont="1" applyFill="1" applyBorder="1" applyAlignment="1">
      <alignment horizontal="center"/>
    </xf>
    <xf numFmtId="0" fontId="0" fillId="0" borderId="98" xfId="0" applyBorder="1" applyAlignment="1">
      <alignment horizontal="center"/>
    </xf>
    <xf numFmtId="3" fontId="111" fillId="0" borderId="98" xfId="0" applyNumberFormat="1" applyFont="1" applyBorder="1" applyAlignment="1">
      <alignment horizontal="center"/>
    </xf>
    <xf numFmtId="4" fontId="111" fillId="0" borderId="98" xfId="0" applyNumberFormat="1" applyFont="1" applyBorder="1" applyAlignment="1">
      <alignment horizontal="center"/>
    </xf>
    <xf numFmtId="2" fontId="111" fillId="0" borderId="98" xfId="0" applyNumberFormat="1" applyFont="1" applyBorder="1"/>
    <xf numFmtId="1" fontId="192" fillId="72" borderId="98" xfId="0" applyNumberFormat="1" applyFont="1" applyFill="1" applyBorder="1" applyAlignment="1">
      <alignment horizontal="center"/>
    </xf>
    <xf numFmtId="0" fontId="249" fillId="0" borderId="0" xfId="304" applyFont="1"/>
    <xf numFmtId="0" fontId="267" fillId="91" borderId="0" xfId="304" applyFont="1" applyFill="1" applyAlignment="1">
      <alignment horizontal="center"/>
    </xf>
    <xf numFmtId="0" fontId="267" fillId="0" borderId="0" xfId="304" applyFont="1" applyAlignment="1">
      <alignment horizontal="center"/>
    </xf>
    <xf numFmtId="0" fontId="112" fillId="0" borderId="0" xfId="304" applyFont="1"/>
    <xf numFmtId="198" fontId="112" fillId="0" borderId="0" xfId="304" applyNumberFormat="1" applyFont="1"/>
    <xf numFmtId="199" fontId="249" fillId="0" borderId="98" xfId="304" applyNumberFormat="1" applyFont="1" applyBorder="1"/>
    <xf numFmtId="1" fontId="47" fillId="37" borderId="98" xfId="0" applyNumberFormat="1" applyFont="1" applyFill="1" applyBorder="1" applyAlignment="1">
      <alignment horizontal="center"/>
    </xf>
    <xf numFmtId="187" fontId="249" fillId="0" borderId="0" xfId="231" applyNumberFormat="1" applyFont="1" applyFill="1"/>
    <xf numFmtId="0" fontId="111" fillId="0" borderId="0" xfId="304" applyFont="1" applyAlignment="1">
      <alignment horizontal="right"/>
    </xf>
    <xf numFmtId="1" fontId="249" fillId="0" borderId="0" xfId="304" applyNumberFormat="1" applyFont="1"/>
    <xf numFmtId="0" fontId="249" fillId="0" borderId="0" xfId="304" applyFont="1" applyAlignment="1">
      <alignment horizontal="right"/>
    </xf>
    <xf numFmtId="0" fontId="249" fillId="32" borderId="0" xfId="304" applyFont="1" applyFill="1"/>
    <xf numFmtId="0" fontId="267" fillId="30" borderId="0" xfId="304" applyFont="1" applyFill="1" applyAlignment="1">
      <alignment horizontal="center"/>
    </xf>
    <xf numFmtId="14" fontId="0" fillId="37" borderId="0" xfId="0" applyNumberFormat="1" applyFill="1"/>
    <xf numFmtId="1" fontId="192" fillId="72" borderId="116" xfId="0" applyNumberFormat="1" applyFont="1" applyFill="1" applyBorder="1" applyAlignment="1">
      <alignment horizontal="center"/>
    </xf>
    <xf numFmtId="14" fontId="0" fillId="37" borderId="98" xfId="0" applyNumberFormat="1" applyFill="1" applyBorder="1"/>
    <xf numFmtId="3" fontId="0" fillId="37" borderId="98" xfId="0" applyNumberFormat="1" applyFill="1" applyBorder="1" applyAlignment="1">
      <alignment horizontal="center"/>
    </xf>
    <xf numFmtId="4" fontId="0" fillId="37" borderId="98" xfId="0" applyNumberFormat="1" applyFill="1" applyBorder="1" applyAlignment="1">
      <alignment horizontal="center"/>
    </xf>
    <xf numFmtId="194" fontId="100" fillId="0" borderId="0" xfId="0" applyNumberFormat="1" applyFont="1" applyAlignment="1">
      <alignment vertical="center"/>
    </xf>
    <xf numFmtId="0" fontId="214" fillId="72" borderId="118" xfId="0" applyFont="1" applyFill="1" applyBorder="1" applyAlignment="1">
      <alignment horizontal="center"/>
    </xf>
    <xf numFmtId="0" fontId="214" fillId="78" borderId="118" xfId="0" applyFont="1" applyFill="1" applyBorder="1" applyAlignment="1">
      <alignment horizontal="center"/>
    </xf>
    <xf numFmtId="0" fontId="214" fillId="90" borderId="118" xfId="0" applyFont="1" applyFill="1" applyBorder="1" applyAlignment="1">
      <alignment horizontal="center"/>
    </xf>
    <xf numFmtId="186" fontId="0" fillId="0" borderId="0" xfId="229" applyNumberFormat="1" applyFont="1" applyFill="1" applyBorder="1" applyAlignment="1" applyProtection="1">
      <alignment horizontal="center"/>
      <protection locked="0"/>
    </xf>
    <xf numFmtId="169" fontId="0" fillId="0" borderId="0" xfId="229" applyNumberFormat="1" applyFont="1" applyFill="1" applyBorder="1" applyAlignment="1" applyProtection="1">
      <alignment horizontal="center"/>
      <protection locked="0"/>
    </xf>
    <xf numFmtId="223" fontId="0" fillId="0" borderId="0" xfId="229" applyNumberFormat="1" applyFont="1" applyFill="1" applyBorder="1" applyAlignment="1" applyProtection="1">
      <alignment horizontal="center"/>
      <protection locked="0"/>
    </xf>
    <xf numFmtId="4" fontId="94" fillId="0" borderId="0" xfId="0" applyNumberFormat="1" applyFont="1"/>
    <xf numFmtId="183" fontId="94" fillId="0" borderId="0" xfId="0" applyNumberFormat="1" applyFont="1"/>
    <xf numFmtId="0" fontId="94" fillId="38" borderId="0" xfId="0" applyFont="1" applyFill="1" applyAlignment="1">
      <alignment horizontal="center"/>
    </xf>
    <xf numFmtId="0" fontId="94" fillId="38" borderId="0" xfId="0" applyFont="1" applyFill="1"/>
    <xf numFmtId="0" fontId="100" fillId="79" borderId="11" xfId="0" applyFont="1" applyFill="1" applyBorder="1" applyAlignment="1">
      <alignment horizontal="center" vertical="center"/>
    </xf>
    <xf numFmtId="0" fontId="100" fillId="77" borderId="0" xfId="0" applyFont="1" applyFill="1" applyAlignment="1">
      <alignment horizontal="center" vertical="center"/>
    </xf>
    <xf numFmtId="0" fontId="100" fillId="77" borderId="11" xfId="0" applyFont="1" applyFill="1" applyBorder="1" applyAlignment="1">
      <alignment horizontal="center" vertical="center"/>
    </xf>
    <xf numFmtId="0" fontId="100" fillId="77" borderId="13" xfId="0" applyFont="1" applyFill="1" applyBorder="1" applyAlignment="1">
      <alignment horizontal="center" vertical="center"/>
    </xf>
    <xf numFmtId="0" fontId="100" fillId="77" borderId="14" xfId="0" applyFont="1" applyFill="1" applyBorder="1" applyAlignment="1">
      <alignment horizontal="center" vertical="center"/>
    </xf>
    <xf numFmtId="10" fontId="100" fillId="0" borderId="0" xfId="0" applyNumberFormat="1" applyFont="1" applyAlignment="1">
      <alignment vertical="center"/>
    </xf>
    <xf numFmtId="0" fontId="51" fillId="95" borderId="117" xfId="0" applyFont="1" applyFill="1" applyBorder="1"/>
    <xf numFmtId="0" fontId="51" fillId="95" borderId="117" xfId="0" applyFont="1" applyFill="1" applyBorder="1" applyAlignment="1">
      <alignment horizontal="center"/>
    </xf>
    <xf numFmtId="179" fontId="51" fillId="95" borderId="117" xfId="0" applyNumberFormat="1" applyFont="1" applyFill="1" applyBorder="1" applyAlignment="1">
      <alignment horizontal="center" vertical="center"/>
    </xf>
    <xf numFmtId="183" fontId="51" fillId="95" borderId="117" xfId="0" applyNumberFormat="1" applyFont="1" applyFill="1" applyBorder="1" applyAlignment="1">
      <alignment horizontal="center" vertical="center"/>
    </xf>
    <xf numFmtId="185" fontId="51" fillId="95" borderId="117" xfId="322" applyNumberFormat="1" applyFont="1" applyFill="1" applyBorder="1" applyAlignment="1">
      <alignment horizontal="center" vertical="center"/>
    </xf>
    <xf numFmtId="185" fontId="51" fillId="95" borderId="117" xfId="0" applyNumberFormat="1" applyFont="1" applyFill="1" applyBorder="1" applyAlignment="1">
      <alignment horizontal="center" vertical="center"/>
    </xf>
    <xf numFmtId="2" fontId="100" fillId="0" borderId="22" xfId="0" applyNumberFormat="1" applyFont="1" applyBorder="1" applyAlignment="1">
      <alignment vertical="center"/>
    </xf>
    <xf numFmtId="189" fontId="0" fillId="0" borderId="0" xfId="234" applyNumberFormat="1" applyFont="1" applyFill="1" applyAlignment="1">
      <alignment horizontal="left"/>
    </xf>
    <xf numFmtId="1" fontId="94" fillId="37" borderId="98" xfId="0" applyNumberFormat="1" applyFont="1" applyFill="1" applyBorder="1" applyAlignment="1">
      <alignment horizontal="center"/>
    </xf>
    <xf numFmtId="0" fontId="94" fillId="0" borderId="98" xfId="0" applyFont="1" applyBorder="1" applyAlignment="1">
      <alignment horizontal="center" vertical="center"/>
    </xf>
    <xf numFmtId="185" fontId="94" fillId="37" borderId="98" xfId="1301" applyNumberFormat="1" applyFont="1" applyFill="1" applyBorder="1" applyAlignment="1">
      <alignment horizontal="center" vertical="center"/>
    </xf>
    <xf numFmtId="1" fontId="0" fillId="37" borderId="98" xfId="0" applyNumberFormat="1" applyFill="1" applyBorder="1" applyAlignment="1">
      <alignment horizontal="center" vertical="center"/>
    </xf>
    <xf numFmtId="1" fontId="94" fillId="37" borderId="98" xfId="0" applyNumberFormat="1" applyFont="1" applyFill="1" applyBorder="1" applyAlignment="1">
      <alignment horizontal="center" vertical="center"/>
    </xf>
    <xf numFmtId="3" fontId="0" fillId="37" borderId="98" xfId="0" applyNumberFormat="1" applyFill="1" applyBorder="1" applyAlignment="1">
      <alignment horizontal="center" vertical="center"/>
    </xf>
    <xf numFmtId="1" fontId="0" fillId="97" borderId="101" xfId="0" applyNumberFormat="1" applyFill="1" applyBorder="1" applyAlignment="1">
      <alignment horizontal="center"/>
    </xf>
    <xf numFmtId="16" fontId="0" fillId="37" borderId="117" xfId="0" applyNumberFormat="1" applyFill="1" applyBorder="1" applyAlignment="1">
      <alignment horizontal="center" vertical="center"/>
    </xf>
    <xf numFmtId="1" fontId="0" fillId="37" borderId="117" xfId="0" applyNumberFormat="1" applyFill="1" applyBorder="1" applyAlignment="1">
      <alignment horizontal="center" vertical="center"/>
    </xf>
    <xf numFmtId="1" fontId="0" fillId="37" borderId="126" xfId="0" applyNumberFormat="1" applyFill="1" applyBorder="1" applyAlignment="1">
      <alignment horizontal="center" vertical="center"/>
    </xf>
    <xf numFmtId="0" fontId="94" fillId="37" borderId="0" xfId="0" applyFont="1" applyFill="1"/>
    <xf numFmtId="0" fontId="111" fillId="37" borderId="11" xfId="303" applyFont="1" applyFill="1" applyBorder="1"/>
    <xf numFmtId="0" fontId="111" fillId="37" borderId="11" xfId="303" applyFont="1" applyFill="1" applyBorder="1" applyAlignment="1">
      <alignment horizontal="left"/>
    </xf>
    <xf numFmtId="0" fontId="116" fillId="37" borderId="0" xfId="0" applyFont="1" applyFill="1"/>
    <xf numFmtId="0" fontId="93" fillId="37" borderId="0" xfId="0" applyFont="1" applyFill="1"/>
    <xf numFmtId="2" fontId="94" fillId="37" borderId="11" xfId="0" applyNumberFormat="1" applyFont="1" applyFill="1" applyBorder="1" applyAlignment="1">
      <alignment horizontal="center"/>
    </xf>
    <xf numFmtId="0" fontId="94" fillId="37" borderId="11" xfId="0" applyFont="1" applyFill="1" applyBorder="1" applyAlignment="1">
      <alignment horizontal="center"/>
    </xf>
    <xf numFmtId="179" fontId="94" fillId="37" borderId="11" xfId="0" applyNumberFormat="1" applyFont="1" applyFill="1" applyBorder="1" applyAlignment="1">
      <alignment horizontal="center"/>
    </xf>
    <xf numFmtId="2" fontId="106" fillId="37" borderId="11" xfId="0" applyNumberFormat="1" applyFont="1" applyFill="1" applyBorder="1" applyAlignment="1">
      <alignment horizontal="center"/>
    </xf>
    <xf numFmtId="0" fontId="94" fillId="37" borderId="11" xfId="0" applyFont="1" applyFill="1" applyBorder="1"/>
    <xf numFmtId="0" fontId="113" fillId="37" borderId="0" xfId="0" applyFont="1" applyFill="1"/>
    <xf numFmtId="176" fontId="193" fillId="37" borderId="11" xfId="0" applyNumberFormat="1" applyFont="1" applyFill="1" applyBorder="1" applyAlignment="1">
      <alignment horizontal="center"/>
    </xf>
    <xf numFmtId="2" fontId="193" fillId="37" borderId="11" xfId="0" applyNumberFormat="1" applyFont="1" applyFill="1" applyBorder="1" applyAlignment="1">
      <alignment horizontal="center"/>
    </xf>
    <xf numFmtId="179" fontId="193" fillId="37" borderId="11" xfId="0" applyNumberFormat="1" applyFont="1" applyFill="1" applyBorder="1" applyAlignment="1">
      <alignment horizontal="center"/>
    </xf>
    <xf numFmtId="222" fontId="94" fillId="37" borderId="11" xfId="0" applyNumberFormat="1" applyFont="1" applyFill="1" applyBorder="1" applyAlignment="1">
      <alignment horizontal="center"/>
    </xf>
    <xf numFmtId="0" fontId="0" fillId="37" borderId="40" xfId="0" applyFill="1" applyBorder="1"/>
    <xf numFmtId="0" fontId="108" fillId="37" borderId="0" xfId="0" applyFont="1" applyFill="1" applyAlignment="1">
      <alignment horizontal="left" vertical="center"/>
    </xf>
    <xf numFmtId="0" fontId="113" fillId="37" borderId="0" xfId="0" applyFont="1" applyFill="1" applyAlignment="1">
      <alignment horizontal="center"/>
    </xf>
    <xf numFmtId="4" fontId="0" fillId="37" borderId="0" xfId="0" applyNumberFormat="1" applyFill="1"/>
    <xf numFmtId="0" fontId="109" fillId="37" borderId="0" xfId="303" applyFont="1" applyFill="1" applyAlignment="1">
      <alignment horizontal="center" vertical="center"/>
    </xf>
    <xf numFmtId="17" fontId="109" fillId="37" borderId="0" xfId="303" applyNumberFormat="1" applyFont="1" applyFill="1" applyAlignment="1">
      <alignment horizontal="left" vertical="center"/>
    </xf>
    <xf numFmtId="15" fontId="107" fillId="37" borderId="0" xfId="303" applyNumberFormat="1" applyFont="1" applyFill="1" applyAlignment="1">
      <alignment horizontal="center"/>
    </xf>
    <xf numFmtId="17" fontId="108" fillId="37" borderId="0" xfId="0" applyNumberFormat="1" applyFont="1" applyFill="1" applyAlignment="1">
      <alignment horizontal="left" vertical="center"/>
    </xf>
    <xf numFmtId="0" fontId="268" fillId="37" borderId="11" xfId="303" applyFont="1" applyFill="1" applyBorder="1"/>
    <xf numFmtId="0" fontId="268" fillId="37" borderId="11" xfId="303" applyFont="1" applyFill="1" applyBorder="1" applyAlignment="1">
      <alignment horizontal="center"/>
    </xf>
    <xf numFmtId="0" fontId="269" fillId="37" borderId="14" xfId="303" applyFont="1" applyFill="1" applyBorder="1"/>
    <xf numFmtId="0" fontId="268" fillId="37" borderId="16" xfId="303" applyFont="1" applyFill="1" applyBorder="1" applyAlignment="1">
      <alignment horizontal="center"/>
    </xf>
    <xf numFmtId="0" fontId="269" fillId="37" borderId="11" xfId="303" applyFont="1" applyFill="1" applyBorder="1"/>
    <xf numFmtId="4" fontId="269" fillId="37" borderId="11" xfId="303" applyNumberFormat="1" applyFont="1" applyFill="1" applyBorder="1"/>
    <xf numFmtId="214" fontId="269" fillId="37" borderId="11" xfId="303" applyNumberFormat="1" applyFont="1" applyFill="1" applyBorder="1"/>
    <xf numFmtId="0" fontId="269" fillId="37" borderId="16" xfId="303" applyFont="1" applyFill="1" applyBorder="1"/>
    <xf numFmtId="199" fontId="0" fillId="37" borderId="0" xfId="0" applyNumberFormat="1" applyFill="1"/>
    <xf numFmtId="182" fontId="0" fillId="37" borderId="0" xfId="0" applyNumberFormat="1" applyFill="1"/>
    <xf numFmtId="182" fontId="113" fillId="37" borderId="0" xfId="0" applyNumberFormat="1" applyFont="1" applyFill="1" applyAlignment="1">
      <alignment horizontal="center"/>
    </xf>
    <xf numFmtId="185" fontId="113" fillId="37" borderId="0" xfId="322" applyNumberFormat="1" applyFont="1" applyFill="1" applyBorder="1" applyAlignment="1">
      <alignment horizontal="center"/>
    </xf>
    <xf numFmtId="3" fontId="269" fillId="37" borderId="11" xfId="303" applyNumberFormat="1" applyFont="1" applyFill="1" applyBorder="1"/>
    <xf numFmtId="0" fontId="0" fillId="37" borderId="11" xfId="0" applyFill="1" applyBorder="1"/>
    <xf numFmtId="0" fontId="269" fillId="37" borderId="0" xfId="303" applyFont="1" applyFill="1"/>
    <xf numFmtId="4" fontId="266" fillId="37" borderId="11" xfId="303" applyNumberFormat="1" applyFont="1" applyFill="1" applyBorder="1"/>
    <xf numFmtId="182" fontId="269" fillId="37" borderId="11" xfId="303" applyNumberFormat="1" applyFont="1" applyFill="1" applyBorder="1"/>
    <xf numFmtId="4" fontId="113" fillId="37" borderId="0" xfId="0" applyNumberFormat="1" applyFont="1" applyFill="1" applyAlignment="1">
      <alignment horizontal="center"/>
    </xf>
    <xf numFmtId="1" fontId="269" fillId="37" borderId="11" xfId="303" applyNumberFormat="1" applyFont="1" applyFill="1" applyBorder="1"/>
    <xf numFmtId="3" fontId="113" fillId="37" borderId="0" xfId="0" applyNumberFormat="1" applyFont="1" applyFill="1" applyAlignment="1">
      <alignment horizontal="center"/>
    </xf>
    <xf numFmtId="182" fontId="139" fillId="37" borderId="0" xfId="303" applyNumberFormat="1" applyFont="1" applyFill="1" applyAlignment="1">
      <alignment horizontal="center"/>
    </xf>
    <xf numFmtId="4" fontId="269" fillId="37" borderId="0" xfId="303" applyNumberFormat="1" applyFont="1" applyFill="1"/>
    <xf numFmtId="3" fontId="139" fillId="37" borderId="0" xfId="303" applyNumberFormat="1" applyFont="1" applyFill="1" applyAlignment="1">
      <alignment horizontal="center"/>
    </xf>
    <xf numFmtId="0" fontId="139" fillId="37" borderId="0" xfId="303" applyFont="1" applyFill="1"/>
    <xf numFmtId="0" fontId="139" fillId="37" borderId="0" xfId="303" applyFont="1" applyFill="1" applyAlignment="1">
      <alignment horizontal="center"/>
    </xf>
    <xf numFmtId="2" fontId="113" fillId="37" borderId="0" xfId="0" applyNumberFormat="1" applyFont="1" applyFill="1" applyAlignment="1">
      <alignment horizontal="center"/>
    </xf>
    <xf numFmtId="176" fontId="269" fillId="37" borderId="11" xfId="303" applyNumberFormat="1" applyFont="1" applyFill="1" applyBorder="1"/>
    <xf numFmtId="182" fontId="269" fillId="37" borderId="0" xfId="303" applyNumberFormat="1" applyFont="1" applyFill="1"/>
    <xf numFmtId="4" fontId="0" fillId="37" borderId="11" xfId="0" applyNumberFormat="1" applyFill="1" applyBorder="1"/>
    <xf numFmtId="197" fontId="0" fillId="37" borderId="0" xfId="0" applyNumberFormat="1" applyFill="1"/>
    <xf numFmtId="176" fontId="113" fillId="37" borderId="0" xfId="0" applyNumberFormat="1" applyFont="1" applyFill="1" applyAlignment="1">
      <alignment horizontal="center"/>
    </xf>
    <xf numFmtId="183" fontId="113" fillId="37" borderId="0" xfId="0" applyNumberFormat="1" applyFont="1" applyFill="1" applyAlignment="1">
      <alignment horizontal="center"/>
    </xf>
    <xf numFmtId="211" fontId="269" fillId="37" borderId="11" xfId="303" applyNumberFormat="1" applyFont="1" applyFill="1" applyBorder="1"/>
    <xf numFmtId="3" fontId="0" fillId="37" borderId="11" xfId="0" applyNumberFormat="1" applyFill="1" applyBorder="1"/>
    <xf numFmtId="210" fontId="0" fillId="37" borderId="11" xfId="0" applyNumberFormat="1" applyFill="1" applyBorder="1"/>
    <xf numFmtId="4" fontId="69" fillId="37" borderId="11" xfId="303" applyNumberFormat="1" applyFont="1" applyFill="1" applyBorder="1"/>
    <xf numFmtId="209" fontId="269" fillId="37" borderId="11" xfId="303" applyNumberFormat="1" applyFont="1" applyFill="1" applyBorder="1"/>
    <xf numFmtId="210" fontId="269" fillId="37" borderId="11" xfId="303" applyNumberFormat="1" applyFont="1" applyFill="1" applyBorder="1"/>
    <xf numFmtId="182" fontId="0" fillId="37" borderId="11" xfId="0" applyNumberFormat="1" applyFill="1" applyBorder="1"/>
    <xf numFmtId="4" fontId="269" fillId="37" borderId="14" xfId="303" applyNumberFormat="1" applyFont="1" applyFill="1" applyBorder="1"/>
    <xf numFmtId="4" fontId="69" fillId="37" borderId="14" xfId="303" applyNumberFormat="1" applyFont="1" applyFill="1" applyBorder="1"/>
    <xf numFmtId="4" fontId="266" fillId="37" borderId="14" xfId="303" applyNumberFormat="1" applyFont="1" applyFill="1" applyBorder="1"/>
    <xf numFmtId="0" fontId="269" fillId="37" borderId="12" xfId="303" applyFont="1" applyFill="1" applyBorder="1"/>
    <xf numFmtId="183" fontId="269" fillId="37" borderId="0" xfId="303" applyNumberFormat="1" applyFont="1" applyFill="1"/>
    <xf numFmtId="217" fontId="269" fillId="37" borderId="11" xfId="303" applyNumberFormat="1" applyFont="1" applyFill="1" applyBorder="1"/>
    <xf numFmtId="202" fontId="269" fillId="37" borderId="11" xfId="303" applyNumberFormat="1" applyFont="1" applyFill="1" applyBorder="1"/>
    <xf numFmtId="0" fontId="230" fillId="37" borderId="11" xfId="303" applyFont="1" applyFill="1" applyBorder="1"/>
    <xf numFmtId="1" fontId="0" fillId="37" borderId="11" xfId="0" applyNumberFormat="1" applyFill="1" applyBorder="1"/>
    <xf numFmtId="220" fontId="0" fillId="37" borderId="0" xfId="0" applyNumberFormat="1" applyFill="1"/>
    <xf numFmtId="0" fontId="269" fillId="37" borderId="11" xfId="303" applyFont="1" applyFill="1" applyBorder="1" applyAlignment="1">
      <alignment wrapText="1"/>
    </xf>
    <xf numFmtId="221" fontId="0" fillId="37" borderId="0" xfId="0" applyNumberFormat="1" applyFill="1"/>
    <xf numFmtId="179" fontId="0" fillId="37" borderId="11" xfId="0" applyNumberFormat="1" applyFill="1" applyBorder="1"/>
    <xf numFmtId="3" fontId="0" fillId="37" borderId="20" xfId="0" applyNumberFormat="1" applyFill="1" applyBorder="1"/>
    <xf numFmtId="213" fontId="269" fillId="37" borderId="11" xfId="303" applyNumberFormat="1" applyFont="1" applyFill="1" applyBorder="1"/>
    <xf numFmtId="0" fontId="69" fillId="37" borderId="11" xfId="303" applyFont="1" applyFill="1" applyBorder="1"/>
    <xf numFmtId="3" fontId="69" fillId="37" borderId="11" xfId="303" applyNumberFormat="1" applyFont="1" applyFill="1" applyBorder="1"/>
    <xf numFmtId="2" fontId="0" fillId="37" borderId="11" xfId="0" applyNumberFormat="1" applyFill="1" applyBorder="1"/>
    <xf numFmtId="0" fontId="0" fillId="37" borderId="0" xfId="0" applyFill="1" applyAlignment="1">
      <alignment horizontal="right"/>
    </xf>
    <xf numFmtId="0" fontId="113" fillId="37" borderId="0" xfId="0" applyFont="1" applyFill="1" applyAlignment="1">
      <alignment horizontal="right"/>
    </xf>
    <xf numFmtId="218" fontId="0" fillId="37" borderId="0" xfId="0" applyNumberFormat="1" applyFill="1" applyAlignment="1">
      <alignment horizontal="right"/>
    </xf>
    <xf numFmtId="219" fontId="0" fillId="37" borderId="0" xfId="0" applyNumberFormat="1" applyFill="1" applyAlignment="1">
      <alignment horizontal="right"/>
    </xf>
    <xf numFmtId="218" fontId="0" fillId="37" borderId="20" xfId="0" applyNumberFormat="1" applyFill="1" applyBorder="1" applyAlignment="1">
      <alignment horizontal="right"/>
    </xf>
    <xf numFmtId="219" fontId="0" fillId="37" borderId="20" xfId="0" applyNumberFormat="1" applyFill="1" applyBorder="1" applyAlignment="1">
      <alignment horizontal="right"/>
    </xf>
    <xf numFmtId="0" fontId="100" fillId="37" borderId="94" xfId="0" applyFont="1" applyFill="1" applyBorder="1" applyAlignment="1">
      <alignment vertical="center" textRotation="90"/>
    </xf>
    <xf numFmtId="176" fontId="100" fillId="37" borderId="0" xfId="0" applyNumberFormat="1" applyFont="1" applyFill="1" applyAlignment="1">
      <alignment horizontal="center" vertical="center"/>
    </xf>
    <xf numFmtId="0" fontId="103" fillId="37" borderId="0" xfId="0" applyFont="1" applyFill="1" applyAlignment="1">
      <alignment horizontal="center" vertical="center"/>
    </xf>
    <xf numFmtId="0" fontId="103" fillId="37" borderId="0" xfId="0" applyFont="1" applyFill="1" applyAlignment="1">
      <alignment vertical="center"/>
    </xf>
    <xf numFmtId="0" fontId="103" fillId="37" borderId="15" xfId="0" applyFont="1" applyFill="1" applyBorder="1" applyAlignment="1">
      <alignment vertical="center"/>
    </xf>
    <xf numFmtId="194" fontId="100" fillId="37" borderId="12" xfId="0" applyNumberFormat="1" applyFont="1" applyFill="1" applyBorder="1" applyAlignment="1">
      <alignment horizontal="center" vertical="center"/>
    </xf>
    <xf numFmtId="0" fontId="122" fillId="37" borderId="0" xfId="0" applyFont="1" applyFill="1" applyAlignment="1">
      <alignment horizontal="center" vertical="center"/>
    </xf>
    <xf numFmtId="0" fontId="122" fillId="37" borderId="0" xfId="0" applyFont="1" applyFill="1" applyAlignment="1">
      <alignment vertical="center"/>
    </xf>
    <xf numFmtId="194" fontId="100" fillId="37" borderId="13" xfId="0" applyNumberFormat="1" applyFont="1" applyFill="1" applyBorder="1" applyAlignment="1">
      <alignment horizontal="center" vertical="center"/>
    </xf>
    <xf numFmtId="176" fontId="100" fillId="37" borderId="16" xfId="0" applyNumberFormat="1" applyFont="1" applyFill="1" applyBorder="1" applyAlignment="1">
      <alignment vertical="center"/>
    </xf>
    <xf numFmtId="0" fontId="100" fillId="0" borderId="12" xfId="0" applyFont="1" applyBorder="1" applyAlignment="1">
      <alignment vertical="center"/>
    </xf>
    <xf numFmtId="176" fontId="113" fillId="37" borderId="11" xfId="306" applyNumberFormat="1" applyFont="1" applyFill="1" applyBorder="1" applyAlignment="1">
      <alignment horizontal="center" vertical="center"/>
    </xf>
    <xf numFmtId="179" fontId="113" fillId="37" borderId="11" xfId="306" applyNumberFormat="1" applyFont="1" applyFill="1" applyBorder="1" applyAlignment="1">
      <alignment horizontal="center" vertical="center"/>
    </xf>
    <xf numFmtId="183" fontId="113" fillId="37" borderId="22" xfId="306" applyNumberFormat="1" applyFont="1" applyFill="1" applyBorder="1" applyAlignment="1">
      <alignment horizontal="center" vertical="center"/>
    </xf>
    <xf numFmtId="3" fontId="113" fillId="37" borderId="11" xfId="306" applyNumberFormat="1" applyFont="1" applyFill="1" applyBorder="1" applyAlignment="1">
      <alignment horizontal="center" vertical="center"/>
    </xf>
    <xf numFmtId="1" fontId="113" fillId="37" borderId="11" xfId="306" applyNumberFormat="1" applyFont="1" applyFill="1" applyBorder="1" applyAlignment="1">
      <alignment horizontal="center" vertical="center"/>
    </xf>
    <xf numFmtId="2" fontId="113" fillId="37" borderId="11" xfId="306" applyNumberFormat="1" applyFont="1" applyFill="1" applyBorder="1" applyAlignment="1">
      <alignment horizontal="center" vertical="center"/>
    </xf>
    <xf numFmtId="196" fontId="113" fillId="37" borderId="11" xfId="229" applyNumberFormat="1" applyFont="1" applyFill="1" applyBorder="1" applyAlignment="1">
      <alignment horizontal="center" vertical="center"/>
    </xf>
    <xf numFmtId="179" fontId="113" fillId="37" borderId="0" xfId="306" applyNumberFormat="1" applyFont="1" applyFill="1" applyAlignment="1">
      <alignment vertical="center"/>
    </xf>
    <xf numFmtId="0" fontId="270" fillId="37" borderId="0" xfId="0" applyFont="1" applyFill="1"/>
    <xf numFmtId="0" fontId="270" fillId="0" borderId="0" xfId="0" applyFont="1" applyAlignment="1">
      <alignment horizontal="center"/>
    </xf>
    <xf numFmtId="182" fontId="51" fillId="37" borderId="0" xfId="0" applyNumberFormat="1" applyFont="1" applyFill="1" applyAlignment="1">
      <alignment horizontal="center" vertical="center"/>
    </xf>
    <xf numFmtId="0" fontId="0" fillId="98" borderId="18" xfId="0" applyFill="1" applyBorder="1" applyAlignment="1">
      <alignment horizontal="center" vertical="center"/>
    </xf>
    <xf numFmtId="0" fontId="0" fillId="98" borderId="19" xfId="0" applyFill="1" applyBorder="1" applyAlignment="1">
      <alignment horizontal="center" vertical="center"/>
    </xf>
    <xf numFmtId="0" fontId="0" fillId="98" borderId="20" xfId="0" applyFill="1" applyBorder="1" applyAlignment="1">
      <alignment horizontal="center" vertical="center"/>
    </xf>
    <xf numFmtId="0" fontId="0" fillId="98" borderId="11" xfId="0" applyFill="1" applyBorder="1" applyAlignment="1">
      <alignment horizontal="center" vertical="center"/>
    </xf>
    <xf numFmtId="193" fontId="100" fillId="0" borderId="12" xfId="0" applyNumberFormat="1" applyFont="1" applyBorder="1" applyAlignment="1">
      <alignment vertical="center"/>
    </xf>
    <xf numFmtId="3" fontId="100" fillId="37" borderId="97" xfId="0" applyNumberFormat="1" applyFont="1" applyFill="1" applyBorder="1" applyAlignment="1">
      <alignment horizontal="center"/>
    </xf>
    <xf numFmtId="182" fontId="100" fillId="37" borderId="96" xfId="0" applyNumberFormat="1" applyFont="1" applyFill="1" applyBorder="1" applyAlignment="1">
      <alignment horizontal="center"/>
    </xf>
    <xf numFmtId="0" fontId="100" fillId="37" borderId="20" xfId="0" applyFont="1" applyFill="1" applyBorder="1" applyAlignment="1">
      <alignment vertical="center"/>
    </xf>
    <xf numFmtId="4" fontId="113" fillId="37" borderId="11" xfId="306" applyNumberFormat="1" applyFont="1" applyFill="1" applyBorder="1" applyAlignment="1">
      <alignment horizontal="center" vertical="center"/>
    </xf>
    <xf numFmtId="182" fontId="113" fillId="37" borderId="11" xfId="306" applyNumberFormat="1" applyFont="1" applyFill="1" applyBorder="1" applyAlignment="1">
      <alignment horizontal="center" vertical="center"/>
    </xf>
    <xf numFmtId="3" fontId="113" fillId="37" borderId="0" xfId="306" applyNumberFormat="1" applyFont="1" applyFill="1" applyAlignment="1">
      <alignment horizontal="center" vertical="center"/>
    </xf>
    <xf numFmtId="3" fontId="113" fillId="37" borderId="0" xfId="306" applyNumberFormat="1" applyFont="1" applyFill="1" applyAlignment="1">
      <alignment vertical="center"/>
    </xf>
    <xf numFmtId="3" fontId="113" fillId="37" borderId="11" xfId="229" applyNumberFormat="1" applyFont="1" applyFill="1" applyBorder="1" applyAlignment="1" applyProtection="1">
      <alignment horizontal="center" vertical="center"/>
      <protection hidden="1"/>
    </xf>
    <xf numFmtId="0" fontId="113" fillId="37" borderId="0" xfId="306" applyFont="1" applyFill="1" applyAlignment="1">
      <alignment horizontal="center" vertical="center"/>
    </xf>
    <xf numFmtId="183" fontId="113" fillId="37" borderId="0" xfId="306" applyNumberFormat="1" applyFont="1" applyFill="1" applyAlignment="1">
      <alignment horizontal="center" vertical="center"/>
    </xf>
    <xf numFmtId="0" fontId="108" fillId="37" borderId="11" xfId="305" applyFont="1" applyFill="1" applyBorder="1" applyAlignment="1">
      <alignment vertical="center"/>
    </xf>
    <xf numFmtId="0" fontId="114" fillId="37" borderId="11" xfId="306" applyFont="1" applyFill="1" applyBorder="1" applyAlignment="1">
      <alignment horizontal="center" vertical="center"/>
    </xf>
    <xf numFmtId="0" fontId="114" fillId="37" borderId="0" xfId="306" applyFont="1" applyFill="1" applyAlignment="1">
      <alignment horizontal="center" vertical="center"/>
    </xf>
    <xf numFmtId="179" fontId="113" fillId="37" borderId="0" xfId="306" applyNumberFormat="1" applyFont="1" applyFill="1" applyAlignment="1">
      <alignment horizontal="center" vertical="center"/>
    </xf>
    <xf numFmtId="179" fontId="113" fillId="37" borderId="11" xfId="229" applyNumberFormat="1" applyFont="1" applyFill="1" applyBorder="1" applyAlignment="1" applyProtection="1">
      <alignment horizontal="center" vertical="center"/>
      <protection hidden="1"/>
    </xf>
    <xf numFmtId="179" fontId="114" fillId="37" borderId="11" xfId="233" applyNumberFormat="1" applyFont="1" applyFill="1" applyBorder="1" applyAlignment="1" applyProtection="1">
      <alignment horizontal="center" vertical="center"/>
      <protection hidden="1"/>
    </xf>
    <xf numFmtId="182" fontId="110" fillId="37" borderId="11" xfId="306" applyNumberFormat="1" applyFont="1" applyFill="1" applyBorder="1" applyAlignment="1">
      <alignment vertical="center"/>
    </xf>
    <xf numFmtId="182" fontId="114" fillId="37" borderId="11" xfId="306" applyNumberFormat="1" applyFont="1" applyFill="1" applyBorder="1" applyAlignment="1">
      <alignment horizontal="center" vertical="center"/>
    </xf>
    <xf numFmtId="182" fontId="110" fillId="37" borderId="22" xfId="306" applyNumberFormat="1" applyFont="1" applyFill="1" applyBorder="1" applyAlignment="1">
      <alignment vertical="center"/>
    </xf>
    <xf numFmtId="182" fontId="114" fillId="37" borderId="22" xfId="306" applyNumberFormat="1" applyFont="1" applyFill="1" applyBorder="1" applyAlignment="1">
      <alignment horizontal="center" vertical="center"/>
    </xf>
    <xf numFmtId="189" fontId="113" fillId="37" borderId="22" xfId="306" applyNumberFormat="1" applyFont="1" applyFill="1" applyBorder="1" applyAlignment="1">
      <alignment horizontal="center" vertical="center"/>
    </xf>
    <xf numFmtId="1" fontId="113" fillId="37" borderId="0" xfId="306" applyNumberFormat="1" applyFont="1" applyFill="1" applyAlignment="1">
      <alignment horizontal="center" vertical="center"/>
    </xf>
    <xf numFmtId="176" fontId="114" fillId="37" borderId="11" xfId="233" applyNumberFormat="1" applyFont="1" applyFill="1" applyBorder="1" applyAlignment="1" applyProtection="1">
      <alignment horizontal="center" vertical="center"/>
      <protection hidden="1"/>
    </xf>
    <xf numFmtId="176" fontId="113" fillId="37" borderId="11" xfId="233" applyNumberFormat="1" applyFont="1" applyFill="1" applyBorder="1" applyAlignment="1" applyProtection="1">
      <alignment horizontal="center" vertical="center"/>
      <protection hidden="1"/>
    </xf>
    <xf numFmtId="182" fontId="113" fillId="37" borderId="11" xfId="233" applyNumberFormat="1" applyFont="1" applyFill="1" applyBorder="1" applyAlignment="1" applyProtection="1">
      <alignment horizontal="center" vertical="center"/>
      <protection hidden="1"/>
    </xf>
    <xf numFmtId="2" fontId="114" fillId="37" borderId="11" xfId="233" applyNumberFormat="1" applyFont="1" applyFill="1" applyBorder="1" applyAlignment="1" applyProtection="1">
      <alignment horizontal="center" vertical="center"/>
      <protection hidden="1"/>
    </xf>
    <xf numFmtId="2" fontId="113" fillId="37" borderId="11" xfId="233" applyNumberFormat="1" applyFont="1" applyFill="1" applyBorder="1" applyAlignment="1" applyProtection="1">
      <alignment horizontal="center" vertical="center"/>
      <protection hidden="1"/>
    </xf>
    <xf numFmtId="4" fontId="113" fillId="37" borderId="11" xfId="233" applyNumberFormat="1" applyFont="1" applyFill="1" applyBorder="1" applyAlignment="1" applyProtection="1">
      <alignment horizontal="center" vertical="center"/>
      <protection hidden="1"/>
    </xf>
    <xf numFmtId="183" fontId="113" fillId="37" borderId="11" xfId="229" applyNumberFormat="1" applyFont="1" applyFill="1" applyBorder="1" applyAlignment="1">
      <alignment horizontal="center" vertical="center"/>
    </xf>
    <xf numFmtId="3" fontId="114" fillId="37" borderId="11" xfId="233" applyNumberFormat="1" applyFont="1" applyFill="1" applyBorder="1" applyAlignment="1" applyProtection="1">
      <alignment horizontal="center" vertical="center"/>
      <protection hidden="1"/>
    </xf>
    <xf numFmtId="3" fontId="113" fillId="37" borderId="11" xfId="233" applyNumberFormat="1" applyFont="1" applyFill="1" applyBorder="1" applyAlignment="1" applyProtection="1">
      <alignment horizontal="center" vertical="center"/>
      <protection hidden="1"/>
    </xf>
    <xf numFmtId="3" fontId="113" fillId="37" borderId="20" xfId="233" applyNumberFormat="1" applyFont="1" applyFill="1" applyBorder="1" applyAlignment="1" applyProtection="1">
      <alignment horizontal="center" vertical="center"/>
      <protection hidden="1"/>
    </xf>
    <xf numFmtId="183" fontId="113" fillId="37" borderId="20" xfId="233" applyNumberFormat="1" applyFont="1" applyFill="1" applyBorder="1" applyAlignment="1" applyProtection="1">
      <alignment horizontal="center" vertical="center"/>
      <protection hidden="1"/>
    </xf>
    <xf numFmtId="0" fontId="108" fillId="37" borderId="11" xfId="305" applyFont="1" applyFill="1" applyBorder="1" applyAlignment="1">
      <alignment horizontal="center" vertical="center"/>
    </xf>
    <xf numFmtId="179" fontId="113" fillId="37" borderId="11" xfId="233" applyNumberFormat="1" applyFont="1" applyFill="1" applyBorder="1" applyAlignment="1" applyProtection="1">
      <alignment horizontal="center" vertical="center"/>
      <protection hidden="1"/>
    </xf>
    <xf numFmtId="4" fontId="114" fillId="37" borderId="11" xfId="233" applyNumberFormat="1" applyFont="1" applyFill="1" applyBorder="1" applyAlignment="1" applyProtection="1">
      <alignment horizontal="center" vertical="center"/>
      <protection hidden="1"/>
    </xf>
    <xf numFmtId="0" fontId="113" fillId="37" borderId="11" xfId="305" applyFont="1" applyFill="1" applyBorder="1" applyAlignment="1">
      <alignment horizontal="center" vertical="center"/>
    </xf>
    <xf numFmtId="1" fontId="113" fillId="37" borderId="0" xfId="306" applyNumberFormat="1" applyFont="1" applyFill="1" applyAlignment="1">
      <alignment vertical="center"/>
    </xf>
    <xf numFmtId="9" fontId="108" fillId="37" borderId="11" xfId="305" applyNumberFormat="1" applyFont="1" applyFill="1" applyBorder="1" applyAlignment="1">
      <alignment horizontal="center" vertical="center"/>
    </xf>
    <xf numFmtId="176" fontId="113" fillId="37" borderId="0" xfId="306" applyNumberFormat="1" applyFont="1" applyFill="1" applyAlignment="1">
      <alignment horizontal="center" vertical="center"/>
    </xf>
    <xf numFmtId="182" fontId="114" fillId="37" borderId="11" xfId="233" applyNumberFormat="1" applyFont="1" applyFill="1" applyBorder="1" applyAlignment="1" applyProtection="1">
      <alignment horizontal="center" vertical="center"/>
      <protection hidden="1"/>
    </xf>
    <xf numFmtId="183" fontId="114" fillId="37" borderId="11" xfId="233" applyNumberFormat="1" applyFont="1" applyFill="1" applyBorder="1" applyAlignment="1" applyProtection="1">
      <alignment horizontal="center" vertical="center"/>
      <protection hidden="1"/>
    </xf>
    <xf numFmtId="183" fontId="113" fillId="37" borderId="11" xfId="233" applyNumberFormat="1" applyFont="1" applyFill="1" applyBorder="1" applyAlignment="1" applyProtection="1">
      <alignment horizontal="center" vertical="center"/>
      <protection hidden="1"/>
    </xf>
    <xf numFmtId="0" fontId="108" fillId="37" borderId="11" xfId="306" applyFont="1" applyFill="1" applyBorder="1" applyAlignment="1">
      <alignment horizontal="left" vertical="center"/>
    </xf>
    <xf numFmtId="0" fontId="115" fillId="37" borderId="11" xfId="306" applyFont="1" applyFill="1" applyBorder="1" applyAlignment="1">
      <alignment horizontal="center" vertical="center"/>
    </xf>
    <xf numFmtId="3" fontId="108" fillId="37" borderId="11" xfId="306" applyNumberFormat="1" applyFont="1" applyFill="1" applyBorder="1" applyAlignment="1">
      <alignment horizontal="left" vertical="center"/>
    </xf>
    <xf numFmtId="3" fontId="115" fillId="37" borderId="11" xfId="306" applyNumberFormat="1" applyFont="1" applyFill="1" applyBorder="1" applyAlignment="1">
      <alignment horizontal="center" vertical="center"/>
    </xf>
    <xf numFmtId="176" fontId="113" fillId="37" borderId="0" xfId="306" applyNumberFormat="1" applyFont="1" applyFill="1"/>
    <xf numFmtId="1" fontId="47" fillId="38" borderId="98" xfId="0" applyNumberFormat="1" applyFont="1" applyFill="1" applyBorder="1" applyAlignment="1">
      <alignment horizontal="center"/>
    </xf>
    <xf numFmtId="166" fontId="51" fillId="37" borderId="0" xfId="31096" applyFont="1" applyFill="1" applyAlignment="1">
      <alignment horizontal="center"/>
    </xf>
    <xf numFmtId="1" fontId="240" fillId="72" borderId="98" xfId="0" applyNumberFormat="1" applyFont="1" applyFill="1" applyBorder="1" applyAlignment="1">
      <alignment horizontal="center" vertical="center"/>
    </xf>
    <xf numFmtId="3" fontId="240" fillId="72" borderId="98" xfId="0" applyNumberFormat="1" applyFont="1" applyFill="1" applyBorder="1" applyAlignment="1">
      <alignment horizontal="center" vertical="center"/>
    </xf>
    <xf numFmtId="2" fontId="240" fillId="72" borderId="98" xfId="0" applyNumberFormat="1" applyFont="1" applyFill="1" applyBorder="1" applyAlignment="1">
      <alignment horizontal="center" vertical="center"/>
    </xf>
    <xf numFmtId="4" fontId="240" fillId="72" borderId="98" xfId="0" applyNumberFormat="1" applyFont="1" applyFill="1" applyBorder="1" applyAlignment="1">
      <alignment horizontal="center" vertical="center"/>
    </xf>
    <xf numFmtId="250" fontId="0" fillId="37" borderId="98" xfId="31096" applyNumberFormat="1" applyFont="1" applyFill="1" applyBorder="1"/>
    <xf numFmtId="16" fontId="0" fillId="0" borderId="116" xfId="0" applyNumberFormat="1" applyBorder="1" applyAlignment="1">
      <alignment horizontal="center"/>
    </xf>
    <xf numFmtId="16" fontId="0" fillId="0" borderId="111" xfId="0" applyNumberFormat="1" applyBorder="1" applyAlignment="1">
      <alignment horizontal="center"/>
    </xf>
    <xf numFmtId="16" fontId="0" fillId="0" borderId="127" xfId="0" applyNumberFormat="1" applyBorder="1" applyAlignment="1">
      <alignment horizontal="center"/>
    </xf>
    <xf numFmtId="16" fontId="0" fillId="0" borderId="128" xfId="0" applyNumberFormat="1" applyBorder="1" applyAlignment="1">
      <alignment horizontal="center"/>
    </xf>
    <xf numFmtId="16" fontId="0" fillId="0" borderId="129" xfId="0" applyNumberFormat="1" applyBorder="1" applyAlignment="1">
      <alignment horizontal="center"/>
    </xf>
    <xf numFmtId="0" fontId="260" fillId="37" borderId="0" xfId="0" applyFont="1" applyFill="1" applyAlignment="1">
      <alignment horizontal="center"/>
    </xf>
    <xf numFmtId="251" fontId="51" fillId="37" borderId="0" xfId="0" applyNumberFormat="1" applyFont="1" applyFill="1"/>
    <xf numFmtId="187" fontId="227" fillId="92" borderId="116" xfId="229" applyNumberFormat="1" applyFont="1" applyFill="1" applyBorder="1" applyAlignment="1" applyProtection="1">
      <alignment horizontal="center"/>
      <protection locked="0"/>
    </xf>
    <xf numFmtId="0" fontId="94" fillId="0" borderId="116" xfId="0" applyFont="1" applyBorder="1" applyAlignment="1">
      <alignment horizontal="center" vertical="center"/>
    </xf>
    <xf numFmtId="0" fontId="0" fillId="0" borderId="116" xfId="0" applyBorder="1"/>
    <xf numFmtId="0" fontId="94" fillId="0" borderId="116" xfId="0" applyFont="1" applyBorder="1"/>
    <xf numFmtId="3" fontId="94" fillId="0" borderId="0" xfId="0" applyNumberFormat="1" applyFont="1" applyAlignment="1">
      <alignment horizontal="center" vertical="center"/>
    </xf>
    <xf numFmtId="182" fontId="113" fillId="37" borderId="36" xfId="0" applyNumberFormat="1" applyFont="1" applyFill="1" applyBorder="1" applyAlignment="1">
      <alignment horizontal="center"/>
    </xf>
    <xf numFmtId="4" fontId="113" fillId="37" borderId="35" xfId="0" applyNumberFormat="1" applyFont="1" applyFill="1" applyBorder="1" applyAlignment="1">
      <alignment horizontal="center"/>
    </xf>
    <xf numFmtId="0" fontId="0" fillId="37" borderId="35" xfId="0" applyFill="1" applyBorder="1"/>
    <xf numFmtId="3" fontId="113" fillId="37" borderId="35" xfId="0" applyNumberFormat="1" applyFont="1" applyFill="1" applyBorder="1" applyAlignment="1">
      <alignment horizontal="center"/>
    </xf>
    <xf numFmtId="182" fontId="113" fillId="37" borderId="35" xfId="0" applyNumberFormat="1" applyFont="1" applyFill="1" applyBorder="1" applyAlignment="1">
      <alignment horizontal="center"/>
    </xf>
    <xf numFmtId="2" fontId="113" fillId="37" borderId="35" xfId="0" applyNumberFormat="1" applyFont="1" applyFill="1" applyBorder="1" applyAlignment="1">
      <alignment horizontal="center"/>
    </xf>
    <xf numFmtId="182" fontId="113" fillId="37" borderId="38" xfId="0" applyNumberFormat="1" applyFont="1" applyFill="1" applyBorder="1" applyAlignment="1">
      <alignment horizontal="center"/>
    </xf>
    <xf numFmtId="38" fontId="0" fillId="0" borderId="0" xfId="31108" applyFont="1" applyAlignment="1"/>
    <xf numFmtId="38" fontId="0" fillId="37" borderId="0" xfId="31108" applyFont="1" applyFill="1" applyAlignment="1"/>
    <xf numFmtId="38" fontId="0" fillId="0" borderId="0" xfId="31108" applyFont="1" applyAlignment="1">
      <alignment horizontal="center" vertical="center"/>
    </xf>
    <xf numFmtId="38" fontId="0" fillId="0" borderId="0" xfId="31108" applyFont="1" applyAlignment="1">
      <alignment horizontal="center" vertical="center" wrapText="1"/>
    </xf>
    <xf numFmtId="3" fontId="0" fillId="0" borderId="38" xfId="0" applyNumberFormat="1" applyBorder="1"/>
    <xf numFmtId="203" fontId="0" fillId="0" borderId="0" xfId="31108" applyNumberFormat="1" applyFont="1" applyAlignment="1"/>
    <xf numFmtId="203" fontId="0" fillId="0" borderId="35" xfId="31108" applyNumberFormat="1" applyFont="1" applyBorder="1" applyAlignment="1"/>
    <xf numFmtId="0" fontId="0" fillId="0" borderId="35" xfId="0" applyBorder="1"/>
    <xf numFmtId="40" fontId="0" fillId="0" borderId="0" xfId="31108" applyNumberFormat="1" applyFont="1" applyAlignment="1"/>
    <xf numFmtId="40" fontId="0" fillId="0" borderId="35" xfId="31108" applyNumberFormat="1" applyFont="1" applyBorder="1" applyAlignment="1"/>
    <xf numFmtId="38" fontId="0" fillId="0" borderId="35" xfId="31108" applyFont="1" applyBorder="1" applyAlignment="1"/>
    <xf numFmtId="2" fontId="0" fillId="0" borderId="35" xfId="0" applyNumberFormat="1" applyBorder="1"/>
    <xf numFmtId="179" fontId="0" fillId="0" borderId="35" xfId="0" applyNumberFormat="1" applyBorder="1"/>
    <xf numFmtId="4" fontId="0" fillId="0" borderId="35" xfId="0" applyNumberFormat="1" applyBorder="1"/>
    <xf numFmtId="182" fontId="0" fillId="0" borderId="0" xfId="0" applyNumberFormat="1"/>
    <xf numFmtId="182" fontId="0" fillId="0" borderId="35" xfId="0" applyNumberFormat="1" applyBorder="1"/>
    <xf numFmtId="3" fontId="0" fillId="0" borderId="35" xfId="0" applyNumberFormat="1" applyBorder="1"/>
    <xf numFmtId="0" fontId="0" fillId="98" borderId="0" xfId="0" applyFill="1"/>
    <xf numFmtId="2" fontId="0" fillId="98" borderId="0" xfId="0" applyNumberFormat="1" applyFill="1"/>
    <xf numFmtId="2" fontId="0" fillId="98" borderId="35" xfId="0" applyNumberFormat="1" applyFill="1" applyBorder="1"/>
    <xf numFmtId="2" fontId="0" fillId="98" borderId="36" xfId="0" applyNumberFormat="1" applyFill="1" applyBorder="1"/>
    <xf numFmtId="38" fontId="0" fillId="0" borderId="38" xfId="31108" applyFont="1" applyBorder="1" applyAlignment="1"/>
    <xf numFmtId="183" fontId="0" fillId="0" borderId="35" xfId="0" applyNumberFormat="1" applyBorder="1"/>
    <xf numFmtId="176" fontId="0" fillId="0" borderId="35" xfId="0" applyNumberFormat="1" applyBorder="1"/>
    <xf numFmtId="38" fontId="0" fillId="37" borderId="38" xfId="31108" applyFont="1" applyFill="1" applyBorder="1" applyAlignment="1"/>
    <xf numFmtId="38" fontId="0" fillId="37" borderId="35" xfId="31108" applyFont="1" applyFill="1" applyBorder="1" applyAlignment="1"/>
    <xf numFmtId="176" fontId="0" fillId="37" borderId="35" xfId="0" applyNumberFormat="1" applyFill="1" applyBorder="1"/>
    <xf numFmtId="2" fontId="0" fillId="37" borderId="35" xfId="0" applyNumberFormat="1" applyFill="1" applyBorder="1"/>
    <xf numFmtId="1" fontId="0" fillId="37" borderId="35" xfId="0" applyNumberFormat="1" applyFill="1" applyBorder="1"/>
    <xf numFmtId="179" fontId="0" fillId="37" borderId="35" xfId="0" applyNumberFormat="1" applyFill="1" applyBorder="1"/>
    <xf numFmtId="179" fontId="0" fillId="98" borderId="0" xfId="0" applyNumberFormat="1" applyFill="1"/>
    <xf numFmtId="179" fontId="0" fillId="98" borderId="35" xfId="0" applyNumberFormat="1" applyFill="1" applyBorder="1"/>
    <xf numFmtId="0" fontId="109" fillId="0" borderId="0" xfId="0" applyFont="1" applyAlignment="1">
      <alignment horizontal="center" vertical="center"/>
    </xf>
    <xf numFmtId="166" fontId="0" fillId="0" borderId="0" xfId="31096" applyFont="1"/>
    <xf numFmtId="176" fontId="0" fillId="0" borderId="36" xfId="0" applyNumberFormat="1" applyBorder="1"/>
    <xf numFmtId="166" fontId="0" fillId="0" borderId="35" xfId="31096" applyFont="1" applyBorder="1"/>
    <xf numFmtId="0" fontId="0" fillId="100" borderId="35" xfId="0" applyFill="1" applyBorder="1"/>
    <xf numFmtId="166" fontId="0" fillId="0" borderId="38" xfId="31096" applyFont="1" applyBorder="1"/>
    <xf numFmtId="0" fontId="0" fillId="98" borderId="0" xfId="0" applyFill="1" applyAlignment="1">
      <alignment horizontal="center"/>
    </xf>
    <xf numFmtId="4" fontId="0" fillId="0" borderId="11" xfId="0" applyNumberFormat="1" applyBorder="1" applyAlignment="1">
      <alignment horizontal="center"/>
    </xf>
    <xf numFmtId="193" fontId="271" fillId="72" borderId="131" xfId="0" applyNumberFormat="1" applyFont="1" applyFill="1" applyBorder="1" applyAlignment="1">
      <alignment horizontal="center" vertical="center"/>
    </xf>
    <xf numFmtId="193" fontId="271" fillId="72" borderId="132" xfId="0" applyNumberFormat="1" applyFont="1" applyFill="1" applyBorder="1" applyAlignment="1">
      <alignment horizontal="center" vertical="center"/>
    </xf>
    <xf numFmtId="0" fontId="271" fillId="72" borderId="133" xfId="0" applyFont="1" applyFill="1" applyBorder="1" applyAlignment="1">
      <alignment horizontal="center" vertical="center"/>
    </xf>
    <xf numFmtId="0" fontId="271" fillId="72" borderId="134" xfId="0" applyFont="1" applyFill="1" applyBorder="1" applyAlignment="1">
      <alignment horizontal="center" vertical="center" wrapText="1"/>
    </xf>
    <xf numFmtId="3" fontId="276" fillId="101" borderId="47" xfId="0" applyNumberFormat="1" applyFont="1" applyFill="1" applyBorder="1" applyAlignment="1">
      <alignment horizontal="center"/>
    </xf>
    <xf numFmtId="3" fontId="276" fillId="101" borderId="28" xfId="0" applyNumberFormat="1" applyFont="1" applyFill="1" applyBorder="1" applyAlignment="1">
      <alignment horizontal="center"/>
    </xf>
    <xf numFmtId="3" fontId="276" fillId="37" borderId="130" xfId="0" applyNumberFormat="1" applyFont="1" applyFill="1" applyBorder="1" applyAlignment="1">
      <alignment horizontal="center"/>
    </xf>
    <xf numFmtId="0" fontId="271" fillId="72" borderId="135" xfId="0" applyFont="1" applyFill="1" applyBorder="1" applyAlignment="1">
      <alignment horizontal="center" vertical="center"/>
    </xf>
    <xf numFmtId="0" fontId="271" fillId="72" borderId="98" xfId="0" applyFont="1" applyFill="1" applyBorder="1" applyAlignment="1">
      <alignment horizontal="center" vertical="center" wrapText="1"/>
    </xf>
    <xf numFmtId="3" fontId="276" fillId="101" borderId="11" xfId="0" applyNumberFormat="1" applyFont="1" applyFill="1" applyBorder="1" applyAlignment="1">
      <alignment horizontal="center"/>
    </xf>
    <xf numFmtId="3" fontId="276" fillId="101" borderId="136" xfId="0" applyNumberFormat="1" applyFont="1" applyFill="1" applyBorder="1" applyAlignment="1">
      <alignment horizontal="center"/>
    </xf>
    <xf numFmtId="3" fontId="276" fillId="37" borderId="137" xfId="0" applyNumberFormat="1" applyFont="1" applyFill="1" applyBorder="1" applyAlignment="1">
      <alignment horizontal="center"/>
    </xf>
    <xf numFmtId="0" fontId="271" fillId="72" borderId="138" xfId="0" applyFont="1" applyFill="1" applyBorder="1" applyAlignment="1">
      <alignment horizontal="center" vertical="center"/>
    </xf>
    <xf numFmtId="0" fontId="271" fillId="72" borderId="139" xfId="0" applyFont="1" applyFill="1" applyBorder="1" applyAlignment="1">
      <alignment horizontal="center" vertical="center" wrapText="1"/>
    </xf>
    <xf numFmtId="3" fontId="276" fillId="37" borderId="11" xfId="0" applyNumberFormat="1" applyFont="1" applyFill="1" applyBorder="1" applyAlignment="1">
      <alignment horizontal="center"/>
    </xf>
    <xf numFmtId="4" fontId="276" fillId="37" borderId="11" xfId="0" applyNumberFormat="1" applyFont="1" applyFill="1" applyBorder="1" applyAlignment="1">
      <alignment horizontal="center"/>
    </xf>
    <xf numFmtId="182" fontId="276" fillId="37" borderId="11" xfId="0" applyNumberFormat="1" applyFont="1" applyFill="1" applyBorder="1" applyAlignment="1">
      <alignment horizontal="center"/>
    </xf>
    <xf numFmtId="0" fontId="276" fillId="37" borderId="37" xfId="0" applyFont="1" applyFill="1" applyBorder="1"/>
    <xf numFmtId="3" fontId="211" fillId="37" borderId="117" xfId="0" applyNumberFormat="1" applyFont="1" applyFill="1" applyBorder="1" applyAlignment="1">
      <alignment horizontal="center" vertical="center"/>
    </xf>
    <xf numFmtId="182" fontId="211" fillId="37" borderId="117" xfId="0" applyNumberFormat="1" applyFont="1" applyFill="1" applyBorder="1" applyAlignment="1">
      <alignment horizontal="center" vertical="center"/>
    </xf>
    <xf numFmtId="3" fontId="211" fillId="37" borderId="111" xfId="0" applyNumberFormat="1" applyFont="1" applyFill="1" applyBorder="1" applyAlignment="1">
      <alignment horizontal="center" vertical="center"/>
    </xf>
    <xf numFmtId="0" fontId="0" fillId="84" borderId="0" xfId="0" applyFill="1"/>
    <xf numFmtId="176" fontId="108" fillId="37" borderId="11" xfId="306" applyNumberFormat="1" applyFont="1" applyFill="1" applyBorder="1" applyAlignment="1">
      <alignment horizontal="center" vertical="center"/>
    </xf>
    <xf numFmtId="1" fontId="108" fillId="37" borderId="11" xfId="232" applyNumberFormat="1" applyFont="1" applyFill="1" applyBorder="1" applyAlignment="1" applyProtection="1">
      <alignment horizontal="center" vertical="center"/>
      <protection hidden="1"/>
    </xf>
    <xf numFmtId="0" fontId="108" fillId="37" borderId="0" xfId="306" applyFont="1" applyFill="1"/>
    <xf numFmtId="179" fontId="108" fillId="37" borderId="11" xfId="306" applyNumberFormat="1" applyFont="1" applyFill="1" applyBorder="1" applyAlignment="1">
      <alignment horizontal="center" vertical="center"/>
    </xf>
    <xf numFmtId="3" fontId="108" fillId="37" borderId="11" xfId="306" applyNumberFormat="1" applyFont="1" applyFill="1" applyBorder="1" applyAlignment="1">
      <alignment horizontal="center" vertical="center"/>
    </xf>
    <xf numFmtId="2" fontId="108" fillId="37" borderId="11" xfId="306" applyNumberFormat="1" applyFont="1" applyFill="1" applyBorder="1" applyAlignment="1">
      <alignment horizontal="center" vertical="center"/>
    </xf>
    <xf numFmtId="1" fontId="108" fillId="37" borderId="11" xfId="306" applyNumberFormat="1" applyFont="1" applyFill="1" applyBorder="1" applyAlignment="1">
      <alignment horizontal="center" vertical="center"/>
    </xf>
    <xf numFmtId="0" fontId="108" fillId="37" borderId="0" xfId="306" applyFont="1" applyFill="1" applyAlignment="1">
      <alignment vertical="center"/>
    </xf>
    <xf numFmtId="188" fontId="113" fillId="37" borderId="0" xfId="306" applyNumberFormat="1" applyFont="1" applyFill="1" applyAlignment="1">
      <alignment vertical="center"/>
    </xf>
    <xf numFmtId="208" fontId="113" fillId="37" borderId="0" xfId="306" applyNumberFormat="1" applyFont="1" applyFill="1"/>
    <xf numFmtId="0" fontId="113" fillId="37" borderId="0" xfId="306" applyFont="1" applyFill="1"/>
    <xf numFmtId="3" fontId="100" fillId="0" borderId="95" xfId="0" applyNumberFormat="1" applyFont="1" applyBorder="1" applyAlignment="1">
      <alignment horizontal="center"/>
    </xf>
    <xf numFmtId="16" fontId="0" fillId="0" borderId="0" xfId="0" applyNumberFormat="1"/>
    <xf numFmtId="3" fontId="0" fillId="37" borderId="96" xfId="0" applyNumberFormat="1" applyFill="1" applyBorder="1" applyAlignment="1">
      <alignment horizontal="center"/>
    </xf>
    <xf numFmtId="0" fontId="0" fillId="0" borderId="94" xfId="0" applyBorder="1" applyAlignment="1">
      <alignment horizontal="center" vertical="center" textRotation="90"/>
    </xf>
    <xf numFmtId="0" fontId="100" fillId="0" borderId="96" xfId="0" applyFont="1" applyBorder="1" applyAlignment="1">
      <alignment horizontal="center" vertical="center"/>
    </xf>
    <xf numFmtId="0" fontId="100" fillId="0" borderId="94" xfId="0" applyFont="1" applyBorder="1" applyAlignment="1">
      <alignment vertical="center" textRotation="90"/>
    </xf>
    <xf numFmtId="0" fontId="100" fillId="0" borderId="96" xfId="0" applyFont="1" applyBorder="1" applyAlignment="1">
      <alignment horizontal="left" vertical="center"/>
    </xf>
    <xf numFmtId="182" fontId="100" fillId="0" borderId="94" xfId="0" applyNumberFormat="1" applyFont="1" applyBorder="1" applyAlignment="1">
      <alignment horizontal="center"/>
    </xf>
    <xf numFmtId="182" fontId="100" fillId="0" borderId="97" xfId="0" applyNumberFormat="1" applyFont="1" applyBorder="1" applyAlignment="1">
      <alignment horizontal="center"/>
    </xf>
    <xf numFmtId="4" fontId="100" fillId="0" borderId="97" xfId="0" applyNumberFormat="1" applyFont="1" applyBorder="1" applyAlignment="1">
      <alignment horizontal="center"/>
    </xf>
    <xf numFmtId="4" fontId="100" fillId="0" borderId="94" xfId="0" applyNumberFormat="1" applyFont="1" applyBorder="1" applyAlignment="1">
      <alignment horizontal="center"/>
    </xf>
    <xf numFmtId="0" fontId="0" fillId="0" borderId="94" xfId="0" applyBorder="1" applyAlignment="1">
      <alignment vertical="center"/>
    </xf>
    <xf numFmtId="0" fontId="0" fillId="0" borderId="97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25" borderId="94" xfId="0" applyFill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7" xfId="0" applyBorder="1" applyAlignment="1">
      <alignment horizontal="center" vertical="center" wrapText="1"/>
    </xf>
    <xf numFmtId="0" fontId="0" fillId="0" borderId="96" xfId="0" applyBorder="1" applyAlignment="1">
      <alignment horizontal="center" vertical="center" wrapText="1"/>
    </xf>
    <xf numFmtId="3" fontId="0" fillId="37" borderId="97" xfId="0" applyNumberFormat="1" applyFill="1" applyBorder="1" applyAlignment="1">
      <alignment horizontal="center"/>
    </xf>
    <xf numFmtId="4" fontId="0" fillId="37" borderId="94" xfId="0" applyNumberFormat="1" applyFill="1" applyBorder="1" applyAlignment="1">
      <alignment horizontal="center"/>
    </xf>
    <xf numFmtId="4" fontId="0" fillId="37" borderId="96" xfId="0" applyNumberFormat="1" applyFill="1" applyBorder="1" applyAlignment="1">
      <alignment horizontal="center"/>
    </xf>
    <xf numFmtId="0" fontId="0" fillId="37" borderId="97" xfId="0" applyFill="1" applyBorder="1" applyAlignment="1">
      <alignment horizontal="left" vertical="center"/>
    </xf>
    <xf numFmtId="0" fontId="0" fillId="37" borderId="95" xfId="0" applyFill="1" applyBorder="1" applyAlignment="1">
      <alignment horizontal="left" vertical="center"/>
    </xf>
    <xf numFmtId="182" fontId="0" fillId="37" borderId="94" xfId="0" applyNumberFormat="1" applyFill="1" applyBorder="1" applyAlignment="1">
      <alignment horizontal="center"/>
    </xf>
    <xf numFmtId="0" fontId="100" fillId="0" borderId="97" xfId="0" applyFont="1" applyBorder="1" applyAlignment="1">
      <alignment horizontal="center" vertical="center"/>
    </xf>
    <xf numFmtId="0" fontId="100" fillId="0" borderId="95" xfId="0" applyFont="1" applyBorder="1" applyAlignment="1">
      <alignment horizontal="center" vertical="center"/>
    </xf>
    <xf numFmtId="0" fontId="100" fillId="37" borderId="94" xfId="0" applyFont="1" applyFill="1" applyBorder="1" applyAlignment="1">
      <alignment horizontal="center" vertical="center"/>
    </xf>
    <xf numFmtId="194" fontId="100" fillId="37" borderId="94" xfId="0" applyNumberFormat="1" applyFont="1" applyFill="1" applyBorder="1" applyAlignment="1">
      <alignment horizontal="center" vertical="center"/>
    </xf>
    <xf numFmtId="3" fontId="100" fillId="37" borderId="95" xfId="0" applyNumberFormat="1" applyFont="1" applyFill="1" applyBorder="1" applyAlignment="1">
      <alignment horizontal="center"/>
    </xf>
    <xf numFmtId="3" fontId="100" fillId="37" borderId="94" xfId="0" applyNumberFormat="1" applyFont="1" applyFill="1" applyBorder="1" applyAlignment="1">
      <alignment horizontal="center"/>
    </xf>
    <xf numFmtId="182" fontId="100" fillId="37" borderId="94" xfId="0" applyNumberFormat="1" applyFont="1" applyFill="1" applyBorder="1" applyAlignment="1">
      <alignment horizontal="center"/>
    </xf>
    <xf numFmtId="3" fontId="100" fillId="37" borderId="96" xfId="0" applyNumberFormat="1" applyFont="1" applyFill="1" applyBorder="1" applyAlignment="1">
      <alignment horizontal="center"/>
    </xf>
    <xf numFmtId="3" fontId="100" fillId="37" borderId="97" xfId="0" applyNumberFormat="1" applyFont="1" applyFill="1" applyBorder="1" applyAlignment="1">
      <alignment horizontal="center" vertical="center"/>
    </xf>
    <xf numFmtId="4" fontId="100" fillId="37" borderId="97" xfId="0" applyNumberFormat="1" applyFont="1" applyFill="1" applyBorder="1" applyAlignment="1">
      <alignment horizontal="center" vertical="center"/>
    </xf>
    <xf numFmtId="182" fontId="100" fillId="37" borderId="96" xfId="0" applyNumberFormat="1" applyFont="1" applyFill="1" applyBorder="1" applyAlignment="1">
      <alignment horizontal="center" vertical="center"/>
    </xf>
    <xf numFmtId="182" fontId="100" fillId="37" borderId="95" xfId="0" applyNumberFormat="1" applyFont="1" applyFill="1" applyBorder="1" applyAlignment="1">
      <alignment horizontal="center" vertical="center"/>
    </xf>
    <xf numFmtId="208" fontId="100" fillId="37" borderId="95" xfId="0" applyNumberFormat="1" applyFont="1" applyFill="1" applyBorder="1" applyAlignment="1">
      <alignment vertical="center"/>
    </xf>
    <xf numFmtId="3" fontId="100" fillId="37" borderId="94" xfId="0" applyNumberFormat="1" applyFont="1" applyFill="1" applyBorder="1" applyAlignment="1">
      <alignment vertical="center"/>
    </xf>
    <xf numFmtId="3" fontId="100" fillId="37" borderId="95" xfId="0" applyNumberFormat="1" applyFont="1" applyFill="1" applyBorder="1" applyAlignment="1">
      <alignment horizontal="center" vertical="center"/>
    </xf>
    <xf numFmtId="182" fontId="100" fillId="37" borderId="94" xfId="0" applyNumberFormat="1" applyFont="1" applyFill="1" applyBorder="1" applyAlignment="1">
      <alignment horizontal="center" vertical="center"/>
    </xf>
    <xf numFmtId="193" fontId="100" fillId="37" borderId="94" xfId="0" applyNumberFormat="1" applyFont="1" applyFill="1" applyBorder="1" applyAlignment="1">
      <alignment horizontal="center" vertical="center"/>
    </xf>
    <xf numFmtId="182" fontId="100" fillId="37" borderId="97" xfId="0" applyNumberFormat="1" applyFont="1" applyFill="1" applyBorder="1" applyAlignment="1">
      <alignment horizontal="center" vertical="center"/>
    </xf>
    <xf numFmtId="4" fontId="100" fillId="37" borderId="96" xfId="0" applyNumberFormat="1" applyFont="1" applyFill="1" applyBorder="1" applyAlignment="1">
      <alignment horizontal="center" vertical="center"/>
    </xf>
    <xf numFmtId="4" fontId="100" fillId="37" borderId="95" xfId="0" applyNumberFormat="1" applyFont="1" applyFill="1" applyBorder="1" applyAlignment="1">
      <alignment horizontal="center" vertical="center"/>
    </xf>
    <xf numFmtId="4" fontId="100" fillId="37" borderId="97" xfId="0" applyNumberFormat="1" applyFont="1" applyFill="1" applyBorder="1" applyAlignment="1">
      <alignment horizontal="center"/>
    </xf>
    <xf numFmtId="4" fontId="100" fillId="37" borderId="96" xfId="0" applyNumberFormat="1" applyFont="1" applyFill="1" applyBorder="1" applyAlignment="1">
      <alignment horizontal="center"/>
    </xf>
    <xf numFmtId="3" fontId="100" fillId="0" borderId="97" xfId="0" applyNumberFormat="1" applyFont="1" applyBorder="1" applyAlignment="1">
      <alignment horizontal="center" vertical="center"/>
    </xf>
    <xf numFmtId="182" fontId="100" fillId="0" borderId="96" xfId="0" applyNumberFormat="1" applyFont="1" applyBorder="1" applyAlignment="1">
      <alignment horizontal="center" vertical="center"/>
    </xf>
    <xf numFmtId="4" fontId="100" fillId="0" borderId="96" xfId="0" applyNumberFormat="1" applyFont="1" applyBorder="1" applyAlignment="1">
      <alignment horizontal="center" vertical="center"/>
    </xf>
    <xf numFmtId="3" fontId="100" fillId="0" borderId="95" xfId="0" applyNumberFormat="1" applyFont="1" applyBorder="1" applyAlignment="1">
      <alignment horizontal="center" vertical="center"/>
    </xf>
    <xf numFmtId="0" fontId="100" fillId="37" borderId="96" xfId="0" applyFont="1" applyFill="1" applyBorder="1" applyAlignment="1">
      <alignment horizontal="left" vertical="center"/>
    </xf>
    <xf numFmtId="4" fontId="100" fillId="37" borderId="94" xfId="0" applyNumberFormat="1" applyFont="1" applyFill="1" applyBorder="1" applyAlignment="1">
      <alignment horizontal="center"/>
    </xf>
    <xf numFmtId="0" fontId="100" fillId="37" borderId="97" xfId="0" applyFont="1" applyFill="1" applyBorder="1" applyAlignment="1">
      <alignment horizontal="center" vertical="center"/>
    </xf>
    <xf numFmtId="0" fontId="100" fillId="37" borderId="96" xfId="0" applyFont="1" applyFill="1" applyBorder="1" applyAlignment="1">
      <alignment horizontal="center" vertical="center"/>
    </xf>
    <xf numFmtId="0" fontId="100" fillId="37" borderId="95" xfId="0" applyFont="1" applyFill="1" applyBorder="1" applyAlignment="1">
      <alignment horizontal="center" vertical="center"/>
    </xf>
    <xf numFmtId="0" fontId="100" fillId="37" borderId="96" xfId="0" applyFont="1" applyFill="1" applyBorder="1" applyAlignment="1">
      <alignment vertical="center"/>
    </xf>
    <xf numFmtId="3" fontId="100" fillId="37" borderId="97" xfId="0" applyNumberFormat="1" applyFont="1" applyFill="1" applyBorder="1" applyAlignment="1">
      <alignment vertical="center"/>
    </xf>
    <xf numFmtId="3" fontId="100" fillId="37" borderId="96" xfId="0" applyNumberFormat="1" applyFont="1" applyFill="1" applyBorder="1" applyAlignment="1">
      <alignment vertical="center"/>
    </xf>
    <xf numFmtId="0" fontId="103" fillId="37" borderId="96" xfId="0" applyFont="1" applyFill="1" applyBorder="1" applyAlignment="1">
      <alignment vertical="center"/>
    </xf>
    <xf numFmtId="0" fontId="0" fillId="0" borderId="94" xfId="0" applyBorder="1" applyAlignment="1">
      <alignment horizontal="center" vertical="center" textRotation="90" wrapText="1"/>
    </xf>
    <xf numFmtId="0" fontId="0" fillId="98" borderId="94" xfId="0" applyFill="1" applyBorder="1" applyAlignment="1">
      <alignment horizontal="center" vertical="center"/>
    </xf>
    <xf numFmtId="0" fontId="100" fillId="37" borderId="94" xfId="0" applyFont="1" applyFill="1" applyBorder="1" applyAlignment="1">
      <alignment vertical="center"/>
    </xf>
    <xf numFmtId="0" fontId="130" fillId="37" borderId="94" xfId="0" applyFont="1" applyFill="1" applyBorder="1" applyAlignment="1">
      <alignment horizontal="center" vertical="center"/>
    </xf>
    <xf numFmtId="176" fontId="101" fillId="37" borderId="94" xfId="0" applyNumberFormat="1" applyFont="1" applyFill="1" applyBorder="1" applyAlignment="1">
      <alignment horizontal="center" vertical="center" wrapText="1"/>
    </xf>
    <xf numFmtId="3" fontId="100" fillId="37" borderId="94" xfId="0" applyNumberFormat="1" applyFont="1" applyFill="1" applyBorder="1" applyAlignment="1">
      <alignment horizontal="center" vertical="center"/>
    </xf>
    <xf numFmtId="183" fontId="100" fillId="37" borderId="97" xfId="0" applyNumberFormat="1" applyFont="1" applyFill="1" applyBorder="1" applyAlignment="1">
      <alignment horizontal="center" vertical="center"/>
    </xf>
    <xf numFmtId="3" fontId="100" fillId="37" borderId="96" xfId="0" applyNumberFormat="1" applyFont="1" applyFill="1" applyBorder="1" applyAlignment="1">
      <alignment horizontal="center" vertical="center"/>
    </xf>
    <xf numFmtId="3" fontId="100" fillId="37" borderId="97" xfId="0" applyNumberFormat="1" applyFont="1" applyFill="1" applyBorder="1" applyAlignment="1">
      <alignment horizontal="right" vertical="center"/>
    </xf>
    <xf numFmtId="3" fontId="100" fillId="37" borderId="95" xfId="0" applyNumberFormat="1" applyFont="1" applyFill="1" applyBorder="1" applyAlignment="1">
      <alignment vertical="center"/>
    </xf>
    <xf numFmtId="1" fontId="101" fillId="37" borderId="97" xfId="0" applyNumberFormat="1" applyFont="1" applyFill="1" applyBorder="1" applyAlignment="1">
      <alignment vertical="center"/>
    </xf>
    <xf numFmtId="208" fontId="100" fillId="37" borderId="94" xfId="0" applyNumberFormat="1" applyFont="1" applyFill="1" applyBorder="1" applyAlignment="1">
      <alignment vertical="center"/>
    </xf>
    <xf numFmtId="193" fontId="100" fillId="37" borderId="94" xfId="0" applyNumberFormat="1" applyFont="1" applyFill="1" applyBorder="1" applyAlignment="1">
      <alignment vertical="center"/>
    </xf>
    <xf numFmtId="166" fontId="100" fillId="37" borderId="94" xfId="31096" applyFont="1" applyFill="1" applyBorder="1" applyAlignment="1">
      <alignment vertical="center"/>
    </xf>
    <xf numFmtId="166" fontId="100" fillId="37" borderId="95" xfId="31096" applyFont="1" applyFill="1" applyBorder="1" applyAlignment="1">
      <alignment vertical="center"/>
    </xf>
    <xf numFmtId="176" fontId="101" fillId="37" borderId="96" xfId="0" applyNumberFormat="1" applyFont="1" applyFill="1" applyBorder="1" applyAlignment="1">
      <alignment vertical="center"/>
    </xf>
    <xf numFmtId="1" fontId="101" fillId="37" borderId="95" xfId="0" applyNumberFormat="1" applyFont="1" applyFill="1" applyBorder="1" applyAlignment="1">
      <alignment vertical="center"/>
    </xf>
    <xf numFmtId="183" fontId="100" fillId="37" borderId="96" xfId="0" applyNumberFormat="1" applyFont="1" applyFill="1" applyBorder="1" applyAlignment="1">
      <alignment horizontal="center" vertical="center"/>
    </xf>
    <xf numFmtId="3" fontId="100" fillId="0" borderId="96" xfId="0" applyNumberFormat="1" applyFont="1" applyBorder="1" applyAlignment="1">
      <alignment horizontal="center" vertical="center"/>
    </xf>
    <xf numFmtId="4" fontId="100" fillId="0" borderId="94" xfId="0" applyNumberFormat="1" applyFont="1" applyBorder="1" applyAlignment="1">
      <alignment horizontal="center" vertical="center"/>
    </xf>
    <xf numFmtId="0" fontId="108" fillId="0" borderId="96" xfId="306" applyFont="1" applyBorder="1" applyAlignment="1">
      <alignment horizontal="center" vertical="center"/>
    </xf>
    <xf numFmtId="182" fontId="114" fillId="0" borderId="96" xfId="233" applyNumberFormat="1" applyFont="1" applyFill="1" applyBorder="1" applyAlignment="1" applyProtection="1">
      <alignment horizontal="center" vertical="center"/>
      <protection hidden="1"/>
    </xf>
    <xf numFmtId="2" fontId="193" fillId="37" borderId="94" xfId="0" applyNumberFormat="1" applyFont="1" applyFill="1" applyBorder="1" applyAlignment="1">
      <alignment horizontal="center"/>
    </xf>
    <xf numFmtId="189" fontId="278" fillId="37" borderId="0" xfId="0" applyNumberFormat="1" applyFont="1" applyFill="1" applyAlignment="1">
      <alignment horizontal="left"/>
    </xf>
    <xf numFmtId="4" fontId="279" fillId="37" borderId="0" xfId="0" applyNumberFormat="1" applyFont="1" applyFill="1" applyAlignment="1">
      <alignment horizontal="center"/>
    </xf>
    <xf numFmtId="0" fontId="278" fillId="37" borderId="0" xfId="0" applyFont="1" applyFill="1" applyAlignment="1">
      <alignment vertical="center"/>
    </xf>
    <xf numFmtId="0" fontId="280" fillId="72" borderId="98" xfId="0" applyFont="1" applyFill="1" applyBorder="1" applyAlignment="1">
      <alignment horizontal="centerContinuous" vertical="center"/>
    </xf>
    <xf numFmtId="0" fontId="280" fillId="78" borderId="98" xfId="0" applyFont="1" applyFill="1" applyBorder="1" applyAlignment="1">
      <alignment horizontal="centerContinuous" vertical="center"/>
    </xf>
    <xf numFmtId="0" fontId="278" fillId="37" borderId="0" xfId="0" applyFont="1" applyFill="1"/>
    <xf numFmtId="0" fontId="279" fillId="37" borderId="99" xfId="0" applyFont="1" applyFill="1" applyBorder="1" applyAlignment="1">
      <alignment horizontal="center"/>
    </xf>
    <xf numFmtId="0" fontId="280" fillId="91" borderId="118" xfId="0" applyFont="1" applyFill="1" applyBorder="1" applyAlignment="1">
      <alignment horizontal="center" vertical="center"/>
    </xf>
    <xf numFmtId="0" fontId="280" fillId="72" borderId="118" xfId="0" applyFont="1" applyFill="1" applyBorder="1" applyAlignment="1">
      <alignment horizontal="center" vertical="center"/>
    </xf>
    <xf numFmtId="0" fontId="280" fillId="78" borderId="118" xfId="0" applyFont="1" applyFill="1" applyBorder="1" applyAlignment="1">
      <alignment horizontal="center" vertical="center"/>
    </xf>
    <xf numFmtId="0" fontId="279" fillId="37" borderId="117" xfId="0" applyFont="1" applyFill="1" applyBorder="1"/>
    <xf numFmtId="0" fontId="279" fillId="37" borderId="117" xfId="0" applyFont="1" applyFill="1" applyBorder="1" applyAlignment="1">
      <alignment horizontal="center"/>
    </xf>
    <xf numFmtId="179" fontId="279" fillId="37" borderId="117" xfId="0" applyNumberFormat="1" applyFont="1" applyFill="1" applyBorder="1" applyAlignment="1">
      <alignment horizontal="center" vertical="center"/>
    </xf>
    <xf numFmtId="183" fontId="279" fillId="37" borderId="117" xfId="0" applyNumberFormat="1" applyFont="1" applyFill="1" applyBorder="1" applyAlignment="1">
      <alignment horizontal="center" vertical="center"/>
    </xf>
    <xf numFmtId="4" fontId="279" fillId="37" borderId="117" xfId="0" applyNumberFormat="1" applyFont="1" applyFill="1" applyBorder="1" applyAlignment="1">
      <alignment horizontal="center" vertical="center"/>
    </xf>
    <xf numFmtId="9" fontId="279" fillId="37" borderId="117" xfId="322" applyFont="1" applyFill="1" applyBorder="1" applyAlignment="1">
      <alignment horizontal="center" vertical="center"/>
    </xf>
    <xf numFmtId="185" fontId="279" fillId="37" borderId="117" xfId="322" applyNumberFormat="1" applyFont="1" applyFill="1" applyBorder="1" applyAlignment="1">
      <alignment horizontal="center" vertical="center"/>
    </xf>
    <xf numFmtId="182" fontId="279" fillId="37" borderId="117" xfId="0" applyNumberFormat="1" applyFont="1" applyFill="1" applyBorder="1" applyAlignment="1">
      <alignment horizontal="center" vertical="center"/>
    </xf>
    <xf numFmtId="0" fontId="279" fillId="37" borderId="117" xfId="0" applyFont="1" applyFill="1" applyBorder="1" applyAlignment="1">
      <alignment horizontal="center" vertical="center"/>
    </xf>
    <xf numFmtId="176" fontId="279" fillId="37" borderId="117" xfId="0" applyNumberFormat="1" applyFont="1" applyFill="1" applyBorder="1" applyAlignment="1">
      <alignment vertical="center"/>
    </xf>
    <xf numFmtId="3" fontId="279" fillId="37" borderId="117" xfId="0" applyNumberFormat="1" applyFont="1" applyFill="1" applyBorder="1" applyAlignment="1">
      <alignment horizontal="center" vertical="center"/>
    </xf>
    <xf numFmtId="176" fontId="279" fillId="37" borderId="117" xfId="0" applyNumberFormat="1" applyFont="1" applyFill="1" applyBorder="1" applyAlignment="1">
      <alignment horizontal="center" vertical="center"/>
    </xf>
    <xf numFmtId="1" fontId="279" fillId="37" borderId="117" xfId="0" applyNumberFormat="1" applyFont="1" applyFill="1" applyBorder="1" applyAlignment="1">
      <alignment horizontal="center" vertical="center"/>
    </xf>
    <xf numFmtId="9" fontId="279" fillId="37" borderId="117" xfId="0" applyNumberFormat="1" applyFont="1" applyFill="1" applyBorder="1" applyAlignment="1">
      <alignment vertical="center"/>
    </xf>
    <xf numFmtId="185" fontId="279" fillId="37" borderId="117" xfId="0" applyNumberFormat="1" applyFont="1" applyFill="1" applyBorder="1" applyAlignment="1">
      <alignment vertical="center"/>
    </xf>
    <xf numFmtId="0" fontId="279" fillId="37" borderId="111" xfId="0" applyFont="1" applyFill="1" applyBorder="1"/>
    <xf numFmtId="0" fontId="279" fillId="37" borderId="111" xfId="0" applyFont="1" applyFill="1" applyBorder="1" applyAlignment="1">
      <alignment horizontal="center"/>
    </xf>
    <xf numFmtId="3" fontId="279" fillId="37" borderId="111" xfId="0" applyNumberFormat="1" applyFont="1" applyFill="1" applyBorder="1" applyAlignment="1">
      <alignment horizontal="center" vertical="center"/>
    </xf>
    <xf numFmtId="4" fontId="279" fillId="37" borderId="111" xfId="0" applyNumberFormat="1" applyFont="1" applyFill="1" applyBorder="1" applyAlignment="1">
      <alignment horizontal="center" vertical="center"/>
    </xf>
    <xf numFmtId="9" fontId="279" fillId="37" borderId="111" xfId="322" applyFont="1" applyFill="1" applyBorder="1" applyAlignment="1">
      <alignment horizontal="center" vertical="center"/>
    </xf>
    <xf numFmtId="185" fontId="279" fillId="37" borderId="111" xfId="322" applyNumberFormat="1" applyFont="1" applyFill="1" applyBorder="1" applyAlignment="1">
      <alignment horizontal="center" vertical="center"/>
    </xf>
    <xf numFmtId="0" fontId="100" fillId="79" borderId="11" xfId="0" applyFont="1" applyFill="1" applyBorder="1" applyAlignment="1">
      <alignment horizontal="center" vertical="center" wrapText="1"/>
    </xf>
    <xf numFmtId="0" fontId="100" fillId="0" borderId="13" xfId="0" applyFont="1" applyBorder="1" applyAlignment="1">
      <alignment horizontal="center" vertical="center" wrapText="1"/>
    </xf>
    <xf numFmtId="0" fontId="219" fillId="37" borderId="11" xfId="0" applyFont="1" applyFill="1" applyBorder="1" applyAlignment="1">
      <alignment horizontal="center" vertical="center"/>
    </xf>
    <xf numFmtId="0" fontId="219" fillId="37" borderId="13" xfId="0" applyFont="1" applyFill="1" applyBorder="1" applyAlignment="1">
      <alignment horizontal="center" vertical="center" wrapText="1"/>
    </xf>
    <xf numFmtId="0" fontId="219" fillId="37" borderId="12" xfId="0" applyFont="1" applyFill="1" applyBorder="1" applyAlignment="1">
      <alignment horizontal="center" vertical="center" wrapText="1"/>
    </xf>
    <xf numFmtId="0" fontId="219" fillId="38" borderId="13" xfId="0" applyFont="1" applyFill="1" applyBorder="1" applyAlignment="1">
      <alignment horizontal="center" vertical="center" wrapText="1"/>
    </xf>
    <xf numFmtId="0" fontId="100" fillId="103" borderId="0" xfId="0" applyFont="1" applyFill="1" applyAlignment="1">
      <alignment vertical="center"/>
    </xf>
    <xf numFmtId="166" fontId="100" fillId="0" borderId="0" xfId="31096" applyFont="1" applyAlignment="1">
      <alignment vertical="center"/>
    </xf>
    <xf numFmtId="0" fontId="51" fillId="37" borderId="141" xfId="0" applyFont="1" applyFill="1" applyBorder="1"/>
    <xf numFmtId="0" fontId="279" fillId="37" borderId="142" xfId="0" applyFont="1" applyFill="1" applyBorder="1"/>
    <xf numFmtId="0" fontId="279" fillId="37" borderId="142" xfId="0" applyFont="1" applyFill="1" applyBorder="1" applyAlignment="1">
      <alignment horizontal="center"/>
    </xf>
    <xf numFmtId="176" fontId="279" fillId="37" borderId="142" xfId="0" applyNumberFormat="1" applyFont="1" applyFill="1" applyBorder="1" applyAlignment="1">
      <alignment horizontal="center" vertical="center"/>
    </xf>
    <xf numFmtId="182" fontId="279" fillId="37" borderId="142" xfId="0" applyNumberFormat="1" applyFont="1" applyFill="1" applyBorder="1" applyAlignment="1">
      <alignment horizontal="center" vertical="center"/>
    </xf>
    <xf numFmtId="4" fontId="279" fillId="37" borderId="142" xfId="0" applyNumberFormat="1" applyFont="1" applyFill="1" applyBorder="1" applyAlignment="1">
      <alignment horizontal="center" vertical="center"/>
    </xf>
    <xf numFmtId="9" fontId="279" fillId="37" borderId="142" xfId="322" applyFont="1" applyFill="1" applyBorder="1" applyAlignment="1">
      <alignment horizontal="center" vertical="center"/>
    </xf>
    <xf numFmtId="185" fontId="279" fillId="37" borderId="142" xfId="322" applyNumberFormat="1" applyFont="1" applyFill="1" applyBorder="1" applyAlignment="1">
      <alignment horizontal="center" vertical="center"/>
    </xf>
    <xf numFmtId="182" fontId="279" fillId="37" borderId="143" xfId="0" applyNumberFormat="1" applyFont="1" applyFill="1" applyBorder="1" applyAlignment="1">
      <alignment horizontal="center" vertical="center"/>
    </xf>
    <xf numFmtId="0" fontId="271" fillId="72" borderId="117" xfId="0" applyFont="1" applyFill="1" applyBorder="1" applyAlignment="1">
      <alignment horizontal="center" vertical="center" wrapText="1"/>
    </xf>
    <xf numFmtId="0" fontId="271" fillId="72" borderId="144" xfId="0" applyFont="1" applyFill="1" applyBorder="1" applyAlignment="1">
      <alignment horizontal="center" vertical="center"/>
    </xf>
    <xf numFmtId="0" fontId="192" fillId="0" borderId="0" xfId="0" applyFont="1"/>
    <xf numFmtId="193" fontId="271" fillId="72" borderId="145" xfId="0" applyNumberFormat="1" applyFont="1" applyFill="1" applyBorder="1" applyAlignment="1">
      <alignment horizontal="center" vertical="center"/>
    </xf>
    <xf numFmtId="166" fontId="192" fillId="0" borderId="41" xfId="31096" applyFont="1" applyFill="1" applyBorder="1"/>
    <xf numFmtId="3" fontId="192" fillId="0" borderId="34" xfId="0" applyNumberFormat="1" applyFont="1" applyBorder="1"/>
    <xf numFmtId="193" fontId="0" fillId="0" borderId="33" xfId="0" applyNumberFormat="1" applyBorder="1"/>
    <xf numFmtId="0" fontId="0" fillId="0" borderId="32" xfId="0" applyBorder="1"/>
    <xf numFmtId="183" fontId="276" fillId="37" borderId="11" xfId="0" applyNumberFormat="1" applyFont="1" applyFill="1" applyBorder="1" applyAlignment="1">
      <alignment horizontal="center"/>
    </xf>
    <xf numFmtId="0" fontId="275" fillId="102" borderId="0" xfId="0" applyFont="1" applyFill="1" applyAlignment="1">
      <alignment horizontal="center" vertical="center"/>
    </xf>
    <xf numFmtId="3" fontId="100" fillId="38" borderId="0" xfId="0" applyNumberFormat="1" applyFont="1" applyFill="1" applyAlignment="1">
      <alignment vertical="center"/>
    </xf>
    <xf numFmtId="3" fontId="276" fillId="37" borderId="43" xfId="0" applyNumberFormat="1" applyFont="1" applyFill="1" applyBorder="1" applyAlignment="1">
      <alignment horizontal="center"/>
    </xf>
    <xf numFmtId="3" fontId="276" fillId="37" borderId="44" xfId="0" applyNumberFormat="1" applyFont="1" applyFill="1" applyBorder="1" applyAlignment="1">
      <alignment horizontal="center"/>
    </xf>
    <xf numFmtId="3" fontId="276" fillId="37" borderId="38" xfId="0" applyNumberFormat="1" applyFont="1" applyFill="1" applyBorder="1" applyAlignment="1">
      <alignment horizontal="center"/>
    </xf>
    <xf numFmtId="3" fontId="276" fillId="37" borderId="0" xfId="0" applyNumberFormat="1" applyFont="1" applyFill="1" applyAlignment="1">
      <alignment horizontal="center"/>
    </xf>
    <xf numFmtId="182" fontId="276" fillId="37" borderId="0" xfId="0" applyNumberFormat="1" applyFont="1" applyFill="1" applyAlignment="1">
      <alignment horizontal="center"/>
    </xf>
    <xf numFmtId="4" fontId="276" fillId="37" borderId="0" xfId="0" applyNumberFormat="1" applyFont="1" applyFill="1" applyAlignment="1">
      <alignment horizontal="center"/>
    </xf>
    <xf numFmtId="0" fontId="271" fillId="72" borderId="146" xfId="0" applyFont="1" applyFill="1" applyBorder="1" applyAlignment="1">
      <alignment horizontal="center" vertical="center"/>
    </xf>
    <xf numFmtId="0" fontId="271" fillId="72" borderId="147" xfId="0" applyFont="1" applyFill="1" applyBorder="1" applyAlignment="1">
      <alignment horizontal="center" vertical="center" wrapText="1"/>
    </xf>
    <xf numFmtId="0" fontId="271" fillId="72" borderId="11" xfId="0" applyFont="1" applyFill="1" applyBorder="1" applyAlignment="1">
      <alignment horizontal="center" vertical="center"/>
    </xf>
    <xf numFmtId="0" fontId="271" fillId="72" borderId="11" xfId="0" applyFont="1" applyFill="1" applyBorder="1" applyAlignment="1">
      <alignment horizontal="center" vertical="center" wrapText="1"/>
    </xf>
    <xf numFmtId="193" fontId="271" fillId="72" borderId="148" xfId="0" applyNumberFormat="1" applyFont="1" applyFill="1" applyBorder="1" applyAlignment="1">
      <alignment horizontal="center" vertical="center"/>
    </xf>
    <xf numFmtId="3" fontId="276" fillId="37" borderId="149" xfId="0" applyNumberFormat="1" applyFont="1" applyFill="1" applyBorder="1" applyAlignment="1">
      <alignment horizontal="center"/>
    </xf>
    <xf numFmtId="4" fontId="276" fillId="37" borderId="149" xfId="0" applyNumberFormat="1" applyFont="1" applyFill="1" applyBorder="1" applyAlignment="1">
      <alignment horizontal="center"/>
    </xf>
    <xf numFmtId="182" fontId="276" fillId="37" borderId="149" xfId="0" applyNumberFormat="1" applyFont="1" applyFill="1" applyBorder="1" applyAlignment="1">
      <alignment horizontal="center"/>
    </xf>
    <xf numFmtId="183" fontId="276" fillId="37" borderId="149" xfId="0" applyNumberFormat="1" applyFont="1" applyFill="1" applyBorder="1" applyAlignment="1">
      <alignment horizontal="center"/>
    </xf>
    <xf numFmtId="181" fontId="276" fillId="37" borderId="149" xfId="0" applyNumberFormat="1" applyFont="1" applyFill="1" applyBorder="1" applyAlignment="1">
      <alignment horizontal="center"/>
    </xf>
    <xf numFmtId="3" fontId="276" fillId="37" borderId="150" xfId="0" applyNumberFormat="1" applyFont="1" applyFill="1" applyBorder="1" applyAlignment="1">
      <alignment horizontal="center"/>
    </xf>
    <xf numFmtId="3" fontId="226" fillId="0" borderId="0" xfId="0" applyNumberFormat="1" applyFont="1" applyAlignment="1">
      <alignment vertical="center"/>
    </xf>
    <xf numFmtId="179" fontId="100" fillId="0" borderId="11" xfId="0" applyNumberFormat="1" applyFont="1" applyBorder="1" applyAlignment="1">
      <alignment vertical="center"/>
    </xf>
    <xf numFmtId="179" fontId="100" fillId="0" borderId="21" xfId="0" applyNumberFormat="1" applyFont="1" applyBorder="1" applyAlignment="1">
      <alignment horizontal="center" vertical="center"/>
    </xf>
    <xf numFmtId="166" fontId="0" fillId="38" borderId="98" xfId="31096" applyFont="1" applyFill="1" applyBorder="1"/>
    <xf numFmtId="0" fontId="281" fillId="104" borderId="11" xfId="0" applyFont="1" applyFill="1" applyBorder="1" applyAlignment="1">
      <alignment horizontal="center" vertical="center"/>
    </xf>
    <xf numFmtId="0" fontId="281" fillId="104" borderId="11" xfId="0" applyFont="1" applyFill="1" applyBorder="1" applyAlignment="1">
      <alignment horizontal="center" vertical="center" wrapText="1"/>
    </xf>
    <xf numFmtId="0" fontId="227" fillId="104" borderId="11" xfId="0" applyFont="1" applyFill="1" applyBorder="1" applyAlignment="1">
      <alignment horizontal="center" vertical="center" wrapText="1"/>
    </xf>
    <xf numFmtId="0" fontId="281" fillId="104" borderId="11" xfId="0" applyFont="1" applyFill="1" applyBorder="1" applyAlignment="1">
      <alignment vertical="center"/>
    </xf>
    <xf numFmtId="0" fontId="227" fillId="104" borderId="11" xfId="0" applyFont="1" applyFill="1" applyBorder="1" applyAlignment="1">
      <alignment horizontal="center" vertical="center"/>
    </xf>
    <xf numFmtId="0" fontId="281" fillId="104" borderId="18" xfId="0" applyFont="1" applyFill="1" applyBorder="1" applyAlignment="1">
      <alignment horizontal="center" vertical="center"/>
    </xf>
    <xf numFmtId="0" fontId="281" fillId="104" borderId="13" xfId="0" applyFont="1" applyFill="1" applyBorder="1" applyAlignment="1">
      <alignment horizontal="center" vertical="center"/>
    </xf>
    <xf numFmtId="0" fontId="281" fillId="104" borderId="20" xfId="0" applyFont="1" applyFill="1" applyBorder="1" applyAlignment="1">
      <alignment horizontal="center" vertical="center"/>
    </xf>
    <xf numFmtId="0" fontId="281" fillId="104" borderId="19" xfId="0" applyFont="1" applyFill="1" applyBorder="1" applyAlignment="1">
      <alignment horizontal="center" vertical="center"/>
    </xf>
    <xf numFmtId="0" fontId="100" fillId="38" borderId="0" xfId="0" applyFont="1" applyFill="1" applyAlignment="1">
      <alignment vertical="center"/>
    </xf>
    <xf numFmtId="183" fontId="94" fillId="38" borderId="0" xfId="0" applyNumberFormat="1" applyFont="1" applyFill="1" applyAlignment="1">
      <alignment horizontal="center"/>
    </xf>
    <xf numFmtId="3" fontId="100" fillId="38" borderId="22" xfId="0" applyNumberFormat="1" applyFont="1" applyFill="1" applyBorder="1" applyAlignment="1">
      <alignment horizontal="center"/>
    </xf>
    <xf numFmtId="176" fontId="0" fillId="38" borderId="0" xfId="0" applyNumberFormat="1" applyFill="1" applyAlignment="1">
      <alignment vertical="center"/>
    </xf>
    <xf numFmtId="2" fontId="100" fillId="0" borderId="16" xfId="0" applyNumberFormat="1" applyFont="1" applyBorder="1" applyAlignment="1">
      <alignment horizontal="center" vertical="center"/>
    </xf>
    <xf numFmtId="0" fontId="192" fillId="105" borderId="0" xfId="0" applyFont="1" applyFill="1" applyAlignment="1">
      <alignment horizontal="center" vertical="center"/>
    </xf>
    <xf numFmtId="176" fontId="110" fillId="89" borderId="11" xfId="306" applyNumberFormat="1" applyFont="1" applyFill="1" applyBorder="1" applyAlignment="1">
      <alignment horizontal="center" vertical="center"/>
    </xf>
    <xf numFmtId="179" fontId="113" fillId="89" borderId="11" xfId="306" applyNumberFormat="1" applyFont="1" applyFill="1" applyBorder="1" applyAlignment="1" applyProtection="1">
      <alignment horizontal="center" vertical="center"/>
      <protection locked="0"/>
    </xf>
    <xf numFmtId="179" fontId="113" fillId="89" borderId="0" xfId="306" applyNumberFormat="1" applyFont="1" applyFill="1" applyAlignment="1">
      <alignment horizontal="center" vertical="center"/>
    </xf>
    <xf numFmtId="176" fontId="113" fillId="89" borderId="11" xfId="306" applyNumberFormat="1" applyFont="1" applyFill="1" applyBorder="1" applyAlignment="1">
      <alignment horizontal="center" vertical="center"/>
    </xf>
    <xf numFmtId="178" fontId="113" fillId="89" borderId="11" xfId="229" applyNumberFormat="1" applyFont="1" applyFill="1" applyBorder="1" applyAlignment="1">
      <alignment horizontal="center" vertical="center"/>
    </xf>
    <xf numFmtId="247" fontId="113" fillId="89" borderId="11" xfId="229" applyNumberFormat="1" applyFont="1" applyFill="1" applyBorder="1" applyAlignment="1">
      <alignment horizontal="center" vertical="center"/>
    </xf>
    <xf numFmtId="3" fontId="113" fillId="89" borderId="0" xfId="306" applyNumberFormat="1" applyFont="1" applyFill="1" applyAlignment="1">
      <alignment horizontal="center" vertical="center"/>
    </xf>
    <xf numFmtId="179" fontId="110" fillId="89" borderId="11" xfId="306" applyNumberFormat="1" applyFont="1" applyFill="1" applyBorder="1" applyAlignment="1">
      <alignment horizontal="center" vertical="center"/>
    </xf>
    <xf numFmtId="3" fontId="110" fillId="89" borderId="11" xfId="306" applyNumberFormat="1" applyFont="1" applyFill="1" applyBorder="1" applyAlignment="1">
      <alignment horizontal="center" vertical="center"/>
    </xf>
    <xf numFmtId="1" fontId="110" fillId="89" borderId="11" xfId="306" applyNumberFormat="1" applyFont="1" applyFill="1" applyBorder="1" applyAlignment="1">
      <alignment horizontal="center" vertical="center"/>
    </xf>
    <xf numFmtId="2" fontId="110" fillId="89" borderId="11" xfId="306" applyNumberFormat="1" applyFont="1" applyFill="1" applyBorder="1" applyAlignment="1">
      <alignment horizontal="center" vertical="center"/>
    </xf>
    <xf numFmtId="183" fontId="110" fillId="89" borderId="11" xfId="306" applyNumberFormat="1" applyFont="1" applyFill="1" applyBorder="1" applyAlignment="1">
      <alignment horizontal="center" vertical="center"/>
    </xf>
    <xf numFmtId="3" fontId="110" fillId="89" borderId="0" xfId="306" applyNumberFormat="1" applyFont="1" applyFill="1" applyAlignment="1">
      <alignment horizontal="center" vertical="center"/>
    </xf>
    <xf numFmtId="169" fontId="113" fillId="89" borderId="0" xfId="306" applyNumberFormat="1" applyFont="1" applyFill="1" applyAlignment="1">
      <alignment horizontal="center" vertical="center"/>
    </xf>
    <xf numFmtId="176" fontId="113" fillId="90" borderId="11" xfId="306" applyNumberFormat="1" applyFont="1" applyFill="1" applyBorder="1" applyAlignment="1">
      <alignment horizontal="center" vertical="center"/>
    </xf>
    <xf numFmtId="178" fontId="113" fillId="90" borderId="11" xfId="229" applyNumberFormat="1" applyFont="1" applyFill="1" applyBorder="1" applyAlignment="1">
      <alignment horizontal="center" vertical="center"/>
    </xf>
    <xf numFmtId="247" fontId="113" fillId="90" borderId="11" xfId="229" applyNumberFormat="1" applyFont="1" applyFill="1" applyBorder="1" applyAlignment="1">
      <alignment horizontal="center" vertical="center"/>
    </xf>
    <xf numFmtId="3" fontId="113" fillId="90" borderId="0" xfId="306" applyNumberFormat="1" applyFont="1" applyFill="1" applyAlignment="1">
      <alignment horizontal="center" vertical="center"/>
    </xf>
    <xf numFmtId="179" fontId="110" fillId="90" borderId="11" xfId="306" applyNumberFormat="1" applyFont="1" applyFill="1" applyBorder="1" applyAlignment="1">
      <alignment horizontal="center" vertical="center"/>
    </xf>
    <xf numFmtId="176" fontId="110" fillId="90" borderId="11" xfId="306" applyNumberFormat="1" applyFont="1" applyFill="1" applyBorder="1" applyAlignment="1">
      <alignment horizontal="center" vertical="center"/>
    </xf>
    <xf numFmtId="3" fontId="110" fillId="90" borderId="11" xfId="306" applyNumberFormat="1" applyFont="1" applyFill="1" applyBorder="1" applyAlignment="1">
      <alignment horizontal="center" vertical="center"/>
    </xf>
    <xf numFmtId="1" fontId="110" fillId="90" borderId="11" xfId="306" applyNumberFormat="1" applyFont="1" applyFill="1" applyBorder="1" applyAlignment="1">
      <alignment horizontal="center" vertical="center"/>
    </xf>
    <xf numFmtId="2" fontId="110" fillId="90" borderId="11" xfId="306" applyNumberFormat="1" applyFont="1" applyFill="1" applyBorder="1" applyAlignment="1">
      <alignment horizontal="center" vertical="center"/>
    </xf>
    <xf numFmtId="183" fontId="110" fillId="90" borderId="11" xfId="306" applyNumberFormat="1" applyFont="1" applyFill="1" applyBorder="1" applyAlignment="1">
      <alignment horizontal="center" vertical="center"/>
    </xf>
    <xf numFmtId="3" fontId="110" fillId="90" borderId="0" xfId="306" applyNumberFormat="1" applyFont="1" applyFill="1" applyAlignment="1">
      <alignment horizontal="center" vertical="center"/>
    </xf>
    <xf numFmtId="169" fontId="113" fillId="90" borderId="0" xfId="306" applyNumberFormat="1" applyFont="1" applyFill="1" applyAlignment="1">
      <alignment horizontal="center" vertical="center"/>
    </xf>
    <xf numFmtId="179" fontId="113" fillId="90" borderId="11" xfId="306" applyNumberFormat="1" applyFont="1" applyFill="1" applyBorder="1" applyAlignment="1" applyProtection="1">
      <alignment horizontal="center" vertical="center"/>
      <protection locked="0"/>
    </xf>
    <xf numFmtId="179" fontId="113" fillId="90" borderId="0" xfId="306" applyNumberFormat="1" applyFont="1" applyFill="1" applyAlignment="1">
      <alignment horizontal="center" vertical="center"/>
    </xf>
    <xf numFmtId="3" fontId="114" fillId="37" borderId="0" xfId="233" applyNumberFormat="1" applyFont="1" applyFill="1" applyBorder="1" applyAlignment="1" applyProtection="1">
      <alignment horizontal="center" vertical="center"/>
      <protection hidden="1"/>
    </xf>
    <xf numFmtId="3" fontId="113" fillId="37" borderId="0" xfId="233" applyNumberFormat="1" applyFont="1" applyFill="1" applyBorder="1" applyAlignment="1" applyProtection="1">
      <alignment horizontal="center" vertical="center"/>
      <protection hidden="1"/>
    </xf>
    <xf numFmtId="2" fontId="100" fillId="0" borderId="12" xfId="0" applyNumberFormat="1" applyFont="1" applyBorder="1" applyAlignment="1">
      <alignment horizontal="center" vertical="center"/>
    </xf>
    <xf numFmtId="182" fontId="0" fillId="0" borderId="11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3" fontId="0" fillId="0" borderId="21" xfId="0" applyNumberFormat="1" applyBorder="1" applyAlignment="1">
      <alignment horizontal="center"/>
    </xf>
    <xf numFmtId="4" fontId="0" fillId="0" borderId="22" xfId="0" applyNumberFormat="1" applyBorder="1" applyAlignment="1">
      <alignment horizontal="center"/>
    </xf>
    <xf numFmtId="3" fontId="0" fillId="0" borderId="22" xfId="0" applyNumberFormat="1" applyBorder="1" applyAlignment="1">
      <alignment horizontal="center"/>
    </xf>
    <xf numFmtId="0" fontId="0" fillId="0" borderId="14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183" fontId="0" fillId="0" borderId="14" xfId="0" applyNumberFormat="1" applyBorder="1" applyAlignment="1">
      <alignment horizontal="center"/>
    </xf>
    <xf numFmtId="182" fontId="0" fillId="0" borderId="22" xfId="0" applyNumberFormat="1" applyBorder="1" applyAlignment="1">
      <alignment horizontal="center"/>
    </xf>
    <xf numFmtId="2" fontId="0" fillId="0" borderId="11" xfId="0" applyNumberFormat="1" applyBorder="1" applyAlignment="1">
      <alignment horizontal="center" vertical="center"/>
    </xf>
    <xf numFmtId="1" fontId="0" fillId="0" borderId="11" xfId="0" applyNumberFormat="1" applyBorder="1" applyAlignment="1">
      <alignment vertical="center"/>
    </xf>
    <xf numFmtId="0" fontId="0" fillId="0" borderId="14" xfId="0" applyBorder="1" applyAlignment="1">
      <alignment vertical="center"/>
    </xf>
    <xf numFmtId="1" fontId="94" fillId="37" borderId="0" xfId="0" applyNumberFormat="1" applyFont="1" applyFill="1" applyAlignment="1">
      <alignment horizontal="center" vertical="center"/>
    </xf>
    <xf numFmtId="3" fontId="94" fillId="37" borderId="0" xfId="0" applyNumberFormat="1" applyFont="1" applyFill="1" applyAlignment="1">
      <alignment horizontal="center" vertical="center"/>
    </xf>
    <xf numFmtId="0" fontId="166" fillId="106" borderId="0" xfId="0" applyFont="1" applyFill="1" applyAlignment="1">
      <alignment horizontal="center" vertical="center"/>
    </xf>
    <xf numFmtId="1" fontId="0" fillId="37" borderId="99" xfId="0" applyNumberFormat="1" applyFill="1" applyBorder="1" applyAlignment="1">
      <alignment horizontal="center"/>
    </xf>
    <xf numFmtId="4" fontId="94" fillId="0" borderId="125" xfId="234" applyNumberFormat="1" applyFont="1" applyBorder="1" applyAlignment="1">
      <alignment horizontal="center"/>
    </xf>
    <xf numFmtId="199" fontId="0" fillId="37" borderId="101" xfId="234" applyNumberFormat="1" applyFont="1" applyFill="1" applyBorder="1" applyAlignment="1">
      <alignment horizontal="center"/>
    </xf>
    <xf numFmtId="166" fontId="51" fillId="37" borderId="0" xfId="0" applyNumberFormat="1" applyFont="1" applyFill="1"/>
    <xf numFmtId="9" fontId="51" fillId="95" borderId="117" xfId="322" applyFont="1" applyFill="1" applyBorder="1" applyAlignment="1">
      <alignment horizontal="center" vertical="center"/>
    </xf>
    <xf numFmtId="4" fontId="51" fillId="95" borderId="117" xfId="0" applyNumberFormat="1" applyFont="1" applyFill="1" applyBorder="1" applyAlignment="1">
      <alignment horizontal="center" vertical="center"/>
    </xf>
    <xf numFmtId="9" fontId="51" fillId="37" borderId="117" xfId="322" applyFont="1" applyFill="1" applyBorder="1" applyAlignment="1">
      <alignment horizontal="center" vertical="center"/>
    </xf>
    <xf numFmtId="4" fontId="210" fillId="37" borderId="117" xfId="0" applyNumberFormat="1" applyFont="1" applyFill="1" applyBorder="1" applyAlignment="1">
      <alignment horizontal="center" vertical="center"/>
    </xf>
    <xf numFmtId="179" fontId="51" fillId="37" borderId="117" xfId="322" applyNumberFormat="1" applyFont="1" applyFill="1" applyBorder="1" applyAlignment="1">
      <alignment horizontal="center" vertical="center"/>
    </xf>
    <xf numFmtId="0" fontId="51" fillId="37" borderId="143" xfId="0" applyFont="1" applyFill="1" applyBorder="1"/>
    <xf numFmtId="0" fontId="51" fillId="37" borderId="143" xfId="0" applyFont="1" applyFill="1" applyBorder="1" applyAlignment="1">
      <alignment horizontal="center"/>
    </xf>
    <xf numFmtId="176" fontId="51" fillId="37" borderId="143" xfId="0" applyNumberFormat="1" applyFont="1" applyFill="1" applyBorder="1" applyAlignment="1">
      <alignment horizontal="center" vertical="center"/>
    </xf>
    <xf numFmtId="4" fontId="51" fillId="37" borderId="143" xfId="0" applyNumberFormat="1" applyFont="1" applyFill="1" applyBorder="1" applyAlignment="1">
      <alignment horizontal="center" vertical="center"/>
    </xf>
    <xf numFmtId="9" fontId="51" fillId="37" borderId="143" xfId="322" applyFont="1" applyFill="1" applyBorder="1" applyAlignment="1">
      <alignment horizontal="center" vertical="center"/>
    </xf>
    <xf numFmtId="182" fontId="51" fillId="37" borderId="143" xfId="0" applyNumberFormat="1" applyFont="1" applyFill="1" applyBorder="1" applyAlignment="1">
      <alignment horizontal="center" vertical="center"/>
    </xf>
    <xf numFmtId="185" fontId="51" fillId="37" borderId="143" xfId="322" applyNumberFormat="1" applyFont="1" applyFill="1" applyBorder="1" applyAlignment="1">
      <alignment horizontal="center" vertical="center"/>
    </xf>
    <xf numFmtId="2" fontId="51" fillId="37" borderId="0" xfId="322" applyNumberFormat="1" applyFont="1" applyFill="1"/>
    <xf numFmtId="0" fontId="211" fillId="72" borderId="102" xfId="0" applyFont="1" applyFill="1" applyBorder="1" applyAlignment="1">
      <alignment horizontal="center" vertical="center"/>
    </xf>
    <xf numFmtId="0" fontId="211" fillId="72" borderId="114" xfId="0" applyFont="1" applyFill="1" applyBorder="1" applyAlignment="1">
      <alignment horizontal="center" vertical="center"/>
    </xf>
    <xf numFmtId="0" fontId="51" fillId="0" borderId="98" xfId="0" applyFont="1" applyBorder="1"/>
    <xf numFmtId="166" fontId="51" fillId="78" borderId="111" xfId="31096" applyFont="1" applyFill="1" applyBorder="1"/>
    <xf numFmtId="2" fontId="51" fillId="78" borderId="98" xfId="0" applyNumberFormat="1" applyFont="1" applyFill="1" applyBorder="1" applyAlignment="1">
      <alignment horizontal="center"/>
    </xf>
    <xf numFmtId="166" fontId="51" fillId="0" borderId="98" xfId="31096" applyFont="1" applyFill="1" applyBorder="1"/>
    <xf numFmtId="166" fontId="51" fillId="89" borderId="98" xfId="31096" applyFont="1" applyFill="1" applyBorder="1" applyAlignment="1">
      <alignment horizontal="right"/>
    </xf>
    <xf numFmtId="0" fontId="208" fillId="0" borderId="98" xfId="303" applyFont="1" applyBorder="1" applyAlignment="1">
      <alignment horizontal="left" vertical="center"/>
    </xf>
    <xf numFmtId="166" fontId="51" fillId="89" borderId="98" xfId="31096" applyFont="1" applyFill="1" applyBorder="1"/>
    <xf numFmtId="2" fontId="51" fillId="89" borderId="98" xfId="0" applyNumberFormat="1" applyFont="1" applyFill="1" applyBorder="1" applyAlignment="1">
      <alignment horizontal="center"/>
    </xf>
    <xf numFmtId="182" fontId="208" fillId="0" borderId="98" xfId="303" applyNumberFormat="1" applyFont="1" applyBorder="1"/>
    <xf numFmtId="179" fontId="279" fillId="108" borderId="117" xfId="0" applyNumberFormat="1" applyFont="1" applyFill="1" applyBorder="1" applyAlignment="1">
      <alignment horizontal="center" vertical="center"/>
    </xf>
    <xf numFmtId="182" fontId="279" fillId="108" borderId="117" xfId="0" applyNumberFormat="1" applyFont="1" applyFill="1" applyBorder="1" applyAlignment="1">
      <alignment horizontal="center" vertical="center"/>
    </xf>
    <xf numFmtId="183" fontId="279" fillId="108" borderId="117" xfId="0" applyNumberFormat="1" applyFont="1" applyFill="1" applyBorder="1" applyAlignment="1">
      <alignment horizontal="center" vertical="center"/>
    </xf>
    <xf numFmtId="185" fontId="279" fillId="108" borderId="117" xfId="322" applyNumberFormat="1" applyFont="1" applyFill="1" applyBorder="1" applyAlignment="1">
      <alignment horizontal="center" vertical="center"/>
    </xf>
    <xf numFmtId="185" fontId="279" fillId="108" borderId="117" xfId="0" applyNumberFormat="1" applyFont="1" applyFill="1" applyBorder="1" applyAlignment="1">
      <alignment horizontal="center" vertical="center"/>
    </xf>
    <xf numFmtId="0" fontId="279" fillId="108" borderId="117" xfId="0" applyFont="1" applyFill="1" applyBorder="1" applyAlignment="1">
      <alignment horizontal="center" vertical="center"/>
    </xf>
    <xf numFmtId="4" fontId="279" fillId="108" borderId="117" xfId="0" applyNumberFormat="1" applyFont="1" applyFill="1" applyBorder="1" applyAlignment="1">
      <alignment horizontal="center" vertical="center"/>
    </xf>
    <xf numFmtId="3" fontId="279" fillId="108" borderId="117" xfId="0" applyNumberFormat="1" applyFont="1" applyFill="1" applyBorder="1" applyAlignment="1">
      <alignment horizontal="center" vertical="center"/>
    </xf>
    <xf numFmtId="176" fontId="279" fillId="108" borderId="117" xfId="0" applyNumberFormat="1" applyFont="1" applyFill="1" applyBorder="1" applyAlignment="1">
      <alignment horizontal="center" vertical="center"/>
    </xf>
    <xf numFmtId="2" fontId="279" fillId="108" borderId="117" xfId="0" applyNumberFormat="1" applyFont="1" applyFill="1" applyBorder="1" applyAlignment="1">
      <alignment horizontal="center" vertical="center"/>
    </xf>
    <xf numFmtId="1" fontId="279" fillId="108" borderId="117" xfId="0" applyNumberFormat="1" applyFont="1" applyFill="1" applyBorder="1" applyAlignment="1">
      <alignment horizontal="center" vertical="center"/>
    </xf>
    <xf numFmtId="176" fontId="279" fillId="108" borderId="143" xfId="0" applyNumberFormat="1" applyFont="1" applyFill="1" applyBorder="1" applyAlignment="1">
      <alignment horizontal="center" vertical="center"/>
    </xf>
    <xf numFmtId="182" fontId="279" fillId="108" borderId="143" xfId="0" applyNumberFormat="1" applyFont="1" applyFill="1" applyBorder="1" applyAlignment="1">
      <alignment horizontal="center" vertical="center"/>
    </xf>
    <xf numFmtId="185" fontId="279" fillId="108" borderId="143" xfId="322" applyNumberFormat="1" applyFont="1" applyFill="1" applyBorder="1" applyAlignment="1">
      <alignment horizontal="center" vertical="center"/>
    </xf>
    <xf numFmtId="0" fontId="280" fillId="72" borderId="98" xfId="0" applyFont="1" applyFill="1" applyBorder="1" applyAlignment="1">
      <alignment horizontal="center" vertical="center"/>
    </xf>
    <xf numFmtId="0" fontId="270" fillId="107" borderId="0" xfId="0" applyFont="1" applyFill="1"/>
    <xf numFmtId="0" fontId="166" fillId="106" borderId="151" xfId="0" applyFont="1" applyFill="1" applyBorder="1" applyAlignment="1">
      <alignment horizontal="center" vertical="center"/>
    </xf>
    <xf numFmtId="1" fontId="0" fillId="0" borderId="152" xfId="0" applyNumberFormat="1" applyBorder="1" applyAlignment="1">
      <alignment horizontal="center"/>
    </xf>
    <xf numFmtId="0" fontId="0" fillId="0" borderId="152" xfId="0" applyBorder="1" applyAlignment="1">
      <alignment horizontal="center"/>
    </xf>
    <xf numFmtId="2" fontId="0" fillId="0" borderId="152" xfId="0" applyNumberFormat="1" applyBorder="1" applyAlignment="1">
      <alignment horizontal="center"/>
    </xf>
    <xf numFmtId="0" fontId="0" fillId="0" borderId="0" xfId="0" pivotButton="1"/>
    <xf numFmtId="181" fontId="51" fillId="37" borderId="117" xfId="0" applyNumberFormat="1" applyFont="1" applyFill="1" applyBorder="1" applyAlignment="1">
      <alignment vertical="center"/>
    </xf>
    <xf numFmtId="181" fontId="51" fillId="37" borderId="117" xfId="0" applyNumberFormat="1" applyFont="1" applyFill="1" applyBorder="1" applyAlignment="1">
      <alignment horizontal="center" vertical="center"/>
    </xf>
    <xf numFmtId="181" fontId="51" fillId="37" borderId="117" xfId="322" applyNumberFormat="1" applyFont="1" applyFill="1" applyBorder="1" applyAlignment="1">
      <alignment horizontal="center" vertical="center"/>
    </xf>
    <xf numFmtId="0" fontId="166" fillId="106" borderId="154" xfId="0" applyFont="1" applyFill="1" applyBorder="1" applyAlignment="1">
      <alignment horizontal="center" vertical="center"/>
    </xf>
    <xf numFmtId="2" fontId="100" fillId="37" borderId="0" xfId="0" applyNumberFormat="1" applyFont="1" applyFill="1" applyAlignment="1">
      <alignment horizontal="center" vertical="center"/>
    </xf>
    <xf numFmtId="182" fontId="103" fillId="37" borderId="0" xfId="0" applyNumberFormat="1" applyFont="1" applyFill="1" applyAlignment="1">
      <alignment horizontal="center"/>
    </xf>
    <xf numFmtId="176" fontId="100" fillId="37" borderId="0" xfId="0" applyNumberFormat="1" applyFont="1" applyFill="1" applyAlignment="1">
      <alignment vertical="center"/>
    </xf>
    <xf numFmtId="208" fontId="100" fillId="37" borderId="0" xfId="0" applyNumberFormat="1" applyFont="1" applyFill="1" applyAlignment="1">
      <alignment vertical="center"/>
    </xf>
    <xf numFmtId="189" fontId="100" fillId="37" borderId="0" xfId="0" applyNumberFormat="1" applyFont="1" applyFill="1" applyAlignment="1">
      <alignment horizontal="center" vertical="center"/>
    </xf>
    <xf numFmtId="166" fontId="0" fillId="0" borderId="0" xfId="31096" applyFont="1" applyAlignment="1">
      <alignment vertical="center"/>
    </xf>
    <xf numFmtId="0" fontId="100" fillId="25" borderId="0" xfId="0" applyFont="1" applyFill="1" applyAlignment="1">
      <alignment horizontal="center" vertical="center"/>
    </xf>
    <xf numFmtId="179" fontId="100" fillId="0" borderId="14" xfId="0" applyNumberFormat="1" applyFont="1" applyBorder="1" applyAlignment="1">
      <alignment horizontal="center" vertical="center"/>
    </xf>
    <xf numFmtId="213" fontId="0" fillId="0" borderId="0" xfId="31096" applyNumberFormat="1" applyFont="1" applyAlignment="1">
      <alignment horizontal="center"/>
    </xf>
    <xf numFmtId="0" fontId="0" fillId="105" borderId="0" xfId="0" applyFill="1" applyAlignment="1">
      <alignment vertical="center"/>
    </xf>
    <xf numFmtId="0" fontId="286" fillId="37" borderId="0" xfId="0" applyFont="1" applyFill="1"/>
    <xf numFmtId="179" fontId="286" fillId="37" borderId="0" xfId="0" applyNumberFormat="1" applyFont="1" applyFill="1"/>
    <xf numFmtId="0" fontId="286" fillId="0" borderId="0" xfId="0" applyFont="1"/>
    <xf numFmtId="0" fontId="286" fillId="37" borderId="97" xfId="0" applyFont="1" applyFill="1" applyBorder="1"/>
    <xf numFmtId="0" fontId="286" fillId="37" borderId="96" xfId="0" applyFont="1" applyFill="1" applyBorder="1"/>
    <xf numFmtId="0" fontId="286" fillId="37" borderId="95" xfId="0" applyFont="1" applyFill="1" applyBorder="1"/>
    <xf numFmtId="189" fontId="287" fillId="37" borderId="0" xfId="0" applyNumberFormat="1" applyFont="1" applyFill="1" applyAlignment="1">
      <alignment horizontal="left"/>
    </xf>
    <xf numFmtId="0" fontId="287" fillId="37" borderId="0" xfId="0" applyFont="1" applyFill="1" applyAlignment="1">
      <alignment vertical="center"/>
    </xf>
    <xf numFmtId="0" fontId="288" fillId="0" borderId="0" xfId="0" applyFont="1" applyAlignment="1">
      <alignment horizontal="center" vertical="center"/>
    </xf>
    <xf numFmtId="0" fontId="286" fillId="37" borderId="16" xfId="0" applyFont="1" applyFill="1" applyBorder="1"/>
    <xf numFmtId="0" fontId="169" fillId="78" borderId="0" xfId="0" applyFont="1" applyFill="1"/>
    <xf numFmtId="0" fontId="288" fillId="78" borderId="0" xfId="0" applyFont="1" applyFill="1"/>
    <xf numFmtId="0" fontId="286" fillId="37" borderId="17" xfId="0" applyFont="1" applyFill="1" applyBorder="1"/>
    <xf numFmtId="0" fontId="287" fillId="37" borderId="0" xfId="0" applyFont="1" applyFill="1"/>
    <xf numFmtId="0" fontId="286" fillId="37" borderId="99" xfId="0" applyFont="1" applyFill="1" applyBorder="1" applyAlignment="1">
      <alignment horizontal="center"/>
    </xf>
    <xf numFmtId="0" fontId="288" fillId="91" borderId="118" xfId="0" applyFont="1" applyFill="1" applyBorder="1" applyAlignment="1">
      <alignment horizontal="center" vertical="center"/>
    </xf>
    <xf numFmtId="0" fontId="288" fillId="72" borderId="118" xfId="0" applyFont="1" applyFill="1" applyBorder="1" applyAlignment="1">
      <alignment horizontal="center" vertical="center"/>
    </xf>
    <xf numFmtId="0" fontId="288" fillId="109" borderId="118" xfId="0" applyFont="1" applyFill="1" applyBorder="1" applyAlignment="1">
      <alignment horizontal="center" vertical="center"/>
    </xf>
    <xf numFmtId="0" fontId="289" fillId="37" borderId="0" xfId="0" applyFont="1" applyFill="1"/>
    <xf numFmtId="0" fontId="289" fillId="37" borderId="17" xfId="0" applyFont="1" applyFill="1" applyBorder="1"/>
    <xf numFmtId="0" fontId="286" fillId="95" borderId="117" xfId="0" applyFont="1" applyFill="1" applyBorder="1"/>
    <xf numFmtId="0" fontId="286" fillId="95" borderId="117" xfId="0" applyFont="1" applyFill="1" applyBorder="1" applyAlignment="1">
      <alignment horizontal="center"/>
    </xf>
    <xf numFmtId="179" fontId="286" fillId="95" borderId="117" xfId="0" applyNumberFormat="1" applyFont="1" applyFill="1" applyBorder="1" applyAlignment="1">
      <alignment horizontal="center" vertical="center"/>
    </xf>
    <xf numFmtId="183" fontId="286" fillId="95" borderId="117" xfId="0" applyNumberFormat="1" applyFont="1" applyFill="1" applyBorder="1" applyAlignment="1">
      <alignment horizontal="center" vertical="center"/>
    </xf>
    <xf numFmtId="9" fontId="286" fillId="95" borderId="117" xfId="322" applyFont="1" applyFill="1" applyBorder="1" applyAlignment="1">
      <alignment horizontal="center" vertical="center"/>
    </xf>
    <xf numFmtId="185" fontId="286" fillId="95" borderId="117" xfId="322" applyNumberFormat="1" applyFont="1" applyFill="1" applyBorder="1" applyAlignment="1">
      <alignment horizontal="center" vertical="center"/>
    </xf>
    <xf numFmtId="185" fontId="286" fillId="0" borderId="0" xfId="322" applyNumberFormat="1" applyFont="1" applyFill="1" applyBorder="1" applyAlignment="1">
      <alignment horizontal="center" vertical="center"/>
    </xf>
    <xf numFmtId="0" fontId="286" fillId="37" borderId="117" xfId="0" applyFont="1" applyFill="1" applyBorder="1"/>
    <xf numFmtId="0" fontId="286" fillId="37" borderId="117" xfId="0" applyFont="1" applyFill="1" applyBorder="1" applyAlignment="1">
      <alignment horizontal="center"/>
    </xf>
    <xf numFmtId="179" fontId="286" fillId="37" borderId="117" xfId="0" applyNumberFormat="1" applyFont="1" applyFill="1" applyBorder="1" applyAlignment="1">
      <alignment horizontal="center" vertical="center"/>
    </xf>
    <xf numFmtId="183" fontId="286" fillId="37" borderId="117" xfId="0" applyNumberFormat="1" applyFont="1" applyFill="1" applyBorder="1" applyAlignment="1">
      <alignment horizontal="center" vertical="center"/>
    </xf>
    <xf numFmtId="9" fontId="286" fillId="37" borderId="117" xfId="322" applyFont="1" applyFill="1" applyBorder="1" applyAlignment="1">
      <alignment horizontal="center" vertical="center"/>
    </xf>
    <xf numFmtId="185" fontId="286" fillId="37" borderId="117" xfId="322" applyNumberFormat="1" applyFont="1" applyFill="1" applyBorder="1" applyAlignment="1">
      <alignment horizontal="center" vertical="center"/>
    </xf>
    <xf numFmtId="185" fontId="286" fillId="37" borderId="117" xfId="0" applyNumberFormat="1" applyFont="1" applyFill="1" applyBorder="1" applyAlignment="1">
      <alignment horizontal="center" vertical="center"/>
    </xf>
    <xf numFmtId="182" fontId="286" fillId="37" borderId="117" xfId="0" applyNumberFormat="1" applyFont="1" applyFill="1" applyBorder="1" applyAlignment="1">
      <alignment horizontal="center" vertical="center"/>
    </xf>
    <xf numFmtId="185" fontId="286" fillId="0" borderId="0" xfId="0" applyNumberFormat="1" applyFont="1" applyAlignment="1">
      <alignment horizontal="center" vertical="center"/>
    </xf>
    <xf numFmtId="179" fontId="286" fillId="37" borderId="16" xfId="0" applyNumberFormat="1" applyFont="1" applyFill="1" applyBorder="1"/>
    <xf numFmtId="4" fontId="286" fillId="37" borderId="117" xfId="0" applyNumberFormat="1" applyFont="1" applyFill="1" applyBorder="1" applyAlignment="1">
      <alignment horizontal="center" vertical="center"/>
    </xf>
    <xf numFmtId="0" fontId="286" fillId="37" borderId="117" xfId="0" applyFont="1" applyFill="1" applyBorder="1" applyAlignment="1">
      <alignment horizontal="center" vertical="center"/>
    </xf>
    <xf numFmtId="176" fontId="286" fillId="37" borderId="117" xfId="0" applyNumberFormat="1" applyFont="1" applyFill="1" applyBorder="1" applyAlignment="1">
      <alignment vertical="center"/>
    </xf>
    <xf numFmtId="3" fontId="286" fillId="37" borderId="117" xfId="0" applyNumberFormat="1" applyFont="1" applyFill="1" applyBorder="1" applyAlignment="1">
      <alignment horizontal="center" vertical="center"/>
    </xf>
    <xf numFmtId="10" fontId="286" fillId="37" borderId="117" xfId="322" applyNumberFormat="1" applyFont="1" applyFill="1" applyBorder="1" applyAlignment="1">
      <alignment horizontal="center" vertical="center"/>
    </xf>
    <xf numFmtId="1" fontId="286" fillId="37" borderId="16" xfId="0" applyNumberFormat="1" applyFont="1" applyFill="1" applyBorder="1"/>
    <xf numFmtId="4" fontId="286" fillId="37" borderId="0" xfId="0" applyNumberFormat="1" applyFont="1" applyFill="1"/>
    <xf numFmtId="176" fontId="286" fillId="37" borderId="117" xfId="0" applyNumberFormat="1" applyFont="1" applyFill="1" applyBorder="1" applyAlignment="1">
      <alignment horizontal="center" vertical="center"/>
    </xf>
    <xf numFmtId="176" fontId="286" fillId="37" borderId="16" xfId="0" applyNumberFormat="1" applyFont="1" applyFill="1" applyBorder="1"/>
    <xf numFmtId="2" fontId="286" fillId="37" borderId="117" xfId="0" applyNumberFormat="1" applyFont="1" applyFill="1" applyBorder="1" applyAlignment="1">
      <alignment horizontal="center" vertical="center"/>
    </xf>
    <xf numFmtId="2" fontId="286" fillId="37" borderId="16" xfId="0" applyNumberFormat="1" applyFont="1" applyFill="1" applyBorder="1"/>
    <xf numFmtId="0" fontId="291" fillId="78" borderId="102" xfId="0" applyFont="1" applyFill="1" applyBorder="1" applyAlignment="1">
      <alignment horizontal="center" vertical="center"/>
    </xf>
    <xf numFmtId="0" fontId="291" fillId="78" borderId="114" xfId="0" applyFont="1" applyFill="1" applyBorder="1" applyAlignment="1">
      <alignment horizontal="center" vertical="center"/>
    </xf>
    <xf numFmtId="0" fontId="286" fillId="0" borderId="98" xfId="0" applyFont="1" applyBorder="1"/>
    <xf numFmtId="166" fontId="286" fillId="78" borderId="111" xfId="31096" applyFont="1" applyFill="1" applyBorder="1"/>
    <xf numFmtId="2" fontId="286" fillId="78" borderId="98" xfId="0" applyNumberFormat="1" applyFont="1" applyFill="1" applyBorder="1" applyAlignment="1">
      <alignment horizontal="center"/>
    </xf>
    <xf numFmtId="166" fontId="286" fillId="0" borderId="98" xfId="31096" applyFont="1" applyFill="1" applyBorder="1"/>
    <xf numFmtId="166" fontId="286" fillId="89" borderId="98" xfId="31096" applyFont="1" applyFill="1" applyBorder="1" applyAlignment="1">
      <alignment horizontal="right"/>
    </xf>
    <xf numFmtId="0" fontId="292" fillId="0" borderId="98" xfId="303" applyFont="1" applyBorder="1" applyAlignment="1">
      <alignment horizontal="left" vertical="center"/>
    </xf>
    <xf numFmtId="166" fontId="286" fillId="89" borderId="98" xfId="31096" applyFont="1" applyFill="1" applyBorder="1"/>
    <xf numFmtId="2" fontId="286" fillId="89" borderId="98" xfId="0" applyNumberFormat="1" applyFont="1" applyFill="1" applyBorder="1" applyAlignment="1">
      <alignment horizontal="center"/>
    </xf>
    <xf numFmtId="182" fontId="292" fillId="0" borderId="98" xfId="303" applyNumberFormat="1" applyFont="1" applyBorder="1"/>
    <xf numFmtId="0" fontId="286" fillId="37" borderId="18" xfId="0" applyFont="1" applyFill="1" applyBorder="1"/>
    <xf numFmtId="0" fontId="286" fillId="0" borderId="20" xfId="0" applyFont="1" applyBorder="1"/>
    <xf numFmtId="182" fontId="292" fillId="0" borderId="20" xfId="303" applyNumberFormat="1" applyFont="1" applyBorder="1"/>
    <xf numFmtId="166" fontId="286" fillId="0" borderId="20" xfId="31096" applyFont="1" applyFill="1" applyBorder="1"/>
    <xf numFmtId="2" fontId="286" fillId="0" borderId="20" xfId="0" applyNumberFormat="1" applyFont="1" applyBorder="1" applyAlignment="1">
      <alignment horizontal="center"/>
    </xf>
    <xf numFmtId="0" fontId="286" fillId="37" borderId="20" xfId="0" applyFont="1" applyFill="1" applyBorder="1"/>
    <xf numFmtId="0" fontId="286" fillId="37" borderId="19" xfId="0" applyFont="1" applyFill="1" applyBorder="1"/>
    <xf numFmtId="182" fontId="292" fillId="0" borderId="0" xfId="303" applyNumberFormat="1" applyFont="1"/>
    <xf numFmtId="166" fontId="286" fillId="0" borderId="0" xfId="31096" applyFont="1" applyFill="1" applyBorder="1"/>
    <xf numFmtId="2" fontId="286" fillId="0" borderId="0" xfId="0" applyNumberFormat="1" applyFont="1" applyAlignment="1">
      <alignment horizontal="center"/>
    </xf>
    <xf numFmtId="1" fontId="286" fillId="37" borderId="117" xfId="0" applyNumberFormat="1" applyFont="1" applyFill="1" applyBorder="1" applyAlignment="1">
      <alignment horizontal="center" vertical="center"/>
    </xf>
    <xf numFmtId="1" fontId="286" fillId="0" borderId="0" xfId="0" applyNumberFormat="1" applyFont="1" applyAlignment="1">
      <alignment horizontal="center" vertical="center"/>
    </xf>
    <xf numFmtId="182" fontId="286" fillId="37" borderId="16" xfId="0" applyNumberFormat="1" applyFont="1" applyFill="1" applyBorder="1" applyAlignment="1">
      <alignment horizontal="center" vertical="center"/>
    </xf>
    <xf numFmtId="182" fontId="286" fillId="37" borderId="0" xfId="0" applyNumberFormat="1" applyFont="1" applyFill="1" applyAlignment="1">
      <alignment horizontal="center" vertical="center"/>
    </xf>
    <xf numFmtId="185" fontId="286" fillId="37" borderId="0" xfId="322" applyNumberFormat="1" applyFont="1" applyFill="1" applyBorder="1" applyAlignment="1">
      <alignment horizontal="center" vertical="center"/>
    </xf>
    <xf numFmtId="3" fontId="286" fillId="37" borderId="16" xfId="0" applyNumberFormat="1" applyFont="1" applyFill="1" applyBorder="1" applyAlignment="1">
      <alignment horizontal="center" vertical="center"/>
    </xf>
    <xf numFmtId="3" fontId="286" fillId="37" borderId="0" xfId="0" applyNumberFormat="1" applyFont="1" applyFill="1" applyAlignment="1">
      <alignment horizontal="center" vertical="center"/>
    </xf>
    <xf numFmtId="0" fontId="286" fillId="37" borderId="0" xfId="0" applyFont="1" applyFill="1" applyAlignment="1">
      <alignment horizontal="center"/>
    </xf>
    <xf numFmtId="1" fontId="286" fillId="37" borderId="0" xfId="0" applyNumberFormat="1" applyFont="1" applyFill="1" applyAlignment="1">
      <alignment horizontal="center" vertical="center"/>
    </xf>
    <xf numFmtId="0" fontId="286" fillId="37" borderId="97" xfId="0" applyFont="1" applyFill="1" applyBorder="1" applyAlignment="1">
      <alignment horizontal="center" vertical="center"/>
    </xf>
    <xf numFmtId="179" fontId="286" fillId="37" borderId="96" xfId="0" applyNumberFormat="1" applyFont="1" applyFill="1" applyBorder="1" applyAlignment="1">
      <alignment horizontal="center" vertical="center"/>
    </xf>
    <xf numFmtId="183" fontId="286" fillId="37" borderId="96" xfId="0" applyNumberFormat="1" applyFont="1" applyFill="1" applyBorder="1" applyAlignment="1">
      <alignment horizontal="center" vertical="center"/>
    </xf>
    <xf numFmtId="3" fontId="286" fillId="37" borderId="96" xfId="0" applyNumberFormat="1" applyFont="1" applyFill="1" applyBorder="1" applyAlignment="1">
      <alignment horizontal="center" vertical="center"/>
    </xf>
    <xf numFmtId="185" fontId="286" fillId="37" borderId="96" xfId="322" applyNumberFormat="1" applyFont="1" applyFill="1" applyBorder="1" applyAlignment="1">
      <alignment horizontal="center" vertical="center"/>
    </xf>
    <xf numFmtId="0" fontId="286" fillId="37" borderId="16" xfId="0" applyFont="1" applyFill="1" applyBorder="1" applyAlignment="1">
      <alignment horizontal="center" vertical="center"/>
    </xf>
    <xf numFmtId="0" fontId="169" fillId="104" borderId="0" xfId="0" applyFont="1" applyFill="1"/>
    <xf numFmtId="0" fontId="288" fillId="104" borderId="0" xfId="0" applyFont="1" applyFill="1"/>
    <xf numFmtId="179" fontId="286" fillId="37" borderId="0" xfId="0" applyNumberFormat="1" applyFont="1" applyFill="1" applyAlignment="1">
      <alignment horizontal="center" vertical="center"/>
    </xf>
    <xf numFmtId="183" fontId="286" fillId="37" borderId="0" xfId="0" applyNumberFormat="1" applyFont="1" applyFill="1" applyAlignment="1">
      <alignment horizontal="center" vertical="center"/>
    </xf>
    <xf numFmtId="3" fontId="286" fillId="0" borderId="0" xfId="0" applyNumberFormat="1" applyFont="1" applyAlignment="1">
      <alignment horizontal="center" vertical="center"/>
    </xf>
    <xf numFmtId="2" fontId="286" fillId="37" borderId="0" xfId="322" applyNumberFormat="1" applyFont="1" applyFill="1" applyBorder="1"/>
    <xf numFmtId="237" fontId="286" fillId="37" borderId="0" xfId="0" applyNumberFormat="1" applyFont="1" applyFill="1" applyAlignment="1">
      <alignment horizontal="center" vertical="center"/>
    </xf>
    <xf numFmtId="238" fontId="286" fillId="37" borderId="0" xfId="322" applyNumberFormat="1" applyFont="1" applyFill="1" applyBorder="1" applyAlignment="1">
      <alignment horizontal="center" vertical="center"/>
    </xf>
    <xf numFmtId="179" fontId="287" fillId="0" borderId="0" xfId="0" applyNumberFormat="1" applyFont="1" applyAlignment="1">
      <alignment horizontal="center" vertical="center"/>
    </xf>
    <xf numFmtId="0" fontId="286" fillId="37" borderId="16" xfId="0" applyFont="1" applyFill="1" applyBorder="1" applyAlignment="1">
      <alignment horizontal="center"/>
    </xf>
    <xf numFmtId="0" fontId="291" fillId="0" borderId="0" xfId="0" applyFont="1" applyAlignment="1">
      <alignment horizontal="center" vertical="center"/>
    </xf>
    <xf numFmtId="0" fontId="291" fillId="104" borderId="102" xfId="0" applyFont="1" applyFill="1" applyBorder="1" applyAlignment="1">
      <alignment horizontal="center" vertical="center"/>
    </xf>
    <xf numFmtId="0" fontId="291" fillId="104" borderId="114" xfId="0" applyFont="1" applyFill="1" applyBorder="1" applyAlignment="1">
      <alignment horizontal="center" vertical="center"/>
    </xf>
    <xf numFmtId="0" fontId="286" fillId="37" borderId="18" xfId="0" applyFont="1" applyFill="1" applyBorder="1" applyAlignment="1">
      <alignment horizontal="center"/>
    </xf>
    <xf numFmtId="0" fontId="214" fillId="74" borderId="100" xfId="0" applyFont="1" applyFill="1" applyBorder="1" applyAlignment="1">
      <alignment horizontal="centerContinuous"/>
    </xf>
    <xf numFmtId="0" fontId="214" fillId="90" borderId="101" xfId="0" applyFont="1" applyFill="1" applyBorder="1" applyAlignment="1">
      <alignment horizontal="centerContinuous"/>
    </xf>
    <xf numFmtId="0" fontId="214" fillId="90" borderId="100" xfId="0" applyFont="1" applyFill="1" applyBorder="1" applyAlignment="1">
      <alignment horizontal="centerContinuous"/>
    </xf>
    <xf numFmtId="183" fontId="286" fillId="37" borderId="95" xfId="0" applyNumberFormat="1" applyFont="1" applyFill="1" applyBorder="1" applyAlignment="1">
      <alignment horizontal="center" vertical="center"/>
    </xf>
    <xf numFmtId="0" fontId="214" fillId="74" borderId="118" xfId="0" applyFont="1" applyFill="1" applyBorder="1" applyAlignment="1">
      <alignment horizontal="center"/>
    </xf>
    <xf numFmtId="0" fontId="288" fillId="37" borderId="17" xfId="0" applyFont="1" applyFill="1" applyBorder="1"/>
    <xf numFmtId="216" fontId="51" fillId="95" borderId="117" xfId="322" applyNumberFormat="1" applyFont="1" applyFill="1" applyBorder="1" applyAlignment="1">
      <alignment horizontal="center" vertical="center"/>
    </xf>
    <xf numFmtId="212" fontId="51" fillId="95" borderId="117" xfId="322" applyNumberFormat="1" applyFont="1" applyFill="1" applyBorder="1" applyAlignment="1">
      <alignment horizontal="center" vertical="center"/>
    </xf>
    <xf numFmtId="183" fontId="286" fillId="37" borderId="17" xfId="0" applyNumberFormat="1" applyFont="1" applyFill="1" applyBorder="1" applyAlignment="1">
      <alignment horizontal="center" vertical="center"/>
    </xf>
    <xf numFmtId="216" fontId="51" fillId="37" borderId="117" xfId="0" applyNumberFormat="1" applyFont="1" applyFill="1" applyBorder="1" applyAlignment="1">
      <alignment horizontal="center" vertical="center"/>
    </xf>
    <xf numFmtId="212" fontId="51" fillId="37" borderId="117" xfId="0" applyNumberFormat="1" applyFont="1" applyFill="1" applyBorder="1" applyAlignment="1">
      <alignment horizontal="center" vertical="center"/>
    </xf>
    <xf numFmtId="3" fontId="286" fillId="37" borderId="17" xfId="0" applyNumberFormat="1" applyFont="1" applyFill="1" applyBorder="1" applyAlignment="1">
      <alignment horizontal="center" vertical="center"/>
    </xf>
    <xf numFmtId="216" fontId="51" fillId="37" borderId="117" xfId="322" applyNumberFormat="1" applyFont="1" applyFill="1" applyBorder="1" applyAlignment="1">
      <alignment horizontal="center" vertical="center"/>
    </xf>
    <xf numFmtId="212" fontId="51" fillId="37" borderId="117" xfId="322" applyNumberFormat="1" applyFont="1" applyFill="1" applyBorder="1" applyAlignment="1">
      <alignment horizontal="center" vertical="center"/>
    </xf>
    <xf numFmtId="0" fontId="270" fillId="37" borderId="97" xfId="0" applyFont="1" applyFill="1" applyBorder="1"/>
    <xf numFmtId="0" fontId="270" fillId="37" borderId="16" xfId="0" applyFont="1" applyFill="1" applyBorder="1"/>
    <xf numFmtId="0" fontId="270" fillId="37" borderId="17" xfId="0" applyFont="1" applyFill="1" applyBorder="1"/>
    <xf numFmtId="0" fontId="291" fillId="104" borderId="0" xfId="0" applyFont="1" applyFill="1" applyAlignment="1">
      <alignment horizontal="center" vertical="center"/>
    </xf>
    <xf numFmtId="0" fontId="293" fillId="37" borderId="17" xfId="0" applyFont="1" applyFill="1" applyBorder="1"/>
    <xf numFmtId="0" fontId="270" fillId="37" borderId="18" xfId="0" applyFont="1" applyFill="1" applyBorder="1"/>
    <xf numFmtId="254" fontId="270" fillId="37" borderId="20" xfId="31096" applyNumberFormat="1" applyFont="1" applyFill="1" applyBorder="1"/>
    <xf numFmtId="0" fontId="270" fillId="37" borderId="19" xfId="0" applyFont="1" applyFill="1" applyBorder="1"/>
    <xf numFmtId="166" fontId="286" fillId="78" borderId="0" xfId="31096" applyFont="1" applyFill="1" applyBorder="1"/>
    <xf numFmtId="2" fontId="286" fillId="78" borderId="0" xfId="0" applyNumberFormat="1" applyFont="1" applyFill="1" applyAlignment="1">
      <alignment horizontal="center"/>
    </xf>
    <xf numFmtId="0" fontId="293" fillId="37" borderId="0" xfId="0" applyFont="1" applyFill="1"/>
    <xf numFmtId="166" fontId="286" fillId="37" borderId="0" xfId="31096" applyFont="1" applyFill="1" applyBorder="1"/>
    <xf numFmtId="2" fontId="51" fillId="37" borderId="117" xfId="322" applyNumberFormat="1" applyFont="1" applyFill="1" applyBorder="1" applyAlignment="1">
      <alignment horizontal="center" vertical="center"/>
    </xf>
    <xf numFmtId="166" fontId="286" fillId="89" borderId="0" xfId="31096" applyFont="1" applyFill="1" applyBorder="1" applyAlignment="1">
      <alignment horizontal="right"/>
    </xf>
    <xf numFmtId="0" fontId="292" fillId="0" borderId="0" xfId="303" applyFont="1" applyAlignment="1">
      <alignment horizontal="left" vertical="center"/>
    </xf>
    <xf numFmtId="166" fontId="286" fillId="89" borderId="0" xfId="31096" applyFont="1" applyFill="1" applyBorder="1"/>
    <xf numFmtId="2" fontId="286" fillId="89" borderId="0" xfId="0" applyNumberFormat="1" applyFont="1" applyFill="1" applyAlignment="1">
      <alignment horizontal="center"/>
    </xf>
    <xf numFmtId="0" fontId="51" fillId="37" borderId="0" xfId="0" applyFont="1" applyFill="1" applyAlignment="1">
      <alignment wrapText="1"/>
    </xf>
    <xf numFmtId="255" fontId="51" fillId="37" borderId="117" xfId="0" applyNumberFormat="1" applyFont="1" applyFill="1" applyBorder="1" applyAlignment="1">
      <alignment horizontal="center" vertical="center"/>
    </xf>
    <xf numFmtId="255" fontId="51" fillId="37" borderId="117" xfId="322" applyNumberFormat="1" applyFont="1" applyFill="1" applyBorder="1" applyAlignment="1">
      <alignment horizontal="center" vertical="center"/>
    </xf>
    <xf numFmtId="9" fontId="51" fillId="37" borderId="111" xfId="322" applyFont="1" applyFill="1" applyBorder="1" applyAlignment="1">
      <alignment horizontal="center" vertical="center"/>
    </xf>
    <xf numFmtId="0" fontId="51" fillId="37" borderId="17" xfId="0" applyFont="1" applyFill="1" applyBorder="1"/>
    <xf numFmtId="0" fontId="51" fillId="37" borderId="19" xfId="0" applyFont="1" applyFill="1" applyBorder="1"/>
    <xf numFmtId="0" fontId="169" fillId="91" borderId="0" xfId="0" applyFont="1" applyFill="1"/>
    <xf numFmtId="0" fontId="288" fillId="91" borderId="0" xfId="0" applyFont="1" applyFill="1"/>
    <xf numFmtId="0" fontId="51" fillId="37" borderId="20" xfId="0" applyFont="1" applyFill="1" applyBorder="1"/>
    <xf numFmtId="14" fontId="286" fillId="0" borderId="0" xfId="0" applyNumberFormat="1" applyFont="1"/>
    <xf numFmtId="256" fontId="286" fillId="0" borderId="0" xfId="0" applyNumberFormat="1" applyFont="1"/>
    <xf numFmtId="188" fontId="283" fillId="25" borderId="94" xfId="28058" applyNumberFormat="1" applyFont="1" applyFill="1" applyBorder="1" applyAlignment="1" applyProtection="1">
      <alignment horizontal="center"/>
      <protection locked="0"/>
    </xf>
    <xf numFmtId="189" fontId="94" fillId="79" borderId="0" xfId="0" applyNumberFormat="1" applyFont="1" applyFill="1" applyAlignment="1">
      <alignment horizontal="center"/>
    </xf>
    <xf numFmtId="1" fontId="286" fillId="0" borderId="0" xfId="322" applyNumberFormat="1" applyFont="1" applyFill="1" applyBorder="1" applyAlignment="1">
      <alignment horizontal="center" vertical="center"/>
    </xf>
    <xf numFmtId="186" fontId="283" fillId="110" borderId="94" xfId="28058" applyNumberFormat="1" applyFont="1" applyFill="1" applyBorder="1" applyAlignment="1" applyProtection="1">
      <alignment horizontal="center"/>
      <protection locked="0"/>
    </xf>
    <xf numFmtId="186" fontId="283" fillId="110" borderId="95" xfId="28058" applyNumberFormat="1" applyFont="1" applyFill="1" applyBorder="1" applyAlignment="1" applyProtection="1">
      <alignment horizontal="center"/>
      <protection locked="0"/>
    </xf>
    <xf numFmtId="186" fontId="283" fillId="110" borderId="97" xfId="28058" applyNumberFormat="1" applyFont="1" applyFill="1" applyBorder="1" applyAlignment="1" applyProtection="1">
      <alignment horizontal="center"/>
      <protection locked="0"/>
    </xf>
    <xf numFmtId="17" fontId="116" fillId="36" borderId="155" xfId="302" applyNumberFormat="1" applyFont="1" applyFill="1" applyBorder="1" applyAlignment="1">
      <alignment horizontal="center" vertical="center" wrapText="1"/>
    </xf>
    <xf numFmtId="17" fontId="116" fillId="36" borderId="51" xfId="302" applyNumberFormat="1" applyFont="1" applyFill="1" applyBorder="1" applyAlignment="1">
      <alignment horizontal="center" vertical="center" wrapText="1"/>
    </xf>
    <xf numFmtId="176" fontId="108" fillId="0" borderId="14" xfId="306" applyNumberFormat="1" applyFont="1" applyBorder="1" applyAlignment="1">
      <alignment horizontal="center" vertical="center"/>
    </xf>
    <xf numFmtId="1" fontId="108" fillId="0" borderId="14" xfId="232" applyNumberFormat="1" applyFont="1" applyFill="1" applyBorder="1" applyAlignment="1" applyProtection="1">
      <alignment horizontal="center" vertical="center"/>
      <protection hidden="1"/>
    </xf>
    <xf numFmtId="179" fontId="108" fillId="0" borderId="14" xfId="306" applyNumberFormat="1" applyFont="1" applyBorder="1" applyAlignment="1">
      <alignment horizontal="center" vertical="center"/>
    </xf>
    <xf numFmtId="17" fontId="116" fillId="36" borderId="60" xfId="302" applyNumberFormat="1" applyFont="1" applyFill="1" applyBorder="1" applyAlignment="1">
      <alignment horizontal="center" vertical="center" wrapText="1"/>
    </xf>
    <xf numFmtId="176" fontId="108" fillId="0" borderId="21" xfId="306" applyNumberFormat="1" applyFont="1" applyBorder="1" applyAlignment="1">
      <alignment horizontal="center" vertical="center"/>
    </xf>
    <xf numFmtId="1" fontId="108" fillId="0" borderId="21" xfId="232" applyNumberFormat="1" applyFont="1" applyFill="1" applyBorder="1" applyAlignment="1" applyProtection="1">
      <alignment horizontal="center" vertical="center"/>
      <protection hidden="1"/>
    </xf>
    <xf numFmtId="179" fontId="108" fillId="0" borderId="21" xfId="306" applyNumberFormat="1" applyFont="1" applyBorder="1" applyAlignment="1">
      <alignment horizontal="center" vertical="center"/>
    </xf>
    <xf numFmtId="0" fontId="192" fillId="72" borderId="156" xfId="0" applyFont="1" applyFill="1" applyBorder="1" applyAlignment="1">
      <alignment horizontal="center"/>
    </xf>
    <xf numFmtId="0" fontId="192" fillId="72" borderId="157" xfId="0" applyFont="1" applyFill="1" applyBorder="1" applyAlignment="1">
      <alignment horizontal="center"/>
    </xf>
    <xf numFmtId="181" fontId="0" fillId="0" borderId="152" xfId="0" applyNumberFormat="1" applyBorder="1" applyAlignment="1">
      <alignment horizontal="center"/>
    </xf>
    <xf numFmtId="0" fontId="192" fillId="72" borderId="152" xfId="0" applyFont="1" applyFill="1" applyBorder="1" applyAlignment="1">
      <alignment horizontal="center"/>
    </xf>
    <xf numFmtId="0" fontId="166" fillId="106" borderId="158" xfId="0" applyFont="1" applyFill="1" applyBorder="1" applyAlignment="1">
      <alignment horizontal="center" vertical="center"/>
    </xf>
    <xf numFmtId="0" fontId="286" fillId="37" borderId="159" xfId="0" applyFont="1" applyFill="1" applyBorder="1"/>
    <xf numFmtId="0" fontId="286" fillId="37" borderId="159" xfId="0" applyFont="1" applyFill="1" applyBorder="1" applyAlignment="1">
      <alignment horizontal="center"/>
    </xf>
    <xf numFmtId="1" fontId="286" fillId="37" borderId="159" xfId="0" applyNumberFormat="1" applyFont="1" applyFill="1" applyBorder="1" applyAlignment="1">
      <alignment horizontal="center" vertical="center"/>
    </xf>
    <xf numFmtId="185" fontId="286" fillId="37" borderId="159" xfId="322" applyNumberFormat="1" applyFont="1" applyFill="1" applyBorder="1" applyAlignment="1">
      <alignment horizontal="center" vertical="center"/>
    </xf>
    <xf numFmtId="3" fontId="286" fillId="37" borderId="159" xfId="0" applyNumberFormat="1" applyFont="1" applyFill="1" applyBorder="1" applyAlignment="1">
      <alignment horizontal="center" vertical="center"/>
    </xf>
    <xf numFmtId="185" fontId="286" fillId="37" borderId="159" xfId="0" applyNumberFormat="1" applyFont="1" applyFill="1" applyBorder="1" applyAlignment="1">
      <alignment horizontal="center" vertical="center"/>
    </xf>
    <xf numFmtId="0" fontId="192" fillId="72" borderId="152" xfId="0" applyFont="1" applyFill="1" applyBorder="1" applyAlignment="1">
      <alignment horizontal="center" vertical="center"/>
    </xf>
    <xf numFmtId="0" fontId="270" fillId="0" borderId="121" xfId="0" applyFont="1" applyBorder="1" applyAlignment="1">
      <alignment horizontal="center"/>
    </xf>
    <xf numFmtId="179" fontId="0" fillId="0" borderId="140" xfId="0" applyNumberFormat="1" applyBorder="1" applyAlignment="1">
      <alignment horizontal="center"/>
    </xf>
    <xf numFmtId="0" fontId="0" fillId="0" borderId="157" xfId="0" applyBorder="1" applyAlignment="1">
      <alignment horizontal="center"/>
    </xf>
    <xf numFmtId="0" fontId="166" fillId="0" borderId="0" xfId="0" applyFont="1" applyAlignment="1">
      <alignment horizontal="center"/>
    </xf>
    <xf numFmtId="0" fontId="270" fillId="0" borderId="100" xfId="0" applyFont="1" applyBorder="1" applyAlignment="1">
      <alignment horizontal="center"/>
    </xf>
    <xf numFmtId="0" fontId="272" fillId="72" borderId="152" xfId="0" applyFont="1" applyFill="1" applyBorder="1" applyAlignment="1">
      <alignment horizontal="center"/>
    </xf>
    <xf numFmtId="0" fontId="285" fillId="72" borderId="152" xfId="0" applyFont="1" applyFill="1" applyBorder="1" applyAlignment="1">
      <alignment horizontal="center"/>
    </xf>
    <xf numFmtId="0" fontId="270" fillId="0" borderId="152" xfId="0" applyFont="1" applyBorder="1" applyAlignment="1">
      <alignment horizontal="center"/>
    </xf>
    <xf numFmtId="186" fontId="284" fillId="0" borderId="94" xfId="28058" applyNumberFormat="1" applyFont="1" applyFill="1" applyBorder="1" applyAlignment="1" applyProtection="1">
      <alignment horizontal="center"/>
      <protection locked="0"/>
    </xf>
    <xf numFmtId="188" fontId="284" fillId="0" borderId="94" xfId="28058" applyNumberFormat="1" applyFont="1" applyFill="1" applyBorder="1" applyAlignment="1" applyProtection="1">
      <alignment horizontal="center"/>
      <protection locked="0"/>
    </xf>
    <xf numFmtId="186" fontId="284" fillId="0" borderId="12" xfId="28058" applyNumberFormat="1" applyFont="1" applyFill="1" applyBorder="1" applyAlignment="1" applyProtection="1">
      <alignment horizontal="center"/>
      <protection locked="0"/>
    </xf>
    <xf numFmtId="188" fontId="284" fillId="0" borderId="12" xfId="28058" applyNumberFormat="1" applyFont="1" applyFill="1" applyBorder="1" applyAlignment="1" applyProtection="1">
      <alignment horizontal="center"/>
      <protection locked="0"/>
    </xf>
    <xf numFmtId="242" fontId="0" fillId="0" borderId="0" xfId="0" applyNumberFormat="1" applyAlignment="1">
      <alignment horizontal="center"/>
    </xf>
    <xf numFmtId="186" fontId="284" fillId="0" borderId="0" xfId="28058" applyNumberFormat="1" applyFont="1" applyFill="1" applyBorder="1" applyAlignment="1" applyProtection="1">
      <alignment horizontal="center"/>
      <protection locked="0"/>
    </xf>
    <xf numFmtId="0" fontId="296" fillId="96" borderId="11" xfId="0" applyFont="1" applyFill="1" applyBorder="1" applyAlignment="1">
      <alignment horizontal="center" vertical="center" wrapText="1"/>
    </xf>
    <xf numFmtId="1" fontId="297" fillId="104" borderId="13" xfId="0" applyNumberFormat="1" applyFont="1" applyFill="1" applyBorder="1" applyAlignment="1">
      <alignment horizontal="center" vertical="center" wrapText="1"/>
    </xf>
    <xf numFmtId="192" fontId="0" fillId="0" borderId="0" xfId="234" applyNumberFormat="1" applyFont="1" applyFill="1" applyBorder="1" applyAlignment="1">
      <alignment horizontal="center"/>
    </xf>
    <xf numFmtId="0" fontId="0" fillId="0" borderId="23" xfId="0" applyBorder="1"/>
    <xf numFmtId="0" fontId="0" fillId="0" borderId="37" xfId="0" applyBorder="1"/>
    <xf numFmtId="166" fontId="0" fillId="0" borderId="0" xfId="0" applyNumberFormat="1" applyAlignment="1">
      <alignment horizontal="center"/>
    </xf>
    <xf numFmtId="0" fontId="227" fillId="72" borderId="125" xfId="0" applyFont="1" applyFill="1" applyBorder="1" applyAlignment="1">
      <alignment horizontal="center"/>
    </xf>
    <xf numFmtId="0" fontId="227" fillId="72" borderId="116" xfId="0" applyFont="1" applyFill="1" applyBorder="1" applyAlignment="1">
      <alignment horizontal="center"/>
    </xf>
    <xf numFmtId="0" fontId="0" fillId="72" borderId="0" xfId="0" applyFill="1" applyAlignment="1">
      <alignment horizontal="center"/>
    </xf>
    <xf numFmtId="15" fontId="0" fillId="0" borderId="13" xfId="0" applyNumberFormat="1" applyBorder="1" applyAlignment="1">
      <alignment horizontal="center" vertical="center"/>
    </xf>
    <xf numFmtId="3" fontId="108" fillId="0" borderId="0" xfId="0" applyNumberFormat="1" applyFont="1"/>
    <xf numFmtId="2" fontId="108" fillId="0" borderId="0" xfId="0" applyNumberFormat="1" applyFont="1"/>
    <xf numFmtId="179" fontId="108" fillId="0" borderId="0" xfId="0" applyNumberFormat="1" applyFont="1"/>
    <xf numFmtId="176" fontId="108" fillId="0" borderId="0" xfId="0" applyNumberFormat="1" applyFont="1"/>
    <xf numFmtId="0" fontId="297" fillId="104" borderId="11" xfId="0" applyFont="1" applyFill="1" applyBorder="1" applyAlignment="1">
      <alignment horizontal="center" vertical="center" wrapText="1"/>
    </xf>
    <xf numFmtId="182" fontId="297" fillId="104" borderId="12" xfId="0" applyNumberFormat="1" applyFont="1" applyFill="1" applyBorder="1" applyAlignment="1">
      <alignment horizontal="center" vertical="center" wrapText="1"/>
    </xf>
    <xf numFmtId="0" fontId="297" fillId="104" borderId="14" xfId="0" applyFont="1" applyFill="1" applyBorder="1" applyAlignment="1">
      <alignment horizontal="center" vertical="center" wrapText="1"/>
    </xf>
    <xf numFmtId="0" fontId="297" fillId="104" borderId="21" xfId="0" applyFont="1" applyFill="1" applyBorder="1" applyAlignment="1">
      <alignment horizontal="center" vertical="center" wrapText="1"/>
    </xf>
    <xf numFmtId="0" fontId="297" fillId="104" borderId="94" xfId="0" applyFont="1" applyFill="1" applyBorder="1" applyAlignment="1">
      <alignment horizontal="center" vertical="center" wrapText="1"/>
    </xf>
    <xf numFmtId="0" fontId="297" fillId="104" borderId="97" xfId="0" applyFont="1" applyFill="1" applyBorder="1" applyAlignment="1">
      <alignment horizontal="center" vertical="center" wrapText="1"/>
    </xf>
    <xf numFmtId="3" fontId="297" fillId="104" borderId="12" xfId="0" applyNumberFormat="1" applyFont="1" applyFill="1" applyBorder="1" applyAlignment="1">
      <alignment horizontal="center" vertical="center" wrapText="1"/>
    </xf>
    <xf numFmtId="0" fontId="297" fillId="104" borderId="22" xfId="0" applyFont="1" applyFill="1" applyBorder="1" applyAlignment="1">
      <alignment horizontal="center" vertical="center" wrapText="1"/>
    </xf>
    <xf numFmtId="0" fontId="297" fillId="104" borderId="16" xfId="0" applyFont="1" applyFill="1" applyBorder="1" applyAlignment="1">
      <alignment horizontal="center" vertical="center" wrapText="1"/>
    </xf>
    <xf numFmtId="0" fontId="297" fillId="104" borderId="0" xfId="0" applyFont="1" applyFill="1" applyAlignment="1">
      <alignment horizontal="center" vertical="center" wrapText="1"/>
    </xf>
    <xf numFmtId="0" fontId="297" fillId="104" borderId="17" xfId="0" applyFont="1" applyFill="1" applyBorder="1" applyAlignment="1">
      <alignment horizontal="center" vertical="center" wrapText="1"/>
    </xf>
    <xf numFmtId="3" fontId="286" fillId="85" borderId="117" xfId="0" applyNumberFormat="1" applyFont="1" applyFill="1" applyBorder="1" applyAlignment="1">
      <alignment horizontal="center" vertical="center"/>
    </xf>
    <xf numFmtId="185" fontId="286" fillId="85" borderId="117" xfId="322" applyNumberFormat="1" applyFont="1" applyFill="1" applyBorder="1" applyAlignment="1">
      <alignment horizontal="center" vertical="center"/>
    </xf>
    <xf numFmtId="2" fontId="286" fillId="85" borderId="117" xfId="0" applyNumberFormat="1" applyFont="1" applyFill="1" applyBorder="1" applyAlignment="1">
      <alignment horizontal="center" vertical="center"/>
    </xf>
    <xf numFmtId="185" fontId="286" fillId="85" borderId="117" xfId="0" applyNumberFormat="1" applyFont="1" applyFill="1" applyBorder="1" applyAlignment="1">
      <alignment horizontal="center" vertical="center"/>
    </xf>
    <xf numFmtId="179" fontId="0" fillId="0" borderId="152" xfId="0" applyNumberFormat="1" applyBorder="1" applyAlignment="1">
      <alignment horizontal="center"/>
    </xf>
    <xf numFmtId="182" fontId="286" fillId="111" borderId="117" xfId="0" applyNumberFormat="1" applyFont="1" applyFill="1" applyBorder="1" applyAlignment="1">
      <alignment horizontal="center" vertical="center"/>
    </xf>
    <xf numFmtId="185" fontId="286" fillId="111" borderId="117" xfId="322" applyNumberFormat="1" applyFont="1" applyFill="1" applyBorder="1" applyAlignment="1">
      <alignment horizontal="center" vertical="center"/>
    </xf>
    <xf numFmtId="166" fontId="0" fillId="37" borderId="152" xfId="31096" applyFont="1" applyFill="1" applyBorder="1" applyAlignment="1">
      <alignment horizontal="center"/>
    </xf>
    <xf numFmtId="0" fontId="94" fillId="38" borderId="98" xfId="0" applyFont="1" applyFill="1" applyBorder="1" applyAlignment="1">
      <alignment horizontal="center" vertical="center" wrapText="1"/>
    </xf>
    <xf numFmtId="0" fontId="94" fillId="0" borderId="98" xfId="0" applyFont="1" applyBorder="1" applyAlignment="1">
      <alignment horizontal="center" wrapText="1"/>
    </xf>
    <xf numFmtId="0" fontId="94" fillId="0" borderId="98" xfId="0" applyFont="1" applyBorder="1" applyAlignment="1">
      <alignment horizontal="center" vertical="center" wrapText="1"/>
    </xf>
    <xf numFmtId="14" fontId="100" fillId="0" borderId="12" xfId="0" applyNumberFormat="1" applyFont="1" applyBorder="1" applyAlignment="1">
      <alignment horizontal="center" vertical="center"/>
    </xf>
    <xf numFmtId="0" fontId="227" fillId="7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202" fontId="276" fillId="101" borderId="11" xfId="0" applyNumberFormat="1" applyFont="1" applyFill="1" applyBorder="1" applyAlignment="1">
      <alignment horizontal="center"/>
    </xf>
    <xf numFmtId="2" fontId="100" fillId="0" borderId="17" xfId="0" applyNumberFormat="1" applyFont="1" applyBorder="1" applyAlignment="1">
      <alignment horizontal="center"/>
    </xf>
    <xf numFmtId="2" fontId="0" fillId="37" borderId="152" xfId="0" applyNumberFormat="1" applyFill="1" applyBorder="1" applyAlignment="1">
      <alignment horizontal="center"/>
    </xf>
    <xf numFmtId="182" fontId="0" fillId="37" borderId="97" xfId="0" applyNumberFormat="1" applyFill="1" applyBorder="1" applyAlignment="1">
      <alignment horizontal="center"/>
    </xf>
    <xf numFmtId="193" fontId="0" fillId="37" borderId="12" xfId="0" applyNumberFormat="1" applyFill="1" applyBorder="1" applyAlignment="1">
      <alignment horizontal="center" vertical="center"/>
    </xf>
    <xf numFmtId="183" fontId="0" fillId="37" borderId="16" xfId="0" applyNumberFormat="1" applyFill="1" applyBorder="1" applyAlignment="1">
      <alignment horizontal="center"/>
    </xf>
    <xf numFmtId="4" fontId="0" fillId="37" borderId="16" xfId="0" applyNumberFormat="1" applyFill="1" applyBorder="1" applyAlignment="1">
      <alignment horizontal="center"/>
    </xf>
    <xf numFmtId="0" fontId="0" fillId="37" borderId="94" xfId="0" applyFill="1" applyBorder="1" applyAlignment="1">
      <alignment vertical="center" textRotation="90"/>
    </xf>
    <xf numFmtId="4" fontId="0" fillId="37" borderId="97" xfId="0" applyNumberFormat="1" applyFill="1" applyBorder="1" applyAlignment="1">
      <alignment horizontal="center"/>
    </xf>
    <xf numFmtId="193" fontId="0" fillId="37" borderId="94" xfId="0" applyNumberFormat="1" applyFill="1" applyBorder="1" applyAlignment="1">
      <alignment horizontal="center" vertical="center"/>
    </xf>
    <xf numFmtId="183" fontId="0" fillId="37" borderId="97" xfId="0" applyNumberFormat="1" applyFill="1" applyBorder="1" applyAlignment="1">
      <alignment horizontal="center"/>
    </xf>
    <xf numFmtId="1" fontId="0" fillId="37" borderId="16" xfId="0" applyNumberFormat="1" applyFill="1" applyBorder="1" applyAlignment="1">
      <alignment vertical="center"/>
    </xf>
    <xf numFmtId="1" fontId="0" fillId="37" borderId="12" xfId="0" applyNumberFormat="1" applyFill="1" applyBorder="1" applyAlignment="1">
      <alignment vertical="center"/>
    </xf>
    <xf numFmtId="3" fontId="0" fillId="37" borderId="95" xfId="0" applyNumberFormat="1" applyFill="1" applyBorder="1" applyAlignment="1">
      <alignment horizontal="center" vertical="center"/>
    </xf>
    <xf numFmtId="4" fontId="0" fillId="37" borderId="95" xfId="0" applyNumberFormat="1" applyFill="1" applyBorder="1" applyAlignment="1">
      <alignment horizontal="center"/>
    </xf>
    <xf numFmtId="0" fontId="0" fillId="37" borderId="12" xfId="0" applyFill="1" applyBorder="1" applyAlignment="1">
      <alignment vertical="center" textRotation="90"/>
    </xf>
    <xf numFmtId="3" fontId="0" fillId="37" borderId="17" xfId="0" applyNumberFormat="1" applyFill="1" applyBorder="1" applyAlignment="1">
      <alignment horizontal="center" vertical="center"/>
    </xf>
    <xf numFmtId="4" fontId="0" fillId="37" borderId="17" xfId="0" applyNumberFormat="1" applyFill="1" applyBorder="1" applyAlignment="1">
      <alignment horizontal="center"/>
    </xf>
    <xf numFmtId="193" fontId="0" fillId="37" borderId="13" xfId="0" applyNumberFormat="1" applyFill="1" applyBorder="1" applyAlignment="1">
      <alignment horizontal="center" vertical="center"/>
    </xf>
    <xf numFmtId="4" fontId="0" fillId="37" borderId="18" xfId="0" applyNumberFormat="1" applyFill="1" applyBorder="1" applyAlignment="1">
      <alignment horizontal="center"/>
    </xf>
    <xf numFmtId="183" fontId="0" fillId="37" borderId="18" xfId="0" applyNumberFormat="1" applyFill="1" applyBorder="1" applyAlignment="1">
      <alignment horizontal="center"/>
    </xf>
    <xf numFmtId="182" fontId="0" fillId="37" borderId="18" xfId="0" applyNumberFormat="1" applyFill="1" applyBorder="1" applyAlignment="1">
      <alignment horizontal="center"/>
    </xf>
    <xf numFmtId="0" fontId="0" fillId="37" borderId="13" xfId="0" applyFill="1" applyBorder="1" applyAlignment="1">
      <alignment vertical="center" textRotation="90"/>
    </xf>
    <xf numFmtId="3" fontId="0" fillId="37" borderId="19" xfId="0" applyNumberFormat="1" applyFill="1" applyBorder="1" applyAlignment="1">
      <alignment horizontal="center" vertical="center"/>
    </xf>
    <xf numFmtId="4" fontId="0" fillId="37" borderId="19" xfId="0" applyNumberFormat="1" applyFill="1" applyBorder="1" applyAlignment="1">
      <alignment horizontal="center"/>
    </xf>
    <xf numFmtId="188" fontId="0" fillId="0" borderId="0" xfId="0" applyNumberFormat="1" applyAlignment="1">
      <alignment horizontal="center"/>
    </xf>
    <xf numFmtId="0" fontId="192" fillId="72" borderId="0" xfId="0" applyFont="1" applyFill="1" applyAlignment="1">
      <alignment horizontal="center"/>
    </xf>
    <xf numFmtId="1" fontId="0" fillId="88" borderId="0" xfId="0" applyNumberFormat="1" applyFill="1" applyAlignment="1">
      <alignment horizontal="center"/>
    </xf>
    <xf numFmtId="41" fontId="0" fillId="88" borderId="0" xfId="0" applyNumberFormat="1" applyFill="1"/>
    <xf numFmtId="0" fontId="94" fillId="0" borderId="116" xfId="0" applyFont="1" applyBorder="1" applyAlignment="1">
      <alignment horizontal="center" wrapText="1"/>
    </xf>
    <xf numFmtId="0" fontId="94" fillId="0" borderId="116" xfId="0" applyFont="1" applyBorder="1" applyAlignment="1">
      <alignment horizontal="center" vertical="center" wrapText="1"/>
    </xf>
    <xf numFmtId="0" fontId="94" fillId="38" borderId="116" xfId="0" applyFont="1" applyFill="1" applyBorder="1" applyAlignment="1">
      <alignment horizontal="center" vertical="center" wrapText="1"/>
    </xf>
    <xf numFmtId="0" fontId="114" fillId="37" borderId="11" xfId="0" applyFont="1" applyFill="1" applyBorder="1" applyAlignment="1">
      <alignment vertical="center"/>
    </xf>
    <xf numFmtId="179" fontId="114" fillId="37" borderId="11" xfId="0" applyNumberFormat="1" applyFont="1" applyFill="1" applyBorder="1" applyAlignment="1">
      <alignment horizontal="center" vertical="center"/>
    </xf>
    <xf numFmtId="0" fontId="114" fillId="37" borderId="11" xfId="0" applyFont="1" applyFill="1" applyBorder="1" applyAlignment="1">
      <alignment horizontal="left" vertical="center"/>
    </xf>
    <xf numFmtId="4" fontId="290" fillId="100" borderId="117" xfId="0" applyNumberFormat="1" applyFont="1" applyFill="1" applyBorder="1" applyAlignment="1">
      <alignment horizontal="center" vertical="center"/>
    </xf>
    <xf numFmtId="185" fontId="290" fillId="100" borderId="117" xfId="322" applyNumberFormat="1" applyFont="1" applyFill="1" applyBorder="1" applyAlignment="1">
      <alignment horizontal="center" vertical="center"/>
    </xf>
    <xf numFmtId="0" fontId="192" fillId="72" borderId="0" xfId="0" applyFont="1" applyFill="1" applyAlignment="1">
      <alignment vertical="center"/>
    </xf>
    <xf numFmtId="1" fontId="227" fillId="72" borderId="0" xfId="0" applyNumberFormat="1" applyFont="1" applyFill="1" applyAlignment="1">
      <alignment vertical="center"/>
    </xf>
    <xf numFmtId="4" fontId="100" fillId="0" borderId="12" xfId="0" applyNumberFormat="1" applyFont="1" applyBorder="1" applyAlignment="1">
      <alignment horizontal="center"/>
    </xf>
    <xf numFmtId="1" fontId="100" fillId="0" borderId="11" xfId="0" applyNumberFormat="1" applyFont="1" applyBorder="1" applyAlignment="1">
      <alignment vertical="center"/>
    </xf>
    <xf numFmtId="0" fontId="298" fillId="0" borderId="0" xfId="0" applyFont="1"/>
    <xf numFmtId="3" fontId="298" fillId="0" borderId="0" xfId="0" applyNumberFormat="1" applyFont="1"/>
    <xf numFmtId="2" fontId="298" fillId="0" borderId="0" xfId="0" applyNumberFormat="1" applyFont="1"/>
    <xf numFmtId="179" fontId="298" fillId="0" borderId="0" xfId="0" applyNumberFormat="1" applyFont="1"/>
    <xf numFmtId="176" fontId="298" fillId="0" borderId="0" xfId="0" applyNumberFormat="1" applyFont="1"/>
    <xf numFmtId="3" fontId="108" fillId="37" borderId="11" xfId="232" applyNumberFormat="1" applyFont="1" applyFill="1" applyBorder="1" applyAlignment="1" applyProtection="1">
      <alignment horizontal="center" vertical="center"/>
      <protection hidden="1"/>
    </xf>
    <xf numFmtId="183" fontId="108" fillId="37" borderId="11" xfId="306" applyNumberFormat="1" applyFont="1" applyFill="1" applyBorder="1" applyAlignment="1">
      <alignment horizontal="center" vertical="center"/>
    </xf>
    <xf numFmtId="248" fontId="113" fillId="37" borderId="11" xfId="306" applyNumberFormat="1" applyFont="1" applyFill="1" applyBorder="1" applyAlignment="1">
      <alignment vertical="center"/>
    </xf>
    <xf numFmtId="3" fontId="0" fillId="38" borderId="21" xfId="0" applyNumberFormat="1" applyFill="1" applyBorder="1"/>
    <xf numFmtId="3" fontId="0" fillId="38" borderId="14" xfId="0" applyNumberFormat="1" applyFill="1" applyBorder="1" applyAlignment="1">
      <alignment horizontal="center"/>
    </xf>
    <xf numFmtId="189" fontId="0" fillId="0" borderId="0" xfId="0" applyNumberFormat="1" applyAlignment="1">
      <alignment vertical="center"/>
    </xf>
    <xf numFmtId="0" fontId="286" fillId="37" borderId="0" xfId="0" applyFont="1" applyFill="1" applyAlignment="1">
      <alignment horizontal="left"/>
    </xf>
    <xf numFmtId="181" fontId="0" fillId="0" borderId="0" xfId="0" applyNumberFormat="1" applyAlignment="1">
      <alignment horizontal="center"/>
    </xf>
    <xf numFmtId="0" fontId="166" fillId="72" borderId="154" xfId="0" applyFont="1" applyFill="1" applyBorder="1" applyAlignment="1">
      <alignment horizontal="center" vertical="center"/>
    </xf>
    <xf numFmtId="187" fontId="294" fillId="72" borderId="140" xfId="28058" applyNumberFormat="1" applyFont="1" applyFill="1" applyBorder="1" applyAlignment="1" applyProtection="1">
      <alignment horizontal="center" wrapText="1"/>
      <protection locked="0"/>
    </xf>
    <xf numFmtId="187" fontId="294" fillId="72" borderId="140" xfId="28058" applyNumberFormat="1" applyFont="1" applyFill="1" applyBorder="1" applyAlignment="1" applyProtection="1">
      <alignment horizontal="center"/>
      <protection locked="0"/>
    </xf>
    <xf numFmtId="0" fontId="294" fillId="72" borderId="140" xfId="0" applyFont="1" applyFill="1" applyBorder="1" applyAlignment="1" applyProtection="1">
      <alignment horizontal="center"/>
      <protection locked="0"/>
    </xf>
    <xf numFmtId="167" fontId="294" fillId="72" borderId="140" xfId="28058" applyFont="1" applyFill="1" applyBorder="1" applyAlignment="1" applyProtection="1">
      <alignment horizontal="center"/>
      <protection locked="0"/>
    </xf>
    <xf numFmtId="186" fontId="294" fillId="72" borderId="140" xfId="28058" applyNumberFormat="1" applyFont="1" applyFill="1" applyBorder="1" applyAlignment="1" applyProtection="1">
      <alignment horizontal="center"/>
      <protection locked="0"/>
    </xf>
    <xf numFmtId="188" fontId="294" fillId="72" borderId="140" xfId="28058" applyNumberFormat="1" applyFont="1" applyFill="1" applyBorder="1" applyAlignment="1" applyProtection="1">
      <alignment horizontal="center"/>
      <protection locked="0"/>
    </xf>
    <xf numFmtId="185" fontId="294" fillId="72" borderId="140" xfId="322" applyNumberFormat="1" applyFont="1" applyFill="1" applyBorder="1" applyAlignment="1" applyProtection="1">
      <alignment horizontal="center"/>
      <protection locked="0"/>
    </xf>
    <xf numFmtId="185" fontId="227" fillId="72" borderId="140" xfId="0" applyNumberFormat="1" applyFont="1" applyFill="1" applyBorder="1" applyAlignment="1">
      <alignment horizontal="center"/>
    </xf>
    <xf numFmtId="0" fontId="192" fillId="72" borderId="140" xfId="0" applyFont="1" applyFill="1" applyBorder="1" applyAlignment="1">
      <alignment horizontal="center" vertical="center" wrapText="1"/>
    </xf>
    <xf numFmtId="0" fontId="192" fillId="72" borderId="140" xfId="0" applyFont="1" applyFill="1" applyBorder="1" applyAlignment="1">
      <alignment horizontal="center" vertical="center"/>
    </xf>
    <xf numFmtId="0" fontId="290" fillId="0" borderId="0" xfId="0" applyFont="1"/>
    <xf numFmtId="0" fontId="166" fillId="72" borderId="158" xfId="0" applyFont="1" applyFill="1" applyBorder="1" applyAlignment="1">
      <alignment horizontal="center" vertical="center"/>
    </xf>
    <xf numFmtId="0" fontId="0" fillId="0" borderId="140" xfId="0" applyBorder="1" applyAlignment="1">
      <alignment horizontal="center"/>
    </xf>
    <xf numFmtId="0" fontId="166" fillId="72" borderId="151" xfId="0" applyFont="1" applyFill="1" applyBorder="1" applyAlignment="1">
      <alignment horizontal="center" vertical="center"/>
    </xf>
    <xf numFmtId="1" fontId="192" fillId="72" borderId="140" xfId="0" applyNumberFormat="1" applyFont="1" applyFill="1" applyBorder="1" applyAlignment="1">
      <alignment horizontal="center" vertical="center"/>
    </xf>
    <xf numFmtId="0" fontId="192" fillId="72" borderId="152" xfId="0" applyFont="1" applyFill="1" applyBorder="1" applyAlignment="1">
      <alignment horizontal="center" vertical="center" wrapText="1"/>
    </xf>
    <xf numFmtId="0" fontId="192" fillId="72" borderId="152" xfId="0" applyFont="1" applyFill="1" applyBorder="1" applyAlignment="1">
      <alignment vertical="center"/>
    </xf>
    <xf numFmtId="193" fontId="0" fillId="37" borderId="152" xfId="0" applyNumberFormat="1" applyFill="1" applyBorder="1" applyAlignment="1">
      <alignment horizontal="center" vertical="center"/>
    </xf>
    <xf numFmtId="3" fontId="0" fillId="37" borderId="152" xfId="0" applyNumberFormat="1" applyFill="1" applyBorder="1" applyAlignment="1">
      <alignment horizontal="center"/>
    </xf>
    <xf numFmtId="4" fontId="0" fillId="37" borderId="152" xfId="0" applyNumberFormat="1" applyFill="1" applyBorder="1" applyAlignment="1">
      <alignment horizontal="center"/>
    </xf>
    <xf numFmtId="182" fontId="0" fillId="37" borderId="152" xfId="0" applyNumberFormat="1" applyFill="1" applyBorder="1" applyAlignment="1">
      <alignment horizontal="center"/>
    </xf>
    <xf numFmtId="1" fontId="0" fillId="37" borderId="152" xfId="0" applyNumberFormat="1" applyFill="1" applyBorder="1" applyAlignment="1">
      <alignment horizontal="center" vertical="center"/>
    </xf>
    <xf numFmtId="176" fontId="0" fillId="37" borderId="152" xfId="0" applyNumberFormat="1" applyFill="1" applyBorder="1" applyAlignment="1">
      <alignment horizontal="center" vertical="center"/>
    </xf>
    <xf numFmtId="0" fontId="192" fillId="72" borderId="161" xfId="0" applyFont="1" applyFill="1" applyBorder="1" applyAlignment="1">
      <alignment horizontal="center" vertical="center"/>
    </xf>
    <xf numFmtId="1" fontId="192" fillId="72" borderId="161" xfId="0" applyNumberFormat="1" applyFont="1" applyFill="1" applyBorder="1" applyAlignment="1">
      <alignment horizontal="center" vertical="center"/>
    </xf>
    <xf numFmtId="0" fontId="192" fillId="72" borderId="161" xfId="0" applyFont="1" applyFill="1" applyBorder="1" applyAlignment="1">
      <alignment horizontal="center" vertical="center" wrapText="1"/>
    </xf>
    <xf numFmtId="193" fontId="0" fillId="37" borderId="168" xfId="0" applyNumberFormat="1" applyFill="1" applyBorder="1" applyAlignment="1">
      <alignment horizontal="center" vertical="center"/>
    </xf>
    <xf numFmtId="3" fontId="0" fillId="37" borderId="168" xfId="0" applyNumberFormat="1" applyFill="1" applyBorder="1" applyAlignment="1">
      <alignment horizontal="center"/>
    </xf>
    <xf numFmtId="4" fontId="0" fillId="37" borderId="168" xfId="0" applyNumberFormat="1" applyFill="1" applyBorder="1" applyAlignment="1">
      <alignment horizontal="center"/>
    </xf>
    <xf numFmtId="182" fontId="0" fillId="37" borderId="168" xfId="0" applyNumberFormat="1" applyFill="1" applyBorder="1" applyAlignment="1">
      <alignment horizontal="center"/>
    </xf>
    <xf numFmtId="1" fontId="0" fillId="37" borderId="168" xfId="0" applyNumberFormat="1" applyFill="1" applyBorder="1" applyAlignment="1">
      <alignment horizontal="center" vertical="center"/>
    </xf>
    <xf numFmtId="176" fontId="0" fillId="37" borderId="168" xfId="0" applyNumberFormat="1" applyFill="1" applyBorder="1" applyAlignment="1">
      <alignment horizontal="center" vertical="center"/>
    </xf>
    <xf numFmtId="193" fontId="0" fillId="37" borderId="152" xfId="0" applyNumberFormat="1" applyFill="1" applyBorder="1" applyAlignment="1">
      <alignment vertical="center"/>
    </xf>
    <xf numFmtId="183" fontId="0" fillId="37" borderId="152" xfId="0" applyNumberFormat="1" applyFill="1" applyBorder="1" applyAlignment="1">
      <alignment vertical="center"/>
    </xf>
    <xf numFmtId="4" fontId="0" fillId="37" borderId="152" xfId="0" applyNumberFormat="1" applyFill="1" applyBorder="1" applyAlignment="1">
      <alignment vertical="center"/>
    </xf>
    <xf numFmtId="182" fontId="0" fillId="37" borderId="152" xfId="0" applyNumberFormat="1" applyFill="1" applyBorder="1" applyAlignment="1">
      <alignment vertical="center"/>
    </xf>
    <xf numFmtId="3" fontId="0" fillId="37" borderId="152" xfId="0" applyNumberFormat="1" applyFill="1" applyBorder="1" applyAlignment="1">
      <alignment vertical="center"/>
    </xf>
    <xf numFmtId="182" fontId="0" fillId="37" borderId="152" xfId="0" applyNumberFormat="1" applyFill="1" applyBorder="1" applyAlignment="1">
      <alignment horizontal="center" vertical="center"/>
    </xf>
    <xf numFmtId="9" fontId="0" fillId="37" borderId="97" xfId="0" applyNumberFormat="1" applyFill="1" applyBorder="1" applyAlignment="1">
      <alignment horizontal="center"/>
    </xf>
    <xf numFmtId="176" fontId="192" fillId="72" borderId="0" xfId="0" applyNumberFormat="1" applyFont="1" applyFill="1" applyAlignment="1">
      <alignment horizontal="center" vertical="center"/>
    </xf>
    <xf numFmtId="3" fontId="0" fillId="0" borderId="171" xfId="0" applyNumberFormat="1" applyBorder="1" applyAlignment="1">
      <alignment horizontal="center"/>
    </xf>
    <xf numFmtId="4" fontId="0" fillId="0" borderId="171" xfId="0" applyNumberFormat="1" applyBorder="1" applyAlignment="1">
      <alignment horizontal="center"/>
    </xf>
    <xf numFmtId="183" fontId="0" fillId="0" borderId="171" xfId="0" applyNumberFormat="1" applyBorder="1" applyAlignment="1">
      <alignment horizontal="center"/>
    </xf>
    <xf numFmtId="182" fontId="0" fillId="0" borderId="171" xfId="0" applyNumberFormat="1" applyBorder="1" applyAlignment="1">
      <alignment horizontal="center"/>
    </xf>
    <xf numFmtId="2" fontId="0" fillId="0" borderId="171" xfId="0" applyNumberFormat="1" applyBorder="1" applyAlignment="1">
      <alignment horizontal="center" vertical="center"/>
    </xf>
    <xf numFmtId="3" fontId="0" fillId="0" borderId="171" xfId="0" applyNumberFormat="1" applyBorder="1" applyAlignment="1">
      <alignment horizontal="center" vertical="center"/>
    </xf>
    <xf numFmtId="1" fontId="0" fillId="0" borderId="172" xfId="0" applyNumberFormat="1" applyBorder="1" applyAlignment="1">
      <alignment horizontal="center"/>
    </xf>
    <xf numFmtId="0" fontId="192" fillId="72" borderId="173" xfId="0" applyFont="1" applyFill="1" applyBorder="1" applyAlignment="1">
      <alignment horizontal="center" vertical="center"/>
    </xf>
    <xf numFmtId="179" fontId="144" fillId="0" borderId="0" xfId="0" applyNumberFormat="1" applyFont="1" applyAlignment="1">
      <alignment vertical="center"/>
    </xf>
    <xf numFmtId="193" fontId="0" fillId="37" borderId="168" xfId="0" applyNumberFormat="1" applyFill="1" applyBorder="1" applyAlignment="1">
      <alignment vertical="center"/>
    </xf>
    <xf numFmtId="182" fontId="0" fillId="37" borderId="168" xfId="0" applyNumberFormat="1" applyFill="1" applyBorder="1" applyAlignment="1">
      <alignment horizontal="center" vertical="center"/>
    </xf>
    <xf numFmtId="176" fontId="0" fillId="0" borderId="171" xfId="0" applyNumberFormat="1" applyBorder="1" applyAlignment="1">
      <alignment horizontal="center"/>
    </xf>
    <xf numFmtId="1" fontId="0" fillId="0" borderId="171" xfId="0" applyNumberFormat="1" applyBorder="1" applyAlignment="1">
      <alignment horizontal="center" vertical="center"/>
    </xf>
    <xf numFmtId="176" fontId="0" fillId="0" borderId="171" xfId="0" applyNumberFormat="1" applyBorder="1" applyAlignment="1">
      <alignment horizontal="center" vertical="center"/>
    </xf>
    <xf numFmtId="0" fontId="0" fillId="0" borderId="171" xfId="0" applyBorder="1" applyAlignment="1">
      <alignment horizontal="left" vertical="center"/>
    </xf>
    <xf numFmtId="182" fontId="94" fillId="0" borderId="171" xfId="0" applyNumberFormat="1" applyFont="1" applyBorder="1" applyAlignment="1">
      <alignment horizontal="center"/>
    </xf>
    <xf numFmtId="4" fontId="94" fillId="0" borderId="171" xfId="0" applyNumberFormat="1" applyFont="1" applyBorder="1" applyAlignment="1">
      <alignment horizontal="center" vertical="center"/>
    </xf>
    <xf numFmtId="193" fontId="0" fillId="0" borderId="0" xfId="0" applyNumberFormat="1" applyAlignment="1">
      <alignment vertical="center"/>
    </xf>
    <xf numFmtId="0" fontId="139" fillId="38" borderId="0" xfId="0" applyFont="1" applyFill="1"/>
    <xf numFmtId="3" fontId="94" fillId="0" borderId="0" xfId="0" applyNumberFormat="1" applyFont="1" applyAlignment="1">
      <alignment horizontal="center"/>
    </xf>
    <xf numFmtId="3" fontId="0" fillId="0" borderId="182" xfId="0" applyNumberFormat="1" applyBorder="1" applyAlignment="1">
      <alignment horizontal="center"/>
    </xf>
    <xf numFmtId="14" fontId="94" fillId="0" borderId="0" xfId="0" applyNumberFormat="1" applyFont="1" applyAlignment="1">
      <alignment horizontal="center"/>
    </xf>
    <xf numFmtId="0" fontId="0" fillId="37" borderId="156" xfId="0" applyFill="1" applyBorder="1" applyAlignment="1">
      <alignment horizontal="center"/>
    </xf>
    <xf numFmtId="0" fontId="0" fillId="96" borderId="156" xfId="0" applyFill="1" applyBorder="1" applyAlignment="1">
      <alignment horizontal="center" vertical="center"/>
    </xf>
    <xf numFmtId="0" fontId="0" fillId="96" borderId="156" xfId="0" applyFill="1" applyBorder="1" applyAlignment="1">
      <alignment horizontal="center"/>
    </xf>
    <xf numFmtId="0" fontId="0" fillId="96" borderId="156" xfId="0" applyFill="1" applyBorder="1" applyAlignment="1">
      <alignment horizontal="left" vertical="center"/>
    </xf>
    <xf numFmtId="0" fontId="0" fillId="0" borderId="156" xfId="0" applyBorder="1" applyAlignment="1">
      <alignment horizontal="center"/>
    </xf>
    <xf numFmtId="176" fontId="0" fillId="0" borderId="172" xfId="0" applyNumberFormat="1" applyBorder="1" applyAlignment="1">
      <alignment horizontal="center"/>
    </xf>
    <xf numFmtId="0" fontId="270" fillId="0" borderId="0" xfId="0" applyFont="1"/>
    <xf numFmtId="179" fontId="270" fillId="0" borderId="0" xfId="0" applyNumberFormat="1" applyFont="1" applyAlignment="1">
      <alignment horizontal="center"/>
    </xf>
    <xf numFmtId="176" fontId="270" fillId="0" borderId="0" xfId="0" applyNumberFormat="1" applyFont="1" applyAlignment="1">
      <alignment horizontal="center"/>
    </xf>
    <xf numFmtId="179" fontId="270" fillId="0" borderId="0" xfId="0" applyNumberFormat="1" applyFont="1"/>
    <xf numFmtId="178" fontId="270" fillId="0" borderId="0" xfId="234" applyNumberFormat="1" applyFont="1" applyFill="1"/>
    <xf numFmtId="179" fontId="270" fillId="26" borderId="0" xfId="0" applyNumberFormat="1" applyFont="1" applyFill="1" applyAlignment="1">
      <alignment horizontal="right"/>
    </xf>
    <xf numFmtId="3" fontId="270" fillId="26" borderId="0" xfId="234" applyNumberFormat="1" applyFont="1" applyFill="1"/>
    <xf numFmtId="179" fontId="270" fillId="0" borderId="0" xfId="234" applyNumberFormat="1" applyFont="1" applyAlignment="1">
      <alignment horizontal="center"/>
    </xf>
    <xf numFmtId="192" fontId="270" fillId="0" borderId="0" xfId="234" applyNumberFormat="1" applyFont="1" applyAlignment="1">
      <alignment horizontal="center"/>
    </xf>
    <xf numFmtId="4" fontId="270" fillId="0" borderId="0" xfId="234" applyNumberFormat="1" applyFont="1"/>
    <xf numFmtId="3" fontId="270" fillId="0" borderId="0" xfId="234" applyNumberFormat="1" applyFont="1"/>
    <xf numFmtId="179" fontId="270" fillId="0" borderId="0" xfId="234" applyNumberFormat="1" applyFont="1"/>
    <xf numFmtId="178" fontId="270" fillId="0" borderId="0" xfId="234" applyNumberFormat="1" applyFont="1"/>
    <xf numFmtId="0" fontId="270" fillId="26" borderId="0" xfId="0" applyFont="1" applyFill="1"/>
    <xf numFmtId="3" fontId="270" fillId="0" borderId="0" xfId="0" applyNumberFormat="1" applyFont="1"/>
    <xf numFmtId="1" fontId="270" fillId="37" borderId="0" xfId="0" applyNumberFormat="1" applyFont="1" applyFill="1" applyAlignment="1">
      <alignment horizontal="center"/>
    </xf>
    <xf numFmtId="197" fontId="270" fillId="26" borderId="0" xfId="0" applyNumberFormat="1" applyFont="1" applyFill="1"/>
    <xf numFmtId="197" fontId="270" fillId="0" borderId="0" xfId="0" applyNumberFormat="1" applyFont="1"/>
    <xf numFmtId="166" fontId="47" fillId="0" borderId="0" xfId="31096" applyFont="1"/>
    <xf numFmtId="1" fontId="299" fillId="37" borderId="98" xfId="0" applyNumberFormat="1" applyFont="1" applyFill="1" applyBorder="1" applyAlignment="1">
      <alignment horizontal="center" vertical="center"/>
    </xf>
    <xf numFmtId="1" fontId="299" fillId="37" borderId="0" xfId="0" applyNumberFormat="1" applyFont="1" applyFill="1" applyAlignment="1">
      <alignment horizontal="center" vertical="center"/>
    </xf>
    <xf numFmtId="178" fontId="94" fillId="37" borderId="0" xfId="234" applyNumberFormat="1" applyFont="1" applyFill="1" applyBorder="1" applyAlignment="1">
      <alignment horizontal="center"/>
    </xf>
    <xf numFmtId="178" fontId="106" fillId="37" borderId="0" xfId="234" applyNumberFormat="1" applyFont="1" applyFill="1" applyBorder="1" applyAlignment="1">
      <alignment horizontal="center"/>
    </xf>
    <xf numFmtId="10" fontId="94" fillId="37" borderId="98" xfId="322" applyNumberFormat="1" applyFont="1" applyFill="1" applyBorder="1" applyAlignment="1">
      <alignment horizontal="center" vertical="center"/>
    </xf>
    <xf numFmtId="1" fontId="192" fillId="37" borderId="0" xfId="234" applyNumberFormat="1" applyFont="1" applyFill="1" applyBorder="1" applyAlignment="1">
      <alignment horizontal="center" vertical="center"/>
    </xf>
    <xf numFmtId="3" fontId="165" fillId="72" borderId="0" xfId="234" applyNumberFormat="1" applyFont="1" applyFill="1" applyAlignment="1">
      <alignment horizontal="center"/>
    </xf>
    <xf numFmtId="3" fontId="165" fillId="72" borderId="160" xfId="0" applyNumberFormat="1" applyFont="1" applyFill="1" applyBorder="1" applyAlignment="1">
      <alignment horizontal="center"/>
    </xf>
    <xf numFmtId="179" fontId="47" fillId="37" borderId="0" xfId="234" applyNumberFormat="1" applyFont="1" applyFill="1" applyAlignment="1">
      <alignment horizontal="left"/>
    </xf>
    <xf numFmtId="179" fontId="233" fillId="72" borderId="0" xfId="234" applyNumberFormat="1" applyFont="1" applyFill="1"/>
    <xf numFmtId="3" fontId="300" fillId="72" borderId="152" xfId="0" applyNumberFormat="1" applyFont="1" applyFill="1" applyBorder="1" applyAlignment="1">
      <alignment horizontal="center"/>
    </xf>
    <xf numFmtId="4" fontId="300" fillId="72" borderId="152" xfId="0" applyNumberFormat="1" applyFont="1" applyFill="1" applyBorder="1" applyAlignment="1">
      <alignment horizontal="center"/>
    </xf>
    <xf numFmtId="2" fontId="0" fillId="37" borderId="98" xfId="0" applyNumberFormat="1" applyFill="1" applyBorder="1" applyAlignment="1">
      <alignment horizontal="center" vertical="center"/>
    </xf>
    <xf numFmtId="10" fontId="47" fillId="37" borderId="98" xfId="1301" applyFont="1" applyFill="1" applyBorder="1" applyAlignment="1">
      <alignment horizontal="center" vertical="center"/>
    </xf>
    <xf numFmtId="14" fontId="0" fillId="37" borderId="98" xfId="0" applyNumberFormat="1" applyFill="1" applyBorder="1" applyAlignment="1">
      <alignment horizontal="center"/>
    </xf>
    <xf numFmtId="3" fontId="270" fillId="37" borderId="98" xfId="0" applyNumberFormat="1" applyFont="1" applyFill="1" applyBorder="1" applyAlignment="1">
      <alignment horizontal="center"/>
    </xf>
    <xf numFmtId="2" fontId="0" fillId="37" borderId="98" xfId="0" applyNumberFormat="1" applyFill="1" applyBorder="1" applyAlignment="1">
      <alignment horizontal="center"/>
    </xf>
    <xf numFmtId="0" fontId="227" fillId="72" borderId="152" xfId="0" applyFont="1" applyFill="1" applyBorder="1" applyAlignment="1">
      <alignment horizontal="center" vertical="center" wrapText="1"/>
    </xf>
    <xf numFmtId="0" fontId="227" fillId="72" borderId="152" xfId="0" applyFont="1" applyFill="1" applyBorder="1" applyAlignment="1">
      <alignment horizontal="center" vertical="center"/>
    </xf>
    <xf numFmtId="0" fontId="192" fillId="72" borderId="152" xfId="0" applyFont="1" applyFill="1" applyBorder="1"/>
    <xf numFmtId="182" fontId="192" fillId="72" borderId="98" xfId="31096" applyNumberFormat="1" applyFont="1" applyFill="1" applyBorder="1" applyAlignment="1">
      <alignment horizontal="center"/>
    </xf>
    <xf numFmtId="3" fontId="192" fillId="72" borderId="98" xfId="31096" applyNumberFormat="1" applyFont="1" applyFill="1" applyBorder="1" applyAlignment="1">
      <alignment horizontal="center"/>
    </xf>
    <xf numFmtId="0" fontId="219" fillId="37" borderId="0" xfId="0" applyFont="1" applyFill="1" applyAlignment="1">
      <alignment horizontal="center" vertical="center"/>
    </xf>
    <xf numFmtId="3" fontId="227" fillId="72" borderId="152" xfId="31096" applyNumberFormat="1" applyFont="1" applyFill="1" applyBorder="1" applyAlignment="1">
      <alignment horizontal="center" vertical="center"/>
    </xf>
    <xf numFmtId="179" fontId="192" fillId="37" borderId="0" xfId="0" applyNumberFormat="1" applyFont="1" applyFill="1" applyAlignment="1">
      <alignment horizontal="center" vertical="center"/>
    </xf>
    <xf numFmtId="178" fontId="47" fillId="0" borderId="0" xfId="234" applyNumberFormat="1" applyFont="1" applyFill="1" applyAlignment="1">
      <alignment horizontal="center" vertical="center"/>
    </xf>
    <xf numFmtId="179" fontId="193" fillId="0" borderId="0" xfId="0" applyNumberFormat="1" applyFont="1" applyAlignment="1">
      <alignment horizontal="center"/>
    </xf>
    <xf numFmtId="179" fontId="270" fillId="0" borderId="0" xfId="0" applyNumberFormat="1" applyFont="1" applyAlignment="1">
      <alignment horizontal="center" vertical="center"/>
    </xf>
    <xf numFmtId="1" fontId="47" fillId="0" borderId="0" xfId="234" applyNumberFormat="1" applyFont="1" applyAlignment="1">
      <alignment horizontal="center" vertical="center"/>
    </xf>
    <xf numFmtId="3" fontId="227" fillId="72" borderId="140" xfId="234" applyNumberFormat="1" applyFont="1" applyFill="1" applyBorder="1" applyAlignment="1">
      <alignment horizontal="center" vertical="center"/>
    </xf>
    <xf numFmtId="1" fontId="227" fillId="72" borderId="140" xfId="0" applyNumberFormat="1" applyFont="1" applyFill="1" applyBorder="1" applyAlignment="1">
      <alignment horizontal="center" vertical="center"/>
    </xf>
    <xf numFmtId="179" fontId="270" fillId="26" borderId="0" xfId="0" applyNumberFormat="1" applyFont="1" applyFill="1" applyAlignment="1">
      <alignment horizontal="center" vertical="center"/>
    </xf>
    <xf numFmtId="0" fontId="301" fillId="0" borderId="0" xfId="0" applyFont="1" applyAlignment="1">
      <alignment horizontal="center" vertical="center"/>
    </xf>
    <xf numFmtId="0" fontId="192" fillId="37" borderId="0" xfId="0" applyFont="1" applyFill="1"/>
    <xf numFmtId="3" fontId="192" fillId="37" borderId="0" xfId="31096" applyNumberFormat="1" applyFont="1" applyFill="1" applyBorder="1" applyAlignment="1">
      <alignment horizontal="center"/>
    </xf>
    <xf numFmtId="0" fontId="227" fillId="37" borderId="0" xfId="0" applyFont="1" applyFill="1"/>
    <xf numFmtId="179" fontId="94" fillId="37" borderId="0" xfId="0" applyNumberFormat="1" applyFont="1" applyFill="1" applyAlignment="1">
      <alignment horizontal="center"/>
    </xf>
    <xf numFmtId="179" fontId="302" fillId="37" borderId="0" xfId="0" applyNumberFormat="1" applyFont="1" applyFill="1"/>
    <xf numFmtId="1" fontId="302" fillId="37" borderId="0" xfId="0" applyNumberFormat="1" applyFont="1" applyFill="1"/>
    <xf numFmtId="3" fontId="301" fillId="37" borderId="0" xfId="0" applyNumberFormat="1" applyFont="1" applyFill="1"/>
    <xf numFmtId="179" fontId="47" fillId="0" borderId="0" xfId="234" applyNumberFormat="1" applyFont="1" applyFill="1" applyBorder="1"/>
    <xf numFmtId="179" fontId="94" fillId="0" borderId="0" xfId="0" applyNumberFormat="1" applyFont="1"/>
    <xf numFmtId="179" fontId="47" fillId="0" borderId="0" xfId="234" applyNumberFormat="1" applyFont="1"/>
    <xf numFmtId="1" fontId="270" fillId="37" borderId="0" xfId="0" applyNumberFormat="1" applyFont="1" applyFill="1"/>
    <xf numFmtId="177" fontId="47" fillId="0" borderId="0" xfId="234" applyNumberFormat="1" applyFont="1" applyFill="1" applyBorder="1"/>
    <xf numFmtId="183" fontId="47" fillId="0" borderId="0" xfId="234" applyNumberFormat="1" applyFont="1"/>
    <xf numFmtId="184" fontId="47" fillId="0" borderId="0" xfId="234" applyNumberFormat="1" applyFont="1"/>
    <xf numFmtId="179" fontId="0" fillId="32" borderId="0" xfId="0" applyNumberFormat="1" applyFill="1" applyAlignment="1">
      <alignment horizontal="center"/>
    </xf>
    <xf numFmtId="179" fontId="0" fillId="32" borderId="20" xfId="0" applyNumberFormat="1" applyFill="1" applyBorder="1" applyAlignment="1">
      <alignment horizontal="center"/>
    </xf>
    <xf numFmtId="176" fontId="0" fillId="32" borderId="0" xfId="0" applyNumberFormat="1" applyFill="1" applyAlignment="1">
      <alignment horizontal="center"/>
    </xf>
    <xf numFmtId="179" fontId="0" fillId="32" borderId="0" xfId="0" applyNumberFormat="1" applyFill="1"/>
    <xf numFmtId="178" fontId="47" fillId="32" borderId="0" xfId="234" applyNumberFormat="1" applyFont="1" applyFill="1" applyBorder="1"/>
    <xf numFmtId="179" fontId="0" fillId="32" borderId="0" xfId="0" applyNumberFormat="1" applyFill="1" applyAlignment="1">
      <alignment horizontal="right"/>
    </xf>
    <xf numFmtId="3" fontId="47" fillId="32" borderId="0" xfId="234" applyNumberFormat="1" applyFont="1" applyFill="1" applyBorder="1"/>
    <xf numFmtId="179" fontId="47" fillId="32" borderId="0" xfId="234" applyNumberFormat="1" applyFont="1" applyFill="1" applyBorder="1" applyAlignment="1">
      <alignment horizontal="center"/>
    </xf>
    <xf numFmtId="192" fontId="47" fillId="32" borderId="20" xfId="234" applyNumberFormat="1" applyFont="1" applyFill="1" applyBorder="1" applyAlignment="1">
      <alignment horizontal="center"/>
    </xf>
    <xf numFmtId="4" fontId="47" fillId="32" borderId="20" xfId="234" applyNumberFormat="1" applyFont="1" applyFill="1" applyBorder="1"/>
    <xf numFmtId="3" fontId="47" fillId="32" borderId="20" xfId="234" applyNumberFormat="1" applyFont="1" applyFill="1" applyBorder="1"/>
    <xf numFmtId="179" fontId="47" fillId="32" borderId="20" xfId="234" applyNumberFormat="1" applyFont="1" applyFill="1" applyBorder="1"/>
    <xf numFmtId="0" fontId="270" fillId="32" borderId="20" xfId="0" applyFont="1" applyFill="1" applyBorder="1"/>
    <xf numFmtId="3" fontId="270" fillId="32" borderId="20" xfId="0" applyNumberFormat="1" applyFont="1" applyFill="1" applyBorder="1"/>
    <xf numFmtId="0" fontId="302" fillId="37" borderId="0" xfId="0" applyFont="1" applyFill="1"/>
    <xf numFmtId="167" fontId="112" fillId="37" borderId="98" xfId="234" applyFont="1" applyFill="1" applyBorder="1" applyAlignment="1">
      <alignment vertical="center" wrapText="1"/>
    </xf>
    <xf numFmtId="186" fontId="47" fillId="37" borderId="98" xfId="3362" applyNumberFormat="1" applyFont="1" applyFill="1" applyBorder="1"/>
    <xf numFmtId="187" fontId="47" fillId="37" borderId="98" xfId="3362" applyNumberFormat="1" applyFont="1" applyFill="1" applyBorder="1"/>
    <xf numFmtId="179" fontId="47" fillId="37" borderId="98" xfId="3362" applyNumberFormat="1" applyFont="1" applyFill="1" applyBorder="1"/>
    <xf numFmtId="1" fontId="47" fillId="37" borderId="98" xfId="3362" applyNumberFormat="1" applyFont="1" applyFill="1" applyBorder="1"/>
    <xf numFmtId="188" fontId="47" fillId="37" borderId="98" xfId="3362" applyNumberFormat="1" applyFont="1" applyFill="1" applyBorder="1" applyAlignment="1">
      <alignment horizontal="center"/>
    </xf>
    <xf numFmtId="186" fontId="47" fillId="37" borderId="98" xfId="3362" applyNumberFormat="1" applyFont="1" applyFill="1" applyBorder="1" applyAlignment="1">
      <alignment horizontal="center"/>
    </xf>
    <xf numFmtId="3" fontId="47" fillId="37" borderId="98" xfId="3362" applyNumberFormat="1" applyFont="1" applyFill="1" applyBorder="1"/>
    <xf numFmtId="178" fontId="112" fillId="37" borderId="98" xfId="234" applyNumberFormat="1" applyFont="1" applyFill="1" applyBorder="1" applyAlignment="1" applyProtection="1">
      <alignment horizontal="center" vertical="center" wrapText="1"/>
      <protection locked="0"/>
    </xf>
    <xf numFmtId="167" fontId="112" fillId="37" borderId="99" xfId="234" applyFont="1" applyFill="1" applyBorder="1" applyAlignment="1" applyProtection="1">
      <alignment horizontal="center" vertical="center" wrapText="1"/>
      <protection locked="0"/>
    </xf>
    <xf numFmtId="0" fontId="270" fillId="37" borderId="0" xfId="0" applyFont="1" applyFill="1" applyAlignment="1">
      <alignment horizontal="center"/>
    </xf>
    <xf numFmtId="0" fontId="270" fillId="37" borderId="0" xfId="0" applyFont="1" applyFill="1" applyAlignment="1">
      <alignment wrapText="1"/>
    </xf>
    <xf numFmtId="187" fontId="227" fillId="72" borderId="98" xfId="229" applyNumberFormat="1" applyFont="1" applyFill="1" applyBorder="1" applyAlignment="1" applyProtection="1">
      <alignment horizontal="center" vertical="center" wrapText="1"/>
      <protection locked="0"/>
    </xf>
    <xf numFmtId="187" fontId="227" fillId="72" borderId="116" xfId="229" applyNumberFormat="1" applyFont="1" applyFill="1" applyBorder="1" applyAlignment="1" applyProtection="1">
      <alignment horizontal="center" vertical="center" wrapText="1"/>
      <protection locked="0"/>
    </xf>
    <xf numFmtId="0" fontId="303" fillId="0" borderId="0" xfId="0" applyFont="1"/>
    <xf numFmtId="176" fontId="270" fillId="0" borderId="0" xfId="0" applyNumberFormat="1" applyFont="1"/>
    <xf numFmtId="221" fontId="270" fillId="0" borderId="0" xfId="0" applyNumberFormat="1" applyFont="1"/>
    <xf numFmtId="2" fontId="271" fillId="72" borderId="0" xfId="0" applyNumberFormat="1" applyFont="1" applyFill="1" applyAlignment="1">
      <alignment horizontal="center" vertical="center"/>
    </xf>
    <xf numFmtId="0" fontId="304" fillId="0" borderId="0" xfId="0" applyFont="1"/>
    <xf numFmtId="0" fontId="270" fillId="0" borderId="0" xfId="0" applyFont="1" applyAlignment="1">
      <alignment horizontal="right"/>
    </xf>
    <xf numFmtId="186" fontId="270" fillId="0" borderId="0" xfId="229" applyNumberFormat="1" applyFont="1" applyFill="1" applyBorder="1" applyAlignment="1" applyProtection="1">
      <alignment horizontal="center"/>
      <protection locked="0"/>
    </xf>
    <xf numFmtId="186" fontId="301" fillId="37" borderId="0" xfId="0" applyNumberFormat="1" applyFont="1" applyFill="1" applyAlignment="1">
      <alignment horizontal="center"/>
    </xf>
    <xf numFmtId="179" fontId="305" fillId="0" borderId="0" xfId="229" applyNumberFormat="1" applyFont="1" applyFill="1" applyBorder="1" applyAlignment="1" applyProtection="1">
      <alignment horizontal="center"/>
      <protection locked="0"/>
    </xf>
    <xf numFmtId="176" fontId="305" fillId="0" borderId="0" xfId="229" applyNumberFormat="1" applyFont="1" applyFill="1" applyBorder="1" applyAlignment="1" applyProtection="1">
      <alignment horizontal="center"/>
      <protection locked="0"/>
    </xf>
    <xf numFmtId="169" fontId="305" fillId="0" borderId="0" xfId="229" applyNumberFormat="1" applyFont="1" applyFill="1" applyBorder="1" applyAlignment="1" applyProtection="1">
      <alignment horizontal="center"/>
      <protection locked="0"/>
    </xf>
    <xf numFmtId="3" fontId="305" fillId="0" borderId="0" xfId="229" applyNumberFormat="1" applyFont="1" applyFill="1" applyBorder="1" applyAlignment="1" applyProtection="1">
      <alignment horizontal="center"/>
      <protection locked="0"/>
    </xf>
    <xf numFmtId="177" fontId="270" fillId="26" borderId="0" xfId="229" applyNumberFormat="1" applyFont="1" applyFill="1" applyBorder="1"/>
    <xf numFmtId="9" fontId="306" fillId="0" borderId="0" xfId="322" applyFont="1" applyFill="1" applyBorder="1" applyAlignment="1">
      <alignment horizontal="center"/>
    </xf>
    <xf numFmtId="179" fontId="307" fillId="0" borderId="0" xfId="229" applyNumberFormat="1" applyFont="1" applyFill="1" applyBorder="1" applyAlignment="1">
      <alignment horizontal="right"/>
    </xf>
    <xf numFmtId="179" fontId="270" fillId="26" borderId="0" xfId="229" applyNumberFormat="1" applyFont="1" applyFill="1" applyBorder="1"/>
    <xf numFmtId="0" fontId="270" fillId="26" borderId="0" xfId="0" applyFont="1" applyFill="1" applyAlignment="1">
      <alignment horizontal="center"/>
    </xf>
    <xf numFmtId="183" fontId="287" fillId="37" borderId="0" xfId="0" applyNumberFormat="1" applyFont="1" applyFill="1" applyAlignment="1">
      <alignment vertical="center"/>
    </xf>
    <xf numFmtId="3" fontId="276" fillId="37" borderId="36" xfId="0" applyNumberFormat="1" applyFont="1" applyFill="1" applyBorder="1" applyAlignment="1">
      <alignment horizontal="center"/>
    </xf>
    <xf numFmtId="3" fontId="276" fillId="37" borderId="35" xfId="0" applyNumberFormat="1" applyFont="1" applyFill="1" applyBorder="1" applyAlignment="1">
      <alignment horizontal="center"/>
    </xf>
    <xf numFmtId="4" fontId="276" fillId="37" borderId="35" xfId="0" applyNumberFormat="1" applyFont="1" applyFill="1" applyBorder="1" applyAlignment="1">
      <alignment horizontal="center"/>
    </xf>
    <xf numFmtId="182" fontId="276" fillId="37" borderId="35" xfId="0" applyNumberFormat="1" applyFont="1" applyFill="1" applyBorder="1" applyAlignment="1">
      <alignment horizontal="center"/>
    </xf>
    <xf numFmtId="181" fontId="276" fillId="37" borderId="35" xfId="0" applyNumberFormat="1" applyFont="1" applyFill="1" applyBorder="1" applyAlignment="1">
      <alignment horizontal="center"/>
    </xf>
    <xf numFmtId="0" fontId="100" fillId="75" borderId="0" xfId="0" applyFont="1" applyFill="1" applyAlignment="1">
      <alignment vertical="center"/>
    </xf>
    <xf numFmtId="183" fontId="286" fillId="37" borderId="0" xfId="0" applyNumberFormat="1" applyFont="1" applyFill="1"/>
    <xf numFmtId="2" fontId="100" fillId="0" borderId="0" xfId="0" applyNumberFormat="1" applyFont="1" applyAlignment="1">
      <alignment horizontal="center" vertical="center"/>
    </xf>
    <xf numFmtId="3" fontId="117" fillId="37" borderId="0" xfId="0" applyNumberFormat="1" applyFont="1" applyFill="1" applyAlignment="1">
      <alignment horizontal="center"/>
    </xf>
    <xf numFmtId="4" fontId="117" fillId="37" borderId="0" xfId="0" applyNumberFormat="1" applyFont="1" applyFill="1" applyAlignment="1">
      <alignment horizontal="center"/>
    </xf>
    <xf numFmtId="258" fontId="0" fillId="0" borderId="0" xfId="0" applyNumberFormat="1"/>
    <xf numFmtId="9" fontId="0" fillId="0" borderId="0" xfId="0" applyNumberFormat="1" applyAlignment="1">
      <alignment horizontal="center"/>
    </xf>
    <xf numFmtId="0" fontId="288" fillId="74" borderId="100" xfId="0" applyFont="1" applyFill="1" applyBorder="1"/>
    <xf numFmtId="0" fontId="286" fillId="37" borderId="99" xfId="0" applyFont="1" applyFill="1" applyBorder="1"/>
    <xf numFmtId="0" fontId="288" fillId="91" borderId="118" xfId="0" applyFont="1" applyFill="1" applyBorder="1" applyAlignment="1">
      <alignment horizontal="center"/>
    </xf>
    <xf numFmtId="0" fontId="288" fillId="72" borderId="118" xfId="0" applyFont="1" applyFill="1" applyBorder="1" applyAlignment="1">
      <alignment horizontal="center"/>
    </xf>
    <xf numFmtId="0" fontId="288" fillId="74" borderId="118" xfId="0" applyFont="1" applyFill="1" applyBorder="1" applyAlignment="1">
      <alignment horizontal="center"/>
    </xf>
    <xf numFmtId="0" fontId="288" fillId="78" borderId="123" xfId="0" applyFont="1" applyFill="1" applyBorder="1" applyAlignment="1">
      <alignment horizontal="center"/>
    </xf>
    <xf numFmtId="0" fontId="288" fillId="78" borderId="118" xfId="0" applyFont="1" applyFill="1" applyBorder="1" applyAlignment="1">
      <alignment horizontal="center"/>
    </xf>
    <xf numFmtId="0" fontId="286" fillId="107" borderId="117" xfId="0" applyFont="1" applyFill="1" applyBorder="1"/>
    <xf numFmtId="0" fontId="286" fillId="107" borderId="117" xfId="0" applyFont="1" applyFill="1" applyBorder="1" applyAlignment="1">
      <alignment horizontal="center"/>
    </xf>
    <xf numFmtId="176" fontId="286" fillId="107" borderId="117" xfId="0" applyNumberFormat="1" applyFont="1" applyFill="1" applyBorder="1" applyAlignment="1">
      <alignment horizontal="center" vertical="center"/>
    </xf>
    <xf numFmtId="4" fontId="286" fillId="107" borderId="117" xfId="0" applyNumberFormat="1" applyFont="1" applyFill="1" applyBorder="1" applyAlignment="1">
      <alignment horizontal="center" vertical="center"/>
    </xf>
    <xf numFmtId="185" fontId="286" fillId="107" borderId="117" xfId="322" applyNumberFormat="1" applyFont="1" applyFill="1" applyBorder="1" applyAlignment="1">
      <alignment horizontal="center" vertical="center"/>
    </xf>
    <xf numFmtId="182" fontId="286" fillId="107" borderId="117" xfId="0" applyNumberFormat="1" applyFont="1" applyFill="1" applyBorder="1" applyAlignment="1">
      <alignment horizontal="center" vertical="center"/>
    </xf>
    <xf numFmtId="9" fontId="286" fillId="107" borderId="117" xfId="322" applyFont="1" applyFill="1" applyBorder="1" applyAlignment="1">
      <alignment horizontal="center" vertical="center"/>
    </xf>
    <xf numFmtId="255" fontId="286" fillId="37" borderId="117" xfId="0" applyNumberFormat="1" applyFont="1" applyFill="1" applyBorder="1" applyAlignment="1">
      <alignment horizontal="center" vertical="center"/>
    </xf>
    <xf numFmtId="255" fontId="286" fillId="37" borderId="117" xfId="31096" applyNumberFormat="1" applyFont="1" applyFill="1" applyBorder="1" applyAlignment="1">
      <alignment horizontal="center" vertical="center"/>
    </xf>
    <xf numFmtId="0" fontId="286" fillId="37" borderId="111" xfId="0" applyFont="1" applyFill="1" applyBorder="1"/>
    <xf numFmtId="0" fontId="286" fillId="37" borderId="111" xfId="0" applyFont="1" applyFill="1" applyBorder="1" applyAlignment="1">
      <alignment horizontal="center"/>
    </xf>
    <xf numFmtId="3" fontId="286" fillId="37" borderId="111" xfId="0" applyNumberFormat="1" applyFont="1" applyFill="1" applyBorder="1" applyAlignment="1">
      <alignment horizontal="center" vertical="center"/>
    </xf>
    <xf numFmtId="185" fontId="286" fillId="37" borderId="111" xfId="322" applyNumberFormat="1" applyFont="1" applyFill="1" applyBorder="1" applyAlignment="1">
      <alignment horizontal="center" vertical="center"/>
    </xf>
    <xf numFmtId="3" fontId="288" fillId="37" borderId="0" xfId="0" applyNumberFormat="1" applyFont="1" applyFill="1"/>
    <xf numFmtId="0" fontId="286" fillId="0" borderId="0" xfId="0" applyFont="1" applyAlignment="1">
      <alignment horizontal="center"/>
    </xf>
    <xf numFmtId="3" fontId="286" fillId="97" borderId="0" xfId="0" applyNumberFormat="1" applyFont="1" applyFill="1" applyAlignment="1">
      <alignment horizontal="center" vertical="center"/>
    </xf>
    <xf numFmtId="4" fontId="286" fillId="97" borderId="0" xfId="0" applyNumberFormat="1" applyFont="1" applyFill="1" applyAlignment="1">
      <alignment horizontal="center"/>
    </xf>
    <xf numFmtId="179" fontId="286" fillId="97" borderId="0" xfId="0" applyNumberFormat="1" applyFont="1" applyFill="1" applyAlignment="1">
      <alignment horizontal="center"/>
    </xf>
    <xf numFmtId="2" fontId="286" fillId="97" borderId="0" xfId="0" applyNumberFormat="1" applyFont="1" applyFill="1" applyAlignment="1">
      <alignment horizontal="center"/>
    </xf>
    <xf numFmtId="1" fontId="286" fillId="97" borderId="0" xfId="0" applyNumberFormat="1" applyFont="1" applyFill="1" applyAlignment="1">
      <alignment horizontal="center"/>
    </xf>
    <xf numFmtId="1" fontId="286" fillId="38" borderId="0" xfId="0" applyNumberFormat="1" applyFont="1" applyFill="1" applyAlignment="1">
      <alignment horizontal="center"/>
    </xf>
    <xf numFmtId="1" fontId="286" fillId="37" borderId="0" xfId="0" applyNumberFormat="1" applyFont="1" applyFill="1" applyAlignment="1">
      <alignment horizontal="center"/>
    </xf>
    <xf numFmtId="0" fontId="292" fillId="0" borderId="0" xfId="303" applyFont="1" applyAlignment="1">
      <alignment horizontal="center" vertical="center"/>
    </xf>
    <xf numFmtId="3" fontId="286" fillId="37" borderId="0" xfId="0" applyNumberFormat="1" applyFont="1" applyFill="1" applyAlignment="1">
      <alignment horizontal="center"/>
    </xf>
    <xf numFmtId="2" fontId="286" fillId="37" borderId="0" xfId="0" applyNumberFormat="1" applyFont="1" applyFill="1" applyAlignment="1">
      <alignment horizontal="center"/>
    </xf>
    <xf numFmtId="179" fontId="286" fillId="37" borderId="0" xfId="0" applyNumberFormat="1" applyFont="1" applyFill="1" applyAlignment="1">
      <alignment horizontal="center"/>
    </xf>
    <xf numFmtId="0" fontId="292" fillId="0" borderId="20" xfId="303" applyFont="1" applyBorder="1" applyAlignment="1">
      <alignment horizontal="center" vertical="center"/>
    </xf>
    <xf numFmtId="3" fontId="286" fillId="37" borderId="20" xfId="0" applyNumberFormat="1" applyFont="1" applyFill="1" applyBorder="1" applyAlignment="1">
      <alignment horizontal="center"/>
    </xf>
    <xf numFmtId="2" fontId="286" fillId="37" borderId="20" xfId="0" applyNumberFormat="1" applyFont="1" applyFill="1" applyBorder="1" applyAlignment="1">
      <alignment horizontal="center"/>
    </xf>
    <xf numFmtId="179" fontId="286" fillId="37" borderId="20" xfId="0" applyNumberFormat="1" applyFont="1" applyFill="1" applyBorder="1" applyAlignment="1">
      <alignment horizontal="center"/>
    </xf>
    <xf numFmtId="1" fontId="286" fillId="37" borderId="20" xfId="0" applyNumberFormat="1" applyFont="1" applyFill="1" applyBorder="1" applyAlignment="1">
      <alignment horizontal="center"/>
    </xf>
    <xf numFmtId="165" fontId="112" fillId="37" borderId="101" xfId="234" applyNumberFormat="1" applyFont="1" applyFill="1" applyBorder="1" applyAlignment="1" applyProtection="1">
      <alignment horizontal="center" vertical="center" wrapText="1"/>
      <protection locked="0"/>
    </xf>
    <xf numFmtId="181" fontId="255" fillId="0" borderId="98" xfId="0" applyNumberFormat="1" applyFont="1" applyBorder="1" applyAlignment="1">
      <alignment horizontal="center"/>
    </xf>
    <xf numFmtId="181" fontId="256" fillId="89" borderId="98" xfId="0" applyNumberFormat="1" applyFont="1" applyFill="1" applyBorder="1" applyAlignment="1">
      <alignment horizontal="center"/>
    </xf>
    <xf numFmtId="199" fontId="47" fillId="37" borderId="162" xfId="234" applyNumberFormat="1" applyFont="1" applyFill="1" applyBorder="1" applyAlignment="1">
      <alignment horizontal="center"/>
    </xf>
    <xf numFmtId="1" fontId="0" fillId="37" borderId="163" xfId="0" applyNumberFormat="1" applyFill="1" applyBorder="1" applyAlignment="1">
      <alignment horizontal="center"/>
    </xf>
    <xf numFmtId="1" fontId="0" fillId="37" borderId="166" xfId="0" applyNumberFormat="1" applyFill="1" applyBorder="1" applyAlignment="1">
      <alignment horizontal="center"/>
    </xf>
    <xf numFmtId="199" fontId="47" fillId="37" borderId="165" xfId="234" applyNumberFormat="1" applyFont="1" applyFill="1" applyBorder="1" applyAlignment="1">
      <alignment horizontal="center"/>
    </xf>
    <xf numFmtId="1" fontId="0" fillId="37" borderId="152" xfId="0" applyNumberFormat="1" applyFill="1" applyBorder="1" applyAlignment="1">
      <alignment horizontal="center"/>
    </xf>
    <xf numFmtId="199" fontId="47" fillId="37" borderId="167" xfId="234" applyNumberFormat="1" applyFont="1" applyFill="1" applyBorder="1" applyAlignment="1">
      <alignment horizontal="center"/>
    </xf>
    <xf numFmtId="1" fontId="0" fillId="37" borderId="168" xfId="0" applyNumberFormat="1" applyFill="1" applyBorder="1" applyAlignment="1">
      <alignment horizontal="center"/>
    </xf>
    <xf numFmtId="1" fontId="192" fillId="72" borderId="116" xfId="0" applyNumberFormat="1" applyFont="1" applyFill="1" applyBorder="1" applyAlignment="1">
      <alignment horizontal="center" vertical="center" wrapText="1"/>
    </xf>
    <xf numFmtId="3" fontId="0" fillId="37" borderId="140" xfId="0" applyNumberFormat="1" applyFill="1" applyBorder="1" applyAlignment="1">
      <alignment horizontal="center"/>
    </xf>
    <xf numFmtId="193" fontId="0" fillId="37" borderId="163" xfId="0" applyNumberFormat="1" applyFill="1" applyBorder="1" applyAlignment="1">
      <alignment horizontal="center" vertical="center"/>
    </xf>
    <xf numFmtId="3" fontId="0" fillId="37" borderId="163" xfId="0" applyNumberFormat="1" applyFill="1" applyBorder="1" applyAlignment="1">
      <alignment horizontal="center"/>
    </xf>
    <xf numFmtId="4" fontId="0" fillId="37" borderId="163" xfId="0" applyNumberFormat="1" applyFill="1" applyBorder="1" applyAlignment="1">
      <alignment horizontal="center"/>
    </xf>
    <xf numFmtId="182" fontId="0" fillId="37" borderId="163" xfId="0" applyNumberFormat="1" applyFill="1" applyBorder="1" applyAlignment="1">
      <alignment horizontal="center"/>
    </xf>
    <xf numFmtId="1" fontId="0" fillId="37" borderId="163" xfId="0" applyNumberFormat="1" applyFill="1" applyBorder="1" applyAlignment="1">
      <alignment horizontal="center" vertical="center"/>
    </xf>
    <xf numFmtId="176" fontId="0" fillId="37" borderId="163" xfId="0" applyNumberFormat="1" applyFill="1" applyBorder="1" applyAlignment="1">
      <alignment horizontal="center" vertical="center"/>
    </xf>
    <xf numFmtId="193" fontId="0" fillId="37" borderId="163" xfId="0" applyNumberFormat="1" applyFill="1" applyBorder="1" applyAlignment="1">
      <alignment vertical="center"/>
    </xf>
    <xf numFmtId="182" fontId="0" fillId="37" borderId="163" xfId="0" applyNumberFormat="1" applyFill="1" applyBorder="1" applyAlignment="1">
      <alignment horizontal="center" vertical="center"/>
    </xf>
    <xf numFmtId="4" fontId="0" fillId="37" borderId="49" xfId="0" applyNumberFormat="1" applyFill="1" applyBorder="1" applyAlignment="1">
      <alignment horizontal="center"/>
    </xf>
    <xf numFmtId="0" fontId="0" fillId="37" borderId="48" xfId="0" applyFill="1" applyBorder="1" applyAlignment="1">
      <alignment vertical="center" textRotation="90"/>
    </xf>
    <xf numFmtId="193" fontId="0" fillId="37" borderId="48" xfId="0" applyNumberFormat="1" applyFill="1" applyBorder="1" applyAlignment="1">
      <alignment horizontal="center" vertical="center"/>
    </xf>
    <xf numFmtId="182" fontId="0" fillId="37" borderId="49" xfId="0" applyNumberFormat="1" applyFill="1" applyBorder="1" applyAlignment="1">
      <alignment horizontal="center"/>
    </xf>
    <xf numFmtId="183" fontId="0" fillId="37" borderId="49" xfId="0" applyNumberFormat="1" applyFill="1" applyBorder="1" applyAlignment="1">
      <alignment horizontal="center"/>
    </xf>
    <xf numFmtId="1" fontId="0" fillId="37" borderId="49" xfId="0" applyNumberFormat="1" applyFill="1" applyBorder="1" applyAlignment="1">
      <alignment vertical="center"/>
    </xf>
    <xf numFmtId="1" fontId="0" fillId="37" borderId="48" xfId="0" applyNumberFormat="1" applyFill="1" applyBorder="1" applyAlignment="1">
      <alignment vertical="center"/>
    </xf>
    <xf numFmtId="3" fontId="0" fillId="37" borderId="50" xfId="0" applyNumberFormat="1" applyFill="1" applyBorder="1" applyAlignment="1">
      <alignment horizontal="center" vertical="center"/>
    </xf>
    <xf numFmtId="4" fontId="0" fillId="37" borderId="50" xfId="0" applyNumberFormat="1" applyFill="1" applyBorder="1" applyAlignment="1">
      <alignment horizontal="center"/>
    </xf>
    <xf numFmtId="2" fontId="0" fillId="37" borderId="152" xfId="0" applyNumberFormat="1" applyFill="1" applyBorder="1" applyAlignment="1">
      <alignment horizontal="center" vertical="center"/>
    </xf>
    <xf numFmtId="0" fontId="0" fillId="37" borderId="39" xfId="0" applyFill="1" applyBorder="1" applyAlignment="1">
      <alignment vertical="center"/>
    </xf>
    <xf numFmtId="4" fontId="0" fillId="37" borderId="51" xfId="0" applyNumberFormat="1" applyFill="1" applyBorder="1" applyAlignment="1">
      <alignment horizontal="center"/>
    </xf>
    <xf numFmtId="0" fontId="0" fillId="37" borderId="43" xfId="0" applyFill="1" applyBorder="1" applyAlignment="1">
      <alignment vertical="center" textRotation="90"/>
    </xf>
    <xf numFmtId="193" fontId="0" fillId="37" borderId="43" xfId="0" applyNumberFormat="1" applyFill="1" applyBorder="1" applyAlignment="1">
      <alignment horizontal="center" vertical="center"/>
    </xf>
    <xf numFmtId="3" fontId="0" fillId="37" borderId="51" xfId="0" applyNumberFormat="1" applyFill="1" applyBorder="1" applyAlignment="1">
      <alignment horizontal="center"/>
    </xf>
    <xf numFmtId="3" fontId="0" fillId="37" borderId="52" xfId="0" applyNumberFormat="1" applyFill="1" applyBorder="1" applyAlignment="1">
      <alignment horizontal="center"/>
    </xf>
    <xf numFmtId="182" fontId="0" fillId="37" borderId="174" xfId="0" applyNumberFormat="1" applyFill="1" applyBorder="1" applyAlignment="1">
      <alignment horizontal="center"/>
    </xf>
    <xf numFmtId="182" fontId="0" fillId="37" borderId="51" xfId="0" applyNumberFormat="1" applyFill="1" applyBorder="1" applyAlignment="1">
      <alignment horizontal="center"/>
    </xf>
    <xf numFmtId="183" fontId="0" fillId="37" borderId="51" xfId="0" applyNumberFormat="1" applyFill="1" applyBorder="1" applyAlignment="1">
      <alignment horizontal="center"/>
    </xf>
    <xf numFmtId="3" fontId="0" fillId="37" borderId="39" xfId="0" applyNumberFormat="1" applyFill="1" applyBorder="1" applyAlignment="1">
      <alignment horizontal="center"/>
    </xf>
    <xf numFmtId="182" fontId="0" fillId="37" borderId="39" xfId="0" applyNumberFormat="1" applyFill="1" applyBorder="1" applyAlignment="1">
      <alignment horizontal="center"/>
    </xf>
    <xf numFmtId="1" fontId="0" fillId="37" borderId="51" xfId="0" applyNumberFormat="1" applyFill="1" applyBorder="1" applyAlignment="1">
      <alignment vertical="center"/>
    </xf>
    <xf numFmtId="1" fontId="0" fillId="37" borderId="43" xfId="0" applyNumberFormat="1" applyFill="1" applyBorder="1" applyAlignment="1">
      <alignment vertical="center"/>
    </xf>
    <xf numFmtId="4" fontId="0" fillId="37" borderId="39" xfId="0" applyNumberFormat="1" applyFill="1" applyBorder="1" applyAlignment="1">
      <alignment horizontal="center"/>
    </xf>
    <xf numFmtId="3" fontId="0" fillId="37" borderId="52" xfId="0" applyNumberFormat="1" applyFill="1" applyBorder="1" applyAlignment="1">
      <alignment horizontal="center" vertical="center"/>
    </xf>
    <xf numFmtId="4" fontId="0" fillId="37" borderId="52" xfId="0" applyNumberFormat="1" applyFill="1" applyBorder="1" applyAlignment="1">
      <alignment horizontal="center"/>
    </xf>
    <xf numFmtId="0" fontId="192" fillId="72" borderId="0" xfId="0" applyFont="1" applyFill="1" applyAlignment="1">
      <alignment horizontal="center" vertical="center"/>
    </xf>
    <xf numFmtId="216" fontId="192" fillId="72" borderId="0" xfId="0" applyNumberFormat="1" applyFont="1" applyFill="1" applyAlignment="1">
      <alignment horizontal="center" vertical="center"/>
    </xf>
    <xf numFmtId="259" fontId="192" fillId="72" borderId="0" xfId="322" applyNumberFormat="1" applyFont="1" applyFill="1" applyAlignment="1">
      <alignment horizontal="center" vertical="center"/>
    </xf>
    <xf numFmtId="4" fontId="94" fillId="0" borderId="172" xfId="0" applyNumberFormat="1" applyFont="1" applyBorder="1" applyAlignment="1">
      <alignment horizontal="center" vertical="center"/>
    </xf>
    <xf numFmtId="181" fontId="192" fillId="72" borderId="0" xfId="0" applyNumberFormat="1" applyFont="1" applyFill="1" applyAlignment="1">
      <alignment horizontal="center" vertical="center"/>
    </xf>
    <xf numFmtId="0" fontId="116" fillId="72" borderId="24" xfId="306" applyFont="1" applyFill="1" applyBorder="1" applyAlignment="1">
      <alignment vertical="center"/>
    </xf>
    <xf numFmtId="0" fontId="116" fillId="72" borderId="25" xfId="306" applyFont="1" applyFill="1" applyBorder="1" applyAlignment="1">
      <alignment horizontal="center" vertical="center"/>
    </xf>
    <xf numFmtId="0" fontId="116" fillId="72" borderId="25" xfId="306" applyFont="1" applyFill="1" applyBorder="1" applyAlignment="1">
      <alignment vertical="center"/>
    </xf>
    <xf numFmtId="0" fontId="116" fillId="72" borderId="26" xfId="306" applyFont="1" applyFill="1" applyBorder="1" applyAlignment="1">
      <alignment vertical="center"/>
    </xf>
    <xf numFmtId="0" fontId="125" fillId="72" borderId="31" xfId="306" applyFont="1" applyFill="1" applyBorder="1" applyAlignment="1">
      <alignment horizontal="centerContinuous" vertical="center"/>
    </xf>
    <xf numFmtId="17" fontId="165" fillId="72" borderId="48" xfId="302" applyNumberFormat="1" applyFont="1" applyFill="1" applyBorder="1" applyAlignment="1">
      <alignment horizontal="center" vertical="center" wrapText="1"/>
    </xf>
    <xf numFmtId="0" fontId="116" fillId="72" borderId="39" xfId="306" applyFont="1" applyFill="1" applyBorder="1" applyAlignment="1">
      <alignment horizontal="center" vertical="center"/>
    </xf>
    <xf numFmtId="17" fontId="165" fillId="72" borderId="43" xfId="302" applyNumberFormat="1" applyFont="1" applyFill="1" applyBorder="1" applyAlignment="1">
      <alignment horizontal="center" vertical="center" wrapText="1"/>
    </xf>
    <xf numFmtId="188" fontId="116" fillId="72" borderId="39" xfId="233" applyNumberFormat="1" applyFont="1" applyFill="1" applyBorder="1" applyAlignment="1">
      <alignment vertical="center"/>
    </xf>
    <xf numFmtId="17" fontId="116" fillId="72" borderId="44" xfId="302" applyNumberFormat="1" applyFont="1" applyFill="1" applyBorder="1" applyAlignment="1">
      <alignment horizontal="center" vertical="center" wrapText="1"/>
    </xf>
    <xf numFmtId="0" fontId="233" fillId="72" borderId="0" xfId="0" applyFont="1" applyFill="1" applyAlignment="1">
      <alignment vertical="center"/>
    </xf>
    <xf numFmtId="0" fontId="233" fillId="72" borderId="0" xfId="0" applyFont="1" applyFill="1" applyAlignment="1">
      <alignment horizontal="center" vertical="center"/>
    </xf>
    <xf numFmtId="0" fontId="165" fillId="72" borderId="24" xfId="306" applyFont="1" applyFill="1" applyBorder="1" applyAlignment="1">
      <alignment vertical="center"/>
    </xf>
    <xf numFmtId="0" fontId="165" fillId="72" borderId="25" xfId="306" applyFont="1" applyFill="1" applyBorder="1" applyAlignment="1">
      <alignment vertical="center"/>
    </xf>
    <xf numFmtId="0" fontId="165" fillId="72" borderId="26" xfId="306" applyFont="1" applyFill="1" applyBorder="1" applyAlignment="1">
      <alignment vertical="center"/>
    </xf>
    <xf numFmtId="0" fontId="309" fillId="72" borderId="31" xfId="306" applyFont="1" applyFill="1" applyBorder="1" applyAlignment="1">
      <alignment horizontal="centerContinuous" vertical="center"/>
    </xf>
    <xf numFmtId="188" fontId="165" fillId="72" borderId="31" xfId="233" applyNumberFormat="1" applyFont="1" applyFill="1" applyBorder="1" applyAlignment="1">
      <alignment vertical="center"/>
    </xf>
    <xf numFmtId="17" fontId="165" fillId="72" borderId="53" xfId="302" applyNumberFormat="1" applyFont="1" applyFill="1" applyBorder="1" applyAlignment="1">
      <alignment horizontal="center" vertical="center" wrapText="1"/>
    </xf>
    <xf numFmtId="188" fontId="165" fillId="72" borderId="39" xfId="233" applyNumberFormat="1" applyFont="1" applyFill="1" applyBorder="1" applyAlignment="1">
      <alignment vertical="center"/>
    </xf>
    <xf numFmtId="17" fontId="165" fillId="72" borderId="44" xfId="302" applyNumberFormat="1" applyFont="1" applyFill="1" applyBorder="1" applyAlignment="1">
      <alignment vertical="center" wrapText="1"/>
    </xf>
    <xf numFmtId="187" fontId="272" fillId="72" borderId="117" xfId="229" applyNumberFormat="1" applyFont="1" applyFill="1" applyBorder="1" applyAlignment="1" applyProtection="1">
      <alignment horizontal="center" vertical="center" wrapText="1"/>
      <protection locked="0"/>
    </xf>
    <xf numFmtId="187" fontId="272" fillId="72" borderId="116" xfId="229" applyNumberFormat="1" applyFont="1" applyFill="1" applyBorder="1" applyAlignment="1" applyProtection="1">
      <alignment horizontal="center" vertical="center" wrapText="1"/>
      <protection locked="0"/>
    </xf>
    <xf numFmtId="187" fontId="192" fillId="72" borderId="117" xfId="229" applyNumberFormat="1" applyFont="1" applyFill="1" applyBorder="1" applyAlignment="1" applyProtection="1">
      <alignment horizontal="center" vertical="center" wrapText="1"/>
      <protection locked="0"/>
    </xf>
    <xf numFmtId="187" fontId="192" fillId="72" borderId="118" xfId="229" applyNumberFormat="1" applyFont="1" applyFill="1" applyBorder="1" applyAlignment="1" applyProtection="1">
      <alignment horizontal="center" vertical="center"/>
      <protection locked="0"/>
    </xf>
    <xf numFmtId="1" fontId="192" fillId="72" borderId="98" xfId="0" applyNumberFormat="1" applyFont="1" applyFill="1" applyBorder="1" applyAlignment="1">
      <alignment horizontal="center" vertical="center" wrapText="1"/>
    </xf>
    <xf numFmtId="1" fontId="192" fillId="72" borderId="99" xfId="0" applyNumberFormat="1" applyFont="1" applyFill="1" applyBorder="1" applyAlignment="1">
      <alignment horizontal="center" vertical="center" wrapText="1"/>
    </xf>
    <xf numFmtId="2" fontId="270" fillId="37" borderId="98" xfId="0" applyNumberFormat="1" applyFont="1" applyFill="1" applyBorder="1" applyAlignment="1">
      <alignment horizontal="center"/>
    </xf>
    <xf numFmtId="0" fontId="108" fillId="37" borderId="0" xfId="306" applyFont="1" applyFill="1" applyAlignment="1">
      <alignment horizontal="left" vertical="center"/>
    </xf>
    <xf numFmtId="0" fontId="115" fillId="37" borderId="0" xfId="306" applyFont="1" applyFill="1" applyAlignment="1">
      <alignment horizontal="center" vertical="center"/>
    </xf>
    <xf numFmtId="179" fontId="192" fillId="72" borderId="0" xfId="0" applyNumberFormat="1" applyFont="1" applyFill="1" applyAlignment="1">
      <alignment horizontal="center"/>
    </xf>
    <xf numFmtId="181" fontId="192" fillId="72" borderId="0" xfId="0" applyNumberFormat="1" applyFont="1" applyFill="1"/>
    <xf numFmtId="187" fontId="192" fillId="72" borderId="116" xfId="229" applyNumberFormat="1" applyFont="1" applyFill="1" applyBorder="1" applyAlignment="1" applyProtection="1">
      <alignment horizontal="center" vertical="center" wrapText="1"/>
      <protection locked="0"/>
    </xf>
    <xf numFmtId="2" fontId="144" fillId="37" borderId="0" xfId="0" applyNumberFormat="1" applyFont="1" applyFill="1" applyAlignment="1">
      <alignment horizontal="center" vertical="center"/>
    </xf>
    <xf numFmtId="0" fontId="0" fillId="37" borderId="95" xfId="0" applyFill="1" applyBorder="1" applyAlignment="1">
      <alignment vertical="center" textRotation="90" wrapText="1"/>
    </xf>
    <xf numFmtId="3" fontId="0" fillId="37" borderId="12" xfId="0" applyNumberFormat="1" applyFill="1" applyBorder="1" applyAlignment="1">
      <alignment horizontal="center"/>
    </xf>
    <xf numFmtId="1" fontId="0" fillId="37" borderId="97" xfId="0" applyNumberFormat="1" applyFill="1" applyBorder="1" applyAlignment="1">
      <alignment vertical="center"/>
    </xf>
    <xf numFmtId="1" fontId="0" fillId="37" borderId="95" xfId="0" applyNumberFormat="1" applyFill="1" applyBorder="1" applyAlignment="1">
      <alignment vertical="center"/>
    </xf>
    <xf numFmtId="3" fontId="0" fillId="37" borderId="97" xfId="0" applyNumberFormat="1" applyFill="1" applyBorder="1" applyAlignment="1">
      <alignment vertical="center"/>
    </xf>
    <xf numFmtId="182" fontId="0" fillId="37" borderId="96" xfId="0" applyNumberFormat="1" applyFill="1" applyBorder="1" applyAlignment="1">
      <alignment vertical="center"/>
    </xf>
    <xf numFmtId="3" fontId="0" fillId="37" borderId="95" xfId="0" applyNumberFormat="1" applyFill="1" applyBorder="1" applyAlignment="1">
      <alignment vertical="center"/>
    </xf>
    <xf numFmtId="193" fontId="0" fillId="37" borderId="12" xfId="0" applyNumberFormat="1" applyFill="1" applyBorder="1" applyAlignment="1">
      <alignment vertical="center"/>
    </xf>
    <xf numFmtId="3" fontId="0" fillId="37" borderId="16" xfId="0" applyNumberFormat="1" applyFill="1" applyBorder="1" applyAlignment="1">
      <alignment vertical="center"/>
    </xf>
    <xf numFmtId="4" fontId="0" fillId="37" borderId="94" xfId="0" applyNumberFormat="1" applyFill="1" applyBorder="1" applyAlignment="1">
      <alignment horizontal="center" vertical="center"/>
    </xf>
    <xf numFmtId="182" fontId="0" fillId="37" borderId="16" xfId="0" applyNumberFormat="1" applyFill="1" applyBorder="1" applyAlignment="1">
      <alignment horizontal="center" vertical="center"/>
    </xf>
    <xf numFmtId="182" fontId="0" fillId="37" borderId="0" xfId="0" applyNumberFormat="1" applyFill="1" applyAlignment="1">
      <alignment horizontal="center" vertical="center"/>
    </xf>
    <xf numFmtId="4" fontId="0" fillId="37" borderId="17" xfId="0" applyNumberFormat="1" applyFill="1" applyBorder="1" applyAlignment="1">
      <alignment horizontal="center" vertical="center"/>
    </xf>
    <xf numFmtId="4" fontId="0" fillId="37" borderId="16" xfId="0" applyNumberFormat="1" applyFill="1" applyBorder="1" applyAlignment="1">
      <alignment horizontal="center" vertical="center"/>
    </xf>
    <xf numFmtId="3" fontId="0" fillId="37" borderId="16" xfId="0" applyNumberFormat="1" applyFill="1" applyBorder="1" applyAlignment="1">
      <alignment horizontal="center" vertical="center"/>
    </xf>
    <xf numFmtId="4" fontId="0" fillId="37" borderId="0" xfId="0" applyNumberFormat="1" applyFill="1" applyAlignment="1">
      <alignment horizontal="center" vertical="center"/>
    </xf>
    <xf numFmtId="182" fontId="0" fillId="37" borderId="17" xfId="0" applyNumberFormat="1" applyFill="1" applyBorder="1" applyAlignment="1">
      <alignment horizontal="center" vertical="center"/>
    </xf>
    <xf numFmtId="0" fontId="0" fillId="37" borderId="17" xfId="0" applyFill="1" applyBorder="1" applyAlignment="1">
      <alignment vertical="center"/>
    </xf>
    <xf numFmtId="4" fontId="0" fillId="37" borderId="12" xfId="0" applyNumberFormat="1" applyFill="1" applyBorder="1" applyAlignment="1">
      <alignment horizontal="center" vertical="center"/>
    </xf>
    <xf numFmtId="0" fontId="0" fillId="37" borderId="17" xfId="0" applyFill="1" applyBorder="1" applyAlignment="1">
      <alignment vertical="center" textRotation="90" wrapText="1"/>
    </xf>
    <xf numFmtId="1" fontId="0" fillId="37" borderId="17" xfId="0" applyNumberFormat="1" applyFill="1" applyBorder="1" applyAlignment="1">
      <alignment vertical="center"/>
    </xf>
    <xf numFmtId="182" fontId="0" fillId="37" borderId="0" xfId="0" applyNumberFormat="1" applyFill="1" applyAlignment="1">
      <alignment vertical="center"/>
    </xf>
    <xf numFmtId="3" fontId="0" fillId="37" borderId="17" xfId="0" applyNumberFormat="1" applyFill="1" applyBorder="1" applyAlignment="1">
      <alignment vertical="center"/>
    </xf>
    <xf numFmtId="0" fontId="0" fillId="37" borderId="12" xfId="0" applyFill="1" applyBorder="1" applyAlignment="1">
      <alignment horizontal="center" vertical="center" textRotation="90"/>
    </xf>
    <xf numFmtId="166" fontId="0" fillId="37" borderId="0" xfId="31096" applyFont="1" applyFill="1" applyAlignment="1">
      <alignment horizontal="center" vertical="center"/>
    </xf>
    <xf numFmtId="3" fontId="0" fillId="37" borderId="94" xfId="0" applyNumberFormat="1" applyFill="1" applyBorder="1" applyAlignment="1">
      <alignment horizontal="center"/>
    </xf>
    <xf numFmtId="4" fontId="227" fillId="72" borderId="0" xfId="234" applyNumberFormat="1" applyFont="1" applyFill="1" applyAlignment="1">
      <alignment horizontal="center" vertical="center"/>
    </xf>
    <xf numFmtId="0" fontId="227" fillId="72" borderId="0" xfId="0" applyFont="1" applyFill="1" applyAlignment="1">
      <alignment horizontal="center" vertical="center"/>
    </xf>
    <xf numFmtId="4" fontId="227" fillId="72" borderId="0" xfId="234" applyNumberFormat="1" applyFont="1" applyFill="1" applyBorder="1" applyAlignment="1">
      <alignment horizontal="center" vertical="center"/>
    </xf>
    <xf numFmtId="4" fontId="227" fillId="72" borderId="118" xfId="234" applyNumberFormat="1" applyFont="1" applyFill="1" applyBorder="1" applyAlignment="1">
      <alignment horizontal="center" vertical="center"/>
    </xf>
    <xf numFmtId="0" fontId="100" fillId="37" borderId="0" xfId="0" applyFont="1" applyFill="1" applyAlignment="1">
      <alignment horizontal="left" vertical="center"/>
    </xf>
    <xf numFmtId="183" fontId="117" fillId="37" borderId="16" xfId="0" applyNumberFormat="1" applyFont="1" applyFill="1" applyBorder="1" applyAlignment="1">
      <alignment horizontal="center"/>
    </xf>
    <xf numFmtId="194" fontId="100" fillId="37" borderId="0" xfId="0" applyNumberFormat="1" applyFont="1" applyFill="1" applyAlignment="1">
      <alignment horizontal="center" vertical="center"/>
    </xf>
    <xf numFmtId="2" fontId="100" fillId="37" borderId="0" xfId="0" applyNumberFormat="1" applyFont="1" applyFill="1" applyAlignment="1">
      <alignment vertical="center"/>
    </xf>
    <xf numFmtId="193" fontId="100" fillId="37" borderId="0" xfId="0" applyNumberFormat="1" applyFont="1" applyFill="1" applyAlignment="1">
      <alignment horizontal="center" vertical="center"/>
    </xf>
    <xf numFmtId="179" fontId="100" fillId="37" borderId="0" xfId="0" applyNumberFormat="1" applyFont="1" applyFill="1" applyAlignment="1">
      <alignment horizontal="center" vertical="center"/>
    </xf>
    <xf numFmtId="0" fontId="100" fillId="37" borderId="23" xfId="0" applyFont="1" applyFill="1" applyBorder="1" applyAlignment="1">
      <alignment vertical="center" textRotation="90"/>
    </xf>
    <xf numFmtId="179" fontId="192" fillId="72" borderId="0" xfId="0" applyNumberFormat="1" applyFont="1" applyFill="1" applyAlignment="1">
      <alignment vertical="center"/>
    </xf>
    <xf numFmtId="166" fontId="0" fillId="37" borderId="85" xfId="31096" applyFont="1" applyFill="1" applyBorder="1" applyAlignment="1">
      <alignment horizontal="center"/>
    </xf>
    <xf numFmtId="176" fontId="0" fillId="37" borderId="85" xfId="0" applyNumberFormat="1" applyFill="1" applyBorder="1" applyAlignment="1">
      <alignment horizontal="center"/>
    </xf>
    <xf numFmtId="0" fontId="0" fillId="37" borderId="85" xfId="0" applyFill="1" applyBorder="1" applyAlignment="1">
      <alignment horizontal="center"/>
    </xf>
    <xf numFmtId="176" fontId="0" fillId="37" borderId="85" xfId="2185" applyNumberFormat="1" applyFont="1" applyFill="1" applyBorder="1" applyAlignment="1">
      <alignment horizontal="center"/>
    </xf>
    <xf numFmtId="1" fontId="0" fillId="37" borderId="85" xfId="0" applyNumberFormat="1" applyFill="1" applyBorder="1" applyAlignment="1">
      <alignment horizontal="center"/>
    </xf>
    <xf numFmtId="2" fontId="0" fillId="37" borderId="85" xfId="0" applyNumberFormat="1" applyFill="1" applyBorder="1" applyAlignment="1">
      <alignment horizontal="center"/>
    </xf>
    <xf numFmtId="252" fontId="0" fillId="37" borderId="85" xfId="0" applyNumberFormat="1" applyFill="1" applyBorder="1" applyAlignment="1">
      <alignment horizontal="center"/>
    </xf>
    <xf numFmtId="179" fontId="0" fillId="37" borderId="85" xfId="0" applyNumberFormat="1" applyFill="1" applyBorder="1" applyAlignment="1">
      <alignment horizontal="center"/>
    </xf>
    <xf numFmtId="14" fontId="0" fillId="37" borderId="85" xfId="0" applyNumberFormat="1" applyFill="1" applyBorder="1" applyAlignment="1">
      <alignment horizontal="center"/>
    </xf>
    <xf numFmtId="166" fontId="0" fillId="37" borderId="98" xfId="31096" applyFont="1" applyFill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242" fontId="294" fillId="72" borderId="140" xfId="28058" applyNumberFormat="1" applyFont="1" applyFill="1" applyBorder="1" applyAlignment="1" applyProtection="1">
      <alignment horizontal="center"/>
      <protection locked="0"/>
    </xf>
    <xf numFmtId="250" fontId="192" fillId="72" borderId="140" xfId="0" applyNumberFormat="1" applyFont="1" applyFill="1" applyBorder="1" applyAlignment="1">
      <alignment horizontal="center" vertical="center"/>
    </xf>
    <xf numFmtId="4" fontId="286" fillId="37" borderId="117" xfId="322" applyNumberFormat="1" applyFont="1" applyFill="1" applyBorder="1" applyAlignment="1">
      <alignment horizontal="center" vertical="center"/>
    </xf>
    <xf numFmtId="17" fontId="116" fillId="72" borderId="38" xfId="302" applyNumberFormat="1" applyFont="1" applyFill="1" applyBorder="1" applyAlignment="1">
      <alignment horizontal="center" vertical="center" wrapText="1"/>
    </xf>
    <xf numFmtId="0" fontId="233" fillId="72" borderId="32" xfId="0" applyFont="1" applyFill="1" applyBorder="1" applyAlignment="1">
      <alignment horizontal="center" vertical="center"/>
    </xf>
    <xf numFmtId="0" fontId="233" fillId="72" borderId="33" xfId="0" applyFont="1" applyFill="1" applyBorder="1" applyAlignment="1">
      <alignment horizontal="center" vertical="center"/>
    </xf>
    <xf numFmtId="0" fontId="233" fillId="72" borderId="37" xfId="0" applyFont="1" applyFill="1" applyBorder="1" applyAlignment="1">
      <alignment horizontal="center" vertical="center"/>
    </xf>
    <xf numFmtId="0" fontId="233" fillId="72" borderId="41" xfId="0" applyFont="1" applyFill="1" applyBorder="1" applyAlignment="1">
      <alignment horizontal="center" vertical="center"/>
    </xf>
    <xf numFmtId="181" fontId="286" fillId="0" borderId="0" xfId="0" applyNumberFormat="1" applyFont="1" applyAlignment="1">
      <alignment horizontal="center" vertical="center"/>
    </xf>
    <xf numFmtId="0" fontId="176" fillId="0" borderId="0" xfId="0" applyFont="1" applyAlignment="1">
      <alignment horizontal="center"/>
    </xf>
    <xf numFmtId="222" fontId="0" fillId="0" borderId="0" xfId="0" applyNumberFormat="1" applyAlignment="1">
      <alignment horizontal="center"/>
    </xf>
    <xf numFmtId="260" fontId="192" fillId="72" borderId="0" xfId="0" applyNumberFormat="1" applyFont="1" applyFill="1" applyAlignment="1">
      <alignment vertical="center"/>
    </xf>
    <xf numFmtId="262" fontId="114" fillId="37" borderId="11" xfId="229" applyNumberFormat="1" applyFont="1" applyFill="1" applyBorder="1" applyAlignment="1" applyProtection="1">
      <alignment horizontal="center" vertical="center"/>
      <protection hidden="1"/>
    </xf>
    <xf numFmtId="1" fontId="192" fillId="72" borderId="125" xfId="0" applyNumberFormat="1" applyFont="1" applyFill="1" applyBorder="1" applyAlignment="1">
      <alignment horizontal="center" vertical="center" wrapText="1"/>
    </xf>
    <xf numFmtId="2" fontId="192" fillId="72" borderId="140" xfId="0" applyNumberFormat="1" applyFont="1" applyFill="1" applyBorder="1" applyAlignment="1">
      <alignment horizontal="center" vertical="center"/>
    </xf>
    <xf numFmtId="0" fontId="286" fillId="78" borderId="117" xfId="0" applyFont="1" applyFill="1" applyBorder="1"/>
    <xf numFmtId="0" fontId="286" fillId="78" borderId="117" xfId="0" applyFont="1" applyFill="1" applyBorder="1" applyAlignment="1">
      <alignment horizontal="center"/>
    </xf>
    <xf numFmtId="3" fontId="286" fillId="78" borderId="117" xfId="0" applyNumberFormat="1" applyFont="1" applyFill="1" applyBorder="1" applyAlignment="1">
      <alignment horizontal="center" vertical="center"/>
    </xf>
    <xf numFmtId="4" fontId="286" fillId="78" borderId="117" xfId="0" applyNumberFormat="1" applyFont="1" applyFill="1" applyBorder="1" applyAlignment="1">
      <alignment horizontal="center" vertical="center"/>
    </xf>
    <xf numFmtId="4" fontId="286" fillId="78" borderId="117" xfId="322" applyNumberFormat="1" applyFont="1" applyFill="1" applyBorder="1" applyAlignment="1">
      <alignment horizontal="center" vertical="center"/>
    </xf>
    <xf numFmtId="182" fontId="286" fillId="78" borderId="117" xfId="0" applyNumberFormat="1" applyFont="1" applyFill="1" applyBorder="1" applyAlignment="1">
      <alignment horizontal="center" vertical="center"/>
    </xf>
    <xf numFmtId="185" fontId="286" fillId="78" borderId="117" xfId="322" applyNumberFormat="1" applyFont="1" applyFill="1" applyBorder="1" applyAlignment="1">
      <alignment horizontal="center" vertical="center"/>
    </xf>
    <xf numFmtId="0" fontId="288" fillId="37" borderId="0" xfId="0" applyFont="1" applyFill="1"/>
    <xf numFmtId="3" fontId="227" fillId="72" borderId="0" xfId="234" applyNumberFormat="1" applyFont="1" applyFill="1" applyBorder="1" applyAlignment="1">
      <alignment horizontal="center" vertical="center"/>
    </xf>
    <xf numFmtId="1" fontId="0" fillId="107" borderId="0" xfId="0" applyNumberFormat="1" applyFill="1" applyAlignment="1">
      <alignment horizontal="center"/>
    </xf>
    <xf numFmtId="1" fontId="144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 vertical="center"/>
    </xf>
    <xf numFmtId="1" fontId="0" fillId="107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3" fontId="0" fillId="107" borderId="0" xfId="0" applyNumberFormat="1" applyFill="1" applyAlignment="1">
      <alignment horizontal="center" vertical="center"/>
    </xf>
    <xf numFmtId="0" fontId="286" fillId="0" borderId="85" xfId="0" applyFont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14" fontId="286" fillId="0" borderId="189" xfId="0" applyNumberFormat="1" applyFont="1" applyBorder="1" applyAlignment="1">
      <alignment horizontal="center" vertical="center"/>
    </xf>
    <xf numFmtId="0" fontId="286" fillId="0" borderId="190" xfId="0" applyFont="1" applyBorder="1" applyAlignment="1">
      <alignment horizontal="center" vertical="center"/>
    </xf>
    <xf numFmtId="14" fontId="286" fillId="0" borderId="191" xfId="0" applyNumberFormat="1" applyFont="1" applyBorder="1" applyAlignment="1">
      <alignment horizontal="center" vertical="center"/>
    </xf>
    <xf numFmtId="0" fontId="286" fillId="0" borderId="192" xfId="0" applyFont="1" applyBorder="1" applyAlignment="1">
      <alignment horizontal="center" vertical="center"/>
    </xf>
    <xf numFmtId="0" fontId="286" fillId="0" borderId="193" xfId="0" applyFont="1" applyBorder="1" applyAlignment="1">
      <alignment horizontal="center" vertical="center"/>
    </xf>
    <xf numFmtId="0" fontId="169" fillId="113" borderId="186" xfId="0" applyFont="1" applyFill="1" applyBorder="1" applyAlignment="1">
      <alignment horizontal="center" vertical="center"/>
    </xf>
    <xf numFmtId="0" fontId="169" fillId="113" borderId="187" xfId="0" applyFont="1" applyFill="1" applyBorder="1" applyAlignment="1">
      <alignment horizontal="center" vertical="center"/>
    </xf>
    <xf numFmtId="0" fontId="169" fillId="113" borderId="188" xfId="0" applyFont="1" applyFill="1" applyBorder="1" applyAlignment="1">
      <alignment horizontal="center" vertical="center"/>
    </xf>
    <xf numFmtId="2" fontId="192" fillId="72" borderId="0" xfId="0" applyNumberFormat="1" applyFont="1" applyFill="1" applyAlignment="1">
      <alignment horizontal="center" vertical="center"/>
    </xf>
    <xf numFmtId="0" fontId="0" fillId="96" borderId="194" xfId="0" applyFill="1" applyBorder="1" applyAlignment="1">
      <alignment horizontal="center"/>
    </xf>
    <xf numFmtId="0" fontId="0" fillId="37" borderId="194" xfId="0" applyFill="1" applyBorder="1" applyAlignment="1">
      <alignment horizontal="center"/>
    </xf>
    <xf numFmtId="0" fontId="0" fillId="0" borderId="194" xfId="0" applyBorder="1" applyAlignment="1">
      <alignment horizontal="center"/>
    </xf>
    <xf numFmtId="14" fontId="192" fillId="72" borderId="32" xfId="0" applyNumberFormat="1" applyFont="1" applyFill="1" applyBorder="1" applyAlignment="1">
      <alignment horizontal="center"/>
    </xf>
    <xf numFmtId="14" fontId="192" fillId="72" borderId="23" xfId="0" applyNumberFormat="1" applyFont="1" applyFill="1" applyBorder="1" applyAlignment="1">
      <alignment horizontal="center"/>
    </xf>
    <xf numFmtId="179" fontId="271" fillId="72" borderId="0" xfId="0" applyNumberFormat="1" applyFont="1" applyFill="1" applyAlignment="1">
      <alignment horizontal="center" vertical="center"/>
    </xf>
    <xf numFmtId="167" fontId="0" fillId="0" borderId="0" xfId="0" applyNumberFormat="1" applyAlignment="1">
      <alignment horizontal="center"/>
    </xf>
    <xf numFmtId="183" fontId="0" fillId="37" borderId="152" xfId="0" applyNumberFormat="1" applyFill="1" applyBorder="1" applyAlignment="1">
      <alignment horizontal="center"/>
    </xf>
    <xf numFmtId="183" fontId="0" fillId="37" borderId="168" xfId="0" applyNumberFormat="1" applyFill="1" applyBorder="1" applyAlignment="1">
      <alignment horizontal="center"/>
    </xf>
    <xf numFmtId="183" fontId="0" fillId="37" borderId="163" xfId="0" applyNumberFormat="1" applyFill="1" applyBorder="1" applyAlignment="1">
      <alignment horizontal="center"/>
    </xf>
    <xf numFmtId="10" fontId="113" fillId="37" borderId="11" xfId="306" applyNumberFormat="1" applyFont="1" applyFill="1" applyBorder="1" applyAlignment="1">
      <alignment horizontal="center" vertical="center"/>
    </xf>
    <xf numFmtId="0" fontId="211" fillId="72" borderId="0" xfId="0" applyFont="1" applyFill="1"/>
    <xf numFmtId="0" fontId="310" fillId="72" borderId="94" xfId="0" applyFont="1" applyFill="1" applyBorder="1" applyAlignment="1">
      <alignment horizontal="center"/>
    </xf>
    <xf numFmtId="187" fontId="310" fillId="72" borderId="94" xfId="31137" applyNumberFormat="1" applyFont="1" applyFill="1" applyBorder="1" applyAlignment="1">
      <alignment horizontal="center"/>
    </xf>
    <xf numFmtId="43" fontId="310" fillId="72" borderId="94" xfId="31137" applyFont="1" applyFill="1" applyBorder="1" applyAlignment="1">
      <alignment horizontal="center"/>
    </xf>
    <xf numFmtId="186" fontId="310" fillId="72" borderId="94" xfId="31137" applyNumberFormat="1" applyFont="1" applyFill="1" applyBorder="1" applyAlignment="1">
      <alignment horizontal="center"/>
    </xf>
    <xf numFmtId="167" fontId="310" fillId="72" borderId="94" xfId="31137" applyNumberFormat="1" applyFont="1" applyFill="1" applyBorder="1" applyAlignment="1">
      <alignment horizontal="center"/>
    </xf>
    <xf numFmtId="167" fontId="310" fillId="72" borderId="97" xfId="31137" applyNumberFormat="1" applyFont="1" applyFill="1" applyBorder="1" applyAlignment="1">
      <alignment horizontal="center"/>
    </xf>
    <xf numFmtId="186" fontId="310" fillId="72" borderId="95" xfId="31137" applyNumberFormat="1" applyFont="1" applyFill="1" applyBorder="1" applyAlignment="1">
      <alignment horizontal="center"/>
    </xf>
    <xf numFmtId="187" fontId="310" fillId="72" borderId="95" xfId="31137" applyNumberFormat="1" applyFont="1" applyFill="1" applyBorder="1" applyAlignment="1">
      <alignment horizontal="center"/>
    </xf>
    <xf numFmtId="188" fontId="310" fillId="72" borderId="94" xfId="31137" applyNumberFormat="1" applyFont="1" applyFill="1" applyBorder="1" applyAlignment="1">
      <alignment horizontal="center"/>
    </xf>
    <xf numFmtId="187" fontId="310" fillId="72" borderId="94" xfId="31137" applyNumberFormat="1" applyFont="1" applyFill="1" applyBorder="1"/>
    <xf numFmtId="2" fontId="261" fillId="37" borderId="84" xfId="0" applyNumberFormat="1" applyFont="1" applyFill="1" applyBorder="1" applyAlignment="1">
      <alignment horizontal="center"/>
    </xf>
    <xf numFmtId="0" fontId="130" fillId="37" borderId="85" xfId="0" applyFont="1" applyFill="1" applyBorder="1" applyAlignment="1">
      <alignment horizontal="center"/>
    </xf>
    <xf numFmtId="187" fontId="130" fillId="37" borderId="85" xfId="31137" applyNumberFormat="1" applyFont="1" applyFill="1" applyBorder="1" applyAlignment="1"/>
    <xf numFmtId="253" fontId="130" fillId="37" borderId="85" xfId="31137" applyNumberFormat="1" applyFont="1" applyFill="1" applyBorder="1" applyAlignment="1"/>
    <xf numFmtId="186" fontId="130" fillId="37" borderId="85" xfId="31137" applyNumberFormat="1" applyFont="1" applyFill="1" applyBorder="1" applyAlignment="1"/>
    <xf numFmtId="43" fontId="130" fillId="37" borderId="85" xfId="31137" applyFont="1" applyFill="1" applyBorder="1" applyAlignment="1"/>
    <xf numFmtId="167" fontId="130" fillId="37" borderId="85" xfId="31137" applyNumberFormat="1" applyFont="1" applyFill="1" applyBorder="1" applyAlignment="1"/>
    <xf numFmtId="188" fontId="130" fillId="37" borderId="85" xfId="31137" applyNumberFormat="1" applyFont="1" applyFill="1" applyBorder="1" applyAlignment="1"/>
    <xf numFmtId="0" fontId="51" fillId="0" borderId="0" xfId="0" applyFont="1"/>
    <xf numFmtId="199" fontId="0" fillId="0" borderId="0" xfId="0" applyNumberFormat="1"/>
    <xf numFmtId="166" fontId="0" fillId="0" borderId="0" xfId="31096" applyFont="1" applyAlignment="1">
      <alignment horizontal="center"/>
    </xf>
    <xf numFmtId="1" fontId="94" fillId="37" borderId="0" xfId="0" applyNumberFormat="1" applyFont="1" applyFill="1" applyAlignment="1">
      <alignment horizontal="center"/>
    </xf>
    <xf numFmtId="3" fontId="0" fillId="37" borderId="13" xfId="0" applyNumberFormat="1" applyFill="1" applyBorder="1" applyAlignment="1">
      <alignment horizontal="center"/>
    </xf>
    <xf numFmtId="1" fontId="0" fillId="37" borderId="18" xfId="0" applyNumberFormat="1" applyFill="1" applyBorder="1" applyAlignment="1">
      <alignment vertical="center"/>
    </xf>
    <xf numFmtId="1" fontId="0" fillId="37" borderId="19" xfId="0" applyNumberFormat="1" applyFill="1" applyBorder="1" applyAlignment="1">
      <alignment vertical="center"/>
    </xf>
    <xf numFmtId="3" fontId="0" fillId="37" borderId="18" xfId="0" applyNumberFormat="1" applyFill="1" applyBorder="1" applyAlignment="1">
      <alignment vertical="center"/>
    </xf>
    <xf numFmtId="182" fontId="0" fillId="37" borderId="20" xfId="0" applyNumberFormat="1" applyFill="1" applyBorder="1" applyAlignment="1">
      <alignment vertical="center"/>
    </xf>
    <xf numFmtId="3" fontId="0" fillId="37" borderId="19" xfId="0" applyNumberFormat="1" applyFill="1" applyBorder="1" applyAlignment="1">
      <alignment vertical="center"/>
    </xf>
    <xf numFmtId="0" fontId="0" fillId="37" borderId="13" xfId="0" applyFill="1" applyBorder="1" applyAlignment="1">
      <alignment horizontal="center" vertical="center" textRotation="90"/>
    </xf>
    <xf numFmtId="193" fontId="0" fillId="37" borderId="13" xfId="0" applyNumberFormat="1" applyFill="1" applyBorder="1" applyAlignment="1">
      <alignment vertical="center"/>
    </xf>
    <xf numFmtId="3" fontId="0" fillId="37" borderId="20" xfId="0" applyNumberFormat="1" applyFill="1" applyBorder="1" applyAlignment="1">
      <alignment vertical="center"/>
    </xf>
    <xf numFmtId="182" fontId="0" fillId="37" borderId="18" xfId="0" applyNumberFormat="1" applyFill="1" applyBorder="1" applyAlignment="1">
      <alignment horizontal="center" vertical="center"/>
    </xf>
    <xf numFmtId="182" fontId="0" fillId="37" borderId="20" xfId="0" applyNumberFormat="1" applyFill="1" applyBorder="1" applyAlignment="1">
      <alignment horizontal="center" vertical="center"/>
    </xf>
    <xf numFmtId="4" fontId="0" fillId="37" borderId="19" xfId="0" applyNumberFormat="1" applyFill="1" applyBorder="1" applyAlignment="1">
      <alignment horizontal="center" vertical="center"/>
    </xf>
    <xf numFmtId="4" fontId="0" fillId="37" borderId="18" xfId="0" applyNumberFormat="1" applyFill="1" applyBorder="1" applyAlignment="1">
      <alignment horizontal="center" vertical="center"/>
    </xf>
    <xf numFmtId="3" fontId="0" fillId="37" borderId="20" xfId="0" applyNumberFormat="1" applyFill="1" applyBorder="1" applyAlignment="1">
      <alignment horizontal="center" vertical="center"/>
    </xf>
    <xf numFmtId="3" fontId="0" fillId="37" borderId="18" xfId="0" applyNumberFormat="1" applyFill="1" applyBorder="1" applyAlignment="1">
      <alignment horizontal="center" vertical="center"/>
    </xf>
    <xf numFmtId="4" fontId="0" fillId="37" borderId="20" xfId="0" applyNumberFormat="1" applyFill="1" applyBorder="1" applyAlignment="1">
      <alignment horizontal="center" vertical="center"/>
    </xf>
    <xf numFmtId="182" fontId="0" fillId="37" borderId="19" xfId="0" applyNumberFormat="1" applyFill="1" applyBorder="1" applyAlignment="1">
      <alignment horizontal="center" vertical="center"/>
    </xf>
    <xf numFmtId="199" fontId="47" fillId="37" borderId="197" xfId="234" applyNumberFormat="1" applyFont="1" applyFill="1" applyBorder="1" applyAlignment="1">
      <alignment horizontal="center"/>
    </xf>
    <xf numFmtId="1" fontId="0" fillId="37" borderId="198" xfId="0" applyNumberFormat="1" applyFill="1" applyBorder="1" applyAlignment="1">
      <alignment horizontal="center"/>
    </xf>
    <xf numFmtId="3" fontId="270" fillId="78" borderId="98" xfId="0" applyNumberFormat="1" applyFont="1" applyFill="1" applyBorder="1" applyAlignment="1">
      <alignment horizontal="center"/>
    </xf>
    <xf numFmtId="4" fontId="0" fillId="37" borderId="11" xfId="0" applyNumberFormat="1" applyFill="1" applyBorder="1" applyAlignment="1">
      <alignment horizontal="center" wrapText="1"/>
    </xf>
    <xf numFmtId="2" fontId="270" fillId="37" borderId="0" xfId="0" applyNumberFormat="1" applyFont="1" applyFill="1"/>
    <xf numFmtId="202" fontId="0" fillId="0" borderId="0" xfId="0" applyNumberFormat="1" applyAlignment="1">
      <alignment vertical="center"/>
    </xf>
    <xf numFmtId="183" fontId="0" fillId="37" borderId="163" xfId="0" applyNumberFormat="1" applyFill="1" applyBorder="1" applyAlignment="1">
      <alignment horizontal="center" vertical="center"/>
    </xf>
    <xf numFmtId="183" fontId="0" fillId="37" borderId="152" xfId="0" applyNumberFormat="1" applyFill="1" applyBorder="1" applyAlignment="1">
      <alignment horizontal="center" vertical="center"/>
    </xf>
    <xf numFmtId="183" fontId="0" fillId="37" borderId="164" xfId="0" applyNumberFormat="1" applyFill="1" applyBorder="1" applyAlignment="1">
      <alignment horizontal="center" vertical="center"/>
    </xf>
    <xf numFmtId="183" fontId="0" fillId="37" borderId="166" xfId="0" applyNumberFormat="1" applyFill="1" applyBorder="1" applyAlignment="1">
      <alignment horizontal="center" vertical="center"/>
    </xf>
    <xf numFmtId="183" fontId="0" fillId="37" borderId="168" xfId="0" applyNumberFormat="1" applyFill="1" applyBorder="1" applyAlignment="1">
      <alignment horizontal="center" vertical="center"/>
    </xf>
    <xf numFmtId="183" fontId="0" fillId="37" borderId="169" xfId="0" applyNumberFormat="1" applyFill="1" applyBorder="1" applyAlignment="1">
      <alignment horizontal="center" vertical="center"/>
    </xf>
    <xf numFmtId="0" fontId="192" fillId="72" borderId="31" xfId="0" applyFont="1" applyFill="1" applyBorder="1" applyAlignment="1">
      <alignment horizontal="center" vertical="center" wrapText="1"/>
    </xf>
    <xf numFmtId="0" fontId="192" fillId="78" borderId="36" xfId="0" applyFont="1" applyFill="1" applyBorder="1" applyAlignment="1">
      <alignment horizontal="center" vertical="center" wrapText="1"/>
    </xf>
    <xf numFmtId="0" fontId="192" fillId="78" borderId="33" xfId="0" applyFont="1" applyFill="1" applyBorder="1" applyAlignment="1">
      <alignment horizontal="center" vertical="center" wrapText="1"/>
    </xf>
    <xf numFmtId="0" fontId="192" fillId="72" borderId="33" xfId="0" applyFont="1" applyFill="1" applyBorder="1" applyAlignment="1">
      <alignment horizontal="center" vertical="center" wrapText="1"/>
    </xf>
    <xf numFmtId="263" fontId="301" fillId="37" borderId="0" xfId="0" applyNumberFormat="1" applyFont="1" applyFill="1"/>
    <xf numFmtId="181" fontId="305" fillId="0" borderId="0" xfId="322" applyNumberFormat="1" applyFont="1" applyFill="1" applyBorder="1" applyAlignment="1" applyProtection="1">
      <alignment horizontal="center"/>
      <protection locked="0"/>
    </xf>
    <xf numFmtId="1" fontId="0" fillId="0" borderId="0" xfId="0" applyNumberFormat="1" applyAlignment="1">
      <alignment vertical="center" wrapText="1"/>
    </xf>
    <xf numFmtId="197" fontId="0" fillId="0" borderId="0" xfId="0" applyNumberFormat="1" applyAlignment="1">
      <alignment horizontal="center"/>
    </xf>
    <xf numFmtId="3" fontId="100" fillId="114" borderId="0" xfId="0" applyNumberFormat="1" applyFont="1" applyFill="1" applyAlignment="1">
      <alignment horizontal="center"/>
    </xf>
    <xf numFmtId="185" fontId="0" fillId="0" borderId="0" xfId="0" applyNumberFormat="1"/>
    <xf numFmtId="3" fontId="276" fillId="37" borderId="199" xfId="0" applyNumberFormat="1" applyFont="1" applyFill="1" applyBorder="1" applyAlignment="1">
      <alignment horizontal="center"/>
    </xf>
    <xf numFmtId="3" fontId="276" fillId="37" borderId="148" xfId="0" applyNumberFormat="1" applyFont="1" applyFill="1" applyBorder="1" applyAlignment="1">
      <alignment horizontal="center"/>
    </xf>
    <xf numFmtId="0" fontId="291" fillId="78" borderId="110" xfId="0" applyFont="1" applyFill="1" applyBorder="1" applyAlignment="1">
      <alignment horizontal="center" vertical="center"/>
    </xf>
    <xf numFmtId="0" fontId="286" fillId="0" borderId="101" xfId="0" applyFont="1" applyBorder="1"/>
    <xf numFmtId="0" fontId="292" fillId="0" borderId="101" xfId="303" applyFont="1" applyBorder="1" applyAlignment="1">
      <alignment horizontal="left" vertical="center"/>
    </xf>
    <xf numFmtId="182" fontId="292" fillId="0" borderId="101" xfId="303" applyNumberFormat="1" applyFont="1" applyBorder="1"/>
    <xf numFmtId="3" fontId="276" fillId="37" borderId="13" xfId="0" applyNumberFormat="1" applyFont="1" applyFill="1" applyBorder="1" applyAlignment="1">
      <alignment horizontal="center"/>
    </xf>
    <xf numFmtId="193" fontId="271" fillId="72" borderId="27" xfId="0" applyNumberFormat="1" applyFont="1" applyFill="1" applyBorder="1" applyAlignment="1">
      <alignment horizontal="center" vertical="center"/>
    </xf>
    <xf numFmtId="193" fontId="271" fillId="72" borderId="47" xfId="0" applyNumberFormat="1" applyFont="1" applyFill="1" applyBorder="1" applyAlignment="1">
      <alignment horizontal="center" vertical="center"/>
    </xf>
    <xf numFmtId="0" fontId="288" fillId="72" borderId="200" xfId="0" applyFont="1" applyFill="1" applyBorder="1" applyAlignment="1">
      <alignment horizontal="center" vertical="center"/>
    </xf>
    <xf numFmtId="0" fontId="271" fillId="72" borderId="30" xfId="0" applyFont="1" applyFill="1" applyBorder="1" applyAlignment="1">
      <alignment horizontal="center" vertical="center"/>
    </xf>
    <xf numFmtId="0" fontId="0" fillId="0" borderId="34" xfId="0" applyBorder="1"/>
    <xf numFmtId="0" fontId="271" fillId="72" borderId="29" xfId="0" applyFont="1" applyFill="1" applyBorder="1" applyAlignment="1">
      <alignment horizontal="center" vertical="center"/>
    </xf>
    <xf numFmtId="0" fontId="271" fillId="72" borderId="55" xfId="0" applyFont="1" applyFill="1" applyBorder="1" applyAlignment="1">
      <alignment horizontal="center" vertical="center" wrapText="1"/>
    </xf>
    <xf numFmtId="3" fontId="276" fillId="37" borderId="55" xfId="0" applyNumberFormat="1" applyFont="1" applyFill="1" applyBorder="1" applyAlignment="1">
      <alignment horizontal="center"/>
    </xf>
    <xf numFmtId="176" fontId="123" fillId="0" borderId="34" xfId="0" applyNumberFormat="1" applyFont="1" applyBorder="1" applyAlignment="1">
      <alignment horizontal="center"/>
    </xf>
    <xf numFmtId="176" fontId="123" fillId="0" borderId="41" xfId="0" applyNumberFormat="1" applyFont="1" applyBorder="1" applyAlignment="1">
      <alignment horizontal="center"/>
    </xf>
    <xf numFmtId="166" fontId="286" fillId="37" borderId="0" xfId="0" applyNumberFormat="1" applyFont="1" applyFill="1"/>
    <xf numFmtId="176" fontId="286" fillId="37" borderId="0" xfId="0" applyNumberFormat="1" applyFont="1" applyFill="1"/>
    <xf numFmtId="182" fontId="291" fillId="37" borderId="0" xfId="0" applyNumberFormat="1" applyFont="1" applyFill="1" applyAlignment="1">
      <alignment horizontal="center" vertical="center"/>
    </xf>
    <xf numFmtId="3" fontId="291" fillId="37" borderId="0" xfId="0" applyNumberFormat="1" applyFont="1" applyFill="1" applyAlignment="1">
      <alignment horizontal="center" vertical="center"/>
    </xf>
    <xf numFmtId="0" fontId="291" fillId="78" borderId="0" xfId="0" applyFont="1" applyFill="1" applyAlignment="1">
      <alignment horizontal="center" vertical="center"/>
    </xf>
    <xf numFmtId="0" fontId="288" fillId="109" borderId="0" xfId="0" applyFont="1" applyFill="1"/>
    <xf numFmtId="0" fontId="291" fillId="109" borderId="0" xfId="0" applyFont="1" applyFill="1" applyAlignment="1">
      <alignment horizontal="center" vertical="center"/>
    </xf>
    <xf numFmtId="179" fontId="286" fillId="78" borderId="98" xfId="0" applyNumberFormat="1" applyFont="1" applyFill="1" applyBorder="1" applyAlignment="1">
      <alignment horizontal="center"/>
    </xf>
    <xf numFmtId="179" fontId="286" fillId="89" borderId="98" xfId="0" applyNumberFormat="1" applyFont="1" applyFill="1" applyBorder="1" applyAlignment="1">
      <alignment horizontal="center"/>
    </xf>
    <xf numFmtId="3" fontId="286" fillId="107" borderId="0" xfId="0" applyNumberFormat="1" applyFont="1" applyFill="1" applyAlignment="1">
      <alignment horizontal="center"/>
    </xf>
    <xf numFmtId="4" fontId="286" fillId="107" borderId="0" xfId="0" applyNumberFormat="1" applyFont="1" applyFill="1" applyAlignment="1">
      <alignment horizontal="center"/>
    </xf>
    <xf numFmtId="183" fontId="286" fillId="107" borderId="0" xfId="0" applyNumberFormat="1" applyFont="1" applyFill="1" applyAlignment="1">
      <alignment horizontal="center"/>
    </xf>
    <xf numFmtId="1" fontId="286" fillId="107" borderId="0" xfId="0" applyNumberFormat="1" applyFont="1" applyFill="1" applyAlignment="1">
      <alignment horizontal="center"/>
    </xf>
    <xf numFmtId="4" fontId="286" fillId="37" borderId="0" xfId="0" applyNumberFormat="1" applyFont="1" applyFill="1" applyAlignment="1">
      <alignment horizontal="center"/>
    </xf>
    <xf numFmtId="183" fontId="286" fillId="37" borderId="0" xfId="0" applyNumberFormat="1" applyFont="1" applyFill="1" applyAlignment="1">
      <alignment horizontal="center"/>
    </xf>
    <xf numFmtId="0" fontId="286" fillId="37" borderId="20" xfId="0" applyFont="1" applyFill="1" applyBorder="1" applyAlignment="1">
      <alignment horizontal="center"/>
    </xf>
    <xf numFmtId="183" fontId="286" fillId="37" borderId="20" xfId="0" applyNumberFormat="1" applyFont="1" applyFill="1" applyBorder="1" applyAlignment="1">
      <alignment horizontal="center"/>
    </xf>
    <xf numFmtId="4" fontId="286" fillId="37" borderId="20" xfId="0" applyNumberFormat="1" applyFont="1" applyFill="1" applyBorder="1" applyAlignment="1">
      <alignment horizontal="center"/>
    </xf>
    <xf numFmtId="0" fontId="286" fillId="37" borderId="20" xfId="0" applyFont="1" applyFill="1" applyBorder="1" applyAlignment="1">
      <alignment horizontal="left"/>
    </xf>
    <xf numFmtId="179" fontId="286" fillId="37" borderId="117" xfId="0" applyNumberFormat="1" applyFont="1" applyFill="1" applyBorder="1" applyAlignment="1">
      <alignment horizontal="center"/>
    </xf>
    <xf numFmtId="3" fontId="286" fillId="37" borderId="117" xfId="0" applyNumberFormat="1" applyFont="1" applyFill="1" applyBorder="1" applyAlignment="1">
      <alignment horizontal="center"/>
    </xf>
    <xf numFmtId="166" fontId="0" fillId="37" borderId="17" xfId="31096" applyFont="1" applyFill="1" applyBorder="1" applyAlignment="1">
      <alignment horizontal="center" vertical="center"/>
    </xf>
    <xf numFmtId="3" fontId="0" fillId="0" borderId="20" xfId="0" applyNumberFormat="1" applyBorder="1" applyAlignment="1">
      <alignment vertical="center"/>
    </xf>
    <xf numFmtId="0" fontId="0" fillId="0" borderId="20" xfId="0" applyBorder="1" applyAlignment="1">
      <alignment vertical="center"/>
    </xf>
    <xf numFmtId="166" fontId="0" fillId="37" borderId="19" xfId="31096" applyFont="1" applyFill="1" applyBorder="1" applyAlignment="1">
      <alignment horizontal="center" vertical="center"/>
    </xf>
    <xf numFmtId="3" fontId="0" fillId="37" borderId="13" xfId="0" applyNumberFormat="1" applyFill="1" applyBorder="1" applyAlignment="1">
      <alignment vertical="center"/>
    </xf>
    <xf numFmtId="4" fontId="0" fillId="37" borderId="13" xfId="0" applyNumberFormat="1" applyFill="1" applyBorder="1" applyAlignment="1">
      <alignment horizontal="center" vertical="center"/>
    </xf>
    <xf numFmtId="0" fontId="0" fillId="37" borderId="20" xfId="0" applyFill="1" applyBorder="1" applyAlignment="1">
      <alignment vertical="center"/>
    </xf>
    <xf numFmtId="193" fontId="0" fillId="0" borderId="19" xfId="0" applyNumberFormat="1" applyBorder="1" applyAlignment="1">
      <alignment horizontal="center" vertical="center"/>
    </xf>
    <xf numFmtId="193" fontId="0" fillId="0" borderId="17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47" fillId="0" borderId="0" xfId="306" applyAlignment="1">
      <alignment horizontal="center" vertical="center"/>
    </xf>
    <xf numFmtId="264" fontId="113" fillId="0" borderId="0" xfId="306" applyNumberFormat="1" applyFont="1" applyAlignment="1">
      <alignment horizontal="center" vertical="center"/>
    </xf>
    <xf numFmtId="1" fontId="47" fillId="0" borderId="0" xfId="306" applyNumberFormat="1" applyAlignment="1">
      <alignment horizontal="center" vertical="center"/>
    </xf>
    <xf numFmtId="179" fontId="47" fillId="0" borderId="0" xfId="306" applyNumberFormat="1" applyAlignment="1">
      <alignment horizontal="center" vertical="center"/>
    </xf>
    <xf numFmtId="2" fontId="47" fillId="0" borderId="0" xfId="306" applyNumberFormat="1" applyAlignment="1">
      <alignment horizontal="center" vertical="center"/>
    </xf>
    <xf numFmtId="1" fontId="113" fillId="87" borderId="22" xfId="306" applyNumberFormat="1" applyFont="1" applyFill="1" applyBorder="1" applyAlignment="1">
      <alignment horizontal="center" vertical="center"/>
    </xf>
    <xf numFmtId="179" fontId="113" fillId="87" borderId="22" xfId="306" applyNumberFormat="1" applyFont="1" applyFill="1" applyBorder="1" applyAlignment="1">
      <alignment horizontal="center" vertical="center"/>
    </xf>
    <xf numFmtId="2" fontId="113" fillId="87" borderId="22" xfId="306" applyNumberFormat="1" applyFont="1" applyFill="1" applyBorder="1" applyAlignment="1">
      <alignment horizontal="center" vertical="center"/>
    </xf>
    <xf numFmtId="264" fontId="47" fillId="0" borderId="0" xfId="306" applyNumberFormat="1" applyAlignment="1">
      <alignment horizontal="center" vertical="center"/>
    </xf>
    <xf numFmtId="1" fontId="47" fillId="87" borderId="14" xfId="306" applyNumberFormat="1" applyFill="1" applyBorder="1" applyAlignment="1">
      <alignment horizontal="center" vertical="center"/>
    </xf>
    <xf numFmtId="1" fontId="47" fillId="87" borderId="22" xfId="306" applyNumberFormat="1" applyFill="1" applyBorder="1" applyAlignment="1">
      <alignment horizontal="center" vertical="center"/>
    </xf>
    <xf numFmtId="179" fontId="113" fillId="87" borderId="21" xfId="306" applyNumberFormat="1" applyFont="1" applyFill="1" applyBorder="1" applyAlignment="1">
      <alignment horizontal="center" vertical="center"/>
    </xf>
    <xf numFmtId="2" fontId="286" fillId="37" borderId="117" xfId="0" applyNumberFormat="1" applyFont="1" applyFill="1" applyBorder="1" applyAlignment="1">
      <alignment horizontal="center"/>
    </xf>
    <xf numFmtId="1" fontId="286" fillId="37" borderId="117" xfId="0" applyNumberFormat="1" applyFont="1" applyFill="1" applyBorder="1" applyAlignment="1">
      <alignment horizontal="center"/>
    </xf>
    <xf numFmtId="0" fontId="287" fillId="37" borderId="0" xfId="0" applyFont="1" applyFill="1" applyAlignment="1">
      <alignment horizontal="left"/>
    </xf>
    <xf numFmtId="0" fontId="287" fillId="37" borderId="20" xfId="0" applyFont="1" applyFill="1" applyBorder="1" applyAlignment="1">
      <alignment horizontal="left"/>
    </xf>
    <xf numFmtId="3" fontId="286" fillId="0" borderId="117" xfId="0" applyNumberFormat="1" applyFont="1" applyBorder="1" applyAlignment="1">
      <alignment horizontal="center" vertical="center"/>
    </xf>
    <xf numFmtId="0" fontId="287" fillId="37" borderId="20" xfId="0" applyFont="1" applyFill="1" applyBorder="1" applyAlignment="1">
      <alignment horizontal="center"/>
    </xf>
    <xf numFmtId="1" fontId="47" fillId="0" borderId="0" xfId="306" applyNumberFormat="1" applyAlignment="1">
      <alignment vertical="center"/>
    </xf>
    <xf numFmtId="249" fontId="0" fillId="0" borderId="98" xfId="31096" applyNumberFormat="1" applyFont="1" applyFill="1" applyBorder="1"/>
    <xf numFmtId="0" fontId="288" fillId="88" borderId="118" xfId="0" applyFont="1" applyFill="1" applyBorder="1" applyAlignment="1">
      <alignment horizontal="center" vertical="center"/>
    </xf>
    <xf numFmtId="0" fontId="288" fillId="113" borderId="118" xfId="0" applyFont="1" applyFill="1" applyBorder="1" applyAlignment="1">
      <alignment horizontal="center" vertical="center"/>
    </xf>
    <xf numFmtId="0" fontId="287" fillId="115" borderId="118" xfId="0" applyFont="1" applyFill="1" applyBorder="1" applyAlignment="1">
      <alignment horizontal="center" vertical="center"/>
    </xf>
    <xf numFmtId="0" fontId="311" fillId="0" borderId="0" xfId="0" applyFont="1" applyAlignment="1">
      <alignment horizontal="center"/>
    </xf>
    <xf numFmtId="0" fontId="291" fillId="0" borderId="0" xfId="0" applyFont="1"/>
    <xf numFmtId="0" fontId="288" fillId="0" borderId="0" xfId="0" applyFont="1" applyAlignment="1">
      <alignment horizontal="center"/>
    </xf>
    <xf numFmtId="179" fontId="291" fillId="0" borderId="117" xfId="0" applyNumberFormat="1" applyFont="1" applyBorder="1" applyAlignment="1">
      <alignment horizontal="center" vertical="center"/>
    </xf>
    <xf numFmtId="0" fontId="291" fillId="0" borderId="117" xfId="0" applyFont="1" applyBorder="1" applyAlignment="1">
      <alignment horizontal="center" vertical="center"/>
    </xf>
    <xf numFmtId="3" fontId="291" fillId="0" borderId="117" xfId="0" applyNumberFormat="1" applyFont="1" applyBorder="1" applyAlignment="1">
      <alignment horizontal="center" vertical="center"/>
    </xf>
    <xf numFmtId="182" fontId="291" fillId="0" borderId="117" xfId="0" applyNumberFormat="1" applyFont="1" applyBorder="1" applyAlignment="1">
      <alignment horizontal="center" vertical="center"/>
    </xf>
    <xf numFmtId="4" fontId="291" fillId="0" borderId="117" xfId="0" applyNumberFormat="1" applyFont="1" applyBorder="1" applyAlignment="1">
      <alignment horizontal="center" vertical="center"/>
    </xf>
    <xf numFmtId="183" fontId="291" fillId="0" borderId="117" xfId="0" applyNumberFormat="1" applyFont="1" applyBorder="1" applyAlignment="1">
      <alignment horizontal="center" vertical="center"/>
    </xf>
    <xf numFmtId="1" fontId="291" fillId="0" borderId="117" xfId="0" applyNumberFormat="1" applyFont="1" applyBorder="1" applyAlignment="1">
      <alignment horizontal="center" vertical="center"/>
    </xf>
    <xf numFmtId="1" fontId="291" fillId="0" borderId="159" xfId="0" applyNumberFormat="1" applyFont="1" applyBorder="1" applyAlignment="1">
      <alignment horizontal="center" vertical="center"/>
    </xf>
    <xf numFmtId="3" fontId="291" fillId="0" borderId="0" xfId="0" applyNumberFormat="1" applyFont="1"/>
    <xf numFmtId="14" fontId="0" fillId="37" borderId="0" xfId="0" applyNumberFormat="1" applyFill="1" applyAlignment="1">
      <alignment horizontal="center"/>
    </xf>
    <xf numFmtId="167" fontId="0" fillId="37" borderId="0" xfId="0" applyNumberFormat="1" applyFill="1" applyAlignment="1">
      <alignment horizontal="center"/>
    </xf>
    <xf numFmtId="166" fontId="0" fillId="37" borderId="80" xfId="31096" applyFont="1" applyFill="1" applyBorder="1" applyAlignment="1">
      <alignment horizontal="center"/>
    </xf>
    <xf numFmtId="176" fontId="0" fillId="37" borderId="80" xfId="0" applyNumberFormat="1" applyFill="1" applyBorder="1" applyAlignment="1">
      <alignment horizontal="center"/>
    </xf>
    <xf numFmtId="0" fontId="0" fillId="37" borderId="80" xfId="0" applyFill="1" applyBorder="1" applyAlignment="1">
      <alignment horizontal="center"/>
    </xf>
    <xf numFmtId="1" fontId="0" fillId="37" borderId="80" xfId="0" applyNumberFormat="1" applyFill="1" applyBorder="1" applyAlignment="1">
      <alignment horizontal="center"/>
    </xf>
    <xf numFmtId="2" fontId="0" fillId="37" borderId="80" xfId="0" applyNumberFormat="1" applyFill="1" applyBorder="1" applyAlignment="1">
      <alignment horizontal="center"/>
    </xf>
    <xf numFmtId="252" fontId="0" fillId="37" borderId="80" xfId="0" applyNumberFormat="1" applyFill="1" applyBorder="1" applyAlignment="1">
      <alignment horizontal="center"/>
    </xf>
    <xf numFmtId="179" fontId="0" fillId="37" borderId="80" xfId="0" applyNumberFormat="1" applyFill="1" applyBorder="1" applyAlignment="1">
      <alignment horizontal="center"/>
    </xf>
    <xf numFmtId="14" fontId="0" fillId="37" borderId="201" xfId="0" applyNumberFormat="1" applyFill="1" applyBorder="1" applyAlignment="1">
      <alignment horizontal="center"/>
    </xf>
    <xf numFmtId="166" fontId="0" fillId="37" borderId="202" xfId="31096" applyFont="1" applyFill="1" applyBorder="1" applyAlignment="1">
      <alignment horizontal="center"/>
    </xf>
    <xf numFmtId="176" fontId="0" fillId="37" borderId="202" xfId="0" applyNumberFormat="1" applyFill="1" applyBorder="1" applyAlignment="1">
      <alignment horizontal="center"/>
    </xf>
    <xf numFmtId="0" fontId="0" fillId="37" borderId="202" xfId="0" applyFill="1" applyBorder="1" applyAlignment="1">
      <alignment horizontal="center"/>
    </xf>
    <xf numFmtId="176" fontId="0" fillId="37" borderId="202" xfId="2185" applyNumberFormat="1" applyFont="1" applyFill="1" applyBorder="1" applyAlignment="1">
      <alignment horizontal="center"/>
    </xf>
    <xf numFmtId="1" fontId="0" fillId="37" borderId="202" xfId="0" applyNumberFormat="1" applyFill="1" applyBorder="1" applyAlignment="1">
      <alignment horizontal="center"/>
    </xf>
    <xf numFmtId="2" fontId="0" fillId="96" borderId="202" xfId="0" applyNumberFormat="1" applyFill="1" applyBorder="1" applyAlignment="1">
      <alignment horizontal="center"/>
    </xf>
    <xf numFmtId="2" fontId="0" fillId="37" borderId="202" xfId="0" applyNumberFormat="1" applyFill="1" applyBorder="1" applyAlignment="1">
      <alignment horizontal="center"/>
    </xf>
    <xf numFmtId="252" fontId="0" fillId="37" borderId="202" xfId="0" applyNumberFormat="1" applyFill="1" applyBorder="1" applyAlignment="1">
      <alignment horizontal="center"/>
    </xf>
    <xf numFmtId="179" fontId="0" fillId="37" borderId="202" xfId="0" applyNumberFormat="1" applyFill="1" applyBorder="1" applyAlignment="1">
      <alignment horizontal="center"/>
    </xf>
    <xf numFmtId="2" fontId="0" fillId="37" borderId="25" xfId="0" applyNumberFormat="1" applyFill="1" applyBorder="1" applyAlignment="1">
      <alignment horizontal="center"/>
    </xf>
    <xf numFmtId="0" fontId="0" fillId="0" borderId="25" xfId="0" applyBorder="1" applyAlignment="1">
      <alignment horizontal="center"/>
    </xf>
    <xf numFmtId="2" fontId="0" fillId="0" borderId="25" xfId="0" applyNumberFormat="1" applyBorder="1" applyAlignment="1">
      <alignment horizontal="center"/>
    </xf>
    <xf numFmtId="0" fontId="0" fillId="37" borderId="25" xfId="0" applyFill="1" applyBorder="1" applyAlignment="1">
      <alignment horizontal="center"/>
    </xf>
    <xf numFmtId="179" fontId="108" fillId="37" borderId="14" xfId="306" applyNumberFormat="1" applyFont="1" applyFill="1" applyBorder="1" applyAlignment="1">
      <alignment horizontal="center" vertical="center"/>
    </xf>
    <xf numFmtId="179" fontId="108" fillId="37" borderId="21" xfId="306" applyNumberFormat="1" applyFont="1" applyFill="1" applyBorder="1" applyAlignment="1">
      <alignment horizontal="center" vertical="center"/>
    </xf>
    <xf numFmtId="3" fontId="108" fillId="37" borderId="14" xfId="306" applyNumberFormat="1" applyFont="1" applyFill="1" applyBorder="1" applyAlignment="1">
      <alignment horizontal="center" vertical="center"/>
    </xf>
    <xf numFmtId="3" fontId="108" fillId="37" borderId="21" xfId="306" applyNumberFormat="1" applyFont="1" applyFill="1" applyBorder="1" applyAlignment="1">
      <alignment horizontal="center" vertical="center"/>
    </xf>
    <xf numFmtId="208" fontId="108" fillId="37" borderId="11" xfId="322" applyNumberFormat="1" applyFont="1" applyFill="1" applyBorder="1" applyAlignment="1">
      <alignment horizontal="center" vertical="center"/>
    </xf>
    <xf numFmtId="208" fontId="108" fillId="37" borderId="14" xfId="322" applyNumberFormat="1" applyFont="1" applyFill="1" applyBorder="1" applyAlignment="1">
      <alignment horizontal="center" vertical="center"/>
    </xf>
    <xf numFmtId="208" fontId="108" fillId="37" borderId="21" xfId="322" applyNumberFormat="1" applyFont="1" applyFill="1" applyBorder="1" applyAlignment="1">
      <alignment horizontal="center" vertical="center"/>
    </xf>
    <xf numFmtId="176" fontId="108" fillId="37" borderId="14" xfId="306" applyNumberFormat="1" applyFont="1" applyFill="1" applyBorder="1" applyAlignment="1">
      <alignment horizontal="center" vertical="center"/>
    </xf>
    <xf numFmtId="176" fontId="108" fillId="37" borderId="21" xfId="306" applyNumberFormat="1" applyFont="1" applyFill="1" applyBorder="1" applyAlignment="1">
      <alignment horizontal="center" vertical="center"/>
    </xf>
    <xf numFmtId="2" fontId="108" fillId="37" borderId="14" xfId="306" applyNumberFormat="1" applyFont="1" applyFill="1" applyBorder="1" applyAlignment="1">
      <alignment horizontal="center" vertical="center"/>
    </xf>
    <xf numFmtId="2" fontId="108" fillId="37" borderId="21" xfId="306" applyNumberFormat="1" applyFont="1" applyFill="1" applyBorder="1" applyAlignment="1">
      <alignment horizontal="center" vertical="center"/>
    </xf>
    <xf numFmtId="1" fontId="108" fillId="37" borderId="14" xfId="306" applyNumberFormat="1" applyFont="1" applyFill="1" applyBorder="1" applyAlignment="1">
      <alignment horizontal="center" vertical="center"/>
    </xf>
    <xf numFmtId="1" fontId="108" fillId="37" borderId="21" xfId="306" applyNumberFormat="1" applyFont="1" applyFill="1" applyBorder="1" applyAlignment="1">
      <alignment horizontal="center" vertical="center"/>
    </xf>
    <xf numFmtId="2" fontId="228" fillId="37" borderId="11" xfId="306" applyNumberFormat="1" applyFont="1" applyFill="1" applyBorder="1" applyAlignment="1">
      <alignment horizontal="center" vertical="center"/>
    </xf>
    <xf numFmtId="2" fontId="228" fillId="37" borderId="14" xfId="306" applyNumberFormat="1" applyFont="1" applyFill="1" applyBorder="1" applyAlignment="1">
      <alignment horizontal="center" vertical="center"/>
    </xf>
    <xf numFmtId="2" fontId="228" fillId="37" borderId="21" xfId="306" applyNumberFormat="1" applyFont="1" applyFill="1" applyBorder="1" applyAlignment="1">
      <alignment horizontal="center" vertical="center"/>
    </xf>
    <xf numFmtId="3" fontId="0" fillId="37" borderId="178" xfId="0" applyNumberFormat="1" applyFill="1" applyBorder="1" applyAlignment="1">
      <alignment horizontal="center"/>
    </xf>
    <xf numFmtId="3" fontId="0" fillId="37" borderId="153" xfId="0" applyNumberFormat="1" applyFill="1" applyBorder="1" applyAlignment="1">
      <alignment horizontal="center"/>
    </xf>
    <xf numFmtId="3" fontId="0" fillId="37" borderId="179" xfId="0" applyNumberFormat="1" applyFill="1" applyBorder="1" applyAlignment="1">
      <alignment horizontal="center"/>
    </xf>
    <xf numFmtId="182" fontId="110" fillId="0" borderId="11" xfId="229" applyNumberFormat="1" applyFont="1" applyFill="1" applyBorder="1" applyAlignment="1" applyProtection="1">
      <alignment horizontal="center" vertical="center"/>
      <protection hidden="1"/>
    </xf>
    <xf numFmtId="10" fontId="108" fillId="0" borderId="11" xfId="306" applyNumberFormat="1" applyFont="1" applyBorder="1" applyAlignment="1">
      <alignment horizontal="center" vertical="center"/>
    </xf>
    <xf numFmtId="181" fontId="192" fillId="72" borderId="0" xfId="0" applyNumberFormat="1" applyFont="1" applyFill="1" applyAlignment="1">
      <alignment vertical="center"/>
    </xf>
    <xf numFmtId="197" fontId="192" fillId="72" borderId="0" xfId="0" applyNumberFormat="1" applyFont="1" applyFill="1" applyAlignment="1">
      <alignment vertical="center"/>
    </xf>
    <xf numFmtId="0" fontId="286" fillId="89" borderId="117" xfId="0" applyFont="1" applyFill="1" applyBorder="1"/>
    <xf numFmtId="0" fontId="286" fillId="89" borderId="117" xfId="0" applyFont="1" applyFill="1" applyBorder="1" applyAlignment="1">
      <alignment horizontal="center"/>
    </xf>
    <xf numFmtId="183" fontId="286" fillId="89" borderId="117" xfId="0" applyNumberFormat="1" applyFont="1" applyFill="1" applyBorder="1" applyAlignment="1">
      <alignment horizontal="center"/>
    </xf>
    <xf numFmtId="179" fontId="286" fillId="89" borderId="117" xfId="0" applyNumberFormat="1" applyFont="1" applyFill="1" applyBorder="1" applyAlignment="1">
      <alignment horizontal="center" vertical="center"/>
    </xf>
    <xf numFmtId="183" fontId="286" fillId="89" borderId="117" xfId="0" applyNumberFormat="1" applyFont="1" applyFill="1" applyBorder="1" applyAlignment="1">
      <alignment horizontal="center" vertical="center"/>
    </xf>
    <xf numFmtId="185" fontId="286" fillId="89" borderId="117" xfId="322" applyNumberFormat="1" applyFont="1" applyFill="1" applyBorder="1" applyAlignment="1">
      <alignment horizontal="center" vertical="center"/>
    </xf>
    <xf numFmtId="9" fontId="286" fillId="89" borderId="117" xfId="322" applyFont="1" applyFill="1" applyBorder="1" applyAlignment="1">
      <alignment horizontal="center" vertical="center"/>
    </xf>
    <xf numFmtId="179" fontId="286" fillId="89" borderId="117" xfId="0" applyNumberFormat="1" applyFont="1" applyFill="1" applyBorder="1" applyAlignment="1">
      <alignment horizontal="center"/>
    </xf>
    <xf numFmtId="4" fontId="286" fillId="89" borderId="117" xfId="0" applyNumberFormat="1" applyFont="1" applyFill="1" applyBorder="1" applyAlignment="1">
      <alignment horizontal="center" vertical="center"/>
    </xf>
    <xf numFmtId="0" fontId="165" fillId="72" borderId="0" xfId="306" applyFont="1" applyFill="1" applyAlignment="1">
      <alignment horizontal="center" vertical="center"/>
    </xf>
    <xf numFmtId="0" fontId="165" fillId="72" borderId="0" xfId="306" applyFont="1" applyFill="1" applyAlignment="1">
      <alignment horizontal="center" vertical="center" wrapText="1"/>
    </xf>
    <xf numFmtId="0" fontId="271" fillId="37" borderId="0" xfId="0" applyFont="1" applyFill="1" applyAlignment="1">
      <alignment horizontal="center" vertical="center"/>
    </xf>
    <xf numFmtId="0" fontId="271" fillId="37" borderId="0" xfId="0" applyFont="1" applyFill="1" applyAlignment="1">
      <alignment horizontal="center" vertical="center" wrapText="1"/>
    </xf>
    <xf numFmtId="3" fontId="272" fillId="37" borderId="0" xfId="0" applyNumberFormat="1" applyFont="1" applyFill="1" applyAlignment="1">
      <alignment horizontal="center"/>
    </xf>
    <xf numFmtId="176" fontId="314" fillId="37" borderId="0" xfId="0" applyNumberFormat="1" applyFont="1" applyFill="1" applyAlignment="1">
      <alignment horizontal="center"/>
    </xf>
    <xf numFmtId="193" fontId="271" fillId="37" borderId="0" xfId="0" applyNumberFormat="1" applyFont="1" applyFill="1" applyAlignment="1">
      <alignment horizontal="center" vertical="center"/>
    </xf>
    <xf numFmtId="0" fontId="288" fillId="37" borderId="0" xfId="0" applyFont="1" applyFill="1" applyAlignment="1">
      <alignment horizontal="center" vertical="center"/>
    </xf>
    <xf numFmtId="182" fontId="272" fillId="37" borderId="0" xfId="0" applyNumberFormat="1" applyFont="1" applyFill="1" applyAlignment="1">
      <alignment horizontal="center"/>
    </xf>
    <xf numFmtId="193" fontId="271" fillId="72" borderId="40" xfId="0" applyNumberFormat="1" applyFont="1" applyFill="1" applyBorder="1" applyAlignment="1">
      <alignment horizontal="center" vertical="center"/>
    </xf>
    <xf numFmtId="0" fontId="288" fillId="72" borderId="204" xfId="0" applyFont="1" applyFill="1" applyBorder="1" applyAlignment="1">
      <alignment horizontal="center" vertical="center"/>
    </xf>
    <xf numFmtId="0" fontId="271" fillId="72" borderId="27" xfId="0" applyFont="1" applyFill="1" applyBorder="1" applyAlignment="1">
      <alignment horizontal="center" vertical="center"/>
    </xf>
    <xf numFmtId="0" fontId="271" fillId="72" borderId="47" xfId="0" applyFont="1" applyFill="1" applyBorder="1" applyAlignment="1">
      <alignment horizontal="center" vertical="center" wrapText="1"/>
    </xf>
    <xf numFmtId="3" fontId="276" fillId="37" borderId="47" xfId="0" applyNumberFormat="1" applyFont="1" applyFill="1" applyBorder="1" applyAlignment="1">
      <alignment horizontal="center"/>
    </xf>
    <xf numFmtId="3" fontId="276" fillId="37" borderId="155" xfId="0" applyNumberFormat="1" applyFont="1" applyFill="1" applyBorder="1" applyAlignment="1">
      <alignment horizontal="center"/>
    </xf>
    <xf numFmtId="3" fontId="276" fillId="37" borderId="14" xfId="0" applyNumberFormat="1" applyFont="1" applyFill="1" applyBorder="1" applyAlignment="1">
      <alignment horizontal="center"/>
    </xf>
    <xf numFmtId="3" fontId="276" fillId="37" borderId="174" xfId="0" applyNumberFormat="1" applyFont="1" applyFill="1" applyBorder="1" applyAlignment="1">
      <alignment horizontal="center"/>
    </xf>
    <xf numFmtId="3" fontId="276" fillId="117" borderId="27" xfId="0" applyNumberFormat="1" applyFont="1" applyFill="1" applyBorder="1" applyAlignment="1">
      <alignment horizontal="center"/>
    </xf>
    <xf numFmtId="3" fontId="276" fillId="117" borderId="47" xfId="0" applyNumberFormat="1" applyFont="1" applyFill="1" applyBorder="1" applyAlignment="1">
      <alignment horizontal="center"/>
    </xf>
    <xf numFmtId="176" fontId="123" fillId="117" borderId="33" xfId="0" applyNumberFormat="1" applyFont="1" applyFill="1" applyBorder="1" applyAlignment="1">
      <alignment horizontal="center"/>
    </xf>
    <xf numFmtId="3" fontId="276" fillId="117" borderId="203" xfId="0" applyNumberFormat="1" applyFont="1" applyFill="1" applyBorder="1" applyAlignment="1">
      <alignment horizontal="center"/>
    </xf>
    <xf numFmtId="3" fontId="276" fillId="117" borderId="13" xfId="0" applyNumberFormat="1" applyFont="1" applyFill="1" applyBorder="1" applyAlignment="1">
      <alignment horizontal="center"/>
    </xf>
    <xf numFmtId="176" fontId="123" fillId="117" borderId="34" xfId="0" applyNumberFormat="1" applyFont="1" applyFill="1" applyBorder="1" applyAlignment="1">
      <alignment horizontal="center"/>
    </xf>
    <xf numFmtId="3" fontId="276" fillId="117" borderId="42" xfId="0" applyNumberFormat="1" applyFont="1" applyFill="1" applyBorder="1" applyAlignment="1">
      <alignment horizontal="center"/>
    </xf>
    <xf numFmtId="3" fontId="276" fillId="117" borderId="43" xfId="0" applyNumberFormat="1" applyFont="1" applyFill="1" applyBorder="1" applyAlignment="1">
      <alignment horizontal="center"/>
    </xf>
    <xf numFmtId="176" fontId="123" fillId="117" borderId="41" xfId="0" applyNumberFormat="1" applyFont="1" applyFill="1" applyBorder="1" applyAlignment="1">
      <alignment horizontal="center"/>
    </xf>
    <xf numFmtId="182" fontId="276" fillId="117" borderId="27" xfId="0" applyNumberFormat="1" applyFont="1" applyFill="1" applyBorder="1" applyAlignment="1">
      <alignment horizontal="center"/>
    </xf>
    <xf numFmtId="182" fontId="276" fillId="117" borderId="47" xfId="0" applyNumberFormat="1" applyFont="1" applyFill="1" applyBorder="1" applyAlignment="1">
      <alignment horizontal="center"/>
    </xf>
    <xf numFmtId="3" fontId="276" fillId="117" borderId="30" xfId="0" applyNumberFormat="1" applyFont="1" applyFill="1" applyBorder="1" applyAlignment="1">
      <alignment horizontal="center"/>
    </xf>
    <xf numFmtId="3" fontId="276" fillId="117" borderId="11" xfId="0" applyNumberFormat="1" applyFont="1" applyFill="1" applyBorder="1" applyAlignment="1">
      <alignment horizontal="center"/>
    </xf>
    <xf numFmtId="182" fontId="276" fillId="117" borderId="30" xfId="0" applyNumberFormat="1" applyFont="1" applyFill="1" applyBorder="1" applyAlignment="1">
      <alignment horizontal="center"/>
    </xf>
    <xf numFmtId="182" fontId="276" fillId="117" borderId="11" xfId="0" applyNumberFormat="1" applyFont="1" applyFill="1" applyBorder="1" applyAlignment="1">
      <alignment horizontal="center"/>
    </xf>
    <xf numFmtId="3" fontId="276" fillId="117" borderId="29" xfId="0" applyNumberFormat="1" applyFont="1" applyFill="1" applyBorder="1" applyAlignment="1">
      <alignment horizontal="center"/>
    </xf>
    <xf numFmtId="3" fontId="276" fillId="117" borderId="55" xfId="0" applyNumberFormat="1" applyFont="1" applyFill="1" applyBorder="1" applyAlignment="1">
      <alignment horizontal="center"/>
    </xf>
    <xf numFmtId="183" fontId="276" fillId="117" borderId="27" xfId="0" applyNumberFormat="1" applyFont="1" applyFill="1" applyBorder="1" applyAlignment="1">
      <alignment horizontal="center"/>
    </xf>
    <xf numFmtId="183" fontId="276" fillId="117" borderId="47" xfId="0" applyNumberFormat="1" applyFont="1" applyFill="1" applyBorder="1" applyAlignment="1">
      <alignment horizontal="center"/>
    </xf>
    <xf numFmtId="3" fontId="313" fillId="117" borderId="30" xfId="0" applyNumberFormat="1" applyFont="1" applyFill="1" applyBorder="1" applyAlignment="1">
      <alignment horizontal="center"/>
    </xf>
    <xf numFmtId="3" fontId="313" fillId="117" borderId="11" xfId="0" applyNumberFormat="1" applyFont="1" applyFill="1" applyBorder="1" applyAlignment="1">
      <alignment horizontal="center"/>
    </xf>
    <xf numFmtId="182" fontId="276" fillId="117" borderId="29" xfId="0" applyNumberFormat="1" applyFont="1" applyFill="1" applyBorder="1" applyAlignment="1">
      <alignment horizontal="center"/>
    </xf>
    <xf numFmtId="182" fontId="276" fillId="117" borderId="55" xfId="0" applyNumberFormat="1" applyFont="1" applyFill="1" applyBorder="1" applyAlignment="1">
      <alignment horizontal="center"/>
    </xf>
    <xf numFmtId="0" fontId="47" fillId="38" borderId="0" xfId="306" applyFill="1" applyAlignment="1">
      <alignment vertical="center"/>
    </xf>
    <xf numFmtId="264" fontId="165" fillId="72" borderId="0" xfId="306" applyNumberFormat="1" applyFont="1" applyFill="1" applyAlignment="1">
      <alignment horizontal="center" vertical="center"/>
    </xf>
    <xf numFmtId="1" fontId="165" fillId="72" borderId="0" xfId="306" applyNumberFormat="1" applyFont="1" applyFill="1" applyAlignment="1">
      <alignment horizontal="center" vertical="center"/>
    </xf>
    <xf numFmtId="1" fontId="165" fillId="72" borderId="0" xfId="306" applyNumberFormat="1" applyFont="1" applyFill="1" applyAlignment="1">
      <alignment horizontal="center" vertical="center" wrapText="1"/>
    </xf>
    <xf numFmtId="179" fontId="165" fillId="72" borderId="0" xfId="306" applyNumberFormat="1" applyFont="1" applyFill="1" applyAlignment="1">
      <alignment horizontal="center" vertical="center" wrapText="1"/>
    </xf>
    <xf numFmtId="2" fontId="165" fillId="72" borderId="0" xfId="306" applyNumberFormat="1" applyFont="1" applyFill="1" applyAlignment="1">
      <alignment horizontal="center" vertical="center" wrapText="1"/>
    </xf>
    <xf numFmtId="0" fontId="113" fillId="38" borderId="0" xfId="306" applyFont="1" applyFill="1" applyAlignment="1">
      <alignment vertical="center"/>
    </xf>
    <xf numFmtId="0" fontId="165" fillId="72" borderId="11" xfId="0" applyFont="1" applyFill="1" applyBorder="1" applyAlignment="1">
      <alignment vertical="center"/>
    </xf>
    <xf numFmtId="179" fontId="233" fillId="72" borderId="11" xfId="0" applyNumberFormat="1" applyFont="1" applyFill="1" applyBorder="1" applyAlignment="1">
      <alignment horizontal="center" vertical="center"/>
    </xf>
    <xf numFmtId="0" fontId="165" fillId="72" borderId="11" xfId="0" applyFont="1" applyFill="1" applyBorder="1" applyAlignment="1">
      <alignment horizontal="left" vertical="center"/>
    </xf>
    <xf numFmtId="181" fontId="233" fillId="72" borderId="11" xfId="0" applyNumberFormat="1" applyFont="1" applyFill="1" applyBorder="1" applyAlignment="1">
      <alignment horizontal="center" vertical="center"/>
    </xf>
    <xf numFmtId="3" fontId="276" fillId="0" borderId="55" xfId="0" applyNumberFormat="1" applyFont="1" applyBorder="1" applyAlignment="1">
      <alignment horizontal="center"/>
    </xf>
    <xf numFmtId="176" fontId="192" fillId="72" borderId="0" xfId="0" applyNumberFormat="1" applyFont="1" applyFill="1" applyAlignment="1">
      <alignment horizontal="center"/>
    </xf>
    <xf numFmtId="0" fontId="166" fillId="72" borderId="0" xfId="0" applyFont="1" applyFill="1" applyAlignment="1">
      <alignment horizontal="center"/>
    </xf>
    <xf numFmtId="0" fontId="219" fillId="38" borderId="0" xfId="0" applyFont="1" applyFill="1" applyAlignment="1">
      <alignment horizontal="center" vertical="center"/>
    </xf>
    <xf numFmtId="187" fontId="294" fillId="37" borderId="140" xfId="28058" applyNumberFormat="1" applyFont="1" applyFill="1" applyBorder="1" applyAlignment="1" applyProtection="1">
      <alignment horizontal="center"/>
      <protection locked="0"/>
    </xf>
    <xf numFmtId="0" fontId="294" fillId="37" borderId="140" xfId="0" applyFont="1" applyFill="1" applyBorder="1" applyAlignment="1" applyProtection="1">
      <alignment horizontal="center"/>
      <protection locked="0"/>
    </xf>
    <xf numFmtId="167" fontId="294" fillId="37" borderId="140" xfId="28058" applyFont="1" applyFill="1" applyBorder="1" applyAlignment="1" applyProtection="1">
      <alignment horizontal="center"/>
      <protection locked="0"/>
    </xf>
    <xf numFmtId="186" fontId="294" fillId="37" borderId="140" xfId="28058" applyNumberFormat="1" applyFont="1" applyFill="1" applyBorder="1" applyAlignment="1" applyProtection="1">
      <alignment horizontal="center"/>
      <protection locked="0"/>
    </xf>
    <xf numFmtId="188" fontId="294" fillId="37" borderId="140" xfId="28058" applyNumberFormat="1" applyFont="1" applyFill="1" applyBorder="1" applyAlignment="1" applyProtection="1">
      <alignment horizontal="center"/>
      <protection locked="0"/>
    </xf>
    <xf numFmtId="242" fontId="294" fillId="37" borderId="140" xfId="28058" applyNumberFormat="1" applyFont="1" applyFill="1" applyBorder="1" applyAlignment="1" applyProtection="1">
      <alignment horizontal="center"/>
      <protection locked="0"/>
    </xf>
    <xf numFmtId="185" fontId="294" fillId="37" borderId="140" xfId="322" applyNumberFormat="1" applyFont="1" applyFill="1" applyBorder="1" applyAlignment="1" applyProtection="1">
      <alignment horizontal="center"/>
      <protection locked="0"/>
    </xf>
    <xf numFmtId="185" fontId="227" fillId="37" borderId="140" xfId="0" applyNumberFormat="1" applyFont="1" applyFill="1" applyBorder="1" applyAlignment="1">
      <alignment horizontal="center"/>
    </xf>
    <xf numFmtId="0" fontId="227" fillId="37" borderId="0" xfId="0" applyFont="1" applyFill="1" applyAlignment="1">
      <alignment horizontal="center"/>
    </xf>
    <xf numFmtId="197" fontId="192" fillId="72" borderId="140" xfId="0" applyNumberFormat="1" applyFont="1" applyFill="1" applyBorder="1" applyAlignment="1">
      <alignment horizontal="center" vertical="center"/>
    </xf>
    <xf numFmtId="183" fontId="94" fillId="0" borderId="171" xfId="0" applyNumberFormat="1" applyFont="1" applyBorder="1" applyAlignment="1">
      <alignment horizontal="center" vertical="center"/>
    </xf>
    <xf numFmtId="183" fontId="0" fillId="112" borderId="0" xfId="0" applyNumberFormat="1" applyFill="1" applyAlignment="1">
      <alignment vertical="center"/>
    </xf>
    <xf numFmtId="0" fontId="0" fillId="112" borderId="0" xfId="0" applyFill="1" applyAlignment="1">
      <alignment horizontal="center"/>
    </xf>
    <xf numFmtId="184" fontId="0" fillId="0" borderId="0" xfId="0" applyNumberFormat="1" applyAlignment="1">
      <alignment vertical="center"/>
    </xf>
    <xf numFmtId="265" fontId="0" fillId="0" borderId="0" xfId="0" applyNumberFormat="1" applyAlignment="1">
      <alignment vertical="center"/>
    </xf>
    <xf numFmtId="0" fontId="100" fillId="78" borderId="11" xfId="0" applyFont="1" applyFill="1" applyBorder="1" applyAlignment="1">
      <alignment horizontal="center" vertical="center"/>
    </xf>
    <xf numFmtId="179" fontId="293" fillId="37" borderId="117" xfId="0" applyNumberFormat="1" applyFont="1" applyFill="1" applyBorder="1" applyAlignment="1">
      <alignment horizontal="center" vertical="center"/>
    </xf>
    <xf numFmtId="0" fontId="288" fillId="91" borderId="0" xfId="0" applyFont="1" applyFill="1" applyAlignment="1">
      <alignment horizontal="center" vertical="center"/>
    </xf>
    <xf numFmtId="0" fontId="316" fillId="0" borderId="0" xfId="0" applyFont="1"/>
    <xf numFmtId="183" fontId="293" fillId="95" borderId="117" xfId="0" applyNumberFormat="1" applyFont="1" applyFill="1" applyBorder="1" applyAlignment="1">
      <alignment horizontal="center"/>
    </xf>
    <xf numFmtId="183" fontId="293" fillId="95" borderId="115" xfId="0" applyNumberFormat="1" applyFont="1" applyFill="1" applyBorder="1" applyAlignment="1">
      <alignment horizontal="center"/>
    </xf>
    <xf numFmtId="183" fontId="293" fillId="95" borderId="12" xfId="0" applyNumberFormat="1" applyFont="1" applyFill="1" applyBorder="1" applyAlignment="1">
      <alignment horizontal="center"/>
    </xf>
    <xf numFmtId="266" fontId="293" fillId="95" borderId="117" xfId="0" applyNumberFormat="1" applyFont="1" applyFill="1" applyBorder="1" applyAlignment="1">
      <alignment horizontal="center"/>
    </xf>
    <xf numFmtId="185" fontId="293" fillId="95" borderId="117" xfId="322" applyNumberFormat="1" applyFont="1" applyFill="1" applyBorder="1" applyAlignment="1">
      <alignment horizontal="center"/>
    </xf>
    <xf numFmtId="179" fontId="192" fillId="0" borderId="0" xfId="0" applyNumberFormat="1" applyFont="1"/>
    <xf numFmtId="179" fontId="293" fillId="37" borderId="115" xfId="0" applyNumberFormat="1" applyFont="1" applyFill="1" applyBorder="1" applyAlignment="1">
      <alignment horizontal="center" vertical="center"/>
    </xf>
    <xf numFmtId="179" fontId="293" fillId="37" borderId="12" xfId="0" applyNumberFormat="1" applyFont="1" applyFill="1" applyBorder="1" applyAlignment="1">
      <alignment horizontal="center" vertical="center"/>
    </xf>
    <xf numFmtId="183" fontId="293" fillId="37" borderId="117" xfId="0" applyNumberFormat="1" applyFont="1" applyFill="1" applyBorder="1" applyAlignment="1">
      <alignment horizontal="center" vertical="center"/>
    </xf>
    <xf numFmtId="183" fontId="293" fillId="37" borderId="115" xfId="0" applyNumberFormat="1" applyFont="1" applyFill="1" applyBorder="1" applyAlignment="1">
      <alignment horizontal="center" vertical="center"/>
    </xf>
    <xf numFmtId="266" fontId="293" fillId="37" borderId="117" xfId="0" applyNumberFormat="1" applyFont="1" applyFill="1" applyBorder="1" applyAlignment="1">
      <alignment horizontal="center" vertical="center"/>
    </xf>
    <xf numFmtId="185" fontId="293" fillId="37" borderId="117" xfId="322" applyNumberFormat="1" applyFont="1" applyFill="1" applyBorder="1" applyAlignment="1">
      <alignment horizontal="center" vertical="center"/>
    </xf>
    <xf numFmtId="183" fontId="293" fillId="95" borderId="117" xfId="0" applyNumberFormat="1" applyFont="1" applyFill="1" applyBorder="1" applyAlignment="1">
      <alignment horizontal="center" vertical="center"/>
    </xf>
    <xf numFmtId="183" fontId="293" fillId="95" borderId="115" xfId="0" applyNumberFormat="1" applyFont="1" applyFill="1" applyBorder="1" applyAlignment="1">
      <alignment horizontal="center" vertical="center"/>
    </xf>
    <xf numFmtId="185" fontId="317" fillId="95" borderId="117" xfId="322" applyNumberFormat="1" applyFont="1" applyFill="1" applyBorder="1" applyAlignment="1">
      <alignment horizontal="center"/>
    </xf>
    <xf numFmtId="183" fontId="293" fillId="37" borderId="117" xfId="0" applyNumberFormat="1" applyFont="1" applyFill="1" applyBorder="1" applyAlignment="1">
      <alignment horizontal="center"/>
    </xf>
    <xf numFmtId="183" fontId="293" fillId="37" borderId="115" xfId="0" applyNumberFormat="1" applyFont="1" applyFill="1" applyBorder="1" applyAlignment="1">
      <alignment horizontal="center"/>
    </xf>
    <xf numFmtId="183" fontId="293" fillId="37" borderId="12" xfId="0" applyNumberFormat="1" applyFont="1" applyFill="1" applyBorder="1" applyAlignment="1">
      <alignment horizontal="center"/>
    </xf>
    <xf numFmtId="266" fontId="293" fillId="37" borderId="117" xfId="0" applyNumberFormat="1" applyFont="1" applyFill="1" applyBorder="1" applyAlignment="1">
      <alignment horizontal="center"/>
    </xf>
    <xf numFmtId="185" fontId="317" fillId="37" borderId="117" xfId="322" applyNumberFormat="1" applyFont="1" applyFill="1" applyBorder="1" applyAlignment="1">
      <alignment horizontal="center"/>
    </xf>
    <xf numFmtId="3" fontId="293" fillId="37" borderId="117" xfId="0" applyNumberFormat="1" applyFont="1" applyFill="1" applyBorder="1" applyAlignment="1">
      <alignment horizontal="center"/>
    </xf>
    <xf numFmtId="3" fontId="293" fillId="37" borderId="115" xfId="0" applyNumberFormat="1" applyFont="1" applyFill="1" applyBorder="1" applyAlignment="1">
      <alignment horizontal="center"/>
    </xf>
    <xf numFmtId="3" fontId="293" fillId="37" borderId="12" xfId="0" applyNumberFormat="1" applyFont="1" applyFill="1" applyBorder="1" applyAlignment="1">
      <alignment horizontal="center"/>
    </xf>
    <xf numFmtId="176" fontId="293" fillId="37" borderId="117" xfId="0" applyNumberFormat="1" applyFont="1" applyFill="1" applyBorder="1" applyAlignment="1">
      <alignment vertical="center"/>
    </xf>
    <xf numFmtId="176" fontId="293" fillId="37" borderId="115" xfId="0" applyNumberFormat="1" applyFont="1" applyFill="1" applyBorder="1" applyAlignment="1">
      <alignment vertical="center"/>
    </xf>
    <xf numFmtId="185" fontId="293" fillId="37" borderId="117" xfId="322" applyNumberFormat="1" applyFont="1" applyFill="1" applyBorder="1" applyAlignment="1">
      <alignment horizontal="center"/>
    </xf>
    <xf numFmtId="3" fontId="293" fillId="37" borderId="117" xfId="0" applyNumberFormat="1" applyFont="1" applyFill="1" applyBorder="1" applyAlignment="1">
      <alignment horizontal="center" vertical="center"/>
    </xf>
    <xf numFmtId="3" fontId="293" fillId="37" borderId="115" xfId="0" applyNumberFormat="1" applyFont="1" applyFill="1" applyBorder="1" applyAlignment="1">
      <alignment horizontal="center" vertical="center"/>
    </xf>
    <xf numFmtId="3" fontId="293" fillId="37" borderId="12" xfId="0" applyNumberFormat="1" applyFont="1" applyFill="1" applyBorder="1" applyAlignment="1">
      <alignment horizontal="center" vertical="center"/>
    </xf>
    <xf numFmtId="3" fontId="316" fillId="0" borderId="0" xfId="0" applyNumberFormat="1" applyFont="1"/>
    <xf numFmtId="1" fontId="293" fillId="37" borderId="117" xfId="0" applyNumberFormat="1" applyFont="1" applyFill="1" applyBorder="1" applyAlignment="1">
      <alignment horizontal="center"/>
    </xf>
    <xf numFmtId="1" fontId="293" fillId="37" borderId="115" xfId="0" applyNumberFormat="1" applyFont="1" applyFill="1" applyBorder="1" applyAlignment="1">
      <alignment horizontal="center"/>
    </xf>
    <xf numFmtId="1" fontId="293" fillId="37" borderId="12" xfId="0" applyNumberFormat="1" applyFont="1" applyFill="1" applyBorder="1" applyAlignment="1">
      <alignment horizontal="center"/>
    </xf>
    <xf numFmtId="267" fontId="293" fillId="37" borderId="117" xfId="0" applyNumberFormat="1" applyFont="1" applyFill="1" applyBorder="1" applyAlignment="1">
      <alignment horizontal="center"/>
    </xf>
    <xf numFmtId="3" fontId="293" fillId="0" borderId="117" xfId="0" applyNumberFormat="1" applyFont="1" applyBorder="1" applyAlignment="1">
      <alignment horizontal="center" vertical="center"/>
    </xf>
    <xf numFmtId="267" fontId="293" fillId="37" borderId="117" xfId="0" applyNumberFormat="1" applyFont="1" applyFill="1" applyBorder="1" applyAlignment="1">
      <alignment horizontal="center" vertical="center"/>
    </xf>
    <xf numFmtId="176" fontId="293" fillId="37" borderId="117" xfId="0" applyNumberFormat="1" applyFont="1" applyFill="1" applyBorder="1" applyAlignment="1">
      <alignment horizontal="center"/>
    </xf>
    <xf numFmtId="176" fontId="293" fillId="37" borderId="115" xfId="0" applyNumberFormat="1" applyFont="1" applyFill="1" applyBorder="1" applyAlignment="1">
      <alignment horizontal="center"/>
    </xf>
    <xf numFmtId="176" fontId="293" fillId="37" borderId="12" xfId="0" applyNumberFormat="1" applyFont="1" applyFill="1" applyBorder="1" applyAlignment="1">
      <alignment horizontal="center"/>
    </xf>
    <xf numFmtId="182" fontId="293" fillId="37" borderId="117" xfId="0" applyNumberFormat="1" applyFont="1" applyFill="1" applyBorder="1" applyAlignment="1">
      <alignment horizontal="center" vertical="center"/>
    </xf>
    <xf numFmtId="182" fontId="293" fillId="37" borderId="115" xfId="0" applyNumberFormat="1" applyFont="1" applyFill="1" applyBorder="1" applyAlignment="1">
      <alignment horizontal="center" vertical="center"/>
    </xf>
    <xf numFmtId="268" fontId="293" fillId="37" borderId="117" xfId="0" applyNumberFormat="1" applyFont="1" applyFill="1" applyBorder="1" applyAlignment="1">
      <alignment horizontal="center"/>
    </xf>
    <xf numFmtId="1" fontId="293" fillId="0" borderId="117" xfId="0" applyNumberFormat="1" applyFont="1" applyBorder="1" applyAlignment="1">
      <alignment horizontal="center"/>
    </xf>
    <xf numFmtId="2" fontId="293" fillId="37" borderId="117" xfId="0" applyNumberFormat="1" applyFont="1" applyFill="1" applyBorder="1" applyAlignment="1">
      <alignment horizontal="center"/>
    </xf>
    <xf numFmtId="2" fontId="293" fillId="37" borderId="115" xfId="0" applyNumberFormat="1" applyFont="1" applyFill="1" applyBorder="1" applyAlignment="1">
      <alignment horizontal="center"/>
    </xf>
    <xf numFmtId="2" fontId="293" fillId="37" borderId="12" xfId="0" applyNumberFormat="1" applyFont="1" applyFill="1" applyBorder="1" applyAlignment="1">
      <alignment horizontal="center"/>
    </xf>
    <xf numFmtId="4" fontId="293" fillId="37" borderId="117" xfId="0" applyNumberFormat="1" applyFont="1" applyFill="1" applyBorder="1" applyAlignment="1">
      <alignment horizontal="center" vertical="center"/>
    </xf>
    <xf numFmtId="4" fontId="293" fillId="37" borderId="115" xfId="0" applyNumberFormat="1" applyFont="1" applyFill="1" applyBorder="1" applyAlignment="1">
      <alignment horizontal="center" vertical="center"/>
    </xf>
    <xf numFmtId="269" fontId="317" fillId="37" borderId="117" xfId="0" applyNumberFormat="1" applyFont="1" applyFill="1" applyBorder="1" applyAlignment="1">
      <alignment horizontal="center"/>
    </xf>
    <xf numFmtId="4" fontId="293" fillId="37" borderId="117" xfId="0" applyNumberFormat="1" applyFont="1" applyFill="1" applyBorder="1" applyAlignment="1">
      <alignment horizontal="center"/>
    </xf>
    <xf numFmtId="4" fontId="293" fillId="37" borderId="115" xfId="0" applyNumberFormat="1" applyFont="1" applyFill="1" applyBorder="1" applyAlignment="1">
      <alignment horizontal="center"/>
    </xf>
    <xf numFmtId="4" fontId="293" fillId="37" borderId="12" xfId="0" applyNumberFormat="1" applyFont="1" applyFill="1" applyBorder="1" applyAlignment="1">
      <alignment horizontal="center"/>
    </xf>
    <xf numFmtId="269" fontId="293" fillId="37" borderId="117" xfId="0" applyNumberFormat="1" applyFont="1" applyFill="1" applyBorder="1" applyAlignment="1">
      <alignment horizontal="center"/>
    </xf>
    <xf numFmtId="1" fontId="107" fillId="0" borderId="98" xfId="0" applyNumberFormat="1" applyFont="1" applyBorder="1" applyAlignment="1">
      <alignment horizontal="center"/>
    </xf>
    <xf numFmtId="0" fontId="293" fillId="37" borderId="117" xfId="0" applyFont="1" applyFill="1" applyBorder="1" applyAlignment="1">
      <alignment horizontal="center"/>
    </xf>
    <xf numFmtId="0" fontId="293" fillId="37" borderId="115" xfId="0" applyFont="1" applyFill="1" applyBorder="1" applyAlignment="1">
      <alignment horizontal="center"/>
    </xf>
    <xf numFmtId="0" fontId="293" fillId="37" borderId="12" xfId="0" applyFont="1" applyFill="1" applyBorder="1" applyAlignment="1">
      <alignment horizontal="center"/>
    </xf>
    <xf numFmtId="0" fontId="94" fillId="0" borderId="111" xfId="0" applyFont="1" applyBorder="1" applyAlignment="1">
      <alignment horizontal="center"/>
    </xf>
    <xf numFmtId="179" fontId="293" fillId="37" borderId="117" xfId="0" applyNumberFormat="1" applyFont="1" applyFill="1" applyBorder="1" applyAlignment="1">
      <alignment horizontal="center"/>
    </xf>
    <xf numFmtId="179" fontId="293" fillId="37" borderId="115" xfId="0" applyNumberFormat="1" applyFont="1" applyFill="1" applyBorder="1" applyAlignment="1">
      <alignment horizontal="center"/>
    </xf>
    <xf numFmtId="179" fontId="293" fillId="37" borderId="12" xfId="0" applyNumberFormat="1" applyFont="1" applyFill="1" applyBorder="1" applyAlignment="1">
      <alignment horizontal="center"/>
    </xf>
    <xf numFmtId="1" fontId="293" fillId="37" borderId="117" xfId="0" applyNumberFormat="1" applyFont="1" applyFill="1" applyBorder="1" applyAlignment="1">
      <alignment horizontal="center" vertical="center"/>
    </xf>
    <xf numFmtId="1" fontId="293" fillId="37" borderId="115" xfId="0" applyNumberFormat="1" applyFont="1" applyFill="1" applyBorder="1" applyAlignment="1">
      <alignment horizontal="center" vertical="center"/>
    </xf>
    <xf numFmtId="267" fontId="317" fillId="37" borderId="117" xfId="0" applyNumberFormat="1" applyFont="1" applyFill="1" applyBorder="1" applyAlignment="1">
      <alignment horizontal="center"/>
    </xf>
    <xf numFmtId="1" fontId="293" fillId="37" borderId="159" xfId="0" applyNumberFormat="1" applyFont="1" applyFill="1" applyBorder="1" applyAlignment="1">
      <alignment horizontal="center"/>
    </xf>
    <xf numFmtId="1" fontId="293" fillId="37" borderId="206" xfId="0" applyNumberFormat="1" applyFont="1" applyFill="1" applyBorder="1" applyAlignment="1">
      <alignment horizontal="center"/>
    </xf>
    <xf numFmtId="1" fontId="293" fillId="37" borderId="13" xfId="0" applyNumberFormat="1" applyFont="1" applyFill="1" applyBorder="1" applyAlignment="1">
      <alignment horizontal="center"/>
    </xf>
    <xf numFmtId="1" fontId="293" fillId="37" borderId="159" xfId="0" applyNumberFormat="1" applyFont="1" applyFill="1" applyBorder="1" applyAlignment="1">
      <alignment horizontal="center" vertical="center"/>
    </xf>
    <xf numFmtId="1" fontId="293" fillId="37" borderId="206" xfId="0" applyNumberFormat="1" applyFont="1" applyFill="1" applyBorder="1" applyAlignment="1">
      <alignment horizontal="center" vertical="center"/>
    </xf>
    <xf numFmtId="267" fontId="317" fillId="37" borderId="159" xfId="0" applyNumberFormat="1" applyFont="1" applyFill="1" applyBorder="1" applyAlignment="1">
      <alignment horizontal="center"/>
    </xf>
    <xf numFmtId="185" fontId="317" fillId="37" borderId="159" xfId="322" applyNumberFormat="1" applyFont="1" applyFill="1" applyBorder="1" applyAlignment="1">
      <alignment horizontal="center"/>
    </xf>
    <xf numFmtId="181" fontId="0" fillId="0" borderId="0" xfId="0" applyNumberFormat="1"/>
    <xf numFmtId="1" fontId="0" fillId="0" borderId="0" xfId="0" applyNumberFormat="1" applyAlignment="1">
      <alignment horizontal="left"/>
    </xf>
    <xf numFmtId="266" fontId="144" fillId="0" borderId="0" xfId="0" applyNumberFormat="1" applyFont="1"/>
    <xf numFmtId="0" fontId="288" fillId="78" borderId="118" xfId="0" applyFont="1" applyFill="1" applyBorder="1" applyAlignment="1">
      <alignment horizontal="center" vertical="center"/>
    </xf>
    <xf numFmtId="249" fontId="0" fillId="0" borderId="0" xfId="0" applyNumberFormat="1" applyAlignment="1">
      <alignment horizontal="center"/>
    </xf>
    <xf numFmtId="178" fontId="94" fillId="0" borderId="0" xfId="234" applyNumberFormat="1" applyFont="1" applyBorder="1" applyAlignment="1">
      <alignment horizontal="center"/>
    </xf>
    <xf numFmtId="1" fontId="100" fillId="0" borderId="0" xfId="0" applyNumberFormat="1" applyFont="1" applyAlignment="1">
      <alignment horizontal="center" vertical="center" wrapText="1"/>
    </xf>
    <xf numFmtId="1" fontId="100" fillId="0" borderId="20" xfId="0" applyNumberFormat="1" applyFont="1" applyBorder="1" applyAlignment="1">
      <alignment horizontal="center" vertical="center"/>
    </xf>
    <xf numFmtId="1" fontId="100" fillId="37" borderId="96" xfId="0" applyNumberFormat="1" applyFont="1" applyFill="1" applyBorder="1" applyAlignment="1">
      <alignment horizontal="center"/>
    </xf>
    <xf numFmtId="1" fontId="100" fillId="37" borderId="0" xfId="0" applyNumberFormat="1" applyFont="1" applyFill="1" applyAlignment="1">
      <alignment horizontal="center"/>
    </xf>
    <xf numFmtId="15" fontId="144" fillId="118" borderId="0" xfId="0" applyNumberFormat="1" applyFont="1" applyFill="1" applyAlignment="1">
      <alignment horizontal="center"/>
    </xf>
    <xf numFmtId="0" fontId="0" fillId="38" borderId="0" xfId="0" applyFill="1" applyAlignment="1">
      <alignment horizontal="center"/>
    </xf>
    <xf numFmtId="182" fontId="286" fillId="37" borderId="117" xfId="0" applyNumberFormat="1" applyFont="1" applyFill="1" applyBorder="1" applyAlignment="1">
      <alignment horizontal="center"/>
    </xf>
    <xf numFmtId="0" fontId="113" fillId="84" borderId="0" xfId="306" applyFont="1" applyFill="1" applyAlignment="1">
      <alignment horizontal="center" wrapText="1"/>
    </xf>
    <xf numFmtId="0" fontId="116" fillId="84" borderId="25" xfId="306" applyFont="1" applyFill="1" applyBorder="1" applyAlignment="1">
      <alignment vertical="center"/>
    </xf>
    <xf numFmtId="17" fontId="116" fillId="84" borderId="205" xfId="302" applyNumberFormat="1" applyFont="1" applyFill="1" applyBorder="1" applyAlignment="1">
      <alignment horizontal="center" vertical="center" wrapText="1"/>
    </xf>
    <xf numFmtId="17" fontId="116" fillId="84" borderId="52" xfId="302" applyNumberFormat="1" applyFont="1" applyFill="1" applyBorder="1" applyAlignment="1">
      <alignment horizontal="center" vertical="center" wrapText="1"/>
    </xf>
    <xf numFmtId="176" fontId="108" fillId="84" borderId="22" xfId="306" applyNumberFormat="1" applyFont="1" applyFill="1" applyBorder="1" applyAlignment="1">
      <alignment horizontal="center" vertical="center"/>
    </xf>
    <xf numFmtId="1" fontId="108" fillId="84" borderId="22" xfId="232" applyNumberFormat="1" applyFont="1" applyFill="1" applyBorder="1" applyAlignment="1" applyProtection="1">
      <alignment horizontal="center" vertical="center"/>
      <protection hidden="1"/>
    </xf>
    <xf numFmtId="0" fontId="108" fillId="84" borderId="0" xfId="306" applyFont="1" applyFill="1"/>
    <xf numFmtId="179" fontId="108" fillId="84" borderId="22" xfId="306" applyNumberFormat="1" applyFont="1" applyFill="1" applyBorder="1" applyAlignment="1">
      <alignment horizontal="center" vertical="center"/>
    </xf>
    <xf numFmtId="3" fontId="108" fillId="84" borderId="22" xfId="306" applyNumberFormat="1" applyFont="1" applyFill="1" applyBorder="1" applyAlignment="1">
      <alignment horizontal="center" vertical="center"/>
    </xf>
    <xf numFmtId="208" fontId="108" fillId="84" borderId="22" xfId="322" applyNumberFormat="1" applyFont="1" applyFill="1" applyBorder="1" applyAlignment="1">
      <alignment horizontal="center" vertical="center"/>
    </xf>
    <xf numFmtId="2" fontId="108" fillId="84" borderId="22" xfId="306" applyNumberFormat="1" applyFont="1" applyFill="1" applyBorder="1" applyAlignment="1">
      <alignment horizontal="center" vertical="center"/>
    </xf>
    <xf numFmtId="1" fontId="108" fillId="84" borderId="22" xfId="306" applyNumberFormat="1" applyFont="1" applyFill="1" applyBorder="1" applyAlignment="1">
      <alignment horizontal="center" vertical="center"/>
    </xf>
    <xf numFmtId="0" fontId="108" fillId="84" borderId="0" xfId="306" applyFont="1" applyFill="1" applyAlignment="1">
      <alignment vertical="center"/>
    </xf>
    <xf numFmtId="188" fontId="113" fillId="84" borderId="0" xfId="306" applyNumberFormat="1" applyFont="1" applyFill="1" applyAlignment="1">
      <alignment vertical="center"/>
    </xf>
    <xf numFmtId="208" fontId="113" fillId="84" borderId="0" xfId="306" applyNumberFormat="1" applyFont="1" applyFill="1"/>
    <xf numFmtId="0" fontId="113" fillId="84" borderId="0" xfId="306" applyFont="1" applyFill="1"/>
    <xf numFmtId="176" fontId="113" fillId="84" borderId="0" xfId="306" applyNumberFormat="1" applyFont="1" applyFill="1" applyAlignment="1">
      <alignment vertical="center"/>
    </xf>
    <xf numFmtId="167" fontId="113" fillId="84" borderId="0" xfId="306" applyNumberFormat="1" applyFont="1" applyFill="1" applyAlignment="1">
      <alignment vertical="center"/>
    </xf>
    <xf numFmtId="2" fontId="228" fillId="84" borderId="22" xfId="306" applyNumberFormat="1" applyFont="1" applyFill="1" applyBorder="1" applyAlignment="1">
      <alignment horizontal="center" vertical="center"/>
    </xf>
    <xf numFmtId="1" fontId="0" fillId="37" borderId="0" xfId="0" applyNumberFormat="1" applyFill="1" applyAlignment="1">
      <alignment horizontal="center" vertical="center"/>
    </xf>
    <xf numFmtId="0" fontId="0" fillId="37" borderId="94" xfId="0" applyFill="1" applyBorder="1" applyAlignment="1">
      <alignment horizontal="center" vertical="center" textRotation="90"/>
    </xf>
    <xf numFmtId="0" fontId="0" fillId="37" borderId="19" xfId="0" applyFill="1" applyBorder="1" applyAlignment="1">
      <alignment vertical="center" textRotation="90" wrapText="1"/>
    </xf>
    <xf numFmtId="16" fontId="107" fillId="37" borderId="98" xfId="0" applyNumberFormat="1" applyFont="1" applyFill="1" applyBorder="1" applyAlignment="1">
      <alignment horizontal="center" vertical="center"/>
    </xf>
    <xf numFmtId="3" fontId="107" fillId="37" borderId="98" xfId="0" applyNumberFormat="1" applyFont="1" applyFill="1" applyBorder="1" applyAlignment="1">
      <alignment horizontal="center" vertical="center"/>
    </xf>
    <xf numFmtId="182" fontId="107" fillId="37" borderId="98" xfId="0" applyNumberFormat="1" applyFont="1" applyFill="1" applyBorder="1" applyAlignment="1">
      <alignment horizontal="center" vertical="center"/>
    </xf>
    <xf numFmtId="0" fontId="69" fillId="37" borderId="116" xfId="0" applyFont="1" applyFill="1" applyBorder="1"/>
    <xf numFmtId="2" fontId="144" fillId="38" borderId="0" xfId="0" applyNumberFormat="1" applyFont="1" applyFill="1" applyAlignment="1">
      <alignment horizontal="center" vertical="center"/>
    </xf>
    <xf numFmtId="0" fontId="100" fillId="38" borderId="16" xfId="0" applyFont="1" applyFill="1" applyBorder="1" applyAlignment="1">
      <alignment horizontal="center" vertical="center" wrapText="1"/>
    </xf>
    <xf numFmtId="4" fontId="100" fillId="38" borderId="0" xfId="0" applyNumberFormat="1" applyFont="1" applyFill="1" applyAlignment="1">
      <alignment horizontal="center"/>
    </xf>
    <xf numFmtId="4" fontId="100" fillId="38" borderId="14" xfId="0" applyNumberFormat="1" applyFont="1" applyFill="1" applyBorder="1" applyAlignment="1">
      <alignment horizontal="center"/>
    </xf>
    <xf numFmtId="3" fontId="100" fillId="38" borderId="0" xfId="0" applyNumberFormat="1" applyFont="1" applyFill="1" applyAlignment="1">
      <alignment horizontal="center"/>
    </xf>
    <xf numFmtId="3" fontId="100" fillId="38" borderId="97" xfId="0" applyNumberFormat="1" applyFont="1" applyFill="1" applyBorder="1" applyAlignment="1">
      <alignment vertical="center"/>
    </xf>
    <xf numFmtId="3" fontId="100" fillId="38" borderId="16" xfId="0" applyNumberFormat="1" applyFont="1" applyFill="1" applyBorder="1" applyAlignment="1">
      <alignment vertical="center"/>
    </xf>
    <xf numFmtId="3" fontId="100" fillId="38" borderId="18" xfId="0" applyNumberFormat="1" applyFont="1" applyFill="1" applyBorder="1" applyAlignment="1">
      <alignment vertical="center"/>
    </xf>
    <xf numFmtId="0" fontId="101" fillId="38" borderId="0" xfId="0" applyFont="1" applyFill="1" applyAlignment="1">
      <alignment vertical="center"/>
    </xf>
    <xf numFmtId="4" fontId="101" fillId="38" borderId="0" xfId="0" applyNumberFormat="1" applyFont="1" applyFill="1" applyAlignment="1">
      <alignment vertical="center"/>
    </xf>
    <xf numFmtId="0" fontId="100" fillId="38" borderId="0" xfId="0" applyFont="1" applyFill="1" applyAlignment="1">
      <alignment horizontal="center" vertical="center" wrapText="1"/>
    </xf>
    <xf numFmtId="0" fontId="103" fillId="38" borderId="0" xfId="0" applyFont="1" applyFill="1" applyAlignment="1">
      <alignment vertical="center"/>
    </xf>
    <xf numFmtId="0" fontId="122" fillId="38" borderId="0" xfId="0" applyFont="1" applyFill="1" applyAlignment="1">
      <alignment vertical="center"/>
    </xf>
    <xf numFmtId="3" fontId="276" fillId="38" borderId="11" xfId="0" applyNumberFormat="1" applyFont="1" applyFill="1" applyBorder="1" applyAlignment="1">
      <alignment horizontal="center"/>
    </xf>
    <xf numFmtId="0" fontId="226" fillId="75" borderId="0" xfId="0" applyFont="1" applyFill="1" applyAlignment="1">
      <alignment vertical="center"/>
    </xf>
    <xf numFmtId="0" fontId="288" fillId="72" borderId="99" xfId="0" applyFont="1" applyFill="1" applyBorder="1" applyAlignment="1">
      <alignment horizontal="center" vertical="center"/>
    </xf>
    <xf numFmtId="3" fontId="286" fillId="37" borderId="0" xfId="0" applyNumberFormat="1" applyFont="1" applyFill="1"/>
    <xf numFmtId="0" fontId="288" fillId="119" borderId="118" xfId="0" applyFont="1" applyFill="1" applyBorder="1" applyAlignment="1">
      <alignment horizontal="center" vertical="center"/>
    </xf>
    <xf numFmtId="179" fontId="286" fillId="0" borderId="0" xfId="0" applyNumberFormat="1" applyFont="1" applyAlignment="1">
      <alignment horizontal="center" vertical="center"/>
    </xf>
    <xf numFmtId="0" fontId="51" fillId="112" borderId="85" xfId="0" applyFont="1" applyFill="1" applyBorder="1"/>
    <xf numFmtId="177" fontId="94" fillId="0" borderId="0" xfId="234" applyNumberFormat="1" applyFont="1" applyAlignment="1">
      <alignment horizontal="center"/>
    </xf>
    <xf numFmtId="3" fontId="94" fillId="37" borderId="207" xfId="234" applyNumberFormat="1" applyFont="1" applyFill="1" applyBorder="1" applyAlignment="1">
      <alignment horizontal="center"/>
    </xf>
    <xf numFmtId="3" fontId="94" fillId="37" borderId="208" xfId="234" applyNumberFormat="1" applyFont="1" applyFill="1" applyBorder="1" applyAlignment="1">
      <alignment horizontal="center"/>
    </xf>
    <xf numFmtId="3" fontId="94" fillId="37" borderId="209" xfId="234" applyNumberFormat="1" applyFont="1" applyFill="1" applyBorder="1" applyAlignment="1">
      <alignment horizontal="center"/>
    </xf>
    <xf numFmtId="1" fontId="0" fillId="37" borderId="125" xfId="0" applyNumberFormat="1" applyFill="1" applyBorder="1" applyAlignment="1">
      <alignment horizontal="center"/>
    </xf>
    <xf numFmtId="179" fontId="318" fillId="37" borderId="117" xfId="0" applyNumberFormat="1" applyFont="1" applyFill="1" applyBorder="1" applyAlignment="1">
      <alignment horizontal="center" vertical="center"/>
    </xf>
    <xf numFmtId="3" fontId="318" fillId="37" borderId="117" xfId="0" applyNumberFormat="1" applyFont="1" applyFill="1" applyBorder="1" applyAlignment="1">
      <alignment horizontal="center" vertical="center"/>
    </xf>
    <xf numFmtId="2" fontId="318" fillId="37" borderId="117" xfId="0" applyNumberFormat="1" applyFont="1" applyFill="1" applyBorder="1" applyAlignment="1">
      <alignment horizontal="center" vertical="center"/>
    </xf>
    <xf numFmtId="176" fontId="318" fillId="37" borderId="117" xfId="0" applyNumberFormat="1" applyFont="1" applyFill="1" applyBorder="1" applyAlignment="1">
      <alignment horizontal="center" vertical="center"/>
    </xf>
    <xf numFmtId="255" fontId="318" fillId="37" borderId="117" xfId="0" applyNumberFormat="1" applyFont="1" applyFill="1" applyBorder="1" applyAlignment="1">
      <alignment horizontal="center" vertical="center"/>
    </xf>
    <xf numFmtId="182" fontId="318" fillId="37" borderId="117" xfId="0" applyNumberFormat="1" applyFont="1" applyFill="1" applyBorder="1" applyAlignment="1">
      <alignment horizontal="center" vertical="center"/>
    </xf>
    <xf numFmtId="3" fontId="318" fillId="37" borderId="111" xfId="0" applyNumberFormat="1" applyFont="1" applyFill="1" applyBorder="1" applyAlignment="1">
      <alignment horizontal="center" vertical="center"/>
    </xf>
    <xf numFmtId="183" fontId="318" fillId="95" borderId="117" xfId="0" applyNumberFormat="1" applyFont="1" applyFill="1" applyBorder="1" applyAlignment="1">
      <alignment horizontal="center" vertical="center"/>
    </xf>
    <xf numFmtId="183" fontId="318" fillId="37" borderId="117" xfId="0" applyNumberFormat="1" applyFont="1" applyFill="1" applyBorder="1" applyAlignment="1">
      <alignment horizontal="center" vertical="center"/>
    </xf>
    <xf numFmtId="4" fontId="318" fillId="37" borderId="117" xfId="0" applyNumberFormat="1" applyFont="1" applyFill="1" applyBorder="1" applyAlignment="1">
      <alignment horizontal="center" vertical="center"/>
    </xf>
    <xf numFmtId="182" fontId="318" fillId="107" borderId="117" xfId="0" applyNumberFormat="1" applyFont="1" applyFill="1" applyBorder="1" applyAlignment="1">
      <alignment horizontal="center" vertical="center"/>
    </xf>
    <xf numFmtId="0" fontId="117" fillId="37" borderId="0" xfId="0" applyFont="1" applyFill="1" applyAlignment="1">
      <alignment horizontal="center" vertical="center"/>
    </xf>
    <xf numFmtId="4" fontId="0" fillId="37" borderId="12" xfId="0" applyNumberFormat="1" applyFill="1" applyBorder="1" applyAlignment="1">
      <alignment horizontal="center"/>
    </xf>
    <xf numFmtId="265" fontId="0" fillId="37" borderId="12" xfId="0" applyNumberFormat="1" applyFill="1" applyBorder="1" applyAlignment="1">
      <alignment horizontal="center"/>
    </xf>
    <xf numFmtId="0" fontId="0" fillId="75" borderId="0" xfId="0" applyFill="1"/>
    <xf numFmtId="0" fontId="0" fillId="0" borderId="113" xfId="0" applyBorder="1"/>
    <xf numFmtId="179" fontId="287" fillId="37" borderId="0" xfId="0" applyNumberFormat="1" applyFont="1" applyFill="1" applyAlignment="1">
      <alignment horizontal="center"/>
    </xf>
    <xf numFmtId="179" fontId="287" fillId="37" borderId="115" xfId="0" applyNumberFormat="1" applyFont="1" applyFill="1" applyBorder="1" applyAlignment="1">
      <alignment horizontal="center"/>
    </xf>
    <xf numFmtId="0" fontId="319" fillId="0" borderId="0" xfId="0" applyFont="1"/>
    <xf numFmtId="0" fontId="288" fillId="119" borderId="0" xfId="0" applyFont="1" applyFill="1" applyAlignment="1">
      <alignment horizontal="center" vertical="center"/>
    </xf>
    <xf numFmtId="0" fontId="288" fillId="119" borderId="94" xfId="0" applyFont="1" applyFill="1" applyBorder="1" applyAlignment="1">
      <alignment horizontal="center" vertical="center"/>
    </xf>
    <xf numFmtId="0" fontId="288" fillId="109" borderId="94" xfId="0" applyFont="1" applyFill="1" applyBorder="1" applyAlignment="1">
      <alignment horizontal="center" vertical="center"/>
    </xf>
    <xf numFmtId="0" fontId="288" fillId="109" borderId="0" xfId="0" applyFont="1" applyFill="1" applyAlignment="1">
      <alignment horizontal="center" vertical="center"/>
    </xf>
    <xf numFmtId="1" fontId="293" fillId="0" borderId="115" xfId="0" applyNumberFormat="1" applyFont="1" applyBorder="1" applyAlignment="1">
      <alignment horizontal="center"/>
    </xf>
    <xf numFmtId="2" fontId="293" fillId="37" borderId="117" xfId="0" applyNumberFormat="1" applyFont="1" applyFill="1" applyBorder="1" applyAlignment="1">
      <alignment horizontal="center" vertical="center"/>
    </xf>
    <xf numFmtId="2" fontId="293" fillId="37" borderId="115" xfId="0" applyNumberFormat="1" applyFont="1" applyFill="1" applyBorder="1" applyAlignment="1">
      <alignment horizontal="center" vertical="center"/>
    </xf>
    <xf numFmtId="2" fontId="317" fillId="37" borderId="117" xfId="0" applyNumberFormat="1" applyFont="1" applyFill="1" applyBorder="1" applyAlignment="1">
      <alignment horizontal="center"/>
    </xf>
    <xf numFmtId="179" fontId="293" fillId="37" borderId="111" xfId="0" applyNumberFormat="1" applyFont="1" applyFill="1" applyBorder="1" applyAlignment="1">
      <alignment horizontal="center"/>
    </xf>
    <xf numFmtId="179" fontId="293" fillId="37" borderId="121" xfId="0" applyNumberFormat="1" applyFont="1" applyFill="1" applyBorder="1" applyAlignment="1">
      <alignment horizontal="center"/>
    </xf>
    <xf numFmtId="179" fontId="293" fillId="37" borderId="13" xfId="0" applyNumberFormat="1" applyFont="1" applyFill="1" applyBorder="1" applyAlignment="1">
      <alignment horizontal="center"/>
    </xf>
    <xf numFmtId="179" fontId="317" fillId="37" borderId="111" xfId="0" applyNumberFormat="1" applyFont="1" applyFill="1" applyBorder="1" applyAlignment="1">
      <alignment horizontal="center"/>
    </xf>
    <xf numFmtId="1" fontId="293" fillId="37" borderId="0" xfId="0" applyNumberFormat="1" applyFont="1" applyFill="1" applyAlignment="1">
      <alignment horizontal="center"/>
    </xf>
    <xf numFmtId="267" fontId="317" fillId="37" borderId="0" xfId="0" applyNumberFormat="1" applyFont="1" applyFill="1" applyAlignment="1">
      <alignment horizontal="center"/>
    </xf>
    <xf numFmtId="185" fontId="317" fillId="37" borderId="0" xfId="322" applyNumberFormat="1" applyFont="1" applyFill="1" applyBorder="1" applyAlignment="1">
      <alignment horizontal="center"/>
    </xf>
    <xf numFmtId="0" fontId="287" fillId="37" borderId="0" xfId="0" applyFont="1" applyFill="1" applyAlignment="1">
      <alignment horizontal="center"/>
    </xf>
    <xf numFmtId="249" fontId="0" fillId="0" borderId="0" xfId="0" applyNumberFormat="1"/>
    <xf numFmtId="250" fontId="0" fillId="0" borderId="0" xfId="0" applyNumberFormat="1"/>
    <xf numFmtId="166" fontId="0" fillId="0" borderId="20" xfId="0" applyNumberFormat="1" applyBorder="1"/>
    <xf numFmtId="249" fontId="0" fillId="0" borderId="20" xfId="0" applyNumberFormat="1" applyBorder="1"/>
    <xf numFmtId="250" fontId="0" fillId="0" borderId="20" xfId="0" applyNumberFormat="1" applyBorder="1"/>
    <xf numFmtId="0" fontId="0" fillId="0" borderId="20" xfId="0" applyBorder="1"/>
    <xf numFmtId="255" fontId="0" fillId="0" borderId="0" xfId="0" applyNumberFormat="1"/>
    <xf numFmtId="1" fontId="286" fillId="37" borderId="0" xfId="0" applyNumberFormat="1" applyFont="1" applyFill="1"/>
    <xf numFmtId="183" fontId="100" fillId="0" borderId="49" xfId="0" applyNumberFormat="1" applyFont="1" applyBorder="1" applyAlignment="1">
      <alignment horizontal="center" vertical="center"/>
    </xf>
    <xf numFmtId="176" fontId="286" fillId="37" borderId="117" xfId="0" applyNumberFormat="1" applyFont="1" applyFill="1" applyBorder="1" applyAlignment="1">
      <alignment horizontal="center"/>
    </xf>
    <xf numFmtId="183" fontId="0" fillId="37" borderId="11" xfId="0" applyNumberFormat="1" applyFill="1" applyBorder="1" applyAlignment="1">
      <alignment horizontal="center"/>
    </xf>
    <xf numFmtId="186" fontId="0" fillId="0" borderId="0" xfId="0" applyNumberFormat="1" applyAlignment="1">
      <alignment horizontal="center"/>
    </xf>
    <xf numFmtId="0" fontId="287" fillId="0" borderId="0" xfId="0" applyFont="1" applyAlignment="1">
      <alignment horizontal="center"/>
    </xf>
    <xf numFmtId="0" fontId="287" fillId="0" borderId="0" xfId="0" applyFont="1" applyAlignment="1">
      <alignment horizontal="left"/>
    </xf>
    <xf numFmtId="3" fontId="286" fillId="0" borderId="0" xfId="0" applyNumberFormat="1" applyFont="1" applyAlignment="1">
      <alignment horizontal="center"/>
    </xf>
    <xf numFmtId="4" fontId="286" fillId="0" borderId="0" xfId="0" applyNumberFormat="1" applyFont="1" applyAlignment="1">
      <alignment horizontal="center"/>
    </xf>
    <xf numFmtId="183" fontId="286" fillId="0" borderId="0" xfId="0" applyNumberFormat="1" applyFont="1" applyAlignment="1">
      <alignment horizontal="center"/>
    </xf>
    <xf numFmtId="1" fontId="286" fillId="0" borderId="0" xfId="0" applyNumberFormat="1" applyFont="1" applyAlignment="1">
      <alignment horizontal="center"/>
    </xf>
    <xf numFmtId="1" fontId="287" fillId="37" borderId="0" xfId="0" applyNumberFormat="1" applyFont="1" applyFill="1" applyAlignment="1">
      <alignment horizontal="left" vertical="center"/>
    </xf>
    <xf numFmtId="166" fontId="286" fillId="89" borderId="20" xfId="31096" applyFont="1" applyFill="1" applyBorder="1"/>
    <xf numFmtId="2" fontId="286" fillId="89" borderId="20" xfId="0" applyNumberFormat="1" applyFont="1" applyFill="1" applyBorder="1" applyAlignment="1">
      <alignment horizontal="center"/>
    </xf>
    <xf numFmtId="179" fontId="286" fillId="78" borderId="0" xfId="0" applyNumberFormat="1" applyFont="1" applyFill="1" applyAlignment="1">
      <alignment horizontal="center"/>
    </xf>
    <xf numFmtId="179" fontId="286" fillId="89" borderId="0" xfId="0" applyNumberFormat="1" applyFont="1" applyFill="1" applyAlignment="1">
      <alignment horizontal="center"/>
    </xf>
    <xf numFmtId="179" fontId="286" fillId="89" borderId="20" xfId="0" applyNumberFormat="1" applyFont="1" applyFill="1" applyBorder="1" applyAlignment="1">
      <alignment horizontal="center"/>
    </xf>
    <xf numFmtId="1" fontId="286" fillId="115" borderId="0" xfId="0" applyNumberFormat="1" applyFont="1" applyFill="1" applyAlignment="1">
      <alignment horizontal="center"/>
    </xf>
    <xf numFmtId="166" fontId="286" fillId="37" borderId="0" xfId="0" applyNumberFormat="1" applyFont="1" applyFill="1" applyAlignment="1">
      <alignment horizontal="center"/>
    </xf>
    <xf numFmtId="166" fontId="286" fillId="0" borderId="0" xfId="31096" applyFont="1" applyFill="1" applyBorder="1" applyAlignment="1">
      <alignment horizontal="center"/>
    </xf>
    <xf numFmtId="1" fontId="286" fillId="0" borderId="0" xfId="31096" applyNumberFormat="1" applyFont="1" applyFill="1" applyBorder="1" applyAlignment="1">
      <alignment horizontal="center"/>
    </xf>
    <xf numFmtId="166" fontId="286" fillId="0" borderId="20" xfId="31096" applyFont="1" applyFill="1" applyBorder="1" applyAlignment="1">
      <alignment horizontal="center"/>
    </xf>
    <xf numFmtId="0" fontId="288" fillId="0" borderId="0" xfId="0" applyFont="1"/>
    <xf numFmtId="166" fontId="286" fillId="78" borderId="0" xfId="31096" applyFont="1" applyFill="1" applyBorder="1" applyAlignment="1">
      <alignment horizontal="center"/>
    </xf>
    <xf numFmtId="166" fontId="286" fillId="89" borderId="0" xfId="31096" applyFont="1" applyFill="1" applyBorder="1" applyAlignment="1">
      <alignment horizontal="center"/>
    </xf>
    <xf numFmtId="166" fontId="286" fillId="89" borderId="20" xfId="31096" applyFont="1" applyFill="1" applyBorder="1" applyAlignment="1">
      <alignment horizontal="center"/>
    </xf>
    <xf numFmtId="4" fontId="94" fillId="37" borderId="43" xfId="0" applyNumberFormat="1" applyFont="1" applyFill="1" applyBorder="1" applyAlignment="1">
      <alignment horizontal="center"/>
    </xf>
    <xf numFmtId="3" fontId="94" fillId="37" borderId="0" xfId="234" applyNumberFormat="1" applyFont="1" applyFill="1" applyBorder="1" applyAlignment="1">
      <alignment horizontal="center"/>
    </xf>
    <xf numFmtId="0" fontId="227" fillId="7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87" fontId="0" fillId="37" borderId="0" xfId="234" applyNumberFormat="1" applyFont="1" applyFill="1" applyBorder="1" applyAlignment="1" applyProtection="1">
      <alignment horizontal="center" vertical="center" wrapText="1"/>
      <protection locked="0"/>
    </xf>
    <xf numFmtId="3" fontId="313" fillId="37" borderId="149" xfId="0" applyNumberFormat="1" applyFont="1" applyFill="1" applyBorder="1" applyAlignment="1">
      <alignment horizontal="center"/>
    </xf>
    <xf numFmtId="187" fontId="51" fillId="0" borderId="0" xfId="0" applyNumberFormat="1" applyFont="1"/>
    <xf numFmtId="179" fontId="51" fillId="0" borderId="0" xfId="0" applyNumberFormat="1" applyFont="1"/>
    <xf numFmtId="189" fontId="94" fillId="0" borderId="0" xfId="234" applyNumberFormat="1" applyFont="1"/>
    <xf numFmtId="0" fontId="319" fillId="0" borderId="0" xfId="0" applyFont="1" applyAlignment="1">
      <alignment horizontal="center"/>
    </xf>
    <xf numFmtId="0" fontId="286" fillId="37" borderId="113" xfId="0" applyFont="1" applyFill="1" applyBorder="1" applyAlignment="1">
      <alignment horizontal="center"/>
    </xf>
    <xf numFmtId="179" fontId="293" fillId="37" borderId="113" xfId="0" applyNumberFormat="1" applyFont="1" applyFill="1" applyBorder="1" applyAlignment="1">
      <alignment horizontal="center"/>
    </xf>
    <xf numFmtId="179" fontId="293" fillId="37" borderId="20" xfId="0" applyNumberFormat="1" applyFont="1" applyFill="1" applyBorder="1" applyAlignment="1">
      <alignment horizontal="center"/>
    </xf>
    <xf numFmtId="181" fontId="293" fillId="37" borderId="13" xfId="0" applyNumberFormat="1" applyFont="1" applyFill="1" applyBorder="1" applyAlignment="1">
      <alignment horizontal="center"/>
    </xf>
    <xf numFmtId="3" fontId="270" fillId="0" borderId="0" xfId="0" applyNumberFormat="1" applyFont="1" applyAlignment="1">
      <alignment horizontal="center"/>
    </xf>
    <xf numFmtId="1" fontId="270" fillId="0" borderId="0" xfId="0" applyNumberFormat="1" applyFont="1" applyAlignment="1">
      <alignment horizontal="center"/>
    </xf>
    <xf numFmtId="181" fontId="270" fillId="0" borderId="0" xfId="0" applyNumberFormat="1" applyFont="1" applyAlignment="1">
      <alignment horizontal="center"/>
    </xf>
    <xf numFmtId="2" fontId="270" fillId="0" borderId="0" xfId="0" applyNumberFormat="1" applyFont="1" applyAlignment="1">
      <alignment horizontal="center"/>
    </xf>
    <xf numFmtId="1" fontId="270" fillId="120" borderId="0" xfId="0" applyNumberFormat="1" applyFont="1" applyFill="1" applyAlignment="1">
      <alignment horizontal="center"/>
    </xf>
    <xf numFmtId="2" fontId="270" fillId="120" borderId="0" xfId="0" applyNumberFormat="1" applyFont="1" applyFill="1" applyAlignment="1">
      <alignment horizontal="center"/>
    </xf>
    <xf numFmtId="179" fontId="270" fillId="120" borderId="0" xfId="0" applyNumberFormat="1" applyFont="1" applyFill="1" applyAlignment="1">
      <alignment horizontal="center"/>
    </xf>
    <xf numFmtId="0" fontId="270" fillId="0" borderId="0" xfId="0" applyFont="1" applyAlignment="1">
      <alignment horizontal="left"/>
    </xf>
    <xf numFmtId="9" fontId="0" fillId="0" borderId="0" xfId="322" applyFont="1"/>
    <xf numFmtId="1" fontId="293" fillId="37" borderId="111" xfId="0" applyNumberFormat="1" applyFont="1" applyFill="1" applyBorder="1" applyAlignment="1">
      <alignment horizontal="center"/>
    </xf>
    <xf numFmtId="182" fontId="293" fillId="37" borderId="13" xfId="0" applyNumberFormat="1" applyFont="1" applyFill="1" applyBorder="1" applyAlignment="1">
      <alignment horizontal="center"/>
    </xf>
    <xf numFmtId="1" fontId="317" fillId="37" borderId="111" xfId="0" applyNumberFormat="1" applyFont="1" applyFill="1" applyBorder="1" applyAlignment="1">
      <alignment horizontal="center"/>
    </xf>
    <xf numFmtId="9" fontId="317" fillId="37" borderId="117" xfId="322" applyFont="1" applyFill="1" applyBorder="1" applyAlignment="1">
      <alignment horizontal="center"/>
    </xf>
    <xf numFmtId="9" fontId="317" fillId="37" borderId="111" xfId="322" applyFont="1" applyFill="1" applyBorder="1" applyAlignment="1">
      <alignment horizontal="center"/>
    </xf>
    <xf numFmtId="3" fontId="276" fillId="0" borderId="11" xfId="0" applyNumberFormat="1" applyFont="1" applyBorder="1" applyAlignment="1">
      <alignment horizontal="center"/>
    </xf>
    <xf numFmtId="182" fontId="276" fillId="0" borderId="11" xfId="0" applyNumberFormat="1" applyFont="1" applyBorder="1" applyAlignment="1">
      <alignment horizontal="center"/>
    </xf>
    <xf numFmtId="183" fontId="276" fillId="0" borderId="11" xfId="0" applyNumberFormat="1" applyFont="1" applyBorder="1" applyAlignment="1">
      <alignment horizontal="center"/>
    </xf>
    <xf numFmtId="4" fontId="276" fillId="0" borderId="11" xfId="0" applyNumberFormat="1" applyFont="1" applyBorder="1" applyAlignment="1">
      <alignment horizontal="center"/>
    </xf>
    <xf numFmtId="0" fontId="291" fillId="0" borderId="110" xfId="0" applyFont="1" applyBorder="1" applyAlignment="1">
      <alignment horizontal="center" vertical="center"/>
    </xf>
    <xf numFmtId="0" fontId="291" fillId="0" borderId="102" xfId="0" applyFont="1" applyBorder="1" applyAlignment="1">
      <alignment horizontal="center" vertical="center"/>
    </xf>
    <xf numFmtId="0" fontId="291" fillId="0" borderId="114" xfId="0" applyFont="1" applyBorder="1" applyAlignment="1">
      <alignment horizontal="center" vertical="center"/>
    </xf>
    <xf numFmtId="1" fontId="286" fillId="0" borderId="0" xfId="0" applyNumberFormat="1" applyFont="1"/>
    <xf numFmtId="0" fontId="0" fillId="102" borderId="0" xfId="0" applyFill="1" applyAlignment="1">
      <alignment horizontal="center"/>
    </xf>
    <xf numFmtId="22" fontId="275" fillId="92" borderId="0" xfId="0" applyNumberFormat="1" applyFont="1" applyFill="1" applyAlignment="1">
      <alignment horizontal="center" vertical="center"/>
    </xf>
    <xf numFmtId="0" fontId="0" fillId="92" borderId="0" xfId="0" applyFill="1"/>
    <xf numFmtId="9" fontId="0" fillId="92" borderId="0" xfId="0" applyNumberFormat="1" applyFill="1"/>
    <xf numFmtId="179" fontId="320" fillId="37" borderId="0" xfId="0" applyNumberFormat="1" applyFont="1" applyFill="1" applyAlignment="1">
      <alignment horizontal="center"/>
    </xf>
    <xf numFmtId="9" fontId="320" fillId="37" borderId="0" xfId="322" applyFont="1" applyFill="1" applyAlignment="1">
      <alignment horizontal="center"/>
    </xf>
    <xf numFmtId="0" fontId="320" fillId="37" borderId="0" xfId="0" applyFont="1" applyFill="1" applyAlignment="1">
      <alignment horizontal="center"/>
    </xf>
    <xf numFmtId="183" fontId="320" fillId="37" borderId="0" xfId="0" applyNumberFormat="1" applyFont="1" applyFill="1" applyAlignment="1">
      <alignment horizontal="center"/>
    </xf>
    <xf numFmtId="3" fontId="320" fillId="37" borderId="0" xfId="0" applyNumberFormat="1" applyFont="1" applyFill="1" applyAlignment="1">
      <alignment horizontal="center"/>
    </xf>
    <xf numFmtId="179" fontId="321" fillId="37" borderId="0" xfId="0" applyNumberFormat="1" applyFont="1" applyFill="1" applyAlignment="1">
      <alignment horizontal="center"/>
    </xf>
    <xf numFmtId="3" fontId="322" fillId="37" borderId="117" xfId="0" quotePrefix="1" applyNumberFormat="1" applyFont="1" applyFill="1" applyBorder="1" applyAlignment="1">
      <alignment horizontal="center" vertical="center" wrapText="1"/>
    </xf>
    <xf numFmtId="0" fontId="322" fillId="37" borderId="0" xfId="0" applyFont="1" applyFill="1" applyAlignment="1">
      <alignment horizontal="center"/>
    </xf>
    <xf numFmtId="0" fontId="323" fillId="0" borderId="20" xfId="32021" applyFont="1" applyBorder="1" applyAlignment="1">
      <alignment horizontal="center" vertical="center"/>
    </xf>
    <xf numFmtId="0" fontId="323" fillId="0" borderId="20" xfId="32021" applyFont="1" applyBorder="1" applyAlignment="1">
      <alignment horizontal="center" vertical="center" wrapText="1"/>
    </xf>
    <xf numFmtId="0" fontId="324" fillId="0" borderId="0" xfId="32021" applyFont="1"/>
    <xf numFmtId="14" fontId="324" fillId="0" borderId="0" xfId="32021" applyNumberFormat="1" applyFont="1"/>
    <xf numFmtId="1" fontId="324" fillId="0" borderId="0" xfId="32021" applyNumberFormat="1" applyFont="1" applyAlignment="1">
      <alignment horizontal="center"/>
    </xf>
    <xf numFmtId="0" fontId="324" fillId="93" borderId="0" xfId="32021" applyFont="1" applyFill="1"/>
    <xf numFmtId="0" fontId="324" fillId="122" borderId="0" xfId="32021" applyFont="1" applyFill="1"/>
    <xf numFmtId="0" fontId="324" fillId="121" borderId="0" xfId="32021" applyFont="1" applyFill="1"/>
    <xf numFmtId="0" fontId="324" fillId="123" borderId="0" xfId="32021" applyFont="1" applyFill="1"/>
    <xf numFmtId="1" fontId="324" fillId="0" borderId="0" xfId="32021" applyNumberFormat="1" applyFont="1"/>
    <xf numFmtId="0" fontId="324" fillId="0" borderId="0" xfId="32021" applyFont="1" applyAlignment="1">
      <alignment horizontal="center"/>
    </xf>
    <xf numFmtId="1" fontId="324" fillId="0" borderId="20" xfId="32021" applyNumberFormat="1" applyFont="1" applyBorder="1" applyAlignment="1">
      <alignment horizontal="center"/>
    </xf>
    <xf numFmtId="17" fontId="323" fillId="0" borderId="0" xfId="32021" applyNumberFormat="1" applyFont="1" applyAlignment="1">
      <alignment horizontal="center"/>
    </xf>
    <xf numFmtId="1" fontId="323" fillId="0" borderId="0" xfId="32021" applyNumberFormat="1" applyFont="1" applyAlignment="1">
      <alignment horizontal="center"/>
    </xf>
    <xf numFmtId="0" fontId="323" fillId="0" borderId="0" xfId="32021" applyFont="1" applyAlignment="1">
      <alignment horizontal="center"/>
    </xf>
    <xf numFmtId="1" fontId="325" fillId="0" borderId="0" xfId="32021" applyNumberFormat="1" applyFont="1" applyAlignment="1">
      <alignment horizontal="center"/>
    </xf>
    <xf numFmtId="1" fontId="324" fillId="121" borderId="0" xfId="32021" applyNumberFormat="1" applyFont="1" applyFill="1" applyAlignment="1">
      <alignment horizontal="center"/>
    </xf>
    <xf numFmtId="0" fontId="324" fillId="124" borderId="0" xfId="32021" applyFont="1" applyFill="1"/>
    <xf numFmtId="1" fontId="324" fillId="0" borderId="0" xfId="32021" applyNumberFormat="1" applyFont="1" applyAlignment="1">
      <alignment horizontal="left"/>
    </xf>
    <xf numFmtId="182" fontId="313" fillId="37" borderId="149" xfId="0" applyNumberFormat="1" applyFont="1" applyFill="1" applyBorder="1" applyAlignment="1">
      <alignment horizontal="center"/>
    </xf>
    <xf numFmtId="231" fontId="0" fillId="0" borderId="0" xfId="0" applyNumberFormat="1" applyAlignment="1">
      <alignment horizontal="center"/>
    </xf>
    <xf numFmtId="0" fontId="144" fillId="0" borderId="140" xfId="0" applyFont="1" applyBorder="1" applyAlignment="1">
      <alignment horizontal="center"/>
    </xf>
    <xf numFmtId="231" fontId="192" fillId="72" borderId="140" xfId="0" applyNumberFormat="1" applyFont="1" applyFill="1" applyBorder="1" applyAlignment="1">
      <alignment horizontal="center"/>
    </xf>
    <xf numFmtId="0" fontId="192" fillId="72" borderId="140" xfId="0" applyFont="1" applyFill="1" applyBorder="1" applyAlignment="1">
      <alignment horizontal="center"/>
    </xf>
    <xf numFmtId="0" fontId="0" fillId="0" borderId="140" xfId="0" applyBorder="1" applyAlignment="1">
      <alignment horizontal="left"/>
    </xf>
    <xf numFmtId="0" fontId="100" fillId="125" borderId="0" xfId="0" applyFont="1" applyFill="1" applyAlignment="1">
      <alignment vertical="center"/>
    </xf>
    <xf numFmtId="192" fontId="94" fillId="0" borderId="0" xfId="234" applyNumberFormat="1" applyFont="1" applyAlignment="1">
      <alignment horizontal="center"/>
    </xf>
    <xf numFmtId="178" fontId="94" fillId="0" borderId="0" xfId="234" applyNumberFormat="1" applyFont="1" applyAlignment="1"/>
    <xf numFmtId="178" fontId="94" fillId="0" borderId="0" xfId="234" quotePrefix="1" applyNumberFormat="1" applyFont="1" applyAlignment="1"/>
    <xf numFmtId="3" fontId="94" fillId="26" borderId="0" xfId="0" quotePrefix="1" applyNumberFormat="1" applyFont="1" applyFill="1"/>
    <xf numFmtId="3" fontId="276" fillId="37" borderId="18" xfId="0" applyNumberFormat="1" applyFont="1" applyFill="1" applyBorder="1" applyAlignment="1">
      <alignment horizontal="center"/>
    </xf>
    <xf numFmtId="167" fontId="270" fillId="0" borderId="0" xfId="0" applyNumberFormat="1" applyFont="1"/>
    <xf numFmtId="2" fontId="301" fillId="0" borderId="0" xfId="0" applyNumberFormat="1" applyFont="1"/>
    <xf numFmtId="186" fontId="284" fillId="37" borderId="140" xfId="28058" applyNumberFormat="1" applyFont="1" applyFill="1" applyBorder="1" applyAlignment="1" applyProtection="1">
      <alignment horizontal="center"/>
      <protection locked="0"/>
    </xf>
    <xf numFmtId="187" fontId="284" fillId="37" borderId="140" xfId="28058" applyNumberFormat="1" applyFont="1" applyFill="1" applyBorder="1" applyAlignment="1" applyProtection="1">
      <alignment horizontal="center"/>
      <protection locked="0"/>
    </xf>
    <xf numFmtId="179" fontId="293" fillId="37" borderId="0" xfId="0" applyNumberFormat="1" applyFont="1" applyFill="1" applyAlignment="1">
      <alignment horizontal="center"/>
    </xf>
    <xf numFmtId="182" fontId="293" fillId="37" borderId="0" xfId="0" applyNumberFormat="1" applyFont="1" applyFill="1" applyAlignment="1">
      <alignment horizontal="center"/>
    </xf>
    <xf numFmtId="179" fontId="293" fillId="37" borderId="11" xfId="0" applyNumberFormat="1" applyFont="1" applyFill="1" applyBorder="1" applyAlignment="1">
      <alignment horizontal="center"/>
    </xf>
    <xf numFmtId="181" fontId="293" fillId="37" borderId="111" xfId="0" applyNumberFormat="1" applyFont="1" applyFill="1" applyBorder="1" applyAlignment="1">
      <alignment horizontal="center"/>
    </xf>
    <xf numFmtId="181" fontId="293" fillId="120" borderId="111" xfId="0" applyNumberFormat="1" applyFont="1" applyFill="1" applyBorder="1" applyAlignment="1">
      <alignment horizontal="center"/>
    </xf>
    <xf numFmtId="3" fontId="107" fillId="38" borderId="98" xfId="0" applyNumberFormat="1" applyFont="1" applyFill="1" applyBorder="1" applyAlignment="1">
      <alignment horizontal="center" vertical="center"/>
    </xf>
    <xf numFmtId="183" fontId="0" fillId="37" borderId="17" xfId="0" applyNumberFormat="1" applyFill="1" applyBorder="1" applyAlignment="1">
      <alignment horizontal="center"/>
    </xf>
    <xf numFmtId="189" fontId="0" fillId="37" borderId="94" xfId="0" applyNumberFormat="1" applyFill="1" applyBorder="1" applyAlignment="1">
      <alignment horizontal="center"/>
    </xf>
    <xf numFmtId="179" fontId="288" fillId="37" borderId="0" xfId="0" applyNumberFormat="1" applyFont="1" applyFill="1" applyAlignment="1">
      <alignment horizontal="center"/>
    </xf>
    <xf numFmtId="2" fontId="317" fillId="37" borderId="111" xfId="0" applyNumberFormat="1" applyFont="1" applyFill="1" applyBorder="1" applyAlignment="1">
      <alignment horizontal="center"/>
    </xf>
    <xf numFmtId="1" fontId="323" fillId="0" borderId="20" xfId="32021" applyNumberFormat="1" applyFont="1" applyBorder="1" applyAlignment="1">
      <alignment horizontal="center"/>
    </xf>
    <xf numFmtId="1" fontId="324" fillId="38" borderId="0" xfId="32021" applyNumberFormat="1" applyFont="1" applyFill="1"/>
    <xf numFmtId="1" fontId="107" fillId="0" borderId="98" xfId="0" applyNumberFormat="1" applyFont="1" applyBorder="1" applyAlignment="1">
      <alignment horizontal="center" vertical="center"/>
    </xf>
    <xf numFmtId="254" fontId="0" fillId="38" borderId="98" xfId="31096" applyNumberFormat="1" applyFont="1" applyFill="1" applyBorder="1"/>
    <xf numFmtId="179" fontId="0" fillId="37" borderId="16" xfId="0" applyNumberFormat="1" applyFill="1" applyBorder="1" applyAlignment="1">
      <alignment horizontal="center"/>
    </xf>
    <xf numFmtId="4" fontId="0" fillId="78" borderId="0" xfId="0" applyNumberFormat="1" applyFill="1" applyAlignment="1">
      <alignment horizontal="center" vertical="center"/>
    </xf>
    <xf numFmtId="207" fontId="0" fillId="37" borderId="197" xfId="234" applyNumberFormat="1" applyFont="1" applyFill="1" applyBorder="1" applyAlignment="1">
      <alignment horizontal="center"/>
    </xf>
    <xf numFmtId="0" fontId="227" fillId="72" borderId="134" xfId="0" applyFont="1" applyFill="1" applyBorder="1" applyAlignment="1">
      <alignment horizontal="center"/>
    </xf>
    <xf numFmtId="0" fontId="227" fillId="72" borderId="196" xfId="0" applyFont="1" applyFill="1" applyBorder="1" applyAlignment="1">
      <alignment horizontal="center"/>
    </xf>
    <xf numFmtId="0" fontId="227" fillId="72" borderId="211" xfId="0" applyFont="1" applyFill="1" applyBorder="1" applyAlignment="1">
      <alignment horizontal="center"/>
    </xf>
    <xf numFmtId="3" fontId="276" fillId="37" borderId="51" xfId="0" applyNumberFormat="1" applyFont="1" applyFill="1" applyBorder="1" applyAlignment="1">
      <alignment horizontal="center"/>
    </xf>
    <xf numFmtId="1" fontId="169" fillId="125" borderId="0" xfId="31096" applyNumberFormat="1" applyFont="1" applyFill="1" applyAlignment="1">
      <alignment horizontal="center" vertical="center"/>
    </xf>
    <xf numFmtId="0" fontId="330" fillId="0" borderId="0" xfId="32024" applyFont="1">
      <alignment horizontal="left" wrapText="1"/>
    </xf>
    <xf numFmtId="0" fontId="331" fillId="0" borderId="0" xfId="0" applyFont="1" applyAlignment="1">
      <alignment horizontal="center"/>
    </xf>
    <xf numFmtId="0" fontId="0" fillId="0" borderId="96" xfId="0" applyBorder="1" applyAlignment="1">
      <alignment vertical="center" wrapText="1"/>
    </xf>
    <xf numFmtId="0" fontId="332" fillId="0" borderId="20" xfId="0" applyFont="1" applyBorder="1" applyAlignment="1">
      <alignment horizontal="center" vertical="center"/>
    </xf>
    <xf numFmtId="270" fontId="331" fillId="0" borderId="0" xfId="0" applyNumberFormat="1" applyFont="1" applyAlignment="1">
      <alignment horizontal="center"/>
    </xf>
    <xf numFmtId="0" fontId="306" fillId="96" borderId="0" xfId="0" applyFont="1" applyFill="1"/>
    <xf numFmtId="0" fontId="93" fillId="0" borderId="0" xfId="0" applyFont="1" applyAlignment="1">
      <alignment horizontal="center"/>
    </xf>
    <xf numFmtId="2" fontId="302" fillId="37" borderId="0" xfId="0" applyNumberFormat="1" applyFont="1" applyFill="1"/>
    <xf numFmtId="183" fontId="0" fillId="37" borderId="22" xfId="0" applyNumberFormat="1" applyFill="1" applyBorder="1" applyAlignment="1">
      <alignment horizontal="center"/>
    </xf>
    <xf numFmtId="0" fontId="275" fillId="125" borderId="0" xfId="0" applyFont="1" applyFill="1" applyAlignment="1">
      <alignment horizontal="center"/>
    </xf>
    <xf numFmtId="3" fontId="165" fillId="72" borderId="0" xfId="234" applyNumberFormat="1" applyFont="1" applyFill="1" applyBorder="1" applyAlignment="1">
      <alignment horizontal="center"/>
    </xf>
    <xf numFmtId="176" fontId="0" fillId="37" borderId="0" xfId="0" applyNumberFormat="1" applyFill="1" applyAlignment="1">
      <alignment horizontal="center"/>
    </xf>
    <xf numFmtId="187" fontId="0" fillId="0" borderId="0" xfId="0" applyNumberFormat="1" applyAlignment="1">
      <alignment horizontal="center"/>
    </xf>
    <xf numFmtId="187" fontId="0" fillId="0" borderId="0" xfId="0" applyNumberFormat="1"/>
    <xf numFmtId="165" fontId="270" fillId="0" borderId="0" xfId="234" applyNumberFormat="1" applyFont="1" applyFill="1"/>
    <xf numFmtId="0" fontId="291" fillId="37" borderId="0" xfId="0" applyFont="1" applyFill="1"/>
    <xf numFmtId="179" fontId="291" fillId="37" borderId="0" xfId="0" applyNumberFormat="1" applyFont="1" applyFill="1" applyAlignment="1">
      <alignment horizontal="center"/>
    </xf>
    <xf numFmtId="185" fontId="291" fillId="37" borderId="0" xfId="322" applyNumberFormat="1" applyFont="1" applyFill="1" applyBorder="1" applyAlignment="1">
      <alignment horizontal="center" vertical="center"/>
    </xf>
    <xf numFmtId="3" fontId="69" fillId="0" borderId="0" xfId="0" applyNumberFormat="1" applyFont="1"/>
    <xf numFmtId="0" fontId="304" fillId="26" borderId="0" xfId="0" applyFont="1" applyFill="1"/>
    <xf numFmtId="183" fontId="291" fillId="37" borderId="0" xfId="0" applyNumberFormat="1" applyFont="1" applyFill="1" applyAlignment="1">
      <alignment horizontal="center" vertical="center"/>
    </xf>
    <xf numFmtId="183" fontId="291" fillId="37" borderId="0" xfId="0" applyNumberFormat="1" applyFont="1" applyFill="1"/>
    <xf numFmtId="4" fontId="139" fillId="37" borderId="21" xfId="0" applyNumberFormat="1" applyFont="1" applyFill="1" applyBorder="1" applyAlignment="1">
      <alignment horizontal="center"/>
    </xf>
    <xf numFmtId="186" fontId="333" fillId="37" borderId="140" xfId="28058" applyNumberFormat="1" applyFont="1" applyFill="1" applyBorder="1" applyAlignment="1" applyProtection="1">
      <alignment horizontal="center"/>
      <protection locked="0"/>
    </xf>
    <xf numFmtId="0" fontId="304" fillId="0" borderId="0" xfId="0" applyFont="1" applyAlignment="1">
      <alignment horizontal="center"/>
    </xf>
    <xf numFmtId="3" fontId="287" fillId="37" borderId="0" xfId="0" applyNumberFormat="1" applyFont="1" applyFill="1" applyAlignment="1">
      <alignment horizontal="center" vertical="center"/>
    </xf>
    <xf numFmtId="14" fontId="0" fillId="37" borderId="152" xfId="0" applyNumberFormat="1" applyFill="1" applyBorder="1" applyAlignment="1">
      <alignment horizontal="center"/>
    </xf>
    <xf numFmtId="176" fontId="0" fillId="37" borderId="152" xfId="0" applyNumberFormat="1" applyFill="1" applyBorder="1" applyAlignment="1">
      <alignment horizontal="center"/>
    </xf>
    <xf numFmtId="0" fontId="0" fillId="37" borderId="152" xfId="0" applyFill="1" applyBorder="1" applyAlignment="1">
      <alignment horizontal="center"/>
    </xf>
    <xf numFmtId="176" fontId="0" fillId="37" borderId="152" xfId="2185" applyNumberFormat="1" applyFont="1" applyFill="1" applyBorder="1" applyAlignment="1">
      <alignment horizontal="center"/>
    </xf>
    <xf numFmtId="252" fontId="0" fillId="37" borderId="152" xfId="0" applyNumberFormat="1" applyFill="1" applyBorder="1" applyAlignment="1">
      <alignment horizontal="center"/>
    </xf>
    <xf numFmtId="1" fontId="0" fillId="37" borderId="152" xfId="31096" applyNumberFormat="1" applyFont="1" applyFill="1" applyBorder="1" applyAlignment="1">
      <alignment horizontal="center"/>
    </xf>
    <xf numFmtId="257" fontId="0" fillId="37" borderId="152" xfId="0" applyNumberFormat="1" applyFill="1" applyBorder="1" applyAlignment="1">
      <alignment horizontal="center"/>
    </xf>
    <xf numFmtId="179" fontId="0" fillId="37" borderId="152" xfId="0" applyNumberFormat="1" applyFill="1" applyBorder="1" applyAlignment="1">
      <alignment horizontal="center"/>
    </xf>
    <xf numFmtId="2" fontId="0" fillId="37" borderId="153" xfId="0" applyNumberFormat="1" applyFill="1" applyBorder="1" applyAlignment="1">
      <alignment horizontal="center"/>
    </xf>
    <xf numFmtId="2" fontId="0" fillId="37" borderId="140" xfId="0" applyNumberFormat="1" applyFill="1" applyBorder="1" applyAlignment="1">
      <alignment horizontal="center"/>
    </xf>
    <xf numFmtId="0" fontId="0" fillId="37" borderId="140" xfId="0" applyFill="1" applyBorder="1" applyAlignment="1">
      <alignment horizontal="center"/>
    </xf>
    <xf numFmtId="1" fontId="0" fillId="37" borderId="140" xfId="0" applyNumberFormat="1" applyFill="1" applyBorder="1" applyAlignment="1">
      <alignment horizontal="center"/>
    </xf>
    <xf numFmtId="188" fontId="284" fillId="37" borderId="140" xfId="28058" applyNumberFormat="1" applyFont="1" applyFill="1" applyBorder="1" applyAlignment="1" applyProtection="1">
      <alignment horizontal="center"/>
      <protection locked="0"/>
    </xf>
    <xf numFmtId="0" fontId="107" fillId="84" borderId="0" xfId="0" applyFont="1" applyFill="1" applyAlignment="1">
      <alignment vertical="center"/>
    </xf>
    <xf numFmtId="1" fontId="286" fillId="37" borderId="0" xfId="0" applyNumberFormat="1" applyFont="1" applyFill="1" applyAlignment="1">
      <alignment horizontal="left"/>
    </xf>
    <xf numFmtId="1" fontId="324" fillId="120" borderId="0" xfId="32021" applyNumberFormat="1" applyFont="1" applyFill="1" applyAlignment="1">
      <alignment horizontal="center"/>
    </xf>
    <xf numFmtId="0" fontId="323" fillId="0" borderId="0" xfId="32021" applyFont="1" applyAlignment="1">
      <alignment horizontal="center" vertical="center" wrapText="1"/>
    </xf>
    <xf numFmtId="1" fontId="334" fillId="0" borderId="0" xfId="32021" applyNumberFormat="1" applyFont="1" applyAlignment="1">
      <alignment horizontal="center"/>
    </xf>
    <xf numFmtId="1" fontId="335" fillId="0" borderId="0" xfId="32021" applyNumberFormat="1" applyFont="1" applyAlignment="1">
      <alignment horizontal="center"/>
    </xf>
    <xf numFmtId="192" fontId="112" fillId="37" borderId="101" xfId="234" applyNumberFormat="1" applyFont="1" applyFill="1" applyBorder="1" applyAlignment="1" applyProtection="1">
      <alignment horizontal="center" vertical="center" wrapText="1"/>
      <protection locked="0"/>
    </xf>
    <xf numFmtId="0" fontId="107" fillId="0" borderId="0" xfId="0" applyFont="1" applyAlignment="1">
      <alignment vertical="center"/>
    </xf>
    <xf numFmtId="4" fontId="286" fillId="107" borderId="117" xfId="322" applyNumberFormat="1" applyFont="1" applyFill="1" applyBorder="1" applyAlignment="1">
      <alignment horizontal="center" vertical="center"/>
    </xf>
    <xf numFmtId="3" fontId="286" fillId="107" borderId="117" xfId="0" applyNumberFormat="1" applyFont="1" applyFill="1" applyBorder="1" applyAlignment="1">
      <alignment horizontal="center" vertical="center"/>
    </xf>
    <xf numFmtId="2" fontId="286" fillId="107" borderId="117" xfId="0" applyNumberFormat="1" applyFont="1" applyFill="1" applyBorder="1" applyAlignment="1">
      <alignment horizontal="center" vertical="center"/>
    </xf>
    <xf numFmtId="185" fontId="286" fillId="107" borderId="117" xfId="0" applyNumberFormat="1" applyFont="1" applyFill="1" applyBorder="1" applyAlignment="1">
      <alignment horizontal="center" vertical="center"/>
    </xf>
    <xf numFmtId="3" fontId="193" fillId="38" borderId="11" xfId="0" applyNumberFormat="1" applyFont="1" applyFill="1" applyBorder="1" applyAlignment="1">
      <alignment vertical="center"/>
    </xf>
    <xf numFmtId="3" fontId="94" fillId="38" borderId="0" xfId="0" applyNumberFormat="1" applyFont="1" applyFill="1" applyAlignment="1">
      <alignment vertical="center"/>
    </xf>
    <xf numFmtId="4" fontId="0" fillId="93" borderId="12" xfId="0" applyNumberFormat="1" applyFill="1" applyBorder="1" applyAlignment="1">
      <alignment horizontal="center" vertical="center"/>
    </xf>
    <xf numFmtId="0" fontId="286" fillId="37" borderId="143" xfId="0" applyFont="1" applyFill="1" applyBorder="1"/>
    <xf numFmtId="0" fontId="286" fillId="37" borderId="143" xfId="0" applyFont="1" applyFill="1" applyBorder="1" applyAlignment="1">
      <alignment horizontal="center"/>
    </xf>
    <xf numFmtId="1" fontId="286" fillId="37" borderId="143" xfId="0" applyNumberFormat="1" applyFont="1" applyFill="1" applyBorder="1" applyAlignment="1">
      <alignment horizontal="center" vertical="center"/>
    </xf>
    <xf numFmtId="3" fontId="286" fillId="37" borderId="143" xfId="0" applyNumberFormat="1" applyFont="1" applyFill="1" applyBorder="1" applyAlignment="1">
      <alignment horizontal="center" vertical="center"/>
    </xf>
    <xf numFmtId="182" fontId="286" fillId="37" borderId="143" xfId="0" applyNumberFormat="1" applyFont="1" applyFill="1" applyBorder="1" applyAlignment="1">
      <alignment horizontal="center" vertical="center"/>
    </xf>
    <xf numFmtId="185" fontId="286" fillId="37" borderId="143" xfId="322" applyNumberFormat="1" applyFont="1" applyFill="1" applyBorder="1" applyAlignment="1">
      <alignment horizontal="center" vertical="center"/>
    </xf>
    <xf numFmtId="185" fontId="286" fillId="37" borderId="143" xfId="0" applyNumberFormat="1" applyFont="1" applyFill="1" applyBorder="1" applyAlignment="1">
      <alignment horizontal="center" vertical="center"/>
    </xf>
    <xf numFmtId="3" fontId="165" fillId="72" borderId="177" xfId="234" applyNumberFormat="1" applyFont="1" applyFill="1" applyBorder="1" applyAlignment="1">
      <alignment horizontal="center"/>
    </xf>
    <xf numFmtId="4" fontId="165" fillId="72" borderId="185" xfId="234" applyNumberFormat="1" applyFont="1" applyFill="1" applyBorder="1" applyAlignment="1">
      <alignment horizontal="center"/>
    </xf>
    <xf numFmtId="3" fontId="165" fillId="72" borderId="185" xfId="234" applyNumberFormat="1" applyFont="1" applyFill="1" applyBorder="1" applyAlignment="1">
      <alignment horizontal="center"/>
    </xf>
    <xf numFmtId="3" fontId="165" fillId="72" borderId="220" xfId="234" applyNumberFormat="1" applyFont="1" applyFill="1" applyBorder="1" applyAlignment="1">
      <alignment horizontal="center"/>
    </xf>
    <xf numFmtId="0" fontId="275" fillId="37" borderId="161" xfId="0" applyFont="1" applyFill="1" applyBorder="1" applyAlignment="1">
      <alignment horizontal="center"/>
    </xf>
    <xf numFmtId="0" fontId="227" fillId="72" borderId="163" xfId="0" applyFont="1" applyFill="1" applyBorder="1" applyAlignment="1">
      <alignment horizontal="center" vertical="center"/>
    </xf>
    <xf numFmtId="0" fontId="227" fillId="72" borderId="164" xfId="0" applyFont="1" applyFill="1" applyBorder="1" applyAlignment="1">
      <alignment horizontal="center" vertical="center"/>
    </xf>
    <xf numFmtId="0" fontId="192" fillId="72" borderId="222" xfId="0" applyFont="1" applyFill="1" applyBorder="1" applyAlignment="1">
      <alignment horizontal="center" vertical="center"/>
    </xf>
    <xf numFmtId="1" fontId="0" fillId="37" borderId="169" xfId="0" applyNumberFormat="1" applyFill="1" applyBorder="1" applyAlignment="1">
      <alignment horizontal="center"/>
    </xf>
    <xf numFmtId="199" fontId="47" fillId="37" borderId="223" xfId="234" applyNumberFormat="1" applyFont="1" applyFill="1" applyBorder="1" applyAlignment="1">
      <alignment horizontal="center"/>
    </xf>
    <xf numFmtId="181" fontId="100" fillId="37" borderId="0" xfId="0" applyNumberFormat="1" applyFont="1" applyFill="1" applyAlignment="1">
      <alignment vertical="center"/>
    </xf>
    <xf numFmtId="189" fontId="0" fillId="38" borderId="0" xfId="0" applyNumberFormat="1" applyFill="1" applyAlignment="1">
      <alignment vertical="center"/>
    </xf>
    <xf numFmtId="202" fontId="108" fillId="125" borderId="0" xfId="0" applyNumberFormat="1" applyFont="1" applyFill="1" applyAlignment="1">
      <alignment vertical="center"/>
    </xf>
    <xf numFmtId="189" fontId="108" fillId="125" borderId="0" xfId="0" applyNumberFormat="1" applyFont="1" applyFill="1" applyAlignment="1">
      <alignment vertical="center"/>
    </xf>
    <xf numFmtId="199" fontId="47" fillId="37" borderId="227" xfId="234" applyNumberFormat="1" applyFont="1" applyFill="1" applyBorder="1" applyAlignment="1">
      <alignment horizontal="center"/>
    </xf>
    <xf numFmtId="4" fontId="139" fillId="37" borderId="19" xfId="0" applyNumberFormat="1" applyFont="1" applyFill="1" applyBorder="1" applyAlignment="1">
      <alignment horizontal="center"/>
    </xf>
    <xf numFmtId="4" fontId="0" fillId="37" borderId="13" xfId="0" applyNumberFormat="1" applyFill="1" applyBorder="1" applyAlignment="1">
      <alignment horizontal="center" wrapText="1"/>
    </xf>
    <xf numFmtId="176" fontId="0" fillId="37" borderId="31" xfId="0" applyNumberFormat="1" applyFill="1" applyBorder="1" applyAlignment="1">
      <alignment horizontal="center"/>
    </xf>
    <xf numFmtId="4" fontId="139" fillId="37" borderId="60" xfId="0" applyNumberFormat="1" applyFont="1" applyFill="1" applyBorder="1" applyAlignment="1">
      <alignment horizontal="center"/>
    </xf>
    <xf numFmtId="4" fontId="0" fillId="37" borderId="47" xfId="0" applyNumberFormat="1" applyFill="1" applyBorder="1" applyAlignment="1">
      <alignment horizontal="center" wrapText="1"/>
    </xf>
    <xf numFmtId="176" fontId="0" fillId="37" borderId="39" xfId="0" applyNumberFormat="1" applyFill="1" applyBorder="1" applyAlignment="1">
      <alignment horizontal="center"/>
    </xf>
    <xf numFmtId="2" fontId="0" fillId="37" borderId="39" xfId="0" applyNumberFormat="1" applyFill="1" applyBorder="1" applyAlignment="1">
      <alignment horizontal="center"/>
    </xf>
    <xf numFmtId="4" fontId="139" fillId="37" borderId="61" xfId="0" applyNumberFormat="1" applyFont="1" applyFill="1" applyBorder="1" applyAlignment="1">
      <alignment horizontal="center"/>
    </xf>
    <xf numFmtId="4" fontId="0" fillId="37" borderId="55" xfId="0" applyNumberFormat="1" applyFill="1" applyBorder="1" applyAlignment="1">
      <alignment horizontal="center" wrapText="1"/>
    </xf>
    <xf numFmtId="3" fontId="0" fillId="0" borderId="0" xfId="234" applyNumberFormat="1" applyFont="1" applyAlignment="1">
      <alignment horizontal="center"/>
    </xf>
    <xf numFmtId="193" fontId="271" fillId="72" borderId="33" xfId="0" applyNumberFormat="1" applyFont="1" applyFill="1" applyBorder="1" applyAlignment="1">
      <alignment horizontal="center" vertical="center"/>
    </xf>
    <xf numFmtId="3" fontId="276" fillId="37" borderId="34" xfId="0" applyNumberFormat="1" applyFont="1" applyFill="1" applyBorder="1" applyAlignment="1">
      <alignment horizontal="center"/>
    </xf>
    <xf numFmtId="3" fontId="313" fillId="37" borderId="34" xfId="0" applyNumberFormat="1" applyFont="1" applyFill="1" applyBorder="1" applyAlignment="1">
      <alignment horizontal="center"/>
    </xf>
    <xf numFmtId="182" fontId="276" fillId="37" borderId="34" xfId="0" applyNumberFormat="1" applyFont="1" applyFill="1" applyBorder="1" applyAlignment="1">
      <alignment horizontal="center"/>
    </xf>
    <xf numFmtId="4" fontId="276" fillId="37" borderId="34" xfId="0" applyNumberFormat="1" applyFont="1" applyFill="1" applyBorder="1" applyAlignment="1">
      <alignment horizontal="center"/>
    </xf>
    <xf numFmtId="183" fontId="276" fillId="37" borderId="34" xfId="0" applyNumberFormat="1" applyFont="1" applyFill="1" applyBorder="1" applyAlignment="1">
      <alignment horizontal="center"/>
    </xf>
    <xf numFmtId="182" fontId="313" fillId="37" borderId="34" xfId="0" applyNumberFormat="1" applyFont="1" applyFill="1" applyBorder="1" applyAlignment="1">
      <alignment horizontal="center"/>
    </xf>
    <xf numFmtId="181" fontId="276" fillId="37" borderId="34" xfId="0" applyNumberFormat="1" applyFont="1" applyFill="1" applyBorder="1" applyAlignment="1">
      <alignment horizontal="center"/>
    </xf>
    <xf numFmtId="3" fontId="276" fillId="37" borderId="41" xfId="0" applyNumberFormat="1" applyFont="1" applyFill="1" applyBorder="1" applyAlignment="1">
      <alignment horizontal="center"/>
    </xf>
    <xf numFmtId="193" fontId="271" fillId="72" borderId="0" xfId="0" applyNumberFormat="1" applyFont="1" applyFill="1" applyAlignment="1">
      <alignment horizontal="center" vertical="center"/>
    </xf>
    <xf numFmtId="181" fontId="276" fillId="37" borderId="0" xfId="0" applyNumberFormat="1" applyFont="1" applyFill="1" applyAlignment="1">
      <alignment horizontal="center"/>
    </xf>
    <xf numFmtId="193" fontId="271" fillId="72" borderId="26" xfId="0" applyNumberFormat="1" applyFont="1" applyFill="1" applyBorder="1" applyAlignment="1">
      <alignment horizontal="center" vertical="center"/>
    </xf>
    <xf numFmtId="3" fontId="276" fillId="117" borderId="31" xfId="0" applyNumberFormat="1" applyFont="1" applyFill="1" applyBorder="1" applyAlignment="1">
      <alignment horizontal="center"/>
    </xf>
    <xf numFmtId="3" fontId="276" fillId="117" borderId="0" xfId="0" applyNumberFormat="1" applyFont="1" applyFill="1" applyAlignment="1">
      <alignment horizontal="center"/>
    </xf>
    <xf numFmtId="3" fontId="276" fillId="117" borderId="39" xfId="0" applyNumberFormat="1" applyFont="1" applyFill="1" applyBorder="1" applyAlignment="1">
      <alignment horizontal="center"/>
    </xf>
    <xf numFmtId="182" fontId="276" fillId="117" borderId="31" xfId="0" applyNumberFormat="1" applyFont="1" applyFill="1" applyBorder="1" applyAlignment="1">
      <alignment horizontal="center"/>
    </xf>
    <xf numFmtId="182" fontId="276" fillId="117" borderId="0" xfId="0" applyNumberFormat="1" applyFont="1" applyFill="1" applyAlignment="1">
      <alignment horizontal="center"/>
    </xf>
    <xf numFmtId="183" fontId="276" fillId="117" borderId="31" xfId="0" applyNumberFormat="1" applyFont="1" applyFill="1" applyBorder="1" applyAlignment="1">
      <alignment horizontal="center"/>
    </xf>
    <xf numFmtId="182" fontId="276" fillId="117" borderId="39" xfId="0" applyNumberFormat="1" applyFont="1" applyFill="1" applyBorder="1" applyAlignment="1">
      <alignment horizontal="center"/>
    </xf>
    <xf numFmtId="176" fontId="275" fillId="112" borderId="161" xfId="0" applyNumberFormat="1" applyFont="1" applyFill="1" applyBorder="1" applyAlignment="1">
      <alignment horizontal="center"/>
    </xf>
    <xf numFmtId="176" fontId="0" fillId="38" borderId="0" xfId="0" applyNumberFormat="1" applyFill="1" applyAlignment="1">
      <alignment horizontal="center"/>
    </xf>
    <xf numFmtId="16" fontId="100" fillId="37" borderId="11" xfId="0" applyNumberFormat="1" applyFont="1" applyFill="1" applyBorder="1" applyAlignment="1">
      <alignment vertical="center"/>
    </xf>
    <xf numFmtId="3" fontId="100" fillId="37" borderId="11" xfId="0" applyNumberFormat="1" applyFont="1" applyFill="1" applyBorder="1" applyAlignment="1">
      <alignment vertical="center"/>
    </xf>
    <xf numFmtId="1" fontId="100" fillId="37" borderId="11" xfId="0" applyNumberFormat="1" applyFont="1" applyFill="1" applyBorder="1" applyAlignment="1">
      <alignment vertical="center"/>
    </xf>
    <xf numFmtId="4" fontId="100" fillId="37" borderId="0" xfId="0" applyNumberFormat="1" applyFont="1" applyFill="1" applyAlignment="1">
      <alignment vertical="center"/>
    </xf>
    <xf numFmtId="2" fontId="100" fillId="38" borderId="0" xfId="0" applyNumberFormat="1" applyFont="1" applyFill="1" applyAlignment="1">
      <alignment vertical="center"/>
    </xf>
    <xf numFmtId="1" fontId="100" fillId="38" borderId="0" xfId="0" applyNumberFormat="1" applyFont="1" applyFill="1" applyAlignment="1">
      <alignment vertical="center"/>
    </xf>
    <xf numFmtId="271" fontId="0" fillId="0" borderId="0" xfId="0" applyNumberFormat="1"/>
    <xf numFmtId="182" fontId="276" fillId="0" borderId="155" xfId="0" applyNumberFormat="1" applyFont="1" applyBorder="1" applyAlignment="1">
      <alignment horizontal="center"/>
    </xf>
    <xf numFmtId="3" fontId="276" fillId="0" borderId="14" xfId="0" applyNumberFormat="1" applyFont="1" applyBorder="1" applyAlignment="1">
      <alignment horizontal="center"/>
    </xf>
    <xf numFmtId="182" fontId="276" fillId="0" borderId="14" xfId="0" applyNumberFormat="1" applyFont="1" applyBorder="1" applyAlignment="1">
      <alignment horizontal="center"/>
    </xf>
    <xf numFmtId="3" fontId="276" fillId="0" borderId="174" xfId="0" applyNumberFormat="1" applyFont="1" applyBorder="1" applyAlignment="1">
      <alignment horizontal="center"/>
    </xf>
    <xf numFmtId="3" fontId="272" fillId="0" borderId="0" xfId="0" applyNumberFormat="1" applyFont="1" applyAlignment="1">
      <alignment horizontal="center"/>
    </xf>
    <xf numFmtId="183" fontId="276" fillId="0" borderId="47" xfId="0" applyNumberFormat="1" applyFont="1" applyBorder="1" applyAlignment="1">
      <alignment horizontal="center"/>
    </xf>
    <xf numFmtId="183" fontId="276" fillId="0" borderId="155" xfId="0" applyNumberFormat="1" applyFont="1" applyBorder="1" applyAlignment="1">
      <alignment horizontal="center"/>
    </xf>
    <xf numFmtId="3" fontId="276" fillId="0" borderId="47" xfId="0" applyNumberFormat="1" applyFont="1" applyBorder="1" applyAlignment="1">
      <alignment horizontal="center"/>
    </xf>
    <xf numFmtId="3" fontId="276" fillId="0" borderId="155" xfId="0" applyNumberFormat="1" applyFont="1" applyBorder="1" applyAlignment="1">
      <alignment horizontal="center"/>
    </xf>
    <xf numFmtId="182" fontId="276" fillId="0" borderId="55" xfId="0" applyNumberFormat="1" applyFont="1" applyBorder="1" applyAlignment="1">
      <alignment horizontal="center"/>
    </xf>
    <xf numFmtId="182" fontId="276" fillId="0" borderId="174" xfId="0" applyNumberFormat="1" applyFont="1" applyBorder="1" applyAlignment="1">
      <alignment horizontal="center"/>
    </xf>
    <xf numFmtId="0" fontId="192" fillId="72" borderId="181" xfId="0" applyFont="1" applyFill="1" applyBorder="1" applyAlignment="1">
      <alignment horizontal="center" vertical="center"/>
    </xf>
    <xf numFmtId="4" fontId="0" fillId="37" borderId="136" xfId="0" applyNumberFormat="1" applyFill="1" applyBorder="1" applyAlignment="1">
      <alignment horizontal="center" wrapText="1"/>
    </xf>
    <xf numFmtId="4" fontId="0" fillId="37" borderId="230" xfId="0" applyNumberFormat="1" applyFill="1" applyBorder="1" applyAlignment="1">
      <alignment horizontal="center" wrapText="1"/>
    </xf>
    <xf numFmtId="1" fontId="0" fillId="37" borderId="24" xfId="0" applyNumberFormat="1" applyFill="1" applyBorder="1" applyAlignment="1">
      <alignment horizontal="center"/>
    </xf>
    <xf numFmtId="176" fontId="0" fillId="37" borderId="25" xfId="0" applyNumberFormat="1" applyFill="1" applyBorder="1" applyAlignment="1">
      <alignment horizontal="center"/>
    </xf>
    <xf numFmtId="1" fontId="0" fillId="37" borderId="25" xfId="0" applyNumberFormat="1" applyFill="1" applyBorder="1" applyAlignment="1">
      <alignment horizontal="center"/>
    </xf>
    <xf numFmtId="166" fontId="0" fillId="37" borderId="25" xfId="31096" applyFont="1" applyFill="1" applyBorder="1" applyAlignment="1">
      <alignment horizontal="center"/>
    </xf>
    <xf numFmtId="182" fontId="0" fillId="37" borderId="26" xfId="0" applyNumberFormat="1" applyFill="1" applyBorder="1" applyAlignment="1">
      <alignment horizontal="center"/>
    </xf>
    <xf numFmtId="9" fontId="0" fillId="37" borderId="98" xfId="322" applyFont="1" applyFill="1" applyBorder="1" applyAlignment="1">
      <alignment horizontal="center"/>
    </xf>
    <xf numFmtId="178" fontId="0" fillId="37" borderId="0" xfId="234" applyNumberFormat="1" applyFont="1" applyFill="1" applyBorder="1" applyAlignment="1"/>
    <xf numFmtId="3" fontId="100" fillId="37" borderId="31" xfId="0" applyNumberFormat="1" applyFont="1" applyFill="1" applyBorder="1" applyAlignment="1">
      <alignment horizontal="center"/>
    </xf>
    <xf numFmtId="2" fontId="0" fillId="37" borderId="31" xfId="0" applyNumberFormat="1" applyFill="1" applyBorder="1" applyAlignment="1">
      <alignment horizontal="center"/>
    </xf>
    <xf numFmtId="176" fontId="113" fillId="37" borderId="11" xfId="232" applyNumberFormat="1" applyFont="1" applyFill="1" applyBorder="1" applyAlignment="1" applyProtection="1">
      <alignment horizontal="center" vertical="center"/>
      <protection hidden="1"/>
    </xf>
    <xf numFmtId="183" fontId="113" fillId="37" borderId="11" xfId="232" applyNumberFormat="1" applyFont="1" applyFill="1" applyBorder="1" applyAlignment="1" applyProtection="1">
      <alignment horizontal="center" vertical="center"/>
      <protection hidden="1"/>
    </xf>
    <xf numFmtId="182" fontId="114" fillId="37" borderId="22" xfId="306" applyNumberFormat="1" applyFont="1" applyFill="1" applyBorder="1" applyAlignment="1">
      <alignment vertical="center"/>
    </xf>
    <xf numFmtId="3" fontId="113" fillId="37" borderId="11" xfId="232" applyNumberFormat="1" applyFont="1" applyFill="1" applyBorder="1" applyAlignment="1" applyProtection="1">
      <alignment horizontal="center" vertical="center"/>
      <protection hidden="1"/>
    </xf>
    <xf numFmtId="182" fontId="113" fillId="37" borderId="11" xfId="232" applyNumberFormat="1" applyFont="1" applyFill="1" applyBorder="1" applyAlignment="1" applyProtection="1">
      <alignment horizontal="center" vertical="center"/>
      <protection hidden="1"/>
    </xf>
    <xf numFmtId="4" fontId="113" fillId="37" borderId="11" xfId="232" applyNumberFormat="1" applyFont="1" applyFill="1" applyBorder="1" applyAlignment="1" applyProtection="1">
      <alignment horizontal="center" vertical="center"/>
      <protection hidden="1"/>
    </xf>
    <xf numFmtId="189" fontId="108" fillId="37" borderId="11" xfId="232" applyNumberFormat="1" applyFont="1" applyFill="1" applyBorder="1" applyAlignment="1" applyProtection="1">
      <alignment horizontal="center" vertical="center"/>
      <protection hidden="1"/>
    </xf>
    <xf numFmtId="176" fontId="114" fillId="37" borderId="11" xfId="306" applyNumberFormat="1" applyFont="1" applyFill="1" applyBorder="1" applyAlignment="1">
      <alignment horizontal="center" vertical="center"/>
    </xf>
    <xf numFmtId="1" fontId="113" fillId="37" borderId="11" xfId="232" applyNumberFormat="1" applyFont="1" applyFill="1" applyBorder="1" applyAlignment="1" applyProtection="1">
      <alignment horizontal="center" vertical="center"/>
      <protection hidden="1"/>
    </xf>
    <xf numFmtId="2" fontId="113" fillId="37" borderId="11" xfId="232" applyNumberFormat="1" applyFont="1" applyFill="1" applyBorder="1" applyAlignment="1" applyProtection="1">
      <alignment horizontal="center" vertical="center"/>
      <protection hidden="1"/>
    </xf>
    <xf numFmtId="179" fontId="113" fillId="37" borderId="11" xfId="306" applyNumberFormat="1" applyFont="1" applyFill="1" applyBorder="1" applyAlignment="1" applyProtection="1">
      <alignment horizontal="center" vertical="center"/>
      <protection locked="0"/>
    </xf>
    <xf numFmtId="0" fontId="47" fillId="37" borderId="0" xfId="306" applyFill="1" applyAlignment="1">
      <alignment vertical="center"/>
    </xf>
    <xf numFmtId="0" fontId="113" fillId="37" borderId="11" xfId="306" applyFont="1" applyFill="1" applyBorder="1" applyAlignment="1">
      <alignment vertical="center"/>
    </xf>
    <xf numFmtId="0" fontId="113" fillId="37" borderId="11" xfId="306" applyFont="1" applyFill="1" applyBorder="1" applyAlignment="1">
      <alignment horizontal="center" vertical="center"/>
    </xf>
    <xf numFmtId="176" fontId="113" fillId="37" borderId="13" xfId="306" applyNumberFormat="1" applyFont="1" applyFill="1" applyBorder="1" applyAlignment="1">
      <alignment horizontal="center" vertical="center"/>
    </xf>
    <xf numFmtId="203" fontId="114" fillId="37" borderId="11" xfId="233" applyNumberFormat="1" applyFont="1" applyFill="1" applyBorder="1" applyAlignment="1" applyProtection="1">
      <alignment horizontal="center" vertical="center"/>
      <protection hidden="1"/>
    </xf>
    <xf numFmtId="192" fontId="113" fillId="37" borderId="0" xfId="306" applyNumberFormat="1" applyFont="1" applyFill="1" applyAlignment="1">
      <alignment vertical="center"/>
    </xf>
    <xf numFmtId="178" fontId="114" fillId="37" borderId="11" xfId="229" applyNumberFormat="1" applyFont="1" applyFill="1" applyBorder="1" applyAlignment="1" applyProtection="1">
      <alignment horizontal="center" vertical="center"/>
      <protection hidden="1"/>
    </xf>
    <xf numFmtId="192" fontId="114" fillId="37" borderId="11" xfId="229" applyNumberFormat="1" applyFont="1" applyFill="1" applyBorder="1" applyAlignment="1" applyProtection="1">
      <alignment horizontal="center" vertical="center"/>
      <protection hidden="1"/>
    </xf>
    <xf numFmtId="0" fontId="113" fillId="37" borderId="11" xfId="305" applyFont="1" applyFill="1" applyBorder="1" applyAlignment="1">
      <alignment vertical="center"/>
    </xf>
    <xf numFmtId="4" fontId="113" fillId="37" borderId="0" xfId="306" applyNumberFormat="1" applyFont="1" applyFill="1" applyAlignment="1">
      <alignment horizontal="center" vertical="center"/>
    </xf>
    <xf numFmtId="4" fontId="113" fillId="37" borderId="0" xfId="306" applyNumberFormat="1" applyFont="1" applyFill="1" applyAlignment="1">
      <alignment vertical="center"/>
    </xf>
    <xf numFmtId="183" fontId="114" fillId="37" borderId="11" xfId="229" applyNumberFormat="1" applyFont="1" applyFill="1" applyBorder="1" applyAlignment="1" applyProtection="1">
      <alignment horizontal="center" vertical="center"/>
      <protection hidden="1"/>
    </xf>
    <xf numFmtId="183" fontId="113" fillId="37" borderId="0" xfId="306" applyNumberFormat="1" applyFont="1" applyFill="1" applyAlignment="1">
      <alignment vertical="center"/>
    </xf>
    <xf numFmtId="183" fontId="108" fillId="37" borderId="11" xfId="232" applyNumberFormat="1" applyFont="1" applyFill="1" applyBorder="1" applyAlignment="1" applyProtection="1">
      <alignment horizontal="center" vertical="center"/>
      <protection hidden="1"/>
    </xf>
    <xf numFmtId="3" fontId="114" fillId="37" borderId="11" xfId="306" applyNumberFormat="1" applyFont="1" applyFill="1" applyBorder="1" applyAlignment="1">
      <alignment horizontal="center" vertical="center"/>
    </xf>
    <xf numFmtId="3" fontId="114" fillId="37" borderId="11" xfId="229" applyNumberFormat="1" applyFont="1" applyFill="1" applyBorder="1" applyAlignment="1" applyProtection="1">
      <alignment horizontal="center" vertical="center"/>
      <protection hidden="1"/>
    </xf>
    <xf numFmtId="38" fontId="113" fillId="37" borderId="11" xfId="306" applyNumberFormat="1" applyFont="1" applyFill="1" applyBorder="1" applyAlignment="1">
      <alignment horizontal="center" vertical="center"/>
    </xf>
    <xf numFmtId="203" fontId="113" fillId="37" borderId="11" xfId="306" applyNumberFormat="1" applyFont="1" applyFill="1" applyBorder="1" applyAlignment="1">
      <alignment horizontal="center" vertical="center"/>
    </xf>
    <xf numFmtId="182" fontId="113" fillId="37" borderId="0" xfId="306" applyNumberFormat="1" applyFont="1" applyFill="1" applyAlignment="1">
      <alignment horizontal="center" vertical="center"/>
    </xf>
    <xf numFmtId="182" fontId="113" fillId="37" borderId="0" xfId="306" applyNumberFormat="1" applyFont="1" applyFill="1" applyAlignment="1">
      <alignment vertical="center"/>
    </xf>
    <xf numFmtId="182" fontId="108" fillId="37" borderId="11" xfId="232" applyNumberFormat="1" applyFont="1" applyFill="1" applyBorder="1" applyAlignment="1" applyProtection="1">
      <alignment horizontal="center" vertical="center"/>
      <protection hidden="1"/>
    </xf>
    <xf numFmtId="182" fontId="114" fillId="37" borderId="11" xfId="229" applyNumberFormat="1" applyFont="1" applyFill="1" applyBorder="1" applyAlignment="1" applyProtection="1">
      <alignment horizontal="center" vertical="center"/>
      <protection hidden="1"/>
    </xf>
    <xf numFmtId="4" fontId="114" fillId="37" borderId="11" xfId="229" applyNumberFormat="1" applyFont="1" applyFill="1" applyBorder="1" applyAlignment="1" applyProtection="1">
      <alignment horizontal="center" vertical="center"/>
      <protection hidden="1"/>
    </xf>
    <xf numFmtId="4" fontId="108" fillId="37" borderId="11" xfId="232" applyNumberFormat="1" applyFont="1" applyFill="1" applyBorder="1" applyAlignment="1" applyProtection="1">
      <alignment horizontal="center" vertical="center"/>
      <protection hidden="1"/>
    </xf>
    <xf numFmtId="40" fontId="113" fillId="37" borderId="11" xfId="306" applyNumberFormat="1" applyFont="1" applyFill="1" applyBorder="1" applyAlignment="1">
      <alignment horizontal="center" vertical="center"/>
    </xf>
    <xf numFmtId="192" fontId="113" fillId="37" borderId="11" xfId="229" applyNumberFormat="1" applyFont="1" applyFill="1" applyBorder="1" applyAlignment="1">
      <alignment horizontal="center" vertical="center"/>
    </xf>
    <xf numFmtId="203" fontId="113" fillId="37" borderId="11" xfId="229" applyNumberFormat="1" applyFont="1" applyFill="1" applyBorder="1" applyAlignment="1">
      <alignment horizontal="center" vertical="center"/>
    </xf>
    <xf numFmtId="192" fontId="114" fillId="37" borderId="11" xfId="233" applyNumberFormat="1" applyFont="1" applyFill="1" applyBorder="1" applyAlignment="1" applyProtection="1">
      <alignment horizontal="center" vertical="center"/>
      <protection hidden="1"/>
    </xf>
    <xf numFmtId="183" fontId="114" fillId="37" borderId="12" xfId="233" applyNumberFormat="1" applyFont="1" applyFill="1" applyBorder="1" applyAlignment="1" applyProtection="1">
      <alignment horizontal="center" vertical="center"/>
      <protection hidden="1"/>
    </xf>
    <xf numFmtId="246" fontId="114" fillId="37" borderId="11" xfId="233" applyNumberFormat="1" applyFont="1" applyFill="1" applyBorder="1" applyAlignment="1" applyProtection="1">
      <alignment horizontal="center" vertical="center"/>
      <protection hidden="1"/>
    </xf>
    <xf numFmtId="4" fontId="113" fillId="37" borderId="12" xfId="306" applyNumberFormat="1" applyFont="1" applyFill="1" applyBorder="1" applyAlignment="1">
      <alignment horizontal="center" vertical="center"/>
    </xf>
    <xf numFmtId="40" fontId="114" fillId="37" borderId="11" xfId="233" applyNumberFormat="1" applyFont="1" applyFill="1" applyBorder="1" applyAlignment="1" applyProtection="1">
      <alignment horizontal="center" vertical="center"/>
      <protection hidden="1"/>
    </xf>
    <xf numFmtId="0" fontId="121" fillId="37" borderId="0" xfId="305" applyFont="1" applyFill="1" applyAlignment="1">
      <alignment vertical="center"/>
    </xf>
    <xf numFmtId="182" fontId="113" fillId="37" borderId="12" xfId="306" applyNumberFormat="1" applyFont="1" applyFill="1" applyBorder="1" applyAlignment="1">
      <alignment horizontal="center" vertical="center"/>
    </xf>
    <xf numFmtId="9" fontId="113" fillId="37" borderId="11" xfId="305" applyNumberFormat="1" applyFont="1" applyFill="1" applyBorder="1" applyAlignment="1">
      <alignment horizontal="center" vertical="center"/>
    </xf>
    <xf numFmtId="203" fontId="113" fillId="37" borderId="0" xfId="306" applyNumberFormat="1" applyFont="1" applyFill="1" applyAlignment="1">
      <alignment horizontal="center" vertical="center"/>
    </xf>
    <xf numFmtId="1" fontId="113" fillId="37" borderId="11" xfId="305" applyNumberFormat="1" applyFont="1" applyFill="1" applyBorder="1" applyAlignment="1">
      <alignment vertical="center"/>
    </xf>
    <xf numFmtId="1" fontId="113" fillId="37" borderId="11" xfId="305" applyNumberFormat="1" applyFont="1" applyFill="1" applyBorder="1" applyAlignment="1">
      <alignment horizontal="center" vertical="center"/>
    </xf>
    <xf numFmtId="1" fontId="114" fillId="37" borderId="0" xfId="306" applyNumberFormat="1" applyFont="1" applyFill="1" applyAlignment="1">
      <alignment horizontal="center" vertical="center"/>
    </xf>
    <xf numFmtId="1" fontId="114" fillId="37" borderId="11" xfId="233" applyNumberFormat="1" applyFont="1" applyFill="1" applyBorder="1" applyAlignment="1" applyProtection="1">
      <alignment horizontal="center" vertical="center"/>
      <protection hidden="1"/>
    </xf>
    <xf numFmtId="2" fontId="113" fillId="37" borderId="0" xfId="306" applyNumberFormat="1" applyFont="1" applyFill="1" applyAlignment="1">
      <alignment horizontal="center" vertical="center"/>
    </xf>
    <xf numFmtId="2" fontId="113" fillId="37" borderId="0" xfId="306" applyNumberFormat="1" applyFont="1" applyFill="1" applyAlignment="1">
      <alignment vertical="center"/>
    </xf>
    <xf numFmtId="0" fontId="113" fillId="37" borderId="11" xfId="306" applyFont="1" applyFill="1" applyBorder="1" applyAlignment="1">
      <alignment horizontal="left" vertical="center"/>
    </xf>
    <xf numFmtId="179" fontId="113" fillId="37" borderId="12" xfId="306" applyNumberFormat="1" applyFont="1" applyFill="1" applyBorder="1" applyAlignment="1">
      <alignment vertical="center"/>
    </xf>
    <xf numFmtId="183" fontId="113" fillId="37" borderId="11" xfId="306" applyNumberFormat="1" applyFont="1" applyFill="1" applyBorder="1" applyAlignment="1">
      <alignment horizontal="center" vertical="center"/>
    </xf>
    <xf numFmtId="177" fontId="113" fillId="37" borderId="0" xfId="306" applyNumberFormat="1" applyFont="1" applyFill="1" applyAlignment="1">
      <alignment vertical="center"/>
    </xf>
    <xf numFmtId="264" fontId="113" fillId="37" borderId="0" xfId="306" applyNumberFormat="1" applyFont="1" applyFill="1" applyAlignment="1">
      <alignment horizontal="center" vertical="center"/>
    </xf>
    <xf numFmtId="179" fontId="235" fillId="37" borderId="11" xfId="232" applyNumberFormat="1" applyFont="1" applyFill="1" applyBorder="1" applyAlignment="1" applyProtection="1">
      <alignment horizontal="center" vertical="center"/>
      <protection hidden="1"/>
    </xf>
    <xf numFmtId="183" fontId="235" fillId="37" borderId="11" xfId="232" applyNumberFormat="1" applyFont="1" applyFill="1" applyBorder="1" applyAlignment="1" applyProtection="1">
      <alignment horizontal="center" vertical="center"/>
      <protection hidden="1"/>
    </xf>
    <xf numFmtId="0" fontId="235" fillId="37" borderId="11" xfId="232" applyFont="1" applyFill="1" applyBorder="1" applyAlignment="1" applyProtection="1">
      <alignment horizontal="center" vertical="center"/>
      <protection hidden="1"/>
    </xf>
    <xf numFmtId="1" fontId="113" fillId="37" borderId="14" xfId="306" applyNumberFormat="1" applyFont="1" applyFill="1" applyBorder="1" applyAlignment="1">
      <alignment horizontal="center" vertical="center"/>
    </xf>
    <xf numFmtId="1" fontId="113" fillId="37" borderId="22" xfId="306" applyNumberFormat="1" applyFont="1" applyFill="1" applyBorder="1" applyAlignment="1">
      <alignment horizontal="center" vertical="center"/>
    </xf>
    <xf numFmtId="179" fontId="113" fillId="37" borderId="22" xfId="306" applyNumberFormat="1" applyFont="1" applyFill="1" applyBorder="1" applyAlignment="1">
      <alignment horizontal="center" vertical="center"/>
    </xf>
    <xf numFmtId="2" fontId="113" fillId="37" borderId="22" xfId="306" applyNumberFormat="1" applyFont="1" applyFill="1" applyBorder="1" applyAlignment="1">
      <alignment horizontal="center" vertical="center"/>
    </xf>
    <xf numFmtId="3" fontId="47" fillId="37" borderId="0" xfId="306" applyNumberFormat="1" applyFill="1" applyAlignment="1">
      <alignment vertical="center"/>
    </xf>
    <xf numFmtId="4" fontId="94" fillId="0" borderId="171" xfId="0" applyNumberFormat="1" applyFont="1" applyBorder="1" applyAlignment="1">
      <alignment horizontal="center"/>
    </xf>
    <xf numFmtId="197" fontId="0" fillId="37" borderId="0" xfId="0" applyNumberFormat="1" applyFill="1" applyAlignment="1">
      <alignment horizontal="center" vertical="center"/>
    </xf>
    <xf numFmtId="197" fontId="0" fillId="0" borderId="0" xfId="0" applyNumberFormat="1" applyAlignment="1">
      <alignment horizontal="center" vertical="center"/>
    </xf>
    <xf numFmtId="2" fontId="0" fillId="37" borderId="0" xfId="0" applyNumberFormat="1" applyFill="1" applyAlignment="1">
      <alignment horizontal="center" vertical="center"/>
    </xf>
    <xf numFmtId="0" fontId="47" fillId="0" borderId="0" xfId="0" applyFont="1"/>
    <xf numFmtId="244" fontId="0" fillId="0" borderId="0" xfId="23782" applyFont="1"/>
    <xf numFmtId="20" fontId="0" fillId="0" borderId="0" xfId="0" applyNumberFormat="1"/>
    <xf numFmtId="1" fontId="0" fillId="84" borderId="0" xfId="0" applyNumberFormat="1" applyFill="1"/>
    <xf numFmtId="0" fontId="0" fillId="126" borderId="0" xfId="0" applyFill="1"/>
    <xf numFmtId="244" fontId="0" fillId="0" borderId="0" xfId="23782" applyFont="1" applyFill="1"/>
    <xf numFmtId="244" fontId="0" fillId="38" borderId="0" xfId="23782" applyFont="1" applyFill="1"/>
    <xf numFmtId="1" fontId="0" fillId="95" borderId="0" xfId="0" applyNumberFormat="1" applyFill="1"/>
    <xf numFmtId="0" fontId="0" fillId="87" borderId="0" xfId="0" applyFill="1"/>
    <xf numFmtId="20" fontId="0" fillId="38" borderId="0" xfId="0" applyNumberFormat="1" applyFill="1"/>
    <xf numFmtId="16" fontId="0" fillId="38" borderId="0" xfId="0" applyNumberFormat="1" applyFill="1"/>
    <xf numFmtId="1" fontId="0" fillId="38" borderId="0" xfId="0" applyNumberFormat="1" applyFill="1"/>
    <xf numFmtId="244" fontId="0" fillId="37" borderId="0" xfId="23782" applyFont="1" applyFill="1"/>
    <xf numFmtId="0" fontId="0" fillId="78" borderId="0" xfId="0" applyFill="1"/>
    <xf numFmtId="20" fontId="0" fillId="37" borderId="0" xfId="0" applyNumberFormat="1" applyFill="1"/>
    <xf numFmtId="16" fontId="0" fillId="37" borderId="0" xfId="0" applyNumberFormat="1" applyFill="1"/>
    <xf numFmtId="183" fontId="287" fillId="37" borderId="0" xfId="0" applyNumberFormat="1" applyFont="1" applyFill="1" applyAlignment="1">
      <alignment horizontal="center" vertical="center"/>
    </xf>
    <xf numFmtId="185" fontId="287" fillId="37" borderId="0" xfId="322" applyNumberFormat="1" applyFont="1" applyFill="1" applyBorder="1" applyAlignment="1">
      <alignment horizontal="center" vertical="center"/>
    </xf>
    <xf numFmtId="0" fontId="192" fillId="72" borderId="233" xfId="0" applyFont="1" applyFill="1" applyBorder="1" applyAlignment="1">
      <alignment horizontal="center" vertical="center"/>
    </xf>
    <xf numFmtId="183" fontId="0" fillId="103" borderId="11" xfId="0" applyNumberFormat="1" applyFill="1" applyBorder="1" applyAlignment="1">
      <alignment horizontal="center" vertical="center"/>
    </xf>
    <xf numFmtId="4" fontId="94" fillId="103" borderId="171" xfId="0" applyNumberFormat="1" applyFont="1" applyFill="1" applyBorder="1" applyAlignment="1">
      <alignment horizontal="center" vertical="center"/>
    </xf>
    <xf numFmtId="4" fontId="94" fillId="103" borderId="172" xfId="0" applyNumberFormat="1" applyFont="1" applyFill="1" applyBorder="1" applyAlignment="1">
      <alignment horizontal="center" vertical="center"/>
    </xf>
    <xf numFmtId="1" fontId="192" fillId="109" borderId="152" xfId="0" applyNumberFormat="1" applyFont="1" applyFill="1" applyBorder="1" applyAlignment="1">
      <alignment horizontal="center" vertical="center"/>
    </xf>
    <xf numFmtId="3" fontId="192" fillId="109" borderId="152" xfId="0" applyNumberFormat="1" applyFont="1" applyFill="1" applyBorder="1" applyAlignment="1">
      <alignment horizontal="center" vertical="center"/>
    </xf>
    <xf numFmtId="176" fontId="0" fillId="103" borderId="152" xfId="0" applyNumberFormat="1" applyFill="1" applyBorder="1" applyAlignment="1">
      <alignment horizontal="center" vertical="center"/>
    </xf>
    <xf numFmtId="176" fontId="0" fillId="103" borderId="166" xfId="0" applyNumberFormat="1" applyFill="1" applyBorder="1" applyAlignment="1">
      <alignment horizontal="center" vertical="center"/>
    </xf>
    <xf numFmtId="176" fontId="0" fillId="103" borderId="165" xfId="0" applyNumberFormat="1" applyFill="1" applyBorder="1" applyAlignment="1">
      <alignment horizontal="center" vertical="center"/>
    </xf>
    <xf numFmtId="4" fontId="0" fillId="103" borderId="162" xfId="0" applyNumberFormat="1" applyFill="1" applyBorder="1" applyAlignment="1">
      <alignment horizontal="center" vertical="center"/>
    </xf>
    <xf numFmtId="4" fontId="0" fillId="103" borderId="163" xfId="0" applyNumberFormat="1" applyFill="1" applyBorder="1" applyAlignment="1">
      <alignment horizontal="center" vertical="center"/>
    </xf>
    <xf numFmtId="4" fontId="0" fillId="103" borderId="164" xfId="0" applyNumberFormat="1" applyFill="1" applyBorder="1" applyAlignment="1">
      <alignment horizontal="center" vertical="center"/>
    </xf>
    <xf numFmtId="182" fontId="0" fillId="37" borderId="162" xfId="0" applyNumberFormat="1" applyFill="1" applyBorder="1" applyAlignment="1">
      <alignment horizontal="center" vertical="center"/>
    </xf>
    <xf numFmtId="182" fontId="0" fillId="37" borderId="164" xfId="0" applyNumberFormat="1" applyFill="1" applyBorder="1" applyAlignment="1">
      <alignment horizontal="center" vertical="center"/>
    </xf>
    <xf numFmtId="4" fontId="0" fillId="103" borderId="165" xfId="0" applyNumberFormat="1" applyFill="1" applyBorder="1" applyAlignment="1">
      <alignment horizontal="center" vertical="center"/>
    </xf>
    <xf numFmtId="4" fontId="0" fillId="103" borderId="152" xfId="0" applyNumberFormat="1" applyFill="1" applyBorder="1" applyAlignment="1">
      <alignment horizontal="center" vertical="center"/>
    </xf>
    <xf numFmtId="4" fontId="0" fillId="103" borderId="166" xfId="0" applyNumberFormat="1" applyFill="1" applyBorder="1" applyAlignment="1">
      <alignment horizontal="center" vertical="center"/>
    </xf>
    <xf numFmtId="182" fontId="0" fillId="37" borderId="165" xfId="0" applyNumberFormat="1" applyFill="1" applyBorder="1" applyAlignment="1">
      <alignment horizontal="center" vertical="center"/>
    </xf>
    <xf numFmtId="182" fontId="0" fillId="37" borderId="166" xfId="0" applyNumberFormat="1" applyFill="1" applyBorder="1" applyAlignment="1">
      <alignment horizontal="center" vertical="center"/>
    </xf>
    <xf numFmtId="4" fontId="0" fillId="103" borderId="167" xfId="0" applyNumberFormat="1" applyFill="1" applyBorder="1" applyAlignment="1">
      <alignment horizontal="center" vertical="center"/>
    </xf>
    <xf numFmtId="4" fontId="0" fillId="103" borderId="168" xfId="0" applyNumberFormat="1" applyFill="1" applyBorder="1" applyAlignment="1">
      <alignment horizontal="center" vertical="center"/>
    </xf>
    <xf numFmtId="4" fontId="0" fillId="103" borderId="169" xfId="0" applyNumberFormat="1" applyFill="1" applyBorder="1" applyAlignment="1">
      <alignment horizontal="center" vertical="center"/>
    </xf>
    <xf numFmtId="182" fontId="0" fillId="37" borderId="167" xfId="0" applyNumberFormat="1" applyFill="1" applyBorder="1" applyAlignment="1">
      <alignment horizontal="center" vertical="center"/>
    </xf>
    <xf numFmtId="182" fontId="0" fillId="37" borderId="169" xfId="0" applyNumberFormat="1" applyFill="1" applyBorder="1" applyAlignment="1">
      <alignment horizontal="center" vertical="center"/>
    </xf>
    <xf numFmtId="4" fontId="0" fillId="103" borderId="176" xfId="0" applyNumberFormat="1" applyFill="1" applyBorder="1" applyAlignment="1">
      <alignment horizontal="center" vertical="center"/>
    </xf>
    <xf numFmtId="4" fontId="0" fillId="103" borderId="184" xfId="0" applyNumberFormat="1" applyFill="1" applyBorder="1" applyAlignment="1">
      <alignment horizontal="center" vertical="center"/>
    </xf>
    <xf numFmtId="4" fontId="0" fillId="103" borderId="235" xfId="0" applyNumberFormat="1" applyFill="1" applyBorder="1" applyAlignment="1">
      <alignment horizontal="center" vertical="center"/>
    </xf>
    <xf numFmtId="4" fontId="0" fillId="103" borderId="221" xfId="0" applyNumberFormat="1" applyFill="1" applyBorder="1" applyAlignment="1">
      <alignment horizontal="center" vertical="center"/>
    </xf>
    <xf numFmtId="4" fontId="0" fillId="103" borderId="161" xfId="0" applyNumberFormat="1" applyFill="1" applyBorder="1" applyAlignment="1">
      <alignment horizontal="center" vertical="center"/>
    </xf>
    <xf numFmtId="4" fontId="0" fillId="103" borderId="222" xfId="0" applyNumberFormat="1" applyFill="1" applyBorder="1" applyAlignment="1">
      <alignment horizontal="center" vertical="center"/>
    </xf>
    <xf numFmtId="3" fontId="192" fillId="109" borderId="171" xfId="0" applyNumberFormat="1" applyFont="1" applyFill="1" applyBorder="1" applyAlignment="1">
      <alignment horizontal="center" vertical="center"/>
    </xf>
    <xf numFmtId="3" fontId="192" fillId="109" borderId="236" xfId="0" applyNumberFormat="1" applyFont="1" applyFill="1" applyBorder="1" applyAlignment="1">
      <alignment horizontal="center" vertical="center"/>
    </xf>
    <xf numFmtId="4" fontId="0" fillId="103" borderId="237" xfId="0" applyNumberFormat="1" applyFill="1" applyBorder="1" applyAlignment="1">
      <alignment horizontal="center"/>
    </xf>
    <xf numFmtId="4" fontId="0" fillId="103" borderId="171" xfId="0" applyNumberFormat="1" applyFill="1" applyBorder="1" applyAlignment="1">
      <alignment horizontal="center"/>
    </xf>
    <xf numFmtId="2" fontId="0" fillId="103" borderId="171" xfId="0" applyNumberFormat="1" applyFill="1" applyBorder="1" applyAlignment="1">
      <alignment horizontal="center" vertical="center"/>
    </xf>
    <xf numFmtId="2" fontId="0" fillId="103" borderId="172" xfId="0" applyNumberFormat="1" applyFill="1" applyBorder="1" applyAlignment="1">
      <alignment horizontal="center" vertical="center"/>
    </xf>
    <xf numFmtId="2" fontId="0" fillId="103" borderId="170" xfId="0" applyNumberFormat="1" applyFill="1" applyBorder="1" applyAlignment="1">
      <alignment horizontal="center" vertical="center"/>
    </xf>
    <xf numFmtId="4" fontId="94" fillId="103" borderId="171" xfId="0" applyNumberFormat="1" applyFont="1" applyFill="1" applyBorder="1" applyAlignment="1">
      <alignment horizontal="center"/>
    </xf>
    <xf numFmtId="182" fontId="286" fillId="0" borderId="0" xfId="0" applyNumberFormat="1" applyFont="1" applyAlignment="1">
      <alignment horizontal="center" vertical="center"/>
    </xf>
    <xf numFmtId="2" fontId="286" fillId="0" borderId="0" xfId="0" applyNumberFormat="1" applyFont="1" applyAlignment="1">
      <alignment horizontal="center" vertical="center"/>
    </xf>
    <xf numFmtId="3" fontId="291" fillId="0" borderId="0" xfId="0" applyNumberFormat="1" applyFont="1" applyAlignment="1">
      <alignment horizontal="center" vertical="center"/>
    </xf>
    <xf numFmtId="0" fontId="192" fillId="72" borderId="153" xfId="0" applyFont="1" applyFill="1" applyBorder="1" applyAlignment="1">
      <alignment horizontal="center" vertical="center"/>
    </xf>
    <xf numFmtId="183" fontId="290" fillId="37" borderId="0" xfId="0" applyNumberFormat="1" applyFont="1" applyFill="1" applyAlignment="1">
      <alignment horizontal="center" vertical="center"/>
    </xf>
    <xf numFmtId="0" fontId="290" fillId="37" borderId="0" xfId="0" applyFont="1" applyFill="1"/>
    <xf numFmtId="3" fontId="290" fillId="0" borderId="0" xfId="0" applyNumberFormat="1" applyFont="1" applyAlignment="1">
      <alignment horizontal="center" vertical="center"/>
    </xf>
    <xf numFmtId="2" fontId="286" fillId="37" borderId="0" xfId="322" applyNumberFormat="1" applyFont="1" applyFill="1" applyBorder="1" applyAlignment="1">
      <alignment horizontal="center" vertical="center"/>
    </xf>
    <xf numFmtId="186" fontId="336" fillId="37" borderId="140" xfId="28058" applyNumberFormat="1" applyFont="1" applyFill="1" applyBorder="1" applyAlignment="1" applyProtection="1">
      <alignment horizontal="center"/>
      <protection locked="0"/>
    </xf>
    <xf numFmtId="242" fontId="336" fillId="37" borderId="140" xfId="28058" applyNumberFormat="1" applyFont="1" applyFill="1" applyBorder="1" applyAlignment="1" applyProtection="1">
      <alignment horizontal="center"/>
      <protection locked="0"/>
    </xf>
    <xf numFmtId="272" fontId="114" fillId="37" borderId="22" xfId="306" applyNumberFormat="1" applyFont="1" applyFill="1" applyBorder="1" applyAlignment="1">
      <alignment horizontal="center" vertical="center"/>
    </xf>
    <xf numFmtId="183" fontId="305" fillId="0" borderId="0" xfId="229" applyNumberFormat="1" applyFont="1" applyFill="1" applyBorder="1" applyAlignment="1" applyProtection="1">
      <alignment horizontal="center"/>
      <protection locked="0"/>
    </xf>
    <xf numFmtId="0" fontId="176" fillId="38" borderId="154" xfId="0" applyFont="1" applyFill="1" applyBorder="1" applyAlignment="1">
      <alignment horizontal="center" vertical="center"/>
    </xf>
    <xf numFmtId="179" fontId="0" fillId="37" borderId="152" xfId="0" applyNumberFormat="1" applyFill="1" applyBorder="1" applyAlignment="1">
      <alignment horizontal="center" vertical="center"/>
    </xf>
    <xf numFmtId="179" fontId="0" fillId="37" borderId="168" xfId="0" applyNumberFormat="1" applyFill="1" applyBorder="1" applyAlignment="1">
      <alignment horizontal="center" vertical="center"/>
    </xf>
    <xf numFmtId="179" fontId="0" fillId="37" borderId="163" xfId="0" applyNumberFormat="1" applyFill="1" applyBorder="1" applyAlignment="1">
      <alignment horizontal="center" vertical="center"/>
    </xf>
    <xf numFmtId="0" fontId="192" fillId="72" borderId="153" xfId="0" applyFont="1" applyFill="1" applyBorder="1" applyAlignment="1">
      <alignment vertical="center"/>
    </xf>
    <xf numFmtId="4" fontId="0" fillId="37" borderId="153" xfId="0" applyNumberFormat="1" applyFill="1" applyBorder="1" applyAlignment="1">
      <alignment horizontal="center" vertical="center"/>
    </xf>
    <xf numFmtId="4" fontId="0" fillId="0" borderId="236" xfId="0" applyNumberFormat="1" applyBorder="1" applyAlignment="1">
      <alignment horizontal="center"/>
    </xf>
    <xf numFmtId="1" fontId="0" fillId="37" borderId="180" xfId="0" applyNumberFormat="1" applyFill="1" applyBorder="1" applyAlignment="1">
      <alignment horizontal="center" vertical="center"/>
    </xf>
    <xf numFmtId="3" fontId="0" fillId="0" borderId="237" xfId="0" applyNumberFormat="1" applyBorder="1" applyAlignment="1">
      <alignment horizontal="center" vertical="center"/>
    </xf>
    <xf numFmtId="176" fontId="0" fillId="37" borderId="165" xfId="0" applyNumberFormat="1" applyFill="1" applyBorder="1" applyAlignment="1">
      <alignment horizontal="center" vertical="center"/>
    </xf>
    <xf numFmtId="179" fontId="0" fillId="37" borderId="166" xfId="0" applyNumberFormat="1" applyFill="1" applyBorder="1" applyAlignment="1">
      <alignment horizontal="center" vertical="center"/>
    </xf>
    <xf numFmtId="176" fontId="0" fillId="37" borderId="167" xfId="0" applyNumberFormat="1" applyFill="1" applyBorder="1" applyAlignment="1">
      <alignment horizontal="center" vertical="center"/>
    </xf>
    <xf numFmtId="179" fontId="0" fillId="37" borderId="169" xfId="0" applyNumberFormat="1" applyFill="1" applyBorder="1" applyAlignment="1">
      <alignment horizontal="center" vertical="center"/>
    </xf>
    <xf numFmtId="176" fontId="0" fillId="37" borderId="162" xfId="0" applyNumberFormat="1" applyFill="1" applyBorder="1" applyAlignment="1">
      <alignment horizontal="center" vertical="center"/>
    </xf>
    <xf numFmtId="179" fontId="0" fillId="37" borderId="164" xfId="0" applyNumberFormat="1" applyFill="1" applyBorder="1" applyAlignment="1">
      <alignment horizontal="center" vertical="center"/>
    </xf>
    <xf numFmtId="176" fontId="0" fillId="0" borderId="170" xfId="0" applyNumberFormat="1" applyBorder="1" applyAlignment="1">
      <alignment horizontal="center"/>
    </xf>
    <xf numFmtId="0" fontId="337" fillId="102" borderId="221" xfId="0" applyFont="1" applyFill="1" applyBorder="1" applyAlignment="1">
      <alignment horizontal="center" vertical="center"/>
    </xf>
    <xf numFmtId="0" fontId="337" fillId="102" borderId="161" xfId="0" applyFont="1" applyFill="1" applyBorder="1" applyAlignment="1">
      <alignment horizontal="center" vertical="center"/>
    </xf>
    <xf numFmtId="0" fontId="337" fillId="102" borderId="222" xfId="0" applyFont="1" applyFill="1" applyBorder="1" applyAlignment="1">
      <alignment horizontal="center" vertical="center"/>
    </xf>
    <xf numFmtId="0" fontId="338" fillId="37" borderId="0" xfId="0" applyFont="1" applyFill="1"/>
    <xf numFmtId="179" fontId="270" fillId="0" borderId="113" xfId="0" applyNumberFormat="1" applyFont="1" applyBorder="1" applyAlignment="1">
      <alignment horizontal="center" vertical="center"/>
    </xf>
    <xf numFmtId="181" fontId="255" fillId="38" borderId="98" xfId="0" applyNumberFormat="1" applyFont="1" applyFill="1" applyBorder="1" applyAlignment="1">
      <alignment horizontal="center"/>
    </xf>
    <xf numFmtId="3" fontId="0" fillId="38" borderId="0" xfId="0" applyNumberFormat="1" applyFill="1" applyAlignment="1">
      <alignment vertical="center"/>
    </xf>
    <xf numFmtId="17" fontId="116" fillId="72" borderId="53" xfId="302" applyNumberFormat="1" applyFont="1" applyFill="1" applyBorder="1" applyAlignment="1">
      <alignment horizontal="center" vertical="center" wrapText="1"/>
    </xf>
    <xf numFmtId="222" fontId="0" fillId="0" borderId="0" xfId="0" applyNumberFormat="1" applyAlignment="1">
      <alignment horizontal="center" vertical="center"/>
    </xf>
    <xf numFmtId="17" fontId="116" fillId="72" borderId="47" xfId="302" applyNumberFormat="1" applyFont="1" applyFill="1" applyBorder="1" applyAlignment="1">
      <alignment horizontal="center" vertical="center" wrapText="1"/>
    </xf>
    <xf numFmtId="17" fontId="116" fillId="72" borderId="155" xfId="302" applyNumberFormat="1" applyFont="1" applyFill="1" applyBorder="1" applyAlignment="1">
      <alignment horizontal="center" vertical="center" wrapText="1"/>
    </xf>
    <xf numFmtId="188" fontId="116" fillId="72" borderId="31" xfId="233" applyNumberFormat="1" applyFont="1" applyFill="1" applyBorder="1" applyAlignment="1">
      <alignment vertical="center"/>
    </xf>
    <xf numFmtId="17" fontId="116" fillId="72" borderId="43" xfId="302" applyNumberFormat="1" applyFont="1" applyFill="1" applyBorder="1" applyAlignment="1">
      <alignment horizontal="center" vertical="center" wrapText="1"/>
    </xf>
    <xf numFmtId="17" fontId="116" fillId="72" borderId="51" xfId="302" applyNumberFormat="1" applyFont="1" applyFill="1" applyBorder="1" applyAlignment="1">
      <alignment horizontal="center" vertical="center" wrapText="1"/>
    </xf>
    <xf numFmtId="17" fontId="116" fillId="99" borderId="47" xfId="302" applyNumberFormat="1" applyFont="1" applyFill="1" applyBorder="1" applyAlignment="1">
      <alignment horizontal="center" vertical="center" wrapText="1"/>
    </xf>
    <xf numFmtId="17" fontId="116" fillId="99" borderId="43" xfId="302" applyNumberFormat="1" applyFont="1" applyFill="1" applyBorder="1" applyAlignment="1">
      <alignment horizontal="center" vertical="center" wrapText="1"/>
    </xf>
    <xf numFmtId="2" fontId="108" fillId="99" borderId="11" xfId="306" applyNumberFormat="1" applyFont="1" applyFill="1" applyBorder="1" applyAlignment="1">
      <alignment horizontal="center" vertical="center"/>
    </xf>
    <xf numFmtId="0" fontId="113" fillId="99" borderId="0" xfId="306" applyFont="1" applyFill="1" applyAlignment="1">
      <alignment vertical="center"/>
    </xf>
    <xf numFmtId="0" fontId="113" fillId="99" borderId="0" xfId="0" applyFont="1" applyFill="1"/>
    <xf numFmtId="0" fontId="312" fillId="116" borderId="39" xfId="306" applyFont="1" applyFill="1" applyBorder="1" applyAlignment="1">
      <alignment vertical="center"/>
    </xf>
    <xf numFmtId="0" fontId="114" fillId="0" borderId="11" xfId="0" applyFont="1" applyBorder="1"/>
    <xf numFmtId="0" fontId="114" fillId="0" borderId="11" xfId="0" applyFont="1" applyBorder="1" applyAlignment="1">
      <alignment horizontal="left"/>
    </xf>
    <xf numFmtId="0" fontId="108" fillId="0" borderId="0" xfId="306" applyFont="1" applyAlignment="1">
      <alignment horizontal="center"/>
    </xf>
    <xf numFmtId="0" fontId="110" fillId="0" borderId="11" xfId="0" applyFont="1" applyBorder="1" applyAlignment="1">
      <alignment horizontal="center"/>
    </xf>
    <xf numFmtId="0" fontId="108" fillId="0" borderId="0" xfId="0" applyFont="1" applyAlignment="1">
      <alignment horizontal="center"/>
    </xf>
    <xf numFmtId="261" fontId="113" fillId="37" borderId="11" xfId="229" applyNumberFormat="1" applyFont="1" applyFill="1" applyBorder="1" applyAlignment="1">
      <alignment horizontal="center" vertical="center"/>
    </xf>
    <xf numFmtId="176" fontId="113" fillId="99" borderId="11" xfId="306" applyNumberFormat="1" applyFont="1" applyFill="1" applyBorder="1" applyAlignment="1">
      <alignment horizontal="center" vertical="center"/>
    </xf>
    <xf numFmtId="176" fontId="113" fillId="0" borderId="14" xfId="306" applyNumberFormat="1" applyFont="1" applyBorder="1" applyAlignment="1">
      <alignment horizontal="center" vertical="center"/>
    </xf>
    <xf numFmtId="1" fontId="113" fillId="0" borderId="11" xfId="232" applyNumberFormat="1" applyFont="1" applyFill="1" applyBorder="1" applyAlignment="1" applyProtection="1">
      <alignment horizontal="center" vertical="center"/>
      <protection hidden="1"/>
    </xf>
    <xf numFmtId="1" fontId="113" fillId="99" borderId="11" xfId="232" applyNumberFormat="1" applyFont="1" applyFill="1" applyBorder="1" applyAlignment="1" applyProtection="1">
      <alignment horizontal="center" vertical="center"/>
      <protection hidden="1"/>
    </xf>
    <xf numFmtId="1" fontId="113" fillId="0" borderId="14" xfId="232" applyNumberFormat="1" applyFont="1" applyFill="1" applyBorder="1" applyAlignment="1" applyProtection="1">
      <alignment horizontal="center" vertical="center"/>
      <protection hidden="1"/>
    </xf>
    <xf numFmtId="0" fontId="113" fillId="99" borderId="0" xfId="306" applyFont="1" applyFill="1"/>
    <xf numFmtId="179" fontId="113" fillId="99" borderId="11" xfId="306" applyNumberFormat="1" applyFont="1" applyFill="1" applyBorder="1" applyAlignment="1">
      <alignment horizontal="center" vertical="center"/>
    </xf>
    <xf numFmtId="179" fontId="113" fillId="0" borderId="14" xfId="306" applyNumberFormat="1" applyFont="1" applyBorder="1" applyAlignment="1">
      <alignment horizontal="center" vertical="center"/>
    </xf>
    <xf numFmtId="181" fontId="113" fillId="37" borderId="11" xfId="306" applyNumberFormat="1" applyFont="1" applyFill="1" applyBorder="1" applyAlignment="1">
      <alignment horizontal="center" vertical="center"/>
    </xf>
    <xf numFmtId="181" fontId="113" fillId="99" borderId="11" xfId="306" applyNumberFormat="1" applyFont="1" applyFill="1" applyBorder="1" applyAlignment="1">
      <alignment horizontal="center" vertical="center"/>
    </xf>
    <xf numFmtId="181" fontId="113" fillId="37" borderId="14" xfId="306" applyNumberFormat="1" applyFont="1" applyFill="1" applyBorder="1" applyAlignment="1">
      <alignment horizontal="center" vertical="center"/>
    </xf>
    <xf numFmtId="179" fontId="113" fillId="37" borderId="14" xfId="306" applyNumberFormat="1" applyFont="1" applyFill="1" applyBorder="1" applyAlignment="1">
      <alignment horizontal="center" vertical="center"/>
    </xf>
    <xf numFmtId="3" fontId="113" fillId="99" borderId="11" xfId="306" applyNumberFormat="1" applyFont="1" applyFill="1" applyBorder="1" applyAlignment="1">
      <alignment horizontal="center" vertical="center"/>
    </xf>
    <xf numFmtId="3" fontId="113" fillId="37" borderId="14" xfId="306" applyNumberFormat="1" applyFont="1" applyFill="1" applyBorder="1" applyAlignment="1">
      <alignment horizontal="center" vertical="center"/>
    </xf>
    <xf numFmtId="176" fontId="113" fillId="37" borderId="14" xfId="306" applyNumberFormat="1" applyFont="1" applyFill="1" applyBorder="1" applyAlignment="1">
      <alignment horizontal="center" vertical="center"/>
    </xf>
    <xf numFmtId="10" fontId="113" fillId="99" borderId="11" xfId="306" applyNumberFormat="1" applyFont="1" applyFill="1" applyBorder="1" applyAlignment="1">
      <alignment horizontal="center" vertical="center"/>
    </xf>
    <xf numFmtId="10" fontId="113" fillId="37" borderId="14" xfId="306" applyNumberFormat="1" applyFont="1" applyFill="1" applyBorder="1" applyAlignment="1">
      <alignment horizontal="center" vertical="center"/>
    </xf>
    <xf numFmtId="1" fontId="113" fillId="99" borderId="11" xfId="306" applyNumberFormat="1" applyFont="1" applyFill="1" applyBorder="1" applyAlignment="1">
      <alignment horizontal="center" vertical="center"/>
    </xf>
    <xf numFmtId="0" fontId="114" fillId="99" borderId="0" xfId="306" applyFont="1" applyFill="1" applyAlignment="1">
      <alignment horizontal="center" vertical="center"/>
    </xf>
    <xf numFmtId="3" fontId="113" fillId="37" borderId="22" xfId="306" applyNumberFormat="1" applyFont="1" applyFill="1" applyBorder="1" applyAlignment="1">
      <alignment horizontal="center" vertical="center"/>
    </xf>
    <xf numFmtId="2" fontId="113" fillId="99" borderId="11" xfId="306" applyNumberFormat="1" applyFont="1" applyFill="1" applyBorder="1" applyAlignment="1">
      <alignment horizontal="center" vertical="center"/>
    </xf>
    <xf numFmtId="2" fontId="113" fillId="37" borderId="14" xfId="306" applyNumberFormat="1" applyFont="1" applyFill="1" applyBorder="1" applyAlignment="1">
      <alignment horizontal="center" vertical="center"/>
    </xf>
    <xf numFmtId="0" fontId="114" fillId="99" borderId="11" xfId="0" applyFont="1" applyFill="1" applyBorder="1"/>
    <xf numFmtId="0" fontId="114" fillId="0" borderId="14" xfId="0" applyFont="1" applyBorder="1"/>
    <xf numFmtId="0" fontId="114" fillId="37" borderId="11" xfId="0" applyFont="1" applyFill="1" applyBorder="1"/>
    <xf numFmtId="0" fontId="114" fillId="99" borderId="11" xfId="0" applyFont="1" applyFill="1" applyBorder="1" applyAlignment="1">
      <alignment horizontal="left"/>
    </xf>
    <xf numFmtId="0" fontId="114" fillId="0" borderId="14" xfId="0" applyFont="1" applyBorder="1" applyAlignment="1">
      <alignment horizontal="left"/>
    </xf>
    <xf numFmtId="0" fontId="114" fillId="37" borderId="11" xfId="0" applyFont="1" applyFill="1" applyBorder="1" applyAlignment="1">
      <alignment horizontal="left"/>
    </xf>
    <xf numFmtId="179" fontId="113" fillId="118" borderId="11" xfId="306" applyNumberFormat="1" applyFont="1" applyFill="1" applyBorder="1" applyAlignment="1">
      <alignment horizontal="center" vertical="center"/>
    </xf>
    <xf numFmtId="183" fontId="113" fillId="118" borderId="22" xfId="306" applyNumberFormat="1" applyFont="1" applyFill="1" applyBorder="1" applyAlignment="1">
      <alignment horizontal="center" vertical="center"/>
    </xf>
    <xf numFmtId="3" fontId="113" fillId="118" borderId="11" xfId="306" applyNumberFormat="1" applyFont="1" applyFill="1" applyBorder="1" applyAlignment="1">
      <alignment horizontal="center" vertical="center"/>
    </xf>
    <xf numFmtId="1" fontId="113" fillId="118" borderId="11" xfId="306" applyNumberFormat="1" applyFont="1" applyFill="1" applyBorder="1" applyAlignment="1">
      <alignment horizontal="center" vertical="center"/>
    </xf>
    <xf numFmtId="182" fontId="113" fillId="118" borderId="11" xfId="306" applyNumberFormat="1" applyFont="1" applyFill="1" applyBorder="1" applyAlignment="1">
      <alignment horizontal="center" vertical="center"/>
    </xf>
    <xf numFmtId="4" fontId="113" fillId="118" borderId="11" xfId="306" applyNumberFormat="1" applyFont="1" applyFill="1" applyBorder="1" applyAlignment="1">
      <alignment horizontal="center" vertical="center"/>
    </xf>
    <xf numFmtId="10" fontId="113" fillId="118" borderId="11" xfId="306" applyNumberFormat="1" applyFont="1" applyFill="1" applyBorder="1" applyAlignment="1">
      <alignment horizontal="center" vertical="center"/>
    </xf>
    <xf numFmtId="196" fontId="113" fillId="118" borderId="11" xfId="229" applyNumberFormat="1" applyFont="1" applyFill="1" applyBorder="1" applyAlignment="1">
      <alignment horizontal="center" vertical="center"/>
    </xf>
    <xf numFmtId="2" fontId="113" fillId="118" borderId="11" xfId="306" applyNumberFormat="1" applyFont="1" applyFill="1" applyBorder="1" applyAlignment="1">
      <alignment horizontal="center" vertical="center"/>
    </xf>
    <xf numFmtId="166" fontId="114" fillId="118" borderId="22" xfId="31096" applyFont="1" applyFill="1" applyBorder="1" applyAlignment="1">
      <alignment horizontal="center" vertical="center"/>
    </xf>
    <xf numFmtId="176" fontId="113" fillId="118" borderId="11" xfId="306" applyNumberFormat="1" applyFont="1" applyFill="1" applyBorder="1" applyAlignment="1">
      <alignment horizontal="center" vertical="center"/>
    </xf>
    <xf numFmtId="179" fontId="113" fillId="118" borderId="0" xfId="306" applyNumberFormat="1" applyFont="1" applyFill="1" applyAlignment="1">
      <alignment vertical="center"/>
    </xf>
    <xf numFmtId="261" fontId="113" fillId="118" borderId="11" xfId="229" applyNumberFormat="1" applyFont="1" applyFill="1" applyBorder="1" applyAlignment="1">
      <alignment horizontal="center" vertical="center"/>
    </xf>
    <xf numFmtId="0" fontId="113" fillId="118" borderId="0" xfId="306" applyFont="1" applyFill="1" applyAlignment="1">
      <alignment vertical="center"/>
    </xf>
    <xf numFmtId="176" fontId="113" fillId="118" borderId="0" xfId="306" applyNumberFormat="1" applyFont="1" applyFill="1" applyAlignment="1">
      <alignment vertical="center"/>
    </xf>
    <xf numFmtId="3" fontId="113" fillId="118" borderId="0" xfId="306" applyNumberFormat="1" applyFont="1" applyFill="1" applyAlignment="1">
      <alignment horizontal="center" vertical="center"/>
    </xf>
    <xf numFmtId="180" fontId="339" fillId="0" borderId="0" xfId="0" applyNumberFormat="1" applyFont="1"/>
    <xf numFmtId="180" fontId="340" fillId="0" borderId="0" xfId="0" applyNumberFormat="1" applyFont="1"/>
    <xf numFmtId="180" fontId="340" fillId="0" borderId="0" xfId="0" applyNumberFormat="1" applyFont="1" applyAlignment="1">
      <alignment horizontal="center"/>
    </xf>
    <xf numFmtId="182" fontId="340" fillId="0" borderId="0" xfId="0" applyNumberFormat="1" applyFont="1"/>
    <xf numFmtId="0" fontId="341" fillId="128" borderId="0" xfId="0" applyFont="1" applyFill="1" applyAlignment="1">
      <alignment vertical="center"/>
    </xf>
    <xf numFmtId="0" fontId="342" fillId="128" borderId="0" xfId="0" applyFont="1" applyFill="1" applyAlignment="1">
      <alignment vertical="center"/>
    </xf>
    <xf numFmtId="0" fontId="342" fillId="128" borderId="0" xfId="0" applyFont="1" applyFill="1" applyAlignment="1">
      <alignment horizontal="center" vertical="center"/>
    </xf>
    <xf numFmtId="180" fontId="340" fillId="128" borderId="0" xfId="0" applyNumberFormat="1" applyFont="1" applyFill="1"/>
    <xf numFmtId="0" fontId="343" fillId="0" borderId="0" xfId="0" applyFont="1" applyAlignment="1">
      <alignment horizontal="center"/>
    </xf>
    <xf numFmtId="180" fontId="344" fillId="0" borderId="0" xfId="0" applyNumberFormat="1" applyFont="1" applyAlignment="1">
      <alignment horizontal="center"/>
    </xf>
    <xf numFmtId="0" fontId="345" fillId="0" borderId="0" xfId="0" applyFont="1" applyAlignment="1">
      <alignment horizontal="center" vertical="center"/>
    </xf>
    <xf numFmtId="215" fontId="345" fillId="0" borderId="0" xfId="0" applyNumberFormat="1" applyFont="1" applyAlignment="1">
      <alignment vertical="center"/>
    </xf>
    <xf numFmtId="180" fontId="339" fillId="0" borderId="0" xfId="0" applyNumberFormat="1" applyFont="1" applyAlignment="1">
      <alignment vertical="center"/>
    </xf>
    <xf numFmtId="180" fontId="346" fillId="129" borderId="0" xfId="0" applyNumberFormat="1" applyFont="1" applyFill="1" applyAlignment="1">
      <alignment horizontal="left"/>
    </xf>
    <xf numFmtId="180" fontId="346" fillId="129" borderId="0" xfId="0" applyNumberFormat="1" applyFont="1" applyFill="1" applyAlignment="1">
      <alignment horizontal="center"/>
    </xf>
    <xf numFmtId="180" fontId="347" fillId="129" borderId="0" xfId="0" applyNumberFormat="1" applyFont="1" applyFill="1" applyAlignment="1">
      <alignment horizontal="center"/>
    </xf>
    <xf numFmtId="3" fontId="348" fillId="129" borderId="0" xfId="0" applyNumberFormat="1" applyFont="1" applyFill="1" applyAlignment="1">
      <alignment horizontal="center"/>
    </xf>
    <xf numFmtId="182" fontId="349" fillId="0" borderId="0" xfId="0" applyNumberFormat="1" applyFont="1"/>
    <xf numFmtId="0" fontId="288" fillId="129" borderId="0" xfId="0" applyFont="1" applyFill="1" applyAlignment="1">
      <alignment horizontal="center" vertical="center" wrapText="1"/>
    </xf>
    <xf numFmtId="180" fontId="286" fillId="0" borderId="0" xfId="0" applyNumberFormat="1" applyFont="1"/>
    <xf numFmtId="180" fontId="342" fillId="129" borderId="0" xfId="0" applyNumberFormat="1" applyFont="1" applyFill="1" applyAlignment="1">
      <alignment horizontal="left" vertical="center"/>
    </xf>
    <xf numFmtId="180" fontId="350" fillId="129" borderId="0" xfId="0" applyNumberFormat="1" applyFont="1" applyFill="1" applyAlignment="1">
      <alignment horizontal="center" vertical="center"/>
    </xf>
    <xf numFmtId="180" fontId="342" fillId="129" borderId="0" xfId="0" applyNumberFormat="1" applyFont="1" applyFill="1" applyAlignment="1">
      <alignment horizontal="center" vertical="center"/>
    </xf>
    <xf numFmtId="17" fontId="288" fillId="129" borderId="0" xfId="0" applyNumberFormat="1" applyFont="1" applyFill="1" applyAlignment="1">
      <alignment horizontal="center" vertical="center"/>
    </xf>
    <xf numFmtId="182" fontId="286" fillId="0" borderId="0" xfId="0" applyNumberFormat="1" applyFont="1"/>
    <xf numFmtId="17" fontId="351" fillId="129" borderId="0" xfId="0" applyNumberFormat="1" applyFont="1" applyFill="1" applyAlignment="1">
      <alignment horizontal="center" vertical="center"/>
    </xf>
    <xf numFmtId="180" fontId="340" fillId="0" borderId="0" xfId="0" applyNumberFormat="1" applyFont="1" applyAlignment="1">
      <alignment vertical="center"/>
    </xf>
    <xf numFmtId="180" fontId="343" fillId="0" borderId="0" xfId="0" applyNumberFormat="1" applyFont="1" applyAlignment="1">
      <alignment horizontal="left"/>
    </xf>
    <xf numFmtId="180" fontId="352" fillId="0" borderId="0" xfId="0" applyNumberFormat="1" applyFont="1" applyAlignment="1">
      <alignment horizontal="center"/>
    </xf>
    <xf numFmtId="180" fontId="353" fillId="0" borderId="0" xfId="0" applyNumberFormat="1" applyFont="1" applyAlignment="1">
      <alignment horizontal="center"/>
    </xf>
    <xf numFmtId="3" fontId="354" fillId="0" borderId="0" xfId="0" applyNumberFormat="1" applyFont="1" applyAlignment="1">
      <alignment horizontal="center" vertical="center"/>
    </xf>
    <xf numFmtId="3" fontId="340" fillId="0" borderId="0" xfId="0" applyNumberFormat="1" applyFont="1" applyAlignment="1">
      <alignment horizontal="center" vertical="center"/>
    </xf>
    <xf numFmtId="273" fontId="340" fillId="0" borderId="239" xfId="0" applyNumberFormat="1" applyFont="1" applyBorder="1"/>
    <xf numFmtId="3" fontId="340" fillId="93" borderId="239" xfId="0" applyNumberFormat="1" applyFont="1" applyFill="1" applyBorder="1" applyAlignment="1">
      <alignment horizontal="center"/>
    </xf>
    <xf numFmtId="274" fontId="343" fillId="93" borderId="239" xfId="0" applyNumberFormat="1" applyFont="1" applyFill="1" applyBorder="1"/>
    <xf numFmtId="182" fontId="356" fillId="0" borderId="0" xfId="0" applyNumberFormat="1" applyFont="1"/>
    <xf numFmtId="185" fontId="340" fillId="0" borderId="0" xfId="0" applyNumberFormat="1" applyFont="1"/>
    <xf numFmtId="3" fontId="357" fillId="93" borderId="240" xfId="0" applyNumberFormat="1" applyFont="1" applyFill="1" applyBorder="1" applyAlignment="1">
      <alignment horizontal="center"/>
    </xf>
    <xf numFmtId="274" fontId="358" fillId="93" borderId="240" xfId="0" applyNumberFormat="1" applyFont="1" applyFill="1" applyBorder="1"/>
    <xf numFmtId="3" fontId="340" fillId="76" borderId="239" xfId="0" applyNumberFormat="1" applyFont="1" applyFill="1" applyBorder="1" applyAlignment="1">
      <alignment horizontal="center"/>
    </xf>
    <xf numFmtId="275" fontId="340" fillId="76" borderId="239" xfId="0" applyNumberFormat="1" applyFont="1" applyFill="1" applyBorder="1"/>
    <xf numFmtId="276" fontId="340" fillId="76" borderId="239" xfId="0" applyNumberFormat="1" applyFont="1" applyFill="1" applyBorder="1"/>
    <xf numFmtId="4" fontId="359" fillId="0" borderId="0" xfId="0" applyNumberFormat="1" applyFont="1"/>
    <xf numFmtId="276" fontId="359" fillId="0" borderId="0" xfId="0" applyNumberFormat="1" applyFont="1"/>
    <xf numFmtId="3" fontId="357" fillId="76" borderId="240" xfId="0" applyNumberFormat="1" applyFont="1" applyFill="1" applyBorder="1" applyAlignment="1">
      <alignment horizontal="center"/>
    </xf>
    <xf numFmtId="275" fontId="357" fillId="76" borderId="240" xfId="0" applyNumberFormat="1" applyFont="1" applyFill="1" applyBorder="1"/>
    <xf numFmtId="276" fontId="357" fillId="76" borderId="240" xfId="0" applyNumberFormat="1" applyFont="1" applyFill="1" applyBorder="1"/>
    <xf numFmtId="274" fontId="340" fillId="76" borderId="239" xfId="0" applyNumberFormat="1" applyFont="1" applyFill="1" applyBorder="1"/>
    <xf numFmtId="274" fontId="359" fillId="0" borderId="0" xfId="0" applyNumberFormat="1" applyFont="1"/>
    <xf numFmtId="274" fontId="357" fillId="76" borderId="240" xfId="0" applyNumberFormat="1" applyFont="1" applyFill="1" applyBorder="1"/>
    <xf numFmtId="276" fontId="360" fillId="76" borderId="0" xfId="0" applyNumberFormat="1" applyFont="1" applyFill="1"/>
    <xf numFmtId="276" fontId="360" fillId="76" borderId="239" xfId="0" applyNumberFormat="1" applyFont="1" applyFill="1" applyBorder="1"/>
    <xf numFmtId="273" fontId="340" fillId="76" borderId="239" xfId="0" applyNumberFormat="1" applyFont="1" applyFill="1" applyBorder="1"/>
    <xf numFmtId="273" fontId="357" fillId="76" borderId="240" xfId="0" applyNumberFormat="1" applyFont="1" applyFill="1" applyBorder="1"/>
    <xf numFmtId="276" fontId="357" fillId="0" borderId="0" xfId="0" applyNumberFormat="1" applyFont="1"/>
    <xf numFmtId="273" fontId="343" fillId="93" borderId="239" xfId="0" applyNumberFormat="1" applyFont="1" applyFill="1" applyBorder="1"/>
    <xf numFmtId="273" fontId="356" fillId="0" borderId="0" xfId="0" applyNumberFormat="1" applyFont="1"/>
    <xf numFmtId="273" fontId="358" fillId="93" borderId="240" xfId="0" applyNumberFormat="1" applyFont="1" applyFill="1" applyBorder="1"/>
    <xf numFmtId="275" fontId="343" fillId="76" borderId="239" xfId="0" applyNumberFormat="1" applyFont="1" applyFill="1" applyBorder="1"/>
    <xf numFmtId="275" fontId="356" fillId="0" borderId="0" xfId="0" applyNumberFormat="1" applyFont="1"/>
    <xf numFmtId="275" fontId="358" fillId="76" borderId="240" xfId="0" applyNumberFormat="1" applyFont="1" applyFill="1" applyBorder="1"/>
    <xf numFmtId="274" fontId="358" fillId="0" borderId="0" xfId="0" applyNumberFormat="1" applyFont="1"/>
    <xf numFmtId="275" fontId="358" fillId="0" borderId="0" xfId="0" applyNumberFormat="1" applyFont="1"/>
    <xf numFmtId="274" fontId="360" fillId="76" borderId="239" xfId="0" applyNumberFormat="1" applyFont="1" applyFill="1" applyBorder="1"/>
    <xf numFmtId="182" fontId="360" fillId="0" borderId="0" xfId="0" applyNumberFormat="1" applyFont="1"/>
    <xf numFmtId="182" fontId="359" fillId="0" borderId="0" xfId="0" applyNumberFormat="1" applyFont="1"/>
    <xf numFmtId="273" fontId="359" fillId="0" borderId="0" xfId="0" applyNumberFormat="1" applyFont="1"/>
    <xf numFmtId="275" fontId="360" fillId="76" borderId="239" xfId="0" applyNumberFormat="1" applyFont="1" applyFill="1" applyBorder="1"/>
    <xf numFmtId="4" fontId="360" fillId="0" borderId="0" xfId="0" applyNumberFormat="1" applyFont="1"/>
    <xf numFmtId="275" fontId="360" fillId="0" borderId="0" xfId="0" applyNumberFormat="1" applyFont="1"/>
    <xf numFmtId="275" fontId="359" fillId="0" borderId="0" xfId="0" applyNumberFormat="1" applyFont="1"/>
    <xf numFmtId="273" fontId="360" fillId="76" borderId="239" xfId="0" applyNumberFormat="1" applyFont="1" applyFill="1" applyBorder="1"/>
    <xf numFmtId="180" fontId="340" fillId="0" borderId="0" xfId="0" applyNumberFormat="1" applyFont="1" applyAlignment="1">
      <alignment horizontal="left"/>
    </xf>
    <xf numFmtId="3" fontId="340" fillId="0" borderId="0" xfId="0" applyNumberFormat="1" applyFont="1" applyAlignment="1">
      <alignment horizontal="center"/>
    </xf>
    <xf numFmtId="4" fontId="340" fillId="0" borderId="0" xfId="0" applyNumberFormat="1" applyFont="1"/>
    <xf numFmtId="273" fontId="357" fillId="0" borderId="240" xfId="0" applyNumberFormat="1" applyFont="1" applyBorder="1"/>
    <xf numFmtId="277" fontId="340" fillId="0" borderId="0" xfId="0" applyNumberFormat="1" applyFont="1"/>
    <xf numFmtId="167" fontId="357" fillId="76" borderId="240" xfId="0" applyNumberFormat="1" applyFont="1" applyFill="1" applyBorder="1"/>
    <xf numFmtId="273" fontId="357" fillId="0" borderId="0" xfId="0" applyNumberFormat="1" applyFont="1"/>
    <xf numFmtId="275" fontId="343" fillId="93" borderId="239" xfId="0" applyNumberFormat="1" applyFont="1" applyFill="1" applyBorder="1"/>
    <xf numFmtId="278" fontId="340" fillId="0" borderId="0" xfId="0" applyNumberFormat="1" applyFont="1"/>
    <xf numFmtId="179" fontId="358" fillId="93" borderId="240" xfId="0" applyNumberFormat="1" applyFont="1" applyFill="1" applyBorder="1"/>
    <xf numFmtId="176" fontId="358" fillId="93" borderId="240" xfId="0" applyNumberFormat="1" applyFont="1" applyFill="1" applyBorder="1"/>
    <xf numFmtId="182" fontId="358" fillId="0" borderId="0" xfId="0" applyNumberFormat="1" applyFont="1"/>
    <xf numFmtId="275" fontId="358" fillId="93" borderId="240" xfId="0" applyNumberFormat="1" applyFont="1" applyFill="1" applyBorder="1"/>
    <xf numFmtId="180" fontId="361" fillId="0" borderId="0" xfId="0" applyNumberFormat="1" applyFont="1" applyAlignment="1">
      <alignment horizontal="left"/>
    </xf>
    <xf numFmtId="166" fontId="340" fillId="0" borderId="0" xfId="0" applyNumberFormat="1" applyFont="1"/>
    <xf numFmtId="2" fontId="340" fillId="0" borderId="0" xfId="0" applyNumberFormat="1" applyFont="1"/>
    <xf numFmtId="9" fontId="340" fillId="0" borderId="0" xfId="0" applyNumberFormat="1" applyFont="1"/>
    <xf numFmtId="3" fontId="340" fillId="0" borderId="0" xfId="0" applyNumberFormat="1" applyFont="1"/>
    <xf numFmtId="215" fontId="362" fillId="0" borderId="0" xfId="0" applyNumberFormat="1" applyFont="1"/>
    <xf numFmtId="215" fontId="348" fillId="0" borderId="0" xfId="0" applyNumberFormat="1" applyFont="1" applyAlignment="1">
      <alignment horizontal="center"/>
    </xf>
    <xf numFmtId="3" fontId="348" fillId="0" borderId="0" xfId="0" applyNumberFormat="1" applyFont="1" applyAlignment="1">
      <alignment horizontal="left"/>
    </xf>
    <xf numFmtId="176" fontId="348" fillId="0" borderId="0" xfId="0" applyNumberFormat="1" applyFont="1" applyAlignment="1">
      <alignment horizontal="center"/>
    </xf>
    <xf numFmtId="279" fontId="340" fillId="76" borderId="239" xfId="0" applyNumberFormat="1" applyFont="1" applyFill="1" applyBorder="1"/>
    <xf numFmtId="279" fontId="359" fillId="0" borderId="0" xfId="0" applyNumberFormat="1" applyFont="1"/>
    <xf numFmtId="279" fontId="340" fillId="0" borderId="0" xfId="0" applyNumberFormat="1" applyFont="1"/>
    <xf numFmtId="279" fontId="357" fillId="76" borderId="240" xfId="0" applyNumberFormat="1" applyFont="1" applyFill="1" applyBorder="1"/>
    <xf numFmtId="280" fontId="340" fillId="76" borderId="239" xfId="0" applyNumberFormat="1" applyFont="1" applyFill="1" applyBorder="1"/>
    <xf numFmtId="280" fontId="359" fillId="0" borderId="0" xfId="0" applyNumberFormat="1" applyFont="1"/>
    <xf numFmtId="280" fontId="340" fillId="0" borderId="0" xfId="0" applyNumberFormat="1" applyFont="1"/>
    <xf numFmtId="280" fontId="357" fillId="76" borderId="240" xfId="0" applyNumberFormat="1" applyFont="1" applyFill="1" applyBorder="1"/>
    <xf numFmtId="178" fontId="348" fillId="0" borderId="0" xfId="0" applyNumberFormat="1" applyFont="1" applyAlignment="1">
      <alignment horizontal="center"/>
    </xf>
    <xf numFmtId="281" fontId="340" fillId="76" borderId="239" xfId="0" applyNumberFormat="1" applyFont="1" applyFill="1" applyBorder="1"/>
    <xf numFmtId="281" fontId="357" fillId="76" borderId="240" xfId="0" applyNumberFormat="1" applyFont="1" applyFill="1" applyBorder="1"/>
    <xf numFmtId="277" fontId="340" fillId="76" borderId="239" xfId="31096" applyNumberFormat="1" applyFont="1" applyFill="1" applyBorder="1" applyAlignment="1"/>
    <xf numFmtId="277" fontId="357" fillId="76" borderId="240" xfId="31096" applyNumberFormat="1" applyFont="1" applyFill="1" applyBorder="1" applyAlignment="1"/>
    <xf numFmtId="3" fontId="359" fillId="0" borderId="0" xfId="0" applyNumberFormat="1" applyFont="1"/>
    <xf numFmtId="180" fontId="344" fillId="0" borderId="239" xfId="0" applyNumberFormat="1" applyFont="1" applyBorder="1" applyAlignment="1">
      <alignment vertical="center"/>
    </xf>
    <xf numFmtId="3" fontId="340" fillId="0" borderId="239" xfId="0" applyNumberFormat="1" applyFont="1" applyBorder="1" applyAlignment="1">
      <alignment horizontal="center"/>
    </xf>
    <xf numFmtId="3" fontId="293" fillId="76" borderId="239" xfId="0" applyNumberFormat="1" applyFont="1" applyFill="1" applyBorder="1" applyAlignment="1">
      <alignment horizontal="center"/>
    </xf>
    <xf numFmtId="3" fontId="363" fillId="76" borderId="0" xfId="0" applyNumberFormat="1" applyFont="1" applyFill="1" applyAlignment="1">
      <alignment horizontal="center"/>
    </xf>
    <xf numFmtId="3" fontId="363" fillId="76" borderId="240" xfId="0" applyNumberFormat="1" applyFont="1" applyFill="1" applyBorder="1" applyAlignment="1">
      <alignment horizontal="center"/>
    </xf>
    <xf numFmtId="3" fontId="293" fillId="76" borderId="0" xfId="0" applyNumberFormat="1" applyFont="1" applyFill="1" applyAlignment="1">
      <alignment horizontal="center"/>
    </xf>
    <xf numFmtId="274" fontId="340" fillId="0" borderId="239" xfId="0" applyNumberFormat="1" applyFont="1" applyBorder="1"/>
    <xf numFmtId="3" fontId="357" fillId="0" borderId="240" xfId="0" applyNumberFormat="1" applyFont="1" applyBorder="1" applyAlignment="1">
      <alignment horizontal="center"/>
    </xf>
    <xf numFmtId="3" fontId="357" fillId="0" borderId="240" xfId="0" applyNumberFormat="1" applyFont="1" applyBorder="1"/>
    <xf numFmtId="274" fontId="357" fillId="0" borderId="240" xfId="0" applyNumberFormat="1" applyFont="1" applyBorder="1"/>
    <xf numFmtId="180" fontId="340" fillId="0" borderId="239" xfId="0" applyNumberFormat="1" applyFont="1" applyBorder="1" applyAlignment="1">
      <alignment vertical="center" wrapText="1"/>
    </xf>
    <xf numFmtId="281" fontId="340" fillId="0" borderId="0" xfId="0" applyNumberFormat="1" applyFont="1"/>
    <xf numFmtId="182" fontId="339" fillId="0" borderId="0" xfId="0" applyNumberFormat="1" applyFont="1"/>
    <xf numFmtId="180" fontId="340" fillId="0" borderId="240" xfId="0" applyNumberFormat="1" applyFont="1" applyBorder="1" applyAlignment="1">
      <alignment vertical="center" wrapText="1"/>
    </xf>
    <xf numFmtId="180" fontId="344" fillId="0" borderId="240" xfId="0" applyNumberFormat="1" applyFont="1" applyBorder="1" applyAlignment="1">
      <alignment vertical="center"/>
    </xf>
    <xf numFmtId="180" fontId="340" fillId="76" borderId="0" xfId="0" applyNumberFormat="1" applyFont="1" applyFill="1"/>
    <xf numFmtId="183" fontId="340" fillId="0" borderId="0" xfId="0" applyNumberFormat="1" applyFont="1"/>
    <xf numFmtId="282" fontId="340" fillId="76" borderId="239" xfId="0" applyNumberFormat="1" applyFont="1" applyFill="1" applyBorder="1"/>
    <xf numFmtId="282" fontId="357" fillId="76" borderId="240" xfId="0" applyNumberFormat="1" applyFont="1" applyFill="1" applyBorder="1"/>
    <xf numFmtId="281" fontId="359" fillId="0" borderId="0" xfId="0" applyNumberFormat="1" applyFont="1"/>
    <xf numFmtId="0" fontId="0" fillId="76" borderId="241" xfId="0" applyFill="1" applyBorder="1" applyAlignment="1">
      <alignment vertical="center"/>
    </xf>
    <xf numFmtId="182" fontId="340" fillId="76" borderId="241" xfId="0" applyNumberFormat="1" applyFont="1" applyFill="1" applyBorder="1"/>
    <xf numFmtId="182" fontId="340" fillId="76" borderId="241" xfId="0" applyNumberFormat="1" applyFont="1" applyFill="1" applyBorder="1" applyAlignment="1">
      <alignment horizontal="center"/>
    </xf>
    <xf numFmtId="1" fontId="284" fillId="37" borderId="140" xfId="0" applyNumberFormat="1" applyFont="1" applyFill="1" applyBorder="1" applyAlignment="1" applyProtection="1">
      <alignment horizontal="center"/>
      <protection locked="0"/>
    </xf>
    <xf numFmtId="167" fontId="284" fillId="37" borderId="140" xfId="28058" applyFont="1" applyFill="1" applyBorder="1" applyAlignment="1" applyProtection="1">
      <alignment horizontal="center"/>
      <protection locked="0"/>
    </xf>
    <xf numFmtId="185" fontId="295" fillId="37" borderId="140" xfId="322" applyNumberFormat="1" applyFont="1" applyFill="1" applyBorder="1" applyAlignment="1" applyProtection="1">
      <alignment horizontal="center"/>
      <protection locked="0"/>
    </xf>
    <xf numFmtId="185" fontId="0" fillId="37" borderId="140" xfId="0" applyNumberFormat="1" applyFill="1" applyBorder="1" applyAlignment="1">
      <alignment horizontal="center"/>
    </xf>
    <xf numFmtId="182" fontId="0" fillId="37" borderId="242" xfId="0" applyNumberFormat="1" applyFill="1" applyBorder="1" applyAlignment="1">
      <alignment horizontal="center"/>
    </xf>
    <xf numFmtId="207" fontId="47" fillId="37" borderId="195" xfId="234" applyNumberFormat="1" applyFont="1" applyFill="1" applyBorder="1" applyAlignment="1">
      <alignment horizontal="center"/>
    </xf>
    <xf numFmtId="1" fontId="0" fillId="37" borderId="164" xfId="0" applyNumberFormat="1" applyFill="1" applyBorder="1" applyAlignment="1">
      <alignment horizontal="center"/>
    </xf>
    <xf numFmtId="207" fontId="47" fillId="37" borderId="197" xfId="234" applyNumberFormat="1" applyFont="1" applyFill="1" applyBorder="1" applyAlignment="1">
      <alignment horizontal="center"/>
    </xf>
    <xf numFmtId="207" fontId="47" fillId="37" borderId="229" xfId="234" applyNumberFormat="1" applyFont="1" applyFill="1" applyBorder="1" applyAlignment="1">
      <alignment horizontal="center"/>
    </xf>
    <xf numFmtId="0" fontId="192" fillId="72" borderId="0" xfId="0" applyFont="1" applyFill="1"/>
    <xf numFmtId="0" fontId="0" fillId="78" borderId="0" xfId="0" applyFill="1" applyAlignment="1">
      <alignment horizontal="center"/>
    </xf>
    <xf numFmtId="3" fontId="287" fillId="37" borderId="0" xfId="0" applyNumberFormat="1" applyFont="1" applyFill="1"/>
    <xf numFmtId="0" fontId="166" fillId="78" borderId="151" xfId="0" applyFont="1" applyFill="1" applyBorder="1" applyAlignment="1">
      <alignment horizontal="center" vertical="center"/>
    </xf>
    <xf numFmtId="179" fontId="270" fillId="78" borderId="0" xfId="0" applyNumberFormat="1" applyFont="1" applyFill="1"/>
    <xf numFmtId="178" fontId="270" fillId="78" borderId="0" xfId="234" applyNumberFormat="1" applyFont="1" applyFill="1"/>
    <xf numFmtId="166" fontId="0" fillId="78" borderId="152" xfId="31096" applyFont="1" applyFill="1" applyBorder="1" applyAlignment="1">
      <alignment horizontal="center"/>
    </xf>
    <xf numFmtId="176" fontId="0" fillId="38" borderId="166" xfId="0" applyNumberFormat="1" applyFill="1" applyBorder="1" applyAlignment="1">
      <alignment horizontal="center" vertical="center"/>
    </xf>
    <xf numFmtId="202" fontId="0" fillId="91" borderId="0" xfId="0" applyNumberFormat="1" applyFill="1" applyAlignment="1">
      <alignment vertical="center"/>
    </xf>
    <xf numFmtId="202" fontId="364" fillId="78" borderId="0" xfId="0" applyNumberFormat="1" applyFont="1" applyFill="1" applyAlignment="1">
      <alignment vertical="center"/>
    </xf>
    <xf numFmtId="181" fontId="0" fillId="103" borderId="171" xfId="0" applyNumberFormat="1" applyFill="1" applyBorder="1" applyAlignment="1">
      <alignment horizontal="center" vertical="center"/>
    </xf>
    <xf numFmtId="259" fontId="0" fillId="0" borderId="171" xfId="322" applyNumberFormat="1" applyFont="1" applyBorder="1" applyAlignment="1">
      <alignment horizontal="center" vertical="center"/>
    </xf>
    <xf numFmtId="2" fontId="0" fillId="97" borderId="152" xfId="0" applyNumberFormat="1" applyFill="1" applyBorder="1" applyAlignment="1">
      <alignment horizontal="center"/>
    </xf>
    <xf numFmtId="0" fontId="113" fillId="37" borderId="16" xfId="306" applyFont="1" applyFill="1" applyBorder="1" applyAlignment="1">
      <alignment vertical="center"/>
    </xf>
    <xf numFmtId="176" fontId="113" fillId="37" borderId="21" xfId="232" applyNumberFormat="1" applyFont="1" applyFill="1" applyBorder="1" applyAlignment="1" applyProtection="1">
      <alignment horizontal="center" vertical="center"/>
      <protection hidden="1"/>
    </xf>
    <xf numFmtId="3" fontId="113" fillId="37" borderId="30" xfId="232" applyNumberFormat="1" applyFont="1" applyFill="1" applyBorder="1" applyAlignment="1" applyProtection="1">
      <alignment horizontal="center" vertical="center"/>
      <protection hidden="1"/>
    </xf>
    <xf numFmtId="182" fontId="113" fillId="37" borderId="30" xfId="232" applyNumberFormat="1" applyFont="1" applyFill="1" applyBorder="1" applyAlignment="1" applyProtection="1">
      <alignment horizontal="center" vertical="center"/>
      <protection hidden="1"/>
    </xf>
    <xf numFmtId="4" fontId="113" fillId="37" borderId="30" xfId="232" applyNumberFormat="1" applyFont="1" applyFill="1" applyBorder="1" applyAlignment="1" applyProtection="1">
      <alignment horizontal="center" vertical="center"/>
      <protection hidden="1"/>
    </xf>
    <xf numFmtId="0" fontId="365" fillId="97" borderId="0" xfId="0" applyFont="1" applyFill="1" applyAlignment="1">
      <alignment horizontal="center" vertical="center"/>
    </xf>
    <xf numFmtId="1" fontId="270" fillId="26" borderId="0" xfId="0" applyNumberFormat="1" applyFont="1" applyFill="1" applyAlignment="1">
      <alignment horizontal="right"/>
    </xf>
    <xf numFmtId="1" fontId="270" fillId="0" borderId="0" xfId="0" applyNumberFormat="1" applyFont="1"/>
    <xf numFmtId="1" fontId="270" fillId="0" borderId="0" xfId="234" applyNumberFormat="1" applyFont="1" applyFill="1"/>
    <xf numFmtId="4" fontId="0" fillId="37" borderId="21" xfId="0" applyNumberFormat="1" applyFill="1" applyBorder="1" applyAlignment="1">
      <alignment horizontal="center" wrapText="1"/>
    </xf>
    <xf numFmtId="4" fontId="144" fillId="37" borderId="21" xfId="0" applyNumberFormat="1" applyFont="1" applyFill="1" applyBorder="1" applyAlignment="1">
      <alignment horizontal="center" wrapText="1"/>
    </xf>
    <xf numFmtId="4" fontId="144" fillId="37" borderId="13" xfId="0" applyNumberFormat="1" applyFont="1" applyFill="1" applyBorder="1" applyAlignment="1">
      <alignment horizontal="center" wrapText="1"/>
    </xf>
    <xf numFmtId="4" fontId="0" fillId="37" borderId="28" xfId="0" applyNumberFormat="1" applyFill="1" applyBorder="1" applyAlignment="1">
      <alignment horizontal="center" wrapText="1"/>
    </xf>
    <xf numFmtId="4" fontId="144" fillId="37" borderId="55" xfId="0" applyNumberFormat="1" applyFont="1" applyFill="1" applyBorder="1" applyAlignment="1">
      <alignment horizontal="center" wrapText="1"/>
    </xf>
    <xf numFmtId="4" fontId="123" fillId="37" borderId="60" xfId="0" applyNumberFormat="1" applyFont="1" applyFill="1" applyBorder="1" applyAlignment="1">
      <alignment horizontal="center"/>
    </xf>
    <xf numFmtId="4" fontId="123" fillId="37" borderId="21" xfId="0" applyNumberFormat="1" applyFont="1" applyFill="1" applyBorder="1" applyAlignment="1">
      <alignment horizontal="center"/>
    </xf>
    <xf numFmtId="4" fontId="123" fillId="37" borderId="61" xfId="0" applyNumberFormat="1" applyFont="1" applyFill="1" applyBorder="1" applyAlignment="1">
      <alignment horizontal="center"/>
    </xf>
    <xf numFmtId="0" fontId="192" fillId="0" borderId="0" xfId="0" applyFont="1" applyAlignment="1">
      <alignment vertical="center"/>
    </xf>
    <xf numFmtId="3" fontId="192" fillId="0" borderId="0" xfId="0" applyNumberFormat="1" applyFont="1" applyAlignment="1">
      <alignment vertical="center"/>
    </xf>
    <xf numFmtId="0" fontId="227" fillId="0" borderId="0" xfId="0" applyFont="1" applyAlignment="1">
      <alignment vertical="center"/>
    </xf>
    <xf numFmtId="1" fontId="192" fillId="0" borderId="0" xfId="0" applyNumberFormat="1" applyFont="1" applyAlignment="1">
      <alignment vertical="center"/>
    </xf>
    <xf numFmtId="0" fontId="139" fillId="0" borderId="11" xfId="0" applyFont="1" applyBorder="1" applyAlignment="1">
      <alignment horizontal="center"/>
    </xf>
    <xf numFmtId="181" fontId="139" fillId="0" borderId="11" xfId="0" applyNumberFormat="1" applyFont="1" applyBorder="1" applyAlignment="1">
      <alignment horizontal="center"/>
    </xf>
    <xf numFmtId="1" fontId="284" fillId="37" borderId="151" xfId="0" applyNumberFormat="1" applyFont="1" applyFill="1" applyBorder="1" applyAlignment="1" applyProtection="1">
      <alignment horizontal="center"/>
      <protection locked="0"/>
    </xf>
    <xf numFmtId="187" fontId="284" fillId="37" borderId="151" xfId="28058" applyNumberFormat="1" applyFont="1" applyFill="1" applyBorder="1" applyAlignment="1" applyProtection="1">
      <alignment horizontal="center"/>
      <protection locked="0"/>
    </xf>
    <xf numFmtId="167" fontId="284" fillId="37" borderId="151" xfId="28058" applyFont="1" applyFill="1" applyBorder="1" applyAlignment="1" applyProtection="1">
      <alignment horizontal="center"/>
      <protection locked="0"/>
    </xf>
    <xf numFmtId="186" fontId="284" fillId="37" borderId="151" xfId="28058" applyNumberFormat="1" applyFont="1" applyFill="1" applyBorder="1" applyAlignment="1" applyProtection="1">
      <alignment horizontal="center"/>
      <protection locked="0"/>
    </xf>
    <xf numFmtId="188" fontId="284" fillId="37" borderId="151" xfId="28058" applyNumberFormat="1" applyFont="1" applyFill="1" applyBorder="1" applyAlignment="1" applyProtection="1">
      <alignment horizontal="center"/>
      <protection locked="0"/>
    </xf>
    <xf numFmtId="185" fontId="295" fillId="37" borderId="151" xfId="322" applyNumberFormat="1" applyFont="1" applyFill="1" applyBorder="1" applyAlignment="1" applyProtection="1">
      <alignment horizontal="center"/>
      <protection locked="0"/>
    </xf>
    <xf numFmtId="185" fontId="0" fillId="37" borderId="151" xfId="0" applyNumberFormat="1" applyFill="1" applyBorder="1" applyAlignment="1">
      <alignment horizontal="center"/>
    </xf>
    <xf numFmtId="1" fontId="284" fillId="37" borderId="226" xfId="0" applyNumberFormat="1" applyFont="1" applyFill="1" applyBorder="1" applyAlignment="1" applyProtection="1">
      <alignment horizontal="center"/>
      <protection locked="0"/>
    </xf>
    <xf numFmtId="187" fontId="284" fillId="37" borderId="226" xfId="28058" applyNumberFormat="1" applyFont="1" applyFill="1" applyBorder="1" applyAlignment="1" applyProtection="1">
      <alignment horizontal="center"/>
      <protection locked="0"/>
    </xf>
    <xf numFmtId="167" fontId="284" fillId="37" borderId="226" xfId="28058" applyFont="1" applyFill="1" applyBorder="1" applyAlignment="1" applyProtection="1">
      <alignment horizontal="center"/>
      <protection locked="0"/>
    </xf>
    <xf numFmtId="186" fontId="284" fillId="37" borderId="226" xfId="28058" applyNumberFormat="1" applyFont="1" applyFill="1" applyBorder="1" applyAlignment="1" applyProtection="1">
      <alignment horizontal="center"/>
      <protection locked="0"/>
    </xf>
    <xf numFmtId="188" fontId="284" fillId="37" borderId="226" xfId="28058" applyNumberFormat="1" applyFont="1" applyFill="1" applyBorder="1" applyAlignment="1" applyProtection="1">
      <alignment horizontal="center"/>
      <protection locked="0"/>
    </xf>
    <xf numFmtId="185" fontId="295" fillId="37" borderId="226" xfId="322" applyNumberFormat="1" applyFont="1" applyFill="1" applyBorder="1" applyAlignment="1" applyProtection="1">
      <alignment horizontal="center"/>
      <protection locked="0"/>
    </xf>
    <xf numFmtId="185" fontId="0" fillId="37" borderId="226" xfId="0" applyNumberFormat="1" applyFill="1" applyBorder="1" applyAlignment="1">
      <alignment horizontal="center"/>
    </xf>
    <xf numFmtId="187" fontId="284" fillId="37" borderId="243" xfId="28058" applyNumberFormat="1" applyFont="1" applyFill="1" applyBorder="1" applyAlignment="1" applyProtection="1">
      <alignment horizontal="center"/>
      <protection locked="0"/>
    </xf>
    <xf numFmtId="167" fontId="284" fillId="37" borderId="243" xfId="28058" applyFont="1" applyFill="1" applyBorder="1" applyAlignment="1" applyProtection="1">
      <alignment horizontal="center"/>
      <protection locked="0"/>
    </xf>
    <xf numFmtId="188" fontId="284" fillId="37" borderId="243" xfId="28058" applyNumberFormat="1" applyFont="1" applyFill="1" applyBorder="1" applyAlignment="1" applyProtection="1">
      <alignment horizontal="center"/>
      <protection locked="0"/>
    </xf>
    <xf numFmtId="14" fontId="0" fillId="37" borderId="25" xfId="0" applyNumberFormat="1" applyFill="1" applyBorder="1" applyAlignment="1">
      <alignment horizontal="center"/>
    </xf>
    <xf numFmtId="167" fontId="0" fillId="37" borderId="25" xfId="0" applyNumberFormat="1" applyFill="1" applyBorder="1" applyAlignment="1">
      <alignment horizontal="center"/>
    </xf>
    <xf numFmtId="187" fontId="284" fillId="78" borderId="140" xfId="28058" applyNumberFormat="1" applyFont="1" applyFill="1" applyBorder="1" applyAlignment="1" applyProtection="1">
      <alignment horizontal="center"/>
      <protection locked="0"/>
    </xf>
    <xf numFmtId="187" fontId="0" fillId="78" borderId="0" xfId="0" applyNumberFormat="1" applyFill="1" applyAlignment="1">
      <alignment horizontal="center"/>
    </xf>
    <xf numFmtId="0" fontId="0" fillId="130" borderId="0" xfId="0" applyFill="1" applyAlignment="1">
      <alignment horizontal="center"/>
    </xf>
    <xf numFmtId="1" fontId="219" fillId="0" borderId="0" xfId="0" applyNumberFormat="1" applyFont="1" applyAlignment="1">
      <alignment vertical="center"/>
    </xf>
    <xf numFmtId="0" fontId="324" fillId="78" borderId="0" xfId="32021" applyFont="1" applyFill="1"/>
    <xf numFmtId="41" fontId="0" fillId="0" borderId="0" xfId="0" applyNumberFormat="1"/>
    <xf numFmtId="277" fontId="0" fillId="0" borderId="0" xfId="0" applyNumberFormat="1"/>
    <xf numFmtId="182" fontId="0" fillId="38" borderId="171" xfId="0" applyNumberFormat="1" applyFill="1" applyBorder="1" applyAlignment="1">
      <alignment horizontal="center"/>
    </xf>
    <xf numFmtId="1" fontId="0" fillId="72" borderId="0" xfId="0" applyNumberFormat="1" applyFill="1" applyAlignment="1">
      <alignment vertical="center"/>
    </xf>
    <xf numFmtId="1" fontId="219" fillId="112" borderId="0" xfId="0" applyNumberFormat="1" applyFont="1" applyFill="1" applyAlignment="1">
      <alignment vertical="center"/>
    </xf>
    <xf numFmtId="1" fontId="192" fillId="72" borderId="0" xfId="0" applyNumberFormat="1" applyFont="1" applyFill="1" applyAlignment="1">
      <alignment vertical="center"/>
    </xf>
    <xf numFmtId="1" fontId="219" fillId="0" borderId="0" xfId="0" applyNumberFormat="1" applyFont="1" applyAlignment="1">
      <alignment horizontal="center"/>
    </xf>
    <xf numFmtId="3" fontId="227" fillId="38" borderId="0" xfId="0" applyNumberFormat="1" applyFont="1" applyFill="1" applyAlignment="1">
      <alignment vertical="center"/>
    </xf>
    <xf numFmtId="0" fontId="271" fillId="95" borderId="135" xfId="0" applyFont="1" applyFill="1" applyBorder="1" applyAlignment="1">
      <alignment horizontal="center" vertical="center"/>
    </xf>
    <xf numFmtId="0" fontId="271" fillId="95" borderId="98" xfId="0" applyFont="1" applyFill="1" applyBorder="1" applyAlignment="1">
      <alignment horizontal="center" vertical="center" wrapText="1"/>
    </xf>
    <xf numFmtId="3" fontId="276" fillId="95" borderId="0" xfId="0" applyNumberFormat="1" applyFont="1" applyFill="1" applyAlignment="1">
      <alignment horizontal="center"/>
    </xf>
    <xf numFmtId="0" fontId="0" fillId="95" borderId="0" xfId="0" applyFill="1"/>
    <xf numFmtId="183" fontId="276" fillId="96" borderId="0" xfId="0" applyNumberFormat="1" applyFont="1" applyFill="1" applyAlignment="1">
      <alignment horizontal="center"/>
    </xf>
    <xf numFmtId="3" fontId="276" fillId="131" borderId="0" xfId="0" applyNumberFormat="1" applyFont="1" applyFill="1" applyAlignment="1">
      <alignment horizontal="center"/>
    </xf>
    <xf numFmtId="4" fontId="276" fillId="131" borderId="0" xfId="0" applyNumberFormat="1" applyFont="1" applyFill="1" applyAlignment="1">
      <alignment horizontal="center"/>
    </xf>
    <xf numFmtId="3" fontId="276" fillId="78" borderId="0" xfId="0" applyNumberFormat="1" applyFont="1" applyFill="1" applyAlignment="1">
      <alignment horizontal="center"/>
    </xf>
    <xf numFmtId="183" fontId="276" fillId="37" borderId="47" xfId="0" applyNumberFormat="1" applyFont="1" applyFill="1" applyBorder="1" applyAlignment="1">
      <alignment horizontal="center"/>
    </xf>
    <xf numFmtId="202" fontId="0" fillId="112" borderId="0" xfId="0" applyNumberFormat="1" applyFill="1" applyAlignment="1">
      <alignment vertical="center"/>
    </xf>
    <xf numFmtId="182" fontId="286" fillId="37" borderId="117" xfId="322" applyNumberFormat="1" applyFont="1" applyFill="1" applyBorder="1" applyAlignment="1">
      <alignment horizontal="center" vertical="center"/>
    </xf>
    <xf numFmtId="3" fontId="286" fillId="37" borderId="117" xfId="322" applyNumberFormat="1" applyFont="1" applyFill="1" applyBorder="1" applyAlignment="1">
      <alignment horizontal="center" vertical="center"/>
    </xf>
    <xf numFmtId="0" fontId="288" fillId="118" borderId="118" xfId="0" applyFont="1" applyFill="1" applyBorder="1" applyAlignment="1">
      <alignment horizontal="center" vertical="center"/>
    </xf>
    <xf numFmtId="176" fontId="271" fillId="72" borderId="0" xfId="0" applyNumberFormat="1" applyFont="1" applyFill="1" applyAlignment="1">
      <alignment horizontal="center" vertical="center"/>
    </xf>
    <xf numFmtId="182" fontId="276" fillId="131" borderId="0" xfId="0" applyNumberFormat="1" applyFont="1" applyFill="1" applyAlignment="1">
      <alignment horizontal="center"/>
    </xf>
    <xf numFmtId="202" fontId="366" fillId="37" borderId="21" xfId="232" applyNumberFormat="1" applyFont="1" applyFill="1" applyBorder="1" applyAlignment="1" applyProtection="1">
      <alignment horizontal="center" vertical="center"/>
      <protection hidden="1"/>
    </xf>
    <xf numFmtId="182" fontId="366" fillId="37" borderId="11" xfId="232" applyNumberFormat="1" applyFont="1" applyFill="1" applyBorder="1" applyAlignment="1" applyProtection="1">
      <alignment horizontal="center" vertical="center"/>
      <protection hidden="1"/>
    </xf>
    <xf numFmtId="0" fontId="367" fillId="0" borderId="0" xfId="0" applyFont="1"/>
    <xf numFmtId="3" fontId="0" fillId="110" borderId="0" xfId="0" applyNumberFormat="1" applyFill="1" applyAlignment="1">
      <alignment vertical="center"/>
    </xf>
    <xf numFmtId="43" fontId="0" fillId="0" borderId="0" xfId="0" applyNumberFormat="1"/>
    <xf numFmtId="189" fontId="113" fillId="37" borderId="11" xfId="306" applyNumberFormat="1" applyFont="1" applyFill="1" applyBorder="1" applyAlignment="1">
      <alignment horizontal="center" vertical="center"/>
    </xf>
    <xf numFmtId="189" fontId="113" fillId="118" borderId="11" xfId="306" applyNumberFormat="1" applyFont="1" applyFill="1" applyBorder="1" applyAlignment="1">
      <alignment horizontal="center" vertical="center"/>
    </xf>
    <xf numFmtId="2" fontId="113" fillId="38" borderId="14" xfId="306" applyNumberFormat="1" applyFont="1" applyFill="1" applyBorder="1" applyAlignment="1">
      <alignment horizontal="center" vertical="center"/>
    </xf>
    <xf numFmtId="17" fontId="368" fillId="72" borderId="48" xfId="302" applyNumberFormat="1" applyFont="1" applyFill="1" applyBorder="1" applyAlignment="1">
      <alignment horizontal="center" vertical="center" wrapText="1"/>
    </xf>
    <xf numFmtId="17" fontId="368" fillId="72" borderId="43" xfId="302" applyNumberFormat="1" applyFont="1" applyFill="1" applyBorder="1" applyAlignment="1">
      <alignment horizontal="center" vertical="center" wrapText="1"/>
    </xf>
    <xf numFmtId="0" fontId="369" fillId="72" borderId="140" xfId="0" applyFont="1" applyFill="1" applyBorder="1" applyAlignment="1" applyProtection="1">
      <alignment horizontal="center"/>
      <protection locked="0"/>
    </xf>
    <xf numFmtId="187" fontId="369" fillId="72" borderId="140" xfId="28058" applyNumberFormat="1" applyFont="1" applyFill="1" applyBorder="1" applyAlignment="1" applyProtection="1">
      <alignment horizontal="center"/>
      <protection locked="0"/>
    </xf>
    <xf numFmtId="167" fontId="369" fillId="72" borderId="140" xfId="28058" applyFont="1" applyFill="1" applyBorder="1" applyAlignment="1" applyProtection="1">
      <alignment horizontal="center"/>
      <protection locked="0"/>
    </xf>
    <xf numFmtId="0" fontId="370" fillId="72" borderId="0" xfId="0" applyFont="1" applyFill="1" applyAlignment="1">
      <alignment horizontal="center"/>
    </xf>
    <xf numFmtId="1" fontId="371" fillId="37" borderId="140" xfId="0" applyNumberFormat="1" applyFont="1" applyFill="1" applyBorder="1" applyAlignment="1" applyProtection="1">
      <alignment horizontal="center"/>
      <protection locked="0"/>
    </xf>
    <xf numFmtId="167" fontId="371" fillId="37" borderId="140" xfId="28058" applyFont="1" applyFill="1" applyBorder="1" applyAlignment="1" applyProtection="1">
      <alignment horizontal="center"/>
      <protection locked="0"/>
    </xf>
    <xf numFmtId="187" fontId="371" fillId="37" borderId="140" xfId="28058" applyNumberFormat="1" applyFont="1" applyFill="1" applyBorder="1" applyAlignment="1" applyProtection="1">
      <alignment horizontal="center"/>
      <protection locked="0"/>
    </xf>
    <xf numFmtId="0" fontId="123" fillId="37" borderId="0" xfId="0" applyFont="1" applyFill="1" applyAlignment="1">
      <alignment horizontal="center"/>
    </xf>
    <xf numFmtId="14" fontId="123" fillId="37" borderId="0" xfId="0" applyNumberFormat="1" applyFont="1" applyFill="1" applyAlignment="1">
      <alignment horizontal="center"/>
    </xf>
    <xf numFmtId="1" fontId="123" fillId="37" borderId="0" xfId="0" applyNumberFormat="1" applyFont="1" applyFill="1" applyAlignment="1">
      <alignment horizontal="center"/>
    </xf>
    <xf numFmtId="167" fontId="123" fillId="37" borderId="0" xfId="0" applyNumberFormat="1" applyFont="1" applyFill="1" applyAlignment="1">
      <alignment horizontal="center"/>
    </xf>
    <xf numFmtId="0" fontId="123" fillId="0" borderId="0" xfId="0" applyFont="1" applyAlignment="1">
      <alignment horizontal="center"/>
    </xf>
    <xf numFmtId="0" fontId="123" fillId="130" borderId="0" xfId="0" applyFont="1" applyFill="1" applyAlignment="1">
      <alignment horizontal="center"/>
    </xf>
    <xf numFmtId="3" fontId="313" fillId="117" borderId="0" xfId="0" applyNumberFormat="1" applyFont="1" applyFill="1" applyAlignment="1">
      <alignment horizontal="center"/>
    </xf>
    <xf numFmtId="182" fontId="276" fillId="96" borderId="0" xfId="0" applyNumberFormat="1" applyFont="1" applyFill="1" applyAlignment="1">
      <alignment horizontal="center"/>
    </xf>
    <xf numFmtId="0" fontId="100" fillId="78" borderId="0" xfId="0" applyFont="1" applyFill="1" applyAlignment="1">
      <alignment vertical="center"/>
    </xf>
    <xf numFmtId="193" fontId="192" fillId="72" borderId="0" xfId="0" applyNumberFormat="1" applyFont="1" applyFill="1"/>
    <xf numFmtId="0" fontId="0" fillId="0" borderId="31" xfId="0" applyBorder="1"/>
    <xf numFmtId="0" fontId="0" fillId="0" borderId="39" xfId="0" applyBorder="1"/>
    <xf numFmtId="0" fontId="0" fillId="0" borderId="24" xfId="0" applyBorder="1"/>
    <xf numFmtId="0" fontId="0" fillId="0" borderId="25" xfId="0" applyBorder="1"/>
    <xf numFmtId="183" fontId="0" fillId="0" borderId="31" xfId="0" applyNumberFormat="1" applyBorder="1"/>
    <xf numFmtId="183" fontId="0" fillId="0" borderId="25" xfId="0" applyNumberFormat="1" applyBorder="1"/>
    <xf numFmtId="183" fontId="0" fillId="0" borderId="39" xfId="0" applyNumberFormat="1" applyBorder="1"/>
    <xf numFmtId="188" fontId="294" fillId="72" borderId="242" xfId="28058" applyNumberFormat="1" applyFont="1" applyFill="1" applyBorder="1" applyAlignment="1" applyProtection="1">
      <alignment horizontal="center"/>
      <protection locked="0"/>
    </xf>
    <xf numFmtId="167" fontId="284" fillId="37" borderId="242" xfId="28058" applyFont="1" applyFill="1" applyBorder="1" applyAlignment="1" applyProtection="1">
      <alignment horizontal="center"/>
      <protection locked="0"/>
    </xf>
    <xf numFmtId="188" fontId="284" fillId="37" borderId="242" xfId="28058" applyNumberFormat="1" applyFont="1" applyFill="1" applyBorder="1" applyAlignment="1" applyProtection="1">
      <alignment horizontal="center"/>
      <protection locked="0"/>
    </xf>
    <xf numFmtId="187" fontId="294" fillId="72" borderId="198" xfId="28058" applyNumberFormat="1" applyFont="1" applyFill="1" applyBorder="1" applyAlignment="1" applyProtection="1">
      <alignment horizontal="center" wrapText="1"/>
      <protection locked="0"/>
    </xf>
    <xf numFmtId="188" fontId="284" fillId="37" borderId="198" xfId="28058" applyNumberFormat="1" applyFont="1" applyFill="1" applyBorder="1" applyAlignment="1" applyProtection="1">
      <alignment horizontal="center"/>
      <protection locked="0"/>
    </xf>
    <xf numFmtId="187" fontId="294" fillId="72" borderId="244" xfId="28058" applyNumberFormat="1" applyFont="1" applyFill="1" applyBorder="1" applyAlignment="1" applyProtection="1">
      <alignment horizontal="center"/>
      <protection locked="0"/>
    </xf>
    <xf numFmtId="187" fontId="294" fillId="72" borderId="245" xfId="28058" applyNumberFormat="1" applyFont="1" applyFill="1" applyBorder="1" applyAlignment="1" applyProtection="1">
      <alignment horizontal="center"/>
      <protection locked="0"/>
    </xf>
    <xf numFmtId="187" fontId="294" fillId="72" borderId="246" xfId="28058" applyNumberFormat="1" applyFont="1" applyFill="1" applyBorder="1" applyAlignment="1" applyProtection="1">
      <alignment horizontal="center"/>
      <protection locked="0"/>
    </xf>
    <xf numFmtId="188" fontId="284" fillId="37" borderId="247" xfId="28058" applyNumberFormat="1" applyFont="1" applyFill="1" applyBorder="1" applyAlignment="1" applyProtection="1">
      <alignment horizontal="center"/>
      <protection locked="0"/>
    </xf>
    <xf numFmtId="188" fontId="284" fillId="37" borderId="248" xfId="28058" applyNumberFormat="1" applyFont="1" applyFill="1" applyBorder="1" applyAlignment="1" applyProtection="1">
      <alignment horizontal="center"/>
      <protection locked="0"/>
    </xf>
    <xf numFmtId="0" fontId="0" fillId="0" borderId="23" xfId="0" applyBorder="1" applyAlignment="1">
      <alignment horizontal="center"/>
    </xf>
    <xf numFmtId="0" fontId="0" fillId="0" borderId="34" xfId="0" applyBorder="1" applyAlignment="1">
      <alignment horizontal="center"/>
    </xf>
    <xf numFmtId="188" fontId="0" fillId="0" borderId="37" xfId="0" applyNumberFormat="1" applyBorder="1" applyAlignment="1">
      <alignment horizontal="center"/>
    </xf>
    <xf numFmtId="188" fontId="0" fillId="0" borderId="39" xfId="0" applyNumberFormat="1" applyBorder="1" applyAlignment="1">
      <alignment horizontal="center"/>
    </xf>
    <xf numFmtId="188" fontId="0" fillId="0" borderId="41" xfId="0" applyNumberFormat="1" applyBorder="1" applyAlignment="1">
      <alignment horizontal="center"/>
    </xf>
    <xf numFmtId="182" fontId="0" fillId="0" borderId="31" xfId="0" applyNumberFormat="1" applyBorder="1"/>
    <xf numFmtId="182" fontId="0" fillId="0" borderId="39" xfId="0" applyNumberFormat="1" applyBorder="1"/>
    <xf numFmtId="4" fontId="276" fillId="117" borderId="0" xfId="0" applyNumberFormat="1" applyFont="1" applyFill="1" applyAlignment="1">
      <alignment horizontal="center"/>
    </xf>
    <xf numFmtId="3" fontId="0" fillId="0" borderId="31" xfId="0" applyNumberFormat="1" applyBorder="1"/>
    <xf numFmtId="3" fontId="0" fillId="0" borderId="39" xfId="0" applyNumberFormat="1" applyBorder="1"/>
    <xf numFmtId="0" fontId="139" fillId="112" borderId="11" xfId="0" applyFont="1" applyFill="1" applyBorder="1" applyAlignment="1">
      <alignment horizontal="center"/>
    </xf>
    <xf numFmtId="181" fontId="139" fillId="112" borderId="11" xfId="0" applyNumberFormat="1" applyFont="1" applyFill="1" applyBorder="1" applyAlignment="1">
      <alignment horizontal="center"/>
    </xf>
    <xf numFmtId="189" fontId="0" fillId="0" borderId="0" xfId="0" applyNumberFormat="1" applyAlignment="1">
      <alignment horizontal="center"/>
    </xf>
    <xf numFmtId="242" fontId="113" fillId="0" borderId="0" xfId="306" applyNumberFormat="1" applyFont="1" applyAlignment="1">
      <alignment vertical="center"/>
    </xf>
    <xf numFmtId="189" fontId="276" fillId="37" borderId="0" xfId="0" applyNumberFormat="1" applyFont="1" applyFill="1" applyAlignment="1">
      <alignment horizontal="center"/>
    </xf>
    <xf numFmtId="254" fontId="0" fillId="37" borderId="98" xfId="31096" applyNumberFormat="1" applyFont="1" applyFill="1" applyBorder="1"/>
    <xf numFmtId="14" fontId="0" fillId="0" borderId="0" xfId="0" applyNumberFormat="1" applyAlignment="1">
      <alignment vertical="center"/>
    </xf>
    <xf numFmtId="202" fontId="0" fillId="103" borderId="164" xfId="0" applyNumberFormat="1" applyFill="1" applyBorder="1" applyAlignment="1">
      <alignment horizontal="center" vertical="center"/>
    </xf>
    <xf numFmtId="184" fontId="0" fillId="103" borderId="164" xfId="0" applyNumberFormat="1" applyFill="1" applyBorder="1" applyAlignment="1">
      <alignment horizontal="center" vertical="center"/>
    </xf>
    <xf numFmtId="0" fontId="372" fillId="0" borderId="0" xfId="0" applyFont="1" applyAlignment="1">
      <alignment horizontal="center"/>
    </xf>
    <xf numFmtId="193" fontId="373" fillId="132" borderId="249" xfId="0" applyNumberFormat="1" applyFont="1" applyFill="1" applyBorder="1" applyAlignment="1">
      <alignment horizontal="right" vertical="top" wrapText="1" indent="1"/>
    </xf>
    <xf numFmtId="255" fontId="113" fillId="0" borderId="0" xfId="0" applyNumberFormat="1" applyFont="1" applyAlignment="1">
      <alignment horizontal="right"/>
    </xf>
    <xf numFmtId="255" fontId="373" fillId="132" borderId="250" xfId="0" applyNumberFormat="1" applyFont="1" applyFill="1" applyBorder="1" applyAlignment="1">
      <alignment horizontal="right" vertical="center" wrapText="1"/>
    </xf>
    <xf numFmtId="255" fontId="373" fillId="0" borderId="251" xfId="1719" applyNumberFormat="1" applyFont="1" applyFill="1" applyBorder="1" applyAlignment="1" applyProtection="1">
      <alignment horizontal="right" vertical="center"/>
    </xf>
    <xf numFmtId="14" fontId="113" fillId="0" borderId="252" xfId="0" applyNumberFormat="1" applyFont="1" applyBorder="1"/>
    <xf numFmtId="255" fontId="373" fillId="132" borderId="253" xfId="0" applyNumberFormat="1" applyFont="1" applyFill="1" applyBorder="1" applyAlignment="1">
      <alignment horizontal="right" vertical="center" wrapText="1"/>
    </xf>
    <xf numFmtId="255" fontId="373" fillId="0" borderId="254" xfId="1719" applyNumberFormat="1" applyFont="1" applyFill="1" applyBorder="1" applyAlignment="1" applyProtection="1">
      <alignment horizontal="right" vertical="center"/>
    </xf>
    <xf numFmtId="255" fontId="373" fillId="0" borderId="255" xfId="1719" applyNumberFormat="1" applyFont="1" applyFill="1" applyBorder="1" applyAlignment="1" applyProtection="1">
      <alignment horizontal="right" vertical="center"/>
    </xf>
    <xf numFmtId="255" fontId="373" fillId="0" borderId="256" xfId="1719" applyNumberFormat="1" applyFont="1" applyFill="1" applyBorder="1" applyAlignment="1" applyProtection="1">
      <alignment horizontal="right" vertical="center"/>
    </xf>
    <xf numFmtId="0" fontId="113" fillId="0" borderId="257" xfId="0" applyFont="1" applyBorder="1"/>
    <xf numFmtId="255" fontId="373" fillId="0" borderId="260" xfId="1719" applyNumberFormat="1" applyFont="1" applyFill="1" applyBorder="1" applyAlignment="1" applyProtection="1">
      <alignment horizontal="right" vertical="center"/>
    </xf>
    <xf numFmtId="255" fontId="373" fillId="0" borderId="261" xfId="1719" applyNumberFormat="1" applyFont="1" applyFill="1" applyBorder="1" applyAlignment="1" applyProtection="1">
      <alignment horizontal="right" vertical="center"/>
    </xf>
    <xf numFmtId="255" fontId="373" fillId="132" borderId="267" xfId="0" applyNumberFormat="1" applyFont="1" applyFill="1" applyBorder="1" applyAlignment="1">
      <alignment horizontal="right" vertical="center" wrapText="1"/>
    </xf>
    <xf numFmtId="255" fontId="373" fillId="0" borderId="268" xfId="1719" applyNumberFormat="1" applyFont="1" applyFill="1" applyBorder="1" applyAlignment="1" applyProtection="1">
      <alignment horizontal="right" vertical="center"/>
    </xf>
    <xf numFmtId="255" fontId="373" fillId="132" borderId="269" xfId="0" applyNumberFormat="1" applyFont="1" applyFill="1" applyBorder="1" applyAlignment="1">
      <alignment horizontal="right" vertical="center" wrapText="1"/>
    </xf>
    <xf numFmtId="255" fontId="373" fillId="0" borderId="270" xfId="1719" applyNumberFormat="1" applyFont="1" applyFill="1" applyBorder="1" applyAlignment="1" applyProtection="1">
      <alignment horizontal="right" vertical="center"/>
    </xf>
    <xf numFmtId="255" fontId="373" fillId="0" borderId="271" xfId="1719" applyNumberFormat="1" applyFont="1" applyFill="1" applyBorder="1" applyAlignment="1" applyProtection="1">
      <alignment horizontal="right" vertical="center"/>
    </xf>
    <xf numFmtId="0" fontId="113" fillId="132" borderId="272" xfId="0" applyFont="1" applyFill="1" applyBorder="1"/>
    <xf numFmtId="255" fontId="373" fillId="0" borderId="273" xfId="1719" applyNumberFormat="1" applyFont="1" applyFill="1" applyBorder="1" applyAlignment="1" applyProtection="1">
      <alignment horizontal="right" vertical="center"/>
    </xf>
    <xf numFmtId="255" fontId="373" fillId="0" borderId="274" xfId="1719" applyNumberFormat="1" applyFont="1" applyFill="1" applyBorder="1" applyAlignment="1" applyProtection="1">
      <alignment horizontal="right" vertical="center"/>
    </xf>
    <xf numFmtId="255" fontId="373" fillId="0" borderId="275" xfId="1719" applyNumberFormat="1" applyFont="1" applyFill="1" applyBorder="1" applyAlignment="1" applyProtection="1">
      <alignment horizontal="right" vertical="center"/>
    </xf>
    <xf numFmtId="255" fontId="373" fillId="0" borderId="0" xfId="1719" applyNumberFormat="1" applyFont="1" applyFill="1" applyBorder="1" applyAlignment="1" applyProtection="1">
      <alignment horizontal="right" vertical="center"/>
    </xf>
    <xf numFmtId="0" fontId="113" fillId="132" borderId="276" xfId="0" applyFont="1" applyFill="1" applyBorder="1"/>
    <xf numFmtId="255" fontId="373" fillId="0" borderId="277" xfId="0" applyNumberFormat="1" applyFont="1" applyBorder="1" applyAlignment="1">
      <alignment horizontal="right" vertical="center" wrapText="1"/>
    </xf>
    <xf numFmtId="255" fontId="373" fillId="0" borderId="278" xfId="0" applyNumberFormat="1" applyFont="1" applyBorder="1" applyAlignment="1">
      <alignment horizontal="right" vertical="center" wrapText="1"/>
    </xf>
    <xf numFmtId="255" fontId="373" fillId="0" borderId="0" xfId="0" applyNumberFormat="1" applyFont="1" applyAlignment="1">
      <alignment horizontal="right" vertical="center" wrapText="1"/>
    </xf>
    <xf numFmtId="255" fontId="373" fillId="0" borderId="276" xfId="0" applyNumberFormat="1" applyFont="1" applyBorder="1" applyAlignment="1">
      <alignment horizontal="right" vertical="center" wrapText="1"/>
    </xf>
    <xf numFmtId="255" fontId="373" fillId="0" borderId="262" xfId="1719" applyNumberFormat="1" applyFont="1" applyFill="1" applyBorder="1" applyAlignment="1" applyProtection="1">
      <alignment horizontal="right" vertical="center"/>
    </xf>
    <xf numFmtId="193" fontId="373" fillId="132" borderId="260" xfId="0" applyNumberFormat="1" applyFont="1" applyFill="1" applyBorder="1" applyAlignment="1">
      <alignment horizontal="right" vertical="top" wrapText="1" indent="1"/>
    </xf>
    <xf numFmtId="255" fontId="373" fillId="28" borderId="262" xfId="1719" applyNumberFormat="1" applyFont="1" applyFill="1" applyBorder="1" applyAlignment="1" applyProtection="1">
      <alignment horizontal="right" vertical="center"/>
    </xf>
    <xf numFmtId="255" fontId="373" fillId="77" borderId="262" xfId="1719" applyNumberFormat="1" applyFont="1" applyFill="1" applyBorder="1" applyAlignment="1" applyProtection="1">
      <alignment horizontal="right" vertical="center"/>
    </xf>
    <xf numFmtId="255" fontId="373" fillId="28" borderId="260" xfId="1719" applyNumberFormat="1" applyFont="1" applyFill="1" applyBorder="1" applyAlignment="1" applyProtection="1">
      <alignment horizontal="right" vertical="center"/>
    </xf>
    <xf numFmtId="255" fontId="373" fillId="133" borderId="262" xfId="1719" applyNumberFormat="1" applyFont="1" applyFill="1" applyBorder="1" applyAlignment="1" applyProtection="1">
      <alignment horizontal="right" vertical="center"/>
    </xf>
    <xf numFmtId="255" fontId="373" fillId="110" borderId="262" xfId="1719" applyNumberFormat="1" applyFont="1" applyFill="1" applyBorder="1" applyAlignment="1" applyProtection="1">
      <alignment horizontal="right" vertical="center"/>
    </xf>
    <xf numFmtId="255" fontId="373" fillId="134" borderId="262" xfId="1719" applyNumberFormat="1" applyFont="1" applyFill="1" applyBorder="1" applyAlignment="1" applyProtection="1">
      <alignment horizontal="right" vertical="center"/>
    </xf>
    <xf numFmtId="255" fontId="373" fillId="134" borderId="260" xfId="1719" applyNumberFormat="1" applyFont="1" applyFill="1" applyBorder="1" applyAlignment="1" applyProtection="1">
      <alignment horizontal="right" vertical="center"/>
    </xf>
    <xf numFmtId="193" fontId="373" fillId="132" borderId="270" xfId="0" applyNumberFormat="1" applyFont="1" applyFill="1" applyBorder="1" applyAlignment="1">
      <alignment horizontal="right" vertical="top" wrapText="1" indent="1"/>
    </xf>
    <xf numFmtId="255" fontId="373" fillId="134" borderId="279" xfId="1719" applyNumberFormat="1" applyFont="1" applyFill="1" applyBorder="1" applyAlignment="1" applyProtection="1">
      <alignment horizontal="right" vertical="center"/>
    </xf>
    <xf numFmtId="255" fontId="373" fillId="0" borderId="279" xfId="1719" applyNumberFormat="1" applyFont="1" applyFill="1" applyBorder="1" applyAlignment="1" applyProtection="1">
      <alignment horizontal="right" vertical="center"/>
    </xf>
    <xf numFmtId="255" fontId="373" fillId="134" borderId="270" xfId="1719" applyNumberFormat="1" applyFont="1" applyFill="1" applyBorder="1" applyAlignment="1" applyProtection="1">
      <alignment horizontal="right" vertical="center"/>
    </xf>
    <xf numFmtId="166" fontId="373" fillId="0" borderId="279" xfId="31096" applyFont="1" applyFill="1" applyBorder="1" applyAlignment="1" applyProtection="1">
      <alignment horizontal="right" vertical="center"/>
    </xf>
    <xf numFmtId="267" fontId="113" fillId="0" borderId="0" xfId="0" applyNumberFormat="1" applyFont="1" applyAlignment="1">
      <alignment horizontal="right"/>
    </xf>
    <xf numFmtId="267" fontId="373" fillId="0" borderId="262" xfId="1719" applyNumberFormat="1" applyFont="1" applyFill="1" applyBorder="1" applyAlignment="1" applyProtection="1">
      <alignment horizontal="center" vertical="center"/>
    </xf>
    <xf numFmtId="0" fontId="374" fillId="0" borderId="0" xfId="0" applyFont="1" applyAlignment="1">
      <alignment horizontal="center"/>
    </xf>
    <xf numFmtId="255" fontId="373" fillId="96" borderId="262" xfId="1719" applyNumberFormat="1" applyFont="1" applyFill="1" applyBorder="1" applyAlignment="1" applyProtection="1">
      <alignment horizontal="right" vertical="center"/>
    </xf>
    <xf numFmtId="255" fontId="373" fillId="96" borderId="261" xfId="1719" applyNumberFormat="1" applyFont="1" applyFill="1" applyBorder="1" applyAlignment="1" applyProtection="1">
      <alignment horizontal="right" vertical="center"/>
    </xf>
    <xf numFmtId="283" fontId="357" fillId="76" borderId="240" xfId="0" applyNumberFormat="1" applyFont="1" applyFill="1" applyBorder="1"/>
    <xf numFmtId="0" fontId="375" fillId="0" borderId="0" xfId="32026" applyFont="1" applyAlignment="1">
      <alignment vertical="center"/>
    </xf>
    <xf numFmtId="3" fontId="376" fillId="0" borderId="0" xfId="32026" applyNumberFormat="1" applyFont="1" applyAlignment="1">
      <alignment vertical="center"/>
    </xf>
    <xf numFmtId="0" fontId="1" fillId="0" borderId="0" xfId="32026"/>
    <xf numFmtId="22" fontId="376" fillId="0" borderId="0" xfId="32026" applyNumberFormat="1" applyFont="1" applyAlignment="1">
      <alignment vertical="center"/>
    </xf>
    <xf numFmtId="0" fontId="376" fillId="0" borderId="281" xfId="32026" applyFont="1" applyBorder="1" applyAlignment="1">
      <alignment horizontal="center" vertical="center"/>
    </xf>
    <xf numFmtId="0" fontId="376" fillId="0" borderId="282" xfId="32026" applyFont="1" applyBorder="1" applyAlignment="1">
      <alignment horizontal="center" vertical="center"/>
    </xf>
    <xf numFmtId="0" fontId="376" fillId="135" borderId="282" xfId="32026" applyFont="1" applyFill="1" applyBorder="1" applyAlignment="1">
      <alignment horizontal="center" vertical="center"/>
    </xf>
    <xf numFmtId="0" fontId="376" fillId="0" borderId="283" xfId="32026" applyFont="1" applyBorder="1" applyAlignment="1">
      <alignment horizontal="center" vertical="center"/>
    </xf>
    <xf numFmtId="0" fontId="376" fillId="0" borderId="284" xfId="32026" applyFont="1" applyBorder="1" applyAlignment="1">
      <alignment horizontal="center" vertical="center"/>
    </xf>
    <xf numFmtId="284" fontId="375" fillId="0" borderId="0" xfId="32026" applyNumberFormat="1" applyFont="1" applyAlignment="1">
      <alignment vertical="center"/>
    </xf>
    <xf numFmtId="0" fontId="375" fillId="0" borderId="32" xfId="32026" applyFont="1" applyBorder="1" applyAlignment="1">
      <alignment vertical="center"/>
    </xf>
    <xf numFmtId="0" fontId="375" fillId="0" borderId="31" xfId="32026" applyFont="1" applyBorder="1" applyAlignment="1">
      <alignment vertical="center"/>
    </xf>
    <xf numFmtId="0" fontId="375" fillId="0" borderId="33" xfId="32026" applyFont="1" applyBorder="1" applyAlignment="1">
      <alignment vertical="center"/>
    </xf>
    <xf numFmtId="3" fontId="376" fillId="0" borderId="285" xfId="32026" applyNumberFormat="1" applyFont="1" applyBorder="1" applyAlignment="1">
      <alignment horizontal="center" vertical="center"/>
    </xf>
    <xf numFmtId="2" fontId="376" fillId="0" borderId="286" xfId="32026" applyNumberFormat="1" applyFont="1" applyBorder="1" applyAlignment="1">
      <alignment horizontal="center" vertical="center"/>
    </xf>
    <xf numFmtId="3" fontId="376" fillId="0" borderId="286" xfId="32026" applyNumberFormat="1" applyFont="1" applyBorder="1" applyAlignment="1">
      <alignment horizontal="center" vertical="center"/>
    </xf>
    <xf numFmtId="179" fontId="376" fillId="0" borderId="286" xfId="32026" applyNumberFormat="1" applyFont="1" applyBorder="1" applyAlignment="1">
      <alignment horizontal="center" vertical="center"/>
    </xf>
    <xf numFmtId="3" fontId="376" fillId="135" borderId="286" xfId="32026" applyNumberFormat="1" applyFont="1" applyFill="1" applyBorder="1" applyAlignment="1">
      <alignment horizontal="center" vertical="center"/>
    </xf>
    <xf numFmtId="3" fontId="376" fillId="0" borderId="287" xfId="32026" applyNumberFormat="1" applyFont="1" applyBorder="1" applyAlignment="1">
      <alignment horizontal="center" vertical="center"/>
    </xf>
    <xf numFmtId="3" fontId="376" fillId="0" borderId="288" xfId="32026" applyNumberFormat="1" applyFont="1" applyBorder="1" applyAlignment="1">
      <alignment horizontal="center" vertical="center"/>
    </xf>
    <xf numFmtId="0" fontId="378" fillId="0" borderId="11" xfId="32026" applyFont="1" applyBorder="1" applyAlignment="1">
      <alignment horizontal="center" vertical="center"/>
    </xf>
    <xf numFmtId="0" fontId="378" fillId="96" borderId="11" xfId="32026" applyFont="1" applyFill="1" applyBorder="1" applyAlignment="1">
      <alignment horizontal="center" vertical="center"/>
    </xf>
    <xf numFmtId="3" fontId="375" fillId="0" borderId="0" xfId="32026" applyNumberFormat="1" applyFont="1" applyAlignment="1">
      <alignment vertical="center"/>
    </xf>
    <xf numFmtId="176" fontId="375" fillId="0" borderId="0" xfId="32026" applyNumberFormat="1" applyFont="1" applyAlignment="1">
      <alignment vertical="center"/>
    </xf>
    <xf numFmtId="1" fontId="375" fillId="0" borderId="0" xfId="32026" applyNumberFormat="1" applyFont="1" applyAlignment="1">
      <alignment vertical="center"/>
    </xf>
    <xf numFmtId="284" fontId="375" fillId="0" borderId="23" xfId="32026" applyNumberFormat="1" applyFont="1" applyBorder="1" applyAlignment="1">
      <alignment vertical="center"/>
    </xf>
    <xf numFmtId="3" fontId="375" fillId="0" borderId="34" xfId="32026" applyNumberFormat="1" applyFont="1" applyBorder="1" applyAlignment="1">
      <alignment vertical="center"/>
    </xf>
    <xf numFmtId="3" fontId="376" fillId="0" borderId="289" xfId="32026" applyNumberFormat="1" applyFont="1" applyBorder="1" applyAlignment="1">
      <alignment horizontal="center" vertical="center"/>
    </xf>
    <xf numFmtId="179" fontId="376" fillId="0" borderId="290" xfId="32026" applyNumberFormat="1" applyFont="1" applyBorder="1" applyAlignment="1">
      <alignment horizontal="center" vertical="center"/>
    </xf>
    <xf numFmtId="2" fontId="376" fillId="0" borderId="290" xfId="32026" applyNumberFormat="1" applyFont="1" applyBorder="1" applyAlignment="1">
      <alignment horizontal="center" vertical="center"/>
    </xf>
    <xf numFmtId="3" fontId="376" fillId="135" borderId="290" xfId="32026" applyNumberFormat="1" applyFont="1" applyFill="1" applyBorder="1" applyAlignment="1">
      <alignment horizontal="center" vertical="center"/>
    </xf>
    <xf numFmtId="3" fontId="376" fillId="0" borderId="290" xfId="32026" applyNumberFormat="1" applyFont="1" applyBorder="1" applyAlignment="1">
      <alignment horizontal="center" vertical="center"/>
    </xf>
    <xf numFmtId="3" fontId="376" fillId="0" borderId="291" xfId="32026" applyNumberFormat="1" applyFont="1" applyBorder="1" applyAlignment="1">
      <alignment horizontal="center" vertical="center"/>
    </xf>
    <xf numFmtId="3" fontId="376" fillId="0" borderId="292" xfId="32026" applyNumberFormat="1" applyFont="1" applyBorder="1" applyAlignment="1">
      <alignment horizontal="center" vertical="center"/>
    </xf>
    <xf numFmtId="0" fontId="378" fillId="96" borderId="11" xfId="32026" applyFont="1" applyFill="1" applyBorder="1" applyAlignment="1">
      <alignment horizontal="left" vertical="center"/>
    </xf>
    <xf numFmtId="4" fontId="378" fillId="0" borderId="11" xfId="32026" applyNumberFormat="1" applyFont="1" applyBorder="1" applyAlignment="1">
      <alignment horizontal="center" vertical="center"/>
    </xf>
    <xf numFmtId="4" fontId="378" fillId="89" borderId="11" xfId="32026" applyNumberFormat="1" applyFont="1" applyFill="1" applyBorder="1" applyAlignment="1">
      <alignment horizontal="center" vertical="center"/>
    </xf>
    <xf numFmtId="0" fontId="378" fillId="96" borderId="11" xfId="32026" applyFont="1" applyFill="1" applyBorder="1" applyAlignment="1">
      <alignment horizontal="left"/>
    </xf>
    <xf numFmtId="3" fontId="378" fillId="0" borderId="11" xfId="32026" applyNumberFormat="1" applyFont="1" applyBorder="1" applyAlignment="1">
      <alignment horizontal="center" vertical="center"/>
    </xf>
    <xf numFmtId="3" fontId="378" fillId="89" borderId="11" xfId="32026" applyNumberFormat="1" applyFont="1" applyFill="1" applyBorder="1" applyAlignment="1">
      <alignment horizontal="center" vertical="center"/>
    </xf>
    <xf numFmtId="179" fontId="378" fillId="0" borderId="11" xfId="32026" applyNumberFormat="1" applyFont="1" applyBorder="1" applyAlignment="1">
      <alignment horizontal="center" vertical="center"/>
    </xf>
    <xf numFmtId="179" fontId="378" fillId="89" borderId="11" xfId="32026" applyNumberFormat="1" applyFont="1" applyFill="1" applyBorder="1" applyAlignment="1">
      <alignment horizontal="center" vertical="center"/>
    </xf>
    <xf numFmtId="2" fontId="378" fillId="0" borderId="11" xfId="32026" applyNumberFormat="1" applyFont="1" applyBorder="1" applyAlignment="1">
      <alignment horizontal="center" vertical="center"/>
    </xf>
    <xf numFmtId="2" fontId="378" fillId="89" borderId="11" xfId="32026" applyNumberFormat="1" applyFont="1" applyFill="1" applyBorder="1" applyAlignment="1">
      <alignment horizontal="center" vertical="center"/>
    </xf>
    <xf numFmtId="1" fontId="378" fillId="0" borderId="11" xfId="32026" applyNumberFormat="1" applyFont="1" applyBorder="1" applyAlignment="1">
      <alignment horizontal="center" vertical="center"/>
    </xf>
    <xf numFmtId="3" fontId="376" fillId="96" borderId="0" xfId="32026" applyNumberFormat="1" applyFont="1" applyFill="1" applyAlignment="1">
      <alignment vertical="center"/>
    </xf>
    <xf numFmtId="3" fontId="376" fillId="72" borderId="0" xfId="32026" applyNumberFormat="1" applyFont="1" applyFill="1" applyAlignment="1">
      <alignment vertical="center"/>
    </xf>
    <xf numFmtId="2" fontId="375" fillId="0" borderId="0" xfId="32026" applyNumberFormat="1" applyFont="1" applyAlignment="1">
      <alignment vertical="center"/>
    </xf>
    <xf numFmtId="179" fontId="375" fillId="0" borderId="0" xfId="32026" applyNumberFormat="1" applyFont="1" applyAlignment="1">
      <alignment vertical="center"/>
    </xf>
    <xf numFmtId="249" fontId="286" fillId="37" borderId="0" xfId="0" applyNumberFormat="1" applyFont="1" applyFill="1"/>
    <xf numFmtId="0" fontId="291" fillId="72" borderId="22" xfId="0" applyFont="1" applyFill="1" applyBorder="1" applyAlignment="1">
      <alignment horizontal="center"/>
    </xf>
    <xf numFmtId="0" fontId="291" fillId="72" borderId="21" xfId="0" applyFont="1" applyFill="1" applyBorder="1" applyAlignment="1">
      <alignment horizontal="center"/>
    </xf>
    <xf numFmtId="166" fontId="286" fillId="37" borderId="0" xfId="31096" applyFont="1" applyFill="1" applyBorder="1" applyAlignment="1">
      <alignment horizontal="center"/>
    </xf>
    <xf numFmtId="166" fontId="286" fillId="37" borderId="22" xfId="31096" applyFont="1" applyFill="1" applyBorder="1" applyAlignment="1">
      <alignment horizontal="center"/>
    </xf>
    <xf numFmtId="166" fontId="286" fillId="37" borderId="21" xfId="31096" applyFont="1" applyFill="1" applyBorder="1" applyAlignment="1">
      <alignment horizontal="center"/>
    </xf>
    <xf numFmtId="1" fontId="286" fillId="37" borderId="22" xfId="0" applyNumberFormat="1" applyFont="1" applyFill="1" applyBorder="1" applyAlignment="1">
      <alignment horizontal="center"/>
    </xf>
    <xf numFmtId="183" fontId="286" fillId="37" borderId="22" xfId="0" applyNumberFormat="1" applyFont="1" applyFill="1" applyBorder="1" applyAlignment="1">
      <alignment horizontal="center"/>
    </xf>
    <xf numFmtId="4" fontId="286" fillId="37" borderId="22" xfId="0" applyNumberFormat="1" applyFont="1" applyFill="1" applyBorder="1" applyAlignment="1">
      <alignment horizontal="center"/>
    </xf>
    <xf numFmtId="0" fontId="288" fillId="72" borderId="97" xfId="0" applyFont="1" applyFill="1" applyBorder="1" applyAlignment="1">
      <alignment horizontal="left"/>
    </xf>
    <xf numFmtId="166" fontId="286" fillId="37" borderId="17" xfId="31096" applyFont="1" applyFill="1" applyBorder="1" applyAlignment="1">
      <alignment horizontal="center"/>
    </xf>
    <xf numFmtId="4" fontId="286" fillId="37" borderId="14" xfId="0" applyNumberFormat="1" applyFont="1" applyFill="1" applyBorder="1" applyAlignment="1">
      <alignment horizontal="center"/>
    </xf>
    <xf numFmtId="3" fontId="286" fillId="37" borderId="22" xfId="0" applyNumberFormat="1" applyFont="1" applyFill="1" applyBorder="1" applyAlignment="1">
      <alignment horizontal="center"/>
    </xf>
    <xf numFmtId="0" fontId="288" fillId="72" borderId="22" xfId="0" applyFont="1" applyFill="1" applyBorder="1" applyAlignment="1">
      <alignment horizontal="center"/>
    </xf>
    <xf numFmtId="0" fontId="288" fillId="72" borderId="21" xfId="0" applyFont="1" applyFill="1" applyBorder="1" applyAlignment="1">
      <alignment horizontal="center"/>
    </xf>
    <xf numFmtId="0" fontId="228" fillId="96" borderId="0" xfId="0" applyFont="1" applyFill="1" applyAlignment="1">
      <alignment horizontal="left"/>
    </xf>
    <xf numFmtId="1" fontId="228" fillId="96" borderId="0" xfId="0" applyNumberFormat="1" applyFont="1" applyFill="1" applyAlignment="1">
      <alignment horizontal="left" vertical="center"/>
    </xf>
    <xf numFmtId="3" fontId="228" fillId="96" borderId="0" xfId="0" applyNumberFormat="1" applyFont="1" applyFill="1" applyAlignment="1">
      <alignment horizontal="left" vertical="center"/>
    </xf>
    <xf numFmtId="182" fontId="228" fillId="96" borderId="0" xfId="0" applyNumberFormat="1" applyFont="1" applyFill="1" applyAlignment="1">
      <alignment horizontal="left" vertical="center"/>
    </xf>
    <xf numFmtId="179" fontId="228" fillId="96" borderId="0" xfId="0" applyNumberFormat="1" applyFont="1" applyFill="1" applyAlignment="1">
      <alignment horizontal="left" vertical="center"/>
    </xf>
    <xf numFmtId="0" fontId="286" fillId="107" borderId="0" xfId="0" applyFont="1" applyFill="1"/>
    <xf numFmtId="181" fontId="286" fillId="107" borderId="0" xfId="0" applyNumberFormat="1" applyFont="1" applyFill="1" applyAlignment="1">
      <alignment horizontal="center"/>
    </xf>
    <xf numFmtId="0" fontId="288" fillId="72" borderId="293" xfId="0" applyFont="1" applyFill="1" applyBorder="1" applyAlignment="1">
      <alignment horizontal="left"/>
    </xf>
    <xf numFmtId="0" fontId="288" fillId="72" borderId="0" xfId="0" applyFont="1" applyFill="1" applyAlignment="1">
      <alignment horizontal="left"/>
    </xf>
    <xf numFmtId="0" fontId="288" fillId="72" borderId="20" xfId="0" applyFont="1" applyFill="1" applyBorder="1" applyAlignment="1">
      <alignment horizontal="left"/>
    </xf>
    <xf numFmtId="0" fontId="288" fillId="72" borderId="22" xfId="0" applyFont="1" applyFill="1" applyBorder="1" applyAlignment="1">
      <alignment horizontal="left"/>
    </xf>
    <xf numFmtId="176" fontId="320" fillId="37" borderId="0" xfId="0" applyNumberFormat="1" applyFont="1" applyFill="1" applyAlignment="1">
      <alignment horizontal="center"/>
    </xf>
    <xf numFmtId="183" fontId="0" fillId="37" borderId="160" xfId="0" applyNumberFormat="1" applyFill="1" applyBorder="1" applyAlignment="1">
      <alignment horizontal="center" vertical="center"/>
    </xf>
    <xf numFmtId="3" fontId="100" fillId="37" borderId="31" xfId="0" applyNumberFormat="1" applyFont="1" applyFill="1" applyBorder="1" applyAlignment="1">
      <alignment vertical="center"/>
    </xf>
    <xf numFmtId="2" fontId="100" fillId="37" borderId="31" xfId="0" applyNumberFormat="1" applyFont="1" applyFill="1" applyBorder="1" applyAlignment="1">
      <alignment vertical="center"/>
    </xf>
    <xf numFmtId="207" fontId="47" fillId="37" borderId="130" xfId="234" applyNumberFormat="1" applyFont="1" applyFill="1" applyBorder="1" applyAlignment="1">
      <alignment horizontal="center"/>
    </xf>
    <xf numFmtId="207" fontId="47" fillId="37" borderId="137" xfId="234" applyNumberFormat="1" applyFont="1" applyFill="1" applyBorder="1" applyAlignment="1">
      <alignment horizontal="center"/>
    </xf>
    <xf numFmtId="207" fontId="0" fillId="37" borderId="294" xfId="234" applyNumberFormat="1" applyFont="1" applyFill="1" applyBorder="1" applyAlignment="1">
      <alignment horizontal="center"/>
    </xf>
    <xf numFmtId="199" fontId="47" fillId="37" borderId="294" xfId="234" applyNumberFormat="1" applyFont="1" applyFill="1" applyBorder="1" applyAlignment="1">
      <alignment horizontal="center"/>
    </xf>
    <xf numFmtId="4" fontId="94" fillId="37" borderId="24" xfId="234" applyNumberFormat="1" applyFont="1" applyFill="1" applyBorder="1" applyAlignment="1">
      <alignment horizontal="center"/>
    </xf>
    <xf numFmtId="3" fontId="94" fillId="37" borderId="295" xfId="234" applyNumberFormat="1" applyFont="1" applyFill="1" applyBorder="1" applyAlignment="1">
      <alignment horizontal="center"/>
    </xf>
    <xf numFmtId="3" fontId="94" fillId="37" borderId="296" xfId="234" applyNumberFormat="1" applyFont="1" applyFill="1" applyBorder="1" applyAlignment="1">
      <alignment horizontal="center"/>
    </xf>
    <xf numFmtId="3" fontId="94" fillId="37" borderId="297" xfId="234" applyNumberFormat="1" applyFont="1" applyFill="1" applyBorder="1" applyAlignment="1">
      <alignment horizontal="center"/>
    </xf>
    <xf numFmtId="3" fontId="94" fillId="37" borderId="204" xfId="234" applyNumberFormat="1" applyFont="1" applyFill="1" applyBorder="1" applyAlignment="1">
      <alignment horizontal="center"/>
    </xf>
    <xf numFmtId="4" fontId="0" fillId="37" borderId="165" xfId="0" applyNumberFormat="1" applyFill="1" applyBorder="1" applyAlignment="1">
      <alignment horizontal="center" vertical="center"/>
    </xf>
    <xf numFmtId="4" fontId="0" fillId="37" borderId="152" xfId="0" applyNumberFormat="1" applyFill="1" applyBorder="1" applyAlignment="1">
      <alignment horizontal="center" vertical="center"/>
    </xf>
    <xf numFmtId="4" fontId="0" fillId="37" borderId="166" xfId="0" applyNumberFormat="1" applyFill="1" applyBorder="1" applyAlignment="1">
      <alignment horizontal="center" vertical="center"/>
    </xf>
    <xf numFmtId="183" fontId="0" fillId="37" borderId="11" xfId="0" applyNumberFormat="1" applyFill="1" applyBorder="1" applyAlignment="1">
      <alignment horizontal="center" vertical="center"/>
    </xf>
    <xf numFmtId="3" fontId="0" fillId="37" borderId="160" xfId="0" applyNumberFormat="1" applyFill="1" applyBorder="1" applyAlignment="1">
      <alignment horizontal="center"/>
    </xf>
    <xf numFmtId="3" fontId="0" fillId="37" borderId="298" xfId="0" applyNumberFormat="1" applyFill="1" applyBorder="1" applyAlignment="1">
      <alignment horizontal="center"/>
    </xf>
    <xf numFmtId="2" fontId="117" fillId="37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vertical="center"/>
    </xf>
    <xf numFmtId="181" fontId="0" fillId="0" borderId="0" xfId="0" applyNumberFormat="1" applyAlignment="1">
      <alignment vertical="center"/>
    </xf>
    <xf numFmtId="181" fontId="0" fillId="0" borderId="0" xfId="0" applyNumberFormat="1" applyAlignment="1">
      <alignment horizontal="center" vertical="center"/>
    </xf>
    <xf numFmtId="2" fontId="0" fillId="37" borderId="168" xfId="0" applyNumberFormat="1" applyFill="1" applyBorder="1" applyAlignment="1">
      <alignment horizontal="center" vertical="center"/>
    </xf>
    <xf numFmtId="2" fontId="0" fillId="37" borderId="163" xfId="0" applyNumberFormat="1" applyFill="1" applyBorder="1" applyAlignment="1">
      <alignment horizontal="center" vertical="center"/>
    </xf>
    <xf numFmtId="2" fontId="0" fillId="37" borderId="152" xfId="2185" applyNumberFormat="1" applyFont="1" applyFill="1" applyBorder="1" applyAlignment="1">
      <alignment horizontal="center"/>
    </xf>
    <xf numFmtId="2" fontId="0" fillId="37" borderId="85" xfId="2185" applyNumberFormat="1" applyFont="1" applyFill="1" applyBorder="1" applyAlignment="1">
      <alignment horizontal="center"/>
    </xf>
    <xf numFmtId="181" fontId="0" fillId="37" borderId="152" xfId="2185" applyNumberFormat="1" applyFont="1" applyFill="1" applyBorder="1" applyAlignment="1">
      <alignment horizontal="center"/>
    </xf>
    <xf numFmtId="17" fontId="288" fillId="72" borderId="118" xfId="0" applyNumberFormat="1" applyFont="1" applyFill="1" applyBorder="1" applyAlignment="1">
      <alignment horizontal="center" vertical="center"/>
    </xf>
    <xf numFmtId="3" fontId="0" fillId="38" borderId="152" xfId="0" applyNumberFormat="1" applyFill="1" applyBorder="1" applyAlignment="1">
      <alignment horizontal="center"/>
    </xf>
    <xf numFmtId="165" fontId="112" fillId="38" borderId="101" xfId="234" applyNumberFormat="1" applyFont="1" applyFill="1" applyBorder="1" applyAlignment="1" applyProtection="1">
      <alignment horizontal="center" vertical="center" wrapText="1"/>
      <protection locked="0"/>
    </xf>
    <xf numFmtId="3" fontId="0" fillId="38" borderId="160" xfId="0" applyNumberFormat="1" applyFill="1" applyBorder="1" applyAlignment="1">
      <alignment horizontal="center"/>
    </xf>
    <xf numFmtId="1" fontId="284" fillId="37" borderId="299" xfId="0" applyNumberFormat="1" applyFont="1" applyFill="1" applyBorder="1" applyAlignment="1" applyProtection="1">
      <alignment horizontal="center"/>
      <protection locked="0"/>
    </xf>
    <xf numFmtId="187" fontId="284" fillId="37" borderId="154" xfId="28058" applyNumberFormat="1" applyFont="1" applyFill="1" applyBorder="1" applyAlignment="1" applyProtection="1">
      <alignment horizontal="center"/>
      <protection locked="0"/>
    </xf>
    <xf numFmtId="167" fontId="284" fillId="37" borderId="154" xfId="28058" applyFont="1" applyFill="1" applyBorder="1" applyAlignment="1" applyProtection="1">
      <alignment horizontal="center"/>
      <protection locked="0"/>
    </xf>
    <xf numFmtId="188" fontId="284" fillId="37" borderId="154" xfId="28058" applyNumberFormat="1" applyFont="1" applyFill="1" applyBorder="1" applyAlignment="1" applyProtection="1">
      <alignment horizontal="center"/>
      <protection locked="0"/>
    </xf>
    <xf numFmtId="185" fontId="0" fillId="37" borderId="154" xfId="0" applyNumberFormat="1" applyFill="1" applyBorder="1" applyAlignment="1">
      <alignment horizontal="center"/>
    </xf>
    <xf numFmtId="1" fontId="284" fillId="37" borderId="243" xfId="0" applyNumberFormat="1" applyFont="1" applyFill="1" applyBorder="1" applyAlignment="1" applyProtection="1">
      <alignment horizontal="center"/>
      <protection locked="0"/>
    </xf>
    <xf numFmtId="186" fontId="284" fillId="37" borderId="243" xfId="28058" applyNumberFormat="1" applyFont="1" applyFill="1" applyBorder="1" applyAlignment="1" applyProtection="1">
      <alignment horizontal="center"/>
      <protection locked="0"/>
    </xf>
    <xf numFmtId="185" fontId="295" fillId="37" borderId="243" xfId="322" applyNumberFormat="1" applyFont="1" applyFill="1" applyBorder="1" applyAlignment="1" applyProtection="1">
      <alignment horizontal="center"/>
      <protection locked="0"/>
    </xf>
    <xf numFmtId="167" fontId="284" fillId="38" borderId="140" xfId="28058" applyFont="1" applyFill="1" applyBorder="1" applyAlignment="1" applyProtection="1">
      <alignment horizontal="center"/>
      <protection locked="0"/>
    </xf>
    <xf numFmtId="183" fontId="126" fillId="118" borderId="0" xfId="0" applyNumberFormat="1" applyFont="1" applyFill="1" applyAlignment="1">
      <alignment vertical="center"/>
    </xf>
    <xf numFmtId="167" fontId="284" fillId="38" borderId="151" xfId="28058" applyFont="1" applyFill="1" applyBorder="1" applyAlignment="1" applyProtection="1">
      <alignment horizontal="center"/>
      <protection locked="0"/>
    </xf>
    <xf numFmtId="167" fontId="284" fillId="38" borderId="154" xfId="28058" applyFont="1" applyFill="1" applyBorder="1" applyAlignment="1" applyProtection="1">
      <alignment horizontal="center"/>
      <protection locked="0"/>
    </xf>
    <xf numFmtId="167" fontId="284" fillId="38" borderId="226" xfId="28058" applyFont="1" applyFill="1" applyBorder="1" applyAlignment="1" applyProtection="1">
      <alignment horizontal="center"/>
      <protection locked="0"/>
    </xf>
    <xf numFmtId="4" fontId="0" fillId="89" borderId="152" xfId="0" applyNumberFormat="1" applyFill="1" applyBorder="1" applyAlignment="1">
      <alignment horizontal="center"/>
    </xf>
    <xf numFmtId="4" fontId="0" fillId="89" borderId="168" xfId="0" applyNumberFormat="1" applyFill="1" applyBorder="1" applyAlignment="1">
      <alignment horizontal="center"/>
    </xf>
    <xf numFmtId="4" fontId="0" fillId="89" borderId="163" xfId="0" applyNumberFormat="1" applyFill="1" applyBorder="1" applyAlignment="1">
      <alignment horizontal="center"/>
    </xf>
    <xf numFmtId="3" fontId="0" fillId="127" borderId="152" xfId="0" applyNumberFormat="1" applyFill="1" applyBorder="1" applyAlignment="1">
      <alignment horizontal="center"/>
    </xf>
    <xf numFmtId="4" fontId="0" fillId="127" borderId="152" xfId="0" applyNumberFormat="1" applyFill="1" applyBorder="1" applyAlignment="1">
      <alignment horizontal="center"/>
    </xf>
    <xf numFmtId="1" fontId="334" fillId="107" borderId="0" xfId="32021" applyNumberFormat="1" applyFont="1" applyFill="1" applyAlignment="1">
      <alignment horizontal="center"/>
    </xf>
    <xf numFmtId="1" fontId="325" fillId="107" borderId="0" xfId="32021" applyNumberFormat="1" applyFont="1" applyFill="1" applyAlignment="1">
      <alignment horizontal="center"/>
    </xf>
    <xf numFmtId="1" fontId="324" fillId="98" borderId="0" xfId="32021" applyNumberFormat="1" applyFont="1" applyFill="1" applyAlignment="1">
      <alignment horizontal="center"/>
    </xf>
    <xf numFmtId="1" fontId="324" fillId="107" borderId="0" xfId="32021" applyNumberFormat="1" applyFont="1" applyFill="1" applyAlignment="1">
      <alignment horizontal="center"/>
    </xf>
    <xf numFmtId="176" fontId="324" fillId="0" borderId="0" xfId="32021" applyNumberFormat="1" applyFont="1" applyAlignment="1">
      <alignment horizontal="center"/>
    </xf>
    <xf numFmtId="3" fontId="144" fillId="37" borderId="152" xfId="0" applyNumberFormat="1" applyFont="1" applyFill="1" applyBorder="1" applyAlignment="1">
      <alignment horizontal="center"/>
    </xf>
    <xf numFmtId="179" fontId="227" fillId="0" borderId="0" xfId="0" applyNumberFormat="1" applyFont="1" applyAlignment="1">
      <alignment horizontal="center"/>
    </xf>
    <xf numFmtId="179" fontId="324" fillId="0" borderId="0" xfId="32021" applyNumberFormat="1" applyFont="1" applyAlignment="1">
      <alignment horizontal="center"/>
    </xf>
    <xf numFmtId="182" fontId="100" fillId="107" borderId="0" xfId="0" applyNumberFormat="1" applyFont="1" applyFill="1" applyAlignment="1">
      <alignment horizontal="center" vertical="center"/>
    </xf>
    <xf numFmtId="14" fontId="0" fillId="107" borderId="85" xfId="0" applyNumberFormat="1" applyFill="1" applyBorder="1" applyAlignment="1">
      <alignment horizontal="center"/>
    </xf>
    <xf numFmtId="166" fontId="0" fillId="107" borderId="85" xfId="31096" applyFont="1" applyFill="1" applyBorder="1" applyAlignment="1">
      <alignment horizontal="center"/>
    </xf>
    <xf numFmtId="176" fontId="0" fillId="107" borderId="85" xfId="0" applyNumberFormat="1" applyFill="1" applyBorder="1" applyAlignment="1">
      <alignment horizontal="center"/>
    </xf>
    <xf numFmtId="0" fontId="0" fillId="107" borderId="85" xfId="0" applyFill="1" applyBorder="1" applyAlignment="1">
      <alignment horizontal="center"/>
    </xf>
    <xf numFmtId="176" fontId="0" fillId="107" borderId="85" xfId="2185" applyNumberFormat="1" applyFont="1" applyFill="1" applyBorder="1" applyAlignment="1">
      <alignment horizontal="center"/>
    </xf>
    <xf numFmtId="181" fontId="0" fillId="107" borderId="85" xfId="2185" applyNumberFormat="1" applyFont="1" applyFill="1" applyBorder="1" applyAlignment="1">
      <alignment horizontal="center"/>
    </xf>
    <xf numFmtId="1" fontId="0" fillId="107" borderId="85" xfId="0" applyNumberFormat="1" applyFill="1" applyBorder="1" applyAlignment="1">
      <alignment horizontal="center"/>
    </xf>
    <xf numFmtId="2" fontId="0" fillId="107" borderId="85" xfId="0" applyNumberFormat="1" applyFill="1" applyBorder="1" applyAlignment="1">
      <alignment horizontal="center"/>
    </xf>
    <xf numFmtId="252" fontId="0" fillId="107" borderId="85" xfId="0" applyNumberFormat="1" applyFill="1" applyBorder="1" applyAlignment="1">
      <alignment horizontal="center"/>
    </xf>
    <xf numFmtId="179" fontId="0" fillId="107" borderId="85" xfId="0" applyNumberFormat="1" applyFill="1" applyBorder="1" applyAlignment="1">
      <alignment horizontal="center"/>
    </xf>
    <xf numFmtId="2" fontId="0" fillId="107" borderId="0" xfId="0" applyNumberFormat="1" applyFill="1" applyAlignment="1">
      <alignment horizontal="center"/>
    </xf>
    <xf numFmtId="0" fontId="0" fillId="107" borderId="0" xfId="0" applyFill="1" applyAlignment="1">
      <alignment horizontal="center"/>
    </xf>
    <xf numFmtId="2" fontId="0" fillId="107" borderId="85" xfId="2185" applyNumberFormat="1" applyFont="1" applyFill="1" applyBorder="1" applyAlignment="1">
      <alignment horizontal="center"/>
    </xf>
    <xf numFmtId="1" fontId="0" fillId="107" borderId="224" xfId="0" applyNumberFormat="1" applyFill="1" applyBorder="1" applyAlignment="1">
      <alignment horizontal="center"/>
    </xf>
    <xf numFmtId="176" fontId="51" fillId="107" borderId="80" xfId="0" applyNumberFormat="1" applyFont="1" applyFill="1" applyBorder="1"/>
    <xf numFmtId="2" fontId="261" fillId="107" borderId="84" xfId="0" applyNumberFormat="1" applyFont="1" applyFill="1" applyBorder="1" applyAlignment="1">
      <alignment horizontal="center"/>
    </xf>
    <xf numFmtId="0" fontId="130" fillId="107" borderId="85" xfId="0" applyFont="1" applyFill="1" applyBorder="1" applyAlignment="1">
      <alignment horizontal="center"/>
    </xf>
    <xf numFmtId="187" fontId="130" fillId="107" borderId="85" xfId="31137" applyNumberFormat="1" applyFont="1" applyFill="1" applyBorder="1" applyAlignment="1"/>
    <xf numFmtId="253" fontId="130" fillId="107" borderId="85" xfId="31137" applyNumberFormat="1" applyFont="1" applyFill="1" applyBorder="1" applyAlignment="1"/>
    <xf numFmtId="186" fontId="130" fillId="107" borderId="85" xfId="31137" applyNumberFormat="1" applyFont="1" applyFill="1" applyBorder="1" applyAlignment="1"/>
    <xf numFmtId="43" fontId="130" fillId="107" borderId="85" xfId="31137" applyFont="1" applyFill="1" applyBorder="1" applyAlignment="1"/>
    <xf numFmtId="167" fontId="130" fillId="107" borderId="85" xfId="31137" applyNumberFormat="1" applyFont="1" applyFill="1" applyBorder="1" applyAlignment="1"/>
    <xf numFmtId="188" fontId="130" fillId="107" borderId="85" xfId="31137" applyNumberFormat="1" applyFont="1" applyFill="1" applyBorder="1" applyAlignment="1"/>
    <xf numFmtId="0" fontId="51" fillId="107" borderId="85" xfId="0" applyFont="1" applyFill="1" applyBorder="1"/>
    <xf numFmtId="0" fontId="0" fillId="89" borderId="11" xfId="0" applyFill="1" applyBorder="1"/>
    <xf numFmtId="0" fontId="0" fillId="0" borderId="11" xfId="0" applyBorder="1"/>
    <xf numFmtId="1" fontId="0" fillId="0" borderId="11" xfId="0" applyNumberFormat="1" applyBorder="1"/>
    <xf numFmtId="0" fontId="366" fillId="96" borderId="0" xfId="306" applyFont="1" applyFill="1" applyAlignment="1">
      <alignment horizontal="left" vertical="center" wrapText="1"/>
    </xf>
    <xf numFmtId="3" fontId="100" fillId="37" borderId="12" xfId="23108" applyNumberFormat="1" applyFont="1" applyFill="1" applyBorder="1" applyAlignment="1">
      <alignment horizontal="center"/>
    </xf>
    <xf numFmtId="197" fontId="0" fillId="37" borderId="152" xfId="322" applyNumberFormat="1" applyFont="1" applyFill="1" applyBorder="1" applyAlignment="1">
      <alignment horizontal="center"/>
    </xf>
    <xf numFmtId="3" fontId="0" fillId="96" borderId="98" xfId="0" applyNumberFormat="1" applyFill="1" applyBorder="1" applyAlignment="1">
      <alignment horizontal="center"/>
    </xf>
    <xf numFmtId="199" fontId="47" fillId="0" borderId="165" xfId="234" applyNumberFormat="1" applyFont="1" applyFill="1" applyBorder="1" applyAlignment="1">
      <alignment horizontal="center"/>
    </xf>
    <xf numFmtId="1" fontId="0" fillId="0" borderId="166" xfId="0" applyNumberFormat="1" applyBorder="1" applyAlignment="1">
      <alignment horizontal="center"/>
    </xf>
    <xf numFmtId="4" fontId="139" fillId="0" borderId="21" xfId="0" applyNumberFormat="1" applyFont="1" applyBorder="1" applyAlignment="1">
      <alignment horizontal="center"/>
    </xf>
    <xf numFmtId="4" fontId="123" fillId="0" borderId="21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center" wrapText="1"/>
    </xf>
    <xf numFmtId="199" fontId="47" fillId="0" borderId="167" xfId="234" applyNumberFormat="1" applyFont="1" applyFill="1" applyBorder="1" applyAlignment="1">
      <alignment horizontal="center"/>
    </xf>
    <xf numFmtId="1" fontId="0" fillId="0" borderId="168" xfId="0" applyNumberFormat="1" applyBorder="1" applyAlignment="1">
      <alignment horizontal="center"/>
    </xf>
    <xf numFmtId="1" fontId="0" fillId="0" borderId="169" xfId="0" applyNumberFormat="1" applyBorder="1" applyAlignment="1">
      <alignment horizontal="center"/>
    </xf>
    <xf numFmtId="176" fontId="0" fillId="0" borderId="39" xfId="0" applyNumberFormat="1" applyBorder="1" applyAlignment="1">
      <alignment horizontal="center"/>
    </xf>
    <xf numFmtId="2" fontId="0" fillId="0" borderId="39" xfId="0" applyNumberFormat="1" applyBorder="1" applyAlignment="1">
      <alignment horizontal="center"/>
    </xf>
    <xf numFmtId="4" fontId="139" fillId="0" borderId="61" xfId="0" applyNumberFormat="1" applyFont="1" applyBorder="1" applyAlignment="1">
      <alignment horizontal="center"/>
    </xf>
    <xf numFmtId="4" fontId="0" fillId="0" borderId="55" xfId="0" applyNumberFormat="1" applyBorder="1" applyAlignment="1">
      <alignment horizontal="center" wrapText="1"/>
    </xf>
    <xf numFmtId="199" fontId="47" fillId="0" borderId="162" xfId="234" applyNumberFormat="1" applyFont="1" applyFill="1" applyBorder="1" applyAlignment="1">
      <alignment horizontal="center"/>
    </xf>
    <xf numFmtId="1" fontId="0" fillId="0" borderId="163" xfId="0" applyNumberFormat="1" applyBorder="1" applyAlignment="1">
      <alignment horizontal="center"/>
    </xf>
    <xf numFmtId="1" fontId="0" fillId="0" borderId="164" xfId="0" applyNumberFormat="1" applyBorder="1" applyAlignment="1">
      <alignment horizontal="center"/>
    </xf>
    <xf numFmtId="176" fontId="0" fillId="0" borderId="31" xfId="0" applyNumberForma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4" fontId="139" fillId="0" borderId="60" xfId="0" applyNumberFormat="1" applyFont="1" applyBorder="1" applyAlignment="1">
      <alignment horizontal="center"/>
    </xf>
    <xf numFmtId="4" fontId="123" fillId="0" borderId="60" xfId="0" applyNumberFormat="1" applyFont="1" applyBorder="1" applyAlignment="1">
      <alignment horizontal="center"/>
    </xf>
    <xf numFmtId="4" fontId="0" fillId="0" borderId="47" xfId="0" applyNumberFormat="1" applyBorder="1" applyAlignment="1">
      <alignment horizontal="center" wrapText="1"/>
    </xf>
    <xf numFmtId="16" fontId="51" fillId="0" borderId="0" xfId="0" applyNumberFormat="1" applyFont="1"/>
    <xf numFmtId="1" fontId="51" fillId="0" borderId="0" xfId="0" applyNumberFormat="1" applyFont="1"/>
    <xf numFmtId="0" fontId="51" fillId="0" borderId="0" xfId="0" applyFont="1" applyAlignment="1">
      <alignment horizontal="center"/>
    </xf>
    <xf numFmtId="0" fontId="51" fillId="38" borderId="0" xfId="0" applyFont="1" applyFill="1" applyAlignment="1">
      <alignment horizontal="center"/>
    </xf>
    <xf numFmtId="0" fontId="51" fillId="38" borderId="0" xfId="0" applyFont="1" applyFill="1"/>
    <xf numFmtId="2" fontId="51" fillId="38" borderId="0" xfId="0" applyNumberFormat="1" applyFont="1" applyFill="1" applyAlignment="1">
      <alignment horizontal="center"/>
    </xf>
    <xf numFmtId="43" fontId="51" fillId="0" borderId="0" xfId="0" applyNumberFormat="1" applyFont="1" applyAlignment="1">
      <alignment horizontal="center"/>
    </xf>
    <xf numFmtId="253" fontId="51" fillId="0" borderId="0" xfId="0" applyNumberFormat="1" applyFont="1" applyAlignment="1">
      <alignment horizontal="center"/>
    </xf>
    <xf numFmtId="43" fontId="51" fillId="0" borderId="0" xfId="0" applyNumberFormat="1" applyFont="1"/>
    <xf numFmtId="285" fontId="51" fillId="0" borderId="0" xfId="0" applyNumberFormat="1" applyFont="1"/>
    <xf numFmtId="3" fontId="100" fillId="75" borderId="0" xfId="0" applyNumberFormat="1" applyFont="1" applyFill="1" applyAlignment="1">
      <alignment vertical="center"/>
    </xf>
    <xf numFmtId="3" fontId="276" fillId="0" borderId="13" xfId="0" applyNumberFormat="1" applyFont="1" applyBorder="1" applyAlignment="1">
      <alignment horizontal="center"/>
    </xf>
    <xf numFmtId="3" fontId="276" fillId="0" borderId="43" xfId="0" applyNumberFormat="1" applyFont="1" applyBorder="1" applyAlignment="1">
      <alignment horizontal="center"/>
    </xf>
    <xf numFmtId="182" fontId="276" fillId="0" borderId="47" xfId="0" applyNumberFormat="1" applyFont="1" applyBorder="1" applyAlignment="1">
      <alignment horizontal="center"/>
    </xf>
    <xf numFmtId="14" fontId="0" fillId="120" borderId="85" xfId="0" applyNumberFormat="1" applyFill="1" applyBorder="1" applyAlignment="1">
      <alignment horizontal="center"/>
    </xf>
    <xf numFmtId="166" fontId="0" fillId="120" borderId="85" xfId="31096" applyFont="1" applyFill="1" applyBorder="1" applyAlignment="1">
      <alignment horizontal="center"/>
    </xf>
    <xf numFmtId="176" fontId="0" fillId="120" borderId="85" xfId="0" applyNumberFormat="1" applyFill="1" applyBorder="1" applyAlignment="1">
      <alignment horizontal="center"/>
    </xf>
    <xf numFmtId="0" fontId="0" fillId="120" borderId="85" xfId="0" applyFill="1" applyBorder="1" applyAlignment="1">
      <alignment horizontal="center"/>
    </xf>
    <xf numFmtId="176" fontId="0" fillId="120" borderId="85" xfId="2185" applyNumberFormat="1" applyFont="1" applyFill="1" applyBorder="1" applyAlignment="1">
      <alignment horizontal="center"/>
    </xf>
    <xf numFmtId="2" fontId="0" fillId="120" borderId="85" xfId="2185" applyNumberFormat="1" applyFont="1" applyFill="1" applyBorder="1" applyAlignment="1">
      <alignment horizontal="center"/>
    </xf>
    <xf numFmtId="1" fontId="0" fillId="120" borderId="85" xfId="0" applyNumberFormat="1" applyFill="1" applyBorder="1" applyAlignment="1">
      <alignment horizontal="center"/>
    </xf>
    <xf numFmtId="1" fontId="0" fillId="120" borderId="224" xfId="0" applyNumberFormat="1" applyFill="1" applyBorder="1" applyAlignment="1">
      <alignment horizontal="center"/>
    </xf>
    <xf numFmtId="2" fontId="0" fillId="120" borderId="85" xfId="0" applyNumberFormat="1" applyFill="1" applyBorder="1" applyAlignment="1">
      <alignment horizontal="center"/>
    </xf>
    <xf numFmtId="252" fontId="0" fillId="120" borderId="85" xfId="0" applyNumberFormat="1" applyFill="1" applyBorder="1" applyAlignment="1">
      <alignment horizontal="center"/>
    </xf>
    <xf numFmtId="179" fontId="0" fillId="120" borderId="85" xfId="0" applyNumberFormat="1" applyFill="1" applyBorder="1" applyAlignment="1">
      <alignment horizontal="center"/>
    </xf>
    <xf numFmtId="2" fontId="0" fillId="120" borderId="0" xfId="0" applyNumberFormat="1" applyFill="1" applyAlignment="1">
      <alignment horizontal="center"/>
    </xf>
    <xf numFmtId="0" fontId="0" fillId="120" borderId="0" xfId="0" applyFill="1" applyAlignment="1">
      <alignment horizontal="center"/>
    </xf>
    <xf numFmtId="1" fontId="0" fillId="120" borderId="0" xfId="0" applyNumberFormat="1" applyFill="1" applyAlignment="1">
      <alignment horizontal="center"/>
    </xf>
    <xf numFmtId="2" fontId="0" fillId="125" borderId="85" xfId="0" applyNumberFormat="1" applyFill="1" applyBorder="1" applyAlignment="1">
      <alignment horizontal="center"/>
    </xf>
    <xf numFmtId="183" fontId="94" fillId="0" borderId="0" xfId="234" applyNumberFormat="1" applyFont="1"/>
    <xf numFmtId="166" fontId="0" fillId="125" borderId="85" xfId="31096" applyFont="1" applyFill="1" applyBorder="1" applyAlignment="1">
      <alignment horizontal="center"/>
    </xf>
    <xf numFmtId="0" fontId="271" fillId="72" borderId="300" xfId="0" applyFont="1" applyFill="1" applyBorder="1" applyAlignment="1">
      <alignment horizontal="center" vertical="center"/>
    </xf>
    <xf numFmtId="0" fontId="271" fillId="72" borderId="94" xfId="0" applyFont="1" applyFill="1" applyBorder="1" applyAlignment="1">
      <alignment horizontal="center" vertical="center" wrapText="1"/>
    </xf>
    <xf numFmtId="3" fontId="276" fillId="37" borderId="94" xfId="0" applyNumberFormat="1" applyFont="1" applyFill="1" applyBorder="1" applyAlignment="1">
      <alignment horizontal="center"/>
    </xf>
    <xf numFmtId="3" fontId="276" fillId="37" borderId="97" xfId="0" applyNumberFormat="1" applyFont="1" applyFill="1" applyBorder="1" applyAlignment="1">
      <alignment horizontal="center"/>
    </xf>
    <xf numFmtId="3" fontId="276" fillId="117" borderId="300" xfId="0" applyNumberFormat="1" applyFont="1" applyFill="1" applyBorder="1" applyAlignment="1">
      <alignment horizontal="center"/>
    </xf>
    <xf numFmtId="3" fontId="276" fillId="117" borderId="94" xfId="0" applyNumberFormat="1" applyFont="1" applyFill="1" applyBorder="1" applyAlignment="1">
      <alignment horizontal="center"/>
    </xf>
    <xf numFmtId="183" fontId="0" fillId="110" borderId="0" xfId="234" applyNumberFormat="1" applyFont="1" applyFill="1"/>
    <xf numFmtId="1" fontId="0" fillId="0" borderId="111" xfId="0" applyNumberFormat="1" applyBorder="1" applyAlignment="1">
      <alignment horizontal="center"/>
    </xf>
    <xf numFmtId="1" fontId="0" fillId="0" borderId="116" xfId="0" applyNumberFormat="1" applyBorder="1" applyAlignment="1">
      <alignment horizontal="center"/>
    </xf>
    <xf numFmtId="189" fontId="193" fillId="0" borderId="0" xfId="234" applyNumberFormat="1" applyFont="1" applyFill="1" applyAlignment="1">
      <alignment horizontal="center"/>
    </xf>
    <xf numFmtId="3" fontId="94" fillId="95" borderId="0" xfId="0" applyNumberFormat="1" applyFont="1" applyFill="1" applyAlignment="1">
      <alignment horizontal="center" vertical="center"/>
    </xf>
    <xf numFmtId="0" fontId="0" fillId="136" borderId="0" xfId="0" applyFill="1"/>
    <xf numFmtId="167" fontId="0" fillId="136" borderId="0" xfId="234" applyFont="1" applyFill="1" applyBorder="1" applyAlignment="1" applyProtection="1">
      <alignment horizontal="center" vertical="center" wrapText="1"/>
      <protection locked="0"/>
    </xf>
    <xf numFmtId="187" fontId="0" fillId="136" borderId="0" xfId="234" applyNumberFormat="1" applyFont="1" applyFill="1" applyBorder="1" applyAlignment="1" applyProtection="1">
      <alignment horizontal="center" vertical="center" wrapText="1"/>
      <protection locked="0"/>
    </xf>
    <xf numFmtId="2" fontId="0" fillId="136" borderId="0" xfId="0" applyNumberFormat="1" applyFill="1"/>
    <xf numFmtId="179" fontId="0" fillId="136" borderId="0" xfId="0" applyNumberFormat="1" applyFill="1"/>
    <xf numFmtId="1" fontId="0" fillId="87" borderId="98" xfId="0" applyNumberFormat="1" applyFill="1" applyBorder="1" applyAlignment="1">
      <alignment horizontal="center"/>
    </xf>
    <xf numFmtId="176" fontId="0" fillId="87" borderId="98" xfId="0" applyNumberFormat="1" applyFill="1" applyBorder="1" applyAlignment="1">
      <alignment horizontal="center"/>
    </xf>
    <xf numFmtId="166" fontId="0" fillId="87" borderId="98" xfId="31096" applyFont="1" applyFill="1" applyBorder="1" applyAlignment="1">
      <alignment horizontal="center"/>
    </xf>
    <xf numFmtId="176" fontId="0" fillId="87" borderId="99" xfId="0" applyNumberFormat="1" applyFill="1" applyBorder="1" applyAlignment="1">
      <alignment horizontal="center"/>
    </xf>
    <xf numFmtId="207" fontId="0" fillId="87" borderId="195" xfId="234" applyNumberFormat="1" applyFont="1" applyFill="1" applyBorder="1" applyAlignment="1">
      <alignment horizontal="center"/>
    </xf>
    <xf numFmtId="199" fontId="47" fillId="87" borderId="212" xfId="234" applyNumberFormat="1" applyFont="1" applyFill="1" applyBorder="1" applyAlignment="1">
      <alignment horizontal="center"/>
    </xf>
    <xf numFmtId="179" fontId="270" fillId="87" borderId="0" xfId="0" applyNumberFormat="1" applyFont="1" applyFill="1" applyAlignment="1">
      <alignment horizontal="center"/>
    </xf>
    <xf numFmtId="1" fontId="0" fillId="87" borderId="125" xfId="0" applyNumberFormat="1" applyFill="1" applyBorder="1" applyAlignment="1">
      <alignment horizontal="center"/>
    </xf>
    <xf numFmtId="1" fontId="0" fillId="87" borderId="99" xfId="0" applyNumberFormat="1" applyFill="1" applyBorder="1" applyAlignment="1">
      <alignment horizontal="center"/>
    </xf>
    <xf numFmtId="199" fontId="0" fillId="87" borderId="101" xfId="234" applyNumberFormat="1" applyFont="1" applyFill="1" applyBorder="1" applyAlignment="1">
      <alignment horizontal="center"/>
    </xf>
    <xf numFmtId="2" fontId="144" fillId="87" borderId="0" xfId="0" applyNumberFormat="1" applyFont="1" applyFill="1" applyAlignment="1">
      <alignment horizontal="center" vertical="center"/>
    </xf>
    <xf numFmtId="185" fontId="94" fillId="87" borderId="98" xfId="1301" applyNumberFormat="1" applyFont="1" applyFill="1" applyBorder="1" applyAlignment="1">
      <alignment horizontal="center" vertical="center"/>
    </xf>
    <xf numFmtId="1" fontId="0" fillId="87" borderId="98" xfId="0" applyNumberFormat="1" applyFill="1" applyBorder="1" applyAlignment="1">
      <alignment horizontal="center" vertical="center"/>
    </xf>
    <xf numFmtId="1" fontId="94" fillId="87" borderId="98" xfId="0" applyNumberFormat="1" applyFont="1" applyFill="1" applyBorder="1" applyAlignment="1">
      <alignment horizontal="center" vertical="center"/>
    </xf>
    <xf numFmtId="3" fontId="0" fillId="87" borderId="0" xfId="0" applyNumberFormat="1" applyFill="1" applyAlignment="1">
      <alignment horizontal="center" vertical="center"/>
    </xf>
    <xf numFmtId="1" fontId="94" fillId="87" borderId="0" xfId="0" applyNumberFormat="1" applyFont="1" applyFill="1" applyAlignment="1">
      <alignment horizontal="center" vertical="center"/>
    </xf>
    <xf numFmtId="3" fontId="94" fillId="87" borderId="0" xfId="0" applyNumberFormat="1" applyFont="1" applyFill="1" applyAlignment="1">
      <alignment horizontal="center" vertical="center"/>
    </xf>
    <xf numFmtId="3" fontId="0" fillId="87" borderId="98" xfId="0" applyNumberFormat="1" applyFill="1" applyBorder="1" applyAlignment="1">
      <alignment horizontal="center" vertical="center"/>
    </xf>
    <xf numFmtId="231" fontId="94" fillId="87" borderId="0" xfId="0" applyNumberFormat="1" applyFont="1" applyFill="1" applyAlignment="1">
      <alignment horizontal="center"/>
    </xf>
    <xf numFmtId="3" fontId="0" fillId="87" borderId="0" xfId="0" applyNumberFormat="1" applyFill="1"/>
    <xf numFmtId="207" fontId="0" fillId="87" borderId="197" xfId="234" applyNumberFormat="1" applyFont="1" applyFill="1" applyBorder="1" applyAlignment="1">
      <alignment horizontal="center"/>
    </xf>
    <xf numFmtId="199" fontId="47" fillId="87" borderId="197" xfId="234" applyNumberFormat="1" applyFont="1" applyFill="1" applyBorder="1" applyAlignment="1">
      <alignment horizontal="center"/>
    </xf>
    <xf numFmtId="4" fontId="0" fillId="87" borderId="11" xfId="0" applyNumberFormat="1" applyFill="1" applyBorder="1" applyAlignment="1">
      <alignment horizontal="center" wrapText="1"/>
    </xf>
    <xf numFmtId="1" fontId="0" fillId="87" borderId="135" xfId="0" applyNumberFormat="1" applyFill="1" applyBorder="1" applyAlignment="1">
      <alignment horizontal="center"/>
    </xf>
    <xf numFmtId="1" fontId="0" fillId="38" borderId="98" xfId="0" applyNumberFormat="1" applyFill="1" applyBorder="1" applyAlignment="1">
      <alignment horizontal="center"/>
    </xf>
    <xf numFmtId="167" fontId="0" fillId="95" borderId="0" xfId="234" applyFont="1" applyFill="1" applyBorder="1" applyAlignment="1" applyProtection="1">
      <alignment horizontal="center" vertical="center" wrapText="1"/>
      <protection locked="0"/>
    </xf>
    <xf numFmtId="187" fontId="0" fillId="95" borderId="0" xfId="234" applyNumberFormat="1" applyFont="1" applyFill="1" applyBorder="1" applyAlignment="1" applyProtection="1">
      <alignment horizontal="center" vertical="center" wrapText="1"/>
      <protection locked="0"/>
    </xf>
    <xf numFmtId="2" fontId="0" fillId="95" borderId="0" xfId="0" applyNumberFormat="1" applyFill="1"/>
    <xf numFmtId="179" fontId="0" fillId="95" borderId="0" xfId="0" applyNumberFormat="1" applyFill="1"/>
    <xf numFmtId="1" fontId="0" fillId="95" borderId="135" xfId="0" applyNumberFormat="1" applyFill="1" applyBorder="1" applyAlignment="1">
      <alignment horizontal="center"/>
    </xf>
    <xf numFmtId="176" fontId="0" fillId="95" borderId="98" xfId="0" applyNumberFormat="1" applyFill="1" applyBorder="1" applyAlignment="1">
      <alignment horizontal="center"/>
    </xf>
    <xf numFmtId="1" fontId="0" fillId="95" borderId="98" xfId="0" applyNumberFormat="1" applyFill="1" applyBorder="1" applyAlignment="1">
      <alignment horizontal="center"/>
    </xf>
    <xf numFmtId="166" fontId="0" fillId="95" borderId="98" xfId="31096" applyFont="1" applyFill="1" applyBorder="1" applyAlignment="1">
      <alignment horizontal="center"/>
    </xf>
    <xf numFmtId="176" fontId="0" fillId="95" borderId="99" xfId="0" applyNumberFormat="1" applyFill="1" applyBorder="1" applyAlignment="1">
      <alignment horizontal="center"/>
    </xf>
    <xf numFmtId="207" fontId="0" fillId="95" borderId="197" xfId="234" applyNumberFormat="1" applyFont="1" applyFill="1" applyBorder="1" applyAlignment="1">
      <alignment horizontal="center"/>
    </xf>
    <xf numFmtId="199" fontId="47" fillId="95" borderId="197" xfId="234" applyNumberFormat="1" applyFont="1" applyFill="1" applyBorder="1" applyAlignment="1">
      <alignment horizontal="center"/>
    </xf>
    <xf numFmtId="4" fontId="0" fillId="95" borderId="11" xfId="0" applyNumberFormat="1" applyFill="1" applyBorder="1" applyAlignment="1">
      <alignment horizontal="center" wrapText="1"/>
    </xf>
    <xf numFmtId="1" fontId="0" fillId="95" borderId="125" xfId="0" applyNumberFormat="1" applyFill="1" applyBorder="1" applyAlignment="1">
      <alignment horizontal="center"/>
    </xf>
    <xf numFmtId="1" fontId="0" fillId="95" borderId="99" xfId="0" applyNumberFormat="1" applyFill="1" applyBorder="1" applyAlignment="1">
      <alignment horizontal="center"/>
    </xf>
    <xf numFmtId="199" fontId="0" fillId="95" borderId="101" xfId="234" applyNumberFormat="1" applyFont="1" applyFill="1" applyBorder="1" applyAlignment="1">
      <alignment horizontal="center"/>
    </xf>
    <xf numFmtId="2" fontId="144" fillId="95" borderId="0" xfId="0" applyNumberFormat="1" applyFont="1" applyFill="1" applyAlignment="1">
      <alignment horizontal="center" vertical="center"/>
    </xf>
    <xf numFmtId="185" fontId="94" fillId="95" borderId="98" xfId="1301" applyNumberFormat="1" applyFont="1" applyFill="1" applyBorder="1" applyAlignment="1">
      <alignment horizontal="center" vertical="center"/>
    </xf>
    <xf numFmtId="1" fontId="0" fillId="95" borderId="98" xfId="0" applyNumberFormat="1" applyFill="1" applyBorder="1" applyAlignment="1">
      <alignment horizontal="center" vertical="center"/>
    </xf>
    <xf numFmtId="1" fontId="94" fillId="95" borderId="98" xfId="0" applyNumberFormat="1" applyFont="1" applyFill="1" applyBorder="1" applyAlignment="1">
      <alignment horizontal="center" vertical="center"/>
    </xf>
    <xf numFmtId="3" fontId="0" fillId="95" borderId="0" xfId="0" applyNumberFormat="1" applyFill="1" applyAlignment="1">
      <alignment horizontal="center" vertical="center"/>
    </xf>
    <xf numFmtId="1" fontId="94" fillId="95" borderId="0" xfId="0" applyNumberFormat="1" applyFont="1" applyFill="1" applyAlignment="1">
      <alignment horizontal="center" vertical="center"/>
    </xf>
    <xf numFmtId="3" fontId="0" fillId="95" borderId="98" xfId="0" applyNumberFormat="1" applyFill="1" applyBorder="1" applyAlignment="1">
      <alignment horizontal="center" vertical="center"/>
    </xf>
    <xf numFmtId="3" fontId="0" fillId="95" borderId="0" xfId="0" applyNumberFormat="1" applyFill="1"/>
    <xf numFmtId="1" fontId="0" fillId="95" borderId="111" xfId="0" applyNumberFormat="1" applyFill="1" applyBorder="1" applyAlignment="1">
      <alignment horizontal="center"/>
    </xf>
    <xf numFmtId="1" fontId="94" fillId="95" borderId="0" xfId="0" applyNumberFormat="1" applyFont="1" applyFill="1" applyAlignment="1">
      <alignment horizontal="center"/>
    </xf>
    <xf numFmtId="0" fontId="100" fillId="93" borderId="32" xfId="0" applyFont="1" applyFill="1" applyBorder="1" applyAlignment="1">
      <alignment vertical="center" textRotation="90"/>
    </xf>
    <xf numFmtId="194" fontId="100" fillId="93" borderId="31" xfId="0" applyNumberFormat="1" applyFont="1" applyFill="1" applyBorder="1" applyAlignment="1">
      <alignment horizontal="center" vertical="center"/>
    </xf>
    <xf numFmtId="3" fontId="100" fillId="93" borderId="31" xfId="0" applyNumberFormat="1" applyFont="1" applyFill="1" applyBorder="1" applyAlignment="1">
      <alignment horizontal="center"/>
    </xf>
    <xf numFmtId="4" fontId="100" fillId="93" borderId="31" xfId="0" applyNumberFormat="1" applyFont="1" applyFill="1" applyBorder="1" applyAlignment="1">
      <alignment horizontal="center"/>
    </xf>
    <xf numFmtId="183" fontId="100" fillId="93" borderId="31" xfId="0" applyNumberFormat="1" applyFont="1" applyFill="1" applyBorder="1" applyAlignment="1">
      <alignment horizontal="center"/>
    </xf>
    <xf numFmtId="182" fontId="100" fillId="93" borderId="31" xfId="0" applyNumberFormat="1" applyFont="1" applyFill="1" applyBorder="1" applyAlignment="1">
      <alignment horizontal="center"/>
    </xf>
    <xf numFmtId="2" fontId="100" fillId="93" borderId="31" xfId="0" applyNumberFormat="1" applyFont="1" applyFill="1" applyBorder="1" applyAlignment="1">
      <alignment horizontal="center" vertical="center"/>
    </xf>
    <xf numFmtId="3" fontId="100" fillId="93" borderId="0" xfId="0" applyNumberFormat="1" applyFont="1" applyFill="1" applyAlignment="1">
      <alignment horizontal="center" vertical="center"/>
    </xf>
    <xf numFmtId="3" fontId="100" fillId="93" borderId="31" xfId="0" applyNumberFormat="1" applyFont="1" applyFill="1" applyBorder="1" applyAlignment="1">
      <alignment vertical="center"/>
    </xf>
    <xf numFmtId="3" fontId="100" fillId="93" borderId="31" xfId="0" applyNumberFormat="1" applyFont="1" applyFill="1" applyBorder="1" applyAlignment="1">
      <alignment horizontal="center" vertical="center"/>
    </xf>
    <xf numFmtId="4" fontId="100" fillId="93" borderId="31" xfId="0" applyNumberFormat="1" applyFont="1" applyFill="1" applyBorder="1" applyAlignment="1">
      <alignment horizontal="center" vertical="center"/>
    </xf>
    <xf numFmtId="182" fontId="100" fillId="93" borderId="31" xfId="0" applyNumberFormat="1" applyFont="1" applyFill="1" applyBorder="1" applyAlignment="1">
      <alignment horizontal="center" vertical="center"/>
    </xf>
    <xf numFmtId="176" fontId="100" fillId="93" borderId="31" xfId="0" applyNumberFormat="1" applyFont="1" applyFill="1" applyBorder="1" applyAlignment="1">
      <alignment vertical="center"/>
    </xf>
    <xf numFmtId="2" fontId="100" fillId="93" borderId="31" xfId="0" applyNumberFormat="1" applyFont="1" applyFill="1" applyBorder="1" applyAlignment="1">
      <alignment vertical="center"/>
    </xf>
    <xf numFmtId="1" fontId="100" fillId="93" borderId="31" xfId="0" applyNumberFormat="1" applyFont="1" applyFill="1" applyBorder="1" applyAlignment="1">
      <alignment vertical="center"/>
    </xf>
    <xf numFmtId="193" fontId="100" fillId="93" borderId="31" xfId="0" applyNumberFormat="1" applyFont="1" applyFill="1" applyBorder="1" applyAlignment="1">
      <alignment horizontal="center" vertical="center"/>
    </xf>
    <xf numFmtId="1" fontId="100" fillId="93" borderId="31" xfId="0" applyNumberFormat="1" applyFont="1" applyFill="1" applyBorder="1" applyAlignment="1">
      <alignment horizontal="center" vertical="center"/>
    </xf>
    <xf numFmtId="179" fontId="100" fillId="93" borderId="0" xfId="0" applyNumberFormat="1" applyFont="1" applyFill="1" applyAlignment="1">
      <alignment horizontal="center" vertical="center"/>
    </xf>
    <xf numFmtId="0" fontId="100" fillId="93" borderId="31" xfId="0" applyFont="1" applyFill="1" applyBorder="1" applyAlignment="1">
      <alignment vertical="center"/>
    </xf>
    <xf numFmtId="0" fontId="100" fillId="93" borderId="23" xfId="0" applyFont="1" applyFill="1" applyBorder="1" applyAlignment="1">
      <alignment vertical="center" textRotation="90"/>
    </xf>
    <xf numFmtId="194" fontId="100" fillId="93" borderId="0" xfId="0" applyNumberFormat="1" applyFont="1" applyFill="1" applyAlignment="1">
      <alignment horizontal="center" vertical="center"/>
    </xf>
    <xf numFmtId="3" fontId="100" fillId="93" borderId="0" xfId="0" applyNumberFormat="1" applyFont="1" applyFill="1" applyAlignment="1">
      <alignment horizontal="center"/>
    </xf>
    <xf numFmtId="182" fontId="100" fillId="93" borderId="0" xfId="0" applyNumberFormat="1" applyFont="1" applyFill="1" applyAlignment="1">
      <alignment horizontal="center"/>
    </xf>
    <xf numFmtId="4" fontId="100" fillId="93" borderId="0" xfId="0" applyNumberFormat="1" applyFont="1" applyFill="1" applyAlignment="1">
      <alignment horizontal="center"/>
    </xf>
    <xf numFmtId="183" fontId="100" fillId="93" borderId="0" xfId="0" applyNumberFormat="1" applyFont="1" applyFill="1" applyAlignment="1">
      <alignment horizontal="center"/>
    </xf>
    <xf numFmtId="2" fontId="100" fillId="93" borderId="0" xfId="0" applyNumberFormat="1" applyFont="1" applyFill="1" applyAlignment="1">
      <alignment horizontal="center" vertical="center"/>
    </xf>
    <xf numFmtId="182" fontId="100" fillId="93" borderId="0" xfId="0" applyNumberFormat="1" applyFont="1" applyFill="1" applyAlignment="1">
      <alignment horizontal="center" vertical="center"/>
    </xf>
    <xf numFmtId="3" fontId="100" fillId="93" borderId="0" xfId="0" applyNumberFormat="1" applyFont="1" applyFill="1" applyAlignment="1">
      <alignment vertical="center"/>
    </xf>
    <xf numFmtId="4" fontId="100" fillId="93" borderId="0" xfId="0" applyNumberFormat="1" applyFont="1" applyFill="1" applyAlignment="1">
      <alignment horizontal="center" vertical="center"/>
    </xf>
    <xf numFmtId="176" fontId="100" fillId="93" borderId="0" xfId="0" applyNumberFormat="1" applyFont="1" applyFill="1" applyAlignment="1">
      <alignment vertical="center"/>
    </xf>
    <xf numFmtId="2" fontId="100" fillId="93" borderId="0" xfId="0" applyNumberFormat="1" applyFont="1" applyFill="1" applyAlignment="1">
      <alignment vertical="center"/>
    </xf>
    <xf numFmtId="1" fontId="100" fillId="93" borderId="0" xfId="0" applyNumberFormat="1" applyFont="1" applyFill="1" applyAlignment="1">
      <alignment vertical="center"/>
    </xf>
    <xf numFmtId="193" fontId="100" fillId="93" borderId="0" xfId="0" applyNumberFormat="1" applyFont="1" applyFill="1" applyAlignment="1">
      <alignment horizontal="center" vertical="center"/>
    </xf>
    <xf numFmtId="1" fontId="100" fillId="93" borderId="0" xfId="0" applyNumberFormat="1" applyFont="1" applyFill="1" applyAlignment="1">
      <alignment horizontal="center" vertical="center"/>
    </xf>
    <xf numFmtId="0" fontId="100" fillId="93" borderId="0" xfId="0" applyFont="1" applyFill="1" applyAlignment="1">
      <alignment vertical="center"/>
    </xf>
    <xf numFmtId="0" fontId="100" fillId="93" borderId="45" xfId="0" applyFont="1" applyFill="1" applyBorder="1" applyAlignment="1">
      <alignment vertical="center" textRotation="90"/>
    </xf>
    <xf numFmtId="194" fontId="100" fillId="93" borderId="96" xfId="0" applyNumberFormat="1" applyFont="1" applyFill="1" applyBorder="1" applyAlignment="1">
      <alignment horizontal="center" vertical="center"/>
    </xf>
    <xf numFmtId="3" fontId="100" fillId="93" borderId="96" xfId="0" applyNumberFormat="1" applyFont="1" applyFill="1" applyBorder="1" applyAlignment="1">
      <alignment horizontal="center"/>
    </xf>
    <xf numFmtId="182" fontId="100" fillId="93" borderId="96" xfId="0" applyNumberFormat="1" applyFont="1" applyFill="1" applyBorder="1" applyAlignment="1">
      <alignment horizontal="center"/>
    </xf>
    <xf numFmtId="4" fontId="100" fillId="93" borderId="96" xfId="0" applyNumberFormat="1" applyFont="1" applyFill="1" applyBorder="1" applyAlignment="1">
      <alignment horizontal="center"/>
    </xf>
    <xf numFmtId="183" fontId="100" fillId="93" borderId="96" xfId="0" applyNumberFormat="1" applyFont="1" applyFill="1" applyBorder="1" applyAlignment="1">
      <alignment horizontal="center"/>
    </xf>
    <xf numFmtId="2" fontId="100" fillId="93" borderId="96" xfId="0" applyNumberFormat="1" applyFont="1" applyFill="1" applyBorder="1" applyAlignment="1">
      <alignment horizontal="center" vertical="center"/>
    </xf>
    <xf numFmtId="3" fontId="100" fillId="93" borderId="96" xfId="0" applyNumberFormat="1" applyFont="1" applyFill="1" applyBorder="1" applyAlignment="1">
      <alignment horizontal="center" vertical="center"/>
    </xf>
    <xf numFmtId="3" fontId="100" fillId="93" borderId="96" xfId="0" applyNumberFormat="1" applyFont="1" applyFill="1" applyBorder="1" applyAlignment="1">
      <alignment vertical="center"/>
    </xf>
    <xf numFmtId="4" fontId="100" fillId="93" borderId="96" xfId="0" applyNumberFormat="1" applyFont="1" applyFill="1" applyBorder="1" applyAlignment="1">
      <alignment horizontal="center" vertical="center"/>
    </xf>
    <xf numFmtId="182" fontId="100" fillId="93" borderId="96" xfId="0" applyNumberFormat="1" applyFont="1" applyFill="1" applyBorder="1" applyAlignment="1">
      <alignment horizontal="center" vertical="center"/>
    </xf>
    <xf numFmtId="176" fontId="100" fillId="93" borderId="96" xfId="0" applyNumberFormat="1" applyFont="1" applyFill="1" applyBorder="1" applyAlignment="1">
      <alignment vertical="center"/>
    </xf>
    <xf numFmtId="2" fontId="100" fillId="93" borderId="96" xfId="0" applyNumberFormat="1" applyFont="1" applyFill="1" applyBorder="1" applyAlignment="1">
      <alignment vertical="center"/>
    </xf>
    <xf numFmtId="1" fontId="100" fillId="93" borderId="96" xfId="0" applyNumberFormat="1" applyFont="1" applyFill="1" applyBorder="1" applyAlignment="1">
      <alignment vertical="center"/>
    </xf>
    <xf numFmtId="193" fontId="100" fillId="93" borderId="96" xfId="0" applyNumberFormat="1" applyFont="1" applyFill="1" applyBorder="1" applyAlignment="1">
      <alignment horizontal="center" vertical="center"/>
    </xf>
    <xf numFmtId="1" fontId="100" fillId="93" borderId="96" xfId="0" applyNumberFormat="1" applyFont="1" applyFill="1" applyBorder="1" applyAlignment="1">
      <alignment horizontal="center" vertical="center"/>
    </xf>
    <xf numFmtId="179" fontId="100" fillId="93" borderId="96" xfId="0" applyNumberFormat="1" applyFont="1" applyFill="1" applyBorder="1" applyAlignment="1">
      <alignment horizontal="center" vertical="center"/>
    </xf>
    <xf numFmtId="0" fontId="100" fillId="93" borderId="96" xfId="0" applyFont="1" applyFill="1" applyBorder="1" applyAlignment="1">
      <alignment vertical="center"/>
    </xf>
    <xf numFmtId="1" fontId="100" fillId="93" borderId="32" xfId="0" applyNumberFormat="1" applyFont="1" applyFill="1" applyBorder="1" applyAlignment="1">
      <alignment horizontal="center" vertical="center"/>
    </xf>
    <xf numFmtId="1" fontId="100" fillId="93" borderId="33" xfId="0" applyNumberFormat="1" applyFont="1" applyFill="1" applyBorder="1" applyAlignment="1">
      <alignment horizontal="center" vertical="center"/>
    </xf>
    <xf numFmtId="1" fontId="100" fillId="93" borderId="23" xfId="0" applyNumberFormat="1" applyFont="1" applyFill="1" applyBorder="1" applyAlignment="1">
      <alignment horizontal="center" vertical="center"/>
    </xf>
    <xf numFmtId="1" fontId="100" fillId="93" borderId="34" xfId="0" applyNumberFormat="1" applyFont="1" applyFill="1" applyBorder="1" applyAlignment="1">
      <alignment horizontal="center" vertical="center"/>
    </xf>
    <xf numFmtId="3" fontId="100" fillId="93" borderId="39" xfId="0" applyNumberFormat="1" applyFont="1" applyFill="1" applyBorder="1" applyAlignment="1">
      <alignment horizontal="center" vertical="center"/>
    </xf>
    <xf numFmtId="182" fontId="100" fillId="93" borderId="39" xfId="0" applyNumberFormat="1" applyFont="1" applyFill="1" applyBorder="1" applyAlignment="1">
      <alignment horizontal="center" vertical="center"/>
    </xf>
    <xf numFmtId="176" fontId="100" fillId="93" borderId="23" xfId="0" applyNumberFormat="1" applyFont="1" applyFill="1" applyBorder="1" applyAlignment="1">
      <alignment horizontal="center" vertical="center"/>
    </xf>
    <xf numFmtId="176" fontId="100" fillId="93" borderId="32" xfId="0" applyNumberFormat="1" applyFont="1" applyFill="1" applyBorder="1" applyAlignment="1">
      <alignment horizontal="center" vertical="center"/>
    </xf>
    <xf numFmtId="179" fontId="100" fillId="93" borderId="31" xfId="0" applyNumberFormat="1" applyFont="1" applyFill="1" applyBorder="1" applyAlignment="1">
      <alignment horizontal="center" vertical="center"/>
    </xf>
    <xf numFmtId="0" fontId="100" fillId="97" borderId="23" xfId="0" applyFont="1" applyFill="1" applyBorder="1" applyAlignment="1">
      <alignment vertical="center" textRotation="90"/>
    </xf>
    <xf numFmtId="194" fontId="100" fillId="97" borderId="0" xfId="0" applyNumberFormat="1" applyFont="1" applyFill="1" applyAlignment="1">
      <alignment horizontal="center" vertical="center"/>
    </xf>
    <xf numFmtId="3" fontId="100" fillId="97" borderId="0" xfId="0" applyNumberFormat="1" applyFont="1" applyFill="1" applyAlignment="1">
      <alignment horizontal="center"/>
    </xf>
    <xf numFmtId="182" fontId="100" fillId="97" borderId="0" xfId="0" applyNumberFormat="1" applyFont="1" applyFill="1" applyAlignment="1">
      <alignment horizontal="center"/>
    </xf>
    <xf numFmtId="4" fontId="100" fillId="97" borderId="0" xfId="0" applyNumberFormat="1" applyFont="1" applyFill="1" applyAlignment="1">
      <alignment horizontal="center"/>
    </xf>
    <xf numFmtId="183" fontId="100" fillId="97" borderId="0" xfId="0" applyNumberFormat="1" applyFont="1" applyFill="1" applyAlignment="1">
      <alignment horizontal="center"/>
    </xf>
    <xf numFmtId="2" fontId="100" fillId="97" borderId="0" xfId="0" applyNumberFormat="1" applyFont="1" applyFill="1" applyAlignment="1">
      <alignment horizontal="center" vertical="center"/>
    </xf>
    <xf numFmtId="3" fontId="100" fillId="97" borderId="0" xfId="0" applyNumberFormat="1" applyFont="1" applyFill="1" applyAlignment="1">
      <alignment horizontal="center" vertical="center"/>
    </xf>
    <xf numFmtId="182" fontId="100" fillId="97" borderId="0" xfId="0" applyNumberFormat="1" applyFont="1" applyFill="1" applyAlignment="1">
      <alignment horizontal="center" vertical="center"/>
    </xf>
    <xf numFmtId="3" fontId="100" fillId="97" borderId="0" xfId="0" applyNumberFormat="1" applyFont="1" applyFill="1" applyAlignment="1">
      <alignment vertical="center"/>
    </xf>
    <xf numFmtId="3" fontId="100" fillId="97" borderId="31" xfId="0" applyNumberFormat="1" applyFont="1" applyFill="1" applyBorder="1" applyAlignment="1">
      <alignment vertical="center"/>
    </xf>
    <xf numFmtId="4" fontId="100" fillId="97" borderId="0" xfId="0" applyNumberFormat="1" applyFont="1" applyFill="1" applyAlignment="1">
      <alignment horizontal="center" vertical="center"/>
    </xf>
    <xf numFmtId="176" fontId="100" fillId="97" borderId="0" xfId="0" applyNumberFormat="1" applyFont="1" applyFill="1" applyAlignment="1">
      <alignment vertical="center"/>
    </xf>
    <xf numFmtId="2" fontId="100" fillId="97" borderId="0" xfId="0" applyNumberFormat="1" applyFont="1" applyFill="1" applyAlignment="1">
      <alignment vertical="center"/>
    </xf>
    <xf numFmtId="1" fontId="100" fillId="97" borderId="0" xfId="0" applyNumberFormat="1" applyFont="1" applyFill="1" applyAlignment="1">
      <alignment vertical="center"/>
    </xf>
    <xf numFmtId="3" fontId="100" fillId="97" borderId="31" xfId="0" applyNumberFormat="1" applyFont="1" applyFill="1" applyBorder="1" applyAlignment="1">
      <alignment horizontal="center"/>
    </xf>
    <xf numFmtId="193" fontId="100" fillId="97" borderId="0" xfId="0" applyNumberFormat="1" applyFont="1" applyFill="1" applyAlignment="1">
      <alignment horizontal="center" vertical="center"/>
    </xf>
    <xf numFmtId="1" fontId="100" fillId="97" borderId="0" xfId="0" applyNumberFormat="1" applyFont="1" applyFill="1" applyAlignment="1">
      <alignment horizontal="center" vertical="center"/>
    </xf>
    <xf numFmtId="179" fontId="100" fillId="97" borderId="0" xfId="0" applyNumberFormat="1" applyFont="1" applyFill="1" applyAlignment="1">
      <alignment horizontal="center" vertical="center"/>
    </xf>
    <xf numFmtId="2" fontId="100" fillId="97" borderId="31" xfId="0" applyNumberFormat="1" applyFont="1" applyFill="1" applyBorder="1" applyAlignment="1">
      <alignment vertical="center"/>
    </xf>
    <xf numFmtId="0" fontId="100" fillId="97" borderId="0" xfId="0" applyFont="1" applyFill="1" applyAlignment="1">
      <alignment vertical="center"/>
    </xf>
    <xf numFmtId="0" fontId="100" fillId="97" borderId="37" xfId="0" applyFont="1" applyFill="1" applyBorder="1" applyAlignment="1">
      <alignment vertical="center" textRotation="90"/>
    </xf>
    <xf numFmtId="194" fontId="100" fillId="97" borderId="39" xfId="0" applyNumberFormat="1" applyFont="1" applyFill="1" applyBorder="1" applyAlignment="1">
      <alignment horizontal="center" vertical="center"/>
    </xf>
    <xf numFmtId="3" fontId="100" fillId="97" borderId="39" xfId="0" applyNumberFormat="1" applyFont="1" applyFill="1" applyBorder="1" applyAlignment="1">
      <alignment horizontal="center"/>
    </xf>
    <xf numFmtId="182" fontId="100" fillId="97" borderId="39" xfId="0" applyNumberFormat="1" applyFont="1" applyFill="1" applyBorder="1" applyAlignment="1">
      <alignment horizontal="center"/>
    </xf>
    <xf numFmtId="4" fontId="100" fillId="97" borderId="39" xfId="0" applyNumberFormat="1" applyFont="1" applyFill="1" applyBorder="1" applyAlignment="1">
      <alignment horizontal="center"/>
    </xf>
    <xf numFmtId="183" fontId="100" fillId="97" borderId="39" xfId="0" applyNumberFormat="1" applyFont="1" applyFill="1" applyBorder="1" applyAlignment="1">
      <alignment horizontal="center"/>
    </xf>
    <xf numFmtId="2" fontId="100" fillId="97" borderId="39" xfId="0" applyNumberFormat="1" applyFont="1" applyFill="1" applyBorder="1" applyAlignment="1">
      <alignment horizontal="center" vertical="center"/>
    </xf>
    <xf numFmtId="3" fontId="100" fillId="97" borderId="39" xfId="0" applyNumberFormat="1" applyFont="1" applyFill="1" applyBorder="1" applyAlignment="1">
      <alignment horizontal="center" vertical="center"/>
    </xf>
    <xf numFmtId="182" fontId="100" fillId="97" borderId="39" xfId="0" applyNumberFormat="1" applyFont="1" applyFill="1" applyBorder="1" applyAlignment="1">
      <alignment horizontal="center" vertical="center"/>
    </xf>
    <xf numFmtId="3" fontId="100" fillId="97" borderId="39" xfId="0" applyNumberFormat="1" applyFont="1" applyFill="1" applyBorder="1" applyAlignment="1">
      <alignment vertical="center"/>
    </xf>
    <xf numFmtId="4" fontId="100" fillId="97" borderId="39" xfId="0" applyNumberFormat="1" applyFont="1" applyFill="1" applyBorder="1" applyAlignment="1">
      <alignment horizontal="center" vertical="center"/>
    </xf>
    <xf numFmtId="176" fontId="100" fillId="97" borderId="39" xfId="0" applyNumberFormat="1" applyFont="1" applyFill="1" applyBorder="1" applyAlignment="1">
      <alignment vertical="center"/>
    </xf>
    <xf numFmtId="2" fontId="100" fillId="97" borderId="39" xfId="0" applyNumberFormat="1" applyFont="1" applyFill="1" applyBorder="1" applyAlignment="1">
      <alignment vertical="center"/>
    </xf>
    <xf numFmtId="1" fontId="100" fillId="97" borderId="39" xfId="0" applyNumberFormat="1" applyFont="1" applyFill="1" applyBorder="1" applyAlignment="1">
      <alignment vertical="center"/>
    </xf>
    <xf numFmtId="193" fontId="100" fillId="97" borderId="39" xfId="0" applyNumberFormat="1" applyFont="1" applyFill="1" applyBorder="1" applyAlignment="1">
      <alignment horizontal="center" vertical="center"/>
    </xf>
    <xf numFmtId="1" fontId="100" fillId="97" borderId="39" xfId="0" applyNumberFormat="1" applyFont="1" applyFill="1" applyBorder="1" applyAlignment="1">
      <alignment horizontal="center" vertical="center"/>
    </xf>
    <xf numFmtId="179" fontId="100" fillId="97" borderId="39" xfId="0" applyNumberFormat="1" applyFont="1" applyFill="1" applyBorder="1" applyAlignment="1">
      <alignment horizontal="center" vertical="center"/>
    </xf>
    <xf numFmtId="0" fontId="100" fillId="97" borderId="39" xfId="0" applyFont="1" applyFill="1" applyBorder="1" applyAlignment="1">
      <alignment vertical="center"/>
    </xf>
    <xf numFmtId="0" fontId="100" fillId="97" borderId="32" xfId="0" applyFont="1" applyFill="1" applyBorder="1" applyAlignment="1">
      <alignment vertical="center" textRotation="90"/>
    </xf>
    <xf numFmtId="194" fontId="100" fillId="97" borderId="31" xfId="0" applyNumberFormat="1" applyFont="1" applyFill="1" applyBorder="1" applyAlignment="1">
      <alignment horizontal="center" vertical="center"/>
    </xf>
    <xf numFmtId="182" fontId="100" fillId="97" borderId="31" xfId="0" applyNumberFormat="1" applyFont="1" applyFill="1" applyBorder="1" applyAlignment="1">
      <alignment horizontal="center"/>
    </xf>
    <xf numFmtId="4" fontId="100" fillId="97" borderId="31" xfId="0" applyNumberFormat="1" applyFont="1" applyFill="1" applyBorder="1" applyAlignment="1">
      <alignment horizontal="center"/>
    </xf>
    <xf numFmtId="183" fontId="100" fillId="97" borderId="31" xfId="0" applyNumberFormat="1" applyFont="1" applyFill="1" applyBorder="1" applyAlignment="1">
      <alignment horizontal="center"/>
    </xf>
    <xf numFmtId="2" fontId="100" fillId="97" borderId="31" xfId="0" applyNumberFormat="1" applyFont="1" applyFill="1" applyBorder="1" applyAlignment="1">
      <alignment horizontal="center" vertical="center"/>
    </xf>
    <xf numFmtId="3" fontId="100" fillId="97" borderId="31" xfId="0" applyNumberFormat="1" applyFont="1" applyFill="1" applyBorder="1" applyAlignment="1">
      <alignment horizontal="center" vertical="center"/>
    </xf>
    <xf numFmtId="4" fontId="100" fillId="97" borderId="31" xfId="0" applyNumberFormat="1" applyFont="1" applyFill="1" applyBorder="1" applyAlignment="1">
      <alignment horizontal="center" vertical="center"/>
    </xf>
    <xf numFmtId="182" fontId="100" fillId="97" borderId="31" xfId="0" applyNumberFormat="1" applyFont="1" applyFill="1" applyBorder="1" applyAlignment="1">
      <alignment horizontal="center" vertical="center"/>
    </xf>
    <xf numFmtId="176" fontId="100" fillId="97" borderId="31" xfId="0" applyNumberFormat="1" applyFont="1" applyFill="1" applyBorder="1" applyAlignment="1">
      <alignment vertical="center"/>
    </xf>
    <xf numFmtId="1" fontId="100" fillId="97" borderId="31" xfId="0" applyNumberFormat="1" applyFont="1" applyFill="1" applyBorder="1" applyAlignment="1">
      <alignment vertical="center"/>
    </xf>
    <xf numFmtId="193" fontId="100" fillId="97" borderId="31" xfId="0" applyNumberFormat="1" applyFont="1" applyFill="1" applyBorder="1" applyAlignment="1">
      <alignment horizontal="center" vertical="center"/>
    </xf>
    <xf numFmtId="1" fontId="100" fillId="97" borderId="31" xfId="0" applyNumberFormat="1" applyFont="1" applyFill="1" applyBorder="1" applyAlignment="1">
      <alignment horizontal="center" vertical="center"/>
    </xf>
    <xf numFmtId="179" fontId="100" fillId="97" borderId="31" xfId="0" applyNumberFormat="1" applyFont="1" applyFill="1" applyBorder="1" applyAlignment="1">
      <alignment horizontal="center" vertical="center"/>
    </xf>
    <xf numFmtId="0" fontId="100" fillId="97" borderId="31" xfId="0" applyFont="1" applyFill="1" applyBorder="1" applyAlignment="1">
      <alignment vertical="center"/>
    </xf>
    <xf numFmtId="14" fontId="0" fillId="127" borderId="85" xfId="0" applyNumberFormat="1" applyFill="1" applyBorder="1" applyAlignment="1">
      <alignment horizontal="center"/>
    </xf>
    <xf numFmtId="166" fontId="0" fillId="127" borderId="85" xfId="31096" applyFont="1" applyFill="1" applyBorder="1" applyAlignment="1">
      <alignment horizontal="center"/>
    </xf>
    <xf numFmtId="176" fontId="0" fillId="127" borderId="85" xfId="0" applyNumberFormat="1" applyFill="1" applyBorder="1" applyAlignment="1">
      <alignment horizontal="center"/>
    </xf>
    <xf numFmtId="0" fontId="0" fillId="127" borderId="85" xfId="0" applyFill="1" applyBorder="1" applyAlignment="1">
      <alignment horizontal="center"/>
    </xf>
    <xf numFmtId="176" fontId="0" fillId="127" borderId="85" xfId="2185" applyNumberFormat="1" applyFont="1" applyFill="1" applyBorder="1" applyAlignment="1">
      <alignment horizontal="center"/>
    </xf>
    <xf numFmtId="2" fontId="0" fillId="127" borderId="85" xfId="2185" applyNumberFormat="1" applyFont="1" applyFill="1" applyBorder="1" applyAlignment="1">
      <alignment horizontal="center"/>
    </xf>
    <xf numFmtId="1" fontId="0" fillId="127" borderId="85" xfId="0" applyNumberFormat="1" applyFill="1" applyBorder="1" applyAlignment="1">
      <alignment horizontal="center"/>
    </xf>
    <xf numFmtId="2" fontId="0" fillId="127" borderId="85" xfId="0" applyNumberFormat="1" applyFill="1" applyBorder="1" applyAlignment="1">
      <alignment horizontal="center"/>
    </xf>
    <xf numFmtId="252" fontId="0" fillId="127" borderId="85" xfId="0" applyNumberFormat="1" applyFill="1" applyBorder="1" applyAlignment="1">
      <alignment horizontal="center"/>
    </xf>
    <xf numFmtId="179" fontId="0" fillId="127" borderId="85" xfId="0" applyNumberFormat="1" applyFill="1" applyBorder="1" applyAlignment="1">
      <alignment horizontal="center"/>
    </xf>
    <xf numFmtId="2" fontId="0" fillId="127" borderId="0" xfId="0" applyNumberFormat="1" applyFill="1" applyAlignment="1">
      <alignment horizontal="center"/>
    </xf>
    <xf numFmtId="0" fontId="0" fillId="127" borderId="0" xfId="0" applyFill="1" applyAlignment="1">
      <alignment horizontal="center"/>
    </xf>
    <xf numFmtId="1" fontId="0" fillId="127" borderId="0" xfId="0" applyNumberFormat="1" applyFill="1" applyAlignment="1">
      <alignment horizontal="center"/>
    </xf>
    <xf numFmtId="222" fontId="270" fillId="37" borderId="98" xfId="0" applyNumberFormat="1" applyFont="1" applyFill="1" applyBorder="1" applyAlignment="1">
      <alignment horizontal="center"/>
    </xf>
    <xf numFmtId="3" fontId="100" fillId="127" borderId="0" xfId="0" applyNumberFormat="1" applyFont="1" applyFill="1" applyAlignment="1">
      <alignment horizontal="center" vertical="center"/>
    </xf>
    <xf numFmtId="286" fontId="130" fillId="37" borderId="85" xfId="31137" applyNumberFormat="1" applyFont="1" applyFill="1" applyBorder="1" applyAlignment="1"/>
    <xf numFmtId="2" fontId="0" fillId="95" borderId="98" xfId="0" applyNumberFormat="1" applyFill="1" applyBorder="1" applyAlignment="1">
      <alignment horizontal="center"/>
    </xf>
    <xf numFmtId="176" fontId="100" fillId="93" borderId="37" xfId="0" applyNumberFormat="1" applyFont="1" applyFill="1" applyBorder="1" applyAlignment="1">
      <alignment horizontal="center" vertical="center"/>
    </xf>
    <xf numFmtId="1" fontId="100" fillId="93" borderId="39" xfId="0" applyNumberFormat="1" applyFont="1" applyFill="1" applyBorder="1" applyAlignment="1">
      <alignment horizontal="center" vertical="center"/>
    </xf>
    <xf numFmtId="1" fontId="100" fillId="93" borderId="41" xfId="0" applyNumberFormat="1" applyFont="1" applyFill="1" applyBorder="1" applyAlignment="1">
      <alignment horizontal="center" vertical="center"/>
    </xf>
    <xf numFmtId="176" fontId="100" fillId="93" borderId="0" xfId="0" applyNumberFormat="1" applyFont="1" applyFill="1" applyAlignment="1">
      <alignment horizontal="center" vertical="center"/>
    </xf>
    <xf numFmtId="182" fontId="375" fillId="0" borderId="0" xfId="32026" applyNumberFormat="1" applyFont="1" applyAlignment="1">
      <alignment vertical="center"/>
    </xf>
    <xf numFmtId="4" fontId="375" fillId="0" borderId="0" xfId="32026" applyNumberFormat="1" applyFont="1" applyAlignment="1">
      <alignment vertical="center"/>
    </xf>
    <xf numFmtId="4" fontId="375" fillId="0" borderId="34" xfId="32026" applyNumberFormat="1" applyFont="1" applyBorder="1" applyAlignment="1">
      <alignment vertical="center"/>
    </xf>
    <xf numFmtId="202" fontId="0" fillId="0" borderId="171" xfId="0" applyNumberFormat="1" applyBorder="1" applyAlignment="1">
      <alignment horizontal="center"/>
    </xf>
    <xf numFmtId="202" fontId="100" fillId="37" borderId="11" xfId="0" applyNumberFormat="1" applyFont="1" applyFill="1" applyBorder="1" applyAlignment="1">
      <alignment horizontal="center"/>
    </xf>
    <xf numFmtId="183" fontId="0" fillId="37" borderId="11" xfId="0" applyNumberFormat="1" applyFill="1" applyBorder="1" applyAlignment="1">
      <alignment vertical="center"/>
    </xf>
    <xf numFmtId="4" fontId="0" fillId="37" borderId="11" xfId="0" applyNumberFormat="1" applyFill="1" applyBorder="1" applyAlignment="1">
      <alignment vertical="center"/>
    </xf>
    <xf numFmtId="4" fontId="0" fillId="0" borderId="11" xfId="0" applyNumberFormat="1" applyBorder="1" applyAlignment="1">
      <alignment vertical="center"/>
    </xf>
    <xf numFmtId="3" fontId="0" fillId="0" borderId="11" xfId="0" applyNumberFormat="1" applyBorder="1" applyAlignment="1">
      <alignment vertical="center"/>
    </xf>
    <xf numFmtId="0" fontId="0" fillId="110" borderId="11" xfId="0" applyFill="1" applyBorder="1" applyAlignment="1">
      <alignment vertical="center"/>
    </xf>
    <xf numFmtId="3" fontId="0" fillId="37" borderId="11" xfId="0" applyNumberFormat="1" applyFill="1" applyBorder="1" applyAlignment="1">
      <alignment vertical="center"/>
    </xf>
    <xf numFmtId="182" fontId="0" fillId="37" borderId="11" xfId="0" applyNumberFormat="1" applyFill="1" applyBorder="1" applyAlignment="1">
      <alignment vertical="center"/>
    </xf>
    <xf numFmtId="3" fontId="0" fillId="78" borderId="12" xfId="0" applyNumberFormat="1" applyFill="1" applyBorder="1" applyAlignment="1">
      <alignment horizontal="center"/>
    </xf>
    <xf numFmtId="2" fontId="0" fillId="87" borderId="98" xfId="0" applyNumberFormat="1" applyFill="1" applyBorder="1" applyAlignment="1">
      <alignment horizontal="center"/>
    </xf>
    <xf numFmtId="1" fontId="0" fillId="87" borderId="111" xfId="0" applyNumberFormat="1" applyFill="1" applyBorder="1" applyAlignment="1">
      <alignment horizontal="center"/>
    </xf>
    <xf numFmtId="1" fontId="94" fillId="87" borderId="0" xfId="0" applyNumberFormat="1" applyFont="1" applyFill="1" applyAlignment="1">
      <alignment horizontal="center"/>
    </xf>
    <xf numFmtId="176" fontId="0" fillId="87" borderId="111" xfId="0" applyNumberFormat="1" applyFill="1" applyBorder="1" applyAlignment="1">
      <alignment horizontal="center"/>
    </xf>
    <xf numFmtId="2" fontId="0" fillId="87" borderId="111" xfId="0" applyNumberFormat="1" applyFill="1" applyBorder="1" applyAlignment="1">
      <alignment horizontal="center"/>
    </xf>
    <xf numFmtId="166" fontId="0" fillId="87" borderId="111" xfId="31096" applyFont="1" applyFill="1" applyBorder="1" applyAlignment="1">
      <alignment horizontal="center"/>
    </xf>
    <xf numFmtId="176" fontId="0" fillId="87" borderId="120" xfId="0" applyNumberFormat="1" applyFill="1" applyBorder="1" applyAlignment="1">
      <alignment horizontal="center"/>
    </xf>
    <xf numFmtId="207" fontId="0" fillId="87" borderId="212" xfId="234" applyNumberFormat="1" applyFont="1" applyFill="1" applyBorder="1" applyAlignment="1">
      <alignment horizontal="center"/>
    </xf>
    <xf numFmtId="4" fontId="0" fillId="87" borderId="13" xfId="0" applyNumberFormat="1" applyFill="1" applyBorder="1" applyAlignment="1">
      <alignment horizontal="center" wrapText="1"/>
    </xf>
    <xf numFmtId="1" fontId="0" fillId="87" borderId="119" xfId="0" applyNumberFormat="1" applyFill="1" applyBorder="1" applyAlignment="1">
      <alignment horizontal="center"/>
    </xf>
    <xf numFmtId="1" fontId="0" fillId="87" borderId="120" xfId="0" applyNumberFormat="1" applyFill="1" applyBorder="1" applyAlignment="1">
      <alignment horizontal="center"/>
    </xf>
    <xf numFmtId="199" fontId="0" fillId="87" borderId="121" xfId="234" applyNumberFormat="1" applyFont="1" applyFill="1" applyBorder="1" applyAlignment="1">
      <alignment horizontal="center"/>
    </xf>
    <xf numFmtId="185" fontId="94" fillId="87" borderId="111" xfId="1301" applyNumberFormat="1" applyFont="1" applyFill="1" applyBorder="1" applyAlignment="1">
      <alignment horizontal="center" vertical="center"/>
    </xf>
    <xf numFmtId="1" fontId="0" fillId="87" borderId="111" xfId="0" applyNumberFormat="1" applyFill="1" applyBorder="1" applyAlignment="1">
      <alignment horizontal="center" vertical="center"/>
    </xf>
    <xf numFmtId="1" fontId="94" fillId="87" borderId="111" xfId="0" applyNumberFormat="1" applyFont="1" applyFill="1" applyBorder="1" applyAlignment="1">
      <alignment horizontal="center" vertical="center"/>
    </xf>
    <xf numFmtId="3" fontId="0" fillId="87" borderId="111" xfId="0" applyNumberFormat="1" applyFill="1" applyBorder="1" applyAlignment="1">
      <alignment horizontal="center" vertical="center"/>
    </xf>
    <xf numFmtId="183" fontId="375" fillId="0" borderId="0" xfId="32026" applyNumberFormat="1" applyFont="1" applyAlignment="1">
      <alignment vertical="center"/>
    </xf>
    <xf numFmtId="183" fontId="375" fillId="0" borderId="34" xfId="32026" applyNumberFormat="1" applyFont="1" applyBorder="1" applyAlignment="1">
      <alignment vertical="center"/>
    </xf>
    <xf numFmtId="263" fontId="0" fillId="136" borderId="0" xfId="234" applyNumberFormat="1" applyFont="1" applyFill="1" applyBorder="1" applyAlignment="1" applyProtection="1">
      <alignment horizontal="center" vertical="center" wrapText="1"/>
      <protection locked="0"/>
    </xf>
    <xf numFmtId="1" fontId="0" fillId="38" borderId="111" xfId="0" applyNumberFormat="1" applyFill="1" applyBorder="1" applyAlignment="1">
      <alignment horizontal="center"/>
    </xf>
    <xf numFmtId="0" fontId="108" fillId="38" borderId="0" xfId="306" applyFont="1" applyFill="1" applyAlignment="1">
      <alignment horizontal="centerContinuous" vertical="center" wrapText="1"/>
    </xf>
    <xf numFmtId="0" fontId="113" fillId="38" borderId="0" xfId="306" applyFont="1" applyFill="1" applyAlignment="1">
      <alignment horizontal="centerContinuous" vertical="center" wrapText="1"/>
    </xf>
    <xf numFmtId="0" fontId="116" fillId="38" borderId="25" xfId="306" applyFont="1" applyFill="1" applyBorder="1" applyAlignment="1">
      <alignment vertical="center"/>
    </xf>
    <xf numFmtId="17" fontId="368" fillId="38" borderId="48" xfId="302" applyNumberFormat="1" applyFont="1" applyFill="1" applyBorder="1" applyAlignment="1">
      <alignment horizontal="center" vertical="center" wrapText="1"/>
    </xf>
    <xf numFmtId="17" fontId="368" fillId="38" borderId="43" xfId="302" applyNumberFormat="1" applyFont="1" applyFill="1" applyBorder="1" applyAlignment="1">
      <alignment horizontal="center" vertical="center" wrapText="1"/>
    </xf>
    <xf numFmtId="176" fontId="113" fillId="38" borderId="21" xfId="232" applyNumberFormat="1" applyFont="1" applyFill="1" applyBorder="1" applyAlignment="1" applyProtection="1">
      <alignment horizontal="center" vertical="center"/>
      <protection hidden="1"/>
    </xf>
    <xf numFmtId="183" fontId="113" fillId="38" borderId="11" xfId="232" applyNumberFormat="1" applyFont="1" applyFill="1" applyBorder="1" applyAlignment="1" applyProtection="1">
      <alignment horizontal="center" vertical="center"/>
      <protection hidden="1"/>
    </xf>
    <xf numFmtId="182" fontId="114" fillId="38" borderId="22" xfId="306" applyNumberFormat="1" applyFont="1" applyFill="1" applyBorder="1" applyAlignment="1">
      <alignment vertical="center"/>
    </xf>
    <xf numFmtId="3" fontId="113" fillId="38" borderId="11" xfId="232" applyNumberFormat="1" applyFont="1" applyFill="1" applyBorder="1" applyAlignment="1" applyProtection="1">
      <alignment horizontal="center" vertical="center"/>
      <protection hidden="1"/>
    </xf>
    <xf numFmtId="182" fontId="113" fillId="38" borderId="11" xfId="232" applyNumberFormat="1" applyFont="1" applyFill="1" applyBorder="1" applyAlignment="1" applyProtection="1">
      <alignment horizontal="center" vertical="center"/>
      <protection hidden="1"/>
    </xf>
    <xf numFmtId="4" fontId="113" fillId="38" borderId="11" xfId="232" applyNumberFormat="1" applyFont="1" applyFill="1" applyBorder="1" applyAlignment="1" applyProtection="1">
      <alignment horizontal="center" vertical="center"/>
      <protection hidden="1"/>
    </xf>
    <xf numFmtId="176" fontId="114" fillId="38" borderId="11" xfId="306" applyNumberFormat="1" applyFont="1" applyFill="1" applyBorder="1" applyAlignment="1">
      <alignment horizontal="center" vertical="center"/>
    </xf>
    <xf numFmtId="0" fontId="113" fillId="38" borderId="0" xfId="306" applyFont="1" applyFill="1" applyAlignment="1">
      <alignment horizontal="center" vertical="center"/>
    </xf>
    <xf numFmtId="1" fontId="113" fillId="38" borderId="11" xfId="232" applyNumberFormat="1" applyFont="1" applyFill="1" applyBorder="1" applyAlignment="1" applyProtection="1">
      <alignment horizontal="center" vertical="center"/>
      <protection hidden="1"/>
    </xf>
    <xf numFmtId="2" fontId="113" fillId="38" borderId="11" xfId="232" applyNumberFormat="1" applyFont="1" applyFill="1" applyBorder="1" applyAlignment="1" applyProtection="1">
      <alignment horizontal="center" vertical="center"/>
      <protection hidden="1"/>
    </xf>
    <xf numFmtId="4" fontId="113" fillId="38" borderId="30" xfId="232" applyNumberFormat="1" applyFont="1" applyFill="1" applyBorder="1" applyAlignment="1" applyProtection="1">
      <alignment horizontal="center" vertical="center"/>
      <protection hidden="1"/>
    </xf>
    <xf numFmtId="182" fontId="113" fillId="38" borderId="30" xfId="232" applyNumberFormat="1" applyFont="1" applyFill="1" applyBorder="1" applyAlignment="1" applyProtection="1">
      <alignment horizontal="center" vertical="center"/>
      <protection hidden="1"/>
    </xf>
    <xf numFmtId="3" fontId="113" fillId="38" borderId="30" xfId="232" applyNumberFormat="1" applyFont="1" applyFill="1" applyBorder="1" applyAlignment="1" applyProtection="1">
      <alignment horizontal="center" vertical="center"/>
      <protection hidden="1"/>
    </xf>
    <xf numFmtId="202" fontId="366" fillId="38" borderId="21" xfId="232" applyNumberFormat="1" applyFont="1" applyFill="1" applyBorder="1" applyAlignment="1" applyProtection="1">
      <alignment horizontal="center" vertical="center"/>
      <protection hidden="1"/>
    </xf>
    <xf numFmtId="182" fontId="366" fillId="38" borderId="11" xfId="232" applyNumberFormat="1" applyFont="1" applyFill="1" applyBorder="1" applyAlignment="1" applyProtection="1">
      <alignment horizontal="center" vertical="center"/>
      <protection hidden="1"/>
    </xf>
    <xf numFmtId="179" fontId="113" fillId="38" borderId="11" xfId="306" applyNumberFormat="1" applyFont="1" applyFill="1" applyBorder="1" applyAlignment="1" applyProtection="1">
      <alignment horizontal="center" vertical="center"/>
      <protection locked="0"/>
    </xf>
    <xf numFmtId="1" fontId="0" fillId="95" borderId="301" xfId="0" applyNumberFormat="1" applyFill="1" applyBorder="1" applyAlignment="1">
      <alignment horizontal="center"/>
    </xf>
    <xf numFmtId="176" fontId="0" fillId="95" borderId="116" xfId="0" applyNumberFormat="1" applyFill="1" applyBorder="1" applyAlignment="1">
      <alignment horizontal="center"/>
    </xf>
    <xf numFmtId="2" fontId="0" fillId="95" borderId="116" xfId="0" applyNumberFormat="1" applyFill="1" applyBorder="1" applyAlignment="1">
      <alignment horizontal="center"/>
    </xf>
    <xf numFmtId="1" fontId="0" fillId="95" borderId="116" xfId="0" applyNumberFormat="1" applyFill="1" applyBorder="1" applyAlignment="1">
      <alignment horizontal="center"/>
    </xf>
    <xf numFmtId="166" fontId="0" fillId="95" borderId="116" xfId="31096" applyFont="1" applyFill="1" applyBorder="1" applyAlignment="1">
      <alignment horizontal="center"/>
    </xf>
    <xf numFmtId="176" fontId="0" fillId="95" borderId="118" xfId="0" applyNumberFormat="1" applyFill="1" applyBorder="1" applyAlignment="1">
      <alignment horizontal="center"/>
    </xf>
    <xf numFmtId="207" fontId="0" fillId="95" borderId="294" xfId="234" applyNumberFormat="1" applyFont="1" applyFill="1" applyBorder="1" applyAlignment="1">
      <alignment horizontal="center"/>
    </xf>
    <xf numFmtId="199" fontId="47" fillId="95" borderId="294" xfId="234" applyNumberFormat="1" applyFont="1" applyFill="1" applyBorder="1" applyAlignment="1">
      <alignment horizontal="center"/>
    </xf>
    <xf numFmtId="1" fontId="0" fillId="95" borderId="117" xfId="0" applyNumberFormat="1" applyFill="1" applyBorder="1" applyAlignment="1">
      <alignment horizontal="center"/>
    </xf>
    <xf numFmtId="4" fontId="0" fillId="95" borderId="94" xfId="0" applyNumberFormat="1" applyFill="1" applyBorder="1" applyAlignment="1">
      <alignment horizontal="center" wrapText="1"/>
    </xf>
    <xf numFmtId="1" fontId="0" fillId="95" borderId="118" xfId="0" applyNumberFormat="1" applyFill="1" applyBorder="1" applyAlignment="1">
      <alignment horizontal="center"/>
    </xf>
    <xf numFmtId="199" fontId="0" fillId="95" borderId="125" xfId="234" applyNumberFormat="1" applyFont="1" applyFill="1" applyBorder="1" applyAlignment="1">
      <alignment horizontal="center"/>
    </xf>
    <xf numFmtId="185" fontId="94" fillId="95" borderId="116" xfId="1301" applyNumberFormat="1" applyFont="1" applyFill="1" applyBorder="1" applyAlignment="1">
      <alignment horizontal="center" vertical="center"/>
    </xf>
    <xf numFmtId="1" fontId="0" fillId="95" borderId="116" xfId="0" applyNumberFormat="1" applyFill="1" applyBorder="1" applyAlignment="1">
      <alignment horizontal="center" vertical="center"/>
    </xf>
    <xf numFmtId="1" fontId="94" fillId="95" borderId="116" xfId="0" applyNumberFormat="1" applyFont="1" applyFill="1" applyBorder="1" applyAlignment="1">
      <alignment horizontal="center" vertical="center"/>
    </xf>
    <xf numFmtId="3" fontId="0" fillId="95" borderId="116" xfId="0" applyNumberFormat="1" applyFill="1" applyBorder="1" applyAlignment="1">
      <alignment horizontal="center" vertical="center"/>
    </xf>
    <xf numFmtId="1" fontId="0" fillId="37" borderId="111" xfId="0" applyNumberFormat="1" applyFill="1" applyBorder="1" applyAlignment="1">
      <alignment horizontal="center"/>
    </xf>
    <xf numFmtId="176" fontId="0" fillId="37" borderId="111" xfId="0" applyNumberFormat="1" applyFill="1" applyBorder="1" applyAlignment="1">
      <alignment horizontal="center"/>
    </xf>
    <xf numFmtId="2" fontId="0" fillId="37" borderId="111" xfId="0" applyNumberFormat="1" applyFill="1" applyBorder="1" applyAlignment="1">
      <alignment horizontal="center"/>
    </xf>
    <xf numFmtId="166" fontId="0" fillId="37" borderId="111" xfId="31096" applyFont="1" applyFill="1" applyBorder="1" applyAlignment="1">
      <alignment horizontal="center"/>
    </xf>
    <xf numFmtId="207" fontId="0" fillId="37" borderId="212" xfId="234" applyNumberFormat="1" applyFont="1" applyFill="1" applyBorder="1" applyAlignment="1">
      <alignment horizontal="center"/>
    </xf>
    <xf numFmtId="199" fontId="47" fillId="37" borderId="212" xfId="234" applyNumberFormat="1" applyFont="1" applyFill="1" applyBorder="1" applyAlignment="1">
      <alignment horizontal="center"/>
    </xf>
    <xf numFmtId="1" fontId="0" fillId="37" borderId="119" xfId="0" applyNumberFormat="1" applyFill="1" applyBorder="1" applyAlignment="1">
      <alignment horizontal="center"/>
    </xf>
    <xf numFmtId="1" fontId="0" fillId="37" borderId="120" xfId="0" applyNumberFormat="1" applyFill="1" applyBorder="1" applyAlignment="1">
      <alignment horizontal="center"/>
    </xf>
    <xf numFmtId="199" fontId="0" fillId="37" borderId="121" xfId="234" applyNumberFormat="1" applyFont="1" applyFill="1" applyBorder="1" applyAlignment="1">
      <alignment horizontal="center"/>
    </xf>
    <xf numFmtId="185" fontId="94" fillId="37" borderId="111" xfId="1301" applyNumberFormat="1" applyFont="1" applyFill="1" applyBorder="1" applyAlignment="1">
      <alignment horizontal="center" vertical="center"/>
    </xf>
    <xf numFmtId="1" fontId="0" fillId="37" borderId="111" xfId="0" applyNumberFormat="1" applyFill="1" applyBorder="1" applyAlignment="1">
      <alignment horizontal="center" vertical="center"/>
    </xf>
    <xf numFmtId="1" fontId="94" fillId="37" borderId="111" xfId="0" applyNumberFormat="1" applyFont="1" applyFill="1" applyBorder="1" applyAlignment="1">
      <alignment horizontal="center" vertical="center"/>
    </xf>
    <xf numFmtId="3" fontId="0" fillId="37" borderId="111" xfId="0" applyNumberFormat="1" applyFill="1" applyBorder="1" applyAlignment="1">
      <alignment horizontal="center" vertical="center"/>
    </xf>
    <xf numFmtId="263" fontId="0" fillId="38" borderId="0" xfId="234" applyNumberFormat="1" applyFont="1" applyFill="1" applyBorder="1" applyAlignment="1" applyProtection="1">
      <alignment horizontal="center" vertical="center" wrapText="1"/>
      <protection locked="0"/>
    </xf>
    <xf numFmtId="242" fontId="0" fillId="95" borderId="0" xfId="234" applyNumberFormat="1" applyFont="1" applyFill="1" applyBorder="1" applyAlignment="1" applyProtection="1">
      <alignment horizontal="center" vertical="center" wrapText="1"/>
      <protection locked="0"/>
    </xf>
    <xf numFmtId="286" fontId="130" fillId="107" borderId="85" xfId="31137" applyNumberFormat="1" applyFont="1" applyFill="1" applyBorder="1" applyAlignment="1"/>
    <xf numFmtId="2" fontId="261" fillId="98" borderId="79" xfId="0" applyNumberFormat="1" applyFont="1" applyFill="1" applyBorder="1" applyAlignment="1">
      <alignment horizontal="center"/>
    </xf>
    <xf numFmtId="0" fontId="130" fillId="98" borderId="80" xfId="0" applyFont="1" applyFill="1" applyBorder="1" applyAlignment="1">
      <alignment horizontal="center"/>
    </xf>
    <xf numFmtId="187" fontId="130" fillId="98" borderId="80" xfId="31137" applyNumberFormat="1" applyFont="1" applyFill="1" applyBorder="1" applyAlignment="1"/>
    <xf numFmtId="253" fontId="130" fillId="98" borderId="80" xfId="31137" applyNumberFormat="1" applyFont="1" applyFill="1" applyBorder="1" applyAlignment="1"/>
    <xf numFmtId="186" fontId="130" fillId="98" borderId="80" xfId="31137" applyNumberFormat="1" applyFont="1" applyFill="1" applyBorder="1" applyAlignment="1"/>
    <xf numFmtId="43" fontId="130" fillId="98" borderId="80" xfId="31137" applyFont="1" applyFill="1" applyBorder="1" applyAlignment="1"/>
    <xf numFmtId="167" fontId="130" fillId="98" borderId="80" xfId="31137" applyNumberFormat="1" applyFont="1" applyFill="1" applyBorder="1" applyAlignment="1"/>
    <xf numFmtId="188" fontId="130" fillId="98" borderId="80" xfId="31137" applyNumberFormat="1" applyFont="1" applyFill="1" applyBorder="1" applyAlignment="1"/>
    <xf numFmtId="176" fontId="51" fillId="98" borderId="80" xfId="0" applyNumberFormat="1" applyFont="1" applyFill="1" applyBorder="1"/>
    <xf numFmtId="0" fontId="51" fillId="98" borderId="80" xfId="0" applyFont="1" applyFill="1" applyBorder="1"/>
    <xf numFmtId="2" fontId="261" fillId="98" borderId="84" xfId="0" applyNumberFormat="1" applyFont="1" applyFill="1" applyBorder="1" applyAlignment="1">
      <alignment horizontal="center"/>
    </xf>
    <xf numFmtId="0" fontId="130" fillId="98" borderId="85" xfId="0" applyFont="1" applyFill="1" applyBorder="1" applyAlignment="1">
      <alignment horizontal="center"/>
    </xf>
    <xf numFmtId="187" fontId="130" fillId="98" borderId="85" xfId="31137" applyNumberFormat="1" applyFont="1" applyFill="1" applyBorder="1" applyAlignment="1"/>
    <xf numFmtId="253" fontId="130" fillId="98" borderId="85" xfId="31137" applyNumberFormat="1" applyFont="1" applyFill="1" applyBorder="1" applyAlignment="1"/>
    <xf numFmtId="186" fontId="130" fillId="98" borderId="85" xfId="31137" applyNumberFormat="1" applyFont="1" applyFill="1" applyBorder="1" applyAlignment="1"/>
    <xf numFmtId="43" fontId="130" fillId="98" borderId="85" xfId="31137" applyFont="1" applyFill="1" applyBorder="1" applyAlignment="1"/>
    <xf numFmtId="167" fontId="130" fillId="98" borderId="85" xfId="31137" applyNumberFormat="1" applyFont="1" applyFill="1" applyBorder="1" applyAlignment="1"/>
    <xf numFmtId="188" fontId="130" fillId="98" borderId="85" xfId="31137" applyNumberFormat="1" applyFont="1" applyFill="1" applyBorder="1" applyAlignment="1"/>
    <xf numFmtId="0" fontId="51" fillId="98" borderId="85" xfId="0" applyFont="1" applyFill="1" applyBorder="1"/>
    <xf numFmtId="242" fontId="130" fillId="98" borderId="85" xfId="31137" applyNumberFormat="1" applyFont="1" applyFill="1" applyBorder="1" applyAlignment="1"/>
    <xf numFmtId="0" fontId="0" fillId="107" borderId="0" xfId="0" applyFill="1"/>
    <xf numFmtId="167" fontId="0" fillId="107" borderId="0" xfId="234" applyFont="1" applyFill="1" applyBorder="1" applyAlignment="1" applyProtection="1">
      <alignment horizontal="center" vertical="center" wrapText="1"/>
      <protection locked="0"/>
    </xf>
    <xf numFmtId="242" fontId="0" fillId="107" borderId="0" xfId="234" applyNumberFormat="1" applyFont="1" applyFill="1" applyBorder="1" applyAlignment="1" applyProtection="1">
      <alignment horizontal="center" vertical="center" wrapText="1"/>
      <protection locked="0"/>
    </xf>
    <xf numFmtId="187" fontId="0" fillId="107" borderId="0" xfId="234" applyNumberFormat="1" applyFont="1" applyFill="1" applyBorder="1" applyAlignment="1" applyProtection="1">
      <alignment horizontal="center" vertical="center" wrapText="1"/>
      <protection locked="0"/>
    </xf>
    <xf numFmtId="2" fontId="0" fillId="107" borderId="0" xfId="0" applyNumberFormat="1" applyFill="1"/>
    <xf numFmtId="179" fontId="0" fillId="107" borderId="0" xfId="0" applyNumberFormat="1" applyFill="1"/>
    <xf numFmtId="1" fontId="0" fillId="107" borderId="133" xfId="0" applyNumberFormat="1" applyFill="1" applyBorder="1" applyAlignment="1">
      <alignment horizontal="center"/>
    </xf>
    <xf numFmtId="176" fontId="0" fillId="107" borderId="134" xfId="0" applyNumberFormat="1" applyFill="1" applyBorder="1" applyAlignment="1">
      <alignment horizontal="center"/>
    </xf>
    <xf numFmtId="2" fontId="0" fillId="107" borderId="134" xfId="0" applyNumberFormat="1" applyFill="1" applyBorder="1" applyAlignment="1">
      <alignment horizontal="center"/>
    </xf>
    <xf numFmtId="1" fontId="0" fillId="107" borderId="134" xfId="0" applyNumberFormat="1" applyFill="1" applyBorder="1" applyAlignment="1">
      <alignment horizontal="center"/>
    </xf>
    <xf numFmtId="166" fontId="0" fillId="107" borderId="134" xfId="31096" applyFont="1" applyFill="1" applyBorder="1" applyAlignment="1">
      <alignment horizontal="center"/>
    </xf>
    <xf numFmtId="176" fontId="0" fillId="107" borderId="302" xfId="0" applyNumberFormat="1" applyFill="1" applyBorder="1" applyAlignment="1">
      <alignment horizontal="center"/>
    </xf>
    <xf numFmtId="207" fontId="0" fillId="107" borderId="195" xfId="234" applyNumberFormat="1" applyFont="1" applyFill="1" applyBorder="1" applyAlignment="1">
      <alignment horizontal="center"/>
    </xf>
    <xf numFmtId="199" fontId="47" fillId="107" borderId="195" xfId="234" applyNumberFormat="1" applyFont="1" applyFill="1" applyBorder="1" applyAlignment="1">
      <alignment horizontal="center"/>
    </xf>
    <xf numFmtId="4" fontId="0" fillId="107" borderId="47" xfId="0" applyNumberFormat="1" applyFill="1" applyBorder="1" applyAlignment="1">
      <alignment horizontal="center" wrapText="1"/>
    </xf>
    <xf numFmtId="1" fontId="0" fillId="107" borderId="145" xfId="0" applyNumberFormat="1" applyFill="1" applyBorder="1" applyAlignment="1">
      <alignment horizontal="center"/>
    </xf>
    <xf numFmtId="1" fontId="0" fillId="107" borderId="302" xfId="0" applyNumberFormat="1" applyFill="1" applyBorder="1" applyAlignment="1">
      <alignment horizontal="center"/>
    </xf>
    <xf numFmtId="199" fontId="0" fillId="107" borderId="303" xfId="234" applyNumberFormat="1" applyFont="1" applyFill="1" applyBorder="1" applyAlignment="1">
      <alignment horizontal="center"/>
    </xf>
    <xf numFmtId="2" fontId="144" fillId="107" borderId="31" xfId="0" applyNumberFormat="1" applyFont="1" applyFill="1" applyBorder="1" applyAlignment="1">
      <alignment horizontal="center" vertical="center"/>
    </xf>
    <xf numFmtId="185" fontId="94" fillId="107" borderId="134" xfId="1301" applyNumberFormat="1" applyFont="1" applyFill="1" applyBorder="1" applyAlignment="1">
      <alignment horizontal="center" vertical="center"/>
    </xf>
    <xf numFmtId="1" fontId="0" fillId="107" borderId="134" xfId="0" applyNumberFormat="1" applyFill="1" applyBorder="1" applyAlignment="1">
      <alignment horizontal="center" vertical="center"/>
    </xf>
    <xf numFmtId="1" fontId="94" fillId="107" borderId="134" xfId="0" applyNumberFormat="1" applyFont="1" applyFill="1" applyBorder="1" applyAlignment="1">
      <alignment horizontal="center" vertical="center"/>
    </xf>
    <xf numFmtId="0" fontId="0" fillId="107" borderId="31" xfId="0" applyFill="1" applyBorder="1"/>
    <xf numFmtId="3" fontId="0" fillId="107" borderId="31" xfId="0" applyNumberFormat="1" applyFill="1" applyBorder="1" applyAlignment="1">
      <alignment horizontal="center" vertical="center"/>
    </xf>
    <xf numFmtId="1" fontId="94" fillId="107" borderId="31" xfId="0" applyNumberFormat="1" applyFont="1" applyFill="1" applyBorder="1" applyAlignment="1">
      <alignment horizontal="center" vertical="center"/>
    </xf>
    <xf numFmtId="3" fontId="94" fillId="107" borderId="31" xfId="0" applyNumberFormat="1" applyFont="1" applyFill="1" applyBorder="1" applyAlignment="1">
      <alignment horizontal="center" vertical="center"/>
    </xf>
    <xf numFmtId="3" fontId="0" fillId="107" borderId="134" xfId="0" applyNumberFormat="1" applyFill="1" applyBorder="1" applyAlignment="1">
      <alignment horizontal="center" vertical="center"/>
    </xf>
    <xf numFmtId="1" fontId="94" fillId="107" borderId="31" xfId="0" applyNumberFormat="1" applyFont="1" applyFill="1" applyBorder="1" applyAlignment="1">
      <alignment horizontal="center"/>
    </xf>
    <xf numFmtId="3" fontId="0" fillId="107" borderId="31" xfId="0" applyNumberFormat="1" applyFill="1" applyBorder="1"/>
    <xf numFmtId="1" fontId="0" fillId="107" borderId="135" xfId="0" applyNumberFormat="1" applyFill="1" applyBorder="1" applyAlignment="1">
      <alignment horizontal="center"/>
    </xf>
    <xf numFmtId="176" fontId="0" fillId="107" borderId="98" xfId="0" applyNumberFormat="1" applyFill="1" applyBorder="1" applyAlignment="1">
      <alignment horizontal="center"/>
    </xf>
    <xf numFmtId="2" fontId="0" fillId="107" borderId="98" xfId="0" applyNumberFormat="1" applyFill="1" applyBorder="1" applyAlignment="1">
      <alignment horizontal="center"/>
    </xf>
    <xf numFmtId="1" fontId="0" fillId="107" borderId="98" xfId="0" applyNumberFormat="1" applyFill="1" applyBorder="1" applyAlignment="1">
      <alignment horizontal="center"/>
    </xf>
    <xf numFmtId="166" fontId="0" fillId="107" borderId="98" xfId="31096" applyFont="1" applyFill="1" applyBorder="1" applyAlignment="1">
      <alignment horizontal="center"/>
    </xf>
    <xf numFmtId="207" fontId="0" fillId="107" borderId="197" xfId="234" applyNumberFormat="1" applyFont="1" applyFill="1" applyBorder="1" applyAlignment="1">
      <alignment horizontal="center"/>
    </xf>
    <xf numFmtId="199" fontId="47" fillId="107" borderId="197" xfId="234" applyNumberFormat="1" applyFont="1" applyFill="1" applyBorder="1" applyAlignment="1">
      <alignment horizontal="center"/>
    </xf>
    <xf numFmtId="1" fontId="0" fillId="107" borderId="111" xfId="0" applyNumberFormat="1" applyFill="1" applyBorder="1" applyAlignment="1">
      <alignment horizontal="center"/>
    </xf>
    <xf numFmtId="4" fontId="0" fillId="107" borderId="11" xfId="0" applyNumberFormat="1" applyFill="1" applyBorder="1" applyAlignment="1">
      <alignment horizontal="center" wrapText="1"/>
    </xf>
    <xf numFmtId="1" fontId="0" fillId="107" borderId="125" xfId="0" applyNumberFormat="1" applyFill="1" applyBorder="1" applyAlignment="1">
      <alignment horizontal="center"/>
    </xf>
    <xf numFmtId="1" fontId="0" fillId="107" borderId="99" xfId="0" applyNumberFormat="1" applyFill="1" applyBorder="1" applyAlignment="1">
      <alignment horizontal="center"/>
    </xf>
    <xf numFmtId="199" fontId="0" fillId="107" borderId="101" xfId="234" applyNumberFormat="1" applyFont="1" applyFill="1" applyBorder="1" applyAlignment="1">
      <alignment horizontal="center"/>
    </xf>
    <xf numFmtId="2" fontId="144" fillId="107" borderId="0" xfId="0" applyNumberFormat="1" applyFont="1" applyFill="1" applyAlignment="1">
      <alignment horizontal="center" vertical="center"/>
    </xf>
    <xf numFmtId="185" fontId="94" fillId="107" borderId="98" xfId="1301" applyNumberFormat="1" applyFont="1" applyFill="1" applyBorder="1" applyAlignment="1">
      <alignment horizontal="center" vertical="center"/>
    </xf>
    <xf numFmtId="1" fontId="0" fillId="107" borderId="98" xfId="0" applyNumberFormat="1" applyFill="1" applyBorder="1" applyAlignment="1">
      <alignment horizontal="center" vertical="center"/>
    </xf>
    <xf numFmtId="1" fontId="94" fillId="107" borderId="98" xfId="0" applyNumberFormat="1" applyFont="1" applyFill="1" applyBorder="1" applyAlignment="1">
      <alignment horizontal="center" vertical="center"/>
    </xf>
    <xf numFmtId="1" fontId="94" fillId="107" borderId="0" xfId="0" applyNumberFormat="1" applyFont="1" applyFill="1" applyAlignment="1">
      <alignment horizontal="center" vertical="center"/>
    </xf>
    <xf numFmtId="3" fontId="94" fillId="107" borderId="0" xfId="0" applyNumberFormat="1" applyFont="1" applyFill="1" applyAlignment="1">
      <alignment horizontal="center" vertical="center"/>
    </xf>
    <xf numFmtId="3" fontId="0" fillId="107" borderId="98" xfId="0" applyNumberFormat="1" applyFill="1" applyBorder="1" applyAlignment="1">
      <alignment horizontal="center" vertical="center"/>
    </xf>
    <xf numFmtId="1" fontId="94" fillId="107" borderId="0" xfId="0" applyNumberFormat="1" applyFont="1" applyFill="1" applyAlignment="1">
      <alignment horizontal="center"/>
    </xf>
    <xf numFmtId="3" fontId="0" fillId="107" borderId="0" xfId="0" applyNumberFormat="1" applyFill="1"/>
    <xf numFmtId="1" fontId="0" fillId="107" borderId="138" xfId="0" applyNumberFormat="1" applyFill="1" applyBorder="1" applyAlignment="1">
      <alignment horizontal="center"/>
    </xf>
    <xf numFmtId="176" fontId="0" fillId="107" borderId="139" xfId="0" applyNumberFormat="1" applyFill="1" applyBorder="1" applyAlignment="1">
      <alignment horizontal="center"/>
    </xf>
    <xf numFmtId="2" fontId="0" fillId="107" borderId="139" xfId="0" applyNumberFormat="1" applyFill="1" applyBorder="1" applyAlignment="1">
      <alignment horizontal="center"/>
    </xf>
    <xf numFmtId="1" fontId="0" fillId="107" borderId="139" xfId="0" applyNumberFormat="1" applyFill="1" applyBorder="1" applyAlignment="1">
      <alignment horizontal="center"/>
    </xf>
    <xf numFmtId="166" fontId="0" fillId="107" borderId="139" xfId="31096" applyFont="1" applyFill="1" applyBorder="1" applyAlignment="1">
      <alignment horizontal="center"/>
    </xf>
    <xf numFmtId="207" fontId="0" fillId="107" borderId="229" xfId="234" applyNumberFormat="1" applyFont="1" applyFill="1" applyBorder="1" applyAlignment="1">
      <alignment horizontal="center"/>
    </xf>
    <xf numFmtId="199" fontId="47" fillId="107" borderId="229" xfId="234" applyNumberFormat="1" applyFont="1" applyFill="1" applyBorder="1" applyAlignment="1">
      <alignment horizontal="center"/>
    </xf>
    <xf numFmtId="1" fontId="0" fillId="107" borderId="147" xfId="0" applyNumberFormat="1" applyFill="1" applyBorder="1" applyAlignment="1">
      <alignment horizontal="center"/>
    </xf>
    <xf numFmtId="4" fontId="0" fillId="107" borderId="55" xfId="0" applyNumberFormat="1" applyFill="1" applyBorder="1" applyAlignment="1">
      <alignment horizontal="center" wrapText="1"/>
    </xf>
    <xf numFmtId="1" fontId="0" fillId="107" borderId="304" xfId="0" applyNumberFormat="1" applyFill="1" applyBorder="1" applyAlignment="1">
      <alignment horizontal="center"/>
    </xf>
    <xf numFmtId="1" fontId="0" fillId="107" borderId="305" xfId="0" applyNumberFormat="1" applyFill="1" applyBorder="1" applyAlignment="1">
      <alignment horizontal="center"/>
    </xf>
    <xf numFmtId="199" fontId="0" fillId="107" borderId="304" xfId="234" applyNumberFormat="1" applyFont="1" applyFill="1" applyBorder="1" applyAlignment="1">
      <alignment horizontal="center"/>
    </xf>
    <xf numFmtId="2" fontId="144" fillId="107" borderId="39" xfId="0" applyNumberFormat="1" applyFont="1" applyFill="1" applyBorder="1" applyAlignment="1">
      <alignment horizontal="center" vertical="center"/>
    </xf>
    <xf numFmtId="185" fontId="94" fillId="107" borderId="139" xfId="1301" applyNumberFormat="1" applyFont="1" applyFill="1" applyBorder="1" applyAlignment="1">
      <alignment horizontal="center" vertical="center"/>
    </xf>
    <xf numFmtId="1" fontId="0" fillId="107" borderId="139" xfId="0" applyNumberFormat="1" applyFill="1" applyBorder="1" applyAlignment="1">
      <alignment horizontal="center" vertical="center"/>
    </xf>
    <xf numFmtId="1" fontId="94" fillId="107" borderId="139" xfId="0" applyNumberFormat="1" applyFont="1" applyFill="1" applyBorder="1" applyAlignment="1">
      <alignment horizontal="center" vertical="center"/>
    </xf>
    <xf numFmtId="0" fontId="0" fillId="107" borderId="39" xfId="0" applyFill="1" applyBorder="1"/>
    <xf numFmtId="3" fontId="0" fillId="107" borderId="39" xfId="0" applyNumberFormat="1" applyFill="1" applyBorder="1" applyAlignment="1">
      <alignment horizontal="center" vertical="center"/>
    </xf>
    <xf numFmtId="1" fontId="94" fillId="107" borderId="39" xfId="0" applyNumberFormat="1" applyFont="1" applyFill="1" applyBorder="1" applyAlignment="1">
      <alignment horizontal="center" vertical="center"/>
    </xf>
    <xf numFmtId="3" fontId="94" fillId="107" borderId="39" xfId="0" applyNumberFormat="1" applyFont="1" applyFill="1" applyBorder="1" applyAlignment="1">
      <alignment horizontal="center" vertical="center"/>
    </xf>
    <xf numFmtId="3" fontId="0" fillId="107" borderId="139" xfId="0" applyNumberFormat="1" applyFill="1" applyBorder="1" applyAlignment="1">
      <alignment horizontal="center" vertical="center"/>
    </xf>
    <xf numFmtId="1" fontId="94" fillId="107" borderId="39" xfId="0" applyNumberFormat="1" applyFont="1" applyFill="1" applyBorder="1" applyAlignment="1">
      <alignment horizontal="center"/>
    </xf>
    <xf numFmtId="3" fontId="0" fillId="107" borderId="39" xfId="0" applyNumberFormat="1" applyFill="1" applyBorder="1"/>
    <xf numFmtId="167" fontId="0" fillId="75" borderId="0" xfId="234" applyFont="1" applyFill="1" applyBorder="1" applyAlignment="1" applyProtection="1">
      <alignment horizontal="center" vertical="center" wrapText="1"/>
      <protection locked="0"/>
    </xf>
    <xf numFmtId="263" fontId="0" fillId="75" borderId="0" xfId="234" applyNumberFormat="1" applyFont="1" applyFill="1" applyBorder="1" applyAlignment="1" applyProtection="1">
      <alignment horizontal="center" vertical="center" wrapText="1"/>
      <protection locked="0"/>
    </xf>
    <xf numFmtId="1" fontId="0" fillId="75" borderId="98" xfId="0" applyNumberFormat="1" applyFill="1" applyBorder="1" applyAlignment="1">
      <alignment horizontal="center"/>
    </xf>
    <xf numFmtId="1" fontId="0" fillId="75" borderId="111" xfId="0" applyNumberFormat="1" applyFill="1" applyBorder="1" applyAlignment="1">
      <alignment horizontal="center"/>
    </xf>
    <xf numFmtId="3" fontId="100" fillId="75" borderId="0" xfId="0" applyNumberFormat="1" applyFont="1" applyFill="1" applyAlignment="1">
      <alignment horizontal="center" vertical="center"/>
    </xf>
    <xf numFmtId="182" fontId="100" fillId="75" borderId="0" xfId="0" applyNumberFormat="1" applyFont="1" applyFill="1" applyAlignment="1">
      <alignment horizontal="center" vertical="center"/>
    </xf>
    <xf numFmtId="0" fontId="100" fillId="107" borderId="23" xfId="0" applyFont="1" applyFill="1" applyBorder="1" applyAlignment="1">
      <alignment vertical="center" textRotation="90"/>
    </xf>
    <xf numFmtId="194" fontId="100" fillId="107" borderId="0" xfId="0" applyNumberFormat="1" applyFont="1" applyFill="1" applyAlignment="1">
      <alignment horizontal="center" vertical="center"/>
    </xf>
    <xf numFmtId="3" fontId="100" fillId="107" borderId="0" xfId="0" applyNumberFormat="1" applyFont="1" applyFill="1" applyAlignment="1">
      <alignment horizontal="center"/>
    </xf>
    <xf numFmtId="182" fontId="100" fillId="107" borderId="0" xfId="0" applyNumberFormat="1" applyFont="1" applyFill="1" applyAlignment="1">
      <alignment horizontal="center"/>
    </xf>
    <xf numFmtId="4" fontId="100" fillId="107" borderId="0" xfId="0" applyNumberFormat="1" applyFont="1" applyFill="1" applyAlignment="1">
      <alignment horizontal="center"/>
    </xf>
    <xf numFmtId="183" fontId="100" fillId="107" borderId="0" xfId="0" applyNumberFormat="1" applyFont="1" applyFill="1" applyAlignment="1">
      <alignment horizontal="center"/>
    </xf>
    <xf numFmtId="2" fontId="100" fillId="107" borderId="0" xfId="0" applyNumberFormat="1" applyFont="1" applyFill="1" applyAlignment="1">
      <alignment horizontal="center" vertical="center"/>
    </xf>
    <xf numFmtId="3" fontId="100" fillId="107" borderId="0" xfId="0" applyNumberFormat="1" applyFont="1" applyFill="1" applyAlignment="1">
      <alignment horizontal="center" vertical="center"/>
    </xf>
    <xf numFmtId="3" fontId="100" fillId="107" borderId="0" xfId="0" applyNumberFormat="1" applyFont="1" applyFill="1" applyAlignment="1">
      <alignment vertical="center"/>
    </xf>
    <xf numFmtId="3" fontId="100" fillId="107" borderId="31" xfId="0" applyNumberFormat="1" applyFont="1" applyFill="1" applyBorder="1" applyAlignment="1">
      <alignment vertical="center"/>
    </xf>
    <xf numFmtId="4" fontId="100" fillId="107" borderId="0" xfId="0" applyNumberFormat="1" applyFont="1" applyFill="1" applyAlignment="1">
      <alignment horizontal="center" vertical="center"/>
    </xf>
    <xf numFmtId="176" fontId="100" fillId="107" borderId="0" xfId="0" applyNumberFormat="1" applyFont="1" applyFill="1" applyAlignment="1">
      <alignment vertical="center"/>
    </xf>
    <xf numFmtId="2" fontId="100" fillId="107" borderId="0" xfId="0" applyNumberFormat="1" applyFont="1" applyFill="1" applyAlignment="1">
      <alignment vertical="center"/>
    </xf>
    <xf numFmtId="1" fontId="100" fillId="107" borderId="0" xfId="0" applyNumberFormat="1" applyFont="1" applyFill="1" applyAlignment="1">
      <alignment vertical="center"/>
    </xf>
    <xf numFmtId="3" fontId="100" fillId="107" borderId="31" xfId="0" applyNumberFormat="1" applyFont="1" applyFill="1" applyBorder="1" applyAlignment="1">
      <alignment horizontal="center"/>
    </xf>
    <xf numFmtId="193" fontId="100" fillId="107" borderId="0" xfId="0" applyNumberFormat="1" applyFont="1" applyFill="1" applyAlignment="1">
      <alignment horizontal="center" vertical="center"/>
    </xf>
    <xf numFmtId="1" fontId="100" fillId="107" borderId="0" xfId="0" applyNumberFormat="1" applyFont="1" applyFill="1" applyAlignment="1">
      <alignment horizontal="center" vertical="center"/>
    </xf>
    <xf numFmtId="179" fontId="100" fillId="107" borderId="0" xfId="0" applyNumberFormat="1" applyFont="1" applyFill="1" applyAlignment="1">
      <alignment horizontal="center" vertical="center"/>
    </xf>
    <xf numFmtId="2" fontId="100" fillId="107" borderId="31" xfId="0" applyNumberFormat="1" applyFont="1" applyFill="1" applyBorder="1" applyAlignment="1">
      <alignment vertical="center"/>
    </xf>
    <xf numFmtId="0" fontId="100" fillId="107" borderId="0" xfId="0" applyFont="1" applyFill="1" applyAlignment="1">
      <alignment vertical="center"/>
    </xf>
    <xf numFmtId="0" fontId="100" fillId="107" borderId="37" xfId="0" applyFont="1" applyFill="1" applyBorder="1" applyAlignment="1">
      <alignment vertical="center" textRotation="90"/>
    </xf>
    <xf numFmtId="194" fontId="100" fillId="107" borderId="39" xfId="0" applyNumberFormat="1" applyFont="1" applyFill="1" applyBorder="1" applyAlignment="1">
      <alignment horizontal="center" vertical="center"/>
    </xf>
    <xf numFmtId="3" fontId="100" fillId="107" borderId="39" xfId="0" applyNumberFormat="1" applyFont="1" applyFill="1" applyBorder="1" applyAlignment="1">
      <alignment horizontal="center"/>
    </xf>
    <xf numFmtId="182" fontId="100" fillId="107" borderId="39" xfId="0" applyNumberFormat="1" applyFont="1" applyFill="1" applyBorder="1" applyAlignment="1">
      <alignment horizontal="center"/>
    </xf>
    <xf numFmtId="4" fontId="100" fillId="107" borderId="39" xfId="0" applyNumberFormat="1" applyFont="1" applyFill="1" applyBorder="1" applyAlignment="1">
      <alignment horizontal="center"/>
    </xf>
    <xf numFmtId="183" fontId="100" fillId="107" borderId="39" xfId="0" applyNumberFormat="1" applyFont="1" applyFill="1" applyBorder="1" applyAlignment="1">
      <alignment horizontal="center"/>
    </xf>
    <xf numFmtId="2" fontId="100" fillId="107" borderId="39" xfId="0" applyNumberFormat="1" applyFont="1" applyFill="1" applyBorder="1" applyAlignment="1">
      <alignment horizontal="center" vertical="center"/>
    </xf>
    <xf numFmtId="3" fontId="100" fillId="107" borderId="39" xfId="0" applyNumberFormat="1" applyFont="1" applyFill="1" applyBorder="1" applyAlignment="1">
      <alignment horizontal="center" vertical="center"/>
    </xf>
    <xf numFmtId="3" fontId="100" fillId="107" borderId="39" xfId="0" applyNumberFormat="1" applyFont="1" applyFill="1" applyBorder="1" applyAlignment="1">
      <alignment vertical="center"/>
    </xf>
    <xf numFmtId="4" fontId="100" fillId="107" borderId="39" xfId="0" applyNumberFormat="1" applyFont="1" applyFill="1" applyBorder="1" applyAlignment="1">
      <alignment horizontal="center" vertical="center"/>
    </xf>
    <xf numFmtId="182" fontId="100" fillId="107" borderId="39" xfId="0" applyNumberFormat="1" applyFont="1" applyFill="1" applyBorder="1" applyAlignment="1">
      <alignment horizontal="center" vertical="center"/>
    </xf>
    <xf numFmtId="176" fontId="100" fillId="107" borderId="39" xfId="0" applyNumberFormat="1" applyFont="1" applyFill="1" applyBorder="1" applyAlignment="1">
      <alignment vertical="center"/>
    </xf>
    <xf numFmtId="2" fontId="100" fillId="107" borderId="39" xfId="0" applyNumberFormat="1" applyFont="1" applyFill="1" applyBorder="1" applyAlignment="1">
      <alignment vertical="center"/>
    </xf>
    <xf numFmtId="1" fontId="100" fillId="107" borderId="39" xfId="0" applyNumberFormat="1" applyFont="1" applyFill="1" applyBorder="1" applyAlignment="1">
      <alignment vertical="center"/>
    </xf>
    <xf numFmtId="193" fontId="100" fillId="107" borderId="39" xfId="0" applyNumberFormat="1" applyFont="1" applyFill="1" applyBorder="1" applyAlignment="1">
      <alignment horizontal="center" vertical="center"/>
    </xf>
    <xf numFmtId="1" fontId="100" fillId="107" borderId="39" xfId="0" applyNumberFormat="1" applyFont="1" applyFill="1" applyBorder="1" applyAlignment="1">
      <alignment horizontal="center" vertical="center"/>
    </xf>
    <xf numFmtId="179" fontId="100" fillId="107" borderId="39" xfId="0" applyNumberFormat="1" applyFont="1" applyFill="1" applyBorder="1" applyAlignment="1">
      <alignment horizontal="center" vertical="center"/>
    </xf>
    <xf numFmtId="0" fontId="100" fillId="107" borderId="39" xfId="0" applyFont="1" applyFill="1" applyBorder="1" applyAlignment="1">
      <alignment vertical="center"/>
    </xf>
    <xf numFmtId="3" fontId="100" fillId="130" borderId="0" xfId="0" applyNumberFormat="1" applyFont="1" applyFill="1" applyAlignment="1">
      <alignment horizontal="center" vertical="center"/>
    </xf>
    <xf numFmtId="182" fontId="100" fillId="130" borderId="0" xfId="0" applyNumberFormat="1" applyFont="1" applyFill="1" applyAlignment="1">
      <alignment horizontal="center" vertical="center"/>
    </xf>
    <xf numFmtId="3" fontId="100" fillId="38" borderId="0" xfId="0" applyNumberFormat="1" applyFont="1" applyFill="1" applyAlignment="1">
      <alignment horizontal="center" vertical="center"/>
    </xf>
    <xf numFmtId="3" fontId="100" fillId="125" borderId="0" xfId="0" applyNumberFormat="1" applyFont="1" applyFill="1" applyAlignment="1">
      <alignment horizontal="center" vertical="center"/>
    </xf>
    <xf numFmtId="3" fontId="139" fillId="130" borderId="0" xfId="0" applyNumberFormat="1" applyFont="1" applyFill="1" applyAlignment="1">
      <alignment vertical="center"/>
    </xf>
    <xf numFmtId="1" fontId="0" fillId="130" borderId="98" xfId="0" applyNumberFormat="1" applyFill="1" applyBorder="1" applyAlignment="1">
      <alignment horizontal="center"/>
    </xf>
    <xf numFmtId="2" fontId="51" fillId="0" borderId="0" xfId="0" applyNumberFormat="1" applyFont="1" applyAlignment="1">
      <alignment horizontal="center"/>
    </xf>
    <xf numFmtId="0" fontId="379" fillId="37" borderId="94" xfId="0" applyFont="1" applyFill="1" applyBorder="1" applyAlignment="1">
      <alignment horizontal="center" vertical="center"/>
    </xf>
    <xf numFmtId="0" fontId="379" fillId="37" borderId="12" xfId="0" applyFont="1" applyFill="1" applyBorder="1" applyAlignment="1">
      <alignment horizontal="center" vertical="center"/>
    </xf>
    <xf numFmtId="0" fontId="379" fillId="37" borderId="13" xfId="0" applyFont="1" applyFill="1" applyBorder="1" applyAlignment="1">
      <alignment horizontal="center" vertical="center"/>
    </xf>
    <xf numFmtId="0" fontId="288" fillId="78" borderId="99" xfId="0" applyFont="1" applyFill="1" applyBorder="1" applyAlignment="1">
      <alignment horizontal="center" vertical="center"/>
    </xf>
    <xf numFmtId="0" fontId="288" fillId="78" borderId="100" xfId="0" applyFont="1" applyFill="1" applyBorder="1" applyAlignment="1">
      <alignment horizontal="center" vertical="center"/>
    </xf>
    <xf numFmtId="0" fontId="288" fillId="78" borderId="101" xfId="0" applyFont="1" applyFill="1" applyBorder="1" applyAlignment="1">
      <alignment horizontal="center" vertical="center"/>
    </xf>
    <xf numFmtId="0" fontId="287" fillId="115" borderId="99" xfId="0" applyFont="1" applyFill="1" applyBorder="1" applyAlignment="1">
      <alignment horizontal="center" vertical="center"/>
    </xf>
    <xf numFmtId="0" fontId="287" fillId="115" borderId="100" xfId="0" applyFont="1" applyFill="1" applyBorder="1" applyAlignment="1">
      <alignment horizontal="center" vertical="center"/>
    </xf>
    <xf numFmtId="0" fontId="287" fillId="115" borderId="101" xfId="0" applyFont="1" applyFill="1" applyBorder="1" applyAlignment="1">
      <alignment horizontal="center" vertical="center"/>
    </xf>
    <xf numFmtId="0" fontId="288" fillId="109" borderId="99" xfId="0" applyFont="1" applyFill="1" applyBorder="1" applyAlignment="1">
      <alignment horizontal="center" vertical="center"/>
    </xf>
    <xf numFmtId="0" fontId="288" fillId="109" borderId="100" xfId="0" applyFont="1" applyFill="1" applyBorder="1" applyAlignment="1">
      <alignment horizontal="center" vertical="center"/>
    </xf>
    <xf numFmtId="0" fontId="288" fillId="109" borderId="101" xfId="0" applyFont="1" applyFill="1" applyBorder="1" applyAlignment="1">
      <alignment horizontal="center" vertical="center"/>
    </xf>
    <xf numFmtId="0" fontId="288" fillId="91" borderId="99" xfId="0" applyFont="1" applyFill="1" applyBorder="1" applyAlignment="1">
      <alignment horizontal="center" vertical="center"/>
    </xf>
    <xf numFmtId="0" fontId="288" fillId="91" borderId="100" xfId="0" applyFont="1" applyFill="1" applyBorder="1" applyAlignment="1">
      <alignment horizontal="center" vertical="center"/>
    </xf>
    <xf numFmtId="0" fontId="288" fillId="91" borderId="101" xfId="0" applyFont="1" applyFill="1" applyBorder="1" applyAlignment="1">
      <alignment horizontal="center" vertical="center"/>
    </xf>
    <xf numFmtId="0" fontId="288" fillId="72" borderId="99" xfId="0" applyFont="1" applyFill="1" applyBorder="1" applyAlignment="1">
      <alignment horizontal="center" vertical="center"/>
    </xf>
    <xf numFmtId="0" fontId="288" fillId="72" borderId="100" xfId="0" applyFont="1" applyFill="1" applyBorder="1" applyAlignment="1">
      <alignment horizontal="center" vertical="center"/>
    </xf>
    <xf numFmtId="0" fontId="288" fillId="72" borderId="101" xfId="0" applyFont="1" applyFill="1" applyBorder="1" applyAlignment="1">
      <alignment horizontal="center" vertical="center"/>
    </xf>
    <xf numFmtId="0" fontId="227" fillId="72" borderId="99" xfId="0" applyFont="1" applyFill="1" applyBorder="1" applyAlignment="1">
      <alignment horizontal="center" vertical="center"/>
    </xf>
    <xf numFmtId="0" fontId="227" fillId="72" borderId="100" xfId="0" applyFont="1" applyFill="1" applyBorder="1" applyAlignment="1">
      <alignment horizontal="center" vertical="center"/>
    </xf>
    <xf numFmtId="0" fontId="227" fillId="72" borderId="10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19" xfId="0" applyBorder="1" applyAlignment="1">
      <alignment horizontal="center"/>
    </xf>
    <xf numFmtId="0" fontId="0" fillId="0" borderId="123" xfId="0" applyBorder="1" applyAlignment="1">
      <alignment horizontal="center"/>
    </xf>
    <xf numFmtId="0" fontId="0" fillId="0" borderId="125" xfId="0" applyBorder="1" applyAlignment="1">
      <alignment horizontal="center"/>
    </xf>
    <xf numFmtId="0" fontId="0" fillId="0" borderId="124" xfId="0" applyBorder="1" applyAlignment="1">
      <alignment horizontal="center"/>
    </xf>
    <xf numFmtId="0" fontId="287" fillId="0" borderId="0" xfId="0" applyFont="1" applyAlignment="1">
      <alignment horizontal="center"/>
    </xf>
    <xf numFmtId="0" fontId="270" fillId="37" borderId="96" xfId="0" applyFont="1" applyFill="1" applyBorder="1" applyAlignment="1">
      <alignment horizontal="center"/>
    </xf>
    <xf numFmtId="0" fontId="270" fillId="37" borderId="95" xfId="0" applyFont="1" applyFill="1" applyBorder="1" applyAlignment="1">
      <alignment horizontal="center"/>
    </xf>
    <xf numFmtId="0" fontId="288" fillId="72" borderId="99" xfId="0" applyFont="1" applyFill="1" applyBorder="1" applyAlignment="1">
      <alignment horizontal="center"/>
    </xf>
    <xf numFmtId="0" fontId="288" fillId="72" borderId="100" xfId="0" applyFont="1" applyFill="1" applyBorder="1" applyAlignment="1">
      <alignment horizontal="center"/>
    </xf>
    <xf numFmtId="0" fontId="288" fillId="72" borderId="101" xfId="0" applyFont="1" applyFill="1" applyBorder="1" applyAlignment="1">
      <alignment horizontal="center"/>
    </xf>
    <xf numFmtId="0" fontId="288" fillId="91" borderId="99" xfId="0" applyFont="1" applyFill="1" applyBorder="1" applyAlignment="1">
      <alignment horizontal="center"/>
    </xf>
    <xf numFmtId="0" fontId="288" fillId="91" borderId="100" xfId="0" applyFont="1" applyFill="1" applyBorder="1" applyAlignment="1">
      <alignment horizontal="center"/>
    </xf>
    <xf numFmtId="0" fontId="288" fillId="78" borderId="100" xfId="0" applyFont="1" applyFill="1" applyBorder="1" applyAlignment="1">
      <alignment horizontal="center"/>
    </xf>
    <xf numFmtId="0" fontId="288" fillId="91" borderId="101" xfId="0" applyFont="1" applyFill="1" applyBorder="1" applyAlignment="1">
      <alignment horizontal="center"/>
    </xf>
    <xf numFmtId="179" fontId="286" fillId="37" borderId="0" xfId="0" applyNumberFormat="1" applyFont="1" applyFill="1" applyAlignment="1">
      <alignment horizontal="right"/>
    </xf>
    <xf numFmtId="0" fontId="288" fillId="118" borderId="99" xfId="0" applyFont="1" applyFill="1" applyBorder="1" applyAlignment="1">
      <alignment horizontal="center" vertical="center"/>
    </xf>
    <xf numFmtId="0" fontId="288" fillId="118" borderId="100" xfId="0" applyFont="1" applyFill="1" applyBorder="1" applyAlignment="1">
      <alignment horizontal="center" vertical="center"/>
    </xf>
    <xf numFmtId="0" fontId="288" fillId="118" borderId="101" xfId="0" applyFont="1" applyFill="1" applyBorder="1" applyAlignment="1">
      <alignment horizontal="center" vertical="center"/>
    </xf>
    <xf numFmtId="180" fontId="340" fillId="76" borderId="239" xfId="0" applyNumberFormat="1" applyFont="1" applyFill="1" applyBorder="1" applyAlignment="1">
      <alignment horizontal="left" vertical="center" wrapText="1" indent="1"/>
    </xf>
    <xf numFmtId="180" fontId="340" fillId="76" borderId="240" xfId="0" applyNumberFormat="1" applyFont="1" applyFill="1" applyBorder="1" applyAlignment="1">
      <alignment horizontal="left" vertical="center" wrapText="1" indent="1"/>
    </xf>
    <xf numFmtId="180" fontId="344" fillId="76" borderId="239" xfId="0" applyNumberFormat="1" applyFont="1" applyFill="1" applyBorder="1" applyAlignment="1">
      <alignment horizontal="center" vertical="center"/>
    </xf>
    <xf numFmtId="180" fontId="344" fillId="76" borderId="240" xfId="0" applyNumberFormat="1" applyFont="1" applyFill="1" applyBorder="1" applyAlignment="1">
      <alignment horizontal="center" vertical="center"/>
    </xf>
    <xf numFmtId="180" fontId="343" fillId="93" borderId="239" xfId="0" applyNumberFormat="1" applyFont="1" applyFill="1" applyBorder="1" applyAlignment="1">
      <alignment horizontal="left" vertical="center"/>
    </xf>
    <xf numFmtId="180" fontId="343" fillId="93" borderId="240" xfId="0" applyNumberFormat="1" applyFont="1" applyFill="1" applyBorder="1" applyAlignment="1">
      <alignment horizontal="left" vertical="center"/>
    </xf>
    <xf numFmtId="180" fontId="355" fillId="93" borderId="239" xfId="0" applyNumberFormat="1" applyFont="1" applyFill="1" applyBorder="1" applyAlignment="1">
      <alignment horizontal="center" vertical="center"/>
    </xf>
    <xf numFmtId="180" fontId="355" fillId="93" borderId="240" xfId="0" applyNumberFormat="1" applyFont="1" applyFill="1" applyBorder="1" applyAlignment="1">
      <alignment horizontal="center" vertical="center"/>
    </xf>
    <xf numFmtId="180" fontId="286" fillId="76" borderId="239" xfId="0" applyNumberFormat="1" applyFont="1" applyFill="1" applyBorder="1" applyAlignment="1">
      <alignment horizontal="left" vertical="center" indent="2"/>
    </xf>
    <xf numFmtId="180" fontId="286" fillId="76" borderId="240" xfId="0" applyNumberFormat="1" applyFont="1" applyFill="1" applyBorder="1" applyAlignment="1">
      <alignment horizontal="left" vertical="center" indent="2"/>
    </xf>
    <xf numFmtId="180" fontId="318" fillId="76" borderId="239" xfId="0" applyNumberFormat="1" applyFont="1" applyFill="1" applyBorder="1" applyAlignment="1">
      <alignment horizontal="center" vertical="center"/>
    </xf>
    <xf numFmtId="180" fontId="318" fillId="76" borderId="240" xfId="0" applyNumberFormat="1" applyFont="1" applyFill="1" applyBorder="1" applyAlignment="1">
      <alignment horizontal="center" vertical="center"/>
    </xf>
    <xf numFmtId="180" fontId="340" fillId="0" borderId="239" xfId="0" applyNumberFormat="1" applyFont="1" applyBorder="1" applyAlignment="1">
      <alignment horizontal="left" vertical="center" wrapText="1" indent="1"/>
    </xf>
    <xf numFmtId="180" fontId="340" fillId="0" borderId="240" xfId="0" applyNumberFormat="1" applyFont="1" applyBorder="1" applyAlignment="1">
      <alignment horizontal="left" vertical="center" wrapText="1" indent="1"/>
    </xf>
    <xf numFmtId="180" fontId="344" fillId="0" borderId="239" xfId="0" applyNumberFormat="1" applyFont="1" applyBorder="1" applyAlignment="1">
      <alignment horizontal="center" vertical="center"/>
    </xf>
    <xf numFmtId="180" fontId="344" fillId="0" borderId="240" xfId="0" applyNumberFormat="1" applyFont="1" applyBorder="1" applyAlignment="1">
      <alignment horizontal="center" vertical="center"/>
    </xf>
    <xf numFmtId="180" fontId="286" fillId="76" borderId="0" xfId="0" applyNumberFormat="1" applyFont="1" applyFill="1" applyAlignment="1">
      <alignment horizontal="left" vertical="center" indent="2"/>
    </xf>
    <xf numFmtId="180" fontId="318" fillId="76" borderId="0" xfId="0" applyNumberFormat="1" applyFont="1" applyFill="1" applyAlignment="1">
      <alignment horizontal="center" vertical="center"/>
    </xf>
    <xf numFmtId="179" fontId="286" fillId="76" borderId="239" xfId="0" applyNumberFormat="1" applyFont="1" applyFill="1" applyBorder="1" applyAlignment="1">
      <alignment horizontal="left" vertical="center" indent="2"/>
    </xf>
    <xf numFmtId="179" fontId="286" fillId="76" borderId="240" xfId="0" applyNumberFormat="1" applyFont="1" applyFill="1" applyBorder="1" applyAlignment="1">
      <alignment horizontal="left" vertical="center" indent="2"/>
    </xf>
    <xf numFmtId="0" fontId="286" fillId="76" borderId="239" xfId="0" applyFont="1" applyFill="1" applyBorder="1" applyAlignment="1">
      <alignment horizontal="left" vertical="center" indent="2"/>
    </xf>
    <xf numFmtId="0" fontId="286" fillId="76" borderId="240" xfId="0" applyFont="1" applyFill="1" applyBorder="1" applyAlignment="1">
      <alignment horizontal="left" vertical="center" indent="2"/>
    </xf>
    <xf numFmtId="0" fontId="318" fillId="76" borderId="239" xfId="0" applyFont="1" applyFill="1" applyBorder="1" applyAlignment="1">
      <alignment horizontal="center" vertical="center"/>
    </xf>
    <xf numFmtId="0" fontId="318" fillId="76" borderId="240" xfId="0" applyFont="1" applyFill="1" applyBorder="1" applyAlignment="1">
      <alignment horizontal="center" vertical="center"/>
    </xf>
    <xf numFmtId="180" fontId="340" fillId="76" borderId="239" xfId="0" applyNumberFormat="1" applyFont="1" applyFill="1" applyBorder="1" applyAlignment="1">
      <alignment horizontal="left" vertical="center" indent="1"/>
    </xf>
    <xf numFmtId="180" fontId="340" fillId="76" borderId="240" xfId="0" applyNumberFormat="1" applyFont="1" applyFill="1" applyBorder="1" applyAlignment="1">
      <alignment horizontal="left" vertical="center" indent="1"/>
    </xf>
    <xf numFmtId="180" fontId="343" fillId="76" borderId="239" xfId="0" applyNumberFormat="1" applyFont="1" applyFill="1" applyBorder="1" applyAlignment="1">
      <alignment horizontal="left" vertical="center"/>
    </xf>
    <xf numFmtId="180" fontId="343" fillId="76" borderId="240" xfId="0" applyNumberFormat="1" applyFont="1" applyFill="1" applyBorder="1" applyAlignment="1">
      <alignment horizontal="left" vertical="center"/>
    </xf>
    <xf numFmtId="180" fontId="355" fillId="76" borderId="239" xfId="0" applyNumberFormat="1" applyFont="1" applyFill="1" applyBorder="1" applyAlignment="1">
      <alignment horizontal="center" vertical="center"/>
    </xf>
    <xf numFmtId="180" fontId="355" fillId="76" borderId="240" xfId="0" applyNumberFormat="1" applyFont="1" applyFill="1" applyBorder="1" applyAlignment="1">
      <alignment horizontal="center" vertical="center"/>
    </xf>
    <xf numFmtId="255" fontId="373" fillId="132" borderId="255" xfId="0" applyNumberFormat="1" applyFont="1" applyFill="1" applyBorder="1" applyAlignment="1">
      <alignment horizontal="right" vertical="center" wrapText="1"/>
    </xf>
    <xf numFmtId="255" fontId="373" fillId="132" borderId="258" xfId="0" applyNumberFormat="1" applyFont="1" applyFill="1" applyBorder="1" applyAlignment="1">
      <alignment horizontal="right" vertical="center" wrapText="1"/>
    </xf>
    <xf numFmtId="255" fontId="373" fillId="132" borderId="259" xfId="0" applyNumberFormat="1" applyFont="1" applyFill="1" applyBorder="1" applyAlignment="1">
      <alignment horizontal="right" vertical="center" wrapText="1"/>
    </xf>
    <xf numFmtId="255" fontId="373" fillId="132" borderId="260" xfId="0" applyNumberFormat="1" applyFont="1" applyFill="1" applyBorder="1" applyAlignment="1">
      <alignment horizontal="right" vertical="center" wrapText="1"/>
    </xf>
    <xf numFmtId="255" fontId="373" fillId="132" borderId="262" xfId="0" applyNumberFormat="1" applyFont="1" applyFill="1" applyBorder="1" applyAlignment="1">
      <alignment horizontal="right" vertical="center" wrapText="1"/>
    </xf>
    <xf numFmtId="255" fontId="373" fillId="132" borderId="263" xfId="0" applyNumberFormat="1" applyFont="1" applyFill="1" applyBorder="1" applyAlignment="1">
      <alignment horizontal="right" vertical="center" wrapText="1"/>
    </xf>
    <xf numFmtId="255" fontId="373" fillId="132" borderId="264" xfId="0" applyNumberFormat="1" applyFont="1" applyFill="1" applyBorder="1" applyAlignment="1">
      <alignment horizontal="right" vertical="center" wrapText="1"/>
    </xf>
    <xf numFmtId="255" fontId="373" fillId="132" borderId="265" xfId="0" applyNumberFormat="1" applyFont="1" applyFill="1" applyBorder="1" applyAlignment="1">
      <alignment horizontal="right" vertical="center" wrapText="1"/>
    </xf>
    <xf numFmtId="255" fontId="373" fillId="132" borderId="266" xfId="0" applyNumberFormat="1" applyFont="1" applyFill="1" applyBorder="1" applyAlignment="1">
      <alignment horizontal="right" vertical="center" wrapText="1"/>
    </xf>
    <xf numFmtId="0" fontId="108" fillId="0" borderId="0" xfId="306" applyFont="1" applyAlignment="1">
      <alignment horizontal="center" vertical="center"/>
    </xf>
    <xf numFmtId="0" fontId="165" fillId="72" borderId="36" xfId="306" applyFont="1" applyFill="1" applyBorder="1" applyAlignment="1">
      <alignment horizontal="left" vertical="center"/>
    </xf>
    <xf numFmtId="0" fontId="165" fillId="72" borderId="38" xfId="306" applyFont="1" applyFill="1" applyBorder="1" applyAlignment="1">
      <alignment horizontal="left" vertical="center"/>
    </xf>
    <xf numFmtId="0" fontId="165" fillId="72" borderId="36" xfId="306" applyFont="1" applyFill="1" applyBorder="1" applyAlignment="1">
      <alignment horizontal="center" vertical="center"/>
    </xf>
    <xf numFmtId="0" fontId="165" fillId="72" borderId="38" xfId="306" applyFont="1" applyFill="1" applyBorder="1" applyAlignment="1">
      <alignment horizontal="center" vertical="center"/>
    </xf>
    <xf numFmtId="0" fontId="165" fillId="72" borderId="0" xfId="306" applyFont="1" applyFill="1" applyAlignment="1">
      <alignment horizontal="center" vertical="center"/>
    </xf>
    <xf numFmtId="0" fontId="165" fillId="72" borderId="0" xfId="306" applyFont="1" applyFill="1" applyAlignment="1">
      <alignment horizontal="center" vertical="center" wrapText="1"/>
    </xf>
    <xf numFmtId="0" fontId="308" fillId="72" borderId="0" xfId="306" applyFont="1" applyFill="1" applyAlignment="1">
      <alignment horizontal="center" vertical="center" wrapText="1"/>
    </xf>
    <xf numFmtId="0" fontId="116" fillId="72" borderId="36" xfId="306" applyFont="1" applyFill="1" applyBorder="1" applyAlignment="1">
      <alignment horizontal="left" vertical="center"/>
    </xf>
    <xf numFmtId="0" fontId="116" fillId="72" borderId="38" xfId="306" applyFont="1" applyFill="1" applyBorder="1" applyAlignment="1">
      <alignment horizontal="left" vertical="center"/>
    </xf>
    <xf numFmtId="0" fontId="116" fillId="72" borderId="36" xfId="306" applyFont="1" applyFill="1" applyBorder="1" applyAlignment="1">
      <alignment horizontal="center" vertical="center"/>
    </xf>
    <xf numFmtId="0" fontId="116" fillId="72" borderId="38" xfId="306" applyFont="1" applyFill="1" applyBorder="1" applyAlignment="1">
      <alignment horizontal="center" vertical="center"/>
    </xf>
    <xf numFmtId="16" fontId="326" fillId="0" borderId="57" xfId="32022" applyNumberFormat="1" applyBorder="1">
      <alignment horizontal="center" wrapText="1"/>
    </xf>
    <xf numFmtId="0" fontId="326" fillId="0" borderId="218" xfId="32022" applyBorder="1">
      <alignment horizontal="center" wrapText="1"/>
    </xf>
    <xf numFmtId="0" fontId="326" fillId="0" borderId="219" xfId="32022" applyBorder="1">
      <alignment horizontal="center" wrapText="1"/>
    </xf>
    <xf numFmtId="0" fontId="329" fillId="0" borderId="216" xfId="346" applyFont="1" applyBorder="1" applyAlignment="1">
      <alignment vertical="center"/>
    </xf>
    <xf numFmtId="0" fontId="329" fillId="0" borderId="18" xfId="346" applyFont="1" applyBorder="1" applyAlignment="1">
      <alignment vertical="center"/>
    </xf>
    <xf numFmtId="0" fontId="329" fillId="0" borderId="217" xfId="347" applyFont="1" applyBorder="1" applyAlignment="1">
      <alignment horizontal="center" vertical="center" wrapText="1"/>
    </xf>
    <xf numFmtId="0" fontId="329" fillId="0" borderId="20" xfId="347" applyFont="1" applyBorder="1" applyAlignment="1">
      <alignment horizontal="center" vertical="center" wrapText="1"/>
    </xf>
    <xf numFmtId="15" fontId="100" fillId="0" borderId="0" xfId="0" applyNumberFormat="1" applyFont="1" applyAlignment="1">
      <alignment horizontal="center" vertical="center"/>
    </xf>
    <xf numFmtId="0" fontId="100" fillId="0" borderId="11" xfId="0" applyFont="1" applyBorder="1" applyAlignment="1">
      <alignment horizontal="center" vertical="center"/>
    </xf>
    <xf numFmtId="3" fontId="297" fillId="104" borderId="94" xfId="0" applyNumberFormat="1" applyFont="1" applyFill="1" applyBorder="1" applyAlignment="1">
      <alignment horizontal="center" vertical="center" wrapText="1"/>
    </xf>
    <xf numFmtId="3" fontId="297" fillId="104" borderId="12" xfId="0" applyNumberFormat="1" applyFont="1" applyFill="1" applyBorder="1" applyAlignment="1">
      <alignment horizontal="center" vertical="center" wrapText="1"/>
    </xf>
    <xf numFmtId="0" fontId="100" fillId="0" borderId="18" xfId="0" applyFont="1" applyBorder="1" applyAlignment="1">
      <alignment horizontal="left" vertical="center"/>
    </xf>
    <xf numFmtId="0" fontId="100" fillId="0" borderId="19" xfId="0" applyFont="1" applyBorder="1" applyAlignment="1">
      <alignment horizontal="left" vertical="center"/>
    </xf>
    <xf numFmtId="0" fontId="117" fillId="0" borderId="11" xfId="0" applyFont="1" applyBorder="1" applyAlignment="1">
      <alignment horizontal="center" vertical="center"/>
    </xf>
    <xf numFmtId="0" fontId="100" fillId="0" borderId="94" xfId="0" applyFont="1" applyBorder="1" applyAlignment="1">
      <alignment horizontal="center" vertical="center" textRotation="90"/>
    </xf>
    <xf numFmtId="0" fontId="100" fillId="0" borderId="12" xfId="0" applyFont="1" applyBorder="1" applyAlignment="1">
      <alignment horizontal="center" vertical="center" textRotation="90"/>
    </xf>
    <xf numFmtId="0" fontId="100" fillId="0" borderId="16" xfId="0" applyFont="1" applyBorder="1" applyAlignment="1">
      <alignment horizontal="left" vertical="center"/>
    </xf>
    <xf numFmtId="0" fontId="100" fillId="0" borderId="17" xfId="0" applyFont="1" applyBorder="1" applyAlignment="1">
      <alignment horizontal="left" vertical="center"/>
    </xf>
    <xf numFmtId="0" fontId="281" fillId="104" borderId="14" xfId="0" applyFont="1" applyFill="1" applyBorder="1" applyAlignment="1">
      <alignment horizontal="center" vertical="center"/>
    </xf>
    <xf numFmtId="0" fontId="281" fillId="104" borderId="21" xfId="0" applyFont="1" applyFill="1" applyBorder="1" applyAlignment="1">
      <alignment horizontal="center" vertical="center"/>
    </xf>
    <xf numFmtId="0" fontId="281" fillId="104" borderId="11" xfId="0" applyFont="1" applyFill="1" applyBorder="1" applyAlignment="1">
      <alignment horizontal="center" vertical="center"/>
    </xf>
    <xf numFmtId="0" fontId="100" fillId="0" borderId="97" xfId="0" applyFont="1" applyBorder="1" applyAlignment="1">
      <alignment horizontal="left" vertical="center"/>
    </xf>
    <xf numFmtId="0" fontId="100" fillId="0" borderId="95" xfId="0" applyFont="1" applyBorder="1" applyAlignment="1">
      <alignment horizontal="left" vertical="center"/>
    </xf>
    <xf numFmtId="0" fontId="100" fillId="0" borderId="13" xfId="0" applyFont="1" applyBorder="1" applyAlignment="1">
      <alignment horizontal="center" vertical="center" textRotation="90"/>
    </xf>
    <xf numFmtId="0" fontId="297" fillId="104" borderId="97" xfId="0" applyFont="1" applyFill="1" applyBorder="1" applyAlignment="1">
      <alignment horizontal="center" vertical="center" wrapText="1"/>
    </xf>
    <xf numFmtId="0" fontId="297" fillId="104" borderId="16" xfId="0" applyFont="1" applyFill="1" applyBorder="1" applyAlignment="1">
      <alignment horizontal="center" vertical="center" wrapText="1"/>
    </xf>
    <xf numFmtId="0" fontId="100" fillId="0" borderId="94" xfId="0" applyFont="1" applyBorder="1" applyAlignment="1">
      <alignment horizontal="center" textRotation="90"/>
    </xf>
    <xf numFmtId="0" fontId="100" fillId="0" borderId="12" xfId="0" applyFont="1" applyBorder="1" applyAlignment="1">
      <alignment horizontal="center" textRotation="90"/>
    </xf>
    <xf numFmtId="0" fontId="100" fillId="0" borderId="14" xfId="0" applyFont="1" applyBorder="1" applyAlignment="1">
      <alignment horizontal="center" vertical="center"/>
    </xf>
    <xf numFmtId="0" fontId="100" fillId="0" borderId="21" xfId="0" applyFont="1" applyBorder="1" applyAlignment="1">
      <alignment horizontal="center" vertical="center"/>
    </xf>
    <xf numFmtId="0" fontId="297" fillId="104" borderId="11" xfId="0" applyFont="1" applyFill="1" applyBorder="1" applyAlignment="1">
      <alignment horizontal="center" vertical="center" wrapText="1"/>
    </xf>
    <xf numFmtId="0" fontId="297" fillId="104" borderId="14" xfId="0" applyFont="1" applyFill="1" applyBorder="1" applyAlignment="1">
      <alignment horizontal="center" vertical="center" wrapText="1"/>
    </xf>
    <xf numFmtId="0" fontId="297" fillId="104" borderId="21" xfId="0" applyFont="1" applyFill="1" applyBorder="1" applyAlignment="1">
      <alignment horizontal="center" vertical="center" wrapText="1"/>
    </xf>
    <xf numFmtId="0" fontId="297" fillId="104" borderId="94" xfId="0" applyFont="1" applyFill="1" applyBorder="1" applyAlignment="1">
      <alignment horizontal="center" vertical="center" wrapText="1"/>
    </xf>
    <xf numFmtId="0" fontId="297" fillId="104" borderId="12" xfId="0" applyFont="1" applyFill="1" applyBorder="1" applyAlignment="1">
      <alignment horizontal="center" vertical="center" wrapText="1"/>
    </xf>
    <xf numFmtId="22" fontId="116" fillId="72" borderId="36" xfId="306" applyNumberFormat="1" applyFont="1" applyFill="1" applyBorder="1" applyAlignment="1">
      <alignment horizontal="left" vertical="center"/>
    </xf>
    <xf numFmtId="17" fontId="116" fillId="72" borderId="53" xfId="302" applyNumberFormat="1" applyFont="1" applyFill="1" applyBorder="1" applyAlignment="1">
      <alignment horizontal="center" vertical="center" wrapText="1"/>
    </xf>
    <xf numFmtId="17" fontId="116" fillId="72" borderId="44" xfId="302" applyNumberFormat="1" applyFont="1" applyFill="1" applyBorder="1" applyAlignment="1">
      <alignment horizontal="center" vertical="center" wrapText="1"/>
    </xf>
    <xf numFmtId="0" fontId="108" fillId="75" borderId="0" xfId="306" applyFont="1" applyFill="1" applyAlignment="1">
      <alignment horizontal="center" vertical="center"/>
    </xf>
    <xf numFmtId="17" fontId="116" fillId="72" borderId="49" xfId="302" applyNumberFormat="1" applyFont="1" applyFill="1" applyBorder="1" applyAlignment="1">
      <alignment horizontal="center" vertical="center" wrapText="1"/>
    </xf>
    <xf numFmtId="17" fontId="116" fillId="72" borderId="33" xfId="302" applyNumberFormat="1" applyFont="1" applyFill="1" applyBorder="1" applyAlignment="1">
      <alignment horizontal="center" vertical="center" wrapText="1"/>
    </xf>
    <xf numFmtId="0" fontId="108" fillId="75" borderId="0" xfId="306" applyFont="1" applyFill="1" applyAlignment="1">
      <alignment horizontal="center" vertical="center" wrapText="1"/>
    </xf>
    <xf numFmtId="0" fontId="231" fillId="75" borderId="0" xfId="306" applyFont="1" applyFill="1" applyAlignment="1">
      <alignment horizontal="center" vertical="center" wrapText="1"/>
    </xf>
    <xf numFmtId="3" fontId="240" fillId="72" borderId="116" xfId="0" applyNumberFormat="1" applyFont="1" applyFill="1" applyBorder="1" applyAlignment="1">
      <alignment horizontal="center" vertical="center" wrapText="1"/>
    </xf>
    <xf numFmtId="3" fontId="240" fillId="72" borderId="117" xfId="0" applyNumberFormat="1" applyFont="1" applyFill="1" applyBorder="1" applyAlignment="1">
      <alignment horizontal="center" vertical="center" wrapText="1"/>
    </xf>
    <xf numFmtId="3" fontId="240" fillId="72" borderId="111" xfId="0" applyNumberFormat="1" applyFont="1" applyFill="1" applyBorder="1" applyAlignment="1">
      <alignment horizontal="center" vertical="center" wrapText="1"/>
    </xf>
    <xf numFmtId="3" fontId="240" fillId="72" borderId="98" xfId="0" applyNumberFormat="1" applyFont="1" applyFill="1" applyBorder="1" applyAlignment="1">
      <alignment horizontal="center" vertical="center" wrapText="1"/>
    </xf>
    <xf numFmtId="1" fontId="240" fillId="72" borderId="98" xfId="0" applyNumberFormat="1" applyFont="1" applyFill="1" applyBorder="1" applyAlignment="1">
      <alignment horizontal="center" vertical="center"/>
    </xf>
    <xf numFmtId="1" fontId="240" fillId="72" borderId="98" xfId="0" applyNumberFormat="1" applyFont="1" applyFill="1" applyBorder="1" applyAlignment="1">
      <alignment horizontal="center" vertical="center" wrapText="1"/>
    </xf>
    <xf numFmtId="0" fontId="240" fillId="72" borderId="98" xfId="0" applyFont="1" applyFill="1" applyBorder="1" applyAlignment="1">
      <alignment horizontal="center" vertical="center"/>
    </xf>
    <xf numFmtId="4" fontId="240" fillId="72" borderId="98" xfId="0" applyNumberFormat="1" applyFont="1" applyFill="1" applyBorder="1" applyAlignment="1">
      <alignment horizontal="center" vertical="center"/>
    </xf>
    <xf numFmtId="0" fontId="192" fillId="72" borderId="157" xfId="0" applyFont="1" applyFill="1" applyBorder="1" applyAlignment="1">
      <alignment horizontal="center" vertical="center" wrapText="1"/>
    </xf>
    <xf numFmtId="0" fontId="107" fillId="107" borderId="39" xfId="0" applyFont="1" applyFill="1" applyBorder="1" applyAlignment="1">
      <alignment horizontal="center" vertical="center"/>
    </xf>
    <xf numFmtId="193" fontId="315" fillId="38" borderId="20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92" fillId="72" borderId="152" xfId="0" applyFont="1" applyFill="1" applyBorder="1" applyAlignment="1">
      <alignment horizontal="center" vertical="center" wrapText="1"/>
    </xf>
    <xf numFmtId="0" fontId="192" fillId="72" borderId="153" xfId="0" applyFont="1" applyFill="1" applyBorder="1" applyAlignment="1">
      <alignment horizontal="center" vertical="center" wrapText="1"/>
    </xf>
    <xf numFmtId="0" fontId="0" fillId="0" borderId="97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97" xfId="0" applyBorder="1" applyAlignment="1">
      <alignment horizontal="center" vertical="center" wrapText="1"/>
    </xf>
    <xf numFmtId="0" fontId="0" fillId="0" borderId="9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96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92" fillId="72" borderId="152" xfId="0" applyFont="1" applyFill="1" applyBorder="1" applyAlignment="1">
      <alignment horizontal="center" vertical="center"/>
    </xf>
    <xf numFmtId="0" fontId="0" fillId="25" borderId="94" xfId="0" applyFill="1" applyBorder="1" applyAlignment="1">
      <alignment horizontal="center" vertical="center"/>
    </xf>
    <xf numFmtId="0" fontId="0" fillId="25" borderId="12" xfId="0" applyFill="1" applyBorder="1" applyAlignment="1">
      <alignment horizontal="center" vertical="center"/>
    </xf>
    <xf numFmtId="0" fontId="0" fillId="25" borderId="13" xfId="0" applyFill="1" applyBorder="1" applyAlignment="1">
      <alignment horizontal="center" vertical="center"/>
    </xf>
    <xf numFmtId="0" fontId="192" fillId="72" borderId="153" xfId="0" applyFont="1" applyFill="1" applyBorder="1" applyAlignment="1">
      <alignment horizontal="center" vertical="center"/>
    </xf>
    <xf numFmtId="0" fontId="192" fillId="72" borderId="181" xfId="0" applyFont="1" applyFill="1" applyBorder="1" applyAlignment="1">
      <alignment horizontal="center" vertical="center"/>
    </xf>
    <xf numFmtId="0" fontId="192" fillId="72" borderId="180" xfId="0" applyFont="1" applyFill="1" applyBorder="1" applyAlignment="1">
      <alignment horizontal="center" vertical="center"/>
    </xf>
    <xf numFmtId="0" fontId="192" fillId="72" borderId="231" xfId="0" applyFont="1" applyFill="1" applyBorder="1" applyAlignment="1">
      <alignment horizontal="center" vertical="center"/>
    </xf>
    <xf numFmtId="0" fontId="0" fillId="0" borderId="94" xfId="0" applyBorder="1" applyAlignment="1">
      <alignment horizontal="center" vertical="center" textRotation="90"/>
    </xf>
    <xf numFmtId="0" fontId="0" fillId="0" borderId="12" xfId="0" applyBorder="1" applyAlignment="1">
      <alignment horizontal="center" vertical="center" textRotation="90"/>
    </xf>
    <xf numFmtId="0" fontId="0" fillId="0" borderId="13" xfId="0" applyBorder="1" applyAlignment="1">
      <alignment horizontal="center" vertical="center" textRotation="90"/>
    </xf>
    <xf numFmtId="0" fontId="0" fillId="0" borderId="170" xfId="0" applyBorder="1" applyAlignment="1">
      <alignment horizontal="center" vertical="center"/>
    </xf>
    <xf numFmtId="0" fontId="0" fillId="0" borderId="171" xfId="0" applyBorder="1" applyAlignment="1">
      <alignment horizontal="center" vertical="center"/>
    </xf>
    <xf numFmtId="0" fontId="0" fillId="37" borderId="162" xfId="0" applyFill="1" applyBorder="1" applyAlignment="1">
      <alignment horizontal="center" vertical="center" textRotation="90"/>
    </xf>
    <xf numFmtId="0" fontId="0" fillId="37" borderId="165" xfId="0" applyFill="1" applyBorder="1" applyAlignment="1">
      <alignment horizontal="center" vertical="center" textRotation="90"/>
    </xf>
    <xf numFmtId="0" fontId="0" fillId="37" borderId="167" xfId="0" applyFill="1" applyBorder="1" applyAlignment="1">
      <alignment horizontal="center" vertical="center" textRotation="90"/>
    </xf>
    <xf numFmtId="0" fontId="192" fillId="72" borderId="161" xfId="0" applyFont="1" applyFill="1" applyBorder="1" applyAlignment="1">
      <alignment horizontal="center" vertical="center" wrapText="1"/>
    </xf>
    <xf numFmtId="0" fontId="0" fillId="37" borderId="183" xfId="0" applyFill="1" applyBorder="1" applyAlignment="1">
      <alignment horizontal="center" vertical="center" textRotation="90"/>
    </xf>
    <xf numFmtId="0" fontId="0" fillId="37" borderId="184" xfId="0" applyFill="1" applyBorder="1" applyAlignment="1">
      <alignment horizontal="center" vertical="center" textRotation="90"/>
    </xf>
    <xf numFmtId="0" fontId="0" fillId="37" borderId="185" xfId="0" applyFill="1" applyBorder="1" applyAlignment="1">
      <alignment horizontal="center" vertical="center" textRotation="90"/>
    </xf>
    <xf numFmtId="0" fontId="0" fillId="37" borderId="175" xfId="0" applyFill="1" applyBorder="1" applyAlignment="1">
      <alignment horizontal="center" vertical="center" textRotation="90"/>
    </xf>
    <xf numFmtId="0" fontId="0" fillId="37" borderId="176" xfId="0" applyFill="1" applyBorder="1" applyAlignment="1">
      <alignment horizontal="center" vertical="center" textRotation="90"/>
    </xf>
    <xf numFmtId="0" fontId="0" fillId="37" borderId="177" xfId="0" applyFill="1" applyBorder="1" applyAlignment="1">
      <alignment horizontal="center" vertical="center" textRotation="90"/>
    </xf>
    <xf numFmtId="0" fontId="337" fillId="102" borderId="162" xfId="0" applyFont="1" applyFill="1" applyBorder="1" applyAlignment="1">
      <alignment horizontal="center" vertical="center" wrapText="1"/>
    </xf>
    <xf numFmtId="0" fontId="337" fillId="102" borderId="165" xfId="0" applyFont="1" applyFill="1" applyBorder="1" applyAlignment="1">
      <alignment horizontal="center" vertical="center" wrapText="1"/>
    </xf>
    <xf numFmtId="0" fontId="192" fillId="72" borderId="152" xfId="0" applyFont="1" applyFill="1" applyBorder="1" applyAlignment="1">
      <alignment horizontal="center" vertical="center" textRotation="90"/>
    </xf>
    <xf numFmtId="0" fontId="192" fillId="72" borderId="161" xfId="0" applyFont="1" applyFill="1" applyBorder="1" applyAlignment="1">
      <alignment horizontal="center" vertical="center" textRotation="90"/>
    </xf>
    <xf numFmtId="0" fontId="192" fillId="72" borderId="152" xfId="0" applyFont="1" applyFill="1" applyBorder="1" applyAlignment="1">
      <alignment vertical="center" wrapText="1"/>
    </xf>
    <xf numFmtId="0" fontId="192" fillId="72" borderId="160" xfId="0" applyFont="1" applyFill="1" applyBorder="1" applyAlignment="1">
      <alignment horizontal="center" vertical="center" wrapText="1"/>
    </xf>
    <xf numFmtId="0" fontId="192" fillId="72" borderId="185" xfId="0" applyFont="1" applyFill="1" applyBorder="1" applyAlignment="1">
      <alignment horizontal="center" vertical="center" wrapText="1"/>
    </xf>
    <xf numFmtId="0" fontId="192" fillId="72" borderId="180" xfId="0" applyFont="1" applyFill="1" applyBorder="1" applyAlignment="1">
      <alignment horizontal="center" vertical="center" wrapText="1"/>
    </xf>
    <xf numFmtId="0" fontId="192" fillId="72" borderId="233" xfId="0" applyFont="1" applyFill="1" applyBorder="1" applyAlignment="1">
      <alignment horizontal="center" vertical="center" wrapText="1"/>
    </xf>
    <xf numFmtId="0" fontId="337" fillId="102" borderId="238" xfId="0" applyFont="1" applyFill="1" applyBorder="1" applyAlignment="1">
      <alignment horizontal="center" vertical="center" wrapText="1"/>
    </xf>
    <xf numFmtId="0" fontId="337" fillId="102" borderId="228" xfId="0" applyFont="1" applyFill="1" applyBorder="1" applyAlignment="1">
      <alignment horizontal="center" vertical="center" wrapText="1"/>
    </xf>
    <xf numFmtId="0" fontId="337" fillId="102" borderId="183" xfId="0" applyFont="1" applyFill="1" applyBorder="1" applyAlignment="1">
      <alignment horizontal="center" vertical="center" wrapText="1"/>
    </xf>
    <xf numFmtId="0" fontId="337" fillId="102" borderId="160" xfId="0" applyFont="1" applyFill="1" applyBorder="1" applyAlignment="1">
      <alignment horizontal="center" vertical="center" wrapText="1"/>
    </xf>
    <xf numFmtId="0" fontId="192" fillId="72" borderId="173" xfId="0" applyFont="1" applyFill="1" applyBorder="1" applyAlignment="1">
      <alignment horizontal="center" vertical="center"/>
    </xf>
    <xf numFmtId="0" fontId="192" fillId="72" borderId="232" xfId="0" applyFont="1" applyFill="1" applyBorder="1" applyAlignment="1">
      <alignment horizontal="center" vertical="center"/>
    </xf>
    <xf numFmtId="0" fontId="192" fillId="72" borderId="233" xfId="0" applyFont="1" applyFill="1" applyBorder="1" applyAlignment="1">
      <alignment horizontal="center" vertical="center"/>
    </xf>
    <xf numFmtId="0" fontId="192" fillId="72" borderId="225" xfId="0" applyFont="1" applyFill="1" applyBorder="1" applyAlignment="1">
      <alignment horizontal="center" vertical="center"/>
    </xf>
    <xf numFmtId="0" fontId="192" fillId="72" borderId="234" xfId="0" applyFont="1" applyFill="1" applyBorder="1" applyAlignment="1">
      <alignment horizontal="center" vertical="center"/>
    </xf>
    <xf numFmtId="0" fontId="93" fillId="0" borderId="0" xfId="0" applyFont="1" applyAlignment="1">
      <alignment horizontal="center"/>
    </xf>
    <xf numFmtId="0" fontId="264" fillId="72" borderId="162" xfId="0" applyFont="1" applyFill="1" applyBorder="1" applyAlignment="1">
      <alignment horizontal="center" vertical="center" wrapText="1"/>
    </xf>
    <xf numFmtId="0" fontId="264" fillId="72" borderId="221" xfId="0" applyFont="1" applyFill="1" applyBorder="1" applyAlignment="1">
      <alignment horizontal="center" vertical="center" wrapText="1"/>
    </xf>
    <xf numFmtId="3" fontId="227" fillId="72" borderId="161" xfId="234" applyNumberFormat="1" applyFont="1" applyFill="1" applyBorder="1" applyAlignment="1">
      <alignment horizontal="center"/>
    </xf>
    <xf numFmtId="0" fontId="377" fillId="123" borderId="56" xfId="32026" applyFont="1" applyFill="1" applyBorder="1" applyAlignment="1">
      <alignment horizontal="center" vertical="center"/>
    </xf>
    <xf numFmtId="0" fontId="377" fillId="123" borderId="205" xfId="32026" applyFont="1" applyFill="1" applyBorder="1" applyAlignment="1">
      <alignment horizontal="center" vertical="center"/>
    </xf>
    <xf numFmtId="0" fontId="377" fillId="123" borderId="280" xfId="32026" applyFont="1" applyFill="1" applyBorder="1" applyAlignment="1">
      <alignment horizontal="center" vertical="center"/>
    </xf>
    <xf numFmtId="0" fontId="377" fillId="93" borderId="27" xfId="32026" applyFont="1" applyFill="1" applyBorder="1" applyAlignment="1">
      <alignment horizontal="center" vertical="center"/>
    </xf>
    <xf numFmtId="0" fontId="377" fillId="93" borderId="47" xfId="32026" applyFont="1" applyFill="1" applyBorder="1" applyAlignment="1">
      <alignment horizontal="center" vertical="center"/>
    </xf>
    <xf numFmtId="0" fontId="377" fillId="93" borderId="28" xfId="32026" applyFont="1" applyFill="1" applyBorder="1" applyAlignment="1">
      <alignment horizontal="center" vertical="center"/>
    </xf>
    <xf numFmtId="0" fontId="377" fillId="121" borderId="27" xfId="32026" applyFont="1" applyFill="1" applyBorder="1" applyAlignment="1">
      <alignment horizontal="center" vertical="center"/>
    </xf>
    <xf numFmtId="0" fontId="377" fillId="121" borderId="47" xfId="32026" applyFont="1" applyFill="1" applyBorder="1" applyAlignment="1">
      <alignment horizontal="center" vertical="center"/>
    </xf>
    <xf numFmtId="0" fontId="377" fillId="121" borderId="28" xfId="32026" applyFont="1" applyFill="1" applyBorder="1" applyAlignment="1">
      <alignment horizontal="center" vertical="center"/>
    </xf>
    <xf numFmtId="0" fontId="377" fillId="127" borderId="27" xfId="32026" applyFont="1" applyFill="1" applyBorder="1" applyAlignment="1">
      <alignment horizontal="center" vertical="center"/>
    </xf>
    <xf numFmtId="0" fontId="377" fillId="127" borderId="47" xfId="32026" applyFont="1" applyFill="1" applyBorder="1" applyAlignment="1">
      <alignment horizontal="center" vertical="center"/>
    </xf>
    <xf numFmtId="0" fontId="377" fillId="127" borderId="28" xfId="32026" applyFont="1" applyFill="1" applyBorder="1" applyAlignment="1">
      <alignment horizontal="center" vertical="center"/>
    </xf>
    <xf numFmtId="0" fontId="0" fillId="25" borderId="94" xfId="0" applyFill="1" applyBorder="1" applyAlignment="1">
      <alignment horizontal="center" vertical="center" wrapText="1"/>
    </xf>
    <xf numFmtId="0" fontId="0" fillId="25" borderId="13" xfId="0" applyFill="1" applyBorder="1" applyAlignment="1">
      <alignment horizontal="center" vertical="center" wrapText="1"/>
    </xf>
    <xf numFmtId="0" fontId="192" fillId="72" borderId="94" xfId="0" applyFont="1" applyFill="1" applyBorder="1" applyAlignment="1">
      <alignment horizontal="center" vertical="center" wrapText="1"/>
    </xf>
    <xf numFmtId="0" fontId="192" fillId="72" borderId="13" xfId="0" applyFont="1" applyFill="1" applyBorder="1" applyAlignment="1">
      <alignment horizontal="center" vertical="center" wrapText="1"/>
    </xf>
    <xf numFmtId="3" fontId="94" fillId="95" borderId="16" xfId="0" applyNumberFormat="1" applyFont="1" applyFill="1" applyBorder="1" applyAlignment="1">
      <alignment horizontal="center" vertical="center"/>
    </xf>
    <xf numFmtId="3" fontId="94" fillId="95" borderId="0" xfId="0" applyNumberFormat="1" applyFont="1" applyFill="1" applyAlignment="1">
      <alignment horizontal="center" vertical="center"/>
    </xf>
    <xf numFmtId="0" fontId="0" fillId="37" borderId="14" xfId="0" applyFill="1" applyBorder="1" applyAlignment="1">
      <alignment horizontal="center" vertical="center"/>
    </xf>
    <xf numFmtId="0" fontId="0" fillId="37" borderId="21" xfId="0" applyFill="1" applyBorder="1" applyAlignment="1">
      <alignment horizontal="center" vertical="center"/>
    </xf>
    <xf numFmtId="0" fontId="0" fillId="0" borderId="97" xfId="0" applyBorder="1" applyAlignment="1">
      <alignment horizontal="center" wrapText="1"/>
    </xf>
    <xf numFmtId="0" fontId="0" fillId="0" borderId="96" xfId="0" applyBorder="1" applyAlignment="1">
      <alignment horizontal="center" wrapText="1"/>
    </xf>
    <xf numFmtId="0" fontId="0" fillId="0" borderId="95" xfId="0" applyBorder="1" applyAlignment="1">
      <alignment horizontal="center" wrapText="1"/>
    </xf>
    <xf numFmtId="0" fontId="0" fillId="37" borderId="56" xfId="0" applyFill="1" applyBorder="1" applyAlignment="1">
      <alignment horizontal="center" vertical="center"/>
    </xf>
    <xf numFmtId="0" fontId="0" fillId="37" borderId="60" xfId="0" applyFill="1" applyBorder="1" applyAlignment="1">
      <alignment horizontal="center" vertical="center"/>
    </xf>
    <xf numFmtId="0" fontId="0" fillId="37" borderId="46" xfId="0" applyFill="1" applyBorder="1" applyAlignment="1">
      <alignment horizontal="center" vertical="center"/>
    </xf>
    <xf numFmtId="0" fontId="94" fillId="37" borderId="57" xfId="0" applyFont="1" applyFill="1" applyBorder="1" applyAlignment="1">
      <alignment horizontal="center" vertical="center"/>
    </xf>
    <xf numFmtId="0" fontId="94" fillId="37" borderId="61" xfId="0" applyFont="1" applyFill="1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22" xfId="0" applyFill="1" applyBorder="1" applyAlignment="1">
      <alignment horizontal="center" vertical="center"/>
    </xf>
    <xf numFmtId="0" fontId="0" fillId="25" borderId="21" xfId="0" applyFill="1" applyBorder="1" applyAlignment="1">
      <alignment horizontal="center" vertical="center"/>
    </xf>
    <xf numFmtId="0" fontId="0" fillId="98" borderId="14" xfId="0" applyFill="1" applyBorder="1" applyAlignment="1">
      <alignment horizontal="center" vertical="center"/>
    </xf>
    <xf numFmtId="0" fontId="0" fillId="98" borderId="22" xfId="0" applyFill="1" applyBorder="1" applyAlignment="1">
      <alignment horizontal="center" vertical="center"/>
    </xf>
    <xf numFmtId="0" fontId="0" fillId="98" borderId="21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94" fillId="30" borderId="0" xfId="0" applyFont="1" applyFill="1" applyAlignment="1">
      <alignment horizontal="center"/>
    </xf>
    <xf numFmtId="0" fontId="227" fillId="72" borderId="210" xfId="0" applyFont="1" applyFill="1" applyBorder="1" applyAlignment="1">
      <alignment horizontal="center" vertical="center"/>
    </xf>
    <xf numFmtId="0" fontId="227" fillId="72" borderId="213" xfId="0" applyFont="1" applyFill="1" applyBorder="1" applyAlignment="1">
      <alignment horizontal="center" vertical="center"/>
    </xf>
    <xf numFmtId="0" fontId="227" fillId="72" borderId="36" xfId="0" applyFont="1" applyFill="1" applyBorder="1" applyAlignment="1">
      <alignment horizontal="center" vertical="center"/>
    </xf>
    <xf numFmtId="0" fontId="227" fillId="72" borderId="214" xfId="0" applyFont="1" applyFill="1" applyBorder="1" applyAlignment="1">
      <alignment horizontal="center" vertical="center"/>
    </xf>
    <xf numFmtId="0" fontId="100" fillId="37" borderId="11" xfId="0" applyFont="1" applyFill="1" applyBorder="1" applyAlignment="1">
      <alignment horizontal="center" vertical="center"/>
    </xf>
    <xf numFmtId="0" fontId="100" fillId="37" borderId="16" xfId="0" applyFont="1" applyFill="1" applyBorder="1" applyAlignment="1">
      <alignment horizontal="left" vertical="center"/>
    </xf>
    <xf numFmtId="0" fontId="100" fillId="37" borderId="17" xfId="0" applyFont="1" applyFill="1" applyBorder="1" applyAlignment="1">
      <alignment horizontal="left" vertical="center"/>
    </xf>
    <xf numFmtId="0" fontId="100" fillId="37" borderId="18" xfId="0" applyFont="1" applyFill="1" applyBorder="1" applyAlignment="1">
      <alignment horizontal="left" vertical="center"/>
    </xf>
    <xf numFmtId="0" fontId="100" fillId="37" borderId="19" xfId="0" applyFont="1" applyFill="1" applyBorder="1" applyAlignment="1">
      <alignment horizontal="left" vertical="center"/>
    </xf>
    <xf numFmtId="0" fontId="100" fillId="0" borderId="97" xfId="0" applyFont="1" applyBorder="1" applyAlignment="1">
      <alignment horizontal="center" vertical="center"/>
    </xf>
    <xf numFmtId="0" fontId="100" fillId="0" borderId="96" xfId="0" applyFont="1" applyBorder="1" applyAlignment="1">
      <alignment horizontal="center" vertical="center"/>
    </xf>
    <xf numFmtId="0" fontId="100" fillId="0" borderId="95" xfId="0" applyFont="1" applyBorder="1" applyAlignment="1">
      <alignment horizontal="center" vertical="center"/>
    </xf>
    <xf numFmtId="0" fontId="219" fillId="37" borderId="11" xfId="0" applyFont="1" applyFill="1" applyBorder="1" applyAlignment="1">
      <alignment horizontal="center" vertical="center"/>
    </xf>
    <xf numFmtId="0" fontId="100" fillId="37" borderId="11" xfId="0" applyFont="1" applyFill="1" applyBorder="1" applyAlignment="1">
      <alignment horizontal="center" vertical="center" wrapText="1"/>
    </xf>
    <xf numFmtId="0" fontId="100" fillId="37" borderId="97" xfId="0" applyFont="1" applyFill="1" applyBorder="1" applyAlignment="1">
      <alignment horizontal="center" vertical="center"/>
    </xf>
    <xf numFmtId="0" fontId="100" fillId="37" borderId="96" xfId="0" applyFont="1" applyFill="1" applyBorder="1" applyAlignment="1">
      <alignment horizontal="center" vertical="center"/>
    </xf>
    <xf numFmtId="0" fontId="100" fillId="37" borderId="95" xfId="0" applyFont="1" applyFill="1" applyBorder="1" applyAlignment="1">
      <alignment horizontal="center" vertical="center"/>
    </xf>
    <xf numFmtId="3" fontId="100" fillId="0" borderId="11" xfId="0" applyNumberFormat="1" applyFont="1" applyBorder="1" applyAlignment="1">
      <alignment horizontal="center" vertical="center" wrapText="1"/>
    </xf>
    <xf numFmtId="0" fontId="100" fillId="38" borderId="11" xfId="0" applyFont="1" applyFill="1" applyBorder="1" applyAlignment="1">
      <alignment horizontal="center" vertical="center" wrapText="1"/>
    </xf>
    <xf numFmtId="0" fontId="100" fillId="0" borderId="97" xfId="0" applyFont="1" applyBorder="1" applyAlignment="1">
      <alignment horizontal="center" vertical="center" wrapText="1"/>
    </xf>
    <xf numFmtId="0" fontId="100" fillId="0" borderId="95" xfId="0" applyFont="1" applyBorder="1" applyAlignment="1">
      <alignment horizontal="center" vertical="center" wrapText="1"/>
    </xf>
    <xf numFmtId="0" fontId="100" fillId="0" borderId="18" xfId="0" applyFont="1" applyBorder="1" applyAlignment="1">
      <alignment horizontal="center" vertical="center" wrapText="1"/>
    </xf>
    <xf numFmtId="0" fontId="100" fillId="0" borderId="19" xfId="0" applyFont="1" applyBorder="1" applyAlignment="1">
      <alignment horizontal="center" vertical="center" wrapText="1"/>
    </xf>
    <xf numFmtId="0" fontId="100" fillId="95" borderId="16" xfId="0" applyFont="1" applyFill="1" applyBorder="1" applyAlignment="1">
      <alignment horizontal="center" vertical="center"/>
    </xf>
    <xf numFmtId="0" fontId="100" fillId="95" borderId="0" xfId="0" applyFont="1" applyFill="1" applyAlignment="1">
      <alignment horizontal="center" vertical="center"/>
    </xf>
    <xf numFmtId="0" fontId="100" fillId="95" borderId="17" xfId="0" applyFont="1" applyFill="1" applyBorder="1" applyAlignment="1">
      <alignment horizontal="center" vertical="center"/>
    </xf>
    <xf numFmtId="0" fontId="100" fillId="0" borderId="22" xfId="0" applyFont="1" applyBorder="1" applyAlignment="1">
      <alignment horizontal="center" vertical="center"/>
    </xf>
    <xf numFmtId="0" fontId="100" fillId="37" borderId="97" xfId="0" applyFont="1" applyFill="1" applyBorder="1" applyAlignment="1">
      <alignment horizontal="left" vertical="center"/>
    </xf>
    <xf numFmtId="0" fontId="100" fillId="37" borderId="95" xfId="0" applyFont="1" applyFill="1" applyBorder="1" applyAlignment="1">
      <alignment horizontal="left" vertical="center"/>
    </xf>
    <xf numFmtId="0" fontId="100" fillId="77" borderId="14" xfId="0" applyFont="1" applyFill="1" applyBorder="1" applyAlignment="1">
      <alignment horizontal="center" vertical="center"/>
    </xf>
    <xf numFmtId="0" fontId="0" fillId="77" borderId="21" xfId="0" applyFill="1" applyBorder="1" applyAlignment="1">
      <alignment horizontal="center" vertical="center"/>
    </xf>
    <xf numFmtId="0" fontId="100" fillId="37" borderId="14" xfId="0" applyFont="1" applyFill="1" applyBorder="1" applyAlignment="1">
      <alignment horizontal="center" vertical="center" wrapText="1"/>
    </xf>
    <xf numFmtId="0" fontId="100" fillId="0" borderId="96" xfId="0" applyFont="1" applyBorder="1" applyAlignment="1">
      <alignment horizontal="center" vertical="center" wrapText="1"/>
    </xf>
    <xf numFmtId="0" fontId="100" fillId="0" borderId="20" xfId="0" applyFont="1" applyBorder="1" applyAlignment="1">
      <alignment horizontal="center" vertical="center" wrapText="1"/>
    </xf>
    <xf numFmtId="0" fontId="100" fillId="25" borderId="14" xfId="0" applyFont="1" applyFill="1" applyBorder="1" applyAlignment="1">
      <alignment horizontal="center" vertical="center"/>
    </xf>
    <xf numFmtId="0" fontId="100" fillId="25" borderId="22" xfId="0" applyFont="1" applyFill="1" applyBorder="1" applyAlignment="1">
      <alignment horizontal="center" vertical="center"/>
    </xf>
    <xf numFmtId="0" fontId="100" fillId="25" borderId="20" xfId="0" applyFont="1" applyFill="1" applyBorder="1" applyAlignment="1">
      <alignment horizontal="center" vertical="center"/>
    </xf>
    <xf numFmtId="0" fontId="100" fillId="25" borderId="19" xfId="0" applyFont="1" applyFill="1" applyBorder="1" applyAlignment="1">
      <alignment horizontal="center" vertical="center"/>
    </xf>
    <xf numFmtId="0" fontId="100" fillId="38" borderId="95" xfId="0" applyFont="1" applyFill="1" applyBorder="1" applyAlignment="1">
      <alignment horizontal="center" vertical="center" wrapText="1"/>
    </xf>
    <xf numFmtId="0" fontId="100" fillId="38" borderId="19" xfId="0" applyFont="1" applyFill="1" applyBorder="1" applyAlignment="1">
      <alignment horizontal="center" vertical="center" wrapText="1"/>
    </xf>
    <xf numFmtId="0" fontId="100" fillId="0" borderId="18" xfId="0" applyFont="1" applyBorder="1" applyAlignment="1">
      <alignment horizontal="center" vertical="center"/>
    </xf>
    <xf numFmtId="0" fontId="100" fillId="0" borderId="20" xfId="0" applyFont="1" applyBorder="1" applyAlignment="1">
      <alignment horizontal="center" vertical="center"/>
    </xf>
    <xf numFmtId="0" fontId="100" fillId="0" borderId="19" xfId="0" applyFont="1" applyBorder="1" applyAlignment="1">
      <alignment horizontal="center" vertical="center"/>
    </xf>
    <xf numFmtId="0" fontId="100" fillId="0" borderId="16" xfId="0" applyFont="1" applyBorder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100" fillId="38" borderId="97" xfId="0" applyFont="1" applyFill="1" applyBorder="1" applyAlignment="1">
      <alignment horizontal="center" vertical="center" wrapText="1"/>
    </xf>
    <xf numFmtId="0" fontId="100" fillId="38" borderId="18" xfId="0" applyFont="1" applyFill="1" applyBorder="1" applyAlignment="1">
      <alignment horizontal="center" vertical="center" wrapText="1"/>
    </xf>
    <xf numFmtId="0" fontId="100" fillId="37" borderId="94" xfId="0" applyFont="1" applyFill="1" applyBorder="1" applyAlignment="1">
      <alignment horizontal="center" vertical="center"/>
    </xf>
    <xf numFmtId="0" fontId="100" fillId="37" borderId="12" xfId="0" applyFont="1" applyFill="1" applyBorder="1" applyAlignment="1">
      <alignment horizontal="center" vertical="center"/>
    </xf>
    <xf numFmtId="0" fontId="214" fillId="73" borderId="24" xfId="0" applyFont="1" applyFill="1" applyBorder="1" applyAlignment="1">
      <alignment horizontal="center"/>
    </xf>
    <xf numFmtId="0" fontId="214" fillId="73" borderId="25" xfId="0" applyFont="1" applyFill="1" applyBorder="1" applyAlignment="1">
      <alignment horizontal="center"/>
    </xf>
    <xf numFmtId="0" fontId="214" fillId="73" borderId="26" xfId="0" applyFont="1" applyFill="1" applyBorder="1" applyAlignment="1">
      <alignment horizontal="center"/>
    </xf>
    <xf numFmtId="0" fontId="280" fillId="72" borderId="99" xfId="0" applyFont="1" applyFill="1" applyBorder="1" applyAlignment="1">
      <alignment horizontal="center" vertical="center"/>
    </xf>
    <xf numFmtId="0" fontId="280" fillId="72" borderId="100" xfId="0" applyFont="1" applyFill="1" applyBorder="1" applyAlignment="1">
      <alignment horizontal="center" vertical="center"/>
    </xf>
    <xf numFmtId="0" fontId="280" fillId="72" borderId="101" xfId="0" applyFont="1" applyFill="1" applyBorder="1" applyAlignment="1">
      <alignment horizontal="center" vertical="center"/>
    </xf>
    <xf numFmtId="0" fontId="117" fillId="0" borderId="39" xfId="0" applyFont="1" applyBorder="1" applyAlignment="1">
      <alignment horizontal="center" vertical="center"/>
    </xf>
    <xf numFmtId="0" fontId="100" fillId="0" borderId="31" xfId="0" applyFont="1" applyBorder="1" applyAlignment="1">
      <alignment horizontal="center" vertical="center"/>
    </xf>
    <xf numFmtId="0" fontId="100" fillId="37" borderId="94" xfId="0" applyFont="1" applyFill="1" applyBorder="1" applyAlignment="1">
      <alignment horizontal="center" vertical="center" textRotation="90"/>
    </xf>
    <xf numFmtId="0" fontId="100" fillId="37" borderId="12" xfId="0" applyFont="1" applyFill="1" applyBorder="1" applyAlignment="1">
      <alignment horizontal="center" vertical="center" textRotation="90"/>
    </xf>
    <xf numFmtId="0" fontId="100" fillId="37" borderId="13" xfId="0" applyFont="1" applyFill="1" applyBorder="1" applyAlignment="1">
      <alignment horizontal="center" vertical="center" textRotation="90"/>
    </xf>
    <xf numFmtId="0" fontId="100" fillId="37" borderId="94" xfId="0" applyFont="1" applyFill="1" applyBorder="1" applyAlignment="1">
      <alignment horizontal="center" textRotation="90"/>
    </xf>
    <xf numFmtId="0" fontId="100" fillId="37" borderId="12" xfId="0" applyFont="1" applyFill="1" applyBorder="1" applyAlignment="1">
      <alignment horizontal="center" textRotation="90"/>
    </xf>
    <xf numFmtId="0" fontId="100" fillId="25" borderId="27" xfId="0" applyFont="1" applyFill="1" applyBorder="1" applyAlignment="1">
      <alignment horizontal="center" vertical="center"/>
    </xf>
    <xf numFmtId="0" fontId="100" fillId="25" borderId="47" xfId="0" applyFont="1" applyFill="1" applyBorder="1" applyAlignment="1">
      <alignment horizontal="center" vertical="center"/>
    </xf>
    <xf numFmtId="0" fontId="100" fillId="25" borderId="30" xfId="0" applyFont="1" applyFill="1" applyBorder="1" applyAlignment="1">
      <alignment horizontal="center" vertical="center"/>
    </xf>
    <xf numFmtId="0" fontId="100" fillId="25" borderId="11" xfId="0" applyFont="1" applyFill="1" applyBorder="1" applyAlignment="1">
      <alignment horizontal="center" vertical="center"/>
    </xf>
    <xf numFmtId="0" fontId="117" fillId="0" borderId="29" xfId="0" applyFont="1" applyBorder="1" applyAlignment="1">
      <alignment horizontal="center" vertical="center"/>
    </xf>
    <xf numFmtId="0" fontId="117" fillId="0" borderId="55" xfId="0" applyFont="1" applyBorder="1" applyAlignment="1">
      <alignment horizontal="center" vertical="center"/>
    </xf>
    <xf numFmtId="0" fontId="100" fillId="37" borderId="18" xfId="0" applyFont="1" applyFill="1" applyBorder="1" applyAlignment="1">
      <alignment horizontal="center" vertical="center"/>
    </xf>
    <xf numFmtId="0" fontId="100" fillId="37" borderId="20" xfId="0" applyFont="1" applyFill="1" applyBorder="1" applyAlignment="1">
      <alignment horizontal="center" vertical="center"/>
    </xf>
    <xf numFmtId="0" fontId="100" fillId="37" borderId="19" xfId="0" applyFont="1" applyFill="1" applyBorder="1" applyAlignment="1">
      <alignment horizontal="center" vertical="center"/>
    </xf>
    <xf numFmtId="0" fontId="100" fillId="37" borderId="14" xfId="0" applyFont="1" applyFill="1" applyBorder="1" applyAlignment="1">
      <alignment horizontal="center" vertical="center"/>
    </xf>
    <xf numFmtId="0" fontId="100" fillId="37" borderId="22" xfId="0" applyFont="1" applyFill="1" applyBorder="1" applyAlignment="1">
      <alignment horizontal="center" vertical="center"/>
    </xf>
    <xf numFmtId="0" fontId="100" fillId="37" borderId="21" xfId="0" applyFont="1" applyFill="1" applyBorder="1" applyAlignment="1">
      <alignment horizontal="center" vertical="center"/>
    </xf>
    <xf numFmtId="0" fontId="100" fillId="37" borderId="97" xfId="0" applyFont="1" applyFill="1" applyBorder="1" applyAlignment="1">
      <alignment horizontal="center" vertical="center" wrapText="1"/>
    </xf>
    <xf numFmtId="0" fontId="100" fillId="37" borderId="16" xfId="0" applyFont="1" applyFill="1" applyBorder="1" applyAlignment="1">
      <alignment horizontal="center" vertical="center" wrapText="1"/>
    </xf>
    <xf numFmtId="0" fontId="101" fillId="37" borderId="97" xfId="0" applyFont="1" applyFill="1" applyBorder="1" applyAlignment="1">
      <alignment horizontal="center" vertical="center" wrapText="1"/>
    </xf>
    <xf numFmtId="0" fontId="0" fillId="37" borderId="95" xfId="0" applyFill="1" applyBorder="1" applyAlignment="1">
      <alignment horizontal="center" vertical="center"/>
    </xf>
    <xf numFmtId="0" fontId="0" fillId="37" borderId="18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/>
    </xf>
    <xf numFmtId="0" fontId="100" fillId="37" borderId="95" xfId="0" applyFont="1" applyFill="1" applyBorder="1" applyAlignment="1">
      <alignment horizontal="center" vertical="center" wrapText="1"/>
    </xf>
    <xf numFmtId="0" fontId="100" fillId="37" borderId="18" xfId="0" applyFont="1" applyFill="1" applyBorder="1" applyAlignment="1">
      <alignment horizontal="center" vertical="center" wrapText="1"/>
    </xf>
    <xf numFmtId="0" fontId="100" fillId="37" borderId="19" xfId="0" applyFont="1" applyFill="1" applyBorder="1" applyAlignment="1">
      <alignment horizontal="center" vertical="center" wrapText="1"/>
    </xf>
    <xf numFmtId="0" fontId="100" fillId="37" borderId="96" xfId="0" applyFont="1" applyFill="1" applyBorder="1" applyAlignment="1">
      <alignment horizontal="center" vertical="center" wrapText="1"/>
    </xf>
    <xf numFmtId="0" fontId="100" fillId="37" borderId="0" xfId="0" applyFont="1" applyFill="1" applyAlignment="1">
      <alignment horizontal="center" vertical="center" wrapText="1"/>
    </xf>
    <xf numFmtId="0" fontId="100" fillId="37" borderId="17" xfId="0" applyFont="1" applyFill="1" applyBorder="1" applyAlignment="1">
      <alignment horizontal="center" vertical="center" wrapText="1"/>
    </xf>
    <xf numFmtId="178" fontId="94" fillId="28" borderId="0" xfId="234" applyNumberFormat="1" applyFont="1" applyFill="1" applyAlignment="1">
      <alignment horizontal="center"/>
    </xf>
    <xf numFmtId="192" fontId="227" fillId="78" borderId="98" xfId="234" applyNumberFormat="1" applyFont="1" applyFill="1" applyBorder="1" applyAlignment="1">
      <alignment horizontal="center"/>
    </xf>
    <xf numFmtId="0" fontId="108" fillId="24" borderId="11" xfId="306" applyFont="1" applyFill="1" applyBorder="1" applyAlignment="1">
      <alignment horizontal="center" vertical="center"/>
    </xf>
    <xf numFmtId="17" fontId="116" fillId="31" borderId="53" xfId="302" applyNumberFormat="1" applyFont="1" applyFill="1" applyBorder="1" applyAlignment="1">
      <alignment horizontal="center" vertical="center" wrapText="1"/>
    </xf>
    <xf numFmtId="17" fontId="116" fillId="31" borderId="44" xfId="302" applyNumberFormat="1" applyFont="1" applyFill="1" applyBorder="1" applyAlignment="1">
      <alignment horizontal="center" vertical="center" wrapText="1"/>
    </xf>
    <xf numFmtId="22" fontId="116" fillId="31" borderId="36" xfId="306" applyNumberFormat="1" applyFont="1" applyFill="1" applyBorder="1" applyAlignment="1">
      <alignment horizontal="left" vertical="center"/>
    </xf>
    <xf numFmtId="0" fontId="113" fillId="0" borderId="38" xfId="0" applyFont="1" applyBorder="1" applyAlignment="1">
      <alignment vertical="center"/>
    </xf>
    <xf numFmtId="0" fontId="116" fillId="31" borderId="36" xfId="306" applyFont="1" applyFill="1" applyBorder="1" applyAlignment="1">
      <alignment horizontal="center" vertical="center"/>
    </xf>
    <xf numFmtId="0" fontId="113" fillId="0" borderId="38" xfId="0" applyFont="1" applyBorder="1" applyAlignment="1">
      <alignment horizontal="center" vertical="center"/>
    </xf>
    <xf numFmtId="0" fontId="116" fillId="36" borderId="24" xfId="306" applyFont="1" applyFill="1" applyBorder="1" applyAlignment="1">
      <alignment horizontal="center" vertical="center"/>
    </xf>
    <xf numFmtId="0" fontId="116" fillId="36" borderId="25" xfId="306" applyFont="1" applyFill="1" applyBorder="1" applyAlignment="1">
      <alignment horizontal="center" vertical="center"/>
    </xf>
    <xf numFmtId="0" fontId="116" fillId="36" borderId="26" xfId="306" applyFont="1" applyFill="1" applyBorder="1" applyAlignment="1">
      <alignment horizontal="center" vertical="center"/>
    </xf>
    <xf numFmtId="17" fontId="116" fillId="36" borderId="53" xfId="302" applyNumberFormat="1" applyFont="1" applyFill="1" applyBorder="1" applyAlignment="1">
      <alignment horizontal="center" vertical="center" wrapText="1"/>
    </xf>
    <xf numFmtId="17" fontId="116" fillId="36" borderId="44" xfId="302" applyNumberFormat="1" applyFont="1" applyFill="1" applyBorder="1" applyAlignment="1">
      <alignment horizontal="center" vertical="center" wrapText="1"/>
    </xf>
    <xf numFmtId="22" fontId="116" fillId="36" borderId="36" xfId="306" applyNumberFormat="1" applyFont="1" applyFill="1" applyBorder="1" applyAlignment="1">
      <alignment horizontal="left" vertical="center"/>
    </xf>
    <xf numFmtId="0" fontId="116" fillId="36" borderId="38" xfId="306" applyFont="1" applyFill="1" applyBorder="1" applyAlignment="1">
      <alignment horizontal="left" vertical="center"/>
    </xf>
    <xf numFmtId="0" fontId="116" fillId="36" borderId="36" xfId="306" applyFont="1" applyFill="1" applyBorder="1" applyAlignment="1">
      <alignment horizontal="center" vertical="center"/>
    </xf>
    <xf numFmtId="0" fontId="116" fillId="36" borderId="38" xfId="306" applyFont="1" applyFill="1" applyBorder="1" applyAlignment="1">
      <alignment horizontal="center" vertical="center"/>
    </xf>
    <xf numFmtId="0" fontId="113" fillId="37" borderId="0" xfId="0" applyFont="1" applyFill="1" applyAlignment="1">
      <alignment horizontal="center"/>
    </xf>
    <xf numFmtId="0" fontId="118" fillId="0" borderId="0" xfId="0" applyFont="1" applyAlignment="1">
      <alignment horizontal="center"/>
    </xf>
    <xf numFmtId="0" fontId="120" fillId="0" borderId="0" xfId="0" applyFont="1" applyAlignment="1">
      <alignment horizontal="center"/>
    </xf>
    <xf numFmtId="0" fontId="94" fillId="0" borderId="0" xfId="0" applyFont="1" applyAlignment="1">
      <alignment horizontal="center"/>
    </xf>
    <xf numFmtId="0" fontId="0" fillId="99" borderId="0" xfId="0" applyFill="1" applyAlignment="1">
      <alignment horizontal="center"/>
    </xf>
    <xf numFmtId="193" fontId="0" fillId="37" borderId="11" xfId="0" applyNumberFormat="1" applyFill="1" applyBorder="1" applyAlignment="1">
      <alignment horizontal="center" vertical="center"/>
    </xf>
    <xf numFmtId="3" fontId="0" fillId="37" borderId="11" xfId="0" applyNumberFormat="1" applyFill="1" applyBorder="1" applyAlignment="1">
      <alignment horizontal="center"/>
    </xf>
    <xf numFmtId="0" fontId="0" fillId="76" borderId="11" xfId="0" applyFill="1" applyBorder="1" applyAlignment="1">
      <alignment horizontal="center" vertical="center"/>
    </xf>
    <xf numFmtId="0" fontId="100" fillId="76" borderId="11" xfId="0" applyFont="1" applyFill="1" applyBorder="1" applyAlignment="1">
      <alignment horizontal="center" vertical="center" wrapText="1"/>
    </xf>
    <xf numFmtId="15" fontId="0" fillId="76" borderId="13" xfId="0" applyNumberFormat="1" applyFill="1" applyBorder="1" applyAlignment="1">
      <alignment horizontal="center" vertical="center"/>
    </xf>
    <xf numFmtId="0" fontId="100" fillId="76" borderId="11" xfId="0" applyFont="1" applyFill="1" applyBorder="1" applyAlignment="1">
      <alignment horizontal="center" vertical="center"/>
    </xf>
    <xf numFmtId="0" fontId="0" fillId="76" borderId="94" xfId="0" applyFill="1" applyBorder="1" applyAlignment="1">
      <alignment horizontal="center" vertical="center"/>
    </xf>
    <xf numFmtId="0" fontId="219" fillId="76" borderId="11" xfId="0" applyFont="1" applyFill="1" applyBorder="1" applyAlignment="1">
      <alignment horizontal="center" vertical="center" wrapText="1"/>
    </xf>
    <xf numFmtId="0" fontId="219" fillId="76" borderId="11" xfId="0" applyFont="1" applyFill="1" applyBorder="1" applyAlignment="1">
      <alignment horizontal="center" vertical="center"/>
    </xf>
    <xf numFmtId="0" fontId="0" fillId="76" borderId="11" xfId="0" applyFill="1" applyBorder="1" applyAlignment="1">
      <alignment horizontal="center"/>
    </xf>
    <xf numFmtId="4" fontId="0" fillId="0" borderId="11" xfId="0" applyNumberFormat="1" applyBorder="1"/>
  </cellXfs>
  <cellStyles count="32028">
    <cellStyle name="20% - Accent1" xfId="1" xr:uid="{00000000-0005-0000-0000-000000000000}"/>
    <cellStyle name="20% - Accent1 2" xfId="2" xr:uid="{00000000-0005-0000-0000-000001000000}"/>
    <cellStyle name="20% - Accent1 2 2" xfId="832" xr:uid="{00000000-0005-0000-0000-000002000000}"/>
    <cellStyle name="20% - Accent1 2 2 2" xfId="1721" xr:uid="{00000000-0005-0000-0000-000003000000}"/>
    <cellStyle name="20% - Accent1 2 2 2 2" xfId="23167" xr:uid="{00000000-0005-0000-0000-000004000000}"/>
    <cellStyle name="20% - Accent1 2 2 3" xfId="3733" xr:uid="{00000000-0005-0000-0000-000005000000}"/>
    <cellStyle name="20% - Accent1 2 3" xfId="1722" xr:uid="{00000000-0005-0000-0000-000006000000}"/>
    <cellStyle name="20% - Accent1 2 4" xfId="7345" xr:uid="{00000000-0005-0000-0000-000007000000}"/>
    <cellStyle name="20% - Accent1 3" xfId="831" xr:uid="{00000000-0005-0000-0000-000008000000}"/>
    <cellStyle name="20% - Accent1 3 2" xfId="1724" xr:uid="{00000000-0005-0000-0000-000009000000}"/>
    <cellStyle name="20% - Accent1 3 3" xfId="1723" xr:uid="{00000000-0005-0000-0000-00000A000000}"/>
    <cellStyle name="20% - Accent1 3 3 2" xfId="23168" xr:uid="{00000000-0005-0000-0000-00000B000000}"/>
    <cellStyle name="20% - Accent1 3 4" xfId="3732" xr:uid="{00000000-0005-0000-0000-00000C000000}"/>
    <cellStyle name="20% - Accent1 4" xfId="1725" xr:uid="{00000000-0005-0000-0000-00000D000000}"/>
    <cellStyle name="20% - Accent1 5" xfId="7346" xr:uid="{00000000-0005-0000-0000-00000E000000}"/>
    <cellStyle name="20% - Accent1_Xl0000150" xfId="429" xr:uid="{00000000-0005-0000-0000-00000F000000}"/>
    <cellStyle name="20% - Accent2" xfId="3" xr:uid="{00000000-0005-0000-0000-000010000000}"/>
    <cellStyle name="20% - Accent2 2" xfId="4" xr:uid="{00000000-0005-0000-0000-000011000000}"/>
    <cellStyle name="20% - Accent2 2 2" xfId="834" xr:uid="{00000000-0005-0000-0000-000012000000}"/>
    <cellStyle name="20% - Accent2 2 2 2" xfId="1726" xr:uid="{00000000-0005-0000-0000-000013000000}"/>
    <cellStyle name="20% - Accent2 2 2 2 2" xfId="23169" xr:uid="{00000000-0005-0000-0000-000014000000}"/>
    <cellStyle name="20% - Accent2 2 2 3" xfId="3735" xr:uid="{00000000-0005-0000-0000-000015000000}"/>
    <cellStyle name="20% - Accent2 2 3" xfId="1727" xr:uid="{00000000-0005-0000-0000-000016000000}"/>
    <cellStyle name="20% - Accent2 2 4" xfId="7347" xr:uid="{00000000-0005-0000-0000-000017000000}"/>
    <cellStyle name="20% - Accent2 3" xfId="833" xr:uid="{00000000-0005-0000-0000-000018000000}"/>
    <cellStyle name="20% - Accent2 3 2" xfId="1729" xr:uid="{00000000-0005-0000-0000-000019000000}"/>
    <cellStyle name="20% - Accent2 3 3" xfId="1728" xr:uid="{00000000-0005-0000-0000-00001A000000}"/>
    <cellStyle name="20% - Accent2 3 3 2" xfId="23170" xr:uid="{00000000-0005-0000-0000-00001B000000}"/>
    <cellStyle name="20% - Accent2 3 4" xfId="3734" xr:uid="{00000000-0005-0000-0000-00001C000000}"/>
    <cellStyle name="20% - Accent2 4" xfId="1730" xr:uid="{00000000-0005-0000-0000-00001D000000}"/>
    <cellStyle name="20% - Accent2 5" xfId="7348" xr:uid="{00000000-0005-0000-0000-00001E000000}"/>
    <cellStyle name="20% - Accent2_Xl0000150" xfId="430" xr:uid="{00000000-0005-0000-0000-00001F000000}"/>
    <cellStyle name="20% - Accent3" xfId="5" xr:uid="{00000000-0005-0000-0000-000020000000}"/>
    <cellStyle name="20% - Accent3 2" xfId="6" xr:uid="{00000000-0005-0000-0000-000021000000}"/>
    <cellStyle name="20% - Accent3 2 2" xfId="836" xr:uid="{00000000-0005-0000-0000-000022000000}"/>
    <cellStyle name="20% - Accent3 2 2 2" xfId="1731" xr:uid="{00000000-0005-0000-0000-000023000000}"/>
    <cellStyle name="20% - Accent3 2 2 2 2" xfId="23171" xr:uid="{00000000-0005-0000-0000-000024000000}"/>
    <cellStyle name="20% - Accent3 2 2 3" xfId="3737" xr:uid="{00000000-0005-0000-0000-000025000000}"/>
    <cellStyle name="20% - Accent3 2 3" xfId="1732" xr:uid="{00000000-0005-0000-0000-000026000000}"/>
    <cellStyle name="20% - Accent3 2 4" xfId="7349" xr:uid="{00000000-0005-0000-0000-000027000000}"/>
    <cellStyle name="20% - Accent3 3" xfId="835" xr:uid="{00000000-0005-0000-0000-000028000000}"/>
    <cellStyle name="20% - Accent3 3 2" xfId="1734" xr:uid="{00000000-0005-0000-0000-000029000000}"/>
    <cellStyle name="20% - Accent3 3 3" xfId="1733" xr:uid="{00000000-0005-0000-0000-00002A000000}"/>
    <cellStyle name="20% - Accent3 3 3 2" xfId="23172" xr:uid="{00000000-0005-0000-0000-00002B000000}"/>
    <cellStyle name="20% - Accent3 3 4" xfId="3736" xr:uid="{00000000-0005-0000-0000-00002C000000}"/>
    <cellStyle name="20% - Accent3 4" xfId="1735" xr:uid="{00000000-0005-0000-0000-00002D000000}"/>
    <cellStyle name="20% - Accent3 5" xfId="7350" xr:uid="{00000000-0005-0000-0000-00002E000000}"/>
    <cellStyle name="20% - Accent3_Xl0000150" xfId="431" xr:uid="{00000000-0005-0000-0000-00002F000000}"/>
    <cellStyle name="20% - Accent4" xfId="7" xr:uid="{00000000-0005-0000-0000-000030000000}"/>
    <cellStyle name="20% - Accent4 2" xfId="8" xr:uid="{00000000-0005-0000-0000-000031000000}"/>
    <cellStyle name="20% - Accent4 2 2" xfId="838" xr:uid="{00000000-0005-0000-0000-000032000000}"/>
    <cellStyle name="20% - Accent4 2 2 2" xfId="1736" xr:uid="{00000000-0005-0000-0000-000033000000}"/>
    <cellStyle name="20% - Accent4 2 2 2 2" xfId="23173" xr:uid="{00000000-0005-0000-0000-000034000000}"/>
    <cellStyle name="20% - Accent4 2 2 3" xfId="3739" xr:uid="{00000000-0005-0000-0000-000035000000}"/>
    <cellStyle name="20% - Accent4 2 3" xfId="1737" xr:uid="{00000000-0005-0000-0000-000036000000}"/>
    <cellStyle name="20% - Accent4 2 4" xfId="7351" xr:uid="{00000000-0005-0000-0000-000037000000}"/>
    <cellStyle name="20% - Accent4 3" xfId="837" xr:uid="{00000000-0005-0000-0000-000038000000}"/>
    <cellStyle name="20% - Accent4 3 2" xfId="1739" xr:uid="{00000000-0005-0000-0000-000039000000}"/>
    <cellStyle name="20% - Accent4 3 3" xfId="1738" xr:uid="{00000000-0005-0000-0000-00003A000000}"/>
    <cellStyle name="20% - Accent4 3 3 2" xfId="23174" xr:uid="{00000000-0005-0000-0000-00003B000000}"/>
    <cellStyle name="20% - Accent4 3 4" xfId="3738" xr:uid="{00000000-0005-0000-0000-00003C000000}"/>
    <cellStyle name="20% - Accent4 4" xfId="1740" xr:uid="{00000000-0005-0000-0000-00003D000000}"/>
    <cellStyle name="20% - Accent4 5" xfId="7352" xr:uid="{00000000-0005-0000-0000-00003E000000}"/>
    <cellStyle name="20% - Accent4_Xl0000150" xfId="432" xr:uid="{00000000-0005-0000-0000-00003F000000}"/>
    <cellStyle name="20% - Accent5" xfId="9" xr:uid="{00000000-0005-0000-0000-000040000000}"/>
    <cellStyle name="20% - Accent5 2" xfId="10" xr:uid="{00000000-0005-0000-0000-000041000000}"/>
    <cellStyle name="20% - Accent5 2 2" xfId="840" xr:uid="{00000000-0005-0000-0000-000042000000}"/>
    <cellStyle name="20% - Accent5 2 2 2" xfId="1741" xr:uid="{00000000-0005-0000-0000-000043000000}"/>
    <cellStyle name="20% - Accent5 2 2 2 2" xfId="23175" xr:uid="{00000000-0005-0000-0000-000044000000}"/>
    <cellStyle name="20% - Accent5 2 2 3" xfId="3741" xr:uid="{00000000-0005-0000-0000-000045000000}"/>
    <cellStyle name="20% - Accent5 2 3" xfId="1742" xr:uid="{00000000-0005-0000-0000-000046000000}"/>
    <cellStyle name="20% - Accent5 2 4" xfId="7353" xr:uid="{00000000-0005-0000-0000-000047000000}"/>
    <cellStyle name="20% - Accent5 3" xfId="839" xr:uid="{00000000-0005-0000-0000-000048000000}"/>
    <cellStyle name="20% - Accent5 3 2" xfId="1744" xr:uid="{00000000-0005-0000-0000-000049000000}"/>
    <cellStyle name="20% - Accent5 3 3" xfId="1743" xr:uid="{00000000-0005-0000-0000-00004A000000}"/>
    <cellStyle name="20% - Accent5 3 3 2" xfId="23176" xr:uid="{00000000-0005-0000-0000-00004B000000}"/>
    <cellStyle name="20% - Accent5 3 4" xfId="3740" xr:uid="{00000000-0005-0000-0000-00004C000000}"/>
    <cellStyle name="20% - Accent5 4" xfId="1745" xr:uid="{00000000-0005-0000-0000-00004D000000}"/>
    <cellStyle name="20% - Accent5 5" xfId="7354" xr:uid="{00000000-0005-0000-0000-00004E000000}"/>
    <cellStyle name="20% - Accent5_Xl0000150" xfId="433" xr:uid="{00000000-0005-0000-0000-00004F000000}"/>
    <cellStyle name="20% - Accent6" xfId="11" xr:uid="{00000000-0005-0000-0000-000050000000}"/>
    <cellStyle name="20% - Accent6 2" xfId="12" xr:uid="{00000000-0005-0000-0000-000051000000}"/>
    <cellStyle name="20% - Accent6 2 2" xfId="842" xr:uid="{00000000-0005-0000-0000-000052000000}"/>
    <cellStyle name="20% - Accent6 2 2 2" xfId="1746" xr:uid="{00000000-0005-0000-0000-000053000000}"/>
    <cellStyle name="20% - Accent6 2 2 2 2" xfId="23177" xr:uid="{00000000-0005-0000-0000-000054000000}"/>
    <cellStyle name="20% - Accent6 2 2 3" xfId="3743" xr:uid="{00000000-0005-0000-0000-000055000000}"/>
    <cellStyle name="20% - Accent6 2 3" xfId="1747" xr:uid="{00000000-0005-0000-0000-000056000000}"/>
    <cellStyle name="20% - Accent6 2 4" xfId="7355" xr:uid="{00000000-0005-0000-0000-000057000000}"/>
    <cellStyle name="20% - Accent6 3" xfId="841" xr:uid="{00000000-0005-0000-0000-000058000000}"/>
    <cellStyle name="20% - Accent6 3 2" xfId="1749" xr:uid="{00000000-0005-0000-0000-000059000000}"/>
    <cellStyle name="20% - Accent6 3 3" xfId="1748" xr:uid="{00000000-0005-0000-0000-00005A000000}"/>
    <cellStyle name="20% - Accent6 3 3 2" xfId="23178" xr:uid="{00000000-0005-0000-0000-00005B000000}"/>
    <cellStyle name="20% - Accent6 3 4" xfId="3742" xr:uid="{00000000-0005-0000-0000-00005C000000}"/>
    <cellStyle name="20% - Accent6 4" xfId="1750" xr:uid="{00000000-0005-0000-0000-00005D000000}"/>
    <cellStyle name="20% - Accent6 5" xfId="7356" xr:uid="{00000000-0005-0000-0000-00005E000000}"/>
    <cellStyle name="20% - Accent6_Xl0000150" xfId="434" xr:uid="{00000000-0005-0000-0000-00005F000000}"/>
    <cellStyle name="20% - Énfasis1" xfId="13" builtinId="30" customBuiltin="1"/>
    <cellStyle name="20% - Énfasis1 10" xfId="844" xr:uid="{00000000-0005-0000-0000-000061000000}"/>
    <cellStyle name="20% - Énfasis1 10 10" xfId="4936" xr:uid="{00000000-0005-0000-0000-000062000000}"/>
    <cellStyle name="20% - Énfasis1 10 11" xfId="6715" xr:uid="{00000000-0005-0000-0000-000063000000}"/>
    <cellStyle name="20% - Énfasis1 10 12" xfId="22851" xr:uid="{00000000-0005-0000-0000-000064000000}"/>
    <cellStyle name="20% - Énfasis1 10 13" xfId="23179" xr:uid="{00000000-0005-0000-0000-000065000000}"/>
    <cellStyle name="20% - Énfasis1 10 14" xfId="24557" xr:uid="{00000000-0005-0000-0000-000066000000}"/>
    <cellStyle name="20% - Énfasis1 10 15" xfId="25061" xr:uid="{00000000-0005-0000-0000-000067000000}"/>
    <cellStyle name="20% - Énfasis1 10 16" xfId="25565" xr:uid="{00000000-0005-0000-0000-000068000000}"/>
    <cellStyle name="20% - Énfasis1 10 17" xfId="26069" xr:uid="{00000000-0005-0000-0000-000069000000}"/>
    <cellStyle name="20% - Énfasis1 10 18" xfId="26573" xr:uid="{00000000-0005-0000-0000-00006A000000}"/>
    <cellStyle name="20% - Énfasis1 10 19" xfId="27077" xr:uid="{00000000-0005-0000-0000-00006B000000}"/>
    <cellStyle name="20% - Énfasis1 10 2" xfId="1433" xr:uid="{00000000-0005-0000-0000-00006C000000}"/>
    <cellStyle name="20% - Énfasis1 10 2 10" xfId="26070" xr:uid="{00000000-0005-0000-0000-00006D000000}"/>
    <cellStyle name="20% - Énfasis1 10 2 11" xfId="26574" xr:uid="{00000000-0005-0000-0000-00006E000000}"/>
    <cellStyle name="20% - Énfasis1 10 2 12" xfId="27078" xr:uid="{00000000-0005-0000-0000-00006F000000}"/>
    <cellStyle name="20% - Énfasis1 10 2 13" xfId="27582" xr:uid="{00000000-0005-0000-0000-000070000000}"/>
    <cellStyle name="20% - Énfasis1 10 2 14" xfId="28086" xr:uid="{00000000-0005-0000-0000-000071000000}"/>
    <cellStyle name="20% - Énfasis1 10 2 15" xfId="28590" xr:uid="{00000000-0005-0000-0000-000072000000}"/>
    <cellStyle name="20% - Énfasis1 10 2 16" xfId="29094" xr:uid="{00000000-0005-0000-0000-000073000000}"/>
    <cellStyle name="20% - Énfasis1 10 2 17" xfId="29598" xr:uid="{00000000-0005-0000-0000-000074000000}"/>
    <cellStyle name="20% - Énfasis1 10 2 18" xfId="30102" xr:uid="{00000000-0005-0000-0000-000075000000}"/>
    <cellStyle name="20% - Énfasis1 10 2 19" xfId="30607" xr:uid="{00000000-0005-0000-0000-000076000000}"/>
    <cellStyle name="20% - Énfasis1 10 2 2" xfId="1518" xr:uid="{00000000-0005-0000-0000-000077000000}"/>
    <cellStyle name="20% - Énfasis1 10 2 2 2" xfId="2945" xr:uid="{00000000-0005-0000-0000-000078000000}"/>
    <cellStyle name="20% - Énfasis1 10 2 2 2 2" xfId="4564" xr:uid="{00000000-0005-0000-0000-000079000000}"/>
    <cellStyle name="20% - Énfasis1 10 2 2 2 2 2" xfId="6431" xr:uid="{00000000-0005-0000-0000-00007A000000}"/>
    <cellStyle name="20% - Énfasis1 10 2 2 2 3" xfId="5529" xr:uid="{00000000-0005-0000-0000-00007B000000}"/>
    <cellStyle name="20% - Énfasis1 10 2 2 3" xfId="4037" xr:uid="{00000000-0005-0000-0000-00007C000000}"/>
    <cellStyle name="20% - Énfasis1 10 2 2 3 2" xfId="5985" xr:uid="{00000000-0005-0000-0000-00007D000000}"/>
    <cellStyle name="20% - Énfasis1 10 2 2 4" xfId="5071" xr:uid="{00000000-0005-0000-0000-00007E000000}"/>
    <cellStyle name="20% - Énfasis1 10 2 3" xfId="2867" xr:uid="{00000000-0005-0000-0000-00007F000000}"/>
    <cellStyle name="20% - Énfasis1 10 2 3 2" xfId="4486" xr:uid="{00000000-0005-0000-0000-000080000000}"/>
    <cellStyle name="20% - Énfasis1 10 2 3 2 2" xfId="6353" xr:uid="{00000000-0005-0000-0000-000081000000}"/>
    <cellStyle name="20% - Énfasis1 10 2 3 3" xfId="5451" xr:uid="{00000000-0005-0000-0000-000082000000}"/>
    <cellStyle name="20% - Énfasis1 10 2 4" xfId="3954" xr:uid="{00000000-0005-0000-0000-000083000000}"/>
    <cellStyle name="20% - Énfasis1 10 2 4 2" xfId="5908" xr:uid="{00000000-0005-0000-0000-000084000000}"/>
    <cellStyle name="20% - Énfasis1 10 2 5" xfId="4993" xr:uid="{00000000-0005-0000-0000-000085000000}"/>
    <cellStyle name="20% - Énfasis1 10 2 6" xfId="23180" xr:uid="{00000000-0005-0000-0000-000086000000}"/>
    <cellStyle name="20% - Énfasis1 10 2 7" xfId="24558" xr:uid="{00000000-0005-0000-0000-000087000000}"/>
    <cellStyle name="20% - Énfasis1 10 2 8" xfId="25062" xr:uid="{00000000-0005-0000-0000-000088000000}"/>
    <cellStyle name="20% - Énfasis1 10 2 9" xfId="25566" xr:uid="{00000000-0005-0000-0000-000089000000}"/>
    <cellStyle name="20% - Énfasis1 10 20" xfId="27581" xr:uid="{00000000-0005-0000-0000-00008A000000}"/>
    <cellStyle name="20% - Énfasis1 10 21" xfId="28085" xr:uid="{00000000-0005-0000-0000-00008B000000}"/>
    <cellStyle name="20% - Énfasis1 10 22" xfId="28589" xr:uid="{00000000-0005-0000-0000-00008C000000}"/>
    <cellStyle name="20% - Énfasis1 10 23" xfId="29093" xr:uid="{00000000-0005-0000-0000-00008D000000}"/>
    <cellStyle name="20% - Énfasis1 10 24" xfId="29597" xr:uid="{00000000-0005-0000-0000-00008E000000}"/>
    <cellStyle name="20% - Énfasis1 10 25" xfId="30101" xr:uid="{00000000-0005-0000-0000-00008F000000}"/>
    <cellStyle name="20% - Énfasis1 10 26" xfId="30606" xr:uid="{00000000-0005-0000-0000-000090000000}"/>
    <cellStyle name="20% - Énfasis1 10 3" xfId="1471" xr:uid="{00000000-0005-0000-0000-000091000000}"/>
    <cellStyle name="20% - Énfasis1 10 3 2" xfId="1519" xr:uid="{00000000-0005-0000-0000-000092000000}"/>
    <cellStyle name="20% - Énfasis1 10 3 2 2" xfId="2946" xr:uid="{00000000-0005-0000-0000-000093000000}"/>
    <cellStyle name="20% - Énfasis1 10 3 2 2 2" xfId="4565" xr:uid="{00000000-0005-0000-0000-000094000000}"/>
    <cellStyle name="20% - Énfasis1 10 3 2 2 2 2" xfId="6432" xr:uid="{00000000-0005-0000-0000-000095000000}"/>
    <cellStyle name="20% - Énfasis1 10 3 2 2 3" xfId="5530" xr:uid="{00000000-0005-0000-0000-000096000000}"/>
    <cellStyle name="20% - Énfasis1 10 3 2 3" xfId="4038" xr:uid="{00000000-0005-0000-0000-000097000000}"/>
    <cellStyle name="20% - Énfasis1 10 3 2 3 2" xfId="5986" xr:uid="{00000000-0005-0000-0000-000098000000}"/>
    <cellStyle name="20% - Énfasis1 10 3 2 4" xfId="5072" xr:uid="{00000000-0005-0000-0000-000099000000}"/>
    <cellStyle name="20% - Énfasis1 10 3 3" xfId="2905" xr:uid="{00000000-0005-0000-0000-00009A000000}"/>
    <cellStyle name="20% - Énfasis1 10 3 3 2" xfId="4524" xr:uid="{00000000-0005-0000-0000-00009B000000}"/>
    <cellStyle name="20% - Énfasis1 10 3 3 2 2" xfId="6391" xr:uid="{00000000-0005-0000-0000-00009C000000}"/>
    <cellStyle name="20% - Énfasis1 10 3 3 3" xfId="5489" xr:uid="{00000000-0005-0000-0000-00009D000000}"/>
    <cellStyle name="20% - Énfasis1 10 3 4" xfId="3992" xr:uid="{00000000-0005-0000-0000-00009E000000}"/>
    <cellStyle name="20% - Énfasis1 10 3 4 2" xfId="5946" xr:uid="{00000000-0005-0000-0000-00009F000000}"/>
    <cellStyle name="20% - Énfasis1 10 3 5" xfId="5031" xr:uid="{00000000-0005-0000-0000-0000A0000000}"/>
    <cellStyle name="20% - Énfasis1 10 4" xfId="1520" xr:uid="{00000000-0005-0000-0000-0000A1000000}"/>
    <cellStyle name="20% - Énfasis1 10 4 2" xfId="2947" xr:uid="{00000000-0005-0000-0000-0000A2000000}"/>
    <cellStyle name="20% - Énfasis1 10 4 2 2" xfId="4566" xr:uid="{00000000-0005-0000-0000-0000A3000000}"/>
    <cellStyle name="20% - Énfasis1 10 4 2 2 2" xfId="6433" xr:uid="{00000000-0005-0000-0000-0000A4000000}"/>
    <cellStyle name="20% - Énfasis1 10 4 2 3" xfId="5531" xr:uid="{00000000-0005-0000-0000-0000A5000000}"/>
    <cellStyle name="20% - Énfasis1 10 4 3" xfId="4039" xr:uid="{00000000-0005-0000-0000-0000A6000000}"/>
    <cellStyle name="20% - Énfasis1 10 4 3 2" xfId="5987" xr:uid="{00000000-0005-0000-0000-0000A7000000}"/>
    <cellStyle name="20% - Énfasis1 10 4 4" xfId="5073" xr:uid="{00000000-0005-0000-0000-0000A8000000}"/>
    <cellStyle name="20% - Énfasis1 10 5" xfId="1521" xr:uid="{00000000-0005-0000-0000-0000A9000000}"/>
    <cellStyle name="20% - Énfasis1 10 5 2" xfId="2948" xr:uid="{00000000-0005-0000-0000-0000AA000000}"/>
    <cellStyle name="20% - Énfasis1 10 5 2 2" xfId="4567" xr:uid="{00000000-0005-0000-0000-0000AB000000}"/>
    <cellStyle name="20% - Énfasis1 10 5 2 2 2" xfId="6434" xr:uid="{00000000-0005-0000-0000-0000AC000000}"/>
    <cellStyle name="20% - Énfasis1 10 5 2 3" xfId="5532" xr:uid="{00000000-0005-0000-0000-0000AD000000}"/>
    <cellStyle name="20% - Énfasis1 10 5 3" xfId="4040" xr:uid="{00000000-0005-0000-0000-0000AE000000}"/>
    <cellStyle name="20% - Énfasis1 10 5 3 2" xfId="5988" xr:uid="{00000000-0005-0000-0000-0000AF000000}"/>
    <cellStyle name="20% - Énfasis1 10 5 4" xfId="5074" xr:uid="{00000000-0005-0000-0000-0000B0000000}"/>
    <cellStyle name="20% - Énfasis1 10 6" xfId="2808" xr:uid="{00000000-0005-0000-0000-0000B1000000}"/>
    <cellStyle name="20% - Énfasis1 10 6 2" xfId="4428" xr:uid="{00000000-0005-0000-0000-0000B2000000}"/>
    <cellStyle name="20% - Énfasis1 10 6 2 2" xfId="6296" xr:uid="{00000000-0005-0000-0000-0000B3000000}"/>
    <cellStyle name="20% - Énfasis1 10 6 3" xfId="5394" xr:uid="{00000000-0005-0000-0000-0000B4000000}"/>
    <cellStyle name="20% - Énfasis1 10 7" xfId="3745" xr:uid="{00000000-0005-0000-0000-0000B5000000}"/>
    <cellStyle name="20% - Énfasis1 10 7 2" xfId="5852" xr:uid="{00000000-0005-0000-0000-0000B6000000}"/>
    <cellStyle name="20% - Énfasis1 10 8" xfId="4787" xr:uid="{00000000-0005-0000-0000-0000B7000000}"/>
    <cellStyle name="20% - Énfasis1 10 8 2" xfId="6632" xr:uid="{00000000-0005-0000-0000-0000B8000000}"/>
    <cellStyle name="20% - Énfasis1 10 9" xfId="4830" xr:uid="{00000000-0005-0000-0000-0000B9000000}"/>
    <cellStyle name="20% - Énfasis1 10 9 2" xfId="6674" xr:uid="{00000000-0005-0000-0000-0000BA000000}"/>
    <cellStyle name="20% - Énfasis1 11" xfId="845" xr:uid="{00000000-0005-0000-0000-0000BB000000}"/>
    <cellStyle name="20% - Énfasis1 11 2" xfId="846" xr:uid="{00000000-0005-0000-0000-0000BC000000}"/>
    <cellStyle name="20% - Énfasis1 12" xfId="843" xr:uid="{00000000-0005-0000-0000-0000BD000000}"/>
    <cellStyle name="20% - Énfasis1 12 10" xfId="25567" xr:uid="{00000000-0005-0000-0000-0000BE000000}"/>
    <cellStyle name="20% - Énfasis1 12 11" xfId="26071" xr:uid="{00000000-0005-0000-0000-0000BF000000}"/>
    <cellStyle name="20% - Énfasis1 12 12" xfId="26575" xr:uid="{00000000-0005-0000-0000-0000C0000000}"/>
    <cellStyle name="20% - Énfasis1 12 13" xfId="27079" xr:uid="{00000000-0005-0000-0000-0000C1000000}"/>
    <cellStyle name="20% - Énfasis1 12 14" xfId="27583" xr:uid="{00000000-0005-0000-0000-0000C2000000}"/>
    <cellStyle name="20% - Énfasis1 12 15" xfId="28087" xr:uid="{00000000-0005-0000-0000-0000C3000000}"/>
    <cellStyle name="20% - Énfasis1 12 16" xfId="28591" xr:uid="{00000000-0005-0000-0000-0000C4000000}"/>
    <cellStyle name="20% - Énfasis1 12 17" xfId="29095" xr:uid="{00000000-0005-0000-0000-0000C5000000}"/>
    <cellStyle name="20% - Énfasis1 12 18" xfId="29599" xr:uid="{00000000-0005-0000-0000-0000C6000000}"/>
    <cellStyle name="20% - Énfasis1 12 19" xfId="30103" xr:uid="{00000000-0005-0000-0000-0000C7000000}"/>
    <cellStyle name="20% - Énfasis1 12 2" xfId="1432" xr:uid="{00000000-0005-0000-0000-0000C8000000}"/>
    <cellStyle name="20% - Énfasis1 12 2 10" xfId="26072" xr:uid="{00000000-0005-0000-0000-0000C9000000}"/>
    <cellStyle name="20% - Énfasis1 12 2 11" xfId="26576" xr:uid="{00000000-0005-0000-0000-0000CA000000}"/>
    <cellStyle name="20% - Énfasis1 12 2 12" xfId="27080" xr:uid="{00000000-0005-0000-0000-0000CB000000}"/>
    <cellStyle name="20% - Énfasis1 12 2 13" xfId="27584" xr:uid="{00000000-0005-0000-0000-0000CC000000}"/>
    <cellStyle name="20% - Énfasis1 12 2 14" xfId="28088" xr:uid="{00000000-0005-0000-0000-0000CD000000}"/>
    <cellStyle name="20% - Énfasis1 12 2 15" xfId="28592" xr:uid="{00000000-0005-0000-0000-0000CE000000}"/>
    <cellStyle name="20% - Énfasis1 12 2 16" xfId="29096" xr:uid="{00000000-0005-0000-0000-0000CF000000}"/>
    <cellStyle name="20% - Énfasis1 12 2 17" xfId="29600" xr:uid="{00000000-0005-0000-0000-0000D0000000}"/>
    <cellStyle name="20% - Énfasis1 12 2 18" xfId="30104" xr:uid="{00000000-0005-0000-0000-0000D1000000}"/>
    <cellStyle name="20% - Énfasis1 12 2 19" xfId="30609" xr:uid="{00000000-0005-0000-0000-0000D2000000}"/>
    <cellStyle name="20% - Énfasis1 12 2 2" xfId="1522" xr:uid="{00000000-0005-0000-0000-0000D3000000}"/>
    <cellStyle name="20% - Énfasis1 12 2 2 2" xfId="2949" xr:uid="{00000000-0005-0000-0000-0000D4000000}"/>
    <cellStyle name="20% - Énfasis1 12 2 2 2 2" xfId="4568" xr:uid="{00000000-0005-0000-0000-0000D5000000}"/>
    <cellStyle name="20% - Énfasis1 12 2 2 2 2 2" xfId="6435" xr:uid="{00000000-0005-0000-0000-0000D6000000}"/>
    <cellStyle name="20% - Énfasis1 12 2 2 2 3" xfId="5533" xr:uid="{00000000-0005-0000-0000-0000D7000000}"/>
    <cellStyle name="20% - Énfasis1 12 2 2 3" xfId="4041" xr:uid="{00000000-0005-0000-0000-0000D8000000}"/>
    <cellStyle name="20% - Énfasis1 12 2 2 3 2" xfId="5989" xr:uid="{00000000-0005-0000-0000-0000D9000000}"/>
    <cellStyle name="20% - Énfasis1 12 2 2 4" xfId="5075" xr:uid="{00000000-0005-0000-0000-0000DA000000}"/>
    <cellStyle name="20% - Énfasis1 12 2 3" xfId="2866" xr:uid="{00000000-0005-0000-0000-0000DB000000}"/>
    <cellStyle name="20% - Énfasis1 12 2 3 2" xfId="4485" xr:uid="{00000000-0005-0000-0000-0000DC000000}"/>
    <cellStyle name="20% - Énfasis1 12 2 3 2 2" xfId="6352" xr:uid="{00000000-0005-0000-0000-0000DD000000}"/>
    <cellStyle name="20% - Énfasis1 12 2 3 3" xfId="5450" xr:uid="{00000000-0005-0000-0000-0000DE000000}"/>
    <cellStyle name="20% - Énfasis1 12 2 4" xfId="3953" xr:uid="{00000000-0005-0000-0000-0000DF000000}"/>
    <cellStyle name="20% - Énfasis1 12 2 4 2" xfId="5907" xr:uid="{00000000-0005-0000-0000-0000E0000000}"/>
    <cellStyle name="20% - Énfasis1 12 2 5" xfId="4992" xr:uid="{00000000-0005-0000-0000-0000E1000000}"/>
    <cellStyle name="20% - Énfasis1 12 2 6" xfId="23182" xr:uid="{00000000-0005-0000-0000-0000E2000000}"/>
    <cellStyle name="20% - Énfasis1 12 2 7" xfId="24560" xr:uid="{00000000-0005-0000-0000-0000E3000000}"/>
    <cellStyle name="20% - Énfasis1 12 2 8" xfId="25064" xr:uid="{00000000-0005-0000-0000-0000E4000000}"/>
    <cellStyle name="20% - Énfasis1 12 2 9" xfId="25568" xr:uid="{00000000-0005-0000-0000-0000E5000000}"/>
    <cellStyle name="20% - Énfasis1 12 20" xfId="30608" xr:uid="{00000000-0005-0000-0000-0000E6000000}"/>
    <cellStyle name="20% - Énfasis1 12 3" xfId="1523" xr:uid="{00000000-0005-0000-0000-0000E7000000}"/>
    <cellStyle name="20% - Énfasis1 12 3 2" xfId="2950" xr:uid="{00000000-0005-0000-0000-0000E8000000}"/>
    <cellStyle name="20% - Énfasis1 12 3 2 2" xfId="4569" xr:uid="{00000000-0005-0000-0000-0000E9000000}"/>
    <cellStyle name="20% - Énfasis1 12 3 2 2 2" xfId="6436" xr:uid="{00000000-0005-0000-0000-0000EA000000}"/>
    <cellStyle name="20% - Énfasis1 12 3 2 3" xfId="5534" xr:uid="{00000000-0005-0000-0000-0000EB000000}"/>
    <cellStyle name="20% - Énfasis1 12 3 3" xfId="4042" xr:uid="{00000000-0005-0000-0000-0000EC000000}"/>
    <cellStyle name="20% - Énfasis1 12 3 3 2" xfId="5990" xr:uid="{00000000-0005-0000-0000-0000ED000000}"/>
    <cellStyle name="20% - Énfasis1 12 3 4" xfId="5076" xr:uid="{00000000-0005-0000-0000-0000EE000000}"/>
    <cellStyle name="20% - Énfasis1 12 4" xfId="2807" xr:uid="{00000000-0005-0000-0000-0000EF000000}"/>
    <cellStyle name="20% - Énfasis1 12 4 2" xfId="4427" xr:uid="{00000000-0005-0000-0000-0000F0000000}"/>
    <cellStyle name="20% - Énfasis1 12 4 2 2" xfId="6295" xr:uid="{00000000-0005-0000-0000-0000F1000000}"/>
    <cellStyle name="20% - Énfasis1 12 4 3" xfId="5393" xr:uid="{00000000-0005-0000-0000-0000F2000000}"/>
    <cellStyle name="20% - Énfasis1 12 5" xfId="3744" xr:uid="{00000000-0005-0000-0000-0000F3000000}"/>
    <cellStyle name="20% - Énfasis1 12 5 2" xfId="5851" xr:uid="{00000000-0005-0000-0000-0000F4000000}"/>
    <cellStyle name="20% - Énfasis1 12 6" xfId="4935" xr:uid="{00000000-0005-0000-0000-0000F5000000}"/>
    <cellStyle name="20% - Énfasis1 12 7" xfId="23181" xr:uid="{00000000-0005-0000-0000-0000F6000000}"/>
    <cellStyle name="20% - Énfasis1 12 8" xfId="24559" xr:uid="{00000000-0005-0000-0000-0000F7000000}"/>
    <cellStyle name="20% - Énfasis1 12 9" xfId="25063" xr:uid="{00000000-0005-0000-0000-0000F8000000}"/>
    <cellStyle name="20% - Énfasis1 13" xfId="1372" xr:uid="{00000000-0005-0000-0000-0000F9000000}"/>
    <cellStyle name="20% - Énfasis1 14" xfId="1472" xr:uid="{00000000-0005-0000-0000-0000FA000000}"/>
    <cellStyle name="20% - Énfasis1 14 2" xfId="1524" xr:uid="{00000000-0005-0000-0000-0000FB000000}"/>
    <cellStyle name="20% - Énfasis1 14 2 2" xfId="2951" xr:uid="{00000000-0005-0000-0000-0000FC000000}"/>
    <cellStyle name="20% - Énfasis1 14 2 2 2" xfId="4570" xr:uid="{00000000-0005-0000-0000-0000FD000000}"/>
    <cellStyle name="20% - Énfasis1 14 2 2 2 2" xfId="6437" xr:uid="{00000000-0005-0000-0000-0000FE000000}"/>
    <cellStyle name="20% - Énfasis1 14 2 2 3" xfId="5535" xr:uid="{00000000-0005-0000-0000-0000FF000000}"/>
    <cellStyle name="20% - Énfasis1 14 2 3" xfId="4043" xr:uid="{00000000-0005-0000-0000-000000010000}"/>
    <cellStyle name="20% - Énfasis1 14 2 3 2" xfId="5991" xr:uid="{00000000-0005-0000-0000-000001010000}"/>
    <cellStyle name="20% - Énfasis1 14 2 4" xfId="5077" xr:uid="{00000000-0005-0000-0000-000002010000}"/>
    <cellStyle name="20% - Énfasis1 14 3" xfId="2906" xr:uid="{00000000-0005-0000-0000-000003010000}"/>
    <cellStyle name="20% - Énfasis1 14 3 2" xfId="4525" xr:uid="{00000000-0005-0000-0000-000004010000}"/>
    <cellStyle name="20% - Énfasis1 14 3 2 2" xfId="6392" xr:uid="{00000000-0005-0000-0000-000005010000}"/>
    <cellStyle name="20% - Énfasis1 14 3 3" xfId="5490" xr:uid="{00000000-0005-0000-0000-000006010000}"/>
    <cellStyle name="20% - Énfasis1 14 4" xfId="3993" xr:uid="{00000000-0005-0000-0000-000007010000}"/>
    <cellStyle name="20% - Énfasis1 14 4 2" xfId="5947" xr:uid="{00000000-0005-0000-0000-000008010000}"/>
    <cellStyle name="20% - Énfasis1 14 5" xfId="5032" xr:uid="{00000000-0005-0000-0000-000009010000}"/>
    <cellStyle name="20% - Énfasis1 15" xfId="1525" xr:uid="{00000000-0005-0000-0000-00000A010000}"/>
    <cellStyle name="20% - Énfasis1 15 2" xfId="2952" xr:uid="{00000000-0005-0000-0000-00000B010000}"/>
    <cellStyle name="20% - Énfasis1 15 2 2" xfId="4571" xr:uid="{00000000-0005-0000-0000-00000C010000}"/>
    <cellStyle name="20% - Énfasis1 15 2 2 2" xfId="6438" xr:uid="{00000000-0005-0000-0000-00000D010000}"/>
    <cellStyle name="20% - Énfasis1 15 2 3" xfId="5536" xr:uid="{00000000-0005-0000-0000-00000E010000}"/>
    <cellStyle name="20% - Énfasis1 15 3" xfId="4044" xr:uid="{00000000-0005-0000-0000-00000F010000}"/>
    <cellStyle name="20% - Énfasis1 15 3 2" xfId="5992" xr:uid="{00000000-0005-0000-0000-000010010000}"/>
    <cellStyle name="20% - Énfasis1 15 4" xfId="5078" xr:uid="{00000000-0005-0000-0000-000011010000}"/>
    <cellStyle name="20% - Énfasis1 16" xfId="2713" xr:uid="{00000000-0005-0000-0000-000012010000}"/>
    <cellStyle name="20% - Énfasis1 16 2" xfId="4392" xr:uid="{00000000-0005-0000-0000-000013010000}"/>
    <cellStyle name="20% - Énfasis1 16 2 2" xfId="6262" xr:uid="{00000000-0005-0000-0000-000014010000}"/>
    <cellStyle name="20% - Énfasis1 16 3" xfId="5360" xr:uid="{00000000-0005-0000-0000-000015010000}"/>
    <cellStyle name="20% - Énfasis1 17" xfId="3160" xr:uid="{00000000-0005-0000-0000-000016010000}"/>
    <cellStyle name="20% - Énfasis1 17 2" xfId="5729" xr:uid="{00000000-0005-0000-0000-000017010000}"/>
    <cellStyle name="20% - Énfasis1 18" xfId="4786" xr:uid="{00000000-0005-0000-0000-000018010000}"/>
    <cellStyle name="20% - Énfasis1 18 2" xfId="6631" xr:uid="{00000000-0005-0000-0000-000019010000}"/>
    <cellStyle name="20% - Énfasis1 19" xfId="4829" xr:uid="{00000000-0005-0000-0000-00001A010000}"/>
    <cellStyle name="20% - Énfasis1 19 2" xfId="6673" xr:uid="{00000000-0005-0000-0000-00001B010000}"/>
    <cellStyle name="20% - Énfasis1 2" xfId="14" xr:uid="{00000000-0005-0000-0000-00001C010000}"/>
    <cellStyle name="20% - Énfasis1 2 2" xfId="847" xr:uid="{00000000-0005-0000-0000-00001D010000}"/>
    <cellStyle name="20% - Énfasis1 2 2 2" xfId="3161" xr:uid="{00000000-0005-0000-0000-00001E010000}"/>
    <cellStyle name="20% - Énfasis1 2 2 2 2" xfId="7360" xr:uid="{00000000-0005-0000-0000-00001F010000}"/>
    <cellStyle name="20% - Énfasis1 2 2 2 3" xfId="7359" xr:uid="{00000000-0005-0000-0000-000020010000}"/>
    <cellStyle name="20% - Énfasis1 2 2 3" xfId="7361" xr:uid="{00000000-0005-0000-0000-000021010000}"/>
    <cellStyle name="20% - Énfasis1 2 2 4" xfId="7362" xr:uid="{00000000-0005-0000-0000-000022010000}"/>
    <cellStyle name="20% - Énfasis1 2 2 5" xfId="7358" xr:uid="{00000000-0005-0000-0000-000023010000}"/>
    <cellStyle name="20% - Énfasis1 2 3" xfId="1751" xr:uid="{00000000-0005-0000-0000-000024010000}"/>
    <cellStyle name="20% - Énfasis1 2 4" xfId="7363" xr:uid="{00000000-0005-0000-0000-000025010000}"/>
    <cellStyle name="20% - Énfasis1 2 4 2" xfId="22852" xr:uid="{00000000-0005-0000-0000-000026010000}"/>
    <cellStyle name="20% - Énfasis1 2 5" xfId="31205" xr:uid="{2086EF68-7854-49ED-8799-C4DAC0395F9B}"/>
    <cellStyle name="20% - Énfasis1 20" xfId="4875" xr:uid="{00000000-0005-0000-0000-000027010000}"/>
    <cellStyle name="20% - Énfasis1 21" xfId="6714" xr:uid="{00000000-0005-0000-0000-000028010000}"/>
    <cellStyle name="20% - Énfasis1 22" xfId="6762" xr:uid="{00000000-0005-0000-0000-000029010000}"/>
    <cellStyle name="20% - Énfasis1 22 2" xfId="22853" xr:uid="{00000000-0005-0000-0000-00002A010000}"/>
    <cellStyle name="20% - Énfasis1 23" xfId="6771" xr:uid="{00000000-0005-0000-0000-00002B010000}"/>
    <cellStyle name="20% - Énfasis1 24" xfId="7267" xr:uid="{00000000-0005-0000-0000-00002C010000}"/>
    <cellStyle name="20% - Énfasis1 25" xfId="22850" xr:uid="{00000000-0005-0000-0000-00002D010000}"/>
    <cellStyle name="20% - Énfasis1 26" xfId="23155" xr:uid="{00000000-0005-0000-0000-00002E010000}"/>
    <cellStyle name="20% - Énfasis1 27" xfId="24545" xr:uid="{00000000-0005-0000-0000-00002F010000}"/>
    <cellStyle name="20% - Énfasis1 28" xfId="25049" xr:uid="{00000000-0005-0000-0000-000030010000}"/>
    <cellStyle name="20% - Énfasis1 29" xfId="25553" xr:uid="{00000000-0005-0000-0000-000031010000}"/>
    <cellStyle name="20% - Énfasis1 3" xfId="848" xr:uid="{00000000-0005-0000-0000-000032010000}"/>
    <cellStyle name="20% - Énfasis1 3 2" xfId="849" xr:uid="{00000000-0005-0000-0000-000033010000}"/>
    <cellStyle name="20% - Énfasis1 3 2 2" xfId="7364" xr:uid="{00000000-0005-0000-0000-000034010000}"/>
    <cellStyle name="20% - Énfasis1 3 2 2 2" xfId="23184" xr:uid="{00000000-0005-0000-0000-000035010000}"/>
    <cellStyle name="20% - Énfasis1 3 2 2 3" xfId="23183" xr:uid="{00000000-0005-0000-0000-000036010000}"/>
    <cellStyle name="20% - Énfasis1 3 2 3" xfId="7365" xr:uid="{00000000-0005-0000-0000-000037010000}"/>
    <cellStyle name="20% - Énfasis1 3 2 3 2" xfId="23185" xr:uid="{00000000-0005-0000-0000-000038010000}"/>
    <cellStyle name="20% - Énfasis1 3 3" xfId="1752" xr:uid="{00000000-0005-0000-0000-000039010000}"/>
    <cellStyle name="20% - Énfasis1 3 3 2" xfId="23186" xr:uid="{00000000-0005-0000-0000-00003A010000}"/>
    <cellStyle name="20% - Énfasis1 3 4" xfId="7366" xr:uid="{00000000-0005-0000-0000-00003B010000}"/>
    <cellStyle name="20% - Énfasis1 3 4 2" xfId="23187" xr:uid="{00000000-0005-0000-0000-00003C010000}"/>
    <cellStyle name="20% - Énfasis1 3 5" xfId="7367" xr:uid="{00000000-0005-0000-0000-00003D010000}"/>
    <cellStyle name="20% - Énfasis1 3 5 2" xfId="23189" xr:uid="{00000000-0005-0000-0000-00003E010000}"/>
    <cellStyle name="20% - Énfasis1 3 5 3" xfId="23188" xr:uid="{00000000-0005-0000-0000-00003F010000}"/>
    <cellStyle name="20% - Énfasis1 3 6" xfId="23190" xr:uid="{00000000-0005-0000-0000-000040010000}"/>
    <cellStyle name="20% - Énfasis1 3 7" xfId="23191" xr:uid="{00000000-0005-0000-0000-000041010000}"/>
    <cellStyle name="20% - Énfasis1 30" xfId="26057" xr:uid="{00000000-0005-0000-0000-000042010000}"/>
    <cellStyle name="20% - Énfasis1 31" xfId="26561" xr:uid="{00000000-0005-0000-0000-000043010000}"/>
    <cellStyle name="20% - Énfasis1 32" xfId="27065" xr:uid="{00000000-0005-0000-0000-000044010000}"/>
    <cellStyle name="20% - Énfasis1 33" xfId="27569" xr:uid="{00000000-0005-0000-0000-000045010000}"/>
    <cellStyle name="20% - Énfasis1 34" xfId="28073" xr:uid="{00000000-0005-0000-0000-000046010000}"/>
    <cellStyle name="20% - Énfasis1 35" xfId="28577" xr:uid="{00000000-0005-0000-0000-000047010000}"/>
    <cellStyle name="20% - Énfasis1 36" xfId="29081" xr:uid="{00000000-0005-0000-0000-000048010000}"/>
    <cellStyle name="20% - Énfasis1 37" xfId="29585" xr:uid="{00000000-0005-0000-0000-000049010000}"/>
    <cellStyle name="20% - Énfasis1 38" xfId="30089" xr:uid="{00000000-0005-0000-0000-00004A010000}"/>
    <cellStyle name="20% - Énfasis1 39" xfId="30594" xr:uid="{00000000-0005-0000-0000-00004B010000}"/>
    <cellStyle name="20% - Énfasis1 4" xfId="850" xr:uid="{00000000-0005-0000-0000-00004C010000}"/>
    <cellStyle name="20% - Énfasis1 4 2" xfId="851" xr:uid="{00000000-0005-0000-0000-00004D010000}"/>
    <cellStyle name="20% - Énfasis1 4 3" xfId="7369" xr:uid="{00000000-0005-0000-0000-00004E010000}"/>
    <cellStyle name="20% - Énfasis1 4 4" xfId="7370" xr:uid="{00000000-0005-0000-0000-00004F010000}"/>
    <cellStyle name="20% - Énfasis1 4 4 2" xfId="17892" xr:uid="{00000000-0005-0000-0000-000050010000}"/>
    <cellStyle name="20% - Énfasis1 4 5" xfId="7371" xr:uid="{00000000-0005-0000-0000-000051010000}"/>
    <cellStyle name="20% - Énfasis1 4 6" xfId="7368" xr:uid="{00000000-0005-0000-0000-000052010000}"/>
    <cellStyle name="20% - Énfasis1 4 7" xfId="17891" xr:uid="{00000000-0005-0000-0000-000053010000}"/>
    <cellStyle name="20% - Énfasis1 40" xfId="31103" xr:uid="{4D0F11D6-BD59-4F6D-9BA1-BDC976C4C92F}"/>
    <cellStyle name="20% - Énfasis1 41" xfId="31112" xr:uid="{379F03C6-53AB-46EB-92A0-9D6770D0BCE6}"/>
    <cellStyle name="20% - Énfasis1 42" xfId="31118" xr:uid="{EF710BB5-F397-4F5E-9242-0ECC888025B4}"/>
    <cellStyle name="20% - Énfasis1 43" xfId="32013" xr:uid="{456B5296-181E-48A0-8316-D35253C1F8A9}"/>
    <cellStyle name="20% - Énfasis1 5" xfId="852" xr:uid="{00000000-0005-0000-0000-000054010000}"/>
    <cellStyle name="20% - Énfasis1 5 2" xfId="853" xr:uid="{00000000-0005-0000-0000-000055010000}"/>
    <cellStyle name="20% - Énfasis1 6" xfId="854" xr:uid="{00000000-0005-0000-0000-000056010000}"/>
    <cellStyle name="20% - Énfasis1 6 10" xfId="24561" xr:uid="{00000000-0005-0000-0000-000057010000}"/>
    <cellStyle name="20% - Énfasis1 6 11" xfId="25065" xr:uid="{00000000-0005-0000-0000-000058010000}"/>
    <cellStyle name="20% - Énfasis1 6 12" xfId="25569" xr:uid="{00000000-0005-0000-0000-000059010000}"/>
    <cellStyle name="20% - Énfasis1 6 13" xfId="26073" xr:uid="{00000000-0005-0000-0000-00005A010000}"/>
    <cellStyle name="20% - Énfasis1 6 14" xfId="26577" xr:uid="{00000000-0005-0000-0000-00005B010000}"/>
    <cellStyle name="20% - Énfasis1 6 15" xfId="27081" xr:uid="{00000000-0005-0000-0000-00005C010000}"/>
    <cellStyle name="20% - Énfasis1 6 16" xfId="27585" xr:uid="{00000000-0005-0000-0000-00005D010000}"/>
    <cellStyle name="20% - Énfasis1 6 17" xfId="28089" xr:uid="{00000000-0005-0000-0000-00005E010000}"/>
    <cellStyle name="20% - Énfasis1 6 18" xfId="28593" xr:uid="{00000000-0005-0000-0000-00005F010000}"/>
    <cellStyle name="20% - Énfasis1 6 19" xfId="29097" xr:uid="{00000000-0005-0000-0000-000060010000}"/>
    <cellStyle name="20% - Énfasis1 6 2" xfId="855" xr:uid="{00000000-0005-0000-0000-000061010000}"/>
    <cellStyle name="20% - Énfasis1 6 2 2" xfId="17894" xr:uid="{00000000-0005-0000-0000-000062010000}"/>
    <cellStyle name="20% - Énfasis1 6 2 3" xfId="7373" xr:uid="{00000000-0005-0000-0000-000063010000}"/>
    <cellStyle name="20% - Énfasis1 6 20" xfId="29601" xr:uid="{00000000-0005-0000-0000-000064010000}"/>
    <cellStyle name="20% - Énfasis1 6 21" xfId="30105" xr:uid="{00000000-0005-0000-0000-000065010000}"/>
    <cellStyle name="20% - Énfasis1 6 22" xfId="30610" xr:uid="{00000000-0005-0000-0000-000066010000}"/>
    <cellStyle name="20% - Énfasis1 6 3" xfId="1753" xr:uid="{00000000-0005-0000-0000-000067010000}"/>
    <cellStyle name="20% - Énfasis1 6 3 2" xfId="4233" xr:uid="{00000000-0005-0000-0000-000068010000}"/>
    <cellStyle name="20% - Énfasis1 6 3 2 2" xfId="6177" xr:uid="{00000000-0005-0000-0000-000069010000}"/>
    <cellStyle name="20% - Énfasis1 6 3 3" xfId="5267" xr:uid="{00000000-0005-0000-0000-00006A010000}"/>
    <cellStyle name="20% - Énfasis1 6 3 4" xfId="7372" xr:uid="{00000000-0005-0000-0000-00006B010000}"/>
    <cellStyle name="20% - Énfasis1 6 3 5" xfId="23193" xr:uid="{00000000-0005-0000-0000-00006C010000}"/>
    <cellStyle name="20% - Énfasis1 6 4" xfId="2667" xr:uid="{00000000-0005-0000-0000-00006D010000}"/>
    <cellStyle name="20% - Énfasis1 6 4 10" xfId="26578" xr:uid="{00000000-0005-0000-0000-00006E010000}"/>
    <cellStyle name="20% - Énfasis1 6 4 11" xfId="27082" xr:uid="{00000000-0005-0000-0000-00006F010000}"/>
    <cellStyle name="20% - Énfasis1 6 4 12" xfId="27586" xr:uid="{00000000-0005-0000-0000-000070010000}"/>
    <cellStyle name="20% - Énfasis1 6 4 13" xfId="28090" xr:uid="{00000000-0005-0000-0000-000071010000}"/>
    <cellStyle name="20% - Énfasis1 6 4 14" xfId="28594" xr:uid="{00000000-0005-0000-0000-000072010000}"/>
    <cellStyle name="20% - Énfasis1 6 4 15" xfId="29098" xr:uid="{00000000-0005-0000-0000-000073010000}"/>
    <cellStyle name="20% - Énfasis1 6 4 16" xfId="29602" xr:uid="{00000000-0005-0000-0000-000074010000}"/>
    <cellStyle name="20% - Énfasis1 6 4 17" xfId="30106" xr:uid="{00000000-0005-0000-0000-000075010000}"/>
    <cellStyle name="20% - Énfasis1 6 4 18" xfId="30611" xr:uid="{00000000-0005-0000-0000-000076010000}"/>
    <cellStyle name="20% - Énfasis1 6 4 2" xfId="4348" xr:uid="{00000000-0005-0000-0000-000077010000}"/>
    <cellStyle name="20% - Énfasis1 6 4 2 2" xfId="6218" xr:uid="{00000000-0005-0000-0000-000078010000}"/>
    <cellStyle name="20% - Énfasis1 6 4 3" xfId="5315" xr:uid="{00000000-0005-0000-0000-000079010000}"/>
    <cellStyle name="20% - Énfasis1 6 4 4" xfId="17893" xr:uid="{00000000-0005-0000-0000-00007A010000}"/>
    <cellStyle name="20% - Énfasis1 6 4 5" xfId="23194" xr:uid="{00000000-0005-0000-0000-00007B010000}"/>
    <cellStyle name="20% - Énfasis1 6 4 6" xfId="24562" xr:uid="{00000000-0005-0000-0000-00007C010000}"/>
    <cellStyle name="20% - Énfasis1 6 4 7" xfId="25066" xr:uid="{00000000-0005-0000-0000-00007D010000}"/>
    <cellStyle name="20% - Énfasis1 6 4 8" xfId="25570" xr:uid="{00000000-0005-0000-0000-00007E010000}"/>
    <cellStyle name="20% - Énfasis1 6 4 9" xfId="26074" xr:uid="{00000000-0005-0000-0000-00007F010000}"/>
    <cellStyle name="20% - Énfasis1 6 5" xfId="3746" xr:uid="{00000000-0005-0000-0000-000080010000}"/>
    <cellStyle name="20% - Énfasis1 6 6" xfId="3162" xr:uid="{00000000-0005-0000-0000-000081010000}"/>
    <cellStyle name="20% - Énfasis1 6 6 2" xfId="5730" xr:uid="{00000000-0005-0000-0000-000082010000}"/>
    <cellStyle name="20% - Énfasis1 6 7" xfId="6772" xr:uid="{00000000-0005-0000-0000-000083010000}"/>
    <cellStyle name="20% - Énfasis1 6 8" xfId="7104" xr:uid="{00000000-0005-0000-0000-000084010000}"/>
    <cellStyle name="20% - Énfasis1 6 9" xfId="23192" xr:uid="{00000000-0005-0000-0000-000085010000}"/>
    <cellStyle name="20% - Énfasis1 7" xfId="856" xr:uid="{00000000-0005-0000-0000-000086010000}"/>
    <cellStyle name="20% - Énfasis1 7 10" xfId="24563" xr:uid="{00000000-0005-0000-0000-000087010000}"/>
    <cellStyle name="20% - Énfasis1 7 11" xfId="25067" xr:uid="{00000000-0005-0000-0000-000088010000}"/>
    <cellStyle name="20% - Énfasis1 7 12" xfId="25571" xr:uid="{00000000-0005-0000-0000-000089010000}"/>
    <cellStyle name="20% - Énfasis1 7 13" xfId="26075" xr:uid="{00000000-0005-0000-0000-00008A010000}"/>
    <cellStyle name="20% - Énfasis1 7 14" xfId="26579" xr:uid="{00000000-0005-0000-0000-00008B010000}"/>
    <cellStyle name="20% - Énfasis1 7 15" xfId="27083" xr:uid="{00000000-0005-0000-0000-00008C010000}"/>
    <cellStyle name="20% - Énfasis1 7 16" xfId="27587" xr:uid="{00000000-0005-0000-0000-00008D010000}"/>
    <cellStyle name="20% - Énfasis1 7 17" xfId="28091" xr:uid="{00000000-0005-0000-0000-00008E010000}"/>
    <cellStyle name="20% - Énfasis1 7 18" xfId="28595" xr:uid="{00000000-0005-0000-0000-00008F010000}"/>
    <cellStyle name="20% - Énfasis1 7 19" xfId="29099" xr:uid="{00000000-0005-0000-0000-000090010000}"/>
    <cellStyle name="20% - Énfasis1 7 2" xfId="857" xr:uid="{00000000-0005-0000-0000-000091010000}"/>
    <cellStyle name="20% - Énfasis1 7 2 2" xfId="17896" xr:uid="{00000000-0005-0000-0000-000092010000}"/>
    <cellStyle name="20% - Énfasis1 7 2 3" xfId="7375" xr:uid="{00000000-0005-0000-0000-000093010000}"/>
    <cellStyle name="20% - Énfasis1 7 20" xfId="29603" xr:uid="{00000000-0005-0000-0000-000094010000}"/>
    <cellStyle name="20% - Énfasis1 7 21" xfId="30107" xr:uid="{00000000-0005-0000-0000-000095010000}"/>
    <cellStyle name="20% - Énfasis1 7 22" xfId="30612" xr:uid="{00000000-0005-0000-0000-000096010000}"/>
    <cellStyle name="20% - Énfasis1 7 3" xfId="1754" xr:uid="{00000000-0005-0000-0000-000097010000}"/>
    <cellStyle name="20% - Énfasis1 7 3 2" xfId="4234" xr:uid="{00000000-0005-0000-0000-000098010000}"/>
    <cellStyle name="20% - Énfasis1 7 3 2 2" xfId="6178" xr:uid="{00000000-0005-0000-0000-000099010000}"/>
    <cellStyle name="20% - Énfasis1 7 3 3" xfId="5268" xr:uid="{00000000-0005-0000-0000-00009A010000}"/>
    <cellStyle name="20% - Énfasis1 7 3 4" xfId="7374" xr:uid="{00000000-0005-0000-0000-00009B010000}"/>
    <cellStyle name="20% - Énfasis1 7 3 5" xfId="23196" xr:uid="{00000000-0005-0000-0000-00009C010000}"/>
    <cellStyle name="20% - Énfasis1 7 4" xfId="2668" xr:uid="{00000000-0005-0000-0000-00009D010000}"/>
    <cellStyle name="20% - Énfasis1 7 4 10" xfId="26580" xr:uid="{00000000-0005-0000-0000-00009E010000}"/>
    <cellStyle name="20% - Énfasis1 7 4 11" xfId="27084" xr:uid="{00000000-0005-0000-0000-00009F010000}"/>
    <cellStyle name="20% - Énfasis1 7 4 12" xfId="27588" xr:uid="{00000000-0005-0000-0000-0000A0010000}"/>
    <cellStyle name="20% - Énfasis1 7 4 13" xfId="28092" xr:uid="{00000000-0005-0000-0000-0000A1010000}"/>
    <cellStyle name="20% - Énfasis1 7 4 14" xfId="28596" xr:uid="{00000000-0005-0000-0000-0000A2010000}"/>
    <cellStyle name="20% - Énfasis1 7 4 15" xfId="29100" xr:uid="{00000000-0005-0000-0000-0000A3010000}"/>
    <cellStyle name="20% - Énfasis1 7 4 16" xfId="29604" xr:uid="{00000000-0005-0000-0000-0000A4010000}"/>
    <cellStyle name="20% - Énfasis1 7 4 17" xfId="30108" xr:uid="{00000000-0005-0000-0000-0000A5010000}"/>
    <cellStyle name="20% - Énfasis1 7 4 18" xfId="30613" xr:uid="{00000000-0005-0000-0000-0000A6010000}"/>
    <cellStyle name="20% - Énfasis1 7 4 2" xfId="4349" xr:uid="{00000000-0005-0000-0000-0000A7010000}"/>
    <cellStyle name="20% - Énfasis1 7 4 2 2" xfId="6219" xr:uid="{00000000-0005-0000-0000-0000A8010000}"/>
    <cellStyle name="20% - Énfasis1 7 4 3" xfId="5316" xr:uid="{00000000-0005-0000-0000-0000A9010000}"/>
    <cellStyle name="20% - Énfasis1 7 4 4" xfId="17895" xr:uid="{00000000-0005-0000-0000-0000AA010000}"/>
    <cellStyle name="20% - Énfasis1 7 4 5" xfId="23197" xr:uid="{00000000-0005-0000-0000-0000AB010000}"/>
    <cellStyle name="20% - Énfasis1 7 4 6" xfId="24564" xr:uid="{00000000-0005-0000-0000-0000AC010000}"/>
    <cellStyle name="20% - Énfasis1 7 4 7" xfId="25068" xr:uid="{00000000-0005-0000-0000-0000AD010000}"/>
    <cellStyle name="20% - Énfasis1 7 4 8" xfId="25572" xr:uid="{00000000-0005-0000-0000-0000AE010000}"/>
    <cellStyle name="20% - Énfasis1 7 4 9" xfId="26076" xr:uid="{00000000-0005-0000-0000-0000AF010000}"/>
    <cellStyle name="20% - Énfasis1 7 5" xfId="3747" xr:uid="{00000000-0005-0000-0000-0000B0010000}"/>
    <cellStyle name="20% - Énfasis1 7 6" xfId="3163" xr:uid="{00000000-0005-0000-0000-0000B1010000}"/>
    <cellStyle name="20% - Énfasis1 7 6 2" xfId="5731" xr:uid="{00000000-0005-0000-0000-0000B2010000}"/>
    <cellStyle name="20% - Énfasis1 7 7" xfId="6773" xr:uid="{00000000-0005-0000-0000-0000B3010000}"/>
    <cellStyle name="20% - Énfasis1 7 8" xfId="7103" xr:uid="{00000000-0005-0000-0000-0000B4010000}"/>
    <cellStyle name="20% - Énfasis1 7 9" xfId="23195" xr:uid="{00000000-0005-0000-0000-0000B5010000}"/>
    <cellStyle name="20% - Énfasis1 8" xfId="858" xr:uid="{00000000-0005-0000-0000-0000B6010000}"/>
    <cellStyle name="20% - Énfasis1 8 2" xfId="859" xr:uid="{00000000-0005-0000-0000-0000B7010000}"/>
    <cellStyle name="20% - Énfasis1 8 3" xfId="7357" xr:uid="{00000000-0005-0000-0000-0000B8010000}"/>
    <cellStyle name="20% - Énfasis1 9" xfId="860" xr:uid="{00000000-0005-0000-0000-0000B9010000}"/>
    <cellStyle name="20% - Énfasis1 9 10" xfId="4937" xr:uid="{00000000-0005-0000-0000-0000BA010000}"/>
    <cellStyle name="20% - Énfasis1 9 11" xfId="6716" xr:uid="{00000000-0005-0000-0000-0000BB010000}"/>
    <cellStyle name="20% - Énfasis1 9 12" xfId="17890" xr:uid="{00000000-0005-0000-0000-0000BC010000}"/>
    <cellStyle name="20% - Énfasis1 9 13" xfId="22854" xr:uid="{00000000-0005-0000-0000-0000BD010000}"/>
    <cellStyle name="20% - Énfasis1 9 14" xfId="23198" xr:uid="{00000000-0005-0000-0000-0000BE010000}"/>
    <cellStyle name="20% - Énfasis1 9 15" xfId="24565" xr:uid="{00000000-0005-0000-0000-0000BF010000}"/>
    <cellStyle name="20% - Énfasis1 9 16" xfId="25069" xr:uid="{00000000-0005-0000-0000-0000C0010000}"/>
    <cellStyle name="20% - Énfasis1 9 17" xfId="25573" xr:uid="{00000000-0005-0000-0000-0000C1010000}"/>
    <cellStyle name="20% - Énfasis1 9 18" xfId="26077" xr:uid="{00000000-0005-0000-0000-0000C2010000}"/>
    <cellStyle name="20% - Énfasis1 9 19" xfId="26581" xr:uid="{00000000-0005-0000-0000-0000C3010000}"/>
    <cellStyle name="20% - Énfasis1 9 2" xfId="1434" xr:uid="{00000000-0005-0000-0000-0000C4010000}"/>
    <cellStyle name="20% - Énfasis1 9 2 10" xfId="26078" xr:uid="{00000000-0005-0000-0000-0000C5010000}"/>
    <cellStyle name="20% - Énfasis1 9 2 11" xfId="26582" xr:uid="{00000000-0005-0000-0000-0000C6010000}"/>
    <cellStyle name="20% - Énfasis1 9 2 12" xfId="27086" xr:uid="{00000000-0005-0000-0000-0000C7010000}"/>
    <cellStyle name="20% - Énfasis1 9 2 13" xfId="27590" xr:uid="{00000000-0005-0000-0000-0000C8010000}"/>
    <cellStyle name="20% - Énfasis1 9 2 14" xfId="28094" xr:uid="{00000000-0005-0000-0000-0000C9010000}"/>
    <cellStyle name="20% - Énfasis1 9 2 15" xfId="28598" xr:uid="{00000000-0005-0000-0000-0000CA010000}"/>
    <cellStyle name="20% - Énfasis1 9 2 16" xfId="29102" xr:uid="{00000000-0005-0000-0000-0000CB010000}"/>
    <cellStyle name="20% - Énfasis1 9 2 17" xfId="29606" xr:uid="{00000000-0005-0000-0000-0000CC010000}"/>
    <cellStyle name="20% - Énfasis1 9 2 18" xfId="30110" xr:uid="{00000000-0005-0000-0000-0000CD010000}"/>
    <cellStyle name="20% - Énfasis1 9 2 19" xfId="30615" xr:uid="{00000000-0005-0000-0000-0000CE010000}"/>
    <cellStyle name="20% - Énfasis1 9 2 2" xfId="1526" xr:uid="{00000000-0005-0000-0000-0000CF010000}"/>
    <cellStyle name="20% - Énfasis1 9 2 2 2" xfId="2953" xr:uid="{00000000-0005-0000-0000-0000D0010000}"/>
    <cellStyle name="20% - Énfasis1 9 2 2 2 2" xfId="4572" xr:uid="{00000000-0005-0000-0000-0000D1010000}"/>
    <cellStyle name="20% - Énfasis1 9 2 2 2 2 2" xfId="6439" xr:uid="{00000000-0005-0000-0000-0000D2010000}"/>
    <cellStyle name="20% - Énfasis1 9 2 2 2 3" xfId="5537" xr:uid="{00000000-0005-0000-0000-0000D3010000}"/>
    <cellStyle name="20% - Énfasis1 9 2 2 3" xfId="4045" xr:uid="{00000000-0005-0000-0000-0000D4010000}"/>
    <cellStyle name="20% - Énfasis1 9 2 2 3 2" xfId="5993" xr:uid="{00000000-0005-0000-0000-0000D5010000}"/>
    <cellStyle name="20% - Énfasis1 9 2 2 4" xfId="5079" xr:uid="{00000000-0005-0000-0000-0000D6010000}"/>
    <cellStyle name="20% - Énfasis1 9 2 3" xfId="2868" xr:uid="{00000000-0005-0000-0000-0000D7010000}"/>
    <cellStyle name="20% - Énfasis1 9 2 3 2" xfId="4487" xr:uid="{00000000-0005-0000-0000-0000D8010000}"/>
    <cellStyle name="20% - Énfasis1 9 2 3 2 2" xfId="6354" xr:uid="{00000000-0005-0000-0000-0000D9010000}"/>
    <cellStyle name="20% - Énfasis1 9 2 3 3" xfId="5452" xr:uid="{00000000-0005-0000-0000-0000DA010000}"/>
    <cellStyle name="20% - Énfasis1 9 2 4" xfId="3955" xr:uid="{00000000-0005-0000-0000-0000DB010000}"/>
    <cellStyle name="20% - Énfasis1 9 2 4 2" xfId="5909" xr:uid="{00000000-0005-0000-0000-0000DC010000}"/>
    <cellStyle name="20% - Énfasis1 9 2 5" xfId="4994" xr:uid="{00000000-0005-0000-0000-0000DD010000}"/>
    <cellStyle name="20% - Énfasis1 9 2 6" xfId="23199" xr:uid="{00000000-0005-0000-0000-0000DE010000}"/>
    <cellStyle name="20% - Énfasis1 9 2 7" xfId="24566" xr:uid="{00000000-0005-0000-0000-0000DF010000}"/>
    <cellStyle name="20% - Énfasis1 9 2 8" xfId="25070" xr:uid="{00000000-0005-0000-0000-0000E0010000}"/>
    <cellStyle name="20% - Énfasis1 9 2 9" xfId="25574" xr:uid="{00000000-0005-0000-0000-0000E1010000}"/>
    <cellStyle name="20% - Énfasis1 9 20" xfId="27085" xr:uid="{00000000-0005-0000-0000-0000E2010000}"/>
    <cellStyle name="20% - Énfasis1 9 21" xfId="27589" xr:uid="{00000000-0005-0000-0000-0000E3010000}"/>
    <cellStyle name="20% - Énfasis1 9 22" xfId="28093" xr:uid="{00000000-0005-0000-0000-0000E4010000}"/>
    <cellStyle name="20% - Énfasis1 9 23" xfId="28597" xr:uid="{00000000-0005-0000-0000-0000E5010000}"/>
    <cellStyle name="20% - Énfasis1 9 24" xfId="29101" xr:uid="{00000000-0005-0000-0000-0000E6010000}"/>
    <cellStyle name="20% - Énfasis1 9 25" xfId="29605" xr:uid="{00000000-0005-0000-0000-0000E7010000}"/>
    <cellStyle name="20% - Énfasis1 9 26" xfId="30109" xr:uid="{00000000-0005-0000-0000-0000E8010000}"/>
    <cellStyle name="20% - Énfasis1 9 27" xfId="30614" xr:uid="{00000000-0005-0000-0000-0000E9010000}"/>
    <cellStyle name="20% - Énfasis1 9 3" xfId="1473" xr:uid="{00000000-0005-0000-0000-0000EA010000}"/>
    <cellStyle name="20% - Énfasis1 9 3 2" xfId="1527" xr:uid="{00000000-0005-0000-0000-0000EB010000}"/>
    <cellStyle name="20% - Énfasis1 9 3 2 2" xfId="2954" xr:uid="{00000000-0005-0000-0000-0000EC010000}"/>
    <cellStyle name="20% - Énfasis1 9 3 2 2 2" xfId="4573" xr:uid="{00000000-0005-0000-0000-0000ED010000}"/>
    <cellStyle name="20% - Énfasis1 9 3 2 2 2 2" xfId="6440" xr:uid="{00000000-0005-0000-0000-0000EE010000}"/>
    <cellStyle name="20% - Énfasis1 9 3 2 2 3" xfId="5538" xr:uid="{00000000-0005-0000-0000-0000EF010000}"/>
    <cellStyle name="20% - Énfasis1 9 3 2 3" xfId="4046" xr:uid="{00000000-0005-0000-0000-0000F0010000}"/>
    <cellStyle name="20% - Énfasis1 9 3 2 3 2" xfId="5994" xr:uid="{00000000-0005-0000-0000-0000F1010000}"/>
    <cellStyle name="20% - Énfasis1 9 3 2 4" xfId="5080" xr:uid="{00000000-0005-0000-0000-0000F2010000}"/>
    <cellStyle name="20% - Énfasis1 9 3 3" xfId="2907" xr:uid="{00000000-0005-0000-0000-0000F3010000}"/>
    <cellStyle name="20% - Énfasis1 9 3 3 2" xfId="4526" xr:uid="{00000000-0005-0000-0000-0000F4010000}"/>
    <cellStyle name="20% - Énfasis1 9 3 3 2 2" xfId="6393" xr:uid="{00000000-0005-0000-0000-0000F5010000}"/>
    <cellStyle name="20% - Énfasis1 9 3 3 3" xfId="5491" xr:uid="{00000000-0005-0000-0000-0000F6010000}"/>
    <cellStyle name="20% - Énfasis1 9 3 4" xfId="3994" xr:uid="{00000000-0005-0000-0000-0000F7010000}"/>
    <cellStyle name="20% - Énfasis1 9 3 4 2" xfId="5948" xr:uid="{00000000-0005-0000-0000-0000F8010000}"/>
    <cellStyle name="20% - Énfasis1 9 3 5" xfId="5033" xr:uid="{00000000-0005-0000-0000-0000F9010000}"/>
    <cellStyle name="20% - Énfasis1 9 4" xfId="1528" xr:uid="{00000000-0005-0000-0000-0000FA010000}"/>
    <cellStyle name="20% - Énfasis1 9 4 2" xfId="2955" xr:uid="{00000000-0005-0000-0000-0000FB010000}"/>
    <cellStyle name="20% - Énfasis1 9 4 2 2" xfId="4574" xr:uid="{00000000-0005-0000-0000-0000FC010000}"/>
    <cellStyle name="20% - Énfasis1 9 4 2 2 2" xfId="6441" xr:uid="{00000000-0005-0000-0000-0000FD010000}"/>
    <cellStyle name="20% - Énfasis1 9 4 2 3" xfId="5539" xr:uid="{00000000-0005-0000-0000-0000FE010000}"/>
    <cellStyle name="20% - Énfasis1 9 4 3" xfId="4047" xr:uid="{00000000-0005-0000-0000-0000FF010000}"/>
    <cellStyle name="20% - Énfasis1 9 4 3 2" xfId="5995" xr:uid="{00000000-0005-0000-0000-000000020000}"/>
    <cellStyle name="20% - Énfasis1 9 4 4" xfId="5081" xr:uid="{00000000-0005-0000-0000-000001020000}"/>
    <cellStyle name="20% - Énfasis1 9 5" xfId="1529" xr:uid="{00000000-0005-0000-0000-000002020000}"/>
    <cellStyle name="20% - Énfasis1 9 5 2" xfId="2956" xr:uid="{00000000-0005-0000-0000-000003020000}"/>
    <cellStyle name="20% - Énfasis1 9 5 2 2" xfId="4575" xr:uid="{00000000-0005-0000-0000-000004020000}"/>
    <cellStyle name="20% - Énfasis1 9 5 2 2 2" xfId="6442" xr:uid="{00000000-0005-0000-0000-000005020000}"/>
    <cellStyle name="20% - Énfasis1 9 5 2 3" xfId="5540" xr:uid="{00000000-0005-0000-0000-000006020000}"/>
    <cellStyle name="20% - Énfasis1 9 5 3" xfId="4048" xr:uid="{00000000-0005-0000-0000-000007020000}"/>
    <cellStyle name="20% - Énfasis1 9 5 3 2" xfId="5996" xr:uid="{00000000-0005-0000-0000-000008020000}"/>
    <cellStyle name="20% - Énfasis1 9 5 4" xfId="5082" xr:uid="{00000000-0005-0000-0000-000009020000}"/>
    <cellStyle name="20% - Énfasis1 9 6" xfId="2809" xr:uid="{00000000-0005-0000-0000-00000A020000}"/>
    <cellStyle name="20% - Énfasis1 9 6 2" xfId="4429" xr:uid="{00000000-0005-0000-0000-00000B020000}"/>
    <cellStyle name="20% - Énfasis1 9 6 2 2" xfId="6297" xr:uid="{00000000-0005-0000-0000-00000C020000}"/>
    <cellStyle name="20% - Énfasis1 9 6 3" xfId="5395" xr:uid="{00000000-0005-0000-0000-00000D020000}"/>
    <cellStyle name="20% - Énfasis1 9 7" xfId="3748" xr:uid="{00000000-0005-0000-0000-00000E020000}"/>
    <cellStyle name="20% - Énfasis1 9 7 2" xfId="5853" xr:uid="{00000000-0005-0000-0000-00000F020000}"/>
    <cellStyle name="20% - Énfasis1 9 8" xfId="4788" xr:uid="{00000000-0005-0000-0000-000010020000}"/>
    <cellStyle name="20% - Énfasis1 9 8 2" xfId="6633" xr:uid="{00000000-0005-0000-0000-000011020000}"/>
    <cellStyle name="20% - Énfasis1 9 9" xfId="4831" xr:uid="{00000000-0005-0000-0000-000012020000}"/>
    <cellStyle name="20% - Énfasis1 9 9 2" xfId="6675" xr:uid="{00000000-0005-0000-0000-000013020000}"/>
    <cellStyle name="20% - Énfasis2" xfId="15" builtinId="34" customBuiltin="1"/>
    <cellStyle name="20% - Énfasis2 10" xfId="862" xr:uid="{00000000-0005-0000-0000-000015020000}"/>
    <cellStyle name="20% - Énfasis2 10 10" xfId="4939" xr:uid="{00000000-0005-0000-0000-000016020000}"/>
    <cellStyle name="20% - Énfasis2 10 11" xfId="6718" xr:uid="{00000000-0005-0000-0000-000017020000}"/>
    <cellStyle name="20% - Énfasis2 10 12" xfId="22856" xr:uid="{00000000-0005-0000-0000-000018020000}"/>
    <cellStyle name="20% - Énfasis2 10 13" xfId="23200" xr:uid="{00000000-0005-0000-0000-000019020000}"/>
    <cellStyle name="20% - Énfasis2 10 14" xfId="24567" xr:uid="{00000000-0005-0000-0000-00001A020000}"/>
    <cellStyle name="20% - Énfasis2 10 15" xfId="25071" xr:uid="{00000000-0005-0000-0000-00001B020000}"/>
    <cellStyle name="20% - Énfasis2 10 16" xfId="25575" xr:uid="{00000000-0005-0000-0000-00001C020000}"/>
    <cellStyle name="20% - Énfasis2 10 17" xfId="26079" xr:uid="{00000000-0005-0000-0000-00001D020000}"/>
    <cellStyle name="20% - Énfasis2 10 18" xfId="26583" xr:uid="{00000000-0005-0000-0000-00001E020000}"/>
    <cellStyle name="20% - Énfasis2 10 19" xfId="27087" xr:uid="{00000000-0005-0000-0000-00001F020000}"/>
    <cellStyle name="20% - Énfasis2 10 2" xfId="1436" xr:uid="{00000000-0005-0000-0000-000020020000}"/>
    <cellStyle name="20% - Énfasis2 10 2 10" xfId="26080" xr:uid="{00000000-0005-0000-0000-000021020000}"/>
    <cellStyle name="20% - Énfasis2 10 2 11" xfId="26584" xr:uid="{00000000-0005-0000-0000-000022020000}"/>
    <cellStyle name="20% - Énfasis2 10 2 12" xfId="27088" xr:uid="{00000000-0005-0000-0000-000023020000}"/>
    <cellStyle name="20% - Énfasis2 10 2 13" xfId="27592" xr:uid="{00000000-0005-0000-0000-000024020000}"/>
    <cellStyle name="20% - Énfasis2 10 2 14" xfId="28096" xr:uid="{00000000-0005-0000-0000-000025020000}"/>
    <cellStyle name="20% - Énfasis2 10 2 15" xfId="28600" xr:uid="{00000000-0005-0000-0000-000026020000}"/>
    <cellStyle name="20% - Énfasis2 10 2 16" xfId="29104" xr:uid="{00000000-0005-0000-0000-000027020000}"/>
    <cellStyle name="20% - Énfasis2 10 2 17" xfId="29608" xr:uid="{00000000-0005-0000-0000-000028020000}"/>
    <cellStyle name="20% - Énfasis2 10 2 18" xfId="30112" xr:uid="{00000000-0005-0000-0000-000029020000}"/>
    <cellStyle name="20% - Énfasis2 10 2 19" xfId="30617" xr:uid="{00000000-0005-0000-0000-00002A020000}"/>
    <cellStyle name="20% - Énfasis2 10 2 2" xfId="1530" xr:uid="{00000000-0005-0000-0000-00002B020000}"/>
    <cellStyle name="20% - Énfasis2 10 2 2 2" xfId="2957" xr:uid="{00000000-0005-0000-0000-00002C020000}"/>
    <cellStyle name="20% - Énfasis2 10 2 2 2 2" xfId="4576" xr:uid="{00000000-0005-0000-0000-00002D020000}"/>
    <cellStyle name="20% - Énfasis2 10 2 2 2 2 2" xfId="6443" xr:uid="{00000000-0005-0000-0000-00002E020000}"/>
    <cellStyle name="20% - Énfasis2 10 2 2 2 3" xfId="5541" xr:uid="{00000000-0005-0000-0000-00002F020000}"/>
    <cellStyle name="20% - Énfasis2 10 2 2 3" xfId="4049" xr:uid="{00000000-0005-0000-0000-000030020000}"/>
    <cellStyle name="20% - Énfasis2 10 2 2 3 2" xfId="5997" xr:uid="{00000000-0005-0000-0000-000031020000}"/>
    <cellStyle name="20% - Énfasis2 10 2 2 4" xfId="5083" xr:uid="{00000000-0005-0000-0000-000032020000}"/>
    <cellStyle name="20% - Énfasis2 10 2 3" xfId="2870" xr:uid="{00000000-0005-0000-0000-000033020000}"/>
    <cellStyle name="20% - Énfasis2 10 2 3 2" xfId="4489" xr:uid="{00000000-0005-0000-0000-000034020000}"/>
    <cellStyle name="20% - Énfasis2 10 2 3 2 2" xfId="6356" xr:uid="{00000000-0005-0000-0000-000035020000}"/>
    <cellStyle name="20% - Énfasis2 10 2 3 3" xfId="5454" xr:uid="{00000000-0005-0000-0000-000036020000}"/>
    <cellStyle name="20% - Énfasis2 10 2 4" xfId="3957" xr:uid="{00000000-0005-0000-0000-000037020000}"/>
    <cellStyle name="20% - Énfasis2 10 2 4 2" xfId="5911" xr:uid="{00000000-0005-0000-0000-000038020000}"/>
    <cellStyle name="20% - Énfasis2 10 2 5" xfId="4996" xr:uid="{00000000-0005-0000-0000-000039020000}"/>
    <cellStyle name="20% - Énfasis2 10 2 6" xfId="23201" xr:uid="{00000000-0005-0000-0000-00003A020000}"/>
    <cellStyle name="20% - Énfasis2 10 2 7" xfId="24568" xr:uid="{00000000-0005-0000-0000-00003B020000}"/>
    <cellStyle name="20% - Énfasis2 10 2 8" xfId="25072" xr:uid="{00000000-0005-0000-0000-00003C020000}"/>
    <cellStyle name="20% - Énfasis2 10 2 9" xfId="25576" xr:uid="{00000000-0005-0000-0000-00003D020000}"/>
    <cellStyle name="20% - Énfasis2 10 20" xfId="27591" xr:uid="{00000000-0005-0000-0000-00003E020000}"/>
    <cellStyle name="20% - Énfasis2 10 21" xfId="28095" xr:uid="{00000000-0005-0000-0000-00003F020000}"/>
    <cellStyle name="20% - Énfasis2 10 22" xfId="28599" xr:uid="{00000000-0005-0000-0000-000040020000}"/>
    <cellStyle name="20% - Énfasis2 10 23" xfId="29103" xr:uid="{00000000-0005-0000-0000-000041020000}"/>
    <cellStyle name="20% - Énfasis2 10 24" xfId="29607" xr:uid="{00000000-0005-0000-0000-000042020000}"/>
    <cellStyle name="20% - Énfasis2 10 25" xfId="30111" xr:uid="{00000000-0005-0000-0000-000043020000}"/>
    <cellStyle name="20% - Énfasis2 10 26" xfId="30616" xr:uid="{00000000-0005-0000-0000-000044020000}"/>
    <cellStyle name="20% - Énfasis2 10 3" xfId="1474" xr:uid="{00000000-0005-0000-0000-000045020000}"/>
    <cellStyle name="20% - Énfasis2 10 3 2" xfId="1531" xr:uid="{00000000-0005-0000-0000-000046020000}"/>
    <cellStyle name="20% - Énfasis2 10 3 2 2" xfId="2958" xr:uid="{00000000-0005-0000-0000-000047020000}"/>
    <cellStyle name="20% - Énfasis2 10 3 2 2 2" xfId="4577" xr:uid="{00000000-0005-0000-0000-000048020000}"/>
    <cellStyle name="20% - Énfasis2 10 3 2 2 2 2" xfId="6444" xr:uid="{00000000-0005-0000-0000-000049020000}"/>
    <cellStyle name="20% - Énfasis2 10 3 2 2 3" xfId="5542" xr:uid="{00000000-0005-0000-0000-00004A020000}"/>
    <cellStyle name="20% - Énfasis2 10 3 2 3" xfId="4050" xr:uid="{00000000-0005-0000-0000-00004B020000}"/>
    <cellStyle name="20% - Énfasis2 10 3 2 3 2" xfId="5998" xr:uid="{00000000-0005-0000-0000-00004C020000}"/>
    <cellStyle name="20% - Énfasis2 10 3 2 4" xfId="5084" xr:uid="{00000000-0005-0000-0000-00004D020000}"/>
    <cellStyle name="20% - Énfasis2 10 3 3" xfId="2908" xr:uid="{00000000-0005-0000-0000-00004E020000}"/>
    <cellStyle name="20% - Énfasis2 10 3 3 2" xfId="4527" xr:uid="{00000000-0005-0000-0000-00004F020000}"/>
    <cellStyle name="20% - Énfasis2 10 3 3 2 2" xfId="6394" xr:uid="{00000000-0005-0000-0000-000050020000}"/>
    <cellStyle name="20% - Énfasis2 10 3 3 3" xfId="5492" xr:uid="{00000000-0005-0000-0000-000051020000}"/>
    <cellStyle name="20% - Énfasis2 10 3 4" xfId="3995" xr:uid="{00000000-0005-0000-0000-000052020000}"/>
    <cellStyle name="20% - Énfasis2 10 3 4 2" xfId="5949" xr:uid="{00000000-0005-0000-0000-000053020000}"/>
    <cellStyle name="20% - Énfasis2 10 3 5" xfId="5034" xr:uid="{00000000-0005-0000-0000-000054020000}"/>
    <cellStyle name="20% - Énfasis2 10 4" xfId="1532" xr:uid="{00000000-0005-0000-0000-000055020000}"/>
    <cellStyle name="20% - Énfasis2 10 4 2" xfId="2959" xr:uid="{00000000-0005-0000-0000-000056020000}"/>
    <cellStyle name="20% - Énfasis2 10 4 2 2" xfId="4578" xr:uid="{00000000-0005-0000-0000-000057020000}"/>
    <cellStyle name="20% - Énfasis2 10 4 2 2 2" xfId="6445" xr:uid="{00000000-0005-0000-0000-000058020000}"/>
    <cellStyle name="20% - Énfasis2 10 4 2 3" xfId="5543" xr:uid="{00000000-0005-0000-0000-000059020000}"/>
    <cellStyle name="20% - Énfasis2 10 4 3" xfId="4051" xr:uid="{00000000-0005-0000-0000-00005A020000}"/>
    <cellStyle name="20% - Énfasis2 10 4 3 2" xfId="5999" xr:uid="{00000000-0005-0000-0000-00005B020000}"/>
    <cellStyle name="20% - Énfasis2 10 4 4" xfId="5085" xr:uid="{00000000-0005-0000-0000-00005C020000}"/>
    <cellStyle name="20% - Énfasis2 10 5" xfId="1533" xr:uid="{00000000-0005-0000-0000-00005D020000}"/>
    <cellStyle name="20% - Énfasis2 10 5 2" xfId="2960" xr:uid="{00000000-0005-0000-0000-00005E020000}"/>
    <cellStyle name="20% - Énfasis2 10 5 2 2" xfId="4579" xr:uid="{00000000-0005-0000-0000-00005F020000}"/>
    <cellStyle name="20% - Énfasis2 10 5 2 2 2" xfId="6446" xr:uid="{00000000-0005-0000-0000-000060020000}"/>
    <cellStyle name="20% - Énfasis2 10 5 2 3" xfId="5544" xr:uid="{00000000-0005-0000-0000-000061020000}"/>
    <cellStyle name="20% - Énfasis2 10 5 3" xfId="4052" xr:uid="{00000000-0005-0000-0000-000062020000}"/>
    <cellStyle name="20% - Énfasis2 10 5 3 2" xfId="6000" xr:uid="{00000000-0005-0000-0000-000063020000}"/>
    <cellStyle name="20% - Énfasis2 10 5 4" xfId="5086" xr:uid="{00000000-0005-0000-0000-000064020000}"/>
    <cellStyle name="20% - Énfasis2 10 6" xfId="2811" xr:uid="{00000000-0005-0000-0000-000065020000}"/>
    <cellStyle name="20% - Énfasis2 10 6 2" xfId="4431" xr:uid="{00000000-0005-0000-0000-000066020000}"/>
    <cellStyle name="20% - Énfasis2 10 6 2 2" xfId="6299" xr:uid="{00000000-0005-0000-0000-000067020000}"/>
    <cellStyle name="20% - Énfasis2 10 6 3" xfId="5397" xr:uid="{00000000-0005-0000-0000-000068020000}"/>
    <cellStyle name="20% - Énfasis2 10 7" xfId="3750" xr:uid="{00000000-0005-0000-0000-000069020000}"/>
    <cellStyle name="20% - Énfasis2 10 7 2" xfId="5855" xr:uid="{00000000-0005-0000-0000-00006A020000}"/>
    <cellStyle name="20% - Énfasis2 10 8" xfId="4790" xr:uid="{00000000-0005-0000-0000-00006B020000}"/>
    <cellStyle name="20% - Énfasis2 10 8 2" xfId="6635" xr:uid="{00000000-0005-0000-0000-00006C020000}"/>
    <cellStyle name="20% - Énfasis2 10 9" xfId="4833" xr:uid="{00000000-0005-0000-0000-00006D020000}"/>
    <cellStyle name="20% - Énfasis2 10 9 2" xfId="6677" xr:uid="{00000000-0005-0000-0000-00006E020000}"/>
    <cellStyle name="20% - Énfasis2 11" xfId="863" xr:uid="{00000000-0005-0000-0000-00006F020000}"/>
    <cellStyle name="20% - Énfasis2 11 2" xfId="864" xr:uid="{00000000-0005-0000-0000-000070020000}"/>
    <cellStyle name="20% - Énfasis2 12" xfId="861" xr:uid="{00000000-0005-0000-0000-000071020000}"/>
    <cellStyle name="20% - Énfasis2 12 10" xfId="25577" xr:uid="{00000000-0005-0000-0000-000072020000}"/>
    <cellStyle name="20% - Énfasis2 12 11" xfId="26081" xr:uid="{00000000-0005-0000-0000-000073020000}"/>
    <cellStyle name="20% - Énfasis2 12 12" xfId="26585" xr:uid="{00000000-0005-0000-0000-000074020000}"/>
    <cellStyle name="20% - Énfasis2 12 13" xfId="27089" xr:uid="{00000000-0005-0000-0000-000075020000}"/>
    <cellStyle name="20% - Énfasis2 12 14" xfId="27593" xr:uid="{00000000-0005-0000-0000-000076020000}"/>
    <cellStyle name="20% - Énfasis2 12 15" xfId="28097" xr:uid="{00000000-0005-0000-0000-000077020000}"/>
    <cellStyle name="20% - Énfasis2 12 16" xfId="28601" xr:uid="{00000000-0005-0000-0000-000078020000}"/>
    <cellStyle name="20% - Énfasis2 12 17" xfId="29105" xr:uid="{00000000-0005-0000-0000-000079020000}"/>
    <cellStyle name="20% - Énfasis2 12 18" xfId="29609" xr:uid="{00000000-0005-0000-0000-00007A020000}"/>
    <cellStyle name="20% - Énfasis2 12 19" xfId="30113" xr:uid="{00000000-0005-0000-0000-00007B020000}"/>
    <cellStyle name="20% - Énfasis2 12 2" xfId="1435" xr:uid="{00000000-0005-0000-0000-00007C020000}"/>
    <cellStyle name="20% - Énfasis2 12 2 10" xfId="26082" xr:uid="{00000000-0005-0000-0000-00007D020000}"/>
    <cellStyle name="20% - Énfasis2 12 2 11" xfId="26586" xr:uid="{00000000-0005-0000-0000-00007E020000}"/>
    <cellStyle name="20% - Énfasis2 12 2 12" xfId="27090" xr:uid="{00000000-0005-0000-0000-00007F020000}"/>
    <cellStyle name="20% - Énfasis2 12 2 13" xfId="27594" xr:uid="{00000000-0005-0000-0000-000080020000}"/>
    <cellStyle name="20% - Énfasis2 12 2 14" xfId="28098" xr:uid="{00000000-0005-0000-0000-000081020000}"/>
    <cellStyle name="20% - Énfasis2 12 2 15" xfId="28602" xr:uid="{00000000-0005-0000-0000-000082020000}"/>
    <cellStyle name="20% - Énfasis2 12 2 16" xfId="29106" xr:uid="{00000000-0005-0000-0000-000083020000}"/>
    <cellStyle name="20% - Énfasis2 12 2 17" xfId="29610" xr:uid="{00000000-0005-0000-0000-000084020000}"/>
    <cellStyle name="20% - Énfasis2 12 2 18" xfId="30114" xr:uid="{00000000-0005-0000-0000-000085020000}"/>
    <cellStyle name="20% - Énfasis2 12 2 19" xfId="30619" xr:uid="{00000000-0005-0000-0000-000086020000}"/>
    <cellStyle name="20% - Énfasis2 12 2 2" xfId="1534" xr:uid="{00000000-0005-0000-0000-000087020000}"/>
    <cellStyle name="20% - Énfasis2 12 2 2 2" xfId="2961" xr:uid="{00000000-0005-0000-0000-000088020000}"/>
    <cellStyle name="20% - Énfasis2 12 2 2 2 2" xfId="4580" xr:uid="{00000000-0005-0000-0000-000089020000}"/>
    <cellStyle name="20% - Énfasis2 12 2 2 2 2 2" xfId="6447" xr:uid="{00000000-0005-0000-0000-00008A020000}"/>
    <cellStyle name="20% - Énfasis2 12 2 2 2 3" xfId="5545" xr:uid="{00000000-0005-0000-0000-00008B020000}"/>
    <cellStyle name="20% - Énfasis2 12 2 2 3" xfId="4053" xr:uid="{00000000-0005-0000-0000-00008C020000}"/>
    <cellStyle name="20% - Énfasis2 12 2 2 3 2" xfId="6001" xr:uid="{00000000-0005-0000-0000-00008D020000}"/>
    <cellStyle name="20% - Énfasis2 12 2 2 4" xfId="5087" xr:uid="{00000000-0005-0000-0000-00008E020000}"/>
    <cellStyle name="20% - Énfasis2 12 2 3" xfId="2869" xr:uid="{00000000-0005-0000-0000-00008F020000}"/>
    <cellStyle name="20% - Énfasis2 12 2 3 2" xfId="4488" xr:uid="{00000000-0005-0000-0000-000090020000}"/>
    <cellStyle name="20% - Énfasis2 12 2 3 2 2" xfId="6355" xr:uid="{00000000-0005-0000-0000-000091020000}"/>
    <cellStyle name="20% - Énfasis2 12 2 3 3" xfId="5453" xr:uid="{00000000-0005-0000-0000-000092020000}"/>
    <cellStyle name="20% - Énfasis2 12 2 4" xfId="3956" xr:uid="{00000000-0005-0000-0000-000093020000}"/>
    <cellStyle name="20% - Énfasis2 12 2 4 2" xfId="5910" xr:uid="{00000000-0005-0000-0000-000094020000}"/>
    <cellStyle name="20% - Énfasis2 12 2 5" xfId="4995" xr:uid="{00000000-0005-0000-0000-000095020000}"/>
    <cellStyle name="20% - Énfasis2 12 2 6" xfId="23203" xr:uid="{00000000-0005-0000-0000-000096020000}"/>
    <cellStyle name="20% - Énfasis2 12 2 7" xfId="24570" xr:uid="{00000000-0005-0000-0000-000097020000}"/>
    <cellStyle name="20% - Énfasis2 12 2 8" xfId="25074" xr:uid="{00000000-0005-0000-0000-000098020000}"/>
    <cellStyle name="20% - Énfasis2 12 2 9" xfId="25578" xr:uid="{00000000-0005-0000-0000-000099020000}"/>
    <cellStyle name="20% - Énfasis2 12 20" xfId="30618" xr:uid="{00000000-0005-0000-0000-00009A020000}"/>
    <cellStyle name="20% - Énfasis2 12 3" xfId="1535" xr:uid="{00000000-0005-0000-0000-00009B020000}"/>
    <cellStyle name="20% - Énfasis2 12 3 2" xfId="2962" xr:uid="{00000000-0005-0000-0000-00009C020000}"/>
    <cellStyle name="20% - Énfasis2 12 3 2 2" xfId="4581" xr:uid="{00000000-0005-0000-0000-00009D020000}"/>
    <cellStyle name="20% - Énfasis2 12 3 2 2 2" xfId="6448" xr:uid="{00000000-0005-0000-0000-00009E020000}"/>
    <cellStyle name="20% - Énfasis2 12 3 2 3" xfId="5546" xr:uid="{00000000-0005-0000-0000-00009F020000}"/>
    <cellStyle name="20% - Énfasis2 12 3 3" xfId="4054" xr:uid="{00000000-0005-0000-0000-0000A0020000}"/>
    <cellStyle name="20% - Énfasis2 12 3 3 2" xfId="6002" xr:uid="{00000000-0005-0000-0000-0000A1020000}"/>
    <cellStyle name="20% - Énfasis2 12 3 4" xfId="5088" xr:uid="{00000000-0005-0000-0000-0000A2020000}"/>
    <cellStyle name="20% - Énfasis2 12 4" xfId="2810" xr:uid="{00000000-0005-0000-0000-0000A3020000}"/>
    <cellStyle name="20% - Énfasis2 12 4 2" xfId="4430" xr:uid="{00000000-0005-0000-0000-0000A4020000}"/>
    <cellStyle name="20% - Énfasis2 12 4 2 2" xfId="6298" xr:uid="{00000000-0005-0000-0000-0000A5020000}"/>
    <cellStyle name="20% - Énfasis2 12 4 3" xfId="5396" xr:uid="{00000000-0005-0000-0000-0000A6020000}"/>
    <cellStyle name="20% - Énfasis2 12 5" xfId="3749" xr:uid="{00000000-0005-0000-0000-0000A7020000}"/>
    <cellStyle name="20% - Énfasis2 12 5 2" xfId="5854" xr:uid="{00000000-0005-0000-0000-0000A8020000}"/>
    <cellStyle name="20% - Énfasis2 12 6" xfId="4938" xr:uid="{00000000-0005-0000-0000-0000A9020000}"/>
    <cellStyle name="20% - Énfasis2 12 7" xfId="23202" xr:uid="{00000000-0005-0000-0000-0000AA020000}"/>
    <cellStyle name="20% - Énfasis2 12 8" xfId="24569" xr:uid="{00000000-0005-0000-0000-0000AB020000}"/>
    <cellStyle name="20% - Énfasis2 12 9" xfId="25073" xr:uid="{00000000-0005-0000-0000-0000AC020000}"/>
    <cellStyle name="20% - Énfasis2 13" xfId="1373" xr:uid="{00000000-0005-0000-0000-0000AD020000}"/>
    <cellStyle name="20% - Énfasis2 14" xfId="1475" xr:uid="{00000000-0005-0000-0000-0000AE020000}"/>
    <cellStyle name="20% - Énfasis2 14 2" xfId="1536" xr:uid="{00000000-0005-0000-0000-0000AF020000}"/>
    <cellStyle name="20% - Énfasis2 14 2 2" xfId="2963" xr:uid="{00000000-0005-0000-0000-0000B0020000}"/>
    <cellStyle name="20% - Énfasis2 14 2 2 2" xfId="4582" xr:uid="{00000000-0005-0000-0000-0000B1020000}"/>
    <cellStyle name="20% - Énfasis2 14 2 2 2 2" xfId="6449" xr:uid="{00000000-0005-0000-0000-0000B2020000}"/>
    <cellStyle name="20% - Énfasis2 14 2 2 3" xfId="5547" xr:uid="{00000000-0005-0000-0000-0000B3020000}"/>
    <cellStyle name="20% - Énfasis2 14 2 3" xfId="4055" xr:uid="{00000000-0005-0000-0000-0000B4020000}"/>
    <cellStyle name="20% - Énfasis2 14 2 3 2" xfId="6003" xr:uid="{00000000-0005-0000-0000-0000B5020000}"/>
    <cellStyle name="20% - Énfasis2 14 2 4" xfId="5089" xr:uid="{00000000-0005-0000-0000-0000B6020000}"/>
    <cellStyle name="20% - Énfasis2 14 3" xfId="2909" xr:uid="{00000000-0005-0000-0000-0000B7020000}"/>
    <cellStyle name="20% - Énfasis2 14 3 2" xfId="4528" xr:uid="{00000000-0005-0000-0000-0000B8020000}"/>
    <cellStyle name="20% - Énfasis2 14 3 2 2" xfId="6395" xr:uid="{00000000-0005-0000-0000-0000B9020000}"/>
    <cellStyle name="20% - Énfasis2 14 3 3" xfId="5493" xr:uid="{00000000-0005-0000-0000-0000BA020000}"/>
    <cellStyle name="20% - Énfasis2 14 4" xfId="3996" xr:uid="{00000000-0005-0000-0000-0000BB020000}"/>
    <cellStyle name="20% - Énfasis2 14 4 2" xfId="5950" xr:uid="{00000000-0005-0000-0000-0000BC020000}"/>
    <cellStyle name="20% - Énfasis2 14 5" xfId="5035" xr:uid="{00000000-0005-0000-0000-0000BD020000}"/>
    <cellStyle name="20% - Énfasis2 15" xfId="1537" xr:uid="{00000000-0005-0000-0000-0000BE020000}"/>
    <cellStyle name="20% - Énfasis2 15 2" xfId="2964" xr:uid="{00000000-0005-0000-0000-0000BF020000}"/>
    <cellStyle name="20% - Énfasis2 15 2 2" xfId="4583" xr:uid="{00000000-0005-0000-0000-0000C0020000}"/>
    <cellStyle name="20% - Énfasis2 15 2 2 2" xfId="6450" xr:uid="{00000000-0005-0000-0000-0000C1020000}"/>
    <cellStyle name="20% - Énfasis2 15 2 3" xfId="5548" xr:uid="{00000000-0005-0000-0000-0000C2020000}"/>
    <cellStyle name="20% - Énfasis2 15 3" xfId="4056" xr:uid="{00000000-0005-0000-0000-0000C3020000}"/>
    <cellStyle name="20% - Énfasis2 15 3 2" xfId="6004" xr:uid="{00000000-0005-0000-0000-0000C4020000}"/>
    <cellStyle name="20% - Énfasis2 15 4" xfId="5090" xr:uid="{00000000-0005-0000-0000-0000C5020000}"/>
    <cellStyle name="20% - Énfasis2 16" xfId="2715" xr:uid="{00000000-0005-0000-0000-0000C6020000}"/>
    <cellStyle name="20% - Énfasis2 16 2" xfId="4394" xr:uid="{00000000-0005-0000-0000-0000C7020000}"/>
    <cellStyle name="20% - Énfasis2 16 2 2" xfId="6264" xr:uid="{00000000-0005-0000-0000-0000C8020000}"/>
    <cellStyle name="20% - Énfasis2 16 3" xfId="5362" xr:uid="{00000000-0005-0000-0000-0000C9020000}"/>
    <cellStyle name="20% - Énfasis2 17" xfId="3164" xr:uid="{00000000-0005-0000-0000-0000CA020000}"/>
    <cellStyle name="20% - Énfasis2 17 2" xfId="5732" xr:uid="{00000000-0005-0000-0000-0000CB020000}"/>
    <cellStyle name="20% - Énfasis2 18" xfId="4789" xr:uid="{00000000-0005-0000-0000-0000CC020000}"/>
    <cellStyle name="20% - Énfasis2 18 2" xfId="6634" xr:uid="{00000000-0005-0000-0000-0000CD020000}"/>
    <cellStyle name="20% - Énfasis2 19" xfId="4832" xr:uid="{00000000-0005-0000-0000-0000CE020000}"/>
    <cellStyle name="20% - Énfasis2 19 2" xfId="6676" xr:uid="{00000000-0005-0000-0000-0000CF020000}"/>
    <cellStyle name="20% - Énfasis2 2" xfId="16" xr:uid="{00000000-0005-0000-0000-0000D0020000}"/>
    <cellStyle name="20% - Énfasis2 2 2" xfId="865" xr:uid="{00000000-0005-0000-0000-0000D1020000}"/>
    <cellStyle name="20% - Énfasis2 2 2 2" xfId="3165" xr:uid="{00000000-0005-0000-0000-0000D2020000}"/>
    <cellStyle name="20% - Énfasis2 2 2 2 2" xfId="7379" xr:uid="{00000000-0005-0000-0000-0000D3020000}"/>
    <cellStyle name="20% - Énfasis2 2 2 2 3" xfId="7378" xr:uid="{00000000-0005-0000-0000-0000D4020000}"/>
    <cellStyle name="20% - Énfasis2 2 2 3" xfId="7380" xr:uid="{00000000-0005-0000-0000-0000D5020000}"/>
    <cellStyle name="20% - Énfasis2 2 2 4" xfId="7381" xr:uid="{00000000-0005-0000-0000-0000D6020000}"/>
    <cellStyle name="20% - Énfasis2 2 2 5" xfId="7377" xr:uid="{00000000-0005-0000-0000-0000D7020000}"/>
    <cellStyle name="20% - Énfasis2 2 3" xfId="1755" xr:uid="{00000000-0005-0000-0000-0000D8020000}"/>
    <cellStyle name="20% - Énfasis2 2 4" xfId="7382" xr:uid="{00000000-0005-0000-0000-0000D9020000}"/>
    <cellStyle name="20% - Énfasis2 2 4 2" xfId="22857" xr:uid="{00000000-0005-0000-0000-0000DA020000}"/>
    <cellStyle name="20% - Énfasis2 2 5" xfId="31206" xr:uid="{8FFF6E3B-7591-4A5C-8928-B86DE3FD67AC}"/>
    <cellStyle name="20% - Énfasis2 20" xfId="4876" xr:uid="{00000000-0005-0000-0000-0000DB020000}"/>
    <cellStyle name="20% - Énfasis2 21" xfId="6717" xr:uid="{00000000-0005-0000-0000-0000DC020000}"/>
    <cellStyle name="20% - Énfasis2 22" xfId="6763" xr:uid="{00000000-0005-0000-0000-0000DD020000}"/>
    <cellStyle name="20% - Énfasis2 23" xfId="6774" xr:uid="{00000000-0005-0000-0000-0000DE020000}"/>
    <cellStyle name="20% - Énfasis2 24" xfId="7269" xr:uid="{00000000-0005-0000-0000-0000DF020000}"/>
    <cellStyle name="20% - Énfasis2 25" xfId="22855" xr:uid="{00000000-0005-0000-0000-0000E0020000}"/>
    <cellStyle name="20% - Énfasis2 26" xfId="23157" xr:uid="{00000000-0005-0000-0000-0000E1020000}"/>
    <cellStyle name="20% - Énfasis2 27" xfId="24547" xr:uid="{00000000-0005-0000-0000-0000E2020000}"/>
    <cellStyle name="20% - Énfasis2 28" xfId="25051" xr:uid="{00000000-0005-0000-0000-0000E3020000}"/>
    <cellStyle name="20% - Énfasis2 29" xfId="25555" xr:uid="{00000000-0005-0000-0000-0000E4020000}"/>
    <cellStyle name="20% - Énfasis2 3" xfId="866" xr:uid="{00000000-0005-0000-0000-0000E5020000}"/>
    <cellStyle name="20% - Énfasis2 3 2" xfId="867" xr:uid="{00000000-0005-0000-0000-0000E6020000}"/>
    <cellStyle name="20% - Énfasis2 3 2 2" xfId="7383" xr:uid="{00000000-0005-0000-0000-0000E7020000}"/>
    <cellStyle name="20% - Énfasis2 3 2 2 2" xfId="23205" xr:uid="{00000000-0005-0000-0000-0000E8020000}"/>
    <cellStyle name="20% - Énfasis2 3 2 2 3" xfId="23204" xr:uid="{00000000-0005-0000-0000-0000E9020000}"/>
    <cellStyle name="20% - Énfasis2 3 2 3" xfId="7384" xr:uid="{00000000-0005-0000-0000-0000EA020000}"/>
    <cellStyle name="20% - Énfasis2 3 2 3 2" xfId="23206" xr:uid="{00000000-0005-0000-0000-0000EB020000}"/>
    <cellStyle name="20% - Énfasis2 3 3" xfId="1756" xr:uid="{00000000-0005-0000-0000-0000EC020000}"/>
    <cellStyle name="20% - Énfasis2 3 3 2" xfId="23207" xr:uid="{00000000-0005-0000-0000-0000ED020000}"/>
    <cellStyle name="20% - Énfasis2 3 4" xfId="7385" xr:uid="{00000000-0005-0000-0000-0000EE020000}"/>
    <cellStyle name="20% - Énfasis2 3 4 2" xfId="23208" xr:uid="{00000000-0005-0000-0000-0000EF020000}"/>
    <cellStyle name="20% - Énfasis2 3 5" xfId="7386" xr:uid="{00000000-0005-0000-0000-0000F0020000}"/>
    <cellStyle name="20% - Énfasis2 3 5 2" xfId="23210" xr:uid="{00000000-0005-0000-0000-0000F1020000}"/>
    <cellStyle name="20% - Énfasis2 3 5 3" xfId="23209" xr:uid="{00000000-0005-0000-0000-0000F2020000}"/>
    <cellStyle name="20% - Énfasis2 3 6" xfId="23211" xr:uid="{00000000-0005-0000-0000-0000F3020000}"/>
    <cellStyle name="20% - Énfasis2 3 7" xfId="23212" xr:uid="{00000000-0005-0000-0000-0000F4020000}"/>
    <cellStyle name="20% - Énfasis2 30" xfId="26059" xr:uid="{00000000-0005-0000-0000-0000F5020000}"/>
    <cellStyle name="20% - Énfasis2 31" xfId="26563" xr:uid="{00000000-0005-0000-0000-0000F6020000}"/>
    <cellStyle name="20% - Énfasis2 32" xfId="27067" xr:uid="{00000000-0005-0000-0000-0000F7020000}"/>
    <cellStyle name="20% - Énfasis2 33" xfId="27571" xr:uid="{00000000-0005-0000-0000-0000F8020000}"/>
    <cellStyle name="20% - Énfasis2 34" xfId="28075" xr:uid="{00000000-0005-0000-0000-0000F9020000}"/>
    <cellStyle name="20% - Énfasis2 35" xfId="28579" xr:uid="{00000000-0005-0000-0000-0000FA020000}"/>
    <cellStyle name="20% - Énfasis2 36" xfId="29083" xr:uid="{00000000-0005-0000-0000-0000FB020000}"/>
    <cellStyle name="20% - Énfasis2 37" xfId="29587" xr:uid="{00000000-0005-0000-0000-0000FC020000}"/>
    <cellStyle name="20% - Énfasis2 38" xfId="30091" xr:uid="{00000000-0005-0000-0000-0000FD020000}"/>
    <cellStyle name="20% - Énfasis2 39" xfId="30596" xr:uid="{00000000-0005-0000-0000-0000FE020000}"/>
    <cellStyle name="20% - Énfasis2 4" xfId="868" xr:uid="{00000000-0005-0000-0000-0000FF020000}"/>
    <cellStyle name="20% - Énfasis2 4 2" xfId="869" xr:uid="{00000000-0005-0000-0000-000000030000}"/>
    <cellStyle name="20% - Énfasis2 4 3" xfId="7388" xr:uid="{00000000-0005-0000-0000-000001030000}"/>
    <cellStyle name="20% - Énfasis2 4 4" xfId="7389" xr:uid="{00000000-0005-0000-0000-000002030000}"/>
    <cellStyle name="20% - Énfasis2 4 4 2" xfId="17899" xr:uid="{00000000-0005-0000-0000-000003030000}"/>
    <cellStyle name="20% - Énfasis2 4 5" xfId="7390" xr:uid="{00000000-0005-0000-0000-000004030000}"/>
    <cellStyle name="20% - Énfasis2 4 6" xfId="7387" xr:uid="{00000000-0005-0000-0000-000005030000}"/>
    <cellStyle name="20% - Énfasis2 4 7" xfId="17898" xr:uid="{00000000-0005-0000-0000-000006030000}"/>
    <cellStyle name="20% - Énfasis2 40" xfId="31104" xr:uid="{EFC74E9F-A4E1-4BD7-94D7-4908BA2D8B5B}"/>
    <cellStyle name="20% - Énfasis2 41" xfId="31113" xr:uid="{58BF1C18-E848-4F71-ACB4-87F5E38F35C6}"/>
    <cellStyle name="20% - Énfasis2 42" xfId="31119" xr:uid="{D5D639A1-75FF-44F7-A02A-D1D19159DC12}"/>
    <cellStyle name="20% - Énfasis2 43" xfId="32014" xr:uid="{7EE3C4E7-717A-4F81-87A4-A421EC9B65EF}"/>
    <cellStyle name="20% - Énfasis2 5" xfId="870" xr:uid="{00000000-0005-0000-0000-000007030000}"/>
    <cellStyle name="20% - Énfasis2 5 2" xfId="871" xr:uid="{00000000-0005-0000-0000-000008030000}"/>
    <cellStyle name="20% - Énfasis2 6" xfId="872" xr:uid="{00000000-0005-0000-0000-000009030000}"/>
    <cellStyle name="20% - Énfasis2 6 10" xfId="24571" xr:uid="{00000000-0005-0000-0000-00000A030000}"/>
    <cellStyle name="20% - Énfasis2 6 11" xfId="25075" xr:uid="{00000000-0005-0000-0000-00000B030000}"/>
    <cellStyle name="20% - Énfasis2 6 12" xfId="25579" xr:uid="{00000000-0005-0000-0000-00000C030000}"/>
    <cellStyle name="20% - Énfasis2 6 13" xfId="26083" xr:uid="{00000000-0005-0000-0000-00000D030000}"/>
    <cellStyle name="20% - Énfasis2 6 14" xfId="26587" xr:uid="{00000000-0005-0000-0000-00000E030000}"/>
    <cellStyle name="20% - Énfasis2 6 15" xfId="27091" xr:uid="{00000000-0005-0000-0000-00000F030000}"/>
    <cellStyle name="20% - Énfasis2 6 16" xfId="27595" xr:uid="{00000000-0005-0000-0000-000010030000}"/>
    <cellStyle name="20% - Énfasis2 6 17" xfId="28099" xr:uid="{00000000-0005-0000-0000-000011030000}"/>
    <cellStyle name="20% - Énfasis2 6 18" xfId="28603" xr:uid="{00000000-0005-0000-0000-000012030000}"/>
    <cellStyle name="20% - Énfasis2 6 19" xfId="29107" xr:uid="{00000000-0005-0000-0000-000013030000}"/>
    <cellStyle name="20% - Énfasis2 6 2" xfId="873" xr:uid="{00000000-0005-0000-0000-000014030000}"/>
    <cellStyle name="20% - Énfasis2 6 2 2" xfId="17901" xr:uid="{00000000-0005-0000-0000-000015030000}"/>
    <cellStyle name="20% - Énfasis2 6 2 3" xfId="7392" xr:uid="{00000000-0005-0000-0000-000016030000}"/>
    <cellStyle name="20% - Énfasis2 6 20" xfId="29611" xr:uid="{00000000-0005-0000-0000-000017030000}"/>
    <cellStyle name="20% - Énfasis2 6 21" xfId="30115" xr:uid="{00000000-0005-0000-0000-000018030000}"/>
    <cellStyle name="20% - Énfasis2 6 22" xfId="30620" xr:uid="{00000000-0005-0000-0000-000019030000}"/>
    <cellStyle name="20% - Énfasis2 6 3" xfId="1757" xr:uid="{00000000-0005-0000-0000-00001A030000}"/>
    <cellStyle name="20% - Énfasis2 6 3 2" xfId="4235" xr:uid="{00000000-0005-0000-0000-00001B030000}"/>
    <cellStyle name="20% - Énfasis2 6 3 2 2" xfId="6179" xr:uid="{00000000-0005-0000-0000-00001C030000}"/>
    <cellStyle name="20% - Énfasis2 6 3 3" xfId="5269" xr:uid="{00000000-0005-0000-0000-00001D030000}"/>
    <cellStyle name="20% - Énfasis2 6 3 4" xfId="7391" xr:uid="{00000000-0005-0000-0000-00001E030000}"/>
    <cellStyle name="20% - Énfasis2 6 3 5" xfId="23214" xr:uid="{00000000-0005-0000-0000-00001F030000}"/>
    <cellStyle name="20% - Énfasis2 6 4" xfId="2669" xr:uid="{00000000-0005-0000-0000-000020030000}"/>
    <cellStyle name="20% - Énfasis2 6 4 10" xfId="26588" xr:uid="{00000000-0005-0000-0000-000021030000}"/>
    <cellStyle name="20% - Énfasis2 6 4 11" xfId="27092" xr:uid="{00000000-0005-0000-0000-000022030000}"/>
    <cellStyle name="20% - Énfasis2 6 4 12" xfId="27596" xr:uid="{00000000-0005-0000-0000-000023030000}"/>
    <cellStyle name="20% - Énfasis2 6 4 13" xfId="28100" xr:uid="{00000000-0005-0000-0000-000024030000}"/>
    <cellStyle name="20% - Énfasis2 6 4 14" xfId="28604" xr:uid="{00000000-0005-0000-0000-000025030000}"/>
    <cellStyle name="20% - Énfasis2 6 4 15" xfId="29108" xr:uid="{00000000-0005-0000-0000-000026030000}"/>
    <cellStyle name="20% - Énfasis2 6 4 16" xfId="29612" xr:uid="{00000000-0005-0000-0000-000027030000}"/>
    <cellStyle name="20% - Énfasis2 6 4 17" xfId="30116" xr:uid="{00000000-0005-0000-0000-000028030000}"/>
    <cellStyle name="20% - Énfasis2 6 4 18" xfId="30621" xr:uid="{00000000-0005-0000-0000-000029030000}"/>
    <cellStyle name="20% - Énfasis2 6 4 2" xfId="4350" xr:uid="{00000000-0005-0000-0000-00002A030000}"/>
    <cellStyle name="20% - Énfasis2 6 4 2 2" xfId="6220" xr:uid="{00000000-0005-0000-0000-00002B030000}"/>
    <cellStyle name="20% - Énfasis2 6 4 3" xfId="5317" xr:uid="{00000000-0005-0000-0000-00002C030000}"/>
    <cellStyle name="20% - Énfasis2 6 4 4" xfId="17900" xr:uid="{00000000-0005-0000-0000-00002D030000}"/>
    <cellStyle name="20% - Énfasis2 6 4 5" xfId="23215" xr:uid="{00000000-0005-0000-0000-00002E030000}"/>
    <cellStyle name="20% - Énfasis2 6 4 6" xfId="24572" xr:uid="{00000000-0005-0000-0000-00002F030000}"/>
    <cellStyle name="20% - Énfasis2 6 4 7" xfId="25076" xr:uid="{00000000-0005-0000-0000-000030030000}"/>
    <cellStyle name="20% - Énfasis2 6 4 8" xfId="25580" xr:uid="{00000000-0005-0000-0000-000031030000}"/>
    <cellStyle name="20% - Énfasis2 6 4 9" xfId="26084" xr:uid="{00000000-0005-0000-0000-000032030000}"/>
    <cellStyle name="20% - Énfasis2 6 5" xfId="3751" xr:uid="{00000000-0005-0000-0000-000033030000}"/>
    <cellStyle name="20% - Énfasis2 6 6" xfId="3166" xr:uid="{00000000-0005-0000-0000-000034030000}"/>
    <cellStyle name="20% - Énfasis2 6 6 2" xfId="5733" xr:uid="{00000000-0005-0000-0000-000035030000}"/>
    <cellStyle name="20% - Énfasis2 6 7" xfId="6775" xr:uid="{00000000-0005-0000-0000-000036030000}"/>
    <cellStyle name="20% - Énfasis2 6 8" xfId="7106" xr:uid="{00000000-0005-0000-0000-000037030000}"/>
    <cellStyle name="20% - Énfasis2 6 9" xfId="23213" xr:uid="{00000000-0005-0000-0000-000038030000}"/>
    <cellStyle name="20% - Énfasis2 7" xfId="874" xr:uid="{00000000-0005-0000-0000-000039030000}"/>
    <cellStyle name="20% - Énfasis2 7 10" xfId="24573" xr:uid="{00000000-0005-0000-0000-00003A030000}"/>
    <cellStyle name="20% - Énfasis2 7 11" xfId="25077" xr:uid="{00000000-0005-0000-0000-00003B030000}"/>
    <cellStyle name="20% - Énfasis2 7 12" xfId="25581" xr:uid="{00000000-0005-0000-0000-00003C030000}"/>
    <cellStyle name="20% - Énfasis2 7 13" xfId="26085" xr:uid="{00000000-0005-0000-0000-00003D030000}"/>
    <cellStyle name="20% - Énfasis2 7 14" xfId="26589" xr:uid="{00000000-0005-0000-0000-00003E030000}"/>
    <cellStyle name="20% - Énfasis2 7 15" xfId="27093" xr:uid="{00000000-0005-0000-0000-00003F030000}"/>
    <cellStyle name="20% - Énfasis2 7 16" xfId="27597" xr:uid="{00000000-0005-0000-0000-000040030000}"/>
    <cellStyle name="20% - Énfasis2 7 17" xfId="28101" xr:uid="{00000000-0005-0000-0000-000041030000}"/>
    <cellStyle name="20% - Énfasis2 7 18" xfId="28605" xr:uid="{00000000-0005-0000-0000-000042030000}"/>
    <cellStyle name="20% - Énfasis2 7 19" xfId="29109" xr:uid="{00000000-0005-0000-0000-000043030000}"/>
    <cellStyle name="20% - Énfasis2 7 2" xfId="875" xr:uid="{00000000-0005-0000-0000-000044030000}"/>
    <cellStyle name="20% - Énfasis2 7 2 2" xfId="17903" xr:uid="{00000000-0005-0000-0000-000045030000}"/>
    <cellStyle name="20% - Énfasis2 7 2 3" xfId="7394" xr:uid="{00000000-0005-0000-0000-000046030000}"/>
    <cellStyle name="20% - Énfasis2 7 20" xfId="29613" xr:uid="{00000000-0005-0000-0000-000047030000}"/>
    <cellStyle name="20% - Énfasis2 7 21" xfId="30117" xr:uid="{00000000-0005-0000-0000-000048030000}"/>
    <cellStyle name="20% - Énfasis2 7 22" xfId="30622" xr:uid="{00000000-0005-0000-0000-000049030000}"/>
    <cellStyle name="20% - Énfasis2 7 3" xfId="1758" xr:uid="{00000000-0005-0000-0000-00004A030000}"/>
    <cellStyle name="20% - Énfasis2 7 3 2" xfId="4236" xr:uid="{00000000-0005-0000-0000-00004B030000}"/>
    <cellStyle name="20% - Énfasis2 7 3 2 2" xfId="6180" xr:uid="{00000000-0005-0000-0000-00004C030000}"/>
    <cellStyle name="20% - Énfasis2 7 3 3" xfId="5270" xr:uid="{00000000-0005-0000-0000-00004D030000}"/>
    <cellStyle name="20% - Énfasis2 7 3 4" xfId="7393" xr:uid="{00000000-0005-0000-0000-00004E030000}"/>
    <cellStyle name="20% - Énfasis2 7 3 5" xfId="23217" xr:uid="{00000000-0005-0000-0000-00004F030000}"/>
    <cellStyle name="20% - Énfasis2 7 4" xfId="2670" xr:uid="{00000000-0005-0000-0000-000050030000}"/>
    <cellStyle name="20% - Énfasis2 7 4 10" xfId="26590" xr:uid="{00000000-0005-0000-0000-000051030000}"/>
    <cellStyle name="20% - Énfasis2 7 4 11" xfId="27094" xr:uid="{00000000-0005-0000-0000-000052030000}"/>
    <cellStyle name="20% - Énfasis2 7 4 12" xfId="27598" xr:uid="{00000000-0005-0000-0000-000053030000}"/>
    <cellStyle name="20% - Énfasis2 7 4 13" xfId="28102" xr:uid="{00000000-0005-0000-0000-000054030000}"/>
    <cellStyle name="20% - Énfasis2 7 4 14" xfId="28606" xr:uid="{00000000-0005-0000-0000-000055030000}"/>
    <cellStyle name="20% - Énfasis2 7 4 15" xfId="29110" xr:uid="{00000000-0005-0000-0000-000056030000}"/>
    <cellStyle name="20% - Énfasis2 7 4 16" xfId="29614" xr:uid="{00000000-0005-0000-0000-000057030000}"/>
    <cellStyle name="20% - Énfasis2 7 4 17" xfId="30118" xr:uid="{00000000-0005-0000-0000-000058030000}"/>
    <cellStyle name="20% - Énfasis2 7 4 18" xfId="30623" xr:uid="{00000000-0005-0000-0000-000059030000}"/>
    <cellStyle name="20% - Énfasis2 7 4 2" xfId="4351" xr:uid="{00000000-0005-0000-0000-00005A030000}"/>
    <cellStyle name="20% - Énfasis2 7 4 2 2" xfId="6221" xr:uid="{00000000-0005-0000-0000-00005B030000}"/>
    <cellStyle name="20% - Énfasis2 7 4 3" xfId="5318" xr:uid="{00000000-0005-0000-0000-00005C030000}"/>
    <cellStyle name="20% - Énfasis2 7 4 4" xfId="17902" xr:uid="{00000000-0005-0000-0000-00005D030000}"/>
    <cellStyle name="20% - Énfasis2 7 4 5" xfId="23218" xr:uid="{00000000-0005-0000-0000-00005E030000}"/>
    <cellStyle name="20% - Énfasis2 7 4 6" xfId="24574" xr:uid="{00000000-0005-0000-0000-00005F030000}"/>
    <cellStyle name="20% - Énfasis2 7 4 7" xfId="25078" xr:uid="{00000000-0005-0000-0000-000060030000}"/>
    <cellStyle name="20% - Énfasis2 7 4 8" xfId="25582" xr:uid="{00000000-0005-0000-0000-000061030000}"/>
    <cellStyle name="20% - Énfasis2 7 4 9" xfId="26086" xr:uid="{00000000-0005-0000-0000-000062030000}"/>
    <cellStyle name="20% - Énfasis2 7 5" xfId="3752" xr:uid="{00000000-0005-0000-0000-000063030000}"/>
    <cellStyle name="20% - Énfasis2 7 6" xfId="3167" xr:uid="{00000000-0005-0000-0000-000064030000}"/>
    <cellStyle name="20% - Énfasis2 7 6 2" xfId="5734" xr:uid="{00000000-0005-0000-0000-000065030000}"/>
    <cellStyle name="20% - Énfasis2 7 7" xfId="6776" xr:uid="{00000000-0005-0000-0000-000066030000}"/>
    <cellStyle name="20% - Énfasis2 7 8" xfId="7105" xr:uid="{00000000-0005-0000-0000-000067030000}"/>
    <cellStyle name="20% - Énfasis2 7 9" xfId="23216" xr:uid="{00000000-0005-0000-0000-000068030000}"/>
    <cellStyle name="20% - Énfasis2 8" xfId="876" xr:uid="{00000000-0005-0000-0000-000069030000}"/>
    <cellStyle name="20% - Énfasis2 8 2" xfId="877" xr:uid="{00000000-0005-0000-0000-00006A030000}"/>
    <cellStyle name="20% - Énfasis2 8 3" xfId="7376" xr:uid="{00000000-0005-0000-0000-00006B030000}"/>
    <cellStyle name="20% - Énfasis2 9" xfId="878" xr:uid="{00000000-0005-0000-0000-00006C030000}"/>
    <cellStyle name="20% - Énfasis2 9 10" xfId="4940" xr:uid="{00000000-0005-0000-0000-00006D030000}"/>
    <cellStyle name="20% - Énfasis2 9 11" xfId="6719" xr:uid="{00000000-0005-0000-0000-00006E030000}"/>
    <cellStyle name="20% - Énfasis2 9 12" xfId="17897" xr:uid="{00000000-0005-0000-0000-00006F030000}"/>
    <cellStyle name="20% - Énfasis2 9 13" xfId="22858" xr:uid="{00000000-0005-0000-0000-000070030000}"/>
    <cellStyle name="20% - Énfasis2 9 14" xfId="23219" xr:uid="{00000000-0005-0000-0000-000071030000}"/>
    <cellStyle name="20% - Énfasis2 9 15" xfId="24575" xr:uid="{00000000-0005-0000-0000-000072030000}"/>
    <cellStyle name="20% - Énfasis2 9 16" xfId="25079" xr:uid="{00000000-0005-0000-0000-000073030000}"/>
    <cellStyle name="20% - Énfasis2 9 17" xfId="25583" xr:uid="{00000000-0005-0000-0000-000074030000}"/>
    <cellStyle name="20% - Énfasis2 9 18" xfId="26087" xr:uid="{00000000-0005-0000-0000-000075030000}"/>
    <cellStyle name="20% - Énfasis2 9 19" xfId="26591" xr:uid="{00000000-0005-0000-0000-000076030000}"/>
    <cellStyle name="20% - Énfasis2 9 2" xfId="1437" xr:uid="{00000000-0005-0000-0000-000077030000}"/>
    <cellStyle name="20% - Énfasis2 9 2 10" xfId="26088" xr:uid="{00000000-0005-0000-0000-000078030000}"/>
    <cellStyle name="20% - Énfasis2 9 2 11" xfId="26592" xr:uid="{00000000-0005-0000-0000-000079030000}"/>
    <cellStyle name="20% - Énfasis2 9 2 12" xfId="27096" xr:uid="{00000000-0005-0000-0000-00007A030000}"/>
    <cellStyle name="20% - Énfasis2 9 2 13" xfId="27600" xr:uid="{00000000-0005-0000-0000-00007B030000}"/>
    <cellStyle name="20% - Énfasis2 9 2 14" xfId="28104" xr:uid="{00000000-0005-0000-0000-00007C030000}"/>
    <cellStyle name="20% - Énfasis2 9 2 15" xfId="28608" xr:uid="{00000000-0005-0000-0000-00007D030000}"/>
    <cellStyle name="20% - Énfasis2 9 2 16" xfId="29112" xr:uid="{00000000-0005-0000-0000-00007E030000}"/>
    <cellStyle name="20% - Énfasis2 9 2 17" xfId="29616" xr:uid="{00000000-0005-0000-0000-00007F030000}"/>
    <cellStyle name="20% - Énfasis2 9 2 18" xfId="30120" xr:uid="{00000000-0005-0000-0000-000080030000}"/>
    <cellStyle name="20% - Énfasis2 9 2 19" xfId="30625" xr:uid="{00000000-0005-0000-0000-000081030000}"/>
    <cellStyle name="20% - Énfasis2 9 2 2" xfId="1538" xr:uid="{00000000-0005-0000-0000-000082030000}"/>
    <cellStyle name="20% - Énfasis2 9 2 2 2" xfId="2965" xr:uid="{00000000-0005-0000-0000-000083030000}"/>
    <cellStyle name="20% - Énfasis2 9 2 2 2 2" xfId="4584" xr:uid="{00000000-0005-0000-0000-000084030000}"/>
    <cellStyle name="20% - Énfasis2 9 2 2 2 2 2" xfId="6451" xr:uid="{00000000-0005-0000-0000-000085030000}"/>
    <cellStyle name="20% - Énfasis2 9 2 2 2 3" xfId="5549" xr:uid="{00000000-0005-0000-0000-000086030000}"/>
    <cellStyle name="20% - Énfasis2 9 2 2 3" xfId="4057" xr:uid="{00000000-0005-0000-0000-000087030000}"/>
    <cellStyle name="20% - Énfasis2 9 2 2 3 2" xfId="6005" xr:uid="{00000000-0005-0000-0000-000088030000}"/>
    <cellStyle name="20% - Énfasis2 9 2 2 4" xfId="5091" xr:uid="{00000000-0005-0000-0000-000089030000}"/>
    <cellStyle name="20% - Énfasis2 9 2 3" xfId="2871" xr:uid="{00000000-0005-0000-0000-00008A030000}"/>
    <cellStyle name="20% - Énfasis2 9 2 3 2" xfId="4490" xr:uid="{00000000-0005-0000-0000-00008B030000}"/>
    <cellStyle name="20% - Énfasis2 9 2 3 2 2" xfId="6357" xr:uid="{00000000-0005-0000-0000-00008C030000}"/>
    <cellStyle name="20% - Énfasis2 9 2 3 3" xfId="5455" xr:uid="{00000000-0005-0000-0000-00008D030000}"/>
    <cellStyle name="20% - Énfasis2 9 2 4" xfId="3958" xr:uid="{00000000-0005-0000-0000-00008E030000}"/>
    <cellStyle name="20% - Énfasis2 9 2 4 2" xfId="5912" xr:uid="{00000000-0005-0000-0000-00008F030000}"/>
    <cellStyle name="20% - Énfasis2 9 2 5" xfId="4997" xr:uid="{00000000-0005-0000-0000-000090030000}"/>
    <cellStyle name="20% - Énfasis2 9 2 6" xfId="23220" xr:uid="{00000000-0005-0000-0000-000091030000}"/>
    <cellStyle name="20% - Énfasis2 9 2 7" xfId="24576" xr:uid="{00000000-0005-0000-0000-000092030000}"/>
    <cellStyle name="20% - Énfasis2 9 2 8" xfId="25080" xr:uid="{00000000-0005-0000-0000-000093030000}"/>
    <cellStyle name="20% - Énfasis2 9 2 9" xfId="25584" xr:uid="{00000000-0005-0000-0000-000094030000}"/>
    <cellStyle name="20% - Énfasis2 9 20" xfId="27095" xr:uid="{00000000-0005-0000-0000-000095030000}"/>
    <cellStyle name="20% - Énfasis2 9 21" xfId="27599" xr:uid="{00000000-0005-0000-0000-000096030000}"/>
    <cellStyle name="20% - Énfasis2 9 22" xfId="28103" xr:uid="{00000000-0005-0000-0000-000097030000}"/>
    <cellStyle name="20% - Énfasis2 9 23" xfId="28607" xr:uid="{00000000-0005-0000-0000-000098030000}"/>
    <cellStyle name="20% - Énfasis2 9 24" xfId="29111" xr:uid="{00000000-0005-0000-0000-000099030000}"/>
    <cellStyle name="20% - Énfasis2 9 25" xfId="29615" xr:uid="{00000000-0005-0000-0000-00009A030000}"/>
    <cellStyle name="20% - Énfasis2 9 26" xfId="30119" xr:uid="{00000000-0005-0000-0000-00009B030000}"/>
    <cellStyle name="20% - Énfasis2 9 27" xfId="30624" xr:uid="{00000000-0005-0000-0000-00009C030000}"/>
    <cellStyle name="20% - Énfasis2 9 3" xfId="1476" xr:uid="{00000000-0005-0000-0000-00009D030000}"/>
    <cellStyle name="20% - Énfasis2 9 3 2" xfId="1539" xr:uid="{00000000-0005-0000-0000-00009E030000}"/>
    <cellStyle name="20% - Énfasis2 9 3 2 2" xfId="2966" xr:uid="{00000000-0005-0000-0000-00009F030000}"/>
    <cellStyle name="20% - Énfasis2 9 3 2 2 2" xfId="4585" xr:uid="{00000000-0005-0000-0000-0000A0030000}"/>
    <cellStyle name="20% - Énfasis2 9 3 2 2 2 2" xfId="6452" xr:uid="{00000000-0005-0000-0000-0000A1030000}"/>
    <cellStyle name="20% - Énfasis2 9 3 2 2 3" xfId="5550" xr:uid="{00000000-0005-0000-0000-0000A2030000}"/>
    <cellStyle name="20% - Énfasis2 9 3 2 3" xfId="4058" xr:uid="{00000000-0005-0000-0000-0000A3030000}"/>
    <cellStyle name="20% - Énfasis2 9 3 2 3 2" xfId="6006" xr:uid="{00000000-0005-0000-0000-0000A4030000}"/>
    <cellStyle name="20% - Énfasis2 9 3 2 4" xfId="5092" xr:uid="{00000000-0005-0000-0000-0000A5030000}"/>
    <cellStyle name="20% - Énfasis2 9 3 3" xfId="2910" xr:uid="{00000000-0005-0000-0000-0000A6030000}"/>
    <cellStyle name="20% - Énfasis2 9 3 3 2" xfId="4529" xr:uid="{00000000-0005-0000-0000-0000A7030000}"/>
    <cellStyle name="20% - Énfasis2 9 3 3 2 2" xfId="6396" xr:uid="{00000000-0005-0000-0000-0000A8030000}"/>
    <cellStyle name="20% - Énfasis2 9 3 3 3" xfId="5494" xr:uid="{00000000-0005-0000-0000-0000A9030000}"/>
    <cellStyle name="20% - Énfasis2 9 3 4" xfId="3997" xr:uid="{00000000-0005-0000-0000-0000AA030000}"/>
    <cellStyle name="20% - Énfasis2 9 3 4 2" xfId="5951" xr:uid="{00000000-0005-0000-0000-0000AB030000}"/>
    <cellStyle name="20% - Énfasis2 9 3 5" xfId="5036" xr:uid="{00000000-0005-0000-0000-0000AC030000}"/>
    <cellStyle name="20% - Énfasis2 9 4" xfId="1540" xr:uid="{00000000-0005-0000-0000-0000AD030000}"/>
    <cellStyle name="20% - Énfasis2 9 4 2" xfId="2967" xr:uid="{00000000-0005-0000-0000-0000AE030000}"/>
    <cellStyle name="20% - Énfasis2 9 4 2 2" xfId="4586" xr:uid="{00000000-0005-0000-0000-0000AF030000}"/>
    <cellStyle name="20% - Énfasis2 9 4 2 2 2" xfId="6453" xr:uid="{00000000-0005-0000-0000-0000B0030000}"/>
    <cellStyle name="20% - Énfasis2 9 4 2 3" xfId="5551" xr:uid="{00000000-0005-0000-0000-0000B1030000}"/>
    <cellStyle name="20% - Énfasis2 9 4 3" xfId="4059" xr:uid="{00000000-0005-0000-0000-0000B2030000}"/>
    <cellStyle name="20% - Énfasis2 9 4 3 2" xfId="6007" xr:uid="{00000000-0005-0000-0000-0000B3030000}"/>
    <cellStyle name="20% - Énfasis2 9 4 4" xfId="5093" xr:uid="{00000000-0005-0000-0000-0000B4030000}"/>
    <cellStyle name="20% - Énfasis2 9 5" xfId="1541" xr:uid="{00000000-0005-0000-0000-0000B5030000}"/>
    <cellStyle name="20% - Énfasis2 9 5 2" xfId="2968" xr:uid="{00000000-0005-0000-0000-0000B6030000}"/>
    <cellStyle name="20% - Énfasis2 9 5 2 2" xfId="4587" xr:uid="{00000000-0005-0000-0000-0000B7030000}"/>
    <cellStyle name="20% - Énfasis2 9 5 2 2 2" xfId="6454" xr:uid="{00000000-0005-0000-0000-0000B8030000}"/>
    <cellStyle name="20% - Énfasis2 9 5 2 3" xfId="5552" xr:uid="{00000000-0005-0000-0000-0000B9030000}"/>
    <cellStyle name="20% - Énfasis2 9 5 3" xfId="4060" xr:uid="{00000000-0005-0000-0000-0000BA030000}"/>
    <cellStyle name="20% - Énfasis2 9 5 3 2" xfId="6008" xr:uid="{00000000-0005-0000-0000-0000BB030000}"/>
    <cellStyle name="20% - Énfasis2 9 5 4" xfId="5094" xr:uid="{00000000-0005-0000-0000-0000BC030000}"/>
    <cellStyle name="20% - Énfasis2 9 6" xfId="2812" xr:uid="{00000000-0005-0000-0000-0000BD030000}"/>
    <cellStyle name="20% - Énfasis2 9 6 2" xfId="4432" xr:uid="{00000000-0005-0000-0000-0000BE030000}"/>
    <cellStyle name="20% - Énfasis2 9 6 2 2" xfId="6300" xr:uid="{00000000-0005-0000-0000-0000BF030000}"/>
    <cellStyle name="20% - Énfasis2 9 6 3" xfId="5398" xr:uid="{00000000-0005-0000-0000-0000C0030000}"/>
    <cellStyle name="20% - Énfasis2 9 7" xfId="3753" xr:uid="{00000000-0005-0000-0000-0000C1030000}"/>
    <cellStyle name="20% - Énfasis2 9 7 2" xfId="5856" xr:uid="{00000000-0005-0000-0000-0000C2030000}"/>
    <cellStyle name="20% - Énfasis2 9 8" xfId="4791" xr:uid="{00000000-0005-0000-0000-0000C3030000}"/>
    <cellStyle name="20% - Énfasis2 9 8 2" xfId="6636" xr:uid="{00000000-0005-0000-0000-0000C4030000}"/>
    <cellStyle name="20% - Énfasis2 9 9" xfId="4834" xr:uid="{00000000-0005-0000-0000-0000C5030000}"/>
    <cellStyle name="20% - Énfasis2 9 9 2" xfId="6678" xr:uid="{00000000-0005-0000-0000-0000C6030000}"/>
    <cellStyle name="20% - Énfasis3" xfId="17" builtinId="38" customBuiltin="1"/>
    <cellStyle name="20% - Énfasis3 10" xfId="880" xr:uid="{00000000-0005-0000-0000-0000C8030000}"/>
    <cellStyle name="20% - Énfasis3 10 10" xfId="4942" xr:uid="{00000000-0005-0000-0000-0000C9030000}"/>
    <cellStyle name="20% - Énfasis3 10 11" xfId="6721" xr:uid="{00000000-0005-0000-0000-0000CA030000}"/>
    <cellStyle name="20% - Énfasis3 10 12" xfId="22860" xr:uid="{00000000-0005-0000-0000-0000CB030000}"/>
    <cellStyle name="20% - Énfasis3 10 13" xfId="23221" xr:uid="{00000000-0005-0000-0000-0000CC030000}"/>
    <cellStyle name="20% - Énfasis3 10 14" xfId="24577" xr:uid="{00000000-0005-0000-0000-0000CD030000}"/>
    <cellStyle name="20% - Énfasis3 10 15" xfId="25081" xr:uid="{00000000-0005-0000-0000-0000CE030000}"/>
    <cellStyle name="20% - Énfasis3 10 16" xfId="25585" xr:uid="{00000000-0005-0000-0000-0000CF030000}"/>
    <cellStyle name="20% - Énfasis3 10 17" xfId="26089" xr:uid="{00000000-0005-0000-0000-0000D0030000}"/>
    <cellStyle name="20% - Énfasis3 10 18" xfId="26593" xr:uid="{00000000-0005-0000-0000-0000D1030000}"/>
    <cellStyle name="20% - Énfasis3 10 19" xfId="27097" xr:uid="{00000000-0005-0000-0000-0000D2030000}"/>
    <cellStyle name="20% - Énfasis3 10 2" xfId="1439" xr:uid="{00000000-0005-0000-0000-0000D3030000}"/>
    <cellStyle name="20% - Énfasis3 10 2 10" xfId="26090" xr:uid="{00000000-0005-0000-0000-0000D4030000}"/>
    <cellStyle name="20% - Énfasis3 10 2 11" xfId="26594" xr:uid="{00000000-0005-0000-0000-0000D5030000}"/>
    <cellStyle name="20% - Énfasis3 10 2 12" xfId="27098" xr:uid="{00000000-0005-0000-0000-0000D6030000}"/>
    <cellStyle name="20% - Énfasis3 10 2 13" xfId="27602" xr:uid="{00000000-0005-0000-0000-0000D7030000}"/>
    <cellStyle name="20% - Énfasis3 10 2 14" xfId="28106" xr:uid="{00000000-0005-0000-0000-0000D8030000}"/>
    <cellStyle name="20% - Énfasis3 10 2 15" xfId="28610" xr:uid="{00000000-0005-0000-0000-0000D9030000}"/>
    <cellStyle name="20% - Énfasis3 10 2 16" xfId="29114" xr:uid="{00000000-0005-0000-0000-0000DA030000}"/>
    <cellStyle name="20% - Énfasis3 10 2 17" xfId="29618" xr:uid="{00000000-0005-0000-0000-0000DB030000}"/>
    <cellStyle name="20% - Énfasis3 10 2 18" xfId="30122" xr:uid="{00000000-0005-0000-0000-0000DC030000}"/>
    <cellStyle name="20% - Énfasis3 10 2 19" xfId="30627" xr:uid="{00000000-0005-0000-0000-0000DD030000}"/>
    <cellStyle name="20% - Énfasis3 10 2 2" xfId="1542" xr:uid="{00000000-0005-0000-0000-0000DE030000}"/>
    <cellStyle name="20% - Énfasis3 10 2 2 2" xfId="2969" xr:uid="{00000000-0005-0000-0000-0000DF030000}"/>
    <cellStyle name="20% - Énfasis3 10 2 2 2 2" xfId="4588" xr:uid="{00000000-0005-0000-0000-0000E0030000}"/>
    <cellStyle name="20% - Énfasis3 10 2 2 2 2 2" xfId="6455" xr:uid="{00000000-0005-0000-0000-0000E1030000}"/>
    <cellStyle name="20% - Énfasis3 10 2 2 2 3" xfId="5553" xr:uid="{00000000-0005-0000-0000-0000E2030000}"/>
    <cellStyle name="20% - Énfasis3 10 2 2 3" xfId="4061" xr:uid="{00000000-0005-0000-0000-0000E3030000}"/>
    <cellStyle name="20% - Énfasis3 10 2 2 3 2" xfId="6009" xr:uid="{00000000-0005-0000-0000-0000E4030000}"/>
    <cellStyle name="20% - Énfasis3 10 2 2 4" xfId="5095" xr:uid="{00000000-0005-0000-0000-0000E5030000}"/>
    <cellStyle name="20% - Énfasis3 10 2 3" xfId="2873" xr:uid="{00000000-0005-0000-0000-0000E6030000}"/>
    <cellStyle name="20% - Énfasis3 10 2 3 2" xfId="4492" xr:uid="{00000000-0005-0000-0000-0000E7030000}"/>
    <cellStyle name="20% - Énfasis3 10 2 3 2 2" xfId="6359" xr:uid="{00000000-0005-0000-0000-0000E8030000}"/>
    <cellStyle name="20% - Énfasis3 10 2 3 3" xfId="5457" xr:uid="{00000000-0005-0000-0000-0000E9030000}"/>
    <cellStyle name="20% - Énfasis3 10 2 4" xfId="3960" xr:uid="{00000000-0005-0000-0000-0000EA030000}"/>
    <cellStyle name="20% - Énfasis3 10 2 4 2" xfId="5914" xr:uid="{00000000-0005-0000-0000-0000EB030000}"/>
    <cellStyle name="20% - Énfasis3 10 2 5" xfId="4999" xr:uid="{00000000-0005-0000-0000-0000EC030000}"/>
    <cellStyle name="20% - Énfasis3 10 2 6" xfId="23222" xr:uid="{00000000-0005-0000-0000-0000ED030000}"/>
    <cellStyle name="20% - Énfasis3 10 2 7" xfId="24578" xr:uid="{00000000-0005-0000-0000-0000EE030000}"/>
    <cellStyle name="20% - Énfasis3 10 2 8" xfId="25082" xr:uid="{00000000-0005-0000-0000-0000EF030000}"/>
    <cellStyle name="20% - Énfasis3 10 2 9" xfId="25586" xr:uid="{00000000-0005-0000-0000-0000F0030000}"/>
    <cellStyle name="20% - Énfasis3 10 20" xfId="27601" xr:uid="{00000000-0005-0000-0000-0000F1030000}"/>
    <cellStyle name="20% - Énfasis3 10 21" xfId="28105" xr:uid="{00000000-0005-0000-0000-0000F2030000}"/>
    <cellStyle name="20% - Énfasis3 10 22" xfId="28609" xr:uid="{00000000-0005-0000-0000-0000F3030000}"/>
    <cellStyle name="20% - Énfasis3 10 23" xfId="29113" xr:uid="{00000000-0005-0000-0000-0000F4030000}"/>
    <cellStyle name="20% - Énfasis3 10 24" xfId="29617" xr:uid="{00000000-0005-0000-0000-0000F5030000}"/>
    <cellStyle name="20% - Énfasis3 10 25" xfId="30121" xr:uid="{00000000-0005-0000-0000-0000F6030000}"/>
    <cellStyle name="20% - Énfasis3 10 26" xfId="30626" xr:uid="{00000000-0005-0000-0000-0000F7030000}"/>
    <cellStyle name="20% - Énfasis3 10 3" xfId="1477" xr:uid="{00000000-0005-0000-0000-0000F8030000}"/>
    <cellStyle name="20% - Énfasis3 10 3 2" xfId="1543" xr:uid="{00000000-0005-0000-0000-0000F9030000}"/>
    <cellStyle name="20% - Énfasis3 10 3 2 2" xfId="2970" xr:uid="{00000000-0005-0000-0000-0000FA030000}"/>
    <cellStyle name="20% - Énfasis3 10 3 2 2 2" xfId="4589" xr:uid="{00000000-0005-0000-0000-0000FB030000}"/>
    <cellStyle name="20% - Énfasis3 10 3 2 2 2 2" xfId="6456" xr:uid="{00000000-0005-0000-0000-0000FC030000}"/>
    <cellStyle name="20% - Énfasis3 10 3 2 2 3" xfId="5554" xr:uid="{00000000-0005-0000-0000-0000FD030000}"/>
    <cellStyle name="20% - Énfasis3 10 3 2 3" xfId="4062" xr:uid="{00000000-0005-0000-0000-0000FE030000}"/>
    <cellStyle name="20% - Énfasis3 10 3 2 3 2" xfId="6010" xr:uid="{00000000-0005-0000-0000-0000FF030000}"/>
    <cellStyle name="20% - Énfasis3 10 3 2 4" xfId="5096" xr:uid="{00000000-0005-0000-0000-000000040000}"/>
    <cellStyle name="20% - Énfasis3 10 3 3" xfId="2911" xr:uid="{00000000-0005-0000-0000-000001040000}"/>
    <cellStyle name="20% - Énfasis3 10 3 3 2" xfId="4530" xr:uid="{00000000-0005-0000-0000-000002040000}"/>
    <cellStyle name="20% - Énfasis3 10 3 3 2 2" xfId="6397" xr:uid="{00000000-0005-0000-0000-000003040000}"/>
    <cellStyle name="20% - Énfasis3 10 3 3 3" xfId="5495" xr:uid="{00000000-0005-0000-0000-000004040000}"/>
    <cellStyle name="20% - Énfasis3 10 3 4" xfId="3998" xr:uid="{00000000-0005-0000-0000-000005040000}"/>
    <cellStyle name="20% - Énfasis3 10 3 4 2" xfId="5952" xr:uid="{00000000-0005-0000-0000-000006040000}"/>
    <cellStyle name="20% - Énfasis3 10 3 5" xfId="5037" xr:uid="{00000000-0005-0000-0000-000007040000}"/>
    <cellStyle name="20% - Énfasis3 10 4" xfId="1544" xr:uid="{00000000-0005-0000-0000-000008040000}"/>
    <cellStyle name="20% - Énfasis3 10 4 2" xfId="2971" xr:uid="{00000000-0005-0000-0000-000009040000}"/>
    <cellStyle name="20% - Énfasis3 10 4 2 2" xfId="4590" xr:uid="{00000000-0005-0000-0000-00000A040000}"/>
    <cellStyle name="20% - Énfasis3 10 4 2 2 2" xfId="6457" xr:uid="{00000000-0005-0000-0000-00000B040000}"/>
    <cellStyle name="20% - Énfasis3 10 4 2 3" xfId="5555" xr:uid="{00000000-0005-0000-0000-00000C040000}"/>
    <cellStyle name="20% - Énfasis3 10 4 3" xfId="4063" xr:uid="{00000000-0005-0000-0000-00000D040000}"/>
    <cellStyle name="20% - Énfasis3 10 4 3 2" xfId="6011" xr:uid="{00000000-0005-0000-0000-00000E040000}"/>
    <cellStyle name="20% - Énfasis3 10 4 4" xfId="5097" xr:uid="{00000000-0005-0000-0000-00000F040000}"/>
    <cellStyle name="20% - Énfasis3 10 5" xfId="1545" xr:uid="{00000000-0005-0000-0000-000010040000}"/>
    <cellStyle name="20% - Énfasis3 10 5 2" xfId="2972" xr:uid="{00000000-0005-0000-0000-000011040000}"/>
    <cellStyle name="20% - Énfasis3 10 5 2 2" xfId="4591" xr:uid="{00000000-0005-0000-0000-000012040000}"/>
    <cellStyle name="20% - Énfasis3 10 5 2 2 2" xfId="6458" xr:uid="{00000000-0005-0000-0000-000013040000}"/>
    <cellStyle name="20% - Énfasis3 10 5 2 3" xfId="5556" xr:uid="{00000000-0005-0000-0000-000014040000}"/>
    <cellStyle name="20% - Énfasis3 10 5 3" xfId="4064" xr:uid="{00000000-0005-0000-0000-000015040000}"/>
    <cellStyle name="20% - Énfasis3 10 5 3 2" xfId="6012" xr:uid="{00000000-0005-0000-0000-000016040000}"/>
    <cellStyle name="20% - Énfasis3 10 5 4" xfId="5098" xr:uid="{00000000-0005-0000-0000-000017040000}"/>
    <cellStyle name="20% - Énfasis3 10 6" xfId="2814" xr:uid="{00000000-0005-0000-0000-000018040000}"/>
    <cellStyle name="20% - Énfasis3 10 6 2" xfId="4434" xr:uid="{00000000-0005-0000-0000-000019040000}"/>
    <cellStyle name="20% - Énfasis3 10 6 2 2" xfId="6302" xr:uid="{00000000-0005-0000-0000-00001A040000}"/>
    <cellStyle name="20% - Énfasis3 10 6 3" xfId="5400" xr:uid="{00000000-0005-0000-0000-00001B040000}"/>
    <cellStyle name="20% - Énfasis3 10 7" xfId="3755" xr:uid="{00000000-0005-0000-0000-00001C040000}"/>
    <cellStyle name="20% - Énfasis3 10 7 2" xfId="5858" xr:uid="{00000000-0005-0000-0000-00001D040000}"/>
    <cellStyle name="20% - Énfasis3 10 8" xfId="4793" xr:uid="{00000000-0005-0000-0000-00001E040000}"/>
    <cellStyle name="20% - Énfasis3 10 8 2" xfId="6638" xr:uid="{00000000-0005-0000-0000-00001F040000}"/>
    <cellStyle name="20% - Énfasis3 10 9" xfId="4836" xr:uid="{00000000-0005-0000-0000-000020040000}"/>
    <cellStyle name="20% - Énfasis3 10 9 2" xfId="6680" xr:uid="{00000000-0005-0000-0000-000021040000}"/>
    <cellStyle name="20% - Énfasis3 11" xfId="881" xr:uid="{00000000-0005-0000-0000-000022040000}"/>
    <cellStyle name="20% - Énfasis3 11 2" xfId="882" xr:uid="{00000000-0005-0000-0000-000023040000}"/>
    <cellStyle name="20% - Énfasis3 12" xfId="879" xr:uid="{00000000-0005-0000-0000-000024040000}"/>
    <cellStyle name="20% - Énfasis3 12 10" xfId="25587" xr:uid="{00000000-0005-0000-0000-000025040000}"/>
    <cellStyle name="20% - Énfasis3 12 11" xfId="26091" xr:uid="{00000000-0005-0000-0000-000026040000}"/>
    <cellStyle name="20% - Énfasis3 12 12" xfId="26595" xr:uid="{00000000-0005-0000-0000-000027040000}"/>
    <cellStyle name="20% - Énfasis3 12 13" xfId="27099" xr:uid="{00000000-0005-0000-0000-000028040000}"/>
    <cellStyle name="20% - Énfasis3 12 14" xfId="27603" xr:uid="{00000000-0005-0000-0000-000029040000}"/>
    <cellStyle name="20% - Énfasis3 12 15" xfId="28107" xr:uid="{00000000-0005-0000-0000-00002A040000}"/>
    <cellStyle name="20% - Énfasis3 12 16" xfId="28611" xr:uid="{00000000-0005-0000-0000-00002B040000}"/>
    <cellStyle name="20% - Énfasis3 12 17" xfId="29115" xr:uid="{00000000-0005-0000-0000-00002C040000}"/>
    <cellStyle name="20% - Énfasis3 12 18" xfId="29619" xr:uid="{00000000-0005-0000-0000-00002D040000}"/>
    <cellStyle name="20% - Énfasis3 12 19" xfId="30123" xr:uid="{00000000-0005-0000-0000-00002E040000}"/>
    <cellStyle name="20% - Énfasis3 12 2" xfId="1438" xr:uid="{00000000-0005-0000-0000-00002F040000}"/>
    <cellStyle name="20% - Énfasis3 12 2 10" xfId="26092" xr:uid="{00000000-0005-0000-0000-000030040000}"/>
    <cellStyle name="20% - Énfasis3 12 2 11" xfId="26596" xr:uid="{00000000-0005-0000-0000-000031040000}"/>
    <cellStyle name="20% - Énfasis3 12 2 12" xfId="27100" xr:uid="{00000000-0005-0000-0000-000032040000}"/>
    <cellStyle name="20% - Énfasis3 12 2 13" xfId="27604" xr:uid="{00000000-0005-0000-0000-000033040000}"/>
    <cellStyle name="20% - Énfasis3 12 2 14" xfId="28108" xr:uid="{00000000-0005-0000-0000-000034040000}"/>
    <cellStyle name="20% - Énfasis3 12 2 15" xfId="28612" xr:uid="{00000000-0005-0000-0000-000035040000}"/>
    <cellStyle name="20% - Énfasis3 12 2 16" xfId="29116" xr:uid="{00000000-0005-0000-0000-000036040000}"/>
    <cellStyle name="20% - Énfasis3 12 2 17" xfId="29620" xr:uid="{00000000-0005-0000-0000-000037040000}"/>
    <cellStyle name="20% - Énfasis3 12 2 18" xfId="30124" xr:uid="{00000000-0005-0000-0000-000038040000}"/>
    <cellStyle name="20% - Énfasis3 12 2 19" xfId="30629" xr:uid="{00000000-0005-0000-0000-000039040000}"/>
    <cellStyle name="20% - Énfasis3 12 2 2" xfId="1546" xr:uid="{00000000-0005-0000-0000-00003A040000}"/>
    <cellStyle name="20% - Énfasis3 12 2 2 2" xfId="2973" xr:uid="{00000000-0005-0000-0000-00003B040000}"/>
    <cellStyle name="20% - Énfasis3 12 2 2 2 2" xfId="4592" xr:uid="{00000000-0005-0000-0000-00003C040000}"/>
    <cellStyle name="20% - Énfasis3 12 2 2 2 2 2" xfId="6459" xr:uid="{00000000-0005-0000-0000-00003D040000}"/>
    <cellStyle name="20% - Énfasis3 12 2 2 2 3" xfId="5557" xr:uid="{00000000-0005-0000-0000-00003E040000}"/>
    <cellStyle name="20% - Énfasis3 12 2 2 3" xfId="4065" xr:uid="{00000000-0005-0000-0000-00003F040000}"/>
    <cellStyle name="20% - Énfasis3 12 2 2 3 2" xfId="6013" xr:uid="{00000000-0005-0000-0000-000040040000}"/>
    <cellStyle name="20% - Énfasis3 12 2 2 4" xfId="5099" xr:uid="{00000000-0005-0000-0000-000041040000}"/>
    <cellStyle name="20% - Énfasis3 12 2 3" xfId="2872" xr:uid="{00000000-0005-0000-0000-000042040000}"/>
    <cellStyle name="20% - Énfasis3 12 2 3 2" xfId="4491" xr:uid="{00000000-0005-0000-0000-000043040000}"/>
    <cellStyle name="20% - Énfasis3 12 2 3 2 2" xfId="6358" xr:uid="{00000000-0005-0000-0000-000044040000}"/>
    <cellStyle name="20% - Énfasis3 12 2 3 3" xfId="5456" xr:uid="{00000000-0005-0000-0000-000045040000}"/>
    <cellStyle name="20% - Énfasis3 12 2 4" xfId="3959" xr:uid="{00000000-0005-0000-0000-000046040000}"/>
    <cellStyle name="20% - Énfasis3 12 2 4 2" xfId="5913" xr:uid="{00000000-0005-0000-0000-000047040000}"/>
    <cellStyle name="20% - Énfasis3 12 2 5" xfId="4998" xr:uid="{00000000-0005-0000-0000-000048040000}"/>
    <cellStyle name="20% - Énfasis3 12 2 6" xfId="23224" xr:uid="{00000000-0005-0000-0000-000049040000}"/>
    <cellStyle name="20% - Énfasis3 12 2 7" xfId="24580" xr:uid="{00000000-0005-0000-0000-00004A040000}"/>
    <cellStyle name="20% - Énfasis3 12 2 8" xfId="25084" xr:uid="{00000000-0005-0000-0000-00004B040000}"/>
    <cellStyle name="20% - Énfasis3 12 2 9" xfId="25588" xr:uid="{00000000-0005-0000-0000-00004C040000}"/>
    <cellStyle name="20% - Énfasis3 12 20" xfId="30628" xr:uid="{00000000-0005-0000-0000-00004D040000}"/>
    <cellStyle name="20% - Énfasis3 12 3" xfId="1547" xr:uid="{00000000-0005-0000-0000-00004E040000}"/>
    <cellStyle name="20% - Énfasis3 12 3 2" xfId="2974" xr:uid="{00000000-0005-0000-0000-00004F040000}"/>
    <cellStyle name="20% - Énfasis3 12 3 2 2" xfId="4593" xr:uid="{00000000-0005-0000-0000-000050040000}"/>
    <cellStyle name="20% - Énfasis3 12 3 2 2 2" xfId="6460" xr:uid="{00000000-0005-0000-0000-000051040000}"/>
    <cellStyle name="20% - Énfasis3 12 3 2 3" xfId="5558" xr:uid="{00000000-0005-0000-0000-000052040000}"/>
    <cellStyle name="20% - Énfasis3 12 3 3" xfId="4066" xr:uid="{00000000-0005-0000-0000-000053040000}"/>
    <cellStyle name="20% - Énfasis3 12 3 3 2" xfId="6014" xr:uid="{00000000-0005-0000-0000-000054040000}"/>
    <cellStyle name="20% - Énfasis3 12 3 4" xfId="5100" xr:uid="{00000000-0005-0000-0000-000055040000}"/>
    <cellStyle name="20% - Énfasis3 12 4" xfId="2813" xr:uid="{00000000-0005-0000-0000-000056040000}"/>
    <cellStyle name="20% - Énfasis3 12 4 2" xfId="4433" xr:uid="{00000000-0005-0000-0000-000057040000}"/>
    <cellStyle name="20% - Énfasis3 12 4 2 2" xfId="6301" xr:uid="{00000000-0005-0000-0000-000058040000}"/>
    <cellStyle name="20% - Énfasis3 12 4 3" xfId="5399" xr:uid="{00000000-0005-0000-0000-000059040000}"/>
    <cellStyle name="20% - Énfasis3 12 5" xfId="3754" xr:uid="{00000000-0005-0000-0000-00005A040000}"/>
    <cellStyle name="20% - Énfasis3 12 5 2" xfId="5857" xr:uid="{00000000-0005-0000-0000-00005B040000}"/>
    <cellStyle name="20% - Énfasis3 12 6" xfId="4941" xr:uid="{00000000-0005-0000-0000-00005C040000}"/>
    <cellStyle name="20% - Énfasis3 12 7" xfId="23223" xr:uid="{00000000-0005-0000-0000-00005D040000}"/>
    <cellStyle name="20% - Énfasis3 12 8" xfId="24579" xr:uid="{00000000-0005-0000-0000-00005E040000}"/>
    <cellStyle name="20% - Énfasis3 12 9" xfId="25083" xr:uid="{00000000-0005-0000-0000-00005F040000}"/>
    <cellStyle name="20% - Énfasis3 13" xfId="1374" xr:uid="{00000000-0005-0000-0000-000060040000}"/>
    <cellStyle name="20% - Énfasis3 14" xfId="1478" xr:uid="{00000000-0005-0000-0000-000061040000}"/>
    <cellStyle name="20% - Énfasis3 14 2" xfId="1548" xr:uid="{00000000-0005-0000-0000-000062040000}"/>
    <cellStyle name="20% - Énfasis3 14 2 2" xfId="2975" xr:uid="{00000000-0005-0000-0000-000063040000}"/>
    <cellStyle name="20% - Énfasis3 14 2 2 2" xfId="4594" xr:uid="{00000000-0005-0000-0000-000064040000}"/>
    <cellStyle name="20% - Énfasis3 14 2 2 2 2" xfId="6461" xr:uid="{00000000-0005-0000-0000-000065040000}"/>
    <cellStyle name="20% - Énfasis3 14 2 2 3" xfId="5559" xr:uid="{00000000-0005-0000-0000-000066040000}"/>
    <cellStyle name="20% - Énfasis3 14 2 3" xfId="4067" xr:uid="{00000000-0005-0000-0000-000067040000}"/>
    <cellStyle name="20% - Énfasis3 14 2 3 2" xfId="6015" xr:uid="{00000000-0005-0000-0000-000068040000}"/>
    <cellStyle name="20% - Énfasis3 14 2 4" xfId="5101" xr:uid="{00000000-0005-0000-0000-000069040000}"/>
    <cellStyle name="20% - Énfasis3 14 3" xfId="2912" xr:uid="{00000000-0005-0000-0000-00006A040000}"/>
    <cellStyle name="20% - Énfasis3 14 3 2" xfId="4531" xr:uid="{00000000-0005-0000-0000-00006B040000}"/>
    <cellStyle name="20% - Énfasis3 14 3 2 2" xfId="6398" xr:uid="{00000000-0005-0000-0000-00006C040000}"/>
    <cellStyle name="20% - Énfasis3 14 3 3" xfId="5496" xr:uid="{00000000-0005-0000-0000-00006D040000}"/>
    <cellStyle name="20% - Énfasis3 14 4" xfId="3999" xr:uid="{00000000-0005-0000-0000-00006E040000}"/>
    <cellStyle name="20% - Énfasis3 14 4 2" xfId="5953" xr:uid="{00000000-0005-0000-0000-00006F040000}"/>
    <cellStyle name="20% - Énfasis3 14 5" xfId="5038" xr:uid="{00000000-0005-0000-0000-000070040000}"/>
    <cellStyle name="20% - Énfasis3 15" xfId="1549" xr:uid="{00000000-0005-0000-0000-000071040000}"/>
    <cellStyle name="20% - Énfasis3 15 2" xfId="2976" xr:uid="{00000000-0005-0000-0000-000072040000}"/>
    <cellStyle name="20% - Énfasis3 15 2 2" xfId="4595" xr:uid="{00000000-0005-0000-0000-000073040000}"/>
    <cellStyle name="20% - Énfasis3 15 2 2 2" xfId="6462" xr:uid="{00000000-0005-0000-0000-000074040000}"/>
    <cellStyle name="20% - Énfasis3 15 2 3" xfId="5560" xr:uid="{00000000-0005-0000-0000-000075040000}"/>
    <cellStyle name="20% - Énfasis3 15 3" xfId="4068" xr:uid="{00000000-0005-0000-0000-000076040000}"/>
    <cellStyle name="20% - Énfasis3 15 3 2" xfId="6016" xr:uid="{00000000-0005-0000-0000-000077040000}"/>
    <cellStyle name="20% - Énfasis3 15 4" xfId="5102" xr:uid="{00000000-0005-0000-0000-000078040000}"/>
    <cellStyle name="20% - Énfasis3 16" xfId="2717" xr:uid="{00000000-0005-0000-0000-000079040000}"/>
    <cellStyle name="20% - Énfasis3 16 2" xfId="4396" xr:uid="{00000000-0005-0000-0000-00007A040000}"/>
    <cellStyle name="20% - Énfasis3 16 2 2" xfId="6266" xr:uid="{00000000-0005-0000-0000-00007B040000}"/>
    <cellStyle name="20% - Énfasis3 16 3" xfId="5364" xr:uid="{00000000-0005-0000-0000-00007C040000}"/>
    <cellStyle name="20% - Énfasis3 17" xfId="3168" xr:uid="{00000000-0005-0000-0000-00007D040000}"/>
    <cellStyle name="20% - Énfasis3 17 2" xfId="5735" xr:uid="{00000000-0005-0000-0000-00007E040000}"/>
    <cellStyle name="20% - Énfasis3 18" xfId="4792" xr:uid="{00000000-0005-0000-0000-00007F040000}"/>
    <cellStyle name="20% - Énfasis3 18 2" xfId="6637" xr:uid="{00000000-0005-0000-0000-000080040000}"/>
    <cellStyle name="20% - Énfasis3 19" xfId="4835" xr:uid="{00000000-0005-0000-0000-000081040000}"/>
    <cellStyle name="20% - Énfasis3 19 2" xfId="6679" xr:uid="{00000000-0005-0000-0000-000082040000}"/>
    <cellStyle name="20% - Énfasis3 2" xfId="18" xr:uid="{00000000-0005-0000-0000-000083040000}"/>
    <cellStyle name="20% - Énfasis3 2 2" xfId="883" xr:uid="{00000000-0005-0000-0000-000084040000}"/>
    <cellStyle name="20% - Énfasis3 2 2 2" xfId="3169" xr:uid="{00000000-0005-0000-0000-000085040000}"/>
    <cellStyle name="20% - Énfasis3 2 2 2 2" xfId="7398" xr:uid="{00000000-0005-0000-0000-000086040000}"/>
    <cellStyle name="20% - Énfasis3 2 2 2 3" xfId="7397" xr:uid="{00000000-0005-0000-0000-000087040000}"/>
    <cellStyle name="20% - Énfasis3 2 2 3" xfId="7399" xr:uid="{00000000-0005-0000-0000-000088040000}"/>
    <cellStyle name="20% - Énfasis3 2 2 4" xfId="7400" xr:uid="{00000000-0005-0000-0000-000089040000}"/>
    <cellStyle name="20% - Énfasis3 2 2 5" xfId="7396" xr:uid="{00000000-0005-0000-0000-00008A040000}"/>
    <cellStyle name="20% - Énfasis3 2 3" xfId="1759" xr:uid="{00000000-0005-0000-0000-00008B040000}"/>
    <cellStyle name="20% - Énfasis3 2 4" xfId="7401" xr:uid="{00000000-0005-0000-0000-00008C040000}"/>
    <cellStyle name="20% - Énfasis3 2 4 2" xfId="22861" xr:uid="{00000000-0005-0000-0000-00008D040000}"/>
    <cellStyle name="20% - Énfasis3 2 5" xfId="31207" xr:uid="{288BDC05-BB2B-4AF6-8137-2531F84CA415}"/>
    <cellStyle name="20% - Énfasis3 20" xfId="4877" xr:uid="{00000000-0005-0000-0000-00008E040000}"/>
    <cellStyle name="20% - Énfasis3 21" xfId="6720" xr:uid="{00000000-0005-0000-0000-00008F040000}"/>
    <cellStyle name="20% - Énfasis3 22" xfId="6777" xr:uid="{00000000-0005-0000-0000-000090040000}"/>
    <cellStyle name="20% - Énfasis3 23" xfId="7270" xr:uid="{00000000-0005-0000-0000-000091040000}"/>
    <cellStyle name="20% - Énfasis3 24" xfId="22859" xr:uid="{00000000-0005-0000-0000-000092040000}"/>
    <cellStyle name="20% - Énfasis3 25" xfId="23159" xr:uid="{00000000-0005-0000-0000-000093040000}"/>
    <cellStyle name="20% - Énfasis3 26" xfId="24549" xr:uid="{00000000-0005-0000-0000-000094040000}"/>
    <cellStyle name="20% - Énfasis3 27" xfId="25053" xr:uid="{00000000-0005-0000-0000-000095040000}"/>
    <cellStyle name="20% - Énfasis3 28" xfId="25557" xr:uid="{00000000-0005-0000-0000-000096040000}"/>
    <cellStyle name="20% - Énfasis3 29" xfId="26061" xr:uid="{00000000-0005-0000-0000-000097040000}"/>
    <cellStyle name="20% - Énfasis3 3" xfId="884" xr:uid="{00000000-0005-0000-0000-000098040000}"/>
    <cellStyle name="20% - Énfasis3 3 2" xfId="885" xr:uid="{00000000-0005-0000-0000-000099040000}"/>
    <cellStyle name="20% - Énfasis3 3 2 2" xfId="7402" xr:uid="{00000000-0005-0000-0000-00009A040000}"/>
    <cellStyle name="20% - Énfasis3 3 2 2 2" xfId="23226" xr:uid="{00000000-0005-0000-0000-00009B040000}"/>
    <cellStyle name="20% - Énfasis3 3 2 2 3" xfId="23225" xr:uid="{00000000-0005-0000-0000-00009C040000}"/>
    <cellStyle name="20% - Énfasis3 3 2 3" xfId="7403" xr:uid="{00000000-0005-0000-0000-00009D040000}"/>
    <cellStyle name="20% - Énfasis3 3 2 3 2" xfId="23227" xr:uid="{00000000-0005-0000-0000-00009E040000}"/>
    <cellStyle name="20% - Énfasis3 3 3" xfId="1760" xr:uid="{00000000-0005-0000-0000-00009F040000}"/>
    <cellStyle name="20% - Énfasis3 3 3 2" xfId="23228" xr:uid="{00000000-0005-0000-0000-0000A0040000}"/>
    <cellStyle name="20% - Énfasis3 3 4" xfId="7404" xr:uid="{00000000-0005-0000-0000-0000A1040000}"/>
    <cellStyle name="20% - Énfasis3 3 4 2" xfId="23229" xr:uid="{00000000-0005-0000-0000-0000A2040000}"/>
    <cellStyle name="20% - Énfasis3 3 5" xfId="7405" xr:uid="{00000000-0005-0000-0000-0000A3040000}"/>
    <cellStyle name="20% - Énfasis3 3 5 2" xfId="23231" xr:uid="{00000000-0005-0000-0000-0000A4040000}"/>
    <cellStyle name="20% - Énfasis3 3 5 3" xfId="23230" xr:uid="{00000000-0005-0000-0000-0000A5040000}"/>
    <cellStyle name="20% - Énfasis3 3 6" xfId="23232" xr:uid="{00000000-0005-0000-0000-0000A6040000}"/>
    <cellStyle name="20% - Énfasis3 3 7" xfId="23233" xr:uid="{00000000-0005-0000-0000-0000A7040000}"/>
    <cellStyle name="20% - Énfasis3 30" xfId="26565" xr:uid="{00000000-0005-0000-0000-0000A8040000}"/>
    <cellStyle name="20% - Énfasis3 31" xfId="27069" xr:uid="{00000000-0005-0000-0000-0000A9040000}"/>
    <cellStyle name="20% - Énfasis3 32" xfId="27573" xr:uid="{00000000-0005-0000-0000-0000AA040000}"/>
    <cellStyle name="20% - Énfasis3 33" xfId="28077" xr:uid="{00000000-0005-0000-0000-0000AB040000}"/>
    <cellStyle name="20% - Énfasis3 34" xfId="28581" xr:uid="{00000000-0005-0000-0000-0000AC040000}"/>
    <cellStyle name="20% - Énfasis3 35" xfId="29085" xr:uid="{00000000-0005-0000-0000-0000AD040000}"/>
    <cellStyle name="20% - Énfasis3 36" xfId="29589" xr:uid="{00000000-0005-0000-0000-0000AE040000}"/>
    <cellStyle name="20% - Énfasis3 37" xfId="30093" xr:uid="{00000000-0005-0000-0000-0000AF040000}"/>
    <cellStyle name="20% - Énfasis3 38" xfId="30598" xr:uid="{00000000-0005-0000-0000-0000B0040000}"/>
    <cellStyle name="20% - Énfasis3 39" xfId="31120" xr:uid="{139B195C-1833-4972-9EAD-7B8BE527A5F2}"/>
    <cellStyle name="20% - Énfasis3 4" xfId="886" xr:uid="{00000000-0005-0000-0000-0000B1040000}"/>
    <cellStyle name="20% - Énfasis3 4 2" xfId="887" xr:uid="{00000000-0005-0000-0000-0000B2040000}"/>
    <cellStyle name="20% - Énfasis3 4 3" xfId="7407" xr:uid="{00000000-0005-0000-0000-0000B3040000}"/>
    <cellStyle name="20% - Énfasis3 4 4" xfId="7408" xr:uid="{00000000-0005-0000-0000-0000B4040000}"/>
    <cellStyle name="20% - Énfasis3 4 4 2" xfId="17906" xr:uid="{00000000-0005-0000-0000-0000B5040000}"/>
    <cellStyle name="20% - Énfasis3 4 5" xfId="7409" xr:uid="{00000000-0005-0000-0000-0000B6040000}"/>
    <cellStyle name="20% - Énfasis3 4 6" xfId="7406" xr:uid="{00000000-0005-0000-0000-0000B7040000}"/>
    <cellStyle name="20% - Énfasis3 4 7" xfId="17905" xr:uid="{00000000-0005-0000-0000-0000B8040000}"/>
    <cellStyle name="20% - Énfasis3 5" xfId="888" xr:uid="{00000000-0005-0000-0000-0000B9040000}"/>
    <cellStyle name="20% - Énfasis3 5 2" xfId="889" xr:uid="{00000000-0005-0000-0000-0000BA040000}"/>
    <cellStyle name="20% - Énfasis3 6" xfId="890" xr:uid="{00000000-0005-0000-0000-0000BB040000}"/>
    <cellStyle name="20% - Énfasis3 6 10" xfId="24581" xr:uid="{00000000-0005-0000-0000-0000BC040000}"/>
    <cellStyle name="20% - Énfasis3 6 11" xfId="25085" xr:uid="{00000000-0005-0000-0000-0000BD040000}"/>
    <cellStyle name="20% - Énfasis3 6 12" xfId="25589" xr:uid="{00000000-0005-0000-0000-0000BE040000}"/>
    <cellStyle name="20% - Énfasis3 6 13" xfId="26093" xr:uid="{00000000-0005-0000-0000-0000BF040000}"/>
    <cellStyle name="20% - Énfasis3 6 14" xfId="26597" xr:uid="{00000000-0005-0000-0000-0000C0040000}"/>
    <cellStyle name="20% - Énfasis3 6 15" xfId="27101" xr:uid="{00000000-0005-0000-0000-0000C1040000}"/>
    <cellStyle name="20% - Énfasis3 6 16" xfId="27605" xr:uid="{00000000-0005-0000-0000-0000C2040000}"/>
    <cellStyle name="20% - Énfasis3 6 17" xfId="28109" xr:uid="{00000000-0005-0000-0000-0000C3040000}"/>
    <cellStyle name="20% - Énfasis3 6 18" xfId="28613" xr:uid="{00000000-0005-0000-0000-0000C4040000}"/>
    <cellStyle name="20% - Énfasis3 6 19" xfId="29117" xr:uid="{00000000-0005-0000-0000-0000C5040000}"/>
    <cellStyle name="20% - Énfasis3 6 2" xfId="891" xr:uid="{00000000-0005-0000-0000-0000C6040000}"/>
    <cellStyle name="20% - Énfasis3 6 2 2" xfId="17908" xr:uid="{00000000-0005-0000-0000-0000C7040000}"/>
    <cellStyle name="20% - Énfasis3 6 2 3" xfId="7411" xr:uid="{00000000-0005-0000-0000-0000C8040000}"/>
    <cellStyle name="20% - Énfasis3 6 20" xfId="29621" xr:uid="{00000000-0005-0000-0000-0000C9040000}"/>
    <cellStyle name="20% - Énfasis3 6 21" xfId="30125" xr:uid="{00000000-0005-0000-0000-0000CA040000}"/>
    <cellStyle name="20% - Énfasis3 6 22" xfId="30630" xr:uid="{00000000-0005-0000-0000-0000CB040000}"/>
    <cellStyle name="20% - Énfasis3 6 3" xfId="1761" xr:uid="{00000000-0005-0000-0000-0000CC040000}"/>
    <cellStyle name="20% - Énfasis3 6 3 2" xfId="4237" xr:uid="{00000000-0005-0000-0000-0000CD040000}"/>
    <cellStyle name="20% - Énfasis3 6 3 2 2" xfId="6181" xr:uid="{00000000-0005-0000-0000-0000CE040000}"/>
    <cellStyle name="20% - Énfasis3 6 3 3" xfId="5271" xr:uid="{00000000-0005-0000-0000-0000CF040000}"/>
    <cellStyle name="20% - Énfasis3 6 3 4" xfId="7410" xr:uid="{00000000-0005-0000-0000-0000D0040000}"/>
    <cellStyle name="20% - Énfasis3 6 3 5" xfId="23235" xr:uid="{00000000-0005-0000-0000-0000D1040000}"/>
    <cellStyle name="20% - Énfasis3 6 4" xfId="2671" xr:uid="{00000000-0005-0000-0000-0000D2040000}"/>
    <cellStyle name="20% - Énfasis3 6 4 10" xfId="26598" xr:uid="{00000000-0005-0000-0000-0000D3040000}"/>
    <cellStyle name="20% - Énfasis3 6 4 11" xfId="27102" xr:uid="{00000000-0005-0000-0000-0000D4040000}"/>
    <cellStyle name="20% - Énfasis3 6 4 12" xfId="27606" xr:uid="{00000000-0005-0000-0000-0000D5040000}"/>
    <cellStyle name="20% - Énfasis3 6 4 13" xfId="28110" xr:uid="{00000000-0005-0000-0000-0000D6040000}"/>
    <cellStyle name="20% - Énfasis3 6 4 14" xfId="28614" xr:uid="{00000000-0005-0000-0000-0000D7040000}"/>
    <cellStyle name="20% - Énfasis3 6 4 15" xfId="29118" xr:uid="{00000000-0005-0000-0000-0000D8040000}"/>
    <cellStyle name="20% - Énfasis3 6 4 16" xfId="29622" xr:uid="{00000000-0005-0000-0000-0000D9040000}"/>
    <cellStyle name="20% - Énfasis3 6 4 17" xfId="30126" xr:uid="{00000000-0005-0000-0000-0000DA040000}"/>
    <cellStyle name="20% - Énfasis3 6 4 18" xfId="30631" xr:uid="{00000000-0005-0000-0000-0000DB040000}"/>
    <cellStyle name="20% - Énfasis3 6 4 2" xfId="4352" xr:uid="{00000000-0005-0000-0000-0000DC040000}"/>
    <cellStyle name="20% - Énfasis3 6 4 2 2" xfId="6222" xr:uid="{00000000-0005-0000-0000-0000DD040000}"/>
    <cellStyle name="20% - Énfasis3 6 4 3" xfId="5319" xr:uid="{00000000-0005-0000-0000-0000DE040000}"/>
    <cellStyle name="20% - Énfasis3 6 4 4" xfId="17907" xr:uid="{00000000-0005-0000-0000-0000DF040000}"/>
    <cellStyle name="20% - Énfasis3 6 4 5" xfId="23236" xr:uid="{00000000-0005-0000-0000-0000E0040000}"/>
    <cellStyle name="20% - Énfasis3 6 4 6" xfId="24582" xr:uid="{00000000-0005-0000-0000-0000E1040000}"/>
    <cellStyle name="20% - Énfasis3 6 4 7" xfId="25086" xr:uid="{00000000-0005-0000-0000-0000E2040000}"/>
    <cellStyle name="20% - Énfasis3 6 4 8" xfId="25590" xr:uid="{00000000-0005-0000-0000-0000E3040000}"/>
    <cellStyle name="20% - Énfasis3 6 4 9" xfId="26094" xr:uid="{00000000-0005-0000-0000-0000E4040000}"/>
    <cellStyle name="20% - Énfasis3 6 5" xfId="3756" xr:uid="{00000000-0005-0000-0000-0000E5040000}"/>
    <cellStyle name="20% - Énfasis3 6 6" xfId="3170" xr:uid="{00000000-0005-0000-0000-0000E6040000}"/>
    <cellStyle name="20% - Énfasis3 6 6 2" xfId="5736" xr:uid="{00000000-0005-0000-0000-0000E7040000}"/>
    <cellStyle name="20% - Énfasis3 6 7" xfId="6778" xr:uid="{00000000-0005-0000-0000-0000E8040000}"/>
    <cellStyle name="20% - Énfasis3 6 8" xfId="7108" xr:uid="{00000000-0005-0000-0000-0000E9040000}"/>
    <cellStyle name="20% - Énfasis3 6 9" xfId="23234" xr:uid="{00000000-0005-0000-0000-0000EA040000}"/>
    <cellStyle name="20% - Énfasis3 7" xfId="892" xr:uid="{00000000-0005-0000-0000-0000EB040000}"/>
    <cellStyle name="20% - Énfasis3 7 10" xfId="24583" xr:uid="{00000000-0005-0000-0000-0000EC040000}"/>
    <cellStyle name="20% - Énfasis3 7 11" xfId="25087" xr:uid="{00000000-0005-0000-0000-0000ED040000}"/>
    <cellStyle name="20% - Énfasis3 7 12" xfId="25591" xr:uid="{00000000-0005-0000-0000-0000EE040000}"/>
    <cellStyle name="20% - Énfasis3 7 13" xfId="26095" xr:uid="{00000000-0005-0000-0000-0000EF040000}"/>
    <cellStyle name="20% - Énfasis3 7 14" xfId="26599" xr:uid="{00000000-0005-0000-0000-0000F0040000}"/>
    <cellStyle name="20% - Énfasis3 7 15" xfId="27103" xr:uid="{00000000-0005-0000-0000-0000F1040000}"/>
    <cellStyle name="20% - Énfasis3 7 16" xfId="27607" xr:uid="{00000000-0005-0000-0000-0000F2040000}"/>
    <cellStyle name="20% - Énfasis3 7 17" xfId="28111" xr:uid="{00000000-0005-0000-0000-0000F3040000}"/>
    <cellStyle name="20% - Énfasis3 7 18" xfId="28615" xr:uid="{00000000-0005-0000-0000-0000F4040000}"/>
    <cellStyle name="20% - Énfasis3 7 19" xfId="29119" xr:uid="{00000000-0005-0000-0000-0000F5040000}"/>
    <cellStyle name="20% - Énfasis3 7 2" xfId="893" xr:uid="{00000000-0005-0000-0000-0000F6040000}"/>
    <cellStyle name="20% - Énfasis3 7 2 2" xfId="17910" xr:uid="{00000000-0005-0000-0000-0000F7040000}"/>
    <cellStyle name="20% - Énfasis3 7 2 3" xfId="7413" xr:uid="{00000000-0005-0000-0000-0000F8040000}"/>
    <cellStyle name="20% - Énfasis3 7 20" xfId="29623" xr:uid="{00000000-0005-0000-0000-0000F9040000}"/>
    <cellStyle name="20% - Énfasis3 7 21" xfId="30127" xr:uid="{00000000-0005-0000-0000-0000FA040000}"/>
    <cellStyle name="20% - Énfasis3 7 22" xfId="30632" xr:uid="{00000000-0005-0000-0000-0000FB040000}"/>
    <cellStyle name="20% - Énfasis3 7 3" xfId="1762" xr:uid="{00000000-0005-0000-0000-0000FC040000}"/>
    <cellStyle name="20% - Énfasis3 7 3 2" xfId="4238" xr:uid="{00000000-0005-0000-0000-0000FD040000}"/>
    <cellStyle name="20% - Énfasis3 7 3 2 2" xfId="6182" xr:uid="{00000000-0005-0000-0000-0000FE040000}"/>
    <cellStyle name="20% - Énfasis3 7 3 3" xfId="5272" xr:uid="{00000000-0005-0000-0000-0000FF040000}"/>
    <cellStyle name="20% - Énfasis3 7 3 4" xfId="7412" xr:uid="{00000000-0005-0000-0000-000000050000}"/>
    <cellStyle name="20% - Énfasis3 7 3 5" xfId="23238" xr:uid="{00000000-0005-0000-0000-000001050000}"/>
    <cellStyle name="20% - Énfasis3 7 4" xfId="2672" xr:uid="{00000000-0005-0000-0000-000002050000}"/>
    <cellStyle name="20% - Énfasis3 7 4 10" xfId="26600" xr:uid="{00000000-0005-0000-0000-000003050000}"/>
    <cellStyle name="20% - Énfasis3 7 4 11" xfId="27104" xr:uid="{00000000-0005-0000-0000-000004050000}"/>
    <cellStyle name="20% - Énfasis3 7 4 12" xfId="27608" xr:uid="{00000000-0005-0000-0000-000005050000}"/>
    <cellStyle name="20% - Énfasis3 7 4 13" xfId="28112" xr:uid="{00000000-0005-0000-0000-000006050000}"/>
    <cellStyle name="20% - Énfasis3 7 4 14" xfId="28616" xr:uid="{00000000-0005-0000-0000-000007050000}"/>
    <cellStyle name="20% - Énfasis3 7 4 15" xfId="29120" xr:uid="{00000000-0005-0000-0000-000008050000}"/>
    <cellStyle name="20% - Énfasis3 7 4 16" xfId="29624" xr:uid="{00000000-0005-0000-0000-000009050000}"/>
    <cellStyle name="20% - Énfasis3 7 4 17" xfId="30128" xr:uid="{00000000-0005-0000-0000-00000A050000}"/>
    <cellStyle name="20% - Énfasis3 7 4 18" xfId="30633" xr:uid="{00000000-0005-0000-0000-00000B050000}"/>
    <cellStyle name="20% - Énfasis3 7 4 2" xfId="4353" xr:uid="{00000000-0005-0000-0000-00000C050000}"/>
    <cellStyle name="20% - Énfasis3 7 4 2 2" xfId="6223" xr:uid="{00000000-0005-0000-0000-00000D050000}"/>
    <cellStyle name="20% - Énfasis3 7 4 3" xfId="5320" xr:uid="{00000000-0005-0000-0000-00000E050000}"/>
    <cellStyle name="20% - Énfasis3 7 4 4" xfId="17909" xr:uid="{00000000-0005-0000-0000-00000F050000}"/>
    <cellStyle name="20% - Énfasis3 7 4 5" xfId="23239" xr:uid="{00000000-0005-0000-0000-000010050000}"/>
    <cellStyle name="20% - Énfasis3 7 4 6" xfId="24584" xr:uid="{00000000-0005-0000-0000-000011050000}"/>
    <cellStyle name="20% - Énfasis3 7 4 7" xfId="25088" xr:uid="{00000000-0005-0000-0000-000012050000}"/>
    <cellStyle name="20% - Énfasis3 7 4 8" xfId="25592" xr:uid="{00000000-0005-0000-0000-000013050000}"/>
    <cellStyle name="20% - Énfasis3 7 4 9" xfId="26096" xr:uid="{00000000-0005-0000-0000-000014050000}"/>
    <cellStyle name="20% - Énfasis3 7 5" xfId="3757" xr:uid="{00000000-0005-0000-0000-000015050000}"/>
    <cellStyle name="20% - Énfasis3 7 6" xfId="3171" xr:uid="{00000000-0005-0000-0000-000016050000}"/>
    <cellStyle name="20% - Énfasis3 7 6 2" xfId="5737" xr:uid="{00000000-0005-0000-0000-000017050000}"/>
    <cellStyle name="20% - Énfasis3 7 7" xfId="6779" xr:uid="{00000000-0005-0000-0000-000018050000}"/>
    <cellStyle name="20% - Énfasis3 7 8" xfId="7107" xr:uid="{00000000-0005-0000-0000-000019050000}"/>
    <cellStyle name="20% - Énfasis3 7 9" xfId="23237" xr:uid="{00000000-0005-0000-0000-00001A050000}"/>
    <cellStyle name="20% - Énfasis3 8" xfId="894" xr:uid="{00000000-0005-0000-0000-00001B050000}"/>
    <cellStyle name="20% - Énfasis3 8 2" xfId="895" xr:uid="{00000000-0005-0000-0000-00001C050000}"/>
    <cellStyle name="20% - Énfasis3 8 3" xfId="7395" xr:uid="{00000000-0005-0000-0000-00001D050000}"/>
    <cellStyle name="20% - Énfasis3 9" xfId="896" xr:uid="{00000000-0005-0000-0000-00001E050000}"/>
    <cellStyle name="20% - Énfasis3 9 10" xfId="4943" xr:uid="{00000000-0005-0000-0000-00001F050000}"/>
    <cellStyle name="20% - Énfasis3 9 11" xfId="6722" xr:uid="{00000000-0005-0000-0000-000020050000}"/>
    <cellStyle name="20% - Énfasis3 9 12" xfId="17904" xr:uid="{00000000-0005-0000-0000-000021050000}"/>
    <cellStyle name="20% - Énfasis3 9 13" xfId="22862" xr:uid="{00000000-0005-0000-0000-000022050000}"/>
    <cellStyle name="20% - Énfasis3 9 14" xfId="23240" xr:uid="{00000000-0005-0000-0000-000023050000}"/>
    <cellStyle name="20% - Énfasis3 9 15" xfId="24585" xr:uid="{00000000-0005-0000-0000-000024050000}"/>
    <cellStyle name="20% - Énfasis3 9 16" xfId="25089" xr:uid="{00000000-0005-0000-0000-000025050000}"/>
    <cellStyle name="20% - Énfasis3 9 17" xfId="25593" xr:uid="{00000000-0005-0000-0000-000026050000}"/>
    <cellStyle name="20% - Énfasis3 9 18" xfId="26097" xr:uid="{00000000-0005-0000-0000-000027050000}"/>
    <cellStyle name="20% - Énfasis3 9 19" xfId="26601" xr:uid="{00000000-0005-0000-0000-000028050000}"/>
    <cellStyle name="20% - Énfasis3 9 2" xfId="1440" xr:uid="{00000000-0005-0000-0000-000029050000}"/>
    <cellStyle name="20% - Énfasis3 9 2 10" xfId="26098" xr:uid="{00000000-0005-0000-0000-00002A050000}"/>
    <cellStyle name="20% - Énfasis3 9 2 11" xfId="26602" xr:uid="{00000000-0005-0000-0000-00002B050000}"/>
    <cellStyle name="20% - Énfasis3 9 2 12" xfId="27106" xr:uid="{00000000-0005-0000-0000-00002C050000}"/>
    <cellStyle name="20% - Énfasis3 9 2 13" xfId="27610" xr:uid="{00000000-0005-0000-0000-00002D050000}"/>
    <cellStyle name="20% - Énfasis3 9 2 14" xfId="28114" xr:uid="{00000000-0005-0000-0000-00002E050000}"/>
    <cellStyle name="20% - Énfasis3 9 2 15" xfId="28618" xr:uid="{00000000-0005-0000-0000-00002F050000}"/>
    <cellStyle name="20% - Énfasis3 9 2 16" xfId="29122" xr:uid="{00000000-0005-0000-0000-000030050000}"/>
    <cellStyle name="20% - Énfasis3 9 2 17" xfId="29626" xr:uid="{00000000-0005-0000-0000-000031050000}"/>
    <cellStyle name="20% - Énfasis3 9 2 18" xfId="30130" xr:uid="{00000000-0005-0000-0000-000032050000}"/>
    <cellStyle name="20% - Énfasis3 9 2 19" xfId="30635" xr:uid="{00000000-0005-0000-0000-000033050000}"/>
    <cellStyle name="20% - Énfasis3 9 2 2" xfId="1550" xr:uid="{00000000-0005-0000-0000-000034050000}"/>
    <cellStyle name="20% - Énfasis3 9 2 2 2" xfId="2977" xr:uid="{00000000-0005-0000-0000-000035050000}"/>
    <cellStyle name="20% - Énfasis3 9 2 2 2 2" xfId="4596" xr:uid="{00000000-0005-0000-0000-000036050000}"/>
    <cellStyle name="20% - Énfasis3 9 2 2 2 2 2" xfId="6463" xr:uid="{00000000-0005-0000-0000-000037050000}"/>
    <cellStyle name="20% - Énfasis3 9 2 2 2 3" xfId="5561" xr:uid="{00000000-0005-0000-0000-000038050000}"/>
    <cellStyle name="20% - Énfasis3 9 2 2 3" xfId="4069" xr:uid="{00000000-0005-0000-0000-000039050000}"/>
    <cellStyle name="20% - Énfasis3 9 2 2 3 2" xfId="6017" xr:uid="{00000000-0005-0000-0000-00003A050000}"/>
    <cellStyle name="20% - Énfasis3 9 2 2 4" xfId="5103" xr:uid="{00000000-0005-0000-0000-00003B050000}"/>
    <cellStyle name="20% - Énfasis3 9 2 3" xfId="2874" xr:uid="{00000000-0005-0000-0000-00003C050000}"/>
    <cellStyle name="20% - Énfasis3 9 2 3 2" xfId="4493" xr:uid="{00000000-0005-0000-0000-00003D050000}"/>
    <cellStyle name="20% - Énfasis3 9 2 3 2 2" xfId="6360" xr:uid="{00000000-0005-0000-0000-00003E050000}"/>
    <cellStyle name="20% - Énfasis3 9 2 3 3" xfId="5458" xr:uid="{00000000-0005-0000-0000-00003F050000}"/>
    <cellStyle name="20% - Énfasis3 9 2 4" xfId="3961" xr:uid="{00000000-0005-0000-0000-000040050000}"/>
    <cellStyle name="20% - Énfasis3 9 2 4 2" xfId="5915" xr:uid="{00000000-0005-0000-0000-000041050000}"/>
    <cellStyle name="20% - Énfasis3 9 2 5" xfId="5000" xr:uid="{00000000-0005-0000-0000-000042050000}"/>
    <cellStyle name="20% - Énfasis3 9 2 6" xfId="23241" xr:uid="{00000000-0005-0000-0000-000043050000}"/>
    <cellStyle name="20% - Énfasis3 9 2 7" xfId="24586" xr:uid="{00000000-0005-0000-0000-000044050000}"/>
    <cellStyle name="20% - Énfasis3 9 2 8" xfId="25090" xr:uid="{00000000-0005-0000-0000-000045050000}"/>
    <cellStyle name="20% - Énfasis3 9 2 9" xfId="25594" xr:uid="{00000000-0005-0000-0000-000046050000}"/>
    <cellStyle name="20% - Énfasis3 9 20" xfId="27105" xr:uid="{00000000-0005-0000-0000-000047050000}"/>
    <cellStyle name="20% - Énfasis3 9 21" xfId="27609" xr:uid="{00000000-0005-0000-0000-000048050000}"/>
    <cellStyle name="20% - Énfasis3 9 22" xfId="28113" xr:uid="{00000000-0005-0000-0000-000049050000}"/>
    <cellStyle name="20% - Énfasis3 9 23" xfId="28617" xr:uid="{00000000-0005-0000-0000-00004A050000}"/>
    <cellStyle name="20% - Énfasis3 9 24" xfId="29121" xr:uid="{00000000-0005-0000-0000-00004B050000}"/>
    <cellStyle name="20% - Énfasis3 9 25" xfId="29625" xr:uid="{00000000-0005-0000-0000-00004C050000}"/>
    <cellStyle name="20% - Énfasis3 9 26" xfId="30129" xr:uid="{00000000-0005-0000-0000-00004D050000}"/>
    <cellStyle name="20% - Énfasis3 9 27" xfId="30634" xr:uid="{00000000-0005-0000-0000-00004E050000}"/>
    <cellStyle name="20% - Énfasis3 9 3" xfId="1479" xr:uid="{00000000-0005-0000-0000-00004F050000}"/>
    <cellStyle name="20% - Énfasis3 9 3 2" xfId="1551" xr:uid="{00000000-0005-0000-0000-000050050000}"/>
    <cellStyle name="20% - Énfasis3 9 3 2 2" xfId="2978" xr:uid="{00000000-0005-0000-0000-000051050000}"/>
    <cellStyle name="20% - Énfasis3 9 3 2 2 2" xfId="4597" xr:uid="{00000000-0005-0000-0000-000052050000}"/>
    <cellStyle name="20% - Énfasis3 9 3 2 2 2 2" xfId="6464" xr:uid="{00000000-0005-0000-0000-000053050000}"/>
    <cellStyle name="20% - Énfasis3 9 3 2 2 3" xfId="5562" xr:uid="{00000000-0005-0000-0000-000054050000}"/>
    <cellStyle name="20% - Énfasis3 9 3 2 3" xfId="4070" xr:uid="{00000000-0005-0000-0000-000055050000}"/>
    <cellStyle name="20% - Énfasis3 9 3 2 3 2" xfId="6018" xr:uid="{00000000-0005-0000-0000-000056050000}"/>
    <cellStyle name="20% - Énfasis3 9 3 2 4" xfId="5104" xr:uid="{00000000-0005-0000-0000-000057050000}"/>
    <cellStyle name="20% - Énfasis3 9 3 3" xfId="2913" xr:uid="{00000000-0005-0000-0000-000058050000}"/>
    <cellStyle name="20% - Énfasis3 9 3 3 2" xfId="4532" xr:uid="{00000000-0005-0000-0000-000059050000}"/>
    <cellStyle name="20% - Énfasis3 9 3 3 2 2" xfId="6399" xr:uid="{00000000-0005-0000-0000-00005A050000}"/>
    <cellStyle name="20% - Énfasis3 9 3 3 3" xfId="5497" xr:uid="{00000000-0005-0000-0000-00005B050000}"/>
    <cellStyle name="20% - Énfasis3 9 3 4" xfId="4000" xr:uid="{00000000-0005-0000-0000-00005C050000}"/>
    <cellStyle name="20% - Énfasis3 9 3 4 2" xfId="5954" xr:uid="{00000000-0005-0000-0000-00005D050000}"/>
    <cellStyle name="20% - Énfasis3 9 3 5" xfId="5039" xr:uid="{00000000-0005-0000-0000-00005E050000}"/>
    <cellStyle name="20% - Énfasis3 9 4" xfId="1552" xr:uid="{00000000-0005-0000-0000-00005F050000}"/>
    <cellStyle name="20% - Énfasis3 9 4 2" xfId="2979" xr:uid="{00000000-0005-0000-0000-000060050000}"/>
    <cellStyle name="20% - Énfasis3 9 4 2 2" xfId="4598" xr:uid="{00000000-0005-0000-0000-000061050000}"/>
    <cellStyle name="20% - Énfasis3 9 4 2 2 2" xfId="6465" xr:uid="{00000000-0005-0000-0000-000062050000}"/>
    <cellStyle name="20% - Énfasis3 9 4 2 3" xfId="5563" xr:uid="{00000000-0005-0000-0000-000063050000}"/>
    <cellStyle name="20% - Énfasis3 9 4 3" xfId="4071" xr:uid="{00000000-0005-0000-0000-000064050000}"/>
    <cellStyle name="20% - Énfasis3 9 4 3 2" xfId="6019" xr:uid="{00000000-0005-0000-0000-000065050000}"/>
    <cellStyle name="20% - Énfasis3 9 4 4" xfId="5105" xr:uid="{00000000-0005-0000-0000-000066050000}"/>
    <cellStyle name="20% - Énfasis3 9 5" xfId="1553" xr:uid="{00000000-0005-0000-0000-000067050000}"/>
    <cellStyle name="20% - Énfasis3 9 5 2" xfId="2980" xr:uid="{00000000-0005-0000-0000-000068050000}"/>
    <cellStyle name="20% - Énfasis3 9 5 2 2" xfId="4599" xr:uid="{00000000-0005-0000-0000-000069050000}"/>
    <cellStyle name="20% - Énfasis3 9 5 2 2 2" xfId="6466" xr:uid="{00000000-0005-0000-0000-00006A050000}"/>
    <cellStyle name="20% - Énfasis3 9 5 2 3" xfId="5564" xr:uid="{00000000-0005-0000-0000-00006B050000}"/>
    <cellStyle name="20% - Énfasis3 9 5 3" xfId="4072" xr:uid="{00000000-0005-0000-0000-00006C050000}"/>
    <cellStyle name="20% - Énfasis3 9 5 3 2" xfId="6020" xr:uid="{00000000-0005-0000-0000-00006D050000}"/>
    <cellStyle name="20% - Énfasis3 9 5 4" xfId="5106" xr:uid="{00000000-0005-0000-0000-00006E050000}"/>
    <cellStyle name="20% - Énfasis3 9 6" xfId="2815" xr:uid="{00000000-0005-0000-0000-00006F050000}"/>
    <cellStyle name="20% - Énfasis3 9 6 2" xfId="4435" xr:uid="{00000000-0005-0000-0000-000070050000}"/>
    <cellStyle name="20% - Énfasis3 9 6 2 2" xfId="6303" xr:uid="{00000000-0005-0000-0000-000071050000}"/>
    <cellStyle name="20% - Énfasis3 9 6 3" xfId="5401" xr:uid="{00000000-0005-0000-0000-000072050000}"/>
    <cellStyle name="20% - Énfasis3 9 7" xfId="3758" xr:uid="{00000000-0005-0000-0000-000073050000}"/>
    <cellStyle name="20% - Énfasis3 9 7 2" xfId="5859" xr:uid="{00000000-0005-0000-0000-000074050000}"/>
    <cellStyle name="20% - Énfasis3 9 8" xfId="4794" xr:uid="{00000000-0005-0000-0000-000075050000}"/>
    <cellStyle name="20% - Énfasis3 9 8 2" xfId="6639" xr:uid="{00000000-0005-0000-0000-000076050000}"/>
    <cellStyle name="20% - Énfasis3 9 9" xfId="4837" xr:uid="{00000000-0005-0000-0000-000077050000}"/>
    <cellStyle name="20% - Énfasis3 9 9 2" xfId="6681" xr:uid="{00000000-0005-0000-0000-000078050000}"/>
    <cellStyle name="20% - Énfasis4" xfId="19" builtinId="42" customBuiltin="1"/>
    <cellStyle name="20% - Énfasis4 10" xfId="898" xr:uid="{00000000-0005-0000-0000-00007A050000}"/>
    <cellStyle name="20% - Énfasis4 10 10" xfId="4945" xr:uid="{00000000-0005-0000-0000-00007B050000}"/>
    <cellStyle name="20% - Énfasis4 10 11" xfId="6724" xr:uid="{00000000-0005-0000-0000-00007C050000}"/>
    <cellStyle name="20% - Énfasis4 10 12" xfId="22864" xr:uid="{00000000-0005-0000-0000-00007D050000}"/>
    <cellStyle name="20% - Énfasis4 10 13" xfId="23242" xr:uid="{00000000-0005-0000-0000-00007E050000}"/>
    <cellStyle name="20% - Énfasis4 10 14" xfId="24587" xr:uid="{00000000-0005-0000-0000-00007F050000}"/>
    <cellStyle name="20% - Énfasis4 10 15" xfId="25091" xr:uid="{00000000-0005-0000-0000-000080050000}"/>
    <cellStyle name="20% - Énfasis4 10 16" xfId="25595" xr:uid="{00000000-0005-0000-0000-000081050000}"/>
    <cellStyle name="20% - Énfasis4 10 17" xfId="26099" xr:uid="{00000000-0005-0000-0000-000082050000}"/>
    <cellStyle name="20% - Énfasis4 10 18" xfId="26603" xr:uid="{00000000-0005-0000-0000-000083050000}"/>
    <cellStyle name="20% - Énfasis4 10 19" xfId="27107" xr:uid="{00000000-0005-0000-0000-000084050000}"/>
    <cellStyle name="20% - Énfasis4 10 2" xfId="1442" xr:uid="{00000000-0005-0000-0000-000085050000}"/>
    <cellStyle name="20% - Énfasis4 10 2 10" xfId="26100" xr:uid="{00000000-0005-0000-0000-000086050000}"/>
    <cellStyle name="20% - Énfasis4 10 2 11" xfId="26604" xr:uid="{00000000-0005-0000-0000-000087050000}"/>
    <cellStyle name="20% - Énfasis4 10 2 12" xfId="27108" xr:uid="{00000000-0005-0000-0000-000088050000}"/>
    <cellStyle name="20% - Énfasis4 10 2 13" xfId="27612" xr:uid="{00000000-0005-0000-0000-000089050000}"/>
    <cellStyle name="20% - Énfasis4 10 2 14" xfId="28116" xr:uid="{00000000-0005-0000-0000-00008A050000}"/>
    <cellStyle name="20% - Énfasis4 10 2 15" xfId="28620" xr:uid="{00000000-0005-0000-0000-00008B050000}"/>
    <cellStyle name="20% - Énfasis4 10 2 16" xfId="29124" xr:uid="{00000000-0005-0000-0000-00008C050000}"/>
    <cellStyle name="20% - Énfasis4 10 2 17" xfId="29628" xr:uid="{00000000-0005-0000-0000-00008D050000}"/>
    <cellStyle name="20% - Énfasis4 10 2 18" xfId="30132" xr:uid="{00000000-0005-0000-0000-00008E050000}"/>
    <cellStyle name="20% - Énfasis4 10 2 19" xfId="30637" xr:uid="{00000000-0005-0000-0000-00008F050000}"/>
    <cellStyle name="20% - Énfasis4 10 2 2" xfId="1554" xr:uid="{00000000-0005-0000-0000-000090050000}"/>
    <cellStyle name="20% - Énfasis4 10 2 2 2" xfId="2981" xr:uid="{00000000-0005-0000-0000-000091050000}"/>
    <cellStyle name="20% - Énfasis4 10 2 2 2 2" xfId="4600" xr:uid="{00000000-0005-0000-0000-000092050000}"/>
    <cellStyle name="20% - Énfasis4 10 2 2 2 2 2" xfId="6467" xr:uid="{00000000-0005-0000-0000-000093050000}"/>
    <cellStyle name="20% - Énfasis4 10 2 2 2 3" xfId="5565" xr:uid="{00000000-0005-0000-0000-000094050000}"/>
    <cellStyle name="20% - Énfasis4 10 2 2 3" xfId="4073" xr:uid="{00000000-0005-0000-0000-000095050000}"/>
    <cellStyle name="20% - Énfasis4 10 2 2 3 2" xfId="6021" xr:uid="{00000000-0005-0000-0000-000096050000}"/>
    <cellStyle name="20% - Énfasis4 10 2 2 4" xfId="5107" xr:uid="{00000000-0005-0000-0000-000097050000}"/>
    <cellStyle name="20% - Énfasis4 10 2 3" xfId="2876" xr:uid="{00000000-0005-0000-0000-000098050000}"/>
    <cellStyle name="20% - Énfasis4 10 2 3 2" xfId="4495" xr:uid="{00000000-0005-0000-0000-000099050000}"/>
    <cellStyle name="20% - Énfasis4 10 2 3 2 2" xfId="6362" xr:uid="{00000000-0005-0000-0000-00009A050000}"/>
    <cellStyle name="20% - Énfasis4 10 2 3 3" xfId="5460" xr:uid="{00000000-0005-0000-0000-00009B050000}"/>
    <cellStyle name="20% - Énfasis4 10 2 4" xfId="3963" xr:uid="{00000000-0005-0000-0000-00009C050000}"/>
    <cellStyle name="20% - Énfasis4 10 2 4 2" xfId="5917" xr:uid="{00000000-0005-0000-0000-00009D050000}"/>
    <cellStyle name="20% - Énfasis4 10 2 5" xfId="5002" xr:uid="{00000000-0005-0000-0000-00009E050000}"/>
    <cellStyle name="20% - Énfasis4 10 2 6" xfId="23243" xr:uid="{00000000-0005-0000-0000-00009F050000}"/>
    <cellStyle name="20% - Énfasis4 10 2 7" xfId="24588" xr:uid="{00000000-0005-0000-0000-0000A0050000}"/>
    <cellStyle name="20% - Énfasis4 10 2 8" xfId="25092" xr:uid="{00000000-0005-0000-0000-0000A1050000}"/>
    <cellStyle name="20% - Énfasis4 10 2 9" xfId="25596" xr:uid="{00000000-0005-0000-0000-0000A2050000}"/>
    <cellStyle name="20% - Énfasis4 10 20" xfId="27611" xr:uid="{00000000-0005-0000-0000-0000A3050000}"/>
    <cellStyle name="20% - Énfasis4 10 21" xfId="28115" xr:uid="{00000000-0005-0000-0000-0000A4050000}"/>
    <cellStyle name="20% - Énfasis4 10 22" xfId="28619" xr:uid="{00000000-0005-0000-0000-0000A5050000}"/>
    <cellStyle name="20% - Énfasis4 10 23" xfId="29123" xr:uid="{00000000-0005-0000-0000-0000A6050000}"/>
    <cellStyle name="20% - Énfasis4 10 24" xfId="29627" xr:uid="{00000000-0005-0000-0000-0000A7050000}"/>
    <cellStyle name="20% - Énfasis4 10 25" xfId="30131" xr:uid="{00000000-0005-0000-0000-0000A8050000}"/>
    <cellStyle name="20% - Énfasis4 10 26" xfId="30636" xr:uid="{00000000-0005-0000-0000-0000A9050000}"/>
    <cellStyle name="20% - Énfasis4 10 3" xfId="1480" xr:uid="{00000000-0005-0000-0000-0000AA050000}"/>
    <cellStyle name="20% - Énfasis4 10 3 2" xfId="1555" xr:uid="{00000000-0005-0000-0000-0000AB050000}"/>
    <cellStyle name="20% - Énfasis4 10 3 2 2" xfId="2982" xr:uid="{00000000-0005-0000-0000-0000AC050000}"/>
    <cellStyle name="20% - Énfasis4 10 3 2 2 2" xfId="4601" xr:uid="{00000000-0005-0000-0000-0000AD050000}"/>
    <cellStyle name="20% - Énfasis4 10 3 2 2 2 2" xfId="6468" xr:uid="{00000000-0005-0000-0000-0000AE050000}"/>
    <cellStyle name="20% - Énfasis4 10 3 2 2 3" xfId="5566" xr:uid="{00000000-0005-0000-0000-0000AF050000}"/>
    <cellStyle name="20% - Énfasis4 10 3 2 3" xfId="4074" xr:uid="{00000000-0005-0000-0000-0000B0050000}"/>
    <cellStyle name="20% - Énfasis4 10 3 2 3 2" xfId="6022" xr:uid="{00000000-0005-0000-0000-0000B1050000}"/>
    <cellStyle name="20% - Énfasis4 10 3 2 4" xfId="5108" xr:uid="{00000000-0005-0000-0000-0000B2050000}"/>
    <cellStyle name="20% - Énfasis4 10 3 3" xfId="2914" xr:uid="{00000000-0005-0000-0000-0000B3050000}"/>
    <cellStyle name="20% - Énfasis4 10 3 3 2" xfId="4533" xr:uid="{00000000-0005-0000-0000-0000B4050000}"/>
    <cellStyle name="20% - Énfasis4 10 3 3 2 2" xfId="6400" xr:uid="{00000000-0005-0000-0000-0000B5050000}"/>
    <cellStyle name="20% - Énfasis4 10 3 3 3" xfId="5498" xr:uid="{00000000-0005-0000-0000-0000B6050000}"/>
    <cellStyle name="20% - Énfasis4 10 3 4" xfId="4001" xr:uid="{00000000-0005-0000-0000-0000B7050000}"/>
    <cellStyle name="20% - Énfasis4 10 3 4 2" xfId="5955" xr:uid="{00000000-0005-0000-0000-0000B8050000}"/>
    <cellStyle name="20% - Énfasis4 10 3 5" xfId="5040" xr:uid="{00000000-0005-0000-0000-0000B9050000}"/>
    <cellStyle name="20% - Énfasis4 10 4" xfId="1556" xr:uid="{00000000-0005-0000-0000-0000BA050000}"/>
    <cellStyle name="20% - Énfasis4 10 4 2" xfId="2983" xr:uid="{00000000-0005-0000-0000-0000BB050000}"/>
    <cellStyle name="20% - Énfasis4 10 4 2 2" xfId="4602" xr:uid="{00000000-0005-0000-0000-0000BC050000}"/>
    <cellStyle name="20% - Énfasis4 10 4 2 2 2" xfId="6469" xr:uid="{00000000-0005-0000-0000-0000BD050000}"/>
    <cellStyle name="20% - Énfasis4 10 4 2 3" xfId="5567" xr:uid="{00000000-0005-0000-0000-0000BE050000}"/>
    <cellStyle name="20% - Énfasis4 10 4 3" xfId="4075" xr:uid="{00000000-0005-0000-0000-0000BF050000}"/>
    <cellStyle name="20% - Énfasis4 10 4 3 2" xfId="6023" xr:uid="{00000000-0005-0000-0000-0000C0050000}"/>
    <cellStyle name="20% - Énfasis4 10 4 4" xfId="5109" xr:uid="{00000000-0005-0000-0000-0000C1050000}"/>
    <cellStyle name="20% - Énfasis4 10 5" xfId="1557" xr:uid="{00000000-0005-0000-0000-0000C2050000}"/>
    <cellStyle name="20% - Énfasis4 10 5 2" xfId="2984" xr:uid="{00000000-0005-0000-0000-0000C3050000}"/>
    <cellStyle name="20% - Énfasis4 10 5 2 2" xfId="4603" xr:uid="{00000000-0005-0000-0000-0000C4050000}"/>
    <cellStyle name="20% - Énfasis4 10 5 2 2 2" xfId="6470" xr:uid="{00000000-0005-0000-0000-0000C5050000}"/>
    <cellStyle name="20% - Énfasis4 10 5 2 3" xfId="5568" xr:uid="{00000000-0005-0000-0000-0000C6050000}"/>
    <cellStyle name="20% - Énfasis4 10 5 3" xfId="4076" xr:uid="{00000000-0005-0000-0000-0000C7050000}"/>
    <cellStyle name="20% - Énfasis4 10 5 3 2" xfId="6024" xr:uid="{00000000-0005-0000-0000-0000C8050000}"/>
    <cellStyle name="20% - Énfasis4 10 5 4" xfId="5110" xr:uid="{00000000-0005-0000-0000-0000C9050000}"/>
    <cellStyle name="20% - Énfasis4 10 6" xfId="2817" xr:uid="{00000000-0005-0000-0000-0000CA050000}"/>
    <cellStyle name="20% - Énfasis4 10 6 2" xfId="4437" xr:uid="{00000000-0005-0000-0000-0000CB050000}"/>
    <cellStyle name="20% - Énfasis4 10 6 2 2" xfId="6305" xr:uid="{00000000-0005-0000-0000-0000CC050000}"/>
    <cellStyle name="20% - Énfasis4 10 6 3" xfId="5403" xr:uid="{00000000-0005-0000-0000-0000CD050000}"/>
    <cellStyle name="20% - Énfasis4 10 7" xfId="3760" xr:uid="{00000000-0005-0000-0000-0000CE050000}"/>
    <cellStyle name="20% - Énfasis4 10 7 2" xfId="5861" xr:uid="{00000000-0005-0000-0000-0000CF050000}"/>
    <cellStyle name="20% - Énfasis4 10 8" xfId="4796" xr:uid="{00000000-0005-0000-0000-0000D0050000}"/>
    <cellStyle name="20% - Énfasis4 10 8 2" xfId="6641" xr:uid="{00000000-0005-0000-0000-0000D1050000}"/>
    <cellStyle name="20% - Énfasis4 10 9" xfId="4839" xr:uid="{00000000-0005-0000-0000-0000D2050000}"/>
    <cellStyle name="20% - Énfasis4 10 9 2" xfId="6683" xr:uid="{00000000-0005-0000-0000-0000D3050000}"/>
    <cellStyle name="20% - Énfasis4 11" xfId="899" xr:uid="{00000000-0005-0000-0000-0000D4050000}"/>
    <cellStyle name="20% - Énfasis4 11 2" xfId="900" xr:uid="{00000000-0005-0000-0000-0000D5050000}"/>
    <cellStyle name="20% - Énfasis4 12" xfId="897" xr:uid="{00000000-0005-0000-0000-0000D6050000}"/>
    <cellStyle name="20% - Énfasis4 12 10" xfId="25597" xr:uid="{00000000-0005-0000-0000-0000D7050000}"/>
    <cellStyle name="20% - Énfasis4 12 11" xfId="26101" xr:uid="{00000000-0005-0000-0000-0000D8050000}"/>
    <cellStyle name="20% - Énfasis4 12 12" xfId="26605" xr:uid="{00000000-0005-0000-0000-0000D9050000}"/>
    <cellStyle name="20% - Énfasis4 12 13" xfId="27109" xr:uid="{00000000-0005-0000-0000-0000DA050000}"/>
    <cellStyle name="20% - Énfasis4 12 14" xfId="27613" xr:uid="{00000000-0005-0000-0000-0000DB050000}"/>
    <cellStyle name="20% - Énfasis4 12 15" xfId="28117" xr:uid="{00000000-0005-0000-0000-0000DC050000}"/>
    <cellStyle name="20% - Énfasis4 12 16" xfId="28621" xr:uid="{00000000-0005-0000-0000-0000DD050000}"/>
    <cellStyle name="20% - Énfasis4 12 17" xfId="29125" xr:uid="{00000000-0005-0000-0000-0000DE050000}"/>
    <cellStyle name="20% - Énfasis4 12 18" xfId="29629" xr:uid="{00000000-0005-0000-0000-0000DF050000}"/>
    <cellStyle name="20% - Énfasis4 12 19" xfId="30133" xr:uid="{00000000-0005-0000-0000-0000E0050000}"/>
    <cellStyle name="20% - Énfasis4 12 2" xfId="1441" xr:uid="{00000000-0005-0000-0000-0000E1050000}"/>
    <cellStyle name="20% - Énfasis4 12 2 10" xfId="26102" xr:uid="{00000000-0005-0000-0000-0000E2050000}"/>
    <cellStyle name="20% - Énfasis4 12 2 11" xfId="26606" xr:uid="{00000000-0005-0000-0000-0000E3050000}"/>
    <cellStyle name="20% - Énfasis4 12 2 12" xfId="27110" xr:uid="{00000000-0005-0000-0000-0000E4050000}"/>
    <cellStyle name="20% - Énfasis4 12 2 13" xfId="27614" xr:uid="{00000000-0005-0000-0000-0000E5050000}"/>
    <cellStyle name="20% - Énfasis4 12 2 14" xfId="28118" xr:uid="{00000000-0005-0000-0000-0000E6050000}"/>
    <cellStyle name="20% - Énfasis4 12 2 15" xfId="28622" xr:uid="{00000000-0005-0000-0000-0000E7050000}"/>
    <cellStyle name="20% - Énfasis4 12 2 16" xfId="29126" xr:uid="{00000000-0005-0000-0000-0000E8050000}"/>
    <cellStyle name="20% - Énfasis4 12 2 17" xfId="29630" xr:uid="{00000000-0005-0000-0000-0000E9050000}"/>
    <cellStyle name="20% - Énfasis4 12 2 18" xfId="30134" xr:uid="{00000000-0005-0000-0000-0000EA050000}"/>
    <cellStyle name="20% - Énfasis4 12 2 19" xfId="30639" xr:uid="{00000000-0005-0000-0000-0000EB050000}"/>
    <cellStyle name="20% - Énfasis4 12 2 2" xfId="1558" xr:uid="{00000000-0005-0000-0000-0000EC050000}"/>
    <cellStyle name="20% - Énfasis4 12 2 2 2" xfId="2985" xr:uid="{00000000-0005-0000-0000-0000ED050000}"/>
    <cellStyle name="20% - Énfasis4 12 2 2 2 2" xfId="4604" xr:uid="{00000000-0005-0000-0000-0000EE050000}"/>
    <cellStyle name="20% - Énfasis4 12 2 2 2 2 2" xfId="6471" xr:uid="{00000000-0005-0000-0000-0000EF050000}"/>
    <cellStyle name="20% - Énfasis4 12 2 2 2 3" xfId="5569" xr:uid="{00000000-0005-0000-0000-0000F0050000}"/>
    <cellStyle name="20% - Énfasis4 12 2 2 3" xfId="4077" xr:uid="{00000000-0005-0000-0000-0000F1050000}"/>
    <cellStyle name="20% - Énfasis4 12 2 2 3 2" xfId="6025" xr:uid="{00000000-0005-0000-0000-0000F2050000}"/>
    <cellStyle name="20% - Énfasis4 12 2 2 4" xfId="5111" xr:uid="{00000000-0005-0000-0000-0000F3050000}"/>
    <cellStyle name="20% - Énfasis4 12 2 3" xfId="2875" xr:uid="{00000000-0005-0000-0000-0000F4050000}"/>
    <cellStyle name="20% - Énfasis4 12 2 3 2" xfId="4494" xr:uid="{00000000-0005-0000-0000-0000F5050000}"/>
    <cellStyle name="20% - Énfasis4 12 2 3 2 2" xfId="6361" xr:uid="{00000000-0005-0000-0000-0000F6050000}"/>
    <cellStyle name="20% - Énfasis4 12 2 3 3" xfId="5459" xr:uid="{00000000-0005-0000-0000-0000F7050000}"/>
    <cellStyle name="20% - Énfasis4 12 2 4" xfId="3962" xr:uid="{00000000-0005-0000-0000-0000F8050000}"/>
    <cellStyle name="20% - Énfasis4 12 2 4 2" xfId="5916" xr:uid="{00000000-0005-0000-0000-0000F9050000}"/>
    <cellStyle name="20% - Énfasis4 12 2 5" xfId="5001" xr:uid="{00000000-0005-0000-0000-0000FA050000}"/>
    <cellStyle name="20% - Énfasis4 12 2 6" xfId="23245" xr:uid="{00000000-0005-0000-0000-0000FB050000}"/>
    <cellStyle name="20% - Énfasis4 12 2 7" xfId="24590" xr:uid="{00000000-0005-0000-0000-0000FC050000}"/>
    <cellStyle name="20% - Énfasis4 12 2 8" xfId="25094" xr:uid="{00000000-0005-0000-0000-0000FD050000}"/>
    <cellStyle name="20% - Énfasis4 12 2 9" xfId="25598" xr:uid="{00000000-0005-0000-0000-0000FE050000}"/>
    <cellStyle name="20% - Énfasis4 12 20" xfId="30638" xr:uid="{00000000-0005-0000-0000-0000FF050000}"/>
    <cellStyle name="20% - Énfasis4 12 3" xfId="1559" xr:uid="{00000000-0005-0000-0000-000000060000}"/>
    <cellStyle name="20% - Énfasis4 12 3 2" xfId="2986" xr:uid="{00000000-0005-0000-0000-000001060000}"/>
    <cellStyle name="20% - Énfasis4 12 3 2 2" xfId="4605" xr:uid="{00000000-0005-0000-0000-000002060000}"/>
    <cellStyle name="20% - Énfasis4 12 3 2 2 2" xfId="6472" xr:uid="{00000000-0005-0000-0000-000003060000}"/>
    <cellStyle name="20% - Énfasis4 12 3 2 3" xfId="5570" xr:uid="{00000000-0005-0000-0000-000004060000}"/>
    <cellStyle name="20% - Énfasis4 12 3 3" xfId="4078" xr:uid="{00000000-0005-0000-0000-000005060000}"/>
    <cellStyle name="20% - Énfasis4 12 3 3 2" xfId="6026" xr:uid="{00000000-0005-0000-0000-000006060000}"/>
    <cellStyle name="20% - Énfasis4 12 3 4" xfId="5112" xr:uid="{00000000-0005-0000-0000-000007060000}"/>
    <cellStyle name="20% - Énfasis4 12 4" xfId="2816" xr:uid="{00000000-0005-0000-0000-000008060000}"/>
    <cellStyle name="20% - Énfasis4 12 4 2" xfId="4436" xr:uid="{00000000-0005-0000-0000-000009060000}"/>
    <cellStyle name="20% - Énfasis4 12 4 2 2" xfId="6304" xr:uid="{00000000-0005-0000-0000-00000A060000}"/>
    <cellStyle name="20% - Énfasis4 12 4 3" xfId="5402" xr:uid="{00000000-0005-0000-0000-00000B060000}"/>
    <cellStyle name="20% - Énfasis4 12 5" xfId="3759" xr:uid="{00000000-0005-0000-0000-00000C060000}"/>
    <cellStyle name="20% - Énfasis4 12 5 2" xfId="5860" xr:uid="{00000000-0005-0000-0000-00000D060000}"/>
    <cellStyle name="20% - Énfasis4 12 6" xfId="4944" xr:uid="{00000000-0005-0000-0000-00000E060000}"/>
    <cellStyle name="20% - Énfasis4 12 7" xfId="23244" xr:uid="{00000000-0005-0000-0000-00000F060000}"/>
    <cellStyle name="20% - Énfasis4 12 8" xfId="24589" xr:uid="{00000000-0005-0000-0000-000010060000}"/>
    <cellStyle name="20% - Énfasis4 12 9" xfId="25093" xr:uid="{00000000-0005-0000-0000-000011060000}"/>
    <cellStyle name="20% - Énfasis4 13" xfId="1375" xr:uid="{00000000-0005-0000-0000-000012060000}"/>
    <cellStyle name="20% - Énfasis4 14" xfId="1481" xr:uid="{00000000-0005-0000-0000-000013060000}"/>
    <cellStyle name="20% - Énfasis4 14 2" xfId="1560" xr:uid="{00000000-0005-0000-0000-000014060000}"/>
    <cellStyle name="20% - Énfasis4 14 2 2" xfId="2987" xr:uid="{00000000-0005-0000-0000-000015060000}"/>
    <cellStyle name="20% - Énfasis4 14 2 2 2" xfId="4606" xr:uid="{00000000-0005-0000-0000-000016060000}"/>
    <cellStyle name="20% - Énfasis4 14 2 2 2 2" xfId="6473" xr:uid="{00000000-0005-0000-0000-000017060000}"/>
    <cellStyle name="20% - Énfasis4 14 2 2 3" xfId="5571" xr:uid="{00000000-0005-0000-0000-000018060000}"/>
    <cellStyle name="20% - Énfasis4 14 2 3" xfId="4079" xr:uid="{00000000-0005-0000-0000-000019060000}"/>
    <cellStyle name="20% - Énfasis4 14 2 3 2" xfId="6027" xr:uid="{00000000-0005-0000-0000-00001A060000}"/>
    <cellStyle name="20% - Énfasis4 14 2 4" xfId="5113" xr:uid="{00000000-0005-0000-0000-00001B060000}"/>
    <cellStyle name="20% - Énfasis4 14 3" xfId="2915" xr:uid="{00000000-0005-0000-0000-00001C060000}"/>
    <cellStyle name="20% - Énfasis4 14 3 2" xfId="4534" xr:uid="{00000000-0005-0000-0000-00001D060000}"/>
    <cellStyle name="20% - Énfasis4 14 3 2 2" xfId="6401" xr:uid="{00000000-0005-0000-0000-00001E060000}"/>
    <cellStyle name="20% - Énfasis4 14 3 3" xfId="5499" xr:uid="{00000000-0005-0000-0000-00001F060000}"/>
    <cellStyle name="20% - Énfasis4 14 4" xfId="4002" xr:uid="{00000000-0005-0000-0000-000020060000}"/>
    <cellStyle name="20% - Énfasis4 14 4 2" xfId="5956" xr:uid="{00000000-0005-0000-0000-000021060000}"/>
    <cellStyle name="20% - Énfasis4 14 5" xfId="5041" xr:uid="{00000000-0005-0000-0000-000022060000}"/>
    <cellStyle name="20% - Énfasis4 15" xfId="1561" xr:uid="{00000000-0005-0000-0000-000023060000}"/>
    <cellStyle name="20% - Énfasis4 15 2" xfId="2988" xr:uid="{00000000-0005-0000-0000-000024060000}"/>
    <cellStyle name="20% - Énfasis4 15 2 2" xfId="4607" xr:uid="{00000000-0005-0000-0000-000025060000}"/>
    <cellStyle name="20% - Énfasis4 15 2 2 2" xfId="6474" xr:uid="{00000000-0005-0000-0000-000026060000}"/>
    <cellStyle name="20% - Énfasis4 15 2 3" xfId="5572" xr:uid="{00000000-0005-0000-0000-000027060000}"/>
    <cellStyle name="20% - Énfasis4 15 3" xfId="4080" xr:uid="{00000000-0005-0000-0000-000028060000}"/>
    <cellStyle name="20% - Énfasis4 15 3 2" xfId="6028" xr:uid="{00000000-0005-0000-0000-000029060000}"/>
    <cellStyle name="20% - Énfasis4 15 4" xfId="5114" xr:uid="{00000000-0005-0000-0000-00002A060000}"/>
    <cellStyle name="20% - Énfasis4 16" xfId="2719" xr:uid="{00000000-0005-0000-0000-00002B060000}"/>
    <cellStyle name="20% - Énfasis4 16 2" xfId="4398" xr:uid="{00000000-0005-0000-0000-00002C060000}"/>
    <cellStyle name="20% - Énfasis4 16 2 2" xfId="6268" xr:uid="{00000000-0005-0000-0000-00002D060000}"/>
    <cellStyle name="20% - Énfasis4 16 3" xfId="5366" xr:uid="{00000000-0005-0000-0000-00002E060000}"/>
    <cellStyle name="20% - Énfasis4 17" xfId="3172" xr:uid="{00000000-0005-0000-0000-00002F060000}"/>
    <cellStyle name="20% - Énfasis4 17 2" xfId="5738" xr:uid="{00000000-0005-0000-0000-000030060000}"/>
    <cellStyle name="20% - Énfasis4 18" xfId="4795" xr:uid="{00000000-0005-0000-0000-000031060000}"/>
    <cellStyle name="20% - Énfasis4 18 2" xfId="6640" xr:uid="{00000000-0005-0000-0000-000032060000}"/>
    <cellStyle name="20% - Énfasis4 19" xfId="4838" xr:uid="{00000000-0005-0000-0000-000033060000}"/>
    <cellStyle name="20% - Énfasis4 19 2" xfId="6682" xr:uid="{00000000-0005-0000-0000-000034060000}"/>
    <cellStyle name="20% - Énfasis4 2" xfId="20" xr:uid="{00000000-0005-0000-0000-000035060000}"/>
    <cellStyle name="20% - Énfasis4 2 2" xfId="901" xr:uid="{00000000-0005-0000-0000-000036060000}"/>
    <cellStyle name="20% - Énfasis4 2 2 2" xfId="3173" xr:uid="{00000000-0005-0000-0000-000037060000}"/>
    <cellStyle name="20% - Énfasis4 2 2 2 2" xfId="7417" xr:uid="{00000000-0005-0000-0000-000038060000}"/>
    <cellStyle name="20% - Énfasis4 2 2 2 3" xfId="7416" xr:uid="{00000000-0005-0000-0000-000039060000}"/>
    <cellStyle name="20% - Énfasis4 2 2 3" xfId="7418" xr:uid="{00000000-0005-0000-0000-00003A060000}"/>
    <cellStyle name="20% - Énfasis4 2 2 4" xfId="7419" xr:uid="{00000000-0005-0000-0000-00003B060000}"/>
    <cellStyle name="20% - Énfasis4 2 2 5" xfId="7415" xr:uid="{00000000-0005-0000-0000-00003C060000}"/>
    <cellStyle name="20% - Énfasis4 2 3" xfId="1763" xr:uid="{00000000-0005-0000-0000-00003D060000}"/>
    <cellStyle name="20% - Énfasis4 2 4" xfId="7420" xr:uid="{00000000-0005-0000-0000-00003E060000}"/>
    <cellStyle name="20% - Énfasis4 2 4 2" xfId="22865" xr:uid="{00000000-0005-0000-0000-00003F060000}"/>
    <cellStyle name="20% - Énfasis4 2 5" xfId="31208" xr:uid="{0CF925AF-0530-41F8-B77E-3D42D3574D7C}"/>
    <cellStyle name="20% - Énfasis4 20" xfId="4878" xr:uid="{00000000-0005-0000-0000-000040060000}"/>
    <cellStyle name="20% - Énfasis4 21" xfId="6723" xr:uid="{00000000-0005-0000-0000-000041060000}"/>
    <cellStyle name="20% - Énfasis4 22" xfId="6765" xr:uid="{00000000-0005-0000-0000-000042060000}"/>
    <cellStyle name="20% - Énfasis4 23" xfId="6780" xr:uid="{00000000-0005-0000-0000-000043060000}"/>
    <cellStyle name="20% - Énfasis4 24" xfId="7272" xr:uid="{00000000-0005-0000-0000-000044060000}"/>
    <cellStyle name="20% - Énfasis4 25" xfId="22863" xr:uid="{00000000-0005-0000-0000-000045060000}"/>
    <cellStyle name="20% - Énfasis4 26" xfId="23161" xr:uid="{00000000-0005-0000-0000-000046060000}"/>
    <cellStyle name="20% - Énfasis4 27" xfId="24551" xr:uid="{00000000-0005-0000-0000-000047060000}"/>
    <cellStyle name="20% - Énfasis4 28" xfId="25055" xr:uid="{00000000-0005-0000-0000-000048060000}"/>
    <cellStyle name="20% - Énfasis4 29" xfId="25559" xr:uid="{00000000-0005-0000-0000-000049060000}"/>
    <cellStyle name="20% - Énfasis4 3" xfId="902" xr:uid="{00000000-0005-0000-0000-00004A060000}"/>
    <cellStyle name="20% - Énfasis4 3 2" xfId="903" xr:uid="{00000000-0005-0000-0000-00004B060000}"/>
    <cellStyle name="20% - Énfasis4 3 2 2" xfId="7421" xr:uid="{00000000-0005-0000-0000-00004C060000}"/>
    <cellStyle name="20% - Énfasis4 3 2 2 2" xfId="23247" xr:uid="{00000000-0005-0000-0000-00004D060000}"/>
    <cellStyle name="20% - Énfasis4 3 2 2 3" xfId="23246" xr:uid="{00000000-0005-0000-0000-00004E060000}"/>
    <cellStyle name="20% - Énfasis4 3 2 3" xfId="7422" xr:uid="{00000000-0005-0000-0000-00004F060000}"/>
    <cellStyle name="20% - Énfasis4 3 2 3 2" xfId="23248" xr:uid="{00000000-0005-0000-0000-000050060000}"/>
    <cellStyle name="20% - Énfasis4 3 3" xfId="1764" xr:uid="{00000000-0005-0000-0000-000051060000}"/>
    <cellStyle name="20% - Énfasis4 3 3 2" xfId="23249" xr:uid="{00000000-0005-0000-0000-000052060000}"/>
    <cellStyle name="20% - Énfasis4 3 4" xfId="7423" xr:uid="{00000000-0005-0000-0000-000053060000}"/>
    <cellStyle name="20% - Énfasis4 3 4 2" xfId="23250" xr:uid="{00000000-0005-0000-0000-000054060000}"/>
    <cellStyle name="20% - Énfasis4 3 5" xfId="7424" xr:uid="{00000000-0005-0000-0000-000055060000}"/>
    <cellStyle name="20% - Énfasis4 3 5 2" xfId="23252" xr:uid="{00000000-0005-0000-0000-000056060000}"/>
    <cellStyle name="20% - Énfasis4 3 5 3" xfId="23251" xr:uid="{00000000-0005-0000-0000-000057060000}"/>
    <cellStyle name="20% - Énfasis4 3 6" xfId="23253" xr:uid="{00000000-0005-0000-0000-000058060000}"/>
    <cellStyle name="20% - Énfasis4 3 7" xfId="23254" xr:uid="{00000000-0005-0000-0000-000059060000}"/>
    <cellStyle name="20% - Énfasis4 30" xfId="26063" xr:uid="{00000000-0005-0000-0000-00005A060000}"/>
    <cellStyle name="20% - Énfasis4 31" xfId="26567" xr:uid="{00000000-0005-0000-0000-00005B060000}"/>
    <cellStyle name="20% - Énfasis4 32" xfId="27071" xr:uid="{00000000-0005-0000-0000-00005C060000}"/>
    <cellStyle name="20% - Énfasis4 33" xfId="27575" xr:uid="{00000000-0005-0000-0000-00005D060000}"/>
    <cellStyle name="20% - Énfasis4 34" xfId="28079" xr:uid="{00000000-0005-0000-0000-00005E060000}"/>
    <cellStyle name="20% - Énfasis4 35" xfId="28583" xr:uid="{00000000-0005-0000-0000-00005F060000}"/>
    <cellStyle name="20% - Énfasis4 36" xfId="29087" xr:uid="{00000000-0005-0000-0000-000060060000}"/>
    <cellStyle name="20% - Énfasis4 37" xfId="29591" xr:uid="{00000000-0005-0000-0000-000061060000}"/>
    <cellStyle name="20% - Énfasis4 38" xfId="30095" xr:uid="{00000000-0005-0000-0000-000062060000}"/>
    <cellStyle name="20% - Énfasis4 39" xfId="30600" xr:uid="{00000000-0005-0000-0000-000063060000}"/>
    <cellStyle name="20% - Énfasis4 4" xfId="904" xr:uid="{00000000-0005-0000-0000-000064060000}"/>
    <cellStyle name="20% - Énfasis4 4 2" xfId="905" xr:uid="{00000000-0005-0000-0000-000065060000}"/>
    <cellStyle name="20% - Énfasis4 4 3" xfId="7426" xr:uid="{00000000-0005-0000-0000-000066060000}"/>
    <cellStyle name="20% - Énfasis4 4 4" xfId="7427" xr:uid="{00000000-0005-0000-0000-000067060000}"/>
    <cellStyle name="20% - Énfasis4 4 4 2" xfId="17913" xr:uid="{00000000-0005-0000-0000-000068060000}"/>
    <cellStyle name="20% - Énfasis4 4 5" xfId="7428" xr:uid="{00000000-0005-0000-0000-000069060000}"/>
    <cellStyle name="20% - Énfasis4 4 6" xfId="7425" xr:uid="{00000000-0005-0000-0000-00006A060000}"/>
    <cellStyle name="20% - Énfasis4 4 7" xfId="17912" xr:uid="{00000000-0005-0000-0000-00006B060000}"/>
    <cellStyle name="20% - Énfasis4 40" xfId="31106" xr:uid="{10E0AD17-926B-4E7E-A453-5BE8E497D3D6}"/>
    <cellStyle name="20% - Énfasis4 41" xfId="31115" xr:uid="{BCD1B632-7675-4ADB-88B9-EAE2DD7B7D87}"/>
    <cellStyle name="20% - Énfasis4 42" xfId="31121" xr:uid="{33931F9A-DC87-421E-9651-A3BF79F3296F}"/>
    <cellStyle name="20% - Énfasis4 43" xfId="32016" xr:uid="{38AC53EE-1460-4912-A787-E81AFE5A99B9}"/>
    <cellStyle name="20% - Énfasis4 5" xfId="906" xr:uid="{00000000-0005-0000-0000-00006C060000}"/>
    <cellStyle name="20% - Énfasis4 5 2" xfId="907" xr:uid="{00000000-0005-0000-0000-00006D060000}"/>
    <cellStyle name="20% - Énfasis4 6" xfId="908" xr:uid="{00000000-0005-0000-0000-00006E060000}"/>
    <cellStyle name="20% - Énfasis4 6 10" xfId="24591" xr:uid="{00000000-0005-0000-0000-00006F060000}"/>
    <cellStyle name="20% - Énfasis4 6 11" xfId="25095" xr:uid="{00000000-0005-0000-0000-000070060000}"/>
    <cellStyle name="20% - Énfasis4 6 12" xfId="25599" xr:uid="{00000000-0005-0000-0000-000071060000}"/>
    <cellStyle name="20% - Énfasis4 6 13" xfId="26103" xr:uid="{00000000-0005-0000-0000-000072060000}"/>
    <cellStyle name="20% - Énfasis4 6 14" xfId="26607" xr:uid="{00000000-0005-0000-0000-000073060000}"/>
    <cellStyle name="20% - Énfasis4 6 15" xfId="27111" xr:uid="{00000000-0005-0000-0000-000074060000}"/>
    <cellStyle name="20% - Énfasis4 6 16" xfId="27615" xr:uid="{00000000-0005-0000-0000-000075060000}"/>
    <cellStyle name="20% - Énfasis4 6 17" xfId="28119" xr:uid="{00000000-0005-0000-0000-000076060000}"/>
    <cellStyle name="20% - Énfasis4 6 18" xfId="28623" xr:uid="{00000000-0005-0000-0000-000077060000}"/>
    <cellStyle name="20% - Énfasis4 6 19" xfId="29127" xr:uid="{00000000-0005-0000-0000-000078060000}"/>
    <cellStyle name="20% - Énfasis4 6 2" xfId="909" xr:uid="{00000000-0005-0000-0000-000079060000}"/>
    <cellStyle name="20% - Énfasis4 6 2 2" xfId="17915" xr:uid="{00000000-0005-0000-0000-00007A060000}"/>
    <cellStyle name="20% - Énfasis4 6 2 3" xfId="7430" xr:uid="{00000000-0005-0000-0000-00007B060000}"/>
    <cellStyle name="20% - Énfasis4 6 20" xfId="29631" xr:uid="{00000000-0005-0000-0000-00007C060000}"/>
    <cellStyle name="20% - Énfasis4 6 21" xfId="30135" xr:uid="{00000000-0005-0000-0000-00007D060000}"/>
    <cellStyle name="20% - Énfasis4 6 22" xfId="30640" xr:uid="{00000000-0005-0000-0000-00007E060000}"/>
    <cellStyle name="20% - Énfasis4 6 3" xfId="1765" xr:uid="{00000000-0005-0000-0000-00007F060000}"/>
    <cellStyle name="20% - Énfasis4 6 3 2" xfId="4239" xr:uid="{00000000-0005-0000-0000-000080060000}"/>
    <cellStyle name="20% - Énfasis4 6 3 2 2" xfId="6183" xr:uid="{00000000-0005-0000-0000-000081060000}"/>
    <cellStyle name="20% - Énfasis4 6 3 3" xfId="5273" xr:uid="{00000000-0005-0000-0000-000082060000}"/>
    <cellStyle name="20% - Énfasis4 6 3 4" xfId="7429" xr:uid="{00000000-0005-0000-0000-000083060000}"/>
    <cellStyle name="20% - Énfasis4 6 3 5" xfId="23256" xr:uid="{00000000-0005-0000-0000-000084060000}"/>
    <cellStyle name="20% - Énfasis4 6 4" xfId="2673" xr:uid="{00000000-0005-0000-0000-000085060000}"/>
    <cellStyle name="20% - Énfasis4 6 4 10" xfId="26608" xr:uid="{00000000-0005-0000-0000-000086060000}"/>
    <cellStyle name="20% - Énfasis4 6 4 11" xfId="27112" xr:uid="{00000000-0005-0000-0000-000087060000}"/>
    <cellStyle name="20% - Énfasis4 6 4 12" xfId="27616" xr:uid="{00000000-0005-0000-0000-000088060000}"/>
    <cellStyle name="20% - Énfasis4 6 4 13" xfId="28120" xr:uid="{00000000-0005-0000-0000-000089060000}"/>
    <cellStyle name="20% - Énfasis4 6 4 14" xfId="28624" xr:uid="{00000000-0005-0000-0000-00008A060000}"/>
    <cellStyle name="20% - Énfasis4 6 4 15" xfId="29128" xr:uid="{00000000-0005-0000-0000-00008B060000}"/>
    <cellStyle name="20% - Énfasis4 6 4 16" xfId="29632" xr:uid="{00000000-0005-0000-0000-00008C060000}"/>
    <cellStyle name="20% - Énfasis4 6 4 17" xfId="30136" xr:uid="{00000000-0005-0000-0000-00008D060000}"/>
    <cellStyle name="20% - Énfasis4 6 4 18" xfId="30641" xr:uid="{00000000-0005-0000-0000-00008E060000}"/>
    <cellStyle name="20% - Énfasis4 6 4 2" xfId="4354" xr:uid="{00000000-0005-0000-0000-00008F060000}"/>
    <cellStyle name="20% - Énfasis4 6 4 2 2" xfId="6224" xr:uid="{00000000-0005-0000-0000-000090060000}"/>
    <cellStyle name="20% - Énfasis4 6 4 3" xfId="5321" xr:uid="{00000000-0005-0000-0000-000091060000}"/>
    <cellStyle name="20% - Énfasis4 6 4 4" xfId="17914" xr:uid="{00000000-0005-0000-0000-000092060000}"/>
    <cellStyle name="20% - Énfasis4 6 4 5" xfId="23257" xr:uid="{00000000-0005-0000-0000-000093060000}"/>
    <cellStyle name="20% - Énfasis4 6 4 6" xfId="24592" xr:uid="{00000000-0005-0000-0000-000094060000}"/>
    <cellStyle name="20% - Énfasis4 6 4 7" xfId="25096" xr:uid="{00000000-0005-0000-0000-000095060000}"/>
    <cellStyle name="20% - Énfasis4 6 4 8" xfId="25600" xr:uid="{00000000-0005-0000-0000-000096060000}"/>
    <cellStyle name="20% - Énfasis4 6 4 9" xfId="26104" xr:uid="{00000000-0005-0000-0000-000097060000}"/>
    <cellStyle name="20% - Énfasis4 6 5" xfId="3761" xr:uid="{00000000-0005-0000-0000-000098060000}"/>
    <cellStyle name="20% - Énfasis4 6 6" xfId="3174" xr:uid="{00000000-0005-0000-0000-000099060000}"/>
    <cellStyle name="20% - Énfasis4 6 6 2" xfId="5739" xr:uid="{00000000-0005-0000-0000-00009A060000}"/>
    <cellStyle name="20% - Énfasis4 6 7" xfId="6781" xr:uid="{00000000-0005-0000-0000-00009B060000}"/>
    <cellStyle name="20% - Énfasis4 6 8" xfId="7110" xr:uid="{00000000-0005-0000-0000-00009C060000}"/>
    <cellStyle name="20% - Énfasis4 6 9" xfId="23255" xr:uid="{00000000-0005-0000-0000-00009D060000}"/>
    <cellStyle name="20% - Énfasis4 7" xfId="910" xr:uid="{00000000-0005-0000-0000-00009E060000}"/>
    <cellStyle name="20% - Énfasis4 7 10" xfId="24593" xr:uid="{00000000-0005-0000-0000-00009F060000}"/>
    <cellStyle name="20% - Énfasis4 7 11" xfId="25097" xr:uid="{00000000-0005-0000-0000-0000A0060000}"/>
    <cellStyle name="20% - Énfasis4 7 12" xfId="25601" xr:uid="{00000000-0005-0000-0000-0000A1060000}"/>
    <cellStyle name="20% - Énfasis4 7 13" xfId="26105" xr:uid="{00000000-0005-0000-0000-0000A2060000}"/>
    <cellStyle name="20% - Énfasis4 7 14" xfId="26609" xr:uid="{00000000-0005-0000-0000-0000A3060000}"/>
    <cellStyle name="20% - Énfasis4 7 15" xfId="27113" xr:uid="{00000000-0005-0000-0000-0000A4060000}"/>
    <cellStyle name="20% - Énfasis4 7 16" xfId="27617" xr:uid="{00000000-0005-0000-0000-0000A5060000}"/>
    <cellStyle name="20% - Énfasis4 7 17" xfId="28121" xr:uid="{00000000-0005-0000-0000-0000A6060000}"/>
    <cellStyle name="20% - Énfasis4 7 18" xfId="28625" xr:uid="{00000000-0005-0000-0000-0000A7060000}"/>
    <cellStyle name="20% - Énfasis4 7 19" xfId="29129" xr:uid="{00000000-0005-0000-0000-0000A8060000}"/>
    <cellStyle name="20% - Énfasis4 7 2" xfId="911" xr:uid="{00000000-0005-0000-0000-0000A9060000}"/>
    <cellStyle name="20% - Énfasis4 7 2 2" xfId="17917" xr:uid="{00000000-0005-0000-0000-0000AA060000}"/>
    <cellStyle name="20% - Énfasis4 7 2 3" xfId="7432" xr:uid="{00000000-0005-0000-0000-0000AB060000}"/>
    <cellStyle name="20% - Énfasis4 7 20" xfId="29633" xr:uid="{00000000-0005-0000-0000-0000AC060000}"/>
    <cellStyle name="20% - Énfasis4 7 21" xfId="30137" xr:uid="{00000000-0005-0000-0000-0000AD060000}"/>
    <cellStyle name="20% - Énfasis4 7 22" xfId="30642" xr:uid="{00000000-0005-0000-0000-0000AE060000}"/>
    <cellStyle name="20% - Énfasis4 7 3" xfId="1766" xr:uid="{00000000-0005-0000-0000-0000AF060000}"/>
    <cellStyle name="20% - Énfasis4 7 3 2" xfId="4240" xr:uid="{00000000-0005-0000-0000-0000B0060000}"/>
    <cellStyle name="20% - Énfasis4 7 3 2 2" xfId="6184" xr:uid="{00000000-0005-0000-0000-0000B1060000}"/>
    <cellStyle name="20% - Énfasis4 7 3 3" xfId="5274" xr:uid="{00000000-0005-0000-0000-0000B2060000}"/>
    <cellStyle name="20% - Énfasis4 7 3 4" xfId="7431" xr:uid="{00000000-0005-0000-0000-0000B3060000}"/>
    <cellStyle name="20% - Énfasis4 7 3 5" xfId="23259" xr:uid="{00000000-0005-0000-0000-0000B4060000}"/>
    <cellStyle name="20% - Énfasis4 7 4" xfId="2674" xr:uid="{00000000-0005-0000-0000-0000B5060000}"/>
    <cellStyle name="20% - Énfasis4 7 4 10" xfId="26610" xr:uid="{00000000-0005-0000-0000-0000B6060000}"/>
    <cellStyle name="20% - Énfasis4 7 4 11" xfId="27114" xr:uid="{00000000-0005-0000-0000-0000B7060000}"/>
    <cellStyle name="20% - Énfasis4 7 4 12" xfId="27618" xr:uid="{00000000-0005-0000-0000-0000B8060000}"/>
    <cellStyle name="20% - Énfasis4 7 4 13" xfId="28122" xr:uid="{00000000-0005-0000-0000-0000B9060000}"/>
    <cellStyle name="20% - Énfasis4 7 4 14" xfId="28626" xr:uid="{00000000-0005-0000-0000-0000BA060000}"/>
    <cellStyle name="20% - Énfasis4 7 4 15" xfId="29130" xr:uid="{00000000-0005-0000-0000-0000BB060000}"/>
    <cellStyle name="20% - Énfasis4 7 4 16" xfId="29634" xr:uid="{00000000-0005-0000-0000-0000BC060000}"/>
    <cellStyle name="20% - Énfasis4 7 4 17" xfId="30138" xr:uid="{00000000-0005-0000-0000-0000BD060000}"/>
    <cellStyle name="20% - Énfasis4 7 4 18" xfId="30643" xr:uid="{00000000-0005-0000-0000-0000BE060000}"/>
    <cellStyle name="20% - Énfasis4 7 4 2" xfId="4355" xr:uid="{00000000-0005-0000-0000-0000BF060000}"/>
    <cellStyle name="20% - Énfasis4 7 4 2 2" xfId="6225" xr:uid="{00000000-0005-0000-0000-0000C0060000}"/>
    <cellStyle name="20% - Énfasis4 7 4 3" xfId="5322" xr:uid="{00000000-0005-0000-0000-0000C1060000}"/>
    <cellStyle name="20% - Énfasis4 7 4 4" xfId="17916" xr:uid="{00000000-0005-0000-0000-0000C2060000}"/>
    <cellStyle name="20% - Énfasis4 7 4 5" xfId="23260" xr:uid="{00000000-0005-0000-0000-0000C3060000}"/>
    <cellStyle name="20% - Énfasis4 7 4 6" xfId="24594" xr:uid="{00000000-0005-0000-0000-0000C4060000}"/>
    <cellStyle name="20% - Énfasis4 7 4 7" xfId="25098" xr:uid="{00000000-0005-0000-0000-0000C5060000}"/>
    <cellStyle name="20% - Énfasis4 7 4 8" xfId="25602" xr:uid="{00000000-0005-0000-0000-0000C6060000}"/>
    <cellStyle name="20% - Énfasis4 7 4 9" xfId="26106" xr:uid="{00000000-0005-0000-0000-0000C7060000}"/>
    <cellStyle name="20% - Énfasis4 7 5" xfId="3762" xr:uid="{00000000-0005-0000-0000-0000C8060000}"/>
    <cellStyle name="20% - Énfasis4 7 6" xfId="3175" xr:uid="{00000000-0005-0000-0000-0000C9060000}"/>
    <cellStyle name="20% - Énfasis4 7 6 2" xfId="5740" xr:uid="{00000000-0005-0000-0000-0000CA060000}"/>
    <cellStyle name="20% - Énfasis4 7 7" xfId="6782" xr:uid="{00000000-0005-0000-0000-0000CB060000}"/>
    <cellStyle name="20% - Énfasis4 7 8" xfId="7109" xr:uid="{00000000-0005-0000-0000-0000CC060000}"/>
    <cellStyle name="20% - Énfasis4 7 9" xfId="23258" xr:uid="{00000000-0005-0000-0000-0000CD060000}"/>
    <cellStyle name="20% - Énfasis4 8" xfId="912" xr:uid="{00000000-0005-0000-0000-0000CE060000}"/>
    <cellStyle name="20% - Énfasis4 8 2" xfId="913" xr:uid="{00000000-0005-0000-0000-0000CF060000}"/>
    <cellStyle name="20% - Énfasis4 8 3" xfId="7414" xr:uid="{00000000-0005-0000-0000-0000D0060000}"/>
    <cellStyle name="20% - Énfasis4 9" xfId="914" xr:uid="{00000000-0005-0000-0000-0000D1060000}"/>
    <cellStyle name="20% - Énfasis4 9 10" xfId="4946" xr:uid="{00000000-0005-0000-0000-0000D2060000}"/>
    <cellStyle name="20% - Énfasis4 9 11" xfId="6725" xr:uid="{00000000-0005-0000-0000-0000D3060000}"/>
    <cellStyle name="20% - Énfasis4 9 12" xfId="17911" xr:uid="{00000000-0005-0000-0000-0000D4060000}"/>
    <cellStyle name="20% - Énfasis4 9 13" xfId="22866" xr:uid="{00000000-0005-0000-0000-0000D5060000}"/>
    <cellStyle name="20% - Énfasis4 9 14" xfId="23261" xr:uid="{00000000-0005-0000-0000-0000D6060000}"/>
    <cellStyle name="20% - Énfasis4 9 15" xfId="24595" xr:uid="{00000000-0005-0000-0000-0000D7060000}"/>
    <cellStyle name="20% - Énfasis4 9 16" xfId="25099" xr:uid="{00000000-0005-0000-0000-0000D8060000}"/>
    <cellStyle name="20% - Énfasis4 9 17" xfId="25603" xr:uid="{00000000-0005-0000-0000-0000D9060000}"/>
    <cellStyle name="20% - Énfasis4 9 18" xfId="26107" xr:uid="{00000000-0005-0000-0000-0000DA060000}"/>
    <cellStyle name="20% - Énfasis4 9 19" xfId="26611" xr:uid="{00000000-0005-0000-0000-0000DB060000}"/>
    <cellStyle name="20% - Énfasis4 9 2" xfId="1443" xr:uid="{00000000-0005-0000-0000-0000DC060000}"/>
    <cellStyle name="20% - Énfasis4 9 2 10" xfId="26108" xr:uid="{00000000-0005-0000-0000-0000DD060000}"/>
    <cellStyle name="20% - Énfasis4 9 2 11" xfId="26612" xr:uid="{00000000-0005-0000-0000-0000DE060000}"/>
    <cellStyle name="20% - Énfasis4 9 2 12" xfId="27116" xr:uid="{00000000-0005-0000-0000-0000DF060000}"/>
    <cellStyle name="20% - Énfasis4 9 2 13" xfId="27620" xr:uid="{00000000-0005-0000-0000-0000E0060000}"/>
    <cellStyle name="20% - Énfasis4 9 2 14" xfId="28124" xr:uid="{00000000-0005-0000-0000-0000E1060000}"/>
    <cellStyle name="20% - Énfasis4 9 2 15" xfId="28628" xr:uid="{00000000-0005-0000-0000-0000E2060000}"/>
    <cellStyle name="20% - Énfasis4 9 2 16" xfId="29132" xr:uid="{00000000-0005-0000-0000-0000E3060000}"/>
    <cellStyle name="20% - Énfasis4 9 2 17" xfId="29636" xr:uid="{00000000-0005-0000-0000-0000E4060000}"/>
    <cellStyle name="20% - Énfasis4 9 2 18" xfId="30140" xr:uid="{00000000-0005-0000-0000-0000E5060000}"/>
    <cellStyle name="20% - Énfasis4 9 2 19" xfId="30645" xr:uid="{00000000-0005-0000-0000-0000E6060000}"/>
    <cellStyle name="20% - Énfasis4 9 2 2" xfId="1562" xr:uid="{00000000-0005-0000-0000-0000E7060000}"/>
    <cellStyle name="20% - Énfasis4 9 2 2 2" xfId="2989" xr:uid="{00000000-0005-0000-0000-0000E8060000}"/>
    <cellStyle name="20% - Énfasis4 9 2 2 2 2" xfId="4608" xr:uid="{00000000-0005-0000-0000-0000E9060000}"/>
    <cellStyle name="20% - Énfasis4 9 2 2 2 2 2" xfId="6475" xr:uid="{00000000-0005-0000-0000-0000EA060000}"/>
    <cellStyle name="20% - Énfasis4 9 2 2 2 3" xfId="5573" xr:uid="{00000000-0005-0000-0000-0000EB060000}"/>
    <cellStyle name="20% - Énfasis4 9 2 2 3" xfId="4081" xr:uid="{00000000-0005-0000-0000-0000EC060000}"/>
    <cellStyle name="20% - Énfasis4 9 2 2 3 2" xfId="6029" xr:uid="{00000000-0005-0000-0000-0000ED060000}"/>
    <cellStyle name="20% - Énfasis4 9 2 2 4" xfId="5115" xr:uid="{00000000-0005-0000-0000-0000EE060000}"/>
    <cellStyle name="20% - Énfasis4 9 2 3" xfId="2877" xr:uid="{00000000-0005-0000-0000-0000EF060000}"/>
    <cellStyle name="20% - Énfasis4 9 2 3 2" xfId="4496" xr:uid="{00000000-0005-0000-0000-0000F0060000}"/>
    <cellStyle name="20% - Énfasis4 9 2 3 2 2" xfId="6363" xr:uid="{00000000-0005-0000-0000-0000F1060000}"/>
    <cellStyle name="20% - Énfasis4 9 2 3 3" xfId="5461" xr:uid="{00000000-0005-0000-0000-0000F2060000}"/>
    <cellStyle name="20% - Énfasis4 9 2 4" xfId="3964" xr:uid="{00000000-0005-0000-0000-0000F3060000}"/>
    <cellStyle name="20% - Énfasis4 9 2 4 2" xfId="5918" xr:uid="{00000000-0005-0000-0000-0000F4060000}"/>
    <cellStyle name="20% - Énfasis4 9 2 5" xfId="5003" xr:uid="{00000000-0005-0000-0000-0000F5060000}"/>
    <cellStyle name="20% - Énfasis4 9 2 6" xfId="23262" xr:uid="{00000000-0005-0000-0000-0000F6060000}"/>
    <cellStyle name="20% - Énfasis4 9 2 7" xfId="24596" xr:uid="{00000000-0005-0000-0000-0000F7060000}"/>
    <cellStyle name="20% - Énfasis4 9 2 8" xfId="25100" xr:uid="{00000000-0005-0000-0000-0000F8060000}"/>
    <cellStyle name="20% - Énfasis4 9 2 9" xfId="25604" xr:uid="{00000000-0005-0000-0000-0000F9060000}"/>
    <cellStyle name="20% - Énfasis4 9 20" xfId="27115" xr:uid="{00000000-0005-0000-0000-0000FA060000}"/>
    <cellStyle name="20% - Énfasis4 9 21" xfId="27619" xr:uid="{00000000-0005-0000-0000-0000FB060000}"/>
    <cellStyle name="20% - Énfasis4 9 22" xfId="28123" xr:uid="{00000000-0005-0000-0000-0000FC060000}"/>
    <cellStyle name="20% - Énfasis4 9 23" xfId="28627" xr:uid="{00000000-0005-0000-0000-0000FD060000}"/>
    <cellStyle name="20% - Énfasis4 9 24" xfId="29131" xr:uid="{00000000-0005-0000-0000-0000FE060000}"/>
    <cellStyle name="20% - Énfasis4 9 25" xfId="29635" xr:uid="{00000000-0005-0000-0000-0000FF060000}"/>
    <cellStyle name="20% - Énfasis4 9 26" xfId="30139" xr:uid="{00000000-0005-0000-0000-000000070000}"/>
    <cellStyle name="20% - Énfasis4 9 27" xfId="30644" xr:uid="{00000000-0005-0000-0000-000001070000}"/>
    <cellStyle name="20% - Énfasis4 9 3" xfId="1482" xr:uid="{00000000-0005-0000-0000-000002070000}"/>
    <cellStyle name="20% - Énfasis4 9 3 2" xfId="1563" xr:uid="{00000000-0005-0000-0000-000003070000}"/>
    <cellStyle name="20% - Énfasis4 9 3 2 2" xfId="2990" xr:uid="{00000000-0005-0000-0000-000004070000}"/>
    <cellStyle name="20% - Énfasis4 9 3 2 2 2" xfId="4609" xr:uid="{00000000-0005-0000-0000-000005070000}"/>
    <cellStyle name="20% - Énfasis4 9 3 2 2 2 2" xfId="6476" xr:uid="{00000000-0005-0000-0000-000006070000}"/>
    <cellStyle name="20% - Énfasis4 9 3 2 2 3" xfId="5574" xr:uid="{00000000-0005-0000-0000-000007070000}"/>
    <cellStyle name="20% - Énfasis4 9 3 2 3" xfId="4082" xr:uid="{00000000-0005-0000-0000-000008070000}"/>
    <cellStyle name="20% - Énfasis4 9 3 2 3 2" xfId="6030" xr:uid="{00000000-0005-0000-0000-000009070000}"/>
    <cellStyle name="20% - Énfasis4 9 3 2 4" xfId="5116" xr:uid="{00000000-0005-0000-0000-00000A070000}"/>
    <cellStyle name="20% - Énfasis4 9 3 3" xfId="2916" xr:uid="{00000000-0005-0000-0000-00000B070000}"/>
    <cellStyle name="20% - Énfasis4 9 3 3 2" xfId="4535" xr:uid="{00000000-0005-0000-0000-00000C070000}"/>
    <cellStyle name="20% - Énfasis4 9 3 3 2 2" xfId="6402" xr:uid="{00000000-0005-0000-0000-00000D070000}"/>
    <cellStyle name="20% - Énfasis4 9 3 3 3" xfId="5500" xr:uid="{00000000-0005-0000-0000-00000E070000}"/>
    <cellStyle name="20% - Énfasis4 9 3 4" xfId="4003" xr:uid="{00000000-0005-0000-0000-00000F070000}"/>
    <cellStyle name="20% - Énfasis4 9 3 4 2" xfId="5957" xr:uid="{00000000-0005-0000-0000-000010070000}"/>
    <cellStyle name="20% - Énfasis4 9 3 5" xfId="5042" xr:uid="{00000000-0005-0000-0000-000011070000}"/>
    <cellStyle name="20% - Énfasis4 9 4" xfId="1564" xr:uid="{00000000-0005-0000-0000-000012070000}"/>
    <cellStyle name="20% - Énfasis4 9 4 2" xfId="2991" xr:uid="{00000000-0005-0000-0000-000013070000}"/>
    <cellStyle name="20% - Énfasis4 9 4 2 2" xfId="4610" xr:uid="{00000000-0005-0000-0000-000014070000}"/>
    <cellStyle name="20% - Énfasis4 9 4 2 2 2" xfId="6477" xr:uid="{00000000-0005-0000-0000-000015070000}"/>
    <cellStyle name="20% - Énfasis4 9 4 2 3" xfId="5575" xr:uid="{00000000-0005-0000-0000-000016070000}"/>
    <cellStyle name="20% - Énfasis4 9 4 3" xfId="4083" xr:uid="{00000000-0005-0000-0000-000017070000}"/>
    <cellStyle name="20% - Énfasis4 9 4 3 2" xfId="6031" xr:uid="{00000000-0005-0000-0000-000018070000}"/>
    <cellStyle name="20% - Énfasis4 9 4 4" xfId="5117" xr:uid="{00000000-0005-0000-0000-000019070000}"/>
    <cellStyle name="20% - Énfasis4 9 5" xfId="1565" xr:uid="{00000000-0005-0000-0000-00001A070000}"/>
    <cellStyle name="20% - Énfasis4 9 5 2" xfId="2992" xr:uid="{00000000-0005-0000-0000-00001B070000}"/>
    <cellStyle name="20% - Énfasis4 9 5 2 2" xfId="4611" xr:uid="{00000000-0005-0000-0000-00001C070000}"/>
    <cellStyle name="20% - Énfasis4 9 5 2 2 2" xfId="6478" xr:uid="{00000000-0005-0000-0000-00001D070000}"/>
    <cellStyle name="20% - Énfasis4 9 5 2 3" xfId="5576" xr:uid="{00000000-0005-0000-0000-00001E070000}"/>
    <cellStyle name="20% - Énfasis4 9 5 3" xfId="4084" xr:uid="{00000000-0005-0000-0000-00001F070000}"/>
    <cellStyle name="20% - Énfasis4 9 5 3 2" xfId="6032" xr:uid="{00000000-0005-0000-0000-000020070000}"/>
    <cellStyle name="20% - Énfasis4 9 5 4" xfId="5118" xr:uid="{00000000-0005-0000-0000-000021070000}"/>
    <cellStyle name="20% - Énfasis4 9 6" xfId="2818" xr:uid="{00000000-0005-0000-0000-000022070000}"/>
    <cellStyle name="20% - Énfasis4 9 6 2" xfId="4438" xr:uid="{00000000-0005-0000-0000-000023070000}"/>
    <cellStyle name="20% - Énfasis4 9 6 2 2" xfId="6306" xr:uid="{00000000-0005-0000-0000-000024070000}"/>
    <cellStyle name="20% - Énfasis4 9 6 3" xfId="5404" xr:uid="{00000000-0005-0000-0000-000025070000}"/>
    <cellStyle name="20% - Énfasis4 9 7" xfId="3763" xr:uid="{00000000-0005-0000-0000-000026070000}"/>
    <cellStyle name="20% - Énfasis4 9 7 2" xfId="5862" xr:uid="{00000000-0005-0000-0000-000027070000}"/>
    <cellStyle name="20% - Énfasis4 9 8" xfId="4797" xr:uid="{00000000-0005-0000-0000-000028070000}"/>
    <cellStyle name="20% - Énfasis4 9 8 2" xfId="6642" xr:uid="{00000000-0005-0000-0000-000029070000}"/>
    <cellStyle name="20% - Énfasis4 9 9" xfId="4840" xr:uid="{00000000-0005-0000-0000-00002A070000}"/>
    <cellStyle name="20% - Énfasis4 9 9 2" xfId="6684" xr:uid="{00000000-0005-0000-0000-00002B070000}"/>
    <cellStyle name="20% - Énfasis5" xfId="21" builtinId="46" customBuiltin="1"/>
    <cellStyle name="20% - Énfasis5 10" xfId="916" xr:uid="{00000000-0005-0000-0000-00002D070000}"/>
    <cellStyle name="20% - Énfasis5 10 10" xfId="4948" xr:uid="{00000000-0005-0000-0000-00002E070000}"/>
    <cellStyle name="20% - Énfasis5 10 11" xfId="6727" xr:uid="{00000000-0005-0000-0000-00002F070000}"/>
    <cellStyle name="20% - Énfasis5 10 12" xfId="17918" xr:uid="{00000000-0005-0000-0000-000030070000}"/>
    <cellStyle name="20% - Énfasis5 10 13" xfId="22868" xr:uid="{00000000-0005-0000-0000-000031070000}"/>
    <cellStyle name="20% - Énfasis5 10 14" xfId="23263" xr:uid="{00000000-0005-0000-0000-000032070000}"/>
    <cellStyle name="20% - Énfasis5 10 15" xfId="24597" xr:uid="{00000000-0005-0000-0000-000033070000}"/>
    <cellStyle name="20% - Énfasis5 10 16" xfId="25101" xr:uid="{00000000-0005-0000-0000-000034070000}"/>
    <cellStyle name="20% - Énfasis5 10 17" xfId="25605" xr:uid="{00000000-0005-0000-0000-000035070000}"/>
    <cellStyle name="20% - Énfasis5 10 18" xfId="26109" xr:uid="{00000000-0005-0000-0000-000036070000}"/>
    <cellStyle name="20% - Énfasis5 10 19" xfId="26613" xr:uid="{00000000-0005-0000-0000-000037070000}"/>
    <cellStyle name="20% - Énfasis5 10 2" xfId="1445" xr:uid="{00000000-0005-0000-0000-000038070000}"/>
    <cellStyle name="20% - Énfasis5 10 2 10" xfId="26110" xr:uid="{00000000-0005-0000-0000-000039070000}"/>
    <cellStyle name="20% - Énfasis5 10 2 11" xfId="26614" xr:uid="{00000000-0005-0000-0000-00003A070000}"/>
    <cellStyle name="20% - Énfasis5 10 2 12" xfId="27118" xr:uid="{00000000-0005-0000-0000-00003B070000}"/>
    <cellStyle name="20% - Énfasis5 10 2 13" xfId="27622" xr:uid="{00000000-0005-0000-0000-00003C070000}"/>
    <cellStyle name="20% - Énfasis5 10 2 14" xfId="28126" xr:uid="{00000000-0005-0000-0000-00003D070000}"/>
    <cellStyle name="20% - Énfasis5 10 2 15" xfId="28630" xr:uid="{00000000-0005-0000-0000-00003E070000}"/>
    <cellStyle name="20% - Énfasis5 10 2 16" xfId="29134" xr:uid="{00000000-0005-0000-0000-00003F070000}"/>
    <cellStyle name="20% - Énfasis5 10 2 17" xfId="29638" xr:uid="{00000000-0005-0000-0000-000040070000}"/>
    <cellStyle name="20% - Énfasis5 10 2 18" xfId="30142" xr:uid="{00000000-0005-0000-0000-000041070000}"/>
    <cellStyle name="20% - Énfasis5 10 2 19" xfId="30647" xr:uid="{00000000-0005-0000-0000-000042070000}"/>
    <cellStyle name="20% - Énfasis5 10 2 2" xfId="1566" xr:uid="{00000000-0005-0000-0000-000043070000}"/>
    <cellStyle name="20% - Énfasis5 10 2 2 2" xfId="2993" xr:uid="{00000000-0005-0000-0000-000044070000}"/>
    <cellStyle name="20% - Énfasis5 10 2 2 2 2" xfId="4612" xr:uid="{00000000-0005-0000-0000-000045070000}"/>
    <cellStyle name="20% - Énfasis5 10 2 2 2 2 2" xfId="6479" xr:uid="{00000000-0005-0000-0000-000046070000}"/>
    <cellStyle name="20% - Énfasis5 10 2 2 2 3" xfId="5577" xr:uid="{00000000-0005-0000-0000-000047070000}"/>
    <cellStyle name="20% - Énfasis5 10 2 2 3" xfId="4085" xr:uid="{00000000-0005-0000-0000-000048070000}"/>
    <cellStyle name="20% - Énfasis5 10 2 2 3 2" xfId="6033" xr:uid="{00000000-0005-0000-0000-000049070000}"/>
    <cellStyle name="20% - Énfasis5 10 2 2 4" xfId="5119" xr:uid="{00000000-0005-0000-0000-00004A070000}"/>
    <cellStyle name="20% - Énfasis5 10 2 3" xfId="2879" xr:uid="{00000000-0005-0000-0000-00004B070000}"/>
    <cellStyle name="20% - Énfasis5 10 2 3 2" xfId="4498" xr:uid="{00000000-0005-0000-0000-00004C070000}"/>
    <cellStyle name="20% - Énfasis5 10 2 3 2 2" xfId="6365" xr:uid="{00000000-0005-0000-0000-00004D070000}"/>
    <cellStyle name="20% - Énfasis5 10 2 3 3" xfId="5463" xr:uid="{00000000-0005-0000-0000-00004E070000}"/>
    <cellStyle name="20% - Énfasis5 10 2 4" xfId="3966" xr:uid="{00000000-0005-0000-0000-00004F070000}"/>
    <cellStyle name="20% - Énfasis5 10 2 4 2" xfId="5920" xr:uid="{00000000-0005-0000-0000-000050070000}"/>
    <cellStyle name="20% - Énfasis5 10 2 5" xfId="5005" xr:uid="{00000000-0005-0000-0000-000051070000}"/>
    <cellStyle name="20% - Énfasis5 10 2 6" xfId="23264" xr:uid="{00000000-0005-0000-0000-000052070000}"/>
    <cellStyle name="20% - Énfasis5 10 2 7" xfId="24598" xr:uid="{00000000-0005-0000-0000-000053070000}"/>
    <cellStyle name="20% - Énfasis5 10 2 8" xfId="25102" xr:uid="{00000000-0005-0000-0000-000054070000}"/>
    <cellStyle name="20% - Énfasis5 10 2 9" xfId="25606" xr:uid="{00000000-0005-0000-0000-000055070000}"/>
    <cellStyle name="20% - Énfasis5 10 20" xfId="27117" xr:uid="{00000000-0005-0000-0000-000056070000}"/>
    <cellStyle name="20% - Énfasis5 10 21" xfId="27621" xr:uid="{00000000-0005-0000-0000-000057070000}"/>
    <cellStyle name="20% - Énfasis5 10 22" xfId="28125" xr:uid="{00000000-0005-0000-0000-000058070000}"/>
    <cellStyle name="20% - Énfasis5 10 23" xfId="28629" xr:uid="{00000000-0005-0000-0000-000059070000}"/>
    <cellStyle name="20% - Énfasis5 10 24" xfId="29133" xr:uid="{00000000-0005-0000-0000-00005A070000}"/>
    <cellStyle name="20% - Énfasis5 10 25" xfId="29637" xr:uid="{00000000-0005-0000-0000-00005B070000}"/>
    <cellStyle name="20% - Énfasis5 10 26" xfId="30141" xr:uid="{00000000-0005-0000-0000-00005C070000}"/>
    <cellStyle name="20% - Énfasis5 10 27" xfId="30646" xr:uid="{00000000-0005-0000-0000-00005D070000}"/>
    <cellStyle name="20% - Énfasis5 10 3" xfId="1483" xr:uid="{00000000-0005-0000-0000-00005E070000}"/>
    <cellStyle name="20% - Énfasis5 10 3 2" xfId="1567" xr:uid="{00000000-0005-0000-0000-00005F070000}"/>
    <cellStyle name="20% - Énfasis5 10 3 2 2" xfId="2994" xr:uid="{00000000-0005-0000-0000-000060070000}"/>
    <cellStyle name="20% - Énfasis5 10 3 2 2 2" xfId="4613" xr:uid="{00000000-0005-0000-0000-000061070000}"/>
    <cellStyle name="20% - Énfasis5 10 3 2 2 2 2" xfId="6480" xr:uid="{00000000-0005-0000-0000-000062070000}"/>
    <cellStyle name="20% - Énfasis5 10 3 2 2 3" xfId="5578" xr:uid="{00000000-0005-0000-0000-000063070000}"/>
    <cellStyle name="20% - Énfasis5 10 3 2 3" xfId="4086" xr:uid="{00000000-0005-0000-0000-000064070000}"/>
    <cellStyle name="20% - Énfasis5 10 3 2 3 2" xfId="6034" xr:uid="{00000000-0005-0000-0000-000065070000}"/>
    <cellStyle name="20% - Énfasis5 10 3 2 4" xfId="5120" xr:uid="{00000000-0005-0000-0000-000066070000}"/>
    <cellStyle name="20% - Énfasis5 10 3 3" xfId="2917" xr:uid="{00000000-0005-0000-0000-000067070000}"/>
    <cellStyle name="20% - Énfasis5 10 3 3 2" xfId="4536" xr:uid="{00000000-0005-0000-0000-000068070000}"/>
    <cellStyle name="20% - Énfasis5 10 3 3 2 2" xfId="6403" xr:uid="{00000000-0005-0000-0000-000069070000}"/>
    <cellStyle name="20% - Énfasis5 10 3 3 3" xfId="5501" xr:uid="{00000000-0005-0000-0000-00006A070000}"/>
    <cellStyle name="20% - Énfasis5 10 3 4" xfId="4004" xr:uid="{00000000-0005-0000-0000-00006B070000}"/>
    <cellStyle name="20% - Énfasis5 10 3 4 2" xfId="5958" xr:uid="{00000000-0005-0000-0000-00006C070000}"/>
    <cellStyle name="20% - Énfasis5 10 3 5" xfId="5043" xr:uid="{00000000-0005-0000-0000-00006D070000}"/>
    <cellStyle name="20% - Énfasis5 10 4" xfId="1568" xr:uid="{00000000-0005-0000-0000-00006E070000}"/>
    <cellStyle name="20% - Énfasis5 10 4 2" xfId="2995" xr:uid="{00000000-0005-0000-0000-00006F070000}"/>
    <cellStyle name="20% - Énfasis5 10 4 2 2" xfId="4614" xr:uid="{00000000-0005-0000-0000-000070070000}"/>
    <cellStyle name="20% - Énfasis5 10 4 2 2 2" xfId="6481" xr:uid="{00000000-0005-0000-0000-000071070000}"/>
    <cellStyle name="20% - Énfasis5 10 4 2 3" xfId="5579" xr:uid="{00000000-0005-0000-0000-000072070000}"/>
    <cellStyle name="20% - Énfasis5 10 4 3" xfId="4087" xr:uid="{00000000-0005-0000-0000-000073070000}"/>
    <cellStyle name="20% - Énfasis5 10 4 3 2" xfId="6035" xr:uid="{00000000-0005-0000-0000-000074070000}"/>
    <cellStyle name="20% - Énfasis5 10 4 4" xfId="5121" xr:uid="{00000000-0005-0000-0000-000075070000}"/>
    <cellStyle name="20% - Énfasis5 10 5" xfId="1569" xr:uid="{00000000-0005-0000-0000-000076070000}"/>
    <cellStyle name="20% - Énfasis5 10 5 2" xfId="2996" xr:uid="{00000000-0005-0000-0000-000077070000}"/>
    <cellStyle name="20% - Énfasis5 10 5 2 2" xfId="4615" xr:uid="{00000000-0005-0000-0000-000078070000}"/>
    <cellStyle name="20% - Énfasis5 10 5 2 2 2" xfId="6482" xr:uid="{00000000-0005-0000-0000-000079070000}"/>
    <cellStyle name="20% - Énfasis5 10 5 2 3" xfId="5580" xr:uid="{00000000-0005-0000-0000-00007A070000}"/>
    <cellStyle name="20% - Énfasis5 10 5 3" xfId="4088" xr:uid="{00000000-0005-0000-0000-00007B070000}"/>
    <cellStyle name="20% - Énfasis5 10 5 3 2" xfId="6036" xr:uid="{00000000-0005-0000-0000-00007C070000}"/>
    <cellStyle name="20% - Énfasis5 10 5 4" xfId="5122" xr:uid="{00000000-0005-0000-0000-00007D070000}"/>
    <cellStyle name="20% - Énfasis5 10 6" xfId="2820" xr:uid="{00000000-0005-0000-0000-00007E070000}"/>
    <cellStyle name="20% - Énfasis5 10 6 2" xfId="4440" xr:uid="{00000000-0005-0000-0000-00007F070000}"/>
    <cellStyle name="20% - Énfasis5 10 6 2 2" xfId="6308" xr:uid="{00000000-0005-0000-0000-000080070000}"/>
    <cellStyle name="20% - Énfasis5 10 6 3" xfId="5406" xr:uid="{00000000-0005-0000-0000-000081070000}"/>
    <cellStyle name="20% - Énfasis5 10 7" xfId="3765" xr:uid="{00000000-0005-0000-0000-000082070000}"/>
    <cellStyle name="20% - Énfasis5 10 7 2" xfId="5864" xr:uid="{00000000-0005-0000-0000-000083070000}"/>
    <cellStyle name="20% - Énfasis5 10 8" xfId="4799" xr:uid="{00000000-0005-0000-0000-000084070000}"/>
    <cellStyle name="20% - Énfasis5 10 8 2" xfId="6644" xr:uid="{00000000-0005-0000-0000-000085070000}"/>
    <cellStyle name="20% - Énfasis5 10 9" xfId="4842" xr:uid="{00000000-0005-0000-0000-000086070000}"/>
    <cellStyle name="20% - Énfasis5 10 9 2" xfId="6686" xr:uid="{00000000-0005-0000-0000-000087070000}"/>
    <cellStyle name="20% - Énfasis5 11" xfId="917" xr:uid="{00000000-0005-0000-0000-000088070000}"/>
    <cellStyle name="20% - Énfasis5 11 2" xfId="918" xr:uid="{00000000-0005-0000-0000-000089070000}"/>
    <cellStyle name="20% - Énfasis5 12" xfId="915" xr:uid="{00000000-0005-0000-0000-00008A070000}"/>
    <cellStyle name="20% - Énfasis5 12 10" xfId="25607" xr:uid="{00000000-0005-0000-0000-00008B070000}"/>
    <cellStyle name="20% - Énfasis5 12 11" xfId="26111" xr:uid="{00000000-0005-0000-0000-00008C070000}"/>
    <cellStyle name="20% - Énfasis5 12 12" xfId="26615" xr:uid="{00000000-0005-0000-0000-00008D070000}"/>
    <cellStyle name="20% - Énfasis5 12 13" xfId="27119" xr:uid="{00000000-0005-0000-0000-00008E070000}"/>
    <cellStyle name="20% - Énfasis5 12 14" xfId="27623" xr:uid="{00000000-0005-0000-0000-00008F070000}"/>
    <cellStyle name="20% - Énfasis5 12 15" xfId="28127" xr:uid="{00000000-0005-0000-0000-000090070000}"/>
    <cellStyle name="20% - Énfasis5 12 16" xfId="28631" xr:uid="{00000000-0005-0000-0000-000091070000}"/>
    <cellStyle name="20% - Énfasis5 12 17" xfId="29135" xr:uid="{00000000-0005-0000-0000-000092070000}"/>
    <cellStyle name="20% - Énfasis5 12 18" xfId="29639" xr:uid="{00000000-0005-0000-0000-000093070000}"/>
    <cellStyle name="20% - Énfasis5 12 19" xfId="30143" xr:uid="{00000000-0005-0000-0000-000094070000}"/>
    <cellStyle name="20% - Énfasis5 12 2" xfId="1444" xr:uid="{00000000-0005-0000-0000-000095070000}"/>
    <cellStyle name="20% - Énfasis5 12 2 10" xfId="26112" xr:uid="{00000000-0005-0000-0000-000096070000}"/>
    <cellStyle name="20% - Énfasis5 12 2 11" xfId="26616" xr:uid="{00000000-0005-0000-0000-000097070000}"/>
    <cellStyle name="20% - Énfasis5 12 2 12" xfId="27120" xr:uid="{00000000-0005-0000-0000-000098070000}"/>
    <cellStyle name="20% - Énfasis5 12 2 13" xfId="27624" xr:uid="{00000000-0005-0000-0000-000099070000}"/>
    <cellStyle name="20% - Énfasis5 12 2 14" xfId="28128" xr:uid="{00000000-0005-0000-0000-00009A070000}"/>
    <cellStyle name="20% - Énfasis5 12 2 15" xfId="28632" xr:uid="{00000000-0005-0000-0000-00009B070000}"/>
    <cellStyle name="20% - Énfasis5 12 2 16" xfId="29136" xr:uid="{00000000-0005-0000-0000-00009C070000}"/>
    <cellStyle name="20% - Énfasis5 12 2 17" xfId="29640" xr:uid="{00000000-0005-0000-0000-00009D070000}"/>
    <cellStyle name="20% - Énfasis5 12 2 18" xfId="30144" xr:uid="{00000000-0005-0000-0000-00009E070000}"/>
    <cellStyle name="20% - Énfasis5 12 2 19" xfId="30649" xr:uid="{00000000-0005-0000-0000-00009F070000}"/>
    <cellStyle name="20% - Énfasis5 12 2 2" xfId="1570" xr:uid="{00000000-0005-0000-0000-0000A0070000}"/>
    <cellStyle name="20% - Énfasis5 12 2 2 2" xfId="2997" xr:uid="{00000000-0005-0000-0000-0000A1070000}"/>
    <cellStyle name="20% - Énfasis5 12 2 2 2 2" xfId="4616" xr:uid="{00000000-0005-0000-0000-0000A2070000}"/>
    <cellStyle name="20% - Énfasis5 12 2 2 2 2 2" xfId="6483" xr:uid="{00000000-0005-0000-0000-0000A3070000}"/>
    <cellStyle name="20% - Énfasis5 12 2 2 2 3" xfId="5581" xr:uid="{00000000-0005-0000-0000-0000A4070000}"/>
    <cellStyle name="20% - Énfasis5 12 2 2 3" xfId="4089" xr:uid="{00000000-0005-0000-0000-0000A5070000}"/>
    <cellStyle name="20% - Énfasis5 12 2 2 3 2" xfId="6037" xr:uid="{00000000-0005-0000-0000-0000A6070000}"/>
    <cellStyle name="20% - Énfasis5 12 2 2 4" xfId="5123" xr:uid="{00000000-0005-0000-0000-0000A7070000}"/>
    <cellStyle name="20% - Énfasis5 12 2 3" xfId="2878" xr:uid="{00000000-0005-0000-0000-0000A8070000}"/>
    <cellStyle name="20% - Énfasis5 12 2 3 2" xfId="4497" xr:uid="{00000000-0005-0000-0000-0000A9070000}"/>
    <cellStyle name="20% - Énfasis5 12 2 3 2 2" xfId="6364" xr:uid="{00000000-0005-0000-0000-0000AA070000}"/>
    <cellStyle name="20% - Énfasis5 12 2 3 3" xfId="5462" xr:uid="{00000000-0005-0000-0000-0000AB070000}"/>
    <cellStyle name="20% - Énfasis5 12 2 4" xfId="3965" xr:uid="{00000000-0005-0000-0000-0000AC070000}"/>
    <cellStyle name="20% - Énfasis5 12 2 4 2" xfId="5919" xr:uid="{00000000-0005-0000-0000-0000AD070000}"/>
    <cellStyle name="20% - Énfasis5 12 2 5" xfId="5004" xr:uid="{00000000-0005-0000-0000-0000AE070000}"/>
    <cellStyle name="20% - Énfasis5 12 2 6" xfId="23266" xr:uid="{00000000-0005-0000-0000-0000AF070000}"/>
    <cellStyle name="20% - Énfasis5 12 2 7" xfId="24600" xr:uid="{00000000-0005-0000-0000-0000B0070000}"/>
    <cellStyle name="20% - Énfasis5 12 2 8" xfId="25104" xr:uid="{00000000-0005-0000-0000-0000B1070000}"/>
    <cellStyle name="20% - Énfasis5 12 2 9" xfId="25608" xr:uid="{00000000-0005-0000-0000-0000B2070000}"/>
    <cellStyle name="20% - Énfasis5 12 20" xfId="30648" xr:uid="{00000000-0005-0000-0000-0000B3070000}"/>
    <cellStyle name="20% - Énfasis5 12 3" xfId="1571" xr:uid="{00000000-0005-0000-0000-0000B4070000}"/>
    <cellStyle name="20% - Énfasis5 12 3 2" xfId="2998" xr:uid="{00000000-0005-0000-0000-0000B5070000}"/>
    <cellStyle name="20% - Énfasis5 12 3 2 2" xfId="4617" xr:uid="{00000000-0005-0000-0000-0000B6070000}"/>
    <cellStyle name="20% - Énfasis5 12 3 2 2 2" xfId="6484" xr:uid="{00000000-0005-0000-0000-0000B7070000}"/>
    <cellStyle name="20% - Énfasis5 12 3 2 3" xfId="5582" xr:uid="{00000000-0005-0000-0000-0000B8070000}"/>
    <cellStyle name="20% - Énfasis5 12 3 3" xfId="4090" xr:uid="{00000000-0005-0000-0000-0000B9070000}"/>
    <cellStyle name="20% - Énfasis5 12 3 3 2" xfId="6038" xr:uid="{00000000-0005-0000-0000-0000BA070000}"/>
    <cellStyle name="20% - Énfasis5 12 3 4" xfId="5124" xr:uid="{00000000-0005-0000-0000-0000BB070000}"/>
    <cellStyle name="20% - Énfasis5 12 4" xfId="2819" xr:uid="{00000000-0005-0000-0000-0000BC070000}"/>
    <cellStyle name="20% - Énfasis5 12 4 2" xfId="4439" xr:uid="{00000000-0005-0000-0000-0000BD070000}"/>
    <cellStyle name="20% - Énfasis5 12 4 2 2" xfId="6307" xr:uid="{00000000-0005-0000-0000-0000BE070000}"/>
    <cellStyle name="20% - Énfasis5 12 4 3" xfId="5405" xr:uid="{00000000-0005-0000-0000-0000BF070000}"/>
    <cellStyle name="20% - Énfasis5 12 5" xfId="3764" xr:uid="{00000000-0005-0000-0000-0000C0070000}"/>
    <cellStyle name="20% - Énfasis5 12 5 2" xfId="5863" xr:uid="{00000000-0005-0000-0000-0000C1070000}"/>
    <cellStyle name="20% - Énfasis5 12 6" xfId="4947" xr:uid="{00000000-0005-0000-0000-0000C2070000}"/>
    <cellStyle name="20% - Énfasis5 12 7" xfId="23265" xr:uid="{00000000-0005-0000-0000-0000C3070000}"/>
    <cellStyle name="20% - Énfasis5 12 8" xfId="24599" xr:uid="{00000000-0005-0000-0000-0000C4070000}"/>
    <cellStyle name="20% - Énfasis5 12 9" xfId="25103" xr:uid="{00000000-0005-0000-0000-0000C5070000}"/>
    <cellStyle name="20% - Énfasis5 13" xfId="1376" xr:uid="{00000000-0005-0000-0000-0000C6070000}"/>
    <cellStyle name="20% - Énfasis5 14" xfId="1484" xr:uid="{00000000-0005-0000-0000-0000C7070000}"/>
    <cellStyle name="20% - Énfasis5 14 2" xfId="1572" xr:uid="{00000000-0005-0000-0000-0000C8070000}"/>
    <cellStyle name="20% - Énfasis5 14 2 2" xfId="2999" xr:uid="{00000000-0005-0000-0000-0000C9070000}"/>
    <cellStyle name="20% - Énfasis5 14 2 2 2" xfId="4618" xr:uid="{00000000-0005-0000-0000-0000CA070000}"/>
    <cellStyle name="20% - Énfasis5 14 2 2 2 2" xfId="6485" xr:uid="{00000000-0005-0000-0000-0000CB070000}"/>
    <cellStyle name="20% - Énfasis5 14 2 2 3" xfId="5583" xr:uid="{00000000-0005-0000-0000-0000CC070000}"/>
    <cellStyle name="20% - Énfasis5 14 2 3" xfId="4091" xr:uid="{00000000-0005-0000-0000-0000CD070000}"/>
    <cellStyle name="20% - Énfasis5 14 2 3 2" xfId="6039" xr:uid="{00000000-0005-0000-0000-0000CE070000}"/>
    <cellStyle name="20% - Énfasis5 14 2 4" xfId="5125" xr:uid="{00000000-0005-0000-0000-0000CF070000}"/>
    <cellStyle name="20% - Énfasis5 14 3" xfId="2918" xr:uid="{00000000-0005-0000-0000-0000D0070000}"/>
    <cellStyle name="20% - Énfasis5 14 3 2" xfId="4537" xr:uid="{00000000-0005-0000-0000-0000D1070000}"/>
    <cellStyle name="20% - Énfasis5 14 3 2 2" xfId="6404" xr:uid="{00000000-0005-0000-0000-0000D2070000}"/>
    <cellStyle name="20% - Énfasis5 14 3 3" xfId="5502" xr:uid="{00000000-0005-0000-0000-0000D3070000}"/>
    <cellStyle name="20% - Énfasis5 14 4" xfId="4005" xr:uid="{00000000-0005-0000-0000-0000D4070000}"/>
    <cellStyle name="20% - Énfasis5 14 4 2" xfId="5959" xr:uid="{00000000-0005-0000-0000-0000D5070000}"/>
    <cellStyle name="20% - Énfasis5 14 5" xfId="5044" xr:uid="{00000000-0005-0000-0000-0000D6070000}"/>
    <cellStyle name="20% - Énfasis5 15" xfId="1573" xr:uid="{00000000-0005-0000-0000-0000D7070000}"/>
    <cellStyle name="20% - Énfasis5 15 2" xfId="3000" xr:uid="{00000000-0005-0000-0000-0000D8070000}"/>
    <cellStyle name="20% - Énfasis5 15 2 2" xfId="4619" xr:uid="{00000000-0005-0000-0000-0000D9070000}"/>
    <cellStyle name="20% - Énfasis5 15 2 2 2" xfId="6486" xr:uid="{00000000-0005-0000-0000-0000DA070000}"/>
    <cellStyle name="20% - Énfasis5 15 2 3" xfId="5584" xr:uid="{00000000-0005-0000-0000-0000DB070000}"/>
    <cellStyle name="20% - Énfasis5 15 3" xfId="4092" xr:uid="{00000000-0005-0000-0000-0000DC070000}"/>
    <cellStyle name="20% - Énfasis5 15 3 2" xfId="6040" xr:uid="{00000000-0005-0000-0000-0000DD070000}"/>
    <cellStyle name="20% - Énfasis5 15 4" xfId="5126" xr:uid="{00000000-0005-0000-0000-0000DE070000}"/>
    <cellStyle name="20% - Énfasis5 16" xfId="2721" xr:uid="{00000000-0005-0000-0000-0000DF070000}"/>
    <cellStyle name="20% - Énfasis5 16 2" xfId="4400" xr:uid="{00000000-0005-0000-0000-0000E0070000}"/>
    <cellStyle name="20% - Énfasis5 16 2 2" xfId="6270" xr:uid="{00000000-0005-0000-0000-0000E1070000}"/>
    <cellStyle name="20% - Énfasis5 16 3" xfId="5368" xr:uid="{00000000-0005-0000-0000-0000E2070000}"/>
    <cellStyle name="20% - Énfasis5 17" xfId="3176" xr:uid="{00000000-0005-0000-0000-0000E3070000}"/>
    <cellStyle name="20% - Énfasis5 17 2" xfId="5741" xr:uid="{00000000-0005-0000-0000-0000E4070000}"/>
    <cellStyle name="20% - Énfasis5 18" xfId="4798" xr:uid="{00000000-0005-0000-0000-0000E5070000}"/>
    <cellStyle name="20% - Énfasis5 18 2" xfId="6643" xr:uid="{00000000-0005-0000-0000-0000E6070000}"/>
    <cellStyle name="20% - Énfasis5 19" xfId="4841" xr:uid="{00000000-0005-0000-0000-0000E7070000}"/>
    <cellStyle name="20% - Énfasis5 19 2" xfId="6685" xr:uid="{00000000-0005-0000-0000-0000E8070000}"/>
    <cellStyle name="20% - Énfasis5 2" xfId="22" xr:uid="{00000000-0005-0000-0000-0000E9070000}"/>
    <cellStyle name="20% - Énfasis5 2 2" xfId="919" xr:uid="{00000000-0005-0000-0000-0000EA070000}"/>
    <cellStyle name="20% - Énfasis5 2 2 2" xfId="3177" xr:uid="{00000000-0005-0000-0000-0000EB070000}"/>
    <cellStyle name="20% - Énfasis5 2 2 2 2" xfId="7436" xr:uid="{00000000-0005-0000-0000-0000EC070000}"/>
    <cellStyle name="20% - Énfasis5 2 2 2 3" xfId="7435" xr:uid="{00000000-0005-0000-0000-0000ED070000}"/>
    <cellStyle name="20% - Énfasis5 2 2 3" xfId="7437" xr:uid="{00000000-0005-0000-0000-0000EE070000}"/>
    <cellStyle name="20% - Énfasis5 2 2 4" xfId="7438" xr:uid="{00000000-0005-0000-0000-0000EF070000}"/>
    <cellStyle name="20% - Énfasis5 2 2 5" xfId="7434" xr:uid="{00000000-0005-0000-0000-0000F0070000}"/>
    <cellStyle name="20% - Énfasis5 2 3" xfId="1767" xr:uid="{00000000-0005-0000-0000-0000F1070000}"/>
    <cellStyle name="20% - Énfasis5 2 4" xfId="7439" xr:uid="{00000000-0005-0000-0000-0000F2070000}"/>
    <cellStyle name="20% - Énfasis5 2 4 2" xfId="22869" xr:uid="{00000000-0005-0000-0000-0000F3070000}"/>
    <cellStyle name="20% - Énfasis5 2 5" xfId="31209" xr:uid="{8436C055-411C-41FB-BF4D-9D0BD117BA1A}"/>
    <cellStyle name="20% - Énfasis5 20" xfId="4879" xr:uid="{00000000-0005-0000-0000-0000F4070000}"/>
    <cellStyle name="20% - Énfasis5 21" xfId="6726" xr:uid="{00000000-0005-0000-0000-0000F5070000}"/>
    <cellStyle name="20% - Énfasis5 22" xfId="6783" xr:uid="{00000000-0005-0000-0000-0000F6070000}"/>
    <cellStyle name="20% - Énfasis5 23" xfId="7100" xr:uid="{00000000-0005-0000-0000-0000F7070000}"/>
    <cellStyle name="20% - Énfasis5 24" xfId="22867" xr:uid="{00000000-0005-0000-0000-0000F8070000}"/>
    <cellStyle name="20% - Énfasis5 25" xfId="23163" xr:uid="{00000000-0005-0000-0000-0000F9070000}"/>
    <cellStyle name="20% - Énfasis5 26" xfId="24553" xr:uid="{00000000-0005-0000-0000-0000FA070000}"/>
    <cellStyle name="20% - Énfasis5 27" xfId="25057" xr:uid="{00000000-0005-0000-0000-0000FB070000}"/>
    <cellStyle name="20% - Énfasis5 28" xfId="25561" xr:uid="{00000000-0005-0000-0000-0000FC070000}"/>
    <cellStyle name="20% - Énfasis5 29" xfId="26065" xr:uid="{00000000-0005-0000-0000-0000FD070000}"/>
    <cellStyle name="20% - Énfasis5 3" xfId="920" xr:uid="{00000000-0005-0000-0000-0000FE070000}"/>
    <cellStyle name="20% - Énfasis5 3 2" xfId="921" xr:uid="{00000000-0005-0000-0000-0000FF070000}"/>
    <cellStyle name="20% - Énfasis5 3 2 2" xfId="23267" xr:uid="{00000000-0005-0000-0000-000000080000}"/>
    <cellStyle name="20% - Énfasis5 3 2 2 2" xfId="23268" xr:uid="{00000000-0005-0000-0000-000001080000}"/>
    <cellStyle name="20% - Énfasis5 3 2 3" xfId="23269" xr:uid="{00000000-0005-0000-0000-000002080000}"/>
    <cellStyle name="20% - Énfasis5 3 3" xfId="1768" xr:uid="{00000000-0005-0000-0000-000003080000}"/>
    <cellStyle name="20% - Énfasis5 3 3 2" xfId="23270" xr:uid="{00000000-0005-0000-0000-000004080000}"/>
    <cellStyle name="20% - Énfasis5 3 4" xfId="7440" xr:uid="{00000000-0005-0000-0000-000005080000}"/>
    <cellStyle name="20% - Énfasis5 30" xfId="26569" xr:uid="{00000000-0005-0000-0000-000006080000}"/>
    <cellStyle name="20% - Énfasis5 31" xfId="27073" xr:uid="{00000000-0005-0000-0000-000007080000}"/>
    <cellStyle name="20% - Énfasis5 32" xfId="27577" xr:uid="{00000000-0005-0000-0000-000008080000}"/>
    <cellStyle name="20% - Énfasis5 33" xfId="28081" xr:uid="{00000000-0005-0000-0000-000009080000}"/>
    <cellStyle name="20% - Énfasis5 34" xfId="28585" xr:uid="{00000000-0005-0000-0000-00000A080000}"/>
    <cellStyle name="20% - Énfasis5 35" xfId="29089" xr:uid="{00000000-0005-0000-0000-00000B080000}"/>
    <cellStyle name="20% - Énfasis5 36" xfId="29593" xr:uid="{00000000-0005-0000-0000-00000C080000}"/>
    <cellStyle name="20% - Énfasis5 37" xfId="30097" xr:uid="{00000000-0005-0000-0000-00000D080000}"/>
    <cellStyle name="20% - Énfasis5 38" xfId="30602" xr:uid="{00000000-0005-0000-0000-00000E080000}"/>
    <cellStyle name="20% - Énfasis5 39" xfId="31122" xr:uid="{7CD728EB-6C04-4017-B307-00926524DC9A}"/>
    <cellStyle name="20% - Énfasis5 4" xfId="922" xr:uid="{00000000-0005-0000-0000-00000F080000}"/>
    <cellStyle name="20% - Énfasis5 4 2" xfId="923" xr:uid="{00000000-0005-0000-0000-000010080000}"/>
    <cellStyle name="20% - Énfasis5 4 3" xfId="7442" xr:uid="{00000000-0005-0000-0000-000011080000}"/>
    <cellStyle name="20% - Énfasis5 4 3 2" xfId="17920" xr:uid="{00000000-0005-0000-0000-000012080000}"/>
    <cellStyle name="20% - Énfasis5 4 4" xfId="7443" xr:uid="{00000000-0005-0000-0000-000013080000}"/>
    <cellStyle name="20% - Énfasis5 4 5" xfId="7441" xr:uid="{00000000-0005-0000-0000-000014080000}"/>
    <cellStyle name="20% - Énfasis5 4 6" xfId="17919" xr:uid="{00000000-0005-0000-0000-000015080000}"/>
    <cellStyle name="20% - Énfasis5 5" xfId="924" xr:uid="{00000000-0005-0000-0000-000016080000}"/>
    <cellStyle name="20% - Énfasis5 5 2" xfId="925" xr:uid="{00000000-0005-0000-0000-000017080000}"/>
    <cellStyle name="20% - Énfasis5 6" xfId="926" xr:uid="{00000000-0005-0000-0000-000018080000}"/>
    <cellStyle name="20% - Énfasis5 6 10" xfId="24601" xr:uid="{00000000-0005-0000-0000-000019080000}"/>
    <cellStyle name="20% - Énfasis5 6 11" xfId="25105" xr:uid="{00000000-0005-0000-0000-00001A080000}"/>
    <cellStyle name="20% - Énfasis5 6 12" xfId="25609" xr:uid="{00000000-0005-0000-0000-00001B080000}"/>
    <cellStyle name="20% - Énfasis5 6 13" xfId="26113" xr:uid="{00000000-0005-0000-0000-00001C080000}"/>
    <cellStyle name="20% - Énfasis5 6 14" xfId="26617" xr:uid="{00000000-0005-0000-0000-00001D080000}"/>
    <cellStyle name="20% - Énfasis5 6 15" xfId="27121" xr:uid="{00000000-0005-0000-0000-00001E080000}"/>
    <cellStyle name="20% - Énfasis5 6 16" xfId="27625" xr:uid="{00000000-0005-0000-0000-00001F080000}"/>
    <cellStyle name="20% - Énfasis5 6 17" xfId="28129" xr:uid="{00000000-0005-0000-0000-000020080000}"/>
    <cellStyle name="20% - Énfasis5 6 18" xfId="28633" xr:uid="{00000000-0005-0000-0000-000021080000}"/>
    <cellStyle name="20% - Énfasis5 6 19" xfId="29137" xr:uid="{00000000-0005-0000-0000-000022080000}"/>
    <cellStyle name="20% - Énfasis5 6 2" xfId="927" xr:uid="{00000000-0005-0000-0000-000023080000}"/>
    <cellStyle name="20% - Énfasis5 6 2 2" xfId="7444" xr:uid="{00000000-0005-0000-0000-000024080000}"/>
    <cellStyle name="20% - Énfasis5 6 20" xfId="29641" xr:uid="{00000000-0005-0000-0000-000025080000}"/>
    <cellStyle name="20% - Énfasis5 6 21" xfId="30145" xr:uid="{00000000-0005-0000-0000-000026080000}"/>
    <cellStyle name="20% - Énfasis5 6 22" xfId="30650" xr:uid="{00000000-0005-0000-0000-000027080000}"/>
    <cellStyle name="20% - Énfasis5 6 3" xfId="1769" xr:uid="{00000000-0005-0000-0000-000028080000}"/>
    <cellStyle name="20% - Énfasis5 6 3 2" xfId="4241" xr:uid="{00000000-0005-0000-0000-000029080000}"/>
    <cellStyle name="20% - Énfasis5 6 3 2 2" xfId="6185" xr:uid="{00000000-0005-0000-0000-00002A080000}"/>
    <cellStyle name="20% - Énfasis5 6 3 3" xfId="5275" xr:uid="{00000000-0005-0000-0000-00002B080000}"/>
    <cellStyle name="20% - Énfasis5 6 3 4" xfId="17921" xr:uid="{00000000-0005-0000-0000-00002C080000}"/>
    <cellStyle name="20% - Énfasis5 6 3 5" xfId="23272" xr:uid="{00000000-0005-0000-0000-00002D080000}"/>
    <cellStyle name="20% - Énfasis5 6 4" xfId="2675" xr:uid="{00000000-0005-0000-0000-00002E080000}"/>
    <cellStyle name="20% - Énfasis5 6 4 2" xfId="4356" xr:uid="{00000000-0005-0000-0000-00002F080000}"/>
    <cellStyle name="20% - Énfasis5 6 4 2 2" xfId="6226" xr:uid="{00000000-0005-0000-0000-000030080000}"/>
    <cellStyle name="20% - Énfasis5 6 4 3" xfId="5323" xr:uid="{00000000-0005-0000-0000-000031080000}"/>
    <cellStyle name="20% - Énfasis5 6 5" xfId="3766" xr:uid="{00000000-0005-0000-0000-000032080000}"/>
    <cellStyle name="20% - Énfasis5 6 6" xfId="3178" xr:uid="{00000000-0005-0000-0000-000033080000}"/>
    <cellStyle name="20% - Énfasis5 6 6 2" xfId="5742" xr:uid="{00000000-0005-0000-0000-000034080000}"/>
    <cellStyle name="20% - Énfasis5 6 7" xfId="6784" xr:uid="{00000000-0005-0000-0000-000035080000}"/>
    <cellStyle name="20% - Énfasis5 6 8" xfId="7111" xr:uid="{00000000-0005-0000-0000-000036080000}"/>
    <cellStyle name="20% - Énfasis5 6 9" xfId="23271" xr:uid="{00000000-0005-0000-0000-000037080000}"/>
    <cellStyle name="20% - Énfasis5 7" xfId="928" xr:uid="{00000000-0005-0000-0000-000038080000}"/>
    <cellStyle name="20% - Énfasis5 7 2" xfId="929" xr:uid="{00000000-0005-0000-0000-000039080000}"/>
    <cellStyle name="20% - Énfasis5 7 2 2" xfId="7445" xr:uid="{00000000-0005-0000-0000-00003A080000}"/>
    <cellStyle name="20% - Énfasis5 7 3" xfId="3767" xr:uid="{00000000-0005-0000-0000-00003B080000}"/>
    <cellStyle name="20% - Énfasis5 7 3 10" xfId="27626" xr:uid="{00000000-0005-0000-0000-00003C080000}"/>
    <cellStyle name="20% - Énfasis5 7 3 11" xfId="28130" xr:uid="{00000000-0005-0000-0000-00003D080000}"/>
    <cellStyle name="20% - Énfasis5 7 3 12" xfId="28634" xr:uid="{00000000-0005-0000-0000-00003E080000}"/>
    <cellStyle name="20% - Énfasis5 7 3 13" xfId="29138" xr:uid="{00000000-0005-0000-0000-00003F080000}"/>
    <cellStyle name="20% - Énfasis5 7 3 14" xfId="29642" xr:uid="{00000000-0005-0000-0000-000040080000}"/>
    <cellStyle name="20% - Énfasis5 7 3 15" xfId="30146" xr:uid="{00000000-0005-0000-0000-000041080000}"/>
    <cellStyle name="20% - Énfasis5 7 3 16" xfId="30651" xr:uid="{00000000-0005-0000-0000-000042080000}"/>
    <cellStyle name="20% - Énfasis5 7 3 2" xfId="17922" xr:uid="{00000000-0005-0000-0000-000043080000}"/>
    <cellStyle name="20% - Énfasis5 7 3 3" xfId="23273" xr:uid="{00000000-0005-0000-0000-000044080000}"/>
    <cellStyle name="20% - Énfasis5 7 3 4" xfId="24602" xr:uid="{00000000-0005-0000-0000-000045080000}"/>
    <cellStyle name="20% - Énfasis5 7 3 5" xfId="25106" xr:uid="{00000000-0005-0000-0000-000046080000}"/>
    <cellStyle name="20% - Énfasis5 7 3 6" xfId="25610" xr:uid="{00000000-0005-0000-0000-000047080000}"/>
    <cellStyle name="20% - Énfasis5 7 3 7" xfId="26114" xr:uid="{00000000-0005-0000-0000-000048080000}"/>
    <cellStyle name="20% - Énfasis5 7 3 8" xfId="26618" xr:uid="{00000000-0005-0000-0000-000049080000}"/>
    <cellStyle name="20% - Énfasis5 7 3 9" xfId="27122" xr:uid="{00000000-0005-0000-0000-00004A080000}"/>
    <cellStyle name="20% - Énfasis5 7 4" xfId="3179" xr:uid="{00000000-0005-0000-0000-00004B080000}"/>
    <cellStyle name="20% - Énfasis5 7 4 2" xfId="5743" xr:uid="{00000000-0005-0000-0000-00004C080000}"/>
    <cellStyle name="20% - Énfasis5 7 5" xfId="6785" xr:uid="{00000000-0005-0000-0000-00004D080000}"/>
    <cellStyle name="20% - Énfasis5 7 6" xfId="7278" xr:uid="{00000000-0005-0000-0000-00004E080000}"/>
    <cellStyle name="20% - Énfasis5 8" xfId="930" xr:uid="{00000000-0005-0000-0000-00004F080000}"/>
    <cellStyle name="20% - Énfasis5 8 2" xfId="931" xr:uid="{00000000-0005-0000-0000-000050080000}"/>
    <cellStyle name="20% - Énfasis5 8 2 2" xfId="17923" xr:uid="{00000000-0005-0000-0000-000051080000}"/>
    <cellStyle name="20% - Énfasis5 8 3" xfId="7446" xr:uid="{00000000-0005-0000-0000-000052080000}"/>
    <cellStyle name="20% - Énfasis5 9" xfId="932" xr:uid="{00000000-0005-0000-0000-000053080000}"/>
    <cellStyle name="20% - Énfasis5 9 10" xfId="4949" xr:uid="{00000000-0005-0000-0000-000054080000}"/>
    <cellStyle name="20% - Énfasis5 9 11" xfId="6728" xr:uid="{00000000-0005-0000-0000-000055080000}"/>
    <cellStyle name="20% - Énfasis5 9 12" xfId="7433" xr:uid="{00000000-0005-0000-0000-000056080000}"/>
    <cellStyle name="20% - Énfasis5 9 13" xfId="22870" xr:uid="{00000000-0005-0000-0000-000057080000}"/>
    <cellStyle name="20% - Énfasis5 9 14" xfId="23274" xr:uid="{00000000-0005-0000-0000-000058080000}"/>
    <cellStyle name="20% - Énfasis5 9 15" xfId="24603" xr:uid="{00000000-0005-0000-0000-000059080000}"/>
    <cellStyle name="20% - Énfasis5 9 16" xfId="25107" xr:uid="{00000000-0005-0000-0000-00005A080000}"/>
    <cellStyle name="20% - Énfasis5 9 17" xfId="25611" xr:uid="{00000000-0005-0000-0000-00005B080000}"/>
    <cellStyle name="20% - Énfasis5 9 18" xfId="26115" xr:uid="{00000000-0005-0000-0000-00005C080000}"/>
    <cellStyle name="20% - Énfasis5 9 19" xfId="26619" xr:uid="{00000000-0005-0000-0000-00005D080000}"/>
    <cellStyle name="20% - Énfasis5 9 2" xfId="1446" xr:uid="{00000000-0005-0000-0000-00005E080000}"/>
    <cellStyle name="20% - Énfasis5 9 2 10" xfId="26116" xr:uid="{00000000-0005-0000-0000-00005F080000}"/>
    <cellStyle name="20% - Énfasis5 9 2 11" xfId="26620" xr:uid="{00000000-0005-0000-0000-000060080000}"/>
    <cellStyle name="20% - Énfasis5 9 2 12" xfId="27124" xr:uid="{00000000-0005-0000-0000-000061080000}"/>
    <cellStyle name="20% - Énfasis5 9 2 13" xfId="27628" xr:uid="{00000000-0005-0000-0000-000062080000}"/>
    <cellStyle name="20% - Énfasis5 9 2 14" xfId="28132" xr:uid="{00000000-0005-0000-0000-000063080000}"/>
    <cellStyle name="20% - Énfasis5 9 2 15" xfId="28636" xr:uid="{00000000-0005-0000-0000-000064080000}"/>
    <cellStyle name="20% - Énfasis5 9 2 16" xfId="29140" xr:uid="{00000000-0005-0000-0000-000065080000}"/>
    <cellStyle name="20% - Énfasis5 9 2 17" xfId="29644" xr:uid="{00000000-0005-0000-0000-000066080000}"/>
    <cellStyle name="20% - Énfasis5 9 2 18" xfId="30148" xr:uid="{00000000-0005-0000-0000-000067080000}"/>
    <cellStyle name="20% - Énfasis5 9 2 19" xfId="30653" xr:uid="{00000000-0005-0000-0000-000068080000}"/>
    <cellStyle name="20% - Énfasis5 9 2 2" xfId="1574" xr:uid="{00000000-0005-0000-0000-000069080000}"/>
    <cellStyle name="20% - Énfasis5 9 2 2 2" xfId="3001" xr:uid="{00000000-0005-0000-0000-00006A080000}"/>
    <cellStyle name="20% - Énfasis5 9 2 2 2 2" xfId="4620" xr:uid="{00000000-0005-0000-0000-00006B080000}"/>
    <cellStyle name="20% - Énfasis5 9 2 2 2 2 2" xfId="6487" xr:uid="{00000000-0005-0000-0000-00006C080000}"/>
    <cellStyle name="20% - Énfasis5 9 2 2 2 3" xfId="5585" xr:uid="{00000000-0005-0000-0000-00006D080000}"/>
    <cellStyle name="20% - Énfasis5 9 2 2 3" xfId="4093" xr:uid="{00000000-0005-0000-0000-00006E080000}"/>
    <cellStyle name="20% - Énfasis5 9 2 2 3 2" xfId="6041" xr:uid="{00000000-0005-0000-0000-00006F080000}"/>
    <cellStyle name="20% - Énfasis5 9 2 2 4" xfId="5127" xr:uid="{00000000-0005-0000-0000-000070080000}"/>
    <cellStyle name="20% - Énfasis5 9 2 3" xfId="2880" xr:uid="{00000000-0005-0000-0000-000071080000}"/>
    <cellStyle name="20% - Énfasis5 9 2 3 2" xfId="4499" xr:uid="{00000000-0005-0000-0000-000072080000}"/>
    <cellStyle name="20% - Énfasis5 9 2 3 2 2" xfId="6366" xr:uid="{00000000-0005-0000-0000-000073080000}"/>
    <cellStyle name="20% - Énfasis5 9 2 3 3" xfId="5464" xr:uid="{00000000-0005-0000-0000-000074080000}"/>
    <cellStyle name="20% - Énfasis5 9 2 4" xfId="3967" xr:uid="{00000000-0005-0000-0000-000075080000}"/>
    <cellStyle name="20% - Énfasis5 9 2 4 2" xfId="5921" xr:uid="{00000000-0005-0000-0000-000076080000}"/>
    <cellStyle name="20% - Énfasis5 9 2 5" xfId="5006" xr:uid="{00000000-0005-0000-0000-000077080000}"/>
    <cellStyle name="20% - Énfasis5 9 2 6" xfId="23275" xr:uid="{00000000-0005-0000-0000-000078080000}"/>
    <cellStyle name="20% - Énfasis5 9 2 7" xfId="24604" xr:uid="{00000000-0005-0000-0000-000079080000}"/>
    <cellStyle name="20% - Énfasis5 9 2 8" xfId="25108" xr:uid="{00000000-0005-0000-0000-00007A080000}"/>
    <cellStyle name="20% - Énfasis5 9 2 9" xfId="25612" xr:uid="{00000000-0005-0000-0000-00007B080000}"/>
    <cellStyle name="20% - Énfasis5 9 20" xfId="27123" xr:uid="{00000000-0005-0000-0000-00007C080000}"/>
    <cellStyle name="20% - Énfasis5 9 21" xfId="27627" xr:uid="{00000000-0005-0000-0000-00007D080000}"/>
    <cellStyle name="20% - Énfasis5 9 22" xfId="28131" xr:uid="{00000000-0005-0000-0000-00007E080000}"/>
    <cellStyle name="20% - Énfasis5 9 23" xfId="28635" xr:uid="{00000000-0005-0000-0000-00007F080000}"/>
    <cellStyle name="20% - Énfasis5 9 24" xfId="29139" xr:uid="{00000000-0005-0000-0000-000080080000}"/>
    <cellStyle name="20% - Énfasis5 9 25" xfId="29643" xr:uid="{00000000-0005-0000-0000-000081080000}"/>
    <cellStyle name="20% - Énfasis5 9 26" xfId="30147" xr:uid="{00000000-0005-0000-0000-000082080000}"/>
    <cellStyle name="20% - Énfasis5 9 27" xfId="30652" xr:uid="{00000000-0005-0000-0000-000083080000}"/>
    <cellStyle name="20% - Énfasis5 9 3" xfId="1485" xr:uid="{00000000-0005-0000-0000-000084080000}"/>
    <cellStyle name="20% - Énfasis5 9 3 2" xfId="1575" xr:uid="{00000000-0005-0000-0000-000085080000}"/>
    <cellStyle name="20% - Énfasis5 9 3 2 2" xfId="3002" xr:uid="{00000000-0005-0000-0000-000086080000}"/>
    <cellStyle name="20% - Énfasis5 9 3 2 2 2" xfId="4621" xr:uid="{00000000-0005-0000-0000-000087080000}"/>
    <cellStyle name="20% - Énfasis5 9 3 2 2 2 2" xfId="6488" xr:uid="{00000000-0005-0000-0000-000088080000}"/>
    <cellStyle name="20% - Énfasis5 9 3 2 2 3" xfId="5586" xr:uid="{00000000-0005-0000-0000-000089080000}"/>
    <cellStyle name="20% - Énfasis5 9 3 2 3" xfId="4094" xr:uid="{00000000-0005-0000-0000-00008A080000}"/>
    <cellStyle name="20% - Énfasis5 9 3 2 3 2" xfId="6042" xr:uid="{00000000-0005-0000-0000-00008B080000}"/>
    <cellStyle name="20% - Énfasis5 9 3 2 4" xfId="5128" xr:uid="{00000000-0005-0000-0000-00008C080000}"/>
    <cellStyle name="20% - Énfasis5 9 3 3" xfId="2919" xr:uid="{00000000-0005-0000-0000-00008D080000}"/>
    <cellStyle name="20% - Énfasis5 9 3 3 2" xfId="4538" xr:uid="{00000000-0005-0000-0000-00008E080000}"/>
    <cellStyle name="20% - Énfasis5 9 3 3 2 2" xfId="6405" xr:uid="{00000000-0005-0000-0000-00008F080000}"/>
    <cellStyle name="20% - Énfasis5 9 3 3 3" xfId="5503" xr:uid="{00000000-0005-0000-0000-000090080000}"/>
    <cellStyle name="20% - Énfasis5 9 3 4" xfId="4006" xr:uid="{00000000-0005-0000-0000-000091080000}"/>
    <cellStyle name="20% - Énfasis5 9 3 4 2" xfId="5960" xr:uid="{00000000-0005-0000-0000-000092080000}"/>
    <cellStyle name="20% - Énfasis5 9 3 5" xfId="5045" xr:uid="{00000000-0005-0000-0000-000093080000}"/>
    <cellStyle name="20% - Énfasis5 9 4" xfId="1576" xr:uid="{00000000-0005-0000-0000-000094080000}"/>
    <cellStyle name="20% - Énfasis5 9 4 2" xfId="3003" xr:uid="{00000000-0005-0000-0000-000095080000}"/>
    <cellStyle name="20% - Énfasis5 9 4 2 2" xfId="4622" xr:uid="{00000000-0005-0000-0000-000096080000}"/>
    <cellStyle name="20% - Énfasis5 9 4 2 2 2" xfId="6489" xr:uid="{00000000-0005-0000-0000-000097080000}"/>
    <cellStyle name="20% - Énfasis5 9 4 2 3" xfId="5587" xr:uid="{00000000-0005-0000-0000-000098080000}"/>
    <cellStyle name="20% - Énfasis5 9 4 3" xfId="4095" xr:uid="{00000000-0005-0000-0000-000099080000}"/>
    <cellStyle name="20% - Énfasis5 9 4 3 2" xfId="6043" xr:uid="{00000000-0005-0000-0000-00009A080000}"/>
    <cellStyle name="20% - Énfasis5 9 4 4" xfId="5129" xr:uid="{00000000-0005-0000-0000-00009B080000}"/>
    <cellStyle name="20% - Énfasis5 9 5" xfId="1577" xr:uid="{00000000-0005-0000-0000-00009C080000}"/>
    <cellStyle name="20% - Énfasis5 9 5 2" xfId="3004" xr:uid="{00000000-0005-0000-0000-00009D080000}"/>
    <cellStyle name="20% - Énfasis5 9 5 2 2" xfId="4623" xr:uid="{00000000-0005-0000-0000-00009E080000}"/>
    <cellStyle name="20% - Énfasis5 9 5 2 2 2" xfId="6490" xr:uid="{00000000-0005-0000-0000-00009F080000}"/>
    <cellStyle name="20% - Énfasis5 9 5 2 3" xfId="5588" xr:uid="{00000000-0005-0000-0000-0000A0080000}"/>
    <cellStyle name="20% - Énfasis5 9 5 3" xfId="4096" xr:uid="{00000000-0005-0000-0000-0000A1080000}"/>
    <cellStyle name="20% - Énfasis5 9 5 3 2" xfId="6044" xr:uid="{00000000-0005-0000-0000-0000A2080000}"/>
    <cellStyle name="20% - Énfasis5 9 5 4" xfId="5130" xr:uid="{00000000-0005-0000-0000-0000A3080000}"/>
    <cellStyle name="20% - Énfasis5 9 6" xfId="2821" xr:uid="{00000000-0005-0000-0000-0000A4080000}"/>
    <cellStyle name="20% - Énfasis5 9 6 2" xfId="4441" xr:uid="{00000000-0005-0000-0000-0000A5080000}"/>
    <cellStyle name="20% - Énfasis5 9 6 2 2" xfId="6309" xr:uid="{00000000-0005-0000-0000-0000A6080000}"/>
    <cellStyle name="20% - Énfasis5 9 6 3" xfId="5407" xr:uid="{00000000-0005-0000-0000-0000A7080000}"/>
    <cellStyle name="20% - Énfasis5 9 7" xfId="3768" xr:uid="{00000000-0005-0000-0000-0000A8080000}"/>
    <cellStyle name="20% - Énfasis5 9 7 2" xfId="5865" xr:uid="{00000000-0005-0000-0000-0000A9080000}"/>
    <cellStyle name="20% - Énfasis5 9 8" xfId="4800" xr:uid="{00000000-0005-0000-0000-0000AA080000}"/>
    <cellStyle name="20% - Énfasis5 9 8 2" xfId="6645" xr:uid="{00000000-0005-0000-0000-0000AB080000}"/>
    <cellStyle name="20% - Énfasis5 9 9" xfId="4843" xr:uid="{00000000-0005-0000-0000-0000AC080000}"/>
    <cellStyle name="20% - Énfasis5 9 9 2" xfId="6687" xr:uid="{00000000-0005-0000-0000-0000AD080000}"/>
    <cellStyle name="20% - Énfasis6" xfId="23" builtinId="50" customBuiltin="1"/>
    <cellStyle name="20% - Énfasis6 10" xfId="934" xr:uid="{00000000-0005-0000-0000-0000AF080000}"/>
    <cellStyle name="20% - Énfasis6 10 10" xfId="4951" xr:uid="{00000000-0005-0000-0000-0000B0080000}"/>
    <cellStyle name="20% - Énfasis6 10 11" xfId="6730" xr:uid="{00000000-0005-0000-0000-0000B1080000}"/>
    <cellStyle name="20% - Énfasis6 10 12" xfId="22872" xr:uid="{00000000-0005-0000-0000-0000B2080000}"/>
    <cellStyle name="20% - Énfasis6 10 13" xfId="23276" xr:uid="{00000000-0005-0000-0000-0000B3080000}"/>
    <cellStyle name="20% - Énfasis6 10 14" xfId="24605" xr:uid="{00000000-0005-0000-0000-0000B4080000}"/>
    <cellStyle name="20% - Énfasis6 10 15" xfId="25109" xr:uid="{00000000-0005-0000-0000-0000B5080000}"/>
    <cellStyle name="20% - Énfasis6 10 16" xfId="25613" xr:uid="{00000000-0005-0000-0000-0000B6080000}"/>
    <cellStyle name="20% - Énfasis6 10 17" xfId="26117" xr:uid="{00000000-0005-0000-0000-0000B7080000}"/>
    <cellStyle name="20% - Énfasis6 10 18" xfId="26621" xr:uid="{00000000-0005-0000-0000-0000B8080000}"/>
    <cellStyle name="20% - Énfasis6 10 19" xfId="27125" xr:uid="{00000000-0005-0000-0000-0000B9080000}"/>
    <cellStyle name="20% - Énfasis6 10 2" xfId="1448" xr:uid="{00000000-0005-0000-0000-0000BA080000}"/>
    <cellStyle name="20% - Énfasis6 10 2 10" xfId="26118" xr:uid="{00000000-0005-0000-0000-0000BB080000}"/>
    <cellStyle name="20% - Énfasis6 10 2 11" xfId="26622" xr:uid="{00000000-0005-0000-0000-0000BC080000}"/>
    <cellStyle name="20% - Énfasis6 10 2 12" xfId="27126" xr:uid="{00000000-0005-0000-0000-0000BD080000}"/>
    <cellStyle name="20% - Énfasis6 10 2 13" xfId="27630" xr:uid="{00000000-0005-0000-0000-0000BE080000}"/>
    <cellStyle name="20% - Énfasis6 10 2 14" xfId="28134" xr:uid="{00000000-0005-0000-0000-0000BF080000}"/>
    <cellStyle name="20% - Énfasis6 10 2 15" xfId="28638" xr:uid="{00000000-0005-0000-0000-0000C0080000}"/>
    <cellStyle name="20% - Énfasis6 10 2 16" xfId="29142" xr:uid="{00000000-0005-0000-0000-0000C1080000}"/>
    <cellStyle name="20% - Énfasis6 10 2 17" xfId="29646" xr:uid="{00000000-0005-0000-0000-0000C2080000}"/>
    <cellStyle name="20% - Énfasis6 10 2 18" xfId="30150" xr:uid="{00000000-0005-0000-0000-0000C3080000}"/>
    <cellStyle name="20% - Énfasis6 10 2 19" xfId="30655" xr:uid="{00000000-0005-0000-0000-0000C4080000}"/>
    <cellStyle name="20% - Énfasis6 10 2 2" xfId="1578" xr:uid="{00000000-0005-0000-0000-0000C5080000}"/>
    <cellStyle name="20% - Énfasis6 10 2 2 2" xfId="3005" xr:uid="{00000000-0005-0000-0000-0000C6080000}"/>
    <cellStyle name="20% - Énfasis6 10 2 2 2 2" xfId="4624" xr:uid="{00000000-0005-0000-0000-0000C7080000}"/>
    <cellStyle name="20% - Énfasis6 10 2 2 2 2 2" xfId="6491" xr:uid="{00000000-0005-0000-0000-0000C8080000}"/>
    <cellStyle name="20% - Énfasis6 10 2 2 2 3" xfId="5589" xr:uid="{00000000-0005-0000-0000-0000C9080000}"/>
    <cellStyle name="20% - Énfasis6 10 2 2 3" xfId="4097" xr:uid="{00000000-0005-0000-0000-0000CA080000}"/>
    <cellStyle name="20% - Énfasis6 10 2 2 3 2" xfId="6045" xr:uid="{00000000-0005-0000-0000-0000CB080000}"/>
    <cellStyle name="20% - Énfasis6 10 2 2 4" xfId="5131" xr:uid="{00000000-0005-0000-0000-0000CC080000}"/>
    <cellStyle name="20% - Énfasis6 10 2 3" xfId="2882" xr:uid="{00000000-0005-0000-0000-0000CD080000}"/>
    <cellStyle name="20% - Énfasis6 10 2 3 2" xfId="4501" xr:uid="{00000000-0005-0000-0000-0000CE080000}"/>
    <cellStyle name="20% - Énfasis6 10 2 3 2 2" xfId="6368" xr:uid="{00000000-0005-0000-0000-0000CF080000}"/>
    <cellStyle name="20% - Énfasis6 10 2 3 3" xfId="5466" xr:uid="{00000000-0005-0000-0000-0000D0080000}"/>
    <cellStyle name="20% - Énfasis6 10 2 4" xfId="3969" xr:uid="{00000000-0005-0000-0000-0000D1080000}"/>
    <cellStyle name="20% - Énfasis6 10 2 4 2" xfId="5923" xr:uid="{00000000-0005-0000-0000-0000D2080000}"/>
    <cellStyle name="20% - Énfasis6 10 2 5" xfId="5008" xr:uid="{00000000-0005-0000-0000-0000D3080000}"/>
    <cellStyle name="20% - Énfasis6 10 2 6" xfId="23277" xr:uid="{00000000-0005-0000-0000-0000D4080000}"/>
    <cellStyle name="20% - Énfasis6 10 2 7" xfId="24606" xr:uid="{00000000-0005-0000-0000-0000D5080000}"/>
    <cellStyle name="20% - Énfasis6 10 2 8" xfId="25110" xr:uid="{00000000-0005-0000-0000-0000D6080000}"/>
    <cellStyle name="20% - Énfasis6 10 2 9" xfId="25614" xr:uid="{00000000-0005-0000-0000-0000D7080000}"/>
    <cellStyle name="20% - Énfasis6 10 20" xfId="27629" xr:uid="{00000000-0005-0000-0000-0000D8080000}"/>
    <cellStyle name="20% - Énfasis6 10 21" xfId="28133" xr:uid="{00000000-0005-0000-0000-0000D9080000}"/>
    <cellStyle name="20% - Énfasis6 10 22" xfId="28637" xr:uid="{00000000-0005-0000-0000-0000DA080000}"/>
    <cellStyle name="20% - Énfasis6 10 23" xfId="29141" xr:uid="{00000000-0005-0000-0000-0000DB080000}"/>
    <cellStyle name="20% - Énfasis6 10 24" xfId="29645" xr:uid="{00000000-0005-0000-0000-0000DC080000}"/>
    <cellStyle name="20% - Énfasis6 10 25" xfId="30149" xr:uid="{00000000-0005-0000-0000-0000DD080000}"/>
    <cellStyle name="20% - Énfasis6 10 26" xfId="30654" xr:uid="{00000000-0005-0000-0000-0000DE080000}"/>
    <cellStyle name="20% - Énfasis6 10 3" xfId="1486" xr:uid="{00000000-0005-0000-0000-0000DF080000}"/>
    <cellStyle name="20% - Énfasis6 10 3 2" xfId="1579" xr:uid="{00000000-0005-0000-0000-0000E0080000}"/>
    <cellStyle name="20% - Énfasis6 10 3 2 2" xfId="3006" xr:uid="{00000000-0005-0000-0000-0000E1080000}"/>
    <cellStyle name="20% - Énfasis6 10 3 2 2 2" xfId="4625" xr:uid="{00000000-0005-0000-0000-0000E2080000}"/>
    <cellStyle name="20% - Énfasis6 10 3 2 2 2 2" xfId="6492" xr:uid="{00000000-0005-0000-0000-0000E3080000}"/>
    <cellStyle name="20% - Énfasis6 10 3 2 2 3" xfId="5590" xr:uid="{00000000-0005-0000-0000-0000E4080000}"/>
    <cellStyle name="20% - Énfasis6 10 3 2 3" xfId="4098" xr:uid="{00000000-0005-0000-0000-0000E5080000}"/>
    <cellStyle name="20% - Énfasis6 10 3 2 3 2" xfId="6046" xr:uid="{00000000-0005-0000-0000-0000E6080000}"/>
    <cellStyle name="20% - Énfasis6 10 3 2 4" xfId="5132" xr:uid="{00000000-0005-0000-0000-0000E7080000}"/>
    <cellStyle name="20% - Énfasis6 10 3 3" xfId="2920" xr:uid="{00000000-0005-0000-0000-0000E8080000}"/>
    <cellStyle name="20% - Énfasis6 10 3 3 2" xfId="4539" xr:uid="{00000000-0005-0000-0000-0000E9080000}"/>
    <cellStyle name="20% - Énfasis6 10 3 3 2 2" xfId="6406" xr:uid="{00000000-0005-0000-0000-0000EA080000}"/>
    <cellStyle name="20% - Énfasis6 10 3 3 3" xfId="5504" xr:uid="{00000000-0005-0000-0000-0000EB080000}"/>
    <cellStyle name="20% - Énfasis6 10 3 4" xfId="4007" xr:uid="{00000000-0005-0000-0000-0000EC080000}"/>
    <cellStyle name="20% - Énfasis6 10 3 4 2" xfId="5961" xr:uid="{00000000-0005-0000-0000-0000ED080000}"/>
    <cellStyle name="20% - Énfasis6 10 3 5" xfId="5046" xr:uid="{00000000-0005-0000-0000-0000EE080000}"/>
    <cellStyle name="20% - Énfasis6 10 4" xfId="1580" xr:uid="{00000000-0005-0000-0000-0000EF080000}"/>
    <cellStyle name="20% - Énfasis6 10 4 2" xfId="3007" xr:uid="{00000000-0005-0000-0000-0000F0080000}"/>
    <cellStyle name="20% - Énfasis6 10 4 2 2" xfId="4626" xr:uid="{00000000-0005-0000-0000-0000F1080000}"/>
    <cellStyle name="20% - Énfasis6 10 4 2 2 2" xfId="6493" xr:uid="{00000000-0005-0000-0000-0000F2080000}"/>
    <cellStyle name="20% - Énfasis6 10 4 2 3" xfId="5591" xr:uid="{00000000-0005-0000-0000-0000F3080000}"/>
    <cellStyle name="20% - Énfasis6 10 4 3" xfId="4099" xr:uid="{00000000-0005-0000-0000-0000F4080000}"/>
    <cellStyle name="20% - Énfasis6 10 4 3 2" xfId="6047" xr:uid="{00000000-0005-0000-0000-0000F5080000}"/>
    <cellStyle name="20% - Énfasis6 10 4 4" xfId="5133" xr:uid="{00000000-0005-0000-0000-0000F6080000}"/>
    <cellStyle name="20% - Énfasis6 10 5" xfId="1581" xr:uid="{00000000-0005-0000-0000-0000F7080000}"/>
    <cellStyle name="20% - Énfasis6 10 5 2" xfId="3008" xr:uid="{00000000-0005-0000-0000-0000F8080000}"/>
    <cellStyle name="20% - Énfasis6 10 5 2 2" xfId="4627" xr:uid="{00000000-0005-0000-0000-0000F9080000}"/>
    <cellStyle name="20% - Énfasis6 10 5 2 2 2" xfId="6494" xr:uid="{00000000-0005-0000-0000-0000FA080000}"/>
    <cellStyle name="20% - Énfasis6 10 5 2 3" xfId="5592" xr:uid="{00000000-0005-0000-0000-0000FB080000}"/>
    <cellStyle name="20% - Énfasis6 10 5 3" xfId="4100" xr:uid="{00000000-0005-0000-0000-0000FC080000}"/>
    <cellStyle name="20% - Énfasis6 10 5 3 2" xfId="6048" xr:uid="{00000000-0005-0000-0000-0000FD080000}"/>
    <cellStyle name="20% - Énfasis6 10 5 4" xfId="5134" xr:uid="{00000000-0005-0000-0000-0000FE080000}"/>
    <cellStyle name="20% - Énfasis6 10 6" xfId="2823" xr:uid="{00000000-0005-0000-0000-0000FF080000}"/>
    <cellStyle name="20% - Énfasis6 10 6 2" xfId="4443" xr:uid="{00000000-0005-0000-0000-000000090000}"/>
    <cellStyle name="20% - Énfasis6 10 6 2 2" xfId="6311" xr:uid="{00000000-0005-0000-0000-000001090000}"/>
    <cellStyle name="20% - Énfasis6 10 6 3" xfId="5409" xr:uid="{00000000-0005-0000-0000-000002090000}"/>
    <cellStyle name="20% - Énfasis6 10 7" xfId="3770" xr:uid="{00000000-0005-0000-0000-000003090000}"/>
    <cellStyle name="20% - Énfasis6 10 7 2" xfId="5867" xr:uid="{00000000-0005-0000-0000-000004090000}"/>
    <cellStyle name="20% - Énfasis6 10 8" xfId="4802" xr:uid="{00000000-0005-0000-0000-000005090000}"/>
    <cellStyle name="20% - Énfasis6 10 8 2" xfId="6647" xr:uid="{00000000-0005-0000-0000-000006090000}"/>
    <cellStyle name="20% - Énfasis6 10 9" xfId="4845" xr:uid="{00000000-0005-0000-0000-000007090000}"/>
    <cellStyle name="20% - Énfasis6 10 9 2" xfId="6689" xr:uid="{00000000-0005-0000-0000-000008090000}"/>
    <cellStyle name="20% - Énfasis6 11" xfId="935" xr:uid="{00000000-0005-0000-0000-000009090000}"/>
    <cellStyle name="20% - Énfasis6 11 2" xfId="936" xr:uid="{00000000-0005-0000-0000-00000A090000}"/>
    <cellStyle name="20% - Énfasis6 12" xfId="933" xr:uid="{00000000-0005-0000-0000-00000B090000}"/>
    <cellStyle name="20% - Énfasis6 12 10" xfId="25615" xr:uid="{00000000-0005-0000-0000-00000C090000}"/>
    <cellStyle name="20% - Énfasis6 12 11" xfId="26119" xr:uid="{00000000-0005-0000-0000-00000D090000}"/>
    <cellStyle name="20% - Énfasis6 12 12" xfId="26623" xr:uid="{00000000-0005-0000-0000-00000E090000}"/>
    <cellStyle name="20% - Énfasis6 12 13" xfId="27127" xr:uid="{00000000-0005-0000-0000-00000F090000}"/>
    <cellStyle name="20% - Énfasis6 12 14" xfId="27631" xr:uid="{00000000-0005-0000-0000-000010090000}"/>
    <cellStyle name="20% - Énfasis6 12 15" xfId="28135" xr:uid="{00000000-0005-0000-0000-000011090000}"/>
    <cellStyle name="20% - Énfasis6 12 16" xfId="28639" xr:uid="{00000000-0005-0000-0000-000012090000}"/>
    <cellStyle name="20% - Énfasis6 12 17" xfId="29143" xr:uid="{00000000-0005-0000-0000-000013090000}"/>
    <cellStyle name="20% - Énfasis6 12 18" xfId="29647" xr:uid="{00000000-0005-0000-0000-000014090000}"/>
    <cellStyle name="20% - Énfasis6 12 19" xfId="30151" xr:uid="{00000000-0005-0000-0000-000015090000}"/>
    <cellStyle name="20% - Énfasis6 12 2" xfId="1447" xr:uid="{00000000-0005-0000-0000-000016090000}"/>
    <cellStyle name="20% - Énfasis6 12 2 10" xfId="26120" xr:uid="{00000000-0005-0000-0000-000017090000}"/>
    <cellStyle name="20% - Énfasis6 12 2 11" xfId="26624" xr:uid="{00000000-0005-0000-0000-000018090000}"/>
    <cellStyle name="20% - Énfasis6 12 2 12" xfId="27128" xr:uid="{00000000-0005-0000-0000-000019090000}"/>
    <cellStyle name="20% - Énfasis6 12 2 13" xfId="27632" xr:uid="{00000000-0005-0000-0000-00001A090000}"/>
    <cellStyle name="20% - Énfasis6 12 2 14" xfId="28136" xr:uid="{00000000-0005-0000-0000-00001B090000}"/>
    <cellStyle name="20% - Énfasis6 12 2 15" xfId="28640" xr:uid="{00000000-0005-0000-0000-00001C090000}"/>
    <cellStyle name="20% - Énfasis6 12 2 16" xfId="29144" xr:uid="{00000000-0005-0000-0000-00001D090000}"/>
    <cellStyle name="20% - Énfasis6 12 2 17" xfId="29648" xr:uid="{00000000-0005-0000-0000-00001E090000}"/>
    <cellStyle name="20% - Énfasis6 12 2 18" xfId="30152" xr:uid="{00000000-0005-0000-0000-00001F090000}"/>
    <cellStyle name="20% - Énfasis6 12 2 19" xfId="30657" xr:uid="{00000000-0005-0000-0000-000020090000}"/>
    <cellStyle name="20% - Énfasis6 12 2 2" xfId="1582" xr:uid="{00000000-0005-0000-0000-000021090000}"/>
    <cellStyle name="20% - Énfasis6 12 2 2 2" xfId="3009" xr:uid="{00000000-0005-0000-0000-000022090000}"/>
    <cellStyle name="20% - Énfasis6 12 2 2 2 2" xfId="4628" xr:uid="{00000000-0005-0000-0000-000023090000}"/>
    <cellStyle name="20% - Énfasis6 12 2 2 2 2 2" xfId="6495" xr:uid="{00000000-0005-0000-0000-000024090000}"/>
    <cellStyle name="20% - Énfasis6 12 2 2 2 3" xfId="5593" xr:uid="{00000000-0005-0000-0000-000025090000}"/>
    <cellStyle name="20% - Énfasis6 12 2 2 3" xfId="4101" xr:uid="{00000000-0005-0000-0000-000026090000}"/>
    <cellStyle name="20% - Énfasis6 12 2 2 3 2" xfId="6049" xr:uid="{00000000-0005-0000-0000-000027090000}"/>
    <cellStyle name="20% - Énfasis6 12 2 2 4" xfId="5135" xr:uid="{00000000-0005-0000-0000-000028090000}"/>
    <cellStyle name="20% - Énfasis6 12 2 3" xfId="2881" xr:uid="{00000000-0005-0000-0000-000029090000}"/>
    <cellStyle name="20% - Énfasis6 12 2 3 2" xfId="4500" xr:uid="{00000000-0005-0000-0000-00002A090000}"/>
    <cellStyle name="20% - Énfasis6 12 2 3 2 2" xfId="6367" xr:uid="{00000000-0005-0000-0000-00002B090000}"/>
    <cellStyle name="20% - Énfasis6 12 2 3 3" xfId="5465" xr:uid="{00000000-0005-0000-0000-00002C090000}"/>
    <cellStyle name="20% - Énfasis6 12 2 4" xfId="3968" xr:uid="{00000000-0005-0000-0000-00002D090000}"/>
    <cellStyle name="20% - Énfasis6 12 2 4 2" xfId="5922" xr:uid="{00000000-0005-0000-0000-00002E090000}"/>
    <cellStyle name="20% - Énfasis6 12 2 5" xfId="5007" xr:uid="{00000000-0005-0000-0000-00002F090000}"/>
    <cellStyle name="20% - Énfasis6 12 2 6" xfId="23279" xr:uid="{00000000-0005-0000-0000-000030090000}"/>
    <cellStyle name="20% - Énfasis6 12 2 7" xfId="24608" xr:uid="{00000000-0005-0000-0000-000031090000}"/>
    <cellStyle name="20% - Énfasis6 12 2 8" xfId="25112" xr:uid="{00000000-0005-0000-0000-000032090000}"/>
    <cellStyle name="20% - Énfasis6 12 2 9" xfId="25616" xr:uid="{00000000-0005-0000-0000-000033090000}"/>
    <cellStyle name="20% - Énfasis6 12 20" xfId="30656" xr:uid="{00000000-0005-0000-0000-000034090000}"/>
    <cellStyle name="20% - Énfasis6 12 3" xfId="1583" xr:uid="{00000000-0005-0000-0000-000035090000}"/>
    <cellStyle name="20% - Énfasis6 12 3 2" xfId="3010" xr:uid="{00000000-0005-0000-0000-000036090000}"/>
    <cellStyle name="20% - Énfasis6 12 3 2 2" xfId="4629" xr:uid="{00000000-0005-0000-0000-000037090000}"/>
    <cellStyle name="20% - Énfasis6 12 3 2 2 2" xfId="6496" xr:uid="{00000000-0005-0000-0000-000038090000}"/>
    <cellStyle name="20% - Énfasis6 12 3 2 3" xfId="5594" xr:uid="{00000000-0005-0000-0000-000039090000}"/>
    <cellStyle name="20% - Énfasis6 12 3 3" xfId="4102" xr:uid="{00000000-0005-0000-0000-00003A090000}"/>
    <cellStyle name="20% - Énfasis6 12 3 3 2" xfId="6050" xr:uid="{00000000-0005-0000-0000-00003B090000}"/>
    <cellStyle name="20% - Énfasis6 12 3 4" xfId="5136" xr:uid="{00000000-0005-0000-0000-00003C090000}"/>
    <cellStyle name="20% - Énfasis6 12 4" xfId="2822" xr:uid="{00000000-0005-0000-0000-00003D090000}"/>
    <cellStyle name="20% - Énfasis6 12 4 2" xfId="4442" xr:uid="{00000000-0005-0000-0000-00003E090000}"/>
    <cellStyle name="20% - Énfasis6 12 4 2 2" xfId="6310" xr:uid="{00000000-0005-0000-0000-00003F090000}"/>
    <cellStyle name="20% - Énfasis6 12 4 3" xfId="5408" xr:uid="{00000000-0005-0000-0000-000040090000}"/>
    <cellStyle name="20% - Énfasis6 12 5" xfId="3769" xr:uid="{00000000-0005-0000-0000-000041090000}"/>
    <cellStyle name="20% - Énfasis6 12 5 2" xfId="5866" xr:uid="{00000000-0005-0000-0000-000042090000}"/>
    <cellStyle name="20% - Énfasis6 12 6" xfId="4950" xr:uid="{00000000-0005-0000-0000-000043090000}"/>
    <cellStyle name="20% - Énfasis6 12 7" xfId="23278" xr:uid="{00000000-0005-0000-0000-000044090000}"/>
    <cellStyle name="20% - Énfasis6 12 8" xfId="24607" xr:uid="{00000000-0005-0000-0000-000045090000}"/>
    <cellStyle name="20% - Énfasis6 12 9" xfId="25111" xr:uid="{00000000-0005-0000-0000-000046090000}"/>
    <cellStyle name="20% - Énfasis6 13" xfId="1377" xr:uid="{00000000-0005-0000-0000-000047090000}"/>
    <cellStyle name="20% - Énfasis6 14" xfId="1487" xr:uid="{00000000-0005-0000-0000-000048090000}"/>
    <cellStyle name="20% - Énfasis6 14 2" xfId="1584" xr:uid="{00000000-0005-0000-0000-000049090000}"/>
    <cellStyle name="20% - Énfasis6 14 2 2" xfId="3011" xr:uid="{00000000-0005-0000-0000-00004A090000}"/>
    <cellStyle name="20% - Énfasis6 14 2 2 2" xfId="4630" xr:uid="{00000000-0005-0000-0000-00004B090000}"/>
    <cellStyle name="20% - Énfasis6 14 2 2 2 2" xfId="6497" xr:uid="{00000000-0005-0000-0000-00004C090000}"/>
    <cellStyle name="20% - Énfasis6 14 2 2 3" xfId="5595" xr:uid="{00000000-0005-0000-0000-00004D090000}"/>
    <cellStyle name="20% - Énfasis6 14 2 3" xfId="4103" xr:uid="{00000000-0005-0000-0000-00004E090000}"/>
    <cellStyle name="20% - Énfasis6 14 2 3 2" xfId="6051" xr:uid="{00000000-0005-0000-0000-00004F090000}"/>
    <cellStyle name="20% - Énfasis6 14 2 4" xfId="5137" xr:uid="{00000000-0005-0000-0000-000050090000}"/>
    <cellStyle name="20% - Énfasis6 14 3" xfId="2921" xr:uid="{00000000-0005-0000-0000-000051090000}"/>
    <cellStyle name="20% - Énfasis6 14 3 2" xfId="4540" xr:uid="{00000000-0005-0000-0000-000052090000}"/>
    <cellStyle name="20% - Énfasis6 14 3 2 2" xfId="6407" xr:uid="{00000000-0005-0000-0000-000053090000}"/>
    <cellStyle name="20% - Énfasis6 14 3 3" xfId="5505" xr:uid="{00000000-0005-0000-0000-000054090000}"/>
    <cellStyle name="20% - Énfasis6 14 4" xfId="4008" xr:uid="{00000000-0005-0000-0000-000055090000}"/>
    <cellStyle name="20% - Énfasis6 14 4 2" xfId="5962" xr:uid="{00000000-0005-0000-0000-000056090000}"/>
    <cellStyle name="20% - Énfasis6 14 5" xfId="5047" xr:uid="{00000000-0005-0000-0000-000057090000}"/>
    <cellStyle name="20% - Énfasis6 15" xfId="1585" xr:uid="{00000000-0005-0000-0000-000058090000}"/>
    <cellStyle name="20% - Énfasis6 15 2" xfId="3012" xr:uid="{00000000-0005-0000-0000-000059090000}"/>
    <cellStyle name="20% - Énfasis6 15 2 2" xfId="4631" xr:uid="{00000000-0005-0000-0000-00005A090000}"/>
    <cellStyle name="20% - Énfasis6 15 2 2 2" xfId="6498" xr:uid="{00000000-0005-0000-0000-00005B090000}"/>
    <cellStyle name="20% - Énfasis6 15 2 3" xfId="5596" xr:uid="{00000000-0005-0000-0000-00005C090000}"/>
    <cellStyle name="20% - Énfasis6 15 3" xfId="4104" xr:uid="{00000000-0005-0000-0000-00005D090000}"/>
    <cellStyle name="20% - Énfasis6 15 3 2" xfId="6052" xr:uid="{00000000-0005-0000-0000-00005E090000}"/>
    <cellStyle name="20% - Énfasis6 15 4" xfId="5138" xr:uid="{00000000-0005-0000-0000-00005F090000}"/>
    <cellStyle name="20% - Énfasis6 16" xfId="2723" xr:uid="{00000000-0005-0000-0000-000060090000}"/>
    <cellStyle name="20% - Énfasis6 16 2" xfId="4402" xr:uid="{00000000-0005-0000-0000-000061090000}"/>
    <cellStyle name="20% - Énfasis6 16 2 2" xfId="6272" xr:uid="{00000000-0005-0000-0000-000062090000}"/>
    <cellStyle name="20% - Énfasis6 16 3" xfId="5370" xr:uid="{00000000-0005-0000-0000-000063090000}"/>
    <cellStyle name="20% - Énfasis6 17" xfId="3180" xr:uid="{00000000-0005-0000-0000-000064090000}"/>
    <cellStyle name="20% - Énfasis6 17 2" xfId="5744" xr:uid="{00000000-0005-0000-0000-000065090000}"/>
    <cellStyle name="20% - Énfasis6 18" xfId="4801" xr:uid="{00000000-0005-0000-0000-000066090000}"/>
    <cellStyle name="20% - Énfasis6 18 2" xfId="6646" xr:uid="{00000000-0005-0000-0000-000067090000}"/>
    <cellStyle name="20% - Énfasis6 19" xfId="4844" xr:uid="{00000000-0005-0000-0000-000068090000}"/>
    <cellStyle name="20% - Énfasis6 19 2" xfId="6688" xr:uid="{00000000-0005-0000-0000-000069090000}"/>
    <cellStyle name="20% - Énfasis6 2" xfId="24" xr:uid="{00000000-0005-0000-0000-00006A090000}"/>
    <cellStyle name="20% - Énfasis6 2 2" xfId="937" xr:uid="{00000000-0005-0000-0000-00006B090000}"/>
    <cellStyle name="20% - Énfasis6 2 2 2" xfId="3181" xr:uid="{00000000-0005-0000-0000-00006C090000}"/>
    <cellStyle name="20% - Énfasis6 2 2 2 2" xfId="7450" xr:uid="{00000000-0005-0000-0000-00006D090000}"/>
    <cellStyle name="20% - Énfasis6 2 2 2 3" xfId="7449" xr:uid="{00000000-0005-0000-0000-00006E090000}"/>
    <cellStyle name="20% - Énfasis6 2 2 3" xfId="7451" xr:uid="{00000000-0005-0000-0000-00006F090000}"/>
    <cellStyle name="20% - Énfasis6 2 2 4" xfId="7452" xr:uid="{00000000-0005-0000-0000-000070090000}"/>
    <cellStyle name="20% - Énfasis6 2 2 5" xfId="7448" xr:uid="{00000000-0005-0000-0000-000071090000}"/>
    <cellStyle name="20% - Énfasis6 2 3" xfId="1770" xr:uid="{00000000-0005-0000-0000-000072090000}"/>
    <cellStyle name="20% - Énfasis6 2 4" xfId="7453" xr:uid="{00000000-0005-0000-0000-000073090000}"/>
    <cellStyle name="20% - Énfasis6 2 4 2" xfId="22873" xr:uid="{00000000-0005-0000-0000-000074090000}"/>
    <cellStyle name="20% - Énfasis6 2 5" xfId="31210" xr:uid="{FBE0EFB6-80B1-4EC0-A0BC-1FCA33B32838}"/>
    <cellStyle name="20% - Énfasis6 20" xfId="4880" xr:uid="{00000000-0005-0000-0000-000075090000}"/>
    <cellStyle name="20% - Énfasis6 21" xfId="6729" xr:uid="{00000000-0005-0000-0000-000076090000}"/>
    <cellStyle name="20% - Énfasis6 22" xfId="6786" xr:uid="{00000000-0005-0000-0000-000077090000}"/>
    <cellStyle name="20% - Énfasis6 23" xfId="7275" xr:uid="{00000000-0005-0000-0000-000078090000}"/>
    <cellStyle name="20% - Énfasis6 24" xfId="22871" xr:uid="{00000000-0005-0000-0000-000079090000}"/>
    <cellStyle name="20% - Énfasis6 25" xfId="23165" xr:uid="{00000000-0005-0000-0000-00007A090000}"/>
    <cellStyle name="20% - Énfasis6 26" xfId="24555" xr:uid="{00000000-0005-0000-0000-00007B090000}"/>
    <cellStyle name="20% - Énfasis6 27" xfId="25059" xr:uid="{00000000-0005-0000-0000-00007C090000}"/>
    <cellStyle name="20% - Énfasis6 28" xfId="25563" xr:uid="{00000000-0005-0000-0000-00007D090000}"/>
    <cellStyle name="20% - Énfasis6 29" xfId="26067" xr:uid="{00000000-0005-0000-0000-00007E090000}"/>
    <cellStyle name="20% - Énfasis6 3" xfId="938" xr:uid="{00000000-0005-0000-0000-00007F090000}"/>
    <cellStyle name="20% - Énfasis6 3 2" xfId="939" xr:uid="{00000000-0005-0000-0000-000080090000}"/>
    <cellStyle name="20% - Énfasis6 3 2 2" xfId="23280" xr:uid="{00000000-0005-0000-0000-000081090000}"/>
    <cellStyle name="20% - Énfasis6 3 2 2 2" xfId="23281" xr:uid="{00000000-0005-0000-0000-000082090000}"/>
    <cellStyle name="20% - Énfasis6 3 2 3" xfId="23282" xr:uid="{00000000-0005-0000-0000-000083090000}"/>
    <cellStyle name="20% - Énfasis6 3 3" xfId="1771" xr:uid="{00000000-0005-0000-0000-000084090000}"/>
    <cellStyle name="20% - Énfasis6 3 3 2" xfId="23283" xr:uid="{00000000-0005-0000-0000-000085090000}"/>
    <cellStyle name="20% - Énfasis6 3 4" xfId="7454" xr:uid="{00000000-0005-0000-0000-000086090000}"/>
    <cellStyle name="20% - Énfasis6 30" xfId="26571" xr:uid="{00000000-0005-0000-0000-000087090000}"/>
    <cellStyle name="20% - Énfasis6 31" xfId="27075" xr:uid="{00000000-0005-0000-0000-000088090000}"/>
    <cellStyle name="20% - Énfasis6 32" xfId="27579" xr:uid="{00000000-0005-0000-0000-000089090000}"/>
    <cellStyle name="20% - Énfasis6 33" xfId="28083" xr:uid="{00000000-0005-0000-0000-00008A090000}"/>
    <cellStyle name="20% - Énfasis6 34" xfId="28587" xr:uid="{00000000-0005-0000-0000-00008B090000}"/>
    <cellStyle name="20% - Énfasis6 35" xfId="29091" xr:uid="{00000000-0005-0000-0000-00008C090000}"/>
    <cellStyle name="20% - Énfasis6 36" xfId="29595" xr:uid="{00000000-0005-0000-0000-00008D090000}"/>
    <cellStyle name="20% - Énfasis6 37" xfId="30099" xr:uid="{00000000-0005-0000-0000-00008E090000}"/>
    <cellStyle name="20% - Énfasis6 38" xfId="30604" xr:uid="{00000000-0005-0000-0000-00008F090000}"/>
    <cellStyle name="20% - Énfasis6 39" xfId="31123" xr:uid="{ECD67D32-0003-4B6F-A555-669CD08D7235}"/>
    <cellStyle name="20% - Énfasis6 4" xfId="940" xr:uid="{00000000-0005-0000-0000-000090090000}"/>
    <cellStyle name="20% - Énfasis6 4 2" xfId="941" xr:uid="{00000000-0005-0000-0000-000091090000}"/>
    <cellStyle name="20% - Énfasis6 4 3" xfId="7456" xr:uid="{00000000-0005-0000-0000-000092090000}"/>
    <cellStyle name="20% - Énfasis6 4 3 2" xfId="17926" xr:uid="{00000000-0005-0000-0000-000093090000}"/>
    <cellStyle name="20% - Énfasis6 4 4" xfId="7457" xr:uid="{00000000-0005-0000-0000-000094090000}"/>
    <cellStyle name="20% - Énfasis6 4 5" xfId="7455" xr:uid="{00000000-0005-0000-0000-000095090000}"/>
    <cellStyle name="20% - Énfasis6 4 6" xfId="17925" xr:uid="{00000000-0005-0000-0000-000096090000}"/>
    <cellStyle name="20% - Énfasis6 5" xfId="942" xr:uid="{00000000-0005-0000-0000-000097090000}"/>
    <cellStyle name="20% - Énfasis6 5 2" xfId="943" xr:uid="{00000000-0005-0000-0000-000098090000}"/>
    <cellStyle name="20% - Énfasis6 6" xfId="944" xr:uid="{00000000-0005-0000-0000-000099090000}"/>
    <cellStyle name="20% - Énfasis6 6 10" xfId="24609" xr:uid="{00000000-0005-0000-0000-00009A090000}"/>
    <cellStyle name="20% - Énfasis6 6 11" xfId="25113" xr:uid="{00000000-0005-0000-0000-00009B090000}"/>
    <cellStyle name="20% - Énfasis6 6 12" xfId="25617" xr:uid="{00000000-0005-0000-0000-00009C090000}"/>
    <cellStyle name="20% - Énfasis6 6 13" xfId="26121" xr:uid="{00000000-0005-0000-0000-00009D090000}"/>
    <cellStyle name="20% - Énfasis6 6 14" xfId="26625" xr:uid="{00000000-0005-0000-0000-00009E090000}"/>
    <cellStyle name="20% - Énfasis6 6 15" xfId="27129" xr:uid="{00000000-0005-0000-0000-00009F090000}"/>
    <cellStyle name="20% - Énfasis6 6 16" xfId="27633" xr:uid="{00000000-0005-0000-0000-0000A0090000}"/>
    <cellStyle name="20% - Énfasis6 6 17" xfId="28137" xr:uid="{00000000-0005-0000-0000-0000A1090000}"/>
    <cellStyle name="20% - Énfasis6 6 18" xfId="28641" xr:uid="{00000000-0005-0000-0000-0000A2090000}"/>
    <cellStyle name="20% - Énfasis6 6 19" xfId="29145" xr:uid="{00000000-0005-0000-0000-0000A3090000}"/>
    <cellStyle name="20% - Énfasis6 6 2" xfId="945" xr:uid="{00000000-0005-0000-0000-0000A4090000}"/>
    <cellStyle name="20% - Énfasis6 6 2 2" xfId="17928" xr:uid="{00000000-0005-0000-0000-0000A5090000}"/>
    <cellStyle name="20% - Énfasis6 6 2 3" xfId="7459" xr:uid="{00000000-0005-0000-0000-0000A6090000}"/>
    <cellStyle name="20% - Énfasis6 6 20" xfId="29649" xr:uid="{00000000-0005-0000-0000-0000A7090000}"/>
    <cellStyle name="20% - Énfasis6 6 21" xfId="30153" xr:uid="{00000000-0005-0000-0000-0000A8090000}"/>
    <cellStyle name="20% - Énfasis6 6 22" xfId="30658" xr:uid="{00000000-0005-0000-0000-0000A9090000}"/>
    <cellStyle name="20% - Énfasis6 6 3" xfId="1772" xr:uid="{00000000-0005-0000-0000-0000AA090000}"/>
    <cellStyle name="20% - Énfasis6 6 3 2" xfId="4242" xr:uid="{00000000-0005-0000-0000-0000AB090000}"/>
    <cellStyle name="20% - Énfasis6 6 3 2 2" xfId="6186" xr:uid="{00000000-0005-0000-0000-0000AC090000}"/>
    <cellStyle name="20% - Énfasis6 6 3 3" xfId="5276" xr:uid="{00000000-0005-0000-0000-0000AD090000}"/>
    <cellStyle name="20% - Énfasis6 6 3 4" xfId="7458" xr:uid="{00000000-0005-0000-0000-0000AE090000}"/>
    <cellStyle name="20% - Énfasis6 6 3 5" xfId="23285" xr:uid="{00000000-0005-0000-0000-0000AF090000}"/>
    <cellStyle name="20% - Énfasis6 6 4" xfId="2676" xr:uid="{00000000-0005-0000-0000-0000B0090000}"/>
    <cellStyle name="20% - Énfasis6 6 4 10" xfId="26626" xr:uid="{00000000-0005-0000-0000-0000B1090000}"/>
    <cellStyle name="20% - Énfasis6 6 4 11" xfId="27130" xr:uid="{00000000-0005-0000-0000-0000B2090000}"/>
    <cellStyle name="20% - Énfasis6 6 4 12" xfId="27634" xr:uid="{00000000-0005-0000-0000-0000B3090000}"/>
    <cellStyle name="20% - Énfasis6 6 4 13" xfId="28138" xr:uid="{00000000-0005-0000-0000-0000B4090000}"/>
    <cellStyle name="20% - Énfasis6 6 4 14" xfId="28642" xr:uid="{00000000-0005-0000-0000-0000B5090000}"/>
    <cellStyle name="20% - Énfasis6 6 4 15" xfId="29146" xr:uid="{00000000-0005-0000-0000-0000B6090000}"/>
    <cellStyle name="20% - Énfasis6 6 4 16" xfId="29650" xr:uid="{00000000-0005-0000-0000-0000B7090000}"/>
    <cellStyle name="20% - Énfasis6 6 4 17" xfId="30154" xr:uid="{00000000-0005-0000-0000-0000B8090000}"/>
    <cellStyle name="20% - Énfasis6 6 4 18" xfId="30659" xr:uid="{00000000-0005-0000-0000-0000B9090000}"/>
    <cellStyle name="20% - Énfasis6 6 4 2" xfId="4357" xr:uid="{00000000-0005-0000-0000-0000BA090000}"/>
    <cellStyle name="20% - Énfasis6 6 4 2 2" xfId="6227" xr:uid="{00000000-0005-0000-0000-0000BB090000}"/>
    <cellStyle name="20% - Énfasis6 6 4 3" xfId="5324" xr:uid="{00000000-0005-0000-0000-0000BC090000}"/>
    <cellStyle name="20% - Énfasis6 6 4 4" xfId="17927" xr:uid="{00000000-0005-0000-0000-0000BD090000}"/>
    <cellStyle name="20% - Énfasis6 6 4 5" xfId="23286" xr:uid="{00000000-0005-0000-0000-0000BE090000}"/>
    <cellStyle name="20% - Énfasis6 6 4 6" xfId="24610" xr:uid="{00000000-0005-0000-0000-0000BF090000}"/>
    <cellStyle name="20% - Énfasis6 6 4 7" xfId="25114" xr:uid="{00000000-0005-0000-0000-0000C0090000}"/>
    <cellStyle name="20% - Énfasis6 6 4 8" xfId="25618" xr:uid="{00000000-0005-0000-0000-0000C1090000}"/>
    <cellStyle name="20% - Énfasis6 6 4 9" xfId="26122" xr:uid="{00000000-0005-0000-0000-0000C2090000}"/>
    <cellStyle name="20% - Énfasis6 6 5" xfId="3771" xr:uid="{00000000-0005-0000-0000-0000C3090000}"/>
    <cellStyle name="20% - Énfasis6 6 6" xfId="3182" xr:uid="{00000000-0005-0000-0000-0000C4090000}"/>
    <cellStyle name="20% - Énfasis6 6 6 2" xfId="5745" xr:uid="{00000000-0005-0000-0000-0000C5090000}"/>
    <cellStyle name="20% - Énfasis6 6 7" xfId="6787" xr:uid="{00000000-0005-0000-0000-0000C6090000}"/>
    <cellStyle name="20% - Énfasis6 6 8" xfId="7113" xr:uid="{00000000-0005-0000-0000-0000C7090000}"/>
    <cellStyle name="20% - Énfasis6 6 9" xfId="23284" xr:uid="{00000000-0005-0000-0000-0000C8090000}"/>
    <cellStyle name="20% - Énfasis6 7" xfId="946" xr:uid="{00000000-0005-0000-0000-0000C9090000}"/>
    <cellStyle name="20% - Énfasis6 7 10" xfId="24611" xr:uid="{00000000-0005-0000-0000-0000CA090000}"/>
    <cellStyle name="20% - Énfasis6 7 11" xfId="25115" xr:uid="{00000000-0005-0000-0000-0000CB090000}"/>
    <cellStyle name="20% - Énfasis6 7 12" xfId="25619" xr:uid="{00000000-0005-0000-0000-0000CC090000}"/>
    <cellStyle name="20% - Énfasis6 7 13" xfId="26123" xr:uid="{00000000-0005-0000-0000-0000CD090000}"/>
    <cellStyle name="20% - Énfasis6 7 14" xfId="26627" xr:uid="{00000000-0005-0000-0000-0000CE090000}"/>
    <cellStyle name="20% - Énfasis6 7 15" xfId="27131" xr:uid="{00000000-0005-0000-0000-0000CF090000}"/>
    <cellStyle name="20% - Énfasis6 7 16" xfId="27635" xr:uid="{00000000-0005-0000-0000-0000D0090000}"/>
    <cellStyle name="20% - Énfasis6 7 17" xfId="28139" xr:uid="{00000000-0005-0000-0000-0000D1090000}"/>
    <cellStyle name="20% - Énfasis6 7 18" xfId="28643" xr:uid="{00000000-0005-0000-0000-0000D2090000}"/>
    <cellStyle name="20% - Énfasis6 7 19" xfId="29147" xr:uid="{00000000-0005-0000-0000-0000D3090000}"/>
    <cellStyle name="20% - Énfasis6 7 2" xfId="947" xr:uid="{00000000-0005-0000-0000-0000D4090000}"/>
    <cellStyle name="20% - Énfasis6 7 2 2" xfId="17930" xr:uid="{00000000-0005-0000-0000-0000D5090000}"/>
    <cellStyle name="20% - Énfasis6 7 2 3" xfId="7461" xr:uid="{00000000-0005-0000-0000-0000D6090000}"/>
    <cellStyle name="20% - Énfasis6 7 20" xfId="29651" xr:uid="{00000000-0005-0000-0000-0000D7090000}"/>
    <cellStyle name="20% - Énfasis6 7 21" xfId="30155" xr:uid="{00000000-0005-0000-0000-0000D8090000}"/>
    <cellStyle name="20% - Énfasis6 7 22" xfId="30660" xr:uid="{00000000-0005-0000-0000-0000D9090000}"/>
    <cellStyle name="20% - Énfasis6 7 3" xfId="1773" xr:uid="{00000000-0005-0000-0000-0000DA090000}"/>
    <cellStyle name="20% - Énfasis6 7 3 2" xfId="4243" xr:uid="{00000000-0005-0000-0000-0000DB090000}"/>
    <cellStyle name="20% - Énfasis6 7 3 2 2" xfId="6187" xr:uid="{00000000-0005-0000-0000-0000DC090000}"/>
    <cellStyle name="20% - Énfasis6 7 3 3" xfId="5277" xr:uid="{00000000-0005-0000-0000-0000DD090000}"/>
    <cellStyle name="20% - Énfasis6 7 3 4" xfId="7460" xr:uid="{00000000-0005-0000-0000-0000DE090000}"/>
    <cellStyle name="20% - Énfasis6 7 3 5" xfId="23288" xr:uid="{00000000-0005-0000-0000-0000DF090000}"/>
    <cellStyle name="20% - Énfasis6 7 4" xfId="2677" xr:uid="{00000000-0005-0000-0000-0000E0090000}"/>
    <cellStyle name="20% - Énfasis6 7 4 10" xfId="26628" xr:uid="{00000000-0005-0000-0000-0000E1090000}"/>
    <cellStyle name="20% - Énfasis6 7 4 11" xfId="27132" xr:uid="{00000000-0005-0000-0000-0000E2090000}"/>
    <cellStyle name="20% - Énfasis6 7 4 12" xfId="27636" xr:uid="{00000000-0005-0000-0000-0000E3090000}"/>
    <cellStyle name="20% - Énfasis6 7 4 13" xfId="28140" xr:uid="{00000000-0005-0000-0000-0000E4090000}"/>
    <cellStyle name="20% - Énfasis6 7 4 14" xfId="28644" xr:uid="{00000000-0005-0000-0000-0000E5090000}"/>
    <cellStyle name="20% - Énfasis6 7 4 15" xfId="29148" xr:uid="{00000000-0005-0000-0000-0000E6090000}"/>
    <cellStyle name="20% - Énfasis6 7 4 16" xfId="29652" xr:uid="{00000000-0005-0000-0000-0000E7090000}"/>
    <cellStyle name="20% - Énfasis6 7 4 17" xfId="30156" xr:uid="{00000000-0005-0000-0000-0000E8090000}"/>
    <cellStyle name="20% - Énfasis6 7 4 18" xfId="30661" xr:uid="{00000000-0005-0000-0000-0000E9090000}"/>
    <cellStyle name="20% - Énfasis6 7 4 2" xfId="4358" xr:uid="{00000000-0005-0000-0000-0000EA090000}"/>
    <cellStyle name="20% - Énfasis6 7 4 2 2" xfId="6228" xr:uid="{00000000-0005-0000-0000-0000EB090000}"/>
    <cellStyle name="20% - Énfasis6 7 4 3" xfId="5325" xr:uid="{00000000-0005-0000-0000-0000EC090000}"/>
    <cellStyle name="20% - Énfasis6 7 4 4" xfId="17929" xr:uid="{00000000-0005-0000-0000-0000ED090000}"/>
    <cellStyle name="20% - Énfasis6 7 4 5" xfId="23289" xr:uid="{00000000-0005-0000-0000-0000EE090000}"/>
    <cellStyle name="20% - Énfasis6 7 4 6" xfId="24612" xr:uid="{00000000-0005-0000-0000-0000EF090000}"/>
    <cellStyle name="20% - Énfasis6 7 4 7" xfId="25116" xr:uid="{00000000-0005-0000-0000-0000F0090000}"/>
    <cellStyle name="20% - Énfasis6 7 4 8" xfId="25620" xr:uid="{00000000-0005-0000-0000-0000F1090000}"/>
    <cellStyle name="20% - Énfasis6 7 4 9" xfId="26124" xr:uid="{00000000-0005-0000-0000-0000F2090000}"/>
    <cellStyle name="20% - Énfasis6 7 5" xfId="3772" xr:uid="{00000000-0005-0000-0000-0000F3090000}"/>
    <cellStyle name="20% - Énfasis6 7 6" xfId="3183" xr:uid="{00000000-0005-0000-0000-0000F4090000}"/>
    <cellStyle name="20% - Énfasis6 7 6 2" xfId="5746" xr:uid="{00000000-0005-0000-0000-0000F5090000}"/>
    <cellStyle name="20% - Énfasis6 7 7" xfId="6788" xr:uid="{00000000-0005-0000-0000-0000F6090000}"/>
    <cellStyle name="20% - Énfasis6 7 8" xfId="7112" xr:uid="{00000000-0005-0000-0000-0000F7090000}"/>
    <cellStyle name="20% - Énfasis6 7 9" xfId="23287" xr:uid="{00000000-0005-0000-0000-0000F8090000}"/>
    <cellStyle name="20% - Énfasis6 8" xfId="948" xr:uid="{00000000-0005-0000-0000-0000F9090000}"/>
    <cellStyle name="20% - Énfasis6 8 2" xfId="949" xr:uid="{00000000-0005-0000-0000-0000FA090000}"/>
    <cellStyle name="20% - Énfasis6 8 3" xfId="7447" xr:uid="{00000000-0005-0000-0000-0000FB090000}"/>
    <cellStyle name="20% - Énfasis6 9" xfId="950" xr:uid="{00000000-0005-0000-0000-0000FC090000}"/>
    <cellStyle name="20% - Énfasis6 9 10" xfId="4952" xr:uid="{00000000-0005-0000-0000-0000FD090000}"/>
    <cellStyle name="20% - Énfasis6 9 11" xfId="6733" xr:uid="{00000000-0005-0000-0000-0000FE090000}"/>
    <cellStyle name="20% - Énfasis6 9 12" xfId="17924" xr:uid="{00000000-0005-0000-0000-0000FF090000}"/>
    <cellStyle name="20% - Énfasis6 9 13" xfId="22874" xr:uid="{00000000-0005-0000-0000-0000000A0000}"/>
    <cellStyle name="20% - Énfasis6 9 14" xfId="23290" xr:uid="{00000000-0005-0000-0000-0000010A0000}"/>
    <cellStyle name="20% - Énfasis6 9 15" xfId="24613" xr:uid="{00000000-0005-0000-0000-0000020A0000}"/>
    <cellStyle name="20% - Énfasis6 9 16" xfId="25117" xr:uid="{00000000-0005-0000-0000-0000030A0000}"/>
    <cellStyle name="20% - Énfasis6 9 17" xfId="25621" xr:uid="{00000000-0005-0000-0000-0000040A0000}"/>
    <cellStyle name="20% - Énfasis6 9 18" xfId="26125" xr:uid="{00000000-0005-0000-0000-0000050A0000}"/>
    <cellStyle name="20% - Énfasis6 9 19" xfId="26629" xr:uid="{00000000-0005-0000-0000-0000060A0000}"/>
    <cellStyle name="20% - Énfasis6 9 2" xfId="1449" xr:uid="{00000000-0005-0000-0000-0000070A0000}"/>
    <cellStyle name="20% - Énfasis6 9 2 10" xfId="26126" xr:uid="{00000000-0005-0000-0000-0000080A0000}"/>
    <cellStyle name="20% - Énfasis6 9 2 11" xfId="26630" xr:uid="{00000000-0005-0000-0000-0000090A0000}"/>
    <cellStyle name="20% - Énfasis6 9 2 12" xfId="27134" xr:uid="{00000000-0005-0000-0000-00000A0A0000}"/>
    <cellStyle name="20% - Énfasis6 9 2 13" xfId="27638" xr:uid="{00000000-0005-0000-0000-00000B0A0000}"/>
    <cellStyle name="20% - Énfasis6 9 2 14" xfId="28142" xr:uid="{00000000-0005-0000-0000-00000C0A0000}"/>
    <cellStyle name="20% - Énfasis6 9 2 15" xfId="28646" xr:uid="{00000000-0005-0000-0000-00000D0A0000}"/>
    <cellStyle name="20% - Énfasis6 9 2 16" xfId="29150" xr:uid="{00000000-0005-0000-0000-00000E0A0000}"/>
    <cellStyle name="20% - Énfasis6 9 2 17" xfId="29654" xr:uid="{00000000-0005-0000-0000-00000F0A0000}"/>
    <cellStyle name="20% - Énfasis6 9 2 18" xfId="30158" xr:uid="{00000000-0005-0000-0000-0000100A0000}"/>
    <cellStyle name="20% - Énfasis6 9 2 19" xfId="30663" xr:uid="{00000000-0005-0000-0000-0000110A0000}"/>
    <cellStyle name="20% - Énfasis6 9 2 2" xfId="1586" xr:uid="{00000000-0005-0000-0000-0000120A0000}"/>
    <cellStyle name="20% - Énfasis6 9 2 2 2" xfId="3013" xr:uid="{00000000-0005-0000-0000-0000130A0000}"/>
    <cellStyle name="20% - Énfasis6 9 2 2 2 2" xfId="4632" xr:uid="{00000000-0005-0000-0000-0000140A0000}"/>
    <cellStyle name="20% - Énfasis6 9 2 2 2 2 2" xfId="6499" xr:uid="{00000000-0005-0000-0000-0000150A0000}"/>
    <cellStyle name="20% - Énfasis6 9 2 2 2 3" xfId="5597" xr:uid="{00000000-0005-0000-0000-0000160A0000}"/>
    <cellStyle name="20% - Énfasis6 9 2 2 3" xfId="4105" xr:uid="{00000000-0005-0000-0000-0000170A0000}"/>
    <cellStyle name="20% - Énfasis6 9 2 2 3 2" xfId="6053" xr:uid="{00000000-0005-0000-0000-0000180A0000}"/>
    <cellStyle name="20% - Énfasis6 9 2 2 4" xfId="5139" xr:uid="{00000000-0005-0000-0000-0000190A0000}"/>
    <cellStyle name="20% - Énfasis6 9 2 3" xfId="2883" xr:uid="{00000000-0005-0000-0000-00001A0A0000}"/>
    <cellStyle name="20% - Énfasis6 9 2 3 2" xfId="4502" xr:uid="{00000000-0005-0000-0000-00001B0A0000}"/>
    <cellStyle name="20% - Énfasis6 9 2 3 2 2" xfId="6369" xr:uid="{00000000-0005-0000-0000-00001C0A0000}"/>
    <cellStyle name="20% - Énfasis6 9 2 3 3" xfId="5467" xr:uid="{00000000-0005-0000-0000-00001D0A0000}"/>
    <cellStyle name="20% - Énfasis6 9 2 4" xfId="3970" xr:uid="{00000000-0005-0000-0000-00001E0A0000}"/>
    <cellStyle name="20% - Énfasis6 9 2 4 2" xfId="5924" xr:uid="{00000000-0005-0000-0000-00001F0A0000}"/>
    <cellStyle name="20% - Énfasis6 9 2 5" xfId="5009" xr:uid="{00000000-0005-0000-0000-0000200A0000}"/>
    <cellStyle name="20% - Énfasis6 9 2 6" xfId="23291" xr:uid="{00000000-0005-0000-0000-0000210A0000}"/>
    <cellStyle name="20% - Énfasis6 9 2 7" xfId="24614" xr:uid="{00000000-0005-0000-0000-0000220A0000}"/>
    <cellStyle name="20% - Énfasis6 9 2 8" xfId="25118" xr:uid="{00000000-0005-0000-0000-0000230A0000}"/>
    <cellStyle name="20% - Énfasis6 9 2 9" xfId="25622" xr:uid="{00000000-0005-0000-0000-0000240A0000}"/>
    <cellStyle name="20% - Énfasis6 9 20" xfId="27133" xr:uid="{00000000-0005-0000-0000-0000250A0000}"/>
    <cellStyle name="20% - Énfasis6 9 21" xfId="27637" xr:uid="{00000000-0005-0000-0000-0000260A0000}"/>
    <cellStyle name="20% - Énfasis6 9 22" xfId="28141" xr:uid="{00000000-0005-0000-0000-0000270A0000}"/>
    <cellStyle name="20% - Énfasis6 9 23" xfId="28645" xr:uid="{00000000-0005-0000-0000-0000280A0000}"/>
    <cellStyle name="20% - Énfasis6 9 24" xfId="29149" xr:uid="{00000000-0005-0000-0000-0000290A0000}"/>
    <cellStyle name="20% - Énfasis6 9 25" xfId="29653" xr:uid="{00000000-0005-0000-0000-00002A0A0000}"/>
    <cellStyle name="20% - Énfasis6 9 26" xfId="30157" xr:uid="{00000000-0005-0000-0000-00002B0A0000}"/>
    <cellStyle name="20% - Énfasis6 9 27" xfId="30662" xr:uid="{00000000-0005-0000-0000-00002C0A0000}"/>
    <cellStyle name="20% - Énfasis6 9 3" xfId="1488" xr:uid="{00000000-0005-0000-0000-00002D0A0000}"/>
    <cellStyle name="20% - Énfasis6 9 3 2" xfId="1587" xr:uid="{00000000-0005-0000-0000-00002E0A0000}"/>
    <cellStyle name="20% - Énfasis6 9 3 2 2" xfId="3014" xr:uid="{00000000-0005-0000-0000-00002F0A0000}"/>
    <cellStyle name="20% - Énfasis6 9 3 2 2 2" xfId="4633" xr:uid="{00000000-0005-0000-0000-0000300A0000}"/>
    <cellStyle name="20% - Énfasis6 9 3 2 2 2 2" xfId="6500" xr:uid="{00000000-0005-0000-0000-0000310A0000}"/>
    <cellStyle name="20% - Énfasis6 9 3 2 2 3" xfId="5598" xr:uid="{00000000-0005-0000-0000-0000320A0000}"/>
    <cellStyle name="20% - Énfasis6 9 3 2 3" xfId="4106" xr:uid="{00000000-0005-0000-0000-0000330A0000}"/>
    <cellStyle name="20% - Énfasis6 9 3 2 3 2" xfId="6054" xr:uid="{00000000-0005-0000-0000-0000340A0000}"/>
    <cellStyle name="20% - Énfasis6 9 3 2 4" xfId="5140" xr:uid="{00000000-0005-0000-0000-0000350A0000}"/>
    <cellStyle name="20% - Énfasis6 9 3 3" xfId="2922" xr:uid="{00000000-0005-0000-0000-0000360A0000}"/>
    <cellStyle name="20% - Énfasis6 9 3 3 2" xfId="4541" xr:uid="{00000000-0005-0000-0000-0000370A0000}"/>
    <cellStyle name="20% - Énfasis6 9 3 3 2 2" xfId="6408" xr:uid="{00000000-0005-0000-0000-0000380A0000}"/>
    <cellStyle name="20% - Énfasis6 9 3 3 3" xfId="5506" xr:uid="{00000000-0005-0000-0000-0000390A0000}"/>
    <cellStyle name="20% - Énfasis6 9 3 4" xfId="4009" xr:uid="{00000000-0005-0000-0000-00003A0A0000}"/>
    <cellStyle name="20% - Énfasis6 9 3 4 2" xfId="5963" xr:uid="{00000000-0005-0000-0000-00003B0A0000}"/>
    <cellStyle name="20% - Énfasis6 9 3 5" xfId="5048" xr:uid="{00000000-0005-0000-0000-00003C0A0000}"/>
    <cellStyle name="20% - Énfasis6 9 4" xfId="1588" xr:uid="{00000000-0005-0000-0000-00003D0A0000}"/>
    <cellStyle name="20% - Énfasis6 9 4 2" xfId="3015" xr:uid="{00000000-0005-0000-0000-00003E0A0000}"/>
    <cellStyle name="20% - Énfasis6 9 4 2 2" xfId="4634" xr:uid="{00000000-0005-0000-0000-00003F0A0000}"/>
    <cellStyle name="20% - Énfasis6 9 4 2 2 2" xfId="6501" xr:uid="{00000000-0005-0000-0000-0000400A0000}"/>
    <cellStyle name="20% - Énfasis6 9 4 2 3" xfId="5599" xr:uid="{00000000-0005-0000-0000-0000410A0000}"/>
    <cellStyle name="20% - Énfasis6 9 4 3" xfId="4107" xr:uid="{00000000-0005-0000-0000-0000420A0000}"/>
    <cellStyle name="20% - Énfasis6 9 4 3 2" xfId="6055" xr:uid="{00000000-0005-0000-0000-0000430A0000}"/>
    <cellStyle name="20% - Énfasis6 9 4 4" xfId="5141" xr:uid="{00000000-0005-0000-0000-0000440A0000}"/>
    <cellStyle name="20% - Énfasis6 9 5" xfId="1589" xr:uid="{00000000-0005-0000-0000-0000450A0000}"/>
    <cellStyle name="20% - Énfasis6 9 5 2" xfId="3016" xr:uid="{00000000-0005-0000-0000-0000460A0000}"/>
    <cellStyle name="20% - Énfasis6 9 5 2 2" xfId="4635" xr:uid="{00000000-0005-0000-0000-0000470A0000}"/>
    <cellStyle name="20% - Énfasis6 9 5 2 2 2" xfId="6502" xr:uid="{00000000-0005-0000-0000-0000480A0000}"/>
    <cellStyle name="20% - Énfasis6 9 5 2 3" xfId="5600" xr:uid="{00000000-0005-0000-0000-0000490A0000}"/>
    <cellStyle name="20% - Énfasis6 9 5 3" xfId="4108" xr:uid="{00000000-0005-0000-0000-00004A0A0000}"/>
    <cellStyle name="20% - Énfasis6 9 5 3 2" xfId="6056" xr:uid="{00000000-0005-0000-0000-00004B0A0000}"/>
    <cellStyle name="20% - Énfasis6 9 5 4" xfId="5142" xr:uid="{00000000-0005-0000-0000-00004C0A0000}"/>
    <cellStyle name="20% - Énfasis6 9 6" xfId="2824" xr:uid="{00000000-0005-0000-0000-00004D0A0000}"/>
    <cellStyle name="20% - Énfasis6 9 6 2" xfId="4444" xr:uid="{00000000-0005-0000-0000-00004E0A0000}"/>
    <cellStyle name="20% - Énfasis6 9 6 2 2" xfId="6312" xr:uid="{00000000-0005-0000-0000-00004F0A0000}"/>
    <cellStyle name="20% - Énfasis6 9 6 3" xfId="5410" xr:uid="{00000000-0005-0000-0000-0000500A0000}"/>
    <cellStyle name="20% - Énfasis6 9 7" xfId="3773" xr:uid="{00000000-0005-0000-0000-0000510A0000}"/>
    <cellStyle name="20% - Énfasis6 9 7 2" xfId="5868" xr:uid="{00000000-0005-0000-0000-0000520A0000}"/>
    <cellStyle name="20% - Énfasis6 9 8" xfId="4803" xr:uid="{00000000-0005-0000-0000-0000530A0000}"/>
    <cellStyle name="20% - Énfasis6 9 8 2" xfId="6648" xr:uid="{00000000-0005-0000-0000-0000540A0000}"/>
    <cellStyle name="20% - Énfasis6 9 9" xfId="4847" xr:uid="{00000000-0005-0000-0000-0000550A0000}"/>
    <cellStyle name="20% - Énfasis6 9 9 2" xfId="6690" xr:uid="{00000000-0005-0000-0000-0000560A0000}"/>
    <cellStyle name="20% - アクセント 1" xfId="25" xr:uid="{00000000-0005-0000-0000-0000570A0000}"/>
    <cellStyle name="20% - アクセント 1 2" xfId="472" xr:uid="{00000000-0005-0000-0000-0000580A0000}"/>
    <cellStyle name="20% - アクセント 1 2 2" xfId="1775" xr:uid="{00000000-0005-0000-0000-0000590A0000}"/>
    <cellStyle name="20% - アクセント 1 2 3" xfId="1774" xr:uid="{00000000-0005-0000-0000-00005A0A0000}"/>
    <cellStyle name="20% - アクセント 1 3" xfId="471" xr:uid="{00000000-0005-0000-0000-00005B0A0000}"/>
    <cellStyle name="20% - アクセント 1 3 2" xfId="1776" xr:uid="{00000000-0005-0000-0000-00005C0A0000}"/>
    <cellStyle name="20% - アクセント 1 3 2 2" xfId="23292" xr:uid="{00000000-0005-0000-0000-00005D0A0000}"/>
    <cellStyle name="20% - アクセント 1 3 3" xfId="3650" xr:uid="{00000000-0005-0000-0000-00005E0A0000}"/>
    <cellStyle name="20% - アクセント 1 4" xfId="2734" xr:uid="{00000000-0005-0000-0000-00005F0A0000}"/>
    <cellStyle name="20% - アクセント 2" xfId="26" xr:uid="{00000000-0005-0000-0000-0000600A0000}"/>
    <cellStyle name="20% - アクセント 2 2" xfId="474" xr:uid="{00000000-0005-0000-0000-0000610A0000}"/>
    <cellStyle name="20% - アクセント 2 2 2" xfId="1778" xr:uid="{00000000-0005-0000-0000-0000620A0000}"/>
    <cellStyle name="20% - アクセント 2 2 3" xfId="1777" xr:uid="{00000000-0005-0000-0000-0000630A0000}"/>
    <cellStyle name="20% - アクセント 2 3" xfId="473" xr:uid="{00000000-0005-0000-0000-0000640A0000}"/>
    <cellStyle name="20% - アクセント 2 3 2" xfId="1779" xr:uid="{00000000-0005-0000-0000-0000650A0000}"/>
    <cellStyle name="20% - アクセント 2 3 2 2" xfId="23293" xr:uid="{00000000-0005-0000-0000-0000660A0000}"/>
    <cellStyle name="20% - アクセント 2 3 3" xfId="3651" xr:uid="{00000000-0005-0000-0000-0000670A0000}"/>
    <cellStyle name="20% - アクセント 2 4" xfId="2735" xr:uid="{00000000-0005-0000-0000-0000680A0000}"/>
    <cellStyle name="20% - アクセント 3" xfId="27" xr:uid="{00000000-0005-0000-0000-0000690A0000}"/>
    <cellStyle name="20% - アクセント 3 2" xfId="476" xr:uid="{00000000-0005-0000-0000-00006A0A0000}"/>
    <cellStyle name="20% - アクセント 3 2 2" xfId="1781" xr:uid="{00000000-0005-0000-0000-00006B0A0000}"/>
    <cellStyle name="20% - アクセント 3 2 3" xfId="1780" xr:uid="{00000000-0005-0000-0000-00006C0A0000}"/>
    <cellStyle name="20% - アクセント 3 3" xfId="475" xr:uid="{00000000-0005-0000-0000-00006D0A0000}"/>
    <cellStyle name="20% - アクセント 3 3 2" xfId="1782" xr:uid="{00000000-0005-0000-0000-00006E0A0000}"/>
    <cellStyle name="20% - アクセント 3 3 2 2" xfId="23294" xr:uid="{00000000-0005-0000-0000-00006F0A0000}"/>
    <cellStyle name="20% - アクセント 3 3 3" xfId="3652" xr:uid="{00000000-0005-0000-0000-0000700A0000}"/>
    <cellStyle name="20% - アクセント 3 4" xfId="2736" xr:uid="{00000000-0005-0000-0000-0000710A0000}"/>
    <cellStyle name="20% - アクセント 4" xfId="28" xr:uid="{00000000-0005-0000-0000-0000720A0000}"/>
    <cellStyle name="20% - アクセント 4 2" xfId="478" xr:uid="{00000000-0005-0000-0000-0000730A0000}"/>
    <cellStyle name="20% - アクセント 4 2 2" xfId="1784" xr:uid="{00000000-0005-0000-0000-0000740A0000}"/>
    <cellStyle name="20% - アクセント 4 2 3" xfId="1783" xr:uid="{00000000-0005-0000-0000-0000750A0000}"/>
    <cellStyle name="20% - アクセント 4 3" xfId="477" xr:uid="{00000000-0005-0000-0000-0000760A0000}"/>
    <cellStyle name="20% - アクセント 4 3 2" xfId="1785" xr:uid="{00000000-0005-0000-0000-0000770A0000}"/>
    <cellStyle name="20% - アクセント 4 3 2 2" xfId="23295" xr:uid="{00000000-0005-0000-0000-0000780A0000}"/>
    <cellStyle name="20% - アクセント 4 3 3" xfId="3653" xr:uid="{00000000-0005-0000-0000-0000790A0000}"/>
    <cellStyle name="20% - アクセント 4 4" xfId="2737" xr:uid="{00000000-0005-0000-0000-00007A0A0000}"/>
    <cellStyle name="20% - アクセント 5" xfId="29" xr:uid="{00000000-0005-0000-0000-00007B0A0000}"/>
    <cellStyle name="20% - アクセント 5 2" xfId="480" xr:uid="{00000000-0005-0000-0000-00007C0A0000}"/>
    <cellStyle name="20% - アクセント 5 2 2" xfId="1787" xr:uid="{00000000-0005-0000-0000-00007D0A0000}"/>
    <cellStyle name="20% - アクセント 5 2 3" xfId="1786" xr:uid="{00000000-0005-0000-0000-00007E0A0000}"/>
    <cellStyle name="20% - アクセント 5 3" xfId="479" xr:uid="{00000000-0005-0000-0000-00007F0A0000}"/>
    <cellStyle name="20% - アクセント 5 3 2" xfId="1788" xr:uid="{00000000-0005-0000-0000-0000800A0000}"/>
    <cellStyle name="20% - アクセント 5 3 2 2" xfId="23296" xr:uid="{00000000-0005-0000-0000-0000810A0000}"/>
    <cellStyle name="20% - アクセント 5 3 3" xfId="3654" xr:uid="{00000000-0005-0000-0000-0000820A0000}"/>
    <cellStyle name="20% - アクセント 5 4" xfId="2738" xr:uid="{00000000-0005-0000-0000-0000830A0000}"/>
    <cellStyle name="20% - アクセント 6" xfId="30" xr:uid="{00000000-0005-0000-0000-0000840A0000}"/>
    <cellStyle name="20% - アクセント 6 2" xfId="482" xr:uid="{00000000-0005-0000-0000-0000850A0000}"/>
    <cellStyle name="20% - アクセント 6 2 2" xfId="1790" xr:uid="{00000000-0005-0000-0000-0000860A0000}"/>
    <cellStyle name="20% - アクセント 6 2 3" xfId="1789" xr:uid="{00000000-0005-0000-0000-0000870A0000}"/>
    <cellStyle name="20% - アクセント 6 3" xfId="481" xr:uid="{00000000-0005-0000-0000-0000880A0000}"/>
    <cellStyle name="20% - アクセント 6 3 2" xfId="1791" xr:uid="{00000000-0005-0000-0000-0000890A0000}"/>
    <cellStyle name="20% - アクセント 6 3 2 2" xfId="23297" xr:uid="{00000000-0005-0000-0000-00008A0A0000}"/>
    <cellStyle name="20% - アクセント 6 3 3" xfId="3655" xr:uid="{00000000-0005-0000-0000-00008B0A0000}"/>
    <cellStyle name="20% - アクセント 6 4" xfId="2739" xr:uid="{00000000-0005-0000-0000-00008C0A0000}"/>
    <cellStyle name="40% - Accent1" xfId="31" xr:uid="{00000000-0005-0000-0000-00008D0A0000}"/>
    <cellStyle name="40% - Accent1 2" xfId="32" xr:uid="{00000000-0005-0000-0000-00008E0A0000}"/>
    <cellStyle name="40% - Accent1 2 2" xfId="952" xr:uid="{00000000-0005-0000-0000-00008F0A0000}"/>
    <cellStyle name="40% - Accent1 2 2 2" xfId="1792" xr:uid="{00000000-0005-0000-0000-0000900A0000}"/>
    <cellStyle name="40% - Accent1 2 2 2 2" xfId="23298" xr:uid="{00000000-0005-0000-0000-0000910A0000}"/>
    <cellStyle name="40% - Accent1 2 2 3" xfId="3775" xr:uid="{00000000-0005-0000-0000-0000920A0000}"/>
    <cellStyle name="40% - Accent1 2 3" xfId="1793" xr:uid="{00000000-0005-0000-0000-0000930A0000}"/>
    <cellStyle name="40% - Accent1 2 4" xfId="7462" xr:uid="{00000000-0005-0000-0000-0000940A0000}"/>
    <cellStyle name="40% - Accent1 3" xfId="951" xr:uid="{00000000-0005-0000-0000-0000950A0000}"/>
    <cellStyle name="40% - Accent1 3 2" xfId="1795" xr:uid="{00000000-0005-0000-0000-0000960A0000}"/>
    <cellStyle name="40% - Accent1 3 3" xfId="1794" xr:uid="{00000000-0005-0000-0000-0000970A0000}"/>
    <cellStyle name="40% - Accent1 3 3 2" xfId="23299" xr:uid="{00000000-0005-0000-0000-0000980A0000}"/>
    <cellStyle name="40% - Accent1 3 4" xfId="3774" xr:uid="{00000000-0005-0000-0000-0000990A0000}"/>
    <cellStyle name="40% - Accent1 4" xfId="1796" xr:uid="{00000000-0005-0000-0000-00009A0A0000}"/>
    <cellStyle name="40% - Accent1 5" xfId="7463" xr:uid="{00000000-0005-0000-0000-00009B0A0000}"/>
    <cellStyle name="40% - Accent1_Xl0000150" xfId="435" xr:uid="{00000000-0005-0000-0000-00009C0A0000}"/>
    <cellStyle name="40% - Accent2" xfId="33" xr:uid="{00000000-0005-0000-0000-00009D0A0000}"/>
    <cellStyle name="40% - Accent2 2" xfId="34" xr:uid="{00000000-0005-0000-0000-00009E0A0000}"/>
    <cellStyle name="40% - Accent2 2 2" xfId="954" xr:uid="{00000000-0005-0000-0000-00009F0A0000}"/>
    <cellStyle name="40% - Accent2 2 2 2" xfId="1797" xr:uid="{00000000-0005-0000-0000-0000A00A0000}"/>
    <cellStyle name="40% - Accent2 2 2 2 2" xfId="23300" xr:uid="{00000000-0005-0000-0000-0000A10A0000}"/>
    <cellStyle name="40% - Accent2 2 2 3" xfId="3777" xr:uid="{00000000-0005-0000-0000-0000A20A0000}"/>
    <cellStyle name="40% - Accent2 2 3" xfId="1798" xr:uid="{00000000-0005-0000-0000-0000A30A0000}"/>
    <cellStyle name="40% - Accent2 2 4" xfId="7464" xr:uid="{00000000-0005-0000-0000-0000A40A0000}"/>
    <cellStyle name="40% - Accent2 3" xfId="953" xr:uid="{00000000-0005-0000-0000-0000A50A0000}"/>
    <cellStyle name="40% - Accent2 3 2" xfId="1800" xr:uid="{00000000-0005-0000-0000-0000A60A0000}"/>
    <cellStyle name="40% - Accent2 3 3" xfId="1799" xr:uid="{00000000-0005-0000-0000-0000A70A0000}"/>
    <cellStyle name="40% - Accent2 3 3 2" xfId="23301" xr:uid="{00000000-0005-0000-0000-0000A80A0000}"/>
    <cellStyle name="40% - Accent2 3 4" xfId="3776" xr:uid="{00000000-0005-0000-0000-0000A90A0000}"/>
    <cellStyle name="40% - Accent2 4" xfId="1801" xr:uid="{00000000-0005-0000-0000-0000AA0A0000}"/>
    <cellStyle name="40% - Accent2 5" xfId="7465" xr:uid="{00000000-0005-0000-0000-0000AB0A0000}"/>
    <cellStyle name="40% - Accent2_Xl0000150" xfId="436" xr:uid="{00000000-0005-0000-0000-0000AC0A0000}"/>
    <cellStyle name="40% - Accent3" xfId="35" xr:uid="{00000000-0005-0000-0000-0000AD0A0000}"/>
    <cellStyle name="40% - Accent3 2" xfId="36" xr:uid="{00000000-0005-0000-0000-0000AE0A0000}"/>
    <cellStyle name="40% - Accent3 2 2" xfId="956" xr:uid="{00000000-0005-0000-0000-0000AF0A0000}"/>
    <cellStyle name="40% - Accent3 2 2 2" xfId="1802" xr:uid="{00000000-0005-0000-0000-0000B00A0000}"/>
    <cellStyle name="40% - Accent3 2 2 2 2" xfId="23302" xr:uid="{00000000-0005-0000-0000-0000B10A0000}"/>
    <cellStyle name="40% - Accent3 2 2 3" xfId="3779" xr:uid="{00000000-0005-0000-0000-0000B20A0000}"/>
    <cellStyle name="40% - Accent3 2 3" xfId="1803" xr:uid="{00000000-0005-0000-0000-0000B30A0000}"/>
    <cellStyle name="40% - Accent3 2 4" xfId="7466" xr:uid="{00000000-0005-0000-0000-0000B40A0000}"/>
    <cellStyle name="40% - Accent3 3" xfId="955" xr:uid="{00000000-0005-0000-0000-0000B50A0000}"/>
    <cellStyle name="40% - Accent3 3 2" xfId="1805" xr:uid="{00000000-0005-0000-0000-0000B60A0000}"/>
    <cellStyle name="40% - Accent3 3 3" xfId="1804" xr:uid="{00000000-0005-0000-0000-0000B70A0000}"/>
    <cellStyle name="40% - Accent3 3 3 2" xfId="23303" xr:uid="{00000000-0005-0000-0000-0000B80A0000}"/>
    <cellStyle name="40% - Accent3 3 4" xfId="3778" xr:uid="{00000000-0005-0000-0000-0000B90A0000}"/>
    <cellStyle name="40% - Accent3 4" xfId="1806" xr:uid="{00000000-0005-0000-0000-0000BA0A0000}"/>
    <cellStyle name="40% - Accent3 5" xfId="7467" xr:uid="{00000000-0005-0000-0000-0000BB0A0000}"/>
    <cellStyle name="40% - Accent3_Xl0000150" xfId="437" xr:uid="{00000000-0005-0000-0000-0000BC0A0000}"/>
    <cellStyle name="40% - Accent4" xfId="37" xr:uid="{00000000-0005-0000-0000-0000BD0A0000}"/>
    <cellStyle name="40% - Accent4 2" xfId="38" xr:uid="{00000000-0005-0000-0000-0000BE0A0000}"/>
    <cellStyle name="40% - Accent4 2 2" xfId="958" xr:uid="{00000000-0005-0000-0000-0000BF0A0000}"/>
    <cellStyle name="40% - Accent4 2 2 2" xfId="1807" xr:uid="{00000000-0005-0000-0000-0000C00A0000}"/>
    <cellStyle name="40% - Accent4 2 2 2 2" xfId="23304" xr:uid="{00000000-0005-0000-0000-0000C10A0000}"/>
    <cellStyle name="40% - Accent4 2 2 3" xfId="3781" xr:uid="{00000000-0005-0000-0000-0000C20A0000}"/>
    <cellStyle name="40% - Accent4 2 3" xfId="1808" xr:uid="{00000000-0005-0000-0000-0000C30A0000}"/>
    <cellStyle name="40% - Accent4 2 4" xfId="7468" xr:uid="{00000000-0005-0000-0000-0000C40A0000}"/>
    <cellStyle name="40% - Accent4 3" xfId="957" xr:uid="{00000000-0005-0000-0000-0000C50A0000}"/>
    <cellStyle name="40% - Accent4 3 2" xfId="1810" xr:uid="{00000000-0005-0000-0000-0000C60A0000}"/>
    <cellStyle name="40% - Accent4 3 3" xfId="1809" xr:uid="{00000000-0005-0000-0000-0000C70A0000}"/>
    <cellStyle name="40% - Accent4 3 3 2" xfId="23305" xr:uid="{00000000-0005-0000-0000-0000C80A0000}"/>
    <cellStyle name="40% - Accent4 3 4" xfId="3780" xr:uid="{00000000-0005-0000-0000-0000C90A0000}"/>
    <cellStyle name="40% - Accent4 4" xfId="1811" xr:uid="{00000000-0005-0000-0000-0000CA0A0000}"/>
    <cellStyle name="40% - Accent4 5" xfId="7469" xr:uid="{00000000-0005-0000-0000-0000CB0A0000}"/>
    <cellStyle name="40% - Accent4_Xl0000150" xfId="438" xr:uid="{00000000-0005-0000-0000-0000CC0A0000}"/>
    <cellStyle name="40% - Accent5" xfId="39" xr:uid="{00000000-0005-0000-0000-0000CD0A0000}"/>
    <cellStyle name="40% - Accent5 2" xfId="40" xr:uid="{00000000-0005-0000-0000-0000CE0A0000}"/>
    <cellStyle name="40% - Accent5 2 2" xfId="960" xr:uid="{00000000-0005-0000-0000-0000CF0A0000}"/>
    <cellStyle name="40% - Accent5 2 2 2" xfId="1812" xr:uid="{00000000-0005-0000-0000-0000D00A0000}"/>
    <cellStyle name="40% - Accent5 2 2 2 2" xfId="23306" xr:uid="{00000000-0005-0000-0000-0000D10A0000}"/>
    <cellStyle name="40% - Accent5 2 2 3" xfId="3783" xr:uid="{00000000-0005-0000-0000-0000D20A0000}"/>
    <cellStyle name="40% - Accent5 2 3" xfId="1813" xr:uid="{00000000-0005-0000-0000-0000D30A0000}"/>
    <cellStyle name="40% - Accent5 2 4" xfId="7470" xr:uid="{00000000-0005-0000-0000-0000D40A0000}"/>
    <cellStyle name="40% - Accent5 3" xfId="959" xr:uid="{00000000-0005-0000-0000-0000D50A0000}"/>
    <cellStyle name="40% - Accent5 3 2" xfId="1815" xr:uid="{00000000-0005-0000-0000-0000D60A0000}"/>
    <cellStyle name="40% - Accent5 3 3" xfId="1814" xr:uid="{00000000-0005-0000-0000-0000D70A0000}"/>
    <cellStyle name="40% - Accent5 3 3 2" xfId="23307" xr:uid="{00000000-0005-0000-0000-0000D80A0000}"/>
    <cellStyle name="40% - Accent5 3 4" xfId="3782" xr:uid="{00000000-0005-0000-0000-0000D90A0000}"/>
    <cellStyle name="40% - Accent5 4" xfId="1816" xr:uid="{00000000-0005-0000-0000-0000DA0A0000}"/>
    <cellStyle name="40% - Accent5 5" xfId="7471" xr:uid="{00000000-0005-0000-0000-0000DB0A0000}"/>
    <cellStyle name="40% - Accent5_Xl0000150" xfId="439" xr:uid="{00000000-0005-0000-0000-0000DC0A0000}"/>
    <cellStyle name="40% - Accent6" xfId="41" xr:uid="{00000000-0005-0000-0000-0000DD0A0000}"/>
    <cellStyle name="40% - Accent6 2" xfId="42" xr:uid="{00000000-0005-0000-0000-0000DE0A0000}"/>
    <cellStyle name="40% - Accent6 2 2" xfId="962" xr:uid="{00000000-0005-0000-0000-0000DF0A0000}"/>
    <cellStyle name="40% - Accent6 2 2 2" xfId="1817" xr:uid="{00000000-0005-0000-0000-0000E00A0000}"/>
    <cellStyle name="40% - Accent6 2 2 2 2" xfId="23308" xr:uid="{00000000-0005-0000-0000-0000E10A0000}"/>
    <cellStyle name="40% - Accent6 2 2 3" xfId="3785" xr:uid="{00000000-0005-0000-0000-0000E20A0000}"/>
    <cellStyle name="40% - Accent6 2 3" xfId="1818" xr:uid="{00000000-0005-0000-0000-0000E30A0000}"/>
    <cellStyle name="40% - Accent6 2 4" xfId="7472" xr:uid="{00000000-0005-0000-0000-0000E40A0000}"/>
    <cellStyle name="40% - Accent6 3" xfId="961" xr:uid="{00000000-0005-0000-0000-0000E50A0000}"/>
    <cellStyle name="40% - Accent6 3 2" xfId="1820" xr:uid="{00000000-0005-0000-0000-0000E60A0000}"/>
    <cellStyle name="40% - Accent6 3 3" xfId="1819" xr:uid="{00000000-0005-0000-0000-0000E70A0000}"/>
    <cellStyle name="40% - Accent6 3 3 2" xfId="23309" xr:uid="{00000000-0005-0000-0000-0000E80A0000}"/>
    <cellStyle name="40% - Accent6 3 4" xfId="3784" xr:uid="{00000000-0005-0000-0000-0000E90A0000}"/>
    <cellStyle name="40% - Accent6 4" xfId="1821" xr:uid="{00000000-0005-0000-0000-0000EA0A0000}"/>
    <cellStyle name="40% - Accent6 5" xfId="7473" xr:uid="{00000000-0005-0000-0000-0000EB0A0000}"/>
    <cellStyle name="40% - Accent6_Xl0000150" xfId="440" xr:uid="{00000000-0005-0000-0000-0000EC0A0000}"/>
    <cellStyle name="40% - Énfasis1" xfId="43" builtinId="31" customBuiltin="1"/>
    <cellStyle name="40% - Énfasis1 10" xfId="964" xr:uid="{00000000-0005-0000-0000-0000EE0A0000}"/>
    <cellStyle name="40% - Énfasis1 10 10" xfId="4954" xr:uid="{00000000-0005-0000-0000-0000EF0A0000}"/>
    <cellStyle name="40% - Énfasis1 10 11" xfId="6735" xr:uid="{00000000-0005-0000-0000-0000F00A0000}"/>
    <cellStyle name="40% - Énfasis1 10 12" xfId="22876" xr:uid="{00000000-0005-0000-0000-0000F10A0000}"/>
    <cellStyle name="40% - Énfasis1 10 13" xfId="23310" xr:uid="{00000000-0005-0000-0000-0000F20A0000}"/>
    <cellStyle name="40% - Énfasis1 10 14" xfId="24615" xr:uid="{00000000-0005-0000-0000-0000F30A0000}"/>
    <cellStyle name="40% - Énfasis1 10 15" xfId="25119" xr:uid="{00000000-0005-0000-0000-0000F40A0000}"/>
    <cellStyle name="40% - Énfasis1 10 16" xfId="25623" xr:uid="{00000000-0005-0000-0000-0000F50A0000}"/>
    <cellStyle name="40% - Énfasis1 10 17" xfId="26127" xr:uid="{00000000-0005-0000-0000-0000F60A0000}"/>
    <cellStyle name="40% - Énfasis1 10 18" xfId="26631" xr:uid="{00000000-0005-0000-0000-0000F70A0000}"/>
    <cellStyle name="40% - Énfasis1 10 19" xfId="27135" xr:uid="{00000000-0005-0000-0000-0000F80A0000}"/>
    <cellStyle name="40% - Énfasis1 10 2" xfId="1451" xr:uid="{00000000-0005-0000-0000-0000F90A0000}"/>
    <cellStyle name="40% - Énfasis1 10 2 10" xfId="26128" xr:uid="{00000000-0005-0000-0000-0000FA0A0000}"/>
    <cellStyle name="40% - Énfasis1 10 2 11" xfId="26632" xr:uid="{00000000-0005-0000-0000-0000FB0A0000}"/>
    <cellStyle name="40% - Énfasis1 10 2 12" xfId="27136" xr:uid="{00000000-0005-0000-0000-0000FC0A0000}"/>
    <cellStyle name="40% - Énfasis1 10 2 13" xfId="27640" xr:uid="{00000000-0005-0000-0000-0000FD0A0000}"/>
    <cellStyle name="40% - Énfasis1 10 2 14" xfId="28144" xr:uid="{00000000-0005-0000-0000-0000FE0A0000}"/>
    <cellStyle name="40% - Énfasis1 10 2 15" xfId="28648" xr:uid="{00000000-0005-0000-0000-0000FF0A0000}"/>
    <cellStyle name="40% - Énfasis1 10 2 16" xfId="29152" xr:uid="{00000000-0005-0000-0000-0000000B0000}"/>
    <cellStyle name="40% - Énfasis1 10 2 17" xfId="29656" xr:uid="{00000000-0005-0000-0000-0000010B0000}"/>
    <cellStyle name="40% - Énfasis1 10 2 18" xfId="30160" xr:uid="{00000000-0005-0000-0000-0000020B0000}"/>
    <cellStyle name="40% - Énfasis1 10 2 19" xfId="30665" xr:uid="{00000000-0005-0000-0000-0000030B0000}"/>
    <cellStyle name="40% - Énfasis1 10 2 2" xfId="1590" xr:uid="{00000000-0005-0000-0000-0000040B0000}"/>
    <cellStyle name="40% - Énfasis1 10 2 2 2" xfId="3017" xr:uid="{00000000-0005-0000-0000-0000050B0000}"/>
    <cellStyle name="40% - Énfasis1 10 2 2 2 2" xfId="4636" xr:uid="{00000000-0005-0000-0000-0000060B0000}"/>
    <cellStyle name="40% - Énfasis1 10 2 2 2 2 2" xfId="6503" xr:uid="{00000000-0005-0000-0000-0000070B0000}"/>
    <cellStyle name="40% - Énfasis1 10 2 2 2 3" xfId="5601" xr:uid="{00000000-0005-0000-0000-0000080B0000}"/>
    <cellStyle name="40% - Énfasis1 10 2 2 3" xfId="4109" xr:uid="{00000000-0005-0000-0000-0000090B0000}"/>
    <cellStyle name="40% - Énfasis1 10 2 2 3 2" xfId="6057" xr:uid="{00000000-0005-0000-0000-00000A0B0000}"/>
    <cellStyle name="40% - Énfasis1 10 2 2 4" xfId="5143" xr:uid="{00000000-0005-0000-0000-00000B0B0000}"/>
    <cellStyle name="40% - Énfasis1 10 2 3" xfId="2885" xr:uid="{00000000-0005-0000-0000-00000C0B0000}"/>
    <cellStyle name="40% - Énfasis1 10 2 3 2" xfId="4504" xr:uid="{00000000-0005-0000-0000-00000D0B0000}"/>
    <cellStyle name="40% - Énfasis1 10 2 3 2 2" xfId="6371" xr:uid="{00000000-0005-0000-0000-00000E0B0000}"/>
    <cellStyle name="40% - Énfasis1 10 2 3 3" xfId="5469" xr:uid="{00000000-0005-0000-0000-00000F0B0000}"/>
    <cellStyle name="40% - Énfasis1 10 2 4" xfId="3972" xr:uid="{00000000-0005-0000-0000-0000100B0000}"/>
    <cellStyle name="40% - Énfasis1 10 2 4 2" xfId="5926" xr:uid="{00000000-0005-0000-0000-0000110B0000}"/>
    <cellStyle name="40% - Énfasis1 10 2 5" xfId="5011" xr:uid="{00000000-0005-0000-0000-0000120B0000}"/>
    <cellStyle name="40% - Énfasis1 10 2 6" xfId="23311" xr:uid="{00000000-0005-0000-0000-0000130B0000}"/>
    <cellStyle name="40% - Énfasis1 10 2 7" xfId="24616" xr:uid="{00000000-0005-0000-0000-0000140B0000}"/>
    <cellStyle name="40% - Énfasis1 10 2 8" xfId="25120" xr:uid="{00000000-0005-0000-0000-0000150B0000}"/>
    <cellStyle name="40% - Énfasis1 10 2 9" xfId="25624" xr:uid="{00000000-0005-0000-0000-0000160B0000}"/>
    <cellStyle name="40% - Énfasis1 10 20" xfId="27639" xr:uid="{00000000-0005-0000-0000-0000170B0000}"/>
    <cellStyle name="40% - Énfasis1 10 21" xfId="28143" xr:uid="{00000000-0005-0000-0000-0000180B0000}"/>
    <cellStyle name="40% - Énfasis1 10 22" xfId="28647" xr:uid="{00000000-0005-0000-0000-0000190B0000}"/>
    <cellStyle name="40% - Énfasis1 10 23" xfId="29151" xr:uid="{00000000-0005-0000-0000-00001A0B0000}"/>
    <cellStyle name="40% - Énfasis1 10 24" xfId="29655" xr:uid="{00000000-0005-0000-0000-00001B0B0000}"/>
    <cellStyle name="40% - Énfasis1 10 25" xfId="30159" xr:uid="{00000000-0005-0000-0000-00001C0B0000}"/>
    <cellStyle name="40% - Énfasis1 10 26" xfId="30664" xr:uid="{00000000-0005-0000-0000-00001D0B0000}"/>
    <cellStyle name="40% - Énfasis1 10 3" xfId="1489" xr:uid="{00000000-0005-0000-0000-00001E0B0000}"/>
    <cellStyle name="40% - Énfasis1 10 3 2" xfId="1591" xr:uid="{00000000-0005-0000-0000-00001F0B0000}"/>
    <cellStyle name="40% - Énfasis1 10 3 2 2" xfId="3018" xr:uid="{00000000-0005-0000-0000-0000200B0000}"/>
    <cellStyle name="40% - Énfasis1 10 3 2 2 2" xfId="4637" xr:uid="{00000000-0005-0000-0000-0000210B0000}"/>
    <cellStyle name="40% - Énfasis1 10 3 2 2 2 2" xfId="6504" xr:uid="{00000000-0005-0000-0000-0000220B0000}"/>
    <cellStyle name="40% - Énfasis1 10 3 2 2 3" xfId="5602" xr:uid="{00000000-0005-0000-0000-0000230B0000}"/>
    <cellStyle name="40% - Énfasis1 10 3 2 3" xfId="4110" xr:uid="{00000000-0005-0000-0000-0000240B0000}"/>
    <cellStyle name="40% - Énfasis1 10 3 2 3 2" xfId="6058" xr:uid="{00000000-0005-0000-0000-0000250B0000}"/>
    <cellStyle name="40% - Énfasis1 10 3 2 4" xfId="5144" xr:uid="{00000000-0005-0000-0000-0000260B0000}"/>
    <cellStyle name="40% - Énfasis1 10 3 3" xfId="2923" xr:uid="{00000000-0005-0000-0000-0000270B0000}"/>
    <cellStyle name="40% - Énfasis1 10 3 3 2" xfId="4542" xr:uid="{00000000-0005-0000-0000-0000280B0000}"/>
    <cellStyle name="40% - Énfasis1 10 3 3 2 2" xfId="6409" xr:uid="{00000000-0005-0000-0000-0000290B0000}"/>
    <cellStyle name="40% - Énfasis1 10 3 3 3" xfId="5507" xr:uid="{00000000-0005-0000-0000-00002A0B0000}"/>
    <cellStyle name="40% - Énfasis1 10 3 4" xfId="4010" xr:uid="{00000000-0005-0000-0000-00002B0B0000}"/>
    <cellStyle name="40% - Énfasis1 10 3 4 2" xfId="5964" xr:uid="{00000000-0005-0000-0000-00002C0B0000}"/>
    <cellStyle name="40% - Énfasis1 10 3 5" xfId="5049" xr:uid="{00000000-0005-0000-0000-00002D0B0000}"/>
    <cellStyle name="40% - Énfasis1 10 4" xfId="1592" xr:uid="{00000000-0005-0000-0000-00002E0B0000}"/>
    <cellStyle name="40% - Énfasis1 10 4 2" xfId="3019" xr:uid="{00000000-0005-0000-0000-00002F0B0000}"/>
    <cellStyle name="40% - Énfasis1 10 4 2 2" xfId="4638" xr:uid="{00000000-0005-0000-0000-0000300B0000}"/>
    <cellStyle name="40% - Énfasis1 10 4 2 2 2" xfId="6505" xr:uid="{00000000-0005-0000-0000-0000310B0000}"/>
    <cellStyle name="40% - Énfasis1 10 4 2 3" xfId="5603" xr:uid="{00000000-0005-0000-0000-0000320B0000}"/>
    <cellStyle name="40% - Énfasis1 10 4 3" xfId="4111" xr:uid="{00000000-0005-0000-0000-0000330B0000}"/>
    <cellStyle name="40% - Énfasis1 10 4 3 2" xfId="6059" xr:uid="{00000000-0005-0000-0000-0000340B0000}"/>
    <cellStyle name="40% - Énfasis1 10 4 4" xfId="5145" xr:uid="{00000000-0005-0000-0000-0000350B0000}"/>
    <cellStyle name="40% - Énfasis1 10 5" xfId="1593" xr:uid="{00000000-0005-0000-0000-0000360B0000}"/>
    <cellStyle name="40% - Énfasis1 10 5 2" xfId="3020" xr:uid="{00000000-0005-0000-0000-0000370B0000}"/>
    <cellStyle name="40% - Énfasis1 10 5 2 2" xfId="4639" xr:uid="{00000000-0005-0000-0000-0000380B0000}"/>
    <cellStyle name="40% - Énfasis1 10 5 2 2 2" xfId="6506" xr:uid="{00000000-0005-0000-0000-0000390B0000}"/>
    <cellStyle name="40% - Énfasis1 10 5 2 3" xfId="5604" xr:uid="{00000000-0005-0000-0000-00003A0B0000}"/>
    <cellStyle name="40% - Énfasis1 10 5 3" xfId="4112" xr:uid="{00000000-0005-0000-0000-00003B0B0000}"/>
    <cellStyle name="40% - Énfasis1 10 5 3 2" xfId="6060" xr:uid="{00000000-0005-0000-0000-00003C0B0000}"/>
    <cellStyle name="40% - Énfasis1 10 5 4" xfId="5146" xr:uid="{00000000-0005-0000-0000-00003D0B0000}"/>
    <cellStyle name="40% - Énfasis1 10 6" xfId="2826" xr:uid="{00000000-0005-0000-0000-00003E0B0000}"/>
    <cellStyle name="40% - Énfasis1 10 6 2" xfId="4446" xr:uid="{00000000-0005-0000-0000-00003F0B0000}"/>
    <cellStyle name="40% - Énfasis1 10 6 2 2" xfId="6314" xr:uid="{00000000-0005-0000-0000-0000400B0000}"/>
    <cellStyle name="40% - Énfasis1 10 6 3" xfId="5412" xr:uid="{00000000-0005-0000-0000-0000410B0000}"/>
    <cellStyle name="40% - Énfasis1 10 7" xfId="3787" xr:uid="{00000000-0005-0000-0000-0000420B0000}"/>
    <cellStyle name="40% - Énfasis1 10 7 2" xfId="5870" xr:uid="{00000000-0005-0000-0000-0000430B0000}"/>
    <cellStyle name="40% - Énfasis1 10 8" xfId="4805" xr:uid="{00000000-0005-0000-0000-0000440B0000}"/>
    <cellStyle name="40% - Énfasis1 10 8 2" xfId="6650" xr:uid="{00000000-0005-0000-0000-0000450B0000}"/>
    <cellStyle name="40% - Énfasis1 10 9" xfId="4850" xr:uid="{00000000-0005-0000-0000-0000460B0000}"/>
    <cellStyle name="40% - Énfasis1 10 9 2" xfId="6692" xr:uid="{00000000-0005-0000-0000-0000470B0000}"/>
    <cellStyle name="40% - Énfasis1 11" xfId="965" xr:uid="{00000000-0005-0000-0000-0000480B0000}"/>
    <cellStyle name="40% - Énfasis1 11 2" xfId="966" xr:uid="{00000000-0005-0000-0000-0000490B0000}"/>
    <cellStyle name="40% - Énfasis1 12" xfId="963" xr:uid="{00000000-0005-0000-0000-00004A0B0000}"/>
    <cellStyle name="40% - Énfasis1 12 10" xfId="25625" xr:uid="{00000000-0005-0000-0000-00004B0B0000}"/>
    <cellStyle name="40% - Énfasis1 12 11" xfId="26129" xr:uid="{00000000-0005-0000-0000-00004C0B0000}"/>
    <cellStyle name="40% - Énfasis1 12 12" xfId="26633" xr:uid="{00000000-0005-0000-0000-00004D0B0000}"/>
    <cellStyle name="40% - Énfasis1 12 13" xfId="27137" xr:uid="{00000000-0005-0000-0000-00004E0B0000}"/>
    <cellStyle name="40% - Énfasis1 12 14" xfId="27641" xr:uid="{00000000-0005-0000-0000-00004F0B0000}"/>
    <cellStyle name="40% - Énfasis1 12 15" xfId="28145" xr:uid="{00000000-0005-0000-0000-0000500B0000}"/>
    <cellStyle name="40% - Énfasis1 12 16" xfId="28649" xr:uid="{00000000-0005-0000-0000-0000510B0000}"/>
    <cellStyle name="40% - Énfasis1 12 17" xfId="29153" xr:uid="{00000000-0005-0000-0000-0000520B0000}"/>
    <cellStyle name="40% - Énfasis1 12 18" xfId="29657" xr:uid="{00000000-0005-0000-0000-0000530B0000}"/>
    <cellStyle name="40% - Énfasis1 12 19" xfId="30161" xr:uid="{00000000-0005-0000-0000-0000540B0000}"/>
    <cellStyle name="40% - Énfasis1 12 2" xfId="1450" xr:uid="{00000000-0005-0000-0000-0000550B0000}"/>
    <cellStyle name="40% - Énfasis1 12 2 10" xfId="26130" xr:uid="{00000000-0005-0000-0000-0000560B0000}"/>
    <cellStyle name="40% - Énfasis1 12 2 11" xfId="26634" xr:uid="{00000000-0005-0000-0000-0000570B0000}"/>
    <cellStyle name="40% - Énfasis1 12 2 12" xfId="27138" xr:uid="{00000000-0005-0000-0000-0000580B0000}"/>
    <cellStyle name="40% - Énfasis1 12 2 13" xfId="27642" xr:uid="{00000000-0005-0000-0000-0000590B0000}"/>
    <cellStyle name="40% - Énfasis1 12 2 14" xfId="28146" xr:uid="{00000000-0005-0000-0000-00005A0B0000}"/>
    <cellStyle name="40% - Énfasis1 12 2 15" xfId="28650" xr:uid="{00000000-0005-0000-0000-00005B0B0000}"/>
    <cellStyle name="40% - Énfasis1 12 2 16" xfId="29154" xr:uid="{00000000-0005-0000-0000-00005C0B0000}"/>
    <cellStyle name="40% - Énfasis1 12 2 17" xfId="29658" xr:uid="{00000000-0005-0000-0000-00005D0B0000}"/>
    <cellStyle name="40% - Énfasis1 12 2 18" xfId="30162" xr:uid="{00000000-0005-0000-0000-00005E0B0000}"/>
    <cellStyle name="40% - Énfasis1 12 2 19" xfId="30667" xr:uid="{00000000-0005-0000-0000-00005F0B0000}"/>
    <cellStyle name="40% - Énfasis1 12 2 2" xfId="1594" xr:uid="{00000000-0005-0000-0000-0000600B0000}"/>
    <cellStyle name="40% - Énfasis1 12 2 2 2" xfId="3021" xr:uid="{00000000-0005-0000-0000-0000610B0000}"/>
    <cellStyle name="40% - Énfasis1 12 2 2 2 2" xfId="4640" xr:uid="{00000000-0005-0000-0000-0000620B0000}"/>
    <cellStyle name="40% - Énfasis1 12 2 2 2 2 2" xfId="6507" xr:uid="{00000000-0005-0000-0000-0000630B0000}"/>
    <cellStyle name="40% - Énfasis1 12 2 2 2 3" xfId="5605" xr:uid="{00000000-0005-0000-0000-0000640B0000}"/>
    <cellStyle name="40% - Énfasis1 12 2 2 3" xfId="4113" xr:uid="{00000000-0005-0000-0000-0000650B0000}"/>
    <cellStyle name="40% - Énfasis1 12 2 2 3 2" xfId="6061" xr:uid="{00000000-0005-0000-0000-0000660B0000}"/>
    <cellStyle name="40% - Énfasis1 12 2 2 4" xfId="5147" xr:uid="{00000000-0005-0000-0000-0000670B0000}"/>
    <cellStyle name="40% - Énfasis1 12 2 3" xfId="2884" xr:uid="{00000000-0005-0000-0000-0000680B0000}"/>
    <cellStyle name="40% - Énfasis1 12 2 3 2" xfId="4503" xr:uid="{00000000-0005-0000-0000-0000690B0000}"/>
    <cellStyle name="40% - Énfasis1 12 2 3 2 2" xfId="6370" xr:uid="{00000000-0005-0000-0000-00006A0B0000}"/>
    <cellStyle name="40% - Énfasis1 12 2 3 3" xfId="5468" xr:uid="{00000000-0005-0000-0000-00006B0B0000}"/>
    <cellStyle name="40% - Énfasis1 12 2 4" xfId="3971" xr:uid="{00000000-0005-0000-0000-00006C0B0000}"/>
    <cellStyle name="40% - Énfasis1 12 2 4 2" xfId="5925" xr:uid="{00000000-0005-0000-0000-00006D0B0000}"/>
    <cellStyle name="40% - Énfasis1 12 2 5" xfId="5010" xr:uid="{00000000-0005-0000-0000-00006E0B0000}"/>
    <cellStyle name="40% - Énfasis1 12 2 6" xfId="23313" xr:uid="{00000000-0005-0000-0000-00006F0B0000}"/>
    <cellStyle name="40% - Énfasis1 12 2 7" xfId="24618" xr:uid="{00000000-0005-0000-0000-0000700B0000}"/>
    <cellStyle name="40% - Énfasis1 12 2 8" xfId="25122" xr:uid="{00000000-0005-0000-0000-0000710B0000}"/>
    <cellStyle name="40% - Énfasis1 12 2 9" xfId="25626" xr:uid="{00000000-0005-0000-0000-0000720B0000}"/>
    <cellStyle name="40% - Énfasis1 12 20" xfId="30666" xr:uid="{00000000-0005-0000-0000-0000730B0000}"/>
    <cellStyle name="40% - Énfasis1 12 3" xfId="1595" xr:uid="{00000000-0005-0000-0000-0000740B0000}"/>
    <cellStyle name="40% - Énfasis1 12 3 2" xfId="3022" xr:uid="{00000000-0005-0000-0000-0000750B0000}"/>
    <cellStyle name="40% - Énfasis1 12 3 2 2" xfId="4641" xr:uid="{00000000-0005-0000-0000-0000760B0000}"/>
    <cellStyle name="40% - Énfasis1 12 3 2 2 2" xfId="6508" xr:uid="{00000000-0005-0000-0000-0000770B0000}"/>
    <cellStyle name="40% - Énfasis1 12 3 2 3" xfId="5606" xr:uid="{00000000-0005-0000-0000-0000780B0000}"/>
    <cellStyle name="40% - Énfasis1 12 3 3" xfId="4114" xr:uid="{00000000-0005-0000-0000-0000790B0000}"/>
    <cellStyle name="40% - Énfasis1 12 3 3 2" xfId="6062" xr:uid="{00000000-0005-0000-0000-00007A0B0000}"/>
    <cellStyle name="40% - Énfasis1 12 3 4" xfId="5148" xr:uid="{00000000-0005-0000-0000-00007B0B0000}"/>
    <cellStyle name="40% - Énfasis1 12 4" xfId="2825" xr:uid="{00000000-0005-0000-0000-00007C0B0000}"/>
    <cellStyle name="40% - Énfasis1 12 4 2" xfId="4445" xr:uid="{00000000-0005-0000-0000-00007D0B0000}"/>
    <cellStyle name="40% - Énfasis1 12 4 2 2" xfId="6313" xr:uid="{00000000-0005-0000-0000-00007E0B0000}"/>
    <cellStyle name="40% - Énfasis1 12 4 3" xfId="5411" xr:uid="{00000000-0005-0000-0000-00007F0B0000}"/>
    <cellStyle name="40% - Énfasis1 12 5" xfId="3786" xr:uid="{00000000-0005-0000-0000-0000800B0000}"/>
    <cellStyle name="40% - Énfasis1 12 5 2" xfId="5869" xr:uid="{00000000-0005-0000-0000-0000810B0000}"/>
    <cellStyle name="40% - Énfasis1 12 6" xfId="4953" xr:uid="{00000000-0005-0000-0000-0000820B0000}"/>
    <cellStyle name="40% - Énfasis1 12 7" xfId="23312" xr:uid="{00000000-0005-0000-0000-0000830B0000}"/>
    <cellStyle name="40% - Énfasis1 12 8" xfId="24617" xr:uid="{00000000-0005-0000-0000-0000840B0000}"/>
    <cellStyle name="40% - Énfasis1 12 9" xfId="25121" xr:uid="{00000000-0005-0000-0000-0000850B0000}"/>
    <cellStyle name="40% - Énfasis1 13" xfId="1378" xr:uid="{00000000-0005-0000-0000-0000860B0000}"/>
    <cellStyle name="40% - Énfasis1 14" xfId="1490" xr:uid="{00000000-0005-0000-0000-0000870B0000}"/>
    <cellStyle name="40% - Énfasis1 14 2" xfId="1596" xr:uid="{00000000-0005-0000-0000-0000880B0000}"/>
    <cellStyle name="40% - Énfasis1 14 2 2" xfId="3023" xr:uid="{00000000-0005-0000-0000-0000890B0000}"/>
    <cellStyle name="40% - Énfasis1 14 2 2 2" xfId="4642" xr:uid="{00000000-0005-0000-0000-00008A0B0000}"/>
    <cellStyle name="40% - Énfasis1 14 2 2 2 2" xfId="6509" xr:uid="{00000000-0005-0000-0000-00008B0B0000}"/>
    <cellStyle name="40% - Énfasis1 14 2 2 3" xfId="5607" xr:uid="{00000000-0005-0000-0000-00008C0B0000}"/>
    <cellStyle name="40% - Énfasis1 14 2 3" xfId="4115" xr:uid="{00000000-0005-0000-0000-00008D0B0000}"/>
    <cellStyle name="40% - Énfasis1 14 2 3 2" xfId="6063" xr:uid="{00000000-0005-0000-0000-00008E0B0000}"/>
    <cellStyle name="40% - Énfasis1 14 2 4" xfId="5149" xr:uid="{00000000-0005-0000-0000-00008F0B0000}"/>
    <cellStyle name="40% - Énfasis1 14 3" xfId="2924" xr:uid="{00000000-0005-0000-0000-0000900B0000}"/>
    <cellStyle name="40% - Énfasis1 14 3 2" xfId="4543" xr:uid="{00000000-0005-0000-0000-0000910B0000}"/>
    <cellStyle name="40% - Énfasis1 14 3 2 2" xfId="6410" xr:uid="{00000000-0005-0000-0000-0000920B0000}"/>
    <cellStyle name="40% - Énfasis1 14 3 3" xfId="5508" xr:uid="{00000000-0005-0000-0000-0000930B0000}"/>
    <cellStyle name="40% - Énfasis1 14 4" xfId="4011" xr:uid="{00000000-0005-0000-0000-0000940B0000}"/>
    <cellStyle name="40% - Énfasis1 14 4 2" xfId="5965" xr:uid="{00000000-0005-0000-0000-0000950B0000}"/>
    <cellStyle name="40% - Énfasis1 14 5" xfId="5050" xr:uid="{00000000-0005-0000-0000-0000960B0000}"/>
    <cellStyle name="40% - Énfasis1 15" xfId="1597" xr:uid="{00000000-0005-0000-0000-0000970B0000}"/>
    <cellStyle name="40% - Énfasis1 15 2" xfId="3024" xr:uid="{00000000-0005-0000-0000-0000980B0000}"/>
    <cellStyle name="40% - Énfasis1 15 2 2" xfId="4643" xr:uid="{00000000-0005-0000-0000-0000990B0000}"/>
    <cellStyle name="40% - Énfasis1 15 2 2 2" xfId="6510" xr:uid="{00000000-0005-0000-0000-00009A0B0000}"/>
    <cellStyle name="40% - Énfasis1 15 2 3" xfId="5608" xr:uid="{00000000-0005-0000-0000-00009B0B0000}"/>
    <cellStyle name="40% - Énfasis1 15 3" xfId="4116" xr:uid="{00000000-0005-0000-0000-00009C0B0000}"/>
    <cellStyle name="40% - Énfasis1 15 3 2" xfId="6064" xr:uid="{00000000-0005-0000-0000-00009D0B0000}"/>
    <cellStyle name="40% - Énfasis1 15 4" xfId="5150" xr:uid="{00000000-0005-0000-0000-00009E0B0000}"/>
    <cellStyle name="40% - Énfasis1 16" xfId="2714" xr:uid="{00000000-0005-0000-0000-00009F0B0000}"/>
    <cellStyle name="40% - Énfasis1 16 2" xfId="4393" xr:uid="{00000000-0005-0000-0000-0000A00B0000}"/>
    <cellStyle name="40% - Énfasis1 16 2 2" xfId="6263" xr:uid="{00000000-0005-0000-0000-0000A10B0000}"/>
    <cellStyle name="40% - Énfasis1 16 3" xfId="5361" xr:uid="{00000000-0005-0000-0000-0000A20B0000}"/>
    <cellStyle name="40% - Énfasis1 17" xfId="3184" xr:uid="{00000000-0005-0000-0000-0000A30B0000}"/>
    <cellStyle name="40% - Énfasis1 17 2" xfId="5747" xr:uid="{00000000-0005-0000-0000-0000A40B0000}"/>
    <cellStyle name="40% - Énfasis1 18" xfId="4804" xr:uid="{00000000-0005-0000-0000-0000A50B0000}"/>
    <cellStyle name="40% - Énfasis1 18 2" xfId="6649" xr:uid="{00000000-0005-0000-0000-0000A60B0000}"/>
    <cellStyle name="40% - Énfasis1 19" xfId="4849" xr:uid="{00000000-0005-0000-0000-0000A70B0000}"/>
    <cellStyle name="40% - Énfasis1 19 2" xfId="6691" xr:uid="{00000000-0005-0000-0000-0000A80B0000}"/>
    <cellStyle name="40% - Énfasis1 2" xfId="44" xr:uid="{00000000-0005-0000-0000-0000A90B0000}"/>
    <cellStyle name="40% - Énfasis1 2 2" xfId="967" xr:uid="{00000000-0005-0000-0000-0000AA0B0000}"/>
    <cellStyle name="40% - Énfasis1 2 2 2" xfId="3185" xr:uid="{00000000-0005-0000-0000-0000AB0B0000}"/>
    <cellStyle name="40% - Énfasis1 2 2 2 2" xfId="7477" xr:uid="{00000000-0005-0000-0000-0000AC0B0000}"/>
    <cellStyle name="40% - Énfasis1 2 2 2 3" xfId="7476" xr:uid="{00000000-0005-0000-0000-0000AD0B0000}"/>
    <cellStyle name="40% - Énfasis1 2 2 3" xfId="7478" xr:uid="{00000000-0005-0000-0000-0000AE0B0000}"/>
    <cellStyle name="40% - Énfasis1 2 2 4" xfId="7479" xr:uid="{00000000-0005-0000-0000-0000AF0B0000}"/>
    <cellStyle name="40% - Énfasis1 2 2 5" xfId="7475" xr:uid="{00000000-0005-0000-0000-0000B00B0000}"/>
    <cellStyle name="40% - Énfasis1 2 3" xfId="1822" xr:uid="{00000000-0005-0000-0000-0000B10B0000}"/>
    <cellStyle name="40% - Énfasis1 2 4" xfId="7480" xr:uid="{00000000-0005-0000-0000-0000B20B0000}"/>
    <cellStyle name="40% - Énfasis1 2 4 2" xfId="22877" xr:uid="{00000000-0005-0000-0000-0000B30B0000}"/>
    <cellStyle name="40% - Énfasis1 2 5" xfId="31211" xr:uid="{2E27F807-E9FB-427B-8001-F229F751620C}"/>
    <cellStyle name="40% - Énfasis1 20" xfId="4881" xr:uid="{00000000-0005-0000-0000-0000B40B0000}"/>
    <cellStyle name="40% - Énfasis1 21" xfId="6734" xr:uid="{00000000-0005-0000-0000-0000B50B0000}"/>
    <cellStyle name="40% - Énfasis1 22" xfId="6789" xr:uid="{00000000-0005-0000-0000-0000B60B0000}"/>
    <cellStyle name="40% - Énfasis1 23" xfId="7268" xr:uid="{00000000-0005-0000-0000-0000B70B0000}"/>
    <cellStyle name="40% - Énfasis1 24" xfId="22875" xr:uid="{00000000-0005-0000-0000-0000B80B0000}"/>
    <cellStyle name="40% - Énfasis1 25" xfId="23156" xr:uid="{00000000-0005-0000-0000-0000B90B0000}"/>
    <cellStyle name="40% - Énfasis1 26" xfId="24546" xr:uid="{00000000-0005-0000-0000-0000BA0B0000}"/>
    <cellStyle name="40% - Énfasis1 27" xfId="25050" xr:uid="{00000000-0005-0000-0000-0000BB0B0000}"/>
    <cellStyle name="40% - Énfasis1 28" xfId="25554" xr:uid="{00000000-0005-0000-0000-0000BC0B0000}"/>
    <cellStyle name="40% - Énfasis1 29" xfId="26058" xr:uid="{00000000-0005-0000-0000-0000BD0B0000}"/>
    <cellStyle name="40% - Énfasis1 3" xfId="968" xr:uid="{00000000-0005-0000-0000-0000BE0B0000}"/>
    <cellStyle name="40% - Énfasis1 3 2" xfId="969" xr:uid="{00000000-0005-0000-0000-0000BF0B0000}"/>
    <cellStyle name="40% - Énfasis1 3 2 2" xfId="7481" xr:uid="{00000000-0005-0000-0000-0000C00B0000}"/>
    <cellStyle name="40% - Énfasis1 3 2 2 2" xfId="23315" xr:uid="{00000000-0005-0000-0000-0000C10B0000}"/>
    <cellStyle name="40% - Énfasis1 3 2 2 3" xfId="23314" xr:uid="{00000000-0005-0000-0000-0000C20B0000}"/>
    <cellStyle name="40% - Énfasis1 3 2 3" xfId="7482" xr:uid="{00000000-0005-0000-0000-0000C30B0000}"/>
    <cellStyle name="40% - Énfasis1 3 2 3 2" xfId="23316" xr:uid="{00000000-0005-0000-0000-0000C40B0000}"/>
    <cellStyle name="40% - Énfasis1 3 3" xfId="1823" xr:uid="{00000000-0005-0000-0000-0000C50B0000}"/>
    <cellStyle name="40% - Énfasis1 3 3 2" xfId="23317" xr:uid="{00000000-0005-0000-0000-0000C60B0000}"/>
    <cellStyle name="40% - Énfasis1 3 4" xfId="7483" xr:uid="{00000000-0005-0000-0000-0000C70B0000}"/>
    <cellStyle name="40% - Énfasis1 3 4 2" xfId="23318" xr:uid="{00000000-0005-0000-0000-0000C80B0000}"/>
    <cellStyle name="40% - Énfasis1 3 5" xfId="7484" xr:uid="{00000000-0005-0000-0000-0000C90B0000}"/>
    <cellStyle name="40% - Énfasis1 3 5 2" xfId="23320" xr:uid="{00000000-0005-0000-0000-0000CA0B0000}"/>
    <cellStyle name="40% - Énfasis1 3 5 3" xfId="23319" xr:uid="{00000000-0005-0000-0000-0000CB0B0000}"/>
    <cellStyle name="40% - Énfasis1 3 6" xfId="23321" xr:uid="{00000000-0005-0000-0000-0000CC0B0000}"/>
    <cellStyle name="40% - Énfasis1 3 7" xfId="23322" xr:uid="{00000000-0005-0000-0000-0000CD0B0000}"/>
    <cellStyle name="40% - Énfasis1 30" xfId="26562" xr:uid="{00000000-0005-0000-0000-0000CE0B0000}"/>
    <cellStyle name="40% - Énfasis1 31" xfId="27066" xr:uid="{00000000-0005-0000-0000-0000CF0B0000}"/>
    <cellStyle name="40% - Énfasis1 32" xfId="27570" xr:uid="{00000000-0005-0000-0000-0000D00B0000}"/>
    <cellStyle name="40% - Énfasis1 33" xfId="28074" xr:uid="{00000000-0005-0000-0000-0000D10B0000}"/>
    <cellStyle name="40% - Énfasis1 34" xfId="28578" xr:uid="{00000000-0005-0000-0000-0000D20B0000}"/>
    <cellStyle name="40% - Énfasis1 35" xfId="29082" xr:uid="{00000000-0005-0000-0000-0000D30B0000}"/>
    <cellStyle name="40% - Énfasis1 36" xfId="29586" xr:uid="{00000000-0005-0000-0000-0000D40B0000}"/>
    <cellStyle name="40% - Énfasis1 37" xfId="30090" xr:uid="{00000000-0005-0000-0000-0000D50B0000}"/>
    <cellStyle name="40% - Énfasis1 38" xfId="30595" xr:uid="{00000000-0005-0000-0000-0000D60B0000}"/>
    <cellStyle name="40% - Énfasis1 39" xfId="31124" xr:uid="{997D65DD-371F-460D-B66D-455BC62669FD}"/>
    <cellStyle name="40% - Énfasis1 4" xfId="970" xr:uid="{00000000-0005-0000-0000-0000D70B0000}"/>
    <cellStyle name="40% - Énfasis1 4 2" xfId="971" xr:uid="{00000000-0005-0000-0000-0000D80B0000}"/>
    <cellStyle name="40% - Énfasis1 4 3" xfId="7486" xr:uid="{00000000-0005-0000-0000-0000D90B0000}"/>
    <cellStyle name="40% - Énfasis1 4 4" xfId="7487" xr:uid="{00000000-0005-0000-0000-0000DA0B0000}"/>
    <cellStyle name="40% - Énfasis1 4 4 2" xfId="17933" xr:uid="{00000000-0005-0000-0000-0000DB0B0000}"/>
    <cellStyle name="40% - Énfasis1 4 5" xfId="7488" xr:uid="{00000000-0005-0000-0000-0000DC0B0000}"/>
    <cellStyle name="40% - Énfasis1 4 6" xfId="7485" xr:uid="{00000000-0005-0000-0000-0000DD0B0000}"/>
    <cellStyle name="40% - Énfasis1 4 7" xfId="17932" xr:uid="{00000000-0005-0000-0000-0000DE0B0000}"/>
    <cellStyle name="40% - Énfasis1 5" xfId="972" xr:uid="{00000000-0005-0000-0000-0000DF0B0000}"/>
    <cellStyle name="40% - Énfasis1 5 2" xfId="973" xr:uid="{00000000-0005-0000-0000-0000E00B0000}"/>
    <cellStyle name="40% - Énfasis1 6" xfId="974" xr:uid="{00000000-0005-0000-0000-0000E10B0000}"/>
    <cellStyle name="40% - Énfasis1 6 10" xfId="24619" xr:uid="{00000000-0005-0000-0000-0000E20B0000}"/>
    <cellStyle name="40% - Énfasis1 6 11" xfId="25123" xr:uid="{00000000-0005-0000-0000-0000E30B0000}"/>
    <cellStyle name="40% - Énfasis1 6 12" xfId="25627" xr:uid="{00000000-0005-0000-0000-0000E40B0000}"/>
    <cellStyle name="40% - Énfasis1 6 13" xfId="26131" xr:uid="{00000000-0005-0000-0000-0000E50B0000}"/>
    <cellStyle name="40% - Énfasis1 6 14" xfId="26635" xr:uid="{00000000-0005-0000-0000-0000E60B0000}"/>
    <cellStyle name="40% - Énfasis1 6 15" xfId="27139" xr:uid="{00000000-0005-0000-0000-0000E70B0000}"/>
    <cellStyle name="40% - Énfasis1 6 16" xfId="27643" xr:uid="{00000000-0005-0000-0000-0000E80B0000}"/>
    <cellStyle name="40% - Énfasis1 6 17" xfId="28147" xr:uid="{00000000-0005-0000-0000-0000E90B0000}"/>
    <cellStyle name="40% - Énfasis1 6 18" xfId="28651" xr:uid="{00000000-0005-0000-0000-0000EA0B0000}"/>
    <cellStyle name="40% - Énfasis1 6 19" xfId="29155" xr:uid="{00000000-0005-0000-0000-0000EB0B0000}"/>
    <cellStyle name="40% - Énfasis1 6 2" xfId="975" xr:uid="{00000000-0005-0000-0000-0000EC0B0000}"/>
    <cellStyle name="40% - Énfasis1 6 2 2" xfId="17935" xr:uid="{00000000-0005-0000-0000-0000ED0B0000}"/>
    <cellStyle name="40% - Énfasis1 6 2 3" xfId="7490" xr:uid="{00000000-0005-0000-0000-0000EE0B0000}"/>
    <cellStyle name="40% - Énfasis1 6 20" xfId="29659" xr:uid="{00000000-0005-0000-0000-0000EF0B0000}"/>
    <cellStyle name="40% - Énfasis1 6 21" xfId="30163" xr:uid="{00000000-0005-0000-0000-0000F00B0000}"/>
    <cellStyle name="40% - Énfasis1 6 22" xfId="30668" xr:uid="{00000000-0005-0000-0000-0000F10B0000}"/>
    <cellStyle name="40% - Énfasis1 6 3" xfId="1824" xr:uid="{00000000-0005-0000-0000-0000F20B0000}"/>
    <cellStyle name="40% - Énfasis1 6 3 2" xfId="4244" xr:uid="{00000000-0005-0000-0000-0000F30B0000}"/>
    <cellStyle name="40% - Énfasis1 6 3 2 2" xfId="6188" xr:uid="{00000000-0005-0000-0000-0000F40B0000}"/>
    <cellStyle name="40% - Énfasis1 6 3 3" xfId="5278" xr:uid="{00000000-0005-0000-0000-0000F50B0000}"/>
    <cellStyle name="40% - Énfasis1 6 3 4" xfId="7489" xr:uid="{00000000-0005-0000-0000-0000F60B0000}"/>
    <cellStyle name="40% - Énfasis1 6 3 5" xfId="23324" xr:uid="{00000000-0005-0000-0000-0000F70B0000}"/>
    <cellStyle name="40% - Énfasis1 6 4" xfId="2678" xr:uid="{00000000-0005-0000-0000-0000F80B0000}"/>
    <cellStyle name="40% - Énfasis1 6 4 10" xfId="26636" xr:uid="{00000000-0005-0000-0000-0000F90B0000}"/>
    <cellStyle name="40% - Énfasis1 6 4 11" xfId="27140" xr:uid="{00000000-0005-0000-0000-0000FA0B0000}"/>
    <cellStyle name="40% - Énfasis1 6 4 12" xfId="27644" xr:uid="{00000000-0005-0000-0000-0000FB0B0000}"/>
    <cellStyle name="40% - Énfasis1 6 4 13" xfId="28148" xr:uid="{00000000-0005-0000-0000-0000FC0B0000}"/>
    <cellStyle name="40% - Énfasis1 6 4 14" xfId="28652" xr:uid="{00000000-0005-0000-0000-0000FD0B0000}"/>
    <cellStyle name="40% - Énfasis1 6 4 15" xfId="29156" xr:uid="{00000000-0005-0000-0000-0000FE0B0000}"/>
    <cellStyle name="40% - Énfasis1 6 4 16" xfId="29660" xr:uid="{00000000-0005-0000-0000-0000FF0B0000}"/>
    <cellStyle name="40% - Énfasis1 6 4 17" xfId="30164" xr:uid="{00000000-0005-0000-0000-0000000C0000}"/>
    <cellStyle name="40% - Énfasis1 6 4 18" xfId="30669" xr:uid="{00000000-0005-0000-0000-0000010C0000}"/>
    <cellStyle name="40% - Énfasis1 6 4 2" xfId="4359" xr:uid="{00000000-0005-0000-0000-0000020C0000}"/>
    <cellStyle name="40% - Énfasis1 6 4 2 2" xfId="6229" xr:uid="{00000000-0005-0000-0000-0000030C0000}"/>
    <cellStyle name="40% - Énfasis1 6 4 3" xfId="5326" xr:uid="{00000000-0005-0000-0000-0000040C0000}"/>
    <cellStyle name="40% - Énfasis1 6 4 4" xfId="17934" xr:uid="{00000000-0005-0000-0000-0000050C0000}"/>
    <cellStyle name="40% - Énfasis1 6 4 5" xfId="23325" xr:uid="{00000000-0005-0000-0000-0000060C0000}"/>
    <cellStyle name="40% - Énfasis1 6 4 6" xfId="24620" xr:uid="{00000000-0005-0000-0000-0000070C0000}"/>
    <cellStyle name="40% - Énfasis1 6 4 7" xfId="25124" xr:uid="{00000000-0005-0000-0000-0000080C0000}"/>
    <cellStyle name="40% - Énfasis1 6 4 8" xfId="25628" xr:uid="{00000000-0005-0000-0000-0000090C0000}"/>
    <cellStyle name="40% - Énfasis1 6 4 9" xfId="26132" xr:uid="{00000000-0005-0000-0000-00000A0C0000}"/>
    <cellStyle name="40% - Énfasis1 6 5" xfId="3788" xr:uid="{00000000-0005-0000-0000-00000B0C0000}"/>
    <cellStyle name="40% - Énfasis1 6 6" xfId="3186" xr:uid="{00000000-0005-0000-0000-00000C0C0000}"/>
    <cellStyle name="40% - Énfasis1 6 6 2" xfId="5748" xr:uid="{00000000-0005-0000-0000-00000D0C0000}"/>
    <cellStyle name="40% - Énfasis1 6 7" xfId="6790" xr:uid="{00000000-0005-0000-0000-00000E0C0000}"/>
    <cellStyle name="40% - Énfasis1 6 8" xfId="7115" xr:uid="{00000000-0005-0000-0000-00000F0C0000}"/>
    <cellStyle name="40% - Énfasis1 6 9" xfId="23323" xr:uid="{00000000-0005-0000-0000-0000100C0000}"/>
    <cellStyle name="40% - Énfasis1 7" xfId="976" xr:uid="{00000000-0005-0000-0000-0000110C0000}"/>
    <cellStyle name="40% - Énfasis1 7 10" xfId="24621" xr:uid="{00000000-0005-0000-0000-0000120C0000}"/>
    <cellStyle name="40% - Énfasis1 7 11" xfId="25125" xr:uid="{00000000-0005-0000-0000-0000130C0000}"/>
    <cellStyle name="40% - Énfasis1 7 12" xfId="25629" xr:uid="{00000000-0005-0000-0000-0000140C0000}"/>
    <cellStyle name="40% - Énfasis1 7 13" xfId="26133" xr:uid="{00000000-0005-0000-0000-0000150C0000}"/>
    <cellStyle name="40% - Énfasis1 7 14" xfId="26637" xr:uid="{00000000-0005-0000-0000-0000160C0000}"/>
    <cellStyle name="40% - Énfasis1 7 15" xfId="27141" xr:uid="{00000000-0005-0000-0000-0000170C0000}"/>
    <cellStyle name="40% - Énfasis1 7 16" xfId="27645" xr:uid="{00000000-0005-0000-0000-0000180C0000}"/>
    <cellStyle name="40% - Énfasis1 7 17" xfId="28149" xr:uid="{00000000-0005-0000-0000-0000190C0000}"/>
    <cellStyle name="40% - Énfasis1 7 18" xfId="28653" xr:uid="{00000000-0005-0000-0000-00001A0C0000}"/>
    <cellStyle name="40% - Énfasis1 7 19" xfId="29157" xr:uid="{00000000-0005-0000-0000-00001B0C0000}"/>
    <cellStyle name="40% - Énfasis1 7 2" xfId="977" xr:uid="{00000000-0005-0000-0000-00001C0C0000}"/>
    <cellStyle name="40% - Énfasis1 7 2 2" xfId="17937" xr:uid="{00000000-0005-0000-0000-00001D0C0000}"/>
    <cellStyle name="40% - Énfasis1 7 2 3" xfId="7492" xr:uid="{00000000-0005-0000-0000-00001E0C0000}"/>
    <cellStyle name="40% - Énfasis1 7 20" xfId="29661" xr:uid="{00000000-0005-0000-0000-00001F0C0000}"/>
    <cellStyle name="40% - Énfasis1 7 21" xfId="30165" xr:uid="{00000000-0005-0000-0000-0000200C0000}"/>
    <cellStyle name="40% - Énfasis1 7 22" xfId="30670" xr:uid="{00000000-0005-0000-0000-0000210C0000}"/>
    <cellStyle name="40% - Énfasis1 7 3" xfId="1825" xr:uid="{00000000-0005-0000-0000-0000220C0000}"/>
    <cellStyle name="40% - Énfasis1 7 3 2" xfId="4245" xr:uid="{00000000-0005-0000-0000-0000230C0000}"/>
    <cellStyle name="40% - Énfasis1 7 3 2 2" xfId="6189" xr:uid="{00000000-0005-0000-0000-0000240C0000}"/>
    <cellStyle name="40% - Énfasis1 7 3 3" xfId="5279" xr:uid="{00000000-0005-0000-0000-0000250C0000}"/>
    <cellStyle name="40% - Énfasis1 7 3 4" xfId="7491" xr:uid="{00000000-0005-0000-0000-0000260C0000}"/>
    <cellStyle name="40% - Énfasis1 7 3 5" xfId="23327" xr:uid="{00000000-0005-0000-0000-0000270C0000}"/>
    <cellStyle name="40% - Énfasis1 7 4" xfId="2679" xr:uid="{00000000-0005-0000-0000-0000280C0000}"/>
    <cellStyle name="40% - Énfasis1 7 4 10" xfId="26638" xr:uid="{00000000-0005-0000-0000-0000290C0000}"/>
    <cellStyle name="40% - Énfasis1 7 4 11" xfId="27142" xr:uid="{00000000-0005-0000-0000-00002A0C0000}"/>
    <cellStyle name="40% - Énfasis1 7 4 12" xfId="27646" xr:uid="{00000000-0005-0000-0000-00002B0C0000}"/>
    <cellStyle name="40% - Énfasis1 7 4 13" xfId="28150" xr:uid="{00000000-0005-0000-0000-00002C0C0000}"/>
    <cellStyle name="40% - Énfasis1 7 4 14" xfId="28654" xr:uid="{00000000-0005-0000-0000-00002D0C0000}"/>
    <cellStyle name="40% - Énfasis1 7 4 15" xfId="29158" xr:uid="{00000000-0005-0000-0000-00002E0C0000}"/>
    <cellStyle name="40% - Énfasis1 7 4 16" xfId="29662" xr:uid="{00000000-0005-0000-0000-00002F0C0000}"/>
    <cellStyle name="40% - Énfasis1 7 4 17" xfId="30166" xr:uid="{00000000-0005-0000-0000-0000300C0000}"/>
    <cellStyle name="40% - Énfasis1 7 4 18" xfId="30671" xr:uid="{00000000-0005-0000-0000-0000310C0000}"/>
    <cellStyle name="40% - Énfasis1 7 4 2" xfId="4360" xr:uid="{00000000-0005-0000-0000-0000320C0000}"/>
    <cellStyle name="40% - Énfasis1 7 4 2 2" xfId="6230" xr:uid="{00000000-0005-0000-0000-0000330C0000}"/>
    <cellStyle name="40% - Énfasis1 7 4 3" xfId="5327" xr:uid="{00000000-0005-0000-0000-0000340C0000}"/>
    <cellStyle name="40% - Énfasis1 7 4 4" xfId="17936" xr:uid="{00000000-0005-0000-0000-0000350C0000}"/>
    <cellStyle name="40% - Énfasis1 7 4 5" xfId="23328" xr:uid="{00000000-0005-0000-0000-0000360C0000}"/>
    <cellStyle name="40% - Énfasis1 7 4 6" xfId="24622" xr:uid="{00000000-0005-0000-0000-0000370C0000}"/>
    <cellStyle name="40% - Énfasis1 7 4 7" xfId="25126" xr:uid="{00000000-0005-0000-0000-0000380C0000}"/>
    <cellStyle name="40% - Énfasis1 7 4 8" xfId="25630" xr:uid="{00000000-0005-0000-0000-0000390C0000}"/>
    <cellStyle name="40% - Énfasis1 7 4 9" xfId="26134" xr:uid="{00000000-0005-0000-0000-00003A0C0000}"/>
    <cellStyle name="40% - Énfasis1 7 5" xfId="3789" xr:uid="{00000000-0005-0000-0000-00003B0C0000}"/>
    <cellStyle name="40% - Énfasis1 7 6" xfId="3187" xr:uid="{00000000-0005-0000-0000-00003C0C0000}"/>
    <cellStyle name="40% - Énfasis1 7 6 2" xfId="5749" xr:uid="{00000000-0005-0000-0000-00003D0C0000}"/>
    <cellStyle name="40% - Énfasis1 7 7" xfId="6791" xr:uid="{00000000-0005-0000-0000-00003E0C0000}"/>
    <cellStyle name="40% - Énfasis1 7 8" xfId="7114" xr:uid="{00000000-0005-0000-0000-00003F0C0000}"/>
    <cellStyle name="40% - Énfasis1 7 9" xfId="23326" xr:uid="{00000000-0005-0000-0000-0000400C0000}"/>
    <cellStyle name="40% - Énfasis1 8" xfId="978" xr:uid="{00000000-0005-0000-0000-0000410C0000}"/>
    <cellStyle name="40% - Énfasis1 8 2" xfId="979" xr:uid="{00000000-0005-0000-0000-0000420C0000}"/>
    <cellStyle name="40% - Énfasis1 8 3" xfId="7474" xr:uid="{00000000-0005-0000-0000-0000430C0000}"/>
    <cellStyle name="40% - Énfasis1 9" xfId="980" xr:uid="{00000000-0005-0000-0000-0000440C0000}"/>
    <cellStyle name="40% - Énfasis1 9 10" xfId="4955" xr:uid="{00000000-0005-0000-0000-0000450C0000}"/>
    <cellStyle name="40% - Énfasis1 9 11" xfId="6736" xr:uid="{00000000-0005-0000-0000-0000460C0000}"/>
    <cellStyle name="40% - Énfasis1 9 12" xfId="17931" xr:uid="{00000000-0005-0000-0000-0000470C0000}"/>
    <cellStyle name="40% - Énfasis1 9 13" xfId="22878" xr:uid="{00000000-0005-0000-0000-0000480C0000}"/>
    <cellStyle name="40% - Énfasis1 9 14" xfId="23329" xr:uid="{00000000-0005-0000-0000-0000490C0000}"/>
    <cellStyle name="40% - Énfasis1 9 15" xfId="24623" xr:uid="{00000000-0005-0000-0000-00004A0C0000}"/>
    <cellStyle name="40% - Énfasis1 9 16" xfId="25127" xr:uid="{00000000-0005-0000-0000-00004B0C0000}"/>
    <cellStyle name="40% - Énfasis1 9 17" xfId="25631" xr:uid="{00000000-0005-0000-0000-00004C0C0000}"/>
    <cellStyle name="40% - Énfasis1 9 18" xfId="26135" xr:uid="{00000000-0005-0000-0000-00004D0C0000}"/>
    <cellStyle name="40% - Énfasis1 9 19" xfId="26639" xr:uid="{00000000-0005-0000-0000-00004E0C0000}"/>
    <cellStyle name="40% - Énfasis1 9 2" xfId="1452" xr:uid="{00000000-0005-0000-0000-00004F0C0000}"/>
    <cellStyle name="40% - Énfasis1 9 2 10" xfId="26136" xr:uid="{00000000-0005-0000-0000-0000500C0000}"/>
    <cellStyle name="40% - Énfasis1 9 2 11" xfId="26640" xr:uid="{00000000-0005-0000-0000-0000510C0000}"/>
    <cellStyle name="40% - Énfasis1 9 2 12" xfId="27144" xr:uid="{00000000-0005-0000-0000-0000520C0000}"/>
    <cellStyle name="40% - Énfasis1 9 2 13" xfId="27648" xr:uid="{00000000-0005-0000-0000-0000530C0000}"/>
    <cellStyle name="40% - Énfasis1 9 2 14" xfId="28152" xr:uid="{00000000-0005-0000-0000-0000540C0000}"/>
    <cellStyle name="40% - Énfasis1 9 2 15" xfId="28656" xr:uid="{00000000-0005-0000-0000-0000550C0000}"/>
    <cellStyle name="40% - Énfasis1 9 2 16" xfId="29160" xr:uid="{00000000-0005-0000-0000-0000560C0000}"/>
    <cellStyle name="40% - Énfasis1 9 2 17" xfId="29664" xr:uid="{00000000-0005-0000-0000-0000570C0000}"/>
    <cellStyle name="40% - Énfasis1 9 2 18" xfId="30168" xr:uid="{00000000-0005-0000-0000-0000580C0000}"/>
    <cellStyle name="40% - Énfasis1 9 2 19" xfId="30673" xr:uid="{00000000-0005-0000-0000-0000590C0000}"/>
    <cellStyle name="40% - Énfasis1 9 2 2" xfId="1598" xr:uid="{00000000-0005-0000-0000-00005A0C0000}"/>
    <cellStyle name="40% - Énfasis1 9 2 2 2" xfId="3025" xr:uid="{00000000-0005-0000-0000-00005B0C0000}"/>
    <cellStyle name="40% - Énfasis1 9 2 2 2 2" xfId="4644" xr:uid="{00000000-0005-0000-0000-00005C0C0000}"/>
    <cellStyle name="40% - Énfasis1 9 2 2 2 2 2" xfId="6511" xr:uid="{00000000-0005-0000-0000-00005D0C0000}"/>
    <cellStyle name="40% - Énfasis1 9 2 2 2 3" xfId="5609" xr:uid="{00000000-0005-0000-0000-00005E0C0000}"/>
    <cellStyle name="40% - Énfasis1 9 2 2 3" xfId="4117" xr:uid="{00000000-0005-0000-0000-00005F0C0000}"/>
    <cellStyle name="40% - Énfasis1 9 2 2 3 2" xfId="6065" xr:uid="{00000000-0005-0000-0000-0000600C0000}"/>
    <cellStyle name="40% - Énfasis1 9 2 2 4" xfId="5151" xr:uid="{00000000-0005-0000-0000-0000610C0000}"/>
    <cellStyle name="40% - Énfasis1 9 2 3" xfId="2886" xr:uid="{00000000-0005-0000-0000-0000620C0000}"/>
    <cellStyle name="40% - Énfasis1 9 2 3 2" xfId="4505" xr:uid="{00000000-0005-0000-0000-0000630C0000}"/>
    <cellStyle name="40% - Énfasis1 9 2 3 2 2" xfId="6372" xr:uid="{00000000-0005-0000-0000-0000640C0000}"/>
    <cellStyle name="40% - Énfasis1 9 2 3 3" xfId="5470" xr:uid="{00000000-0005-0000-0000-0000650C0000}"/>
    <cellStyle name="40% - Énfasis1 9 2 4" xfId="3973" xr:uid="{00000000-0005-0000-0000-0000660C0000}"/>
    <cellStyle name="40% - Énfasis1 9 2 4 2" xfId="5927" xr:uid="{00000000-0005-0000-0000-0000670C0000}"/>
    <cellStyle name="40% - Énfasis1 9 2 5" xfId="5012" xr:uid="{00000000-0005-0000-0000-0000680C0000}"/>
    <cellStyle name="40% - Énfasis1 9 2 6" xfId="23330" xr:uid="{00000000-0005-0000-0000-0000690C0000}"/>
    <cellStyle name="40% - Énfasis1 9 2 7" xfId="24624" xr:uid="{00000000-0005-0000-0000-00006A0C0000}"/>
    <cellStyle name="40% - Énfasis1 9 2 8" xfId="25128" xr:uid="{00000000-0005-0000-0000-00006B0C0000}"/>
    <cellStyle name="40% - Énfasis1 9 2 9" xfId="25632" xr:uid="{00000000-0005-0000-0000-00006C0C0000}"/>
    <cellStyle name="40% - Énfasis1 9 20" xfId="27143" xr:uid="{00000000-0005-0000-0000-00006D0C0000}"/>
    <cellStyle name="40% - Énfasis1 9 21" xfId="27647" xr:uid="{00000000-0005-0000-0000-00006E0C0000}"/>
    <cellStyle name="40% - Énfasis1 9 22" xfId="28151" xr:uid="{00000000-0005-0000-0000-00006F0C0000}"/>
    <cellStyle name="40% - Énfasis1 9 23" xfId="28655" xr:uid="{00000000-0005-0000-0000-0000700C0000}"/>
    <cellStyle name="40% - Énfasis1 9 24" xfId="29159" xr:uid="{00000000-0005-0000-0000-0000710C0000}"/>
    <cellStyle name="40% - Énfasis1 9 25" xfId="29663" xr:uid="{00000000-0005-0000-0000-0000720C0000}"/>
    <cellStyle name="40% - Énfasis1 9 26" xfId="30167" xr:uid="{00000000-0005-0000-0000-0000730C0000}"/>
    <cellStyle name="40% - Énfasis1 9 27" xfId="30672" xr:uid="{00000000-0005-0000-0000-0000740C0000}"/>
    <cellStyle name="40% - Énfasis1 9 3" xfId="1491" xr:uid="{00000000-0005-0000-0000-0000750C0000}"/>
    <cellStyle name="40% - Énfasis1 9 3 2" xfId="1599" xr:uid="{00000000-0005-0000-0000-0000760C0000}"/>
    <cellStyle name="40% - Énfasis1 9 3 2 2" xfId="3026" xr:uid="{00000000-0005-0000-0000-0000770C0000}"/>
    <cellStyle name="40% - Énfasis1 9 3 2 2 2" xfId="4645" xr:uid="{00000000-0005-0000-0000-0000780C0000}"/>
    <cellStyle name="40% - Énfasis1 9 3 2 2 2 2" xfId="6512" xr:uid="{00000000-0005-0000-0000-0000790C0000}"/>
    <cellStyle name="40% - Énfasis1 9 3 2 2 3" xfId="5610" xr:uid="{00000000-0005-0000-0000-00007A0C0000}"/>
    <cellStyle name="40% - Énfasis1 9 3 2 3" xfId="4118" xr:uid="{00000000-0005-0000-0000-00007B0C0000}"/>
    <cellStyle name="40% - Énfasis1 9 3 2 3 2" xfId="6066" xr:uid="{00000000-0005-0000-0000-00007C0C0000}"/>
    <cellStyle name="40% - Énfasis1 9 3 2 4" xfId="5152" xr:uid="{00000000-0005-0000-0000-00007D0C0000}"/>
    <cellStyle name="40% - Énfasis1 9 3 3" xfId="2925" xr:uid="{00000000-0005-0000-0000-00007E0C0000}"/>
    <cellStyle name="40% - Énfasis1 9 3 3 2" xfId="4544" xr:uid="{00000000-0005-0000-0000-00007F0C0000}"/>
    <cellStyle name="40% - Énfasis1 9 3 3 2 2" xfId="6411" xr:uid="{00000000-0005-0000-0000-0000800C0000}"/>
    <cellStyle name="40% - Énfasis1 9 3 3 3" xfId="5509" xr:uid="{00000000-0005-0000-0000-0000810C0000}"/>
    <cellStyle name="40% - Énfasis1 9 3 4" xfId="4012" xr:uid="{00000000-0005-0000-0000-0000820C0000}"/>
    <cellStyle name="40% - Énfasis1 9 3 4 2" xfId="5966" xr:uid="{00000000-0005-0000-0000-0000830C0000}"/>
    <cellStyle name="40% - Énfasis1 9 3 5" xfId="5051" xr:uid="{00000000-0005-0000-0000-0000840C0000}"/>
    <cellStyle name="40% - Énfasis1 9 4" xfId="1600" xr:uid="{00000000-0005-0000-0000-0000850C0000}"/>
    <cellStyle name="40% - Énfasis1 9 4 2" xfId="3027" xr:uid="{00000000-0005-0000-0000-0000860C0000}"/>
    <cellStyle name="40% - Énfasis1 9 4 2 2" xfId="4646" xr:uid="{00000000-0005-0000-0000-0000870C0000}"/>
    <cellStyle name="40% - Énfasis1 9 4 2 2 2" xfId="6513" xr:uid="{00000000-0005-0000-0000-0000880C0000}"/>
    <cellStyle name="40% - Énfasis1 9 4 2 3" xfId="5611" xr:uid="{00000000-0005-0000-0000-0000890C0000}"/>
    <cellStyle name="40% - Énfasis1 9 4 3" xfId="4119" xr:uid="{00000000-0005-0000-0000-00008A0C0000}"/>
    <cellStyle name="40% - Énfasis1 9 4 3 2" xfId="6067" xr:uid="{00000000-0005-0000-0000-00008B0C0000}"/>
    <cellStyle name="40% - Énfasis1 9 4 4" xfId="5153" xr:uid="{00000000-0005-0000-0000-00008C0C0000}"/>
    <cellStyle name="40% - Énfasis1 9 5" xfId="1601" xr:uid="{00000000-0005-0000-0000-00008D0C0000}"/>
    <cellStyle name="40% - Énfasis1 9 5 2" xfId="3028" xr:uid="{00000000-0005-0000-0000-00008E0C0000}"/>
    <cellStyle name="40% - Énfasis1 9 5 2 2" xfId="4647" xr:uid="{00000000-0005-0000-0000-00008F0C0000}"/>
    <cellStyle name="40% - Énfasis1 9 5 2 2 2" xfId="6514" xr:uid="{00000000-0005-0000-0000-0000900C0000}"/>
    <cellStyle name="40% - Énfasis1 9 5 2 3" xfId="5612" xr:uid="{00000000-0005-0000-0000-0000910C0000}"/>
    <cellStyle name="40% - Énfasis1 9 5 3" xfId="4120" xr:uid="{00000000-0005-0000-0000-0000920C0000}"/>
    <cellStyle name="40% - Énfasis1 9 5 3 2" xfId="6068" xr:uid="{00000000-0005-0000-0000-0000930C0000}"/>
    <cellStyle name="40% - Énfasis1 9 5 4" xfId="5154" xr:uid="{00000000-0005-0000-0000-0000940C0000}"/>
    <cellStyle name="40% - Énfasis1 9 6" xfId="2827" xr:uid="{00000000-0005-0000-0000-0000950C0000}"/>
    <cellStyle name="40% - Énfasis1 9 6 2" xfId="4447" xr:uid="{00000000-0005-0000-0000-0000960C0000}"/>
    <cellStyle name="40% - Énfasis1 9 6 2 2" xfId="6315" xr:uid="{00000000-0005-0000-0000-0000970C0000}"/>
    <cellStyle name="40% - Énfasis1 9 6 3" xfId="5413" xr:uid="{00000000-0005-0000-0000-0000980C0000}"/>
    <cellStyle name="40% - Énfasis1 9 7" xfId="3790" xr:uid="{00000000-0005-0000-0000-0000990C0000}"/>
    <cellStyle name="40% - Énfasis1 9 7 2" xfId="5871" xr:uid="{00000000-0005-0000-0000-00009A0C0000}"/>
    <cellStyle name="40% - Énfasis1 9 8" xfId="4806" xr:uid="{00000000-0005-0000-0000-00009B0C0000}"/>
    <cellStyle name="40% - Énfasis1 9 8 2" xfId="6651" xr:uid="{00000000-0005-0000-0000-00009C0C0000}"/>
    <cellStyle name="40% - Énfasis1 9 9" xfId="4851" xr:uid="{00000000-0005-0000-0000-00009D0C0000}"/>
    <cellStyle name="40% - Énfasis1 9 9 2" xfId="6693" xr:uid="{00000000-0005-0000-0000-00009E0C0000}"/>
    <cellStyle name="40% - Énfasis2" xfId="45" builtinId="35" customBuiltin="1"/>
    <cellStyle name="40% - Énfasis2 10" xfId="982" xr:uid="{00000000-0005-0000-0000-0000A00C0000}"/>
    <cellStyle name="40% - Énfasis2 10 10" xfId="4957" xr:uid="{00000000-0005-0000-0000-0000A10C0000}"/>
    <cellStyle name="40% - Énfasis2 10 11" xfId="6738" xr:uid="{00000000-0005-0000-0000-0000A20C0000}"/>
    <cellStyle name="40% - Énfasis2 10 12" xfId="17938" xr:uid="{00000000-0005-0000-0000-0000A30C0000}"/>
    <cellStyle name="40% - Énfasis2 10 13" xfId="22880" xr:uid="{00000000-0005-0000-0000-0000A40C0000}"/>
    <cellStyle name="40% - Énfasis2 10 14" xfId="23331" xr:uid="{00000000-0005-0000-0000-0000A50C0000}"/>
    <cellStyle name="40% - Énfasis2 10 15" xfId="24625" xr:uid="{00000000-0005-0000-0000-0000A60C0000}"/>
    <cellStyle name="40% - Énfasis2 10 16" xfId="25129" xr:uid="{00000000-0005-0000-0000-0000A70C0000}"/>
    <cellStyle name="40% - Énfasis2 10 17" xfId="25633" xr:uid="{00000000-0005-0000-0000-0000A80C0000}"/>
    <cellStyle name="40% - Énfasis2 10 18" xfId="26137" xr:uid="{00000000-0005-0000-0000-0000A90C0000}"/>
    <cellStyle name="40% - Énfasis2 10 19" xfId="26641" xr:uid="{00000000-0005-0000-0000-0000AA0C0000}"/>
    <cellStyle name="40% - Énfasis2 10 2" xfId="1454" xr:uid="{00000000-0005-0000-0000-0000AB0C0000}"/>
    <cellStyle name="40% - Énfasis2 10 2 10" xfId="26138" xr:uid="{00000000-0005-0000-0000-0000AC0C0000}"/>
    <cellStyle name="40% - Énfasis2 10 2 11" xfId="26642" xr:uid="{00000000-0005-0000-0000-0000AD0C0000}"/>
    <cellStyle name="40% - Énfasis2 10 2 12" xfId="27146" xr:uid="{00000000-0005-0000-0000-0000AE0C0000}"/>
    <cellStyle name="40% - Énfasis2 10 2 13" xfId="27650" xr:uid="{00000000-0005-0000-0000-0000AF0C0000}"/>
    <cellStyle name="40% - Énfasis2 10 2 14" xfId="28154" xr:uid="{00000000-0005-0000-0000-0000B00C0000}"/>
    <cellStyle name="40% - Énfasis2 10 2 15" xfId="28658" xr:uid="{00000000-0005-0000-0000-0000B10C0000}"/>
    <cellStyle name="40% - Énfasis2 10 2 16" xfId="29162" xr:uid="{00000000-0005-0000-0000-0000B20C0000}"/>
    <cellStyle name="40% - Énfasis2 10 2 17" xfId="29666" xr:uid="{00000000-0005-0000-0000-0000B30C0000}"/>
    <cellStyle name="40% - Énfasis2 10 2 18" xfId="30170" xr:uid="{00000000-0005-0000-0000-0000B40C0000}"/>
    <cellStyle name="40% - Énfasis2 10 2 19" xfId="30675" xr:uid="{00000000-0005-0000-0000-0000B50C0000}"/>
    <cellStyle name="40% - Énfasis2 10 2 2" xfId="1602" xr:uid="{00000000-0005-0000-0000-0000B60C0000}"/>
    <cellStyle name="40% - Énfasis2 10 2 2 2" xfId="3029" xr:uid="{00000000-0005-0000-0000-0000B70C0000}"/>
    <cellStyle name="40% - Énfasis2 10 2 2 2 2" xfId="4648" xr:uid="{00000000-0005-0000-0000-0000B80C0000}"/>
    <cellStyle name="40% - Énfasis2 10 2 2 2 2 2" xfId="6515" xr:uid="{00000000-0005-0000-0000-0000B90C0000}"/>
    <cellStyle name="40% - Énfasis2 10 2 2 2 3" xfId="5613" xr:uid="{00000000-0005-0000-0000-0000BA0C0000}"/>
    <cellStyle name="40% - Énfasis2 10 2 2 3" xfId="4121" xr:uid="{00000000-0005-0000-0000-0000BB0C0000}"/>
    <cellStyle name="40% - Énfasis2 10 2 2 3 2" xfId="6069" xr:uid="{00000000-0005-0000-0000-0000BC0C0000}"/>
    <cellStyle name="40% - Énfasis2 10 2 2 4" xfId="5155" xr:uid="{00000000-0005-0000-0000-0000BD0C0000}"/>
    <cellStyle name="40% - Énfasis2 10 2 3" xfId="2888" xr:uid="{00000000-0005-0000-0000-0000BE0C0000}"/>
    <cellStyle name="40% - Énfasis2 10 2 3 2" xfId="4507" xr:uid="{00000000-0005-0000-0000-0000BF0C0000}"/>
    <cellStyle name="40% - Énfasis2 10 2 3 2 2" xfId="6374" xr:uid="{00000000-0005-0000-0000-0000C00C0000}"/>
    <cellStyle name="40% - Énfasis2 10 2 3 3" xfId="5472" xr:uid="{00000000-0005-0000-0000-0000C10C0000}"/>
    <cellStyle name="40% - Énfasis2 10 2 4" xfId="3975" xr:uid="{00000000-0005-0000-0000-0000C20C0000}"/>
    <cellStyle name="40% - Énfasis2 10 2 4 2" xfId="5929" xr:uid="{00000000-0005-0000-0000-0000C30C0000}"/>
    <cellStyle name="40% - Énfasis2 10 2 5" xfId="5014" xr:uid="{00000000-0005-0000-0000-0000C40C0000}"/>
    <cellStyle name="40% - Énfasis2 10 2 6" xfId="23332" xr:uid="{00000000-0005-0000-0000-0000C50C0000}"/>
    <cellStyle name="40% - Énfasis2 10 2 7" xfId="24626" xr:uid="{00000000-0005-0000-0000-0000C60C0000}"/>
    <cellStyle name="40% - Énfasis2 10 2 8" xfId="25130" xr:uid="{00000000-0005-0000-0000-0000C70C0000}"/>
    <cellStyle name="40% - Énfasis2 10 2 9" xfId="25634" xr:uid="{00000000-0005-0000-0000-0000C80C0000}"/>
    <cellStyle name="40% - Énfasis2 10 20" xfId="27145" xr:uid="{00000000-0005-0000-0000-0000C90C0000}"/>
    <cellStyle name="40% - Énfasis2 10 21" xfId="27649" xr:uid="{00000000-0005-0000-0000-0000CA0C0000}"/>
    <cellStyle name="40% - Énfasis2 10 22" xfId="28153" xr:uid="{00000000-0005-0000-0000-0000CB0C0000}"/>
    <cellStyle name="40% - Énfasis2 10 23" xfId="28657" xr:uid="{00000000-0005-0000-0000-0000CC0C0000}"/>
    <cellStyle name="40% - Énfasis2 10 24" xfId="29161" xr:uid="{00000000-0005-0000-0000-0000CD0C0000}"/>
    <cellStyle name="40% - Énfasis2 10 25" xfId="29665" xr:uid="{00000000-0005-0000-0000-0000CE0C0000}"/>
    <cellStyle name="40% - Énfasis2 10 26" xfId="30169" xr:uid="{00000000-0005-0000-0000-0000CF0C0000}"/>
    <cellStyle name="40% - Énfasis2 10 27" xfId="30674" xr:uid="{00000000-0005-0000-0000-0000D00C0000}"/>
    <cellStyle name="40% - Énfasis2 10 3" xfId="1492" xr:uid="{00000000-0005-0000-0000-0000D10C0000}"/>
    <cellStyle name="40% - Énfasis2 10 3 2" xfId="1603" xr:uid="{00000000-0005-0000-0000-0000D20C0000}"/>
    <cellStyle name="40% - Énfasis2 10 3 2 2" xfId="3030" xr:uid="{00000000-0005-0000-0000-0000D30C0000}"/>
    <cellStyle name="40% - Énfasis2 10 3 2 2 2" xfId="4649" xr:uid="{00000000-0005-0000-0000-0000D40C0000}"/>
    <cellStyle name="40% - Énfasis2 10 3 2 2 2 2" xfId="6516" xr:uid="{00000000-0005-0000-0000-0000D50C0000}"/>
    <cellStyle name="40% - Énfasis2 10 3 2 2 3" xfId="5614" xr:uid="{00000000-0005-0000-0000-0000D60C0000}"/>
    <cellStyle name="40% - Énfasis2 10 3 2 3" xfId="4122" xr:uid="{00000000-0005-0000-0000-0000D70C0000}"/>
    <cellStyle name="40% - Énfasis2 10 3 2 3 2" xfId="6070" xr:uid="{00000000-0005-0000-0000-0000D80C0000}"/>
    <cellStyle name="40% - Énfasis2 10 3 2 4" xfId="5156" xr:uid="{00000000-0005-0000-0000-0000D90C0000}"/>
    <cellStyle name="40% - Énfasis2 10 3 3" xfId="2926" xr:uid="{00000000-0005-0000-0000-0000DA0C0000}"/>
    <cellStyle name="40% - Énfasis2 10 3 3 2" xfId="4545" xr:uid="{00000000-0005-0000-0000-0000DB0C0000}"/>
    <cellStyle name="40% - Énfasis2 10 3 3 2 2" xfId="6412" xr:uid="{00000000-0005-0000-0000-0000DC0C0000}"/>
    <cellStyle name="40% - Énfasis2 10 3 3 3" xfId="5510" xr:uid="{00000000-0005-0000-0000-0000DD0C0000}"/>
    <cellStyle name="40% - Énfasis2 10 3 4" xfId="4013" xr:uid="{00000000-0005-0000-0000-0000DE0C0000}"/>
    <cellStyle name="40% - Énfasis2 10 3 4 2" xfId="5967" xr:uid="{00000000-0005-0000-0000-0000DF0C0000}"/>
    <cellStyle name="40% - Énfasis2 10 3 5" xfId="5052" xr:uid="{00000000-0005-0000-0000-0000E00C0000}"/>
    <cellStyle name="40% - Énfasis2 10 4" xfId="1604" xr:uid="{00000000-0005-0000-0000-0000E10C0000}"/>
    <cellStyle name="40% - Énfasis2 10 4 2" xfId="3031" xr:uid="{00000000-0005-0000-0000-0000E20C0000}"/>
    <cellStyle name="40% - Énfasis2 10 4 2 2" xfId="4650" xr:uid="{00000000-0005-0000-0000-0000E30C0000}"/>
    <cellStyle name="40% - Énfasis2 10 4 2 2 2" xfId="6517" xr:uid="{00000000-0005-0000-0000-0000E40C0000}"/>
    <cellStyle name="40% - Énfasis2 10 4 2 3" xfId="5615" xr:uid="{00000000-0005-0000-0000-0000E50C0000}"/>
    <cellStyle name="40% - Énfasis2 10 4 3" xfId="4123" xr:uid="{00000000-0005-0000-0000-0000E60C0000}"/>
    <cellStyle name="40% - Énfasis2 10 4 3 2" xfId="6071" xr:uid="{00000000-0005-0000-0000-0000E70C0000}"/>
    <cellStyle name="40% - Énfasis2 10 4 4" xfId="5157" xr:uid="{00000000-0005-0000-0000-0000E80C0000}"/>
    <cellStyle name="40% - Énfasis2 10 5" xfId="1605" xr:uid="{00000000-0005-0000-0000-0000E90C0000}"/>
    <cellStyle name="40% - Énfasis2 10 5 2" xfId="3032" xr:uid="{00000000-0005-0000-0000-0000EA0C0000}"/>
    <cellStyle name="40% - Énfasis2 10 5 2 2" xfId="4651" xr:uid="{00000000-0005-0000-0000-0000EB0C0000}"/>
    <cellStyle name="40% - Énfasis2 10 5 2 2 2" xfId="6518" xr:uid="{00000000-0005-0000-0000-0000EC0C0000}"/>
    <cellStyle name="40% - Énfasis2 10 5 2 3" xfId="5616" xr:uid="{00000000-0005-0000-0000-0000ED0C0000}"/>
    <cellStyle name="40% - Énfasis2 10 5 3" xfId="4124" xr:uid="{00000000-0005-0000-0000-0000EE0C0000}"/>
    <cellStyle name="40% - Énfasis2 10 5 3 2" xfId="6072" xr:uid="{00000000-0005-0000-0000-0000EF0C0000}"/>
    <cellStyle name="40% - Énfasis2 10 5 4" xfId="5158" xr:uid="{00000000-0005-0000-0000-0000F00C0000}"/>
    <cellStyle name="40% - Énfasis2 10 6" xfId="2829" xr:uid="{00000000-0005-0000-0000-0000F10C0000}"/>
    <cellStyle name="40% - Énfasis2 10 6 2" xfId="4449" xr:uid="{00000000-0005-0000-0000-0000F20C0000}"/>
    <cellStyle name="40% - Énfasis2 10 6 2 2" xfId="6317" xr:uid="{00000000-0005-0000-0000-0000F30C0000}"/>
    <cellStyle name="40% - Énfasis2 10 6 3" xfId="5415" xr:uid="{00000000-0005-0000-0000-0000F40C0000}"/>
    <cellStyle name="40% - Énfasis2 10 7" xfId="3792" xr:uid="{00000000-0005-0000-0000-0000F50C0000}"/>
    <cellStyle name="40% - Énfasis2 10 7 2" xfId="5873" xr:uid="{00000000-0005-0000-0000-0000F60C0000}"/>
    <cellStyle name="40% - Énfasis2 10 8" xfId="4808" xr:uid="{00000000-0005-0000-0000-0000F70C0000}"/>
    <cellStyle name="40% - Énfasis2 10 8 2" xfId="6653" xr:uid="{00000000-0005-0000-0000-0000F80C0000}"/>
    <cellStyle name="40% - Énfasis2 10 9" xfId="4853" xr:uid="{00000000-0005-0000-0000-0000F90C0000}"/>
    <cellStyle name="40% - Énfasis2 10 9 2" xfId="6695" xr:uid="{00000000-0005-0000-0000-0000FA0C0000}"/>
    <cellStyle name="40% - Énfasis2 11" xfId="983" xr:uid="{00000000-0005-0000-0000-0000FB0C0000}"/>
    <cellStyle name="40% - Énfasis2 11 2" xfId="984" xr:uid="{00000000-0005-0000-0000-0000FC0C0000}"/>
    <cellStyle name="40% - Énfasis2 12" xfId="981" xr:uid="{00000000-0005-0000-0000-0000FD0C0000}"/>
    <cellStyle name="40% - Énfasis2 12 10" xfId="25635" xr:uid="{00000000-0005-0000-0000-0000FE0C0000}"/>
    <cellStyle name="40% - Énfasis2 12 11" xfId="26139" xr:uid="{00000000-0005-0000-0000-0000FF0C0000}"/>
    <cellStyle name="40% - Énfasis2 12 12" xfId="26643" xr:uid="{00000000-0005-0000-0000-0000000D0000}"/>
    <cellStyle name="40% - Énfasis2 12 13" xfId="27147" xr:uid="{00000000-0005-0000-0000-0000010D0000}"/>
    <cellStyle name="40% - Énfasis2 12 14" xfId="27651" xr:uid="{00000000-0005-0000-0000-0000020D0000}"/>
    <cellStyle name="40% - Énfasis2 12 15" xfId="28155" xr:uid="{00000000-0005-0000-0000-0000030D0000}"/>
    <cellStyle name="40% - Énfasis2 12 16" xfId="28659" xr:uid="{00000000-0005-0000-0000-0000040D0000}"/>
    <cellStyle name="40% - Énfasis2 12 17" xfId="29163" xr:uid="{00000000-0005-0000-0000-0000050D0000}"/>
    <cellStyle name="40% - Énfasis2 12 18" xfId="29667" xr:uid="{00000000-0005-0000-0000-0000060D0000}"/>
    <cellStyle name="40% - Énfasis2 12 19" xfId="30171" xr:uid="{00000000-0005-0000-0000-0000070D0000}"/>
    <cellStyle name="40% - Énfasis2 12 2" xfId="1453" xr:uid="{00000000-0005-0000-0000-0000080D0000}"/>
    <cellStyle name="40% - Énfasis2 12 2 10" xfId="26140" xr:uid="{00000000-0005-0000-0000-0000090D0000}"/>
    <cellStyle name="40% - Énfasis2 12 2 11" xfId="26644" xr:uid="{00000000-0005-0000-0000-00000A0D0000}"/>
    <cellStyle name="40% - Énfasis2 12 2 12" xfId="27148" xr:uid="{00000000-0005-0000-0000-00000B0D0000}"/>
    <cellStyle name="40% - Énfasis2 12 2 13" xfId="27652" xr:uid="{00000000-0005-0000-0000-00000C0D0000}"/>
    <cellStyle name="40% - Énfasis2 12 2 14" xfId="28156" xr:uid="{00000000-0005-0000-0000-00000D0D0000}"/>
    <cellStyle name="40% - Énfasis2 12 2 15" xfId="28660" xr:uid="{00000000-0005-0000-0000-00000E0D0000}"/>
    <cellStyle name="40% - Énfasis2 12 2 16" xfId="29164" xr:uid="{00000000-0005-0000-0000-00000F0D0000}"/>
    <cellStyle name="40% - Énfasis2 12 2 17" xfId="29668" xr:uid="{00000000-0005-0000-0000-0000100D0000}"/>
    <cellStyle name="40% - Énfasis2 12 2 18" xfId="30172" xr:uid="{00000000-0005-0000-0000-0000110D0000}"/>
    <cellStyle name="40% - Énfasis2 12 2 19" xfId="30677" xr:uid="{00000000-0005-0000-0000-0000120D0000}"/>
    <cellStyle name="40% - Énfasis2 12 2 2" xfId="1606" xr:uid="{00000000-0005-0000-0000-0000130D0000}"/>
    <cellStyle name="40% - Énfasis2 12 2 2 2" xfId="3033" xr:uid="{00000000-0005-0000-0000-0000140D0000}"/>
    <cellStyle name="40% - Énfasis2 12 2 2 2 2" xfId="4652" xr:uid="{00000000-0005-0000-0000-0000150D0000}"/>
    <cellStyle name="40% - Énfasis2 12 2 2 2 2 2" xfId="6519" xr:uid="{00000000-0005-0000-0000-0000160D0000}"/>
    <cellStyle name="40% - Énfasis2 12 2 2 2 3" xfId="5617" xr:uid="{00000000-0005-0000-0000-0000170D0000}"/>
    <cellStyle name="40% - Énfasis2 12 2 2 3" xfId="4125" xr:uid="{00000000-0005-0000-0000-0000180D0000}"/>
    <cellStyle name="40% - Énfasis2 12 2 2 3 2" xfId="6073" xr:uid="{00000000-0005-0000-0000-0000190D0000}"/>
    <cellStyle name="40% - Énfasis2 12 2 2 4" xfId="5159" xr:uid="{00000000-0005-0000-0000-00001A0D0000}"/>
    <cellStyle name="40% - Énfasis2 12 2 3" xfId="2887" xr:uid="{00000000-0005-0000-0000-00001B0D0000}"/>
    <cellStyle name="40% - Énfasis2 12 2 3 2" xfId="4506" xr:uid="{00000000-0005-0000-0000-00001C0D0000}"/>
    <cellStyle name="40% - Énfasis2 12 2 3 2 2" xfId="6373" xr:uid="{00000000-0005-0000-0000-00001D0D0000}"/>
    <cellStyle name="40% - Énfasis2 12 2 3 3" xfId="5471" xr:uid="{00000000-0005-0000-0000-00001E0D0000}"/>
    <cellStyle name="40% - Énfasis2 12 2 4" xfId="3974" xr:uid="{00000000-0005-0000-0000-00001F0D0000}"/>
    <cellStyle name="40% - Énfasis2 12 2 4 2" xfId="5928" xr:uid="{00000000-0005-0000-0000-0000200D0000}"/>
    <cellStyle name="40% - Énfasis2 12 2 5" xfId="5013" xr:uid="{00000000-0005-0000-0000-0000210D0000}"/>
    <cellStyle name="40% - Énfasis2 12 2 6" xfId="23334" xr:uid="{00000000-0005-0000-0000-0000220D0000}"/>
    <cellStyle name="40% - Énfasis2 12 2 7" xfId="24628" xr:uid="{00000000-0005-0000-0000-0000230D0000}"/>
    <cellStyle name="40% - Énfasis2 12 2 8" xfId="25132" xr:uid="{00000000-0005-0000-0000-0000240D0000}"/>
    <cellStyle name="40% - Énfasis2 12 2 9" xfId="25636" xr:uid="{00000000-0005-0000-0000-0000250D0000}"/>
    <cellStyle name="40% - Énfasis2 12 20" xfId="30676" xr:uid="{00000000-0005-0000-0000-0000260D0000}"/>
    <cellStyle name="40% - Énfasis2 12 3" xfId="1607" xr:uid="{00000000-0005-0000-0000-0000270D0000}"/>
    <cellStyle name="40% - Énfasis2 12 3 2" xfId="3034" xr:uid="{00000000-0005-0000-0000-0000280D0000}"/>
    <cellStyle name="40% - Énfasis2 12 3 2 2" xfId="4653" xr:uid="{00000000-0005-0000-0000-0000290D0000}"/>
    <cellStyle name="40% - Énfasis2 12 3 2 2 2" xfId="6520" xr:uid="{00000000-0005-0000-0000-00002A0D0000}"/>
    <cellStyle name="40% - Énfasis2 12 3 2 3" xfId="5618" xr:uid="{00000000-0005-0000-0000-00002B0D0000}"/>
    <cellStyle name="40% - Énfasis2 12 3 3" xfId="4126" xr:uid="{00000000-0005-0000-0000-00002C0D0000}"/>
    <cellStyle name="40% - Énfasis2 12 3 3 2" xfId="6074" xr:uid="{00000000-0005-0000-0000-00002D0D0000}"/>
    <cellStyle name="40% - Énfasis2 12 3 4" xfId="5160" xr:uid="{00000000-0005-0000-0000-00002E0D0000}"/>
    <cellStyle name="40% - Énfasis2 12 4" xfId="2828" xr:uid="{00000000-0005-0000-0000-00002F0D0000}"/>
    <cellStyle name="40% - Énfasis2 12 4 2" xfId="4448" xr:uid="{00000000-0005-0000-0000-0000300D0000}"/>
    <cellStyle name="40% - Énfasis2 12 4 2 2" xfId="6316" xr:uid="{00000000-0005-0000-0000-0000310D0000}"/>
    <cellStyle name="40% - Énfasis2 12 4 3" xfId="5414" xr:uid="{00000000-0005-0000-0000-0000320D0000}"/>
    <cellStyle name="40% - Énfasis2 12 5" xfId="3791" xr:uid="{00000000-0005-0000-0000-0000330D0000}"/>
    <cellStyle name="40% - Énfasis2 12 5 2" xfId="5872" xr:uid="{00000000-0005-0000-0000-0000340D0000}"/>
    <cellStyle name="40% - Énfasis2 12 6" xfId="4956" xr:uid="{00000000-0005-0000-0000-0000350D0000}"/>
    <cellStyle name="40% - Énfasis2 12 7" xfId="23333" xr:uid="{00000000-0005-0000-0000-0000360D0000}"/>
    <cellStyle name="40% - Énfasis2 12 8" xfId="24627" xr:uid="{00000000-0005-0000-0000-0000370D0000}"/>
    <cellStyle name="40% - Énfasis2 12 9" xfId="25131" xr:uid="{00000000-0005-0000-0000-0000380D0000}"/>
    <cellStyle name="40% - Énfasis2 13" xfId="1379" xr:uid="{00000000-0005-0000-0000-0000390D0000}"/>
    <cellStyle name="40% - Énfasis2 14" xfId="1493" xr:uid="{00000000-0005-0000-0000-00003A0D0000}"/>
    <cellStyle name="40% - Énfasis2 14 2" xfId="1608" xr:uid="{00000000-0005-0000-0000-00003B0D0000}"/>
    <cellStyle name="40% - Énfasis2 14 2 2" xfId="3035" xr:uid="{00000000-0005-0000-0000-00003C0D0000}"/>
    <cellStyle name="40% - Énfasis2 14 2 2 2" xfId="4654" xr:uid="{00000000-0005-0000-0000-00003D0D0000}"/>
    <cellStyle name="40% - Énfasis2 14 2 2 2 2" xfId="6521" xr:uid="{00000000-0005-0000-0000-00003E0D0000}"/>
    <cellStyle name="40% - Énfasis2 14 2 2 3" xfId="5619" xr:uid="{00000000-0005-0000-0000-00003F0D0000}"/>
    <cellStyle name="40% - Énfasis2 14 2 3" xfId="4127" xr:uid="{00000000-0005-0000-0000-0000400D0000}"/>
    <cellStyle name="40% - Énfasis2 14 2 3 2" xfId="6075" xr:uid="{00000000-0005-0000-0000-0000410D0000}"/>
    <cellStyle name="40% - Énfasis2 14 2 4" xfId="5161" xr:uid="{00000000-0005-0000-0000-0000420D0000}"/>
    <cellStyle name="40% - Énfasis2 14 3" xfId="2927" xr:uid="{00000000-0005-0000-0000-0000430D0000}"/>
    <cellStyle name="40% - Énfasis2 14 3 2" xfId="4546" xr:uid="{00000000-0005-0000-0000-0000440D0000}"/>
    <cellStyle name="40% - Énfasis2 14 3 2 2" xfId="6413" xr:uid="{00000000-0005-0000-0000-0000450D0000}"/>
    <cellStyle name="40% - Énfasis2 14 3 3" xfId="5511" xr:uid="{00000000-0005-0000-0000-0000460D0000}"/>
    <cellStyle name="40% - Énfasis2 14 4" xfId="4014" xr:uid="{00000000-0005-0000-0000-0000470D0000}"/>
    <cellStyle name="40% - Énfasis2 14 4 2" xfId="5968" xr:uid="{00000000-0005-0000-0000-0000480D0000}"/>
    <cellStyle name="40% - Énfasis2 14 5" xfId="5053" xr:uid="{00000000-0005-0000-0000-0000490D0000}"/>
    <cellStyle name="40% - Énfasis2 15" xfId="1609" xr:uid="{00000000-0005-0000-0000-00004A0D0000}"/>
    <cellStyle name="40% - Énfasis2 15 2" xfId="3036" xr:uid="{00000000-0005-0000-0000-00004B0D0000}"/>
    <cellStyle name="40% - Énfasis2 15 2 2" xfId="4655" xr:uid="{00000000-0005-0000-0000-00004C0D0000}"/>
    <cellStyle name="40% - Énfasis2 15 2 2 2" xfId="6522" xr:uid="{00000000-0005-0000-0000-00004D0D0000}"/>
    <cellStyle name="40% - Énfasis2 15 2 3" xfId="5620" xr:uid="{00000000-0005-0000-0000-00004E0D0000}"/>
    <cellStyle name="40% - Énfasis2 15 3" xfId="4128" xr:uid="{00000000-0005-0000-0000-00004F0D0000}"/>
    <cellStyle name="40% - Énfasis2 15 3 2" xfId="6076" xr:uid="{00000000-0005-0000-0000-0000500D0000}"/>
    <cellStyle name="40% - Énfasis2 15 4" xfId="5162" xr:uid="{00000000-0005-0000-0000-0000510D0000}"/>
    <cellStyle name="40% - Énfasis2 16" xfId="2716" xr:uid="{00000000-0005-0000-0000-0000520D0000}"/>
    <cellStyle name="40% - Énfasis2 16 2" xfId="4395" xr:uid="{00000000-0005-0000-0000-0000530D0000}"/>
    <cellStyle name="40% - Énfasis2 16 2 2" xfId="6265" xr:uid="{00000000-0005-0000-0000-0000540D0000}"/>
    <cellStyle name="40% - Énfasis2 16 3" xfId="5363" xr:uid="{00000000-0005-0000-0000-0000550D0000}"/>
    <cellStyle name="40% - Énfasis2 17" xfId="3188" xr:uid="{00000000-0005-0000-0000-0000560D0000}"/>
    <cellStyle name="40% - Énfasis2 17 2" xfId="5750" xr:uid="{00000000-0005-0000-0000-0000570D0000}"/>
    <cellStyle name="40% - Énfasis2 18" xfId="4807" xr:uid="{00000000-0005-0000-0000-0000580D0000}"/>
    <cellStyle name="40% - Énfasis2 18 2" xfId="6652" xr:uid="{00000000-0005-0000-0000-0000590D0000}"/>
    <cellStyle name="40% - Énfasis2 19" xfId="4852" xr:uid="{00000000-0005-0000-0000-00005A0D0000}"/>
    <cellStyle name="40% - Énfasis2 19 2" xfId="6694" xr:uid="{00000000-0005-0000-0000-00005B0D0000}"/>
    <cellStyle name="40% - Énfasis2 2" xfId="46" xr:uid="{00000000-0005-0000-0000-00005C0D0000}"/>
    <cellStyle name="40% - Énfasis2 2 2" xfId="985" xr:uid="{00000000-0005-0000-0000-00005D0D0000}"/>
    <cellStyle name="40% - Énfasis2 2 2 2" xfId="3189" xr:uid="{00000000-0005-0000-0000-00005E0D0000}"/>
    <cellStyle name="40% - Énfasis2 2 2 2 2" xfId="7496" xr:uid="{00000000-0005-0000-0000-00005F0D0000}"/>
    <cellStyle name="40% - Énfasis2 2 2 2 3" xfId="7495" xr:uid="{00000000-0005-0000-0000-0000600D0000}"/>
    <cellStyle name="40% - Énfasis2 2 2 3" xfId="7497" xr:uid="{00000000-0005-0000-0000-0000610D0000}"/>
    <cellStyle name="40% - Énfasis2 2 2 4" xfId="7498" xr:uid="{00000000-0005-0000-0000-0000620D0000}"/>
    <cellStyle name="40% - Énfasis2 2 2 5" xfId="7494" xr:uid="{00000000-0005-0000-0000-0000630D0000}"/>
    <cellStyle name="40% - Énfasis2 2 3" xfId="1826" xr:uid="{00000000-0005-0000-0000-0000640D0000}"/>
    <cellStyle name="40% - Énfasis2 2 4" xfId="7499" xr:uid="{00000000-0005-0000-0000-0000650D0000}"/>
    <cellStyle name="40% - Énfasis2 2 4 2" xfId="22881" xr:uid="{00000000-0005-0000-0000-0000660D0000}"/>
    <cellStyle name="40% - Énfasis2 2 5" xfId="31212" xr:uid="{7904A7FD-0DCB-4DBD-B640-C0540A70907A}"/>
    <cellStyle name="40% - Énfasis2 20" xfId="4882" xr:uid="{00000000-0005-0000-0000-0000670D0000}"/>
    <cellStyle name="40% - Énfasis2 21" xfId="6737" xr:uid="{00000000-0005-0000-0000-0000680D0000}"/>
    <cellStyle name="40% - Énfasis2 22" xfId="6764" xr:uid="{00000000-0005-0000-0000-0000690D0000}"/>
    <cellStyle name="40% - Énfasis2 23" xfId="6792" xr:uid="{00000000-0005-0000-0000-00006A0D0000}"/>
    <cellStyle name="40% - Énfasis2 24" xfId="7099" xr:uid="{00000000-0005-0000-0000-00006B0D0000}"/>
    <cellStyle name="40% - Énfasis2 25" xfId="22879" xr:uid="{00000000-0005-0000-0000-00006C0D0000}"/>
    <cellStyle name="40% - Énfasis2 26" xfId="23158" xr:uid="{00000000-0005-0000-0000-00006D0D0000}"/>
    <cellStyle name="40% - Énfasis2 27" xfId="24548" xr:uid="{00000000-0005-0000-0000-00006E0D0000}"/>
    <cellStyle name="40% - Énfasis2 28" xfId="25052" xr:uid="{00000000-0005-0000-0000-00006F0D0000}"/>
    <cellStyle name="40% - Énfasis2 29" xfId="25556" xr:uid="{00000000-0005-0000-0000-0000700D0000}"/>
    <cellStyle name="40% - Énfasis2 3" xfId="986" xr:uid="{00000000-0005-0000-0000-0000710D0000}"/>
    <cellStyle name="40% - Énfasis2 3 2" xfId="987" xr:uid="{00000000-0005-0000-0000-0000720D0000}"/>
    <cellStyle name="40% - Énfasis2 3 2 2" xfId="23335" xr:uid="{00000000-0005-0000-0000-0000730D0000}"/>
    <cellStyle name="40% - Énfasis2 3 2 2 2" xfId="23336" xr:uid="{00000000-0005-0000-0000-0000740D0000}"/>
    <cellStyle name="40% - Énfasis2 3 2 3" xfId="23337" xr:uid="{00000000-0005-0000-0000-0000750D0000}"/>
    <cellStyle name="40% - Énfasis2 3 3" xfId="1827" xr:uid="{00000000-0005-0000-0000-0000760D0000}"/>
    <cellStyle name="40% - Énfasis2 3 3 2" xfId="23338" xr:uid="{00000000-0005-0000-0000-0000770D0000}"/>
    <cellStyle name="40% - Énfasis2 3 4" xfId="7500" xr:uid="{00000000-0005-0000-0000-0000780D0000}"/>
    <cellStyle name="40% - Énfasis2 30" xfId="26060" xr:uid="{00000000-0005-0000-0000-0000790D0000}"/>
    <cellStyle name="40% - Énfasis2 31" xfId="26564" xr:uid="{00000000-0005-0000-0000-00007A0D0000}"/>
    <cellStyle name="40% - Énfasis2 32" xfId="27068" xr:uid="{00000000-0005-0000-0000-00007B0D0000}"/>
    <cellStyle name="40% - Énfasis2 33" xfId="27572" xr:uid="{00000000-0005-0000-0000-00007C0D0000}"/>
    <cellStyle name="40% - Énfasis2 34" xfId="28076" xr:uid="{00000000-0005-0000-0000-00007D0D0000}"/>
    <cellStyle name="40% - Énfasis2 35" xfId="28580" xr:uid="{00000000-0005-0000-0000-00007E0D0000}"/>
    <cellStyle name="40% - Énfasis2 36" xfId="29084" xr:uid="{00000000-0005-0000-0000-00007F0D0000}"/>
    <cellStyle name="40% - Énfasis2 37" xfId="29588" xr:uid="{00000000-0005-0000-0000-0000800D0000}"/>
    <cellStyle name="40% - Énfasis2 38" xfId="30092" xr:uid="{00000000-0005-0000-0000-0000810D0000}"/>
    <cellStyle name="40% - Énfasis2 39" xfId="30597" xr:uid="{00000000-0005-0000-0000-0000820D0000}"/>
    <cellStyle name="40% - Énfasis2 4" xfId="988" xr:uid="{00000000-0005-0000-0000-0000830D0000}"/>
    <cellStyle name="40% - Énfasis2 4 2" xfId="989" xr:uid="{00000000-0005-0000-0000-0000840D0000}"/>
    <cellStyle name="40% - Énfasis2 4 3" xfId="7502" xr:uid="{00000000-0005-0000-0000-0000850D0000}"/>
    <cellStyle name="40% - Énfasis2 4 3 2" xfId="17940" xr:uid="{00000000-0005-0000-0000-0000860D0000}"/>
    <cellStyle name="40% - Énfasis2 4 4" xfId="7503" xr:uid="{00000000-0005-0000-0000-0000870D0000}"/>
    <cellStyle name="40% - Énfasis2 4 5" xfId="7501" xr:uid="{00000000-0005-0000-0000-0000880D0000}"/>
    <cellStyle name="40% - Énfasis2 4 6" xfId="17939" xr:uid="{00000000-0005-0000-0000-0000890D0000}"/>
    <cellStyle name="40% - Énfasis2 40" xfId="31105" xr:uid="{FA039A55-003F-4C0A-8F5D-A8E200F800D2}"/>
    <cellStyle name="40% - Énfasis2 41" xfId="31114" xr:uid="{E3EA4EEE-229F-4364-80B5-EEB0A09BAE82}"/>
    <cellStyle name="40% - Énfasis2 42" xfId="31125" xr:uid="{D359FF3F-2311-4740-A230-D5036A8D9B1B}"/>
    <cellStyle name="40% - Énfasis2 43" xfId="32015" xr:uid="{8D380864-7250-428D-9608-0648CA3B3F5C}"/>
    <cellStyle name="40% - Énfasis2 5" xfId="990" xr:uid="{00000000-0005-0000-0000-00008A0D0000}"/>
    <cellStyle name="40% - Énfasis2 5 2" xfId="991" xr:uid="{00000000-0005-0000-0000-00008B0D0000}"/>
    <cellStyle name="40% - Énfasis2 6" xfId="992" xr:uid="{00000000-0005-0000-0000-00008C0D0000}"/>
    <cellStyle name="40% - Énfasis2 6 10" xfId="24629" xr:uid="{00000000-0005-0000-0000-00008D0D0000}"/>
    <cellStyle name="40% - Énfasis2 6 11" xfId="25133" xr:uid="{00000000-0005-0000-0000-00008E0D0000}"/>
    <cellStyle name="40% - Énfasis2 6 12" xfId="25637" xr:uid="{00000000-0005-0000-0000-00008F0D0000}"/>
    <cellStyle name="40% - Énfasis2 6 13" xfId="26141" xr:uid="{00000000-0005-0000-0000-0000900D0000}"/>
    <cellStyle name="40% - Énfasis2 6 14" xfId="26645" xr:uid="{00000000-0005-0000-0000-0000910D0000}"/>
    <cellStyle name="40% - Énfasis2 6 15" xfId="27149" xr:uid="{00000000-0005-0000-0000-0000920D0000}"/>
    <cellStyle name="40% - Énfasis2 6 16" xfId="27653" xr:uid="{00000000-0005-0000-0000-0000930D0000}"/>
    <cellStyle name="40% - Énfasis2 6 17" xfId="28157" xr:uid="{00000000-0005-0000-0000-0000940D0000}"/>
    <cellStyle name="40% - Énfasis2 6 18" xfId="28661" xr:uid="{00000000-0005-0000-0000-0000950D0000}"/>
    <cellStyle name="40% - Énfasis2 6 19" xfId="29165" xr:uid="{00000000-0005-0000-0000-0000960D0000}"/>
    <cellStyle name="40% - Énfasis2 6 2" xfId="993" xr:uid="{00000000-0005-0000-0000-0000970D0000}"/>
    <cellStyle name="40% - Énfasis2 6 2 2" xfId="7504" xr:uid="{00000000-0005-0000-0000-0000980D0000}"/>
    <cellStyle name="40% - Énfasis2 6 20" xfId="29669" xr:uid="{00000000-0005-0000-0000-0000990D0000}"/>
    <cellStyle name="40% - Énfasis2 6 21" xfId="30173" xr:uid="{00000000-0005-0000-0000-00009A0D0000}"/>
    <cellStyle name="40% - Énfasis2 6 22" xfId="30678" xr:uid="{00000000-0005-0000-0000-00009B0D0000}"/>
    <cellStyle name="40% - Énfasis2 6 3" xfId="1828" xr:uid="{00000000-0005-0000-0000-00009C0D0000}"/>
    <cellStyle name="40% - Énfasis2 6 3 2" xfId="4246" xr:uid="{00000000-0005-0000-0000-00009D0D0000}"/>
    <cellStyle name="40% - Énfasis2 6 3 2 2" xfId="6190" xr:uid="{00000000-0005-0000-0000-00009E0D0000}"/>
    <cellStyle name="40% - Énfasis2 6 3 3" xfId="5280" xr:uid="{00000000-0005-0000-0000-00009F0D0000}"/>
    <cellStyle name="40% - Énfasis2 6 3 4" xfId="17941" xr:uid="{00000000-0005-0000-0000-0000A00D0000}"/>
    <cellStyle name="40% - Énfasis2 6 3 5" xfId="23340" xr:uid="{00000000-0005-0000-0000-0000A10D0000}"/>
    <cellStyle name="40% - Énfasis2 6 4" xfId="2680" xr:uid="{00000000-0005-0000-0000-0000A20D0000}"/>
    <cellStyle name="40% - Énfasis2 6 4 2" xfId="4361" xr:uid="{00000000-0005-0000-0000-0000A30D0000}"/>
    <cellStyle name="40% - Énfasis2 6 4 2 2" xfId="6231" xr:uid="{00000000-0005-0000-0000-0000A40D0000}"/>
    <cellStyle name="40% - Énfasis2 6 4 3" xfId="5328" xr:uid="{00000000-0005-0000-0000-0000A50D0000}"/>
    <cellStyle name="40% - Énfasis2 6 5" xfId="3793" xr:uid="{00000000-0005-0000-0000-0000A60D0000}"/>
    <cellStyle name="40% - Énfasis2 6 6" xfId="3190" xr:uid="{00000000-0005-0000-0000-0000A70D0000}"/>
    <cellStyle name="40% - Énfasis2 6 6 2" xfId="5751" xr:uid="{00000000-0005-0000-0000-0000A80D0000}"/>
    <cellStyle name="40% - Énfasis2 6 7" xfId="6793" xr:uid="{00000000-0005-0000-0000-0000A90D0000}"/>
    <cellStyle name="40% - Énfasis2 6 8" xfId="7116" xr:uid="{00000000-0005-0000-0000-0000AA0D0000}"/>
    <cellStyle name="40% - Énfasis2 6 9" xfId="23339" xr:uid="{00000000-0005-0000-0000-0000AB0D0000}"/>
    <cellStyle name="40% - Énfasis2 7" xfId="994" xr:uid="{00000000-0005-0000-0000-0000AC0D0000}"/>
    <cellStyle name="40% - Énfasis2 7 2" xfId="995" xr:uid="{00000000-0005-0000-0000-0000AD0D0000}"/>
    <cellStyle name="40% - Énfasis2 7 2 2" xfId="7505" xr:uid="{00000000-0005-0000-0000-0000AE0D0000}"/>
    <cellStyle name="40% - Énfasis2 7 3" xfId="3794" xr:uid="{00000000-0005-0000-0000-0000AF0D0000}"/>
    <cellStyle name="40% - Énfasis2 7 3 10" xfId="27654" xr:uid="{00000000-0005-0000-0000-0000B00D0000}"/>
    <cellStyle name="40% - Énfasis2 7 3 11" xfId="28158" xr:uid="{00000000-0005-0000-0000-0000B10D0000}"/>
    <cellStyle name="40% - Énfasis2 7 3 12" xfId="28662" xr:uid="{00000000-0005-0000-0000-0000B20D0000}"/>
    <cellStyle name="40% - Énfasis2 7 3 13" xfId="29166" xr:uid="{00000000-0005-0000-0000-0000B30D0000}"/>
    <cellStyle name="40% - Énfasis2 7 3 14" xfId="29670" xr:uid="{00000000-0005-0000-0000-0000B40D0000}"/>
    <cellStyle name="40% - Énfasis2 7 3 15" xfId="30174" xr:uid="{00000000-0005-0000-0000-0000B50D0000}"/>
    <cellStyle name="40% - Énfasis2 7 3 16" xfId="30679" xr:uid="{00000000-0005-0000-0000-0000B60D0000}"/>
    <cellStyle name="40% - Énfasis2 7 3 2" xfId="17942" xr:uid="{00000000-0005-0000-0000-0000B70D0000}"/>
    <cellStyle name="40% - Énfasis2 7 3 3" xfId="23341" xr:uid="{00000000-0005-0000-0000-0000B80D0000}"/>
    <cellStyle name="40% - Énfasis2 7 3 4" xfId="24630" xr:uid="{00000000-0005-0000-0000-0000B90D0000}"/>
    <cellStyle name="40% - Énfasis2 7 3 5" xfId="25134" xr:uid="{00000000-0005-0000-0000-0000BA0D0000}"/>
    <cellStyle name="40% - Énfasis2 7 3 6" xfId="25638" xr:uid="{00000000-0005-0000-0000-0000BB0D0000}"/>
    <cellStyle name="40% - Énfasis2 7 3 7" xfId="26142" xr:uid="{00000000-0005-0000-0000-0000BC0D0000}"/>
    <cellStyle name="40% - Énfasis2 7 3 8" xfId="26646" xr:uid="{00000000-0005-0000-0000-0000BD0D0000}"/>
    <cellStyle name="40% - Énfasis2 7 3 9" xfId="27150" xr:uid="{00000000-0005-0000-0000-0000BE0D0000}"/>
    <cellStyle name="40% - Énfasis2 7 4" xfId="3191" xr:uid="{00000000-0005-0000-0000-0000BF0D0000}"/>
    <cellStyle name="40% - Énfasis2 7 4 2" xfId="5752" xr:uid="{00000000-0005-0000-0000-0000C00D0000}"/>
    <cellStyle name="40% - Énfasis2 7 5" xfId="6794" xr:uid="{00000000-0005-0000-0000-0000C10D0000}"/>
    <cellStyle name="40% - Énfasis2 7 6" xfId="7279" xr:uid="{00000000-0005-0000-0000-0000C20D0000}"/>
    <cellStyle name="40% - Énfasis2 8" xfId="996" xr:uid="{00000000-0005-0000-0000-0000C30D0000}"/>
    <cellStyle name="40% - Énfasis2 8 2" xfId="997" xr:uid="{00000000-0005-0000-0000-0000C40D0000}"/>
    <cellStyle name="40% - Énfasis2 8 2 2" xfId="17943" xr:uid="{00000000-0005-0000-0000-0000C50D0000}"/>
    <cellStyle name="40% - Énfasis2 8 3" xfId="7506" xr:uid="{00000000-0005-0000-0000-0000C60D0000}"/>
    <cellStyle name="40% - Énfasis2 9" xfId="998" xr:uid="{00000000-0005-0000-0000-0000C70D0000}"/>
    <cellStyle name="40% - Énfasis2 9 10" xfId="4958" xr:uid="{00000000-0005-0000-0000-0000C80D0000}"/>
    <cellStyle name="40% - Énfasis2 9 11" xfId="6739" xr:uid="{00000000-0005-0000-0000-0000C90D0000}"/>
    <cellStyle name="40% - Énfasis2 9 12" xfId="7493" xr:uid="{00000000-0005-0000-0000-0000CA0D0000}"/>
    <cellStyle name="40% - Énfasis2 9 13" xfId="22882" xr:uid="{00000000-0005-0000-0000-0000CB0D0000}"/>
    <cellStyle name="40% - Énfasis2 9 14" xfId="23342" xr:uid="{00000000-0005-0000-0000-0000CC0D0000}"/>
    <cellStyle name="40% - Énfasis2 9 15" xfId="24631" xr:uid="{00000000-0005-0000-0000-0000CD0D0000}"/>
    <cellStyle name="40% - Énfasis2 9 16" xfId="25135" xr:uid="{00000000-0005-0000-0000-0000CE0D0000}"/>
    <cellStyle name="40% - Énfasis2 9 17" xfId="25639" xr:uid="{00000000-0005-0000-0000-0000CF0D0000}"/>
    <cellStyle name="40% - Énfasis2 9 18" xfId="26143" xr:uid="{00000000-0005-0000-0000-0000D00D0000}"/>
    <cellStyle name="40% - Énfasis2 9 19" xfId="26647" xr:uid="{00000000-0005-0000-0000-0000D10D0000}"/>
    <cellStyle name="40% - Énfasis2 9 2" xfId="1455" xr:uid="{00000000-0005-0000-0000-0000D20D0000}"/>
    <cellStyle name="40% - Énfasis2 9 2 10" xfId="26144" xr:uid="{00000000-0005-0000-0000-0000D30D0000}"/>
    <cellStyle name="40% - Énfasis2 9 2 11" xfId="26648" xr:uid="{00000000-0005-0000-0000-0000D40D0000}"/>
    <cellStyle name="40% - Énfasis2 9 2 12" xfId="27152" xr:uid="{00000000-0005-0000-0000-0000D50D0000}"/>
    <cellStyle name="40% - Énfasis2 9 2 13" xfId="27656" xr:uid="{00000000-0005-0000-0000-0000D60D0000}"/>
    <cellStyle name="40% - Énfasis2 9 2 14" xfId="28160" xr:uid="{00000000-0005-0000-0000-0000D70D0000}"/>
    <cellStyle name="40% - Énfasis2 9 2 15" xfId="28664" xr:uid="{00000000-0005-0000-0000-0000D80D0000}"/>
    <cellStyle name="40% - Énfasis2 9 2 16" xfId="29168" xr:uid="{00000000-0005-0000-0000-0000D90D0000}"/>
    <cellStyle name="40% - Énfasis2 9 2 17" xfId="29672" xr:uid="{00000000-0005-0000-0000-0000DA0D0000}"/>
    <cellStyle name="40% - Énfasis2 9 2 18" xfId="30176" xr:uid="{00000000-0005-0000-0000-0000DB0D0000}"/>
    <cellStyle name="40% - Énfasis2 9 2 19" xfId="30681" xr:uid="{00000000-0005-0000-0000-0000DC0D0000}"/>
    <cellStyle name="40% - Énfasis2 9 2 2" xfId="1610" xr:uid="{00000000-0005-0000-0000-0000DD0D0000}"/>
    <cellStyle name="40% - Énfasis2 9 2 2 2" xfId="3037" xr:uid="{00000000-0005-0000-0000-0000DE0D0000}"/>
    <cellStyle name="40% - Énfasis2 9 2 2 2 2" xfId="4656" xr:uid="{00000000-0005-0000-0000-0000DF0D0000}"/>
    <cellStyle name="40% - Énfasis2 9 2 2 2 2 2" xfId="6523" xr:uid="{00000000-0005-0000-0000-0000E00D0000}"/>
    <cellStyle name="40% - Énfasis2 9 2 2 2 3" xfId="5621" xr:uid="{00000000-0005-0000-0000-0000E10D0000}"/>
    <cellStyle name="40% - Énfasis2 9 2 2 3" xfId="4129" xr:uid="{00000000-0005-0000-0000-0000E20D0000}"/>
    <cellStyle name="40% - Énfasis2 9 2 2 3 2" xfId="6077" xr:uid="{00000000-0005-0000-0000-0000E30D0000}"/>
    <cellStyle name="40% - Énfasis2 9 2 2 4" xfId="5163" xr:uid="{00000000-0005-0000-0000-0000E40D0000}"/>
    <cellStyle name="40% - Énfasis2 9 2 3" xfId="2889" xr:uid="{00000000-0005-0000-0000-0000E50D0000}"/>
    <cellStyle name="40% - Énfasis2 9 2 3 2" xfId="4508" xr:uid="{00000000-0005-0000-0000-0000E60D0000}"/>
    <cellStyle name="40% - Énfasis2 9 2 3 2 2" xfId="6375" xr:uid="{00000000-0005-0000-0000-0000E70D0000}"/>
    <cellStyle name="40% - Énfasis2 9 2 3 3" xfId="5473" xr:uid="{00000000-0005-0000-0000-0000E80D0000}"/>
    <cellStyle name="40% - Énfasis2 9 2 4" xfId="3976" xr:uid="{00000000-0005-0000-0000-0000E90D0000}"/>
    <cellStyle name="40% - Énfasis2 9 2 4 2" xfId="5930" xr:uid="{00000000-0005-0000-0000-0000EA0D0000}"/>
    <cellStyle name="40% - Énfasis2 9 2 5" xfId="5015" xr:uid="{00000000-0005-0000-0000-0000EB0D0000}"/>
    <cellStyle name="40% - Énfasis2 9 2 6" xfId="23343" xr:uid="{00000000-0005-0000-0000-0000EC0D0000}"/>
    <cellStyle name="40% - Énfasis2 9 2 7" xfId="24632" xr:uid="{00000000-0005-0000-0000-0000ED0D0000}"/>
    <cellStyle name="40% - Énfasis2 9 2 8" xfId="25136" xr:uid="{00000000-0005-0000-0000-0000EE0D0000}"/>
    <cellStyle name="40% - Énfasis2 9 2 9" xfId="25640" xr:uid="{00000000-0005-0000-0000-0000EF0D0000}"/>
    <cellStyle name="40% - Énfasis2 9 20" xfId="27151" xr:uid="{00000000-0005-0000-0000-0000F00D0000}"/>
    <cellStyle name="40% - Énfasis2 9 21" xfId="27655" xr:uid="{00000000-0005-0000-0000-0000F10D0000}"/>
    <cellStyle name="40% - Énfasis2 9 22" xfId="28159" xr:uid="{00000000-0005-0000-0000-0000F20D0000}"/>
    <cellStyle name="40% - Énfasis2 9 23" xfId="28663" xr:uid="{00000000-0005-0000-0000-0000F30D0000}"/>
    <cellStyle name="40% - Énfasis2 9 24" xfId="29167" xr:uid="{00000000-0005-0000-0000-0000F40D0000}"/>
    <cellStyle name="40% - Énfasis2 9 25" xfId="29671" xr:uid="{00000000-0005-0000-0000-0000F50D0000}"/>
    <cellStyle name="40% - Énfasis2 9 26" xfId="30175" xr:uid="{00000000-0005-0000-0000-0000F60D0000}"/>
    <cellStyle name="40% - Énfasis2 9 27" xfId="30680" xr:uid="{00000000-0005-0000-0000-0000F70D0000}"/>
    <cellStyle name="40% - Énfasis2 9 3" xfId="1494" xr:uid="{00000000-0005-0000-0000-0000F80D0000}"/>
    <cellStyle name="40% - Énfasis2 9 3 2" xfId="1611" xr:uid="{00000000-0005-0000-0000-0000F90D0000}"/>
    <cellStyle name="40% - Énfasis2 9 3 2 2" xfId="3038" xr:uid="{00000000-0005-0000-0000-0000FA0D0000}"/>
    <cellStyle name="40% - Énfasis2 9 3 2 2 2" xfId="4657" xr:uid="{00000000-0005-0000-0000-0000FB0D0000}"/>
    <cellStyle name="40% - Énfasis2 9 3 2 2 2 2" xfId="6524" xr:uid="{00000000-0005-0000-0000-0000FC0D0000}"/>
    <cellStyle name="40% - Énfasis2 9 3 2 2 3" xfId="5622" xr:uid="{00000000-0005-0000-0000-0000FD0D0000}"/>
    <cellStyle name="40% - Énfasis2 9 3 2 3" xfId="4130" xr:uid="{00000000-0005-0000-0000-0000FE0D0000}"/>
    <cellStyle name="40% - Énfasis2 9 3 2 3 2" xfId="6078" xr:uid="{00000000-0005-0000-0000-0000FF0D0000}"/>
    <cellStyle name="40% - Énfasis2 9 3 2 4" xfId="5164" xr:uid="{00000000-0005-0000-0000-0000000E0000}"/>
    <cellStyle name="40% - Énfasis2 9 3 3" xfId="2928" xr:uid="{00000000-0005-0000-0000-0000010E0000}"/>
    <cellStyle name="40% - Énfasis2 9 3 3 2" xfId="4547" xr:uid="{00000000-0005-0000-0000-0000020E0000}"/>
    <cellStyle name="40% - Énfasis2 9 3 3 2 2" xfId="6414" xr:uid="{00000000-0005-0000-0000-0000030E0000}"/>
    <cellStyle name="40% - Énfasis2 9 3 3 3" xfId="5512" xr:uid="{00000000-0005-0000-0000-0000040E0000}"/>
    <cellStyle name="40% - Énfasis2 9 3 4" xfId="4015" xr:uid="{00000000-0005-0000-0000-0000050E0000}"/>
    <cellStyle name="40% - Énfasis2 9 3 4 2" xfId="5969" xr:uid="{00000000-0005-0000-0000-0000060E0000}"/>
    <cellStyle name="40% - Énfasis2 9 3 5" xfId="5054" xr:uid="{00000000-0005-0000-0000-0000070E0000}"/>
    <cellStyle name="40% - Énfasis2 9 4" xfId="1612" xr:uid="{00000000-0005-0000-0000-0000080E0000}"/>
    <cellStyle name="40% - Énfasis2 9 4 2" xfId="3039" xr:uid="{00000000-0005-0000-0000-0000090E0000}"/>
    <cellStyle name="40% - Énfasis2 9 4 2 2" xfId="4658" xr:uid="{00000000-0005-0000-0000-00000A0E0000}"/>
    <cellStyle name="40% - Énfasis2 9 4 2 2 2" xfId="6525" xr:uid="{00000000-0005-0000-0000-00000B0E0000}"/>
    <cellStyle name="40% - Énfasis2 9 4 2 3" xfId="5623" xr:uid="{00000000-0005-0000-0000-00000C0E0000}"/>
    <cellStyle name="40% - Énfasis2 9 4 3" xfId="4131" xr:uid="{00000000-0005-0000-0000-00000D0E0000}"/>
    <cellStyle name="40% - Énfasis2 9 4 3 2" xfId="6079" xr:uid="{00000000-0005-0000-0000-00000E0E0000}"/>
    <cellStyle name="40% - Énfasis2 9 4 4" xfId="5165" xr:uid="{00000000-0005-0000-0000-00000F0E0000}"/>
    <cellStyle name="40% - Énfasis2 9 5" xfId="1613" xr:uid="{00000000-0005-0000-0000-0000100E0000}"/>
    <cellStyle name="40% - Énfasis2 9 5 2" xfId="3040" xr:uid="{00000000-0005-0000-0000-0000110E0000}"/>
    <cellStyle name="40% - Énfasis2 9 5 2 2" xfId="4659" xr:uid="{00000000-0005-0000-0000-0000120E0000}"/>
    <cellStyle name="40% - Énfasis2 9 5 2 2 2" xfId="6526" xr:uid="{00000000-0005-0000-0000-0000130E0000}"/>
    <cellStyle name="40% - Énfasis2 9 5 2 3" xfId="5624" xr:uid="{00000000-0005-0000-0000-0000140E0000}"/>
    <cellStyle name="40% - Énfasis2 9 5 3" xfId="4132" xr:uid="{00000000-0005-0000-0000-0000150E0000}"/>
    <cellStyle name="40% - Énfasis2 9 5 3 2" xfId="6080" xr:uid="{00000000-0005-0000-0000-0000160E0000}"/>
    <cellStyle name="40% - Énfasis2 9 5 4" xfId="5166" xr:uid="{00000000-0005-0000-0000-0000170E0000}"/>
    <cellStyle name="40% - Énfasis2 9 6" xfId="2830" xr:uid="{00000000-0005-0000-0000-0000180E0000}"/>
    <cellStyle name="40% - Énfasis2 9 6 2" xfId="4450" xr:uid="{00000000-0005-0000-0000-0000190E0000}"/>
    <cellStyle name="40% - Énfasis2 9 6 2 2" xfId="6318" xr:uid="{00000000-0005-0000-0000-00001A0E0000}"/>
    <cellStyle name="40% - Énfasis2 9 6 3" xfId="5416" xr:uid="{00000000-0005-0000-0000-00001B0E0000}"/>
    <cellStyle name="40% - Énfasis2 9 7" xfId="3795" xr:uid="{00000000-0005-0000-0000-00001C0E0000}"/>
    <cellStyle name="40% - Énfasis2 9 7 2" xfId="5874" xr:uid="{00000000-0005-0000-0000-00001D0E0000}"/>
    <cellStyle name="40% - Énfasis2 9 8" xfId="4809" xr:uid="{00000000-0005-0000-0000-00001E0E0000}"/>
    <cellStyle name="40% - Énfasis2 9 8 2" xfId="6654" xr:uid="{00000000-0005-0000-0000-00001F0E0000}"/>
    <cellStyle name="40% - Énfasis2 9 9" xfId="4854" xr:uid="{00000000-0005-0000-0000-0000200E0000}"/>
    <cellStyle name="40% - Énfasis2 9 9 2" xfId="6696" xr:uid="{00000000-0005-0000-0000-0000210E0000}"/>
    <cellStyle name="40% - Énfasis3" xfId="47" builtinId="39" customBuiltin="1"/>
    <cellStyle name="40% - Énfasis3 10" xfId="1000" xr:uid="{00000000-0005-0000-0000-0000230E0000}"/>
    <cellStyle name="40% - Énfasis3 10 10" xfId="4960" xr:uid="{00000000-0005-0000-0000-0000240E0000}"/>
    <cellStyle name="40% - Énfasis3 10 11" xfId="6741" xr:uid="{00000000-0005-0000-0000-0000250E0000}"/>
    <cellStyle name="40% - Énfasis3 10 12" xfId="22884" xr:uid="{00000000-0005-0000-0000-0000260E0000}"/>
    <cellStyle name="40% - Énfasis3 10 13" xfId="23344" xr:uid="{00000000-0005-0000-0000-0000270E0000}"/>
    <cellStyle name="40% - Énfasis3 10 14" xfId="24633" xr:uid="{00000000-0005-0000-0000-0000280E0000}"/>
    <cellStyle name="40% - Énfasis3 10 15" xfId="25137" xr:uid="{00000000-0005-0000-0000-0000290E0000}"/>
    <cellStyle name="40% - Énfasis3 10 16" xfId="25641" xr:uid="{00000000-0005-0000-0000-00002A0E0000}"/>
    <cellStyle name="40% - Énfasis3 10 17" xfId="26145" xr:uid="{00000000-0005-0000-0000-00002B0E0000}"/>
    <cellStyle name="40% - Énfasis3 10 18" xfId="26649" xr:uid="{00000000-0005-0000-0000-00002C0E0000}"/>
    <cellStyle name="40% - Énfasis3 10 19" xfId="27153" xr:uid="{00000000-0005-0000-0000-00002D0E0000}"/>
    <cellStyle name="40% - Énfasis3 10 2" xfId="1457" xr:uid="{00000000-0005-0000-0000-00002E0E0000}"/>
    <cellStyle name="40% - Énfasis3 10 2 10" xfId="26146" xr:uid="{00000000-0005-0000-0000-00002F0E0000}"/>
    <cellStyle name="40% - Énfasis3 10 2 11" xfId="26650" xr:uid="{00000000-0005-0000-0000-0000300E0000}"/>
    <cellStyle name="40% - Énfasis3 10 2 12" xfId="27154" xr:uid="{00000000-0005-0000-0000-0000310E0000}"/>
    <cellStyle name="40% - Énfasis3 10 2 13" xfId="27658" xr:uid="{00000000-0005-0000-0000-0000320E0000}"/>
    <cellStyle name="40% - Énfasis3 10 2 14" xfId="28162" xr:uid="{00000000-0005-0000-0000-0000330E0000}"/>
    <cellStyle name="40% - Énfasis3 10 2 15" xfId="28666" xr:uid="{00000000-0005-0000-0000-0000340E0000}"/>
    <cellStyle name="40% - Énfasis3 10 2 16" xfId="29170" xr:uid="{00000000-0005-0000-0000-0000350E0000}"/>
    <cellStyle name="40% - Énfasis3 10 2 17" xfId="29674" xr:uid="{00000000-0005-0000-0000-0000360E0000}"/>
    <cellStyle name="40% - Énfasis3 10 2 18" xfId="30178" xr:uid="{00000000-0005-0000-0000-0000370E0000}"/>
    <cellStyle name="40% - Énfasis3 10 2 19" xfId="30683" xr:uid="{00000000-0005-0000-0000-0000380E0000}"/>
    <cellStyle name="40% - Énfasis3 10 2 2" xfId="1614" xr:uid="{00000000-0005-0000-0000-0000390E0000}"/>
    <cellStyle name="40% - Énfasis3 10 2 2 2" xfId="3041" xr:uid="{00000000-0005-0000-0000-00003A0E0000}"/>
    <cellStyle name="40% - Énfasis3 10 2 2 2 2" xfId="4660" xr:uid="{00000000-0005-0000-0000-00003B0E0000}"/>
    <cellStyle name="40% - Énfasis3 10 2 2 2 2 2" xfId="6527" xr:uid="{00000000-0005-0000-0000-00003C0E0000}"/>
    <cellStyle name="40% - Énfasis3 10 2 2 2 3" xfId="5625" xr:uid="{00000000-0005-0000-0000-00003D0E0000}"/>
    <cellStyle name="40% - Énfasis3 10 2 2 3" xfId="4133" xr:uid="{00000000-0005-0000-0000-00003E0E0000}"/>
    <cellStyle name="40% - Énfasis3 10 2 2 3 2" xfId="6081" xr:uid="{00000000-0005-0000-0000-00003F0E0000}"/>
    <cellStyle name="40% - Énfasis3 10 2 2 4" xfId="5167" xr:uid="{00000000-0005-0000-0000-0000400E0000}"/>
    <cellStyle name="40% - Énfasis3 10 2 3" xfId="2891" xr:uid="{00000000-0005-0000-0000-0000410E0000}"/>
    <cellStyle name="40% - Énfasis3 10 2 3 2" xfId="4510" xr:uid="{00000000-0005-0000-0000-0000420E0000}"/>
    <cellStyle name="40% - Énfasis3 10 2 3 2 2" xfId="6377" xr:uid="{00000000-0005-0000-0000-0000430E0000}"/>
    <cellStyle name="40% - Énfasis3 10 2 3 3" xfId="5475" xr:uid="{00000000-0005-0000-0000-0000440E0000}"/>
    <cellStyle name="40% - Énfasis3 10 2 4" xfId="3978" xr:uid="{00000000-0005-0000-0000-0000450E0000}"/>
    <cellStyle name="40% - Énfasis3 10 2 4 2" xfId="5932" xr:uid="{00000000-0005-0000-0000-0000460E0000}"/>
    <cellStyle name="40% - Énfasis3 10 2 5" xfId="5017" xr:uid="{00000000-0005-0000-0000-0000470E0000}"/>
    <cellStyle name="40% - Énfasis3 10 2 6" xfId="23345" xr:uid="{00000000-0005-0000-0000-0000480E0000}"/>
    <cellStyle name="40% - Énfasis3 10 2 7" xfId="24634" xr:uid="{00000000-0005-0000-0000-0000490E0000}"/>
    <cellStyle name="40% - Énfasis3 10 2 8" xfId="25138" xr:uid="{00000000-0005-0000-0000-00004A0E0000}"/>
    <cellStyle name="40% - Énfasis3 10 2 9" xfId="25642" xr:uid="{00000000-0005-0000-0000-00004B0E0000}"/>
    <cellStyle name="40% - Énfasis3 10 20" xfId="27657" xr:uid="{00000000-0005-0000-0000-00004C0E0000}"/>
    <cellStyle name="40% - Énfasis3 10 21" xfId="28161" xr:uid="{00000000-0005-0000-0000-00004D0E0000}"/>
    <cellStyle name="40% - Énfasis3 10 22" xfId="28665" xr:uid="{00000000-0005-0000-0000-00004E0E0000}"/>
    <cellStyle name="40% - Énfasis3 10 23" xfId="29169" xr:uid="{00000000-0005-0000-0000-00004F0E0000}"/>
    <cellStyle name="40% - Énfasis3 10 24" xfId="29673" xr:uid="{00000000-0005-0000-0000-0000500E0000}"/>
    <cellStyle name="40% - Énfasis3 10 25" xfId="30177" xr:uid="{00000000-0005-0000-0000-0000510E0000}"/>
    <cellStyle name="40% - Énfasis3 10 26" xfId="30682" xr:uid="{00000000-0005-0000-0000-0000520E0000}"/>
    <cellStyle name="40% - Énfasis3 10 3" xfId="1495" xr:uid="{00000000-0005-0000-0000-0000530E0000}"/>
    <cellStyle name="40% - Énfasis3 10 3 2" xfId="1615" xr:uid="{00000000-0005-0000-0000-0000540E0000}"/>
    <cellStyle name="40% - Énfasis3 10 3 2 2" xfId="3042" xr:uid="{00000000-0005-0000-0000-0000550E0000}"/>
    <cellStyle name="40% - Énfasis3 10 3 2 2 2" xfId="4661" xr:uid="{00000000-0005-0000-0000-0000560E0000}"/>
    <cellStyle name="40% - Énfasis3 10 3 2 2 2 2" xfId="6528" xr:uid="{00000000-0005-0000-0000-0000570E0000}"/>
    <cellStyle name="40% - Énfasis3 10 3 2 2 3" xfId="5626" xr:uid="{00000000-0005-0000-0000-0000580E0000}"/>
    <cellStyle name="40% - Énfasis3 10 3 2 3" xfId="4134" xr:uid="{00000000-0005-0000-0000-0000590E0000}"/>
    <cellStyle name="40% - Énfasis3 10 3 2 3 2" xfId="6082" xr:uid="{00000000-0005-0000-0000-00005A0E0000}"/>
    <cellStyle name="40% - Énfasis3 10 3 2 4" xfId="5168" xr:uid="{00000000-0005-0000-0000-00005B0E0000}"/>
    <cellStyle name="40% - Énfasis3 10 3 3" xfId="2929" xr:uid="{00000000-0005-0000-0000-00005C0E0000}"/>
    <cellStyle name="40% - Énfasis3 10 3 3 2" xfId="4548" xr:uid="{00000000-0005-0000-0000-00005D0E0000}"/>
    <cellStyle name="40% - Énfasis3 10 3 3 2 2" xfId="6415" xr:uid="{00000000-0005-0000-0000-00005E0E0000}"/>
    <cellStyle name="40% - Énfasis3 10 3 3 3" xfId="5513" xr:uid="{00000000-0005-0000-0000-00005F0E0000}"/>
    <cellStyle name="40% - Énfasis3 10 3 4" xfId="4016" xr:uid="{00000000-0005-0000-0000-0000600E0000}"/>
    <cellStyle name="40% - Énfasis3 10 3 4 2" xfId="5970" xr:uid="{00000000-0005-0000-0000-0000610E0000}"/>
    <cellStyle name="40% - Énfasis3 10 3 5" xfId="5055" xr:uid="{00000000-0005-0000-0000-0000620E0000}"/>
    <cellStyle name="40% - Énfasis3 10 4" xfId="1616" xr:uid="{00000000-0005-0000-0000-0000630E0000}"/>
    <cellStyle name="40% - Énfasis3 10 4 2" xfId="3043" xr:uid="{00000000-0005-0000-0000-0000640E0000}"/>
    <cellStyle name="40% - Énfasis3 10 4 2 2" xfId="4662" xr:uid="{00000000-0005-0000-0000-0000650E0000}"/>
    <cellStyle name="40% - Énfasis3 10 4 2 2 2" xfId="6529" xr:uid="{00000000-0005-0000-0000-0000660E0000}"/>
    <cellStyle name="40% - Énfasis3 10 4 2 3" xfId="5627" xr:uid="{00000000-0005-0000-0000-0000670E0000}"/>
    <cellStyle name="40% - Énfasis3 10 4 3" xfId="4135" xr:uid="{00000000-0005-0000-0000-0000680E0000}"/>
    <cellStyle name="40% - Énfasis3 10 4 3 2" xfId="6083" xr:uid="{00000000-0005-0000-0000-0000690E0000}"/>
    <cellStyle name="40% - Énfasis3 10 4 4" xfId="5169" xr:uid="{00000000-0005-0000-0000-00006A0E0000}"/>
    <cellStyle name="40% - Énfasis3 10 5" xfId="1617" xr:uid="{00000000-0005-0000-0000-00006B0E0000}"/>
    <cellStyle name="40% - Énfasis3 10 5 2" xfId="3044" xr:uid="{00000000-0005-0000-0000-00006C0E0000}"/>
    <cellStyle name="40% - Énfasis3 10 5 2 2" xfId="4663" xr:uid="{00000000-0005-0000-0000-00006D0E0000}"/>
    <cellStyle name="40% - Énfasis3 10 5 2 2 2" xfId="6530" xr:uid="{00000000-0005-0000-0000-00006E0E0000}"/>
    <cellStyle name="40% - Énfasis3 10 5 2 3" xfId="5628" xr:uid="{00000000-0005-0000-0000-00006F0E0000}"/>
    <cellStyle name="40% - Énfasis3 10 5 3" xfId="4136" xr:uid="{00000000-0005-0000-0000-0000700E0000}"/>
    <cellStyle name="40% - Énfasis3 10 5 3 2" xfId="6084" xr:uid="{00000000-0005-0000-0000-0000710E0000}"/>
    <cellStyle name="40% - Énfasis3 10 5 4" xfId="5170" xr:uid="{00000000-0005-0000-0000-0000720E0000}"/>
    <cellStyle name="40% - Énfasis3 10 6" xfId="2832" xr:uid="{00000000-0005-0000-0000-0000730E0000}"/>
    <cellStyle name="40% - Énfasis3 10 6 2" xfId="4452" xr:uid="{00000000-0005-0000-0000-0000740E0000}"/>
    <cellStyle name="40% - Énfasis3 10 6 2 2" xfId="6320" xr:uid="{00000000-0005-0000-0000-0000750E0000}"/>
    <cellStyle name="40% - Énfasis3 10 6 3" xfId="5418" xr:uid="{00000000-0005-0000-0000-0000760E0000}"/>
    <cellStyle name="40% - Énfasis3 10 7" xfId="3797" xr:uid="{00000000-0005-0000-0000-0000770E0000}"/>
    <cellStyle name="40% - Énfasis3 10 7 2" xfId="5876" xr:uid="{00000000-0005-0000-0000-0000780E0000}"/>
    <cellStyle name="40% - Énfasis3 10 8" xfId="4811" xr:uid="{00000000-0005-0000-0000-0000790E0000}"/>
    <cellStyle name="40% - Énfasis3 10 8 2" xfId="6656" xr:uid="{00000000-0005-0000-0000-00007A0E0000}"/>
    <cellStyle name="40% - Énfasis3 10 9" xfId="4856" xr:uid="{00000000-0005-0000-0000-00007B0E0000}"/>
    <cellStyle name="40% - Énfasis3 10 9 2" xfId="6698" xr:uid="{00000000-0005-0000-0000-00007C0E0000}"/>
    <cellStyle name="40% - Énfasis3 11" xfId="1001" xr:uid="{00000000-0005-0000-0000-00007D0E0000}"/>
    <cellStyle name="40% - Énfasis3 11 2" xfId="1002" xr:uid="{00000000-0005-0000-0000-00007E0E0000}"/>
    <cellStyle name="40% - Énfasis3 12" xfId="999" xr:uid="{00000000-0005-0000-0000-00007F0E0000}"/>
    <cellStyle name="40% - Énfasis3 12 10" xfId="25643" xr:uid="{00000000-0005-0000-0000-0000800E0000}"/>
    <cellStyle name="40% - Énfasis3 12 11" xfId="26147" xr:uid="{00000000-0005-0000-0000-0000810E0000}"/>
    <cellStyle name="40% - Énfasis3 12 12" xfId="26651" xr:uid="{00000000-0005-0000-0000-0000820E0000}"/>
    <cellStyle name="40% - Énfasis3 12 13" xfId="27155" xr:uid="{00000000-0005-0000-0000-0000830E0000}"/>
    <cellStyle name="40% - Énfasis3 12 14" xfId="27659" xr:uid="{00000000-0005-0000-0000-0000840E0000}"/>
    <cellStyle name="40% - Énfasis3 12 15" xfId="28163" xr:uid="{00000000-0005-0000-0000-0000850E0000}"/>
    <cellStyle name="40% - Énfasis3 12 16" xfId="28667" xr:uid="{00000000-0005-0000-0000-0000860E0000}"/>
    <cellStyle name="40% - Énfasis3 12 17" xfId="29171" xr:uid="{00000000-0005-0000-0000-0000870E0000}"/>
    <cellStyle name="40% - Énfasis3 12 18" xfId="29675" xr:uid="{00000000-0005-0000-0000-0000880E0000}"/>
    <cellStyle name="40% - Énfasis3 12 19" xfId="30179" xr:uid="{00000000-0005-0000-0000-0000890E0000}"/>
    <cellStyle name="40% - Énfasis3 12 2" xfId="1456" xr:uid="{00000000-0005-0000-0000-00008A0E0000}"/>
    <cellStyle name="40% - Énfasis3 12 2 10" xfId="26148" xr:uid="{00000000-0005-0000-0000-00008B0E0000}"/>
    <cellStyle name="40% - Énfasis3 12 2 11" xfId="26652" xr:uid="{00000000-0005-0000-0000-00008C0E0000}"/>
    <cellStyle name="40% - Énfasis3 12 2 12" xfId="27156" xr:uid="{00000000-0005-0000-0000-00008D0E0000}"/>
    <cellStyle name="40% - Énfasis3 12 2 13" xfId="27660" xr:uid="{00000000-0005-0000-0000-00008E0E0000}"/>
    <cellStyle name="40% - Énfasis3 12 2 14" xfId="28164" xr:uid="{00000000-0005-0000-0000-00008F0E0000}"/>
    <cellStyle name="40% - Énfasis3 12 2 15" xfId="28668" xr:uid="{00000000-0005-0000-0000-0000900E0000}"/>
    <cellStyle name="40% - Énfasis3 12 2 16" xfId="29172" xr:uid="{00000000-0005-0000-0000-0000910E0000}"/>
    <cellStyle name="40% - Énfasis3 12 2 17" xfId="29676" xr:uid="{00000000-0005-0000-0000-0000920E0000}"/>
    <cellStyle name="40% - Énfasis3 12 2 18" xfId="30180" xr:uid="{00000000-0005-0000-0000-0000930E0000}"/>
    <cellStyle name="40% - Énfasis3 12 2 19" xfId="30685" xr:uid="{00000000-0005-0000-0000-0000940E0000}"/>
    <cellStyle name="40% - Énfasis3 12 2 2" xfId="1618" xr:uid="{00000000-0005-0000-0000-0000950E0000}"/>
    <cellStyle name="40% - Énfasis3 12 2 2 2" xfId="3045" xr:uid="{00000000-0005-0000-0000-0000960E0000}"/>
    <cellStyle name="40% - Énfasis3 12 2 2 2 2" xfId="4664" xr:uid="{00000000-0005-0000-0000-0000970E0000}"/>
    <cellStyle name="40% - Énfasis3 12 2 2 2 2 2" xfId="6531" xr:uid="{00000000-0005-0000-0000-0000980E0000}"/>
    <cellStyle name="40% - Énfasis3 12 2 2 2 3" xfId="5629" xr:uid="{00000000-0005-0000-0000-0000990E0000}"/>
    <cellStyle name="40% - Énfasis3 12 2 2 3" xfId="4137" xr:uid="{00000000-0005-0000-0000-00009A0E0000}"/>
    <cellStyle name="40% - Énfasis3 12 2 2 3 2" xfId="6085" xr:uid="{00000000-0005-0000-0000-00009B0E0000}"/>
    <cellStyle name="40% - Énfasis3 12 2 2 4" xfId="5171" xr:uid="{00000000-0005-0000-0000-00009C0E0000}"/>
    <cellStyle name="40% - Énfasis3 12 2 3" xfId="2890" xr:uid="{00000000-0005-0000-0000-00009D0E0000}"/>
    <cellStyle name="40% - Énfasis3 12 2 3 2" xfId="4509" xr:uid="{00000000-0005-0000-0000-00009E0E0000}"/>
    <cellStyle name="40% - Énfasis3 12 2 3 2 2" xfId="6376" xr:uid="{00000000-0005-0000-0000-00009F0E0000}"/>
    <cellStyle name="40% - Énfasis3 12 2 3 3" xfId="5474" xr:uid="{00000000-0005-0000-0000-0000A00E0000}"/>
    <cellStyle name="40% - Énfasis3 12 2 4" xfId="3977" xr:uid="{00000000-0005-0000-0000-0000A10E0000}"/>
    <cellStyle name="40% - Énfasis3 12 2 4 2" xfId="5931" xr:uid="{00000000-0005-0000-0000-0000A20E0000}"/>
    <cellStyle name="40% - Énfasis3 12 2 5" xfId="5016" xr:uid="{00000000-0005-0000-0000-0000A30E0000}"/>
    <cellStyle name="40% - Énfasis3 12 2 6" xfId="23347" xr:uid="{00000000-0005-0000-0000-0000A40E0000}"/>
    <cellStyle name="40% - Énfasis3 12 2 7" xfId="24636" xr:uid="{00000000-0005-0000-0000-0000A50E0000}"/>
    <cellStyle name="40% - Énfasis3 12 2 8" xfId="25140" xr:uid="{00000000-0005-0000-0000-0000A60E0000}"/>
    <cellStyle name="40% - Énfasis3 12 2 9" xfId="25644" xr:uid="{00000000-0005-0000-0000-0000A70E0000}"/>
    <cellStyle name="40% - Énfasis3 12 20" xfId="30684" xr:uid="{00000000-0005-0000-0000-0000A80E0000}"/>
    <cellStyle name="40% - Énfasis3 12 3" xfId="1619" xr:uid="{00000000-0005-0000-0000-0000A90E0000}"/>
    <cellStyle name="40% - Énfasis3 12 3 2" xfId="3046" xr:uid="{00000000-0005-0000-0000-0000AA0E0000}"/>
    <cellStyle name="40% - Énfasis3 12 3 2 2" xfId="4665" xr:uid="{00000000-0005-0000-0000-0000AB0E0000}"/>
    <cellStyle name="40% - Énfasis3 12 3 2 2 2" xfId="6532" xr:uid="{00000000-0005-0000-0000-0000AC0E0000}"/>
    <cellStyle name="40% - Énfasis3 12 3 2 3" xfId="5630" xr:uid="{00000000-0005-0000-0000-0000AD0E0000}"/>
    <cellStyle name="40% - Énfasis3 12 3 3" xfId="4138" xr:uid="{00000000-0005-0000-0000-0000AE0E0000}"/>
    <cellStyle name="40% - Énfasis3 12 3 3 2" xfId="6086" xr:uid="{00000000-0005-0000-0000-0000AF0E0000}"/>
    <cellStyle name="40% - Énfasis3 12 3 4" xfId="5172" xr:uid="{00000000-0005-0000-0000-0000B00E0000}"/>
    <cellStyle name="40% - Énfasis3 12 4" xfId="2831" xr:uid="{00000000-0005-0000-0000-0000B10E0000}"/>
    <cellStyle name="40% - Énfasis3 12 4 2" xfId="4451" xr:uid="{00000000-0005-0000-0000-0000B20E0000}"/>
    <cellStyle name="40% - Énfasis3 12 4 2 2" xfId="6319" xr:uid="{00000000-0005-0000-0000-0000B30E0000}"/>
    <cellStyle name="40% - Énfasis3 12 4 3" xfId="5417" xr:uid="{00000000-0005-0000-0000-0000B40E0000}"/>
    <cellStyle name="40% - Énfasis3 12 5" xfId="3796" xr:uid="{00000000-0005-0000-0000-0000B50E0000}"/>
    <cellStyle name="40% - Énfasis3 12 5 2" xfId="5875" xr:uid="{00000000-0005-0000-0000-0000B60E0000}"/>
    <cellStyle name="40% - Énfasis3 12 6" xfId="4959" xr:uid="{00000000-0005-0000-0000-0000B70E0000}"/>
    <cellStyle name="40% - Énfasis3 12 7" xfId="23346" xr:uid="{00000000-0005-0000-0000-0000B80E0000}"/>
    <cellStyle name="40% - Énfasis3 12 8" xfId="24635" xr:uid="{00000000-0005-0000-0000-0000B90E0000}"/>
    <cellStyle name="40% - Énfasis3 12 9" xfId="25139" xr:uid="{00000000-0005-0000-0000-0000BA0E0000}"/>
    <cellStyle name="40% - Énfasis3 13" xfId="1380" xr:uid="{00000000-0005-0000-0000-0000BB0E0000}"/>
    <cellStyle name="40% - Énfasis3 14" xfId="1496" xr:uid="{00000000-0005-0000-0000-0000BC0E0000}"/>
    <cellStyle name="40% - Énfasis3 14 2" xfId="1620" xr:uid="{00000000-0005-0000-0000-0000BD0E0000}"/>
    <cellStyle name="40% - Énfasis3 14 2 2" xfId="3047" xr:uid="{00000000-0005-0000-0000-0000BE0E0000}"/>
    <cellStyle name="40% - Énfasis3 14 2 2 2" xfId="4666" xr:uid="{00000000-0005-0000-0000-0000BF0E0000}"/>
    <cellStyle name="40% - Énfasis3 14 2 2 2 2" xfId="6533" xr:uid="{00000000-0005-0000-0000-0000C00E0000}"/>
    <cellStyle name="40% - Énfasis3 14 2 2 3" xfId="5631" xr:uid="{00000000-0005-0000-0000-0000C10E0000}"/>
    <cellStyle name="40% - Énfasis3 14 2 3" xfId="4139" xr:uid="{00000000-0005-0000-0000-0000C20E0000}"/>
    <cellStyle name="40% - Énfasis3 14 2 3 2" xfId="6087" xr:uid="{00000000-0005-0000-0000-0000C30E0000}"/>
    <cellStyle name="40% - Énfasis3 14 2 4" xfId="5173" xr:uid="{00000000-0005-0000-0000-0000C40E0000}"/>
    <cellStyle name="40% - Énfasis3 14 3" xfId="2930" xr:uid="{00000000-0005-0000-0000-0000C50E0000}"/>
    <cellStyle name="40% - Énfasis3 14 3 2" xfId="4549" xr:uid="{00000000-0005-0000-0000-0000C60E0000}"/>
    <cellStyle name="40% - Énfasis3 14 3 2 2" xfId="6416" xr:uid="{00000000-0005-0000-0000-0000C70E0000}"/>
    <cellStyle name="40% - Énfasis3 14 3 3" xfId="5514" xr:uid="{00000000-0005-0000-0000-0000C80E0000}"/>
    <cellStyle name="40% - Énfasis3 14 4" xfId="4017" xr:uid="{00000000-0005-0000-0000-0000C90E0000}"/>
    <cellStyle name="40% - Énfasis3 14 4 2" xfId="5971" xr:uid="{00000000-0005-0000-0000-0000CA0E0000}"/>
    <cellStyle name="40% - Énfasis3 14 5" xfId="5056" xr:uid="{00000000-0005-0000-0000-0000CB0E0000}"/>
    <cellStyle name="40% - Énfasis3 15" xfId="1621" xr:uid="{00000000-0005-0000-0000-0000CC0E0000}"/>
    <cellStyle name="40% - Énfasis3 15 2" xfId="3048" xr:uid="{00000000-0005-0000-0000-0000CD0E0000}"/>
    <cellStyle name="40% - Énfasis3 15 2 2" xfId="4667" xr:uid="{00000000-0005-0000-0000-0000CE0E0000}"/>
    <cellStyle name="40% - Énfasis3 15 2 2 2" xfId="6534" xr:uid="{00000000-0005-0000-0000-0000CF0E0000}"/>
    <cellStyle name="40% - Énfasis3 15 2 3" xfId="5632" xr:uid="{00000000-0005-0000-0000-0000D00E0000}"/>
    <cellStyle name="40% - Énfasis3 15 3" xfId="4140" xr:uid="{00000000-0005-0000-0000-0000D10E0000}"/>
    <cellStyle name="40% - Énfasis3 15 3 2" xfId="6088" xr:uid="{00000000-0005-0000-0000-0000D20E0000}"/>
    <cellStyle name="40% - Énfasis3 15 4" xfId="5174" xr:uid="{00000000-0005-0000-0000-0000D30E0000}"/>
    <cellStyle name="40% - Énfasis3 16" xfId="2718" xr:uid="{00000000-0005-0000-0000-0000D40E0000}"/>
    <cellStyle name="40% - Énfasis3 16 2" xfId="4397" xr:uid="{00000000-0005-0000-0000-0000D50E0000}"/>
    <cellStyle name="40% - Énfasis3 16 2 2" xfId="6267" xr:uid="{00000000-0005-0000-0000-0000D60E0000}"/>
    <cellStyle name="40% - Énfasis3 16 3" xfId="5365" xr:uid="{00000000-0005-0000-0000-0000D70E0000}"/>
    <cellStyle name="40% - Énfasis3 17" xfId="3192" xr:uid="{00000000-0005-0000-0000-0000D80E0000}"/>
    <cellStyle name="40% - Énfasis3 17 2" xfId="5753" xr:uid="{00000000-0005-0000-0000-0000D90E0000}"/>
    <cellStyle name="40% - Énfasis3 18" xfId="4810" xr:uid="{00000000-0005-0000-0000-0000DA0E0000}"/>
    <cellStyle name="40% - Énfasis3 18 2" xfId="6655" xr:uid="{00000000-0005-0000-0000-0000DB0E0000}"/>
    <cellStyle name="40% - Énfasis3 19" xfId="4855" xr:uid="{00000000-0005-0000-0000-0000DC0E0000}"/>
    <cellStyle name="40% - Énfasis3 19 2" xfId="6697" xr:uid="{00000000-0005-0000-0000-0000DD0E0000}"/>
    <cellStyle name="40% - Énfasis3 2" xfId="48" xr:uid="{00000000-0005-0000-0000-0000DE0E0000}"/>
    <cellStyle name="40% - Énfasis3 2 2" xfId="1003" xr:uid="{00000000-0005-0000-0000-0000DF0E0000}"/>
    <cellStyle name="40% - Énfasis3 2 2 2" xfId="3193" xr:uid="{00000000-0005-0000-0000-0000E00E0000}"/>
    <cellStyle name="40% - Énfasis3 2 2 2 2" xfId="7510" xr:uid="{00000000-0005-0000-0000-0000E10E0000}"/>
    <cellStyle name="40% - Énfasis3 2 2 2 3" xfId="7509" xr:uid="{00000000-0005-0000-0000-0000E20E0000}"/>
    <cellStyle name="40% - Énfasis3 2 2 3" xfId="7511" xr:uid="{00000000-0005-0000-0000-0000E30E0000}"/>
    <cellStyle name="40% - Énfasis3 2 2 4" xfId="7512" xr:uid="{00000000-0005-0000-0000-0000E40E0000}"/>
    <cellStyle name="40% - Énfasis3 2 2 5" xfId="7508" xr:uid="{00000000-0005-0000-0000-0000E50E0000}"/>
    <cellStyle name="40% - Énfasis3 2 3" xfId="1829" xr:uid="{00000000-0005-0000-0000-0000E60E0000}"/>
    <cellStyle name="40% - Énfasis3 2 4" xfId="7513" xr:uid="{00000000-0005-0000-0000-0000E70E0000}"/>
    <cellStyle name="40% - Énfasis3 2 4 2" xfId="22885" xr:uid="{00000000-0005-0000-0000-0000E80E0000}"/>
    <cellStyle name="40% - Énfasis3 2 5" xfId="31213" xr:uid="{7CC931CA-3E56-47E7-9042-11873E76DE4D}"/>
    <cellStyle name="40% - Énfasis3 20" xfId="4883" xr:uid="{00000000-0005-0000-0000-0000E90E0000}"/>
    <cellStyle name="40% - Énfasis3 21" xfId="6740" xr:uid="{00000000-0005-0000-0000-0000EA0E0000}"/>
    <cellStyle name="40% - Énfasis3 22" xfId="6795" xr:uid="{00000000-0005-0000-0000-0000EB0E0000}"/>
    <cellStyle name="40% - Énfasis3 23" xfId="7271" xr:uid="{00000000-0005-0000-0000-0000EC0E0000}"/>
    <cellStyle name="40% - Énfasis3 24" xfId="22883" xr:uid="{00000000-0005-0000-0000-0000ED0E0000}"/>
    <cellStyle name="40% - Énfasis3 25" xfId="23160" xr:uid="{00000000-0005-0000-0000-0000EE0E0000}"/>
    <cellStyle name="40% - Énfasis3 26" xfId="24550" xr:uid="{00000000-0005-0000-0000-0000EF0E0000}"/>
    <cellStyle name="40% - Énfasis3 27" xfId="25054" xr:uid="{00000000-0005-0000-0000-0000F00E0000}"/>
    <cellStyle name="40% - Énfasis3 28" xfId="25558" xr:uid="{00000000-0005-0000-0000-0000F10E0000}"/>
    <cellStyle name="40% - Énfasis3 29" xfId="26062" xr:uid="{00000000-0005-0000-0000-0000F20E0000}"/>
    <cellStyle name="40% - Énfasis3 3" xfId="1004" xr:uid="{00000000-0005-0000-0000-0000F30E0000}"/>
    <cellStyle name="40% - Énfasis3 3 2" xfId="1005" xr:uid="{00000000-0005-0000-0000-0000F40E0000}"/>
    <cellStyle name="40% - Énfasis3 3 2 2" xfId="7514" xr:uid="{00000000-0005-0000-0000-0000F50E0000}"/>
    <cellStyle name="40% - Énfasis3 3 2 2 2" xfId="23349" xr:uid="{00000000-0005-0000-0000-0000F60E0000}"/>
    <cellStyle name="40% - Énfasis3 3 2 2 3" xfId="23348" xr:uid="{00000000-0005-0000-0000-0000F70E0000}"/>
    <cellStyle name="40% - Énfasis3 3 2 3" xfId="7515" xr:uid="{00000000-0005-0000-0000-0000F80E0000}"/>
    <cellStyle name="40% - Énfasis3 3 2 3 2" xfId="23350" xr:uid="{00000000-0005-0000-0000-0000F90E0000}"/>
    <cellStyle name="40% - Énfasis3 3 3" xfId="1830" xr:uid="{00000000-0005-0000-0000-0000FA0E0000}"/>
    <cellStyle name="40% - Énfasis3 3 3 2" xfId="23351" xr:uid="{00000000-0005-0000-0000-0000FB0E0000}"/>
    <cellStyle name="40% - Énfasis3 3 4" xfId="7516" xr:uid="{00000000-0005-0000-0000-0000FC0E0000}"/>
    <cellStyle name="40% - Énfasis3 3 4 2" xfId="23352" xr:uid="{00000000-0005-0000-0000-0000FD0E0000}"/>
    <cellStyle name="40% - Énfasis3 3 5" xfId="7517" xr:uid="{00000000-0005-0000-0000-0000FE0E0000}"/>
    <cellStyle name="40% - Énfasis3 3 5 2" xfId="23354" xr:uid="{00000000-0005-0000-0000-0000FF0E0000}"/>
    <cellStyle name="40% - Énfasis3 3 5 3" xfId="23353" xr:uid="{00000000-0005-0000-0000-0000000F0000}"/>
    <cellStyle name="40% - Énfasis3 3 6" xfId="23355" xr:uid="{00000000-0005-0000-0000-0000010F0000}"/>
    <cellStyle name="40% - Énfasis3 3 7" xfId="23356" xr:uid="{00000000-0005-0000-0000-0000020F0000}"/>
    <cellStyle name="40% - Énfasis3 30" xfId="26566" xr:uid="{00000000-0005-0000-0000-0000030F0000}"/>
    <cellStyle name="40% - Énfasis3 31" xfId="27070" xr:uid="{00000000-0005-0000-0000-0000040F0000}"/>
    <cellStyle name="40% - Énfasis3 32" xfId="27574" xr:uid="{00000000-0005-0000-0000-0000050F0000}"/>
    <cellStyle name="40% - Énfasis3 33" xfId="28078" xr:uid="{00000000-0005-0000-0000-0000060F0000}"/>
    <cellStyle name="40% - Énfasis3 34" xfId="28582" xr:uid="{00000000-0005-0000-0000-0000070F0000}"/>
    <cellStyle name="40% - Énfasis3 35" xfId="29086" xr:uid="{00000000-0005-0000-0000-0000080F0000}"/>
    <cellStyle name="40% - Énfasis3 36" xfId="29590" xr:uid="{00000000-0005-0000-0000-0000090F0000}"/>
    <cellStyle name="40% - Énfasis3 37" xfId="30094" xr:uid="{00000000-0005-0000-0000-00000A0F0000}"/>
    <cellStyle name="40% - Énfasis3 38" xfId="30599" xr:uid="{00000000-0005-0000-0000-00000B0F0000}"/>
    <cellStyle name="40% - Énfasis3 39" xfId="31126" xr:uid="{36389DB2-810F-4990-BEFE-77053B9CD0F7}"/>
    <cellStyle name="40% - Énfasis3 4" xfId="1006" xr:uid="{00000000-0005-0000-0000-00000C0F0000}"/>
    <cellStyle name="40% - Énfasis3 4 2" xfId="1007" xr:uid="{00000000-0005-0000-0000-00000D0F0000}"/>
    <cellStyle name="40% - Énfasis3 4 3" xfId="7519" xr:uid="{00000000-0005-0000-0000-00000E0F0000}"/>
    <cellStyle name="40% - Énfasis3 4 4" xfId="7520" xr:uid="{00000000-0005-0000-0000-00000F0F0000}"/>
    <cellStyle name="40% - Énfasis3 4 4 2" xfId="17946" xr:uid="{00000000-0005-0000-0000-0000100F0000}"/>
    <cellStyle name="40% - Énfasis3 4 5" xfId="7521" xr:uid="{00000000-0005-0000-0000-0000110F0000}"/>
    <cellStyle name="40% - Énfasis3 4 6" xfId="7518" xr:uid="{00000000-0005-0000-0000-0000120F0000}"/>
    <cellStyle name="40% - Énfasis3 4 7" xfId="17945" xr:uid="{00000000-0005-0000-0000-0000130F0000}"/>
    <cellStyle name="40% - Énfasis3 5" xfId="1008" xr:uid="{00000000-0005-0000-0000-0000140F0000}"/>
    <cellStyle name="40% - Énfasis3 5 2" xfId="1009" xr:uid="{00000000-0005-0000-0000-0000150F0000}"/>
    <cellStyle name="40% - Énfasis3 6" xfId="1010" xr:uid="{00000000-0005-0000-0000-0000160F0000}"/>
    <cellStyle name="40% - Énfasis3 6 10" xfId="24637" xr:uid="{00000000-0005-0000-0000-0000170F0000}"/>
    <cellStyle name="40% - Énfasis3 6 11" xfId="25141" xr:uid="{00000000-0005-0000-0000-0000180F0000}"/>
    <cellStyle name="40% - Énfasis3 6 12" xfId="25645" xr:uid="{00000000-0005-0000-0000-0000190F0000}"/>
    <cellStyle name="40% - Énfasis3 6 13" xfId="26149" xr:uid="{00000000-0005-0000-0000-00001A0F0000}"/>
    <cellStyle name="40% - Énfasis3 6 14" xfId="26653" xr:uid="{00000000-0005-0000-0000-00001B0F0000}"/>
    <cellStyle name="40% - Énfasis3 6 15" xfId="27157" xr:uid="{00000000-0005-0000-0000-00001C0F0000}"/>
    <cellStyle name="40% - Énfasis3 6 16" xfId="27661" xr:uid="{00000000-0005-0000-0000-00001D0F0000}"/>
    <cellStyle name="40% - Énfasis3 6 17" xfId="28165" xr:uid="{00000000-0005-0000-0000-00001E0F0000}"/>
    <cellStyle name="40% - Énfasis3 6 18" xfId="28669" xr:uid="{00000000-0005-0000-0000-00001F0F0000}"/>
    <cellStyle name="40% - Énfasis3 6 19" xfId="29173" xr:uid="{00000000-0005-0000-0000-0000200F0000}"/>
    <cellStyle name="40% - Énfasis3 6 2" xfId="1011" xr:uid="{00000000-0005-0000-0000-0000210F0000}"/>
    <cellStyle name="40% - Énfasis3 6 2 2" xfId="17948" xr:uid="{00000000-0005-0000-0000-0000220F0000}"/>
    <cellStyle name="40% - Énfasis3 6 2 3" xfId="7523" xr:uid="{00000000-0005-0000-0000-0000230F0000}"/>
    <cellStyle name="40% - Énfasis3 6 20" xfId="29677" xr:uid="{00000000-0005-0000-0000-0000240F0000}"/>
    <cellStyle name="40% - Énfasis3 6 21" xfId="30181" xr:uid="{00000000-0005-0000-0000-0000250F0000}"/>
    <cellStyle name="40% - Énfasis3 6 22" xfId="30686" xr:uid="{00000000-0005-0000-0000-0000260F0000}"/>
    <cellStyle name="40% - Énfasis3 6 3" xfId="1831" xr:uid="{00000000-0005-0000-0000-0000270F0000}"/>
    <cellStyle name="40% - Énfasis3 6 3 2" xfId="4247" xr:uid="{00000000-0005-0000-0000-0000280F0000}"/>
    <cellStyle name="40% - Énfasis3 6 3 2 2" xfId="6191" xr:uid="{00000000-0005-0000-0000-0000290F0000}"/>
    <cellStyle name="40% - Énfasis3 6 3 3" xfId="5281" xr:uid="{00000000-0005-0000-0000-00002A0F0000}"/>
    <cellStyle name="40% - Énfasis3 6 3 4" xfId="7522" xr:uid="{00000000-0005-0000-0000-00002B0F0000}"/>
    <cellStyle name="40% - Énfasis3 6 3 5" xfId="23358" xr:uid="{00000000-0005-0000-0000-00002C0F0000}"/>
    <cellStyle name="40% - Énfasis3 6 4" xfId="2681" xr:uid="{00000000-0005-0000-0000-00002D0F0000}"/>
    <cellStyle name="40% - Énfasis3 6 4 10" xfId="26654" xr:uid="{00000000-0005-0000-0000-00002E0F0000}"/>
    <cellStyle name="40% - Énfasis3 6 4 11" xfId="27158" xr:uid="{00000000-0005-0000-0000-00002F0F0000}"/>
    <cellStyle name="40% - Énfasis3 6 4 12" xfId="27662" xr:uid="{00000000-0005-0000-0000-0000300F0000}"/>
    <cellStyle name="40% - Énfasis3 6 4 13" xfId="28166" xr:uid="{00000000-0005-0000-0000-0000310F0000}"/>
    <cellStyle name="40% - Énfasis3 6 4 14" xfId="28670" xr:uid="{00000000-0005-0000-0000-0000320F0000}"/>
    <cellStyle name="40% - Énfasis3 6 4 15" xfId="29174" xr:uid="{00000000-0005-0000-0000-0000330F0000}"/>
    <cellStyle name="40% - Énfasis3 6 4 16" xfId="29678" xr:uid="{00000000-0005-0000-0000-0000340F0000}"/>
    <cellStyle name="40% - Énfasis3 6 4 17" xfId="30182" xr:uid="{00000000-0005-0000-0000-0000350F0000}"/>
    <cellStyle name="40% - Énfasis3 6 4 18" xfId="30687" xr:uid="{00000000-0005-0000-0000-0000360F0000}"/>
    <cellStyle name="40% - Énfasis3 6 4 2" xfId="4362" xr:uid="{00000000-0005-0000-0000-0000370F0000}"/>
    <cellStyle name="40% - Énfasis3 6 4 2 2" xfId="6232" xr:uid="{00000000-0005-0000-0000-0000380F0000}"/>
    <cellStyle name="40% - Énfasis3 6 4 3" xfId="5329" xr:uid="{00000000-0005-0000-0000-0000390F0000}"/>
    <cellStyle name="40% - Énfasis3 6 4 4" xfId="17947" xr:uid="{00000000-0005-0000-0000-00003A0F0000}"/>
    <cellStyle name="40% - Énfasis3 6 4 5" xfId="23359" xr:uid="{00000000-0005-0000-0000-00003B0F0000}"/>
    <cellStyle name="40% - Énfasis3 6 4 6" xfId="24638" xr:uid="{00000000-0005-0000-0000-00003C0F0000}"/>
    <cellStyle name="40% - Énfasis3 6 4 7" xfId="25142" xr:uid="{00000000-0005-0000-0000-00003D0F0000}"/>
    <cellStyle name="40% - Énfasis3 6 4 8" xfId="25646" xr:uid="{00000000-0005-0000-0000-00003E0F0000}"/>
    <cellStyle name="40% - Énfasis3 6 4 9" xfId="26150" xr:uid="{00000000-0005-0000-0000-00003F0F0000}"/>
    <cellStyle name="40% - Énfasis3 6 5" xfId="3798" xr:uid="{00000000-0005-0000-0000-0000400F0000}"/>
    <cellStyle name="40% - Énfasis3 6 6" xfId="3194" xr:uid="{00000000-0005-0000-0000-0000410F0000}"/>
    <cellStyle name="40% - Énfasis3 6 6 2" xfId="5754" xr:uid="{00000000-0005-0000-0000-0000420F0000}"/>
    <cellStyle name="40% - Énfasis3 6 7" xfId="6796" xr:uid="{00000000-0005-0000-0000-0000430F0000}"/>
    <cellStyle name="40% - Énfasis3 6 8" xfId="7118" xr:uid="{00000000-0005-0000-0000-0000440F0000}"/>
    <cellStyle name="40% - Énfasis3 6 9" xfId="23357" xr:uid="{00000000-0005-0000-0000-0000450F0000}"/>
    <cellStyle name="40% - Énfasis3 7" xfId="1012" xr:uid="{00000000-0005-0000-0000-0000460F0000}"/>
    <cellStyle name="40% - Énfasis3 7 10" xfId="24639" xr:uid="{00000000-0005-0000-0000-0000470F0000}"/>
    <cellStyle name="40% - Énfasis3 7 11" xfId="25143" xr:uid="{00000000-0005-0000-0000-0000480F0000}"/>
    <cellStyle name="40% - Énfasis3 7 12" xfId="25647" xr:uid="{00000000-0005-0000-0000-0000490F0000}"/>
    <cellStyle name="40% - Énfasis3 7 13" xfId="26151" xr:uid="{00000000-0005-0000-0000-00004A0F0000}"/>
    <cellStyle name="40% - Énfasis3 7 14" xfId="26655" xr:uid="{00000000-0005-0000-0000-00004B0F0000}"/>
    <cellStyle name="40% - Énfasis3 7 15" xfId="27159" xr:uid="{00000000-0005-0000-0000-00004C0F0000}"/>
    <cellStyle name="40% - Énfasis3 7 16" xfId="27663" xr:uid="{00000000-0005-0000-0000-00004D0F0000}"/>
    <cellStyle name="40% - Énfasis3 7 17" xfId="28167" xr:uid="{00000000-0005-0000-0000-00004E0F0000}"/>
    <cellStyle name="40% - Énfasis3 7 18" xfId="28671" xr:uid="{00000000-0005-0000-0000-00004F0F0000}"/>
    <cellStyle name="40% - Énfasis3 7 19" xfId="29175" xr:uid="{00000000-0005-0000-0000-0000500F0000}"/>
    <cellStyle name="40% - Énfasis3 7 2" xfId="1013" xr:uid="{00000000-0005-0000-0000-0000510F0000}"/>
    <cellStyle name="40% - Énfasis3 7 2 2" xfId="17950" xr:uid="{00000000-0005-0000-0000-0000520F0000}"/>
    <cellStyle name="40% - Énfasis3 7 2 3" xfId="7525" xr:uid="{00000000-0005-0000-0000-0000530F0000}"/>
    <cellStyle name="40% - Énfasis3 7 20" xfId="29679" xr:uid="{00000000-0005-0000-0000-0000540F0000}"/>
    <cellStyle name="40% - Énfasis3 7 21" xfId="30183" xr:uid="{00000000-0005-0000-0000-0000550F0000}"/>
    <cellStyle name="40% - Énfasis3 7 22" xfId="30688" xr:uid="{00000000-0005-0000-0000-0000560F0000}"/>
    <cellStyle name="40% - Énfasis3 7 3" xfId="1832" xr:uid="{00000000-0005-0000-0000-0000570F0000}"/>
    <cellStyle name="40% - Énfasis3 7 3 2" xfId="4248" xr:uid="{00000000-0005-0000-0000-0000580F0000}"/>
    <cellStyle name="40% - Énfasis3 7 3 2 2" xfId="6192" xr:uid="{00000000-0005-0000-0000-0000590F0000}"/>
    <cellStyle name="40% - Énfasis3 7 3 3" xfId="5282" xr:uid="{00000000-0005-0000-0000-00005A0F0000}"/>
    <cellStyle name="40% - Énfasis3 7 3 4" xfId="7524" xr:uid="{00000000-0005-0000-0000-00005B0F0000}"/>
    <cellStyle name="40% - Énfasis3 7 3 5" xfId="23361" xr:uid="{00000000-0005-0000-0000-00005C0F0000}"/>
    <cellStyle name="40% - Énfasis3 7 4" xfId="2682" xr:uid="{00000000-0005-0000-0000-00005D0F0000}"/>
    <cellStyle name="40% - Énfasis3 7 4 10" xfId="26656" xr:uid="{00000000-0005-0000-0000-00005E0F0000}"/>
    <cellStyle name="40% - Énfasis3 7 4 11" xfId="27160" xr:uid="{00000000-0005-0000-0000-00005F0F0000}"/>
    <cellStyle name="40% - Énfasis3 7 4 12" xfId="27664" xr:uid="{00000000-0005-0000-0000-0000600F0000}"/>
    <cellStyle name="40% - Énfasis3 7 4 13" xfId="28168" xr:uid="{00000000-0005-0000-0000-0000610F0000}"/>
    <cellStyle name="40% - Énfasis3 7 4 14" xfId="28672" xr:uid="{00000000-0005-0000-0000-0000620F0000}"/>
    <cellStyle name="40% - Énfasis3 7 4 15" xfId="29176" xr:uid="{00000000-0005-0000-0000-0000630F0000}"/>
    <cellStyle name="40% - Énfasis3 7 4 16" xfId="29680" xr:uid="{00000000-0005-0000-0000-0000640F0000}"/>
    <cellStyle name="40% - Énfasis3 7 4 17" xfId="30184" xr:uid="{00000000-0005-0000-0000-0000650F0000}"/>
    <cellStyle name="40% - Énfasis3 7 4 18" xfId="30689" xr:uid="{00000000-0005-0000-0000-0000660F0000}"/>
    <cellStyle name="40% - Énfasis3 7 4 2" xfId="4363" xr:uid="{00000000-0005-0000-0000-0000670F0000}"/>
    <cellStyle name="40% - Énfasis3 7 4 2 2" xfId="6233" xr:uid="{00000000-0005-0000-0000-0000680F0000}"/>
    <cellStyle name="40% - Énfasis3 7 4 3" xfId="5330" xr:uid="{00000000-0005-0000-0000-0000690F0000}"/>
    <cellStyle name="40% - Énfasis3 7 4 4" xfId="17949" xr:uid="{00000000-0005-0000-0000-00006A0F0000}"/>
    <cellStyle name="40% - Énfasis3 7 4 5" xfId="23362" xr:uid="{00000000-0005-0000-0000-00006B0F0000}"/>
    <cellStyle name="40% - Énfasis3 7 4 6" xfId="24640" xr:uid="{00000000-0005-0000-0000-00006C0F0000}"/>
    <cellStyle name="40% - Énfasis3 7 4 7" xfId="25144" xr:uid="{00000000-0005-0000-0000-00006D0F0000}"/>
    <cellStyle name="40% - Énfasis3 7 4 8" xfId="25648" xr:uid="{00000000-0005-0000-0000-00006E0F0000}"/>
    <cellStyle name="40% - Énfasis3 7 4 9" xfId="26152" xr:uid="{00000000-0005-0000-0000-00006F0F0000}"/>
    <cellStyle name="40% - Énfasis3 7 5" xfId="3799" xr:uid="{00000000-0005-0000-0000-0000700F0000}"/>
    <cellStyle name="40% - Énfasis3 7 6" xfId="3195" xr:uid="{00000000-0005-0000-0000-0000710F0000}"/>
    <cellStyle name="40% - Énfasis3 7 6 2" xfId="5755" xr:uid="{00000000-0005-0000-0000-0000720F0000}"/>
    <cellStyle name="40% - Énfasis3 7 7" xfId="6797" xr:uid="{00000000-0005-0000-0000-0000730F0000}"/>
    <cellStyle name="40% - Énfasis3 7 8" xfId="7117" xr:uid="{00000000-0005-0000-0000-0000740F0000}"/>
    <cellStyle name="40% - Énfasis3 7 9" xfId="23360" xr:uid="{00000000-0005-0000-0000-0000750F0000}"/>
    <cellStyle name="40% - Énfasis3 8" xfId="1014" xr:uid="{00000000-0005-0000-0000-0000760F0000}"/>
    <cellStyle name="40% - Énfasis3 8 2" xfId="1015" xr:uid="{00000000-0005-0000-0000-0000770F0000}"/>
    <cellStyle name="40% - Énfasis3 8 3" xfId="7507" xr:uid="{00000000-0005-0000-0000-0000780F0000}"/>
    <cellStyle name="40% - Énfasis3 9" xfId="1016" xr:uid="{00000000-0005-0000-0000-0000790F0000}"/>
    <cellStyle name="40% - Énfasis3 9 10" xfId="4961" xr:uid="{00000000-0005-0000-0000-00007A0F0000}"/>
    <cellStyle name="40% - Énfasis3 9 11" xfId="6742" xr:uid="{00000000-0005-0000-0000-00007B0F0000}"/>
    <cellStyle name="40% - Énfasis3 9 12" xfId="17944" xr:uid="{00000000-0005-0000-0000-00007C0F0000}"/>
    <cellStyle name="40% - Énfasis3 9 13" xfId="22886" xr:uid="{00000000-0005-0000-0000-00007D0F0000}"/>
    <cellStyle name="40% - Énfasis3 9 14" xfId="23363" xr:uid="{00000000-0005-0000-0000-00007E0F0000}"/>
    <cellStyle name="40% - Énfasis3 9 15" xfId="24641" xr:uid="{00000000-0005-0000-0000-00007F0F0000}"/>
    <cellStyle name="40% - Énfasis3 9 16" xfId="25145" xr:uid="{00000000-0005-0000-0000-0000800F0000}"/>
    <cellStyle name="40% - Énfasis3 9 17" xfId="25649" xr:uid="{00000000-0005-0000-0000-0000810F0000}"/>
    <cellStyle name="40% - Énfasis3 9 18" xfId="26153" xr:uid="{00000000-0005-0000-0000-0000820F0000}"/>
    <cellStyle name="40% - Énfasis3 9 19" xfId="26657" xr:uid="{00000000-0005-0000-0000-0000830F0000}"/>
    <cellStyle name="40% - Énfasis3 9 2" xfId="1458" xr:uid="{00000000-0005-0000-0000-0000840F0000}"/>
    <cellStyle name="40% - Énfasis3 9 2 10" xfId="26154" xr:uid="{00000000-0005-0000-0000-0000850F0000}"/>
    <cellStyle name="40% - Énfasis3 9 2 11" xfId="26658" xr:uid="{00000000-0005-0000-0000-0000860F0000}"/>
    <cellStyle name="40% - Énfasis3 9 2 12" xfId="27162" xr:uid="{00000000-0005-0000-0000-0000870F0000}"/>
    <cellStyle name="40% - Énfasis3 9 2 13" xfId="27666" xr:uid="{00000000-0005-0000-0000-0000880F0000}"/>
    <cellStyle name="40% - Énfasis3 9 2 14" xfId="28170" xr:uid="{00000000-0005-0000-0000-0000890F0000}"/>
    <cellStyle name="40% - Énfasis3 9 2 15" xfId="28674" xr:uid="{00000000-0005-0000-0000-00008A0F0000}"/>
    <cellStyle name="40% - Énfasis3 9 2 16" xfId="29178" xr:uid="{00000000-0005-0000-0000-00008B0F0000}"/>
    <cellStyle name="40% - Énfasis3 9 2 17" xfId="29682" xr:uid="{00000000-0005-0000-0000-00008C0F0000}"/>
    <cellStyle name="40% - Énfasis3 9 2 18" xfId="30186" xr:uid="{00000000-0005-0000-0000-00008D0F0000}"/>
    <cellStyle name="40% - Énfasis3 9 2 19" xfId="30691" xr:uid="{00000000-0005-0000-0000-00008E0F0000}"/>
    <cellStyle name="40% - Énfasis3 9 2 2" xfId="1622" xr:uid="{00000000-0005-0000-0000-00008F0F0000}"/>
    <cellStyle name="40% - Énfasis3 9 2 2 2" xfId="3049" xr:uid="{00000000-0005-0000-0000-0000900F0000}"/>
    <cellStyle name="40% - Énfasis3 9 2 2 2 2" xfId="4668" xr:uid="{00000000-0005-0000-0000-0000910F0000}"/>
    <cellStyle name="40% - Énfasis3 9 2 2 2 2 2" xfId="6535" xr:uid="{00000000-0005-0000-0000-0000920F0000}"/>
    <cellStyle name="40% - Énfasis3 9 2 2 2 3" xfId="5633" xr:uid="{00000000-0005-0000-0000-0000930F0000}"/>
    <cellStyle name="40% - Énfasis3 9 2 2 3" xfId="4141" xr:uid="{00000000-0005-0000-0000-0000940F0000}"/>
    <cellStyle name="40% - Énfasis3 9 2 2 3 2" xfId="6089" xr:uid="{00000000-0005-0000-0000-0000950F0000}"/>
    <cellStyle name="40% - Énfasis3 9 2 2 4" xfId="5175" xr:uid="{00000000-0005-0000-0000-0000960F0000}"/>
    <cellStyle name="40% - Énfasis3 9 2 3" xfId="2892" xr:uid="{00000000-0005-0000-0000-0000970F0000}"/>
    <cellStyle name="40% - Énfasis3 9 2 3 2" xfId="4511" xr:uid="{00000000-0005-0000-0000-0000980F0000}"/>
    <cellStyle name="40% - Énfasis3 9 2 3 2 2" xfId="6378" xr:uid="{00000000-0005-0000-0000-0000990F0000}"/>
    <cellStyle name="40% - Énfasis3 9 2 3 3" xfId="5476" xr:uid="{00000000-0005-0000-0000-00009A0F0000}"/>
    <cellStyle name="40% - Énfasis3 9 2 4" xfId="3979" xr:uid="{00000000-0005-0000-0000-00009B0F0000}"/>
    <cellStyle name="40% - Énfasis3 9 2 4 2" xfId="5933" xr:uid="{00000000-0005-0000-0000-00009C0F0000}"/>
    <cellStyle name="40% - Énfasis3 9 2 5" xfId="5018" xr:uid="{00000000-0005-0000-0000-00009D0F0000}"/>
    <cellStyle name="40% - Énfasis3 9 2 6" xfId="23364" xr:uid="{00000000-0005-0000-0000-00009E0F0000}"/>
    <cellStyle name="40% - Énfasis3 9 2 7" xfId="24642" xr:uid="{00000000-0005-0000-0000-00009F0F0000}"/>
    <cellStyle name="40% - Énfasis3 9 2 8" xfId="25146" xr:uid="{00000000-0005-0000-0000-0000A00F0000}"/>
    <cellStyle name="40% - Énfasis3 9 2 9" xfId="25650" xr:uid="{00000000-0005-0000-0000-0000A10F0000}"/>
    <cellStyle name="40% - Énfasis3 9 20" xfId="27161" xr:uid="{00000000-0005-0000-0000-0000A20F0000}"/>
    <cellStyle name="40% - Énfasis3 9 21" xfId="27665" xr:uid="{00000000-0005-0000-0000-0000A30F0000}"/>
    <cellStyle name="40% - Énfasis3 9 22" xfId="28169" xr:uid="{00000000-0005-0000-0000-0000A40F0000}"/>
    <cellStyle name="40% - Énfasis3 9 23" xfId="28673" xr:uid="{00000000-0005-0000-0000-0000A50F0000}"/>
    <cellStyle name="40% - Énfasis3 9 24" xfId="29177" xr:uid="{00000000-0005-0000-0000-0000A60F0000}"/>
    <cellStyle name="40% - Énfasis3 9 25" xfId="29681" xr:uid="{00000000-0005-0000-0000-0000A70F0000}"/>
    <cellStyle name="40% - Énfasis3 9 26" xfId="30185" xr:uid="{00000000-0005-0000-0000-0000A80F0000}"/>
    <cellStyle name="40% - Énfasis3 9 27" xfId="30690" xr:uid="{00000000-0005-0000-0000-0000A90F0000}"/>
    <cellStyle name="40% - Énfasis3 9 3" xfId="1497" xr:uid="{00000000-0005-0000-0000-0000AA0F0000}"/>
    <cellStyle name="40% - Énfasis3 9 3 2" xfId="1623" xr:uid="{00000000-0005-0000-0000-0000AB0F0000}"/>
    <cellStyle name="40% - Énfasis3 9 3 2 2" xfId="3050" xr:uid="{00000000-0005-0000-0000-0000AC0F0000}"/>
    <cellStyle name="40% - Énfasis3 9 3 2 2 2" xfId="4669" xr:uid="{00000000-0005-0000-0000-0000AD0F0000}"/>
    <cellStyle name="40% - Énfasis3 9 3 2 2 2 2" xfId="6536" xr:uid="{00000000-0005-0000-0000-0000AE0F0000}"/>
    <cellStyle name="40% - Énfasis3 9 3 2 2 3" xfId="5634" xr:uid="{00000000-0005-0000-0000-0000AF0F0000}"/>
    <cellStyle name="40% - Énfasis3 9 3 2 3" xfId="4142" xr:uid="{00000000-0005-0000-0000-0000B00F0000}"/>
    <cellStyle name="40% - Énfasis3 9 3 2 3 2" xfId="6090" xr:uid="{00000000-0005-0000-0000-0000B10F0000}"/>
    <cellStyle name="40% - Énfasis3 9 3 2 4" xfId="5176" xr:uid="{00000000-0005-0000-0000-0000B20F0000}"/>
    <cellStyle name="40% - Énfasis3 9 3 3" xfId="2931" xr:uid="{00000000-0005-0000-0000-0000B30F0000}"/>
    <cellStyle name="40% - Énfasis3 9 3 3 2" xfId="4550" xr:uid="{00000000-0005-0000-0000-0000B40F0000}"/>
    <cellStyle name="40% - Énfasis3 9 3 3 2 2" xfId="6417" xr:uid="{00000000-0005-0000-0000-0000B50F0000}"/>
    <cellStyle name="40% - Énfasis3 9 3 3 3" xfId="5515" xr:uid="{00000000-0005-0000-0000-0000B60F0000}"/>
    <cellStyle name="40% - Énfasis3 9 3 4" xfId="4018" xr:uid="{00000000-0005-0000-0000-0000B70F0000}"/>
    <cellStyle name="40% - Énfasis3 9 3 4 2" xfId="5972" xr:uid="{00000000-0005-0000-0000-0000B80F0000}"/>
    <cellStyle name="40% - Énfasis3 9 3 5" xfId="5057" xr:uid="{00000000-0005-0000-0000-0000B90F0000}"/>
    <cellStyle name="40% - Énfasis3 9 4" xfId="1624" xr:uid="{00000000-0005-0000-0000-0000BA0F0000}"/>
    <cellStyle name="40% - Énfasis3 9 4 2" xfId="3051" xr:uid="{00000000-0005-0000-0000-0000BB0F0000}"/>
    <cellStyle name="40% - Énfasis3 9 4 2 2" xfId="4670" xr:uid="{00000000-0005-0000-0000-0000BC0F0000}"/>
    <cellStyle name="40% - Énfasis3 9 4 2 2 2" xfId="6537" xr:uid="{00000000-0005-0000-0000-0000BD0F0000}"/>
    <cellStyle name="40% - Énfasis3 9 4 2 3" xfId="5635" xr:uid="{00000000-0005-0000-0000-0000BE0F0000}"/>
    <cellStyle name="40% - Énfasis3 9 4 3" xfId="4143" xr:uid="{00000000-0005-0000-0000-0000BF0F0000}"/>
    <cellStyle name="40% - Énfasis3 9 4 3 2" xfId="6091" xr:uid="{00000000-0005-0000-0000-0000C00F0000}"/>
    <cellStyle name="40% - Énfasis3 9 4 4" xfId="5177" xr:uid="{00000000-0005-0000-0000-0000C10F0000}"/>
    <cellStyle name="40% - Énfasis3 9 5" xfId="1625" xr:uid="{00000000-0005-0000-0000-0000C20F0000}"/>
    <cellStyle name="40% - Énfasis3 9 5 2" xfId="3052" xr:uid="{00000000-0005-0000-0000-0000C30F0000}"/>
    <cellStyle name="40% - Énfasis3 9 5 2 2" xfId="4671" xr:uid="{00000000-0005-0000-0000-0000C40F0000}"/>
    <cellStyle name="40% - Énfasis3 9 5 2 2 2" xfId="6538" xr:uid="{00000000-0005-0000-0000-0000C50F0000}"/>
    <cellStyle name="40% - Énfasis3 9 5 2 3" xfId="5636" xr:uid="{00000000-0005-0000-0000-0000C60F0000}"/>
    <cellStyle name="40% - Énfasis3 9 5 3" xfId="4144" xr:uid="{00000000-0005-0000-0000-0000C70F0000}"/>
    <cellStyle name="40% - Énfasis3 9 5 3 2" xfId="6092" xr:uid="{00000000-0005-0000-0000-0000C80F0000}"/>
    <cellStyle name="40% - Énfasis3 9 5 4" xfId="5178" xr:uid="{00000000-0005-0000-0000-0000C90F0000}"/>
    <cellStyle name="40% - Énfasis3 9 6" xfId="2833" xr:uid="{00000000-0005-0000-0000-0000CA0F0000}"/>
    <cellStyle name="40% - Énfasis3 9 6 2" xfId="4453" xr:uid="{00000000-0005-0000-0000-0000CB0F0000}"/>
    <cellStyle name="40% - Énfasis3 9 6 2 2" xfId="6321" xr:uid="{00000000-0005-0000-0000-0000CC0F0000}"/>
    <cellStyle name="40% - Énfasis3 9 6 3" xfId="5419" xr:uid="{00000000-0005-0000-0000-0000CD0F0000}"/>
    <cellStyle name="40% - Énfasis3 9 7" xfId="3800" xr:uid="{00000000-0005-0000-0000-0000CE0F0000}"/>
    <cellStyle name="40% - Énfasis3 9 7 2" xfId="5877" xr:uid="{00000000-0005-0000-0000-0000CF0F0000}"/>
    <cellStyle name="40% - Énfasis3 9 8" xfId="4812" xr:uid="{00000000-0005-0000-0000-0000D00F0000}"/>
    <cellStyle name="40% - Énfasis3 9 8 2" xfId="6657" xr:uid="{00000000-0005-0000-0000-0000D10F0000}"/>
    <cellStyle name="40% - Énfasis3 9 9" xfId="4857" xr:uid="{00000000-0005-0000-0000-0000D20F0000}"/>
    <cellStyle name="40% - Énfasis3 9 9 2" xfId="6699" xr:uid="{00000000-0005-0000-0000-0000D30F0000}"/>
    <cellStyle name="40% - Énfasis4" xfId="49" builtinId="43" customBuiltin="1"/>
    <cellStyle name="40% - Énfasis4 10" xfId="1018" xr:uid="{00000000-0005-0000-0000-0000D50F0000}"/>
    <cellStyle name="40% - Énfasis4 10 10" xfId="4963" xr:uid="{00000000-0005-0000-0000-0000D60F0000}"/>
    <cellStyle name="40% - Énfasis4 10 11" xfId="6744" xr:uid="{00000000-0005-0000-0000-0000D70F0000}"/>
    <cellStyle name="40% - Énfasis4 10 12" xfId="22888" xr:uid="{00000000-0005-0000-0000-0000D80F0000}"/>
    <cellStyle name="40% - Énfasis4 10 13" xfId="23365" xr:uid="{00000000-0005-0000-0000-0000D90F0000}"/>
    <cellStyle name="40% - Énfasis4 10 14" xfId="24643" xr:uid="{00000000-0005-0000-0000-0000DA0F0000}"/>
    <cellStyle name="40% - Énfasis4 10 15" xfId="25147" xr:uid="{00000000-0005-0000-0000-0000DB0F0000}"/>
    <cellStyle name="40% - Énfasis4 10 16" xfId="25651" xr:uid="{00000000-0005-0000-0000-0000DC0F0000}"/>
    <cellStyle name="40% - Énfasis4 10 17" xfId="26155" xr:uid="{00000000-0005-0000-0000-0000DD0F0000}"/>
    <cellStyle name="40% - Énfasis4 10 18" xfId="26659" xr:uid="{00000000-0005-0000-0000-0000DE0F0000}"/>
    <cellStyle name="40% - Énfasis4 10 19" xfId="27163" xr:uid="{00000000-0005-0000-0000-0000DF0F0000}"/>
    <cellStyle name="40% - Énfasis4 10 2" xfId="1460" xr:uid="{00000000-0005-0000-0000-0000E00F0000}"/>
    <cellStyle name="40% - Énfasis4 10 2 10" xfId="26156" xr:uid="{00000000-0005-0000-0000-0000E10F0000}"/>
    <cellStyle name="40% - Énfasis4 10 2 11" xfId="26660" xr:uid="{00000000-0005-0000-0000-0000E20F0000}"/>
    <cellStyle name="40% - Énfasis4 10 2 12" xfId="27164" xr:uid="{00000000-0005-0000-0000-0000E30F0000}"/>
    <cellStyle name="40% - Énfasis4 10 2 13" xfId="27668" xr:uid="{00000000-0005-0000-0000-0000E40F0000}"/>
    <cellStyle name="40% - Énfasis4 10 2 14" xfId="28172" xr:uid="{00000000-0005-0000-0000-0000E50F0000}"/>
    <cellStyle name="40% - Énfasis4 10 2 15" xfId="28676" xr:uid="{00000000-0005-0000-0000-0000E60F0000}"/>
    <cellStyle name="40% - Énfasis4 10 2 16" xfId="29180" xr:uid="{00000000-0005-0000-0000-0000E70F0000}"/>
    <cellStyle name="40% - Énfasis4 10 2 17" xfId="29684" xr:uid="{00000000-0005-0000-0000-0000E80F0000}"/>
    <cellStyle name="40% - Énfasis4 10 2 18" xfId="30188" xr:uid="{00000000-0005-0000-0000-0000E90F0000}"/>
    <cellStyle name="40% - Énfasis4 10 2 19" xfId="30693" xr:uid="{00000000-0005-0000-0000-0000EA0F0000}"/>
    <cellStyle name="40% - Énfasis4 10 2 2" xfId="1626" xr:uid="{00000000-0005-0000-0000-0000EB0F0000}"/>
    <cellStyle name="40% - Énfasis4 10 2 2 2" xfId="3053" xr:uid="{00000000-0005-0000-0000-0000EC0F0000}"/>
    <cellStyle name="40% - Énfasis4 10 2 2 2 2" xfId="4672" xr:uid="{00000000-0005-0000-0000-0000ED0F0000}"/>
    <cellStyle name="40% - Énfasis4 10 2 2 2 2 2" xfId="6539" xr:uid="{00000000-0005-0000-0000-0000EE0F0000}"/>
    <cellStyle name="40% - Énfasis4 10 2 2 2 3" xfId="5637" xr:uid="{00000000-0005-0000-0000-0000EF0F0000}"/>
    <cellStyle name="40% - Énfasis4 10 2 2 3" xfId="4145" xr:uid="{00000000-0005-0000-0000-0000F00F0000}"/>
    <cellStyle name="40% - Énfasis4 10 2 2 3 2" xfId="6093" xr:uid="{00000000-0005-0000-0000-0000F10F0000}"/>
    <cellStyle name="40% - Énfasis4 10 2 2 4" xfId="5179" xr:uid="{00000000-0005-0000-0000-0000F20F0000}"/>
    <cellStyle name="40% - Énfasis4 10 2 3" xfId="2894" xr:uid="{00000000-0005-0000-0000-0000F30F0000}"/>
    <cellStyle name="40% - Énfasis4 10 2 3 2" xfId="4513" xr:uid="{00000000-0005-0000-0000-0000F40F0000}"/>
    <cellStyle name="40% - Énfasis4 10 2 3 2 2" xfId="6380" xr:uid="{00000000-0005-0000-0000-0000F50F0000}"/>
    <cellStyle name="40% - Énfasis4 10 2 3 3" xfId="5478" xr:uid="{00000000-0005-0000-0000-0000F60F0000}"/>
    <cellStyle name="40% - Énfasis4 10 2 4" xfId="3981" xr:uid="{00000000-0005-0000-0000-0000F70F0000}"/>
    <cellStyle name="40% - Énfasis4 10 2 4 2" xfId="5935" xr:uid="{00000000-0005-0000-0000-0000F80F0000}"/>
    <cellStyle name="40% - Énfasis4 10 2 5" xfId="5020" xr:uid="{00000000-0005-0000-0000-0000F90F0000}"/>
    <cellStyle name="40% - Énfasis4 10 2 6" xfId="23366" xr:uid="{00000000-0005-0000-0000-0000FA0F0000}"/>
    <cellStyle name="40% - Énfasis4 10 2 7" xfId="24644" xr:uid="{00000000-0005-0000-0000-0000FB0F0000}"/>
    <cellStyle name="40% - Énfasis4 10 2 8" xfId="25148" xr:uid="{00000000-0005-0000-0000-0000FC0F0000}"/>
    <cellStyle name="40% - Énfasis4 10 2 9" xfId="25652" xr:uid="{00000000-0005-0000-0000-0000FD0F0000}"/>
    <cellStyle name="40% - Énfasis4 10 20" xfId="27667" xr:uid="{00000000-0005-0000-0000-0000FE0F0000}"/>
    <cellStyle name="40% - Énfasis4 10 21" xfId="28171" xr:uid="{00000000-0005-0000-0000-0000FF0F0000}"/>
    <cellStyle name="40% - Énfasis4 10 22" xfId="28675" xr:uid="{00000000-0005-0000-0000-000000100000}"/>
    <cellStyle name="40% - Énfasis4 10 23" xfId="29179" xr:uid="{00000000-0005-0000-0000-000001100000}"/>
    <cellStyle name="40% - Énfasis4 10 24" xfId="29683" xr:uid="{00000000-0005-0000-0000-000002100000}"/>
    <cellStyle name="40% - Énfasis4 10 25" xfId="30187" xr:uid="{00000000-0005-0000-0000-000003100000}"/>
    <cellStyle name="40% - Énfasis4 10 26" xfId="30692" xr:uid="{00000000-0005-0000-0000-000004100000}"/>
    <cellStyle name="40% - Énfasis4 10 3" xfId="1498" xr:uid="{00000000-0005-0000-0000-000005100000}"/>
    <cellStyle name="40% - Énfasis4 10 3 2" xfId="1627" xr:uid="{00000000-0005-0000-0000-000006100000}"/>
    <cellStyle name="40% - Énfasis4 10 3 2 2" xfId="3054" xr:uid="{00000000-0005-0000-0000-000007100000}"/>
    <cellStyle name="40% - Énfasis4 10 3 2 2 2" xfId="4673" xr:uid="{00000000-0005-0000-0000-000008100000}"/>
    <cellStyle name="40% - Énfasis4 10 3 2 2 2 2" xfId="6540" xr:uid="{00000000-0005-0000-0000-000009100000}"/>
    <cellStyle name="40% - Énfasis4 10 3 2 2 3" xfId="5638" xr:uid="{00000000-0005-0000-0000-00000A100000}"/>
    <cellStyle name="40% - Énfasis4 10 3 2 3" xfId="4146" xr:uid="{00000000-0005-0000-0000-00000B100000}"/>
    <cellStyle name="40% - Énfasis4 10 3 2 3 2" xfId="6094" xr:uid="{00000000-0005-0000-0000-00000C100000}"/>
    <cellStyle name="40% - Énfasis4 10 3 2 4" xfId="5180" xr:uid="{00000000-0005-0000-0000-00000D100000}"/>
    <cellStyle name="40% - Énfasis4 10 3 3" xfId="2932" xr:uid="{00000000-0005-0000-0000-00000E100000}"/>
    <cellStyle name="40% - Énfasis4 10 3 3 2" xfId="4551" xr:uid="{00000000-0005-0000-0000-00000F100000}"/>
    <cellStyle name="40% - Énfasis4 10 3 3 2 2" xfId="6418" xr:uid="{00000000-0005-0000-0000-000010100000}"/>
    <cellStyle name="40% - Énfasis4 10 3 3 3" xfId="5516" xr:uid="{00000000-0005-0000-0000-000011100000}"/>
    <cellStyle name="40% - Énfasis4 10 3 4" xfId="4019" xr:uid="{00000000-0005-0000-0000-000012100000}"/>
    <cellStyle name="40% - Énfasis4 10 3 4 2" xfId="5973" xr:uid="{00000000-0005-0000-0000-000013100000}"/>
    <cellStyle name="40% - Énfasis4 10 3 5" xfId="5058" xr:uid="{00000000-0005-0000-0000-000014100000}"/>
    <cellStyle name="40% - Énfasis4 10 4" xfId="1628" xr:uid="{00000000-0005-0000-0000-000015100000}"/>
    <cellStyle name="40% - Énfasis4 10 4 2" xfId="3055" xr:uid="{00000000-0005-0000-0000-000016100000}"/>
    <cellStyle name="40% - Énfasis4 10 4 2 2" xfId="4674" xr:uid="{00000000-0005-0000-0000-000017100000}"/>
    <cellStyle name="40% - Énfasis4 10 4 2 2 2" xfId="6541" xr:uid="{00000000-0005-0000-0000-000018100000}"/>
    <cellStyle name="40% - Énfasis4 10 4 2 3" xfId="5639" xr:uid="{00000000-0005-0000-0000-000019100000}"/>
    <cellStyle name="40% - Énfasis4 10 4 3" xfId="4147" xr:uid="{00000000-0005-0000-0000-00001A100000}"/>
    <cellStyle name="40% - Énfasis4 10 4 3 2" xfId="6095" xr:uid="{00000000-0005-0000-0000-00001B100000}"/>
    <cellStyle name="40% - Énfasis4 10 4 4" xfId="5181" xr:uid="{00000000-0005-0000-0000-00001C100000}"/>
    <cellStyle name="40% - Énfasis4 10 5" xfId="1629" xr:uid="{00000000-0005-0000-0000-00001D100000}"/>
    <cellStyle name="40% - Énfasis4 10 5 2" xfId="3056" xr:uid="{00000000-0005-0000-0000-00001E100000}"/>
    <cellStyle name="40% - Énfasis4 10 5 2 2" xfId="4675" xr:uid="{00000000-0005-0000-0000-00001F100000}"/>
    <cellStyle name="40% - Énfasis4 10 5 2 2 2" xfId="6542" xr:uid="{00000000-0005-0000-0000-000020100000}"/>
    <cellStyle name="40% - Énfasis4 10 5 2 3" xfId="5640" xr:uid="{00000000-0005-0000-0000-000021100000}"/>
    <cellStyle name="40% - Énfasis4 10 5 3" xfId="4148" xr:uid="{00000000-0005-0000-0000-000022100000}"/>
    <cellStyle name="40% - Énfasis4 10 5 3 2" xfId="6096" xr:uid="{00000000-0005-0000-0000-000023100000}"/>
    <cellStyle name="40% - Énfasis4 10 5 4" xfId="5182" xr:uid="{00000000-0005-0000-0000-000024100000}"/>
    <cellStyle name="40% - Énfasis4 10 6" xfId="2835" xr:uid="{00000000-0005-0000-0000-000025100000}"/>
    <cellStyle name="40% - Énfasis4 10 6 2" xfId="4455" xr:uid="{00000000-0005-0000-0000-000026100000}"/>
    <cellStyle name="40% - Énfasis4 10 6 2 2" xfId="6323" xr:uid="{00000000-0005-0000-0000-000027100000}"/>
    <cellStyle name="40% - Énfasis4 10 6 3" xfId="5421" xr:uid="{00000000-0005-0000-0000-000028100000}"/>
    <cellStyle name="40% - Énfasis4 10 7" xfId="3802" xr:uid="{00000000-0005-0000-0000-000029100000}"/>
    <cellStyle name="40% - Énfasis4 10 7 2" xfId="5879" xr:uid="{00000000-0005-0000-0000-00002A100000}"/>
    <cellStyle name="40% - Énfasis4 10 8" xfId="4814" xr:uid="{00000000-0005-0000-0000-00002B100000}"/>
    <cellStyle name="40% - Énfasis4 10 8 2" xfId="6659" xr:uid="{00000000-0005-0000-0000-00002C100000}"/>
    <cellStyle name="40% - Énfasis4 10 9" xfId="4859" xr:uid="{00000000-0005-0000-0000-00002D100000}"/>
    <cellStyle name="40% - Énfasis4 10 9 2" xfId="6701" xr:uid="{00000000-0005-0000-0000-00002E100000}"/>
    <cellStyle name="40% - Énfasis4 11" xfId="1019" xr:uid="{00000000-0005-0000-0000-00002F100000}"/>
    <cellStyle name="40% - Énfasis4 11 2" xfId="1020" xr:uid="{00000000-0005-0000-0000-000030100000}"/>
    <cellStyle name="40% - Énfasis4 12" xfId="1017" xr:uid="{00000000-0005-0000-0000-000031100000}"/>
    <cellStyle name="40% - Énfasis4 12 10" xfId="25653" xr:uid="{00000000-0005-0000-0000-000032100000}"/>
    <cellStyle name="40% - Énfasis4 12 11" xfId="26157" xr:uid="{00000000-0005-0000-0000-000033100000}"/>
    <cellStyle name="40% - Énfasis4 12 12" xfId="26661" xr:uid="{00000000-0005-0000-0000-000034100000}"/>
    <cellStyle name="40% - Énfasis4 12 13" xfId="27165" xr:uid="{00000000-0005-0000-0000-000035100000}"/>
    <cellStyle name="40% - Énfasis4 12 14" xfId="27669" xr:uid="{00000000-0005-0000-0000-000036100000}"/>
    <cellStyle name="40% - Énfasis4 12 15" xfId="28173" xr:uid="{00000000-0005-0000-0000-000037100000}"/>
    <cellStyle name="40% - Énfasis4 12 16" xfId="28677" xr:uid="{00000000-0005-0000-0000-000038100000}"/>
    <cellStyle name="40% - Énfasis4 12 17" xfId="29181" xr:uid="{00000000-0005-0000-0000-000039100000}"/>
    <cellStyle name="40% - Énfasis4 12 18" xfId="29685" xr:uid="{00000000-0005-0000-0000-00003A100000}"/>
    <cellStyle name="40% - Énfasis4 12 19" xfId="30189" xr:uid="{00000000-0005-0000-0000-00003B100000}"/>
    <cellStyle name="40% - Énfasis4 12 2" xfId="1459" xr:uid="{00000000-0005-0000-0000-00003C100000}"/>
    <cellStyle name="40% - Énfasis4 12 2 10" xfId="26158" xr:uid="{00000000-0005-0000-0000-00003D100000}"/>
    <cellStyle name="40% - Énfasis4 12 2 11" xfId="26662" xr:uid="{00000000-0005-0000-0000-00003E100000}"/>
    <cellStyle name="40% - Énfasis4 12 2 12" xfId="27166" xr:uid="{00000000-0005-0000-0000-00003F100000}"/>
    <cellStyle name="40% - Énfasis4 12 2 13" xfId="27670" xr:uid="{00000000-0005-0000-0000-000040100000}"/>
    <cellStyle name="40% - Énfasis4 12 2 14" xfId="28174" xr:uid="{00000000-0005-0000-0000-000041100000}"/>
    <cellStyle name="40% - Énfasis4 12 2 15" xfId="28678" xr:uid="{00000000-0005-0000-0000-000042100000}"/>
    <cellStyle name="40% - Énfasis4 12 2 16" xfId="29182" xr:uid="{00000000-0005-0000-0000-000043100000}"/>
    <cellStyle name="40% - Énfasis4 12 2 17" xfId="29686" xr:uid="{00000000-0005-0000-0000-000044100000}"/>
    <cellStyle name="40% - Énfasis4 12 2 18" xfId="30190" xr:uid="{00000000-0005-0000-0000-000045100000}"/>
    <cellStyle name="40% - Énfasis4 12 2 19" xfId="30695" xr:uid="{00000000-0005-0000-0000-000046100000}"/>
    <cellStyle name="40% - Énfasis4 12 2 2" xfId="1630" xr:uid="{00000000-0005-0000-0000-000047100000}"/>
    <cellStyle name="40% - Énfasis4 12 2 2 2" xfId="3057" xr:uid="{00000000-0005-0000-0000-000048100000}"/>
    <cellStyle name="40% - Énfasis4 12 2 2 2 2" xfId="4676" xr:uid="{00000000-0005-0000-0000-000049100000}"/>
    <cellStyle name="40% - Énfasis4 12 2 2 2 2 2" xfId="6543" xr:uid="{00000000-0005-0000-0000-00004A100000}"/>
    <cellStyle name="40% - Énfasis4 12 2 2 2 3" xfId="5641" xr:uid="{00000000-0005-0000-0000-00004B100000}"/>
    <cellStyle name="40% - Énfasis4 12 2 2 3" xfId="4149" xr:uid="{00000000-0005-0000-0000-00004C100000}"/>
    <cellStyle name="40% - Énfasis4 12 2 2 3 2" xfId="6097" xr:uid="{00000000-0005-0000-0000-00004D100000}"/>
    <cellStyle name="40% - Énfasis4 12 2 2 4" xfId="5183" xr:uid="{00000000-0005-0000-0000-00004E100000}"/>
    <cellStyle name="40% - Énfasis4 12 2 3" xfId="2893" xr:uid="{00000000-0005-0000-0000-00004F100000}"/>
    <cellStyle name="40% - Énfasis4 12 2 3 2" xfId="4512" xr:uid="{00000000-0005-0000-0000-000050100000}"/>
    <cellStyle name="40% - Énfasis4 12 2 3 2 2" xfId="6379" xr:uid="{00000000-0005-0000-0000-000051100000}"/>
    <cellStyle name="40% - Énfasis4 12 2 3 3" xfId="5477" xr:uid="{00000000-0005-0000-0000-000052100000}"/>
    <cellStyle name="40% - Énfasis4 12 2 4" xfId="3980" xr:uid="{00000000-0005-0000-0000-000053100000}"/>
    <cellStyle name="40% - Énfasis4 12 2 4 2" xfId="5934" xr:uid="{00000000-0005-0000-0000-000054100000}"/>
    <cellStyle name="40% - Énfasis4 12 2 5" xfId="5019" xr:uid="{00000000-0005-0000-0000-000055100000}"/>
    <cellStyle name="40% - Énfasis4 12 2 6" xfId="23368" xr:uid="{00000000-0005-0000-0000-000056100000}"/>
    <cellStyle name="40% - Énfasis4 12 2 7" xfId="24646" xr:uid="{00000000-0005-0000-0000-000057100000}"/>
    <cellStyle name="40% - Énfasis4 12 2 8" xfId="25150" xr:uid="{00000000-0005-0000-0000-000058100000}"/>
    <cellStyle name="40% - Énfasis4 12 2 9" xfId="25654" xr:uid="{00000000-0005-0000-0000-000059100000}"/>
    <cellStyle name="40% - Énfasis4 12 20" xfId="30694" xr:uid="{00000000-0005-0000-0000-00005A100000}"/>
    <cellStyle name="40% - Énfasis4 12 3" xfId="1631" xr:uid="{00000000-0005-0000-0000-00005B100000}"/>
    <cellStyle name="40% - Énfasis4 12 3 2" xfId="3058" xr:uid="{00000000-0005-0000-0000-00005C100000}"/>
    <cellStyle name="40% - Énfasis4 12 3 2 2" xfId="4677" xr:uid="{00000000-0005-0000-0000-00005D100000}"/>
    <cellStyle name="40% - Énfasis4 12 3 2 2 2" xfId="6544" xr:uid="{00000000-0005-0000-0000-00005E100000}"/>
    <cellStyle name="40% - Énfasis4 12 3 2 3" xfId="5642" xr:uid="{00000000-0005-0000-0000-00005F100000}"/>
    <cellStyle name="40% - Énfasis4 12 3 3" xfId="4150" xr:uid="{00000000-0005-0000-0000-000060100000}"/>
    <cellStyle name="40% - Énfasis4 12 3 3 2" xfId="6098" xr:uid="{00000000-0005-0000-0000-000061100000}"/>
    <cellStyle name="40% - Énfasis4 12 3 4" xfId="5184" xr:uid="{00000000-0005-0000-0000-000062100000}"/>
    <cellStyle name="40% - Énfasis4 12 4" xfId="2834" xr:uid="{00000000-0005-0000-0000-000063100000}"/>
    <cellStyle name="40% - Énfasis4 12 4 2" xfId="4454" xr:uid="{00000000-0005-0000-0000-000064100000}"/>
    <cellStyle name="40% - Énfasis4 12 4 2 2" xfId="6322" xr:uid="{00000000-0005-0000-0000-000065100000}"/>
    <cellStyle name="40% - Énfasis4 12 4 3" xfId="5420" xr:uid="{00000000-0005-0000-0000-000066100000}"/>
    <cellStyle name="40% - Énfasis4 12 5" xfId="3801" xr:uid="{00000000-0005-0000-0000-000067100000}"/>
    <cellStyle name="40% - Énfasis4 12 5 2" xfId="5878" xr:uid="{00000000-0005-0000-0000-000068100000}"/>
    <cellStyle name="40% - Énfasis4 12 6" xfId="4962" xr:uid="{00000000-0005-0000-0000-000069100000}"/>
    <cellStyle name="40% - Énfasis4 12 7" xfId="23367" xr:uid="{00000000-0005-0000-0000-00006A100000}"/>
    <cellStyle name="40% - Énfasis4 12 8" xfId="24645" xr:uid="{00000000-0005-0000-0000-00006B100000}"/>
    <cellStyle name="40% - Énfasis4 12 9" xfId="25149" xr:uid="{00000000-0005-0000-0000-00006C100000}"/>
    <cellStyle name="40% - Énfasis4 13" xfId="1381" xr:uid="{00000000-0005-0000-0000-00006D100000}"/>
    <cellStyle name="40% - Énfasis4 14" xfId="1499" xr:uid="{00000000-0005-0000-0000-00006E100000}"/>
    <cellStyle name="40% - Énfasis4 14 2" xfId="1632" xr:uid="{00000000-0005-0000-0000-00006F100000}"/>
    <cellStyle name="40% - Énfasis4 14 2 2" xfId="3059" xr:uid="{00000000-0005-0000-0000-000070100000}"/>
    <cellStyle name="40% - Énfasis4 14 2 2 2" xfId="4678" xr:uid="{00000000-0005-0000-0000-000071100000}"/>
    <cellStyle name="40% - Énfasis4 14 2 2 2 2" xfId="6545" xr:uid="{00000000-0005-0000-0000-000072100000}"/>
    <cellStyle name="40% - Énfasis4 14 2 2 3" xfId="5643" xr:uid="{00000000-0005-0000-0000-000073100000}"/>
    <cellStyle name="40% - Énfasis4 14 2 3" xfId="4151" xr:uid="{00000000-0005-0000-0000-000074100000}"/>
    <cellStyle name="40% - Énfasis4 14 2 3 2" xfId="6099" xr:uid="{00000000-0005-0000-0000-000075100000}"/>
    <cellStyle name="40% - Énfasis4 14 2 4" xfId="5185" xr:uid="{00000000-0005-0000-0000-000076100000}"/>
    <cellStyle name="40% - Énfasis4 14 3" xfId="2933" xr:uid="{00000000-0005-0000-0000-000077100000}"/>
    <cellStyle name="40% - Énfasis4 14 3 2" xfId="4552" xr:uid="{00000000-0005-0000-0000-000078100000}"/>
    <cellStyle name="40% - Énfasis4 14 3 2 2" xfId="6419" xr:uid="{00000000-0005-0000-0000-000079100000}"/>
    <cellStyle name="40% - Énfasis4 14 3 3" xfId="5517" xr:uid="{00000000-0005-0000-0000-00007A100000}"/>
    <cellStyle name="40% - Énfasis4 14 4" xfId="4020" xr:uid="{00000000-0005-0000-0000-00007B100000}"/>
    <cellStyle name="40% - Énfasis4 14 4 2" xfId="5974" xr:uid="{00000000-0005-0000-0000-00007C100000}"/>
    <cellStyle name="40% - Énfasis4 14 5" xfId="5059" xr:uid="{00000000-0005-0000-0000-00007D100000}"/>
    <cellStyle name="40% - Énfasis4 15" xfId="1633" xr:uid="{00000000-0005-0000-0000-00007E100000}"/>
    <cellStyle name="40% - Énfasis4 15 2" xfId="3060" xr:uid="{00000000-0005-0000-0000-00007F100000}"/>
    <cellStyle name="40% - Énfasis4 15 2 2" xfId="4679" xr:uid="{00000000-0005-0000-0000-000080100000}"/>
    <cellStyle name="40% - Énfasis4 15 2 2 2" xfId="6546" xr:uid="{00000000-0005-0000-0000-000081100000}"/>
    <cellStyle name="40% - Énfasis4 15 2 3" xfId="5644" xr:uid="{00000000-0005-0000-0000-000082100000}"/>
    <cellStyle name="40% - Énfasis4 15 3" xfId="4152" xr:uid="{00000000-0005-0000-0000-000083100000}"/>
    <cellStyle name="40% - Énfasis4 15 3 2" xfId="6100" xr:uid="{00000000-0005-0000-0000-000084100000}"/>
    <cellStyle name="40% - Énfasis4 15 4" xfId="5186" xr:uid="{00000000-0005-0000-0000-000085100000}"/>
    <cellStyle name="40% - Énfasis4 16" xfId="2720" xr:uid="{00000000-0005-0000-0000-000086100000}"/>
    <cellStyle name="40% - Énfasis4 16 2" xfId="4399" xr:uid="{00000000-0005-0000-0000-000087100000}"/>
    <cellStyle name="40% - Énfasis4 16 2 2" xfId="6269" xr:uid="{00000000-0005-0000-0000-000088100000}"/>
    <cellStyle name="40% - Énfasis4 16 3" xfId="5367" xr:uid="{00000000-0005-0000-0000-000089100000}"/>
    <cellStyle name="40% - Énfasis4 17" xfId="3196" xr:uid="{00000000-0005-0000-0000-00008A100000}"/>
    <cellStyle name="40% - Énfasis4 17 2" xfId="5756" xr:uid="{00000000-0005-0000-0000-00008B100000}"/>
    <cellStyle name="40% - Énfasis4 18" xfId="4813" xr:uid="{00000000-0005-0000-0000-00008C100000}"/>
    <cellStyle name="40% - Énfasis4 18 2" xfId="6658" xr:uid="{00000000-0005-0000-0000-00008D100000}"/>
    <cellStyle name="40% - Énfasis4 19" xfId="4858" xr:uid="{00000000-0005-0000-0000-00008E100000}"/>
    <cellStyle name="40% - Énfasis4 19 2" xfId="6700" xr:uid="{00000000-0005-0000-0000-00008F100000}"/>
    <cellStyle name="40% - Énfasis4 2" xfId="50" xr:uid="{00000000-0005-0000-0000-000090100000}"/>
    <cellStyle name="40% - Énfasis4 2 2" xfId="1021" xr:uid="{00000000-0005-0000-0000-000091100000}"/>
    <cellStyle name="40% - Énfasis4 2 2 2" xfId="3197" xr:uid="{00000000-0005-0000-0000-000092100000}"/>
    <cellStyle name="40% - Énfasis4 2 2 2 2" xfId="7529" xr:uid="{00000000-0005-0000-0000-000093100000}"/>
    <cellStyle name="40% - Énfasis4 2 2 2 3" xfId="7528" xr:uid="{00000000-0005-0000-0000-000094100000}"/>
    <cellStyle name="40% - Énfasis4 2 2 3" xfId="7530" xr:uid="{00000000-0005-0000-0000-000095100000}"/>
    <cellStyle name="40% - Énfasis4 2 2 4" xfId="7531" xr:uid="{00000000-0005-0000-0000-000096100000}"/>
    <cellStyle name="40% - Énfasis4 2 2 5" xfId="7527" xr:uid="{00000000-0005-0000-0000-000097100000}"/>
    <cellStyle name="40% - Énfasis4 2 3" xfId="1833" xr:uid="{00000000-0005-0000-0000-000098100000}"/>
    <cellStyle name="40% - Énfasis4 2 4" xfId="7532" xr:uid="{00000000-0005-0000-0000-000099100000}"/>
    <cellStyle name="40% - Énfasis4 2 4 2" xfId="22889" xr:uid="{00000000-0005-0000-0000-00009A100000}"/>
    <cellStyle name="40% - Énfasis4 2 5" xfId="31214" xr:uid="{AAC0AEF2-D7FB-4F24-9B44-B76FBDBEA428}"/>
    <cellStyle name="40% - Énfasis4 20" xfId="4884" xr:uid="{00000000-0005-0000-0000-00009B100000}"/>
    <cellStyle name="40% - Énfasis4 21" xfId="6743" xr:uid="{00000000-0005-0000-0000-00009C100000}"/>
    <cellStyle name="40% - Énfasis4 22" xfId="6798" xr:uid="{00000000-0005-0000-0000-00009D100000}"/>
    <cellStyle name="40% - Énfasis4 23" xfId="7273" xr:uid="{00000000-0005-0000-0000-00009E100000}"/>
    <cellStyle name="40% - Énfasis4 24" xfId="22887" xr:uid="{00000000-0005-0000-0000-00009F100000}"/>
    <cellStyle name="40% - Énfasis4 25" xfId="23162" xr:uid="{00000000-0005-0000-0000-0000A0100000}"/>
    <cellStyle name="40% - Énfasis4 26" xfId="24552" xr:uid="{00000000-0005-0000-0000-0000A1100000}"/>
    <cellStyle name="40% - Énfasis4 27" xfId="25056" xr:uid="{00000000-0005-0000-0000-0000A2100000}"/>
    <cellStyle name="40% - Énfasis4 28" xfId="25560" xr:uid="{00000000-0005-0000-0000-0000A3100000}"/>
    <cellStyle name="40% - Énfasis4 29" xfId="26064" xr:uid="{00000000-0005-0000-0000-0000A4100000}"/>
    <cellStyle name="40% - Énfasis4 3" xfId="1022" xr:uid="{00000000-0005-0000-0000-0000A5100000}"/>
    <cellStyle name="40% - Énfasis4 3 2" xfId="1023" xr:uid="{00000000-0005-0000-0000-0000A6100000}"/>
    <cellStyle name="40% - Énfasis4 3 2 2" xfId="7533" xr:uid="{00000000-0005-0000-0000-0000A7100000}"/>
    <cellStyle name="40% - Énfasis4 3 2 2 2" xfId="23370" xr:uid="{00000000-0005-0000-0000-0000A8100000}"/>
    <cellStyle name="40% - Énfasis4 3 2 2 3" xfId="23369" xr:uid="{00000000-0005-0000-0000-0000A9100000}"/>
    <cellStyle name="40% - Énfasis4 3 2 3" xfId="7534" xr:uid="{00000000-0005-0000-0000-0000AA100000}"/>
    <cellStyle name="40% - Énfasis4 3 2 3 2" xfId="23371" xr:uid="{00000000-0005-0000-0000-0000AB100000}"/>
    <cellStyle name="40% - Énfasis4 3 3" xfId="1834" xr:uid="{00000000-0005-0000-0000-0000AC100000}"/>
    <cellStyle name="40% - Énfasis4 3 3 2" xfId="23372" xr:uid="{00000000-0005-0000-0000-0000AD100000}"/>
    <cellStyle name="40% - Énfasis4 3 4" xfId="7535" xr:uid="{00000000-0005-0000-0000-0000AE100000}"/>
    <cellStyle name="40% - Énfasis4 3 4 2" xfId="23373" xr:uid="{00000000-0005-0000-0000-0000AF100000}"/>
    <cellStyle name="40% - Énfasis4 3 5" xfId="7536" xr:uid="{00000000-0005-0000-0000-0000B0100000}"/>
    <cellStyle name="40% - Énfasis4 3 5 2" xfId="23375" xr:uid="{00000000-0005-0000-0000-0000B1100000}"/>
    <cellStyle name="40% - Énfasis4 3 5 3" xfId="23374" xr:uid="{00000000-0005-0000-0000-0000B2100000}"/>
    <cellStyle name="40% - Énfasis4 3 6" xfId="23376" xr:uid="{00000000-0005-0000-0000-0000B3100000}"/>
    <cellStyle name="40% - Énfasis4 3 7" xfId="23377" xr:uid="{00000000-0005-0000-0000-0000B4100000}"/>
    <cellStyle name="40% - Énfasis4 30" xfId="26568" xr:uid="{00000000-0005-0000-0000-0000B5100000}"/>
    <cellStyle name="40% - Énfasis4 31" xfId="27072" xr:uid="{00000000-0005-0000-0000-0000B6100000}"/>
    <cellStyle name="40% - Énfasis4 32" xfId="27576" xr:uid="{00000000-0005-0000-0000-0000B7100000}"/>
    <cellStyle name="40% - Énfasis4 33" xfId="28080" xr:uid="{00000000-0005-0000-0000-0000B8100000}"/>
    <cellStyle name="40% - Énfasis4 34" xfId="28584" xr:uid="{00000000-0005-0000-0000-0000B9100000}"/>
    <cellStyle name="40% - Énfasis4 35" xfId="29088" xr:uid="{00000000-0005-0000-0000-0000BA100000}"/>
    <cellStyle name="40% - Énfasis4 36" xfId="29592" xr:uid="{00000000-0005-0000-0000-0000BB100000}"/>
    <cellStyle name="40% - Énfasis4 37" xfId="30096" xr:uid="{00000000-0005-0000-0000-0000BC100000}"/>
    <cellStyle name="40% - Énfasis4 38" xfId="30601" xr:uid="{00000000-0005-0000-0000-0000BD100000}"/>
    <cellStyle name="40% - Énfasis4 39" xfId="31127" xr:uid="{6D4D6711-C184-4B02-915F-B188DADFAE5A}"/>
    <cellStyle name="40% - Énfasis4 4" xfId="1024" xr:uid="{00000000-0005-0000-0000-0000BE100000}"/>
    <cellStyle name="40% - Énfasis4 4 2" xfId="1025" xr:uid="{00000000-0005-0000-0000-0000BF100000}"/>
    <cellStyle name="40% - Énfasis4 4 3" xfId="7538" xr:uid="{00000000-0005-0000-0000-0000C0100000}"/>
    <cellStyle name="40% - Énfasis4 4 4" xfId="7539" xr:uid="{00000000-0005-0000-0000-0000C1100000}"/>
    <cellStyle name="40% - Énfasis4 4 4 2" xfId="17953" xr:uid="{00000000-0005-0000-0000-0000C2100000}"/>
    <cellStyle name="40% - Énfasis4 4 5" xfId="7540" xr:uid="{00000000-0005-0000-0000-0000C3100000}"/>
    <cellStyle name="40% - Énfasis4 4 6" xfId="7537" xr:uid="{00000000-0005-0000-0000-0000C4100000}"/>
    <cellStyle name="40% - Énfasis4 4 7" xfId="17952" xr:uid="{00000000-0005-0000-0000-0000C5100000}"/>
    <cellStyle name="40% - Énfasis4 5" xfId="1026" xr:uid="{00000000-0005-0000-0000-0000C6100000}"/>
    <cellStyle name="40% - Énfasis4 5 2" xfId="1027" xr:uid="{00000000-0005-0000-0000-0000C7100000}"/>
    <cellStyle name="40% - Énfasis4 6" xfId="1028" xr:uid="{00000000-0005-0000-0000-0000C8100000}"/>
    <cellStyle name="40% - Énfasis4 6 10" xfId="24647" xr:uid="{00000000-0005-0000-0000-0000C9100000}"/>
    <cellStyle name="40% - Énfasis4 6 11" xfId="25151" xr:uid="{00000000-0005-0000-0000-0000CA100000}"/>
    <cellStyle name="40% - Énfasis4 6 12" xfId="25655" xr:uid="{00000000-0005-0000-0000-0000CB100000}"/>
    <cellStyle name="40% - Énfasis4 6 13" xfId="26159" xr:uid="{00000000-0005-0000-0000-0000CC100000}"/>
    <cellStyle name="40% - Énfasis4 6 14" xfId="26663" xr:uid="{00000000-0005-0000-0000-0000CD100000}"/>
    <cellStyle name="40% - Énfasis4 6 15" xfId="27167" xr:uid="{00000000-0005-0000-0000-0000CE100000}"/>
    <cellStyle name="40% - Énfasis4 6 16" xfId="27671" xr:uid="{00000000-0005-0000-0000-0000CF100000}"/>
    <cellStyle name="40% - Énfasis4 6 17" xfId="28175" xr:uid="{00000000-0005-0000-0000-0000D0100000}"/>
    <cellStyle name="40% - Énfasis4 6 18" xfId="28679" xr:uid="{00000000-0005-0000-0000-0000D1100000}"/>
    <cellStyle name="40% - Énfasis4 6 19" xfId="29183" xr:uid="{00000000-0005-0000-0000-0000D2100000}"/>
    <cellStyle name="40% - Énfasis4 6 2" xfId="1029" xr:uid="{00000000-0005-0000-0000-0000D3100000}"/>
    <cellStyle name="40% - Énfasis4 6 2 2" xfId="17955" xr:uid="{00000000-0005-0000-0000-0000D4100000}"/>
    <cellStyle name="40% - Énfasis4 6 2 3" xfId="7542" xr:uid="{00000000-0005-0000-0000-0000D5100000}"/>
    <cellStyle name="40% - Énfasis4 6 20" xfId="29687" xr:uid="{00000000-0005-0000-0000-0000D6100000}"/>
    <cellStyle name="40% - Énfasis4 6 21" xfId="30191" xr:uid="{00000000-0005-0000-0000-0000D7100000}"/>
    <cellStyle name="40% - Énfasis4 6 22" xfId="30696" xr:uid="{00000000-0005-0000-0000-0000D8100000}"/>
    <cellStyle name="40% - Énfasis4 6 3" xfId="1835" xr:uid="{00000000-0005-0000-0000-0000D9100000}"/>
    <cellStyle name="40% - Énfasis4 6 3 2" xfId="4249" xr:uid="{00000000-0005-0000-0000-0000DA100000}"/>
    <cellStyle name="40% - Énfasis4 6 3 2 2" xfId="6193" xr:uid="{00000000-0005-0000-0000-0000DB100000}"/>
    <cellStyle name="40% - Énfasis4 6 3 3" xfId="5283" xr:uid="{00000000-0005-0000-0000-0000DC100000}"/>
    <cellStyle name="40% - Énfasis4 6 3 4" xfId="7541" xr:uid="{00000000-0005-0000-0000-0000DD100000}"/>
    <cellStyle name="40% - Énfasis4 6 3 5" xfId="23379" xr:uid="{00000000-0005-0000-0000-0000DE100000}"/>
    <cellStyle name="40% - Énfasis4 6 4" xfId="2683" xr:uid="{00000000-0005-0000-0000-0000DF100000}"/>
    <cellStyle name="40% - Énfasis4 6 4 10" xfId="26664" xr:uid="{00000000-0005-0000-0000-0000E0100000}"/>
    <cellStyle name="40% - Énfasis4 6 4 11" xfId="27168" xr:uid="{00000000-0005-0000-0000-0000E1100000}"/>
    <cellStyle name="40% - Énfasis4 6 4 12" xfId="27672" xr:uid="{00000000-0005-0000-0000-0000E2100000}"/>
    <cellStyle name="40% - Énfasis4 6 4 13" xfId="28176" xr:uid="{00000000-0005-0000-0000-0000E3100000}"/>
    <cellStyle name="40% - Énfasis4 6 4 14" xfId="28680" xr:uid="{00000000-0005-0000-0000-0000E4100000}"/>
    <cellStyle name="40% - Énfasis4 6 4 15" xfId="29184" xr:uid="{00000000-0005-0000-0000-0000E5100000}"/>
    <cellStyle name="40% - Énfasis4 6 4 16" xfId="29688" xr:uid="{00000000-0005-0000-0000-0000E6100000}"/>
    <cellStyle name="40% - Énfasis4 6 4 17" xfId="30192" xr:uid="{00000000-0005-0000-0000-0000E7100000}"/>
    <cellStyle name="40% - Énfasis4 6 4 18" xfId="30697" xr:uid="{00000000-0005-0000-0000-0000E8100000}"/>
    <cellStyle name="40% - Énfasis4 6 4 2" xfId="4364" xr:uid="{00000000-0005-0000-0000-0000E9100000}"/>
    <cellStyle name="40% - Énfasis4 6 4 2 2" xfId="6234" xr:uid="{00000000-0005-0000-0000-0000EA100000}"/>
    <cellStyle name="40% - Énfasis4 6 4 3" xfId="5331" xr:uid="{00000000-0005-0000-0000-0000EB100000}"/>
    <cellStyle name="40% - Énfasis4 6 4 4" xfId="17954" xr:uid="{00000000-0005-0000-0000-0000EC100000}"/>
    <cellStyle name="40% - Énfasis4 6 4 5" xfId="23380" xr:uid="{00000000-0005-0000-0000-0000ED100000}"/>
    <cellStyle name="40% - Énfasis4 6 4 6" xfId="24648" xr:uid="{00000000-0005-0000-0000-0000EE100000}"/>
    <cellStyle name="40% - Énfasis4 6 4 7" xfId="25152" xr:uid="{00000000-0005-0000-0000-0000EF100000}"/>
    <cellStyle name="40% - Énfasis4 6 4 8" xfId="25656" xr:uid="{00000000-0005-0000-0000-0000F0100000}"/>
    <cellStyle name="40% - Énfasis4 6 4 9" xfId="26160" xr:uid="{00000000-0005-0000-0000-0000F1100000}"/>
    <cellStyle name="40% - Énfasis4 6 5" xfId="3803" xr:uid="{00000000-0005-0000-0000-0000F2100000}"/>
    <cellStyle name="40% - Énfasis4 6 6" xfId="3198" xr:uid="{00000000-0005-0000-0000-0000F3100000}"/>
    <cellStyle name="40% - Énfasis4 6 6 2" xfId="5757" xr:uid="{00000000-0005-0000-0000-0000F4100000}"/>
    <cellStyle name="40% - Énfasis4 6 7" xfId="6799" xr:uid="{00000000-0005-0000-0000-0000F5100000}"/>
    <cellStyle name="40% - Énfasis4 6 8" xfId="7120" xr:uid="{00000000-0005-0000-0000-0000F6100000}"/>
    <cellStyle name="40% - Énfasis4 6 9" xfId="23378" xr:uid="{00000000-0005-0000-0000-0000F7100000}"/>
    <cellStyle name="40% - Énfasis4 7" xfId="1030" xr:uid="{00000000-0005-0000-0000-0000F8100000}"/>
    <cellStyle name="40% - Énfasis4 7 10" xfId="24649" xr:uid="{00000000-0005-0000-0000-0000F9100000}"/>
    <cellStyle name="40% - Énfasis4 7 11" xfId="25153" xr:uid="{00000000-0005-0000-0000-0000FA100000}"/>
    <cellStyle name="40% - Énfasis4 7 12" xfId="25657" xr:uid="{00000000-0005-0000-0000-0000FB100000}"/>
    <cellStyle name="40% - Énfasis4 7 13" xfId="26161" xr:uid="{00000000-0005-0000-0000-0000FC100000}"/>
    <cellStyle name="40% - Énfasis4 7 14" xfId="26665" xr:uid="{00000000-0005-0000-0000-0000FD100000}"/>
    <cellStyle name="40% - Énfasis4 7 15" xfId="27169" xr:uid="{00000000-0005-0000-0000-0000FE100000}"/>
    <cellStyle name="40% - Énfasis4 7 16" xfId="27673" xr:uid="{00000000-0005-0000-0000-0000FF100000}"/>
    <cellStyle name="40% - Énfasis4 7 17" xfId="28177" xr:uid="{00000000-0005-0000-0000-000000110000}"/>
    <cellStyle name="40% - Énfasis4 7 18" xfId="28681" xr:uid="{00000000-0005-0000-0000-000001110000}"/>
    <cellStyle name="40% - Énfasis4 7 19" xfId="29185" xr:uid="{00000000-0005-0000-0000-000002110000}"/>
    <cellStyle name="40% - Énfasis4 7 2" xfId="1031" xr:uid="{00000000-0005-0000-0000-000003110000}"/>
    <cellStyle name="40% - Énfasis4 7 2 2" xfId="17957" xr:uid="{00000000-0005-0000-0000-000004110000}"/>
    <cellStyle name="40% - Énfasis4 7 2 3" xfId="7544" xr:uid="{00000000-0005-0000-0000-000005110000}"/>
    <cellStyle name="40% - Énfasis4 7 20" xfId="29689" xr:uid="{00000000-0005-0000-0000-000006110000}"/>
    <cellStyle name="40% - Énfasis4 7 21" xfId="30193" xr:uid="{00000000-0005-0000-0000-000007110000}"/>
    <cellStyle name="40% - Énfasis4 7 22" xfId="30698" xr:uid="{00000000-0005-0000-0000-000008110000}"/>
    <cellStyle name="40% - Énfasis4 7 3" xfId="1836" xr:uid="{00000000-0005-0000-0000-000009110000}"/>
    <cellStyle name="40% - Énfasis4 7 3 2" xfId="4250" xr:uid="{00000000-0005-0000-0000-00000A110000}"/>
    <cellStyle name="40% - Énfasis4 7 3 2 2" xfId="6194" xr:uid="{00000000-0005-0000-0000-00000B110000}"/>
    <cellStyle name="40% - Énfasis4 7 3 3" xfId="5284" xr:uid="{00000000-0005-0000-0000-00000C110000}"/>
    <cellStyle name="40% - Énfasis4 7 3 4" xfId="7543" xr:uid="{00000000-0005-0000-0000-00000D110000}"/>
    <cellStyle name="40% - Énfasis4 7 3 5" xfId="23382" xr:uid="{00000000-0005-0000-0000-00000E110000}"/>
    <cellStyle name="40% - Énfasis4 7 4" xfId="2684" xr:uid="{00000000-0005-0000-0000-00000F110000}"/>
    <cellStyle name="40% - Énfasis4 7 4 10" xfId="26666" xr:uid="{00000000-0005-0000-0000-000010110000}"/>
    <cellStyle name="40% - Énfasis4 7 4 11" xfId="27170" xr:uid="{00000000-0005-0000-0000-000011110000}"/>
    <cellStyle name="40% - Énfasis4 7 4 12" xfId="27674" xr:uid="{00000000-0005-0000-0000-000012110000}"/>
    <cellStyle name="40% - Énfasis4 7 4 13" xfId="28178" xr:uid="{00000000-0005-0000-0000-000013110000}"/>
    <cellStyle name="40% - Énfasis4 7 4 14" xfId="28682" xr:uid="{00000000-0005-0000-0000-000014110000}"/>
    <cellStyle name="40% - Énfasis4 7 4 15" xfId="29186" xr:uid="{00000000-0005-0000-0000-000015110000}"/>
    <cellStyle name="40% - Énfasis4 7 4 16" xfId="29690" xr:uid="{00000000-0005-0000-0000-000016110000}"/>
    <cellStyle name="40% - Énfasis4 7 4 17" xfId="30194" xr:uid="{00000000-0005-0000-0000-000017110000}"/>
    <cellStyle name="40% - Énfasis4 7 4 18" xfId="30699" xr:uid="{00000000-0005-0000-0000-000018110000}"/>
    <cellStyle name="40% - Énfasis4 7 4 2" xfId="4365" xr:uid="{00000000-0005-0000-0000-000019110000}"/>
    <cellStyle name="40% - Énfasis4 7 4 2 2" xfId="6235" xr:uid="{00000000-0005-0000-0000-00001A110000}"/>
    <cellStyle name="40% - Énfasis4 7 4 3" xfId="5332" xr:uid="{00000000-0005-0000-0000-00001B110000}"/>
    <cellStyle name="40% - Énfasis4 7 4 4" xfId="17956" xr:uid="{00000000-0005-0000-0000-00001C110000}"/>
    <cellStyle name="40% - Énfasis4 7 4 5" xfId="23383" xr:uid="{00000000-0005-0000-0000-00001D110000}"/>
    <cellStyle name="40% - Énfasis4 7 4 6" xfId="24650" xr:uid="{00000000-0005-0000-0000-00001E110000}"/>
    <cellStyle name="40% - Énfasis4 7 4 7" xfId="25154" xr:uid="{00000000-0005-0000-0000-00001F110000}"/>
    <cellStyle name="40% - Énfasis4 7 4 8" xfId="25658" xr:uid="{00000000-0005-0000-0000-000020110000}"/>
    <cellStyle name="40% - Énfasis4 7 4 9" xfId="26162" xr:uid="{00000000-0005-0000-0000-000021110000}"/>
    <cellStyle name="40% - Énfasis4 7 5" xfId="3804" xr:uid="{00000000-0005-0000-0000-000022110000}"/>
    <cellStyle name="40% - Énfasis4 7 6" xfId="3199" xr:uid="{00000000-0005-0000-0000-000023110000}"/>
    <cellStyle name="40% - Énfasis4 7 6 2" xfId="5758" xr:uid="{00000000-0005-0000-0000-000024110000}"/>
    <cellStyle name="40% - Énfasis4 7 7" xfId="6800" xr:uid="{00000000-0005-0000-0000-000025110000}"/>
    <cellStyle name="40% - Énfasis4 7 8" xfId="7119" xr:uid="{00000000-0005-0000-0000-000026110000}"/>
    <cellStyle name="40% - Énfasis4 7 9" xfId="23381" xr:uid="{00000000-0005-0000-0000-000027110000}"/>
    <cellStyle name="40% - Énfasis4 8" xfId="1032" xr:uid="{00000000-0005-0000-0000-000028110000}"/>
    <cellStyle name="40% - Énfasis4 8 2" xfId="1033" xr:uid="{00000000-0005-0000-0000-000029110000}"/>
    <cellStyle name="40% - Énfasis4 8 3" xfId="7526" xr:uid="{00000000-0005-0000-0000-00002A110000}"/>
    <cellStyle name="40% - Énfasis4 9" xfId="1034" xr:uid="{00000000-0005-0000-0000-00002B110000}"/>
    <cellStyle name="40% - Énfasis4 9 10" xfId="4964" xr:uid="{00000000-0005-0000-0000-00002C110000}"/>
    <cellStyle name="40% - Énfasis4 9 11" xfId="6745" xr:uid="{00000000-0005-0000-0000-00002D110000}"/>
    <cellStyle name="40% - Énfasis4 9 12" xfId="17951" xr:uid="{00000000-0005-0000-0000-00002E110000}"/>
    <cellStyle name="40% - Énfasis4 9 13" xfId="22890" xr:uid="{00000000-0005-0000-0000-00002F110000}"/>
    <cellStyle name="40% - Énfasis4 9 14" xfId="23384" xr:uid="{00000000-0005-0000-0000-000030110000}"/>
    <cellStyle name="40% - Énfasis4 9 15" xfId="24651" xr:uid="{00000000-0005-0000-0000-000031110000}"/>
    <cellStyle name="40% - Énfasis4 9 16" xfId="25155" xr:uid="{00000000-0005-0000-0000-000032110000}"/>
    <cellStyle name="40% - Énfasis4 9 17" xfId="25659" xr:uid="{00000000-0005-0000-0000-000033110000}"/>
    <cellStyle name="40% - Énfasis4 9 18" xfId="26163" xr:uid="{00000000-0005-0000-0000-000034110000}"/>
    <cellStyle name="40% - Énfasis4 9 19" xfId="26667" xr:uid="{00000000-0005-0000-0000-000035110000}"/>
    <cellStyle name="40% - Énfasis4 9 2" xfId="1461" xr:uid="{00000000-0005-0000-0000-000036110000}"/>
    <cellStyle name="40% - Énfasis4 9 2 10" xfId="26164" xr:uid="{00000000-0005-0000-0000-000037110000}"/>
    <cellStyle name="40% - Énfasis4 9 2 11" xfId="26668" xr:uid="{00000000-0005-0000-0000-000038110000}"/>
    <cellStyle name="40% - Énfasis4 9 2 12" xfId="27172" xr:uid="{00000000-0005-0000-0000-000039110000}"/>
    <cellStyle name="40% - Énfasis4 9 2 13" xfId="27676" xr:uid="{00000000-0005-0000-0000-00003A110000}"/>
    <cellStyle name="40% - Énfasis4 9 2 14" xfId="28180" xr:uid="{00000000-0005-0000-0000-00003B110000}"/>
    <cellStyle name="40% - Énfasis4 9 2 15" xfId="28684" xr:uid="{00000000-0005-0000-0000-00003C110000}"/>
    <cellStyle name="40% - Énfasis4 9 2 16" xfId="29188" xr:uid="{00000000-0005-0000-0000-00003D110000}"/>
    <cellStyle name="40% - Énfasis4 9 2 17" xfId="29692" xr:uid="{00000000-0005-0000-0000-00003E110000}"/>
    <cellStyle name="40% - Énfasis4 9 2 18" xfId="30196" xr:uid="{00000000-0005-0000-0000-00003F110000}"/>
    <cellStyle name="40% - Énfasis4 9 2 19" xfId="30701" xr:uid="{00000000-0005-0000-0000-000040110000}"/>
    <cellStyle name="40% - Énfasis4 9 2 2" xfId="1634" xr:uid="{00000000-0005-0000-0000-000041110000}"/>
    <cellStyle name="40% - Énfasis4 9 2 2 2" xfId="3061" xr:uid="{00000000-0005-0000-0000-000042110000}"/>
    <cellStyle name="40% - Énfasis4 9 2 2 2 2" xfId="4680" xr:uid="{00000000-0005-0000-0000-000043110000}"/>
    <cellStyle name="40% - Énfasis4 9 2 2 2 2 2" xfId="6547" xr:uid="{00000000-0005-0000-0000-000044110000}"/>
    <cellStyle name="40% - Énfasis4 9 2 2 2 3" xfId="5645" xr:uid="{00000000-0005-0000-0000-000045110000}"/>
    <cellStyle name="40% - Énfasis4 9 2 2 3" xfId="4153" xr:uid="{00000000-0005-0000-0000-000046110000}"/>
    <cellStyle name="40% - Énfasis4 9 2 2 3 2" xfId="6101" xr:uid="{00000000-0005-0000-0000-000047110000}"/>
    <cellStyle name="40% - Énfasis4 9 2 2 4" xfId="5187" xr:uid="{00000000-0005-0000-0000-000048110000}"/>
    <cellStyle name="40% - Énfasis4 9 2 3" xfId="2895" xr:uid="{00000000-0005-0000-0000-000049110000}"/>
    <cellStyle name="40% - Énfasis4 9 2 3 2" xfId="4514" xr:uid="{00000000-0005-0000-0000-00004A110000}"/>
    <cellStyle name="40% - Énfasis4 9 2 3 2 2" xfId="6381" xr:uid="{00000000-0005-0000-0000-00004B110000}"/>
    <cellStyle name="40% - Énfasis4 9 2 3 3" xfId="5479" xr:uid="{00000000-0005-0000-0000-00004C110000}"/>
    <cellStyle name="40% - Énfasis4 9 2 4" xfId="3982" xr:uid="{00000000-0005-0000-0000-00004D110000}"/>
    <cellStyle name="40% - Énfasis4 9 2 4 2" xfId="5936" xr:uid="{00000000-0005-0000-0000-00004E110000}"/>
    <cellStyle name="40% - Énfasis4 9 2 5" xfId="5021" xr:uid="{00000000-0005-0000-0000-00004F110000}"/>
    <cellStyle name="40% - Énfasis4 9 2 6" xfId="23385" xr:uid="{00000000-0005-0000-0000-000050110000}"/>
    <cellStyle name="40% - Énfasis4 9 2 7" xfId="24652" xr:uid="{00000000-0005-0000-0000-000051110000}"/>
    <cellStyle name="40% - Énfasis4 9 2 8" xfId="25156" xr:uid="{00000000-0005-0000-0000-000052110000}"/>
    <cellStyle name="40% - Énfasis4 9 2 9" xfId="25660" xr:uid="{00000000-0005-0000-0000-000053110000}"/>
    <cellStyle name="40% - Énfasis4 9 20" xfId="27171" xr:uid="{00000000-0005-0000-0000-000054110000}"/>
    <cellStyle name="40% - Énfasis4 9 21" xfId="27675" xr:uid="{00000000-0005-0000-0000-000055110000}"/>
    <cellStyle name="40% - Énfasis4 9 22" xfId="28179" xr:uid="{00000000-0005-0000-0000-000056110000}"/>
    <cellStyle name="40% - Énfasis4 9 23" xfId="28683" xr:uid="{00000000-0005-0000-0000-000057110000}"/>
    <cellStyle name="40% - Énfasis4 9 24" xfId="29187" xr:uid="{00000000-0005-0000-0000-000058110000}"/>
    <cellStyle name="40% - Énfasis4 9 25" xfId="29691" xr:uid="{00000000-0005-0000-0000-000059110000}"/>
    <cellStyle name="40% - Énfasis4 9 26" xfId="30195" xr:uid="{00000000-0005-0000-0000-00005A110000}"/>
    <cellStyle name="40% - Énfasis4 9 27" xfId="30700" xr:uid="{00000000-0005-0000-0000-00005B110000}"/>
    <cellStyle name="40% - Énfasis4 9 3" xfId="1500" xr:uid="{00000000-0005-0000-0000-00005C110000}"/>
    <cellStyle name="40% - Énfasis4 9 3 2" xfId="1635" xr:uid="{00000000-0005-0000-0000-00005D110000}"/>
    <cellStyle name="40% - Énfasis4 9 3 2 2" xfId="3062" xr:uid="{00000000-0005-0000-0000-00005E110000}"/>
    <cellStyle name="40% - Énfasis4 9 3 2 2 2" xfId="4681" xr:uid="{00000000-0005-0000-0000-00005F110000}"/>
    <cellStyle name="40% - Énfasis4 9 3 2 2 2 2" xfId="6548" xr:uid="{00000000-0005-0000-0000-000060110000}"/>
    <cellStyle name="40% - Énfasis4 9 3 2 2 3" xfId="5646" xr:uid="{00000000-0005-0000-0000-000061110000}"/>
    <cellStyle name="40% - Énfasis4 9 3 2 3" xfId="4154" xr:uid="{00000000-0005-0000-0000-000062110000}"/>
    <cellStyle name="40% - Énfasis4 9 3 2 3 2" xfId="6102" xr:uid="{00000000-0005-0000-0000-000063110000}"/>
    <cellStyle name="40% - Énfasis4 9 3 2 4" xfId="5188" xr:uid="{00000000-0005-0000-0000-000064110000}"/>
    <cellStyle name="40% - Énfasis4 9 3 3" xfId="2934" xr:uid="{00000000-0005-0000-0000-000065110000}"/>
    <cellStyle name="40% - Énfasis4 9 3 3 2" xfId="4553" xr:uid="{00000000-0005-0000-0000-000066110000}"/>
    <cellStyle name="40% - Énfasis4 9 3 3 2 2" xfId="6420" xr:uid="{00000000-0005-0000-0000-000067110000}"/>
    <cellStyle name="40% - Énfasis4 9 3 3 3" xfId="5518" xr:uid="{00000000-0005-0000-0000-000068110000}"/>
    <cellStyle name="40% - Énfasis4 9 3 4" xfId="4021" xr:uid="{00000000-0005-0000-0000-000069110000}"/>
    <cellStyle name="40% - Énfasis4 9 3 4 2" xfId="5975" xr:uid="{00000000-0005-0000-0000-00006A110000}"/>
    <cellStyle name="40% - Énfasis4 9 3 5" xfId="5060" xr:uid="{00000000-0005-0000-0000-00006B110000}"/>
    <cellStyle name="40% - Énfasis4 9 4" xfId="1636" xr:uid="{00000000-0005-0000-0000-00006C110000}"/>
    <cellStyle name="40% - Énfasis4 9 4 2" xfId="3063" xr:uid="{00000000-0005-0000-0000-00006D110000}"/>
    <cellStyle name="40% - Énfasis4 9 4 2 2" xfId="4682" xr:uid="{00000000-0005-0000-0000-00006E110000}"/>
    <cellStyle name="40% - Énfasis4 9 4 2 2 2" xfId="6549" xr:uid="{00000000-0005-0000-0000-00006F110000}"/>
    <cellStyle name="40% - Énfasis4 9 4 2 3" xfId="5647" xr:uid="{00000000-0005-0000-0000-000070110000}"/>
    <cellStyle name="40% - Énfasis4 9 4 3" xfId="4155" xr:uid="{00000000-0005-0000-0000-000071110000}"/>
    <cellStyle name="40% - Énfasis4 9 4 3 2" xfId="6103" xr:uid="{00000000-0005-0000-0000-000072110000}"/>
    <cellStyle name="40% - Énfasis4 9 4 4" xfId="5189" xr:uid="{00000000-0005-0000-0000-000073110000}"/>
    <cellStyle name="40% - Énfasis4 9 5" xfId="1637" xr:uid="{00000000-0005-0000-0000-000074110000}"/>
    <cellStyle name="40% - Énfasis4 9 5 2" xfId="3064" xr:uid="{00000000-0005-0000-0000-000075110000}"/>
    <cellStyle name="40% - Énfasis4 9 5 2 2" xfId="4683" xr:uid="{00000000-0005-0000-0000-000076110000}"/>
    <cellStyle name="40% - Énfasis4 9 5 2 2 2" xfId="6550" xr:uid="{00000000-0005-0000-0000-000077110000}"/>
    <cellStyle name="40% - Énfasis4 9 5 2 3" xfId="5648" xr:uid="{00000000-0005-0000-0000-000078110000}"/>
    <cellStyle name="40% - Énfasis4 9 5 3" xfId="4156" xr:uid="{00000000-0005-0000-0000-000079110000}"/>
    <cellStyle name="40% - Énfasis4 9 5 3 2" xfId="6104" xr:uid="{00000000-0005-0000-0000-00007A110000}"/>
    <cellStyle name="40% - Énfasis4 9 5 4" xfId="5190" xr:uid="{00000000-0005-0000-0000-00007B110000}"/>
    <cellStyle name="40% - Énfasis4 9 6" xfId="2836" xr:uid="{00000000-0005-0000-0000-00007C110000}"/>
    <cellStyle name="40% - Énfasis4 9 6 2" xfId="4456" xr:uid="{00000000-0005-0000-0000-00007D110000}"/>
    <cellStyle name="40% - Énfasis4 9 6 2 2" xfId="6324" xr:uid="{00000000-0005-0000-0000-00007E110000}"/>
    <cellStyle name="40% - Énfasis4 9 6 3" xfId="5422" xr:uid="{00000000-0005-0000-0000-00007F110000}"/>
    <cellStyle name="40% - Énfasis4 9 7" xfId="3805" xr:uid="{00000000-0005-0000-0000-000080110000}"/>
    <cellStyle name="40% - Énfasis4 9 7 2" xfId="5880" xr:uid="{00000000-0005-0000-0000-000081110000}"/>
    <cellStyle name="40% - Énfasis4 9 8" xfId="4815" xr:uid="{00000000-0005-0000-0000-000082110000}"/>
    <cellStyle name="40% - Énfasis4 9 8 2" xfId="6660" xr:uid="{00000000-0005-0000-0000-000083110000}"/>
    <cellStyle name="40% - Énfasis4 9 9" xfId="4860" xr:uid="{00000000-0005-0000-0000-000084110000}"/>
    <cellStyle name="40% - Énfasis4 9 9 2" xfId="6702" xr:uid="{00000000-0005-0000-0000-000085110000}"/>
    <cellStyle name="40% - Énfasis5" xfId="51" builtinId="47" customBuiltin="1"/>
    <cellStyle name="40% - Énfasis5 10" xfId="1036" xr:uid="{00000000-0005-0000-0000-000087110000}"/>
    <cellStyle name="40% - Énfasis5 10 10" xfId="4966" xr:uid="{00000000-0005-0000-0000-000088110000}"/>
    <cellStyle name="40% - Énfasis5 10 11" xfId="6747" xr:uid="{00000000-0005-0000-0000-000089110000}"/>
    <cellStyle name="40% - Énfasis5 10 12" xfId="22892" xr:uid="{00000000-0005-0000-0000-00008A110000}"/>
    <cellStyle name="40% - Énfasis5 10 13" xfId="23386" xr:uid="{00000000-0005-0000-0000-00008B110000}"/>
    <cellStyle name="40% - Énfasis5 10 14" xfId="24653" xr:uid="{00000000-0005-0000-0000-00008C110000}"/>
    <cellStyle name="40% - Énfasis5 10 15" xfId="25157" xr:uid="{00000000-0005-0000-0000-00008D110000}"/>
    <cellStyle name="40% - Énfasis5 10 16" xfId="25661" xr:uid="{00000000-0005-0000-0000-00008E110000}"/>
    <cellStyle name="40% - Énfasis5 10 17" xfId="26165" xr:uid="{00000000-0005-0000-0000-00008F110000}"/>
    <cellStyle name="40% - Énfasis5 10 18" xfId="26669" xr:uid="{00000000-0005-0000-0000-000090110000}"/>
    <cellStyle name="40% - Énfasis5 10 19" xfId="27173" xr:uid="{00000000-0005-0000-0000-000091110000}"/>
    <cellStyle name="40% - Énfasis5 10 2" xfId="1463" xr:uid="{00000000-0005-0000-0000-000092110000}"/>
    <cellStyle name="40% - Énfasis5 10 2 10" xfId="26166" xr:uid="{00000000-0005-0000-0000-000093110000}"/>
    <cellStyle name="40% - Énfasis5 10 2 11" xfId="26670" xr:uid="{00000000-0005-0000-0000-000094110000}"/>
    <cellStyle name="40% - Énfasis5 10 2 12" xfId="27174" xr:uid="{00000000-0005-0000-0000-000095110000}"/>
    <cellStyle name="40% - Énfasis5 10 2 13" xfId="27678" xr:uid="{00000000-0005-0000-0000-000096110000}"/>
    <cellStyle name="40% - Énfasis5 10 2 14" xfId="28182" xr:uid="{00000000-0005-0000-0000-000097110000}"/>
    <cellStyle name="40% - Énfasis5 10 2 15" xfId="28686" xr:uid="{00000000-0005-0000-0000-000098110000}"/>
    <cellStyle name="40% - Énfasis5 10 2 16" xfId="29190" xr:uid="{00000000-0005-0000-0000-000099110000}"/>
    <cellStyle name="40% - Énfasis5 10 2 17" xfId="29694" xr:uid="{00000000-0005-0000-0000-00009A110000}"/>
    <cellStyle name="40% - Énfasis5 10 2 18" xfId="30198" xr:uid="{00000000-0005-0000-0000-00009B110000}"/>
    <cellStyle name="40% - Énfasis5 10 2 19" xfId="30703" xr:uid="{00000000-0005-0000-0000-00009C110000}"/>
    <cellStyle name="40% - Énfasis5 10 2 2" xfId="1638" xr:uid="{00000000-0005-0000-0000-00009D110000}"/>
    <cellStyle name="40% - Énfasis5 10 2 2 2" xfId="3065" xr:uid="{00000000-0005-0000-0000-00009E110000}"/>
    <cellStyle name="40% - Énfasis5 10 2 2 2 2" xfId="4684" xr:uid="{00000000-0005-0000-0000-00009F110000}"/>
    <cellStyle name="40% - Énfasis5 10 2 2 2 2 2" xfId="6551" xr:uid="{00000000-0005-0000-0000-0000A0110000}"/>
    <cellStyle name="40% - Énfasis5 10 2 2 2 3" xfId="5649" xr:uid="{00000000-0005-0000-0000-0000A1110000}"/>
    <cellStyle name="40% - Énfasis5 10 2 2 3" xfId="4157" xr:uid="{00000000-0005-0000-0000-0000A2110000}"/>
    <cellStyle name="40% - Énfasis5 10 2 2 3 2" xfId="6105" xr:uid="{00000000-0005-0000-0000-0000A3110000}"/>
    <cellStyle name="40% - Énfasis5 10 2 2 4" xfId="5191" xr:uid="{00000000-0005-0000-0000-0000A4110000}"/>
    <cellStyle name="40% - Énfasis5 10 2 3" xfId="2897" xr:uid="{00000000-0005-0000-0000-0000A5110000}"/>
    <cellStyle name="40% - Énfasis5 10 2 3 2" xfId="4516" xr:uid="{00000000-0005-0000-0000-0000A6110000}"/>
    <cellStyle name="40% - Énfasis5 10 2 3 2 2" xfId="6383" xr:uid="{00000000-0005-0000-0000-0000A7110000}"/>
    <cellStyle name="40% - Énfasis5 10 2 3 3" xfId="5481" xr:uid="{00000000-0005-0000-0000-0000A8110000}"/>
    <cellStyle name="40% - Énfasis5 10 2 4" xfId="3984" xr:uid="{00000000-0005-0000-0000-0000A9110000}"/>
    <cellStyle name="40% - Énfasis5 10 2 4 2" xfId="5938" xr:uid="{00000000-0005-0000-0000-0000AA110000}"/>
    <cellStyle name="40% - Énfasis5 10 2 5" xfId="5023" xr:uid="{00000000-0005-0000-0000-0000AB110000}"/>
    <cellStyle name="40% - Énfasis5 10 2 6" xfId="23387" xr:uid="{00000000-0005-0000-0000-0000AC110000}"/>
    <cellStyle name="40% - Énfasis5 10 2 7" xfId="24654" xr:uid="{00000000-0005-0000-0000-0000AD110000}"/>
    <cellStyle name="40% - Énfasis5 10 2 8" xfId="25158" xr:uid="{00000000-0005-0000-0000-0000AE110000}"/>
    <cellStyle name="40% - Énfasis5 10 2 9" xfId="25662" xr:uid="{00000000-0005-0000-0000-0000AF110000}"/>
    <cellStyle name="40% - Énfasis5 10 20" xfId="27677" xr:uid="{00000000-0005-0000-0000-0000B0110000}"/>
    <cellStyle name="40% - Énfasis5 10 21" xfId="28181" xr:uid="{00000000-0005-0000-0000-0000B1110000}"/>
    <cellStyle name="40% - Énfasis5 10 22" xfId="28685" xr:uid="{00000000-0005-0000-0000-0000B2110000}"/>
    <cellStyle name="40% - Énfasis5 10 23" xfId="29189" xr:uid="{00000000-0005-0000-0000-0000B3110000}"/>
    <cellStyle name="40% - Énfasis5 10 24" xfId="29693" xr:uid="{00000000-0005-0000-0000-0000B4110000}"/>
    <cellStyle name="40% - Énfasis5 10 25" xfId="30197" xr:uid="{00000000-0005-0000-0000-0000B5110000}"/>
    <cellStyle name="40% - Énfasis5 10 26" xfId="30702" xr:uid="{00000000-0005-0000-0000-0000B6110000}"/>
    <cellStyle name="40% - Énfasis5 10 3" xfId="1501" xr:uid="{00000000-0005-0000-0000-0000B7110000}"/>
    <cellStyle name="40% - Énfasis5 10 3 2" xfId="1639" xr:uid="{00000000-0005-0000-0000-0000B8110000}"/>
    <cellStyle name="40% - Énfasis5 10 3 2 2" xfId="3066" xr:uid="{00000000-0005-0000-0000-0000B9110000}"/>
    <cellStyle name="40% - Énfasis5 10 3 2 2 2" xfId="4685" xr:uid="{00000000-0005-0000-0000-0000BA110000}"/>
    <cellStyle name="40% - Énfasis5 10 3 2 2 2 2" xfId="6552" xr:uid="{00000000-0005-0000-0000-0000BB110000}"/>
    <cellStyle name="40% - Énfasis5 10 3 2 2 3" xfId="5650" xr:uid="{00000000-0005-0000-0000-0000BC110000}"/>
    <cellStyle name="40% - Énfasis5 10 3 2 3" xfId="4158" xr:uid="{00000000-0005-0000-0000-0000BD110000}"/>
    <cellStyle name="40% - Énfasis5 10 3 2 3 2" xfId="6106" xr:uid="{00000000-0005-0000-0000-0000BE110000}"/>
    <cellStyle name="40% - Énfasis5 10 3 2 4" xfId="5192" xr:uid="{00000000-0005-0000-0000-0000BF110000}"/>
    <cellStyle name="40% - Énfasis5 10 3 3" xfId="2935" xr:uid="{00000000-0005-0000-0000-0000C0110000}"/>
    <cellStyle name="40% - Énfasis5 10 3 3 2" xfId="4554" xr:uid="{00000000-0005-0000-0000-0000C1110000}"/>
    <cellStyle name="40% - Énfasis5 10 3 3 2 2" xfId="6421" xr:uid="{00000000-0005-0000-0000-0000C2110000}"/>
    <cellStyle name="40% - Énfasis5 10 3 3 3" xfId="5519" xr:uid="{00000000-0005-0000-0000-0000C3110000}"/>
    <cellStyle name="40% - Énfasis5 10 3 4" xfId="4022" xr:uid="{00000000-0005-0000-0000-0000C4110000}"/>
    <cellStyle name="40% - Énfasis5 10 3 4 2" xfId="5976" xr:uid="{00000000-0005-0000-0000-0000C5110000}"/>
    <cellStyle name="40% - Énfasis5 10 3 5" xfId="5061" xr:uid="{00000000-0005-0000-0000-0000C6110000}"/>
    <cellStyle name="40% - Énfasis5 10 4" xfId="1640" xr:uid="{00000000-0005-0000-0000-0000C7110000}"/>
    <cellStyle name="40% - Énfasis5 10 4 2" xfId="3067" xr:uid="{00000000-0005-0000-0000-0000C8110000}"/>
    <cellStyle name="40% - Énfasis5 10 4 2 2" xfId="4686" xr:uid="{00000000-0005-0000-0000-0000C9110000}"/>
    <cellStyle name="40% - Énfasis5 10 4 2 2 2" xfId="6553" xr:uid="{00000000-0005-0000-0000-0000CA110000}"/>
    <cellStyle name="40% - Énfasis5 10 4 2 3" xfId="5651" xr:uid="{00000000-0005-0000-0000-0000CB110000}"/>
    <cellStyle name="40% - Énfasis5 10 4 3" xfId="4159" xr:uid="{00000000-0005-0000-0000-0000CC110000}"/>
    <cellStyle name="40% - Énfasis5 10 4 3 2" xfId="6107" xr:uid="{00000000-0005-0000-0000-0000CD110000}"/>
    <cellStyle name="40% - Énfasis5 10 4 4" xfId="5193" xr:uid="{00000000-0005-0000-0000-0000CE110000}"/>
    <cellStyle name="40% - Énfasis5 10 5" xfId="1641" xr:uid="{00000000-0005-0000-0000-0000CF110000}"/>
    <cellStyle name="40% - Énfasis5 10 5 2" xfId="3068" xr:uid="{00000000-0005-0000-0000-0000D0110000}"/>
    <cellStyle name="40% - Énfasis5 10 5 2 2" xfId="4687" xr:uid="{00000000-0005-0000-0000-0000D1110000}"/>
    <cellStyle name="40% - Énfasis5 10 5 2 2 2" xfId="6554" xr:uid="{00000000-0005-0000-0000-0000D2110000}"/>
    <cellStyle name="40% - Énfasis5 10 5 2 3" xfId="5652" xr:uid="{00000000-0005-0000-0000-0000D3110000}"/>
    <cellStyle name="40% - Énfasis5 10 5 3" xfId="4160" xr:uid="{00000000-0005-0000-0000-0000D4110000}"/>
    <cellStyle name="40% - Énfasis5 10 5 3 2" xfId="6108" xr:uid="{00000000-0005-0000-0000-0000D5110000}"/>
    <cellStyle name="40% - Énfasis5 10 5 4" xfId="5194" xr:uid="{00000000-0005-0000-0000-0000D6110000}"/>
    <cellStyle name="40% - Énfasis5 10 6" xfId="2838" xr:uid="{00000000-0005-0000-0000-0000D7110000}"/>
    <cellStyle name="40% - Énfasis5 10 6 2" xfId="4458" xr:uid="{00000000-0005-0000-0000-0000D8110000}"/>
    <cellStyle name="40% - Énfasis5 10 6 2 2" xfId="6326" xr:uid="{00000000-0005-0000-0000-0000D9110000}"/>
    <cellStyle name="40% - Énfasis5 10 6 3" xfId="5424" xr:uid="{00000000-0005-0000-0000-0000DA110000}"/>
    <cellStyle name="40% - Énfasis5 10 7" xfId="3807" xr:uid="{00000000-0005-0000-0000-0000DB110000}"/>
    <cellStyle name="40% - Énfasis5 10 7 2" xfId="5882" xr:uid="{00000000-0005-0000-0000-0000DC110000}"/>
    <cellStyle name="40% - Énfasis5 10 8" xfId="4817" xr:uid="{00000000-0005-0000-0000-0000DD110000}"/>
    <cellStyle name="40% - Énfasis5 10 8 2" xfId="6662" xr:uid="{00000000-0005-0000-0000-0000DE110000}"/>
    <cellStyle name="40% - Énfasis5 10 9" xfId="4862" xr:uid="{00000000-0005-0000-0000-0000DF110000}"/>
    <cellStyle name="40% - Énfasis5 10 9 2" xfId="6704" xr:uid="{00000000-0005-0000-0000-0000E0110000}"/>
    <cellStyle name="40% - Énfasis5 11" xfId="1037" xr:uid="{00000000-0005-0000-0000-0000E1110000}"/>
    <cellStyle name="40% - Énfasis5 11 2" xfId="1038" xr:uid="{00000000-0005-0000-0000-0000E2110000}"/>
    <cellStyle name="40% - Énfasis5 12" xfId="1035" xr:uid="{00000000-0005-0000-0000-0000E3110000}"/>
    <cellStyle name="40% - Énfasis5 12 10" xfId="25663" xr:uid="{00000000-0005-0000-0000-0000E4110000}"/>
    <cellStyle name="40% - Énfasis5 12 11" xfId="26167" xr:uid="{00000000-0005-0000-0000-0000E5110000}"/>
    <cellStyle name="40% - Énfasis5 12 12" xfId="26671" xr:uid="{00000000-0005-0000-0000-0000E6110000}"/>
    <cellStyle name="40% - Énfasis5 12 13" xfId="27175" xr:uid="{00000000-0005-0000-0000-0000E7110000}"/>
    <cellStyle name="40% - Énfasis5 12 14" xfId="27679" xr:uid="{00000000-0005-0000-0000-0000E8110000}"/>
    <cellStyle name="40% - Énfasis5 12 15" xfId="28183" xr:uid="{00000000-0005-0000-0000-0000E9110000}"/>
    <cellStyle name="40% - Énfasis5 12 16" xfId="28687" xr:uid="{00000000-0005-0000-0000-0000EA110000}"/>
    <cellStyle name="40% - Énfasis5 12 17" xfId="29191" xr:uid="{00000000-0005-0000-0000-0000EB110000}"/>
    <cellStyle name="40% - Énfasis5 12 18" xfId="29695" xr:uid="{00000000-0005-0000-0000-0000EC110000}"/>
    <cellStyle name="40% - Énfasis5 12 19" xfId="30199" xr:uid="{00000000-0005-0000-0000-0000ED110000}"/>
    <cellStyle name="40% - Énfasis5 12 2" xfId="1462" xr:uid="{00000000-0005-0000-0000-0000EE110000}"/>
    <cellStyle name="40% - Énfasis5 12 2 10" xfId="26168" xr:uid="{00000000-0005-0000-0000-0000EF110000}"/>
    <cellStyle name="40% - Énfasis5 12 2 11" xfId="26672" xr:uid="{00000000-0005-0000-0000-0000F0110000}"/>
    <cellStyle name="40% - Énfasis5 12 2 12" xfId="27176" xr:uid="{00000000-0005-0000-0000-0000F1110000}"/>
    <cellStyle name="40% - Énfasis5 12 2 13" xfId="27680" xr:uid="{00000000-0005-0000-0000-0000F2110000}"/>
    <cellStyle name="40% - Énfasis5 12 2 14" xfId="28184" xr:uid="{00000000-0005-0000-0000-0000F3110000}"/>
    <cellStyle name="40% - Énfasis5 12 2 15" xfId="28688" xr:uid="{00000000-0005-0000-0000-0000F4110000}"/>
    <cellStyle name="40% - Énfasis5 12 2 16" xfId="29192" xr:uid="{00000000-0005-0000-0000-0000F5110000}"/>
    <cellStyle name="40% - Énfasis5 12 2 17" xfId="29696" xr:uid="{00000000-0005-0000-0000-0000F6110000}"/>
    <cellStyle name="40% - Énfasis5 12 2 18" xfId="30200" xr:uid="{00000000-0005-0000-0000-0000F7110000}"/>
    <cellStyle name="40% - Énfasis5 12 2 19" xfId="30705" xr:uid="{00000000-0005-0000-0000-0000F8110000}"/>
    <cellStyle name="40% - Énfasis5 12 2 2" xfId="1642" xr:uid="{00000000-0005-0000-0000-0000F9110000}"/>
    <cellStyle name="40% - Énfasis5 12 2 2 2" xfId="3069" xr:uid="{00000000-0005-0000-0000-0000FA110000}"/>
    <cellStyle name="40% - Énfasis5 12 2 2 2 2" xfId="4688" xr:uid="{00000000-0005-0000-0000-0000FB110000}"/>
    <cellStyle name="40% - Énfasis5 12 2 2 2 2 2" xfId="6555" xr:uid="{00000000-0005-0000-0000-0000FC110000}"/>
    <cellStyle name="40% - Énfasis5 12 2 2 2 3" xfId="5653" xr:uid="{00000000-0005-0000-0000-0000FD110000}"/>
    <cellStyle name="40% - Énfasis5 12 2 2 3" xfId="4161" xr:uid="{00000000-0005-0000-0000-0000FE110000}"/>
    <cellStyle name="40% - Énfasis5 12 2 2 3 2" xfId="6109" xr:uid="{00000000-0005-0000-0000-0000FF110000}"/>
    <cellStyle name="40% - Énfasis5 12 2 2 4" xfId="5195" xr:uid="{00000000-0005-0000-0000-000000120000}"/>
    <cellStyle name="40% - Énfasis5 12 2 3" xfId="2896" xr:uid="{00000000-0005-0000-0000-000001120000}"/>
    <cellStyle name="40% - Énfasis5 12 2 3 2" xfId="4515" xr:uid="{00000000-0005-0000-0000-000002120000}"/>
    <cellStyle name="40% - Énfasis5 12 2 3 2 2" xfId="6382" xr:uid="{00000000-0005-0000-0000-000003120000}"/>
    <cellStyle name="40% - Énfasis5 12 2 3 3" xfId="5480" xr:uid="{00000000-0005-0000-0000-000004120000}"/>
    <cellStyle name="40% - Énfasis5 12 2 4" xfId="3983" xr:uid="{00000000-0005-0000-0000-000005120000}"/>
    <cellStyle name="40% - Énfasis5 12 2 4 2" xfId="5937" xr:uid="{00000000-0005-0000-0000-000006120000}"/>
    <cellStyle name="40% - Énfasis5 12 2 5" xfId="5022" xr:uid="{00000000-0005-0000-0000-000007120000}"/>
    <cellStyle name="40% - Énfasis5 12 2 6" xfId="23389" xr:uid="{00000000-0005-0000-0000-000008120000}"/>
    <cellStyle name="40% - Énfasis5 12 2 7" xfId="24656" xr:uid="{00000000-0005-0000-0000-000009120000}"/>
    <cellStyle name="40% - Énfasis5 12 2 8" xfId="25160" xr:uid="{00000000-0005-0000-0000-00000A120000}"/>
    <cellStyle name="40% - Énfasis5 12 2 9" xfId="25664" xr:uid="{00000000-0005-0000-0000-00000B120000}"/>
    <cellStyle name="40% - Énfasis5 12 20" xfId="30704" xr:uid="{00000000-0005-0000-0000-00000C120000}"/>
    <cellStyle name="40% - Énfasis5 12 3" xfId="1643" xr:uid="{00000000-0005-0000-0000-00000D120000}"/>
    <cellStyle name="40% - Énfasis5 12 3 2" xfId="3070" xr:uid="{00000000-0005-0000-0000-00000E120000}"/>
    <cellStyle name="40% - Énfasis5 12 3 2 2" xfId="4689" xr:uid="{00000000-0005-0000-0000-00000F120000}"/>
    <cellStyle name="40% - Énfasis5 12 3 2 2 2" xfId="6556" xr:uid="{00000000-0005-0000-0000-000010120000}"/>
    <cellStyle name="40% - Énfasis5 12 3 2 3" xfId="5654" xr:uid="{00000000-0005-0000-0000-000011120000}"/>
    <cellStyle name="40% - Énfasis5 12 3 3" xfId="4162" xr:uid="{00000000-0005-0000-0000-000012120000}"/>
    <cellStyle name="40% - Énfasis5 12 3 3 2" xfId="6110" xr:uid="{00000000-0005-0000-0000-000013120000}"/>
    <cellStyle name="40% - Énfasis5 12 3 4" xfId="5196" xr:uid="{00000000-0005-0000-0000-000014120000}"/>
    <cellStyle name="40% - Énfasis5 12 4" xfId="2837" xr:uid="{00000000-0005-0000-0000-000015120000}"/>
    <cellStyle name="40% - Énfasis5 12 4 2" xfId="4457" xr:uid="{00000000-0005-0000-0000-000016120000}"/>
    <cellStyle name="40% - Énfasis5 12 4 2 2" xfId="6325" xr:uid="{00000000-0005-0000-0000-000017120000}"/>
    <cellStyle name="40% - Énfasis5 12 4 3" xfId="5423" xr:uid="{00000000-0005-0000-0000-000018120000}"/>
    <cellStyle name="40% - Énfasis5 12 5" xfId="3806" xr:uid="{00000000-0005-0000-0000-000019120000}"/>
    <cellStyle name="40% - Énfasis5 12 5 2" xfId="5881" xr:uid="{00000000-0005-0000-0000-00001A120000}"/>
    <cellStyle name="40% - Énfasis5 12 6" xfId="4965" xr:uid="{00000000-0005-0000-0000-00001B120000}"/>
    <cellStyle name="40% - Énfasis5 12 7" xfId="23388" xr:uid="{00000000-0005-0000-0000-00001C120000}"/>
    <cellStyle name="40% - Énfasis5 12 8" xfId="24655" xr:uid="{00000000-0005-0000-0000-00001D120000}"/>
    <cellStyle name="40% - Énfasis5 12 9" xfId="25159" xr:uid="{00000000-0005-0000-0000-00001E120000}"/>
    <cellStyle name="40% - Énfasis5 13" xfId="1382" xr:uid="{00000000-0005-0000-0000-00001F120000}"/>
    <cellStyle name="40% - Énfasis5 14" xfId="1502" xr:uid="{00000000-0005-0000-0000-000020120000}"/>
    <cellStyle name="40% - Énfasis5 14 2" xfId="1644" xr:uid="{00000000-0005-0000-0000-000021120000}"/>
    <cellStyle name="40% - Énfasis5 14 2 2" xfId="3071" xr:uid="{00000000-0005-0000-0000-000022120000}"/>
    <cellStyle name="40% - Énfasis5 14 2 2 2" xfId="4690" xr:uid="{00000000-0005-0000-0000-000023120000}"/>
    <cellStyle name="40% - Énfasis5 14 2 2 2 2" xfId="6557" xr:uid="{00000000-0005-0000-0000-000024120000}"/>
    <cellStyle name="40% - Énfasis5 14 2 2 3" xfId="5655" xr:uid="{00000000-0005-0000-0000-000025120000}"/>
    <cellStyle name="40% - Énfasis5 14 2 3" xfId="4163" xr:uid="{00000000-0005-0000-0000-000026120000}"/>
    <cellStyle name="40% - Énfasis5 14 2 3 2" xfId="6111" xr:uid="{00000000-0005-0000-0000-000027120000}"/>
    <cellStyle name="40% - Énfasis5 14 2 4" xfId="5197" xr:uid="{00000000-0005-0000-0000-000028120000}"/>
    <cellStyle name="40% - Énfasis5 14 3" xfId="2936" xr:uid="{00000000-0005-0000-0000-000029120000}"/>
    <cellStyle name="40% - Énfasis5 14 3 2" xfId="4555" xr:uid="{00000000-0005-0000-0000-00002A120000}"/>
    <cellStyle name="40% - Énfasis5 14 3 2 2" xfId="6422" xr:uid="{00000000-0005-0000-0000-00002B120000}"/>
    <cellStyle name="40% - Énfasis5 14 3 3" xfId="5520" xr:uid="{00000000-0005-0000-0000-00002C120000}"/>
    <cellStyle name="40% - Énfasis5 14 4" xfId="4023" xr:uid="{00000000-0005-0000-0000-00002D120000}"/>
    <cellStyle name="40% - Énfasis5 14 4 2" xfId="5977" xr:uid="{00000000-0005-0000-0000-00002E120000}"/>
    <cellStyle name="40% - Énfasis5 14 5" xfId="5062" xr:uid="{00000000-0005-0000-0000-00002F120000}"/>
    <cellStyle name="40% - Énfasis5 15" xfId="1645" xr:uid="{00000000-0005-0000-0000-000030120000}"/>
    <cellStyle name="40% - Énfasis5 15 2" xfId="3072" xr:uid="{00000000-0005-0000-0000-000031120000}"/>
    <cellStyle name="40% - Énfasis5 15 2 2" xfId="4691" xr:uid="{00000000-0005-0000-0000-000032120000}"/>
    <cellStyle name="40% - Énfasis5 15 2 2 2" xfId="6558" xr:uid="{00000000-0005-0000-0000-000033120000}"/>
    <cellStyle name="40% - Énfasis5 15 2 3" xfId="5656" xr:uid="{00000000-0005-0000-0000-000034120000}"/>
    <cellStyle name="40% - Énfasis5 15 3" xfId="4164" xr:uid="{00000000-0005-0000-0000-000035120000}"/>
    <cellStyle name="40% - Énfasis5 15 3 2" xfId="6112" xr:uid="{00000000-0005-0000-0000-000036120000}"/>
    <cellStyle name="40% - Énfasis5 15 4" xfId="5198" xr:uid="{00000000-0005-0000-0000-000037120000}"/>
    <cellStyle name="40% - Énfasis5 16" xfId="2722" xr:uid="{00000000-0005-0000-0000-000038120000}"/>
    <cellStyle name="40% - Énfasis5 16 2" xfId="4401" xr:uid="{00000000-0005-0000-0000-000039120000}"/>
    <cellStyle name="40% - Énfasis5 16 2 2" xfId="6271" xr:uid="{00000000-0005-0000-0000-00003A120000}"/>
    <cellStyle name="40% - Énfasis5 16 3" xfId="5369" xr:uid="{00000000-0005-0000-0000-00003B120000}"/>
    <cellStyle name="40% - Énfasis5 17" xfId="3200" xr:uid="{00000000-0005-0000-0000-00003C120000}"/>
    <cellStyle name="40% - Énfasis5 17 2" xfId="5759" xr:uid="{00000000-0005-0000-0000-00003D120000}"/>
    <cellStyle name="40% - Énfasis5 18" xfId="4816" xr:uid="{00000000-0005-0000-0000-00003E120000}"/>
    <cellStyle name="40% - Énfasis5 18 2" xfId="6661" xr:uid="{00000000-0005-0000-0000-00003F120000}"/>
    <cellStyle name="40% - Énfasis5 19" xfId="4861" xr:uid="{00000000-0005-0000-0000-000040120000}"/>
    <cellStyle name="40% - Énfasis5 19 2" xfId="6703" xr:uid="{00000000-0005-0000-0000-000041120000}"/>
    <cellStyle name="40% - Énfasis5 2" xfId="52" xr:uid="{00000000-0005-0000-0000-000042120000}"/>
    <cellStyle name="40% - Énfasis5 2 2" xfId="1039" xr:uid="{00000000-0005-0000-0000-000043120000}"/>
    <cellStyle name="40% - Énfasis5 2 2 2" xfId="3201" xr:uid="{00000000-0005-0000-0000-000044120000}"/>
    <cellStyle name="40% - Énfasis5 2 2 2 2" xfId="7548" xr:uid="{00000000-0005-0000-0000-000045120000}"/>
    <cellStyle name="40% - Énfasis5 2 2 2 3" xfId="7547" xr:uid="{00000000-0005-0000-0000-000046120000}"/>
    <cellStyle name="40% - Énfasis5 2 2 3" xfId="7549" xr:uid="{00000000-0005-0000-0000-000047120000}"/>
    <cellStyle name="40% - Énfasis5 2 2 4" xfId="7550" xr:uid="{00000000-0005-0000-0000-000048120000}"/>
    <cellStyle name="40% - Énfasis5 2 2 5" xfId="7546" xr:uid="{00000000-0005-0000-0000-000049120000}"/>
    <cellStyle name="40% - Énfasis5 2 3" xfId="1837" xr:uid="{00000000-0005-0000-0000-00004A120000}"/>
    <cellStyle name="40% - Énfasis5 2 4" xfId="7551" xr:uid="{00000000-0005-0000-0000-00004B120000}"/>
    <cellStyle name="40% - Énfasis5 2 4 2" xfId="22893" xr:uid="{00000000-0005-0000-0000-00004C120000}"/>
    <cellStyle name="40% - Énfasis5 2 5" xfId="31215" xr:uid="{E6BF96CD-D123-45EA-A183-DB4E22149230}"/>
    <cellStyle name="40% - Énfasis5 20" xfId="4885" xr:uid="{00000000-0005-0000-0000-00004D120000}"/>
    <cellStyle name="40% - Énfasis5 21" xfId="6746" xr:uid="{00000000-0005-0000-0000-00004E120000}"/>
    <cellStyle name="40% - Énfasis5 22" xfId="6801" xr:uid="{00000000-0005-0000-0000-00004F120000}"/>
    <cellStyle name="40% - Énfasis5 23" xfId="7274" xr:uid="{00000000-0005-0000-0000-000050120000}"/>
    <cellStyle name="40% - Énfasis5 24" xfId="22891" xr:uid="{00000000-0005-0000-0000-000051120000}"/>
    <cellStyle name="40% - Énfasis5 25" xfId="23164" xr:uid="{00000000-0005-0000-0000-000052120000}"/>
    <cellStyle name="40% - Énfasis5 26" xfId="24554" xr:uid="{00000000-0005-0000-0000-000053120000}"/>
    <cellStyle name="40% - Énfasis5 27" xfId="25058" xr:uid="{00000000-0005-0000-0000-000054120000}"/>
    <cellStyle name="40% - Énfasis5 28" xfId="25562" xr:uid="{00000000-0005-0000-0000-000055120000}"/>
    <cellStyle name="40% - Énfasis5 29" xfId="26066" xr:uid="{00000000-0005-0000-0000-000056120000}"/>
    <cellStyle name="40% - Énfasis5 3" xfId="1040" xr:uid="{00000000-0005-0000-0000-000057120000}"/>
    <cellStyle name="40% - Énfasis5 3 2" xfId="1041" xr:uid="{00000000-0005-0000-0000-000058120000}"/>
    <cellStyle name="40% - Énfasis5 3 2 2" xfId="23390" xr:uid="{00000000-0005-0000-0000-000059120000}"/>
    <cellStyle name="40% - Énfasis5 3 2 2 2" xfId="23391" xr:uid="{00000000-0005-0000-0000-00005A120000}"/>
    <cellStyle name="40% - Énfasis5 3 2 3" xfId="23392" xr:uid="{00000000-0005-0000-0000-00005B120000}"/>
    <cellStyle name="40% - Énfasis5 3 3" xfId="1838" xr:uid="{00000000-0005-0000-0000-00005C120000}"/>
    <cellStyle name="40% - Énfasis5 3 3 2" xfId="23393" xr:uid="{00000000-0005-0000-0000-00005D120000}"/>
    <cellStyle name="40% - Énfasis5 3 4" xfId="7552" xr:uid="{00000000-0005-0000-0000-00005E120000}"/>
    <cellStyle name="40% - Énfasis5 30" xfId="26570" xr:uid="{00000000-0005-0000-0000-00005F120000}"/>
    <cellStyle name="40% - Énfasis5 31" xfId="27074" xr:uid="{00000000-0005-0000-0000-000060120000}"/>
    <cellStyle name="40% - Énfasis5 32" xfId="27578" xr:uid="{00000000-0005-0000-0000-000061120000}"/>
    <cellStyle name="40% - Énfasis5 33" xfId="28082" xr:uid="{00000000-0005-0000-0000-000062120000}"/>
    <cellStyle name="40% - Énfasis5 34" xfId="28586" xr:uid="{00000000-0005-0000-0000-000063120000}"/>
    <cellStyle name="40% - Énfasis5 35" xfId="29090" xr:uid="{00000000-0005-0000-0000-000064120000}"/>
    <cellStyle name="40% - Énfasis5 36" xfId="29594" xr:uid="{00000000-0005-0000-0000-000065120000}"/>
    <cellStyle name="40% - Énfasis5 37" xfId="30098" xr:uid="{00000000-0005-0000-0000-000066120000}"/>
    <cellStyle name="40% - Énfasis5 38" xfId="30603" xr:uid="{00000000-0005-0000-0000-000067120000}"/>
    <cellStyle name="40% - Énfasis5 39" xfId="31128" xr:uid="{2B0C3213-D04B-4D58-BF7F-E01CAB77E307}"/>
    <cellStyle name="40% - Énfasis5 4" xfId="1042" xr:uid="{00000000-0005-0000-0000-000068120000}"/>
    <cellStyle name="40% - Énfasis5 4 2" xfId="1043" xr:uid="{00000000-0005-0000-0000-000069120000}"/>
    <cellStyle name="40% - Énfasis5 4 3" xfId="7554" xr:uid="{00000000-0005-0000-0000-00006A120000}"/>
    <cellStyle name="40% - Énfasis5 4 3 2" xfId="17960" xr:uid="{00000000-0005-0000-0000-00006B120000}"/>
    <cellStyle name="40% - Énfasis5 4 4" xfId="7555" xr:uid="{00000000-0005-0000-0000-00006C120000}"/>
    <cellStyle name="40% - Énfasis5 4 5" xfId="7553" xr:uid="{00000000-0005-0000-0000-00006D120000}"/>
    <cellStyle name="40% - Énfasis5 4 6" xfId="17959" xr:uid="{00000000-0005-0000-0000-00006E120000}"/>
    <cellStyle name="40% - Énfasis5 5" xfId="1044" xr:uid="{00000000-0005-0000-0000-00006F120000}"/>
    <cellStyle name="40% - Énfasis5 5 2" xfId="1045" xr:uid="{00000000-0005-0000-0000-000070120000}"/>
    <cellStyle name="40% - Énfasis5 6" xfId="1046" xr:uid="{00000000-0005-0000-0000-000071120000}"/>
    <cellStyle name="40% - Énfasis5 6 10" xfId="24657" xr:uid="{00000000-0005-0000-0000-000072120000}"/>
    <cellStyle name="40% - Énfasis5 6 11" xfId="25161" xr:uid="{00000000-0005-0000-0000-000073120000}"/>
    <cellStyle name="40% - Énfasis5 6 12" xfId="25665" xr:uid="{00000000-0005-0000-0000-000074120000}"/>
    <cellStyle name="40% - Énfasis5 6 13" xfId="26169" xr:uid="{00000000-0005-0000-0000-000075120000}"/>
    <cellStyle name="40% - Énfasis5 6 14" xfId="26673" xr:uid="{00000000-0005-0000-0000-000076120000}"/>
    <cellStyle name="40% - Énfasis5 6 15" xfId="27177" xr:uid="{00000000-0005-0000-0000-000077120000}"/>
    <cellStyle name="40% - Énfasis5 6 16" xfId="27681" xr:uid="{00000000-0005-0000-0000-000078120000}"/>
    <cellStyle name="40% - Énfasis5 6 17" xfId="28185" xr:uid="{00000000-0005-0000-0000-000079120000}"/>
    <cellStyle name="40% - Énfasis5 6 18" xfId="28689" xr:uid="{00000000-0005-0000-0000-00007A120000}"/>
    <cellStyle name="40% - Énfasis5 6 19" xfId="29193" xr:uid="{00000000-0005-0000-0000-00007B120000}"/>
    <cellStyle name="40% - Énfasis5 6 2" xfId="1047" xr:uid="{00000000-0005-0000-0000-00007C120000}"/>
    <cellStyle name="40% - Énfasis5 6 2 2" xfId="17962" xr:uid="{00000000-0005-0000-0000-00007D120000}"/>
    <cellStyle name="40% - Énfasis5 6 2 3" xfId="7557" xr:uid="{00000000-0005-0000-0000-00007E120000}"/>
    <cellStyle name="40% - Énfasis5 6 20" xfId="29697" xr:uid="{00000000-0005-0000-0000-00007F120000}"/>
    <cellStyle name="40% - Énfasis5 6 21" xfId="30201" xr:uid="{00000000-0005-0000-0000-000080120000}"/>
    <cellStyle name="40% - Énfasis5 6 22" xfId="30706" xr:uid="{00000000-0005-0000-0000-000081120000}"/>
    <cellStyle name="40% - Énfasis5 6 3" xfId="1839" xr:uid="{00000000-0005-0000-0000-000082120000}"/>
    <cellStyle name="40% - Énfasis5 6 3 2" xfId="4251" xr:uid="{00000000-0005-0000-0000-000083120000}"/>
    <cellStyle name="40% - Énfasis5 6 3 2 2" xfId="6195" xr:uid="{00000000-0005-0000-0000-000084120000}"/>
    <cellStyle name="40% - Énfasis5 6 3 3" xfId="5285" xr:uid="{00000000-0005-0000-0000-000085120000}"/>
    <cellStyle name="40% - Énfasis5 6 3 4" xfId="7556" xr:uid="{00000000-0005-0000-0000-000086120000}"/>
    <cellStyle name="40% - Énfasis5 6 3 5" xfId="23395" xr:uid="{00000000-0005-0000-0000-000087120000}"/>
    <cellStyle name="40% - Énfasis5 6 4" xfId="2685" xr:uid="{00000000-0005-0000-0000-000088120000}"/>
    <cellStyle name="40% - Énfasis5 6 4 10" xfId="26674" xr:uid="{00000000-0005-0000-0000-000089120000}"/>
    <cellStyle name="40% - Énfasis5 6 4 11" xfId="27178" xr:uid="{00000000-0005-0000-0000-00008A120000}"/>
    <cellStyle name="40% - Énfasis5 6 4 12" xfId="27682" xr:uid="{00000000-0005-0000-0000-00008B120000}"/>
    <cellStyle name="40% - Énfasis5 6 4 13" xfId="28186" xr:uid="{00000000-0005-0000-0000-00008C120000}"/>
    <cellStyle name="40% - Énfasis5 6 4 14" xfId="28690" xr:uid="{00000000-0005-0000-0000-00008D120000}"/>
    <cellStyle name="40% - Énfasis5 6 4 15" xfId="29194" xr:uid="{00000000-0005-0000-0000-00008E120000}"/>
    <cellStyle name="40% - Énfasis5 6 4 16" xfId="29698" xr:uid="{00000000-0005-0000-0000-00008F120000}"/>
    <cellStyle name="40% - Énfasis5 6 4 17" xfId="30202" xr:uid="{00000000-0005-0000-0000-000090120000}"/>
    <cellStyle name="40% - Énfasis5 6 4 18" xfId="30707" xr:uid="{00000000-0005-0000-0000-000091120000}"/>
    <cellStyle name="40% - Énfasis5 6 4 2" xfId="4366" xr:uid="{00000000-0005-0000-0000-000092120000}"/>
    <cellStyle name="40% - Énfasis5 6 4 2 2" xfId="6236" xr:uid="{00000000-0005-0000-0000-000093120000}"/>
    <cellStyle name="40% - Énfasis5 6 4 3" xfId="5333" xr:uid="{00000000-0005-0000-0000-000094120000}"/>
    <cellStyle name="40% - Énfasis5 6 4 4" xfId="17961" xr:uid="{00000000-0005-0000-0000-000095120000}"/>
    <cellStyle name="40% - Énfasis5 6 4 5" xfId="23396" xr:uid="{00000000-0005-0000-0000-000096120000}"/>
    <cellStyle name="40% - Énfasis5 6 4 6" xfId="24658" xr:uid="{00000000-0005-0000-0000-000097120000}"/>
    <cellStyle name="40% - Énfasis5 6 4 7" xfId="25162" xr:uid="{00000000-0005-0000-0000-000098120000}"/>
    <cellStyle name="40% - Énfasis5 6 4 8" xfId="25666" xr:uid="{00000000-0005-0000-0000-000099120000}"/>
    <cellStyle name="40% - Énfasis5 6 4 9" xfId="26170" xr:uid="{00000000-0005-0000-0000-00009A120000}"/>
    <cellStyle name="40% - Énfasis5 6 5" xfId="3808" xr:uid="{00000000-0005-0000-0000-00009B120000}"/>
    <cellStyle name="40% - Énfasis5 6 6" xfId="3202" xr:uid="{00000000-0005-0000-0000-00009C120000}"/>
    <cellStyle name="40% - Énfasis5 6 6 2" xfId="5760" xr:uid="{00000000-0005-0000-0000-00009D120000}"/>
    <cellStyle name="40% - Énfasis5 6 7" xfId="6802" xr:uid="{00000000-0005-0000-0000-00009E120000}"/>
    <cellStyle name="40% - Énfasis5 6 8" xfId="7122" xr:uid="{00000000-0005-0000-0000-00009F120000}"/>
    <cellStyle name="40% - Énfasis5 6 9" xfId="23394" xr:uid="{00000000-0005-0000-0000-0000A0120000}"/>
    <cellStyle name="40% - Énfasis5 7" xfId="1048" xr:uid="{00000000-0005-0000-0000-0000A1120000}"/>
    <cellStyle name="40% - Énfasis5 7 10" xfId="24659" xr:uid="{00000000-0005-0000-0000-0000A2120000}"/>
    <cellStyle name="40% - Énfasis5 7 11" xfId="25163" xr:uid="{00000000-0005-0000-0000-0000A3120000}"/>
    <cellStyle name="40% - Énfasis5 7 12" xfId="25667" xr:uid="{00000000-0005-0000-0000-0000A4120000}"/>
    <cellStyle name="40% - Énfasis5 7 13" xfId="26171" xr:uid="{00000000-0005-0000-0000-0000A5120000}"/>
    <cellStyle name="40% - Énfasis5 7 14" xfId="26675" xr:uid="{00000000-0005-0000-0000-0000A6120000}"/>
    <cellStyle name="40% - Énfasis5 7 15" xfId="27179" xr:uid="{00000000-0005-0000-0000-0000A7120000}"/>
    <cellStyle name="40% - Énfasis5 7 16" xfId="27683" xr:uid="{00000000-0005-0000-0000-0000A8120000}"/>
    <cellStyle name="40% - Énfasis5 7 17" xfId="28187" xr:uid="{00000000-0005-0000-0000-0000A9120000}"/>
    <cellStyle name="40% - Énfasis5 7 18" xfId="28691" xr:uid="{00000000-0005-0000-0000-0000AA120000}"/>
    <cellStyle name="40% - Énfasis5 7 19" xfId="29195" xr:uid="{00000000-0005-0000-0000-0000AB120000}"/>
    <cellStyle name="40% - Énfasis5 7 2" xfId="1049" xr:uid="{00000000-0005-0000-0000-0000AC120000}"/>
    <cellStyle name="40% - Énfasis5 7 2 2" xfId="17964" xr:uid="{00000000-0005-0000-0000-0000AD120000}"/>
    <cellStyle name="40% - Énfasis5 7 2 3" xfId="7559" xr:uid="{00000000-0005-0000-0000-0000AE120000}"/>
    <cellStyle name="40% - Énfasis5 7 20" xfId="29699" xr:uid="{00000000-0005-0000-0000-0000AF120000}"/>
    <cellStyle name="40% - Énfasis5 7 21" xfId="30203" xr:uid="{00000000-0005-0000-0000-0000B0120000}"/>
    <cellStyle name="40% - Énfasis5 7 22" xfId="30708" xr:uid="{00000000-0005-0000-0000-0000B1120000}"/>
    <cellStyle name="40% - Énfasis5 7 3" xfId="1840" xr:uid="{00000000-0005-0000-0000-0000B2120000}"/>
    <cellStyle name="40% - Énfasis5 7 3 2" xfId="4252" xr:uid="{00000000-0005-0000-0000-0000B3120000}"/>
    <cellStyle name="40% - Énfasis5 7 3 2 2" xfId="6196" xr:uid="{00000000-0005-0000-0000-0000B4120000}"/>
    <cellStyle name="40% - Énfasis5 7 3 3" xfId="5286" xr:uid="{00000000-0005-0000-0000-0000B5120000}"/>
    <cellStyle name="40% - Énfasis5 7 3 4" xfId="7558" xr:uid="{00000000-0005-0000-0000-0000B6120000}"/>
    <cellStyle name="40% - Énfasis5 7 3 5" xfId="23398" xr:uid="{00000000-0005-0000-0000-0000B7120000}"/>
    <cellStyle name="40% - Énfasis5 7 4" xfId="2686" xr:uid="{00000000-0005-0000-0000-0000B8120000}"/>
    <cellStyle name="40% - Énfasis5 7 4 10" xfId="26676" xr:uid="{00000000-0005-0000-0000-0000B9120000}"/>
    <cellStyle name="40% - Énfasis5 7 4 11" xfId="27180" xr:uid="{00000000-0005-0000-0000-0000BA120000}"/>
    <cellStyle name="40% - Énfasis5 7 4 12" xfId="27684" xr:uid="{00000000-0005-0000-0000-0000BB120000}"/>
    <cellStyle name="40% - Énfasis5 7 4 13" xfId="28188" xr:uid="{00000000-0005-0000-0000-0000BC120000}"/>
    <cellStyle name="40% - Énfasis5 7 4 14" xfId="28692" xr:uid="{00000000-0005-0000-0000-0000BD120000}"/>
    <cellStyle name="40% - Énfasis5 7 4 15" xfId="29196" xr:uid="{00000000-0005-0000-0000-0000BE120000}"/>
    <cellStyle name="40% - Énfasis5 7 4 16" xfId="29700" xr:uid="{00000000-0005-0000-0000-0000BF120000}"/>
    <cellStyle name="40% - Énfasis5 7 4 17" xfId="30204" xr:uid="{00000000-0005-0000-0000-0000C0120000}"/>
    <cellStyle name="40% - Énfasis5 7 4 18" xfId="30709" xr:uid="{00000000-0005-0000-0000-0000C1120000}"/>
    <cellStyle name="40% - Énfasis5 7 4 2" xfId="4367" xr:uid="{00000000-0005-0000-0000-0000C2120000}"/>
    <cellStyle name="40% - Énfasis5 7 4 2 2" xfId="6237" xr:uid="{00000000-0005-0000-0000-0000C3120000}"/>
    <cellStyle name="40% - Énfasis5 7 4 3" xfId="5334" xr:uid="{00000000-0005-0000-0000-0000C4120000}"/>
    <cellStyle name="40% - Énfasis5 7 4 4" xfId="17963" xr:uid="{00000000-0005-0000-0000-0000C5120000}"/>
    <cellStyle name="40% - Énfasis5 7 4 5" xfId="23399" xr:uid="{00000000-0005-0000-0000-0000C6120000}"/>
    <cellStyle name="40% - Énfasis5 7 4 6" xfId="24660" xr:uid="{00000000-0005-0000-0000-0000C7120000}"/>
    <cellStyle name="40% - Énfasis5 7 4 7" xfId="25164" xr:uid="{00000000-0005-0000-0000-0000C8120000}"/>
    <cellStyle name="40% - Énfasis5 7 4 8" xfId="25668" xr:uid="{00000000-0005-0000-0000-0000C9120000}"/>
    <cellStyle name="40% - Énfasis5 7 4 9" xfId="26172" xr:uid="{00000000-0005-0000-0000-0000CA120000}"/>
    <cellStyle name="40% - Énfasis5 7 5" xfId="3809" xr:uid="{00000000-0005-0000-0000-0000CB120000}"/>
    <cellStyle name="40% - Énfasis5 7 6" xfId="3203" xr:uid="{00000000-0005-0000-0000-0000CC120000}"/>
    <cellStyle name="40% - Énfasis5 7 6 2" xfId="5761" xr:uid="{00000000-0005-0000-0000-0000CD120000}"/>
    <cellStyle name="40% - Énfasis5 7 7" xfId="6803" xr:uid="{00000000-0005-0000-0000-0000CE120000}"/>
    <cellStyle name="40% - Énfasis5 7 8" xfId="7121" xr:uid="{00000000-0005-0000-0000-0000CF120000}"/>
    <cellStyle name="40% - Énfasis5 7 9" xfId="23397" xr:uid="{00000000-0005-0000-0000-0000D0120000}"/>
    <cellStyle name="40% - Énfasis5 8" xfId="1050" xr:uid="{00000000-0005-0000-0000-0000D1120000}"/>
    <cellStyle name="40% - Énfasis5 8 2" xfId="1051" xr:uid="{00000000-0005-0000-0000-0000D2120000}"/>
    <cellStyle name="40% - Énfasis5 8 3" xfId="7545" xr:uid="{00000000-0005-0000-0000-0000D3120000}"/>
    <cellStyle name="40% - Énfasis5 9" xfId="1052" xr:uid="{00000000-0005-0000-0000-0000D4120000}"/>
    <cellStyle name="40% - Énfasis5 9 10" xfId="4967" xr:uid="{00000000-0005-0000-0000-0000D5120000}"/>
    <cellStyle name="40% - Énfasis5 9 11" xfId="6748" xr:uid="{00000000-0005-0000-0000-0000D6120000}"/>
    <cellStyle name="40% - Énfasis5 9 12" xfId="17958" xr:uid="{00000000-0005-0000-0000-0000D7120000}"/>
    <cellStyle name="40% - Énfasis5 9 13" xfId="22894" xr:uid="{00000000-0005-0000-0000-0000D8120000}"/>
    <cellStyle name="40% - Énfasis5 9 14" xfId="23400" xr:uid="{00000000-0005-0000-0000-0000D9120000}"/>
    <cellStyle name="40% - Énfasis5 9 15" xfId="24661" xr:uid="{00000000-0005-0000-0000-0000DA120000}"/>
    <cellStyle name="40% - Énfasis5 9 16" xfId="25165" xr:uid="{00000000-0005-0000-0000-0000DB120000}"/>
    <cellStyle name="40% - Énfasis5 9 17" xfId="25669" xr:uid="{00000000-0005-0000-0000-0000DC120000}"/>
    <cellStyle name="40% - Énfasis5 9 18" xfId="26173" xr:uid="{00000000-0005-0000-0000-0000DD120000}"/>
    <cellStyle name="40% - Énfasis5 9 19" xfId="26677" xr:uid="{00000000-0005-0000-0000-0000DE120000}"/>
    <cellStyle name="40% - Énfasis5 9 2" xfId="1464" xr:uid="{00000000-0005-0000-0000-0000DF120000}"/>
    <cellStyle name="40% - Énfasis5 9 2 10" xfId="26174" xr:uid="{00000000-0005-0000-0000-0000E0120000}"/>
    <cellStyle name="40% - Énfasis5 9 2 11" xfId="26678" xr:uid="{00000000-0005-0000-0000-0000E1120000}"/>
    <cellStyle name="40% - Énfasis5 9 2 12" xfId="27182" xr:uid="{00000000-0005-0000-0000-0000E2120000}"/>
    <cellStyle name="40% - Énfasis5 9 2 13" xfId="27686" xr:uid="{00000000-0005-0000-0000-0000E3120000}"/>
    <cellStyle name="40% - Énfasis5 9 2 14" xfId="28190" xr:uid="{00000000-0005-0000-0000-0000E4120000}"/>
    <cellStyle name="40% - Énfasis5 9 2 15" xfId="28694" xr:uid="{00000000-0005-0000-0000-0000E5120000}"/>
    <cellStyle name="40% - Énfasis5 9 2 16" xfId="29198" xr:uid="{00000000-0005-0000-0000-0000E6120000}"/>
    <cellStyle name="40% - Énfasis5 9 2 17" xfId="29702" xr:uid="{00000000-0005-0000-0000-0000E7120000}"/>
    <cellStyle name="40% - Énfasis5 9 2 18" xfId="30206" xr:uid="{00000000-0005-0000-0000-0000E8120000}"/>
    <cellStyle name="40% - Énfasis5 9 2 19" xfId="30711" xr:uid="{00000000-0005-0000-0000-0000E9120000}"/>
    <cellStyle name="40% - Énfasis5 9 2 2" xfId="1646" xr:uid="{00000000-0005-0000-0000-0000EA120000}"/>
    <cellStyle name="40% - Énfasis5 9 2 2 2" xfId="3073" xr:uid="{00000000-0005-0000-0000-0000EB120000}"/>
    <cellStyle name="40% - Énfasis5 9 2 2 2 2" xfId="4692" xr:uid="{00000000-0005-0000-0000-0000EC120000}"/>
    <cellStyle name="40% - Énfasis5 9 2 2 2 2 2" xfId="6559" xr:uid="{00000000-0005-0000-0000-0000ED120000}"/>
    <cellStyle name="40% - Énfasis5 9 2 2 2 3" xfId="5657" xr:uid="{00000000-0005-0000-0000-0000EE120000}"/>
    <cellStyle name="40% - Énfasis5 9 2 2 3" xfId="4165" xr:uid="{00000000-0005-0000-0000-0000EF120000}"/>
    <cellStyle name="40% - Énfasis5 9 2 2 3 2" xfId="6113" xr:uid="{00000000-0005-0000-0000-0000F0120000}"/>
    <cellStyle name="40% - Énfasis5 9 2 2 4" xfId="5199" xr:uid="{00000000-0005-0000-0000-0000F1120000}"/>
    <cellStyle name="40% - Énfasis5 9 2 3" xfId="2898" xr:uid="{00000000-0005-0000-0000-0000F2120000}"/>
    <cellStyle name="40% - Énfasis5 9 2 3 2" xfId="4517" xr:uid="{00000000-0005-0000-0000-0000F3120000}"/>
    <cellStyle name="40% - Énfasis5 9 2 3 2 2" xfId="6384" xr:uid="{00000000-0005-0000-0000-0000F4120000}"/>
    <cellStyle name="40% - Énfasis5 9 2 3 3" xfId="5482" xr:uid="{00000000-0005-0000-0000-0000F5120000}"/>
    <cellStyle name="40% - Énfasis5 9 2 4" xfId="3985" xr:uid="{00000000-0005-0000-0000-0000F6120000}"/>
    <cellStyle name="40% - Énfasis5 9 2 4 2" xfId="5939" xr:uid="{00000000-0005-0000-0000-0000F7120000}"/>
    <cellStyle name="40% - Énfasis5 9 2 5" xfId="5024" xr:uid="{00000000-0005-0000-0000-0000F8120000}"/>
    <cellStyle name="40% - Énfasis5 9 2 6" xfId="23401" xr:uid="{00000000-0005-0000-0000-0000F9120000}"/>
    <cellStyle name="40% - Énfasis5 9 2 7" xfId="24662" xr:uid="{00000000-0005-0000-0000-0000FA120000}"/>
    <cellStyle name="40% - Énfasis5 9 2 8" xfId="25166" xr:uid="{00000000-0005-0000-0000-0000FB120000}"/>
    <cellStyle name="40% - Énfasis5 9 2 9" xfId="25670" xr:uid="{00000000-0005-0000-0000-0000FC120000}"/>
    <cellStyle name="40% - Énfasis5 9 20" xfId="27181" xr:uid="{00000000-0005-0000-0000-0000FD120000}"/>
    <cellStyle name="40% - Énfasis5 9 21" xfId="27685" xr:uid="{00000000-0005-0000-0000-0000FE120000}"/>
    <cellStyle name="40% - Énfasis5 9 22" xfId="28189" xr:uid="{00000000-0005-0000-0000-0000FF120000}"/>
    <cellStyle name="40% - Énfasis5 9 23" xfId="28693" xr:uid="{00000000-0005-0000-0000-000000130000}"/>
    <cellStyle name="40% - Énfasis5 9 24" xfId="29197" xr:uid="{00000000-0005-0000-0000-000001130000}"/>
    <cellStyle name="40% - Énfasis5 9 25" xfId="29701" xr:uid="{00000000-0005-0000-0000-000002130000}"/>
    <cellStyle name="40% - Énfasis5 9 26" xfId="30205" xr:uid="{00000000-0005-0000-0000-000003130000}"/>
    <cellStyle name="40% - Énfasis5 9 27" xfId="30710" xr:uid="{00000000-0005-0000-0000-000004130000}"/>
    <cellStyle name="40% - Énfasis5 9 3" xfId="1503" xr:uid="{00000000-0005-0000-0000-000005130000}"/>
    <cellStyle name="40% - Énfasis5 9 3 2" xfId="1647" xr:uid="{00000000-0005-0000-0000-000006130000}"/>
    <cellStyle name="40% - Énfasis5 9 3 2 2" xfId="3074" xr:uid="{00000000-0005-0000-0000-000007130000}"/>
    <cellStyle name="40% - Énfasis5 9 3 2 2 2" xfId="4693" xr:uid="{00000000-0005-0000-0000-000008130000}"/>
    <cellStyle name="40% - Énfasis5 9 3 2 2 2 2" xfId="6560" xr:uid="{00000000-0005-0000-0000-000009130000}"/>
    <cellStyle name="40% - Énfasis5 9 3 2 2 3" xfId="5658" xr:uid="{00000000-0005-0000-0000-00000A130000}"/>
    <cellStyle name="40% - Énfasis5 9 3 2 3" xfId="4166" xr:uid="{00000000-0005-0000-0000-00000B130000}"/>
    <cellStyle name="40% - Énfasis5 9 3 2 3 2" xfId="6114" xr:uid="{00000000-0005-0000-0000-00000C130000}"/>
    <cellStyle name="40% - Énfasis5 9 3 2 4" xfId="5200" xr:uid="{00000000-0005-0000-0000-00000D130000}"/>
    <cellStyle name="40% - Énfasis5 9 3 3" xfId="2937" xr:uid="{00000000-0005-0000-0000-00000E130000}"/>
    <cellStyle name="40% - Énfasis5 9 3 3 2" xfId="4556" xr:uid="{00000000-0005-0000-0000-00000F130000}"/>
    <cellStyle name="40% - Énfasis5 9 3 3 2 2" xfId="6423" xr:uid="{00000000-0005-0000-0000-000010130000}"/>
    <cellStyle name="40% - Énfasis5 9 3 3 3" xfId="5521" xr:uid="{00000000-0005-0000-0000-000011130000}"/>
    <cellStyle name="40% - Énfasis5 9 3 4" xfId="4024" xr:uid="{00000000-0005-0000-0000-000012130000}"/>
    <cellStyle name="40% - Énfasis5 9 3 4 2" xfId="5978" xr:uid="{00000000-0005-0000-0000-000013130000}"/>
    <cellStyle name="40% - Énfasis5 9 3 5" xfId="5063" xr:uid="{00000000-0005-0000-0000-000014130000}"/>
    <cellStyle name="40% - Énfasis5 9 4" xfId="1648" xr:uid="{00000000-0005-0000-0000-000015130000}"/>
    <cellStyle name="40% - Énfasis5 9 4 2" xfId="3075" xr:uid="{00000000-0005-0000-0000-000016130000}"/>
    <cellStyle name="40% - Énfasis5 9 4 2 2" xfId="4694" xr:uid="{00000000-0005-0000-0000-000017130000}"/>
    <cellStyle name="40% - Énfasis5 9 4 2 2 2" xfId="6561" xr:uid="{00000000-0005-0000-0000-000018130000}"/>
    <cellStyle name="40% - Énfasis5 9 4 2 3" xfId="5659" xr:uid="{00000000-0005-0000-0000-000019130000}"/>
    <cellStyle name="40% - Énfasis5 9 4 3" xfId="4167" xr:uid="{00000000-0005-0000-0000-00001A130000}"/>
    <cellStyle name="40% - Énfasis5 9 4 3 2" xfId="6115" xr:uid="{00000000-0005-0000-0000-00001B130000}"/>
    <cellStyle name="40% - Énfasis5 9 4 4" xfId="5201" xr:uid="{00000000-0005-0000-0000-00001C130000}"/>
    <cellStyle name="40% - Énfasis5 9 5" xfId="1649" xr:uid="{00000000-0005-0000-0000-00001D130000}"/>
    <cellStyle name="40% - Énfasis5 9 5 2" xfId="3076" xr:uid="{00000000-0005-0000-0000-00001E130000}"/>
    <cellStyle name="40% - Énfasis5 9 5 2 2" xfId="4695" xr:uid="{00000000-0005-0000-0000-00001F130000}"/>
    <cellStyle name="40% - Énfasis5 9 5 2 2 2" xfId="6562" xr:uid="{00000000-0005-0000-0000-000020130000}"/>
    <cellStyle name="40% - Énfasis5 9 5 2 3" xfId="5660" xr:uid="{00000000-0005-0000-0000-000021130000}"/>
    <cellStyle name="40% - Énfasis5 9 5 3" xfId="4168" xr:uid="{00000000-0005-0000-0000-000022130000}"/>
    <cellStyle name="40% - Énfasis5 9 5 3 2" xfId="6116" xr:uid="{00000000-0005-0000-0000-000023130000}"/>
    <cellStyle name="40% - Énfasis5 9 5 4" xfId="5202" xr:uid="{00000000-0005-0000-0000-000024130000}"/>
    <cellStyle name="40% - Énfasis5 9 6" xfId="2839" xr:uid="{00000000-0005-0000-0000-000025130000}"/>
    <cellStyle name="40% - Énfasis5 9 6 2" xfId="4459" xr:uid="{00000000-0005-0000-0000-000026130000}"/>
    <cellStyle name="40% - Énfasis5 9 6 2 2" xfId="6327" xr:uid="{00000000-0005-0000-0000-000027130000}"/>
    <cellStyle name="40% - Énfasis5 9 6 3" xfId="5425" xr:uid="{00000000-0005-0000-0000-000028130000}"/>
    <cellStyle name="40% - Énfasis5 9 7" xfId="3810" xr:uid="{00000000-0005-0000-0000-000029130000}"/>
    <cellStyle name="40% - Énfasis5 9 7 2" xfId="5883" xr:uid="{00000000-0005-0000-0000-00002A130000}"/>
    <cellStyle name="40% - Énfasis5 9 8" xfId="4818" xr:uid="{00000000-0005-0000-0000-00002B130000}"/>
    <cellStyle name="40% - Énfasis5 9 8 2" xfId="6663" xr:uid="{00000000-0005-0000-0000-00002C130000}"/>
    <cellStyle name="40% - Énfasis5 9 9" xfId="4863" xr:uid="{00000000-0005-0000-0000-00002D130000}"/>
    <cellStyle name="40% - Énfasis5 9 9 2" xfId="6705" xr:uid="{00000000-0005-0000-0000-00002E130000}"/>
    <cellStyle name="40% - Énfasis6" xfId="53" builtinId="51" customBuiltin="1"/>
    <cellStyle name="40% - Énfasis6 10" xfId="1054" xr:uid="{00000000-0005-0000-0000-000030130000}"/>
    <cellStyle name="40% - Énfasis6 10 10" xfId="4969" xr:uid="{00000000-0005-0000-0000-000031130000}"/>
    <cellStyle name="40% - Énfasis6 10 11" xfId="6750" xr:uid="{00000000-0005-0000-0000-000032130000}"/>
    <cellStyle name="40% - Énfasis6 10 12" xfId="22896" xr:uid="{00000000-0005-0000-0000-000033130000}"/>
    <cellStyle name="40% - Énfasis6 10 13" xfId="23402" xr:uid="{00000000-0005-0000-0000-000034130000}"/>
    <cellStyle name="40% - Énfasis6 10 14" xfId="24663" xr:uid="{00000000-0005-0000-0000-000035130000}"/>
    <cellStyle name="40% - Énfasis6 10 15" xfId="25167" xr:uid="{00000000-0005-0000-0000-000036130000}"/>
    <cellStyle name="40% - Énfasis6 10 16" xfId="25671" xr:uid="{00000000-0005-0000-0000-000037130000}"/>
    <cellStyle name="40% - Énfasis6 10 17" xfId="26175" xr:uid="{00000000-0005-0000-0000-000038130000}"/>
    <cellStyle name="40% - Énfasis6 10 18" xfId="26679" xr:uid="{00000000-0005-0000-0000-000039130000}"/>
    <cellStyle name="40% - Énfasis6 10 19" xfId="27183" xr:uid="{00000000-0005-0000-0000-00003A130000}"/>
    <cellStyle name="40% - Énfasis6 10 2" xfId="1466" xr:uid="{00000000-0005-0000-0000-00003B130000}"/>
    <cellStyle name="40% - Énfasis6 10 2 10" xfId="26176" xr:uid="{00000000-0005-0000-0000-00003C130000}"/>
    <cellStyle name="40% - Énfasis6 10 2 11" xfId="26680" xr:uid="{00000000-0005-0000-0000-00003D130000}"/>
    <cellStyle name="40% - Énfasis6 10 2 12" xfId="27184" xr:uid="{00000000-0005-0000-0000-00003E130000}"/>
    <cellStyle name="40% - Énfasis6 10 2 13" xfId="27688" xr:uid="{00000000-0005-0000-0000-00003F130000}"/>
    <cellStyle name="40% - Énfasis6 10 2 14" xfId="28192" xr:uid="{00000000-0005-0000-0000-000040130000}"/>
    <cellStyle name="40% - Énfasis6 10 2 15" xfId="28696" xr:uid="{00000000-0005-0000-0000-000041130000}"/>
    <cellStyle name="40% - Énfasis6 10 2 16" xfId="29200" xr:uid="{00000000-0005-0000-0000-000042130000}"/>
    <cellStyle name="40% - Énfasis6 10 2 17" xfId="29704" xr:uid="{00000000-0005-0000-0000-000043130000}"/>
    <cellStyle name="40% - Énfasis6 10 2 18" xfId="30208" xr:uid="{00000000-0005-0000-0000-000044130000}"/>
    <cellStyle name="40% - Énfasis6 10 2 19" xfId="30713" xr:uid="{00000000-0005-0000-0000-000045130000}"/>
    <cellStyle name="40% - Énfasis6 10 2 2" xfId="1650" xr:uid="{00000000-0005-0000-0000-000046130000}"/>
    <cellStyle name="40% - Énfasis6 10 2 2 2" xfId="3077" xr:uid="{00000000-0005-0000-0000-000047130000}"/>
    <cellStyle name="40% - Énfasis6 10 2 2 2 2" xfId="4696" xr:uid="{00000000-0005-0000-0000-000048130000}"/>
    <cellStyle name="40% - Énfasis6 10 2 2 2 2 2" xfId="6563" xr:uid="{00000000-0005-0000-0000-000049130000}"/>
    <cellStyle name="40% - Énfasis6 10 2 2 2 3" xfId="5661" xr:uid="{00000000-0005-0000-0000-00004A130000}"/>
    <cellStyle name="40% - Énfasis6 10 2 2 3" xfId="4169" xr:uid="{00000000-0005-0000-0000-00004B130000}"/>
    <cellStyle name="40% - Énfasis6 10 2 2 3 2" xfId="6117" xr:uid="{00000000-0005-0000-0000-00004C130000}"/>
    <cellStyle name="40% - Énfasis6 10 2 2 4" xfId="5203" xr:uid="{00000000-0005-0000-0000-00004D130000}"/>
    <cellStyle name="40% - Énfasis6 10 2 3" xfId="2900" xr:uid="{00000000-0005-0000-0000-00004E130000}"/>
    <cellStyle name="40% - Énfasis6 10 2 3 2" xfId="4519" xr:uid="{00000000-0005-0000-0000-00004F130000}"/>
    <cellStyle name="40% - Énfasis6 10 2 3 2 2" xfId="6386" xr:uid="{00000000-0005-0000-0000-000050130000}"/>
    <cellStyle name="40% - Énfasis6 10 2 3 3" xfId="5484" xr:uid="{00000000-0005-0000-0000-000051130000}"/>
    <cellStyle name="40% - Énfasis6 10 2 4" xfId="3987" xr:uid="{00000000-0005-0000-0000-000052130000}"/>
    <cellStyle name="40% - Énfasis6 10 2 4 2" xfId="5941" xr:uid="{00000000-0005-0000-0000-000053130000}"/>
    <cellStyle name="40% - Énfasis6 10 2 5" xfId="5026" xr:uid="{00000000-0005-0000-0000-000054130000}"/>
    <cellStyle name="40% - Énfasis6 10 2 6" xfId="23403" xr:uid="{00000000-0005-0000-0000-000055130000}"/>
    <cellStyle name="40% - Énfasis6 10 2 7" xfId="24664" xr:uid="{00000000-0005-0000-0000-000056130000}"/>
    <cellStyle name="40% - Énfasis6 10 2 8" xfId="25168" xr:uid="{00000000-0005-0000-0000-000057130000}"/>
    <cellStyle name="40% - Énfasis6 10 2 9" xfId="25672" xr:uid="{00000000-0005-0000-0000-000058130000}"/>
    <cellStyle name="40% - Énfasis6 10 20" xfId="27687" xr:uid="{00000000-0005-0000-0000-000059130000}"/>
    <cellStyle name="40% - Énfasis6 10 21" xfId="28191" xr:uid="{00000000-0005-0000-0000-00005A130000}"/>
    <cellStyle name="40% - Énfasis6 10 22" xfId="28695" xr:uid="{00000000-0005-0000-0000-00005B130000}"/>
    <cellStyle name="40% - Énfasis6 10 23" xfId="29199" xr:uid="{00000000-0005-0000-0000-00005C130000}"/>
    <cellStyle name="40% - Énfasis6 10 24" xfId="29703" xr:uid="{00000000-0005-0000-0000-00005D130000}"/>
    <cellStyle name="40% - Énfasis6 10 25" xfId="30207" xr:uid="{00000000-0005-0000-0000-00005E130000}"/>
    <cellStyle name="40% - Énfasis6 10 26" xfId="30712" xr:uid="{00000000-0005-0000-0000-00005F130000}"/>
    <cellStyle name="40% - Énfasis6 10 3" xfId="1504" xr:uid="{00000000-0005-0000-0000-000060130000}"/>
    <cellStyle name="40% - Énfasis6 10 3 2" xfId="1651" xr:uid="{00000000-0005-0000-0000-000061130000}"/>
    <cellStyle name="40% - Énfasis6 10 3 2 2" xfId="3078" xr:uid="{00000000-0005-0000-0000-000062130000}"/>
    <cellStyle name="40% - Énfasis6 10 3 2 2 2" xfId="4697" xr:uid="{00000000-0005-0000-0000-000063130000}"/>
    <cellStyle name="40% - Énfasis6 10 3 2 2 2 2" xfId="6564" xr:uid="{00000000-0005-0000-0000-000064130000}"/>
    <cellStyle name="40% - Énfasis6 10 3 2 2 3" xfId="5662" xr:uid="{00000000-0005-0000-0000-000065130000}"/>
    <cellStyle name="40% - Énfasis6 10 3 2 3" xfId="4170" xr:uid="{00000000-0005-0000-0000-000066130000}"/>
    <cellStyle name="40% - Énfasis6 10 3 2 3 2" xfId="6118" xr:uid="{00000000-0005-0000-0000-000067130000}"/>
    <cellStyle name="40% - Énfasis6 10 3 2 4" xfId="5204" xr:uid="{00000000-0005-0000-0000-000068130000}"/>
    <cellStyle name="40% - Énfasis6 10 3 3" xfId="2938" xr:uid="{00000000-0005-0000-0000-000069130000}"/>
    <cellStyle name="40% - Énfasis6 10 3 3 2" xfId="4557" xr:uid="{00000000-0005-0000-0000-00006A130000}"/>
    <cellStyle name="40% - Énfasis6 10 3 3 2 2" xfId="6424" xr:uid="{00000000-0005-0000-0000-00006B130000}"/>
    <cellStyle name="40% - Énfasis6 10 3 3 3" xfId="5522" xr:uid="{00000000-0005-0000-0000-00006C130000}"/>
    <cellStyle name="40% - Énfasis6 10 3 4" xfId="4025" xr:uid="{00000000-0005-0000-0000-00006D130000}"/>
    <cellStyle name="40% - Énfasis6 10 3 4 2" xfId="5979" xr:uid="{00000000-0005-0000-0000-00006E130000}"/>
    <cellStyle name="40% - Énfasis6 10 3 5" xfId="5064" xr:uid="{00000000-0005-0000-0000-00006F130000}"/>
    <cellStyle name="40% - Énfasis6 10 4" xfId="1652" xr:uid="{00000000-0005-0000-0000-000070130000}"/>
    <cellStyle name="40% - Énfasis6 10 4 2" xfId="3079" xr:uid="{00000000-0005-0000-0000-000071130000}"/>
    <cellStyle name="40% - Énfasis6 10 4 2 2" xfId="4698" xr:uid="{00000000-0005-0000-0000-000072130000}"/>
    <cellStyle name="40% - Énfasis6 10 4 2 2 2" xfId="6565" xr:uid="{00000000-0005-0000-0000-000073130000}"/>
    <cellStyle name="40% - Énfasis6 10 4 2 3" xfId="5663" xr:uid="{00000000-0005-0000-0000-000074130000}"/>
    <cellStyle name="40% - Énfasis6 10 4 3" xfId="4171" xr:uid="{00000000-0005-0000-0000-000075130000}"/>
    <cellStyle name="40% - Énfasis6 10 4 3 2" xfId="6119" xr:uid="{00000000-0005-0000-0000-000076130000}"/>
    <cellStyle name="40% - Énfasis6 10 4 4" xfId="5205" xr:uid="{00000000-0005-0000-0000-000077130000}"/>
    <cellStyle name="40% - Énfasis6 10 5" xfId="1653" xr:uid="{00000000-0005-0000-0000-000078130000}"/>
    <cellStyle name="40% - Énfasis6 10 5 2" xfId="3080" xr:uid="{00000000-0005-0000-0000-000079130000}"/>
    <cellStyle name="40% - Énfasis6 10 5 2 2" xfId="4699" xr:uid="{00000000-0005-0000-0000-00007A130000}"/>
    <cellStyle name="40% - Énfasis6 10 5 2 2 2" xfId="6566" xr:uid="{00000000-0005-0000-0000-00007B130000}"/>
    <cellStyle name="40% - Énfasis6 10 5 2 3" xfId="5664" xr:uid="{00000000-0005-0000-0000-00007C130000}"/>
    <cellStyle name="40% - Énfasis6 10 5 3" xfId="4172" xr:uid="{00000000-0005-0000-0000-00007D130000}"/>
    <cellStyle name="40% - Énfasis6 10 5 3 2" xfId="6120" xr:uid="{00000000-0005-0000-0000-00007E130000}"/>
    <cellStyle name="40% - Énfasis6 10 5 4" xfId="5206" xr:uid="{00000000-0005-0000-0000-00007F130000}"/>
    <cellStyle name="40% - Énfasis6 10 6" xfId="2841" xr:uid="{00000000-0005-0000-0000-000080130000}"/>
    <cellStyle name="40% - Énfasis6 10 6 2" xfId="4461" xr:uid="{00000000-0005-0000-0000-000081130000}"/>
    <cellStyle name="40% - Énfasis6 10 6 2 2" xfId="6329" xr:uid="{00000000-0005-0000-0000-000082130000}"/>
    <cellStyle name="40% - Énfasis6 10 6 3" xfId="5427" xr:uid="{00000000-0005-0000-0000-000083130000}"/>
    <cellStyle name="40% - Énfasis6 10 7" xfId="3812" xr:uid="{00000000-0005-0000-0000-000084130000}"/>
    <cellStyle name="40% - Énfasis6 10 7 2" xfId="5885" xr:uid="{00000000-0005-0000-0000-000085130000}"/>
    <cellStyle name="40% - Énfasis6 10 8" xfId="4820" xr:uid="{00000000-0005-0000-0000-000086130000}"/>
    <cellStyle name="40% - Énfasis6 10 8 2" xfId="6665" xr:uid="{00000000-0005-0000-0000-000087130000}"/>
    <cellStyle name="40% - Énfasis6 10 9" xfId="4865" xr:uid="{00000000-0005-0000-0000-000088130000}"/>
    <cellStyle name="40% - Énfasis6 10 9 2" xfId="6707" xr:uid="{00000000-0005-0000-0000-000089130000}"/>
    <cellStyle name="40% - Énfasis6 11" xfId="1055" xr:uid="{00000000-0005-0000-0000-00008A130000}"/>
    <cellStyle name="40% - Énfasis6 11 2" xfId="1056" xr:uid="{00000000-0005-0000-0000-00008B130000}"/>
    <cellStyle name="40% - Énfasis6 12" xfId="1053" xr:uid="{00000000-0005-0000-0000-00008C130000}"/>
    <cellStyle name="40% - Énfasis6 12 10" xfId="25673" xr:uid="{00000000-0005-0000-0000-00008D130000}"/>
    <cellStyle name="40% - Énfasis6 12 11" xfId="26177" xr:uid="{00000000-0005-0000-0000-00008E130000}"/>
    <cellStyle name="40% - Énfasis6 12 12" xfId="26681" xr:uid="{00000000-0005-0000-0000-00008F130000}"/>
    <cellStyle name="40% - Énfasis6 12 13" xfId="27185" xr:uid="{00000000-0005-0000-0000-000090130000}"/>
    <cellStyle name="40% - Énfasis6 12 14" xfId="27689" xr:uid="{00000000-0005-0000-0000-000091130000}"/>
    <cellStyle name="40% - Énfasis6 12 15" xfId="28193" xr:uid="{00000000-0005-0000-0000-000092130000}"/>
    <cellStyle name="40% - Énfasis6 12 16" xfId="28697" xr:uid="{00000000-0005-0000-0000-000093130000}"/>
    <cellStyle name="40% - Énfasis6 12 17" xfId="29201" xr:uid="{00000000-0005-0000-0000-000094130000}"/>
    <cellStyle name="40% - Énfasis6 12 18" xfId="29705" xr:uid="{00000000-0005-0000-0000-000095130000}"/>
    <cellStyle name="40% - Énfasis6 12 19" xfId="30209" xr:uid="{00000000-0005-0000-0000-000096130000}"/>
    <cellStyle name="40% - Énfasis6 12 2" xfId="1465" xr:uid="{00000000-0005-0000-0000-000097130000}"/>
    <cellStyle name="40% - Énfasis6 12 2 10" xfId="26178" xr:uid="{00000000-0005-0000-0000-000098130000}"/>
    <cellStyle name="40% - Énfasis6 12 2 11" xfId="26682" xr:uid="{00000000-0005-0000-0000-000099130000}"/>
    <cellStyle name="40% - Énfasis6 12 2 12" xfId="27186" xr:uid="{00000000-0005-0000-0000-00009A130000}"/>
    <cellStyle name="40% - Énfasis6 12 2 13" xfId="27690" xr:uid="{00000000-0005-0000-0000-00009B130000}"/>
    <cellStyle name="40% - Énfasis6 12 2 14" xfId="28194" xr:uid="{00000000-0005-0000-0000-00009C130000}"/>
    <cellStyle name="40% - Énfasis6 12 2 15" xfId="28698" xr:uid="{00000000-0005-0000-0000-00009D130000}"/>
    <cellStyle name="40% - Énfasis6 12 2 16" xfId="29202" xr:uid="{00000000-0005-0000-0000-00009E130000}"/>
    <cellStyle name="40% - Énfasis6 12 2 17" xfId="29706" xr:uid="{00000000-0005-0000-0000-00009F130000}"/>
    <cellStyle name="40% - Énfasis6 12 2 18" xfId="30210" xr:uid="{00000000-0005-0000-0000-0000A0130000}"/>
    <cellStyle name="40% - Énfasis6 12 2 19" xfId="30715" xr:uid="{00000000-0005-0000-0000-0000A1130000}"/>
    <cellStyle name="40% - Énfasis6 12 2 2" xfId="1654" xr:uid="{00000000-0005-0000-0000-0000A2130000}"/>
    <cellStyle name="40% - Énfasis6 12 2 2 2" xfId="3081" xr:uid="{00000000-0005-0000-0000-0000A3130000}"/>
    <cellStyle name="40% - Énfasis6 12 2 2 2 2" xfId="4700" xr:uid="{00000000-0005-0000-0000-0000A4130000}"/>
    <cellStyle name="40% - Énfasis6 12 2 2 2 2 2" xfId="6567" xr:uid="{00000000-0005-0000-0000-0000A5130000}"/>
    <cellStyle name="40% - Énfasis6 12 2 2 2 3" xfId="5665" xr:uid="{00000000-0005-0000-0000-0000A6130000}"/>
    <cellStyle name="40% - Énfasis6 12 2 2 3" xfId="4173" xr:uid="{00000000-0005-0000-0000-0000A7130000}"/>
    <cellStyle name="40% - Énfasis6 12 2 2 3 2" xfId="6121" xr:uid="{00000000-0005-0000-0000-0000A8130000}"/>
    <cellStyle name="40% - Énfasis6 12 2 2 4" xfId="5207" xr:uid="{00000000-0005-0000-0000-0000A9130000}"/>
    <cellStyle name="40% - Énfasis6 12 2 3" xfId="2899" xr:uid="{00000000-0005-0000-0000-0000AA130000}"/>
    <cellStyle name="40% - Énfasis6 12 2 3 2" xfId="4518" xr:uid="{00000000-0005-0000-0000-0000AB130000}"/>
    <cellStyle name="40% - Énfasis6 12 2 3 2 2" xfId="6385" xr:uid="{00000000-0005-0000-0000-0000AC130000}"/>
    <cellStyle name="40% - Énfasis6 12 2 3 3" xfId="5483" xr:uid="{00000000-0005-0000-0000-0000AD130000}"/>
    <cellStyle name="40% - Énfasis6 12 2 4" xfId="3986" xr:uid="{00000000-0005-0000-0000-0000AE130000}"/>
    <cellStyle name="40% - Énfasis6 12 2 4 2" xfId="5940" xr:uid="{00000000-0005-0000-0000-0000AF130000}"/>
    <cellStyle name="40% - Énfasis6 12 2 5" xfId="5025" xr:uid="{00000000-0005-0000-0000-0000B0130000}"/>
    <cellStyle name="40% - Énfasis6 12 2 6" xfId="23405" xr:uid="{00000000-0005-0000-0000-0000B1130000}"/>
    <cellStyle name="40% - Énfasis6 12 2 7" xfId="24666" xr:uid="{00000000-0005-0000-0000-0000B2130000}"/>
    <cellStyle name="40% - Énfasis6 12 2 8" xfId="25170" xr:uid="{00000000-0005-0000-0000-0000B3130000}"/>
    <cellStyle name="40% - Énfasis6 12 2 9" xfId="25674" xr:uid="{00000000-0005-0000-0000-0000B4130000}"/>
    <cellStyle name="40% - Énfasis6 12 20" xfId="30714" xr:uid="{00000000-0005-0000-0000-0000B5130000}"/>
    <cellStyle name="40% - Énfasis6 12 3" xfId="1655" xr:uid="{00000000-0005-0000-0000-0000B6130000}"/>
    <cellStyle name="40% - Énfasis6 12 3 2" xfId="3082" xr:uid="{00000000-0005-0000-0000-0000B7130000}"/>
    <cellStyle name="40% - Énfasis6 12 3 2 2" xfId="4701" xr:uid="{00000000-0005-0000-0000-0000B8130000}"/>
    <cellStyle name="40% - Énfasis6 12 3 2 2 2" xfId="6568" xr:uid="{00000000-0005-0000-0000-0000B9130000}"/>
    <cellStyle name="40% - Énfasis6 12 3 2 3" xfId="5666" xr:uid="{00000000-0005-0000-0000-0000BA130000}"/>
    <cellStyle name="40% - Énfasis6 12 3 3" xfId="4174" xr:uid="{00000000-0005-0000-0000-0000BB130000}"/>
    <cellStyle name="40% - Énfasis6 12 3 3 2" xfId="6122" xr:uid="{00000000-0005-0000-0000-0000BC130000}"/>
    <cellStyle name="40% - Énfasis6 12 3 4" xfId="5208" xr:uid="{00000000-0005-0000-0000-0000BD130000}"/>
    <cellStyle name="40% - Énfasis6 12 4" xfId="2840" xr:uid="{00000000-0005-0000-0000-0000BE130000}"/>
    <cellStyle name="40% - Énfasis6 12 4 2" xfId="4460" xr:uid="{00000000-0005-0000-0000-0000BF130000}"/>
    <cellStyle name="40% - Énfasis6 12 4 2 2" xfId="6328" xr:uid="{00000000-0005-0000-0000-0000C0130000}"/>
    <cellStyle name="40% - Énfasis6 12 4 3" xfId="5426" xr:uid="{00000000-0005-0000-0000-0000C1130000}"/>
    <cellStyle name="40% - Énfasis6 12 5" xfId="3811" xr:uid="{00000000-0005-0000-0000-0000C2130000}"/>
    <cellStyle name="40% - Énfasis6 12 5 2" xfId="5884" xr:uid="{00000000-0005-0000-0000-0000C3130000}"/>
    <cellStyle name="40% - Énfasis6 12 6" xfId="4968" xr:uid="{00000000-0005-0000-0000-0000C4130000}"/>
    <cellStyle name="40% - Énfasis6 12 7" xfId="23404" xr:uid="{00000000-0005-0000-0000-0000C5130000}"/>
    <cellStyle name="40% - Énfasis6 12 8" xfId="24665" xr:uid="{00000000-0005-0000-0000-0000C6130000}"/>
    <cellStyle name="40% - Énfasis6 12 9" xfId="25169" xr:uid="{00000000-0005-0000-0000-0000C7130000}"/>
    <cellStyle name="40% - Énfasis6 13" xfId="1383" xr:uid="{00000000-0005-0000-0000-0000C8130000}"/>
    <cellStyle name="40% - Énfasis6 14" xfId="1505" xr:uid="{00000000-0005-0000-0000-0000C9130000}"/>
    <cellStyle name="40% - Énfasis6 14 2" xfId="1656" xr:uid="{00000000-0005-0000-0000-0000CA130000}"/>
    <cellStyle name="40% - Énfasis6 14 2 2" xfId="3083" xr:uid="{00000000-0005-0000-0000-0000CB130000}"/>
    <cellStyle name="40% - Énfasis6 14 2 2 2" xfId="4702" xr:uid="{00000000-0005-0000-0000-0000CC130000}"/>
    <cellStyle name="40% - Énfasis6 14 2 2 2 2" xfId="6569" xr:uid="{00000000-0005-0000-0000-0000CD130000}"/>
    <cellStyle name="40% - Énfasis6 14 2 2 3" xfId="5667" xr:uid="{00000000-0005-0000-0000-0000CE130000}"/>
    <cellStyle name="40% - Énfasis6 14 2 3" xfId="4175" xr:uid="{00000000-0005-0000-0000-0000CF130000}"/>
    <cellStyle name="40% - Énfasis6 14 2 3 2" xfId="6123" xr:uid="{00000000-0005-0000-0000-0000D0130000}"/>
    <cellStyle name="40% - Énfasis6 14 2 4" xfId="5209" xr:uid="{00000000-0005-0000-0000-0000D1130000}"/>
    <cellStyle name="40% - Énfasis6 14 3" xfId="2939" xr:uid="{00000000-0005-0000-0000-0000D2130000}"/>
    <cellStyle name="40% - Énfasis6 14 3 2" xfId="4558" xr:uid="{00000000-0005-0000-0000-0000D3130000}"/>
    <cellStyle name="40% - Énfasis6 14 3 2 2" xfId="6425" xr:uid="{00000000-0005-0000-0000-0000D4130000}"/>
    <cellStyle name="40% - Énfasis6 14 3 3" xfId="5523" xr:uid="{00000000-0005-0000-0000-0000D5130000}"/>
    <cellStyle name="40% - Énfasis6 14 4" xfId="4026" xr:uid="{00000000-0005-0000-0000-0000D6130000}"/>
    <cellStyle name="40% - Énfasis6 14 4 2" xfId="5980" xr:uid="{00000000-0005-0000-0000-0000D7130000}"/>
    <cellStyle name="40% - Énfasis6 14 5" xfId="5065" xr:uid="{00000000-0005-0000-0000-0000D8130000}"/>
    <cellStyle name="40% - Énfasis6 15" xfId="1657" xr:uid="{00000000-0005-0000-0000-0000D9130000}"/>
    <cellStyle name="40% - Énfasis6 15 2" xfId="3084" xr:uid="{00000000-0005-0000-0000-0000DA130000}"/>
    <cellStyle name="40% - Énfasis6 15 2 2" xfId="4703" xr:uid="{00000000-0005-0000-0000-0000DB130000}"/>
    <cellStyle name="40% - Énfasis6 15 2 2 2" xfId="6570" xr:uid="{00000000-0005-0000-0000-0000DC130000}"/>
    <cellStyle name="40% - Énfasis6 15 2 3" xfId="5668" xr:uid="{00000000-0005-0000-0000-0000DD130000}"/>
    <cellStyle name="40% - Énfasis6 15 3" xfId="4176" xr:uid="{00000000-0005-0000-0000-0000DE130000}"/>
    <cellStyle name="40% - Énfasis6 15 3 2" xfId="6124" xr:uid="{00000000-0005-0000-0000-0000DF130000}"/>
    <cellStyle name="40% - Énfasis6 15 4" xfId="5210" xr:uid="{00000000-0005-0000-0000-0000E0130000}"/>
    <cellStyle name="40% - Énfasis6 16" xfId="2724" xr:uid="{00000000-0005-0000-0000-0000E1130000}"/>
    <cellStyle name="40% - Énfasis6 16 2" xfId="4403" xr:uid="{00000000-0005-0000-0000-0000E2130000}"/>
    <cellStyle name="40% - Énfasis6 16 2 2" xfId="6273" xr:uid="{00000000-0005-0000-0000-0000E3130000}"/>
    <cellStyle name="40% - Énfasis6 16 3" xfId="5371" xr:uid="{00000000-0005-0000-0000-0000E4130000}"/>
    <cellStyle name="40% - Énfasis6 17" xfId="3204" xr:uid="{00000000-0005-0000-0000-0000E5130000}"/>
    <cellStyle name="40% - Énfasis6 17 2" xfId="5762" xr:uid="{00000000-0005-0000-0000-0000E6130000}"/>
    <cellStyle name="40% - Énfasis6 18" xfId="4819" xr:uid="{00000000-0005-0000-0000-0000E7130000}"/>
    <cellStyle name="40% - Énfasis6 18 2" xfId="6664" xr:uid="{00000000-0005-0000-0000-0000E8130000}"/>
    <cellStyle name="40% - Énfasis6 19" xfId="4864" xr:uid="{00000000-0005-0000-0000-0000E9130000}"/>
    <cellStyle name="40% - Énfasis6 19 2" xfId="6706" xr:uid="{00000000-0005-0000-0000-0000EA130000}"/>
    <cellStyle name="40% - Énfasis6 2" xfId="54" xr:uid="{00000000-0005-0000-0000-0000EB130000}"/>
    <cellStyle name="40% - Énfasis6 2 2" xfId="1057" xr:uid="{00000000-0005-0000-0000-0000EC130000}"/>
    <cellStyle name="40% - Énfasis6 2 2 2" xfId="3205" xr:uid="{00000000-0005-0000-0000-0000ED130000}"/>
    <cellStyle name="40% - Énfasis6 2 2 2 2" xfId="7563" xr:uid="{00000000-0005-0000-0000-0000EE130000}"/>
    <cellStyle name="40% - Énfasis6 2 2 2 3" xfId="7562" xr:uid="{00000000-0005-0000-0000-0000EF130000}"/>
    <cellStyle name="40% - Énfasis6 2 2 3" xfId="7564" xr:uid="{00000000-0005-0000-0000-0000F0130000}"/>
    <cellStyle name="40% - Énfasis6 2 2 4" xfId="7565" xr:uid="{00000000-0005-0000-0000-0000F1130000}"/>
    <cellStyle name="40% - Énfasis6 2 2 5" xfId="7561" xr:uid="{00000000-0005-0000-0000-0000F2130000}"/>
    <cellStyle name="40% - Énfasis6 2 3" xfId="1841" xr:uid="{00000000-0005-0000-0000-0000F3130000}"/>
    <cellStyle name="40% - Énfasis6 2 4" xfId="7566" xr:uid="{00000000-0005-0000-0000-0000F4130000}"/>
    <cellStyle name="40% - Énfasis6 2 4 2" xfId="22897" xr:uid="{00000000-0005-0000-0000-0000F5130000}"/>
    <cellStyle name="40% - Énfasis6 2 5" xfId="31216" xr:uid="{DE8BAF16-4F90-47BA-81F0-9DDD4F3C4F20}"/>
    <cellStyle name="40% - Énfasis6 20" xfId="4886" xr:uid="{00000000-0005-0000-0000-0000F6130000}"/>
    <cellStyle name="40% - Énfasis6 21" xfId="6749" xr:uid="{00000000-0005-0000-0000-0000F7130000}"/>
    <cellStyle name="40% - Énfasis6 22" xfId="6804" xr:uid="{00000000-0005-0000-0000-0000F8130000}"/>
    <cellStyle name="40% - Énfasis6 23" xfId="7276" xr:uid="{00000000-0005-0000-0000-0000F9130000}"/>
    <cellStyle name="40% - Énfasis6 24" xfId="22895" xr:uid="{00000000-0005-0000-0000-0000FA130000}"/>
    <cellStyle name="40% - Énfasis6 25" xfId="23166" xr:uid="{00000000-0005-0000-0000-0000FB130000}"/>
    <cellStyle name="40% - Énfasis6 26" xfId="24556" xr:uid="{00000000-0005-0000-0000-0000FC130000}"/>
    <cellStyle name="40% - Énfasis6 27" xfId="25060" xr:uid="{00000000-0005-0000-0000-0000FD130000}"/>
    <cellStyle name="40% - Énfasis6 28" xfId="25564" xr:uid="{00000000-0005-0000-0000-0000FE130000}"/>
    <cellStyle name="40% - Énfasis6 29" xfId="26068" xr:uid="{00000000-0005-0000-0000-0000FF130000}"/>
    <cellStyle name="40% - Énfasis6 3" xfId="1058" xr:uid="{00000000-0005-0000-0000-000000140000}"/>
    <cellStyle name="40% - Énfasis6 3 2" xfId="1059" xr:uid="{00000000-0005-0000-0000-000001140000}"/>
    <cellStyle name="40% - Énfasis6 3 2 2" xfId="7567" xr:uid="{00000000-0005-0000-0000-000002140000}"/>
    <cellStyle name="40% - Énfasis6 3 2 2 2" xfId="23407" xr:uid="{00000000-0005-0000-0000-000003140000}"/>
    <cellStyle name="40% - Énfasis6 3 2 2 3" xfId="23406" xr:uid="{00000000-0005-0000-0000-000004140000}"/>
    <cellStyle name="40% - Énfasis6 3 2 3" xfId="7568" xr:uid="{00000000-0005-0000-0000-000005140000}"/>
    <cellStyle name="40% - Énfasis6 3 2 3 2" xfId="23408" xr:uid="{00000000-0005-0000-0000-000006140000}"/>
    <cellStyle name="40% - Énfasis6 3 3" xfId="1842" xr:uid="{00000000-0005-0000-0000-000007140000}"/>
    <cellStyle name="40% - Énfasis6 3 3 2" xfId="23409" xr:uid="{00000000-0005-0000-0000-000008140000}"/>
    <cellStyle name="40% - Énfasis6 3 4" xfId="7569" xr:uid="{00000000-0005-0000-0000-000009140000}"/>
    <cellStyle name="40% - Énfasis6 3 4 2" xfId="23410" xr:uid="{00000000-0005-0000-0000-00000A140000}"/>
    <cellStyle name="40% - Énfasis6 3 5" xfId="7570" xr:uid="{00000000-0005-0000-0000-00000B140000}"/>
    <cellStyle name="40% - Énfasis6 3 5 2" xfId="23412" xr:uid="{00000000-0005-0000-0000-00000C140000}"/>
    <cellStyle name="40% - Énfasis6 3 5 3" xfId="23411" xr:uid="{00000000-0005-0000-0000-00000D140000}"/>
    <cellStyle name="40% - Énfasis6 3 6" xfId="23413" xr:uid="{00000000-0005-0000-0000-00000E140000}"/>
    <cellStyle name="40% - Énfasis6 3 7" xfId="23414" xr:uid="{00000000-0005-0000-0000-00000F140000}"/>
    <cellStyle name="40% - Énfasis6 30" xfId="26572" xr:uid="{00000000-0005-0000-0000-000010140000}"/>
    <cellStyle name="40% - Énfasis6 31" xfId="27076" xr:uid="{00000000-0005-0000-0000-000011140000}"/>
    <cellStyle name="40% - Énfasis6 32" xfId="27580" xr:uid="{00000000-0005-0000-0000-000012140000}"/>
    <cellStyle name="40% - Énfasis6 33" xfId="28084" xr:uid="{00000000-0005-0000-0000-000013140000}"/>
    <cellStyle name="40% - Énfasis6 34" xfId="28588" xr:uid="{00000000-0005-0000-0000-000014140000}"/>
    <cellStyle name="40% - Énfasis6 35" xfId="29092" xr:uid="{00000000-0005-0000-0000-000015140000}"/>
    <cellStyle name="40% - Énfasis6 36" xfId="29596" xr:uid="{00000000-0005-0000-0000-000016140000}"/>
    <cellStyle name="40% - Énfasis6 37" xfId="30100" xr:uid="{00000000-0005-0000-0000-000017140000}"/>
    <cellStyle name="40% - Énfasis6 38" xfId="30605" xr:uid="{00000000-0005-0000-0000-000018140000}"/>
    <cellStyle name="40% - Énfasis6 39" xfId="31129" xr:uid="{E7217AEF-33DF-4548-9B04-439FF8F880BE}"/>
    <cellStyle name="40% - Énfasis6 4" xfId="1060" xr:uid="{00000000-0005-0000-0000-000019140000}"/>
    <cellStyle name="40% - Énfasis6 4 2" xfId="1061" xr:uid="{00000000-0005-0000-0000-00001A140000}"/>
    <cellStyle name="40% - Énfasis6 4 3" xfId="7572" xr:uid="{00000000-0005-0000-0000-00001B140000}"/>
    <cellStyle name="40% - Énfasis6 4 4" xfId="7573" xr:uid="{00000000-0005-0000-0000-00001C140000}"/>
    <cellStyle name="40% - Énfasis6 4 4 2" xfId="17967" xr:uid="{00000000-0005-0000-0000-00001D140000}"/>
    <cellStyle name="40% - Énfasis6 4 5" xfId="7574" xr:uid="{00000000-0005-0000-0000-00001E140000}"/>
    <cellStyle name="40% - Énfasis6 4 6" xfId="7571" xr:uid="{00000000-0005-0000-0000-00001F140000}"/>
    <cellStyle name="40% - Énfasis6 4 7" xfId="17966" xr:uid="{00000000-0005-0000-0000-000020140000}"/>
    <cellStyle name="40% - Énfasis6 5" xfId="1062" xr:uid="{00000000-0005-0000-0000-000021140000}"/>
    <cellStyle name="40% - Énfasis6 5 2" xfId="1063" xr:uid="{00000000-0005-0000-0000-000022140000}"/>
    <cellStyle name="40% - Énfasis6 6" xfId="1064" xr:uid="{00000000-0005-0000-0000-000023140000}"/>
    <cellStyle name="40% - Énfasis6 6 10" xfId="24667" xr:uid="{00000000-0005-0000-0000-000024140000}"/>
    <cellStyle name="40% - Énfasis6 6 11" xfId="25171" xr:uid="{00000000-0005-0000-0000-000025140000}"/>
    <cellStyle name="40% - Énfasis6 6 12" xfId="25675" xr:uid="{00000000-0005-0000-0000-000026140000}"/>
    <cellStyle name="40% - Énfasis6 6 13" xfId="26179" xr:uid="{00000000-0005-0000-0000-000027140000}"/>
    <cellStyle name="40% - Énfasis6 6 14" xfId="26683" xr:uid="{00000000-0005-0000-0000-000028140000}"/>
    <cellStyle name="40% - Énfasis6 6 15" xfId="27187" xr:uid="{00000000-0005-0000-0000-000029140000}"/>
    <cellStyle name="40% - Énfasis6 6 16" xfId="27691" xr:uid="{00000000-0005-0000-0000-00002A140000}"/>
    <cellStyle name="40% - Énfasis6 6 17" xfId="28195" xr:uid="{00000000-0005-0000-0000-00002B140000}"/>
    <cellStyle name="40% - Énfasis6 6 18" xfId="28699" xr:uid="{00000000-0005-0000-0000-00002C140000}"/>
    <cellStyle name="40% - Énfasis6 6 19" xfId="29203" xr:uid="{00000000-0005-0000-0000-00002D140000}"/>
    <cellStyle name="40% - Énfasis6 6 2" xfId="1065" xr:uid="{00000000-0005-0000-0000-00002E140000}"/>
    <cellStyle name="40% - Énfasis6 6 2 2" xfId="17969" xr:uid="{00000000-0005-0000-0000-00002F140000}"/>
    <cellStyle name="40% - Énfasis6 6 2 3" xfId="7576" xr:uid="{00000000-0005-0000-0000-000030140000}"/>
    <cellStyle name="40% - Énfasis6 6 20" xfId="29707" xr:uid="{00000000-0005-0000-0000-000031140000}"/>
    <cellStyle name="40% - Énfasis6 6 21" xfId="30211" xr:uid="{00000000-0005-0000-0000-000032140000}"/>
    <cellStyle name="40% - Énfasis6 6 22" xfId="30716" xr:uid="{00000000-0005-0000-0000-000033140000}"/>
    <cellStyle name="40% - Énfasis6 6 3" xfId="1843" xr:uid="{00000000-0005-0000-0000-000034140000}"/>
    <cellStyle name="40% - Énfasis6 6 3 2" xfId="4253" xr:uid="{00000000-0005-0000-0000-000035140000}"/>
    <cellStyle name="40% - Énfasis6 6 3 2 2" xfId="6197" xr:uid="{00000000-0005-0000-0000-000036140000}"/>
    <cellStyle name="40% - Énfasis6 6 3 3" xfId="5287" xr:uid="{00000000-0005-0000-0000-000037140000}"/>
    <cellStyle name="40% - Énfasis6 6 3 4" xfId="7575" xr:uid="{00000000-0005-0000-0000-000038140000}"/>
    <cellStyle name="40% - Énfasis6 6 3 5" xfId="23416" xr:uid="{00000000-0005-0000-0000-000039140000}"/>
    <cellStyle name="40% - Énfasis6 6 4" xfId="2687" xr:uid="{00000000-0005-0000-0000-00003A140000}"/>
    <cellStyle name="40% - Énfasis6 6 4 10" xfId="26684" xr:uid="{00000000-0005-0000-0000-00003B140000}"/>
    <cellStyle name="40% - Énfasis6 6 4 11" xfId="27188" xr:uid="{00000000-0005-0000-0000-00003C140000}"/>
    <cellStyle name="40% - Énfasis6 6 4 12" xfId="27692" xr:uid="{00000000-0005-0000-0000-00003D140000}"/>
    <cellStyle name="40% - Énfasis6 6 4 13" xfId="28196" xr:uid="{00000000-0005-0000-0000-00003E140000}"/>
    <cellStyle name="40% - Énfasis6 6 4 14" xfId="28700" xr:uid="{00000000-0005-0000-0000-00003F140000}"/>
    <cellStyle name="40% - Énfasis6 6 4 15" xfId="29204" xr:uid="{00000000-0005-0000-0000-000040140000}"/>
    <cellStyle name="40% - Énfasis6 6 4 16" xfId="29708" xr:uid="{00000000-0005-0000-0000-000041140000}"/>
    <cellStyle name="40% - Énfasis6 6 4 17" xfId="30212" xr:uid="{00000000-0005-0000-0000-000042140000}"/>
    <cellStyle name="40% - Énfasis6 6 4 18" xfId="30717" xr:uid="{00000000-0005-0000-0000-000043140000}"/>
    <cellStyle name="40% - Énfasis6 6 4 2" xfId="4368" xr:uid="{00000000-0005-0000-0000-000044140000}"/>
    <cellStyle name="40% - Énfasis6 6 4 2 2" xfId="6238" xr:uid="{00000000-0005-0000-0000-000045140000}"/>
    <cellStyle name="40% - Énfasis6 6 4 3" xfId="5335" xr:uid="{00000000-0005-0000-0000-000046140000}"/>
    <cellStyle name="40% - Énfasis6 6 4 4" xfId="17968" xr:uid="{00000000-0005-0000-0000-000047140000}"/>
    <cellStyle name="40% - Énfasis6 6 4 5" xfId="23417" xr:uid="{00000000-0005-0000-0000-000048140000}"/>
    <cellStyle name="40% - Énfasis6 6 4 6" xfId="24668" xr:uid="{00000000-0005-0000-0000-000049140000}"/>
    <cellStyle name="40% - Énfasis6 6 4 7" xfId="25172" xr:uid="{00000000-0005-0000-0000-00004A140000}"/>
    <cellStyle name="40% - Énfasis6 6 4 8" xfId="25676" xr:uid="{00000000-0005-0000-0000-00004B140000}"/>
    <cellStyle name="40% - Énfasis6 6 4 9" xfId="26180" xr:uid="{00000000-0005-0000-0000-00004C140000}"/>
    <cellStyle name="40% - Énfasis6 6 5" xfId="3813" xr:uid="{00000000-0005-0000-0000-00004D140000}"/>
    <cellStyle name="40% - Énfasis6 6 6" xfId="3206" xr:uid="{00000000-0005-0000-0000-00004E140000}"/>
    <cellStyle name="40% - Énfasis6 6 6 2" xfId="5763" xr:uid="{00000000-0005-0000-0000-00004F140000}"/>
    <cellStyle name="40% - Énfasis6 6 7" xfId="6805" xr:uid="{00000000-0005-0000-0000-000050140000}"/>
    <cellStyle name="40% - Énfasis6 6 8" xfId="7124" xr:uid="{00000000-0005-0000-0000-000051140000}"/>
    <cellStyle name="40% - Énfasis6 6 9" xfId="23415" xr:uid="{00000000-0005-0000-0000-000052140000}"/>
    <cellStyle name="40% - Énfasis6 7" xfId="1066" xr:uid="{00000000-0005-0000-0000-000053140000}"/>
    <cellStyle name="40% - Énfasis6 7 10" xfId="24669" xr:uid="{00000000-0005-0000-0000-000054140000}"/>
    <cellStyle name="40% - Énfasis6 7 11" xfId="25173" xr:uid="{00000000-0005-0000-0000-000055140000}"/>
    <cellStyle name="40% - Énfasis6 7 12" xfId="25677" xr:uid="{00000000-0005-0000-0000-000056140000}"/>
    <cellStyle name="40% - Énfasis6 7 13" xfId="26181" xr:uid="{00000000-0005-0000-0000-000057140000}"/>
    <cellStyle name="40% - Énfasis6 7 14" xfId="26685" xr:uid="{00000000-0005-0000-0000-000058140000}"/>
    <cellStyle name="40% - Énfasis6 7 15" xfId="27189" xr:uid="{00000000-0005-0000-0000-000059140000}"/>
    <cellStyle name="40% - Énfasis6 7 16" xfId="27693" xr:uid="{00000000-0005-0000-0000-00005A140000}"/>
    <cellStyle name="40% - Énfasis6 7 17" xfId="28197" xr:uid="{00000000-0005-0000-0000-00005B140000}"/>
    <cellStyle name="40% - Énfasis6 7 18" xfId="28701" xr:uid="{00000000-0005-0000-0000-00005C140000}"/>
    <cellStyle name="40% - Énfasis6 7 19" xfId="29205" xr:uid="{00000000-0005-0000-0000-00005D140000}"/>
    <cellStyle name="40% - Énfasis6 7 2" xfId="1067" xr:uid="{00000000-0005-0000-0000-00005E140000}"/>
    <cellStyle name="40% - Énfasis6 7 2 2" xfId="17971" xr:uid="{00000000-0005-0000-0000-00005F140000}"/>
    <cellStyle name="40% - Énfasis6 7 2 3" xfId="7578" xr:uid="{00000000-0005-0000-0000-000060140000}"/>
    <cellStyle name="40% - Énfasis6 7 20" xfId="29709" xr:uid="{00000000-0005-0000-0000-000061140000}"/>
    <cellStyle name="40% - Énfasis6 7 21" xfId="30213" xr:uid="{00000000-0005-0000-0000-000062140000}"/>
    <cellStyle name="40% - Énfasis6 7 22" xfId="30718" xr:uid="{00000000-0005-0000-0000-000063140000}"/>
    <cellStyle name="40% - Énfasis6 7 3" xfId="1844" xr:uid="{00000000-0005-0000-0000-000064140000}"/>
    <cellStyle name="40% - Énfasis6 7 3 2" xfId="4254" xr:uid="{00000000-0005-0000-0000-000065140000}"/>
    <cellStyle name="40% - Énfasis6 7 3 2 2" xfId="6198" xr:uid="{00000000-0005-0000-0000-000066140000}"/>
    <cellStyle name="40% - Énfasis6 7 3 3" xfId="5288" xr:uid="{00000000-0005-0000-0000-000067140000}"/>
    <cellStyle name="40% - Énfasis6 7 3 4" xfId="7577" xr:uid="{00000000-0005-0000-0000-000068140000}"/>
    <cellStyle name="40% - Énfasis6 7 3 5" xfId="23419" xr:uid="{00000000-0005-0000-0000-000069140000}"/>
    <cellStyle name="40% - Énfasis6 7 4" xfId="2688" xr:uid="{00000000-0005-0000-0000-00006A140000}"/>
    <cellStyle name="40% - Énfasis6 7 4 10" xfId="26686" xr:uid="{00000000-0005-0000-0000-00006B140000}"/>
    <cellStyle name="40% - Énfasis6 7 4 11" xfId="27190" xr:uid="{00000000-0005-0000-0000-00006C140000}"/>
    <cellStyle name="40% - Énfasis6 7 4 12" xfId="27694" xr:uid="{00000000-0005-0000-0000-00006D140000}"/>
    <cellStyle name="40% - Énfasis6 7 4 13" xfId="28198" xr:uid="{00000000-0005-0000-0000-00006E140000}"/>
    <cellStyle name="40% - Énfasis6 7 4 14" xfId="28702" xr:uid="{00000000-0005-0000-0000-00006F140000}"/>
    <cellStyle name="40% - Énfasis6 7 4 15" xfId="29206" xr:uid="{00000000-0005-0000-0000-000070140000}"/>
    <cellStyle name="40% - Énfasis6 7 4 16" xfId="29710" xr:uid="{00000000-0005-0000-0000-000071140000}"/>
    <cellStyle name="40% - Énfasis6 7 4 17" xfId="30214" xr:uid="{00000000-0005-0000-0000-000072140000}"/>
    <cellStyle name="40% - Énfasis6 7 4 18" xfId="30719" xr:uid="{00000000-0005-0000-0000-000073140000}"/>
    <cellStyle name="40% - Énfasis6 7 4 2" xfId="4369" xr:uid="{00000000-0005-0000-0000-000074140000}"/>
    <cellStyle name="40% - Énfasis6 7 4 2 2" xfId="6239" xr:uid="{00000000-0005-0000-0000-000075140000}"/>
    <cellStyle name="40% - Énfasis6 7 4 3" xfId="5336" xr:uid="{00000000-0005-0000-0000-000076140000}"/>
    <cellStyle name="40% - Énfasis6 7 4 4" xfId="17970" xr:uid="{00000000-0005-0000-0000-000077140000}"/>
    <cellStyle name="40% - Énfasis6 7 4 5" xfId="23420" xr:uid="{00000000-0005-0000-0000-000078140000}"/>
    <cellStyle name="40% - Énfasis6 7 4 6" xfId="24670" xr:uid="{00000000-0005-0000-0000-000079140000}"/>
    <cellStyle name="40% - Énfasis6 7 4 7" xfId="25174" xr:uid="{00000000-0005-0000-0000-00007A140000}"/>
    <cellStyle name="40% - Énfasis6 7 4 8" xfId="25678" xr:uid="{00000000-0005-0000-0000-00007B140000}"/>
    <cellStyle name="40% - Énfasis6 7 4 9" xfId="26182" xr:uid="{00000000-0005-0000-0000-00007C140000}"/>
    <cellStyle name="40% - Énfasis6 7 5" xfId="3814" xr:uid="{00000000-0005-0000-0000-00007D140000}"/>
    <cellStyle name="40% - Énfasis6 7 6" xfId="3207" xr:uid="{00000000-0005-0000-0000-00007E140000}"/>
    <cellStyle name="40% - Énfasis6 7 6 2" xfId="5764" xr:uid="{00000000-0005-0000-0000-00007F140000}"/>
    <cellStyle name="40% - Énfasis6 7 7" xfId="6806" xr:uid="{00000000-0005-0000-0000-000080140000}"/>
    <cellStyle name="40% - Énfasis6 7 8" xfId="7123" xr:uid="{00000000-0005-0000-0000-000081140000}"/>
    <cellStyle name="40% - Énfasis6 7 9" xfId="23418" xr:uid="{00000000-0005-0000-0000-000082140000}"/>
    <cellStyle name="40% - Énfasis6 8" xfId="1068" xr:uid="{00000000-0005-0000-0000-000083140000}"/>
    <cellStyle name="40% - Énfasis6 8 2" xfId="1069" xr:uid="{00000000-0005-0000-0000-000084140000}"/>
    <cellStyle name="40% - Énfasis6 8 3" xfId="7560" xr:uid="{00000000-0005-0000-0000-000085140000}"/>
    <cellStyle name="40% - Énfasis6 9" xfId="1070" xr:uid="{00000000-0005-0000-0000-000086140000}"/>
    <cellStyle name="40% - Énfasis6 9 10" xfId="4970" xr:uid="{00000000-0005-0000-0000-000087140000}"/>
    <cellStyle name="40% - Énfasis6 9 11" xfId="6751" xr:uid="{00000000-0005-0000-0000-000088140000}"/>
    <cellStyle name="40% - Énfasis6 9 12" xfId="17965" xr:uid="{00000000-0005-0000-0000-000089140000}"/>
    <cellStyle name="40% - Énfasis6 9 13" xfId="22898" xr:uid="{00000000-0005-0000-0000-00008A140000}"/>
    <cellStyle name="40% - Énfasis6 9 14" xfId="23421" xr:uid="{00000000-0005-0000-0000-00008B140000}"/>
    <cellStyle name="40% - Énfasis6 9 15" xfId="24671" xr:uid="{00000000-0005-0000-0000-00008C140000}"/>
    <cellStyle name="40% - Énfasis6 9 16" xfId="25175" xr:uid="{00000000-0005-0000-0000-00008D140000}"/>
    <cellStyle name="40% - Énfasis6 9 17" xfId="25679" xr:uid="{00000000-0005-0000-0000-00008E140000}"/>
    <cellStyle name="40% - Énfasis6 9 18" xfId="26183" xr:uid="{00000000-0005-0000-0000-00008F140000}"/>
    <cellStyle name="40% - Énfasis6 9 19" xfId="26687" xr:uid="{00000000-0005-0000-0000-000090140000}"/>
    <cellStyle name="40% - Énfasis6 9 2" xfId="1467" xr:uid="{00000000-0005-0000-0000-000091140000}"/>
    <cellStyle name="40% - Énfasis6 9 2 10" xfId="26184" xr:uid="{00000000-0005-0000-0000-000092140000}"/>
    <cellStyle name="40% - Énfasis6 9 2 11" xfId="26688" xr:uid="{00000000-0005-0000-0000-000093140000}"/>
    <cellStyle name="40% - Énfasis6 9 2 12" xfId="27192" xr:uid="{00000000-0005-0000-0000-000094140000}"/>
    <cellStyle name="40% - Énfasis6 9 2 13" xfId="27696" xr:uid="{00000000-0005-0000-0000-000095140000}"/>
    <cellStyle name="40% - Énfasis6 9 2 14" xfId="28200" xr:uid="{00000000-0005-0000-0000-000096140000}"/>
    <cellStyle name="40% - Énfasis6 9 2 15" xfId="28704" xr:uid="{00000000-0005-0000-0000-000097140000}"/>
    <cellStyle name="40% - Énfasis6 9 2 16" xfId="29208" xr:uid="{00000000-0005-0000-0000-000098140000}"/>
    <cellStyle name="40% - Énfasis6 9 2 17" xfId="29712" xr:uid="{00000000-0005-0000-0000-000099140000}"/>
    <cellStyle name="40% - Énfasis6 9 2 18" xfId="30216" xr:uid="{00000000-0005-0000-0000-00009A140000}"/>
    <cellStyle name="40% - Énfasis6 9 2 19" xfId="30721" xr:uid="{00000000-0005-0000-0000-00009B140000}"/>
    <cellStyle name="40% - Énfasis6 9 2 2" xfId="1658" xr:uid="{00000000-0005-0000-0000-00009C140000}"/>
    <cellStyle name="40% - Énfasis6 9 2 2 2" xfId="3085" xr:uid="{00000000-0005-0000-0000-00009D140000}"/>
    <cellStyle name="40% - Énfasis6 9 2 2 2 2" xfId="4704" xr:uid="{00000000-0005-0000-0000-00009E140000}"/>
    <cellStyle name="40% - Énfasis6 9 2 2 2 2 2" xfId="6571" xr:uid="{00000000-0005-0000-0000-00009F140000}"/>
    <cellStyle name="40% - Énfasis6 9 2 2 2 3" xfId="5669" xr:uid="{00000000-0005-0000-0000-0000A0140000}"/>
    <cellStyle name="40% - Énfasis6 9 2 2 3" xfId="4177" xr:uid="{00000000-0005-0000-0000-0000A1140000}"/>
    <cellStyle name="40% - Énfasis6 9 2 2 3 2" xfId="6125" xr:uid="{00000000-0005-0000-0000-0000A2140000}"/>
    <cellStyle name="40% - Énfasis6 9 2 2 4" xfId="5211" xr:uid="{00000000-0005-0000-0000-0000A3140000}"/>
    <cellStyle name="40% - Énfasis6 9 2 3" xfId="2901" xr:uid="{00000000-0005-0000-0000-0000A4140000}"/>
    <cellStyle name="40% - Énfasis6 9 2 3 2" xfId="4520" xr:uid="{00000000-0005-0000-0000-0000A5140000}"/>
    <cellStyle name="40% - Énfasis6 9 2 3 2 2" xfId="6387" xr:uid="{00000000-0005-0000-0000-0000A6140000}"/>
    <cellStyle name="40% - Énfasis6 9 2 3 3" xfId="5485" xr:uid="{00000000-0005-0000-0000-0000A7140000}"/>
    <cellStyle name="40% - Énfasis6 9 2 4" xfId="3988" xr:uid="{00000000-0005-0000-0000-0000A8140000}"/>
    <cellStyle name="40% - Énfasis6 9 2 4 2" xfId="5942" xr:uid="{00000000-0005-0000-0000-0000A9140000}"/>
    <cellStyle name="40% - Énfasis6 9 2 5" xfId="5027" xr:uid="{00000000-0005-0000-0000-0000AA140000}"/>
    <cellStyle name="40% - Énfasis6 9 2 6" xfId="23422" xr:uid="{00000000-0005-0000-0000-0000AB140000}"/>
    <cellStyle name="40% - Énfasis6 9 2 7" xfId="24672" xr:uid="{00000000-0005-0000-0000-0000AC140000}"/>
    <cellStyle name="40% - Énfasis6 9 2 8" xfId="25176" xr:uid="{00000000-0005-0000-0000-0000AD140000}"/>
    <cellStyle name="40% - Énfasis6 9 2 9" xfId="25680" xr:uid="{00000000-0005-0000-0000-0000AE140000}"/>
    <cellStyle name="40% - Énfasis6 9 20" xfId="27191" xr:uid="{00000000-0005-0000-0000-0000AF140000}"/>
    <cellStyle name="40% - Énfasis6 9 21" xfId="27695" xr:uid="{00000000-0005-0000-0000-0000B0140000}"/>
    <cellStyle name="40% - Énfasis6 9 22" xfId="28199" xr:uid="{00000000-0005-0000-0000-0000B1140000}"/>
    <cellStyle name="40% - Énfasis6 9 23" xfId="28703" xr:uid="{00000000-0005-0000-0000-0000B2140000}"/>
    <cellStyle name="40% - Énfasis6 9 24" xfId="29207" xr:uid="{00000000-0005-0000-0000-0000B3140000}"/>
    <cellStyle name="40% - Énfasis6 9 25" xfId="29711" xr:uid="{00000000-0005-0000-0000-0000B4140000}"/>
    <cellStyle name="40% - Énfasis6 9 26" xfId="30215" xr:uid="{00000000-0005-0000-0000-0000B5140000}"/>
    <cellStyle name="40% - Énfasis6 9 27" xfId="30720" xr:uid="{00000000-0005-0000-0000-0000B6140000}"/>
    <cellStyle name="40% - Énfasis6 9 3" xfId="1506" xr:uid="{00000000-0005-0000-0000-0000B7140000}"/>
    <cellStyle name="40% - Énfasis6 9 3 2" xfId="1659" xr:uid="{00000000-0005-0000-0000-0000B8140000}"/>
    <cellStyle name="40% - Énfasis6 9 3 2 2" xfId="3086" xr:uid="{00000000-0005-0000-0000-0000B9140000}"/>
    <cellStyle name="40% - Énfasis6 9 3 2 2 2" xfId="4705" xr:uid="{00000000-0005-0000-0000-0000BA140000}"/>
    <cellStyle name="40% - Énfasis6 9 3 2 2 2 2" xfId="6572" xr:uid="{00000000-0005-0000-0000-0000BB140000}"/>
    <cellStyle name="40% - Énfasis6 9 3 2 2 3" xfId="5670" xr:uid="{00000000-0005-0000-0000-0000BC140000}"/>
    <cellStyle name="40% - Énfasis6 9 3 2 3" xfId="4178" xr:uid="{00000000-0005-0000-0000-0000BD140000}"/>
    <cellStyle name="40% - Énfasis6 9 3 2 3 2" xfId="6126" xr:uid="{00000000-0005-0000-0000-0000BE140000}"/>
    <cellStyle name="40% - Énfasis6 9 3 2 4" xfId="5212" xr:uid="{00000000-0005-0000-0000-0000BF140000}"/>
    <cellStyle name="40% - Énfasis6 9 3 3" xfId="2940" xr:uid="{00000000-0005-0000-0000-0000C0140000}"/>
    <cellStyle name="40% - Énfasis6 9 3 3 2" xfId="4559" xr:uid="{00000000-0005-0000-0000-0000C1140000}"/>
    <cellStyle name="40% - Énfasis6 9 3 3 2 2" xfId="6426" xr:uid="{00000000-0005-0000-0000-0000C2140000}"/>
    <cellStyle name="40% - Énfasis6 9 3 3 3" xfId="5524" xr:uid="{00000000-0005-0000-0000-0000C3140000}"/>
    <cellStyle name="40% - Énfasis6 9 3 4" xfId="4027" xr:uid="{00000000-0005-0000-0000-0000C4140000}"/>
    <cellStyle name="40% - Énfasis6 9 3 4 2" xfId="5981" xr:uid="{00000000-0005-0000-0000-0000C5140000}"/>
    <cellStyle name="40% - Énfasis6 9 3 5" xfId="5066" xr:uid="{00000000-0005-0000-0000-0000C6140000}"/>
    <cellStyle name="40% - Énfasis6 9 4" xfId="1660" xr:uid="{00000000-0005-0000-0000-0000C7140000}"/>
    <cellStyle name="40% - Énfasis6 9 4 2" xfId="3087" xr:uid="{00000000-0005-0000-0000-0000C8140000}"/>
    <cellStyle name="40% - Énfasis6 9 4 2 2" xfId="4706" xr:uid="{00000000-0005-0000-0000-0000C9140000}"/>
    <cellStyle name="40% - Énfasis6 9 4 2 2 2" xfId="6573" xr:uid="{00000000-0005-0000-0000-0000CA140000}"/>
    <cellStyle name="40% - Énfasis6 9 4 2 3" xfId="5671" xr:uid="{00000000-0005-0000-0000-0000CB140000}"/>
    <cellStyle name="40% - Énfasis6 9 4 3" xfId="4179" xr:uid="{00000000-0005-0000-0000-0000CC140000}"/>
    <cellStyle name="40% - Énfasis6 9 4 3 2" xfId="6127" xr:uid="{00000000-0005-0000-0000-0000CD140000}"/>
    <cellStyle name="40% - Énfasis6 9 4 4" xfId="5213" xr:uid="{00000000-0005-0000-0000-0000CE140000}"/>
    <cellStyle name="40% - Énfasis6 9 5" xfId="1661" xr:uid="{00000000-0005-0000-0000-0000CF140000}"/>
    <cellStyle name="40% - Énfasis6 9 5 2" xfId="3088" xr:uid="{00000000-0005-0000-0000-0000D0140000}"/>
    <cellStyle name="40% - Énfasis6 9 5 2 2" xfId="4707" xr:uid="{00000000-0005-0000-0000-0000D1140000}"/>
    <cellStyle name="40% - Énfasis6 9 5 2 2 2" xfId="6574" xr:uid="{00000000-0005-0000-0000-0000D2140000}"/>
    <cellStyle name="40% - Énfasis6 9 5 2 3" xfId="5672" xr:uid="{00000000-0005-0000-0000-0000D3140000}"/>
    <cellStyle name="40% - Énfasis6 9 5 3" xfId="4180" xr:uid="{00000000-0005-0000-0000-0000D4140000}"/>
    <cellStyle name="40% - Énfasis6 9 5 3 2" xfId="6128" xr:uid="{00000000-0005-0000-0000-0000D5140000}"/>
    <cellStyle name="40% - Énfasis6 9 5 4" xfId="5214" xr:uid="{00000000-0005-0000-0000-0000D6140000}"/>
    <cellStyle name="40% - Énfasis6 9 6" xfId="2842" xr:uid="{00000000-0005-0000-0000-0000D7140000}"/>
    <cellStyle name="40% - Énfasis6 9 6 2" xfId="4462" xr:uid="{00000000-0005-0000-0000-0000D8140000}"/>
    <cellStyle name="40% - Énfasis6 9 6 2 2" xfId="6330" xr:uid="{00000000-0005-0000-0000-0000D9140000}"/>
    <cellStyle name="40% - Énfasis6 9 6 3" xfId="5428" xr:uid="{00000000-0005-0000-0000-0000DA140000}"/>
    <cellStyle name="40% - Énfasis6 9 7" xfId="3815" xr:uid="{00000000-0005-0000-0000-0000DB140000}"/>
    <cellStyle name="40% - Énfasis6 9 7 2" xfId="5886" xr:uid="{00000000-0005-0000-0000-0000DC140000}"/>
    <cellStyle name="40% - Énfasis6 9 8" xfId="4821" xr:uid="{00000000-0005-0000-0000-0000DD140000}"/>
    <cellStyle name="40% - Énfasis6 9 8 2" xfId="6666" xr:uid="{00000000-0005-0000-0000-0000DE140000}"/>
    <cellStyle name="40% - Énfasis6 9 9" xfId="4866" xr:uid="{00000000-0005-0000-0000-0000DF140000}"/>
    <cellStyle name="40% - Énfasis6 9 9 2" xfId="6708" xr:uid="{00000000-0005-0000-0000-0000E0140000}"/>
    <cellStyle name="40% - アクセント 1" xfId="55" xr:uid="{00000000-0005-0000-0000-0000E1140000}"/>
    <cellStyle name="40% - アクセント 1 2" xfId="484" xr:uid="{00000000-0005-0000-0000-0000E2140000}"/>
    <cellStyle name="40% - アクセント 1 2 2" xfId="1846" xr:uid="{00000000-0005-0000-0000-0000E3140000}"/>
    <cellStyle name="40% - アクセント 1 2 3" xfId="1845" xr:uid="{00000000-0005-0000-0000-0000E4140000}"/>
    <cellStyle name="40% - アクセント 1 3" xfId="483" xr:uid="{00000000-0005-0000-0000-0000E5140000}"/>
    <cellStyle name="40% - アクセント 1 3 2" xfId="1847" xr:uid="{00000000-0005-0000-0000-0000E6140000}"/>
    <cellStyle name="40% - アクセント 1 3 2 2" xfId="23423" xr:uid="{00000000-0005-0000-0000-0000E7140000}"/>
    <cellStyle name="40% - アクセント 1 3 3" xfId="3656" xr:uid="{00000000-0005-0000-0000-0000E8140000}"/>
    <cellStyle name="40% - アクセント 1 4" xfId="2740" xr:uid="{00000000-0005-0000-0000-0000E9140000}"/>
    <cellStyle name="40% - アクセント 2" xfId="56" xr:uid="{00000000-0005-0000-0000-0000EA140000}"/>
    <cellStyle name="40% - アクセント 2 2" xfId="486" xr:uid="{00000000-0005-0000-0000-0000EB140000}"/>
    <cellStyle name="40% - アクセント 2 2 2" xfId="1849" xr:uid="{00000000-0005-0000-0000-0000EC140000}"/>
    <cellStyle name="40% - アクセント 2 2 3" xfId="1848" xr:uid="{00000000-0005-0000-0000-0000ED140000}"/>
    <cellStyle name="40% - アクセント 2 3" xfId="485" xr:uid="{00000000-0005-0000-0000-0000EE140000}"/>
    <cellStyle name="40% - アクセント 2 3 2" xfId="1850" xr:uid="{00000000-0005-0000-0000-0000EF140000}"/>
    <cellStyle name="40% - アクセント 2 3 2 2" xfId="23424" xr:uid="{00000000-0005-0000-0000-0000F0140000}"/>
    <cellStyle name="40% - アクセント 2 3 3" xfId="3657" xr:uid="{00000000-0005-0000-0000-0000F1140000}"/>
    <cellStyle name="40% - アクセント 2 4" xfId="2741" xr:uid="{00000000-0005-0000-0000-0000F2140000}"/>
    <cellStyle name="40% - アクセント 3" xfId="57" xr:uid="{00000000-0005-0000-0000-0000F3140000}"/>
    <cellStyle name="40% - アクセント 3 2" xfId="488" xr:uid="{00000000-0005-0000-0000-0000F4140000}"/>
    <cellStyle name="40% - アクセント 3 2 2" xfId="1852" xr:uid="{00000000-0005-0000-0000-0000F5140000}"/>
    <cellStyle name="40% - アクセント 3 2 3" xfId="1851" xr:uid="{00000000-0005-0000-0000-0000F6140000}"/>
    <cellStyle name="40% - アクセント 3 3" xfId="487" xr:uid="{00000000-0005-0000-0000-0000F7140000}"/>
    <cellStyle name="40% - アクセント 3 3 2" xfId="1853" xr:uid="{00000000-0005-0000-0000-0000F8140000}"/>
    <cellStyle name="40% - アクセント 3 3 2 2" xfId="23425" xr:uid="{00000000-0005-0000-0000-0000F9140000}"/>
    <cellStyle name="40% - アクセント 3 3 3" xfId="3658" xr:uid="{00000000-0005-0000-0000-0000FA140000}"/>
    <cellStyle name="40% - アクセント 3 4" xfId="2742" xr:uid="{00000000-0005-0000-0000-0000FB140000}"/>
    <cellStyle name="40% - アクセント 4" xfId="58" xr:uid="{00000000-0005-0000-0000-0000FC140000}"/>
    <cellStyle name="40% - アクセント 4 2" xfId="490" xr:uid="{00000000-0005-0000-0000-0000FD140000}"/>
    <cellStyle name="40% - アクセント 4 2 2" xfId="1855" xr:uid="{00000000-0005-0000-0000-0000FE140000}"/>
    <cellStyle name="40% - アクセント 4 2 3" xfId="1854" xr:uid="{00000000-0005-0000-0000-0000FF140000}"/>
    <cellStyle name="40% - アクセント 4 3" xfId="489" xr:uid="{00000000-0005-0000-0000-000000150000}"/>
    <cellStyle name="40% - アクセント 4 3 2" xfId="1856" xr:uid="{00000000-0005-0000-0000-000001150000}"/>
    <cellStyle name="40% - アクセント 4 3 2 2" xfId="23426" xr:uid="{00000000-0005-0000-0000-000002150000}"/>
    <cellStyle name="40% - アクセント 4 3 3" xfId="3659" xr:uid="{00000000-0005-0000-0000-000003150000}"/>
    <cellStyle name="40% - アクセント 4 4" xfId="2743" xr:uid="{00000000-0005-0000-0000-000004150000}"/>
    <cellStyle name="40% - アクセント 5" xfId="59" xr:uid="{00000000-0005-0000-0000-000005150000}"/>
    <cellStyle name="40% - アクセント 5 2" xfId="492" xr:uid="{00000000-0005-0000-0000-000006150000}"/>
    <cellStyle name="40% - アクセント 5 2 2" xfId="1858" xr:uid="{00000000-0005-0000-0000-000007150000}"/>
    <cellStyle name="40% - アクセント 5 2 3" xfId="1857" xr:uid="{00000000-0005-0000-0000-000008150000}"/>
    <cellStyle name="40% - アクセント 5 3" xfId="491" xr:uid="{00000000-0005-0000-0000-000009150000}"/>
    <cellStyle name="40% - アクセント 5 3 2" xfId="1859" xr:uid="{00000000-0005-0000-0000-00000A150000}"/>
    <cellStyle name="40% - アクセント 5 3 2 2" xfId="23427" xr:uid="{00000000-0005-0000-0000-00000B150000}"/>
    <cellStyle name="40% - アクセント 5 3 3" xfId="3660" xr:uid="{00000000-0005-0000-0000-00000C150000}"/>
    <cellStyle name="40% - アクセント 5 4" xfId="2744" xr:uid="{00000000-0005-0000-0000-00000D150000}"/>
    <cellStyle name="40% - アクセント 6" xfId="60" xr:uid="{00000000-0005-0000-0000-00000E150000}"/>
    <cellStyle name="40% - アクセント 6 2" xfId="494" xr:uid="{00000000-0005-0000-0000-00000F150000}"/>
    <cellStyle name="40% - アクセント 6 2 2" xfId="1861" xr:uid="{00000000-0005-0000-0000-000010150000}"/>
    <cellStyle name="40% - アクセント 6 2 3" xfId="1860" xr:uid="{00000000-0005-0000-0000-000011150000}"/>
    <cellStyle name="40% - アクセント 6 3" xfId="493" xr:uid="{00000000-0005-0000-0000-000012150000}"/>
    <cellStyle name="40% - アクセント 6 3 2" xfId="1862" xr:uid="{00000000-0005-0000-0000-000013150000}"/>
    <cellStyle name="40% - アクセント 6 3 2 2" xfId="23428" xr:uid="{00000000-0005-0000-0000-000014150000}"/>
    <cellStyle name="40% - アクセント 6 3 3" xfId="3661" xr:uid="{00000000-0005-0000-0000-000015150000}"/>
    <cellStyle name="40% - アクセント 6 4" xfId="2745" xr:uid="{00000000-0005-0000-0000-000016150000}"/>
    <cellStyle name="60% - Accent1" xfId="61" xr:uid="{00000000-0005-0000-0000-000017150000}"/>
    <cellStyle name="60% - Accent1 2" xfId="62" xr:uid="{00000000-0005-0000-0000-000018150000}"/>
    <cellStyle name="60% - Accent1 2 2" xfId="1072" xr:uid="{00000000-0005-0000-0000-000019150000}"/>
    <cellStyle name="60% - Accent1 2 2 2" xfId="1863" xr:uid="{00000000-0005-0000-0000-00001A150000}"/>
    <cellStyle name="60% - Accent1 2 2 2 2" xfId="23429" xr:uid="{00000000-0005-0000-0000-00001B150000}"/>
    <cellStyle name="60% - Accent1 2 2 3" xfId="3817" xr:uid="{00000000-0005-0000-0000-00001C150000}"/>
    <cellStyle name="60% - Accent1 2 3" xfId="7579" xr:uid="{00000000-0005-0000-0000-00001D150000}"/>
    <cellStyle name="60% - Accent1 3" xfId="1071" xr:uid="{00000000-0005-0000-0000-00001E150000}"/>
    <cellStyle name="60% - Accent1 3 2" xfId="1864" xr:uid="{00000000-0005-0000-0000-00001F150000}"/>
    <cellStyle name="60% - Accent1 3 2 2" xfId="23430" xr:uid="{00000000-0005-0000-0000-000020150000}"/>
    <cellStyle name="60% - Accent1 3 3" xfId="3816" xr:uid="{00000000-0005-0000-0000-000021150000}"/>
    <cellStyle name="60% - Accent1 4" xfId="7580" xr:uid="{00000000-0005-0000-0000-000022150000}"/>
    <cellStyle name="60% - Accent2" xfId="63" xr:uid="{00000000-0005-0000-0000-000023150000}"/>
    <cellStyle name="60% - Accent2 2" xfId="64" xr:uid="{00000000-0005-0000-0000-000024150000}"/>
    <cellStyle name="60% - Accent2 2 2" xfId="1074" xr:uid="{00000000-0005-0000-0000-000025150000}"/>
    <cellStyle name="60% - Accent2 2 2 2" xfId="1865" xr:uid="{00000000-0005-0000-0000-000026150000}"/>
    <cellStyle name="60% - Accent2 2 2 2 2" xfId="23431" xr:uid="{00000000-0005-0000-0000-000027150000}"/>
    <cellStyle name="60% - Accent2 2 2 3" xfId="3819" xr:uid="{00000000-0005-0000-0000-000028150000}"/>
    <cellStyle name="60% - Accent2 2 3" xfId="7581" xr:uid="{00000000-0005-0000-0000-000029150000}"/>
    <cellStyle name="60% - Accent2 3" xfId="1073" xr:uid="{00000000-0005-0000-0000-00002A150000}"/>
    <cellStyle name="60% - Accent2 3 2" xfId="1866" xr:uid="{00000000-0005-0000-0000-00002B150000}"/>
    <cellStyle name="60% - Accent2 3 2 2" xfId="23432" xr:uid="{00000000-0005-0000-0000-00002C150000}"/>
    <cellStyle name="60% - Accent2 3 3" xfId="3818" xr:uid="{00000000-0005-0000-0000-00002D150000}"/>
    <cellStyle name="60% - Accent2 4" xfId="7582" xr:uid="{00000000-0005-0000-0000-00002E150000}"/>
    <cellStyle name="60% - Accent3" xfId="65" xr:uid="{00000000-0005-0000-0000-00002F150000}"/>
    <cellStyle name="60% - Accent3 2" xfId="66" xr:uid="{00000000-0005-0000-0000-000030150000}"/>
    <cellStyle name="60% - Accent3 2 2" xfId="1076" xr:uid="{00000000-0005-0000-0000-000031150000}"/>
    <cellStyle name="60% - Accent3 2 2 2" xfId="1867" xr:uid="{00000000-0005-0000-0000-000032150000}"/>
    <cellStyle name="60% - Accent3 2 2 2 2" xfId="23433" xr:uid="{00000000-0005-0000-0000-000033150000}"/>
    <cellStyle name="60% - Accent3 2 2 3" xfId="3821" xr:uid="{00000000-0005-0000-0000-000034150000}"/>
    <cellStyle name="60% - Accent3 2 3" xfId="7583" xr:uid="{00000000-0005-0000-0000-000035150000}"/>
    <cellStyle name="60% - Accent3 3" xfId="1075" xr:uid="{00000000-0005-0000-0000-000036150000}"/>
    <cellStyle name="60% - Accent3 3 2" xfId="1868" xr:uid="{00000000-0005-0000-0000-000037150000}"/>
    <cellStyle name="60% - Accent3 3 2 2" xfId="23434" xr:uid="{00000000-0005-0000-0000-000038150000}"/>
    <cellStyle name="60% - Accent3 3 3" xfId="3820" xr:uid="{00000000-0005-0000-0000-000039150000}"/>
    <cellStyle name="60% - Accent3 4" xfId="7584" xr:uid="{00000000-0005-0000-0000-00003A150000}"/>
    <cellStyle name="60% - Accent4" xfId="67" xr:uid="{00000000-0005-0000-0000-00003B150000}"/>
    <cellStyle name="60% - Accent4 2" xfId="68" xr:uid="{00000000-0005-0000-0000-00003C150000}"/>
    <cellStyle name="60% - Accent4 2 2" xfId="1078" xr:uid="{00000000-0005-0000-0000-00003D150000}"/>
    <cellStyle name="60% - Accent4 2 2 2" xfId="1869" xr:uid="{00000000-0005-0000-0000-00003E150000}"/>
    <cellStyle name="60% - Accent4 2 2 2 2" xfId="23435" xr:uid="{00000000-0005-0000-0000-00003F150000}"/>
    <cellStyle name="60% - Accent4 2 2 3" xfId="3823" xr:uid="{00000000-0005-0000-0000-000040150000}"/>
    <cellStyle name="60% - Accent4 2 3" xfId="7585" xr:uid="{00000000-0005-0000-0000-000041150000}"/>
    <cellStyle name="60% - Accent4 3" xfId="1077" xr:uid="{00000000-0005-0000-0000-000042150000}"/>
    <cellStyle name="60% - Accent4 3 2" xfId="1870" xr:uid="{00000000-0005-0000-0000-000043150000}"/>
    <cellStyle name="60% - Accent4 3 2 2" xfId="23436" xr:uid="{00000000-0005-0000-0000-000044150000}"/>
    <cellStyle name="60% - Accent4 3 3" xfId="3822" xr:uid="{00000000-0005-0000-0000-000045150000}"/>
    <cellStyle name="60% - Accent4 4" xfId="7586" xr:uid="{00000000-0005-0000-0000-000046150000}"/>
    <cellStyle name="60% - Accent5" xfId="69" xr:uid="{00000000-0005-0000-0000-000047150000}"/>
    <cellStyle name="60% - Accent5 2" xfId="70" xr:uid="{00000000-0005-0000-0000-000048150000}"/>
    <cellStyle name="60% - Accent5 2 2" xfId="1080" xr:uid="{00000000-0005-0000-0000-000049150000}"/>
    <cellStyle name="60% - Accent5 2 2 2" xfId="1871" xr:uid="{00000000-0005-0000-0000-00004A150000}"/>
    <cellStyle name="60% - Accent5 2 2 2 2" xfId="23437" xr:uid="{00000000-0005-0000-0000-00004B150000}"/>
    <cellStyle name="60% - Accent5 2 2 3" xfId="3825" xr:uid="{00000000-0005-0000-0000-00004C150000}"/>
    <cellStyle name="60% - Accent5 2 3" xfId="7587" xr:uid="{00000000-0005-0000-0000-00004D150000}"/>
    <cellStyle name="60% - Accent5 3" xfId="1079" xr:uid="{00000000-0005-0000-0000-00004E150000}"/>
    <cellStyle name="60% - Accent5 3 2" xfId="1872" xr:uid="{00000000-0005-0000-0000-00004F150000}"/>
    <cellStyle name="60% - Accent5 3 2 2" xfId="23438" xr:uid="{00000000-0005-0000-0000-000050150000}"/>
    <cellStyle name="60% - Accent5 3 3" xfId="3824" xr:uid="{00000000-0005-0000-0000-000051150000}"/>
    <cellStyle name="60% - Accent5 4" xfId="7588" xr:uid="{00000000-0005-0000-0000-000052150000}"/>
    <cellStyle name="60% - Accent6" xfId="71" xr:uid="{00000000-0005-0000-0000-000053150000}"/>
    <cellStyle name="60% - Accent6 2" xfId="72" xr:uid="{00000000-0005-0000-0000-000054150000}"/>
    <cellStyle name="60% - Accent6 2 2" xfId="1082" xr:uid="{00000000-0005-0000-0000-000055150000}"/>
    <cellStyle name="60% - Accent6 2 2 2" xfId="1873" xr:uid="{00000000-0005-0000-0000-000056150000}"/>
    <cellStyle name="60% - Accent6 2 2 2 2" xfId="23439" xr:uid="{00000000-0005-0000-0000-000057150000}"/>
    <cellStyle name="60% - Accent6 2 2 3" xfId="3827" xr:uid="{00000000-0005-0000-0000-000058150000}"/>
    <cellStyle name="60% - Accent6 2 3" xfId="7589" xr:uid="{00000000-0005-0000-0000-000059150000}"/>
    <cellStyle name="60% - Accent6 3" xfId="1081" xr:uid="{00000000-0005-0000-0000-00005A150000}"/>
    <cellStyle name="60% - Accent6 3 2" xfId="1874" xr:uid="{00000000-0005-0000-0000-00005B150000}"/>
    <cellStyle name="60% - Accent6 3 2 2" xfId="23440" xr:uid="{00000000-0005-0000-0000-00005C150000}"/>
    <cellStyle name="60% - Accent6 3 3" xfId="3826" xr:uid="{00000000-0005-0000-0000-00005D150000}"/>
    <cellStyle name="60% - Accent6 4" xfId="7590" xr:uid="{00000000-0005-0000-0000-00005E150000}"/>
    <cellStyle name="60% - Énfasis1" xfId="73" builtinId="32" customBuiltin="1"/>
    <cellStyle name="60% - Énfasis1 10" xfId="1084" xr:uid="{00000000-0005-0000-0000-000060150000}"/>
    <cellStyle name="60% - Énfasis1 11" xfId="1083" xr:uid="{00000000-0005-0000-0000-000061150000}"/>
    <cellStyle name="60% - Énfasis1 12" xfId="1384" xr:uid="{00000000-0005-0000-0000-000062150000}"/>
    <cellStyle name="60% - Énfasis1 13" xfId="4887" xr:uid="{00000000-0005-0000-0000-000063150000}"/>
    <cellStyle name="60% - Énfasis1 2" xfId="496" xr:uid="{00000000-0005-0000-0000-000064150000}"/>
    <cellStyle name="60% - Énfasis1 2 2" xfId="1875" xr:uid="{00000000-0005-0000-0000-000065150000}"/>
    <cellStyle name="60% - Énfasis1 2 2 2" xfId="3208" xr:uid="{00000000-0005-0000-0000-000066150000}"/>
    <cellStyle name="60% - Énfasis1 2 2 3" xfId="7592" xr:uid="{00000000-0005-0000-0000-000067150000}"/>
    <cellStyle name="60% - Énfasis1 2 2 4" xfId="7591" xr:uid="{00000000-0005-0000-0000-000068150000}"/>
    <cellStyle name="60% - Énfasis1 2 2 5" xfId="31217" xr:uid="{72E79C7A-C79A-49AA-A3C2-B2A8C4FCC697}"/>
    <cellStyle name="60% - Énfasis1 2 3" xfId="7593" xr:uid="{00000000-0005-0000-0000-000069150000}"/>
    <cellStyle name="60% - Énfasis1 2 3 2" xfId="22899" xr:uid="{00000000-0005-0000-0000-00006A150000}"/>
    <cellStyle name="60% - Énfasis1 2 4" xfId="31130" xr:uid="{F574AD28-90AC-45BD-855C-58BD72014112}"/>
    <cellStyle name="60% - Énfasis1 3" xfId="495" xr:uid="{00000000-0005-0000-0000-00006B150000}"/>
    <cellStyle name="60% - Énfasis1 3 2" xfId="1876" xr:uid="{00000000-0005-0000-0000-00006C150000}"/>
    <cellStyle name="60% - Énfasis1 3 3" xfId="1877" xr:uid="{00000000-0005-0000-0000-00006D150000}"/>
    <cellStyle name="60% - Énfasis1 3 4" xfId="7594" xr:uid="{00000000-0005-0000-0000-00006E150000}"/>
    <cellStyle name="60% - Énfasis1 3 5" xfId="7595" xr:uid="{00000000-0005-0000-0000-00006F150000}"/>
    <cellStyle name="60% - Énfasis1 4" xfId="1085" xr:uid="{00000000-0005-0000-0000-000070150000}"/>
    <cellStyle name="60% - Énfasis1 4 2" xfId="7597" xr:uid="{00000000-0005-0000-0000-000071150000}"/>
    <cellStyle name="60% - Énfasis1 4 3" xfId="7598" xr:uid="{00000000-0005-0000-0000-000072150000}"/>
    <cellStyle name="60% - Énfasis1 4 4" xfId="7599" xr:uid="{00000000-0005-0000-0000-000073150000}"/>
    <cellStyle name="60% - Énfasis1 4 5" xfId="7596" xr:uid="{00000000-0005-0000-0000-000074150000}"/>
    <cellStyle name="60% - Énfasis1 5" xfId="1086" xr:uid="{00000000-0005-0000-0000-000075150000}"/>
    <cellStyle name="60% - Énfasis1 5 2" xfId="1878" xr:uid="{00000000-0005-0000-0000-000076150000}"/>
    <cellStyle name="60% - Énfasis1 5 2 2" xfId="7601" xr:uid="{00000000-0005-0000-0000-000077150000}"/>
    <cellStyle name="60% - Énfasis1 5 3" xfId="3828" xr:uid="{00000000-0005-0000-0000-000078150000}"/>
    <cellStyle name="60% - Énfasis1 5 3 2" xfId="7602" xr:uid="{00000000-0005-0000-0000-000079150000}"/>
    <cellStyle name="60% - Énfasis1 5 3 3" xfId="23441" xr:uid="{00000000-0005-0000-0000-00007A150000}"/>
    <cellStyle name="60% - Énfasis1 5 4" xfId="3209" xr:uid="{00000000-0005-0000-0000-00007B150000}"/>
    <cellStyle name="60% - Énfasis1 5 5" xfId="7600" xr:uid="{00000000-0005-0000-0000-00007C150000}"/>
    <cellStyle name="60% - Énfasis1 6" xfId="1087" xr:uid="{00000000-0005-0000-0000-00007D150000}"/>
    <cellStyle name="60% - Énfasis1 6 2" xfId="1879" xr:uid="{00000000-0005-0000-0000-00007E150000}"/>
    <cellStyle name="60% - Énfasis1 6 2 2" xfId="7603" xr:uid="{00000000-0005-0000-0000-00007F150000}"/>
    <cellStyle name="60% - Énfasis1 6 2 3" xfId="23442" xr:uid="{00000000-0005-0000-0000-000080150000}"/>
    <cellStyle name="60% - Énfasis1 6 3" xfId="3829" xr:uid="{00000000-0005-0000-0000-000081150000}"/>
    <cellStyle name="60% - Énfasis1 6 3 2" xfId="23443" xr:uid="{00000000-0005-0000-0000-000082150000}"/>
    <cellStyle name="60% - Énfasis1 6 4" xfId="3210" xr:uid="{00000000-0005-0000-0000-000083150000}"/>
    <cellStyle name="60% - Énfasis1 7" xfId="1088" xr:uid="{00000000-0005-0000-0000-000084150000}"/>
    <cellStyle name="60% - Énfasis1 8" xfId="1089" xr:uid="{00000000-0005-0000-0000-000085150000}"/>
    <cellStyle name="60% - Énfasis1 9" xfId="1090" xr:uid="{00000000-0005-0000-0000-000086150000}"/>
    <cellStyle name="60% - Énfasis2" xfId="74" builtinId="36" customBuiltin="1"/>
    <cellStyle name="60% - Énfasis2 10" xfId="1092" xr:uid="{00000000-0005-0000-0000-000088150000}"/>
    <cellStyle name="60% - Énfasis2 11" xfId="1091" xr:uid="{00000000-0005-0000-0000-000089150000}"/>
    <cellStyle name="60% - Énfasis2 12" xfId="1385" xr:uid="{00000000-0005-0000-0000-00008A150000}"/>
    <cellStyle name="60% - Énfasis2 13" xfId="4888" xr:uid="{00000000-0005-0000-0000-00008B150000}"/>
    <cellStyle name="60% - Énfasis2 2" xfId="498" xr:uid="{00000000-0005-0000-0000-00008C150000}"/>
    <cellStyle name="60% - Énfasis2 2 2" xfId="1880" xr:uid="{00000000-0005-0000-0000-00008D150000}"/>
    <cellStyle name="60% - Énfasis2 2 2 2" xfId="3211" xr:uid="{00000000-0005-0000-0000-00008E150000}"/>
    <cellStyle name="60% - Énfasis2 2 2 3" xfId="7605" xr:uid="{00000000-0005-0000-0000-00008F150000}"/>
    <cellStyle name="60% - Énfasis2 2 2 4" xfId="7604" xr:uid="{00000000-0005-0000-0000-000090150000}"/>
    <cellStyle name="60% - Énfasis2 2 2 5" xfId="31218" xr:uid="{4596BA2E-E7DB-42FC-AD17-FB943555CAC5}"/>
    <cellStyle name="60% - Énfasis2 2 3" xfId="7606" xr:uid="{00000000-0005-0000-0000-000091150000}"/>
    <cellStyle name="60% - Énfasis2 2 3 2" xfId="22900" xr:uid="{00000000-0005-0000-0000-000092150000}"/>
    <cellStyle name="60% - Énfasis2 2 4" xfId="31131" xr:uid="{5B45BD65-BFB8-4DB6-B413-B9E311A51DF7}"/>
    <cellStyle name="60% - Énfasis2 3" xfId="497" xr:uid="{00000000-0005-0000-0000-000093150000}"/>
    <cellStyle name="60% - Énfasis2 3 2" xfId="1881" xr:uid="{00000000-0005-0000-0000-000094150000}"/>
    <cellStyle name="60% - Énfasis2 3 3" xfId="1882" xr:uid="{00000000-0005-0000-0000-000095150000}"/>
    <cellStyle name="60% - Énfasis2 3 4" xfId="7607" xr:uid="{00000000-0005-0000-0000-000096150000}"/>
    <cellStyle name="60% - Énfasis2 4" xfId="1093" xr:uid="{00000000-0005-0000-0000-000097150000}"/>
    <cellStyle name="60% - Énfasis2 4 2" xfId="7609" xr:uid="{00000000-0005-0000-0000-000098150000}"/>
    <cellStyle name="60% - Énfasis2 4 3" xfId="7610" xr:uid="{00000000-0005-0000-0000-000099150000}"/>
    <cellStyle name="60% - Énfasis2 4 4" xfId="7608" xr:uid="{00000000-0005-0000-0000-00009A150000}"/>
    <cellStyle name="60% - Énfasis2 5" xfId="1094" xr:uid="{00000000-0005-0000-0000-00009B150000}"/>
    <cellStyle name="60% - Énfasis2 5 2" xfId="1883" xr:uid="{00000000-0005-0000-0000-00009C150000}"/>
    <cellStyle name="60% - Énfasis2 5 2 2" xfId="7612" xr:uid="{00000000-0005-0000-0000-00009D150000}"/>
    <cellStyle name="60% - Énfasis2 5 3" xfId="3830" xr:uid="{00000000-0005-0000-0000-00009E150000}"/>
    <cellStyle name="60% - Énfasis2 5 3 2" xfId="7613" xr:uid="{00000000-0005-0000-0000-00009F150000}"/>
    <cellStyle name="60% - Énfasis2 5 3 3" xfId="23444" xr:uid="{00000000-0005-0000-0000-0000A0150000}"/>
    <cellStyle name="60% - Énfasis2 5 4" xfId="3212" xr:uid="{00000000-0005-0000-0000-0000A1150000}"/>
    <cellStyle name="60% - Énfasis2 5 5" xfId="7611" xr:uid="{00000000-0005-0000-0000-0000A2150000}"/>
    <cellStyle name="60% - Énfasis2 6" xfId="1095" xr:uid="{00000000-0005-0000-0000-0000A3150000}"/>
    <cellStyle name="60% - Énfasis2 6 2" xfId="1884" xr:uid="{00000000-0005-0000-0000-0000A4150000}"/>
    <cellStyle name="60% - Énfasis2 6 2 2" xfId="7614" xr:uid="{00000000-0005-0000-0000-0000A5150000}"/>
    <cellStyle name="60% - Énfasis2 6 2 3" xfId="23445" xr:uid="{00000000-0005-0000-0000-0000A6150000}"/>
    <cellStyle name="60% - Énfasis2 6 3" xfId="3831" xr:uid="{00000000-0005-0000-0000-0000A7150000}"/>
    <cellStyle name="60% - Énfasis2 6 3 2" xfId="23446" xr:uid="{00000000-0005-0000-0000-0000A8150000}"/>
    <cellStyle name="60% - Énfasis2 6 4" xfId="3213" xr:uid="{00000000-0005-0000-0000-0000A9150000}"/>
    <cellStyle name="60% - Énfasis2 7" xfId="1096" xr:uid="{00000000-0005-0000-0000-0000AA150000}"/>
    <cellStyle name="60% - Énfasis2 8" xfId="1097" xr:uid="{00000000-0005-0000-0000-0000AB150000}"/>
    <cellStyle name="60% - Énfasis2 9" xfId="1098" xr:uid="{00000000-0005-0000-0000-0000AC150000}"/>
    <cellStyle name="60% - Énfasis3" xfId="75" builtinId="40" customBuiltin="1"/>
    <cellStyle name="60% - Énfasis3 10" xfId="1100" xr:uid="{00000000-0005-0000-0000-0000AE150000}"/>
    <cellStyle name="60% - Énfasis3 11" xfId="1099" xr:uid="{00000000-0005-0000-0000-0000AF150000}"/>
    <cellStyle name="60% - Énfasis3 12" xfId="1386" xr:uid="{00000000-0005-0000-0000-0000B0150000}"/>
    <cellStyle name="60% - Énfasis3 13" xfId="4889" xr:uid="{00000000-0005-0000-0000-0000B1150000}"/>
    <cellStyle name="60% - Énfasis3 2" xfId="500" xr:uid="{00000000-0005-0000-0000-0000B2150000}"/>
    <cellStyle name="60% - Énfasis3 2 2" xfId="1885" xr:uid="{00000000-0005-0000-0000-0000B3150000}"/>
    <cellStyle name="60% - Énfasis3 2 2 2" xfId="3214" xr:uid="{00000000-0005-0000-0000-0000B4150000}"/>
    <cellStyle name="60% - Énfasis3 2 2 3" xfId="7616" xr:uid="{00000000-0005-0000-0000-0000B5150000}"/>
    <cellStyle name="60% - Énfasis3 2 2 4" xfId="7615" xr:uid="{00000000-0005-0000-0000-0000B6150000}"/>
    <cellStyle name="60% - Énfasis3 2 2 5" xfId="31219" xr:uid="{8BCA96A1-B2CF-4071-9AF6-974A491FADEB}"/>
    <cellStyle name="60% - Énfasis3 2 3" xfId="7617" xr:uid="{00000000-0005-0000-0000-0000B7150000}"/>
    <cellStyle name="60% - Énfasis3 2 3 2" xfId="22901" xr:uid="{00000000-0005-0000-0000-0000B8150000}"/>
    <cellStyle name="60% - Énfasis3 2 4" xfId="31132" xr:uid="{C06129AC-A34B-4F39-BCD1-0AA39BFD959F}"/>
    <cellStyle name="60% - Énfasis3 3" xfId="499" xr:uid="{00000000-0005-0000-0000-0000B9150000}"/>
    <cellStyle name="60% - Énfasis3 3 2" xfId="1886" xr:uid="{00000000-0005-0000-0000-0000BA150000}"/>
    <cellStyle name="60% - Énfasis3 3 3" xfId="1887" xr:uid="{00000000-0005-0000-0000-0000BB150000}"/>
    <cellStyle name="60% - Énfasis3 3 4" xfId="7618" xr:uid="{00000000-0005-0000-0000-0000BC150000}"/>
    <cellStyle name="60% - Énfasis3 3 5" xfId="7619" xr:uid="{00000000-0005-0000-0000-0000BD150000}"/>
    <cellStyle name="60% - Énfasis3 4" xfId="1101" xr:uid="{00000000-0005-0000-0000-0000BE150000}"/>
    <cellStyle name="60% - Énfasis3 4 2" xfId="7621" xr:uid="{00000000-0005-0000-0000-0000BF150000}"/>
    <cellStyle name="60% - Énfasis3 4 3" xfId="7622" xr:uid="{00000000-0005-0000-0000-0000C0150000}"/>
    <cellStyle name="60% - Énfasis3 4 4" xfId="7623" xr:uid="{00000000-0005-0000-0000-0000C1150000}"/>
    <cellStyle name="60% - Énfasis3 4 5" xfId="7620" xr:uid="{00000000-0005-0000-0000-0000C2150000}"/>
    <cellStyle name="60% - Énfasis3 5" xfId="1102" xr:uid="{00000000-0005-0000-0000-0000C3150000}"/>
    <cellStyle name="60% - Énfasis3 5 2" xfId="1888" xr:uid="{00000000-0005-0000-0000-0000C4150000}"/>
    <cellStyle name="60% - Énfasis3 5 2 2" xfId="7625" xr:uid="{00000000-0005-0000-0000-0000C5150000}"/>
    <cellStyle name="60% - Énfasis3 5 3" xfId="3832" xr:uid="{00000000-0005-0000-0000-0000C6150000}"/>
    <cellStyle name="60% - Énfasis3 5 3 2" xfId="7626" xr:uid="{00000000-0005-0000-0000-0000C7150000}"/>
    <cellStyle name="60% - Énfasis3 5 3 3" xfId="23447" xr:uid="{00000000-0005-0000-0000-0000C8150000}"/>
    <cellStyle name="60% - Énfasis3 5 4" xfId="3215" xr:uid="{00000000-0005-0000-0000-0000C9150000}"/>
    <cellStyle name="60% - Énfasis3 5 5" xfId="7624" xr:uid="{00000000-0005-0000-0000-0000CA150000}"/>
    <cellStyle name="60% - Énfasis3 6" xfId="1103" xr:uid="{00000000-0005-0000-0000-0000CB150000}"/>
    <cellStyle name="60% - Énfasis3 6 2" xfId="1889" xr:uid="{00000000-0005-0000-0000-0000CC150000}"/>
    <cellStyle name="60% - Énfasis3 6 2 2" xfId="7627" xr:uid="{00000000-0005-0000-0000-0000CD150000}"/>
    <cellStyle name="60% - Énfasis3 6 2 3" xfId="23448" xr:uid="{00000000-0005-0000-0000-0000CE150000}"/>
    <cellStyle name="60% - Énfasis3 6 3" xfId="3833" xr:uid="{00000000-0005-0000-0000-0000CF150000}"/>
    <cellStyle name="60% - Énfasis3 6 3 2" xfId="23449" xr:uid="{00000000-0005-0000-0000-0000D0150000}"/>
    <cellStyle name="60% - Énfasis3 6 4" xfId="3216" xr:uid="{00000000-0005-0000-0000-0000D1150000}"/>
    <cellStyle name="60% - Énfasis3 7" xfId="1104" xr:uid="{00000000-0005-0000-0000-0000D2150000}"/>
    <cellStyle name="60% - Énfasis3 8" xfId="1105" xr:uid="{00000000-0005-0000-0000-0000D3150000}"/>
    <cellStyle name="60% - Énfasis3 9" xfId="1106" xr:uid="{00000000-0005-0000-0000-0000D4150000}"/>
    <cellStyle name="60% - Énfasis4" xfId="76" builtinId="44" customBuiltin="1"/>
    <cellStyle name="60% - Énfasis4 10" xfId="1108" xr:uid="{00000000-0005-0000-0000-0000D6150000}"/>
    <cellStyle name="60% - Énfasis4 11" xfId="1107" xr:uid="{00000000-0005-0000-0000-0000D7150000}"/>
    <cellStyle name="60% - Énfasis4 12" xfId="1387" xr:uid="{00000000-0005-0000-0000-0000D8150000}"/>
    <cellStyle name="60% - Énfasis4 13" xfId="4890" xr:uid="{00000000-0005-0000-0000-0000D9150000}"/>
    <cellStyle name="60% - Énfasis4 2" xfId="502" xr:uid="{00000000-0005-0000-0000-0000DA150000}"/>
    <cellStyle name="60% - Énfasis4 2 2" xfId="1890" xr:uid="{00000000-0005-0000-0000-0000DB150000}"/>
    <cellStyle name="60% - Énfasis4 2 2 2" xfId="3217" xr:uid="{00000000-0005-0000-0000-0000DC150000}"/>
    <cellStyle name="60% - Énfasis4 2 2 3" xfId="7629" xr:uid="{00000000-0005-0000-0000-0000DD150000}"/>
    <cellStyle name="60% - Énfasis4 2 2 4" xfId="7628" xr:uid="{00000000-0005-0000-0000-0000DE150000}"/>
    <cellStyle name="60% - Énfasis4 2 2 5" xfId="31220" xr:uid="{EFA6B1AA-F857-4DFD-9FE0-33E027EF7812}"/>
    <cellStyle name="60% - Énfasis4 2 3" xfId="7630" xr:uid="{00000000-0005-0000-0000-0000DF150000}"/>
    <cellStyle name="60% - Énfasis4 2 3 2" xfId="22902" xr:uid="{00000000-0005-0000-0000-0000E0150000}"/>
    <cellStyle name="60% - Énfasis4 2 4" xfId="31133" xr:uid="{6A61D014-65EF-44EA-B0DB-F526133E4271}"/>
    <cellStyle name="60% - Énfasis4 3" xfId="501" xr:uid="{00000000-0005-0000-0000-0000E1150000}"/>
    <cellStyle name="60% - Énfasis4 3 2" xfId="1891" xr:uid="{00000000-0005-0000-0000-0000E2150000}"/>
    <cellStyle name="60% - Énfasis4 3 3" xfId="1892" xr:uid="{00000000-0005-0000-0000-0000E3150000}"/>
    <cellStyle name="60% - Énfasis4 3 4" xfId="7631" xr:uid="{00000000-0005-0000-0000-0000E4150000}"/>
    <cellStyle name="60% - Énfasis4 3 5" xfId="7632" xr:uid="{00000000-0005-0000-0000-0000E5150000}"/>
    <cellStyle name="60% - Énfasis4 4" xfId="1109" xr:uid="{00000000-0005-0000-0000-0000E6150000}"/>
    <cellStyle name="60% - Énfasis4 4 2" xfId="7634" xr:uid="{00000000-0005-0000-0000-0000E7150000}"/>
    <cellStyle name="60% - Énfasis4 4 3" xfId="7635" xr:uid="{00000000-0005-0000-0000-0000E8150000}"/>
    <cellStyle name="60% - Énfasis4 4 4" xfId="7636" xr:uid="{00000000-0005-0000-0000-0000E9150000}"/>
    <cellStyle name="60% - Énfasis4 4 5" xfId="7633" xr:uid="{00000000-0005-0000-0000-0000EA150000}"/>
    <cellStyle name="60% - Énfasis4 5" xfId="1110" xr:uid="{00000000-0005-0000-0000-0000EB150000}"/>
    <cellStyle name="60% - Énfasis4 5 2" xfId="1893" xr:uid="{00000000-0005-0000-0000-0000EC150000}"/>
    <cellStyle name="60% - Énfasis4 5 2 2" xfId="7638" xr:uid="{00000000-0005-0000-0000-0000ED150000}"/>
    <cellStyle name="60% - Énfasis4 5 3" xfId="3834" xr:uid="{00000000-0005-0000-0000-0000EE150000}"/>
    <cellStyle name="60% - Énfasis4 5 3 2" xfId="7639" xr:uid="{00000000-0005-0000-0000-0000EF150000}"/>
    <cellStyle name="60% - Énfasis4 5 3 3" xfId="23450" xr:uid="{00000000-0005-0000-0000-0000F0150000}"/>
    <cellStyle name="60% - Énfasis4 5 4" xfId="3218" xr:uid="{00000000-0005-0000-0000-0000F1150000}"/>
    <cellStyle name="60% - Énfasis4 5 5" xfId="7637" xr:uid="{00000000-0005-0000-0000-0000F2150000}"/>
    <cellStyle name="60% - Énfasis4 6" xfId="1111" xr:uid="{00000000-0005-0000-0000-0000F3150000}"/>
    <cellStyle name="60% - Énfasis4 6 2" xfId="1894" xr:uid="{00000000-0005-0000-0000-0000F4150000}"/>
    <cellStyle name="60% - Énfasis4 6 2 2" xfId="7640" xr:uid="{00000000-0005-0000-0000-0000F5150000}"/>
    <cellStyle name="60% - Énfasis4 6 2 3" xfId="23451" xr:uid="{00000000-0005-0000-0000-0000F6150000}"/>
    <cellStyle name="60% - Énfasis4 6 3" xfId="3835" xr:uid="{00000000-0005-0000-0000-0000F7150000}"/>
    <cellStyle name="60% - Énfasis4 6 3 2" xfId="23452" xr:uid="{00000000-0005-0000-0000-0000F8150000}"/>
    <cellStyle name="60% - Énfasis4 6 4" xfId="3219" xr:uid="{00000000-0005-0000-0000-0000F9150000}"/>
    <cellStyle name="60% - Énfasis4 7" xfId="1112" xr:uid="{00000000-0005-0000-0000-0000FA150000}"/>
    <cellStyle name="60% - Énfasis4 8" xfId="1113" xr:uid="{00000000-0005-0000-0000-0000FB150000}"/>
    <cellStyle name="60% - Énfasis4 9" xfId="1114" xr:uid="{00000000-0005-0000-0000-0000FC150000}"/>
    <cellStyle name="60% - Énfasis5" xfId="77" builtinId="48" customBuiltin="1"/>
    <cellStyle name="60% - Énfasis5 10" xfId="1116" xr:uid="{00000000-0005-0000-0000-0000FE150000}"/>
    <cellStyle name="60% - Énfasis5 11" xfId="1115" xr:uid="{00000000-0005-0000-0000-0000FF150000}"/>
    <cellStyle name="60% - Énfasis5 12" xfId="1388" xr:uid="{00000000-0005-0000-0000-000000160000}"/>
    <cellStyle name="60% - Énfasis5 13" xfId="4891" xr:uid="{00000000-0005-0000-0000-000001160000}"/>
    <cellStyle name="60% - Énfasis5 2" xfId="504" xr:uid="{00000000-0005-0000-0000-000002160000}"/>
    <cellStyle name="60% - Énfasis5 2 2" xfId="1895" xr:uid="{00000000-0005-0000-0000-000003160000}"/>
    <cellStyle name="60% - Énfasis5 2 2 2" xfId="3220" xr:uid="{00000000-0005-0000-0000-000004160000}"/>
    <cellStyle name="60% - Énfasis5 2 2 3" xfId="7642" xr:uid="{00000000-0005-0000-0000-000005160000}"/>
    <cellStyle name="60% - Énfasis5 2 2 4" xfId="7641" xr:uid="{00000000-0005-0000-0000-000006160000}"/>
    <cellStyle name="60% - Énfasis5 2 2 5" xfId="31221" xr:uid="{30781A96-BD40-4F30-A076-397F411393F2}"/>
    <cellStyle name="60% - Énfasis5 2 3" xfId="7643" xr:uid="{00000000-0005-0000-0000-000007160000}"/>
    <cellStyle name="60% - Énfasis5 2 3 2" xfId="22903" xr:uid="{00000000-0005-0000-0000-000008160000}"/>
    <cellStyle name="60% - Énfasis5 2 4" xfId="31134" xr:uid="{90E51F5A-187F-4CCF-A5D3-A28BF30F3790}"/>
    <cellStyle name="60% - Énfasis5 3" xfId="503" xr:uid="{00000000-0005-0000-0000-000009160000}"/>
    <cellStyle name="60% - Énfasis5 3 2" xfId="1896" xr:uid="{00000000-0005-0000-0000-00000A160000}"/>
    <cellStyle name="60% - Énfasis5 3 3" xfId="1897" xr:uid="{00000000-0005-0000-0000-00000B160000}"/>
    <cellStyle name="60% - Énfasis5 3 4" xfId="7644" xr:uid="{00000000-0005-0000-0000-00000C160000}"/>
    <cellStyle name="60% - Énfasis5 4" xfId="1117" xr:uid="{00000000-0005-0000-0000-00000D160000}"/>
    <cellStyle name="60% - Énfasis5 4 2" xfId="7646" xr:uid="{00000000-0005-0000-0000-00000E160000}"/>
    <cellStyle name="60% - Énfasis5 4 3" xfId="7647" xr:uid="{00000000-0005-0000-0000-00000F160000}"/>
    <cellStyle name="60% - Énfasis5 4 4" xfId="7645" xr:uid="{00000000-0005-0000-0000-000010160000}"/>
    <cellStyle name="60% - Énfasis5 5" xfId="1118" xr:uid="{00000000-0005-0000-0000-000011160000}"/>
    <cellStyle name="60% - Énfasis5 5 2" xfId="1898" xr:uid="{00000000-0005-0000-0000-000012160000}"/>
    <cellStyle name="60% - Énfasis5 5 2 2" xfId="7649" xr:uid="{00000000-0005-0000-0000-000013160000}"/>
    <cellStyle name="60% - Énfasis5 5 3" xfId="3836" xr:uid="{00000000-0005-0000-0000-000014160000}"/>
    <cellStyle name="60% - Énfasis5 5 3 2" xfId="7650" xr:uid="{00000000-0005-0000-0000-000015160000}"/>
    <cellStyle name="60% - Énfasis5 5 3 3" xfId="23453" xr:uid="{00000000-0005-0000-0000-000016160000}"/>
    <cellStyle name="60% - Énfasis5 5 4" xfId="3221" xr:uid="{00000000-0005-0000-0000-000017160000}"/>
    <cellStyle name="60% - Énfasis5 5 5" xfId="7648" xr:uid="{00000000-0005-0000-0000-000018160000}"/>
    <cellStyle name="60% - Énfasis5 6" xfId="1119" xr:uid="{00000000-0005-0000-0000-000019160000}"/>
    <cellStyle name="60% - Énfasis5 6 2" xfId="1899" xr:uid="{00000000-0005-0000-0000-00001A160000}"/>
    <cellStyle name="60% - Énfasis5 6 2 2" xfId="7651" xr:uid="{00000000-0005-0000-0000-00001B160000}"/>
    <cellStyle name="60% - Énfasis5 6 2 3" xfId="23454" xr:uid="{00000000-0005-0000-0000-00001C160000}"/>
    <cellStyle name="60% - Énfasis5 6 3" xfId="3837" xr:uid="{00000000-0005-0000-0000-00001D160000}"/>
    <cellStyle name="60% - Énfasis5 6 3 2" xfId="23455" xr:uid="{00000000-0005-0000-0000-00001E160000}"/>
    <cellStyle name="60% - Énfasis5 6 4" xfId="3222" xr:uid="{00000000-0005-0000-0000-00001F160000}"/>
    <cellStyle name="60% - Énfasis5 7" xfId="1120" xr:uid="{00000000-0005-0000-0000-000020160000}"/>
    <cellStyle name="60% - Énfasis5 8" xfId="1121" xr:uid="{00000000-0005-0000-0000-000021160000}"/>
    <cellStyle name="60% - Énfasis5 9" xfId="1122" xr:uid="{00000000-0005-0000-0000-000022160000}"/>
    <cellStyle name="60% - Énfasis6" xfId="78" builtinId="52" customBuiltin="1"/>
    <cellStyle name="60% - Énfasis6 10" xfId="1124" xr:uid="{00000000-0005-0000-0000-000024160000}"/>
    <cellStyle name="60% - Énfasis6 11" xfId="1123" xr:uid="{00000000-0005-0000-0000-000025160000}"/>
    <cellStyle name="60% - Énfasis6 12" xfId="1389" xr:uid="{00000000-0005-0000-0000-000026160000}"/>
    <cellStyle name="60% - Énfasis6 13" xfId="4892" xr:uid="{00000000-0005-0000-0000-000027160000}"/>
    <cellStyle name="60% - Énfasis6 2" xfId="506" xr:uid="{00000000-0005-0000-0000-000028160000}"/>
    <cellStyle name="60% - Énfasis6 2 2" xfId="1900" xr:uid="{00000000-0005-0000-0000-000029160000}"/>
    <cellStyle name="60% - Énfasis6 2 2 2" xfId="3223" xr:uid="{00000000-0005-0000-0000-00002A160000}"/>
    <cellStyle name="60% - Énfasis6 2 2 3" xfId="7653" xr:uid="{00000000-0005-0000-0000-00002B160000}"/>
    <cellStyle name="60% - Énfasis6 2 2 4" xfId="7652" xr:uid="{00000000-0005-0000-0000-00002C160000}"/>
    <cellStyle name="60% - Énfasis6 2 2 5" xfId="31222" xr:uid="{C6B4FEA9-1011-4F4A-9543-37C50161EF27}"/>
    <cellStyle name="60% - Énfasis6 2 3" xfId="7654" xr:uid="{00000000-0005-0000-0000-00002D160000}"/>
    <cellStyle name="60% - Énfasis6 2 3 2" xfId="22904" xr:uid="{00000000-0005-0000-0000-00002E160000}"/>
    <cellStyle name="60% - Énfasis6 2 4" xfId="31135" xr:uid="{FB59A160-DF40-47DF-8DDA-FA8AFE9E761D}"/>
    <cellStyle name="60% - Énfasis6 3" xfId="505" xr:uid="{00000000-0005-0000-0000-00002F160000}"/>
    <cellStyle name="60% - Énfasis6 3 2" xfId="1901" xr:uid="{00000000-0005-0000-0000-000030160000}"/>
    <cellStyle name="60% - Énfasis6 3 3" xfId="1902" xr:uid="{00000000-0005-0000-0000-000031160000}"/>
    <cellStyle name="60% - Énfasis6 3 4" xfId="7655" xr:uid="{00000000-0005-0000-0000-000032160000}"/>
    <cellStyle name="60% - Énfasis6 3 5" xfId="7656" xr:uid="{00000000-0005-0000-0000-000033160000}"/>
    <cellStyle name="60% - Énfasis6 4" xfId="1125" xr:uid="{00000000-0005-0000-0000-000034160000}"/>
    <cellStyle name="60% - Énfasis6 4 2" xfId="7658" xr:uid="{00000000-0005-0000-0000-000035160000}"/>
    <cellStyle name="60% - Énfasis6 4 3" xfId="7659" xr:uid="{00000000-0005-0000-0000-000036160000}"/>
    <cellStyle name="60% - Énfasis6 4 4" xfId="7660" xr:uid="{00000000-0005-0000-0000-000037160000}"/>
    <cellStyle name="60% - Énfasis6 4 5" xfId="7657" xr:uid="{00000000-0005-0000-0000-000038160000}"/>
    <cellStyle name="60% - Énfasis6 5" xfId="1126" xr:uid="{00000000-0005-0000-0000-000039160000}"/>
    <cellStyle name="60% - Énfasis6 5 2" xfId="1903" xr:uid="{00000000-0005-0000-0000-00003A160000}"/>
    <cellStyle name="60% - Énfasis6 5 2 2" xfId="7662" xr:uid="{00000000-0005-0000-0000-00003B160000}"/>
    <cellStyle name="60% - Énfasis6 5 3" xfId="3838" xr:uid="{00000000-0005-0000-0000-00003C160000}"/>
    <cellStyle name="60% - Énfasis6 5 3 2" xfId="7663" xr:uid="{00000000-0005-0000-0000-00003D160000}"/>
    <cellStyle name="60% - Énfasis6 5 3 3" xfId="23456" xr:uid="{00000000-0005-0000-0000-00003E160000}"/>
    <cellStyle name="60% - Énfasis6 5 4" xfId="3224" xr:uid="{00000000-0005-0000-0000-00003F160000}"/>
    <cellStyle name="60% - Énfasis6 5 5" xfId="7661" xr:uid="{00000000-0005-0000-0000-000040160000}"/>
    <cellStyle name="60% - Énfasis6 6" xfId="1127" xr:uid="{00000000-0005-0000-0000-000041160000}"/>
    <cellStyle name="60% - Énfasis6 6 2" xfId="1904" xr:uid="{00000000-0005-0000-0000-000042160000}"/>
    <cellStyle name="60% - Énfasis6 6 2 2" xfId="7664" xr:uid="{00000000-0005-0000-0000-000043160000}"/>
    <cellStyle name="60% - Énfasis6 6 2 3" xfId="23457" xr:uid="{00000000-0005-0000-0000-000044160000}"/>
    <cellStyle name="60% - Énfasis6 6 3" xfId="3839" xr:uid="{00000000-0005-0000-0000-000045160000}"/>
    <cellStyle name="60% - Énfasis6 6 3 2" xfId="23458" xr:uid="{00000000-0005-0000-0000-000046160000}"/>
    <cellStyle name="60% - Énfasis6 6 4" xfId="3225" xr:uid="{00000000-0005-0000-0000-000047160000}"/>
    <cellStyle name="60% - Énfasis6 7" xfId="1128" xr:uid="{00000000-0005-0000-0000-000048160000}"/>
    <cellStyle name="60% - Énfasis6 8" xfId="1129" xr:uid="{00000000-0005-0000-0000-000049160000}"/>
    <cellStyle name="60% - Énfasis6 9" xfId="1130" xr:uid="{00000000-0005-0000-0000-00004A160000}"/>
    <cellStyle name="60% - アクセント 1" xfId="79" xr:uid="{00000000-0005-0000-0000-00004B160000}"/>
    <cellStyle name="60% - アクセント 1 2" xfId="508" xr:uid="{00000000-0005-0000-0000-00004C160000}"/>
    <cellStyle name="60% - アクセント 1 2 2" xfId="1906" xr:uid="{00000000-0005-0000-0000-00004D160000}"/>
    <cellStyle name="60% - アクセント 1 2 3" xfId="1905" xr:uid="{00000000-0005-0000-0000-00004E160000}"/>
    <cellStyle name="60% - アクセント 1 3" xfId="507" xr:uid="{00000000-0005-0000-0000-00004F160000}"/>
    <cellStyle name="60% - アクセント 1 3 2" xfId="1907" xr:uid="{00000000-0005-0000-0000-000050160000}"/>
    <cellStyle name="60% - アクセント 1 3 2 2" xfId="23459" xr:uid="{00000000-0005-0000-0000-000051160000}"/>
    <cellStyle name="60% - アクセント 1 3 3" xfId="3662" xr:uid="{00000000-0005-0000-0000-000052160000}"/>
    <cellStyle name="60% - アクセント 1 4" xfId="2746" xr:uid="{00000000-0005-0000-0000-000053160000}"/>
    <cellStyle name="60% - アクセント 2" xfId="80" xr:uid="{00000000-0005-0000-0000-000054160000}"/>
    <cellStyle name="60% - アクセント 2 2" xfId="510" xr:uid="{00000000-0005-0000-0000-000055160000}"/>
    <cellStyle name="60% - アクセント 2 2 2" xfId="1909" xr:uid="{00000000-0005-0000-0000-000056160000}"/>
    <cellStyle name="60% - アクセント 2 2 3" xfId="1908" xr:uid="{00000000-0005-0000-0000-000057160000}"/>
    <cellStyle name="60% - アクセント 2 3" xfId="509" xr:uid="{00000000-0005-0000-0000-000058160000}"/>
    <cellStyle name="60% - アクセント 2 3 2" xfId="1910" xr:uid="{00000000-0005-0000-0000-000059160000}"/>
    <cellStyle name="60% - アクセント 2 3 2 2" xfId="23460" xr:uid="{00000000-0005-0000-0000-00005A160000}"/>
    <cellStyle name="60% - アクセント 2 3 3" xfId="3663" xr:uid="{00000000-0005-0000-0000-00005B160000}"/>
    <cellStyle name="60% - アクセント 2 4" xfId="2747" xr:uid="{00000000-0005-0000-0000-00005C160000}"/>
    <cellStyle name="60% - アクセント 3" xfId="81" xr:uid="{00000000-0005-0000-0000-00005D160000}"/>
    <cellStyle name="60% - アクセント 3 2" xfId="512" xr:uid="{00000000-0005-0000-0000-00005E160000}"/>
    <cellStyle name="60% - アクセント 3 2 2" xfId="1912" xr:uid="{00000000-0005-0000-0000-00005F160000}"/>
    <cellStyle name="60% - アクセント 3 2 3" xfId="1911" xr:uid="{00000000-0005-0000-0000-000060160000}"/>
    <cellStyle name="60% - アクセント 3 3" xfId="511" xr:uid="{00000000-0005-0000-0000-000061160000}"/>
    <cellStyle name="60% - アクセント 3 3 2" xfId="1913" xr:uid="{00000000-0005-0000-0000-000062160000}"/>
    <cellStyle name="60% - アクセント 3 3 2 2" xfId="23461" xr:uid="{00000000-0005-0000-0000-000063160000}"/>
    <cellStyle name="60% - アクセント 3 3 3" xfId="3664" xr:uid="{00000000-0005-0000-0000-000064160000}"/>
    <cellStyle name="60% - アクセント 3 4" xfId="2748" xr:uid="{00000000-0005-0000-0000-000065160000}"/>
    <cellStyle name="60% - アクセント 4" xfId="82" xr:uid="{00000000-0005-0000-0000-000066160000}"/>
    <cellStyle name="60% - アクセント 4 2" xfId="514" xr:uid="{00000000-0005-0000-0000-000067160000}"/>
    <cellStyle name="60% - アクセント 4 2 2" xfId="1915" xr:uid="{00000000-0005-0000-0000-000068160000}"/>
    <cellStyle name="60% - アクセント 4 2 3" xfId="1914" xr:uid="{00000000-0005-0000-0000-000069160000}"/>
    <cellStyle name="60% - アクセント 4 3" xfId="513" xr:uid="{00000000-0005-0000-0000-00006A160000}"/>
    <cellStyle name="60% - アクセント 4 3 2" xfId="1916" xr:uid="{00000000-0005-0000-0000-00006B160000}"/>
    <cellStyle name="60% - アクセント 4 3 2 2" xfId="23462" xr:uid="{00000000-0005-0000-0000-00006C160000}"/>
    <cellStyle name="60% - アクセント 4 3 3" xfId="3665" xr:uid="{00000000-0005-0000-0000-00006D160000}"/>
    <cellStyle name="60% - アクセント 4 4" xfId="2749" xr:uid="{00000000-0005-0000-0000-00006E160000}"/>
    <cellStyle name="60% - アクセント 5" xfId="83" xr:uid="{00000000-0005-0000-0000-00006F160000}"/>
    <cellStyle name="60% - アクセント 5 2" xfId="516" xr:uid="{00000000-0005-0000-0000-000070160000}"/>
    <cellStyle name="60% - アクセント 5 2 2" xfId="1918" xr:uid="{00000000-0005-0000-0000-000071160000}"/>
    <cellStyle name="60% - アクセント 5 2 3" xfId="1917" xr:uid="{00000000-0005-0000-0000-000072160000}"/>
    <cellStyle name="60% - アクセント 5 3" xfId="515" xr:uid="{00000000-0005-0000-0000-000073160000}"/>
    <cellStyle name="60% - アクセント 5 3 2" xfId="1919" xr:uid="{00000000-0005-0000-0000-000074160000}"/>
    <cellStyle name="60% - アクセント 5 3 2 2" xfId="23463" xr:uid="{00000000-0005-0000-0000-000075160000}"/>
    <cellStyle name="60% - アクセント 5 3 3" xfId="3666" xr:uid="{00000000-0005-0000-0000-000076160000}"/>
    <cellStyle name="60% - アクセント 5 4" xfId="2750" xr:uid="{00000000-0005-0000-0000-000077160000}"/>
    <cellStyle name="60% - アクセント 6" xfId="84" xr:uid="{00000000-0005-0000-0000-000078160000}"/>
    <cellStyle name="60% - アクセント 6 2" xfId="518" xr:uid="{00000000-0005-0000-0000-000079160000}"/>
    <cellStyle name="60% - アクセント 6 2 2" xfId="1921" xr:uid="{00000000-0005-0000-0000-00007A160000}"/>
    <cellStyle name="60% - アクセント 6 2 3" xfId="1920" xr:uid="{00000000-0005-0000-0000-00007B160000}"/>
    <cellStyle name="60% - アクセント 6 3" xfId="517" xr:uid="{00000000-0005-0000-0000-00007C160000}"/>
    <cellStyle name="60% - アクセント 6 3 2" xfId="1922" xr:uid="{00000000-0005-0000-0000-00007D160000}"/>
    <cellStyle name="60% - アクセント 6 3 2 2" xfId="23464" xr:uid="{00000000-0005-0000-0000-00007E160000}"/>
    <cellStyle name="60% - アクセント 6 3 3" xfId="3667" xr:uid="{00000000-0005-0000-0000-00007F160000}"/>
    <cellStyle name="60% - アクセント 6 4" xfId="2751" xr:uid="{00000000-0005-0000-0000-000080160000}"/>
    <cellStyle name="Accent1" xfId="85" xr:uid="{00000000-0005-0000-0000-000081160000}"/>
    <cellStyle name="Accent1 2" xfId="86" xr:uid="{00000000-0005-0000-0000-000082160000}"/>
    <cellStyle name="Accent1 2 2" xfId="1132" xr:uid="{00000000-0005-0000-0000-000083160000}"/>
    <cellStyle name="Accent1 2 2 2" xfId="1923" xr:uid="{00000000-0005-0000-0000-000084160000}"/>
    <cellStyle name="Accent1 2 2 2 2" xfId="23465" xr:uid="{00000000-0005-0000-0000-000085160000}"/>
    <cellStyle name="Accent1 2 2 3" xfId="3841" xr:uid="{00000000-0005-0000-0000-000086160000}"/>
    <cellStyle name="Accent1 2 3" xfId="7665" xr:uid="{00000000-0005-0000-0000-000087160000}"/>
    <cellStyle name="Accent1 3" xfId="1131" xr:uid="{00000000-0005-0000-0000-000088160000}"/>
    <cellStyle name="Accent1 3 2" xfId="1924" xr:uid="{00000000-0005-0000-0000-000089160000}"/>
    <cellStyle name="Accent1 3 2 2" xfId="23466" xr:uid="{00000000-0005-0000-0000-00008A160000}"/>
    <cellStyle name="Accent1 3 3" xfId="3840" xr:uid="{00000000-0005-0000-0000-00008B160000}"/>
    <cellStyle name="Accent1 4" xfId="7666" xr:uid="{00000000-0005-0000-0000-00008C160000}"/>
    <cellStyle name="Accent2" xfId="87" xr:uid="{00000000-0005-0000-0000-00008D160000}"/>
    <cellStyle name="Accent2 2" xfId="88" xr:uid="{00000000-0005-0000-0000-00008E160000}"/>
    <cellStyle name="Accent2 2 2" xfId="1134" xr:uid="{00000000-0005-0000-0000-00008F160000}"/>
    <cellStyle name="Accent2 2 2 2" xfId="1925" xr:uid="{00000000-0005-0000-0000-000090160000}"/>
    <cellStyle name="Accent2 2 2 2 2" xfId="23467" xr:uid="{00000000-0005-0000-0000-000091160000}"/>
    <cellStyle name="Accent2 2 2 3" xfId="3843" xr:uid="{00000000-0005-0000-0000-000092160000}"/>
    <cellStyle name="Accent2 2 3" xfId="7667" xr:uid="{00000000-0005-0000-0000-000093160000}"/>
    <cellStyle name="Accent2 3" xfId="1133" xr:uid="{00000000-0005-0000-0000-000094160000}"/>
    <cellStyle name="Accent2 3 2" xfId="1926" xr:uid="{00000000-0005-0000-0000-000095160000}"/>
    <cellStyle name="Accent2 3 2 2" xfId="23468" xr:uid="{00000000-0005-0000-0000-000096160000}"/>
    <cellStyle name="Accent2 3 3" xfId="3842" xr:uid="{00000000-0005-0000-0000-000097160000}"/>
    <cellStyle name="Accent2 4" xfId="7668" xr:uid="{00000000-0005-0000-0000-000098160000}"/>
    <cellStyle name="Accent3" xfId="89" xr:uid="{00000000-0005-0000-0000-000099160000}"/>
    <cellStyle name="Accent3 2" xfId="90" xr:uid="{00000000-0005-0000-0000-00009A160000}"/>
    <cellStyle name="Accent3 2 2" xfId="1136" xr:uid="{00000000-0005-0000-0000-00009B160000}"/>
    <cellStyle name="Accent3 2 2 2" xfId="1927" xr:uid="{00000000-0005-0000-0000-00009C160000}"/>
    <cellStyle name="Accent3 2 2 2 2" xfId="23469" xr:uid="{00000000-0005-0000-0000-00009D160000}"/>
    <cellStyle name="Accent3 2 2 3" xfId="3845" xr:uid="{00000000-0005-0000-0000-00009E160000}"/>
    <cellStyle name="Accent3 2 3" xfId="7669" xr:uid="{00000000-0005-0000-0000-00009F160000}"/>
    <cellStyle name="Accent3 3" xfId="1135" xr:uid="{00000000-0005-0000-0000-0000A0160000}"/>
    <cellStyle name="Accent3 3 2" xfId="1928" xr:uid="{00000000-0005-0000-0000-0000A1160000}"/>
    <cellStyle name="Accent3 3 2 2" xfId="23470" xr:uid="{00000000-0005-0000-0000-0000A2160000}"/>
    <cellStyle name="Accent3 3 3" xfId="3844" xr:uid="{00000000-0005-0000-0000-0000A3160000}"/>
    <cellStyle name="Accent3 4" xfId="7670" xr:uid="{00000000-0005-0000-0000-0000A4160000}"/>
    <cellStyle name="Accent4" xfId="91" xr:uid="{00000000-0005-0000-0000-0000A5160000}"/>
    <cellStyle name="Accent4 2" xfId="92" xr:uid="{00000000-0005-0000-0000-0000A6160000}"/>
    <cellStyle name="Accent4 2 2" xfId="1138" xr:uid="{00000000-0005-0000-0000-0000A7160000}"/>
    <cellStyle name="Accent4 2 2 2" xfId="1929" xr:uid="{00000000-0005-0000-0000-0000A8160000}"/>
    <cellStyle name="Accent4 2 2 2 2" xfId="23471" xr:uid="{00000000-0005-0000-0000-0000A9160000}"/>
    <cellStyle name="Accent4 2 2 3" xfId="3847" xr:uid="{00000000-0005-0000-0000-0000AA160000}"/>
    <cellStyle name="Accent4 2 3" xfId="7671" xr:uid="{00000000-0005-0000-0000-0000AB160000}"/>
    <cellStyle name="Accent4 3" xfId="1137" xr:uid="{00000000-0005-0000-0000-0000AC160000}"/>
    <cellStyle name="Accent4 3 2" xfId="1930" xr:uid="{00000000-0005-0000-0000-0000AD160000}"/>
    <cellStyle name="Accent4 3 2 2" xfId="23472" xr:uid="{00000000-0005-0000-0000-0000AE160000}"/>
    <cellStyle name="Accent4 3 3" xfId="3846" xr:uid="{00000000-0005-0000-0000-0000AF160000}"/>
    <cellStyle name="Accent4 4" xfId="7672" xr:uid="{00000000-0005-0000-0000-0000B0160000}"/>
    <cellStyle name="Accent5" xfId="93" xr:uid="{00000000-0005-0000-0000-0000B1160000}"/>
    <cellStyle name="Accent5 2" xfId="94" xr:uid="{00000000-0005-0000-0000-0000B2160000}"/>
    <cellStyle name="Accent5 2 2" xfId="1140" xr:uid="{00000000-0005-0000-0000-0000B3160000}"/>
    <cellStyle name="Accent5 2 2 2" xfId="1931" xr:uid="{00000000-0005-0000-0000-0000B4160000}"/>
    <cellStyle name="Accent5 2 2 2 2" xfId="23473" xr:uid="{00000000-0005-0000-0000-0000B5160000}"/>
    <cellStyle name="Accent5 2 2 3" xfId="3849" xr:uid="{00000000-0005-0000-0000-0000B6160000}"/>
    <cellStyle name="Accent5 2 3" xfId="7673" xr:uid="{00000000-0005-0000-0000-0000B7160000}"/>
    <cellStyle name="Accent5 3" xfId="1139" xr:uid="{00000000-0005-0000-0000-0000B8160000}"/>
    <cellStyle name="Accent5 3 2" xfId="1932" xr:uid="{00000000-0005-0000-0000-0000B9160000}"/>
    <cellStyle name="Accent5 3 2 2" xfId="23474" xr:uid="{00000000-0005-0000-0000-0000BA160000}"/>
    <cellStyle name="Accent5 3 3" xfId="3848" xr:uid="{00000000-0005-0000-0000-0000BB160000}"/>
    <cellStyle name="Accent5 4" xfId="7674" xr:uid="{00000000-0005-0000-0000-0000BC160000}"/>
    <cellStyle name="Accent6" xfId="95" xr:uid="{00000000-0005-0000-0000-0000BD160000}"/>
    <cellStyle name="Accent6 2" xfId="96" xr:uid="{00000000-0005-0000-0000-0000BE160000}"/>
    <cellStyle name="Accent6 2 2" xfId="1142" xr:uid="{00000000-0005-0000-0000-0000BF160000}"/>
    <cellStyle name="Accent6 2 2 2" xfId="1933" xr:uid="{00000000-0005-0000-0000-0000C0160000}"/>
    <cellStyle name="Accent6 2 2 2 2" xfId="23475" xr:uid="{00000000-0005-0000-0000-0000C1160000}"/>
    <cellStyle name="Accent6 2 2 3" xfId="3851" xr:uid="{00000000-0005-0000-0000-0000C2160000}"/>
    <cellStyle name="Accent6 2 3" xfId="7675" xr:uid="{00000000-0005-0000-0000-0000C3160000}"/>
    <cellStyle name="Accent6 3" xfId="1141" xr:uid="{00000000-0005-0000-0000-0000C4160000}"/>
    <cellStyle name="Accent6 3 2" xfId="1934" xr:uid="{00000000-0005-0000-0000-0000C5160000}"/>
    <cellStyle name="Accent6 3 2 2" xfId="23476" xr:uid="{00000000-0005-0000-0000-0000C6160000}"/>
    <cellStyle name="Accent6 3 3" xfId="3850" xr:uid="{00000000-0005-0000-0000-0000C7160000}"/>
    <cellStyle name="Accent6 4" xfId="7676" xr:uid="{00000000-0005-0000-0000-0000C8160000}"/>
    <cellStyle name="Actividad" xfId="32024" xr:uid="{CF3269D1-E71A-41F7-BEF5-9513CAE35A10}"/>
    <cellStyle name="Bad" xfId="97" xr:uid="{00000000-0005-0000-0000-0000C9160000}"/>
    <cellStyle name="Bad 2" xfId="98" xr:uid="{00000000-0005-0000-0000-0000CA160000}"/>
    <cellStyle name="Bad 2 2" xfId="1144" xr:uid="{00000000-0005-0000-0000-0000CB160000}"/>
    <cellStyle name="Bad 2 2 2" xfId="1935" xr:uid="{00000000-0005-0000-0000-0000CC160000}"/>
    <cellStyle name="Bad 2 2 2 2" xfId="23477" xr:uid="{00000000-0005-0000-0000-0000CD160000}"/>
    <cellStyle name="Bad 2 2 3" xfId="3853" xr:uid="{00000000-0005-0000-0000-0000CE160000}"/>
    <cellStyle name="Bad 2 3" xfId="7677" xr:uid="{00000000-0005-0000-0000-0000CF160000}"/>
    <cellStyle name="Bad 3" xfId="1143" xr:uid="{00000000-0005-0000-0000-0000D0160000}"/>
    <cellStyle name="Bad 3 2" xfId="1936" xr:uid="{00000000-0005-0000-0000-0000D1160000}"/>
    <cellStyle name="Bad 3 2 2" xfId="23478" xr:uid="{00000000-0005-0000-0000-0000D2160000}"/>
    <cellStyle name="Bad 3 3" xfId="3852" xr:uid="{00000000-0005-0000-0000-0000D3160000}"/>
    <cellStyle name="Bad 4" xfId="7678" xr:uid="{00000000-0005-0000-0000-0000D4160000}"/>
    <cellStyle name="bstitutes]_x000d__x000a_; The following mappings take Word for MS-DOS names, PostScript names, and TrueType_x000d__x000a_; names into account" xfId="99" xr:uid="{00000000-0005-0000-0000-0000D5160000}"/>
    <cellStyle name="bstitutes]_x000d__x000a_; The following mappings take Word for MS-DOS names, PostScript names, and TrueType_x000d__x000a_; names into account 2" xfId="100" xr:uid="{00000000-0005-0000-0000-0000D6160000}"/>
    <cellStyle name="bstitutes]_x000d__x000a_; The following mappings take Word for MS-DOS names, PostScript names, and TrueType_x000d__x000a_; names into account 2 2" xfId="519" xr:uid="{00000000-0005-0000-0000-0000D7160000}"/>
    <cellStyle name="bstitutes]_x000d__x000a_; The following mappings take Word for MS-DOS names, PostScript names, and TrueType_x000d__x000a_; names into account 3" xfId="101" xr:uid="{00000000-0005-0000-0000-0000D8160000}"/>
    <cellStyle name="bstitutes]_x000d__x000a_; The following mappings take Word for MS-DOS names, PostScript names, and TrueType_x000d__x000a_; names into account 3 2" xfId="520" xr:uid="{00000000-0005-0000-0000-0000D9160000}"/>
    <cellStyle name="bstitutes]_x000d__x000a_; The following mappings take Word for MS-DOS names, PostScript names, and TrueType_x000d__x000a_; names into account 4" xfId="102" xr:uid="{00000000-0005-0000-0000-0000DA160000}"/>
    <cellStyle name="bstitutes]_x000d__x000a_; The following mappings take Word for MS-DOS names, PostScript names, and TrueType_x000d__x000a_; names into account 4 2" xfId="521" xr:uid="{00000000-0005-0000-0000-0000DB160000}"/>
    <cellStyle name="bstitutes]_x000d__x000a_; The following mappings take Word for MS-DOS names, PostScript names, and TrueType_x000d__x000a_; names into account 5" xfId="103" xr:uid="{00000000-0005-0000-0000-0000DC160000}"/>
    <cellStyle name="bstitutes]_x000d__x000a_; The following mappings take Word for MS-DOS names, PostScript names, and TrueType_x000d__x000a_; names into account 5 2" xfId="522" xr:uid="{00000000-0005-0000-0000-0000DD160000}"/>
    <cellStyle name="bstitutes]_x000d__x000a_; The following mappings take Word for MS-DOS names, PostScript names, and TrueType_x000d__x000a_; names into account 6" xfId="523" xr:uid="{00000000-0005-0000-0000-0000DE160000}"/>
    <cellStyle name="bstitutes]_x000d__x000a_; The following mappings take Word for MS-DOS names, PostScript names, and TrueType_x000d__x000a_; names into account_Real 2013" xfId="524" xr:uid="{00000000-0005-0000-0000-0000DF160000}"/>
    <cellStyle name="Buena 10" xfId="1145" xr:uid="{00000000-0005-0000-0000-0000E0160000}"/>
    <cellStyle name="Buena 11" xfId="1390" xr:uid="{00000000-0005-0000-0000-0000E1160000}"/>
    <cellStyle name="Buena 12" xfId="4893" xr:uid="{00000000-0005-0000-0000-0000E2160000}"/>
    <cellStyle name="Buena 2" xfId="526" xr:uid="{00000000-0005-0000-0000-0000E3160000}"/>
    <cellStyle name="Buena 2 2" xfId="1937" xr:uid="{00000000-0005-0000-0000-0000E4160000}"/>
    <cellStyle name="Buena 2 2 2" xfId="3226" xr:uid="{00000000-0005-0000-0000-0000E5160000}"/>
    <cellStyle name="Buena 2 2 3" xfId="7680" xr:uid="{00000000-0005-0000-0000-0000E6160000}"/>
    <cellStyle name="Buena 2 2 4" xfId="7679" xr:uid="{00000000-0005-0000-0000-0000E7160000}"/>
    <cellStyle name="Buena 2 3" xfId="7681" xr:uid="{00000000-0005-0000-0000-0000E8160000}"/>
    <cellStyle name="Buena 2 3 2" xfId="22905" xr:uid="{00000000-0005-0000-0000-0000E9160000}"/>
    <cellStyle name="Buena 3" xfId="525" xr:uid="{00000000-0005-0000-0000-0000EA160000}"/>
    <cellStyle name="Buena 3 2" xfId="1938" xr:uid="{00000000-0005-0000-0000-0000EB160000}"/>
    <cellStyle name="Buena 3 3" xfId="1939" xr:uid="{00000000-0005-0000-0000-0000EC160000}"/>
    <cellStyle name="Buena 3 4" xfId="7682" xr:uid="{00000000-0005-0000-0000-0000ED160000}"/>
    <cellStyle name="Buena 4" xfId="1146" xr:uid="{00000000-0005-0000-0000-0000EE160000}"/>
    <cellStyle name="Buena 4 2" xfId="7684" xr:uid="{00000000-0005-0000-0000-0000EF160000}"/>
    <cellStyle name="Buena 4 3" xfId="7685" xr:uid="{00000000-0005-0000-0000-0000F0160000}"/>
    <cellStyle name="Buena 4 4" xfId="7683" xr:uid="{00000000-0005-0000-0000-0000F1160000}"/>
    <cellStyle name="Buena 5" xfId="1147" xr:uid="{00000000-0005-0000-0000-0000F2160000}"/>
    <cellStyle name="Buena 5 2" xfId="1940" xr:uid="{00000000-0005-0000-0000-0000F3160000}"/>
    <cellStyle name="Buena 5 2 2" xfId="7687" xr:uid="{00000000-0005-0000-0000-0000F4160000}"/>
    <cellStyle name="Buena 5 3" xfId="3854" xr:uid="{00000000-0005-0000-0000-0000F5160000}"/>
    <cellStyle name="Buena 5 3 2" xfId="7688" xr:uid="{00000000-0005-0000-0000-0000F6160000}"/>
    <cellStyle name="Buena 5 3 3" xfId="23479" xr:uid="{00000000-0005-0000-0000-0000F7160000}"/>
    <cellStyle name="Buena 5 4" xfId="3227" xr:uid="{00000000-0005-0000-0000-0000F8160000}"/>
    <cellStyle name="Buena 5 5" xfId="7686" xr:uid="{00000000-0005-0000-0000-0000F9160000}"/>
    <cellStyle name="Buena 6" xfId="1148" xr:uid="{00000000-0005-0000-0000-0000FA160000}"/>
    <cellStyle name="Buena 6 2" xfId="1941" xr:uid="{00000000-0005-0000-0000-0000FB160000}"/>
    <cellStyle name="Buena 6 2 2" xfId="7689" xr:uid="{00000000-0005-0000-0000-0000FC160000}"/>
    <cellStyle name="Buena 6 2 3" xfId="23480" xr:uid="{00000000-0005-0000-0000-0000FD160000}"/>
    <cellStyle name="Buena 6 3" xfId="3855" xr:uid="{00000000-0005-0000-0000-0000FE160000}"/>
    <cellStyle name="Buena 6 3 2" xfId="23481" xr:uid="{00000000-0005-0000-0000-0000FF160000}"/>
    <cellStyle name="Buena 6 4" xfId="3228" xr:uid="{00000000-0005-0000-0000-000000170000}"/>
    <cellStyle name="Buena 7" xfId="1149" xr:uid="{00000000-0005-0000-0000-000001170000}"/>
    <cellStyle name="Buena 8" xfId="1150" xr:uid="{00000000-0005-0000-0000-000002170000}"/>
    <cellStyle name="Buena 9" xfId="1151" xr:uid="{00000000-0005-0000-0000-000003170000}"/>
    <cellStyle name="Bueno" xfId="104" builtinId="26" customBuiltin="1"/>
    <cellStyle name="Bueno 2" xfId="6807" xr:uid="{00000000-0005-0000-0000-000005170000}"/>
    <cellStyle name="Cabecera 1" xfId="105" xr:uid="{00000000-0005-0000-0000-000006170000}"/>
    <cellStyle name="Cabecera 1 2" xfId="106" xr:uid="{00000000-0005-0000-0000-000007170000}"/>
    <cellStyle name="Cabecera 1 2 2" xfId="527" xr:uid="{00000000-0005-0000-0000-000008170000}"/>
    <cellStyle name="Cabecera 1 3" xfId="107" xr:uid="{00000000-0005-0000-0000-000009170000}"/>
    <cellStyle name="Cabecera 1 3 2" xfId="528" xr:uid="{00000000-0005-0000-0000-00000A170000}"/>
    <cellStyle name="Cabecera 1 4" xfId="108" xr:uid="{00000000-0005-0000-0000-00000B170000}"/>
    <cellStyle name="Cabecera 1 4 2" xfId="529" xr:uid="{00000000-0005-0000-0000-00000C170000}"/>
    <cellStyle name="Cabecera 1 5" xfId="109" xr:uid="{00000000-0005-0000-0000-00000D170000}"/>
    <cellStyle name="Cabecera 1 5 2" xfId="530" xr:uid="{00000000-0005-0000-0000-00000E170000}"/>
    <cellStyle name="Cabecera 1_Budget 2012 - Plan de Producción (15092011)" xfId="7690" xr:uid="{00000000-0005-0000-0000-00000F170000}"/>
    <cellStyle name="Cabecera 2" xfId="110" xr:uid="{00000000-0005-0000-0000-000010170000}"/>
    <cellStyle name="Cabecera 2 2" xfId="111" xr:uid="{00000000-0005-0000-0000-000011170000}"/>
    <cellStyle name="Cabecera 2 2 2" xfId="531" xr:uid="{00000000-0005-0000-0000-000012170000}"/>
    <cellStyle name="Cabecera 2 3" xfId="112" xr:uid="{00000000-0005-0000-0000-000013170000}"/>
    <cellStyle name="Cabecera 2 3 2" xfId="532" xr:uid="{00000000-0005-0000-0000-000014170000}"/>
    <cellStyle name="Cabecera 2 4" xfId="113" xr:uid="{00000000-0005-0000-0000-000015170000}"/>
    <cellStyle name="Cabecera 2 4 2" xfId="533" xr:uid="{00000000-0005-0000-0000-000016170000}"/>
    <cellStyle name="Cabecera 2 5" xfId="114" xr:uid="{00000000-0005-0000-0000-000017170000}"/>
    <cellStyle name="Cabecera 2 5 2" xfId="534" xr:uid="{00000000-0005-0000-0000-000018170000}"/>
    <cellStyle name="Cabecera 2_Budget 2012 - Plan de Producción (15092011)" xfId="7691" xr:uid="{00000000-0005-0000-0000-000019170000}"/>
    <cellStyle name="Calculation" xfId="115" xr:uid="{00000000-0005-0000-0000-00001A170000}"/>
    <cellStyle name="Calculation 10" xfId="7692" xr:uid="{00000000-0005-0000-0000-00001B170000}"/>
    <cellStyle name="Calculation 10 2" xfId="7693" xr:uid="{00000000-0005-0000-0000-00001C170000}"/>
    <cellStyle name="Calculation 10 3" xfId="7694" xr:uid="{00000000-0005-0000-0000-00001D170000}"/>
    <cellStyle name="Calculation 10 4" xfId="7695" xr:uid="{00000000-0005-0000-0000-00001E170000}"/>
    <cellStyle name="Calculation 10 5" xfId="7696" xr:uid="{00000000-0005-0000-0000-00001F170000}"/>
    <cellStyle name="Calculation 11" xfId="7697" xr:uid="{00000000-0005-0000-0000-000020170000}"/>
    <cellStyle name="Calculation 11 2" xfId="7698" xr:uid="{00000000-0005-0000-0000-000021170000}"/>
    <cellStyle name="Calculation 11 3" xfId="7699" xr:uid="{00000000-0005-0000-0000-000022170000}"/>
    <cellStyle name="Calculation 11 4" xfId="7700" xr:uid="{00000000-0005-0000-0000-000023170000}"/>
    <cellStyle name="Calculation 11 5" xfId="7701" xr:uid="{00000000-0005-0000-0000-000024170000}"/>
    <cellStyle name="Calculation 12" xfId="7702" xr:uid="{00000000-0005-0000-0000-000025170000}"/>
    <cellStyle name="Calculation 12 2" xfId="7703" xr:uid="{00000000-0005-0000-0000-000026170000}"/>
    <cellStyle name="Calculation 12 3" xfId="7704" xr:uid="{00000000-0005-0000-0000-000027170000}"/>
    <cellStyle name="Calculation 12 4" xfId="7705" xr:uid="{00000000-0005-0000-0000-000028170000}"/>
    <cellStyle name="Calculation 12 5" xfId="7706" xr:uid="{00000000-0005-0000-0000-000029170000}"/>
    <cellStyle name="Calculation 13" xfId="7707" xr:uid="{00000000-0005-0000-0000-00002A170000}"/>
    <cellStyle name="Calculation 13 2" xfId="7708" xr:uid="{00000000-0005-0000-0000-00002B170000}"/>
    <cellStyle name="Calculation 13 3" xfId="7709" xr:uid="{00000000-0005-0000-0000-00002C170000}"/>
    <cellStyle name="Calculation 13 4" xfId="7710" xr:uid="{00000000-0005-0000-0000-00002D170000}"/>
    <cellStyle name="Calculation 13 5" xfId="7711" xr:uid="{00000000-0005-0000-0000-00002E170000}"/>
    <cellStyle name="Calculation 2" xfId="116" xr:uid="{00000000-0005-0000-0000-00002F170000}"/>
    <cellStyle name="Calculation 2 10" xfId="7712" xr:uid="{00000000-0005-0000-0000-000030170000}"/>
    <cellStyle name="Calculation 2 10 2" xfId="7713" xr:uid="{00000000-0005-0000-0000-000031170000}"/>
    <cellStyle name="Calculation 2 10 3" xfId="7714" xr:uid="{00000000-0005-0000-0000-000032170000}"/>
    <cellStyle name="Calculation 2 10 4" xfId="7715" xr:uid="{00000000-0005-0000-0000-000033170000}"/>
    <cellStyle name="Calculation 2 10 5" xfId="7716" xr:uid="{00000000-0005-0000-0000-000034170000}"/>
    <cellStyle name="Calculation 2 11" xfId="7717" xr:uid="{00000000-0005-0000-0000-000035170000}"/>
    <cellStyle name="Calculation 2 11 2" xfId="7718" xr:uid="{00000000-0005-0000-0000-000036170000}"/>
    <cellStyle name="Calculation 2 11 3" xfId="7719" xr:uid="{00000000-0005-0000-0000-000037170000}"/>
    <cellStyle name="Calculation 2 11 4" xfId="7720" xr:uid="{00000000-0005-0000-0000-000038170000}"/>
    <cellStyle name="Calculation 2 11 5" xfId="7721" xr:uid="{00000000-0005-0000-0000-000039170000}"/>
    <cellStyle name="Calculation 2 12" xfId="7722" xr:uid="{00000000-0005-0000-0000-00003A170000}"/>
    <cellStyle name="Calculation 2 12 2" xfId="7723" xr:uid="{00000000-0005-0000-0000-00003B170000}"/>
    <cellStyle name="Calculation 2 12 3" xfId="7724" xr:uid="{00000000-0005-0000-0000-00003C170000}"/>
    <cellStyle name="Calculation 2 12 4" xfId="7725" xr:uid="{00000000-0005-0000-0000-00003D170000}"/>
    <cellStyle name="Calculation 2 12 5" xfId="7726" xr:uid="{00000000-0005-0000-0000-00003E170000}"/>
    <cellStyle name="Calculation 2 2" xfId="1153" xr:uid="{00000000-0005-0000-0000-00003F170000}"/>
    <cellStyle name="Calculation 2 2 10" xfId="7727" xr:uid="{00000000-0005-0000-0000-000040170000}"/>
    <cellStyle name="Calculation 2 2 10 2" xfId="7728" xr:uid="{00000000-0005-0000-0000-000041170000}"/>
    <cellStyle name="Calculation 2 2 10 3" xfId="7729" xr:uid="{00000000-0005-0000-0000-000042170000}"/>
    <cellStyle name="Calculation 2 2 10 4" xfId="7730" xr:uid="{00000000-0005-0000-0000-000043170000}"/>
    <cellStyle name="Calculation 2 2 10 5" xfId="7731" xr:uid="{00000000-0005-0000-0000-000044170000}"/>
    <cellStyle name="Calculation 2 2 11" xfId="7732" xr:uid="{00000000-0005-0000-0000-000045170000}"/>
    <cellStyle name="Calculation 2 2 11 2" xfId="7733" xr:uid="{00000000-0005-0000-0000-000046170000}"/>
    <cellStyle name="Calculation 2 2 11 3" xfId="7734" xr:uid="{00000000-0005-0000-0000-000047170000}"/>
    <cellStyle name="Calculation 2 2 11 4" xfId="7735" xr:uid="{00000000-0005-0000-0000-000048170000}"/>
    <cellStyle name="Calculation 2 2 11 5" xfId="7736" xr:uid="{00000000-0005-0000-0000-000049170000}"/>
    <cellStyle name="Calculation 2 2 12" xfId="7737" xr:uid="{00000000-0005-0000-0000-00004A170000}"/>
    <cellStyle name="Calculation 2 2 12 2" xfId="7738" xr:uid="{00000000-0005-0000-0000-00004B170000}"/>
    <cellStyle name="Calculation 2 2 12 3" xfId="7739" xr:uid="{00000000-0005-0000-0000-00004C170000}"/>
    <cellStyle name="Calculation 2 2 12 4" xfId="7740" xr:uid="{00000000-0005-0000-0000-00004D170000}"/>
    <cellStyle name="Calculation 2 2 12 5" xfId="7741" xr:uid="{00000000-0005-0000-0000-00004E170000}"/>
    <cellStyle name="Calculation 2 2 13" xfId="7742" xr:uid="{00000000-0005-0000-0000-00004F170000}"/>
    <cellStyle name="Calculation 2 2 14" xfId="7743" xr:uid="{00000000-0005-0000-0000-000050170000}"/>
    <cellStyle name="Calculation 2 2 15" xfId="7744" xr:uid="{00000000-0005-0000-0000-000051170000}"/>
    <cellStyle name="Calculation 2 2 16" xfId="7745" xr:uid="{00000000-0005-0000-0000-000052170000}"/>
    <cellStyle name="Calculation 2 2 2" xfId="1942" xr:uid="{00000000-0005-0000-0000-000053170000}"/>
    <cellStyle name="Calculation 2 2 2 2" xfId="7746" xr:uid="{00000000-0005-0000-0000-000054170000}"/>
    <cellStyle name="Calculation 2 2 2 3" xfId="7747" xr:uid="{00000000-0005-0000-0000-000055170000}"/>
    <cellStyle name="Calculation 2 2 2 4" xfId="7748" xr:uid="{00000000-0005-0000-0000-000056170000}"/>
    <cellStyle name="Calculation 2 2 2 5" xfId="7749" xr:uid="{00000000-0005-0000-0000-000057170000}"/>
    <cellStyle name="Calculation 2 2 2 6" xfId="23482" xr:uid="{00000000-0005-0000-0000-000058170000}"/>
    <cellStyle name="Calculation 2 2 3" xfId="3857" xr:uid="{00000000-0005-0000-0000-000059170000}"/>
    <cellStyle name="Calculation 2 2 3 2" xfId="7751" xr:uid="{00000000-0005-0000-0000-00005A170000}"/>
    <cellStyle name="Calculation 2 2 3 3" xfId="7752" xr:uid="{00000000-0005-0000-0000-00005B170000}"/>
    <cellStyle name="Calculation 2 2 3 4" xfId="7753" xr:uid="{00000000-0005-0000-0000-00005C170000}"/>
    <cellStyle name="Calculation 2 2 3 5" xfId="7754" xr:uid="{00000000-0005-0000-0000-00005D170000}"/>
    <cellStyle name="Calculation 2 2 3 6" xfId="7750" xr:uid="{00000000-0005-0000-0000-00005E170000}"/>
    <cellStyle name="Calculation 2 2 4" xfId="7755" xr:uid="{00000000-0005-0000-0000-00005F170000}"/>
    <cellStyle name="Calculation 2 2 4 2" xfId="7756" xr:uid="{00000000-0005-0000-0000-000060170000}"/>
    <cellStyle name="Calculation 2 2 4 3" xfId="7757" xr:uid="{00000000-0005-0000-0000-000061170000}"/>
    <cellStyle name="Calculation 2 2 4 4" xfId="7758" xr:uid="{00000000-0005-0000-0000-000062170000}"/>
    <cellStyle name="Calculation 2 2 4 5" xfId="7759" xr:uid="{00000000-0005-0000-0000-000063170000}"/>
    <cellStyle name="Calculation 2 2 5" xfId="7760" xr:uid="{00000000-0005-0000-0000-000064170000}"/>
    <cellStyle name="Calculation 2 2 5 2" xfId="7761" xr:uid="{00000000-0005-0000-0000-000065170000}"/>
    <cellStyle name="Calculation 2 2 5 3" xfId="7762" xr:uid="{00000000-0005-0000-0000-000066170000}"/>
    <cellStyle name="Calculation 2 2 5 4" xfId="7763" xr:uid="{00000000-0005-0000-0000-000067170000}"/>
    <cellStyle name="Calculation 2 2 5 5" xfId="7764" xr:uid="{00000000-0005-0000-0000-000068170000}"/>
    <cellStyle name="Calculation 2 2 6" xfId="7765" xr:uid="{00000000-0005-0000-0000-000069170000}"/>
    <cellStyle name="Calculation 2 2 6 2" xfId="7766" xr:uid="{00000000-0005-0000-0000-00006A170000}"/>
    <cellStyle name="Calculation 2 2 6 3" xfId="7767" xr:uid="{00000000-0005-0000-0000-00006B170000}"/>
    <cellStyle name="Calculation 2 2 6 4" xfId="7768" xr:uid="{00000000-0005-0000-0000-00006C170000}"/>
    <cellStyle name="Calculation 2 2 6 5" xfId="7769" xr:uid="{00000000-0005-0000-0000-00006D170000}"/>
    <cellStyle name="Calculation 2 2 7" xfId="7770" xr:uid="{00000000-0005-0000-0000-00006E170000}"/>
    <cellStyle name="Calculation 2 2 7 2" xfId="7771" xr:uid="{00000000-0005-0000-0000-00006F170000}"/>
    <cellStyle name="Calculation 2 2 7 3" xfId="7772" xr:uid="{00000000-0005-0000-0000-000070170000}"/>
    <cellStyle name="Calculation 2 2 7 4" xfId="7773" xr:uid="{00000000-0005-0000-0000-000071170000}"/>
    <cellStyle name="Calculation 2 2 7 5" xfId="7774" xr:uid="{00000000-0005-0000-0000-000072170000}"/>
    <cellStyle name="Calculation 2 2 8" xfId="7775" xr:uid="{00000000-0005-0000-0000-000073170000}"/>
    <cellStyle name="Calculation 2 2 8 2" xfId="7776" xr:uid="{00000000-0005-0000-0000-000074170000}"/>
    <cellStyle name="Calculation 2 2 8 3" xfId="7777" xr:uid="{00000000-0005-0000-0000-000075170000}"/>
    <cellStyle name="Calculation 2 2 8 4" xfId="7778" xr:uid="{00000000-0005-0000-0000-000076170000}"/>
    <cellStyle name="Calculation 2 2 8 5" xfId="7779" xr:uid="{00000000-0005-0000-0000-000077170000}"/>
    <cellStyle name="Calculation 2 2 9" xfId="7780" xr:uid="{00000000-0005-0000-0000-000078170000}"/>
    <cellStyle name="Calculation 2 2 9 2" xfId="7781" xr:uid="{00000000-0005-0000-0000-000079170000}"/>
    <cellStyle name="Calculation 2 2 9 3" xfId="7782" xr:uid="{00000000-0005-0000-0000-00007A170000}"/>
    <cellStyle name="Calculation 2 2 9 4" xfId="7783" xr:uid="{00000000-0005-0000-0000-00007B170000}"/>
    <cellStyle name="Calculation 2 2 9 5" xfId="7784" xr:uid="{00000000-0005-0000-0000-00007C170000}"/>
    <cellStyle name="Calculation 2 3" xfId="7785" xr:uid="{00000000-0005-0000-0000-00007D170000}"/>
    <cellStyle name="Calculation 2 3 10" xfId="7786" xr:uid="{00000000-0005-0000-0000-00007E170000}"/>
    <cellStyle name="Calculation 2 3 10 2" xfId="7787" xr:uid="{00000000-0005-0000-0000-00007F170000}"/>
    <cellStyle name="Calculation 2 3 10 3" xfId="7788" xr:uid="{00000000-0005-0000-0000-000080170000}"/>
    <cellStyle name="Calculation 2 3 10 4" xfId="7789" xr:uid="{00000000-0005-0000-0000-000081170000}"/>
    <cellStyle name="Calculation 2 3 10 5" xfId="7790" xr:uid="{00000000-0005-0000-0000-000082170000}"/>
    <cellStyle name="Calculation 2 3 11" xfId="7791" xr:uid="{00000000-0005-0000-0000-000083170000}"/>
    <cellStyle name="Calculation 2 3 11 2" xfId="7792" xr:uid="{00000000-0005-0000-0000-000084170000}"/>
    <cellStyle name="Calculation 2 3 11 3" xfId="7793" xr:uid="{00000000-0005-0000-0000-000085170000}"/>
    <cellStyle name="Calculation 2 3 11 4" xfId="7794" xr:uid="{00000000-0005-0000-0000-000086170000}"/>
    <cellStyle name="Calculation 2 3 11 5" xfId="7795" xr:uid="{00000000-0005-0000-0000-000087170000}"/>
    <cellStyle name="Calculation 2 3 12" xfId="7796" xr:uid="{00000000-0005-0000-0000-000088170000}"/>
    <cellStyle name="Calculation 2 3 12 2" xfId="7797" xr:uid="{00000000-0005-0000-0000-000089170000}"/>
    <cellStyle name="Calculation 2 3 12 3" xfId="7798" xr:uid="{00000000-0005-0000-0000-00008A170000}"/>
    <cellStyle name="Calculation 2 3 12 4" xfId="7799" xr:uid="{00000000-0005-0000-0000-00008B170000}"/>
    <cellStyle name="Calculation 2 3 12 5" xfId="7800" xr:uid="{00000000-0005-0000-0000-00008C170000}"/>
    <cellStyle name="Calculation 2 3 13" xfId="7801" xr:uid="{00000000-0005-0000-0000-00008D170000}"/>
    <cellStyle name="Calculation 2 3 14" xfId="7802" xr:uid="{00000000-0005-0000-0000-00008E170000}"/>
    <cellStyle name="Calculation 2 3 15" xfId="7803" xr:uid="{00000000-0005-0000-0000-00008F170000}"/>
    <cellStyle name="Calculation 2 3 16" xfId="7804" xr:uid="{00000000-0005-0000-0000-000090170000}"/>
    <cellStyle name="Calculation 2 3 2" xfId="7805" xr:uid="{00000000-0005-0000-0000-000091170000}"/>
    <cellStyle name="Calculation 2 3 2 2" xfId="7806" xr:uid="{00000000-0005-0000-0000-000092170000}"/>
    <cellStyle name="Calculation 2 3 2 3" xfId="7807" xr:uid="{00000000-0005-0000-0000-000093170000}"/>
    <cellStyle name="Calculation 2 3 2 4" xfId="7808" xr:uid="{00000000-0005-0000-0000-000094170000}"/>
    <cellStyle name="Calculation 2 3 2 5" xfId="7809" xr:uid="{00000000-0005-0000-0000-000095170000}"/>
    <cellStyle name="Calculation 2 3 3" xfId="7810" xr:uid="{00000000-0005-0000-0000-000096170000}"/>
    <cellStyle name="Calculation 2 3 3 2" xfId="7811" xr:uid="{00000000-0005-0000-0000-000097170000}"/>
    <cellStyle name="Calculation 2 3 3 3" xfId="7812" xr:uid="{00000000-0005-0000-0000-000098170000}"/>
    <cellStyle name="Calculation 2 3 3 4" xfId="7813" xr:uid="{00000000-0005-0000-0000-000099170000}"/>
    <cellStyle name="Calculation 2 3 3 5" xfId="7814" xr:uid="{00000000-0005-0000-0000-00009A170000}"/>
    <cellStyle name="Calculation 2 3 4" xfId="7815" xr:uid="{00000000-0005-0000-0000-00009B170000}"/>
    <cellStyle name="Calculation 2 3 4 2" xfId="7816" xr:uid="{00000000-0005-0000-0000-00009C170000}"/>
    <cellStyle name="Calculation 2 3 4 3" xfId="7817" xr:uid="{00000000-0005-0000-0000-00009D170000}"/>
    <cellStyle name="Calculation 2 3 4 4" xfId="7818" xr:uid="{00000000-0005-0000-0000-00009E170000}"/>
    <cellStyle name="Calculation 2 3 4 5" xfId="7819" xr:uid="{00000000-0005-0000-0000-00009F170000}"/>
    <cellStyle name="Calculation 2 3 5" xfId="7820" xr:uid="{00000000-0005-0000-0000-0000A0170000}"/>
    <cellStyle name="Calculation 2 3 5 2" xfId="7821" xr:uid="{00000000-0005-0000-0000-0000A1170000}"/>
    <cellStyle name="Calculation 2 3 5 3" xfId="7822" xr:uid="{00000000-0005-0000-0000-0000A2170000}"/>
    <cellStyle name="Calculation 2 3 5 4" xfId="7823" xr:uid="{00000000-0005-0000-0000-0000A3170000}"/>
    <cellStyle name="Calculation 2 3 5 5" xfId="7824" xr:uid="{00000000-0005-0000-0000-0000A4170000}"/>
    <cellStyle name="Calculation 2 3 6" xfId="7825" xr:uid="{00000000-0005-0000-0000-0000A5170000}"/>
    <cellStyle name="Calculation 2 3 6 2" xfId="7826" xr:uid="{00000000-0005-0000-0000-0000A6170000}"/>
    <cellStyle name="Calculation 2 3 6 3" xfId="7827" xr:uid="{00000000-0005-0000-0000-0000A7170000}"/>
    <cellStyle name="Calculation 2 3 6 4" xfId="7828" xr:uid="{00000000-0005-0000-0000-0000A8170000}"/>
    <cellStyle name="Calculation 2 3 6 5" xfId="7829" xr:uid="{00000000-0005-0000-0000-0000A9170000}"/>
    <cellStyle name="Calculation 2 3 7" xfId="7830" xr:uid="{00000000-0005-0000-0000-0000AA170000}"/>
    <cellStyle name="Calculation 2 3 7 2" xfId="7831" xr:uid="{00000000-0005-0000-0000-0000AB170000}"/>
    <cellStyle name="Calculation 2 3 7 3" xfId="7832" xr:uid="{00000000-0005-0000-0000-0000AC170000}"/>
    <cellStyle name="Calculation 2 3 7 4" xfId="7833" xr:uid="{00000000-0005-0000-0000-0000AD170000}"/>
    <cellStyle name="Calculation 2 3 7 5" xfId="7834" xr:uid="{00000000-0005-0000-0000-0000AE170000}"/>
    <cellStyle name="Calculation 2 3 8" xfId="7835" xr:uid="{00000000-0005-0000-0000-0000AF170000}"/>
    <cellStyle name="Calculation 2 3 8 2" xfId="7836" xr:uid="{00000000-0005-0000-0000-0000B0170000}"/>
    <cellStyle name="Calculation 2 3 8 3" xfId="7837" xr:uid="{00000000-0005-0000-0000-0000B1170000}"/>
    <cellStyle name="Calculation 2 3 8 4" xfId="7838" xr:uid="{00000000-0005-0000-0000-0000B2170000}"/>
    <cellStyle name="Calculation 2 3 8 5" xfId="7839" xr:uid="{00000000-0005-0000-0000-0000B3170000}"/>
    <cellStyle name="Calculation 2 3 9" xfId="7840" xr:uid="{00000000-0005-0000-0000-0000B4170000}"/>
    <cellStyle name="Calculation 2 3 9 2" xfId="7841" xr:uid="{00000000-0005-0000-0000-0000B5170000}"/>
    <cellStyle name="Calculation 2 3 9 3" xfId="7842" xr:uid="{00000000-0005-0000-0000-0000B6170000}"/>
    <cellStyle name="Calculation 2 3 9 4" xfId="7843" xr:uid="{00000000-0005-0000-0000-0000B7170000}"/>
    <cellStyle name="Calculation 2 3 9 5" xfId="7844" xr:uid="{00000000-0005-0000-0000-0000B8170000}"/>
    <cellStyle name="Calculation 2 4" xfId="7845" xr:uid="{00000000-0005-0000-0000-0000B9170000}"/>
    <cellStyle name="Calculation 2 4 10" xfId="7846" xr:uid="{00000000-0005-0000-0000-0000BA170000}"/>
    <cellStyle name="Calculation 2 4 10 2" xfId="7847" xr:uid="{00000000-0005-0000-0000-0000BB170000}"/>
    <cellStyle name="Calculation 2 4 10 3" xfId="7848" xr:uid="{00000000-0005-0000-0000-0000BC170000}"/>
    <cellStyle name="Calculation 2 4 10 4" xfId="7849" xr:uid="{00000000-0005-0000-0000-0000BD170000}"/>
    <cellStyle name="Calculation 2 4 10 5" xfId="7850" xr:uid="{00000000-0005-0000-0000-0000BE170000}"/>
    <cellStyle name="Calculation 2 4 11" xfId="7851" xr:uid="{00000000-0005-0000-0000-0000BF170000}"/>
    <cellStyle name="Calculation 2 4 11 2" xfId="7852" xr:uid="{00000000-0005-0000-0000-0000C0170000}"/>
    <cellStyle name="Calculation 2 4 11 3" xfId="7853" xr:uid="{00000000-0005-0000-0000-0000C1170000}"/>
    <cellStyle name="Calculation 2 4 11 4" xfId="7854" xr:uid="{00000000-0005-0000-0000-0000C2170000}"/>
    <cellStyle name="Calculation 2 4 11 5" xfId="7855" xr:uid="{00000000-0005-0000-0000-0000C3170000}"/>
    <cellStyle name="Calculation 2 4 12" xfId="7856" xr:uid="{00000000-0005-0000-0000-0000C4170000}"/>
    <cellStyle name="Calculation 2 4 13" xfId="7857" xr:uid="{00000000-0005-0000-0000-0000C5170000}"/>
    <cellStyle name="Calculation 2 4 14" xfId="7858" xr:uid="{00000000-0005-0000-0000-0000C6170000}"/>
    <cellStyle name="Calculation 2 4 15" xfId="7859" xr:uid="{00000000-0005-0000-0000-0000C7170000}"/>
    <cellStyle name="Calculation 2 4 2" xfId="7860" xr:uid="{00000000-0005-0000-0000-0000C8170000}"/>
    <cellStyle name="Calculation 2 4 2 2" xfId="7861" xr:uid="{00000000-0005-0000-0000-0000C9170000}"/>
    <cellStyle name="Calculation 2 4 2 3" xfId="7862" xr:uid="{00000000-0005-0000-0000-0000CA170000}"/>
    <cellStyle name="Calculation 2 4 2 4" xfId="7863" xr:uid="{00000000-0005-0000-0000-0000CB170000}"/>
    <cellStyle name="Calculation 2 4 2 5" xfId="7864" xr:uid="{00000000-0005-0000-0000-0000CC170000}"/>
    <cellStyle name="Calculation 2 4 3" xfId="7865" xr:uid="{00000000-0005-0000-0000-0000CD170000}"/>
    <cellStyle name="Calculation 2 4 3 2" xfId="7866" xr:uid="{00000000-0005-0000-0000-0000CE170000}"/>
    <cellStyle name="Calculation 2 4 3 3" xfId="7867" xr:uid="{00000000-0005-0000-0000-0000CF170000}"/>
    <cellStyle name="Calculation 2 4 3 4" xfId="7868" xr:uid="{00000000-0005-0000-0000-0000D0170000}"/>
    <cellStyle name="Calculation 2 4 3 5" xfId="7869" xr:uid="{00000000-0005-0000-0000-0000D1170000}"/>
    <cellStyle name="Calculation 2 4 4" xfId="7870" xr:uid="{00000000-0005-0000-0000-0000D2170000}"/>
    <cellStyle name="Calculation 2 4 4 2" xfId="7871" xr:uid="{00000000-0005-0000-0000-0000D3170000}"/>
    <cellStyle name="Calculation 2 4 4 3" xfId="7872" xr:uid="{00000000-0005-0000-0000-0000D4170000}"/>
    <cellStyle name="Calculation 2 4 4 4" xfId="7873" xr:uid="{00000000-0005-0000-0000-0000D5170000}"/>
    <cellStyle name="Calculation 2 4 4 5" xfId="7874" xr:uid="{00000000-0005-0000-0000-0000D6170000}"/>
    <cellStyle name="Calculation 2 4 5" xfId="7875" xr:uid="{00000000-0005-0000-0000-0000D7170000}"/>
    <cellStyle name="Calculation 2 4 5 2" xfId="7876" xr:uid="{00000000-0005-0000-0000-0000D8170000}"/>
    <cellStyle name="Calculation 2 4 5 3" xfId="7877" xr:uid="{00000000-0005-0000-0000-0000D9170000}"/>
    <cellStyle name="Calculation 2 4 5 4" xfId="7878" xr:uid="{00000000-0005-0000-0000-0000DA170000}"/>
    <cellStyle name="Calculation 2 4 5 5" xfId="7879" xr:uid="{00000000-0005-0000-0000-0000DB170000}"/>
    <cellStyle name="Calculation 2 4 6" xfId="7880" xr:uid="{00000000-0005-0000-0000-0000DC170000}"/>
    <cellStyle name="Calculation 2 4 6 2" xfId="7881" xr:uid="{00000000-0005-0000-0000-0000DD170000}"/>
    <cellStyle name="Calculation 2 4 6 3" xfId="7882" xr:uid="{00000000-0005-0000-0000-0000DE170000}"/>
    <cellStyle name="Calculation 2 4 6 4" xfId="7883" xr:uid="{00000000-0005-0000-0000-0000DF170000}"/>
    <cellStyle name="Calculation 2 4 6 5" xfId="7884" xr:uid="{00000000-0005-0000-0000-0000E0170000}"/>
    <cellStyle name="Calculation 2 4 7" xfId="7885" xr:uid="{00000000-0005-0000-0000-0000E1170000}"/>
    <cellStyle name="Calculation 2 4 7 2" xfId="7886" xr:uid="{00000000-0005-0000-0000-0000E2170000}"/>
    <cellStyle name="Calculation 2 4 7 3" xfId="7887" xr:uid="{00000000-0005-0000-0000-0000E3170000}"/>
    <cellStyle name="Calculation 2 4 7 4" xfId="7888" xr:uid="{00000000-0005-0000-0000-0000E4170000}"/>
    <cellStyle name="Calculation 2 4 7 5" xfId="7889" xr:uid="{00000000-0005-0000-0000-0000E5170000}"/>
    <cellStyle name="Calculation 2 4 8" xfId="7890" xr:uid="{00000000-0005-0000-0000-0000E6170000}"/>
    <cellStyle name="Calculation 2 4 8 2" xfId="7891" xr:uid="{00000000-0005-0000-0000-0000E7170000}"/>
    <cellStyle name="Calculation 2 4 8 3" xfId="7892" xr:uid="{00000000-0005-0000-0000-0000E8170000}"/>
    <cellStyle name="Calculation 2 4 8 4" xfId="7893" xr:uid="{00000000-0005-0000-0000-0000E9170000}"/>
    <cellStyle name="Calculation 2 4 8 5" xfId="7894" xr:uid="{00000000-0005-0000-0000-0000EA170000}"/>
    <cellStyle name="Calculation 2 4 9" xfId="7895" xr:uid="{00000000-0005-0000-0000-0000EB170000}"/>
    <cellStyle name="Calculation 2 4 9 2" xfId="7896" xr:uid="{00000000-0005-0000-0000-0000EC170000}"/>
    <cellStyle name="Calculation 2 4 9 3" xfId="7897" xr:uid="{00000000-0005-0000-0000-0000ED170000}"/>
    <cellStyle name="Calculation 2 4 9 4" xfId="7898" xr:uid="{00000000-0005-0000-0000-0000EE170000}"/>
    <cellStyle name="Calculation 2 4 9 5" xfId="7899" xr:uid="{00000000-0005-0000-0000-0000EF170000}"/>
    <cellStyle name="Calculation 2 5" xfId="7900" xr:uid="{00000000-0005-0000-0000-0000F0170000}"/>
    <cellStyle name="Calculation 2 5 10" xfId="7901" xr:uid="{00000000-0005-0000-0000-0000F1170000}"/>
    <cellStyle name="Calculation 2 5 10 2" xfId="7902" xr:uid="{00000000-0005-0000-0000-0000F2170000}"/>
    <cellStyle name="Calculation 2 5 10 3" xfId="7903" xr:uid="{00000000-0005-0000-0000-0000F3170000}"/>
    <cellStyle name="Calculation 2 5 10 4" xfId="7904" xr:uid="{00000000-0005-0000-0000-0000F4170000}"/>
    <cellStyle name="Calculation 2 5 10 5" xfId="7905" xr:uid="{00000000-0005-0000-0000-0000F5170000}"/>
    <cellStyle name="Calculation 2 5 11" xfId="7906" xr:uid="{00000000-0005-0000-0000-0000F6170000}"/>
    <cellStyle name="Calculation 2 5 11 2" xfId="7907" xr:uid="{00000000-0005-0000-0000-0000F7170000}"/>
    <cellStyle name="Calculation 2 5 11 3" xfId="7908" xr:uid="{00000000-0005-0000-0000-0000F8170000}"/>
    <cellStyle name="Calculation 2 5 11 4" xfId="7909" xr:uid="{00000000-0005-0000-0000-0000F9170000}"/>
    <cellStyle name="Calculation 2 5 11 5" xfId="7910" xr:uid="{00000000-0005-0000-0000-0000FA170000}"/>
    <cellStyle name="Calculation 2 5 12" xfId="7911" xr:uid="{00000000-0005-0000-0000-0000FB170000}"/>
    <cellStyle name="Calculation 2 5 13" xfId="7912" xr:uid="{00000000-0005-0000-0000-0000FC170000}"/>
    <cellStyle name="Calculation 2 5 14" xfId="7913" xr:uid="{00000000-0005-0000-0000-0000FD170000}"/>
    <cellStyle name="Calculation 2 5 15" xfId="7914" xr:uid="{00000000-0005-0000-0000-0000FE170000}"/>
    <cellStyle name="Calculation 2 5 2" xfId="7915" xr:uid="{00000000-0005-0000-0000-0000FF170000}"/>
    <cellStyle name="Calculation 2 5 2 2" xfId="7916" xr:uid="{00000000-0005-0000-0000-000000180000}"/>
    <cellStyle name="Calculation 2 5 2 3" xfId="7917" xr:uid="{00000000-0005-0000-0000-000001180000}"/>
    <cellStyle name="Calculation 2 5 2 4" xfId="7918" xr:uid="{00000000-0005-0000-0000-000002180000}"/>
    <cellStyle name="Calculation 2 5 2 5" xfId="7919" xr:uid="{00000000-0005-0000-0000-000003180000}"/>
    <cellStyle name="Calculation 2 5 3" xfId="7920" xr:uid="{00000000-0005-0000-0000-000004180000}"/>
    <cellStyle name="Calculation 2 5 3 2" xfId="7921" xr:uid="{00000000-0005-0000-0000-000005180000}"/>
    <cellStyle name="Calculation 2 5 3 3" xfId="7922" xr:uid="{00000000-0005-0000-0000-000006180000}"/>
    <cellStyle name="Calculation 2 5 3 4" xfId="7923" xr:uid="{00000000-0005-0000-0000-000007180000}"/>
    <cellStyle name="Calculation 2 5 3 5" xfId="7924" xr:uid="{00000000-0005-0000-0000-000008180000}"/>
    <cellStyle name="Calculation 2 5 4" xfId="7925" xr:uid="{00000000-0005-0000-0000-000009180000}"/>
    <cellStyle name="Calculation 2 5 4 2" xfId="7926" xr:uid="{00000000-0005-0000-0000-00000A180000}"/>
    <cellStyle name="Calculation 2 5 4 3" xfId="7927" xr:uid="{00000000-0005-0000-0000-00000B180000}"/>
    <cellStyle name="Calculation 2 5 4 4" xfId="7928" xr:uid="{00000000-0005-0000-0000-00000C180000}"/>
    <cellStyle name="Calculation 2 5 4 5" xfId="7929" xr:uid="{00000000-0005-0000-0000-00000D180000}"/>
    <cellStyle name="Calculation 2 5 5" xfId="7930" xr:uid="{00000000-0005-0000-0000-00000E180000}"/>
    <cellStyle name="Calculation 2 5 5 2" xfId="7931" xr:uid="{00000000-0005-0000-0000-00000F180000}"/>
    <cellStyle name="Calculation 2 5 5 3" xfId="7932" xr:uid="{00000000-0005-0000-0000-000010180000}"/>
    <cellStyle name="Calculation 2 5 5 4" xfId="7933" xr:uid="{00000000-0005-0000-0000-000011180000}"/>
    <cellStyle name="Calculation 2 5 5 5" xfId="7934" xr:uid="{00000000-0005-0000-0000-000012180000}"/>
    <cellStyle name="Calculation 2 5 6" xfId="7935" xr:uid="{00000000-0005-0000-0000-000013180000}"/>
    <cellStyle name="Calculation 2 5 6 2" xfId="7936" xr:uid="{00000000-0005-0000-0000-000014180000}"/>
    <cellStyle name="Calculation 2 5 6 3" xfId="7937" xr:uid="{00000000-0005-0000-0000-000015180000}"/>
    <cellStyle name="Calculation 2 5 6 4" xfId="7938" xr:uid="{00000000-0005-0000-0000-000016180000}"/>
    <cellStyle name="Calculation 2 5 6 5" xfId="7939" xr:uid="{00000000-0005-0000-0000-000017180000}"/>
    <cellStyle name="Calculation 2 5 7" xfId="7940" xr:uid="{00000000-0005-0000-0000-000018180000}"/>
    <cellStyle name="Calculation 2 5 7 2" xfId="7941" xr:uid="{00000000-0005-0000-0000-000019180000}"/>
    <cellStyle name="Calculation 2 5 7 3" xfId="7942" xr:uid="{00000000-0005-0000-0000-00001A180000}"/>
    <cellStyle name="Calculation 2 5 7 4" xfId="7943" xr:uid="{00000000-0005-0000-0000-00001B180000}"/>
    <cellStyle name="Calculation 2 5 7 5" xfId="7944" xr:uid="{00000000-0005-0000-0000-00001C180000}"/>
    <cellStyle name="Calculation 2 5 8" xfId="7945" xr:uid="{00000000-0005-0000-0000-00001D180000}"/>
    <cellStyle name="Calculation 2 5 8 2" xfId="7946" xr:uid="{00000000-0005-0000-0000-00001E180000}"/>
    <cellStyle name="Calculation 2 5 8 3" xfId="7947" xr:uid="{00000000-0005-0000-0000-00001F180000}"/>
    <cellStyle name="Calculation 2 5 8 4" xfId="7948" xr:uid="{00000000-0005-0000-0000-000020180000}"/>
    <cellStyle name="Calculation 2 5 8 5" xfId="7949" xr:uid="{00000000-0005-0000-0000-000021180000}"/>
    <cellStyle name="Calculation 2 5 9" xfId="7950" xr:uid="{00000000-0005-0000-0000-000022180000}"/>
    <cellStyle name="Calculation 2 5 9 2" xfId="7951" xr:uid="{00000000-0005-0000-0000-000023180000}"/>
    <cellStyle name="Calculation 2 5 9 3" xfId="7952" xr:uid="{00000000-0005-0000-0000-000024180000}"/>
    <cellStyle name="Calculation 2 5 9 4" xfId="7953" xr:uid="{00000000-0005-0000-0000-000025180000}"/>
    <cellStyle name="Calculation 2 5 9 5" xfId="7954" xr:uid="{00000000-0005-0000-0000-000026180000}"/>
    <cellStyle name="Calculation 2 6" xfId="7955" xr:uid="{00000000-0005-0000-0000-000027180000}"/>
    <cellStyle name="Calculation 2 6 10" xfId="7956" xr:uid="{00000000-0005-0000-0000-000028180000}"/>
    <cellStyle name="Calculation 2 6 10 2" xfId="7957" xr:uid="{00000000-0005-0000-0000-000029180000}"/>
    <cellStyle name="Calculation 2 6 10 3" xfId="7958" xr:uid="{00000000-0005-0000-0000-00002A180000}"/>
    <cellStyle name="Calculation 2 6 10 4" xfId="7959" xr:uid="{00000000-0005-0000-0000-00002B180000}"/>
    <cellStyle name="Calculation 2 6 10 5" xfId="7960" xr:uid="{00000000-0005-0000-0000-00002C180000}"/>
    <cellStyle name="Calculation 2 6 11" xfId="7961" xr:uid="{00000000-0005-0000-0000-00002D180000}"/>
    <cellStyle name="Calculation 2 6 11 2" xfId="7962" xr:uid="{00000000-0005-0000-0000-00002E180000}"/>
    <cellStyle name="Calculation 2 6 11 3" xfId="7963" xr:uid="{00000000-0005-0000-0000-00002F180000}"/>
    <cellStyle name="Calculation 2 6 11 4" xfId="7964" xr:uid="{00000000-0005-0000-0000-000030180000}"/>
    <cellStyle name="Calculation 2 6 11 5" xfId="7965" xr:uid="{00000000-0005-0000-0000-000031180000}"/>
    <cellStyle name="Calculation 2 6 12" xfId="7966" xr:uid="{00000000-0005-0000-0000-000032180000}"/>
    <cellStyle name="Calculation 2 6 13" xfId="7967" xr:uid="{00000000-0005-0000-0000-000033180000}"/>
    <cellStyle name="Calculation 2 6 14" xfId="7968" xr:uid="{00000000-0005-0000-0000-000034180000}"/>
    <cellStyle name="Calculation 2 6 15" xfId="7969" xr:uid="{00000000-0005-0000-0000-000035180000}"/>
    <cellStyle name="Calculation 2 6 2" xfId="7970" xr:uid="{00000000-0005-0000-0000-000036180000}"/>
    <cellStyle name="Calculation 2 6 2 2" xfId="7971" xr:uid="{00000000-0005-0000-0000-000037180000}"/>
    <cellStyle name="Calculation 2 6 2 3" xfId="7972" xr:uid="{00000000-0005-0000-0000-000038180000}"/>
    <cellStyle name="Calculation 2 6 2 4" xfId="7973" xr:uid="{00000000-0005-0000-0000-000039180000}"/>
    <cellStyle name="Calculation 2 6 2 5" xfId="7974" xr:uid="{00000000-0005-0000-0000-00003A180000}"/>
    <cellStyle name="Calculation 2 6 3" xfId="7975" xr:uid="{00000000-0005-0000-0000-00003B180000}"/>
    <cellStyle name="Calculation 2 6 3 2" xfId="7976" xr:uid="{00000000-0005-0000-0000-00003C180000}"/>
    <cellStyle name="Calculation 2 6 3 3" xfId="7977" xr:uid="{00000000-0005-0000-0000-00003D180000}"/>
    <cellStyle name="Calculation 2 6 3 4" xfId="7978" xr:uid="{00000000-0005-0000-0000-00003E180000}"/>
    <cellStyle name="Calculation 2 6 3 5" xfId="7979" xr:uid="{00000000-0005-0000-0000-00003F180000}"/>
    <cellStyle name="Calculation 2 6 4" xfId="7980" xr:uid="{00000000-0005-0000-0000-000040180000}"/>
    <cellStyle name="Calculation 2 6 4 2" xfId="7981" xr:uid="{00000000-0005-0000-0000-000041180000}"/>
    <cellStyle name="Calculation 2 6 4 3" xfId="7982" xr:uid="{00000000-0005-0000-0000-000042180000}"/>
    <cellStyle name="Calculation 2 6 4 4" xfId="7983" xr:uid="{00000000-0005-0000-0000-000043180000}"/>
    <cellStyle name="Calculation 2 6 4 5" xfId="7984" xr:uid="{00000000-0005-0000-0000-000044180000}"/>
    <cellStyle name="Calculation 2 6 5" xfId="7985" xr:uid="{00000000-0005-0000-0000-000045180000}"/>
    <cellStyle name="Calculation 2 6 5 2" xfId="7986" xr:uid="{00000000-0005-0000-0000-000046180000}"/>
    <cellStyle name="Calculation 2 6 5 3" xfId="7987" xr:uid="{00000000-0005-0000-0000-000047180000}"/>
    <cellStyle name="Calculation 2 6 5 4" xfId="7988" xr:uid="{00000000-0005-0000-0000-000048180000}"/>
    <cellStyle name="Calculation 2 6 5 5" xfId="7989" xr:uid="{00000000-0005-0000-0000-000049180000}"/>
    <cellStyle name="Calculation 2 6 6" xfId="7990" xr:uid="{00000000-0005-0000-0000-00004A180000}"/>
    <cellStyle name="Calculation 2 6 6 2" xfId="7991" xr:uid="{00000000-0005-0000-0000-00004B180000}"/>
    <cellStyle name="Calculation 2 6 6 3" xfId="7992" xr:uid="{00000000-0005-0000-0000-00004C180000}"/>
    <cellStyle name="Calculation 2 6 6 4" xfId="7993" xr:uid="{00000000-0005-0000-0000-00004D180000}"/>
    <cellStyle name="Calculation 2 6 6 5" xfId="7994" xr:uid="{00000000-0005-0000-0000-00004E180000}"/>
    <cellStyle name="Calculation 2 6 7" xfId="7995" xr:uid="{00000000-0005-0000-0000-00004F180000}"/>
    <cellStyle name="Calculation 2 6 7 2" xfId="7996" xr:uid="{00000000-0005-0000-0000-000050180000}"/>
    <cellStyle name="Calculation 2 6 7 3" xfId="7997" xr:uid="{00000000-0005-0000-0000-000051180000}"/>
    <cellStyle name="Calculation 2 6 7 4" xfId="7998" xr:uid="{00000000-0005-0000-0000-000052180000}"/>
    <cellStyle name="Calculation 2 6 7 5" xfId="7999" xr:uid="{00000000-0005-0000-0000-000053180000}"/>
    <cellStyle name="Calculation 2 6 8" xfId="8000" xr:uid="{00000000-0005-0000-0000-000054180000}"/>
    <cellStyle name="Calculation 2 6 8 2" xfId="8001" xr:uid="{00000000-0005-0000-0000-000055180000}"/>
    <cellStyle name="Calculation 2 6 8 3" xfId="8002" xr:uid="{00000000-0005-0000-0000-000056180000}"/>
    <cellStyle name="Calculation 2 6 8 4" xfId="8003" xr:uid="{00000000-0005-0000-0000-000057180000}"/>
    <cellStyle name="Calculation 2 6 8 5" xfId="8004" xr:uid="{00000000-0005-0000-0000-000058180000}"/>
    <cellStyle name="Calculation 2 6 9" xfId="8005" xr:uid="{00000000-0005-0000-0000-000059180000}"/>
    <cellStyle name="Calculation 2 6 9 2" xfId="8006" xr:uid="{00000000-0005-0000-0000-00005A180000}"/>
    <cellStyle name="Calculation 2 6 9 3" xfId="8007" xr:uid="{00000000-0005-0000-0000-00005B180000}"/>
    <cellStyle name="Calculation 2 6 9 4" xfId="8008" xr:uid="{00000000-0005-0000-0000-00005C180000}"/>
    <cellStyle name="Calculation 2 6 9 5" xfId="8009" xr:uid="{00000000-0005-0000-0000-00005D180000}"/>
    <cellStyle name="Calculation 2 7" xfId="8010" xr:uid="{00000000-0005-0000-0000-00005E180000}"/>
    <cellStyle name="Calculation 2 7 10" xfId="8011" xr:uid="{00000000-0005-0000-0000-00005F180000}"/>
    <cellStyle name="Calculation 2 7 10 2" xfId="8012" xr:uid="{00000000-0005-0000-0000-000060180000}"/>
    <cellStyle name="Calculation 2 7 10 3" xfId="8013" xr:uid="{00000000-0005-0000-0000-000061180000}"/>
    <cellStyle name="Calculation 2 7 10 4" xfId="8014" xr:uid="{00000000-0005-0000-0000-000062180000}"/>
    <cellStyle name="Calculation 2 7 10 5" xfId="8015" xr:uid="{00000000-0005-0000-0000-000063180000}"/>
    <cellStyle name="Calculation 2 7 11" xfId="8016" xr:uid="{00000000-0005-0000-0000-000064180000}"/>
    <cellStyle name="Calculation 2 7 11 2" xfId="8017" xr:uid="{00000000-0005-0000-0000-000065180000}"/>
    <cellStyle name="Calculation 2 7 11 3" xfId="8018" xr:uid="{00000000-0005-0000-0000-000066180000}"/>
    <cellStyle name="Calculation 2 7 11 4" xfId="8019" xr:uid="{00000000-0005-0000-0000-000067180000}"/>
    <cellStyle name="Calculation 2 7 11 5" xfId="8020" xr:uid="{00000000-0005-0000-0000-000068180000}"/>
    <cellStyle name="Calculation 2 7 12" xfId="8021" xr:uid="{00000000-0005-0000-0000-000069180000}"/>
    <cellStyle name="Calculation 2 7 13" xfId="8022" xr:uid="{00000000-0005-0000-0000-00006A180000}"/>
    <cellStyle name="Calculation 2 7 14" xfId="8023" xr:uid="{00000000-0005-0000-0000-00006B180000}"/>
    <cellStyle name="Calculation 2 7 15" xfId="8024" xr:uid="{00000000-0005-0000-0000-00006C180000}"/>
    <cellStyle name="Calculation 2 7 2" xfId="8025" xr:uid="{00000000-0005-0000-0000-00006D180000}"/>
    <cellStyle name="Calculation 2 7 2 2" xfId="8026" xr:uid="{00000000-0005-0000-0000-00006E180000}"/>
    <cellStyle name="Calculation 2 7 2 3" xfId="8027" xr:uid="{00000000-0005-0000-0000-00006F180000}"/>
    <cellStyle name="Calculation 2 7 2 4" xfId="8028" xr:uid="{00000000-0005-0000-0000-000070180000}"/>
    <cellStyle name="Calculation 2 7 2 5" xfId="8029" xr:uid="{00000000-0005-0000-0000-000071180000}"/>
    <cellStyle name="Calculation 2 7 3" xfId="8030" xr:uid="{00000000-0005-0000-0000-000072180000}"/>
    <cellStyle name="Calculation 2 7 3 2" xfId="8031" xr:uid="{00000000-0005-0000-0000-000073180000}"/>
    <cellStyle name="Calculation 2 7 3 3" xfId="8032" xr:uid="{00000000-0005-0000-0000-000074180000}"/>
    <cellStyle name="Calculation 2 7 3 4" xfId="8033" xr:uid="{00000000-0005-0000-0000-000075180000}"/>
    <cellStyle name="Calculation 2 7 3 5" xfId="8034" xr:uid="{00000000-0005-0000-0000-000076180000}"/>
    <cellStyle name="Calculation 2 7 4" xfId="8035" xr:uid="{00000000-0005-0000-0000-000077180000}"/>
    <cellStyle name="Calculation 2 7 4 2" xfId="8036" xr:uid="{00000000-0005-0000-0000-000078180000}"/>
    <cellStyle name="Calculation 2 7 4 3" xfId="8037" xr:uid="{00000000-0005-0000-0000-000079180000}"/>
    <cellStyle name="Calculation 2 7 4 4" xfId="8038" xr:uid="{00000000-0005-0000-0000-00007A180000}"/>
    <cellStyle name="Calculation 2 7 4 5" xfId="8039" xr:uid="{00000000-0005-0000-0000-00007B180000}"/>
    <cellStyle name="Calculation 2 7 5" xfId="8040" xr:uid="{00000000-0005-0000-0000-00007C180000}"/>
    <cellStyle name="Calculation 2 7 5 2" xfId="8041" xr:uid="{00000000-0005-0000-0000-00007D180000}"/>
    <cellStyle name="Calculation 2 7 5 3" xfId="8042" xr:uid="{00000000-0005-0000-0000-00007E180000}"/>
    <cellStyle name="Calculation 2 7 5 4" xfId="8043" xr:uid="{00000000-0005-0000-0000-00007F180000}"/>
    <cellStyle name="Calculation 2 7 5 5" xfId="8044" xr:uid="{00000000-0005-0000-0000-000080180000}"/>
    <cellStyle name="Calculation 2 7 6" xfId="8045" xr:uid="{00000000-0005-0000-0000-000081180000}"/>
    <cellStyle name="Calculation 2 7 6 2" xfId="8046" xr:uid="{00000000-0005-0000-0000-000082180000}"/>
    <cellStyle name="Calculation 2 7 6 3" xfId="8047" xr:uid="{00000000-0005-0000-0000-000083180000}"/>
    <cellStyle name="Calculation 2 7 6 4" xfId="8048" xr:uid="{00000000-0005-0000-0000-000084180000}"/>
    <cellStyle name="Calculation 2 7 6 5" xfId="8049" xr:uid="{00000000-0005-0000-0000-000085180000}"/>
    <cellStyle name="Calculation 2 7 7" xfId="8050" xr:uid="{00000000-0005-0000-0000-000086180000}"/>
    <cellStyle name="Calculation 2 7 7 2" xfId="8051" xr:uid="{00000000-0005-0000-0000-000087180000}"/>
    <cellStyle name="Calculation 2 7 7 3" xfId="8052" xr:uid="{00000000-0005-0000-0000-000088180000}"/>
    <cellStyle name="Calculation 2 7 7 4" xfId="8053" xr:uid="{00000000-0005-0000-0000-000089180000}"/>
    <cellStyle name="Calculation 2 7 7 5" xfId="8054" xr:uid="{00000000-0005-0000-0000-00008A180000}"/>
    <cellStyle name="Calculation 2 7 8" xfId="8055" xr:uid="{00000000-0005-0000-0000-00008B180000}"/>
    <cellStyle name="Calculation 2 7 8 2" xfId="8056" xr:uid="{00000000-0005-0000-0000-00008C180000}"/>
    <cellStyle name="Calculation 2 7 8 3" xfId="8057" xr:uid="{00000000-0005-0000-0000-00008D180000}"/>
    <cellStyle name="Calculation 2 7 8 4" xfId="8058" xr:uid="{00000000-0005-0000-0000-00008E180000}"/>
    <cellStyle name="Calculation 2 7 8 5" xfId="8059" xr:uid="{00000000-0005-0000-0000-00008F180000}"/>
    <cellStyle name="Calculation 2 7 9" xfId="8060" xr:uid="{00000000-0005-0000-0000-000090180000}"/>
    <cellStyle name="Calculation 2 7 9 2" xfId="8061" xr:uid="{00000000-0005-0000-0000-000091180000}"/>
    <cellStyle name="Calculation 2 7 9 3" xfId="8062" xr:uid="{00000000-0005-0000-0000-000092180000}"/>
    <cellStyle name="Calculation 2 7 9 4" xfId="8063" xr:uid="{00000000-0005-0000-0000-000093180000}"/>
    <cellStyle name="Calculation 2 7 9 5" xfId="8064" xr:uid="{00000000-0005-0000-0000-000094180000}"/>
    <cellStyle name="Calculation 2 8" xfId="8065" xr:uid="{00000000-0005-0000-0000-000095180000}"/>
    <cellStyle name="Calculation 2 8 2" xfId="8066" xr:uid="{00000000-0005-0000-0000-000096180000}"/>
    <cellStyle name="Calculation 2 8 3" xfId="8067" xr:uid="{00000000-0005-0000-0000-000097180000}"/>
    <cellStyle name="Calculation 2 8 4" xfId="8068" xr:uid="{00000000-0005-0000-0000-000098180000}"/>
    <cellStyle name="Calculation 2 8 5" xfId="8069" xr:uid="{00000000-0005-0000-0000-000099180000}"/>
    <cellStyle name="Calculation 2 9" xfId="8070" xr:uid="{00000000-0005-0000-0000-00009A180000}"/>
    <cellStyle name="Calculation 2 9 2" xfId="8071" xr:uid="{00000000-0005-0000-0000-00009B180000}"/>
    <cellStyle name="Calculation 2 9 3" xfId="8072" xr:uid="{00000000-0005-0000-0000-00009C180000}"/>
    <cellStyle name="Calculation 2 9 4" xfId="8073" xr:uid="{00000000-0005-0000-0000-00009D180000}"/>
    <cellStyle name="Calculation 2 9 5" xfId="8074" xr:uid="{00000000-0005-0000-0000-00009E180000}"/>
    <cellStyle name="Calculation 3" xfId="1152" xr:uid="{00000000-0005-0000-0000-00009F180000}"/>
    <cellStyle name="Calculation 3 10" xfId="8075" xr:uid="{00000000-0005-0000-0000-0000A0180000}"/>
    <cellStyle name="Calculation 3 10 2" xfId="8076" xr:uid="{00000000-0005-0000-0000-0000A1180000}"/>
    <cellStyle name="Calculation 3 10 3" xfId="8077" xr:uid="{00000000-0005-0000-0000-0000A2180000}"/>
    <cellStyle name="Calculation 3 10 4" xfId="8078" xr:uid="{00000000-0005-0000-0000-0000A3180000}"/>
    <cellStyle name="Calculation 3 10 5" xfId="8079" xr:uid="{00000000-0005-0000-0000-0000A4180000}"/>
    <cellStyle name="Calculation 3 11" xfId="8080" xr:uid="{00000000-0005-0000-0000-0000A5180000}"/>
    <cellStyle name="Calculation 3 11 2" xfId="8081" xr:uid="{00000000-0005-0000-0000-0000A6180000}"/>
    <cellStyle name="Calculation 3 11 3" xfId="8082" xr:uid="{00000000-0005-0000-0000-0000A7180000}"/>
    <cellStyle name="Calculation 3 11 4" xfId="8083" xr:uid="{00000000-0005-0000-0000-0000A8180000}"/>
    <cellStyle name="Calculation 3 11 5" xfId="8084" xr:uid="{00000000-0005-0000-0000-0000A9180000}"/>
    <cellStyle name="Calculation 3 12" xfId="8085" xr:uid="{00000000-0005-0000-0000-0000AA180000}"/>
    <cellStyle name="Calculation 3 12 2" xfId="8086" xr:uid="{00000000-0005-0000-0000-0000AB180000}"/>
    <cellStyle name="Calculation 3 12 3" xfId="8087" xr:uid="{00000000-0005-0000-0000-0000AC180000}"/>
    <cellStyle name="Calculation 3 12 4" xfId="8088" xr:uid="{00000000-0005-0000-0000-0000AD180000}"/>
    <cellStyle name="Calculation 3 12 5" xfId="8089" xr:uid="{00000000-0005-0000-0000-0000AE180000}"/>
    <cellStyle name="Calculation 3 13" xfId="8090" xr:uid="{00000000-0005-0000-0000-0000AF180000}"/>
    <cellStyle name="Calculation 3 14" xfId="8091" xr:uid="{00000000-0005-0000-0000-0000B0180000}"/>
    <cellStyle name="Calculation 3 15" xfId="8092" xr:uid="{00000000-0005-0000-0000-0000B1180000}"/>
    <cellStyle name="Calculation 3 16" xfId="8093" xr:uid="{00000000-0005-0000-0000-0000B2180000}"/>
    <cellStyle name="Calculation 3 2" xfId="1943" xr:uid="{00000000-0005-0000-0000-0000B3180000}"/>
    <cellStyle name="Calculation 3 2 2" xfId="8094" xr:uid="{00000000-0005-0000-0000-0000B4180000}"/>
    <cellStyle name="Calculation 3 2 3" xfId="8095" xr:uid="{00000000-0005-0000-0000-0000B5180000}"/>
    <cellStyle name="Calculation 3 2 4" xfId="8096" xr:uid="{00000000-0005-0000-0000-0000B6180000}"/>
    <cellStyle name="Calculation 3 2 5" xfId="8097" xr:uid="{00000000-0005-0000-0000-0000B7180000}"/>
    <cellStyle name="Calculation 3 2 6" xfId="23483" xr:uid="{00000000-0005-0000-0000-0000B8180000}"/>
    <cellStyle name="Calculation 3 3" xfId="3856" xr:uid="{00000000-0005-0000-0000-0000B9180000}"/>
    <cellStyle name="Calculation 3 3 2" xfId="8099" xr:uid="{00000000-0005-0000-0000-0000BA180000}"/>
    <cellStyle name="Calculation 3 3 3" xfId="8100" xr:uid="{00000000-0005-0000-0000-0000BB180000}"/>
    <cellStyle name="Calculation 3 3 4" xfId="8101" xr:uid="{00000000-0005-0000-0000-0000BC180000}"/>
    <cellStyle name="Calculation 3 3 5" xfId="8102" xr:uid="{00000000-0005-0000-0000-0000BD180000}"/>
    <cellStyle name="Calculation 3 3 6" xfId="8098" xr:uid="{00000000-0005-0000-0000-0000BE180000}"/>
    <cellStyle name="Calculation 3 4" xfId="8103" xr:uid="{00000000-0005-0000-0000-0000BF180000}"/>
    <cellStyle name="Calculation 3 4 2" xfId="8104" xr:uid="{00000000-0005-0000-0000-0000C0180000}"/>
    <cellStyle name="Calculation 3 4 3" xfId="8105" xr:uid="{00000000-0005-0000-0000-0000C1180000}"/>
    <cellStyle name="Calculation 3 4 4" xfId="8106" xr:uid="{00000000-0005-0000-0000-0000C2180000}"/>
    <cellStyle name="Calculation 3 4 5" xfId="8107" xr:uid="{00000000-0005-0000-0000-0000C3180000}"/>
    <cellStyle name="Calculation 3 5" xfId="8108" xr:uid="{00000000-0005-0000-0000-0000C4180000}"/>
    <cellStyle name="Calculation 3 5 2" xfId="8109" xr:uid="{00000000-0005-0000-0000-0000C5180000}"/>
    <cellStyle name="Calculation 3 5 3" xfId="8110" xr:uid="{00000000-0005-0000-0000-0000C6180000}"/>
    <cellStyle name="Calculation 3 5 4" xfId="8111" xr:uid="{00000000-0005-0000-0000-0000C7180000}"/>
    <cellStyle name="Calculation 3 5 5" xfId="8112" xr:uid="{00000000-0005-0000-0000-0000C8180000}"/>
    <cellStyle name="Calculation 3 6" xfId="8113" xr:uid="{00000000-0005-0000-0000-0000C9180000}"/>
    <cellStyle name="Calculation 3 6 2" xfId="8114" xr:uid="{00000000-0005-0000-0000-0000CA180000}"/>
    <cellStyle name="Calculation 3 6 3" xfId="8115" xr:uid="{00000000-0005-0000-0000-0000CB180000}"/>
    <cellStyle name="Calculation 3 6 4" xfId="8116" xr:uid="{00000000-0005-0000-0000-0000CC180000}"/>
    <cellStyle name="Calculation 3 6 5" xfId="8117" xr:uid="{00000000-0005-0000-0000-0000CD180000}"/>
    <cellStyle name="Calculation 3 7" xfId="8118" xr:uid="{00000000-0005-0000-0000-0000CE180000}"/>
    <cellStyle name="Calculation 3 7 2" xfId="8119" xr:uid="{00000000-0005-0000-0000-0000CF180000}"/>
    <cellStyle name="Calculation 3 7 3" xfId="8120" xr:uid="{00000000-0005-0000-0000-0000D0180000}"/>
    <cellStyle name="Calculation 3 7 4" xfId="8121" xr:uid="{00000000-0005-0000-0000-0000D1180000}"/>
    <cellStyle name="Calculation 3 7 5" xfId="8122" xr:uid="{00000000-0005-0000-0000-0000D2180000}"/>
    <cellStyle name="Calculation 3 8" xfId="8123" xr:uid="{00000000-0005-0000-0000-0000D3180000}"/>
    <cellStyle name="Calculation 3 8 2" xfId="8124" xr:uid="{00000000-0005-0000-0000-0000D4180000}"/>
    <cellStyle name="Calculation 3 8 3" xfId="8125" xr:uid="{00000000-0005-0000-0000-0000D5180000}"/>
    <cellStyle name="Calculation 3 8 4" xfId="8126" xr:uid="{00000000-0005-0000-0000-0000D6180000}"/>
    <cellStyle name="Calculation 3 8 5" xfId="8127" xr:uid="{00000000-0005-0000-0000-0000D7180000}"/>
    <cellStyle name="Calculation 3 9" xfId="8128" xr:uid="{00000000-0005-0000-0000-0000D8180000}"/>
    <cellStyle name="Calculation 3 9 2" xfId="8129" xr:uid="{00000000-0005-0000-0000-0000D9180000}"/>
    <cellStyle name="Calculation 3 9 3" xfId="8130" xr:uid="{00000000-0005-0000-0000-0000DA180000}"/>
    <cellStyle name="Calculation 3 9 4" xfId="8131" xr:uid="{00000000-0005-0000-0000-0000DB180000}"/>
    <cellStyle name="Calculation 3 9 5" xfId="8132" xr:uid="{00000000-0005-0000-0000-0000DC180000}"/>
    <cellStyle name="Calculation 4" xfId="8133" xr:uid="{00000000-0005-0000-0000-0000DD180000}"/>
    <cellStyle name="Calculation 4 10" xfId="8134" xr:uid="{00000000-0005-0000-0000-0000DE180000}"/>
    <cellStyle name="Calculation 4 10 2" xfId="8135" xr:uid="{00000000-0005-0000-0000-0000DF180000}"/>
    <cellStyle name="Calculation 4 10 3" xfId="8136" xr:uid="{00000000-0005-0000-0000-0000E0180000}"/>
    <cellStyle name="Calculation 4 10 4" xfId="8137" xr:uid="{00000000-0005-0000-0000-0000E1180000}"/>
    <cellStyle name="Calculation 4 10 5" xfId="8138" xr:uid="{00000000-0005-0000-0000-0000E2180000}"/>
    <cellStyle name="Calculation 4 11" xfId="8139" xr:uid="{00000000-0005-0000-0000-0000E3180000}"/>
    <cellStyle name="Calculation 4 11 2" xfId="8140" xr:uid="{00000000-0005-0000-0000-0000E4180000}"/>
    <cellStyle name="Calculation 4 11 3" xfId="8141" xr:uid="{00000000-0005-0000-0000-0000E5180000}"/>
    <cellStyle name="Calculation 4 11 4" xfId="8142" xr:uid="{00000000-0005-0000-0000-0000E6180000}"/>
    <cellStyle name="Calculation 4 11 5" xfId="8143" xr:uid="{00000000-0005-0000-0000-0000E7180000}"/>
    <cellStyle name="Calculation 4 12" xfId="8144" xr:uid="{00000000-0005-0000-0000-0000E8180000}"/>
    <cellStyle name="Calculation 4 12 2" xfId="8145" xr:uid="{00000000-0005-0000-0000-0000E9180000}"/>
    <cellStyle name="Calculation 4 12 3" xfId="8146" xr:uid="{00000000-0005-0000-0000-0000EA180000}"/>
    <cellStyle name="Calculation 4 12 4" xfId="8147" xr:uid="{00000000-0005-0000-0000-0000EB180000}"/>
    <cellStyle name="Calculation 4 12 5" xfId="8148" xr:uid="{00000000-0005-0000-0000-0000EC180000}"/>
    <cellStyle name="Calculation 4 13" xfId="8149" xr:uid="{00000000-0005-0000-0000-0000ED180000}"/>
    <cellStyle name="Calculation 4 14" xfId="8150" xr:uid="{00000000-0005-0000-0000-0000EE180000}"/>
    <cellStyle name="Calculation 4 15" xfId="8151" xr:uid="{00000000-0005-0000-0000-0000EF180000}"/>
    <cellStyle name="Calculation 4 16" xfId="8152" xr:uid="{00000000-0005-0000-0000-0000F0180000}"/>
    <cellStyle name="Calculation 4 2" xfId="8153" xr:uid="{00000000-0005-0000-0000-0000F1180000}"/>
    <cellStyle name="Calculation 4 2 2" xfId="8154" xr:uid="{00000000-0005-0000-0000-0000F2180000}"/>
    <cellStyle name="Calculation 4 2 3" xfId="8155" xr:uid="{00000000-0005-0000-0000-0000F3180000}"/>
    <cellStyle name="Calculation 4 2 4" xfId="8156" xr:uid="{00000000-0005-0000-0000-0000F4180000}"/>
    <cellStyle name="Calculation 4 2 5" xfId="8157" xr:uid="{00000000-0005-0000-0000-0000F5180000}"/>
    <cellStyle name="Calculation 4 3" xfId="8158" xr:uid="{00000000-0005-0000-0000-0000F6180000}"/>
    <cellStyle name="Calculation 4 3 2" xfId="8159" xr:uid="{00000000-0005-0000-0000-0000F7180000}"/>
    <cellStyle name="Calculation 4 3 3" xfId="8160" xr:uid="{00000000-0005-0000-0000-0000F8180000}"/>
    <cellStyle name="Calculation 4 3 4" xfId="8161" xr:uid="{00000000-0005-0000-0000-0000F9180000}"/>
    <cellStyle name="Calculation 4 3 5" xfId="8162" xr:uid="{00000000-0005-0000-0000-0000FA180000}"/>
    <cellStyle name="Calculation 4 4" xfId="8163" xr:uid="{00000000-0005-0000-0000-0000FB180000}"/>
    <cellStyle name="Calculation 4 4 2" xfId="8164" xr:uid="{00000000-0005-0000-0000-0000FC180000}"/>
    <cellStyle name="Calculation 4 4 3" xfId="8165" xr:uid="{00000000-0005-0000-0000-0000FD180000}"/>
    <cellStyle name="Calculation 4 4 4" xfId="8166" xr:uid="{00000000-0005-0000-0000-0000FE180000}"/>
    <cellStyle name="Calculation 4 4 5" xfId="8167" xr:uid="{00000000-0005-0000-0000-0000FF180000}"/>
    <cellStyle name="Calculation 4 5" xfId="8168" xr:uid="{00000000-0005-0000-0000-000000190000}"/>
    <cellStyle name="Calculation 4 5 2" xfId="8169" xr:uid="{00000000-0005-0000-0000-000001190000}"/>
    <cellStyle name="Calculation 4 5 3" xfId="8170" xr:uid="{00000000-0005-0000-0000-000002190000}"/>
    <cellStyle name="Calculation 4 5 4" xfId="8171" xr:uid="{00000000-0005-0000-0000-000003190000}"/>
    <cellStyle name="Calculation 4 5 5" xfId="8172" xr:uid="{00000000-0005-0000-0000-000004190000}"/>
    <cellStyle name="Calculation 4 6" xfId="8173" xr:uid="{00000000-0005-0000-0000-000005190000}"/>
    <cellStyle name="Calculation 4 6 2" xfId="8174" xr:uid="{00000000-0005-0000-0000-000006190000}"/>
    <cellStyle name="Calculation 4 6 3" xfId="8175" xr:uid="{00000000-0005-0000-0000-000007190000}"/>
    <cellStyle name="Calculation 4 6 4" xfId="8176" xr:uid="{00000000-0005-0000-0000-000008190000}"/>
    <cellStyle name="Calculation 4 6 5" xfId="8177" xr:uid="{00000000-0005-0000-0000-000009190000}"/>
    <cellStyle name="Calculation 4 7" xfId="8178" xr:uid="{00000000-0005-0000-0000-00000A190000}"/>
    <cellStyle name="Calculation 4 7 2" xfId="8179" xr:uid="{00000000-0005-0000-0000-00000B190000}"/>
    <cellStyle name="Calculation 4 7 3" xfId="8180" xr:uid="{00000000-0005-0000-0000-00000C190000}"/>
    <cellStyle name="Calculation 4 7 4" xfId="8181" xr:uid="{00000000-0005-0000-0000-00000D190000}"/>
    <cellStyle name="Calculation 4 7 5" xfId="8182" xr:uid="{00000000-0005-0000-0000-00000E190000}"/>
    <cellStyle name="Calculation 4 8" xfId="8183" xr:uid="{00000000-0005-0000-0000-00000F190000}"/>
    <cellStyle name="Calculation 4 8 2" xfId="8184" xr:uid="{00000000-0005-0000-0000-000010190000}"/>
    <cellStyle name="Calculation 4 8 3" xfId="8185" xr:uid="{00000000-0005-0000-0000-000011190000}"/>
    <cellStyle name="Calculation 4 8 4" xfId="8186" xr:uid="{00000000-0005-0000-0000-000012190000}"/>
    <cellStyle name="Calculation 4 8 5" xfId="8187" xr:uid="{00000000-0005-0000-0000-000013190000}"/>
    <cellStyle name="Calculation 4 9" xfId="8188" xr:uid="{00000000-0005-0000-0000-000014190000}"/>
    <cellStyle name="Calculation 4 9 2" xfId="8189" xr:uid="{00000000-0005-0000-0000-000015190000}"/>
    <cellStyle name="Calculation 4 9 3" xfId="8190" xr:uid="{00000000-0005-0000-0000-000016190000}"/>
    <cellStyle name="Calculation 4 9 4" xfId="8191" xr:uid="{00000000-0005-0000-0000-000017190000}"/>
    <cellStyle name="Calculation 4 9 5" xfId="8192" xr:uid="{00000000-0005-0000-0000-000018190000}"/>
    <cellStyle name="Calculation 5" xfId="8193" xr:uid="{00000000-0005-0000-0000-000019190000}"/>
    <cellStyle name="Calculation 5 10" xfId="8194" xr:uid="{00000000-0005-0000-0000-00001A190000}"/>
    <cellStyle name="Calculation 5 10 2" xfId="8195" xr:uid="{00000000-0005-0000-0000-00001B190000}"/>
    <cellStyle name="Calculation 5 10 3" xfId="8196" xr:uid="{00000000-0005-0000-0000-00001C190000}"/>
    <cellStyle name="Calculation 5 10 4" xfId="8197" xr:uid="{00000000-0005-0000-0000-00001D190000}"/>
    <cellStyle name="Calculation 5 10 5" xfId="8198" xr:uid="{00000000-0005-0000-0000-00001E190000}"/>
    <cellStyle name="Calculation 5 11" xfId="8199" xr:uid="{00000000-0005-0000-0000-00001F190000}"/>
    <cellStyle name="Calculation 5 11 2" xfId="8200" xr:uid="{00000000-0005-0000-0000-000020190000}"/>
    <cellStyle name="Calculation 5 11 3" xfId="8201" xr:uid="{00000000-0005-0000-0000-000021190000}"/>
    <cellStyle name="Calculation 5 11 4" xfId="8202" xr:uid="{00000000-0005-0000-0000-000022190000}"/>
    <cellStyle name="Calculation 5 11 5" xfId="8203" xr:uid="{00000000-0005-0000-0000-000023190000}"/>
    <cellStyle name="Calculation 5 12" xfId="8204" xr:uid="{00000000-0005-0000-0000-000024190000}"/>
    <cellStyle name="Calculation 5 13" xfId="8205" xr:uid="{00000000-0005-0000-0000-000025190000}"/>
    <cellStyle name="Calculation 5 14" xfId="8206" xr:uid="{00000000-0005-0000-0000-000026190000}"/>
    <cellStyle name="Calculation 5 15" xfId="8207" xr:uid="{00000000-0005-0000-0000-000027190000}"/>
    <cellStyle name="Calculation 5 2" xfId="8208" xr:uid="{00000000-0005-0000-0000-000028190000}"/>
    <cellStyle name="Calculation 5 2 2" xfId="8209" xr:uid="{00000000-0005-0000-0000-000029190000}"/>
    <cellStyle name="Calculation 5 2 3" xfId="8210" xr:uid="{00000000-0005-0000-0000-00002A190000}"/>
    <cellStyle name="Calculation 5 2 4" xfId="8211" xr:uid="{00000000-0005-0000-0000-00002B190000}"/>
    <cellStyle name="Calculation 5 2 5" xfId="8212" xr:uid="{00000000-0005-0000-0000-00002C190000}"/>
    <cellStyle name="Calculation 5 3" xfId="8213" xr:uid="{00000000-0005-0000-0000-00002D190000}"/>
    <cellStyle name="Calculation 5 3 2" xfId="8214" xr:uid="{00000000-0005-0000-0000-00002E190000}"/>
    <cellStyle name="Calculation 5 3 3" xfId="8215" xr:uid="{00000000-0005-0000-0000-00002F190000}"/>
    <cellStyle name="Calculation 5 3 4" xfId="8216" xr:uid="{00000000-0005-0000-0000-000030190000}"/>
    <cellStyle name="Calculation 5 3 5" xfId="8217" xr:uid="{00000000-0005-0000-0000-000031190000}"/>
    <cellStyle name="Calculation 5 4" xfId="8218" xr:uid="{00000000-0005-0000-0000-000032190000}"/>
    <cellStyle name="Calculation 5 4 2" xfId="8219" xr:uid="{00000000-0005-0000-0000-000033190000}"/>
    <cellStyle name="Calculation 5 4 3" xfId="8220" xr:uid="{00000000-0005-0000-0000-000034190000}"/>
    <cellStyle name="Calculation 5 4 4" xfId="8221" xr:uid="{00000000-0005-0000-0000-000035190000}"/>
    <cellStyle name="Calculation 5 4 5" xfId="8222" xr:uid="{00000000-0005-0000-0000-000036190000}"/>
    <cellStyle name="Calculation 5 5" xfId="8223" xr:uid="{00000000-0005-0000-0000-000037190000}"/>
    <cellStyle name="Calculation 5 5 2" xfId="8224" xr:uid="{00000000-0005-0000-0000-000038190000}"/>
    <cellStyle name="Calculation 5 5 3" xfId="8225" xr:uid="{00000000-0005-0000-0000-000039190000}"/>
    <cellStyle name="Calculation 5 5 4" xfId="8226" xr:uid="{00000000-0005-0000-0000-00003A190000}"/>
    <cellStyle name="Calculation 5 5 5" xfId="8227" xr:uid="{00000000-0005-0000-0000-00003B190000}"/>
    <cellStyle name="Calculation 5 6" xfId="8228" xr:uid="{00000000-0005-0000-0000-00003C190000}"/>
    <cellStyle name="Calculation 5 6 2" xfId="8229" xr:uid="{00000000-0005-0000-0000-00003D190000}"/>
    <cellStyle name="Calculation 5 6 3" xfId="8230" xr:uid="{00000000-0005-0000-0000-00003E190000}"/>
    <cellStyle name="Calculation 5 6 4" xfId="8231" xr:uid="{00000000-0005-0000-0000-00003F190000}"/>
    <cellStyle name="Calculation 5 6 5" xfId="8232" xr:uid="{00000000-0005-0000-0000-000040190000}"/>
    <cellStyle name="Calculation 5 7" xfId="8233" xr:uid="{00000000-0005-0000-0000-000041190000}"/>
    <cellStyle name="Calculation 5 7 2" xfId="8234" xr:uid="{00000000-0005-0000-0000-000042190000}"/>
    <cellStyle name="Calculation 5 7 3" xfId="8235" xr:uid="{00000000-0005-0000-0000-000043190000}"/>
    <cellStyle name="Calculation 5 7 4" xfId="8236" xr:uid="{00000000-0005-0000-0000-000044190000}"/>
    <cellStyle name="Calculation 5 7 5" xfId="8237" xr:uid="{00000000-0005-0000-0000-000045190000}"/>
    <cellStyle name="Calculation 5 8" xfId="8238" xr:uid="{00000000-0005-0000-0000-000046190000}"/>
    <cellStyle name="Calculation 5 8 2" xfId="8239" xr:uid="{00000000-0005-0000-0000-000047190000}"/>
    <cellStyle name="Calculation 5 8 3" xfId="8240" xr:uid="{00000000-0005-0000-0000-000048190000}"/>
    <cellStyle name="Calculation 5 8 4" xfId="8241" xr:uid="{00000000-0005-0000-0000-000049190000}"/>
    <cellStyle name="Calculation 5 8 5" xfId="8242" xr:uid="{00000000-0005-0000-0000-00004A190000}"/>
    <cellStyle name="Calculation 5 9" xfId="8243" xr:uid="{00000000-0005-0000-0000-00004B190000}"/>
    <cellStyle name="Calculation 5 9 2" xfId="8244" xr:uid="{00000000-0005-0000-0000-00004C190000}"/>
    <cellStyle name="Calculation 5 9 3" xfId="8245" xr:uid="{00000000-0005-0000-0000-00004D190000}"/>
    <cellStyle name="Calculation 5 9 4" xfId="8246" xr:uid="{00000000-0005-0000-0000-00004E190000}"/>
    <cellStyle name="Calculation 5 9 5" xfId="8247" xr:uid="{00000000-0005-0000-0000-00004F190000}"/>
    <cellStyle name="Calculation 6" xfId="8248" xr:uid="{00000000-0005-0000-0000-000050190000}"/>
    <cellStyle name="Calculation 6 10" xfId="8249" xr:uid="{00000000-0005-0000-0000-000051190000}"/>
    <cellStyle name="Calculation 6 10 2" xfId="8250" xr:uid="{00000000-0005-0000-0000-000052190000}"/>
    <cellStyle name="Calculation 6 10 3" xfId="8251" xr:uid="{00000000-0005-0000-0000-000053190000}"/>
    <cellStyle name="Calculation 6 10 4" xfId="8252" xr:uid="{00000000-0005-0000-0000-000054190000}"/>
    <cellStyle name="Calculation 6 10 5" xfId="8253" xr:uid="{00000000-0005-0000-0000-000055190000}"/>
    <cellStyle name="Calculation 6 11" xfId="8254" xr:uid="{00000000-0005-0000-0000-000056190000}"/>
    <cellStyle name="Calculation 6 11 2" xfId="8255" xr:uid="{00000000-0005-0000-0000-000057190000}"/>
    <cellStyle name="Calculation 6 11 3" xfId="8256" xr:uid="{00000000-0005-0000-0000-000058190000}"/>
    <cellStyle name="Calculation 6 11 4" xfId="8257" xr:uid="{00000000-0005-0000-0000-000059190000}"/>
    <cellStyle name="Calculation 6 11 5" xfId="8258" xr:uid="{00000000-0005-0000-0000-00005A190000}"/>
    <cellStyle name="Calculation 6 12" xfId="8259" xr:uid="{00000000-0005-0000-0000-00005B190000}"/>
    <cellStyle name="Calculation 6 13" xfId="8260" xr:uid="{00000000-0005-0000-0000-00005C190000}"/>
    <cellStyle name="Calculation 6 14" xfId="8261" xr:uid="{00000000-0005-0000-0000-00005D190000}"/>
    <cellStyle name="Calculation 6 15" xfId="8262" xr:uid="{00000000-0005-0000-0000-00005E190000}"/>
    <cellStyle name="Calculation 6 2" xfId="8263" xr:uid="{00000000-0005-0000-0000-00005F190000}"/>
    <cellStyle name="Calculation 6 2 2" xfId="8264" xr:uid="{00000000-0005-0000-0000-000060190000}"/>
    <cellStyle name="Calculation 6 2 3" xfId="8265" xr:uid="{00000000-0005-0000-0000-000061190000}"/>
    <cellStyle name="Calculation 6 2 4" xfId="8266" xr:uid="{00000000-0005-0000-0000-000062190000}"/>
    <cellStyle name="Calculation 6 2 5" xfId="8267" xr:uid="{00000000-0005-0000-0000-000063190000}"/>
    <cellStyle name="Calculation 6 3" xfId="8268" xr:uid="{00000000-0005-0000-0000-000064190000}"/>
    <cellStyle name="Calculation 6 3 2" xfId="8269" xr:uid="{00000000-0005-0000-0000-000065190000}"/>
    <cellStyle name="Calculation 6 3 3" xfId="8270" xr:uid="{00000000-0005-0000-0000-000066190000}"/>
    <cellStyle name="Calculation 6 3 4" xfId="8271" xr:uid="{00000000-0005-0000-0000-000067190000}"/>
    <cellStyle name="Calculation 6 3 5" xfId="8272" xr:uid="{00000000-0005-0000-0000-000068190000}"/>
    <cellStyle name="Calculation 6 4" xfId="8273" xr:uid="{00000000-0005-0000-0000-000069190000}"/>
    <cellStyle name="Calculation 6 4 2" xfId="8274" xr:uid="{00000000-0005-0000-0000-00006A190000}"/>
    <cellStyle name="Calculation 6 4 3" xfId="8275" xr:uid="{00000000-0005-0000-0000-00006B190000}"/>
    <cellStyle name="Calculation 6 4 4" xfId="8276" xr:uid="{00000000-0005-0000-0000-00006C190000}"/>
    <cellStyle name="Calculation 6 4 5" xfId="8277" xr:uid="{00000000-0005-0000-0000-00006D190000}"/>
    <cellStyle name="Calculation 6 5" xfId="8278" xr:uid="{00000000-0005-0000-0000-00006E190000}"/>
    <cellStyle name="Calculation 6 5 2" xfId="8279" xr:uid="{00000000-0005-0000-0000-00006F190000}"/>
    <cellStyle name="Calculation 6 5 3" xfId="8280" xr:uid="{00000000-0005-0000-0000-000070190000}"/>
    <cellStyle name="Calculation 6 5 4" xfId="8281" xr:uid="{00000000-0005-0000-0000-000071190000}"/>
    <cellStyle name="Calculation 6 5 5" xfId="8282" xr:uid="{00000000-0005-0000-0000-000072190000}"/>
    <cellStyle name="Calculation 6 6" xfId="8283" xr:uid="{00000000-0005-0000-0000-000073190000}"/>
    <cellStyle name="Calculation 6 6 2" xfId="8284" xr:uid="{00000000-0005-0000-0000-000074190000}"/>
    <cellStyle name="Calculation 6 6 3" xfId="8285" xr:uid="{00000000-0005-0000-0000-000075190000}"/>
    <cellStyle name="Calculation 6 6 4" xfId="8286" xr:uid="{00000000-0005-0000-0000-000076190000}"/>
    <cellStyle name="Calculation 6 6 5" xfId="8287" xr:uid="{00000000-0005-0000-0000-000077190000}"/>
    <cellStyle name="Calculation 6 7" xfId="8288" xr:uid="{00000000-0005-0000-0000-000078190000}"/>
    <cellStyle name="Calculation 6 7 2" xfId="8289" xr:uid="{00000000-0005-0000-0000-000079190000}"/>
    <cellStyle name="Calculation 6 7 3" xfId="8290" xr:uid="{00000000-0005-0000-0000-00007A190000}"/>
    <cellStyle name="Calculation 6 7 4" xfId="8291" xr:uid="{00000000-0005-0000-0000-00007B190000}"/>
    <cellStyle name="Calculation 6 7 5" xfId="8292" xr:uid="{00000000-0005-0000-0000-00007C190000}"/>
    <cellStyle name="Calculation 6 8" xfId="8293" xr:uid="{00000000-0005-0000-0000-00007D190000}"/>
    <cellStyle name="Calculation 6 8 2" xfId="8294" xr:uid="{00000000-0005-0000-0000-00007E190000}"/>
    <cellStyle name="Calculation 6 8 3" xfId="8295" xr:uid="{00000000-0005-0000-0000-00007F190000}"/>
    <cellStyle name="Calculation 6 8 4" xfId="8296" xr:uid="{00000000-0005-0000-0000-000080190000}"/>
    <cellStyle name="Calculation 6 8 5" xfId="8297" xr:uid="{00000000-0005-0000-0000-000081190000}"/>
    <cellStyle name="Calculation 6 9" xfId="8298" xr:uid="{00000000-0005-0000-0000-000082190000}"/>
    <cellStyle name="Calculation 6 9 2" xfId="8299" xr:uid="{00000000-0005-0000-0000-000083190000}"/>
    <cellStyle name="Calculation 6 9 3" xfId="8300" xr:uid="{00000000-0005-0000-0000-000084190000}"/>
    <cellStyle name="Calculation 6 9 4" xfId="8301" xr:uid="{00000000-0005-0000-0000-000085190000}"/>
    <cellStyle name="Calculation 6 9 5" xfId="8302" xr:uid="{00000000-0005-0000-0000-000086190000}"/>
    <cellStyle name="Calculation 7" xfId="8303" xr:uid="{00000000-0005-0000-0000-000087190000}"/>
    <cellStyle name="Calculation 7 10" xfId="8304" xr:uid="{00000000-0005-0000-0000-000088190000}"/>
    <cellStyle name="Calculation 7 10 2" xfId="8305" xr:uid="{00000000-0005-0000-0000-000089190000}"/>
    <cellStyle name="Calculation 7 10 3" xfId="8306" xr:uid="{00000000-0005-0000-0000-00008A190000}"/>
    <cellStyle name="Calculation 7 10 4" xfId="8307" xr:uid="{00000000-0005-0000-0000-00008B190000}"/>
    <cellStyle name="Calculation 7 10 5" xfId="8308" xr:uid="{00000000-0005-0000-0000-00008C190000}"/>
    <cellStyle name="Calculation 7 11" xfId="8309" xr:uid="{00000000-0005-0000-0000-00008D190000}"/>
    <cellStyle name="Calculation 7 11 2" xfId="8310" xr:uid="{00000000-0005-0000-0000-00008E190000}"/>
    <cellStyle name="Calculation 7 11 3" xfId="8311" xr:uid="{00000000-0005-0000-0000-00008F190000}"/>
    <cellStyle name="Calculation 7 11 4" xfId="8312" xr:uid="{00000000-0005-0000-0000-000090190000}"/>
    <cellStyle name="Calculation 7 11 5" xfId="8313" xr:uid="{00000000-0005-0000-0000-000091190000}"/>
    <cellStyle name="Calculation 7 12" xfId="8314" xr:uid="{00000000-0005-0000-0000-000092190000}"/>
    <cellStyle name="Calculation 7 13" xfId="8315" xr:uid="{00000000-0005-0000-0000-000093190000}"/>
    <cellStyle name="Calculation 7 14" xfId="8316" xr:uid="{00000000-0005-0000-0000-000094190000}"/>
    <cellStyle name="Calculation 7 15" xfId="8317" xr:uid="{00000000-0005-0000-0000-000095190000}"/>
    <cellStyle name="Calculation 7 2" xfId="8318" xr:uid="{00000000-0005-0000-0000-000096190000}"/>
    <cellStyle name="Calculation 7 2 2" xfId="8319" xr:uid="{00000000-0005-0000-0000-000097190000}"/>
    <cellStyle name="Calculation 7 2 3" xfId="8320" xr:uid="{00000000-0005-0000-0000-000098190000}"/>
    <cellStyle name="Calculation 7 2 4" xfId="8321" xr:uid="{00000000-0005-0000-0000-000099190000}"/>
    <cellStyle name="Calculation 7 2 5" xfId="8322" xr:uid="{00000000-0005-0000-0000-00009A190000}"/>
    <cellStyle name="Calculation 7 3" xfId="8323" xr:uid="{00000000-0005-0000-0000-00009B190000}"/>
    <cellStyle name="Calculation 7 3 2" xfId="8324" xr:uid="{00000000-0005-0000-0000-00009C190000}"/>
    <cellStyle name="Calculation 7 3 3" xfId="8325" xr:uid="{00000000-0005-0000-0000-00009D190000}"/>
    <cellStyle name="Calculation 7 3 4" xfId="8326" xr:uid="{00000000-0005-0000-0000-00009E190000}"/>
    <cellStyle name="Calculation 7 3 5" xfId="8327" xr:uid="{00000000-0005-0000-0000-00009F190000}"/>
    <cellStyle name="Calculation 7 4" xfId="8328" xr:uid="{00000000-0005-0000-0000-0000A0190000}"/>
    <cellStyle name="Calculation 7 4 2" xfId="8329" xr:uid="{00000000-0005-0000-0000-0000A1190000}"/>
    <cellStyle name="Calculation 7 4 3" xfId="8330" xr:uid="{00000000-0005-0000-0000-0000A2190000}"/>
    <cellStyle name="Calculation 7 4 4" xfId="8331" xr:uid="{00000000-0005-0000-0000-0000A3190000}"/>
    <cellStyle name="Calculation 7 4 5" xfId="8332" xr:uid="{00000000-0005-0000-0000-0000A4190000}"/>
    <cellStyle name="Calculation 7 5" xfId="8333" xr:uid="{00000000-0005-0000-0000-0000A5190000}"/>
    <cellStyle name="Calculation 7 5 2" xfId="8334" xr:uid="{00000000-0005-0000-0000-0000A6190000}"/>
    <cellStyle name="Calculation 7 5 3" xfId="8335" xr:uid="{00000000-0005-0000-0000-0000A7190000}"/>
    <cellStyle name="Calculation 7 5 4" xfId="8336" xr:uid="{00000000-0005-0000-0000-0000A8190000}"/>
    <cellStyle name="Calculation 7 5 5" xfId="8337" xr:uid="{00000000-0005-0000-0000-0000A9190000}"/>
    <cellStyle name="Calculation 7 6" xfId="8338" xr:uid="{00000000-0005-0000-0000-0000AA190000}"/>
    <cellStyle name="Calculation 7 6 2" xfId="8339" xr:uid="{00000000-0005-0000-0000-0000AB190000}"/>
    <cellStyle name="Calculation 7 6 3" xfId="8340" xr:uid="{00000000-0005-0000-0000-0000AC190000}"/>
    <cellStyle name="Calculation 7 6 4" xfId="8341" xr:uid="{00000000-0005-0000-0000-0000AD190000}"/>
    <cellStyle name="Calculation 7 6 5" xfId="8342" xr:uid="{00000000-0005-0000-0000-0000AE190000}"/>
    <cellStyle name="Calculation 7 7" xfId="8343" xr:uid="{00000000-0005-0000-0000-0000AF190000}"/>
    <cellStyle name="Calculation 7 7 2" xfId="8344" xr:uid="{00000000-0005-0000-0000-0000B0190000}"/>
    <cellStyle name="Calculation 7 7 3" xfId="8345" xr:uid="{00000000-0005-0000-0000-0000B1190000}"/>
    <cellStyle name="Calculation 7 7 4" xfId="8346" xr:uid="{00000000-0005-0000-0000-0000B2190000}"/>
    <cellStyle name="Calculation 7 7 5" xfId="8347" xr:uid="{00000000-0005-0000-0000-0000B3190000}"/>
    <cellStyle name="Calculation 7 8" xfId="8348" xr:uid="{00000000-0005-0000-0000-0000B4190000}"/>
    <cellStyle name="Calculation 7 8 2" xfId="8349" xr:uid="{00000000-0005-0000-0000-0000B5190000}"/>
    <cellStyle name="Calculation 7 8 3" xfId="8350" xr:uid="{00000000-0005-0000-0000-0000B6190000}"/>
    <cellStyle name="Calculation 7 8 4" xfId="8351" xr:uid="{00000000-0005-0000-0000-0000B7190000}"/>
    <cellStyle name="Calculation 7 8 5" xfId="8352" xr:uid="{00000000-0005-0000-0000-0000B8190000}"/>
    <cellStyle name="Calculation 7 9" xfId="8353" xr:uid="{00000000-0005-0000-0000-0000B9190000}"/>
    <cellStyle name="Calculation 7 9 2" xfId="8354" xr:uid="{00000000-0005-0000-0000-0000BA190000}"/>
    <cellStyle name="Calculation 7 9 3" xfId="8355" xr:uid="{00000000-0005-0000-0000-0000BB190000}"/>
    <cellStyle name="Calculation 7 9 4" xfId="8356" xr:uid="{00000000-0005-0000-0000-0000BC190000}"/>
    <cellStyle name="Calculation 7 9 5" xfId="8357" xr:uid="{00000000-0005-0000-0000-0000BD190000}"/>
    <cellStyle name="Calculation 8" xfId="8358" xr:uid="{00000000-0005-0000-0000-0000BE190000}"/>
    <cellStyle name="Calculation 8 10" xfId="8359" xr:uid="{00000000-0005-0000-0000-0000BF190000}"/>
    <cellStyle name="Calculation 8 10 2" xfId="8360" xr:uid="{00000000-0005-0000-0000-0000C0190000}"/>
    <cellStyle name="Calculation 8 10 3" xfId="8361" xr:uid="{00000000-0005-0000-0000-0000C1190000}"/>
    <cellStyle name="Calculation 8 10 4" xfId="8362" xr:uid="{00000000-0005-0000-0000-0000C2190000}"/>
    <cellStyle name="Calculation 8 10 5" xfId="8363" xr:uid="{00000000-0005-0000-0000-0000C3190000}"/>
    <cellStyle name="Calculation 8 11" xfId="8364" xr:uid="{00000000-0005-0000-0000-0000C4190000}"/>
    <cellStyle name="Calculation 8 11 2" xfId="8365" xr:uid="{00000000-0005-0000-0000-0000C5190000}"/>
    <cellStyle name="Calculation 8 11 3" xfId="8366" xr:uid="{00000000-0005-0000-0000-0000C6190000}"/>
    <cellStyle name="Calculation 8 11 4" xfId="8367" xr:uid="{00000000-0005-0000-0000-0000C7190000}"/>
    <cellStyle name="Calculation 8 11 5" xfId="8368" xr:uid="{00000000-0005-0000-0000-0000C8190000}"/>
    <cellStyle name="Calculation 8 12" xfId="8369" xr:uid="{00000000-0005-0000-0000-0000C9190000}"/>
    <cellStyle name="Calculation 8 13" xfId="8370" xr:uid="{00000000-0005-0000-0000-0000CA190000}"/>
    <cellStyle name="Calculation 8 14" xfId="8371" xr:uid="{00000000-0005-0000-0000-0000CB190000}"/>
    <cellStyle name="Calculation 8 15" xfId="8372" xr:uid="{00000000-0005-0000-0000-0000CC190000}"/>
    <cellStyle name="Calculation 8 2" xfId="8373" xr:uid="{00000000-0005-0000-0000-0000CD190000}"/>
    <cellStyle name="Calculation 8 2 2" xfId="8374" xr:uid="{00000000-0005-0000-0000-0000CE190000}"/>
    <cellStyle name="Calculation 8 2 3" xfId="8375" xr:uid="{00000000-0005-0000-0000-0000CF190000}"/>
    <cellStyle name="Calculation 8 2 4" xfId="8376" xr:uid="{00000000-0005-0000-0000-0000D0190000}"/>
    <cellStyle name="Calculation 8 2 5" xfId="8377" xr:uid="{00000000-0005-0000-0000-0000D1190000}"/>
    <cellStyle name="Calculation 8 3" xfId="8378" xr:uid="{00000000-0005-0000-0000-0000D2190000}"/>
    <cellStyle name="Calculation 8 3 2" xfId="8379" xr:uid="{00000000-0005-0000-0000-0000D3190000}"/>
    <cellStyle name="Calculation 8 3 3" xfId="8380" xr:uid="{00000000-0005-0000-0000-0000D4190000}"/>
    <cellStyle name="Calculation 8 3 4" xfId="8381" xr:uid="{00000000-0005-0000-0000-0000D5190000}"/>
    <cellStyle name="Calculation 8 3 5" xfId="8382" xr:uid="{00000000-0005-0000-0000-0000D6190000}"/>
    <cellStyle name="Calculation 8 4" xfId="8383" xr:uid="{00000000-0005-0000-0000-0000D7190000}"/>
    <cellStyle name="Calculation 8 4 2" xfId="8384" xr:uid="{00000000-0005-0000-0000-0000D8190000}"/>
    <cellStyle name="Calculation 8 4 3" xfId="8385" xr:uid="{00000000-0005-0000-0000-0000D9190000}"/>
    <cellStyle name="Calculation 8 4 4" xfId="8386" xr:uid="{00000000-0005-0000-0000-0000DA190000}"/>
    <cellStyle name="Calculation 8 4 5" xfId="8387" xr:uid="{00000000-0005-0000-0000-0000DB190000}"/>
    <cellStyle name="Calculation 8 5" xfId="8388" xr:uid="{00000000-0005-0000-0000-0000DC190000}"/>
    <cellStyle name="Calculation 8 5 2" xfId="8389" xr:uid="{00000000-0005-0000-0000-0000DD190000}"/>
    <cellStyle name="Calculation 8 5 3" xfId="8390" xr:uid="{00000000-0005-0000-0000-0000DE190000}"/>
    <cellStyle name="Calculation 8 5 4" xfId="8391" xr:uid="{00000000-0005-0000-0000-0000DF190000}"/>
    <cellStyle name="Calculation 8 5 5" xfId="8392" xr:uid="{00000000-0005-0000-0000-0000E0190000}"/>
    <cellStyle name="Calculation 8 6" xfId="8393" xr:uid="{00000000-0005-0000-0000-0000E1190000}"/>
    <cellStyle name="Calculation 8 6 2" xfId="8394" xr:uid="{00000000-0005-0000-0000-0000E2190000}"/>
    <cellStyle name="Calculation 8 6 3" xfId="8395" xr:uid="{00000000-0005-0000-0000-0000E3190000}"/>
    <cellStyle name="Calculation 8 6 4" xfId="8396" xr:uid="{00000000-0005-0000-0000-0000E4190000}"/>
    <cellStyle name="Calculation 8 6 5" xfId="8397" xr:uid="{00000000-0005-0000-0000-0000E5190000}"/>
    <cellStyle name="Calculation 8 7" xfId="8398" xr:uid="{00000000-0005-0000-0000-0000E6190000}"/>
    <cellStyle name="Calculation 8 7 2" xfId="8399" xr:uid="{00000000-0005-0000-0000-0000E7190000}"/>
    <cellStyle name="Calculation 8 7 3" xfId="8400" xr:uid="{00000000-0005-0000-0000-0000E8190000}"/>
    <cellStyle name="Calculation 8 7 4" xfId="8401" xr:uid="{00000000-0005-0000-0000-0000E9190000}"/>
    <cellStyle name="Calculation 8 7 5" xfId="8402" xr:uid="{00000000-0005-0000-0000-0000EA190000}"/>
    <cellStyle name="Calculation 8 8" xfId="8403" xr:uid="{00000000-0005-0000-0000-0000EB190000}"/>
    <cellStyle name="Calculation 8 8 2" xfId="8404" xr:uid="{00000000-0005-0000-0000-0000EC190000}"/>
    <cellStyle name="Calculation 8 8 3" xfId="8405" xr:uid="{00000000-0005-0000-0000-0000ED190000}"/>
    <cellStyle name="Calculation 8 8 4" xfId="8406" xr:uid="{00000000-0005-0000-0000-0000EE190000}"/>
    <cellStyle name="Calculation 8 8 5" xfId="8407" xr:uid="{00000000-0005-0000-0000-0000EF190000}"/>
    <cellStyle name="Calculation 8 9" xfId="8408" xr:uid="{00000000-0005-0000-0000-0000F0190000}"/>
    <cellStyle name="Calculation 8 9 2" xfId="8409" xr:uid="{00000000-0005-0000-0000-0000F1190000}"/>
    <cellStyle name="Calculation 8 9 3" xfId="8410" xr:uid="{00000000-0005-0000-0000-0000F2190000}"/>
    <cellStyle name="Calculation 8 9 4" xfId="8411" xr:uid="{00000000-0005-0000-0000-0000F3190000}"/>
    <cellStyle name="Calculation 8 9 5" xfId="8412" xr:uid="{00000000-0005-0000-0000-0000F4190000}"/>
    <cellStyle name="Calculation 9" xfId="8413" xr:uid="{00000000-0005-0000-0000-0000F5190000}"/>
    <cellStyle name="Calculation 9 2" xfId="8414" xr:uid="{00000000-0005-0000-0000-0000F6190000}"/>
    <cellStyle name="Calculation 9 3" xfId="8415" xr:uid="{00000000-0005-0000-0000-0000F7190000}"/>
    <cellStyle name="Calculation 9 4" xfId="8416" xr:uid="{00000000-0005-0000-0000-0000F8190000}"/>
    <cellStyle name="Calculation 9 5" xfId="8417" xr:uid="{00000000-0005-0000-0000-0000F9190000}"/>
    <cellStyle name="Cálculo" xfId="117" builtinId="22" customBuiltin="1"/>
    <cellStyle name="Cálculo 10" xfId="1155" xr:uid="{00000000-0005-0000-0000-0000FB190000}"/>
    <cellStyle name="Cálculo 11" xfId="1154" xr:uid="{00000000-0005-0000-0000-0000FC190000}"/>
    <cellStyle name="Cálculo 12" xfId="1391" xr:uid="{00000000-0005-0000-0000-0000FD190000}"/>
    <cellStyle name="Cálculo 13" xfId="4894" xr:uid="{00000000-0005-0000-0000-0000FE190000}"/>
    <cellStyle name="Cálculo 2" xfId="536" xr:uid="{00000000-0005-0000-0000-0000FF190000}"/>
    <cellStyle name="Cálculo 2 10" xfId="8418" xr:uid="{00000000-0005-0000-0000-0000001A0000}"/>
    <cellStyle name="Cálculo 2 10 2" xfId="8419" xr:uid="{00000000-0005-0000-0000-0000011A0000}"/>
    <cellStyle name="Cálculo 2 10 3" xfId="8420" xr:uid="{00000000-0005-0000-0000-0000021A0000}"/>
    <cellStyle name="Cálculo 2 10 4" xfId="8421" xr:uid="{00000000-0005-0000-0000-0000031A0000}"/>
    <cellStyle name="Cálculo 2 10 5" xfId="8422" xr:uid="{00000000-0005-0000-0000-0000041A0000}"/>
    <cellStyle name="Cálculo 2 11" xfId="8423" xr:uid="{00000000-0005-0000-0000-0000051A0000}"/>
    <cellStyle name="Cálculo 2 11 2" xfId="8424" xr:uid="{00000000-0005-0000-0000-0000061A0000}"/>
    <cellStyle name="Cálculo 2 11 3" xfId="8425" xr:uid="{00000000-0005-0000-0000-0000071A0000}"/>
    <cellStyle name="Cálculo 2 11 4" xfId="8426" xr:uid="{00000000-0005-0000-0000-0000081A0000}"/>
    <cellStyle name="Cálculo 2 11 5" xfId="8427" xr:uid="{00000000-0005-0000-0000-0000091A0000}"/>
    <cellStyle name="Cálculo 2 12" xfId="8428" xr:uid="{00000000-0005-0000-0000-00000A1A0000}"/>
    <cellStyle name="Cálculo 2 12 2" xfId="8429" xr:uid="{00000000-0005-0000-0000-00000B1A0000}"/>
    <cellStyle name="Cálculo 2 12 3" xfId="8430" xr:uid="{00000000-0005-0000-0000-00000C1A0000}"/>
    <cellStyle name="Cálculo 2 12 4" xfId="8431" xr:uid="{00000000-0005-0000-0000-00000D1A0000}"/>
    <cellStyle name="Cálculo 2 12 5" xfId="8432" xr:uid="{00000000-0005-0000-0000-00000E1A0000}"/>
    <cellStyle name="Cálculo 2 2" xfId="1944" xr:uid="{00000000-0005-0000-0000-00000F1A0000}"/>
    <cellStyle name="Cálculo 2 2 10" xfId="8434" xr:uid="{00000000-0005-0000-0000-0000101A0000}"/>
    <cellStyle name="Cálculo 2 2 10 2" xfId="8435" xr:uid="{00000000-0005-0000-0000-0000111A0000}"/>
    <cellStyle name="Cálculo 2 2 10 3" xfId="8436" xr:uid="{00000000-0005-0000-0000-0000121A0000}"/>
    <cellStyle name="Cálculo 2 2 10 4" xfId="8437" xr:uid="{00000000-0005-0000-0000-0000131A0000}"/>
    <cellStyle name="Cálculo 2 2 10 5" xfId="8438" xr:uid="{00000000-0005-0000-0000-0000141A0000}"/>
    <cellStyle name="Cálculo 2 2 11" xfId="8439" xr:uid="{00000000-0005-0000-0000-0000151A0000}"/>
    <cellStyle name="Cálculo 2 2 11 2" xfId="8440" xr:uid="{00000000-0005-0000-0000-0000161A0000}"/>
    <cellStyle name="Cálculo 2 2 11 3" xfId="8441" xr:uid="{00000000-0005-0000-0000-0000171A0000}"/>
    <cellStyle name="Cálculo 2 2 11 4" xfId="8442" xr:uid="{00000000-0005-0000-0000-0000181A0000}"/>
    <cellStyle name="Cálculo 2 2 11 5" xfId="8443" xr:uid="{00000000-0005-0000-0000-0000191A0000}"/>
    <cellStyle name="Cálculo 2 2 12" xfId="8444" xr:uid="{00000000-0005-0000-0000-00001A1A0000}"/>
    <cellStyle name="Cálculo 2 2 12 2" xfId="8445" xr:uid="{00000000-0005-0000-0000-00001B1A0000}"/>
    <cellStyle name="Cálculo 2 2 12 3" xfId="8446" xr:uid="{00000000-0005-0000-0000-00001C1A0000}"/>
    <cellStyle name="Cálculo 2 2 12 4" xfId="8447" xr:uid="{00000000-0005-0000-0000-00001D1A0000}"/>
    <cellStyle name="Cálculo 2 2 12 5" xfId="8448" xr:uid="{00000000-0005-0000-0000-00001E1A0000}"/>
    <cellStyle name="Cálculo 2 2 13" xfId="8449" xr:uid="{00000000-0005-0000-0000-00001F1A0000}"/>
    <cellStyle name="Cálculo 2 2 14" xfId="8450" xr:uid="{00000000-0005-0000-0000-0000201A0000}"/>
    <cellStyle name="Cálculo 2 2 15" xfId="8451" xr:uid="{00000000-0005-0000-0000-0000211A0000}"/>
    <cellStyle name="Cálculo 2 2 16" xfId="8452" xr:uid="{00000000-0005-0000-0000-0000221A0000}"/>
    <cellStyle name="Cálculo 2 2 17" xfId="8453" xr:uid="{00000000-0005-0000-0000-0000231A0000}"/>
    <cellStyle name="Cálculo 2 2 18" xfId="8454" xr:uid="{00000000-0005-0000-0000-0000241A0000}"/>
    <cellStyle name="Cálculo 2 2 19" xfId="8433" xr:uid="{00000000-0005-0000-0000-0000251A0000}"/>
    <cellStyle name="Cálculo 2 2 2" xfId="3229" xr:uid="{00000000-0005-0000-0000-0000261A0000}"/>
    <cellStyle name="Cálculo 2 2 2 2" xfId="8456" xr:uid="{00000000-0005-0000-0000-0000271A0000}"/>
    <cellStyle name="Cálculo 2 2 2 3" xfId="8457" xr:uid="{00000000-0005-0000-0000-0000281A0000}"/>
    <cellStyle name="Cálculo 2 2 2 4" xfId="8458" xr:uid="{00000000-0005-0000-0000-0000291A0000}"/>
    <cellStyle name="Cálculo 2 2 2 5" xfId="8459" xr:uid="{00000000-0005-0000-0000-00002A1A0000}"/>
    <cellStyle name="Cálculo 2 2 2 6" xfId="8460" xr:uid="{00000000-0005-0000-0000-00002B1A0000}"/>
    <cellStyle name="Cálculo 2 2 2 7" xfId="8455" xr:uid="{00000000-0005-0000-0000-00002C1A0000}"/>
    <cellStyle name="Cálculo 2 2 3" xfId="8461" xr:uid="{00000000-0005-0000-0000-00002D1A0000}"/>
    <cellStyle name="Cálculo 2 2 3 2" xfId="8462" xr:uid="{00000000-0005-0000-0000-00002E1A0000}"/>
    <cellStyle name="Cálculo 2 2 3 3" xfId="8463" xr:uid="{00000000-0005-0000-0000-00002F1A0000}"/>
    <cellStyle name="Cálculo 2 2 3 4" xfId="8464" xr:uid="{00000000-0005-0000-0000-0000301A0000}"/>
    <cellStyle name="Cálculo 2 2 3 5" xfId="8465" xr:uid="{00000000-0005-0000-0000-0000311A0000}"/>
    <cellStyle name="Cálculo 2 2 4" xfId="8466" xr:uid="{00000000-0005-0000-0000-0000321A0000}"/>
    <cellStyle name="Cálculo 2 2 4 2" xfId="8467" xr:uid="{00000000-0005-0000-0000-0000331A0000}"/>
    <cellStyle name="Cálculo 2 2 4 3" xfId="8468" xr:uid="{00000000-0005-0000-0000-0000341A0000}"/>
    <cellStyle name="Cálculo 2 2 4 4" xfId="8469" xr:uid="{00000000-0005-0000-0000-0000351A0000}"/>
    <cellStyle name="Cálculo 2 2 4 5" xfId="8470" xr:uid="{00000000-0005-0000-0000-0000361A0000}"/>
    <cellStyle name="Cálculo 2 2 5" xfId="8471" xr:uid="{00000000-0005-0000-0000-0000371A0000}"/>
    <cellStyle name="Cálculo 2 2 5 2" xfId="8472" xr:uid="{00000000-0005-0000-0000-0000381A0000}"/>
    <cellStyle name="Cálculo 2 2 5 3" xfId="8473" xr:uid="{00000000-0005-0000-0000-0000391A0000}"/>
    <cellStyle name="Cálculo 2 2 5 4" xfId="8474" xr:uid="{00000000-0005-0000-0000-00003A1A0000}"/>
    <cellStyle name="Cálculo 2 2 5 5" xfId="8475" xr:uid="{00000000-0005-0000-0000-00003B1A0000}"/>
    <cellStyle name="Cálculo 2 2 6" xfId="8476" xr:uid="{00000000-0005-0000-0000-00003C1A0000}"/>
    <cellStyle name="Cálculo 2 2 6 2" xfId="8477" xr:uid="{00000000-0005-0000-0000-00003D1A0000}"/>
    <cellStyle name="Cálculo 2 2 6 3" xfId="8478" xr:uid="{00000000-0005-0000-0000-00003E1A0000}"/>
    <cellStyle name="Cálculo 2 2 6 4" xfId="8479" xr:uid="{00000000-0005-0000-0000-00003F1A0000}"/>
    <cellStyle name="Cálculo 2 2 6 5" xfId="8480" xr:uid="{00000000-0005-0000-0000-0000401A0000}"/>
    <cellStyle name="Cálculo 2 2 7" xfId="8481" xr:uid="{00000000-0005-0000-0000-0000411A0000}"/>
    <cellStyle name="Cálculo 2 2 7 2" xfId="8482" xr:uid="{00000000-0005-0000-0000-0000421A0000}"/>
    <cellStyle name="Cálculo 2 2 7 3" xfId="8483" xr:uid="{00000000-0005-0000-0000-0000431A0000}"/>
    <cellStyle name="Cálculo 2 2 7 4" xfId="8484" xr:uid="{00000000-0005-0000-0000-0000441A0000}"/>
    <cellStyle name="Cálculo 2 2 7 5" xfId="8485" xr:uid="{00000000-0005-0000-0000-0000451A0000}"/>
    <cellStyle name="Cálculo 2 2 8" xfId="8486" xr:uid="{00000000-0005-0000-0000-0000461A0000}"/>
    <cellStyle name="Cálculo 2 2 8 2" xfId="8487" xr:uid="{00000000-0005-0000-0000-0000471A0000}"/>
    <cellStyle name="Cálculo 2 2 8 3" xfId="8488" xr:uid="{00000000-0005-0000-0000-0000481A0000}"/>
    <cellStyle name="Cálculo 2 2 8 4" xfId="8489" xr:uid="{00000000-0005-0000-0000-0000491A0000}"/>
    <cellStyle name="Cálculo 2 2 8 5" xfId="8490" xr:uid="{00000000-0005-0000-0000-00004A1A0000}"/>
    <cellStyle name="Cálculo 2 2 9" xfId="8491" xr:uid="{00000000-0005-0000-0000-00004B1A0000}"/>
    <cellStyle name="Cálculo 2 2 9 2" xfId="8492" xr:uid="{00000000-0005-0000-0000-00004C1A0000}"/>
    <cellStyle name="Cálculo 2 2 9 3" xfId="8493" xr:uid="{00000000-0005-0000-0000-00004D1A0000}"/>
    <cellStyle name="Cálculo 2 2 9 4" xfId="8494" xr:uid="{00000000-0005-0000-0000-00004E1A0000}"/>
    <cellStyle name="Cálculo 2 2 9 5" xfId="8495" xr:uid="{00000000-0005-0000-0000-00004F1A0000}"/>
    <cellStyle name="Cálculo 2 3" xfId="8496" xr:uid="{00000000-0005-0000-0000-0000501A0000}"/>
    <cellStyle name="Cálculo 2 3 10" xfId="8497" xr:uid="{00000000-0005-0000-0000-0000511A0000}"/>
    <cellStyle name="Cálculo 2 3 10 2" xfId="8498" xr:uid="{00000000-0005-0000-0000-0000521A0000}"/>
    <cellStyle name="Cálculo 2 3 10 3" xfId="8499" xr:uid="{00000000-0005-0000-0000-0000531A0000}"/>
    <cellStyle name="Cálculo 2 3 10 4" xfId="8500" xr:uid="{00000000-0005-0000-0000-0000541A0000}"/>
    <cellStyle name="Cálculo 2 3 10 5" xfId="8501" xr:uid="{00000000-0005-0000-0000-0000551A0000}"/>
    <cellStyle name="Cálculo 2 3 11" xfId="8502" xr:uid="{00000000-0005-0000-0000-0000561A0000}"/>
    <cellStyle name="Cálculo 2 3 11 2" xfId="8503" xr:uid="{00000000-0005-0000-0000-0000571A0000}"/>
    <cellStyle name="Cálculo 2 3 11 3" xfId="8504" xr:uid="{00000000-0005-0000-0000-0000581A0000}"/>
    <cellStyle name="Cálculo 2 3 11 4" xfId="8505" xr:uid="{00000000-0005-0000-0000-0000591A0000}"/>
    <cellStyle name="Cálculo 2 3 11 5" xfId="8506" xr:uid="{00000000-0005-0000-0000-00005A1A0000}"/>
    <cellStyle name="Cálculo 2 3 12" xfId="8507" xr:uid="{00000000-0005-0000-0000-00005B1A0000}"/>
    <cellStyle name="Cálculo 2 3 12 2" xfId="8508" xr:uid="{00000000-0005-0000-0000-00005C1A0000}"/>
    <cellStyle name="Cálculo 2 3 12 3" xfId="8509" xr:uid="{00000000-0005-0000-0000-00005D1A0000}"/>
    <cellStyle name="Cálculo 2 3 12 4" xfId="8510" xr:uid="{00000000-0005-0000-0000-00005E1A0000}"/>
    <cellStyle name="Cálculo 2 3 12 5" xfId="8511" xr:uid="{00000000-0005-0000-0000-00005F1A0000}"/>
    <cellStyle name="Cálculo 2 3 13" xfId="8512" xr:uid="{00000000-0005-0000-0000-0000601A0000}"/>
    <cellStyle name="Cálculo 2 3 14" xfId="8513" xr:uid="{00000000-0005-0000-0000-0000611A0000}"/>
    <cellStyle name="Cálculo 2 3 15" xfId="8514" xr:uid="{00000000-0005-0000-0000-0000621A0000}"/>
    <cellStyle name="Cálculo 2 3 16" xfId="8515" xr:uid="{00000000-0005-0000-0000-0000631A0000}"/>
    <cellStyle name="Cálculo 2 3 17" xfId="22906" xr:uid="{00000000-0005-0000-0000-0000641A0000}"/>
    <cellStyle name="Cálculo 2 3 2" xfId="8516" xr:uid="{00000000-0005-0000-0000-0000651A0000}"/>
    <cellStyle name="Cálculo 2 3 2 2" xfId="8517" xr:uid="{00000000-0005-0000-0000-0000661A0000}"/>
    <cellStyle name="Cálculo 2 3 2 3" xfId="8518" xr:uid="{00000000-0005-0000-0000-0000671A0000}"/>
    <cellStyle name="Cálculo 2 3 2 4" xfId="8519" xr:uid="{00000000-0005-0000-0000-0000681A0000}"/>
    <cellStyle name="Cálculo 2 3 2 5" xfId="8520" xr:uid="{00000000-0005-0000-0000-0000691A0000}"/>
    <cellStyle name="Cálculo 2 3 3" xfId="8521" xr:uid="{00000000-0005-0000-0000-00006A1A0000}"/>
    <cellStyle name="Cálculo 2 3 3 2" xfId="8522" xr:uid="{00000000-0005-0000-0000-00006B1A0000}"/>
    <cellStyle name="Cálculo 2 3 3 3" xfId="8523" xr:uid="{00000000-0005-0000-0000-00006C1A0000}"/>
    <cellStyle name="Cálculo 2 3 3 4" xfId="8524" xr:uid="{00000000-0005-0000-0000-00006D1A0000}"/>
    <cellStyle name="Cálculo 2 3 3 5" xfId="8525" xr:uid="{00000000-0005-0000-0000-00006E1A0000}"/>
    <cellStyle name="Cálculo 2 3 4" xfId="8526" xr:uid="{00000000-0005-0000-0000-00006F1A0000}"/>
    <cellStyle name="Cálculo 2 3 4 2" xfId="8527" xr:uid="{00000000-0005-0000-0000-0000701A0000}"/>
    <cellStyle name="Cálculo 2 3 4 3" xfId="8528" xr:uid="{00000000-0005-0000-0000-0000711A0000}"/>
    <cellStyle name="Cálculo 2 3 4 4" xfId="8529" xr:uid="{00000000-0005-0000-0000-0000721A0000}"/>
    <cellStyle name="Cálculo 2 3 4 5" xfId="8530" xr:uid="{00000000-0005-0000-0000-0000731A0000}"/>
    <cellStyle name="Cálculo 2 3 5" xfId="8531" xr:uid="{00000000-0005-0000-0000-0000741A0000}"/>
    <cellStyle name="Cálculo 2 3 5 2" xfId="8532" xr:uid="{00000000-0005-0000-0000-0000751A0000}"/>
    <cellStyle name="Cálculo 2 3 5 3" xfId="8533" xr:uid="{00000000-0005-0000-0000-0000761A0000}"/>
    <cellStyle name="Cálculo 2 3 5 4" xfId="8534" xr:uid="{00000000-0005-0000-0000-0000771A0000}"/>
    <cellStyle name="Cálculo 2 3 5 5" xfId="8535" xr:uid="{00000000-0005-0000-0000-0000781A0000}"/>
    <cellStyle name="Cálculo 2 3 6" xfId="8536" xr:uid="{00000000-0005-0000-0000-0000791A0000}"/>
    <cellStyle name="Cálculo 2 3 6 2" xfId="8537" xr:uid="{00000000-0005-0000-0000-00007A1A0000}"/>
    <cellStyle name="Cálculo 2 3 6 3" xfId="8538" xr:uid="{00000000-0005-0000-0000-00007B1A0000}"/>
    <cellStyle name="Cálculo 2 3 6 4" xfId="8539" xr:uid="{00000000-0005-0000-0000-00007C1A0000}"/>
    <cellStyle name="Cálculo 2 3 6 5" xfId="8540" xr:uid="{00000000-0005-0000-0000-00007D1A0000}"/>
    <cellStyle name="Cálculo 2 3 7" xfId="8541" xr:uid="{00000000-0005-0000-0000-00007E1A0000}"/>
    <cellStyle name="Cálculo 2 3 7 2" xfId="8542" xr:uid="{00000000-0005-0000-0000-00007F1A0000}"/>
    <cellStyle name="Cálculo 2 3 7 3" xfId="8543" xr:uid="{00000000-0005-0000-0000-0000801A0000}"/>
    <cellStyle name="Cálculo 2 3 7 4" xfId="8544" xr:uid="{00000000-0005-0000-0000-0000811A0000}"/>
    <cellStyle name="Cálculo 2 3 7 5" xfId="8545" xr:uid="{00000000-0005-0000-0000-0000821A0000}"/>
    <cellStyle name="Cálculo 2 3 8" xfId="8546" xr:uid="{00000000-0005-0000-0000-0000831A0000}"/>
    <cellStyle name="Cálculo 2 3 8 2" xfId="8547" xr:uid="{00000000-0005-0000-0000-0000841A0000}"/>
    <cellStyle name="Cálculo 2 3 8 3" xfId="8548" xr:uid="{00000000-0005-0000-0000-0000851A0000}"/>
    <cellStyle name="Cálculo 2 3 8 4" xfId="8549" xr:uid="{00000000-0005-0000-0000-0000861A0000}"/>
    <cellStyle name="Cálculo 2 3 8 5" xfId="8550" xr:uid="{00000000-0005-0000-0000-0000871A0000}"/>
    <cellStyle name="Cálculo 2 3 9" xfId="8551" xr:uid="{00000000-0005-0000-0000-0000881A0000}"/>
    <cellStyle name="Cálculo 2 3 9 2" xfId="8552" xr:uid="{00000000-0005-0000-0000-0000891A0000}"/>
    <cellStyle name="Cálculo 2 3 9 3" xfId="8553" xr:uid="{00000000-0005-0000-0000-00008A1A0000}"/>
    <cellStyle name="Cálculo 2 3 9 4" xfId="8554" xr:uid="{00000000-0005-0000-0000-00008B1A0000}"/>
    <cellStyle name="Cálculo 2 3 9 5" xfId="8555" xr:uid="{00000000-0005-0000-0000-00008C1A0000}"/>
    <cellStyle name="Cálculo 2 4" xfId="8556" xr:uid="{00000000-0005-0000-0000-00008D1A0000}"/>
    <cellStyle name="Cálculo 2 4 10" xfId="8557" xr:uid="{00000000-0005-0000-0000-00008E1A0000}"/>
    <cellStyle name="Cálculo 2 4 10 2" xfId="8558" xr:uid="{00000000-0005-0000-0000-00008F1A0000}"/>
    <cellStyle name="Cálculo 2 4 10 3" xfId="8559" xr:uid="{00000000-0005-0000-0000-0000901A0000}"/>
    <cellStyle name="Cálculo 2 4 10 4" xfId="8560" xr:uid="{00000000-0005-0000-0000-0000911A0000}"/>
    <cellStyle name="Cálculo 2 4 10 5" xfId="8561" xr:uid="{00000000-0005-0000-0000-0000921A0000}"/>
    <cellStyle name="Cálculo 2 4 11" xfId="8562" xr:uid="{00000000-0005-0000-0000-0000931A0000}"/>
    <cellStyle name="Cálculo 2 4 11 2" xfId="8563" xr:uid="{00000000-0005-0000-0000-0000941A0000}"/>
    <cellStyle name="Cálculo 2 4 11 3" xfId="8564" xr:uid="{00000000-0005-0000-0000-0000951A0000}"/>
    <cellStyle name="Cálculo 2 4 11 4" xfId="8565" xr:uid="{00000000-0005-0000-0000-0000961A0000}"/>
    <cellStyle name="Cálculo 2 4 11 5" xfId="8566" xr:uid="{00000000-0005-0000-0000-0000971A0000}"/>
    <cellStyle name="Cálculo 2 4 12" xfId="8567" xr:uid="{00000000-0005-0000-0000-0000981A0000}"/>
    <cellStyle name="Cálculo 2 4 13" xfId="8568" xr:uid="{00000000-0005-0000-0000-0000991A0000}"/>
    <cellStyle name="Cálculo 2 4 14" xfId="8569" xr:uid="{00000000-0005-0000-0000-00009A1A0000}"/>
    <cellStyle name="Cálculo 2 4 15" xfId="8570" xr:uid="{00000000-0005-0000-0000-00009B1A0000}"/>
    <cellStyle name="Cálculo 2 4 2" xfId="8571" xr:uid="{00000000-0005-0000-0000-00009C1A0000}"/>
    <cellStyle name="Cálculo 2 4 2 2" xfId="8572" xr:uid="{00000000-0005-0000-0000-00009D1A0000}"/>
    <cellStyle name="Cálculo 2 4 2 3" xfId="8573" xr:uid="{00000000-0005-0000-0000-00009E1A0000}"/>
    <cellStyle name="Cálculo 2 4 2 4" xfId="8574" xr:uid="{00000000-0005-0000-0000-00009F1A0000}"/>
    <cellStyle name="Cálculo 2 4 2 5" xfId="8575" xr:uid="{00000000-0005-0000-0000-0000A01A0000}"/>
    <cellStyle name="Cálculo 2 4 3" xfId="8576" xr:uid="{00000000-0005-0000-0000-0000A11A0000}"/>
    <cellStyle name="Cálculo 2 4 3 2" xfId="8577" xr:uid="{00000000-0005-0000-0000-0000A21A0000}"/>
    <cellStyle name="Cálculo 2 4 3 3" xfId="8578" xr:uid="{00000000-0005-0000-0000-0000A31A0000}"/>
    <cellStyle name="Cálculo 2 4 3 4" xfId="8579" xr:uid="{00000000-0005-0000-0000-0000A41A0000}"/>
    <cellStyle name="Cálculo 2 4 3 5" xfId="8580" xr:uid="{00000000-0005-0000-0000-0000A51A0000}"/>
    <cellStyle name="Cálculo 2 4 4" xfId="8581" xr:uid="{00000000-0005-0000-0000-0000A61A0000}"/>
    <cellStyle name="Cálculo 2 4 4 2" xfId="8582" xr:uid="{00000000-0005-0000-0000-0000A71A0000}"/>
    <cellStyle name="Cálculo 2 4 4 3" xfId="8583" xr:uid="{00000000-0005-0000-0000-0000A81A0000}"/>
    <cellStyle name="Cálculo 2 4 4 4" xfId="8584" xr:uid="{00000000-0005-0000-0000-0000A91A0000}"/>
    <cellStyle name="Cálculo 2 4 4 5" xfId="8585" xr:uid="{00000000-0005-0000-0000-0000AA1A0000}"/>
    <cellStyle name="Cálculo 2 4 5" xfId="8586" xr:uid="{00000000-0005-0000-0000-0000AB1A0000}"/>
    <cellStyle name="Cálculo 2 4 5 2" xfId="8587" xr:uid="{00000000-0005-0000-0000-0000AC1A0000}"/>
    <cellStyle name="Cálculo 2 4 5 3" xfId="8588" xr:uid="{00000000-0005-0000-0000-0000AD1A0000}"/>
    <cellStyle name="Cálculo 2 4 5 4" xfId="8589" xr:uid="{00000000-0005-0000-0000-0000AE1A0000}"/>
    <cellStyle name="Cálculo 2 4 5 5" xfId="8590" xr:uid="{00000000-0005-0000-0000-0000AF1A0000}"/>
    <cellStyle name="Cálculo 2 4 6" xfId="8591" xr:uid="{00000000-0005-0000-0000-0000B01A0000}"/>
    <cellStyle name="Cálculo 2 4 6 2" xfId="8592" xr:uid="{00000000-0005-0000-0000-0000B11A0000}"/>
    <cellStyle name="Cálculo 2 4 6 3" xfId="8593" xr:uid="{00000000-0005-0000-0000-0000B21A0000}"/>
    <cellStyle name="Cálculo 2 4 6 4" xfId="8594" xr:uid="{00000000-0005-0000-0000-0000B31A0000}"/>
    <cellStyle name="Cálculo 2 4 6 5" xfId="8595" xr:uid="{00000000-0005-0000-0000-0000B41A0000}"/>
    <cellStyle name="Cálculo 2 4 7" xfId="8596" xr:uid="{00000000-0005-0000-0000-0000B51A0000}"/>
    <cellStyle name="Cálculo 2 4 7 2" xfId="8597" xr:uid="{00000000-0005-0000-0000-0000B61A0000}"/>
    <cellStyle name="Cálculo 2 4 7 3" xfId="8598" xr:uid="{00000000-0005-0000-0000-0000B71A0000}"/>
    <cellStyle name="Cálculo 2 4 7 4" xfId="8599" xr:uid="{00000000-0005-0000-0000-0000B81A0000}"/>
    <cellStyle name="Cálculo 2 4 7 5" xfId="8600" xr:uid="{00000000-0005-0000-0000-0000B91A0000}"/>
    <cellStyle name="Cálculo 2 4 8" xfId="8601" xr:uid="{00000000-0005-0000-0000-0000BA1A0000}"/>
    <cellStyle name="Cálculo 2 4 8 2" xfId="8602" xr:uid="{00000000-0005-0000-0000-0000BB1A0000}"/>
    <cellStyle name="Cálculo 2 4 8 3" xfId="8603" xr:uid="{00000000-0005-0000-0000-0000BC1A0000}"/>
    <cellStyle name="Cálculo 2 4 8 4" xfId="8604" xr:uid="{00000000-0005-0000-0000-0000BD1A0000}"/>
    <cellStyle name="Cálculo 2 4 8 5" xfId="8605" xr:uid="{00000000-0005-0000-0000-0000BE1A0000}"/>
    <cellStyle name="Cálculo 2 4 9" xfId="8606" xr:uid="{00000000-0005-0000-0000-0000BF1A0000}"/>
    <cellStyle name="Cálculo 2 4 9 2" xfId="8607" xr:uid="{00000000-0005-0000-0000-0000C01A0000}"/>
    <cellStyle name="Cálculo 2 4 9 3" xfId="8608" xr:uid="{00000000-0005-0000-0000-0000C11A0000}"/>
    <cellStyle name="Cálculo 2 4 9 4" xfId="8609" xr:uid="{00000000-0005-0000-0000-0000C21A0000}"/>
    <cellStyle name="Cálculo 2 4 9 5" xfId="8610" xr:uid="{00000000-0005-0000-0000-0000C31A0000}"/>
    <cellStyle name="Cálculo 2 5" xfId="8611" xr:uid="{00000000-0005-0000-0000-0000C41A0000}"/>
    <cellStyle name="Cálculo 2 5 10" xfId="8612" xr:uid="{00000000-0005-0000-0000-0000C51A0000}"/>
    <cellStyle name="Cálculo 2 5 10 2" xfId="8613" xr:uid="{00000000-0005-0000-0000-0000C61A0000}"/>
    <cellStyle name="Cálculo 2 5 10 3" xfId="8614" xr:uid="{00000000-0005-0000-0000-0000C71A0000}"/>
    <cellStyle name="Cálculo 2 5 10 4" xfId="8615" xr:uid="{00000000-0005-0000-0000-0000C81A0000}"/>
    <cellStyle name="Cálculo 2 5 10 5" xfId="8616" xr:uid="{00000000-0005-0000-0000-0000C91A0000}"/>
    <cellStyle name="Cálculo 2 5 11" xfId="8617" xr:uid="{00000000-0005-0000-0000-0000CA1A0000}"/>
    <cellStyle name="Cálculo 2 5 11 2" xfId="8618" xr:uid="{00000000-0005-0000-0000-0000CB1A0000}"/>
    <cellStyle name="Cálculo 2 5 11 3" xfId="8619" xr:uid="{00000000-0005-0000-0000-0000CC1A0000}"/>
    <cellStyle name="Cálculo 2 5 11 4" xfId="8620" xr:uid="{00000000-0005-0000-0000-0000CD1A0000}"/>
    <cellStyle name="Cálculo 2 5 11 5" xfId="8621" xr:uid="{00000000-0005-0000-0000-0000CE1A0000}"/>
    <cellStyle name="Cálculo 2 5 12" xfId="8622" xr:uid="{00000000-0005-0000-0000-0000CF1A0000}"/>
    <cellStyle name="Cálculo 2 5 13" xfId="8623" xr:uid="{00000000-0005-0000-0000-0000D01A0000}"/>
    <cellStyle name="Cálculo 2 5 14" xfId="8624" xr:uid="{00000000-0005-0000-0000-0000D11A0000}"/>
    <cellStyle name="Cálculo 2 5 15" xfId="8625" xr:uid="{00000000-0005-0000-0000-0000D21A0000}"/>
    <cellStyle name="Cálculo 2 5 2" xfId="8626" xr:uid="{00000000-0005-0000-0000-0000D31A0000}"/>
    <cellStyle name="Cálculo 2 5 2 2" xfId="8627" xr:uid="{00000000-0005-0000-0000-0000D41A0000}"/>
    <cellStyle name="Cálculo 2 5 2 3" xfId="8628" xr:uid="{00000000-0005-0000-0000-0000D51A0000}"/>
    <cellStyle name="Cálculo 2 5 2 4" xfId="8629" xr:uid="{00000000-0005-0000-0000-0000D61A0000}"/>
    <cellStyle name="Cálculo 2 5 2 5" xfId="8630" xr:uid="{00000000-0005-0000-0000-0000D71A0000}"/>
    <cellStyle name="Cálculo 2 5 3" xfId="8631" xr:uid="{00000000-0005-0000-0000-0000D81A0000}"/>
    <cellStyle name="Cálculo 2 5 3 2" xfId="8632" xr:uid="{00000000-0005-0000-0000-0000D91A0000}"/>
    <cellStyle name="Cálculo 2 5 3 3" xfId="8633" xr:uid="{00000000-0005-0000-0000-0000DA1A0000}"/>
    <cellStyle name="Cálculo 2 5 3 4" xfId="8634" xr:uid="{00000000-0005-0000-0000-0000DB1A0000}"/>
    <cellStyle name="Cálculo 2 5 3 5" xfId="8635" xr:uid="{00000000-0005-0000-0000-0000DC1A0000}"/>
    <cellStyle name="Cálculo 2 5 4" xfId="8636" xr:uid="{00000000-0005-0000-0000-0000DD1A0000}"/>
    <cellStyle name="Cálculo 2 5 4 2" xfId="8637" xr:uid="{00000000-0005-0000-0000-0000DE1A0000}"/>
    <cellStyle name="Cálculo 2 5 4 3" xfId="8638" xr:uid="{00000000-0005-0000-0000-0000DF1A0000}"/>
    <cellStyle name="Cálculo 2 5 4 4" xfId="8639" xr:uid="{00000000-0005-0000-0000-0000E01A0000}"/>
    <cellStyle name="Cálculo 2 5 4 5" xfId="8640" xr:uid="{00000000-0005-0000-0000-0000E11A0000}"/>
    <cellStyle name="Cálculo 2 5 5" xfId="8641" xr:uid="{00000000-0005-0000-0000-0000E21A0000}"/>
    <cellStyle name="Cálculo 2 5 5 2" xfId="8642" xr:uid="{00000000-0005-0000-0000-0000E31A0000}"/>
    <cellStyle name="Cálculo 2 5 5 3" xfId="8643" xr:uid="{00000000-0005-0000-0000-0000E41A0000}"/>
    <cellStyle name="Cálculo 2 5 5 4" xfId="8644" xr:uid="{00000000-0005-0000-0000-0000E51A0000}"/>
    <cellStyle name="Cálculo 2 5 5 5" xfId="8645" xr:uid="{00000000-0005-0000-0000-0000E61A0000}"/>
    <cellStyle name="Cálculo 2 5 6" xfId="8646" xr:uid="{00000000-0005-0000-0000-0000E71A0000}"/>
    <cellStyle name="Cálculo 2 5 6 2" xfId="8647" xr:uid="{00000000-0005-0000-0000-0000E81A0000}"/>
    <cellStyle name="Cálculo 2 5 6 3" xfId="8648" xr:uid="{00000000-0005-0000-0000-0000E91A0000}"/>
    <cellStyle name="Cálculo 2 5 6 4" xfId="8649" xr:uid="{00000000-0005-0000-0000-0000EA1A0000}"/>
    <cellStyle name="Cálculo 2 5 6 5" xfId="8650" xr:uid="{00000000-0005-0000-0000-0000EB1A0000}"/>
    <cellStyle name="Cálculo 2 5 7" xfId="8651" xr:uid="{00000000-0005-0000-0000-0000EC1A0000}"/>
    <cellStyle name="Cálculo 2 5 7 2" xfId="8652" xr:uid="{00000000-0005-0000-0000-0000ED1A0000}"/>
    <cellStyle name="Cálculo 2 5 7 3" xfId="8653" xr:uid="{00000000-0005-0000-0000-0000EE1A0000}"/>
    <cellStyle name="Cálculo 2 5 7 4" xfId="8654" xr:uid="{00000000-0005-0000-0000-0000EF1A0000}"/>
    <cellStyle name="Cálculo 2 5 7 5" xfId="8655" xr:uid="{00000000-0005-0000-0000-0000F01A0000}"/>
    <cellStyle name="Cálculo 2 5 8" xfId="8656" xr:uid="{00000000-0005-0000-0000-0000F11A0000}"/>
    <cellStyle name="Cálculo 2 5 8 2" xfId="8657" xr:uid="{00000000-0005-0000-0000-0000F21A0000}"/>
    <cellStyle name="Cálculo 2 5 8 3" xfId="8658" xr:uid="{00000000-0005-0000-0000-0000F31A0000}"/>
    <cellStyle name="Cálculo 2 5 8 4" xfId="8659" xr:uid="{00000000-0005-0000-0000-0000F41A0000}"/>
    <cellStyle name="Cálculo 2 5 8 5" xfId="8660" xr:uid="{00000000-0005-0000-0000-0000F51A0000}"/>
    <cellStyle name="Cálculo 2 5 9" xfId="8661" xr:uid="{00000000-0005-0000-0000-0000F61A0000}"/>
    <cellStyle name="Cálculo 2 5 9 2" xfId="8662" xr:uid="{00000000-0005-0000-0000-0000F71A0000}"/>
    <cellStyle name="Cálculo 2 5 9 3" xfId="8663" xr:uid="{00000000-0005-0000-0000-0000F81A0000}"/>
    <cellStyle name="Cálculo 2 5 9 4" xfId="8664" xr:uid="{00000000-0005-0000-0000-0000F91A0000}"/>
    <cellStyle name="Cálculo 2 5 9 5" xfId="8665" xr:uid="{00000000-0005-0000-0000-0000FA1A0000}"/>
    <cellStyle name="Cálculo 2 6" xfId="8666" xr:uid="{00000000-0005-0000-0000-0000FB1A0000}"/>
    <cellStyle name="Cálculo 2 6 10" xfId="8667" xr:uid="{00000000-0005-0000-0000-0000FC1A0000}"/>
    <cellStyle name="Cálculo 2 6 10 2" xfId="8668" xr:uid="{00000000-0005-0000-0000-0000FD1A0000}"/>
    <cellStyle name="Cálculo 2 6 10 3" xfId="8669" xr:uid="{00000000-0005-0000-0000-0000FE1A0000}"/>
    <cellStyle name="Cálculo 2 6 10 4" xfId="8670" xr:uid="{00000000-0005-0000-0000-0000FF1A0000}"/>
    <cellStyle name="Cálculo 2 6 10 5" xfId="8671" xr:uid="{00000000-0005-0000-0000-0000001B0000}"/>
    <cellStyle name="Cálculo 2 6 11" xfId="8672" xr:uid="{00000000-0005-0000-0000-0000011B0000}"/>
    <cellStyle name="Cálculo 2 6 11 2" xfId="8673" xr:uid="{00000000-0005-0000-0000-0000021B0000}"/>
    <cellStyle name="Cálculo 2 6 11 3" xfId="8674" xr:uid="{00000000-0005-0000-0000-0000031B0000}"/>
    <cellStyle name="Cálculo 2 6 11 4" xfId="8675" xr:uid="{00000000-0005-0000-0000-0000041B0000}"/>
    <cellStyle name="Cálculo 2 6 11 5" xfId="8676" xr:uid="{00000000-0005-0000-0000-0000051B0000}"/>
    <cellStyle name="Cálculo 2 6 12" xfId="8677" xr:uid="{00000000-0005-0000-0000-0000061B0000}"/>
    <cellStyle name="Cálculo 2 6 13" xfId="8678" xr:uid="{00000000-0005-0000-0000-0000071B0000}"/>
    <cellStyle name="Cálculo 2 6 14" xfId="8679" xr:uid="{00000000-0005-0000-0000-0000081B0000}"/>
    <cellStyle name="Cálculo 2 6 15" xfId="8680" xr:uid="{00000000-0005-0000-0000-0000091B0000}"/>
    <cellStyle name="Cálculo 2 6 2" xfId="8681" xr:uid="{00000000-0005-0000-0000-00000A1B0000}"/>
    <cellStyle name="Cálculo 2 6 2 2" xfId="8682" xr:uid="{00000000-0005-0000-0000-00000B1B0000}"/>
    <cellStyle name="Cálculo 2 6 2 3" xfId="8683" xr:uid="{00000000-0005-0000-0000-00000C1B0000}"/>
    <cellStyle name="Cálculo 2 6 2 4" xfId="8684" xr:uid="{00000000-0005-0000-0000-00000D1B0000}"/>
    <cellStyle name="Cálculo 2 6 2 5" xfId="8685" xr:uid="{00000000-0005-0000-0000-00000E1B0000}"/>
    <cellStyle name="Cálculo 2 6 3" xfId="8686" xr:uid="{00000000-0005-0000-0000-00000F1B0000}"/>
    <cellStyle name="Cálculo 2 6 3 2" xfId="8687" xr:uid="{00000000-0005-0000-0000-0000101B0000}"/>
    <cellStyle name="Cálculo 2 6 3 3" xfId="8688" xr:uid="{00000000-0005-0000-0000-0000111B0000}"/>
    <cellStyle name="Cálculo 2 6 3 4" xfId="8689" xr:uid="{00000000-0005-0000-0000-0000121B0000}"/>
    <cellStyle name="Cálculo 2 6 3 5" xfId="8690" xr:uid="{00000000-0005-0000-0000-0000131B0000}"/>
    <cellStyle name="Cálculo 2 6 4" xfId="8691" xr:uid="{00000000-0005-0000-0000-0000141B0000}"/>
    <cellStyle name="Cálculo 2 6 4 2" xfId="8692" xr:uid="{00000000-0005-0000-0000-0000151B0000}"/>
    <cellStyle name="Cálculo 2 6 4 3" xfId="8693" xr:uid="{00000000-0005-0000-0000-0000161B0000}"/>
    <cellStyle name="Cálculo 2 6 4 4" xfId="8694" xr:uid="{00000000-0005-0000-0000-0000171B0000}"/>
    <cellStyle name="Cálculo 2 6 4 5" xfId="8695" xr:uid="{00000000-0005-0000-0000-0000181B0000}"/>
    <cellStyle name="Cálculo 2 6 5" xfId="8696" xr:uid="{00000000-0005-0000-0000-0000191B0000}"/>
    <cellStyle name="Cálculo 2 6 5 2" xfId="8697" xr:uid="{00000000-0005-0000-0000-00001A1B0000}"/>
    <cellStyle name="Cálculo 2 6 5 3" xfId="8698" xr:uid="{00000000-0005-0000-0000-00001B1B0000}"/>
    <cellStyle name="Cálculo 2 6 5 4" xfId="8699" xr:uid="{00000000-0005-0000-0000-00001C1B0000}"/>
    <cellStyle name="Cálculo 2 6 5 5" xfId="8700" xr:uid="{00000000-0005-0000-0000-00001D1B0000}"/>
    <cellStyle name="Cálculo 2 6 6" xfId="8701" xr:uid="{00000000-0005-0000-0000-00001E1B0000}"/>
    <cellStyle name="Cálculo 2 6 6 2" xfId="8702" xr:uid="{00000000-0005-0000-0000-00001F1B0000}"/>
    <cellStyle name="Cálculo 2 6 6 3" xfId="8703" xr:uid="{00000000-0005-0000-0000-0000201B0000}"/>
    <cellStyle name="Cálculo 2 6 6 4" xfId="8704" xr:uid="{00000000-0005-0000-0000-0000211B0000}"/>
    <cellStyle name="Cálculo 2 6 6 5" xfId="8705" xr:uid="{00000000-0005-0000-0000-0000221B0000}"/>
    <cellStyle name="Cálculo 2 6 7" xfId="8706" xr:uid="{00000000-0005-0000-0000-0000231B0000}"/>
    <cellStyle name="Cálculo 2 6 7 2" xfId="8707" xr:uid="{00000000-0005-0000-0000-0000241B0000}"/>
    <cellStyle name="Cálculo 2 6 7 3" xfId="8708" xr:uid="{00000000-0005-0000-0000-0000251B0000}"/>
    <cellStyle name="Cálculo 2 6 7 4" xfId="8709" xr:uid="{00000000-0005-0000-0000-0000261B0000}"/>
    <cellStyle name="Cálculo 2 6 7 5" xfId="8710" xr:uid="{00000000-0005-0000-0000-0000271B0000}"/>
    <cellStyle name="Cálculo 2 6 8" xfId="8711" xr:uid="{00000000-0005-0000-0000-0000281B0000}"/>
    <cellStyle name="Cálculo 2 6 8 2" xfId="8712" xr:uid="{00000000-0005-0000-0000-0000291B0000}"/>
    <cellStyle name="Cálculo 2 6 8 3" xfId="8713" xr:uid="{00000000-0005-0000-0000-00002A1B0000}"/>
    <cellStyle name="Cálculo 2 6 8 4" xfId="8714" xr:uid="{00000000-0005-0000-0000-00002B1B0000}"/>
    <cellStyle name="Cálculo 2 6 8 5" xfId="8715" xr:uid="{00000000-0005-0000-0000-00002C1B0000}"/>
    <cellStyle name="Cálculo 2 6 9" xfId="8716" xr:uid="{00000000-0005-0000-0000-00002D1B0000}"/>
    <cellStyle name="Cálculo 2 6 9 2" xfId="8717" xr:uid="{00000000-0005-0000-0000-00002E1B0000}"/>
    <cellStyle name="Cálculo 2 6 9 3" xfId="8718" xr:uid="{00000000-0005-0000-0000-00002F1B0000}"/>
    <cellStyle name="Cálculo 2 6 9 4" xfId="8719" xr:uid="{00000000-0005-0000-0000-0000301B0000}"/>
    <cellStyle name="Cálculo 2 6 9 5" xfId="8720" xr:uid="{00000000-0005-0000-0000-0000311B0000}"/>
    <cellStyle name="Cálculo 2 7" xfId="8721" xr:uid="{00000000-0005-0000-0000-0000321B0000}"/>
    <cellStyle name="Cálculo 2 7 10" xfId="8722" xr:uid="{00000000-0005-0000-0000-0000331B0000}"/>
    <cellStyle name="Cálculo 2 7 10 2" xfId="8723" xr:uid="{00000000-0005-0000-0000-0000341B0000}"/>
    <cellStyle name="Cálculo 2 7 10 3" xfId="8724" xr:uid="{00000000-0005-0000-0000-0000351B0000}"/>
    <cellStyle name="Cálculo 2 7 10 4" xfId="8725" xr:uid="{00000000-0005-0000-0000-0000361B0000}"/>
    <cellStyle name="Cálculo 2 7 10 5" xfId="8726" xr:uid="{00000000-0005-0000-0000-0000371B0000}"/>
    <cellStyle name="Cálculo 2 7 11" xfId="8727" xr:uid="{00000000-0005-0000-0000-0000381B0000}"/>
    <cellStyle name="Cálculo 2 7 11 2" xfId="8728" xr:uid="{00000000-0005-0000-0000-0000391B0000}"/>
    <cellStyle name="Cálculo 2 7 11 3" xfId="8729" xr:uid="{00000000-0005-0000-0000-00003A1B0000}"/>
    <cellStyle name="Cálculo 2 7 11 4" xfId="8730" xr:uid="{00000000-0005-0000-0000-00003B1B0000}"/>
    <cellStyle name="Cálculo 2 7 11 5" xfId="8731" xr:uid="{00000000-0005-0000-0000-00003C1B0000}"/>
    <cellStyle name="Cálculo 2 7 12" xfId="8732" xr:uid="{00000000-0005-0000-0000-00003D1B0000}"/>
    <cellStyle name="Cálculo 2 7 13" xfId="8733" xr:uid="{00000000-0005-0000-0000-00003E1B0000}"/>
    <cellStyle name="Cálculo 2 7 14" xfId="8734" xr:uid="{00000000-0005-0000-0000-00003F1B0000}"/>
    <cellStyle name="Cálculo 2 7 15" xfId="8735" xr:uid="{00000000-0005-0000-0000-0000401B0000}"/>
    <cellStyle name="Cálculo 2 7 2" xfId="8736" xr:uid="{00000000-0005-0000-0000-0000411B0000}"/>
    <cellStyle name="Cálculo 2 7 2 2" xfId="8737" xr:uid="{00000000-0005-0000-0000-0000421B0000}"/>
    <cellStyle name="Cálculo 2 7 2 3" xfId="8738" xr:uid="{00000000-0005-0000-0000-0000431B0000}"/>
    <cellStyle name="Cálculo 2 7 2 4" xfId="8739" xr:uid="{00000000-0005-0000-0000-0000441B0000}"/>
    <cellStyle name="Cálculo 2 7 2 5" xfId="8740" xr:uid="{00000000-0005-0000-0000-0000451B0000}"/>
    <cellStyle name="Cálculo 2 7 3" xfId="8741" xr:uid="{00000000-0005-0000-0000-0000461B0000}"/>
    <cellStyle name="Cálculo 2 7 3 2" xfId="8742" xr:uid="{00000000-0005-0000-0000-0000471B0000}"/>
    <cellStyle name="Cálculo 2 7 3 3" xfId="8743" xr:uid="{00000000-0005-0000-0000-0000481B0000}"/>
    <cellStyle name="Cálculo 2 7 3 4" xfId="8744" xr:uid="{00000000-0005-0000-0000-0000491B0000}"/>
    <cellStyle name="Cálculo 2 7 3 5" xfId="8745" xr:uid="{00000000-0005-0000-0000-00004A1B0000}"/>
    <cellStyle name="Cálculo 2 7 4" xfId="8746" xr:uid="{00000000-0005-0000-0000-00004B1B0000}"/>
    <cellStyle name="Cálculo 2 7 4 2" xfId="8747" xr:uid="{00000000-0005-0000-0000-00004C1B0000}"/>
    <cellStyle name="Cálculo 2 7 4 3" xfId="8748" xr:uid="{00000000-0005-0000-0000-00004D1B0000}"/>
    <cellStyle name="Cálculo 2 7 4 4" xfId="8749" xr:uid="{00000000-0005-0000-0000-00004E1B0000}"/>
    <cellStyle name="Cálculo 2 7 4 5" xfId="8750" xr:uid="{00000000-0005-0000-0000-00004F1B0000}"/>
    <cellStyle name="Cálculo 2 7 5" xfId="8751" xr:uid="{00000000-0005-0000-0000-0000501B0000}"/>
    <cellStyle name="Cálculo 2 7 5 2" xfId="8752" xr:uid="{00000000-0005-0000-0000-0000511B0000}"/>
    <cellStyle name="Cálculo 2 7 5 3" xfId="8753" xr:uid="{00000000-0005-0000-0000-0000521B0000}"/>
    <cellStyle name="Cálculo 2 7 5 4" xfId="8754" xr:uid="{00000000-0005-0000-0000-0000531B0000}"/>
    <cellStyle name="Cálculo 2 7 5 5" xfId="8755" xr:uid="{00000000-0005-0000-0000-0000541B0000}"/>
    <cellStyle name="Cálculo 2 7 6" xfId="8756" xr:uid="{00000000-0005-0000-0000-0000551B0000}"/>
    <cellStyle name="Cálculo 2 7 6 2" xfId="8757" xr:uid="{00000000-0005-0000-0000-0000561B0000}"/>
    <cellStyle name="Cálculo 2 7 6 3" xfId="8758" xr:uid="{00000000-0005-0000-0000-0000571B0000}"/>
    <cellStyle name="Cálculo 2 7 6 4" xfId="8759" xr:uid="{00000000-0005-0000-0000-0000581B0000}"/>
    <cellStyle name="Cálculo 2 7 6 5" xfId="8760" xr:uid="{00000000-0005-0000-0000-0000591B0000}"/>
    <cellStyle name="Cálculo 2 7 7" xfId="8761" xr:uid="{00000000-0005-0000-0000-00005A1B0000}"/>
    <cellStyle name="Cálculo 2 7 7 2" xfId="8762" xr:uid="{00000000-0005-0000-0000-00005B1B0000}"/>
    <cellStyle name="Cálculo 2 7 7 3" xfId="8763" xr:uid="{00000000-0005-0000-0000-00005C1B0000}"/>
    <cellStyle name="Cálculo 2 7 7 4" xfId="8764" xr:uid="{00000000-0005-0000-0000-00005D1B0000}"/>
    <cellStyle name="Cálculo 2 7 7 5" xfId="8765" xr:uid="{00000000-0005-0000-0000-00005E1B0000}"/>
    <cellStyle name="Cálculo 2 7 8" xfId="8766" xr:uid="{00000000-0005-0000-0000-00005F1B0000}"/>
    <cellStyle name="Cálculo 2 7 8 2" xfId="8767" xr:uid="{00000000-0005-0000-0000-0000601B0000}"/>
    <cellStyle name="Cálculo 2 7 8 3" xfId="8768" xr:uid="{00000000-0005-0000-0000-0000611B0000}"/>
    <cellStyle name="Cálculo 2 7 8 4" xfId="8769" xr:uid="{00000000-0005-0000-0000-0000621B0000}"/>
    <cellStyle name="Cálculo 2 7 8 5" xfId="8770" xr:uid="{00000000-0005-0000-0000-0000631B0000}"/>
    <cellStyle name="Cálculo 2 7 9" xfId="8771" xr:uid="{00000000-0005-0000-0000-0000641B0000}"/>
    <cellStyle name="Cálculo 2 7 9 2" xfId="8772" xr:uid="{00000000-0005-0000-0000-0000651B0000}"/>
    <cellStyle name="Cálculo 2 7 9 3" xfId="8773" xr:uid="{00000000-0005-0000-0000-0000661B0000}"/>
    <cellStyle name="Cálculo 2 7 9 4" xfId="8774" xr:uid="{00000000-0005-0000-0000-0000671B0000}"/>
    <cellStyle name="Cálculo 2 7 9 5" xfId="8775" xr:uid="{00000000-0005-0000-0000-0000681B0000}"/>
    <cellStyle name="Cálculo 2 8" xfId="8776" xr:uid="{00000000-0005-0000-0000-0000691B0000}"/>
    <cellStyle name="Cálculo 2 8 2" xfId="8777" xr:uid="{00000000-0005-0000-0000-00006A1B0000}"/>
    <cellStyle name="Cálculo 2 8 3" xfId="8778" xr:uid="{00000000-0005-0000-0000-00006B1B0000}"/>
    <cellStyle name="Cálculo 2 8 4" xfId="8779" xr:uid="{00000000-0005-0000-0000-00006C1B0000}"/>
    <cellStyle name="Cálculo 2 8 5" xfId="8780" xr:uid="{00000000-0005-0000-0000-00006D1B0000}"/>
    <cellStyle name="Cálculo 2 9" xfId="8781" xr:uid="{00000000-0005-0000-0000-00006E1B0000}"/>
    <cellStyle name="Cálculo 2 9 2" xfId="8782" xr:uid="{00000000-0005-0000-0000-00006F1B0000}"/>
    <cellStyle name="Cálculo 2 9 3" xfId="8783" xr:uid="{00000000-0005-0000-0000-0000701B0000}"/>
    <cellStyle name="Cálculo 2 9 4" xfId="8784" xr:uid="{00000000-0005-0000-0000-0000711B0000}"/>
    <cellStyle name="Cálculo 2 9 5" xfId="8785" xr:uid="{00000000-0005-0000-0000-0000721B0000}"/>
    <cellStyle name="Cálculo 3" xfId="535" xr:uid="{00000000-0005-0000-0000-0000731B0000}"/>
    <cellStyle name="Cálculo 3 10" xfId="8786" xr:uid="{00000000-0005-0000-0000-0000741B0000}"/>
    <cellStyle name="Cálculo 3 10 2" xfId="8787" xr:uid="{00000000-0005-0000-0000-0000751B0000}"/>
    <cellStyle name="Cálculo 3 10 3" xfId="8788" xr:uid="{00000000-0005-0000-0000-0000761B0000}"/>
    <cellStyle name="Cálculo 3 10 4" xfId="8789" xr:uid="{00000000-0005-0000-0000-0000771B0000}"/>
    <cellStyle name="Cálculo 3 10 5" xfId="8790" xr:uid="{00000000-0005-0000-0000-0000781B0000}"/>
    <cellStyle name="Cálculo 3 11" xfId="8791" xr:uid="{00000000-0005-0000-0000-0000791B0000}"/>
    <cellStyle name="Cálculo 3 11 2" xfId="8792" xr:uid="{00000000-0005-0000-0000-00007A1B0000}"/>
    <cellStyle name="Cálculo 3 11 3" xfId="8793" xr:uid="{00000000-0005-0000-0000-00007B1B0000}"/>
    <cellStyle name="Cálculo 3 11 4" xfId="8794" xr:uid="{00000000-0005-0000-0000-00007C1B0000}"/>
    <cellStyle name="Cálculo 3 11 5" xfId="8795" xr:uid="{00000000-0005-0000-0000-00007D1B0000}"/>
    <cellStyle name="Cálculo 3 12" xfId="8796" xr:uid="{00000000-0005-0000-0000-00007E1B0000}"/>
    <cellStyle name="Cálculo 3 12 2" xfId="8797" xr:uid="{00000000-0005-0000-0000-00007F1B0000}"/>
    <cellStyle name="Cálculo 3 12 3" xfId="8798" xr:uid="{00000000-0005-0000-0000-0000801B0000}"/>
    <cellStyle name="Cálculo 3 12 4" xfId="8799" xr:uid="{00000000-0005-0000-0000-0000811B0000}"/>
    <cellStyle name="Cálculo 3 12 5" xfId="8800" xr:uid="{00000000-0005-0000-0000-0000821B0000}"/>
    <cellStyle name="Cálculo 3 2" xfId="1945" xr:uid="{00000000-0005-0000-0000-0000831B0000}"/>
    <cellStyle name="Cálculo 3 2 10" xfId="8801" xr:uid="{00000000-0005-0000-0000-0000841B0000}"/>
    <cellStyle name="Cálculo 3 2 10 2" xfId="8802" xr:uid="{00000000-0005-0000-0000-0000851B0000}"/>
    <cellStyle name="Cálculo 3 2 10 3" xfId="8803" xr:uid="{00000000-0005-0000-0000-0000861B0000}"/>
    <cellStyle name="Cálculo 3 2 10 4" xfId="8804" xr:uid="{00000000-0005-0000-0000-0000871B0000}"/>
    <cellStyle name="Cálculo 3 2 10 5" xfId="8805" xr:uid="{00000000-0005-0000-0000-0000881B0000}"/>
    <cellStyle name="Cálculo 3 2 11" xfId="8806" xr:uid="{00000000-0005-0000-0000-0000891B0000}"/>
    <cellStyle name="Cálculo 3 2 11 2" xfId="8807" xr:uid="{00000000-0005-0000-0000-00008A1B0000}"/>
    <cellStyle name="Cálculo 3 2 11 3" xfId="8808" xr:uid="{00000000-0005-0000-0000-00008B1B0000}"/>
    <cellStyle name="Cálculo 3 2 11 4" xfId="8809" xr:uid="{00000000-0005-0000-0000-00008C1B0000}"/>
    <cellStyle name="Cálculo 3 2 11 5" xfId="8810" xr:uid="{00000000-0005-0000-0000-00008D1B0000}"/>
    <cellStyle name="Cálculo 3 2 12" xfId="8811" xr:uid="{00000000-0005-0000-0000-00008E1B0000}"/>
    <cellStyle name="Cálculo 3 2 12 2" xfId="8812" xr:uid="{00000000-0005-0000-0000-00008F1B0000}"/>
    <cellStyle name="Cálculo 3 2 12 3" xfId="8813" xr:uid="{00000000-0005-0000-0000-0000901B0000}"/>
    <cellStyle name="Cálculo 3 2 12 4" xfId="8814" xr:uid="{00000000-0005-0000-0000-0000911B0000}"/>
    <cellStyle name="Cálculo 3 2 12 5" xfId="8815" xr:uid="{00000000-0005-0000-0000-0000921B0000}"/>
    <cellStyle name="Cálculo 3 2 13" xfId="8816" xr:uid="{00000000-0005-0000-0000-0000931B0000}"/>
    <cellStyle name="Cálculo 3 2 13 2" xfId="8817" xr:uid="{00000000-0005-0000-0000-0000941B0000}"/>
    <cellStyle name="Cálculo 3 2 13 3" xfId="8818" xr:uid="{00000000-0005-0000-0000-0000951B0000}"/>
    <cellStyle name="Cálculo 3 2 13 4" xfId="8819" xr:uid="{00000000-0005-0000-0000-0000961B0000}"/>
    <cellStyle name="Cálculo 3 2 13 5" xfId="8820" xr:uid="{00000000-0005-0000-0000-0000971B0000}"/>
    <cellStyle name="Cálculo 3 2 2" xfId="8821" xr:uid="{00000000-0005-0000-0000-0000981B0000}"/>
    <cellStyle name="Cálculo 3 2 2 2" xfId="8822" xr:uid="{00000000-0005-0000-0000-0000991B0000}"/>
    <cellStyle name="Cálculo 3 2 2 3" xfId="8823" xr:uid="{00000000-0005-0000-0000-00009A1B0000}"/>
    <cellStyle name="Cálculo 3 2 2 4" xfId="8824" xr:uid="{00000000-0005-0000-0000-00009B1B0000}"/>
    <cellStyle name="Cálculo 3 2 2 5" xfId="8825" xr:uid="{00000000-0005-0000-0000-00009C1B0000}"/>
    <cellStyle name="Cálculo 3 2 2 6" xfId="23484" xr:uid="{00000000-0005-0000-0000-00009D1B0000}"/>
    <cellStyle name="Cálculo 3 2 3" xfId="8826" xr:uid="{00000000-0005-0000-0000-00009E1B0000}"/>
    <cellStyle name="Cálculo 3 2 3 2" xfId="8827" xr:uid="{00000000-0005-0000-0000-00009F1B0000}"/>
    <cellStyle name="Cálculo 3 2 3 3" xfId="8828" xr:uid="{00000000-0005-0000-0000-0000A01B0000}"/>
    <cellStyle name="Cálculo 3 2 3 4" xfId="8829" xr:uid="{00000000-0005-0000-0000-0000A11B0000}"/>
    <cellStyle name="Cálculo 3 2 3 5" xfId="8830" xr:uid="{00000000-0005-0000-0000-0000A21B0000}"/>
    <cellStyle name="Cálculo 3 2 3 6" xfId="23485" xr:uid="{00000000-0005-0000-0000-0000A31B0000}"/>
    <cellStyle name="Cálculo 3 2 4" xfId="8831" xr:uid="{00000000-0005-0000-0000-0000A41B0000}"/>
    <cellStyle name="Cálculo 3 2 4 2" xfId="8832" xr:uid="{00000000-0005-0000-0000-0000A51B0000}"/>
    <cellStyle name="Cálculo 3 2 4 3" xfId="8833" xr:uid="{00000000-0005-0000-0000-0000A61B0000}"/>
    <cellStyle name="Cálculo 3 2 4 4" xfId="8834" xr:uid="{00000000-0005-0000-0000-0000A71B0000}"/>
    <cellStyle name="Cálculo 3 2 4 5" xfId="8835" xr:uid="{00000000-0005-0000-0000-0000A81B0000}"/>
    <cellStyle name="Cálculo 3 2 5" xfId="8836" xr:uid="{00000000-0005-0000-0000-0000A91B0000}"/>
    <cellStyle name="Cálculo 3 2 5 2" xfId="8837" xr:uid="{00000000-0005-0000-0000-0000AA1B0000}"/>
    <cellStyle name="Cálculo 3 2 5 3" xfId="8838" xr:uid="{00000000-0005-0000-0000-0000AB1B0000}"/>
    <cellStyle name="Cálculo 3 2 5 4" xfId="8839" xr:uid="{00000000-0005-0000-0000-0000AC1B0000}"/>
    <cellStyle name="Cálculo 3 2 5 5" xfId="8840" xr:uid="{00000000-0005-0000-0000-0000AD1B0000}"/>
    <cellStyle name="Cálculo 3 2 6" xfId="8841" xr:uid="{00000000-0005-0000-0000-0000AE1B0000}"/>
    <cellStyle name="Cálculo 3 2 6 2" xfId="8842" xr:uid="{00000000-0005-0000-0000-0000AF1B0000}"/>
    <cellStyle name="Cálculo 3 2 6 3" xfId="8843" xr:uid="{00000000-0005-0000-0000-0000B01B0000}"/>
    <cellStyle name="Cálculo 3 2 6 4" xfId="8844" xr:uid="{00000000-0005-0000-0000-0000B11B0000}"/>
    <cellStyle name="Cálculo 3 2 6 5" xfId="8845" xr:uid="{00000000-0005-0000-0000-0000B21B0000}"/>
    <cellStyle name="Cálculo 3 2 7" xfId="8846" xr:uid="{00000000-0005-0000-0000-0000B31B0000}"/>
    <cellStyle name="Cálculo 3 2 7 2" xfId="8847" xr:uid="{00000000-0005-0000-0000-0000B41B0000}"/>
    <cellStyle name="Cálculo 3 2 7 3" xfId="8848" xr:uid="{00000000-0005-0000-0000-0000B51B0000}"/>
    <cellStyle name="Cálculo 3 2 7 4" xfId="8849" xr:uid="{00000000-0005-0000-0000-0000B61B0000}"/>
    <cellStyle name="Cálculo 3 2 7 5" xfId="8850" xr:uid="{00000000-0005-0000-0000-0000B71B0000}"/>
    <cellStyle name="Cálculo 3 2 8" xfId="8851" xr:uid="{00000000-0005-0000-0000-0000B81B0000}"/>
    <cellStyle name="Cálculo 3 2 8 2" xfId="8852" xr:uid="{00000000-0005-0000-0000-0000B91B0000}"/>
    <cellStyle name="Cálculo 3 2 8 3" xfId="8853" xr:uid="{00000000-0005-0000-0000-0000BA1B0000}"/>
    <cellStyle name="Cálculo 3 2 8 4" xfId="8854" xr:uid="{00000000-0005-0000-0000-0000BB1B0000}"/>
    <cellStyle name="Cálculo 3 2 8 5" xfId="8855" xr:uid="{00000000-0005-0000-0000-0000BC1B0000}"/>
    <cellStyle name="Cálculo 3 2 9" xfId="8856" xr:uid="{00000000-0005-0000-0000-0000BD1B0000}"/>
    <cellStyle name="Cálculo 3 2 9 2" xfId="8857" xr:uid="{00000000-0005-0000-0000-0000BE1B0000}"/>
    <cellStyle name="Cálculo 3 2 9 3" xfId="8858" xr:uid="{00000000-0005-0000-0000-0000BF1B0000}"/>
    <cellStyle name="Cálculo 3 2 9 4" xfId="8859" xr:uid="{00000000-0005-0000-0000-0000C01B0000}"/>
    <cellStyle name="Cálculo 3 2 9 5" xfId="8860" xr:uid="{00000000-0005-0000-0000-0000C11B0000}"/>
    <cellStyle name="Cálculo 3 3" xfId="1946" xr:uid="{00000000-0005-0000-0000-0000C21B0000}"/>
    <cellStyle name="Cálculo 3 3 10" xfId="8861" xr:uid="{00000000-0005-0000-0000-0000C31B0000}"/>
    <cellStyle name="Cálculo 3 3 10 2" xfId="8862" xr:uid="{00000000-0005-0000-0000-0000C41B0000}"/>
    <cellStyle name="Cálculo 3 3 10 3" xfId="8863" xr:uid="{00000000-0005-0000-0000-0000C51B0000}"/>
    <cellStyle name="Cálculo 3 3 10 4" xfId="8864" xr:uid="{00000000-0005-0000-0000-0000C61B0000}"/>
    <cellStyle name="Cálculo 3 3 10 5" xfId="8865" xr:uid="{00000000-0005-0000-0000-0000C71B0000}"/>
    <cellStyle name="Cálculo 3 3 11" xfId="8866" xr:uid="{00000000-0005-0000-0000-0000C81B0000}"/>
    <cellStyle name="Cálculo 3 3 11 2" xfId="8867" xr:uid="{00000000-0005-0000-0000-0000C91B0000}"/>
    <cellStyle name="Cálculo 3 3 11 3" xfId="8868" xr:uid="{00000000-0005-0000-0000-0000CA1B0000}"/>
    <cellStyle name="Cálculo 3 3 11 4" xfId="8869" xr:uid="{00000000-0005-0000-0000-0000CB1B0000}"/>
    <cellStyle name="Cálculo 3 3 11 5" xfId="8870" xr:uid="{00000000-0005-0000-0000-0000CC1B0000}"/>
    <cellStyle name="Cálculo 3 3 12" xfId="8871" xr:uid="{00000000-0005-0000-0000-0000CD1B0000}"/>
    <cellStyle name="Cálculo 3 3 12 2" xfId="8872" xr:uid="{00000000-0005-0000-0000-0000CE1B0000}"/>
    <cellStyle name="Cálculo 3 3 12 3" xfId="8873" xr:uid="{00000000-0005-0000-0000-0000CF1B0000}"/>
    <cellStyle name="Cálculo 3 3 12 4" xfId="8874" xr:uid="{00000000-0005-0000-0000-0000D01B0000}"/>
    <cellStyle name="Cálculo 3 3 12 5" xfId="8875" xr:uid="{00000000-0005-0000-0000-0000D11B0000}"/>
    <cellStyle name="Cálculo 3 3 13" xfId="8876" xr:uid="{00000000-0005-0000-0000-0000D21B0000}"/>
    <cellStyle name="Cálculo 3 3 14" xfId="8877" xr:uid="{00000000-0005-0000-0000-0000D31B0000}"/>
    <cellStyle name="Cálculo 3 3 15" xfId="8878" xr:uid="{00000000-0005-0000-0000-0000D41B0000}"/>
    <cellStyle name="Cálculo 3 3 16" xfId="8879" xr:uid="{00000000-0005-0000-0000-0000D51B0000}"/>
    <cellStyle name="Cálculo 3 3 2" xfId="8880" xr:uid="{00000000-0005-0000-0000-0000D61B0000}"/>
    <cellStyle name="Cálculo 3 3 2 2" xfId="8881" xr:uid="{00000000-0005-0000-0000-0000D71B0000}"/>
    <cellStyle name="Cálculo 3 3 2 3" xfId="8882" xr:uid="{00000000-0005-0000-0000-0000D81B0000}"/>
    <cellStyle name="Cálculo 3 3 2 4" xfId="8883" xr:uid="{00000000-0005-0000-0000-0000D91B0000}"/>
    <cellStyle name="Cálculo 3 3 2 5" xfId="8884" xr:uid="{00000000-0005-0000-0000-0000DA1B0000}"/>
    <cellStyle name="Cálculo 3 3 2 6" xfId="23486" xr:uid="{00000000-0005-0000-0000-0000DB1B0000}"/>
    <cellStyle name="Cálculo 3 3 3" xfId="8885" xr:uid="{00000000-0005-0000-0000-0000DC1B0000}"/>
    <cellStyle name="Cálculo 3 3 3 2" xfId="8886" xr:uid="{00000000-0005-0000-0000-0000DD1B0000}"/>
    <cellStyle name="Cálculo 3 3 3 3" xfId="8887" xr:uid="{00000000-0005-0000-0000-0000DE1B0000}"/>
    <cellStyle name="Cálculo 3 3 3 4" xfId="8888" xr:uid="{00000000-0005-0000-0000-0000DF1B0000}"/>
    <cellStyle name="Cálculo 3 3 3 5" xfId="8889" xr:uid="{00000000-0005-0000-0000-0000E01B0000}"/>
    <cellStyle name="Cálculo 3 3 3 6" xfId="23487" xr:uid="{00000000-0005-0000-0000-0000E11B0000}"/>
    <cellStyle name="Cálculo 3 3 4" xfId="8890" xr:uid="{00000000-0005-0000-0000-0000E21B0000}"/>
    <cellStyle name="Cálculo 3 3 4 2" xfId="8891" xr:uid="{00000000-0005-0000-0000-0000E31B0000}"/>
    <cellStyle name="Cálculo 3 3 4 3" xfId="8892" xr:uid="{00000000-0005-0000-0000-0000E41B0000}"/>
    <cellStyle name="Cálculo 3 3 4 4" xfId="8893" xr:uid="{00000000-0005-0000-0000-0000E51B0000}"/>
    <cellStyle name="Cálculo 3 3 4 5" xfId="8894" xr:uid="{00000000-0005-0000-0000-0000E61B0000}"/>
    <cellStyle name="Cálculo 3 3 5" xfId="8895" xr:uid="{00000000-0005-0000-0000-0000E71B0000}"/>
    <cellStyle name="Cálculo 3 3 5 2" xfId="8896" xr:uid="{00000000-0005-0000-0000-0000E81B0000}"/>
    <cellStyle name="Cálculo 3 3 5 3" xfId="8897" xr:uid="{00000000-0005-0000-0000-0000E91B0000}"/>
    <cellStyle name="Cálculo 3 3 5 4" xfId="8898" xr:uid="{00000000-0005-0000-0000-0000EA1B0000}"/>
    <cellStyle name="Cálculo 3 3 5 5" xfId="8899" xr:uid="{00000000-0005-0000-0000-0000EB1B0000}"/>
    <cellStyle name="Cálculo 3 3 6" xfId="8900" xr:uid="{00000000-0005-0000-0000-0000EC1B0000}"/>
    <cellStyle name="Cálculo 3 3 6 2" xfId="8901" xr:uid="{00000000-0005-0000-0000-0000ED1B0000}"/>
    <cellStyle name="Cálculo 3 3 6 3" xfId="8902" xr:uid="{00000000-0005-0000-0000-0000EE1B0000}"/>
    <cellStyle name="Cálculo 3 3 6 4" xfId="8903" xr:uid="{00000000-0005-0000-0000-0000EF1B0000}"/>
    <cellStyle name="Cálculo 3 3 6 5" xfId="8904" xr:uid="{00000000-0005-0000-0000-0000F01B0000}"/>
    <cellStyle name="Cálculo 3 3 7" xfId="8905" xr:uid="{00000000-0005-0000-0000-0000F11B0000}"/>
    <cellStyle name="Cálculo 3 3 7 2" xfId="8906" xr:uid="{00000000-0005-0000-0000-0000F21B0000}"/>
    <cellStyle name="Cálculo 3 3 7 3" xfId="8907" xr:uid="{00000000-0005-0000-0000-0000F31B0000}"/>
    <cellStyle name="Cálculo 3 3 7 4" xfId="8908" xr:uid="{00000000-0005-0000-0000-0000F41B0000}"/>
    <cellStyle name="Cálculo 3 3 7 5" xfId="8909" xr:uid="{00000000-0005-0000-0000-0000F51B0000}"/>
    <cellStyle name="Cálculo 3 3 8" xfId="8910" xr:uid="{00000000-0005-0000-0000-0000F61B0000}"/>
    <cellStyle name="Cálculo 3 3 8 2" xfId="8911" xr:uid="{00000000-0005-0000-0000-0000F71B0000}"/>
    <cellStyle name="Cálculo 3 3 8 3" xfId="8912" xr:uid="{00000000-0005-0000-0000-0000F81B0000}"/>
    <cellStyle name="Cálculo 3 3 8 4" xfId="8913" xr:uid="{00000000-0005-0000-0000-0000F91B0000}"/>
    <cellStyle name="Cálculo 3 3 8 5" xfId="8914" xr:uid="{00000000-0005-0000-0000-0000FA1B0000}"/>
    <cellStyle name="Cálculo 3 3 9" xfId="8915" xr:uid="{00000000-0005-0000-0000-0000FB1B0000}"/>
    <cellStyle name="Cálculo 3 3 9 2" xfId="8916" xr:uid="{00000000-0005-0000-0000-0000FC1B0000}"/>
    <cellStyle name="Cálculo 3 3 9 3" xfId="8917" xr:uid="{00000000-0005-0000-0000-0000FD1B0000}"/>
    <cellStyle name="Cálculo 3 3 9 4" xfId="8918" xr:uid="{00000000-0005-0000-0000-0000FE1B0000}"/>
    <cellStyle name="Cálculo 3 3 9 5" xfId="8919" xr:uid="{00000000-0005-0000-0000-0000FF1B0000}"/>
    <cellStyle name="Cálculo 3 4" xfId="8920" xr:uid="{00000000-0005-0000-0000-0000001C0000}"/>
    <cellStyle name="Cálculo 3 4 10" xfId="8921" xr:uid="{00000000-0005-0000-0000-0000011C0000}"/>
    <cellStyle name="Cálculo 3 4 10 2" xfId="8922" xr:uid="{00000000-0005-0000-0000-0000021C0000}"/>
    <cellStyle name="Cálculo 3 4 10 3" xfId="8923" xr:uid="{00000000-0005-0000-0000-0000031C0000}"/>
    <cellStyle name="Cálculo 3 4 10 4" xfId="8924" xr:uid="{00000000-0005-0000-0000-0000041C0000}"/>
    <cellStyle name="Cálculo 3 4 10 5" xfId="8925" xr:uid="{00000000-0005-0000-0000-0000051C0000}"/>
    <cellStyle name="Cálculo 3 4 11" xfId="8926" xr:uid="{00000000-0005-0000-0000-0000061C0000}"/>
    <cellStyle name="Cálculo 3 4 11 2" xfId="8927" xr:uid="{00000000-0005-0000-0000-0000071C0000}"/>
    <cellStyle name="Cálculo 3 4 11 3" xfId="8928" xr:uid="{00000000-0005-0000-0000-0000081C0000}"/>
    <cellStyle name="Cálculo 3 4 11 4" xfId="8929" xr:uid="{00000000-0005-0000-0000-0000091C0000}"/>
    <cellStyle name="Cálculo 3 4 11 5" xfId="8930" xr:uid="{00000000-0005-0000-0000-00000A1C0000}"/>
    <cellStyle name="Cálculo 3 4 12" xfId="8931" xr:uid="{00000000-0005-0000-0000-00000B1C0000}"/>
    <cellStyle name="Cálculo 3 4 12 2" xfId="8932" xr:uid="{00000000-0005-0000-0000-00000C1C0000}"/>
    <cellStyle name="Cálculo 3 4 12 3" xfId="8933" xr:uid="{00000000-0005-0000-0000-00000D1C0000}"/>
    <cellStyle name="Cálculo 3 4 12 4" xfId="8934" xr:uid="{00000000-0005-0000-0000-00000E1C0000}"/>
    <cellStyle name="Cálculo 3 4 12 5" xfId="8935" xr:uid="{00000000-0005-0000-0000-00000F1C0000}"/>
    <cellStyle name="Cálculo 3 4 13" xfId="8936" xr:uid="{00000000-0005-0000-0000-0000101C0000}"/>
    <cellStyle name="Cálculo 3 4 14" xfId="8937" xr:uid="{00000000-0005-0000-0000-0000111C0000}"/>
    <cellStyle name="Cálculo 3 4 15" xfId="8938" xr:uid="{00000000-0005-0000-0000-0000121C0000}"/>
    <cellStyle name="Cálculo 3 4 16" xfId="8939" xr:uid="{00000000-0005-0000-0000-0000131C0000}"/>
    <cellStyle name="Cálculo 3 4 2" xfId="8940" xr:uid="{00000000-0005-0000-0000-0000141C0000}"/>
    <cellStyle name="Cálculo 3 4 2 2" xfId="8941" xr:uid="{00000000-0005-0000-0000-0000151C0000}"/>
    <cellStyle name="Cálculo 3 4 2 3" xfId="8942" xr:uid="{00000000-0005-0000-0000-0000161C0000}"/>
    <cellStyle name="Cálculo 3 4 2 4" xfId="8943" xr:uid="{00000000-0005-0000-0000-0000171C0000}"/>
    <cellStyle name="Cálculo 3 4 2 5" xfId="8944" xr:uid="{00000000-0005-0000-0000-0000181C0000}"/>
    <cellStyle name="Cálculo 3 4 3" xfId="8945" xr:uid="{00000000-0005-0000-0000-0000191C0000}"/>
    <cellStyle name="Cálculo 3 4 3 2" xfId="8946" xr:uid="{00000000-0005-0000-0000-00001A1C0000}"/>
    <cellStyle name="Cálculo 3 4 3 3" xfId="8947" xr:uid="{00000000-0005-0000-0000-00001B1C0000}"/>
    <cellStyle name="Cálculo 3 4 3 4" xfId="8948" xr:uid="{00000000-0005-0000-0000-00001C1C0000}"/>
    <cellStyle name="Cálculo 3 4 3 5" xfId="8949" xr:uid="{00000000-0005-0000-0000-00001D1C0000}"/>
    <cellStyle name="Cálculo 3 4 4" xfId="8950" xr:uid="{00000000-0005-0000-0000-00001E1C0000}"/>
    <cellStyle name="Cálculo 3 4 4 2" xfId="8951" xr:uid="{00000000-0005-0000-0000-00001F1C0000}"/>
    <cellStyle name="Cálculo 3 4 4 3" xfId="8952" xr:uid="{00000000-0005-0000-0000-0000201C0000}"/>
    <cellStyle name="Cálculo 3 4 4 4" xfId="8953" xr:uid="{00000000-0005-0000-0000-0000211C0000}"/>
    <cellStyle name="Cálculo 3 4 4 5" xfId="8954" xr:uid="{00000000-0005-0000-0000-0000221C0000}"/>
    <cellStyle name="Cálculo 3 4 5" xfId="8955" xr:uid="{00000000-0005-0000-0000-0000231C0000}"/>
    <cellStyle name="Cálculo 3 4 5 2" xfId="8956" xr:uid="{00000000-0005-0000-0000-0000241C0000}"/>
    <cellStyle name="Cálculo 3 4 5 3" xfId="8957" xr:uid="{00000000-0005-0000-0000-0000251C0000}"/>
    <cellStyle name="Cálculo 3 4 5 4" xfId="8958" xr:uid="{00000000-0005-0000-0000-0000261C0000}"/>
    <cellStyle name="Cálculo 3 4 5 5" xfId="8959" xr:uid="{00000000-0005-0000-0000-0000271C0000}"/>
    <cellStyle name="Cálculo 3 4 6" xfId="8960" xr:uid="{00000000-0005-0000-0000-0000281C0000}"/>
    <cellStyle name="Cálculo 3 4 6 2" xfId="8961" xr:uid="{00000000-0005-0000-0000-0000291C0000}"/>
    <cellStyle name="Cálculo 3 4 6 3" xfId="8962" xr:uid="{00000000-0005-0000-0000-00002A1C0000}"/>
    <cellStyle name="Cálculo 3 4 6 4" xfId="8963" xr:uid="{00000000-0005-0000-0000-00002B1C0000}"/>
    <cellStyle name="Cálculo 3 4 6 5" xfId="8964" xr:uid="{00000000-0005-0000-0000-00002C1C0000}"/>
    <cellStyle name="Cálculo 3 4 7" xfId="8965" xr:uid="{00000000-0005-0000-0000-00002D1C0000}"/>
    <cellStyle name="Cálculo 3 4 7 2" xfId="8966" xr:uid="{00000000-0005-0000-0000-00002E1C0000}"/>
    <cellStyle name="Cálculo 3 4 7 3" xfId="8967" xr:uid="{00000000-0005-0000-0000-00002F1C0000}"/>
    <cellStyle name="Cálculo 3 4 7 4" xfId="8968" xr:uid="{00000000-0005-0000-0000-0000301C0000}"/>
    <cellStyle name="Cálculo 3 4 7 5" xfId="8969" xr:uid="{00000000-0005-0000-0000-0000311C0000}"/>
    <cellStyle name="Cálculo 3 4 8" xfId="8970" xr:uid="{00000000-0005-0000-0000-0000321C0000}"/>
    <cellStyle name="Cálculo 3 4 8 2" xfId="8971" xr:uid="{00000000-0005-0000-0000-0000331C0000}"/>
    <cellStyle name="Cálculo 3 4 8 3" xfId="8972" xr:uid="{00000000-0005-0000-0000-0000341C0000}"/>
    <cellStyle name="Cálculo 3 4 8 4" xfId="8973" xr:uid="{00000000-0005-0000-0000-0000351C0000}"/>
    <cellStyle name="Cálculo 3 4 8 5" xfId="8974" xr:uid="{00000000-0005-0000-0000-0000361C0000}"/>
    <cellStyle name="Cálculo 3 4 9" xfId="8975" xr:uid="{00000000-0005-0000-0000-0000371C0000}"/>
    <cellStyle name="Cálculo 3 4 9 2" xfId="8976" xr:uid="{00000000-0005-0000-0000-0000381C0000}"/>
    <cellStyle name="Cálculo 3 4 9 3" xfId="8977" xr:uid="{00000000-0005-0000-0000-0000391C0000}"/>
    <cellStyle name="Cálculo 3 4 9 4" xfId="8978" xr:uid="{00000000-0005-0000-0000-00003A1C0000}"/>
    <cellStyle name="Cálculo 3 4 9 5" xfId="8979" xr:uid="{00000000-0005-0000-0000-00003B1C0000}"/>
    <cellStyle name="Cálculo 3 5" xfId="8980" xr:uid="{00000000-0005-0000-0000-00003C1C0000}"/>
    <cellStyle name="Cálculo 3 5 10" xfId="8981" xr:uid="{00000000-0005-0000-0000-00003D1C0000}"/>
    <cellStyle name="Cálculo 3 5 10 2" xfId="8982" xr:uid="{00000000-0005-0000-0000-00003E1C0000}"/>
    <cellStyle name="Cálculo 3 5 10 3" xfId="8983" xr:uid="{00000000-0005-0000-0000-00003F1C0000}"/>
    <cellStyle name="Cálculo 3 5 10 4" xfId="8984" xr:uid="{00000000-0005-0000-0000-0000401C0000}"/>
    <cellStyle name="Cálculo 3 5 10 5" xfId="8985" xr:uid="{00000000-0005-0000-0000-0000411C0000}"/>
    <cellStyle name="Cálculo 3 5 11" xfId="8986" xr:uid="{00000000-0005-0000-0000-0000421C0000}"/>
    <cellStyle name="Cálculo 3 5 11 2" xfId="8987" xr:uid="{00000000-0005-0000-0000-0000431C0000}"/>
    <cellStyle name="Cálculo 3 5 11 3" xfId="8988" xr:uid="{00000000-0005-0000-0000-0000441C0000}"/>
    <cellStyle name="Cálculo 3 5 11 4" xfId="8989" xr:uid="{00000000-0005-0000-0000-0000451C0000}"/>
    <cellStyle name="Cálculo 3 5 11 5" xfId="8990" xr:uid="{00000000-0005-0000-0000-0000461C0000}"/>
    <cellStyle name="Cálculo 3 5 12" xfId="8991" xr:uid="{00000000-0005-0000-0000-0000471C0000}"/>
    <cellStyle name="Cálculo 3 5 12 2" xfId="8992" xr:uid="{00000000-0005-0000-0000-0000481C0000}"/>
    <cellStyle name="Cálculo 3 5 12 3" xfId="8993" xr:uid="{00000000-0005-0000-0000-0000491C0000}"/>
    <cellStyle name="Cálculo 3 5 12 4" xfId="8994" xr:uid="{00000000-0005-0000-0000-00004A1C0000}"/>
    <cellStyle name="Cálculo 3 5 12 5" xfId="8995" xr:uid="{00000000-0005-0000-0000-00004B1C0000}"/>
    <cellStyle name="Cálculo 3 5 13" xfId="8996" xr:uid="{00000000-0005-0000-0000-00004C1C0000}"/>
    <cellStyle name="Cálculo 3 5 14" xfId="8997" xr:uid="{00000000-0005-0000-0000-00004D1C0000}"/>
    <cellStyle name="Cálculo 3 5 15" xfId="8998" xr:uid="{00000000-0005-0000-0000-00004E1C0000}"/>
    <cellStyle name="Cálculo 3 5 16" xfId="8999" xr:uid="{00000000-0005-0000-0000-00004F1C0000}"/>
    <cellStyle name="Cálculo 3 5 2" xfId="9000" xr:uid="{00000000-0005-0000-0000-0000501C0000}"/>
    <cellStyle name="Cálculo 3 5 2 2" xfId="9001" xr:uid="{00000000-0005-0000-0000-0000511C0000}"/>
    <cellStyle name="Cálculo 3 5 2 3" xfId="9002" xr:uid="{00000000-0005-0000-0000-0000521C0000}"/>
    <cellStyle name="Cálculo 3 5 2 4" xfId="9003" xr:uid="{00000000-0005-0000-0000-0000531C0000}"/>
    <cellStyle name="Cálculo 3 5 2 5" xfId="9004" xr:uid="{00000000-0005-0000-0000-0000541C0000}"/>
    <cellStyle name="Cálculo 3 5 3" xfId="9005" xr:uid="{00000000-0005-0000-0000-0000551C0000}"/>
    <cellStyle name="Cálculo 3 5 3 2" xfId="9006" xr:uid="{00000000-0005-0000-0000-0000561C0000}"/>
    <cellStyle name="Cálculo 3 5 3 3" xfId="9007" xr:uid="{00000000-0005-0000-0000-0000571C0000}"/>
    <cellStyle name="Cálculo 3 5 3 4" xfId="9008" xr:uid="{00000000-0005-0000-0000-0000581C0000}"/>
    <cellStyle name="Cálculo 3 5 3 5" xfId="9009" xr:uid="{00000000-0005-0000-0000-0000591C0000}"/>
    <cellStyle name="Cálculo 3 5 4" xfId="9010" xr:uid="{00000000-0005-0000-0000-00005A1C0000}"/>
    <cellStyle name="Cálculo 3 5 4 2" xfId="9011" xr:uid="{00000000-0005-0000-0000-00005B1C0000}"/>
    <cellStyle name="Cálculo 3 5 4 3" xfId="9012" xr:uid="{00000000-0005-0000-0000-00005C1C0000}"/>
    <cellStyle name="Cálculo 3 5 4 4" xfId="9013" xr:uid="{00000000-0005-0000-0000-00005D1C0000}"/>
    <cellStyle name="Cálculo 3 5 4 5" xfId="9014" xr:uid="{00000000-0005-0000-0000-00005E1C0000}"/>
    <cellStyle name="Cálculo 3 5 5" xfId="9015" xr:uid="{00000000-0005-0000-0000-00005F1C0000}"/>
    <cellStyle name="Cálculo 3 5 5 2" xfId="9016" xr:uid="{00000000-0005-0000-0000-0000601C0000}"/>
    <cellStyle name="Cálculo 3 5 5 3" xfId="9017" xr:uid="{00000000-0005-0000-0000-0000611C0000}"/>
    <cellStyle name="Cálculo 3 5 5 4" xfId="9018" xr:uid="{00000000-0005-0000-0000-0000621C0000}"/>
    <cellStyle name="Cálculo 3 5 5 5" xfId="9019" xr:uid="{00000000-0005-0000-0000-0000631C0000}"/>
    <cellStyle name="Cálculo 3 5 6" xfId="9020" xr:uid="{00000000-0005-0000-0000-0000641C0000}"/>
    <cellStyle name="Cálculo 3 5 6 2" xfId="9021" xr:uid="{00000000-0005-0000-0000-0000651C0000}"/>
    <cellStyle name="Cálculo 3 5 6 3" xfId="9022" xr:uid="{00000000-0005-0000-0000-0000661C0000}"/>
    <cellStyle name="Cálculo 3 5 6 4" xfId="9023" xr:uid="{00000000-0005-0000-0000-0000671C0000}"/>
    <cellStyle name="Cálculo 3 5 6 5" xfId="9024" xr:uid="{00000000-0005-0000-0000-0000681C0000}"/>
    <cellStyle name="Cálculo 3 5 7" xfId="9025" xr:uid="{00000000-0005-0000-0000-0000691C0000}"/>
    <cellStyle name="Cálculo 3 5 7 2" xfId="9026" xr:uid="{00000000-0005-0000-0000-00006A1C0000}"/>
    <cellStyle name="Cálculo 3 5 7 3" xfId="9027" xr:uid="{00000000-0005-0000-0000-00006B1C0000}"/>
    <cellStyle name="Cálculo 3 5 7 4" xfId="9028" xr:uid="{00000000-0005-0000-0000-00006C1C0000}"/>
    <cellStyle name="Cálculo 3 5 7 5" xfId="9029" xr:uid="{00000000-0005-0000-0000-00006D1C0000}"/>
    <cellStyle name="Cálculo 3 5 8" xfId="9030" xr:uid="{00000000-0005-0000-0000-00006E1C0000}"/>
    <cellStyle name="Cálculo 3 5 8 2" xfId="9031" xr:uid="{00000000-0005-0000-0000-00006F1C0000}"/>
    <cellStyle name="Cálculo 3 5 8 3" xfId="9032" xr:uid="{00000000-0005-0000-0000-0000701C0000}"/>
    <cellStyle name="Cálculo 3 5 8 4" xfId="9033" xr:uid="{00000000-0005-0000-0000-0000711C0000}"/>
    <cellStyle name="Cálculo 3 5 8 5" xfId="9034" xr:uid="{00000000-0005-0000-0000-0000721C0000}"/>
    <cellStyle name="Cálculo 3 5 9" xfId="9035" xr:uid="{00000000-0005-0000-0000-0000731C0000}"/>
    <cellStyle name="Cálculo 3 5 9 2" xfId="9036" xr:uid="{00000000-0005-0000-0000-0000741C0000}"/>
    <cellStyle name="Cálculo 3 5 9 3" xfId="9037" xr:uid="{00000000-0005-0000-0000-0000751C0000}"/>
    <cellStyle name="Cálculo 3 5 9 4" xfId="9038" xr:uid="{00000000-0005-0000-0000-0000761C0000}"/>
    <cellStyle name="Cálculo 3 5 9 5" xfId="9039" xr:uid="{00000000-0005-0000-0000-0000771C0000}"/>
    <cellStyle name="Cálculo 3 6" xfId="9040" xr:uid="{00000000-0005-0000-0000-0000781C0000}"/>
    <cellStyle name="Cálculo 3 6 10" xfId="9041" xr:uid="{00000000-0005-0000-0000-0000791C0000}"/>
    <cellStyle name="Cálculo 3 6 10 2" xfId="9042" xr:uid="{00000000-0005-0000-0000-00007A1C0000}"/>
    <cellStyle name="Cálculo 3 6 10 3" xfId="9043" xr:uid="{00000000-0005-0000-0000-00007B1C0000}"/>
    <cellStyle name="Cálculo 3 6 10 4" xfId="9044" xr:uid="{00000000-0005-0000-0000-00007C1C0000}"/>
    <cellStyle name="Cálculo 3 6 10 5" xfId="9045" xr:uid="{00000000-0005-0000-0000-00007D1C0000}"/>
    <cellStyle name="Cálculo 3 6 11" xfId="9046" xr:uid="{00000000-0005-0000-0000-00007E1C0000}"/>
    <cellStyle name="Cálculo 3 6 11 2" xfId="9047" xr:uid="{00000000-0005-0000-0000-00007F1C0000}"/>
    <cellStyle name="Cálculo 3 6 11 3" xfId="9048" xr:uid="{00000000-0005-0000-0000-0000801C0000}"/>
    <cellStyle name="Cálculo 3 6 11 4" xfId="9049" xr:uid="{00000000-0005-0000-0000-0000811C0000}"/>
    <cellStyle name="Cálculo 3 6 11 5" xfId="9050" xr:uid="{00000000-0005-0000-0000-0000821C0000}"/>
    <cellStyle name="Cálculo 3 6 12" xfId="9051" xr:uid="{00000000-0005-0000-0000-0000831C0000}"/>
    <cellStyle name="Cálculo 3 6 13" xfId="9052" xr:uid="{00000000-0005-0000-0000-0000841C0000}"/>
    <cellStyle name="Cálculo 3 6 14" xfId="9053" xr:uid="{00000000-0005-0000-0000-0000851C0000}"/>
    <cellStyle name="Cálculo 3 6 15" xfId="9054" xr:uid="{00000000-0005-0000-0000-0000861C0000}"/>
    <cellStyle name="Cálculo 3 6 16" xfId="23488" xr:uid="{00000000-0005-0000-0000-0000871C0000}"/>
    <cellStyle name="Cálculo 3 6 2" xfId="9055" xr:uid="{00000000-0005-0000-0000-0000881C0000}"/>
    <cellStyle name="Cálculo 3 6 2 2" xfId="9056" xr:uid="{00000000-0005-0000-0000-0000891C0000}"/>
    <cellStyle name="Cálculo 3 6 2 3" xfId="9057" xr:uid="{00000000-0005-0000-0000-00008A1C0000}"/>
    <cellStyle name="Cálculo 3 6 2 4" xfId="9058" xr:uid="{00000000-0005-0000-0000-00008B1C0000}"/>
    <cellStyle name="Cálculo 3 6 2 5" xfId="9059" xr:uid="{00000000-0005-0000-0000-00008C1C0000}"/>
    <cellStyle name="Cálculo 3 6 3" xfId="9060" xr:uid="{00000000-0005-0000-0000-00008D1C0000}"/>
    <cellStyle name="Cálculo 3 6 3 2" xfId="9061" xr:uid="{00000000-0005-0000-0000-00008E1C0000}"/>
    <cellStyle name="Cálculo 3 6 3 3" xfId="9062" xr:uid="{00000000-0005-0000-0000-00008F1C0000}"/>
    <cellStyle name="Cálculo 3 6 3 4" xfId="9063" xr:uid="{00000000-0005-0000-0000-0000901C0000}"/>
    <cellStyle name="Cálculo 3 6 3 5" xfId="9064" xr:uid="{00000000-0005-0000-0000-0000911C0000}"/>
    <cellStyle name="Cálculo 3 6 4" xfId="9065" xr:uid="{00000000-0005-0000-0000-0000921C0000}"/>
    <cellStyle name="Cálculo 3 6 4 2" xfId="9066" xr:uid="{00000000-0005-0000-0000-0000931C0000}"/>
    <cellStyle name="Cálculo 3 6 4 3" xfId="9067" xr:uid="{00000000-0005-0000-0000-0000941C0000}"/>
    <cellStyle name="Cálculo 3 6 4 4" xfId="9068" xr:uid="{00000000-0005-0000-0000-0000951C0000}"/>
    <cellStyle name="Cálculo 3 6 4 5" xfId="9069" xr:uid="{00000000-0005-0000-0000-0000961C0000}"/>
    <cellStyle name="Cálculo 3 6 5" xfId="9070" xr:uid="{00000000-0005-0000-0000-0000971C0000}"/>
    <cellStyle name="Cálculo 3 6 5 2" xfId="9071" xr:uid="{00000000-0005-0000-0000-0000981C0000}"/>
    <cellStyle name="Cálculo 3 6 5 3" xfId="9072" xr:uid="{00000000-0005-0000-0000-0000991C0000}"/>
    <cellStyle name="Cálculo 3 6 5 4" xfId="9073" xr:uid="{00000000-0005-0000-0000-00009A1C0000}"/>
    <cellStyle name="Cálculo 3 6 5 5" xfId="9074" xr:uid="{00000000-0005-0000-0000-00009B1C0000}"/>
    <cellStyle name="Cálculo 3 6 6" xfId="9075" xr:uid="{00000000-0005-0000-0000-00009C1C0000}"/>
    <cellStyle name="Cálculo 3 6 6 2" xfId="9076" xr:uid="{00000000-0005-0000-0000-00009D1C0000}"/>
    <cellStyle name="Cálculo 3 6 6 3" xfId="9077" xr:uid="{00000000-0005-0000-0000-00009E1C0000}"/>
    <cellStyle name="Cálculo 3 6 6 4" xfId="9078" xr:uid="{00000000-0005-0000-0000-00009F1C0000}"/>
    <cellStyle name="Cálculo 3 6 6 5" xfId="9079" xr:uid="{00000000-0005-0000-0000-0000A01C0000}"/>
    <cellStyle name="Cálculo 3 6 7" xfId="9080" xr:uid="{00000000-0005-0000-0000-0000A11C0000}"/>
    <cellStyle name="Cálculo 3 6 7 2" xfId="9081" xr:uid="{00000000-0005-0000-0000-0000A21C0000}"/>
    <cellStyle name="Cálculo 3 6 7 3" xfId="9082" xr:uid="{00000000-0005-0000-0000-0000A31C0000}"/>
    <cellStyle name="Cálculo 3 6 7 4" xfId="9083" xr:uid="{00000000-0005-0000-0000-0000A41C0000}"/>
    <cellStyle name="Cálculo 3 6 7 5" xfId="9084" xr:uid="{00000000-0005-0000-0000-0000A51C0000}"/>
    <cellStyle name="Cálculo 3 6 8" xfId="9085" xr:uid="{00000000-0005-0000-0000-0000A61C0000}"/>
    <cellStyle name="Cálculo 3 6 8 2" xfId="9086" xr:uid="{00000000-0005-0000-0000-0000A71C0000}"/>
    <cellStyle name="Cálculo 3 6 8 3" xfId="9087" xr:uid="{00000000-0005-0000-0000-0000A81C0000}"/>
    <cellStyle name="Cálculo 3 6 8 4" xfId="9088" xr:uid="{00000000-0005-0000-0000-0000A91C0000}"/>
    <cellStyle name="Cálculo 3 6 8 5" xfId="9089" xr:uid="{00000000-0005-0000-0000-0000AA1C0000}"/>
    <cellStyle name="Cálculo 3 6 9" xfId="9090" xr:uid="{00000000-0005-0000-0000-0000AB1C0000}"/>
    <cellStyle name="Cálculo 3 6 9 2" xfId="9091" xr:uid="{00000000-0005-0000-0000-0000AC1C0000}"/>
    <cellStyle name="Cálculo 3 6 9 3" xfId="9092" xr:uid="{00000000-0005-0000-0000-0000AD1C0000}"/>
    <cellStyle name="Cálculo 3 6 9 4" xfId="9093" xr:uid="{00000000-0005-0000-0000-0000AE1C0000}"/>
    <cellStyle name="Cálculo 3 6 9 5" xfId="9094" xr:uid="{00000000-0005-0000-0000-0000AF1C0000}"/>
    <cellStyle name="Cálculo 3 7" xfId="9095" xr:uid="{00000000-0005-0000-0000-0000B01C0000}"/>
    <cellStyle name="Cálculo 3 7 10" xfId="9096" xr:uid="{00000000-0005-0000-0000-0000B11C0000}"/>
    <cellStyle name="Cálculo 3 7 10 2" xfId="9097" xr:uid="{00000000-0005-0000-0000-0000B21C0000}"/>
    <cellStyle name="Cálculo 3 7 10 3" xfId="9098" xr:uid="{00000000-0005-0000-0000-0000B31C0000}"/>
    <cellStyle name="Cálculo 3 7 10 4" xfId="9099" xr:uid="{00000000-0005-0000-0000-0000B41C0000}"/>
    <cellStyle name="Cálculo 3 7 10 5" xfId="9100" xr:uid="{00000000-0005-0000-0000-0000B51C0000}"/>
    <cellStyle name="Cálculo 3 7 11" xfId="9101" xr:uid="{00000000-0005-0000-0000-0000B61C0000}"/>
    <cellStyle name="Cálculo 3 7 11 2" xfId="9102" xr:uid="{00000000-0005-0000-0000-0000B71C0000}"/>
    <cellStyle name="Cálculo 3 7 11 3" xfId="9103" xr:uid="{00000000-0005-0000-0000-0000B81C0000}"/>
    <cellStyle name="Cálculo 3 7 11 4" xfId="9104" xr:uid="{00000000-0005-0000-0000-0000B91C0000}"/>
    <cellStyle name="Cálculo 3 7 11 5" xfId="9105" xr:uid="{00000000-0005-0000-0000-0000BA1C0000}"/>
    <cellStyle name="Cálculo 3 7 12" xfId="9106" xr:uid="{00000000-0005-0000-0000-0000BB1C0000}"/>
    <cellStyle name="Cálculo 3 7 13" xfId="9107" xr:uid="{00000000-0005-0000-0000-0000BC1C0000}"/>
    <cellStyle name="Cálculo 3 7 14" xfId="9108" xr:uid="{00000000-0005-0000-0000-0000BD1C0000}"/>
    <cellStyle name="Cálculo 3 7 15" xfId="9109" xr:uid="{00000000-0005-0000-0000-0000BE1C0000}"/>
    <cellStyle name="Cálculo 3 7 16" xfId="23489" xr:uid="{00000000-0005-0000-0000-0000BF1C0000}"/>
    <cellStyle name="Cálculo 3 7 2" xfId="9110" xr:uid="{00000000-0005-0000-0000-0000C01C0000}"/>
    <cellStyle name="Cálculo 3 7 2 2" xfId="9111" xr:uid="{00000000-0005-0000-0000-0000C11C0000}"/>
    <cellStyle name="Cálculo 3 7 2 3" xfId="9112" xr:uid="{00000000-0005-0000-0000-0000C21C0000}"/>
    <cellStyle name="Cálculo 3 7 2 4" xfId="9113" xr:uid="{00000000-0005-0000-0000-0000C31C0000}"/>
    <cellStyle name="Cálculo 3 7 2 5" xfId="9114" xr:uid="{00000000-0005-0000-0000-0000C41C0000}"/>
    <cellStyle name="Cálculo 3 7 3" xfId="9115" xr:uid="{00000000-0005-0000-0000-0000C51C0000}"/>
    <cellStyle name="Cálculo 3 7 3 2" xfId="9116" xr:uid="{00000000-0005-0000-0000-0000C61C0000}"/>
    <cellStyle name="Cálculo 3 7 3 3" xfId="9117" xr:uid="{00000000-0005-0000-0000-0000C71C0000}"/>
    <cellStyle name="Cálculo 3 7 3 4" xfId="9118" xr:uid="{00000000-0005-0000-0000-0000C81C0000}"/>
    <cellStyle name="Cálculo 3 7 3 5" xfId="9119" xr:uid="{00000000-0005-0000-0000-0000C91C0000}"/>
    <cellStyle name="Cálculo 3 7 4" xfId="9120" xr:uid="{00000000-0005-0000-0000-0000CA1C0000}"/>
    <cellStyle name="Cálculo 3 7 4 2" xfId="9121" xr:uid="{00000000-0005-0000-0000-0000CB1C0000}"/>
    <cellStyle name="Cálculo 3 7 4 3" xfId="9122" xr:uid="{00000000-0005-0000-0000-0000CC1C0000}"/>
    <cellStyle name="Cálculo 3 7 4 4" xfId="9123" xr:uid="{00000000-0005-0000-0000-0000CD1C0000}"/>
    <cellStyle name="Cálculo 3 7 4 5" xfId="9124" xr:uid="{00000000-0005-0000-0000-0000CE1C0000}"/>
    <cellStyle name="Cálculo 3 7 5" xfId="9125" xr:uid="{00000000-0005-0000-0000-0000CF1C0000}"/>
    <cellStyle name="Cálculo 3 7 5 2" xfId="9126" xr:uid="{00000000-0005-0000-0000-0000D01C0000}"/>
    <cellStyle name="Cálculo 3 7 5 3" xfId="9127" xr:uid="{00000000-0005-0000-0000-0000D11C0000}"/>
    <cellStyle name="Cálculo 3 7 5 4" xfId="9128" xr:uid="{00000000-0005-0000-0000-0000D21C0000}"/>
    <cellStyle name="Cálculo 3 7 5 5" xfId="9129" xr:uid="{00000000-0005-0000-0000-0000D31C0000}"/>
    <cellStyle name="Cálculo 3 7 6" xfId="9130" xr:uid="{00000000-0005-0000-0000-0000D41C0000}"/>
    <cellStyle name="Cálculo 3 7 6 2" xfId="9131" xr:uid="{00000000-0005-0000-0000-0000D51C0000}"/>
    <cellStyle name="Cálculo 3 7 6 3" xfId="9132" xr:uid="{00000000-0005-0000-0000-0000D61C0000}"/>
    <cellStyle name="Cálculo 3 7 6 4" xfId="9133" xr:uid="{00000000-0005-0000-0000-0000D71C0000}"/>
    <cellStyle name="Cálculo 3 7 6 5" xfId="9134" xr:uid="{00000000-0005-0000-0000-0000D81C0000}"/>
    <cellStyle name="Cálculo 3 7 7" xfId="9135" xr:uid="{00000000-0005-0000-0000-0000D91C0000}"/>
    <cellStyle name="Cálculo 3 7 7 2" xfId="9136" xr:uid="{00000000-0005-0000-0000-0000DA1C0000}"/>
    <cellStyle name="Cálculo 3 7 7 3" xfId="9137" xr:uid="{00000000-0005-0000-0000-0000DB1C0000}"/>
    <cellStyle name="Cálculo 3 7 7 4" xfId="9138" xr:uid="{00000000-0005-0000-0000-0000DC1C0000}"/>
    <cellStyle name="Cálculo 3 7 7 5" xfId="9139" xr:uid="{00000000-0005-0000-0000-0000DD1C0000}"/>
    <cellStyle name="Cálculo 3 7 8" xfId="9140" xr:uid="{00000000-0005-0000-0000-0000DE1C0000}"/>
    <cellStyle name="Cálculo 3 7 8 2" xfId="9141" xr:uid="{00000000-0005-0000-0000-0000DF1C0000}"/>
    <cellStyle name="Cálculo 3 7 8 3" xfId="9142" xr:uid="{00000000-0005-0000-0000-0000E01C0000}"/>
    <cellStyle name="Cálculo 3 7 8 4" xfId="9143" xr:uid="{00000000-0005-0000-0000-0000E11C0000}"/>
    <cellStyle name="Cálculo 3 7 8 5" xfId="9144" xr:uid="{00000000-0005-0000-0000-0000E21C0000}"/>
    <cellStyle name="Cálculo 3 7 9" xfId="9145" xr:uid="{00000000-0005-0000-0000-0000E31C0000}"/>
    <cellStyle name="Cálculo 3 7 9 2" xfId="9146" xr:uid="{00000000-0005-0000-0000-0000E41C0000}"/>
    <cellStyle name="Cálculo 3 7 9 3" xfId="9147" xr:uid="{00000000-0005-0000-0000-0000E51C0000}"/>
    <cellStyle name="Cálculo 3 7 9 4" xfId="9148" xr:uid="{00000000-0005-0000-0000-0000E61C0000}"/>
    <cellStyle name="Cálculo 3 7 9 5" xfId="9149" xr:uid="{00000000-0005-0000-0000-0000E71C0000}"/>
    <cellStyle name="Cálculo 3 8" xfId="9150" xr:uid="{00000000-0005-0000-0000-0000E81C0000}"/>
    <cellStyle name="Cálculo 3 8 2" xfId="9151" xr:uid="{00000000-0005-0000-0000-0000E91C0000}"/>
    <cellStyle name="Cálculo 3 8 3" xfId="9152" xr:uid="{00000000-0005-0000-0000-0000EA1C0000}"/>
    <cellStyle name="Cálculo 3 8 4" xfId="9153" xr:uid="{00000000-0005-0000-0000-0000EB1C0000}"/>
    <cellStyle name="Cálculo 3 8 5" xfId="9154" xr:uid="{00000000-0005-0000-0000-0000EC1C0000}"/>
    <cellStyle name="Cálculo 3 9" xfId="9155" xr:uid="{00000000-0005-0000-0000-0000ED1C0000}"/>
    <cellStyle name="Cálculo 3 9 2" xfId="9156" xr:uid="{00000000-0005-0000-0000-0000EE1C0000}"/>
    <cellStyle name="Cálculo 3 9 3" xfId="9157" xr:uid="{00000000-0005-0000-0000-0000EF1C0000}"/>
    <cellStyle name="Cálculo 3 9 4" xfId="9158" xr:uid="{00000000-0005-0000-0000-0000F01C0000}"/>
    <cellStyle name="Cálculo 3 9 5" xfId="9159" xr:uid="{00000000-0005-0000-0000-0000F11C0000}"/>
    <cellStyle name="Cálculo 4" xfId="1156" xr:uid="{00000000-0005-0000-0000-0000F21C0000}"/>
    <cellStyle name="Cálculo 4 2" xfId="9161" xr:uid="{00000000-0005-0000-0000-0000F31C0000}"/>
    <cellStyle name="Cálculo 4 2 2" xfId="9162" xr:uid="{00000000-0005-0000-0000-0000F41C0000}"/>
    <cellStyle name="Cálculo 4 2 3" xfId="9163" xr:uid="{00000000-0005-0000-0000-0000F51C0000}"/>
    <cellStyle name="Cálculo 4 2 4" xfId="9164" xr:uid="{00000000-0005-0000-0000-0000F61C0000}"/>
    <cellStyle name="Cálculo 4 2 5" xfId="9165" xr:uid="{00000000-0005-0000-0000-0000F71C0000}"/>
    <cellStyle name="Cálculo 4 2 6" xfId="23490" xr:uid="{00000000-0005-0000-0000-0000F81C0000}"/>
    <cellStyle name="Cálculo 4 3" xfId="9166" xr:uid="{00000000-0005-0000-0000-0000F91C0000}"/>
    <cellStyle name="Cálculo 4 3 2" xfId="23491" xr:uid="{00000000-0005-0000-0000-0000FA1C0000}"/>
    <cellStyle name="Cálculo 4 4" xfId="9167" xr:uid="{00000000-0005-0000-0000-0000FB1C0000}"/>
    <cellStyle name="Cálculo 4 5" xfId="9168" xr:uid="{00000000-0005-0000-0000-0000FC1C0000}"/>
    <cellStyle name="Cálculo 4 6" xfId="9169" xr:uid="{00000000-0005-0000-0000-0000FD1C0000}"/>
    <cellStyle name="Cálculo 4 7" xfId="9170" xr:uid="{00000000-0005-0000-0000-0000FE1C0000}"/>
    <cellStyle name="Cálculo 4 8" xfId="9171" xr:uid="{00000000-0005-0000-0000-0000FF1C0000}"/>
    <cellStyle name="Cálculo 4 9" xfId="9160" xr:uid="{00000000-0005-0000-0000-0000001D0000}"/>
    <cellStyle name="Cálculo 5" xfId="1157" xr:uid="{00000000-0005-0000-0000-0000011D0000}"/>
    <cellStyle name="Cálculo 5 2" xfId="1947" xr:uid="{00000000-0005-0000-0000-0000021D0000}"/>
    <cellStyle name="Cálculo 5 2 2" xfId="9174" xr:uid="{00000000-0005-0000-0000-0000031D0000}"/>
    <cellStyle name="Cálculo 5 2 3" xfId="9175" xr:uid="{00000000-0005-0000-0000-0000041D0000}"/>
    <cellStyle name="Cálculo 5 2 4" xfId="9176" xr:uid="{00000000-0005-0000-0000-0000051D0000}"/>
    <cellStyle name="Cálculo 5 2 5" xfId="9177" xr:uid="{00000000-0005-0000-0000-0000061D0000}"/>
    <cellStyle name="Cálculo 5 2 6" xfId="9173" xr:uid="{00000000-0005-0000-0000-0000071D0000}"/>
    <cellStyle name="Cálculo 5 3" xfId="3858" xr:uid="{00000000-0005-0000-0000-0000081D0000}"/>
    <cellStyle name="Cálculo 5 3 2" xfId="9178" xr:uid="{00000000-0005-0000-0000-0000091D0000}"/>
    <cellStyle name="Cálculo 5 3 3" xfId="23492" xr:uid="{00000000-0005-0000-0000-00000A1D0000}"/>
    <cellStyle name="Cálculo 5 4" xfId="3230" xr:uid="{00000000-0005-0000-0000-00000B1D0000}"/>
    <cellStyle name="Cálculo 5 5" xfId="9172" xr:uid="{00000000-0005-0000-0000-00000C1D0000}"/>
    <cellStyle name="Cálculo 6" xfId="1158" xr:uid="{00000000-0005-0000-0000-00000D1D0000}"/>
    <cellStyle name="Cálculo 6 2" xfId="1948" xr:uid="{00000000-0005-0000-0000-00000E1D0000}"/>
    <cellStyle name="Cálculo 6 2 2" xfId="9179" xr:uid="{00000000-0005-0000-0000-00000F1D0000}"/>
    <cellStyle name="Cálculo 6 2 3" xfId="23493" xr:uid="{00000000-0005-0000-0000-0000101D0000}"/>
    <cellStyle name="Cálculo 6 3" xfId="3859" xr:uid="{00000000-0005-0000-0000-0000111D0000}"/>
    <cellStyle name="Cálculo 6 3 2" xfId="23494" xr:uid="{00000000-0005-0000-0000-0000121D0000}"/>
    <cellStyle name="Cálculo 6 4" xfId="3231" xr:uid="{00000000-0005-0000-0000-0000131D0000}"/>
    <cellStyle name="Cálculo 7" xfId="1159" xr:uid="{00000000-0005-0000-0000-0000141D0000}"/>
    <cellStyle name="Cálculo 7 2" xfId="9180" xr:uid="{00000000-0005-0000-0000-0000151D0000}"/>
    <cellStyle name="Cálculo 7 3" xfId="9181" xr:uid="{00000000-0005-0000-0000-0000161D0000}"/>
    <cellStyle name="Cálculo 7 4" xfId="9182" xr:uid="{00000000-0005-0000-0000-0000171D0000}"/>
    <cellStyle name="Cálculo 7 5" xfId="9183" xr:uid="{00000000-0005-0000-0000-0000181D0000}"/>
    <cellStyle name="Cálculo 8" xfId="1160" xr:uid="{00000000-0005-0000-0000-0000191D0000}"/>
    <cellStyle name="Cálculo 8 2" xfId="9184" xr:uid="{00000000-0005-0000-0000-00001A1D0000}"/>
    <cellStyle name="Cálculo 8 3" xfId="9185" xr:uid="{00000000-0005-0000-0000-00001B1D0000}"/>
    <cellStyle name="Cálculo 8 4" xfId="9186" xr:uid="{00000000-0005-0000-0000-00001C1D0000}"/>
    <cellStyle name="Cálculo 8 5" xfId="9187" xr:uid="{00000000-0005-0000-0000-00001D1D0000}"/>
    <cellStyle name="Cálculo 9" xfId="1161" xr:uid="{00000000-0005-0000-0000-00001E1D0000}"/>
    <cellStyle name="Celda de comprobación" xfId="118" builtinId="23" customBuiltin="1"/>
    <cellStyle name="Celda de comprobación 10" xfId="1162" xr:uid="{00000000-0005-0000-0000-0000201D0000}"/>
    <cellStyle name="Celda de comprobación 11" xfId="1392" xr:uid="{00000000-0005-0000-0000-0000211D0000}"/>
    <cellStyle name="Celda de comprobación 12" xfId="4895" xr:uid="{00000000-0005-0000-0000-0000221D0000}"/>
    <cellStyle name="Celda de comprobación 2" xfId="538" xr:uid="{00000000-0005-0000-0000-0000231D0000}"/>
    <cellStyle name="Celda de comprobación 2 2" xfId="1949" xr:uid="{00000000-0005-0000-0000-0000241D0000}"/>
    <cellStyle name="Celda de comprobación 2 2 2" xfId="3232" xr:uid="{00000000-0005-0000-0000-0000251D0000}"/>
    <cellStyle name="Celda de comprobación 2 2 3" xfId="9189" xr:uid="{00000000-0005-0000-0000-0000261D0000}"/>
    <cellStyle name="Celda de comprobación 2 2 4" xfId="9188" xr:uid="{00000000-0005-0000-0000-0000271D0000}"/>
    <cellStyle name="Celda de comprobación 2 3" xfId="9190" xr:uid="{00000000-0005-0000-0000-0000281D0000}"/>
    <cellStyle name="Celda de comprobación 2 3 2" xfId="22907" xr:uid="{00000000-0005-0000-0000-0000291D0000}"/>
    <cellStyle name="Celda de comprobación 3" xfId="537" xr:uid="{00000000-0005-0000-0000-00002A1D0000}"/>
    <cellStyle name="Celda de comprobación 3 2" xfId="1950" xr:uid="{00000000-0005-0000-0000-00002B1D0000}"/>
    <cellStyle name="Celda de comprobación 3 3" xfId="1951" xr:uid="{00000000-0005-0000-0000-00002C1D0000}"/>
    <cellStyle name="Celda de comprobación 3 4" xfId="9191" xr:uid="{00000000-0005-0000-0000-00002D1D0000}"/>
    <cellStyle name="Celda de comprobación 4" xfId="1163" xr:uid="{00000000-0005-0000-0000-00002E1D0000}"/>
    <cellStyle name="Celda de comprobación 4 2" xfId="9193" xr:uid="{00000000-0005-0000-0000-00002F1D0000}"/>
    <cellStyle name="Celda de comprobación 4 3" xfId="9194" xr:uid="{00000000-0005-0000-0000-0000301D0000}"/>
    <cellStyle name="Celda de comprobación 4 4" xfId="9192" xr:uid="{00000000-0005-0000-0000-0000311D0000}"/>
    <cellStyle name="Celda de comprobación 5" xfId="1164" xr:uid="{00000000-0005-0000-0000-0000321D0000}"/>
    <cellStyle name="Celda de comprobación 5 2" xfId="1952" xr:uid="{00000000-0005-0000-0000-0000331D0000}"/>
    <cellStyle name="Celda de comprobación 5 2 2" xfId="9196" xr:uid="{00000000-0005-0000-0000-0000341D0000}"/>
    <cellStyle name="Celda de comprobación 5 3" xfId="3860" xr:uid="{00000000-0005-0000-0000-0000351D0000}"/>
    <cellStyle name="Celda de comprobación 5 3 2" xfId="9197" xr:uid="{00000000-0005-0000-0000-0000361D0000}"/>
    <cellStyle name="Celda de comprobación 5 4" xfId="9195" xr:uid="{00000000-0005-0000-0000-0000371D0000}"/>
    <cellStyle name="Celda de comprobación 6" xfId="1165" xr:uid="{00000000-0005-0000-0000-0000381D0000}"/>
    <cellStyle name="Celda de comprobación 6 2" xfId="3861" xr:uid="{00000000-0005-0000-0000-0000391D0000}"/>
    <cellStyle name="Celda de comprobación 6 2 2" xfId="23495" xr:uid="{00000000-0005-0000-0000-00003A1D0000}"/>
    <cellStyle name="Celda de comprobación 6 3" xfId="3233" xr:uid="{00000000-0005-0000-0000-00003B1D0000}"/>
    <cellStyle name="Celda de comprobación 7" xfId="1166" xr:uid="{00000000-0005-0000-0000-00003C1D0000}"/>
    <cellStyle name="Celda de comprobación 7 2" xfId="9198" xr:uid="{00000000-0005-0000-0000-00003D1D0000}"/>
    <cellStyle name="Celda de comprobación 8" xfId="1167" xr:uid="{00000000-0005-0000-0000-00003E1D0000}"/>
    <cellStyle name="Celda de comprobación 9" xfId="1168" xr:uid="{00000000-0005-0000-0000-00003F1D0000}"/>
    <cellStyle name="Celda vinculada" xfId="119" builtinId="24" customBuiltin="1"/>
    <cellStyle name="Celda vinculada 10" xfId="1169" xr:uid="{00000000-0005-0000-0000-0000411D0000}"/>
    <cellStyle name="Celda vinculada 11" xfId="1393" xr:uid="{00000000-0005-0000-0000-0000421D0000}"/>
    <cellStyle name="Celda vinculada 12" xfId="4896" xr:uid="{00000000-0005-0000-0000-0000431D0000}"/>
    <cellStyle name="Celda vinculada 2" xfId="540" xr:uid="{00000000-0005-0000-0000-0000441D0000}"/>
    <cellStyle name="Celda vinculada 2 2" xfId="1953" xr:uid="{00000000-0005-0000-0000-0000451D0000}"/>
    <cellStyle name="Celda vinculada 2 2 2" xfId="3234" xr:uid="{00000000-0005-0000-0000-0000461D0000}"/>
    <cellStyle name="Celda vinculada 2 2 3" xfId="9200" xr:uid="{00000000-0005-0000-0000-0000471D0000}"/>
    <cellStyle name="Celda vinculada 2 2 4" xfId="9199" xr:uid="{00000000-0005-0000-0000-0000481D0000}"/>
    <cellStyle name="Celda vinculada 2 3" xfId="9201" xr:uid="{00000000-0005-0000-0000-0000491D0000}"/>
    <cellStyle name="Celda vinculada 2 3 2" xfId="22908" xr:uid="{00000000-0005-0000-0000-00004A1D0000}"/>
    <cellStyle name="Celda vinculada 3" xfId="539" xr:uid="{00000000-0005-0000-0000-00004B1D0000}"/>
    <cellStyle name="Celda vinculada 3 2" xfId="1954" xr:uid="{00000000-0005-0000-0000-00004C1D0000}"/>
    <cellStyle name="Celda vinculada 3 3" xfId="1955" xr:uid="{00000000-0005-0000-0000-00004D1D0000}"/>
    <cellStyle name="Celda vinculada 3 4" xfId="9202" xr:uid="{00000000-0005-0000-0000-00004E1D0000}"/>
    <cellStyle name="Celda vinculada 4" xfId="1170" xr:uid="{00000000-0005-0000-0000-00004F1D0000}"/>
    <cellStyle name="Celda vinculada 4 2" xfId="9204" xr:uid="{00000000-0005-0000-0000-0000501D0000}"/>
    <cellStyle name="Celda vinculada 4 3" xfId="9205" xr:uid="{00000000-0005-0000-0000-0000511D0000}"/>
    <cellStyle name="Celda vinculada 4 4" xfId="9203" xr:uid="{00000000-0005-0000-0000-0000521D0000}"/>
    <cellStyle name="Celda vinculada 5" xfId="1171" xr:uid="{00000000-0005-0000-0000-0000531D0000}"/>
    <cellStyle name="Celda vinculada 5 2" xfId="1956" xr:uid="{00000000-0005-0000-0000-0000541D0000}"/>
    <cellStyle name="Celda vinculada 5 2 2" xfId="9207" xr:uid="{00000000-0005-0000-0000-0000551D0000}"/>
    <cellStyle name="Celda vinculada 5 3" xfId="3862" xr:uid="{00000000-0005-0000-0000-0000561D0000}"/>
    <cellStyle name="Celda vinculada 5 3 2" xfId="9208" xr:uid="{00000000-0005-0000-0000-0000571D0000}"/>
    <cellStyle name="Celda vinculada 5 3 3" xfId="23496" xr:uid="{00000000-0005-0000-0000-0000581D0000}"/>
    <cellStyle name="Celda vinculada 5 4" xfId="3235" xr:uid="{00000000-0005-0000-0000-0000591D0000}"/>
    <cellStyle name="Celda vinculada 5 5" xfId="9206" xr:uid="{00000000-0005-0000-0000-00005A1D0000}"/>
    <cellStyle name="Celda vinculada 6" xfId="1172" xr:uid="{00000000-0005-0000-0000-00005B1D0000}"/>
    <cellStyle name="Celda vinculada 6 2" xfId="1957" xr:uid="{00000000-0005-0000-0000-00005C1D0000}"/>
    <cellStyle name="Celda vinculada 6 2 2" xfId="9210" xr:uid="{00000000-0005-0000-0000-00005D1D0000}"/>
    <cellStyle name="Celda vinculada 6 2 3" xfId="23497" xr:uid="{00000000-0005-0000-0000-00005E1D0000}"/>
    <cellStyle name="Celda vinculada 6 3" xfId="3863" xr:uid="{00000000-0005-0000-0000-00005F1D0000}"/>
    <cellStyle name="Celda vinculada 6 3 2" xfId="9209" xr:uid="{00000000-0005-0000-0000-0000601D0000}"/>
    <cellStyle name="Celda vinculada 6 3 3" xfId="23498" xr:uid="{00000000-0005-0000-0000-0000611D0000}"/>
    <cellStyle name="Celda vinculada 6 4" xfId="3236" xr:uid="{00000000-0005-0000-0000-0000621D0000}"/>
    <cellStyle name="Celda vinculada 7" xfId="1173" xr:uid="{00000000-0005-0000-0000-0000631D0000}"/>
    <cellStyle name="Celda vinculada 8" xfId="1174" xr:uid="{00000000-0005-0000-0000-0000641D0000}"/>
    <cellStyle name="Celda vinculada 9" xfId="1175" xr:uid="{00000000-0005-0000-0000-0000651D0000}"/>
    <cellStyle name="Check Cell" xfId="120" xr:uid="{00000000-0005-0000-0000-0000661D0000}"/>
    <cellStyle name="Check Cell 2" xfId="121" xr:uid="{00000000-0005-0000-0000-0000671D0000}"/>
    <cellStyle name="Check Cell 2 2" xfId="1176" xr:uid="{00000000-0005-0000-0000-0000681D0000}"/>
    <cellStyle name="Check Cell 2 2 2" xfId="1958" xr:uid="{00000000-0005-0000-0000-0000691D0000}"/>
    <cellStyle name="Check Cell 2 2 2 2" xfId="23499" xr:uid="{00000000-0005-0000-0000-00006A1D0000}"/>
    <cellStyle name="Check Cell 2 2 3" xfId="3864" xr:uid="{00000000-0005-0000-0000-00006B1D0000}"/>
    <cellStyle name="Check Cell 2 3" xfId="9211" xr:uid="{00000000-0005-0000-0000-00006C1D0000}"/>
    <cellStyle name="Check Cell 3" xfId="1959" xr:uid="{00000000-0005-0000-0000-00006D1D0000}"/>
    <cellStyle name="Check Cell 4" xfId="9212" xr:uid="{00000000-0005-0000-0000-00006E1D0000}"/>
    <cellStyle name="Comma [0]_2002_octubre" xfId="122" xr:uid="{00000000-0005-0000-0000-00006F1D0000}"/>
    <cellStyle name="Comma 2" xfId="123" xr:uid="{00000000-0005-0000-0000-0000701D0000}"/>
    <cellStyle name="Comma 2 10" xfId="124" xr:uid="{00000000-0005-0000-0000-0000711D0000}"/>
    <cellStyle name="Comma 2 10 2" xfId="380" xr:uid="{00000000-0005-0000-0000-0000721D0000}"/>
    <cellStyle name="Comma 2 10 2 2" xfId="541" xr:uid="{00000000-0005-0000-0000-0000731D0000}"/>
    <cellStyle name="Comma 2 10 2 2 2" xfId="17972" xr:uid="{00000000-0005-0000-0000-0000741D0000}"/>
    <cellStyle name="Comma 2 10 2 2 3" xfId="9213" xr:uid="{00000000-0005-0000-0000-0000751D0000}"/>
    <cellStyle name="Comma 2 10 2 2 4" xfId="23500" xr:uid="{00000000-0005-0000-0000-0000761D0000}"/>
    <cellStyle name="Comma 2 10 2 3" xfId="1961" xr:uid="{00000000-0005-0000-0000-0000771D0000}"/>
    <cellStyle name="Comma 2 10 2 3 2" xfId="17973" xr:uid="{00000000-0005-0000-0000-0000781D0000}"/>
    <cellStyle name="Comma 2 10 2 3 3" xfId="9214" xr:uid="{00000000-0005-0000-0000-0000791D0000}"/>
    <cellStyle name="Comma 2 10 2 4" xfId="3629" xr:uid="{00000000-0005-0000-0000-00007A1D0000}"/>
    <cellStyle name="Comma 2 10 2 5" xfId="3238" xr:uid="{00000000-0005-0000-0000-00007B1D0000}"/>
    <cellStyle name="Comma 2 10 2 6" xfId="6809" xr:uid="{00000000-0005-0000-0000-00007C1D0000}"/>
    <cellStyle name="Comma 2 10 3" xfId="542" xr:uid="{00000000-0005-0000-0000-00007D1D0000}"/>
    <cellStyle name="Comma 2 10 3 2" xfId="17974" xr:uid="{00000000-0005-0000-0000-00007E1D0000}"/>
    <cellStyle name="Comma 2 10 3 3" xfId="9215" xr:uid="{00000000-0005-0000-0000-00007F1D0000}"/>
    <cellStyle name="Comma 2 10 3 4" xfId="23501" xr:uid="{00000000-0005-0000-0000-0000801D0000}"/>
    <cellStyle name="Comma 2 10 4" xfId="1960" xr:uid="{00000000-0005-0000-0000-0000811D0000}"/>
    <cellStyle name="Comma 2 10 4 2" xfId="17975" xr:uid="{00000000-0005-0000-0000-0000821D0000}"/>
    <cellStyle name="Comma 2 10 4 3" xfId="9216" xr:uid="{00000000-0005-0000-0000-0000831D0000}"/>
    <cellStyle name="Comma 2 10 5" xfId="3606" xr:uid="{00000000-0005-0000-0000-0000841D0000}"/>
    <cellStyle name="Comma 2 10 6" xfId="3237" xr:uid="{00000000-0005-0000-0000-0000851D0000}"/>
    <cellStyle name="Comma 2 10 7" xfId="6808" xr:uid="{00000000-0005-0000-0000-0000861D0000}"/>
    <cellStyle name="Comma 2 11" xfId="125" xr:uid="{00000000-0005-0000-0000-0000871D0000}"/>
    <cellStyle name="Comma 2 11 2" xfId="381" xr:uid="{00000000-0005-0000-0000-0000881D0000}"/>
    <cellStyle name="Comma 2 11 2 2" xfId="543" xr:uid="{00000000-0005-0000-0000-0000891D0000}"/>
    <cellStyle name="Comma 2 11 2 2 2" xfId="17976" xr:uid="{00000000-0005-0000-0000-00008A1D0000}"/>
    <cellStyle name="Comma 2 11 2 2 3" xfId="9217" xr:uid="{00000000-0005-0000-0000-00008B1D0000}"/>
    <cellStyle name="Comma 2 11 2 2 4" xfId="23502" xr:uid="{00000000-0005-0000-0000-00008C1D0000}"/>
    <cellStyle name="Comma 2 11 2 3" xfId="1963" xr:uid="{00000000-0005-0000-0000-00008D1D0000}"/>
    <cellStyle name="Comma 2 11 2 3 2" xfId="17977" xr:uid="{00000000-0005-0000-0000-00008E1D0000}"/>
    <cellStyle name="Comma 2 11 2 3 3" xfId="9218" xr:uid="{00000000-0005-0000-0000-00008F1D0000}"/>
    <cellStyle name="Comma 2 11 2 4" xfId="3630" xr:uid="{00000000-0005-0000-0000-0000901D0000}"/>
    <cellStyle name="Comma 2 11 2 5" xfId="3240" xr:uid="{00000000-0005-0000-0000-0000911D0000}"/>
    <cellStyle name="Comma 2 11 2 6" xfId="6811" xr:uid="{00000000-0005-0000-0000-0000921D0000}"/>
    <cellStyle name="Comma 2 11 3" xfId="544" xr:uid="{00000000-0005-0000-0000-0000931D0000}"/>
    <cellStyle name="Comma 2 11 3 2" xfId="17978" xr:uid="{00000000-0005-0000-0000-0000941D0000}"/>
    <cellStyle name="Comma 2 11 3 3" xfId="9219" xr:uid="{00000000-0005-0000-0000-0000951D0000}"/>
    <cellStyle name="Comma 2 11 3 4" xfId="23503" xr:uid="{00000000-0005-0000-0000-0000961D0000}"/>
    <cellStyle name="Comma 2 11 4" xfId="1962" xr:uid="{00000000-0005-0000-0000-0000971D0000}"/>
    <cellStyle name="Comma 2 11 4 2" xfId="17979" xr:uid="{00000000-0005-0000-0000-0000981D0000}"/>
    <cellStyle name="Comma 2 11 4 3" xfId="9220" xr:uid="{00000000-0005-0000-0000-0000991D0000}"/>
    <cellStyle name="Comma 2 11 5" xfId="3607" xr:uid="{00000000-0005-0000-0000-00009A1D0000}"/>
    <cellStyle name="Comma 2 11 6" xfId="3239" xr:uid="{00000000-0005-0000-0000-00009B1D0000}"/>
    <cellStyle name="Comma 2 11 7" xfId="6810" xr:uid="{00000000-0005-0000-0000-00009C1D0000}"/>
    <cellStyle name="Comma 2 12" xfId="126" xr:uid="{00000000-0005-0000-0000-00009D1D0000}"/>
    <cellStyle name="Comma 2 12 2" xfId="382" xr:uid="{00000000-0005-0000-0000-00009E1D0000}"/>
    <cellStyle name="Comma 2 12 2 2" xfId="545" xr:uid="{00000000-0005-0000-0000-00009F1D0000}"/>
    <cellStyle name="Comma 2 12 2 2 2" xfId="17980" xr:uid="{00000000-0005-0000-0000-0000A01D0000}"/>
    <cellStyle name="Comma 2 12 2 2 3" xfId="9221" xr:uid="{00000000-0005-0000-0000-0000A11D0000}"/>
    <cellStyle name="Comma 2 12 2 2 4" xfId="23504" xr:uid="{00000000-0005-0000-0000-0000A21D0000}"/>
    <cellStyle name="Comma 2 12 2 3" xfId="1965" xr:uid="{00000000-0005-0000-0000-0000A31D0000}"/>
    <cellStyle name="Comma 2 12 2 3 2" xfId="17981" xr:uid="{00000000-0005-0000-0000-0000A41D0000}"/>
    <cellStyle name="Comma 2 12 2 3 3" xfId="9222" xr:uid="{00000000-0005-0000-0000-0000A51D0000}"/>
    <cellStyle name="Comma 2 12 2 4" xfId="3631" xr:uid="{00000000-0005-0000-0000-0000A61D0000}"/>
    <cellStyle name="Comma 2 12 2 5" xfId="3242" xr:uid="{00000000-0005-0000-0000-0000A71D0000}"/>
    <cellStyle name="Comma 2 12 2 6" xfId="6813" xr:uid="{00000000-0005-0000-0000-0000A81D0000}"/>
    <cellStyle name="Comma 2 12 3" xfId="546" xr:uid="{00000000-0005-0000-0000-0000A91D0000}"/>
    <cellStyle name="Comma 2 12 3 2" xfId="17982" xr:uid="{00000000-0005-0000-0000-0000AA1D0000}"/>
    <cellStyle name="Comma 2 12 3 3" xfId="9223" xr:uid="{00000000-0005-0000-0000-0000AB1D0000}"/>
    <cellStyle name="Comma 2 12 3 4" xfId="23505" xr:uid="{00000000-0005-0000-0000-0000AC1D0000}"/>
    <cellStyle name="Comma 2 12 4" xfId="1964" xr:uid="{00000000-0005-0000-0000-0000AD1D0000}"/>
    <cellStyle name="Comma 2 12 4 2" xfId="17983" xr:uid="{00000000-0005-0000-0000-0000AE1D0000}"/>
    <cellStyle name="Comma 2 12 4 3" xfId="9224" xr:uid="{00000000-0005-0000-0000-0000AF1D0000}"/>
    <cellStyle name="Comma 2 12 5" xfId="3608" xr:uid="{00000000-0005-0000-0000-0000B01D0000}"/>
    <cellStyle name="Comma 2 12 6" xfId="3241" xr:uid="{00000000-0005-0000-0000-0000B11D0000}"/>
    <cellStyle name="Comma 2 12 7" xfId="6812" xr:uid="{00000000-0005-0000-0000-0000B21D0000}"/>
    <cellStyle name="Comma 2 13" xfId="127" xr:uid="{00000000-0005-0000-0000-0000B31D0000}"/>
    <cellStyle name="Comma 2 13 2" xfId="383" xr:uid="{00000000-0005-0000-0000-0000B41D0000}"/>
    <cellStyle name="Comma 2 13 2 2" xfId="547" xr:uid="{00000000-0005-0000-0000-0000B51D0000}"/>
    <cellStyle name="Comma 2 13 2 2 2" xfId="17984" xr:uid="{00000000-0005-0000-0000-0000B61D0000}"/>
    <cellStyle name="Comma 2 13 2 2 3" xfId="9225" xr:uid="{00000000-0005-0000-0000-0000B71D0000}"/>
    <cellStyle name="Comma 2 13 2 2 4" xfId="23506" xr:uid="{00000000-0005-0000-0000-0000B81D0000}"/>
    <cellStyle name="Comma 2 13 2 3" xfId="1967" xr:uid="{00000000-0005-0000-0000-0000B91D0000}"/>
    <cellStyle name="Comma 2 13 2 3 2" xfId="17985" xr:uid="{00000000-0005-0000-0000-0000BA1D0000}"/>
    <cellStyle name="Comma 2 13 2 3 3" xfId="9226" xr:uid="{00000000-0005-0000-0000-0000BB1D0000}"/>
    <cellStyle name="Comma 2 13 2 4" xfId="3632" xr:uid="{00000000-0005-0000-0000-0000BC1D0000}"/>
    <cellStyle name="Comma 2 13 2 5" xfId="3244" xr:uid="{00000000-0005-0000-0000-0000BD1D0000}"/>
    <cellStyle name="Comma 2 13 2 6" xfId="6815" xr:uid="{00000000-0005-0000-0000-0000BE1D0000}"/>
    <cellStyle name="Comma 2 13 3" xfId="548" xr:uid="{00000000-0005-0000-0000-0000BF1D0000}"/>
    <cellStyle name="Comma 2 13 3 2" xfId="17986" xr:uid="{00000000-0005-0000-0000-0000C01D0000}"/>
    <cellStyle name="Comma 2 13 3 3" xfId="9227" xr:uid="{00000000-0005-0000-0000-0000C11D0000}"/>
    <cellStyle name="Comma 2 13 3 4" xfId="23507" xr:uid="{00000000-0005-0000-0000-0000C21D0000}"/>
    <cellStyle name="Comma 2 13 4" xfId="1966" xr:uid="{00000000-0005-0000-0000-0000C31D0000}"/>
    <cellStyle name="Comma 2 13 4 2" xfId="17987" xr:uid="{00000000-0005-0000-0000-0000C41D0000}"/>
    <cellStyle name="Comma 2 13 4 3" xfId="9228" xr:uid="{00000000-0005-0000-0000-0000C51D0000}"/>
    <cellStyle name="Comma 2 13 5" xfId="3609" xr:uid="{00000000-0005-0000-0000-0000C61D0000}"/>
    <cellStyle name="Comma 2 13 6" xfId="3243" xr:uid="{00000000-0005-0000-0000-0000C71D0000}"/>
    <cellStyle name="Comma 2 13 7" xfId="6814" xr:uid="{00000000-0005-0000-0000-0000C81D0000}"/>
    <cellStyle name="Comma 2 14" xfId="128" xr:uid="{00000000-0005-0000-0000-0000C91D0000}"/>
    <cellStyle name="Comma 2 14 2" xfId="384" xr:uid="{00000000-0005-0000-0000-0000CA1D0000}"/>
    <cellStyle name="Comma 2 14 2 2" xfId="549" xr:uid="{00000000-0005-0000-0000-0000CB1D0000}"/>
    <cellStyle name="Comma 2 14 2 2 2" xfId="17988" xr:uid="{00000000-0005-0000-0000-0000CC1D0000}"/>
    <cellStyle name="Comma 2 14 2 2 3" xfId="9229" xr:uid="{00000000-0005-0000-0000-0000CD1D0000}"/>
    <cellStyle name="Comma 2 14 2 2 4" xfId="23508" xr:uid="{00000000-0005-0000-0000-0000CE1D0000}"/>
    <cellStyle name="Comma 2 14 2 3" xfId="1969" xr:uid="{00000000-0005-0000-0000-0000CF1D0000}"/>
    <cellStyle name="Comma 2 14 2 3 2" xfId="17989" xr:uid="{00000000-0005-0000-0000-0000D01D0000}"/>
    <cellStyle name="Comma 2 14 2 3 3" xfId="9230" xr:uid="{00000000-0005-0000-0000-0000D11D0000}"/>
    <cellStyle name="Comma 2 14 2 4" xfId="3633" xr:uid="{00000000-0005-0000-0000-0000D21D0000}"/>
    <cellStyle name="Comma 2 14 2 5" xfId="3246" xr:uid="{00000000-0005-0000-0000-0000D31D0000}"/>
    <cellStyle name="Comma 2 14 2 6" xfId="6817" xr:uid="{00000000-0005-0000-0000-0000D41D0000}"/>
    <cellStyle name="Comma 2 14 3" xfId="550" xr:uid="{00000000-0005-0000-0000-0000D51D0000}"/>
    <cellStyle name="Comma 2 14 3 2" xfId="17990" xr:uid="{00000000-0005-0000-0000-0000D61D0000}"/>
    <cellStyle name="Comma 2 14 3 3" xfId="9231" xr:uid="{00000000-0005-0000-0000-0000D71D0000}"/>
    <cellStyle name="Comma 2 14 3 4" xfId="23509" xr:uid="{00000000-0005-0000-0000-0000D81D0000}"/>
    <cellStyle name="Comma 2 14 4" xfId="1968" xr:uid="{00000000-0005-0000-0000-0000D91D0000}"/>
    <cellStyle name="Comma 2 14 4 2" xfId="17991" xr:uid="{00000000-0005-0000-0000-0000DA1D0000}"/>
    <cellStyle name="Comma 2 14 4 3" xfId="9232" xr:uid="{00000000-0005-0000-0000-0000DB1D0000}"/>
    <cellStyle name="Comma 2 14 5" xfId="3610" xr:uid="{00000000-0005-0000-0000-0000DC1D0000}"/>
    <cellStyle name="Comma 2 14 6" xfId="3245" xr:uid="{00000000-0005-0000-0000-0000DD1D0000}"/>
    <cellStyle name="Comma 2 14 7" xfId="6816" xr:uid="{00000000-0005-0000-0000-0000DE1D0000}"/>
    <cellStyle name="Comma 2 15" xfId="129" xr:uid="{00000000-0005-0000-0000-0000DF1D0000}"/>
    <cellStyle name="Comma 2 15 2" xfId="385" xr:uid="{00000000-0005-0000-0000-0000E01D0000}"/>
    <cellStyle name="Comma 2 15 2 2" xfId="551" xr:uid="{00000000-0005-0000-0000-0000E11D0000}"/>
    <cellStyle name="Comma 2 15 2 2 2" xfId="17992" xr:uid="{00000000-0005-0000-0000-0000E21D0000}"/>
    <cellStyle name="Comma 2 15 2 2 3" xfId="9233" xr:uid="{00000000-0005-0000-0000-0000E31D0000}"/>
    <cellStyle name="Comma 2 15 2 2 4" xfId="23510" xr:uid="{00000000-0005-0000-0000-0000E41D0000}"/>
    <cellStyle name="Comma 2 15 2 3" xfId="1971" xr:uid="{00000000-0005-0000-0000-0000E51D0000}"/>
    <cellStyle name="Comma 2 15 2 3 2" xfId="17993" xr:uid="{00000000-0005-0000-0000-0000E61D0000}"/>
    <cellStyle name="Comma 2 15 2 3 3" xfId="9234" xr:uid="{00000000-0005-0000-0000-0000E71D0000}"/>
    <cellStyle name="Comma 2 15 2 4" xfId="3634" xr:uid="{00000000-0005-0000-0000-0000E81D0000}"/>
    <cellStyle name="Comma 2 15 2 5" xfId="3248" xr:uid="{00000000-0005-0000-0000-0000E91D0000}"/>
    <cellStyle name="Comma 2 15 2 6" xfId="6819" xr:uid="{00000000-0005-0000-0000-0000EA1D0000}"/>
    <cellStyle name="Comma 2 15 3" xfId="552" xr:uid="{00000000-0005-0000-0000-0000EB1D0000}"/>
    <cellStyle name="Comma 2 15 3 2" xfId="17994" xr:uid="{00000000-0005-0000-0000-0000EC1D0000}"/>
    <cellStyle name="Comma 2 15 3 3" xfId="9235" xr:uid="{00000000-0005-0000-0000-0000ED1D0000}"/>
    <cellStyle name="Comma 2 15 3 4" xfId="23511" xr:uid="{00000000-0005-0000-0000-0000EE1D0000}"/>
    <cellStyle name="Comma 2 15 4" xfId="1970" xr:uid="{00000000-0005-0000-0000-0000EF1D0000}"/>
    <cellStyle name="Comma 2 15 4 2" xfId="17995" xr:uid="{00000000-0005-0000-0000-0000F01D0000}"/>
    <cellStyle name="Comma 2 15 4 3" xfId="9236" xr:uid="{00000000-0005-0000-0000-0000F11D0000}"/>
    <cellStyle name="Comma 2 15 5" xfId="3611" xr:uid="{00000000-0005-0000-0000-0000F21D0000}"/>
    <cellStyle name="Comma 2 15 6" xfId="3247" xr:uid="{00000000-0005-0000-0000-0000F31D0000}"/>
    <cellStyle name="Comma 2 15 7" xfId="6818" xr:uid="{00000000-0005-0000-0000-0000F41D0000}"/>
    <cellStyle name="Comma 2 16" xfId="130" xr:uid="{00000000-0005-0000-0000-0000F51D0000}"/>
    <cellStyle name="Comma 2 16 2" xfId="386" xr:uid="{00000000-0005-0000-0000-0000F61D0000}"/>
    <cellStyle name="Comma 2 16 2 2" xfId="553" xr:uid="{00000000-0005-0000-0000-0000F71D0000}"/>
    <cellStyle name="Comma 2 16 2 2 2" xfId="17996" xr:uid="{00000000-0005-0000-0000-0000F81D0000}"/>
    <cellStyle name="Comma 2 16 2 2 3" xfId="9237" xr:uid="{00000000-0005-0000-0000-0000F91D0000}"/>
    <cellStyle name="Comma 2 16 2 2 4" xfId="23512" xr:uid="{00000000-0005-0000-0000-0000FA1D0000}"/>
    <cellStyle name="Comma 2 16 2 3" xfId="1973" xr:uid="{00000000-0005-0000-0000-0000FB1D0000}"/>
    <cellStyle name="Comma 2 16 2 3 2" xfId="17997" xr:uid="{00000000-0005-0000-0000-0000FC1D0000}"/>
    <cellStyle name="Comma 2 16 2 3 3" xfId="9238" xr:uid="{00000000-0005-0000-0000-0000FD1D0000}"/>
    <cellStyle name="Comma 2 16 2 4" xfId="3635" xr:uid="{00000000-0005-0000-0000-0000FE1D0000}"/>
    <cellStyle name="Comma 2 16 2 5" xfId="3250" xr:uid="{00000000-0005-0000-0000-0000FF1D0000}"/>
    <cellStyle name="Comma 2 16 2 6" xfId="6821" xr:uid="{00000000-0005-0000-0000-0000001E0000}"/>
    <cellStyle name="Comma 2 16 3" xfId="554" xr:uid="{00000000-0005-0000-0000-0000011E0000}"/>
    <cellStyle name="Comma 2 16 3 2" xfId="17998" xr:uid="{00000000-0005-0000-0000-0000021E0000}"/>
    <cellStyle name="Comma 2 16 3 3" xfId="9239" xr:uid="{00000000-0005-0000-0000-0000031E0000}"/>
    <cellStyle name="Comma 2 16 3 4" xfId="23513" xr:uid="{00000000-0005-0000-0000-0000041E0000}"/>
    <cellStyle name="Comma 2 16 4" xfId="1972" xr:uid="{00000000-0005-0000-0000-0000051E0000}"/>
    <cellStyle name="Comma 2 16 4 2" xfId="17999" xr:uid="{00000000-0005-0000-0000-0000061E0000}"/>
    <cellStyle name="Comma 2 16 4 3" xfId="9240" xr:uid="{00000000-0005-0000-0000-0000071E0000}"/>
    <cellStyle name="Comma 2 16 5" xfId="3612" xr:uid="{00000000-0005-0000-0000-0000081E0000}"/>
    <cellStyle name="Comma 2 16 6" xfId="3249" xr:uid="{00000000-0005-0000-0000-0000091E0000}"/>
    <cellStyle name="Comma 2 16 7" xfId="6820" xr:uid="{00000000-0005-0000-0000-00000A1E0000}"/>
    <cellStyle name="Comma 2 17" xfId="131" xr:uid="{00000000-0005-0000-0000-00000B1E0000}"/>
    <cellStyle name="Comma 2 17 2" xfId="387" xr:uid="{00000000-0005-0000-0000-00000C1E0000}"/>
    <cellStyle name="Comma 2 17 2 2" xfId="555" xr:uid="{00000000-0005-0000-0000-00000D1E0000}"/>
    <cellStyle name="Comma 2 17 2 2 2" xfId="18000" xr:uid="{00000000-0005-0000-0000-00000E1E0000}"/>
    <cellStyle name="Comma 2 17 2 2 3" xfId="9241" xr:uid="{00000000-0005-0000-0000-00000F1E0000}"/>
    <cellStyle name="Comma 2 17 2 2 4" xfId="23514" xr:uid="{00000000-0005-0000-0000-0000101E0000}"/>
    <cellStyle name="Comma 2 17 2 3" xfId="1975" xr:uid="{00000000-0005-0000-0000-0000111E0000}"/>
    <cellStyle name="Comma 2 17 2 3 2" xfId="18001" xr:uid="{00000000-0005-0000-0000-0000121E0000}"/>
    <cellStyle name="Comma 2 17 2 3 3" xfId="9242" xr:uid="{00000000-0005-0000-0000-0000131E0000}"/>
    <cellStyle name="Comma 2 17 2 4" xfId="3636" xr:uid="{00000000-0005-0000-0000-0000141E0000}"/>
    <cellStyle name="Comma 2 17 2 5" xfId="3252" xr:uid="{00000000-0005-0000-0000-0000151E0000}"/>
    <cellStyle name="Comma 2 17 2 6" xfId="6823" xr:uid="{00000000-0005-0000-0000-0000161E0000}"/>
    <cellStyle name="Comma 2 17 3" xfId="556" xr:uid="{00000000-0005-0000-0000-0000171E0000}"/>
    <cellStyle name="Comma 2 17 3 2" xfId="18002" xr:uid="{00000000-0005-0000-0000-0000181E0000}"/>
    <cellStyle name="Comma 2 17 3 3" xfId="9243" xr:uid="{00000000-0005-0000-0000-0000191E0000}"/>
    <cellStyle name="Comma 2 17 3 4" xfId="23515" xr:uid="{00000000-0005-0000-0000-00001A1E0000}"/>
    <cellStyle name="Comma 2 17 4" xfId="1974" xr:uid="{00000000-0005-0000-0000-00001B1E0000}"/>
    <cellStyle name="Comma 2 17 4 2" xfId="18003" xr:uid="{00000000-0005-0000-0000-00001C1E0000}"/>
    <cellStyle name="Comma 2 17 4 3" xfId="9244" xr:uid="{00000000-0005-0000-0000-00001D1E0000}"/>
    <cellStyle name="Comma 2 17 5" xfId="3613" xr:uid="{00000000-0005-0000-0000-00001E1E0000}"/>
    <cellStyle name="Comma 2 17 6" xfId="3251" xr:uid="{00000000-0005-0000-0000-00001F1E0000}"/>
    <cellStyle name="Comma 2 17 7" xfId="6822" xr:uid="{00000000-0005-0000-0000-0000201E0000}"/>
    <cellStyle name="Comma 2 18" xfId="132" xr:uid="{00000000-0005-0000-0000-0000211E0000}"/>
    <cellStyle name="Comma 2 18 2" xfId="388" xr:uid="{00000000-0005-0000-0000-0000221E0000}"/>
    <cellStyle name="Comma 2 18 2 2" xfId="557" xr:uid="{00000000-0005-0000-0000-0000231E0000}"/>
    <cellStyle name="Comma 2 18 2 2 2" xfId="18004" xr:uid="{00000000-0005-0000-0000-0000241E0000}"/>
    <cellStyle name="Comma 2 18 2 2 3" xfId="9245" xr:uid="{00000000-0005-0000-0000-0000251E0000}"/>
    <cellStyle name="Comma 2 18 2 2 4" xfId="23516" xr:uid="{00000000-0005-0000-0000-0000261E0000}"/>
    <cellStyle name="Comma 2 18 2 3" xfId="1977" xr:uid="{00000000-0005-0000-0000-0000271E0000}"/>
    <cellStyle name="Comma 2 18 2 3 2" xfId="18005" xr:uid="{00000000-0005-0000-0000-0000281E0000}"/>
    <cellStyle name="Comma 2 18 2 3 3" xfId="9246" xr:uid="{00000000-0005-0000-0000-0000291E0000}"/>
    <cellStyle name="Comma 2 18 2 4" xfId="3637" xr:uid="{00000000-0005-0000-0000-00002A1E0000}"/>
    <cellStyle name="Comma 2 18 2 5" xfId="3254" xr:uid="{00000000-0005-0000-0000-00002B1E0000}"/>
    <cellStyle name="Comma 2 18 2 6" xfId="6825" xr:uid="{00000000-0005-0000-0000-00002C1E0000}"/>
    <cellStyle name="Comma 2 18 3" xfId="558" xr:uid="{00000000-0005-0000-0000-00002D1E0000}"/>
    <cellStyle name="Comma 2 18 3 2" xfId="18006" xr:uid="{00000000-0005-0000-0000-00002E1E0000}"/>
    <cellStyle name="Comma 2 18 3 3" xfId="9247" xr:uid="{00000000-0005-0000-0000-00002F1E0000}"/>
    <cellStyle name="Comma 2 18 3 4" xfId="23517" xr:uid="{00000000-0005-0000-0000-0000301E0000}"/>
    <cellStyle name="Comma 2 18 4" xfId="1976" xr:uid="{00000000-0005-0000-0000-0000311E0000}"/>
    <cellStyle name="Comma 2 18 4 2" xfId="18007" xr:uid="{00000000-0005-0000-0000-0000321E0000}"/>
    <cellStyle name="Comma 2 18 4 3" xfId="9248" xr:uid="{00000000-0005-0000-0000-0000331E0000}"/>
    <cellStyle name="Comma 2 18 5" xfId="3614" xr:uid="{00000000-0005-0000-0000-0000341E0000}"/>
    <cellStyle name="Comma 2 18 6" xfId="3253" xr:uid="{00000000-0005-0000-0000-0000351E0000}"/>
    <cellStyle name="Comma 2 18 7" xfId="6824" xr:uid="{00000000-0005-0000-0000-0000361E0000}"/>
    <cellStyle name="Comma 2 19" xfId="133" xr:uid="{00000000-0005-0000-0000-0000371E0000}"/>
    <cellStyle name="Comma 2 19 2" xfId="389" xr:uid="{00000000-0005-0000-0000-0000381E0000}"/>
    <cellStyle name="Comma 2 19 2 2" xfId="559" xr:uid="{00000000-0005-0000-0000-0000391E0000}"/>
    <cellStyle name="Comma 2 19 2 2 2" xfId="18008" xr:uid="{00000000-0005-0000-0000-00003A1E0000}"/>
    <cellStyle name="Comma 2 19 2 2 3" xfId="9249" xr:uid="{00000000-0005-0000-0000-00003B1E0000}"/>
    <cellStyle name="Comma 2 19 2 2 4" xfId="23518" xr:uid="{00000000-0005-0000-0000-00003C1E0000}"/>
    <cellStyle name="Comma 2 19 2 3" xfId="1979" xr:uid="{00000000-0005-0000-0000-00003D1E0000}"/>
    <cellStyle name="Comma 2 19 2 3 2" xfId="18009" xr:uid="{00000000-0005-0000-0000-00003E1E0000}"/>
    <cellStyle name="Comma 2 19 2 3 3" xfId="9250" xr:uid="{00000000-0005-0000-0000-00003F1E0000}"/>
    <cellStyle name="Comma 2 19 2 4" xfId="3638" xr:uid="{00000000-0005-0000-0000-0000401E0000}"/>
    <cellStyle name="Comma 2 19 2 5" xfId="3256" xr:uid="{00000000-0005-0000-0000-0000411E0000}"/>
    <cellStyle name="Comma 2 19 2 6" xfId="6827" xr:uid="{00000000-0005-0000-0000-0000421E0000}"/>
    <cellStyle name="Comma 2 19 3" xfId="560" xr:uid="{00000000-0005-0000-0000-0000431E0000}"/>
    <cellStyle name="Comma 2 19 3 2" xfId="18010" xr:uid="{00000000-0005-0000-0000-0000441E0000}"/>
    <cellStyle name="Comma 2 19 3 3" xfId="9251" xr:uid="{00000000-0005-0000-0000-0000451E0000}"/>
    <cellStyle name="Comma 2 19 3 4" xfId="23519" xr:uid="{00000000-0005-0000-0000-0000461E0000}"/>
    <cellStyle name="Comma 2 19 4" xfId="1978" xr:uid="{00000000-0005-0000-0000-0000471E0000}"/>
    <cellStyle name="Comma 2 19 4 2" xfId="18011" xr:uid="{00000000-0005-0000-0000-0000481E0000}"/>
    <cellStyle name="Comma 2 19 4 3" xfId="9252" xr:uid="{00000000-0005-0000-0000-0000491E0000}"/>
    <cellStyle name="Comma 2 19 5" xfId="3615" xr:uid="{00000000-0005-0000-0000-00004A1E0000}"/>
    <cellStyle name="Comma 2 19 6" xfId="3255" xr:uid="{00000000-0005-0000-0000-00004B1E0000}"/>
    <cellStyle name="Comma 2 19 7" xfId="6826" xr:uid="{00000000-0005-0000-0000-00004C1E0000}"/>
    <cellStyle name="Comma 2 2" xfId="134" xr:uid="{00000000-0005-0000-0000-00004D1E0000}"/>
    <cellStyle name="Comma 2 2 10" xfId="9254" xr:uid="{00000000-0005-0000-0000-00004E1E0000}"/>
    <cellStyle name="Comma 2 2 10 2" xfId="9255" xr:uid="{00000000-0005-0000-0000-00004F1E0000}"/>
    <cellStyle name="Comma 2 2 10 2 2" xfId="18013" xr:uid="{00000000-0005-0000-0000-0000501E0000}"/>
    <cellStyle name="Comma 2 2 11" xfId="9256" xr:uid="{00000000-0005-0000-0000-0000511E0000}"/>
    <cellStyle name="Comma 2 2 11 2" xfId="9257" xr:uid="{00000000-0005-0000-0000-0000521E0000}"/>
    <cellStyle name="Comma 2 2 11 2 2" xfId="18014" xr:uid="{00000000-0005-0000-0000-0000531E0000}"/>
    <cellStyle name="Comma 2 2 12" xfId="9258" xr:uid="{00000000-0005-0000-0000-0000541E0000}"/>
    <cellStyle name="Comma 2 2 12 2" xfId="9259" xr:uid="{00000000-0005-0000-0000-0000551E0000}"/>
    <cellStyle name="Comma 2 2 12 2 2" xfId="18015" xr:uid="{00000000-0005-0000-0000-0000561E0000}"/>
    <cellStyle name="Comma 2 2 13" xfId="9260" xr:uid="{00000000-0005-0000-0000-0000571E0000}"/>
    <cellStyle name="Comma 2 2 13 2" xfId="9261" xr:uid="{00000000-0005-0000-0000-0000581E0000}"/>
    <cellStyle name="Comma 2 2 13 2 2" xfId="18016" xr:uid="{00000000-0005-0000-0000-0000591E0000}"/>
    <cellStyle name="Comma 2 2 14" xfId="9262" xr:uid="{00000000-0005-0000-0000-00005A1E0000}"/>
    <cellStyle name="Comma 2 2 14 2" xfId="9263" xr:uid="{00000000-0005-0000-0000-00005B1E0000}"/>
    <cellStyle name="Comma 2 2 14 2 2" xfId="9264" xr:uid="{00000000-0005-0000-0000-00005C1E0000}"/>
    <cellStyle name="Comma 2 2 14 2 2 2" xfId="18017" xr:uid="{00000000-0005-0000-0000-00005D1E0000}"/>
    <cellStyle name="Comma 2 2 14 3" xfId="9265" xr:uid="{00000000-0005-0000-0000-00005E1E0000}"/>
    <cellStyle name="Comma 2 2 14 3 2" xfId="9266" xr:uid="{00000000-0005-0000-0000-00005F1E0000}"/>
    <cellStyle name="Comma 2 2 14 3 2 2" xfId="18018" xr:uid="{00000000-0005-0000-0000-0000601E0000}"/>
    <cellStyle name="Comma 2 2 14 4" xfId="9267" xr:uid="{00000000-0005-0000-0000-0000611E0000}"/>
    <cellStyle name="Comma 2 2 14 4 2" xfId="9268" xr:uid="{00000000-0005-0000-0000-0000621E0000}"/>
    <cellStyle name="Comma 2 2 14 4 2 2" xfId="18019" xr:uid="{00000000-0005-0000-0000-0000631E0000}"/>
    <cellStyle name="Comma 2 2 14 5" xfId="9269" xr:uid="{00000000-0005-0000-0000-0000641E0000}"/>
    <cellStyle name="Comma 2 2 14 5 2" xfId="9270" xr:uid="{00000000-0005-0000-0000-0000651E0000}"/>
    <cellStyle name="Comma 2 2 14 5 2 2" xfId="18020" xr:uid="{00000000-0005-0000-0000-0000661E0000}"/>
    <cellStyle name="Comma 2 2 14 6" xfId="9271" xr:uid="{00000000-0005-0000-0000-0000671E0000}"/>
    <cellStyle name="Comma 2 2 14 6 2" xfId="9272" xr:uid="{00000000-0005-0000-0000-0000681E0000}"/>
    <cellStyle name="Comma 2 2 14 6 2 2" xfId="18021" xr:uid="{00000000-0005-0000-0000-0000691E0000}"/>
    <cellStyle name="Comma 2 2 14 7" xfId="9273" xr:uid="{00000000-0005-0000-0000-00006A1E0000}"/>
    <cellStyle name="Comma 2 2 14 7 2" xfId="9274" xr:uid="{00000000-0005-0000-0000-00006B1E0000}"/>
    <cellStyle name="Comma 2 2 14 7 2 2" xfId="18022" xr:uid="{00000000-0005-0000-0000-00006C1E0000}"/>
    <cellStyle name="Comma 2 2 14 8" xfId="9275" xr:uid="{00000000-0005-0000-0000-00006D1E0000}"/>
    <cellStyle name="Comma 2 2 14 8 2" xfId="9276" xr:uid="{00000000-0005-0000-0000-00006E1E0000}"/>
    <cellStyle name="Comma 2 2 14 8 2 2" xfId="18023" xr:uid="{00000000-0005-0000-0000-00006F1E0000}"/>
    <cellStyle name="Comma 2 2 14 9" xfId="9277" xr:uid="{00000000-0005-0000-0000-0000701E0000}"/>
    <cellStyle name="Comma 2 2 14 9 2" xfId="18024" xr:uid="{00000000-0005-0000-0000-0000711E0000}"/>
    <cellStyle name="Comma 2 2 15" xfId="9278" xr:uid="{00000000-0005-0000-0000-0000721E0000}"/>
    <cellStyle name="Comma 2 2 15 2" xfId="9279" xr:uid="{00000000-0005-0000-0000-0000731E0000}"/>
    <cellStyle name="Comma 2 2 15 2 2" xfId="18025" xr:uid="{00000000-0005-0000-0000-0000741E0000}"/>
    <cellStyle name="Comma 2 2 16" xfId="9280" xr:uid="{00000000-0005-0000-0000-0000751E0000}"/>
    <cellStyle name="Comma 2 2 16 2" xfId="18026" xr:uid="{00000000-0005-0000-0000-0000761E0000}"/>
    <cellStyle name="Comma 2 2 17" xfId="9253" xr:uid="{00000000-0005-0000-0000-0000771E0000}"/>
    <cellStyle name="Comma 2 2 18" xfId="18012" xr:uid="{00000000-0005-0000-0000-0000781E0000}"/>
    <cellStyle name="Comma 2 2 19" xfId="7125" xr:uid="{00000000-0005-0000-0000-0000791E0000}"/>
    <cellStyle name="Comma 2 2 2" xfId="390" xr:uid="{00000000-0005-0000-0000-00007A1E0000}"/>
    <cellStyle name="Comma 2 2 2 10" xfId="22909" xr:uid="{00000000-0005-0000-0000-00007B1E0000}"/>
    <cellStyle name="Comma 2 2 2 11" xfId="23521" xr:uid="{00000000-0005-0000-0000-00007C1E0000}"/>
    <cellStyle name="Comma 2 2 2 12" xfId="24674" xr:uid="{00000000-0005-0000-0000-00007D1E0000}"/>
    <cellStyle name="Comma 2 2 2 13" xfId="25178" xr:uid="{00000000-0005-0000-0000-00007E1E0000}"/>
    <cellStyle name="Comma 2 2 2 14" xfId="25682" xr:uid="{00000000-0005-0000-0000-00007F1E0000}"/>
    <cellStyle name="Comma 2 2 2 15" xfId="26186" xr:uid="{00000000-0005-0000-0000-0000801E0000}"/>
    <cellStyle name="Comma 2 2 2 16" xfId="26690" xr:uid="{00000000-0005-0000-0000-0000811E0000}"/>
    <cellStyle name="Comma 2 2 2 17" xfId="27194" xr:uid="{00000000-0005-0000-0000-0000821E0000}"/>
    <cellStyle name="Comma 2 2 2 18" xfId="27698" xr:uid="{00000000-0005-0000-0000-0000831E0000}"/>
    <cellStyle name="Comma 2 2 2 19" xfId="28202" xr:uid="{00000000-0005-0000-0000-0000841E0000}"/>
    <cellStyle name="Comma 2 2 2 2" xfId="561" xr:uid="{00000000-0005-0000-0000-0000851E0000}"/>
    <cellStyle name="Comma 2 2 2 2 10" xfId="9283" xr:uid="{00000000-0005-0000-0000-0000861E0000}"/>
    <cellStyle name="Comma 2 2 2 2 10 2" xfId="18029" xr:uid="{00000000-0005-0000-0000-0000871E0000}"/>
    <cellStyle name="Comma 2 2 2 2 11" xfId="9282" xr:uid="{00000000-0005-0000-0000-0000881E0000}"/>
    <cellStyle name="Comma 2 2 2 2 12" xfId="18028" xr:uid="{00000000-0005-0000-0000-0000891E0000}"/>
    <cellStyle name="Comma 2 2 2 2 13" xfId="7127" xr:uid="{00000000-0005-0000-0000-00008A1E0000}"/>
    <cellStyle name="Comma 2 2 2 2 14" xfId="22910" xr:uid="{00000000-0005-0000-0000-00008B1E0000}"/>
    <cellStyle name="Comma 2 2 2 2 15" xfId="23522" xr:uid="{00000000-0005-0000-0000-00008C1E0000}"/>
    <cellStyle name="Comma 2 2 2 2 16" xfId="24675" xr:uid="{00000000-0005-0000-0000-00008D1E0000}"/>
    <cellStyle name="Comma 2 2 2 2 17" xfId="25179" xr:uid="{00000000-0005-0000-0000-00008E1E0000}"/>
    <cellStyle name="Comma 2 2 2 2 18" xfId="25683" xr:uid="{00000000-0005-0000-0000-00008F1E0000}"/>
    <cellStyle name="Comma 2 2 2 2 19" xfId="26187" xr:uid="{00000000-0005-0000-0000-0000901E0000}"/>
    <cellStyle name="Comma 2 2 2 2 2" xfId="1980" xr:uid="{00000000-0005-0000-0000-0000911E0000}"/>
    <cellStyle name="Comma 2 2 2 2 2 10" xfId="26188" xr:uid="{00000000-0005-0000-0000-0000921E0000}"/>
    <cellStyle name="Comma 2 2 2 2 2 11" xfId="26692" xr:uid="{00000000-0005-0000-0000-0000931E0000}"/>
    <cellStyle name="Comma 2 2 2 2 2 12" xfId="27196" xr:uid="{00000000-0005-0000-0000-0000941E0000}"/>
    <cellStyle name="Comma 2 2 2 2 2 13" xfId="27700" xr:uid="{00000000-0005-0000-0000-0000951E0000}"/>
    <cellStyle name="Comma 2 2 2 2 2 14" xfId="28204" xr:uid="{00000000-0005-0000-0000-0000961E0000}"/>
    <cellStyle name="Comma 2 2 2 2 2 15" xfId="28708" xr:uid="{00000000-0005-0000-0000-0000971E0000}"/>
    <cellStyle name="Comma 2 2 2 2 2 16" xfId="29212" xr:uid="{00000000-0005-0000-0000-0000981E0000}"/>
    <cellStyle name="Comma 2 2 2 2 2 17" xfId="29716" xr:uid="{00000000-0005-0000-0000-0000991E0000}"/>
    <cellStyle name="Comma 2 2 2 2 2 18" xfId="30220" xr:uid="{00000000-0005-0000-0000-00009A1E0000}"/>
    <cellStyle name="Comma 2 2 2 2 2 19" xfId="30725" xr:uid="{00000000-0005-0000-0000-00009B1E0000}"/>
    <cellStyle name="Comma 2 2 2 2 2 2" xfId="9284" xr:uid="{00000000-0005-0000-0000-00009C1E0000}"/>
    <cellStyle name="Comma 2 2 2 2 2 2 2" xfId="18031" xr:uid="{00000000-0005-0000-0000-00009D1E0000}"/>
    <cellStyle name="Comma 2 2 2 2 2 2 3" xfId="22912" xr:uid="{00000000-0005-0000-0000-00009E1E0000}"/>
    <cellStyle name="Comma 2 2 2 2 2 3" xfId="18030" xr:uid="{00000000-0005-0000-0000-00009F1E0000}"/>
    <cellStyle name="Comma 2 2 2 2 2 4" xfId="7282" xr:uid="{00000000-0005-0000-0000-0000A01E0000}"/>
    <cellStyle name="Comma 2 2 2 2 2 5" xfId="22911" xr:uid="{00000000-0005-0000-0000-0000A11E0000}"/>
    <cellStyle name="Comma 2 2 2 2 2 6" xfId="23523" xr:uid="{00000000-0005-0000-0000-0000A21E0000}"/>
    <cellStyle name="Comma 2 2 2 2 2 7" xfId="24676" xr:uid="{00000000-0005-0000-0000-0000A31E0000}"/>
    <cellStyle name="Comma 2 2 2 2 2 8" xfId="25180" xr:uid="{00000000-0005-0000-0000-0000A41E0000}"/>
    <cellStyle name="Comma 2 2 2 2 2 9" xfId="25684" xr:uid="{00000000-0005-0000-0000-0000A51E0000}"/>
    <cellStyle name="Comma 2 2 2 2 20" xfId="26691" xr:uid="{00000000-0005-0000-0000-0000A61E0000}"/>
    <cellStyle name="Comma 2 2 2 2 21" xfId="27195" xr:uid="{00000000-0005-0000-0000-0000A71E0000}"/>
    <cellStyle name="Comma 2 2 2 2 22" xfId="27699" xr:uid="{00000000-0005-0000-0000-0000A81E0000}"/>
    <cellStyle name="Comma 2 2 2 2 23" xfId="28203" xr:uid="{00000000-0005-0000-0000-0000A91E0000}"/>
    <cellStyle name="Comma 2 2 2 2 24" xfId="28707" xr:uid="{00000000-0005-0000-0000-0000AA1E0000}"/>
    <cellStyle name="Comma 2 2 2 2 25" xfId="29211" xr:uid="{00000000-0005-0000-0000-0000AB1E0000}"/>
    <cellStyle name="Comma 2 2 2 2 26" xfId="29715" xr:uid="{00000000-0005-0000-0000-0000AC1E0000}"/>
    <cellStyle name="Comma 2 2 2 2 27" xfId="30219" xr:uid="{00000000-0005-0000-0000-0000AD1E0000}"/>
    <cellStyle name="Comma 2 2 2 2 28" xfId="30724" xr:uid="{00000000-0005-0000-0000-0000AE1E0000}"/>
    <cellStyle name="Comma 2 2 2 2 3" xfId="3668" xr:uid="{00000000-0005-0000-0000-0000AF1E0000}"/>
    <cellStyle name="Comma 2 2 2 2 3 10" xfId="26693" xr:uid="{00000000-0005-0000-0000-0000B01E0000}"/>
    <cellStyle name="Comma 2 2 2 2 3 11" xfId="27197" xr:uid="{00000000-0005-0000-0000-0000B11E0000}"/>
    <cellStyle name="Comma 2 2 2 2 3 12" xfId="27701" xr:uid="{00000000-0005-0000-0000-0000B21E0000}"/>
    <cellStyle name="Comma 2 2 2 2 3 13" xfId="28205" xr:uid="{00000000-0005-0000-0000-0000B31E0000}"/>
    <cellStyle name="Comma 2 2 2 2 3 14" xfId="28709" xr:uid="{00000000-0005-0000-0000-0000B41E0000}"/>
    <cellStyle name="Comma 2 2 2 2 3 15" xfId="29213" xr:uid="{00000000-0005-0000-0000-0000B51E0000}"/>
    <cellStyle name="Comma 2 2 2 2 3 16" xfId="29717" xr:uid="{00000000-0005-0000-0000-0000B61E0000}"/>
    <cellStyle name="Comma 2 2 2 2 3 17" xfId="30221" xr:uid="{00000000-0005-0000-0000-0000B71E0000}"/>
    <cellStyle name="Comma 2 2 2 2 3 18" xfId="30726" xr:uid="{00000000-0005-0000-0000-0000B81E0000}"/>
    <cellStyle name="Comma 2 2 2 2 3 2" xfId="9286" xr:uid="{00000000-0005-0000-0000-0000B91E0000}"/>
    <cellStyle name="Comma 2 2 2 2 3 2 2" xfId="18032" xr:uid="{00000000-0005-0000-0000-0000BA1E0000}"/>
    <cellStyle name="Comma 2 2 2 2 3 3" xfId="9285" xr:uid="{00000000-0005-0000-0000-0000BB1E0000}"/>
    <cellStyle name="Comma 2 2 2 2 3 4" xfId="22913" xr:uid="{00000000-0005-0000-0000-0000BC1E0000}"/>
    <cellStyle name="Comma 2 2 2 2 3 5" xfId="23524" xr:uid="{00000000-0005-0000-0000-0000BD1E0000}"/>
    <cellStyle name="Comma 2 2 2 2 3 6" xfId="24677" xr:uid="{00000000-0005-0000-0000-0000BE1E0000}"/>
    <cellStyle name="Comma 2 2 2 2 3 7" xfId="25181" xr:uid="{00000000-0005-0000-0000-0000BF1E0000}"/>
    <cellStyle name="Comma 2 2 2 2 3 8" xfId="25685" xr:uid="{00000000-0005-0000-0000-0000C01E0000}"/>
    <cellStyle name="Comma 2 2 2 2 3 9" xfId="26189" xr:uid="{00000000-0005-0000-0000-0000C11E0000}"/>
    <cellStyle name="Comma 2 2 2 2 4" xfId="6828" xr:uid="{00000000-0005-0000-0000-0000C21E0000}"/>
    <cellStyle name="Comma 2 2 2 2 4 10" xfId="27198" xr:uid="{00000000-0005-0000-0000-0000C31E0000}"/>
    <cellStyle name="Comma 2 2 2 2 4 11" xfId="27702" xr:uid="{00000000-0005-0000-0000-0000C41E0000}"/>
    <cellStyle name="Comma 2 2 2 2 4 12" xfId="28206" xr:uid="{00000000-0005-0000-0000-0000C51E0000}"/>
    <cellStyle name="Comma 2 2 2 2 4 13" xfId="28710" xr:uid="{00000000-0005-0000-0000-0000C61E0000}"/>
    <cellStyle name="Comma 2 2 2 2 4 14" xfId="29214" xr:uid="{00000000-0005-0000-0000-0000C71E0000}"/>
    <cellStyle name="Comma 2 2 2 2 4 15" xfId="29718" xr:uid="{00000000-0005-0000-0000-0000C81E0000}"/>
    <cellStyle name="Comma 2 2 2 2 4 16" xfId="30222" xr:uid="{00000000-0005-0000-0000-0000C91E0000}"/>
    <cellStyle name="Comma 2 2 2 2 4 17" xfId="30727" xr:uid="{00000000-0005-0000-0000-0000CA1E0000}"/>
    <cellStyle name="Comma 2 2 2 2 4 2" xfId="9288" xr:uid="{00000000-0005-0000-0000-0000CB1E0000}"/>
    <cellStyle name="Comma 2 2 2 2 4 2 2" xfId="18033" xr:uid="{00000000-0005-0000-0000-0000CC1E0000}"/>
    <cellStyle name="Comma 2 2 2 2 4 3" xfId="9287" xr:uid="{00000000-0005-0000-0000-0000CD1E0000}"/>
    <cellStyle name="Comma 2 2 2 2 4 4" xfId="23525" xr:uid="{00000000-0005-0000-0000-0000CE1E0000}"/>
    <cellStyle name="Comma 2 2 2 2 4 5" xfId="24678" xr:uid="{00000000-0005-0000-0000-0000CF1E0000}"/>
    <cellStyle name="Comma 2 2 2 2 4 6" xfId="25182" xr:uid="{00000000-0005-0000-0000-0000D01E0000}"/>
    <cellStyle name="Comma 2 2 2 2 4 7" xfId="25686" xr:uid="{00000000-0005-0000-0000-0000D11E0000}"/>
    <cellStyle name="Comma 2 2 2 2 4 8" xfId="26190" xr:uid="{00000000-0005-0000-0000-0000D21E0000}"/>
    <cellStyle name="Comma 2 2 2 2 4 9" xfId="26694" xr:uid="{00000000-0005-0000-0000-0000D31E0000}"/>
    <cellStyle name="Comma 2 2 2 2 5" xfId="9289" xr:uid="{00000000-0005-0000-0000-0000D41E0000}"/>
    <cellStyle name="Comma 2 2 2 2 5 2" xfId="9290" xr:uid="{00000000-0005-0000-0000-0000D51E0000}"/>
    <cellStyle name="Comma 2 2 2 2 5 2 2" xfId="18034" xr:uid="{00000000-0005-0000-0000-0000D61E0000}"/>
    <cellStyle name="Comma 2 2 2 2 6" xfId="9291" xr:uid="{00000000-0005-0000-0000-0000D71E0000}"/>
    <cellStyle name="Comma 2 2 2 2 6 2" xfId="9292" xr:uid="{00000000-0005-0000-0000-0000D81E0000}"/>
    <cellStyle name="Comma 2 2 2 2 6 2 2" xfId="18035" xr:uid="{00000000-0005-0000-0000-0000D91E0000}"/>
    <cellStyle name="Comma 2 2 2 2 7" xfId="9293" xr:uid="{00000000-0005-0000-0000-0000DA1E0000}"/>
    <cellStyle name="Comma 2 2 2 2 7 2" xfId="9294" xr:uid="{00000000-0005-0000-0000-0000DB1E0000}"/>
    <cellStyle name="Comma 2 2 2 2 7 2 2" xfId="18036" xr:uid="{00000000-0005-0000-0000-0000DC1E0000}"/>
    <cellStyle name="Comma 2 2 2 2 8" xfId="9295" xr:uid="{00000000-0005-0000-0000-0000DD1E0000}"/>
    <cellStyle name="Comma 2 2 2 2 8 2" xfId="18037" xr:uid="{00000000-0005-0000-0000-0000DE1E0000}"/>
    <cellStyle name="Comma 2 2 2 2 9" xfId="9296" xr:uid="{00000000-0005-0000-0000-0000DF1E0000}"/>
    <cellStyle name="Comma 2 2 2 2 9 2" xfId="18038" xr:uid="{00000000-0005-0000-0000-0000E01E0000}"/>
    <cellStyle name="Comma 2 2 2 20" xfId="28706" xr:uid="{00000000-0005-0000-0000-0000E11E0000}"/>
    <cellStyle name="Comma 2 2 2 21" xfId="29210" xr:uid="{00000000-0005-0000-0000-0000E21E0000}"/>
    <cellStyle name="Comma 2 2 2 22" xfId="29714" xr:uid="{00000000-0005-0000-0000-0000E31E0000}"/>
    <cellStyle name="Comma 2 2 2 23" xfId="30218" xr:uid="{00000000-0005-0000-0000-0000E41E0000}"/>
    <cellStyle name="Comma 2 2 2 24" xfId="30723" xr:uid="{00000000-0005-0000-0000-0000E51E0000}"/>
    <cellStyle name="Comma 2 2 2 3" xfId="1981" xr:uid="{00000000-0005-0000-0000-0000E61E0000}"/>
    <cellStyle name="Comma 2 2 2 3 10" xfId="26191" xr:uid="{00000000-0005-0000-0000-0000E71E0000}"/>
    <cellStyle name="Comma 2 2 2 3 11" xfId="26695" xr:uid="{00000000-0005-0000-0000-0000E81E0000}"/>
    <cellStyle name="Comma 2 2 2 3 12" xfId="27199" xr:uid="{00000000-0005-0000-0000-0000E91E0000}"/>
    <cellStyle name="Comma 2 2 2 3 13" xfId="27703" xr:uid="{00000000-0005-0000-0000-0000EA1E0000}"/>
    <cellStyle name="Comma 2 2 2 3 14" xfId="28207" xr:uid="{00000000-0005-0000-0000-0000EB1E0000}"/>
    <cellStyle name="Comma 2 2 2 3 15" xfId="28711" xr:uid="{00000000-0005-0000-0000-0000EC1E0000}"/>
    <cellStyle name="Comma 2 2 2 3 16" xfId="29215" xr:uid="{00000000-0005-0000-0000-0000ED1E0000}"/>
    <cellStyle name="Comma 2 2 2 3 17" xfId="29719" xr:uid="{00000000-0005-0000-0000-0000EE1E0000}"/>
    <cellStyle name="Comma 2 2 2 3 18" xfId="30223" xr:uid="{00000000-0005-0000-0000-0000EF1E0000}"/>
    <cellStyle name="Comma 2 2 2 3 19" xfId="30728" xr:uid="{00000000-0005-0000-0000-0000F01E0000}"/>
    <cellStyle name="Comma 2 2 2 3 2" xfId="7283" xr:uid="{00000000-0005-0000-0000-0000F11E0000}"/>
    <cellStyle name="Comma 2 2 2 3 2 2" xfId="18040" xr:uid="{00000000-0005-0000-0000-0000F21E0000}"/>
    <cellStyle name="Comma 2 2 2 3 2 3" xfId="22915" xr:uid="{00000000-0005-0000-0000-0000F31E0000}"/>
    <cellStyle name="Comma 2 2 2 3 3" xfId="18039" xr:uid="{00000000-0005-0000-0000-0000F41E0000}"/>
    <cellStyle name="Comma 2 2 2 3 4" xfId="7128" xr:uid="{00000000-0005-0000-0000-0000F51E0000}"/>
    <cellStyle name="Comma 2 2 2 3 5" xfId="22914" xr:uid="{00000000-0005-0000-0000-0000F61E0000}"/>
    <cellStyle name="Comma 2 2 2 3 6" xfId="23526" xr:uid="{00000000-0005-0000-0000-0000F71E0000}"/>
    <cellStyle name="Comma 2 2 2 3 7" xfId="24679" xr:uid="{00000000-0005-0000-0000-0000F81E0000}"/>
    <cellStyle name="Comma 2 2 2 3 8" xfId="25183" xr:uid="{00000000-0005-0000-0000-0000F91E0000}"/>
    <cellStyle name="Comma 2 2 2 3 9" xfId="25687" xr:uid="{00000000-0005-0000-0000-0000FA1E0000}"/>
    <cellStyle name="Comma 2 2 2 4" xfId="1982" xr:uid="{00000000-0005-0000-0000-0000FB1E0000}"/>
    <cellStyle name="Comma 2 2 2 4 10" xfId="26192" xr:uid="{00000000-0005-0000-0000-0000FC1E0000}"/>
    <cellStyle name="Comma 2 2 2 4 11" xfId="26696" xr:uid="{00000000-0005-0000-0000-0000FD1E0000}"/>
    <cellStyle name="Comma 2 2 2 4 12" xfId="27200" xr:uid="{00000000-0005-0000-0000-0000FE1E0000}"/>
    <cellStyle name="Comma 2 2 2 4 13" xfId="27704" xr:uid="{00000000-0005-0000-0000-0000FF1E0000}"/>
    <cellStyle name="Comma 2 2 2 4 14" xfId="28208" xr:uid="{00000000-0005-0000-0000-0000001F0000}"/>
    <cellStyle name="Comma 2 2 2 4 15" xfId="28712" xr:uid="{00000000-0005-0000-0000-0000011F0000}"/>
    <cellStyle name="Comma 2 2 2 4 16" xfId="29216" xr:uid="{00000000-0005-0000-0000-0000021F0000}"/>
    <cellStyle name="Comma 2 2 2 4 17" xfId="29720" xr:uid="{00000000-0005-0000-0000-0000031F0000}"/>
    <cellStyle name="Comma 2 2 2 4 18" xfId="30224" xr:uid="{00000000-0005-0000-0000-0000041F0000}"/>
    <cellStyle name="Comma 2 2 2 4 19" xfId="30729" xr:uid="{00000000-0005-0000-0000-0000051F0000}"/>
    <cellStyle name="Comma 2 2 2 4 2" xfId="9297" xr:uid="{00000000-0005-0000-0000-0000061F0000}"/>
    <cellStyle name="Comma 2 2 2 4 2 2" xfId="18042" xr:uid="{00000000-0005-0000-0000-0000071F0000}"/>
    <cellStyle name="Comma 2 2 2 4 2 3" xfId="22917" xr:uid="{00000000-0005-0000-0000-0000081F0000}"/>
    <cellStyle name="Comma 2 2 2 4 3" xfId="18041" xr:uid="{00000000-0005-0000-0000-0000091F0000}"/>
    <cellStyle name="Comma 2 2 2 4 4" xfId="7129" xr:uid="{00000000-0005-0000-0000-00000A1F0000}"/>
    <cellStyle name="Comma 2 2 2 4 5" xfId="22916" xr:uid="{00000000-0005-0000-0000-00000B1F0000}"/>
    <cellStyle name="Comma 2 2 2 4 6" xfId="23527" xr:uid="{00000000-0005-0000-0000-00000C1F0000}"/>
    <cellStyle name="Comma 2 2 2 4 7" xfId="24680" xr:uid="{00000000-0005-0000-0000-00000D1F0000}"/>
    <cellStyle name="Comma 2 2 2 4 8" xfId="25184" xr:uid="{00000000-0005-0000-0000-00000E1F0000}"/>
    <cellStyle name="Comma 2 2 2 4 9" xfId="25688" xr:uid="{00000000-0005-0000-0000-00000F1F0000}"/>
    <cellStyle name="Comma 2 2 2 5" xfId="7281" xr:uid="{00000000-0005-0000-0000-0000101F0000}"/>
    <cellStyle name="Comma 2 2 2 5 10" xfId="27705" xr:uid="{00000000-0005-0000-0000-0000111F0000}"/>
    <cellStyle name="Comma 2 2 2 5 11" xfId="28209" xr:uid="{00000000-0005-0000-0000-0000121F0000}"/>
    <cellStyle name="Comma 2 2 2 5 12" xfId="28713" xr:uid="{00000000-0005-0000-0000-0000131F0000}"/>
    <cellStyle name="Comma 2 2 2 5 13" xfId="29217" xr:uid="{00000000-0005-0000-0000-0000141F0000}"/>
    <cellStyle name="Comma 2 2 2 5 14" xfId="29721" xr:uid="{00000000-0005-0000-0000-0000151F0000}"/>
    <cellStyle name="Comma 2 2 2 5 15" xfId="30225" xr:uid="{00000000-0005-0000-0000-0000161F0000}"/>
    <cellStyle name="Comma 2 2 2 5 16" xfId="30730" xr:uid="{00000000-0005-0000-0000-0000171F0000}"/>
    <cellStyle name="Comma 2 2 2 5 2" xfId="9298" xr:uid="{00000000-0005-0000-0000-0000181F0000}"/>
    <cellStyle name="Comma 2 2 2 5 2 2" xfId="18043" xr:uid="{00000000-0005-0000-0000-0000191F0000}"/>
    <cellStyle name="Comma 2 2 2 5 3" xfId="23528" xr:uid="{00000000-0005-0000-0000-00001A1F0000}"/>
    <cellStyle name="Comma 2 2 2 5 4" xfId="24681" xr:uid="{00000000-0005-0000-0000-00001B1F0000}"/>
    <cellStyle name="Comma 2 2 2 5 5" xfId="25185" xr:uid="{00000000-0005-0000-0000-00001C1F0000}"/>
    <cellStyle name="Comma 2 2 2 5 6" xfId="25689" xr:uid="{00000000-0005-0000-0000-00001D1F0000}"/>
    <cellStyle name="Comma 2 2 2 5 7" xfId="26193" xr:uid="{00000000-0005-0000-0000-00001E1F0000}"/>
    <cellStyle name="Comma 2 2 2 5 8" xfId="26697" xr:uid="{00000000-0005-0000-0000-00001F1F0000}"/>
    <cellStyle name="Comma 2 2 2 5 9" xfId="27201" xr:uid="{00000000-0005-0000-0000-0000201F0000}"/>
    <cellStyle name="Comma 2 2 2 6" xfId="9299" xr:uid="{00000000-0005-0000-0000-0000211F0000}"/>
    <cellStyle name="Comma 2 2 2 6 2" xfId="18044" xr:uid="{00000000-0005-0000-0000-0000221F0000}"/>
    <cellStyle name="Comma 2 2 2 7" xfId="9281" xr:uid="{00000000-0005-0000-0000-0000231F0000}"/>
    <cellStyle name="Comma 2 2 2 8" xfId="18027" xr:uid="{00000000-0005-0000-0000-0000241F0000}"/>
    <cellStyle name="Comma 2 2 2 9" xfId="7126" xr:uid="{00000000-0005-0000-0000-0000251F0000}"/>
    <cellStyle name="Comma 2 2 20" xfId="23520" xr:uid="{00000000-0005-0000-0000-0000261F0000}"/>
    <cellStyle name="Comma 2 2 21" xfId="24673" xr:uid="{00000000-0005-0000-0000-0000271F0000}"/>
    <cellStyle name="Comma 2 2 22" xfId="25177" xr:uid="{00000000-0005-0000-0000-0000281F0000}"/>
    <cellStyle name="Comma 2 2 23" xfId="25681" xr:uid="{00000000-0005-0000-0000-0000291F0000}"/>
    <cellStyle name="Comma 2 2 24" xfId="26185" xr:uid="{00000000-0005-0000-0000-00002A1F0000}"/>
    <cellStyle name="Comma 2 2 25" xfId="26689" xr:uid="{00000000-0005-0000-0000-00002B1F0000}"/>
    <cellStyle name="Comma 2 2 26" xfId="27193" xr:uid="{00000000-0005-0000-0000-00002C1F0000}"/>
    <cellStyle name="Comma 2 2 27" xfId="27697" xr:uid="{00000000-0005-0000-0000-00002D1F0000}"/>
    <cellStyle name="Comma 2 2 28" xfId="28201" xr:uid="{00000000-0005-0000-0000-00002E1F0000}"/>
    <cellStyle name="Comma 2 2 29" xfId="28705" xr:uid="{00000000-0005-0000-0000-00002F1F0000}"/>
    <cellStyle name="Comma 2 2 3" xfId="562" xr:uid="{00000000-0005-0000-0000-0000301F0000}"/>
    <cellStyle name="Comma 2 2 3 10" xfId="9301" xr:uid="{00000000-0005-0000-0000-0000311F0000}"/>
    <cellStyle name="Comma 2 2 3 10 2" xfId="9302" xr:uid="{00000000-0005-0000-0000-0000321F0000}"/>
    <cellStyle name="Comma 2 2 3 10 2 2" xfId="18046" xr:uid="{00000000-0005-0000-0000-0000331F0000}"/>
    <cellStyle name="Comma 2 2 3 11" xfId="9303" xr:uid="{00000000-0005-0000-0000-0000341F0000}"/>
    <cellStyle name="Comma 2 2 3 11 2" xfId="9304" xr:uid="{00000000-0005-0000-0000-0000351F0000}"/>
    <cellStyle name="Comma 2 2 3 11 2 2" xfId="18047" xr:uid="{00000000-0005-0000-0000-0000361F0000}"/>
    <cellStyle name="Comma 2 2 3 12" xfId="9305" xr:uid="{00000000-0005-0000-0000-0000371F0000}"/>
    <cellStyle name="Comma 2 2 3 12 2" xfId="9306" xr:uid="{00000000-0005-0000-0000-0000381F0000}"/>
    <cellStyle name="Comma 2 2 3 12 2 2" xfId="18048" xr:uid="{00000000-0005-0000-0000-0000391F0000}"/>
    <cellStyle name="Comma 2 2 3 13" xfId="9307" xr:uid="{00000000-0005-0000-0000-00003A1F0000}"/>
    <cellStyle name="Comma 2 2 3 13 2" xfId="9308" xr:uid="{00000000-0005-0000-0000-00003B1F0000}"/>
    <cellStyle name="Comma 2 2 3 13 2 2" xfId="9309" xr:uid="{00000000-0005-0000-0000-00003C1F0000}"/>
    <cellStyle name="Comma 2 2 3 13 2 2 2" xfId="18049" xr:uid="{00000000-0005-0000-0000-00003D1F0000}"/>
    <cellStyle name="Comma 2 2 3 13 3" xfId="9310" xr:uid="{00000000-0005-0000-0000-00003E1F0000}"/>
    <cellStyle name="Comma 2 2 3 13 3 2" xfId="9311" xr:uid="{00000000-0005-0000-0000-00003F1F0000}"/>
    <cellStyle name="Comma 2 2 3 13 3 2 2" xfId="18050" xr:uid="{00000000-0005-0000-0000-0000401F0000}"/>
    <cellStyle name="Comma 2 2 3 13 4" xfId="9312" xr:uid="{00000000-0005-0000-0000-0000411F0000}"/>
    <cellStyle name="Comma 2 2 3 13 4 2" xfId="9313" xr:uid="{00000000-0005-0000-0000-0000421F0000}"/>
    <cellStyle name="Comma 2 2 3 13 4 2 2" xfId="18051" xr:uid="{00000000-0005-0000-0000-0000431F0000}"/>
    <cellStyle name="Comma 2 2 3 13 5" xfId="9314" xr:uid="{00000000-0005-0000-0000-0000441F0000}"/>
    <cellStyle name="Comma 2 2 3 13 5 2" xfId="9315" xr:uid="{00000000-0005-0000-0000-0000451F0000}"/>
    <cellStyle name="Comma 2 2 3 13 5 2 2" xfId="18052" xr:uid="{00000000-0005-0000-0000-0000461F0000}"/>
    <cellStyle name="Comma 2 2 3 13 6" xfId="9316" xr:uid="{00000000-0005-0000-0000-0000471F0000}"/>
    <cellStyle name="Comma 2 2 3 13 6 2" xfId="9317" xr:uid="{00000000-0005-0000-0000-0000481F0000}"/>
    <cellStyle name="Comma 2 2 3 13 6 2 2" xfId="18053" xr:uid="{00000000-0005-0000-0000-0000491F0000}"/>
    <cellStyle name="Comma 2 2 3 13 7" xfId="9318" xr:uid="{00000000-0005-0000-0000-00004A1F0000}"/>
    <cellStyle name="Comma 2 2 3 13 7 2" xfId="9319" xr:uid="{00000000-0005-0000-0000-00004B1F0000}"/>
    <cellStyle name="Comma 2 2 3 13 7 2 2" xfId="18054" xr:uid="{00000000-0005-0000-0000-00004C1F0000}"/>
    <cellStyle name="Comma 2 2 3 13 8" xfId="9320" xr:uid="{00000000-0005-0000-0000-00004D1F0000}"/>
    <cellStyle name="Comma 2 2 3 13 8 2" xfId="9321" xr:uid="{00000000-0005-0000-0000-00004E1F0000}"/>
    <cellStyle name="Comma 2 2 3 13 8 2 2" xfId="18055" xr:uid="{00000000-0005-0000-0000-00004F1F0000}"/>
    <cellStyle name="Comma 2 2 3 13 9" xfId="9322" xr:uid="{00000000-0005-0000-0000-0000501F0000}"/>
    <cellStyle name="Comma 2 2 3 13 9 2" xfId="18056" xr:uid="{00000000-0005-0000-0000-0000511F0000}"/>
    <cellStyle name="Comma 2 2 3 14" xfId="9323" xr:uid="{00000000-0005-0000-0000-0000521F0000}"/>
    <cellStyle name="Comma 2 2 3 14 2" xfId="9324" xr:uid="{00000000-0005-0000-0000-0000531F0000}"/>
    <cellStyle name="Comma 2 2 3 14 2 2" xfId="18057" xr:uid="{00000000-0005-0000-0000-0000541F0000}"/>
    <cellStyle name="Comma 2 2 3 15" xfId="9325" xr:uid="{00000000-0005-0000-0000-0000551F0000}"/>
    <cellStyle name="Comma 2 2 3 15 2" xfId="9326" xr:uid="{00000000-0005-0000-0000-0000561F0000}"/>
    <cellStyle name="Comma 2 2 3 15 2 2" xfId="18058" xr:uid="{00000000-0005-0000-0000-0000571F0000}"/>
    <cellStyle name="Comma 2 2 3 16" xfId="9327" xr:uid="{00000000-0005-0000-0000-0000581F0000}"/>
    <cellStyle name="Comma 2 2 3 16 2" xfId="9328" xr:uid="{00000000-0005-0000-0000-0000591F0000}"/>
    <cellStyle name="Comma 2 2 3 16 2 2" xfId="18059" xr:uid="{00000000-0005-0000-0000-00005A1F0000}"/>
    <cellStyle name="Comma 2 2 3 17" xfId="9329" xr:uid="{00000000-0005-0000-0000-00005B1F0000}"/>
    <cellStyle name="Comma 2 2 3 17 2" xfId="9330" xr:uid="{00000000-0005-0000-0000-00005C1F0000}"/>
    <cellStyle name="Comma 2 2 3 17 2 2" xfId="18060" xr:uid="{00000000-0005-0000-0000-00005D1F0000}"/>
    <cellStyle name="Comma 2 2 3 18" xfId="9331" xr:uid="{00000000-0005-0000-0000-00005E1F0000}"/>
    <cellStyle name="Comma 2 2 3 18 2" xfId="9332" xr:uid="{00000000-0005-0000-0000-00005F1F0000}"/>
    <cellStyle name="Comma 2 2 3 18 2 2" xfId="18061" xr:uid="{00000000-0005-0000-0000-0000601F0000}"/>
    <cellStyle name="Comma 2 2 3 19" xfId="9333" xr:uid="{00000000-0005-0000-0000-0000611F0000}"/>
    <cellStyle name="Comma 2 2 3 19 2" xfId="9334" xr:uid="{00000000-0005-0000-0000-0000621F0000}"/>
    <cellStyle name="Comma 2 2 3 19 2 2" xfId="18062" xr:uid="{00000000-0005-0000-0000-0000631F0000}"/>
    <cellStyle name="Comma 2 2 3 2" xfId="1983" xr:uid="{00000000-0005-0000-0000-0000641F0000}"/>
    <cellStyle name="Comma 2 2 3 2 10" xfId="26699" xr:uid="{00000000-0005-0000-0000-0000651F0000}"/>
    <cellStyle name="Comma 2 2 3 2 11" xfId="27203" xr:uid="{00000000-0005-0000-0000-0000661F0000}"/>
    <cellStyle name="Comma 2 2 3 2 12" xfId="27707" xr:uid="{00000000-0005-0000-0000-0000671F0000}"/>
    <cellStyle name="Comma 2 2 3 2 13" xfId="28211" xr:uid="{00000000-0005-0000-0000-0000681F0000}"/>
    <cellStyle name="Comma 2 2 3 2 14" xfId="28715" xr:uid="{00000000-0005-0000-0000-0000691F0000}"/>
    <cellStyle name="Comma 2 2 3 2 15" xfId="29219" xr:uid="{00000000-0005-0000-0000-00006A1F0000}"/>
    <cellStyle name="Comma 2 2 3 2 16" xfId="29723" xr:uid="{00000000-0005-0000-0000-00006B1F0000}"/>
    <cellStyle name="Comma 2 2 3 2 17" xfId="30227" xr:uid="{00000000-0005-0000-0000-00006C1F0000}"/>
    <cellStyle name="Comma 2 2 3 2 18" xfId="30732" xr:uid="{00000000-0005-0000-0000-00006D1F0000}"/>
    <cellStyle name="Comma 2 2 3 2 2" xfId="9335" xr:uid="{00000000-0005-0000-0000-00006E1F0000}"/>
    <cellStyle name="Comma 2 2 3 2 2 2" xfId="18064" xr:uid="{00000000-0005-0000-0000-00006F1F0000}"/>
    <cellStyle name="Comma 2 2 3 2 3" xfId="18063" xr:uid="{00000000-0005-0000-0000-0000701F0000}"/>
    <cellStyle name="Comma 2 2 3 2 4" xfId="7284" xr:uid="{00000000-0005-0000-0000-0000711F0000}"/>
    <cellStyle name="Comma 2 2 3 2 5" xfId="23530" xr:uid="{00000000-0005-0000-0000-0000721F0000}"/>
    <cellStyle name="Comma 2 2 3 2 6" xfId="24683" xr:uid="{00000000-0005-0000-0000-0000731F0000}"/>
    <cellStyle name="Comma 2 2 3 2 7" xfId="25187" xr:uid="{00000000-0005-0000-0000-0000741F0000}"/>
    <cellStyle name="Comma 2 2 3 2 8" xfId="25691" xr:uid="{00000000-0005-0000-0000-0000751F0000}"/>
    <cellStyle name="Comma 2 2 3 2 9" xfId="26195" xr:uid="{00000000-0005-0000-0000-0000761F0000}"/>
    <cellStyle name="Comma 2 2 3 20" xfId="9336" xr:uid="{00000000-0005-0000-0000-0000771F0000}"/>
    <cellStyle name="Comma 2 2 3 20 2" xfId="18065" xr:uid="{00000000-0005-0000-0000-0000781F0000}"/>
    <cellStyle name="Comma 2 2 3 21" xfId="9337" xr:uid="{00000000-0005-0000-0000-0000791F0000}"/>
    <cellStyle name="Comma 2 2 3 21 2" xfId="18066" xr:uid="{00000000-0005-0000-0000-00007A1F0000}"/>
    <cellStyle name="Comma 2 2 3 22" xfId="9338" xr:uid="{00000000-0005-0000-0000-00007B1F0000}"/>
    <cellStyle name="Comma 2 2 3 22 2" xfId="18067" xr:uid="{00000000-0005-0000-0000-00007C1F0000}"/>
    <cellStyle name="Comma 2 2 3 23" xfId="9300" xr:uid="{00000000-0005-0000-0000-00007D1F0000}"/>
    <cellStyle name="Comma 2 2 3 24" xfId="18045" xr:uid="{00000000-0005-0000-0000-00007E1F0000}"/>
    <cellStyle name="Comma 2 2 3 25" xfId="7130" xr:uid="{00000000-0005-0000-0000-00007F1F0000}"/>
    <cellStyle name="Comma 2 2 3 26" xfId="23529" xr:uid="{00000000-0005-0000-0000-0000801F0000}"/>
    <cellStyle name="Comma 2 2 3 27" xfId="24682" xr:uid="{00000000-0005-0000-0000-0000811F0000}"/>
    <cellStyle name="Comma 2 2 3 28" xfId="25186" xr:uid="{00000000-0005-0000-0000-0000821F0000}"/>
    <cellStyle name="Comma 2 2 3 29" xfId="25690" xr:uid="{00000000-0005-0000-0000-0000831F0000}"/>
    <cellStyle name="Comma 2 2 3 3" xfId="3669" xr:uid="{00000000-0005-0000-0000-0000841F0000}"/>
    <cellStyle name="Comma 2 2 3 3 10" xfId="27204" xr:uid="{00000000-0005-0000-0000-0000851F0000}"/>
    <cellStyle name="Comma 2 2 3 3 11" xfId="27708" xr:uid="{00000000-0005-0000-0000-0000861F0000}"/>
    <cellStyle name="Comma 2 2 3 3 12" xfId="28212" xr:uid="{00000000-0005-0000-0000-0000871F0000}"/>
    <cellStyle name="Comma 2 2 3 3 13" xfId="28716" xr:uid="{00000000-0005-0000-0000-0000881F0000}"/>
    <cellStyle name="Comma 2 2 3 3 14" xfId="29220" xr:uid="{00000000-0005-0000-0000-0000891F0000}"/>
    <cellStyle name="Comma 2 2 3 3 15" xfId="29724" xr:uid="{00000000-0005-0000-0000-00008A1F0000}"/>
    <cellStyle name="Comma 2 2 3 3 16" xfId="30228" xr:uid="{00000000-0005-0000-0000-00008B1F0000}"/>
    <cellStyle name="Comma 2 2 3 3 17" xfId="30733" xr:uid="{00000000-0005-0000-0000-00008C1F0000}"/>
    <cellStyle name="Comma 2 2 3 3 2" xfId="9340" xr:uid="{00000000-0005-0000-0000-00008D1F0000}"/>
    <cellStyle name="Comma 2 2 3 3 2 2" xfId="18068" xr:uid="{00000000-0005-0000-0000-00008E1F0000}"/>
    <cellStyle name="Comma 2 2 3 3 3" xfId="9339" xr:uid="{00000000-0005-0000-0000-00008F1F0000}"/>
    <cellStyle name="Comma 2 2 3 3 4" xfId="23531" xr:uid="{00000000-0005-0000-0000-0000901F0000}"/>
    <cellStyle name="Comma 2 2 3 3 5" xfId="24684" xr:uid="{00000000-0005-0000-0000-0000911F0000}"/>
    <cellStyle name="Comma 2 2 3 3 6" xfId="25188" xr:uid="{00000000-0005-0000-0000-0000921F0000}"/>
    <cellStyle name="Comma 2 2 3 3 7" xfId="25692" xr:uid="{00000000-0005-0000-0000-0000931F0000}"/>
    <cellStyle name="Comma 2 2 3 3 8" xfId="26196" xr:uid="{00000000-0005-0000-0000-0000941F0000}"/>
    <cellStyle name="Comma 2 2 3 3 9" xfId="26700" xr:uid="{00000000-0005-0000-0000-0000951F0000}"/>
    <cellStyle name="Comma 2 2 3 30" xfId="26194" xr:uid="{00000000-0005-0000-0000-0000961F0000}"/>
    <cellStyle name="Comma 2 2 3 31" xfId="26698" xr:uid="{00000000-0005-0000-0000-0000971F0000}"/>
    <cellStyle name="Comma 2 2 3 32" xfId="27202" xr:uid="{00000000-0005-0000-0000-0000981F0000}"/>
    <cellStyle name="Comma 2 2 3 33" xfId="27706" xr:uid="{00000000-0005-0000-0000-0000991F0000}"/>
    <cellStyle name="Comma 2 2 3 34" xfId="28210" xr:uid="{00000000-0005-0000-0000-00009A1F0000}"/>
    <cellStyle name="Comma 2 2 3 35" xfId="28714" xr:uid="{00000000-0005-0000-0000-00009B1F0000}"/>
    <cellStyle name="Comma 2 2 3 36" xfId="29218" xr:uid="{00000000-0005-0000-0000-00009C1F0000}"/>
    <cellStyle name="Comma 2 2 3 37" xfId="29722" xr:uid="{00000000-0005-0000-0000-00009D1F0000}"/>
    <cellStyle name="Comma 2 2 3 38" xfId="30226" xr:uid="{00000000-0005-0000-0000-00009E1F0000}"/>
    <cellStyle name="Comma 2 2 3 39" xfId="30731" xr:uid="{00000000-0005-0000-0000-00009F1F0000}"/>
    <cellStyle name="Comma 2 2 3 4" xfId="6829" xr:uid="{00000000-0005-0000-0000-0000A01F0000}"/>
    <cellStyle name="Comma 2 2 3 4 10" xfId="27205" xr:uid="{00000000-0005-0000-0000-0000A11F0000}"/>
    <cellStyle name="Comma 2 2 3 4 11" xfId="27709" xr:uid="{00000000-0005-0000-0000-0000A21F0000}"/>
    <cellStyle name="Comma 2 2 3 4 12" xfId="28213" xr:uid="{00000000-0005-0000-0000-0000A31F0000}"/>
    <cellStyle name="Comma 2 2 3 4 13" xfId="28717" xr:uid="{00000000-0005-0000-0000-0000A41F0000}"/>
    <cellStyle name="Comma 2 2 3 4 14" xfId="29221" xr:uid="{00000000-0005-0000-0000-0000A51F0000}"/>
    <cellStyle name="Comma 2 2 3 4 15" xfId="29725" xr:uid="{00000000-0005-0000-0000-0000A61F0000}"/>
    <cellStyle name="Comma 2 2 3 4 16" xfId="30229" xr:uid="{00000000-0005-0000-0000-0000A71F0000}"/>
    <cellStyle name="Comma 2 2 3 4 17" xfId="30734" xr:uid="{00000000-0005-0000-0000-0000A81F0000}"/>
    <cellStyle name="Comma 2 2 3 4 2" xfId="9342" xr:uid="{00000000-0005-0000-0000-0000A91F0000}"/>
    <cellStyle name="Comma 2 2 3 4 2 2" xfId="18069" xr:uid="{00000000-0005-0000-0000-0000AA1F0000}"/>
    <cellStyle name="Comma 2 2 3 4 3" xfId="9341" xr:uid="{00000000-0005-0000-0000-0000AB1F0000}"/>
    <cellStyle name="Comma 2 2 3 4 4" xfId="23532" xr:uid="{00000000-0005-0000-0000-0000AC1F0000}"/>
    <cellStyle name="Comma 2 2 3 4 5" xfId="24685" xr:uid="{00000000-0005-0000-0000-0000AD1F0000}"/>
    <cellStyle name="Comma 2 2 3 4 6" xfId="25189" xr:uid="{00000000-0005-0000-0000-0000AE1F0000}"/>
    <cellStyle name="Comma 2 2 3 4 7" xfId="25693" xr:uid="{00000000-0005-0000-0000-0000AF1F0000}"/>
    <cellStyle name="Comma 2 2 3 4 8" xfId="26197" xr:uid="{00000000-0005-0000-0000-0000B01F0000}"/>
    <cellStyle name="Comma 2 2 3 4 9" xfId="26701" xr:uid="{00000000-0005-0000-0000-0000B11F0000}"/>
    <cellStyle name="Comma 2 2 3 5" xfId="9343" xr:uid="{00000000-0005-0000-0000-0000B21F0000}"/>
    <cellStyle name="Comma 2 2 3 5 2" xfId="9344" xr:uid="{00000000-0005-0000-0000-0000B31F0000}"/>
    <cellStyle name="Comma 2 2 3 5 2 2" xfId="18070" xr:uid="{00000000-0005-0000-0000-0000B41F0000}"/>
    <cellStyle name="Comma 2 2 3 6" xfId="9345" xr:uid="{00000000-0005-0000-0000-0000B51F0000}"/>
    <cellStyle name="Comma 2 2 3 6 2" xfId="9346" xr:uid="{00000000-0005-0000-0000-0000B61F0000}"/>
    <cellStyle name="Comma 2 2 3 6 2 2" xfId="18071" xr:uid="{00000000-0005-0000-0000-0000B71F0000}"/>
    <cellStyle name="Comma 2 2 3 7" xfId="9347" xr:uid="{00000000-0005-0000-0000-0000B81F0000}"/>
    <cellStyle name="Comma 2 2 3 7 2" xfId="9348" xr:uid="{00000000-0005-0000-0000-0000B91F0000}"/>
    <cellStyle name="Comma 2 2 3 7 2 2" xfId="18072" xr:uid="{00000000-0005-0000-0000-0000BA1F0000}"/>
    <cellStyle name="Comma 2 2 3 8" xfId="9349" xr:uid="{00000000-0005-0000-0000-0000BB1F0000}"/>
    <cellStyle name="Comma 2 2 3 8 2" xfId="9350" xr:uid="{00000000-0005-0000-0000-0000BC1F0000}"/>
    <cellStyle name="Comma 2 2 3 8 2 2" xfId="18073" xr:uid="{00000000-0005-0000-0000-0000BD1F0000}"/>
    <cellStyle name="Comma 2 2 3 9" xfId="9351" xr:uid="{00000000-0005-0000-0000-0000BE1F0000}"/>
    <cellStyle name="Comma 2 2 3 9 2" xfId="9352" xr:uid="{00000000-0005-0000-0000-0000BF1F0000}"/>
    <cellStyle name="Comma 2 2 3 9 2 2" xfId="18074" xr:uid="{00000000-0005-0000-0000-0000C01F0000}"/>
    <cellStyle name="Comma 2 2 30" xfId="29209" xr:uid="{00000000-0005-0000-0000-0000C11F0000}"/>
    <cellStyle name="Comma 2 2 31" xfId="29713" xr:uid="{00000000-0005-0000-0000-0000C21F0000}"/>
    <cellStyle name="Comma 2 2 32" xfId="30217" xr:uid="{00000000-0005-0000-0000-0000C31F0000}"/>
    <cellStyle name="Comma 2 2 33" xfId="30722" xr:uid="{00000000-0005-0000-0000-0000C41F0000}"/>
    <cellStyle name="Comma 2 2 4" xfId="1984" xr:uid="{00000000-0005-0000-0000-0000C51F0000}"/>
    <cellStyle name="Comma 2 2 4 10" xfId="25694" xr:uid="{00000000-0005-0000-0000-0000C61F0000}"/>
    <cellStyle name="Comma 2 2 4 11" xfId="26198" xr:uid="{00000000-0005-0000-0000-0000C71F0000}"/>
    <cellStyle name="Comma 2 2 4 12" xfId="26702" xr:uid="{00000000-0005-0000-0000-0000C81F0000}"/>
    <cellStyle name="Comma 2 2 4 13" xfId="27206" xr:uid="{00000000-0005-0000-0000-0000C91F0000}"/>
    <cellStyle name="Comma 2 2 4 14" xfId="27710" xr:uid="{00000000-0005-0000-0000-0000CA1F0000}"/>
    <cellStyle name="Comma 2 2 4 15" xfId="28214" xr:uid="{00000000-0005-0000-0000-0000CB1F0000}"/>
    <cellStyle name="Comma 2 2 4 16" xfId="28718" xr:uid="{00000000-0005-0000-0000-0000CC1F0000}"/>
    <cellStyle name="Comma 2 2 4 17" xfId="29222" xr:uid="{00000000-0005-0000-0000-0000CD1F0000}"/>
    <cellStyle name="Comma 2 2 4 18" xfId="29726" xr:uid="{00000000-0005-0000-0000-0000CE1F0000}"/>
    <cellStyle name="Comma 2 2 4 19" xfId="30230" xr:uid="{00000000-0005-0000-0000-0000CF1F0000}"/>
    <cellStyle name="Comma 2 2 4 2" xfId="3257" xr:uid="{00000000-0005-0000-0000-0000D01F0000}"/>
    <cellStyle name="Comma 2 2 4 2 2" xfId="9354" xr:uid="{00000000-0005-0000-0000-0000D11F0000}"/>
    <cellStyle name="Comma 2 2 4 2 2 2" xfId="18075" xr:uid="{00000000-0005-0000-0000-0000D21F0000}"/>
    <cellStyle name="Comma 2 2 4 2 3" xfId="9355" xr:uid="{00000000-0005-0000-0000-0000D31F0000}"/>
    <cellStyle name="Comma 2 2 4 2 4" xfId="7285" xr:uid="{00000000-0005-0000-0000-0000D41F0000}"/>
    <cellStyle name="Comma 2 2 4 20" xfId="30735" xr:uid="{00000000-0005-0000-0000-0000D51F0000}"/>
    <cellStyle name="Comma 2 2 4 3" xfId="9356" xr:uid="{00000000-0005-0000-0000-0000D61F0000}"/>
    <cellStyle name="Comma 2 2 4 4" xfId="9357" xr:uid="{00000000-0005-0000-0000-0000D71F0000}"/>
    <cellStyle name="Comma 2 2 4 4 2" xfId="18076" xr:uid="{00000000-0005-0000-0000-0000D81F0000}"/>
    <cellStyle name="Comma 2 2 4 5" xfId="9353" xr:uid="{00000000-0005-0000-0000-0000D91F0000}"/>
    <cellStyle name="Comma 2 2 4 6" xfId="7131" xr:uid="{00000000-0005-0000-0000-0000DA1F0000}"/>
    <cellStyle name="Comma 2 2 4 7" xfId="23533" xr:uid="{00000000-0005-0000-0000-0000DB1F0000}"/>
    <cellStyle name="Comma 2 2 4 8" xfId="24686" xr:uid="{00000000-0005-0000-0000-0000DC1F0000}"/>
    <cellStyle name="Comma 2 2 4 9" xfId="25190" xr:uid="{00000000-0005-0000-0000-0000DD1F0000}"/>
    <cellStyle name="Comma 2 2 5" xfId="1985" xr:uid="{00000000-0005-0000-0000-0000DE1F0000}"/>
    <cellStyle name="Comma 2 2 5 10" xfId="27207" xr:uid="{00000000-0005-0000-0000-0000DF1F0000}"/>
    <cellStyle name="Comma 2 2 5 11" xfId="27711" xr:uid="{00000000-0005-0000-0000-0000E01F0000}"/>
    <cellStyle name="Comma 2 2 5 12" xfId="28215" xr:uid="{00000000-0005-0000-0000-0000E11F0000}"/>
    <cellStyle name="Comma 2 2 5 13" xfId="28719" xr:uid="{00000000-0005-0000-0000-0000E21F0000}"/>
    <cellStyle name="Comma 2 2 5 14" xfId="29223" xr:uid="{00000000-0005-0000-0000-0000E31F0000}"/>
    <cellStyle name="Comma 2 2 5 15" xfId="29727" xr:uid="{00000000-0005-0000-0000-0000E41F0000}"/>
    <cellStyle name="Comma 2 2 5 16" xfId="30231" xr:uid="{00000000-0005-0000-0000-0000E51F0000}"/>
    <cellStyle name="Comma 2 2 5 17" xfId="30736" xr:uid="{00000000-0005-0000-0000-0000E61F0000}"/>
    <cellStyle name="Comma 2 2 5 2" xfId="9358" xr:uid="{00000000-0005-0000-0000-0000E71F0000}"/>
    <cellStyle name="Comma 2 2 5 2 2" xfId="9359" xr:uid="{00000000-0005-0000-0000-0000E81F0000}"/>
    <cellStyle name="Comma 2 2 5 2 2 2" xfId="18077" xr:uid="{00000000-0005-0000-0000-0000E91F0000}"/>
    <cellStyle name="Comma 2 2 5 3" xfId="7132" xr:uid="{00000000-0005-0000-0000-0000EA1F0000}"/>
    <cellStyle name="Comma 2 2 5 4" xfId="23534" xr:uid="{00000000-0005-0000-0000-0000EB1F0000}"/>
    <cellStyle name="Comma 2 2 5 5" xfId="24687" xr:uid="{00000000-0005-0000-0000-0000EC1F0000}"/>
    <cellStyle name="Comma 2 2 5 6" xfId="25191" xr:uid="{00000000-0005-0000-0000-0000ED1F0000}"/>
    <cellStyle name="Comma 2 2 5 7" xfId="25695" xr:uid="{00000000-0005-0000-0000-0000EE1F0000}"/>
    <cellStyle name="Comma 2 2 5 8" xfId="26199" xr:uid="{00000000-0005-0000-0000-0000EF1F0000}"/>
    <cellStyle name="Comma 2 2 5 9" xfId="26703" xr:uid="{00000000-0005-0000-0000-0000F01F0000}"/>
    <cellStyle name="Comma 2 2 6" xfId="7280" xr:uid="{00000000-0005-0000-0000-0000F11F0000}"/>
    <cellStyle name="Comma 2 2 6 10" xfId="27712" xr:uid="{00000000-0005-0000-0000-0000F21F0000}"/>
    <cellStyle name="Comma 2 2 6 11" xfId="28216" xr:uid="{00000000-0005-0000-0000-0000F31F0000}"/>
    <cellStyle name="Comma 2 2 6 12" xfId="28720" xr:uid="{00000000-0005-0000-0000-0000F41F0000}"/>
    <cellStyle name="Comma 2 2 6 13" xfId="29224" xr:uid="{00000000-0005-0000-0000-0000F51F0000}"/>
    <cellStyle name="Comma 2 2 6 14" xfId="29728" xr:uid="{00000000-0005-0000-0000-0000F61F0000}"/>
    <cellStyle name="Comma 2 2 6 15" xfId="30232" xr:uid="{00000000-0005-0000-0000-0000F71F0000}"/>
    <cellStyle name="Comma 2 2 6 16" xfId="30737" xr:uid="{00000000-0005-0000-0000-0000F81F0000}"/>
    <cellStyle name="Comma 2 2 6 2" xfId="9360" xr:uid="{00000000-0005-0000-0000-0000F91F0000}"/>
    <cellStyle name="Comma 2 2 6 2 2" xfId="18078" xr:uid="{00000000-0005-0000-0000-0000FA1F0000}"/>
    <cellStyle name="Comma 2 2 6 3" xfId="23535" xr:uid="{00000000-0005-0000-0000-0000FB1F0000}"/>
    <cellStyle name="Comma 2 2 6 4" xfId="24688" xr:uid="{00000000-0005-0000-0000-0000FC1F0000}"/>
    <cellStyle name="Comma 2 2 6 5" xfId="25192" xr:uid="{00000000-0005-0000-0000-0000FD1F0000}"/>
    <cellStyle name="Comma 2 2 6 6" xfId="25696" xr:uid="{00000000-0005-0000-0000-0000FE1F0000}"/>
    <cellStyle name="Comma 2 2 6 7" xfId="26200" xr:uid="{00000000-0005-0000-0000-0000FF1F0000}"/>
    <cellStyle name="Comma 2 2 6 8" xfId="26704" xr:uid="{00000000-0005-0000-0000-000000200000}"/>
    <cellStyle name="Comma 2 2 6 9" xfId="27208" xr:uid="{00000000-0005-0000-0000-000001200000}"/>
    <cellStyle name="Comma 2 2 7" xfId="9361" xr:uid="{00000000-0005-0000-0000-000002200000}"/>
    <cellStyle name="Comma 2 2 7 2" xfId="9362" xr:uid="{00000000-0005-0000-0000-000003200000}"/>
    <cellStyle name="Comma 2 2 7 2 2" xfId="18079" xr:uid="{00000000-0005-0000-0000-000004200000}"/>
    <cellStyle name="Comma 2 2 8" xfId="9363" xr:uid="{00000000-0005-0000-0000-000005200000}"/>
    <cellStyle name="Comma 2 2 8 2" xfId="9364" xr:uid="{00000000-0005-0000-0000-000006200000}"/>
    <cellStyle name="Comma 2 2 8 2 2" xfId="18080" xr:uid="{00000000-0005-0000-0000-000007200000}"/>
    <cellStyle name="Comma 2 2 9" xfId="9365" xr:uid="{00000000-0005-0000-0000-000008200000}"/>
    <cellStyle name="Comma 2 2 9 2" xfId="9366" xr:uid="{00000000-0005-0000-0000-000009200000}"/>
    <cellStyle name="Comma 2 2 9 2 2" xfId="18081" xr:uid="{00000000-0005-0000-0000-00000A200000}"/>
    <cellStyle name="Comma 2 20" xfId="135" xr:uid="{00000000-0005-0000-0000-00000B200000}"/>
    <cellStyle name="Comma 2 20 2" xfId="136" xr:uid="{00000000-0005-0000-0000-00000C200000}"/>
    <cellStyle name="Comma 2 20 2 2" xfId="1988" xr:uid="{00000000-0005-0000-0000-00000D200000}"/>
    <cellStyle name="Comma 2 20 2 2 2" xfId="4255" xr:uid="{00000000-0005-0000-0000-00000E200000}"/>
    <cellStyle name="Comma 2 20 2 2 2 2" xfId="9369" xr:uid="{00000000-0005-0000-0000-00000F200000}"/>
    <cellStyle name="Comma 2 20 2 2 2 2 2" xfId="18082" xr:uid="{00000000-0005-0000-0000-000010200000}"/>
    <cellStyle name="Comma 2 20 2 2 2 3" xfId="9368" xr:uid="{00000000-0005-0000-0000-000011200000}"/>
    <cellStyle name="Comma 2 20 2 2 3" xfId="3260" xr:uid="{00000000-0005-0000-0000-000012200000}"/>
    <cellStyle name="Comma 2 20 2 2 3 2" xfId="18083" xr:uid="{00000000-0005-0000-0000-000013200000}"/>
    <cellStyle name="Comma 2 20 2 2 3 3" xfId="9370" xr:uid="{00000000-0005-0000-0000-000014200000}"/>
    <cellStyle name="Comma 2 20 2 2 4" xfId="6832" xr:uid="{00000000-0005-0000-0000-000015200000}"/>
    <cellStyle name="Comma 2 20 2 2 5" xfId="9367" xr:uid="{00000000-0005-0000-0000-000016200000}"/>
    <cellStyle name="Comma 2 20 2 3" xfId="1989" xr:uid="{00000000-0005-0000-0000-000017200000}"/>
    <cellStyle name="Comma 2 20 2 3 2" xfId="4256" xr:uid="{00000000-0005-0000-0000-000018200000}"/>
    <cellStyle name="Comma 2 20 2 3 2 2" xfId="18084" xr:uid="{00000000-0005-0000-0000-000019200000}"/>
    <cellStyle name="Comma 2 20 2 3 2 3" xfId="9372" xr:uid="{00000000-0005-0000-0000-00001A200000}"/>
    <cellStyle name="Comma 2 20 2 3 3" xfId="3261" xr:uid="{00000000-0005-0000-0000-00001B200000}"/>
    <cellStyle name="Comma 2 20 2 3 3 2" xfId="9373" xr:uid="{00000000-0005-0000-0000-00001C200000}"/>
    <cellStyle name="Comma 2 20 2 3 4" xfId="6833" xr:uid="{00000000-0005-0000-0000-00001D200000}"/>
    <cellStyle name="Comma 2 20 2 3 4 2" xfId="9371" xr:uid="{00000000-0005-0000-0000-00001E200000}"/>
    <cellStyle name="Comma 2 20 2 4" xfId="1987" xr:uid="{00000000-0005-0000-0000-00001F200000}"/>
    <cellStyle name="Comma 2 20 2 4 2" xfId="9375" xr:uid="{00000000-0005-0000-0000-000020200000}"/>
    <cellStyle name="Comma 2 20 2 4 2 2" xfId="18085" xr:uid="{00000000-0005-0000-0000-000021200000}"/>
    <cellStyle name="Comma 2 20 2 4 3" xfId="9374" xr:uid="{00000000-0005-0000-0000-000022200000}"/>
    <cellStyle name="Comma 2 20 2 5" xfId="3617" xr:uid="{00000000-0005-0000-0000-000023200000}"/>
    <cellStyle name="Comma 2 20 2 5 2" xfId="18086" xr:uid="{00000000-0005-0000-0000-000024200000}"/>
    <cellStyle name="Comma 2 20 2 5 3" xfId="9376" xr:uid="{00000000-0005-0000-0000-000025200000}"/>
    <cellStyle name="Comma 2 20 2 6" xfId="3259" xr:uid="{00000000-0005-0000-0000-000026200000}"/>
    <cellStyle name="Comma 2 20 2 6 2" xfId="18087" xr:uid="{00000000-0005-0000-0000-000027200000}"/>
    <cellStyle name="Comma 2 20 2 6 3" xfId="9377" xr:uid="{00000000-0005-0000-0000-000028200000}"/>
    <cellStyle name="Comma 2 20 2 7" xfId="6831" xr:uid="{00000000-0005-0000-0000-000029200000}"/>
    <cellStyle name="Comma 2 20 3" xfId="1990" xr:uid="{00000000-0005-0000-0000-00002A200000}"/>
    <cellStyle name="Comma 2 20 3 2" xfId="4257" xr:uid="{00000000-0005-0000-0000-00002B200000}"/>
    <cellStyle name="Comma 2 20 3 2 2" xfId="9380" xr:uid="{00000000-0005-0000-0000-00002C200000}"/>
    <cellStyle name="Comma 2 20 3 2 2 2" xfId="18088" xr:uid="{00000000-0005-0000-0000-00002D200000}"/>
    <cellStyle name="Comma 2 20 3 2 3" xfId="9379" xr:uid="{00000000-0005-0000-0000-00002E200000}"/>
    <cellStyle name="Comma 2 20 3 3" xfId="3262" xr:uid="{00000000-0005-0000-0000-00002F200000}"/>
    <cellStyle name="Comma 2 20 3 3 2" xfId="18089" xr:uid="{00000000-0005-0000-0000-000030200000}"/>
    <cellStyle name="Comma 2 20 3 3 3" xfId="9381" xr:uid="{00000000-0005-0000-0000-000031200000}"/>
    <cellStyle name="Comma 2 20 3 4" xfId="6834" xr:uid="{00000000-0005-0000-0000-000032200000}"/>
    <cellStyle name="Comma 2 20 3 5" xfId="9378" xr:uid="{00000000-0005-0000-0000-000033200000}"/>
    <cellStyle name="Comma 2 20 4" xfId="1991" xr:uid="{00000000-0005-0000-0000-000034200000}"/>
    <cellStyle name="Comma 2 20 4 2" xfId="4258" xr:uid="{00000000-0005-0000-0000-000035200000}"/>
    <cellStyle name="Comma 2 20 4 2 2" xfId="18090" xr:uid="{00000000-0005-0000-0000-000036200000}"/>
    <cellStyle name="Comma 2 20 4 2 3" xfId="9383" xr:uid="{00000000-0005-0000-0000-000037200000}"/>
    <cellStyle name="Comma 2 20 4 3" xfId="3263" xr:uid="{00000000-0005-0000-0000-000038200000}"/>
    <cellStyle name="Comma 2 20 4 3 2" xfId="9384" xr:uid="{00000000-0005-0000-0000-000039200000}"/>
    <cellStyle name="Comma 2 20 4 4" xfId="6835" xr:uid="{00000000-0005-0000-0000-00003A200000}"/>
    <cellStyle name="Comma 2 20 4 4 2" xfId="9382" xr:uid="{00000000-0005-0000-0000-00003B200000}"/>
    <cellStyle name="Comma 2 20 5" xfId="1986" xr:uid="{00000000-0005-0000-0000-00003C200000}"/>
    <cellStyle name="Comma 2 20 5 2" xfId="9386" xr:uid="{00000000-0005-0000-0000-00003D200000}"/>
    <cellStyle name="Comma 2 20 5 2 2" xfId="18091" xr:uid="{00000000-0005-0000-0000-00003E200000}"/>
    <cellStyle name="Comma 2 20 5 3" xfId="9385" xr:uid="{00000000-0005-0000-0000-00003F200000}"/>
    <cellStyle name="Comma 2 20 6" xfId="3616" xr:uid="{00000000-0005-0000-0000-000040200000}"/>
    <cellStyle name="Comma 2 20 6 2" xfId="18092" xr:uid="{00000000-0005-0000-0000-000041200000}"/>
    <cellStyle name="Comma 2 20 6 3" xfId="9387" xr:uid="{00000000-0005-0000-0000-000042200000}"/>
    <cellStyle name="Comma 2 20 7" xfId="3258" xr:uid="{00000000-0005-0000-0000-000043200000}"/>
    <cellStyle name="Comma 2 20 7 2" xfId="18093" xr:uid="{00000000-0005-0000-0000-000044200000}"/>
    <cellStyle name="Comma 2 20 7 3" xfId="9388" xr:uid="{00000000-0005-0000-0000-000045200000}"/>
    <cellStyle name="Comma 2 20 8" xfId="6830" xr:uid="{00000000-0005-0000-0000-000046200000}"/>
    <cellStyle name="Comma 2 21" xfId="137" xr:uid="{00000000-0005-0000-0000-000047200000}"/>
    <cellStyle name="Comma 2 21 2" xfId="138" xr:uid="{00000000-0005-0000-0000-000048200000}"/>
    <cellStyle name="Comma 2 21 2 2" xfId="1994" xr:uid="{00000000-0005-0000-0000-000049200000}"/>
    <cellStyle name="Comma 2 21 2 2 2" xfId="4259" xr:uid="{00000000-0005-0000-0000-00004A200000}"/>
    <cellStyle name="Comma 2 21 2 2 2 2" xfId="9391" xr:uid="{00000000-0005-0000-0000-00004B200000}"/>
    <cellStyle name="Comma 2 21 2 2 2 2 2" xfId="18094" xr:uid="{00000000-0005-0000-0000-00004C200000}"/>
    <cellStyle name="Comma 2 21 2 2 2 3" xfId="9390" xr:uid="{00000000-0005-0000-0000-00004D200000}"/>
    <cellStyle name="Comma 2 21 2 2 3" xfId="3266" xr:uid="{00000000-0005-0000-0000-00004E200000}"/>
    <cellStyle name="Comma 2 21 2 2 3 2" xfId="18095" xr:uid="{00000000-0005-0000-0000-00004F200000}"/>
    <cellStyle name="Comma 2 21 2 2 3 3" xfId="9392" xr:uid="{00000000-0005-0000-0000-000050200000}"/>
    <cellStyle name="Comma 2 21 2 2 4" xfId="6838" xr:uid="{00000000-0005-0000-0000-000051200000}"/>
    <cellStyle name="Comma 2 21 2 2 5" xfId="9389" xr:uid="{00000000-0005-0000-0000-000052200000}"/>
    <cellStyle name="Comma 2 21 2 3" xfId="1995" xr:uid="{00000000-0005-0000-0000-000053200000}"/>
    <cellStyle name="Comma 2 21 2 3 2" xfId="4260" xr:uid="{00000000-0005-0000-0000-000054200000}"/>
    <cellStyle name="Comma 2 21 2 3 2 2" xfId="18096" xr:uid="{00000000-0005-0000-0000-000055200000}"/>
    <cellStyle name="Comma 2 21 2 3 2 3" xfId="9394" xr:uid="{00000000-0005-0000-0000-000056200000}"/>
    <cellStyle name="Comma 2 21 2 3 3" xfId="3267" xr:uid="{00000000-0005-0000-0000-000057200000}"/>
    <cellStyle name="Comma 2 21 2 3 3 2" xfId="9395" xr:uid="{00000000-0005-0000-0000-000058200000}"/>
    <cellStyle name="Comma 2 21 2 3 4" xfId="6839" xr:uid="{00000000-0005-0000-0000-000059200000}"/>
    <cellStyle name="Comma 2 21 2 3 4 2" xfId="9393" xr:uid="{00000000-0005-0000-0000-00005A200000}"/>
    <cellStyle name="Comma 2 21 2 4" xfId="1993" xr:uid="{00000000-0005-0000-0000-00005B200000}"/>
    <cellStyle name="Comma 2 21 2 4 2" xfId="9397" xr:uid="{00000000-0005-0000-0000-00005C200000}"/>
    <cellStyle name="Comma 2 21 2 4 2 2" xfId="18097" xr:uid="{00000000-0005-0000-0000-00005D200000}"/>
    <cellStyle name="Comma 2 21 2 4 3" xfId="9396" xr:uid="{00000000-0005-0000-0000-00005E200000}"/>
    <cellStyle name="Comma 2 21 2 5" xfId="3619" xr:uid="{00000000-0005-0000-0000-00005F200000}"/>
    <cellStyle name="Comma 2 21 2 5 2" xfId="18098" xr:uid="{00000000-0005-0000-0000-000060200000}"/>
    <cellStyle name="Comma 2 21 2 5 3" xfId="9398" xr:uid="{00000000-0005-0000-0000-000061200000}"/>
    <cellStyle name="Comma 2 21 2 6" xfId="3265" xr:uid="{00000000-0005-0000-0000-000062200000}"/>
    <cellStyle name="Comma 2 21 2 6 2" xfId="18099" xr:uid="{00000000-0005-0000-0000-000063200000}"/>
    <cellStyle name="Comma 2 21 2 6 3" xfId="9399" xr:uid="{00000000-0005-0000-0000-000064200000}"/>
    <cellStyle name="Comma 2 21 2 7" xfId="6837" xr:uid="{00000000-0005-0000-0000-000065200000}"/>
    <cellStyle name="Comma 2 21 3" xfId="1996" xr:uid="{00000000-0005-0000-0000-000066200000}"/>
    <cellStyle name="Comma 2 21 3 2" xfId="4261" xr:uid="{00000000-0005-0000-0000-000067200000}"/>
    <cellStyle name="Comma 2 21 3 2 2" xfId="9402" xr:uid="{00000000-0005-0000-0000-000068200000}"/>
    <cellStyle name="Comma 2 21 3 2 2 2" xfId="18100" xr:uid="{00000000-0005-0000-0000-000069200000}"/>
    <cellStyle name="Comma 2 21 3 2 3" xfId="9401" xr:uid="{00000000-0005-0000-0000-00006A200000}"/>
    <cellStyle name="Comma 2 21 3 3" xfId="3268" xr:uid="{00000000-0005-0000-0000-00006B200000}"/>
    <cellStyle name="Comma 2 21 3 3 2" xfId="18101" xr:uid="{00000000-0005-0000-0000-00006C200000}"/>
    <cellStyle name="Comma 2 21 3 3 3" xfId="9403" xr:uid="{00000000-0005-0000-0000-00006D200000}"/>
    <cellStyle name="Comma 2 21 3 4" xfId="6840" xr:uid="{00000000-0005-0000-0000-00006E200000}"/>
    <cellStyle name="Comma 2 21 3 5" xfId="9400" xr:uid="{00000000-0005-0000-0000-00006F200000}"/>
    <cellStyle name="Comma 2 21 4" xfId="1997" xr:uid="{00000000-0005-0000-0000-000070200000}"/>
    <cellStyle name="Comma 2 21 4 2" xfId="4262" xr:uid="{00000000-0005-0000-0000-000071200000}"/>
    <cellStyle name="Comma 2 21 4 2 2" xfId="18102" xr:uid="{00000000-0005-0000-0000-000072200000}"/>
    <cellStyle name="Comma 2 21 4 2 3" xfId="9405" xr:uid="{00000000-0005-0000-0000-000073200000}"/>
    <cellStyle name="Comma 2 21 4 3" xfId="3269" xr:uid="{00000000-0005-0000-0000-000074200000}"/>
    <cellStyle name="Comma 2 21 4 3 2" xfId="9406" xr:uid="{00000000-0005-0000-0000-000075200000}"/>
    <cellStyle name="Comma 2 21 4 4" xfId="6841" xr:uid="{00000000-0005-0000-0000-000076200000}"/>
    <cellStyle name="Comma 2 21 4 4 2" xfId="9404" xr:uid="{00000000-0005-0000-0000-000077200000}"/>
    <cellStyle name="Comma 2 21 5" xfId="1992" xr:uid="{00000000-0005-0000-0000-000078200000}"/>
    <cellStyle name="Comma 2 21 5 2" xfId="9408" xr:uid="{00000000-0005-0000-0000-000079200000}"/>
    <cellStyle name="Comma 2 21 5 2 2" xfId="18103" xr:uid="{00000000-0005-0000-0000-00007A200000}"/>
    <cellStyle name="Comma 2 21 5 3" xfId="9407" xr:uid="{00000000-0005-0000-0000-00007B200000}"/>
    <cellStyle name="Comma 2 21 6" xfId="3618" xr:uid="{00000000-0005-0000-0000-00007C200000}"/>
    <cellStyle name="Comma 2 21 6 2" xfId="18104" xr:uid="{00000000-0005-0000-0000-00007D200000}"/>
    <cellStyle name="Comma 2 21 6 3" xfId="9409" xr:uid="{00000000-0005-0000-0000-00007E200000}"/>
    <cellStyle name="Comma 2 21 7" xfId="3264" xr:uid="{00000000-0005-0000-0000-00007F200000}"/>
    <cellStyle name="Comma 2 21 7 2" xfId="18105" xr:uid="{00000000-0005-0000-0000-000080200000}"/>
    <cellStyle name="Comma 2 21 7 3" xfId="9410" xr:uid="{00000000-0005-0000-0000-000081200000}"/>
    <cellStyle name="Comma 2 21 8" xfId="6836" xr:uid="{00000000-0005-0000-0000-000082200000}"/>
    <cellStyle name="Comma 2 22" xfId="139" xr:uid="{00000000-0005-0000-0000-000083200000}"/>
    <cellStyle name="Comma 2 22 2" xfId="563" xr:uid="{00000000-0005-0000-0000-000084200000}"/>
    <cellStyle name="Comma 2 22 2 2" xfId="1999" xr:uid="{00000000-0005-0000-0000-000085200000}"/>
    <cellStyle name="Comma 2 22 2 2 2" xfId="9413" xr:uid="{00000000-0005-0000-0000-000086200000}"/>
    <cellStyle name="Comma 2 22 2 2 2 2" xfId="18106" xr:uid="{00000000-0005-0000-0000-000087200000}"/>
    <cellStyle name="Comma 2 22 2 2 3" xfId="9412" xr:uid="{00000000-0005-0000-0000-000088200000}"/>
    <cellStyle name="Comma 2 22 2 3" xfId="3670" xr:uid="{00000000-0005-0000-0000-000089200000}"/>
    <cellStyle name="Comma 2 22 2 3 2" xfId="18107" xr:uid="{00000000-0005-0000-0000-00008A200000}"/>
    <cellStyle name="Comma 2 22 2 3 3" xfId="9414" xr:uid="{00000000-0005-0000-0000-00008B200000}"/>
    <cellStyle name="Comma 2 22 2 4" xfId="3271" xr:uid="{00000000-0005-0000-0000-00008C200000}"/>
    <cellStyle name="Comma 2 22 2 4 2" xfId="9415" xr:uid="{00000000-0005-0000-0000-00008D200000}"/>
    <cellStyle name="Comma 2 22 2 5" xfId="6843" xr:uid="{00000000-0005-0000-0000-00008E200000}"/>
    <cellStyle name="Comma 2 22 2 5 2" xfId="9411" xr:uid="{00000000-0005-0000-0000-00008F200000}"/>
    <cellStyle name="Comma 2 22 3" xfId="2000" xr:uid="{00000000-0005-0000-0000-000090200000}"/>
    <cellStyle name="Comma 2 22 3 2" xfId="4263" xr:uid="{00000000-0005-0000-0000-000091200000}"/>
    <cellStyle name="Comma 2 22 3 2 2" xfId="18108" xr:uid="{00000000-0005-0000-0000-000092200000}"/>
    <cellStyle name="Comma 2 22 3 2 3" xfId="9417" xr:uid="{00000000-0005-0000-0000-000093200000}"/>
    <cellStyle name="Comma 2 22 3 3" xfId="3272" xr:uid="{00000000-0005-0000-0000-000094200000}"/>
    <cellStyle name="Comma 2 22 3 3 2" xfId="9418" xr:uid="{00000000-0005-0000-0000-000095200000}"/>
    <cellStyle name="Comma 2 22 3 4" xfId="6844" xr:uid="{00000000-0005-0000-0000-000096200000}"/>
    <cellStyle name="Comma 2 22 3 4 2" xfId="9416" xr:uid="{00000000-0005-0000-0000-000097200000}"/>
    <cellStyle name="Comma 2 22 4" xfId="1998" xr:uid="{00000000-0005-0000-0000-000098200000}"/>
    <cellStyle name="Comma 2 22 4 2" xfId="9420" xr:uid="{00000000-0005-0000-0000-000099200000}"/>
    <cellStyle name="Comma 2 22 4 2 2" xfId="18109" xr:uid="{00000000-0005-0000-0000-00009A200000}"/>
    <cellStyle name="Comma 2 22 4 3" xfId="9419" xr:uid="{00000000-0005-0000-0000-00009B200000}"/>
    <cellStyle name="Comma 2 22 5" xfId="3620" xr:uid="{00000000-0005-0000-0000-00009C200000}"/>
    <cellStyle name="Comma 2 22 5 2" xfId="18110" xr:uid="{00000000-0005-0000-0000-00009D200000}"/>
    <cellStyle name="Comma 2 22 5 3" xfId="9421" xr:uid="{00000000-0005-0000-0000-00009E200000}"/>
    <cellStyle name="Comma 2 22 6" xfId="3270" xr:uid="{00000000-0005-0000-0000-00009F200000}"/>
    <cellStyle name="Comma 2 22 6 2" xfId="18111" xr:uid="{00000000-0005-0000-0000-0000A0200000}"/>
    <cellStyle name="Comma 2 22 6 3" xfId="9422" xr:uid="{00000000-0005-0000-0000-0000A1200000}"/>
    <cellStyle name="Comma 2 22 7" xfId="6842" xr:uid="{00000000-0005-0000-0000-0000A2200000}"/>
    <cellStyle name="Comma 2 23" xfId="379" xr:uid="{00000000-0005-0000-0000-0000A3200000}"/>
    <cellStyle name="Comma 2 23 2" xfId="564" xr:uid="{00000000-0005-0000-0000-0000A4200000}"/>
    <cellStyle name="Comma 2 24" xfId="565" xr:uid="{00000000-0005-0000-0000-0000A5200000}"/>
    <cellStyle name="Comma 2 3" xfId="140" xr:uid="{00000000-0005-0000-0000-0000A6200000}"/>
    <cellStyle name="Comma 2 3 10" xfId="9424" xr:uid="{00000000-0005-0000-0000-0000A7200000}"/>
    <cellStyle name="Comma 2 3 10 2" xfId="9425" xr:uid="{00000000-0005-0000-0000-0000A8200000}"/>
    <cellStyle name="Comma 2 3 10 2 2" xfId="18113" xr:uid="{00000000-0005-0000-0000-0000A9200000}"/>
    <cellStyle name="Comma 2 3 11" xfId="9426" xr:uid="{00000000-0005-0000-0000-0000AA200000}"/>
    <cellStyle name="Comma 2 3 11 2" xfId="9427" xr:uid="{00000000-0005-0000-0000-0000AB200000}"/>
    <cellStyle name="Comma 2 3 11 2 2" xfId="18114" xr:uid="{00000000-0005-0000-0000-0000AC200000}"/>
    <cellStyle name="Comma 2 3 12" xfId="9428" xr:uid="{00000000-0005-0000-0000-0000AD200000}"/>
    <cellStyle name="Comma 2 3 12 2" xfId="9429" xr:uid="{00000000-0005-0000-0000-0000AE200000}"/>
    <cellStyle name="Comma 2 3 12 2 2" xfId="18115" xr:uid="{00000000-0005-0000-0000-0000AF200000}"/>
    <cellStyle name="Comma 2 3 13" xfId="9430" xr:uid="{00000000-0005-0000-0000-0000B0200000}"/>
    <cellStyle name="Comma 2 3 13 2" xfId="9431" xr:uid="{00000000-0005-0000-0000-0000B1200000}"/>
    <cellStyle name="Comma 2 3 13 2 2" xfId="18116" xr:uid="{00000000-0005-0000-0000-0000B2200000}"/>
    <cellStyle name="Comma 2 3 14" xfId="9432" xr:uid="{00000000-0005-0000-0000-0000B3200000}"/>
    <cellStyle name="Comma 2 3 14 2" xfId="9433" xr:uid="{00000000-0005-0000-0000-0000B4200000}"/>
    <cellStyle name="Comma 2 3 14 2 2" xfId="9434" xr:uid="{00000000-0005-0000-0000-0000B5200000}"/>
    <cellStyle name="Comma 2 3 14 2 2 2" xfId="18117" xr:uid="{00000000-0005-0000-0000-0000B6200000}"/>
    <cellStyle name="Comma 2 3 14 3" xfId="9435" xr:uid="{00000000-0005-0000-0000-0000B7200000}"/>
    <cellStyle name="Comma 2 3 14 3 2" xfId="9436" xr:uid="{00000000-0005-0000-0000-0000B8200000}"/>
    <cellStyle name="Comma 2 3 14 3 2 2" xfId="18118" xr:uid="{00000000-0005-0000-0000-0000B9200000}"/>
    <cellStyle name="Comma 2 3 14 4" xfId="9437" xr:uid="{00000000-0005-0000-0000-0000BA200000}"/>
    <cellStyle name="Comma 2 3 14 4 2" xfId="9438" xr:uid="{00000000-0005-0000-0000-0000BB200000}"/>
    <cellStyle name="Comma 2 3 14 4 2 2" xfId="18119" xr:uid="{00000000-0005-0000-0000-0000BC200000}"/>
    <cellStyle name="Comma 2 3 14 5" xfId="9439" xr:uid="{00000000-0005-0000-0000-0000BD200000}"/>
    <cellStyle name="Comma 2 3 14 5 2" xfId="9440" xr:uid="{00000000-0005-0000-0000-0000BE200000}"/>
    <cellStyle name="Comma 2 3 14 5 2 2" xfId="18120" xr:uid="{00000000-0005-0000-0000-0000BF200000}"/>
    <cellStyle name="Comma 2 3 14 6" xfId="9441" xr:uid="{00000000-0005-0000-0000-0000C0200000}"/>
    <cellStyle name="Comma 2 3 14 6 2" xfId="9442" xr:uid="{00000000-0005-0000-0000-0000C1200000}"/>
    <cellStyle name="Comma 2 3 14 6 2 2" xfId="18121" xr:uid="{00000000-0005-0000-0000-0000C2200000}"/>
    <cellStyle name="Comma 2 3 14 7" xfId="9443" xr:uid="{00000000-0005-0000-0000-0000C3200000}"/>
    <cellStyle name="Comma 2 3 14 7 2" xfId="9444" xr:uid="{00000000-0005-0000-0000-0000C4200000}"/>
    <cellStyle name="Comma 2 3 14 7 2 2" xfId="18122" xr:uid="{00000000-0005-0000-0000-0000C5200000}"/>
    <cellStyle name="Comma 2 3 14 8" xfId="9445" xr:uid="{00000000-0005-0000-0000-0000C6200000}"/>
    <cellStyle name="Comma 2 3 14 8 2" xfId="9446" xr:uid="{00000000-0005-0000-0000-0000C7200000}"/>
    <cellStyle name="Comma 2 3 14 8 2 2" xfId="18123" xr:uid="{00000000-0005-0000-0000-0000C8200000}"/>
    <cellStyle name="Comma 2 3 14 9" xfId="9447" xr:uid="{00000000-0005-0000-0000-0000C9200000}"/>
    <cellStyle name="Comma 2 3 14 9 2" xfId="18124" xr:uid="{00000000-0005-0000-0000-0000CA200000}"/>
    <cellStyle name="Comma 2 3 15" xfId="9448" xr:uid="{00000000-0005-0000-0000-0000CB200000}"/>
    <cellStyle name="Comma 2 3 15 2" xfId="9449" xr:uid="{00000000-0005-0000-0000-0000CC200000}"/>
    <cellStyle name="Comma 2 3 15 2 2" xfId="18125" xr:uid="{00000000-0005-0000-0000-0000CD200000}"/>
    <cellStyle name="Comma 2 3 16" xfId="9450" xr:uid="{00000000-0005-0000-0000-0000CE200000}"/>
    <cellStyle name="Comma 2 3 16 2" xfId="18126" xr:uid="{00000000-0005-0000-0000-0000CF200000}"/>
    <cellStyle name="Comma 2 3 17" xfId="9423" xr:uid="{00000000-0005-0000-0000-0000D0200000}"/>
    <cellStyle name="Comma 2 3 18" xfId="18112" xr:uid="{00000000-0005-0000-0000-0000D1200000}"/>
    <cellStyle name="Comma 2 3 19" xfId="7133" xr:uid="{00000000-0005-0000-0000-0000D2200000}"/>
    <cellStyle name="Comma 2 3 2" xfId="391" xr:uid="{00000000-0005-0000-0000-0000D3200000}"/>
    <cellStyle name="Comma 2 3 2 10" xfId="22919" xr:uid="{00000000-0005-0000-0000-0000D4200000}"/>
    <cellStyle name="Comma 2 3 2 11" xfId="23537" xr:uid="{00000000-0005-0000-0000-0000D5200000}"/>
    <cellStyle name="Comma 2 3 2 12" xfId="24690" xr:uid="{00000000-0005-0000-0000-0000D6200000}"/>
    <cellStyle name="Comma 2 3 2 13" xfId="25194" xr:uid="{00000000-0005-0000-0000-0000D7200000}"/>
    <cellStyle name="Comma 2 3 2 14" xfId="25698" xr:uid="{00000000-0005-0000-0000-0000D8200000}"/>
    <cellStyle name="Comma 2 3 2 15" xfId="26202" xr:uid="{00000000-0005-0000-0000-0000D9200000}"/>
    <cellStyle name="Comma 2 3 2 16" xfId="26706" xr:uid="{00000000-0005-0000-0000-0000DA200000}"/>
    <cellStyle name="Comma 2 3 2 17" xfId="27210" xr:uid="{00000000-0005-0000-0000-0000DB200000}"/>
    <cellStyle name="Comma 2 3 2 18" xfId="27714" xr:uid="{00000000-0005-0000-0000-0000DC200000}"/>
    <cellStyle name="Comma 2 3 2 19" xfId="28218" xr:uid="{00000000-0005-0000-0000-0000DD200000}"/>
    <cellStyle name="Comma 2 3 2 2" xfId="566" xr:uid="{00000000-0005-0000-0000-0000DE200000}"/>
    <cellStyle name="Comma 2 3 2 2 10" xfId="9453" xr:uid="{00000000-0005-0000-0000-0000DF200000}"/>
    <cellStyle name="Comma 2 3 2 2 10 2" xfId="18129" xr:uid="{00000000-0005-0000-0000-0000E0200000}"/>
    <cellStyle name="Comma 2 3 2 2 11" xfId="9452" xr:uid="{00000000-0005-0000-0000-0000E1200000}"/>
    <cellStyle name="Comma 2 3 2 2 12" xfId="18128" xr:uid="{00000000-0005-0000-0000-0000E2200000}"/>
    <cellStyle name="Comma 2 3 2 2 13" xfId="7135" xr:uid="{00000000-0005-0000-0000-0000E3200000}"/>
    <cellStyle name="Comma 2 3 2 2 14" xfId="22920" xr:uid="{00000000-0005-0000-0000-0000E4200000}"/>
    <cellStyle name="Comma 2 3 2 2 15" xfId="23538" xr:uid="{00000000-0005-0000-0000-0000E5200000}"/>
    <cellStyle name="Comma 2 3 2 2 16" xfId="24691" xr:uid="{00000000-0005-0000-0000-0000E6200000}"/>
    <cellStyle name="Comma 2 3 2 2 17" xfId="25195" xr:uid="{00000000-0005-0000-0000-0000E7200000}"/>
    <cellStyle name="Comma 2 3 2 2 18" xfId="25699" xr:uid="{00000000-0005-0000-0000-0000E8200000}"/>
    <cellStyle name="Comma 2 3 2 2 19" xfId="26203" xr:uid="{00000000-0005-0000-0000-0000E9200000}"/>
    <cellStyle name="Comma 2 3 2 2 2" xfId="2001" xr:uid="{00000000-0005-0000-0000-0000EA200000}"/>
    <cellStyle name="Comma 2 3 2 2 2 10" xfId="26204" xr:uid="{00000000-0005-0000-0000-0000EB200000}"/>
    <cellStyle name="Comma 2 3 2 2 2 11" xfId="26708" xr:uid="{00000000-0005-0000-0000-0000EC200000}"/>
    <cellStyle name="Comma 2 3 2 2 2 12" xfId="27212" xr:uid="{00000000-0005-0000-0000-0000ED200000}"/>
    <cellStyle name="Comma 2 3 2 2 2 13" xfId="27716" xr:uid="{00000000-0005-0000-0000-0000EE200000}"/>
    <cellStyle name="Comma 2 3 2 2 2 14" xfId="28220" xr:uid="{00000000-0005-0000-0000-0000EF200000}"/>
    <cellStyle name="Comma 2 3 2 2 2 15" xfId="28724" xr:uid="{00000000-0005-0000-0000-0000F0200000}"/>
    <cellStyle name="Comma 2 3 2 2 2 16" xfId="29228" xr:uid="{00000000-0005-0000-0000-0000F1200000}"/>
    <cellStyle name="Comma 2 3 2 2 2 17" xfId="29732" xr:uid="{00000000-0005-0000-0000-0000F2200000}"/>
    <cellStyle name="Comma 2 3 2 2 2 18" xfId="30236" xr:uid="{00000000-0005-0000-0000-0000F3200000}"/>
    <cellStyle name="Comma 2 3 2 2 2 19" xfId="30741" xr:uid="{00000000-0005-0000-0000-0000F4200000}"/>
    <cellStyle name="Comma 2 3 2 2 2 2" xfId="9454" xr:uid="{00000000-0005-0000-0000-0000F5200000}"/>
    <cellStyle name="Comma 2 3 2 2 2 2 2" xfId="18131" xr:uid="{00000000-0005-0000-0000-0000F6200000}"/>
    <cellStyle name="Comma 2 3 2 2 2 3" xfId="18130" xr:uid="{00000000-0005-0000-0000-0000F7200000}"/>
    <cellStyle name="Comma 2 3 2 2 2 4" xfId="7288" xr:uid="{00000000-0005-0000-0000-0000F8200000}"/>
    <cellStyle name="Comma 2 3 2 2 2 5" xfId="22921" xr:uid="{00000000-0005-0000-0000-0000F9200000}"/>
    <cellStyle name="Comma 2 3 2 2 2 6" xfId="23539" xr:uid="{00000000-0005-0000-0000-0000FA200000}"/>
    <cellStyle name="Comma 2 3 2 2 2 7" xfId="24692" xr:uid="{00000000-0005-0000-0000-0000FB200000}"/>
    <cellStyle name="Comma 2 3 2 2 2 8" xfId="25196" xr:uid="{00000000-0005-0000-0000-0000FC200000}"/>
    <cellStyle name="Comma 2 3 2 2 2 9" xfId="25700" xr:uid="{00000000-0005-0000-0000-0000FD200000}"/>
    <cellStyle name="Comma 2 3 2 2 20" xfId="26707" xr:uid="{00000000-0005-0000-0000-0000FE200000}"/>
    <cellStyle name="Comma 2 3 2 2 21" xfId="27211" xr:uid="{00000000-0005-0000-0000-0000FF200000}"/>
    <cellStyle name="Comma 2 3 2 2 22" xfId="27715" xr:uid="{00000000-0005-0000-0000-000000210000}"/>
    <cellStyle name="Comma 2 3 2 2 23" xfId="28219" xr:uid="{00000000-0005-0000-0000-000001210000}"/>
    <cellStyle name="Comma 2 3 2 2 24" xfId="28723" xr:uid="{00000000-0005-0000-0000-000002210000}"/>
    <cellStyle name="Comma 2 3 2 2 25" xfId="29227" xr:uid="{00000000-0005-0000-0000-000003210000}"/>
    <cellStyle name="Comma 2 3 2 2 26" xfId="29731" xr:uid="{00000000-0005-0000-0000-000004210000}"/>
    <cellStyle name="Comma 2 3 2 2 27" xfId="30235" xr:uid="{00000000-0005-0000-0000-000005210000}"/>
    <cellStyle name="Comma 2 3 2 2 28" xfId="30740" xr:uid="{00000000-0005-0000-0000-000006210000}"/>
    <cellStyle name="Comma 2 3 2 2 3" xfId="3671" xr:uid="{00000000-0005-0000-0000-000007210000}"/>
    <cellStyle name="Comma 2 3 2 2 3 10" xfId="27213" xr:uid="{00000000-0005-0000-0000-000008210000}"/>
    <cellStyle name="Comma 2 3 2 2 3 11" xfId="27717" xr:uid="{00000000-0005-0000-0000-000009210000}"/>
    <cellStyle name="Comma 2 3 2 2 3 12" xfId="28221" xr:uid="{00000000-0005-0000-0000-00000A210000}"/>
    <cellStyle name="Comma 2 3 2 2 3 13" xfId="28725" xr:uid="{00000000-0005-0000-0000-00000B210000}"/>
    <cellStyle name="Comma 2 3 2 2 3 14" xfId="29229" xr:uid="{00000000-0005-0000-0000-00000C210000}"/>
    <cellStyle name="Comma 2 3 2 2 3 15" xfId="29733" xr:uid="{00000000-0005-0000-0000-00000D210000}"/>
    <cellStyle name="Comma 2 3 2 2 3 16" xfId="30237" xr:uid="{00000000-0005-0000-0000-00000E210000}"/>
    <cellStyle name="Comma 2 3 2 2 3 17" xfId="30742" xr:uid="{00000000-0005-0000-0000-00000F210000}"/>
    <cellStyle name="Comma 2 3 2 2 3 2" xfId="9456" xr:uid="{00000000-0005-0000-0000-000010210000}"/>
    <cellStyle name="Comma 2 3 2 2 3 2 2" xfId="18132" xr:uid="{00000000-0005-0000-0000-000011210000}"/>
    <cellStyle name="Comma 2 3 2 2 3 3" xfId="9455" xr:uid="{00000000-0005-0000-0000-000012210000}"/>
    <cellStyle name="Comma 2 3 2 2 3 4" xfId="23540" xr:uid="{00000000-0005-0000-0000-000013210000}"/>
    <cellStyle name="Comma 2 3 2 2 3 5" xfId="24693" xr:uid="{00000000-0005-0000-0000-000014210000}"/>
    <cellStyle name="Comma 2 3 2 2 3 6" xfId="25197" xr:uid="{00000000-0005-0000-0000-000015210000}"/>
    <cellStyle name="Comma 2 3 2 2 3 7" xfId="25701" xr:uid="{00000000-0005-0000-0000-000016210000}"/>
    <cellStyle name="Comma 2 3 2 2 3 8" xfId="26205" xr:uid="{00000000-0005-0000-0000-000017210000}"/>
    <cellStyle name="Comma 2 3 2 2 3 9" xfId="26709" xr:uid="{00000000-0005-0000-0000-000018210000}"/>
    <cellStyle name="Comma 2 3 2 2 4" xfId="6845" xr:uid="{00000000-0005-0000-0000-000019210000}"/>
    <cellStyle name="Comma 2 3 2 2 4 10" xfId="27214" xr:uid="{00000000-0005-0000-0000-00001A210000}"/>
    <cellStyle name="Comma 2 3 2 2 4 11" xfId="27718" xr:uid="{00000000-0005-0000-0000-00001B210000}"/>
    <cellStyle name="Comma 2 3 2 2 4 12" xfId="28222" xr:uid="{00000000-0005-0000-0000-00001C210000}"/>
    <cellStyle name="Comma 2 3 2 2 4 13" xfId="28726" xr:uid="{00000000-0005-0000-0000-00001D210000}"/>
    <cellStyle name="Comma 2 3 2 2 4 14" xfId="29230" xr:uid="{00000000-0005-0000-0000-00001E210000}"/>
    <cellStyle name="Comma 2 3 2 2 4 15" xfId="29734" xr:uid="{00000000-0005-0000-0000-00001F210000}"/>
    <cellStyle name="Comma 2 3 2 2 4 16" xfId="30238" xr:uid="{00000000-0005-0000-0000-000020210000}"/>
    <cellStyle name="Comma 2 3 2 2 4 17" xfId="30743" xr:uid="{00000000-0005-0000-0000-000021210000}"/>
    <cellStyle name="Comma 2 3 2 2 4 2" xfId="9458" xr:uid="{00000000-0005-0000-0000-000022210000}"/>
    <cellStyle name="Comma 2 3 2 2 4 2 2" xfId="18133" xr:uid="{00000000-0005-0000-0000-000023210000}"/>
    <cellStyle name="Comma 2 3 2 2 4 3" xfId="9457" xr:uid="{00000000-0005-0000-0000-000024210000}"/>
    <cellStyle name="Comma 2 3 2 2 4 4" xfId="23541" xr:uid="{00000000-0005-0000-0000-000025210000}"/>
    <cellStyle name="Comma 2 3 2 2 4 5" xfId="24694" xr:uid="{00000000-0005-0000-0000-000026210000}"/>
    <cellStyle name="Comma 2 3 2 2 4 6" xfId="25198" xr:uid="{00000000-0005-0000-0000-000027210000}"/>
    <cellStyle name="Comma 2 3 2 2 4 7" xfId="25702" xr:uid="{00000000-0005-0000-0000-000028210000}"/>
    <cellStyle name="Comma 2 3 2 2 4 8" xfId="26206" xr:uid="{00000000-0005-0000-0000-000029210000}"/>
    <cellStyle name="Comma 2 3 2 2 4 9" xfId="26710" xr:uid="{00000000-0005-0000-0000-00002A210000}"/>
    <cellStyle name="Comma 2 3 2 2 5" xfId="9459" xr:uid="{00000000-0005-0000-0000-00002B210000}"/>
    <cellStyle name="Comma 2 3 2 2 5 2" xfId="9460" xr:uid="{00000000-0005-0000-0000-00002C210000}"/>
    <cellStyle name="Comma 2 3 2 2 5 2 2" xfId="18134" xr:uid="{00000000-0005-0000-0000-00002D210000}"/>
    <cellStyle name="Comma 2 3 2 2 6" xfId="9461" xr:uid="{00000000-0005-0000-0000-00002E210000}"/>
    <cellStyle name="Comma 2 3 2 2 6 2" xfId="9462" xr:uid="{00000000-0005-0000-0000-00002F210000}"/>
    <cellStyle name="Comma 2 3 2 2 6 2 2" xfId="18135" xr:uid="{00000000-0005-0000-0000-000030210000}"/>
    <cellStyle name="Comma 2 3 2 2 7" xfId="9463" xr:uid="{00000000-0005-0000-0000-000031210000}"/>
    <cellStyle name="Comma 2 3 2 2 7 2" xfId="9464" xr:uid="{00000000-0005-0000-0000-000032210000}"/>
    <cellStyle name="Comma 2 3 2 2 7 2 2" xfId="18136" xr:uid="{00000000-0005-0000-0000-000033210000}"/>
    <cellStyle name="Comma 2 3 2 2 8" xfId="9465" xr:uid="{00000000-0005-0000-0000-000034210000}"/>
    <cellStyle name="Comma 2 3 2 2 8 2" xfId="18137" xr:uid="{00000000-0005-0000-0000-000035210000}"/>
    <cellStyle name="Comma 2 3 2 2 9" xfId="9466" xr:uid="{00000000-0005-0000-0000-000036210000}"/>
    <cellStyle name="Comma 2 3 2 2 9 2" xfId="18138" xr:uid="{00000000-0005-0000-0000-000037210000}"/>
    <cellStyle name="Comma 2 3 2 20" xfId="28722" xr:uid="{00000000-0005-0000-0000-000038210000}"/>
    <cellStyle name="Comma 2 3 2 21" xfId="29226" xr:uid="{00000000-0005-0000-0000-000039210000}"/>
    <cellStyle name="Comma 2 3 2 22" xfId="29730" xr:uid="{00000000-0005-0000-0000-00003A210000}"/>
    <cellStyle name="Comma 2 3 2 23" xfId="30234" xr:uid="{00000000-0005-0000-0000-00003B210000}"/>
    <cellStyle name="Comma 2 3 2 24" xfId="30739" xr:uid="{00000000-0005-0000-0000-00003C210000}"/>
    <cellStyle name="Comma 2 3 2 3" xfId="2002" xr:uid="{00000000-0005-0000-0000-00003D210000}"/>
    <cellStyle name="Comma 2 3 2 3 10" xfId="26207" xr:uid="{00000000-0005-0000-0000-00003E210000}"/>
    <cellStyle name="Comma 2 3 2 3 11" xfId="26711" xr:uid="{00000000-0005-0000-0000-00003F210000}"/>
    <cellStyle name="Comma 2 3 2 3 12" xfId="27215" xr:uid="{00000000-0005-0000-0000-000040210000}"/>
    <cellStyle name="Comma 2 3 2 3 13" xfId="27719" xr:uid="{00000000-0005-0000-0000-000041210000}"/>
    <cellStyle name="Comma 2 3 2 3 14" xfId="28223" xr:uid="{00000000-0005-0000-0000-000042210000}"/>
    <cellStyle name="Comma 2 3 2 3 15" xfId="28727" xr:uid="{00000000-0005-0000-0000-000043210000}"/>
    <cellStyle name="Comma 2 3 2 3 16" xfId="29231" xr:uid="{00000000-0005-0000-0000-000044210000}"/>
    <cellStyle name="Comma 2 3 2 3 17" xfId="29735" xr:uid="{00000000-0005-0000-0000-000045210000}"/>
    <cellStyle name="Comma 2 3 2 3 18" xfId="30239" xr:uid="{00000000-0005-0000-0000-000046210000}"/>
    <cellStyle name="Comma 2 3 2 3 19" xfId="30744" xr:uid="{00000000-0005-0000-0000-000047210000}"/>
    <cellStyle name="Comma 2 3 2 3 2" xfId="7289" xr:uid="{00000000-0005-0000-0000-000048210000}"/>
    <cellStyle name="Comma 2 3 2 3 2 2" xfId="18140" xr:uid="{00000000-0005-0000-0000-000049210000}"/>
    <cellStyle name="Comma 2 3 2 3 3" xfId="18139" xr:uid="{00000000-0005-0000-0000-00004A210000}"/>
    <cellStyle name="Comma 2 3 2 3 4" xfId="7136" xr:uid="{00000000-0005-0000-0000-00004B210000}"/>
    <cellStyle name="Comma 2 3 2 3 5" xfId="22922" xr:uid="{00000000-0005-0000-0000-00004C210000}"/>
    <cellStyle name="Comma 2 3 2 3 6" xfId="23542" xr:uid="{00000000-0005-0000-0000-00004D210000}"/>
    <cellStyle name="Comma 2 3 2 3 7" xfId="24695" xr:uid="{00000000-0005-0000-0000-00004E210000}"/>
    <cellStyle name="Comma 2 3 2 3 8" xfId="25199" xr:uid="{00000000-0005-0000-0000-00004F210000}"/>
    <cellStyle name="Comma 2 3 2 3 9" xfId="25703" xr:uid="{00000000-0005-0000-0000-000050210000}"/>
    <cellStyle name="Comma 2 3 2 4" xfId="2003" xr:uid="{00000000-0005-0000-0000-000051210000}"/>
    <cellStyle name="Comma 2 3 2 4 10" xfId="26712" xr:uid="{00000000-0005-0000-0000-000052210000}"/>
    <cellStyle name="Comma 2 3 2 4 11" xfId="27216" xr:uid="{00000000-0005-0000-0000-000053210000}"/>
    <cellStyle name="Comma 2 3 2 4 12" xfId="27720" xr:uid="{00000000-0005-0000-0000-000054210000}"/>
    <cellStyle name="Comma 2 3 2 4 13" xfId="28224" xr:uid="{00000000-0005-0000-0000-000055210000}"/>
    <cellStyle name="Comma 2 3 2 4 14" xfId="28728" xr:uid="{00000000-0005-0000-0000-000056210000}"/>
    <cellStyle name="Comma 2 3 2 4 15" xfId="29232" xr:uid="{00000000-0005-0000-0000-000057210000}"/>
    <cellStyle name="Comma 2 3 2 4 16" xfId="29736" xr:uid="{00000000-0005-0000-0000-000058210000}"/>
    <cellStyle name="Comma 2 3 2 4 17" xfId="30240" xr:uid="{00000000-0005-0000-0000-000059210000}"/>
    <cellStyle name="Comma 2 3 2 4 18" xfId="30745" xr:uid="{00000000-0005-0000-0000-00005A210000}"/>
    <cellStyle name="Comma 2 3 2 4 2" xfId="9467" xr:uid="{00000000-0005-0000-0000-00005B210000}"/>
    <cellStyle name="Comma 2 3 2 4 2 2" xfId="18142" xr:uid="{00000000-0005-0000-0000-00005C210000}"/>
    <cellStyle name="Comma 2 3 2 4 3" xfId="18141" xr:uid="{00000000-0005-0000-0000-00005D210000}"/>
    <cellStyle name="Comma 2 3 2 4 4" xfId="7137" xr:uid="{00000000-0005-0000-0000-00005E210000}"/>
    <cellStyle name="Comma 2 3 2 4 5" xfId="23543" xr:uid="{00000000-0005-0000-0000-00005F210000}"/>
    <cellStyle name="Comma 2 3 2 4 6" xfId="24696" xr:uid="{00000000-0005-0000-0000-000060210000}"/>
    <cellStyle name="Comma 2 3 2 4 7" xfId="25200" xr:uid="{00000000-0005-0000-0000-000061210000}"/>
    <cellStyle name="Comma 2 3 2 4 8" xfId="25704" xr:uid="{00000000-0005-0000-0000-000062210000}"/>
    <cellStyle name="Comma 2 3 2 4 9" xfId="26208" xr:uid="{00000000-0005-0000-0000-000063210000}"/>
    <cellStyle name="Comma 2 3 2 5" xfId="7287" xr:uid="{00000000-0005-0000-0000-000064210000}"/>
    <cellStyle name="Comma 2 3 2 5 10" xfId="27721" xr:uid="{00000000-0005-0000-0000-000065210000}"/>
    <cellStyle name="Comma 2 3 2 5 11" xfId="28225" xr:uid="{00000000-0005-0000-0000-000066210000}"/>
    <cellStyle name="Comma 2 3 2 5 12" xfId="28729" xr:uid="{00000000-0005-0000-0000-000067210000}"/>
    <cellStyle name="Comma 2 3 2 5 13" xfId="29233" xr:uid="{00000000-0005-0000-0000-000068210000}"/>
    <cellStyle name="Comma 2 3 2 5 14" xfId="29737" xr:uid="{00000000-0005-0000-0000-000069210000}"/>
    <cellStyle name="Comma 2 3 2 5 15" xfId="30241" xr:uid="{00000000-0005-0000-0000-00006A210000}"/>
    <cellStyle name="Comma 2 3 2 5 16" xfId="30746" xr:uid="{00000000-0005-0000-0000-00006B210000}"/>
    <cellStyle name="Comma 2 3 2 5 2" xfId="9468" xr:uid="{00000000-0005-0000-0000-00006C210000}"/>
    <cellStyle name="Comma 2 3 2 5 2 2" xfId="18143" xr:uid="{00000000-0005-0000-0000-00006D210000}"/>
    <cellStyle name="Comma 2 3 2 5 3" xfId="23544" xr:uid="{00000000-0005-0000-0000-00006E210000}"/>
    <cellStyle name="Comma 2 3 2 5 4" xfId="24697" xr:uid="{00000000-0005-0000-0000-00006F210000}"/>
    <cellStyle name="Comma 2 3 2 5 5" xfId="25201" xr:uid="{00000000-0005-0000-0000-000070210000}"/>
    <cellStyle name="Comma 2 3 2 5 6" xfId="25705" xr:uid="{00000000-0005-0000-0000-000071210000}"/>
    <cellStyle name="Comma 2 3 2 5 7" xfId="26209" xr:uid="{00000000-0005-0000-0000-000072210000}"/>
    <cellStyle name="Comma 2 3 2 5 8" xfId="26713" xr:uid="{00000000-0005-0000-0000-000073210000}"/>
    <cellStyle name="Comma 2 3 2 5 9" xfId="27217" xr:uid="{00000000-0005-0000-0000-000074210000}"/>
    <cellStyle name="Comma 2 3 2 6" xfId="9469" xr:uid="{00000000-0005-0000-0000-000075210000}"/>
    <cellStyle name="Comma 2 3 2 6 2" xfId="18144" xr:uid="{00000000-0005-0000-0000-000076210000}"/>
    <cellStyle name="Comma 2 3 2 7" xfId="9451" xr:uid="{00000000-0005-0000-0000-000077210000}"/>
    <cellStyle name="Comma 2 3 2 8" xfId="18127" xr:uid="{00000000-0005-0000-0000-000078210000}"/>
    <cellStyle name="Comma 2 3 2 9" xfId="7134" xr:uid="{00000000-0005-0000-0000-000079210000}"/>
    <cellStyle name="Comma 2 3 20" xfId="22918" xr:uid="{00000000-0005-0000-0000-00007A210000}"/>
    <cellStyle name="Comma 2 3 21" xfId="23536" xr:uid="{00000000-0005-0000-0000-00007B210000}"/>
    <cellStyle name="Comma 2 3 22" xfId="24689" xr:uid="{00000000-0005-0000-0000-00007C210000}"/>
    <cellStyle name="Comma 2 3 23" xfId="25193" xr:uid="{00000000-0005-0000-0000-00007D210000}"/>
    <cellStyle name="Comma 2 3 24" xfId="25697" xr:uid="{00000000-0005-0000-0000-00007E210000}"/>
    <cellStyle name="Comma 2 3 25" xfId="26201" xr:uid="{00000000-0005-0000-0000-00007F210000}"/>
    <cellStyle name="Comma 2 3 26" xfId="26705" xr:uid="{00000000-0005-0000-0000-000080210000}"/>
    <cellStyle name="Comma 2 3 27" xfId="27209" xr:uid="{00000000-0005-0000-0000-000081210000}"/>
    <cellStyle name="Comma 2 3 28" xfId="27713" xr:uid="{00000000-0005-0000-0000-000082210000}"/>
    <cellStyle name="Comma 2 3 29" xfId="28217" xr:uid="{00000000-0005-0000-0000-000083210000}"/>
    <cellStyle name="Comma 2 3 3" xfId="567" xr:uid="{00000000-0005-0000-0000-000084210000}"/>
    <cellStyle name="Comma 2 3 3 10" xfId="9471" xr:uid="{00000000-0005-0000-0000-000085210000}"/>
    <cellStyle name="Comma 2 3 3 10 2" xfId="9472" xr:uid="{00000000-0005-0000-0000-000086210000}"/>
    <cellStyle name="Comma 2 3 3 10 2 2" xfId="18146" xr:uid="{00000000-0005-0000-0000-000087210000}"/>
    <cellStyle name="Comma 2 3 3 11" xfId="9473" xr:uid="{00000000-0005-0000-0000-000088210000}"/>
    <cellStyle name="Comma 2 3 3 11 2" xfId="9474" xr:uid="{00000000-0005-0000-0000-000089210000}"/>
    <cellStyle name="Comma 2 3 3 11 2 2" xfId="18147" xr:uid="{00000000-0005-0000-0000-00008A210000}"/>
    <cellStyle name="Comma 2 3 3 12" xfId="9475" xr:uid="{00000000-0005-0000-0000-00008B210000}"/>
    <cellStyle name="Comma 2 3 3 12 2" xfId="9476" xr:uid="{00000000-0005-0000-0000-00008C210000}"/>
    <cellStyle name="Comma 2 3 3 12 2 2" xfId="18148" xr:uid="{00000000-0005-0000-0000-00008D210000}"/>
    <cellStyle name="Comma 2 3 3 13" xfId="9477" xr:uid="{00000000-0005-0000-0000-00008E210000}"/>
    <cellStyle name="Comma 2 3 3 13 2" xfId="9478" xr:uid="{00000000-0005-0000-0000-00008F210000}"/>
    <cellStyle name="Comma 2 3 3 13 2 2" xfId="9479" xr:uid="{00000000-0005-0000-0000-000090210000}"/>
    <cellStyle name="Comma 2 3 3 13 2 2 2" xfId="18149" xr:uid="{00000000-0005-0000-0000-000091210000}"/>
    <cellStyle name="Comma 2 3 3 13 3" xfId="9480" xr:uid="{00000000-0005-0000-0000-000092210000}"/>
    <cellStyle name="Comma 2 3 3 13 3 2" xfId="9481" xr:uid="{00000000-0005-0000-0000-000093210000}"/>
    <cellStyle name="Comma 2 3 3 13 3 2 2" xfId="18150" xr:uid="{00000000-0005-0000-0000-000094210000}"/>
    <cellStyle name="Comma 2 3 3 13 4" xfId="9482" xr:uid="{00000000-0005-0000-0000-000095210000}"/>
    <cellStyle name="Comma 2 3 3 13 4 2" xfId="9483" xr:uid="{00000000-0005-0000-0000-000096210000}"/>
    <cellStyle name="Comma 2 3 3 13 4 2 2" xfId="18151" xr:uid="{00000000-0005-0000-0000-000097210000}"/>
    <cellStyle name="Comma 2 3 3 13 5" xfId="9484" xr:uid="{00000000-0005-0000-0000-000098210000}"/>
    <cellStyle name="Comma 2 3 3 13 5 2" xfId="9485" xr:uid="{00000000-0005-0000-0000-000099210000}"/>
    <cellStyle name="Comma 2 3 3 13 5 2 2" xfId="18152" xr:uid="{00000000-0005-0000-0000-00009A210000}"/>
    <cellStyle name="Comma 2 3 3 13 6" xfId="9486" xr:uid="{00000000-0005-0000-0000-00009B210000}"/>
    <cellStyle name="Comma 2 3 3 13 6 2" xfId="9487" xr:uid="{00000000-0005-0000-0000-00009C210000}"/>
    <cellStyle name="Comma 2 3 3 13 6 2 2" xfId="18153" xr:uid="{00000000-0005-0000-0000-00009D210000}"/>
    <cellStyle name="Comma 2 3 3 13 7" xfId="9488" xr:uid="{00000000-0005-0000-0000-00009E210000}"/>
    <cellStyle name="Comma 2 3 3 13 7 2" xfId="9489" xr:uid="{00000000-0005-0000-0000-00009F210000}"/>
    <cellStyle name="Comma 2 3 3 13 7 2 2" xfId="18154" xr:uid="{00000000-0005-0000-0000-0000A0210000}"/>
    <cellStyle name="Comma 2 3 3 13 8" xfId="9490" xr:uid="{00000000-0005-0000-0000-0000A1210000}"/>
    <cellStyle name="Comma 2 3 3 13 8 2" xfId="9491" xr:uid="{00000000-0005-0000-0000-0000A2210000}"/>
    <cellStyle name="Comma 2 3 3 13 8 2 2" xfId="18155" xr:uid="{00000000-0005-0000-0000-0000A3210000}"/>
    <cellStyle name="Comma 2 3 3 13 9" xfId="9492" xr:uid="{00000000-0005-0000-0000-0000A4210000}"/>
    <cellStyle name="Comma 2 3 3 13 9 2" xfId="18156" xr:uid="{00000000-0005-0000-0000-0000A5210000}"/>
    <cellStyle name="Comma 2 3 3 14" xfId="9493" xr:uid="{00000000-0005-0000-0000-0000A6210000}"/>
    <cellStyle name="Comma 2 3 3 14 2" xfId="9494" xr:uid="{00000000-0005-0000-0000-0000A7210000}"/>
    <cellStyle name="Comma 2 3 3 14 2 2" xfId="18157" xr:uid="{00000000-0005-0000-0000-0000A8210000}"/>
    <cellStyle name="Comma 2 3 3 15" xfId="9495" xr:uid="{00000000-0005-0000-0000-0000A9210000}"/>
    <cellStyle name="Comma 2 3 3 15 2" xfId="9496" xr:uid="{00000000-0005-0000-0000-0000AA210000}"/>
    <cellStyle name="Comma 2 3 3 15 2 2" xfId="18158" xr:uid="{00000000-0005-0000-0000-0000AB210000}"/>
    <cellStyle name="Comma 2 3 3 16" xfId="9497" xr:uid="{00000000-0005-0000-0000-0000AC210000}"/>
    <cellStyle name="Comma 2 3 3 16 2" xfId="9498" xr:uid="{00000000-0005-0000-0000-0000AD210000}"/>
    <cellStyle name="Comma 2 3 3 16 2 2" xfId="18159" xr:uid="{00000000-0005-0000-0000-0000AE210000}"/>
    <cellStyle name="Comma 2 3 3 17" xfId="9499" xr:uid="{00000000-0005-0000-0000-0000AF210000}"/>
    <cellStyle name="Comma 2 3 3 17 2" xfId="9500" xr:uid="{00000000-0005-0000-0000-0000B0210000}"/>
    <cellStyle name="Comma 2 3 3 17 2 2" xfId="18160" xr:uid="{00000000-0005-0000-0000-0000B1210000}"/>
    <cellStyle name="Comma 2 3 3 18" xfId="9501" xr:uid="{00000000-0005-0000-0000-0000B2210000}"/>
    <cellStyle name="Comma 2 3 3 18 2" xfId="9502" xr:uid="{00000000-0005-0000-0000-0000B3210000}"/>
    <cellStyle name="Comma 2 3 3 18 2 2" xfId="18161" xr:uid="{00000000-0005-0000-0000-0000B4210000}"/>
    <cellStyle name="Comma 2 3 3 19" xfId="9503" xr:uid="{00000000-0005-0000-0000-0000B5210000}"/>
    <cellStyle name="Comma 2 3 3 19 2" xfId="9504" xr:uid="{00000000-0005-0000-0000-0000B6210000}"/>
    <cellStyle name="Comma 2 3 3 19 2 2" xfId="18162" xr:uid="{00000000-0005-0000-0000-0000B7210000}"/>
    <cellStyle name="Comma 2 3 3 2" xfId="2004" xr:uid="{00000000-0005-0000-0000-0000B8210000}"/>
    <cellStyle name="Comma 2 3 3 2 10" xfId="26211" xr:uid="{00000000-0005-0000-0000-0000B9210000}"/>
    <cellStyle name="Comma 2 3 3 2 11" xfId="26715" xr:uid="{00000000-0005-0000-0000-0000BA210000}"/>
    <cellStyle name="Comma 2 3 3 2 12" xfId="27219" xr:uid="{00000000-0005-0000-0000-0000BB210000}"/>
    <cellStyle name="Comma 2 3 3 2 13" xfId="27723" xr:uid="{00000000-0005-0000-0000-0000BC210000}"/>
    <cellStyle name="Comma 2 3 3 2 14" xfId="28227" xr:uid="{00000000-0005-0000-0000-0000BD210000}"/>
    <cellStyle name="Comma 2 3 3 2 15" xfId="28731" xr:uid="{00000000-0005-0000-0000-0000BE210000}"/>
    <cellStyle name="Comma 2 3 3 2 16" xfId="29235" xr:uid="{00000000-0005-0000-0000-0000BF210000}"/>
    <cellStyle name="Comma 2 3 3 2 17" xfId="29739" xr:uid="{00000000-0005-0000-0000-0000C0210000}"/>
    <cellStyle name="Comma 2 3 3 2 18" xfId="30243" xr:uid="{00000000-0005-0000-0000-0000C1210000}"/>
    <cellStyle name="Comma 2 3 3 2 19" xfId="30748" xr:uid="{00000000-0005-0000-0000-0000C2210000}"/>
    <cellStyle name="Comma 2 3 3 2 2" xfId="9505" xr:uid="{00000000-0005-0000-0000-0000C3210000}"/>
    <cellStyle name="Comma 2 3 3 2 2 2" xfId="18164" xr:uid="{00000000-0005-0000-0000-0000C4210000}"/>
    <cellStyle name="Comma 2 3 3 2 3" xfId="18163" xr:uid="{00000000-0005-0000-0000-0000C5210000}"/>
    <cellStyle name="Comma 2 3 3 2 4" xfId="7290" xr:uid="{00000000-0005-0000-0000-0000C6210000}"/>
    <cellStyle name="Comma 2 3 3 2 5" xfId="22924" xr:uid="{00000000-0005-0000-0000-0000C7210000}"/>
    <cellStyle name="Comma 2 3 3 2 6" xfId="23546" xr:uid="{00000000-0005-0000-0000-0000C8210000}"/>
    <cellStyle name="Comma 2 3 3 2 7" xfId="24699" xr:uid="{00000000-0005-0000-0000-0000C9210000}"/>
    <cellStyle name="Comma 2 3 3 2 8" xfId="25203" xr:uid="{00000000-0005-0000-0000-0000CA210000}"/>
    <cellStyle name="Comma 2 3 3 2 9" xfId="25707" xr:uid="{00000000-0005-0000-0000-0000CB210000}"/>
    <cellStyle name="Comma 2 3 3 20" xfId="9506" xr:uid="{00000000-0005-0000-0000-0000CC210000}"/>
    <cellStyle name="Comma 2 3 3 20 2" xfId="18165" xr:uid="{00000000-0005-0000-0000-0000CD210000}"/>
    <cellStyle name="Comma 2 3 3 21" xfId="9507" xr:uid="{00000000-0005-0000-0000-0000CE210000}"/>
    <cellStyle name="Comma 2 3 3 21 2" xfId="18166" xr:uid="{00000000-0005-0000-0000-0000CF210000}"/>
    <cellStyle name="Comma 2 3 3 22" xfId="9508" xr:uid="{00000000-0005-0000-0000-0000D0210000}"/>
    <cellStyle name="Comma 2 3 3 22 2" xfId="18167" xr:uid="{00000000-0005-0000-0000-0000D1210000}"/>
    <cellStyle name="Comma 2 3 3 23" xfId="9470" xr:uid="{00000000-0005-0000-0000-0000D2210000}"/>
    <cellStyle name="Comma 2 3 3 24" xfId="18145" xr:uid="{00000000-0005-0000-0000-0000D3210000}"/>
    <cellStyle name="Comma 2 3 3 25" xfId="7138" xr:uid="{00000000-0005-0000-0000-0000D4210000}"/>
    <cellStyle name="Comma 2 3 3 26" xfId="22923" xr:uid="{00000000-0005-0000-0000-0000D5210000}"/>
    <cellStyle name="Comma 2 3 3 27" xfId="23545" xr:uid="{00000000-0005-0000-0000-0000D6210000}"/>
    <cellStyle name="Comma 2 3 3 28" xfId="24698" xr:uid="{00000000-0005-0000-0000-0000D7210000}"/>
    <cellStyle name="Comma 2 3 3 29" xfId="25202" xr:uid="{00000000-0005-0000-0000-0000D8210000}"/>
    <cellStyle name="Comma 2 3 3 3" xfId="3672" xr:uid="{00000000-0005-0000-0000-0000D9210000}"/>
    <cellStyle name="Comma 2 3 3 3 10" xfId="27220" xr:uid="{00000000-0005-0000-0000-0000DA210000}"/>
    <cellStyle name="Comma 2 3 3 3 11" xfId="27724" xr:uid="{00000000-0005-0000-0000-0000DB210000}"/>
    <cellStyle name="Comma 2 3 3 3 12" xfId="28228" xr:uid="{00000000-0005-0000-0000-0000DC210000}"/>
    <cellStyle name="Comma 2 3 3 3 13" xfId="28732" xr:uid="{00000000-0005-0000-0000-0000DD210000}"/>
    <cellStyle name="Comma 2 3 3 3 14" xfId="29236" xr:uid="{00000000-0005-0000-0000-0000DE210000}"/>
    <cellStyle name="Comma 2 3 3 3 15" xfId="29740" xr:uid="{00000000-0005-0000-0000-0000DF210000}"/>
    <cellStyle name="Comma 2 3 3 3 16" xfId="30244" xr:uid="{00000000-0005-0000-0000-0000E0210000}"/>
    <cellStyle name="Comma 2 3 3 3 17" xfId="30749" xr:uid="{00000000-0005-0000-0000-0000E1210000}"/>
    <cellStyle name="Comma 2 3 3 3 2" xfId="9510" xr:uid="{00000000-0005-0000-0000-0000E2210000}"/>
    <cellStyle name="Comma 2 3 3 3 2 2" xfId="18168" xr:uid="{00000000-0005-0000-0000-0000E3210000}"/>
    <cellStyle name="Comma 2 3 3 3 3" xfId="9509" xr:uid="{00000000-0005-0000-0000-0000E4210000}"/>
    <cellStyle name="Comma 2 3 3 3 4" xfId="23547" xr:uid="{00000000-0005-0000-0000-0000E5210000}"/>
    <cellStyle name="Comma 2 3 3 3 5" xfId="24700" xr:uid="{00000000-0005-0000-0000-0000E6210000}"/>
    <cellStyle name="Comma 2 3 3 3 6" xfId="25204" xr:uid="{00000000-0005-0000-0000-0000E7210000}"/>
    <cellStyle name="Comma 2 3 3 3 7" xfId="25708" xr:uid="{00000000-0005-0000-0000-0000E8210000}"/>
    <cellStyle name="Comma 2 3 3 3 8" xfId="26212" xr:uid="{00000000-0005-0000-0000-0000E9210000}"/>
    <cellStyle name="Comma 2 3 3 3 9" xfId="26716" xr:uid="{00000000-0005-0000-0000-0000EA210000}"/>
    <cellStyle name="Comma 2 3 3 30" xfId="25706" xr:uid="{00000000-0005-0000-0000-0000EB210000}"/>
    <cellStyle name="Comma 2 3 3 31" xfId="26210" xr:uid="{00000000-0005-0000-0000-0000EC210000}"/>
    <cellStyle name="Comma 2 3 3 32" xfId="26714" xr:uid="{00000000-0005-0000-0000-0000ED210000}"/>
    <cellStyle name="Comma 2 3 3 33" xfId="27218" xr:uid="{00000000-0005-0000-0000-0000EE210000}"/>
    <cellStyle name="Comma 2 3 3 34" xfId="27722" xr:uid="{00000000-0005-0000-0000-0000EF210000}"/>
    <cellStyle name="Comma 2 3 3 35" xfId="28226" xr:uid="{00000000-0005-0000-0000-0000F0210000}"/>
    <cellStyle name="Comma 2 3 3 36" xfId="28730" xr:uid="{00000000-0005-0000-0000-0000F1210000}"/>
    <cellStyle name="Comma 2 3 3 37" xfId="29234" xr:uid="{00000000-0005-0000-0000-0000F2210000}"/>
    <cellStyle name="Comma 2 3 3 38" xfId="29738" xr:uid="{00000000-0005-0000-0000-0000F3210000}"/>
    <cellStyle name="Comma 2 3 3 39" xfId="30242" xr:uid="{00000000-0005-0000-0000-0000F4210000}"/>
    <cellStyle name="Comma 2 3 3 4" xfId="6846" xr:uid="{00000000-0005-0000-0000-0000F5210000}"/>
    <cellStyle name="Comma 2 3 3 4 10" xfId="27221" xr:uid="{00000000-0005-0000-0000-0000F6210000}"/>
    <cellStyle name="Comma 2 3 3 4 11" xfId="27725" xr:uid="{00000000-0005-0000-0000-0000F7210000}"/>
    <cellStyle name="Comma 2 3 3 4 12" xfId="28229" xr:uid="{00000000-0005-0000-0000-0000F8210000}"/>
    <cellStyle name="Comma 2 3 3 4 13" xfId="28733" xr:uid="{00000000-0005-0000-0000-0000F9210000}"/>
    <cellStyle name="Comma 2 3 3 4 14" xfId="29237" xr:uid="{00000000-0005-0000-0000-0000FA210000}"/>
    <cellStyle name="Comma 2 3 3 4 15" xfId="29741" xr:uid="{00000000-0005-0000-0000-0000FB210000}"/>
    <cellStyle name="Comma 2 3 3 4 16" xfId="30245" xr:uid="{00000000-0005-0000-0000-0000FC210000}"/>
    <cellStyle name="Comma 2 3 3 4 17" xfId="30750" xr:uid="{00000000-0005-0000-0000-0000FD210000}"/>
    <cellStyle name="Comma 2 3 3 4 2" xfId="9512" xr:uid="{00000000-0005-0000-0000-0000FE210000}"/>
    <cellStyle name="Comma 2 3 3 4 2 2" xfId="18169" xr:uid="{00000000-0005-0000-0000-0000FF210000}"/>
    <cellStyle name="Comma 2 3 3 4 3" xfId="9511" xr:uid="{00000000-0005-0000-0000-000000220000}"/>
    <cellStyle name="Comma 2 3 3 4 4" xfId="23548" xr:uid="{00000000-0005-0000-0000-000001220000}"/>
    <cellStyle name="Comma 2 3 3 4 5" xfId="24701" xr:uid="{00000000-0005-0000-0000-000002220000}"/>
    <cellStyle name="Comma 2 3 3 4 6" xfId="25205" xr:uid="{00000000-0005-0000-0000-000003220000}"/>
    <cellStyle name="Comma 2 3 3 4 7" xfId="25709" xr:uid="{00000000-0005-0000-0000-000004220000}"/>
    <cellStyle name="Comma 2 3 3 4 8" xfId="26213" xr:uid="{00000000-0005-0000-0000-000005220000}"/>
    <cellStyle name="Comma 2 3 3 4 9" xfId="26717" xr:uid="{00000000-0005-0000-0000-000006220000}"/>
    <cellStyle name="Comma 2 3 3 40" xfId="30747" xr:uid="{00000000-0005-0000-0000-000007220000}"/>
    <cellStyle name="Comma 2 3 3 5" xfId="9513" xr:uid="{00000000-0005-0000-0000-000008220000}"/>
    <cellStyle name="Comma 2 3 3 5 2" xfId="9514" xr:uid="{00000000-0005-0000-0000-000009220000}"/>
    <cellStyle name="Comma 2 3 3 5 2 2" xfId="18170" xr:uid="{00000000-0005-0000-0000-00000A220000}"/>
    <cellStyle name="Comma 2 3 3 6" xfId="9515" xr:uid="{00000000-0005-0000-0000-00000B220000}"/>
    <cellStyle name="Comma 2 3 3 6 2" xfId="9516" xr:uid="{00000000-0005-0000-0000-00000C220000}"/>
    <cellStyle name="Comma 2 3 3 6 2 2" xfId="18171" xr:uid="{00000000-0005-0000-0000-00000D220000}"/>
    <cellStyle name="Comma 2 3 3 7" xfId="9517" xr:uid="{00000000-0005-0000-0000-00000E220000}"/>
    <cellStyle name="Comma 2 3 3 7 2" xfId="9518" xr:uid="{00000000-0005-0000-0000-00000F220000}"/>
    <cellStyle name="Comma 2 3 3 7 2 2" xfId="18172" xr:uid="{00000000-0005-0000-0000-000010220000}"/>
    <cellStyle name="Comma 2 3 3 8" xfId="9519" xr:uid="{00000000-0005-0000-0000-000011220000}"/>
    <cellStyle name="Comma 2 3 3 8 2" xfId="9520" xr:uid="{00000000-0005-0000-0000-000012220000}"/>
    <cellStyle name="Comma 2 3 3 8 2 2" xfId="18173" xr:uid="{00000000-0005-0000-0000-000013220000}"/>
    <cellStyle name="Comma 2 3 3 9" xfId="9521" xr:uid="{00000000-0005-0000-0000-000014220000}"/>
    <cellStyle name="Comma 2 3 3 9 2" xfId="9522" xr:uid="{00000000-0005-0000-0000-000015220000}"/>
    <cellStyle name="Comma 2 3 3 9 2 2" xfId="18174" xr:uid="{00000000-0005-0000-0000-000016220000}"/>
    <cellStyle name="Comma 2 3 30" xfId="28721" xr:uid="{00000000-0005-0000-0000-000017220000}"/>
    <cellStyle name="Comma 2 3 31" xfId="29225" xr:uid="{00000000-0005-0000-0000-000018220000}"/>
    <cellStyle name="Comma 2 3 32" xfId="29729" xr:uid="{00000000-0005-0000-0000-000019220000}"/>
    <cellStyle name="Comma 2 3 33" xfId="30233" xr:uid="{00000000-0005-0000-0000-00001A220000}"/>
    <cellStyle name="Comma 2 3 34" xfId="30738" xr:uid="{00000000-0005-0000-0000-00001B220000}"/>
    <cellStyle name="Comma 2 3 4" xfId="2005" xr:uid="{00000000-0005-0000-0000-00001C220000}"/>
    <cellStyle name="Comma 2 3 4 10" xfId="26718" xr:uid="{00000000-0005-0000-0000-00001D220000}"/>
    <cellStyle name="Comma 2 3 4 11" xfId="27222" xr:uid="{00000000-0005-0000-0000-00001E220000}"/>
    <cellStyle name="Comma 2 3 4 12" xfId="27726" xr:uid="{00000000-0005-0000-0000-00001F220000}"/>
    <cellStyle name="Comma 2 3 4 13" xfId="28230" xr:uid="{00000000-0005-0000-0000-000020220000}"/>
    <cellStyle name="Comma 2 3 4 14" xfId="28734" xr:uid="{00000000-0005-0000-0000-000021220000}"/>
    <cellStyle name="Comma 2 3 4 15" xfId="29238" xr:uid="{00000000-0005-0000-0000-000022220000}"/>
    <cellStyle name="Comma 2 3 4 16" xfId="29742" xr:uid="{00000000-0005-0000-0000-000023220000}"/>
    <cellStyle name="Comma 2 3 4 17" xfId="30246" xr:uid="{00000000-0005-0000-0000-000024220000}"/>
    <cellStyle name="Comma 2 3 4 18" xfId="30751" xr:uid="{00000000-0005-0000-0000-000025220000}"/>
    <cellStyle name="Comma 2 3 4 2" xfId="7291" xr:uid="{00000000-0005-0000-0000-000026220000}"/>
    <cellStyle name="Comma 2 3 4 2 2" xfId="9523" xr:uid="{00000000-0005-0000-0000-000027220000}"/>
    <cellStyle name="Comma 2 3 4 2 2 2" xfId="18175" xr:uid="{00000000-0005-0000-0000-000028220000}"/>
    <cellStyle name="Comma 2 3 4 2 3" xfId="22926" xr:uid="{00000000-0005-0000-0000-000029220000}"/>
    <cellStyle name="Comma 2 3 4 3" xfId="7139" xr:uid="{00000000-0005-0000-0000-00002A220000}"/>
    <cellStyle name="Comma 2 3 4 4" xfId="22925" xr:uid="{00000000-0005-0000-0000-00002B220000}"/>
    <cellStyle name="Comma 2 3 4 5" xfId="23549" xr:uid="{00000000-0005-0000-0000-00002C220000}"/>
    <cellStyle name="Comma 2 3 4 6" xfId="24702" xr:uid="{00000000-0005-0000-0000-00002D220000}"/>
    <cellStyle name="Comma 2 3 4 7" xfId="25206" xr:uid="{00000000-0005-0000-0000-00002E220000}"/>
    <cellStyle name="Comma 2 3 4 8" xfId="25710" xr:uid="{00000000-0005-0000-0000-00002F220000}"/>
    <cellStyle name="Comma 2 3 4 9" xfId="26214" xr:uid="{00000000-0005-0000-0000-000030220000}"/>
    <cellStyle name="Comma 2 3 5" xfId="2006" xr:uid="{00000000-0005-0000-0000-000031220000}"/>
    <cellStyle name="Comma 2 3 5 10" xfId="27223" xr:uid="{00000000-0005-0000-0000-000032220000}"/>
    <cellStyle name="Comma 2 3 5 11" xfId="27727" xr:uid="{00000000-0005-0000-0000-000033220000}"/>
    <cellStyle name="Comma 2 3 5 12" xfId="28231" xr:uid="{00000000-0005-0000-0000-000034220000}"/>
    <cellStyle name="Comma 2 3 5 13" xfId="28735" xr:uid="{00000000-0005-0000-0000-000035220000}"/>
    <cellStyle name="Comma 2 3 5 14" xfId="29239" xr:uid="{00000000-0005-0000-0000-000036220000}"/>
    <cellStyle name="Comma 2 3 5 15" xfId="29743" xr:uid="{00000000-0005-0000-0000-000037220000}"/>
    <cellStyle name="Comma 2 3 5 16" xfId="30247" xr:uid="{00000000-0005-0000-0000-000038220000}"/>
    <cellStyle name="Comma 2 3 5 17" xfId="30752" xr:uid="{00000000-0005-0000-0000-000039220000}"/>
    <cellStyle name="Comma 2 3 5 2" xfId="9524" xr:uid="{00000000-0005-0000-0000-00003A220000}"/>
    <cellStyle name="Comma 2 3 5 2 2" xfId="9525" xr:uid="{00000000-0005-0000-0000-00003B220000}"/>
    <cellStyle name="Comma 2 3 5 2 2 2" xfId="18176" xr:uid="{00000000-0005-0000-0000-00003C220000}"/>
    <cellStyle name="Comma 2 3 5 3" xfId="7140" xr:uid="{00000000-0005-0000-0000-00003D220000}"/>
    <cellStyle name="Comma 2 3 5 4" xfId="23550" xr:uid="{00000000-0005-0000-0000-00003E220000}"/>
    <cellStyle name="Comma 2 3 5 5" xfId="24703" xr:uid="{00000000-0005-0000-0000-00003F220000}"/>
    <cellStyle name="Comma 2 3 5 6" xfId="25207" xr:uid="{00000000-0005-0000-0000-000040220000}"/>
    <cellStyle name="Comma 2 3 5 7" xfId="25711" xr:uid="{00000000-0005-0000-0000-000041220000}"/>
    <cellStyle name="Comma 2 3 5 8" xfId="26215" xr:uid="{00000000-0005-0000-0000-000042220000}"/>
    <cellStyle name="Comma 2 3 5 9" xfId="26719" xr:uid="{00000000-0005-0000-0000-000043220000}"/>
    <cellStyle name="Comma 2 3 6" xfId="7286" xr:uid="{00000000-0005-0000-0000-000044220000}"/>
    <cellStyle name="Comma 2 3 6 10" xfId="27728" xr:uid="{00000000-0005-0000-0000-000045220000}"/>
    <cellStyle name="Comma 2 3 6 11" xfId="28232" xr:uid="{00000000-0005-0000-0000-000046220000}"/>
    <cellStyle name="Comma 2 3 6 12" xfId="28736" xr:uid="{00000000-0005-0000-0000-000047220000}"/>
    <cellStyle name="Comma 2 3 6 13" xfId="29240" xr:uid="{00000000-0005-0000-0000-000048220000}"/>
    <cellStyle name="Comma 2 3 6 14" xfId="29744" xr:uid="{00000000-0005-0000-0000-000049220000}"/>
    <cellStyle name="Comma 2 3 6 15" xfId="30248" xr:uid="{00000000-0005-0000-0000-00004A220000}"/>
    <cellStyle name="Comma 2 3 6 16" xfId="30753" xr:uid="{00000000-0005-0000-0000-00004B220000}"/>
    <cellStyle name="Comma 2 3 6 2" xfId="9526" xr:uid="{00000000-0005-0000-0000-00004C220000}"/>
    <cellStyle name="Comma 2 3 6 2 2" xfId="18177" xr:uid="{00000000-0005-0000-0000-00004D220000}"/>
    <cellStyle name="Comma 2 3 6 3" xfId="23551" xr:uid="{00000000-0005-0000-0000-00004E220000}"/>
    <cellStyle name="Comma 2 3 6 4" xfId="24704" xr:uid="{00000000-0005-0000-0000-00004F220000}"/>
    <cellStyle name="Comma 2 3 6 5" xfId="25208" xr:uid="{00000000-0005-0000-0000-000050220000}"/>
    <cellStyle name="Comma 2 3 6 6" xfId="25712" xr:uid="{00000000-0005-0000-0000-000051220000}"/>
    <cellStyle name="Comma 2 3 6 7" xfId="26216" xr:uid="{00000000-0005-0000-0000-000052220000}"/>
    <cellStyle name="Comma 2 3 6 8" xfId="26720" xr:uid="{00000000-0005-0000-0000-000053220000}"/>
    <cellStyle name="Comma 2 3 6 9" xfId="27224" xr:uid="{00000000-0005-0000-0000-000054220000}"/>
    <cellStyle name="Comma 2 3 7" xfId="9527" xr:uid="{00000000-0005-0000-0000-000055220000}"/>
    <cellStyle name="Comma 2 3 7 2" xfId="9528" xr:uid="{00000000-0005-0000-0000-000056220000}"/>
    <cellStyle name="Comma 2 3 7 2 2" xfId="18178" xr:uid="{00000000-0005-0000-0000-000057220000}"/>
    <cellStyle name="Comma 2 3 8" xfId="9529" xr:uid="{00000000-0005-0000-0000-000058220000}"/>
    <cellStyle name="Comma 2 3 8 2" xfId="9530" xr:uid="{00000000-0005-0000-0000-000059220000}"/>
    <cellStyle name="Comma 2 3 8 2 2" xfId="18179" xr:uid="{00000000-0005-0000-0000-00005A220000}"/>
    <cellStyle name="Comma 2 3 9" xfId="9531" xr:uid="{00000000-0005-0000-0000-00005B220000}"/>
    <cellStyle name="Comma 2 3 9 2" xfId="9532" xr:uid="{00000000-0005-0000-0000-00005C220000}"/>
    <cellStyle name="Comma 2 3 9 2 2" xfId="18180" xr:uid="{00000000-0005-0000-0000-00005D220000}"/>
    <cellStyle name="Comma 2 4" xfId="141" xr:uid="{00000000-0005-0000-0000-00005E220000}"/>
    <cellStyle name="Comma 2 4 10" xfId="9534" xr:uid="{00000000-0005-0000-0000-00005F220000}"/>
    <cellStyle name="Comma 2 4 10 2" xfId="9535" xr:uid="{00000000-0005-0000-0000-000060220000}"/>
    <cellStyle name="Comma 2 4 10 2 2" xfId="18182" xr:uid="{00000000-0005-0000-0000-000061220000}"/>
    <cellStyle name="Comma 2 4 11" xfId="9536" xr:uid="{00000000-0005-0000-0000-000062220000}"/>
    <cellStyle name="Comma 2 4 11 2" xfId="9537" xr:uid="{00000000-0005-0000-0000-000063220000}"/>
    <cellStyle name="Comma 2 4 11 2 2" xfId="18183" xr:uid="{00000000-0005-0000-0000-000064220000}"/>
    <cellStyle name="Comma 2 4 12" xfId="9538" xr:uid="{00000000-0005-0000-0000-000065220000}"/>
    <cellStyle name="Comma 2 4 12 2" xfId="9539" xr:uid="{00000000-0005-0000-0000-000066220000}"/>
    <cellStyle name="Comma 2 4 12 2 2" xfId="18184" xr:uid="{00000000-0005-0000-0000-000067220000}"/>
    <cellStyle name="Comma 2 4 13" xfId="9540" xr:uid="{00000000-0005-0000-0000-000068220000}"/>
    <cellStyle name="Comma 2 4 13 2" xfId="9541" xr:uid="{00000000-0005-0000-0000-000069220000}"/>
    <cellStyle name="Comma 2 4 13 2 2" xfId="18185" xr:uid="{00000000-0005-0000-0000-00006A220000}"/>
    <cellStyle name="Comma 2 4 14" xfId="9542" xr:uid="{00000000-0005-0000-0000-00006B220000}"/>
    <cellStyle name="Comma 2 4 14 2" xfId="9543" xr:uid="{00000000-0005-0000-0000-00006C220000}"/>
    <cellStyle name="Comma 2 4 14 2 2" xfId="9544" xr:uid="{00000000-0005-0000-0000-00006D220000}"/>
    <cellStyle name="Comma 2 4 14 2 2 2" xfId="18186" xr:uid="{00000000-0005-0000-0000-00006E220000}"/>
    <cellStyle name="Comma 2 4 14 3" xfId="9545" xr:uid="{00000000-0005-0000-0000-00006F220000}"/>
    <cellStyle name="Comma 2 4 14 3 2" xfId="9546" xr:uid="{00000000-0005-0000-0000-000070220000}"/>
    <cellStyle name="Comma 2 4 14 3 2 2" xfId="18187" xr:uid="{00000000-0005-0000-0000-000071220000}"/>
    <cellStyle name="Comma 2 4 14 4" xfId="9547" xr:uid="{00000000-0005-0000-0000-000072220000}"/>
    <cellStyle name="Comma 2 4 14 4 2" xfId="9548" xr:uid="{00000000-0005-0000-0000-000073220000}"/>
    <cellStyle name="Comma 2 4 14 4 2 2" xfId="18188" xr:uid="{00000000-0005-0000-0000-000074220000}"/>
    <cellStyle name="Comma 2 4 14 5" xfId="9549" xr:uid="{00000000-0005-0000-0000-000075220000}"/>
    <cellStyle name="Comma 2 4 14 5 2" xfId="9550" xr:uid="{00000000-0005-0000-0000-000076220000}"/>
    <cellStyle name="Comma 2 4 14 5 2 2" xfId="18189" xr:uid="{00000000-0005-0000-0000-000077220000}"/>
    <cellStyle name="Comma 2 4 14 6" xfId="9551" xr:uid="{00000000-0005-0000-0000-000078220000}"/>
    <cellStyle name="Comma 2 4 14 6 2" xfId="9552" xr:uid="{00000000-0005-0000-0000-000079220000}"/>
    <cellStyle name="Comma 2 4 14 6 2 2" xfId="18190" xr:uid="{00000000-0005-0000-0000-00007A220000}"/>
    <cellStyle name="Comma 2 4 14 7" xfId="9553" xr:uid="{00000000-0005-0000-0000-00007B220000}"/>
    <cellStyle name="Comma 2 4 14 7 2" xfId="9554" xr:uid="{00000000-0005-0000-0000-00007C220000}"/>
    <cellStyle name="Comma 2 4 14 7 2 2" xfId="18191" xr:uid="{00000000-0005-0000-0000-00007D220000}"/>
    <cellStyle name="Comma 2 4 14 8" xfId="9555" xr:uid="{00000000-0005-0000-0000-00007E220000}"/>
    <cellStyle name="Comma 2 4 14 8 2" xfId="9556" xr:uid="{00000000-0005-0000-0000-00007F220000}"/>
    <cellStyle name="Comma 2 4 14 8 2 2" xfId="18192" xr:uid="{00000000-0005-0000-0000-000080220000}"/>
    <cellStyle name="Comma 2 4 14 9" xfId="9557" xr:uid="{00000000-0005-0000-0000-000081220000}"/>
    <cellStyle name="Comma 2 4 14 9 2" xfId="18193" xr:uid="{00000000-0005-0000-0000-000082220000}"/>
    <cellStyle name="Comma 2 4 15" xfId="9558" xr:uid="{00000000-0005-0000-0000-000083220000}"/>
    <cellStyle name="Comma 2 4 15 2" xfId="9559" xr:uid="{00000000-0005-0000-0000-000084220000}"/>
    <cellStyle name="Comma 2 4 15 2 2" xfId="18194" xr:uid="{00000000-0005-0000-0000-000085220000}"/>
    <cellStyle name="Comma 2 4 16" xfId="9560" xr:uid="{00000000-0005-0000-0000-000086220000}"/>
    <cellStyle name="Comma 2 4 16 2" xfId="18195" xr:uid="{00000000-0005-0000-0000-000087220000}"/>
    <cellStyle name="Comma 2 4 17" xfId="9533" xr:uid="{00000000-0005-0000-0000-000088220000}"/>
    <cellStyle name="Comma 2 4 18" xfId="18181" xr:uid="{00000000-0005-0000-0000-000089220000}"/>
    <cellStyle name="Comma 2 4 19" xfId="7141" xr:uid="{00000000-0005-0000-0000-00008A220000}"/>
    <cellStyle name="Comma 2 4 2" xfId="392" xr:uid="{00000000-0005-0000-0000-00008B220000}"/>
    <cellStyle name="Comma 2 4 2 10" xfId="22928" xr:uid="{00000000-0005-0000-0000-00008C220000}"/>
    <cellStyle name="Comma 2 4 2 11" xfId="23553" xr:uid="{00000000-0005-0000-0000-00008D220000}"/>
    <cellStyle name="Comma 2 4 2 12" xfId="24706" xr:uid="{00000000-0005-0000-0000-00008E220000}"/>
    <cellStyle name="Comma 2 4 2 13" xfId="25210" xr:uid="{00000000-0005-0000-0000-00008F220000}"/>
    <cellStyle name="Comma 2 4 2 14" xfId="25714" xr:uid="{00000000-0005-0000-0000-000090220000}"/>
    <cellStyle name="Comma 2 4 2 15" xfId="26218" xr:uid="{00000000-0005-0000-0000-000091220000}"/>
    <cellStyle name="Comma 2 4 2 16" xfId="26722" xr:uid="{00000000-0005-0000-0000-000092220000}"/>
    <cellStyle name="Comma 2 4 2 17" xfId="27226" xr:uid="{00000000-0005-0000-0000-000093220000}"/>
    <cellStyle name="Comma 2 4 2 18" xfId="27730" xr:uid="{00000000-0005-0000-0000-000094220000}"/>
    <cellStyle name="Comma 2 4 2 19" xfId="28234" xr:uid="{00000000-0005-0000-0000-000095220000}"/>
    <cellStyle name="Comma 2 4 2 2" xfId="568" xr:uid="{00000000-0005-0000-0000-000096220000}"/>
    <cellStyle name="Comma 2 4 2 2 10" xfId="9563" xr:uid="{00000000-0005-0000-0000-000097220000}"/>
    <cellStyle name="Comma 2 4 2 2 10 2" xfId="18198" xr:uid="{00000000-0005-0000-0000-000098220000}"/>
    <cellStyle name="Comma 2 4 2 2 11" xfId="9562" xr:uid="{00000000-0005-0000-0000-000099220000}"/>
    <cellStyle name="Comma 2 4 2 2 12" xfId="18197" xr:uid="{00000000-0005-0000-0000-00009A220000}"/>
    <cellStyle name="Comma 2 4 2 2 13" xfId="7143" xr:uid="{00000000-0005-0000-0000-00009B220000}"/>
    <cellStyle name="Comma 2 4 2 2 14" xfId="22929" xr:uid="{00000000-0005-0000-0000-00009C220000}"/>
    <cellStyle name="Comma 2 4 2 2 15" xfId="23554" xr:uid="{00000000-0005-0000-0000-00009D220000}"/>
    <cellStyle name="Comma 2 4 2 2 16" xfId="24707" xr:uid="{00000000-0005-0000-0000-00009E220000}"/>
    <cellStyle name="Comma 2 4 2 2 17" xfId="25211" xr:uid="{00000000-0005-0000-0000-00009F220000}"/>
    <cellStyle name="Comma 2 4 2 2 18" xfId="25715" xr:uid="{00000000-0005-0000-0000-0000A0220000}"/>
    <cellStyle name="Comma 2 4 2 2 19" xfId="26219" xr:uid="{00000000-0005-0000-0000-0000A1220000}"/>
    <cellStyle name="Comma 2 4 2 2 2" xfId="2007" xr:uid="{00000000-0005-0000-0000-0000A2220000}"/>
    <cellStyle name="Comma 2 4 2 2 2 10" xfId="26220" xr:uid="{00000000-0005-0000-0000-0000A3220000}"/>
    <cellStyle name="Comma 2 4 2 2 2 11" xfId="26724" xr:uid="{00000000-0005-0000-0000-0000A4220000}"/>
    <cellStyle name="Comma 2 4 2 2 2 12" xfId="27228" xr:uid="{00000000-0005-0000-0000-0000A5220000}"/>
    <cellStyle name="Comma 2 4 2 2 2 13" xfId="27732" xr:uid="{00000000-0005-0000-0000-0000A6220000}"/>
    <cellStyle name="Comma 2 4 2 2 2 14" xfId="28236" xr:uid="{00000000-0005-0000-0000-0000A7220000}"/>
    <cellStyle name="Comma 2 4 2 2 2 15" xfId="28740" xr:uid="{00000000-0005-0000-0000-0000A8220000}"/>
    <cellStyle name="Comma 2 4 2 2 2 16" xfId="29244" xr:uid="{00000000-0005-0000-0000-0000A9220000}"/>
    <cellStyle name="Comma 2 4 2 2 2 17" xfId="29748" xr:uid="{00000000-0005-0000-0000-0000AA220000}"/>
    <cellStyle name="Comma 2 4 2 2 2 18" xfId="30252" xr:uid="{00000000-0005-0000-0000-0000AB220000}"/>
    <cellStyle name="Comma 2 4 2 2 2 19" xfId="30757" xr:uid="{00000000-0005-0000-0000-0000AC220000}"/>
    <cellStyle name="Comma 2 4 2 2 2 2" xfId="9564" xr:uid="{00000000-0005-0000-0000-0000AD220000}"/>
    <cellStyle name="Comma 2 4 2 2 2 2 2" xfId="18200" xr:uid="{00000000-0005-0000-0000-0000AE220000}"/>
    <cellStyle name="Comma 2 4 2 2 2 3" xfId="18199" xr:uid="{00000000-0005-0000-0000-0000AF220000}"/>
    <cellStyle name="Comma 2 4 2 2 2 4" xfId="7294" xr:uid="{00000000-0005-0000-0000-0000B0220000}"/>
    <cellStyle name="Comma 2 4 2 2 2 5" xfId="22930" xr:uid="{00000000-0005-0000-0000-0000B1220000}"/>
    <cellStyle name="Comma 2 4 2 2 2 6" xfId="23555" xr:uid="{00000000-0005-0000-0000-0000B2220000}"/>
    <cellStyle name="Comma 2 4 2 2 2 7" xfId="24708" xr:uid="{00000000-0005-0000-0000-0000B3220000}"/>
    <cellStyle name="Comma 2 4 2 2 2 8" xfId="25212" xr:uid="{00000000-0005-0000-0000-0000B4220000}"/>
    <cellStyle name="Comma 2 4 2 2 2 9" xfId="25716" xr:uid="{00000000-0005-0000-0000-0000B5220000}"/>
    <cellStyle name="Comma 2 4 2 2 20" xfId="26723" xr:uid="{00000000-0005-0000-0000-0000B6220000}"/>
    <cellStyle name="Comma 2 4 2 2 21" xfId="27227" xr:uid="{00000000-0005-0000-0000-0000B7220000}"/>
    <cellStyle name="Comma 2 4 2 2 22" xfId="27731" xr:uid="{00000000-0005-0000-0000-0000B8220000}"/>
    <cellStyle name="Comma 2 4 2 2 23" xfId="28235" xr:uid="{00000000-0005-0000-0000-0000B9220000}"/>
    <cellStyle name="Comma 2 4 2 2 24" xfId="28739" xr:uid="{00000000-0005-0000-0000-0000BA220000}"/>
    <cellStyle name="Comma 2 4 2 2 25" xfId="29243" xr:uid="{00000000-0005-0000-0000-0000BB220000}"/>
    <cellStyle name="Comma 2 4 2 2 26" xfId="29747" xr:uid="{00000000-0005-0000-0000-0000BC220000}"/>
    <cellStyle name="Comma 2 4 2 2 27" xfId="30251" xr:uid="{00000000-0005-0000-0000-0000BD220000}"/>
    <cellStyle name="Comma 2 4 2 2 28" xfId="30756" xr:uid="{00000000-0005-0000-0000-0000BE220000}"/>
    <cellStyle name="Comma 2 4 2 2 3" xfId="3673" xr:uid="{00000000-0005-0000-0000-0000BF220000}"/>
    <cellStyle name="Comma 2 4 2 2 3 10" xfId="27229" xr:uid="{00000000-0005-0000-0000-0000C0220000}"/>
    <cellStyle name="Comma 2 4 2 2 3 11" xfId="27733" xr:uid="{00000000-0005-0000-0000-0000C1220000}"/>
    <cellStyle name="Comma 2 4 2 2 3 12" xfId="28237" xr:uid="{00000000-0005-0000-0000-0000C2220000}"/>
    <cellStyle name="Comma 2 4 2 2 3 13" xfId="28741" xr:uid="{00000000-0005-0000-0000-0000C3220000}"/>
    <cellStyle name="Comma 2 4 2 2 3 14" xfId="29245" xr:uid="{00000000-0005-0000-0000-0000C4220000}"/>
    <cellStyle name="Comma 2 4 2 2 3 15" xfId="29749" xr:uid="{00000000-0005-0000-0000-0000C5220000}"/>
    <cellStyle name="Comma 2 4 2 2 3 16" xfId="30253" xr:uid="{00000000-0005-0000-0000-0000C6220000}"/>
    <cellStyle name="Comma 2 4 2 2 3 17" xfId="30758" xr:uid="{00000000-0005-0000-0000-0000C7220000}"/>
    <cellStyle name="Comma 2 4 2 2 3 2" xfId="9566" xr:uid="{00000000-0005-0000-0000-0000C8220000}"/>
    <cellStyle name="Comma 2 4 2 2 3 2 2" xfId="18201" xr:uid="{00000000-0005-0000-0000-0000C9220000}"/>
    <cellStyle name="Comma 2 4 2 2 3 3" xfId="9565" xr:uid="{00000000-0005-0000-0000-0000CA220000}"/>
    <cellStyle name="Comma 2 4 2 2 3 4" xfId="23556" xr:uid="{00000000-0005-0000-0000-0000CB220000}"/>
    <cellStyle name="Comma 2 4 2 2 3 5" xfId="24709" xr:uid="{00000000-0005-0000-0000-0000CC220000}"/>
    <cellStyle name="Comma 2 4 2 2 3 6" xfId="25213" xr:uid="{00000000-0005-0000-0000-0000CD220000}"/>
    <cellStyle name="Comma 2 4 2 2 3 7" xfId="25717" xr:uid="{00000000-0005-0000-0000-0000CE220000}"/>
    <cellStyle name="Comma 2 4 2 2 3 8" xfId="26221" xr:uid="{00000000-0005-0000-0000-0000CF220000}"/>
    <cellStyle name="Comma 2 4 2 2 3 9" xfId="26725" xr:uid="{00000000-0005-0000-0000-0000D0220000}"/>
    <cellStyle name="Comma 2 4 2 2 4" xfId="6847" xr:uid="{00000000-0005-0000-0000-0000D1220000}"/>
    <cellStyle name="Comma 2 4 2 2 4 10" xfId="27230" xr:uid="{00000000-0005-0000-0000-0000D2220000}"/>
    <cellStyle name="Comma 2 4 2 2 4 11" xfId="27734" xr:uid="{00000000-0005-0000-0000-0000D3220000}"/>
    <cellStyle name="Comma 2 4 2 2 4 12" xfId="28238" xr:uid="{00000000-0005-0000-0000-0000D4220000}"/>
    <cellStyle name="Comma 2 4 2 2 4 13" xfId="28742" xr:uid="{00000000-0005-0000-0000-0000D5220000}"/>
    <cellStyle name="Comma 2 4 2 2 4 14" xfId="29246" xr:uid="{00000000-0005-0000-0000-0000D6220000}"/>
    <cellStyle name="Comma 2 4 2 2 4 15" xfId="29750" xr:uid="{00000000-0005-0000-0000-0000D7220000}"/>
    <cellStyle name="Comma 2 4 2 2 4 16" xfId="30254" xr:uid="{00000000-0005-0000-0000-0000D8220000}"/>
    <cellStyle name="Comma 2 4 2 2 4 17" xfId="30759" xr:uid="{00000000-0005-0000-0000-0000D9220000}"/>
    <cellStyle name="Comma 2 4 2 2 4 2" xfId="9568" xr:uid="{00000000-0005-0000-0000-0000DA220000}"/>
    <cellStyle name="Comma 2 4 2 2 4 2 2" xfId="18202" xr:uid="{00000000-0005-0000-0000-0000DB220000}"/>
    <cellStyle name="Comma 2 4 2 2 4 3" xfId="9567" xr:uid="{00000000-0005-0000-0000-0000DC220000}"/>
    <cellStyle name="Comma 2 4 2 2 4 4" xfId="23557" xr:uid="{00000000-0005-0000-0000-0000DD220000}"/>
    <cellStyle name="Comma 2 4 2 2 4 5" xfId="24710" xr:uid="{00000000-0005-0000-0000-0000DE220000}"/>
    <cellStyle name="Comma 2 4 2 2 4 6" xfId="25214" xr:uid="{00000000-0005-0000-0000-0000DF220000}"/>
    <cellStyle name="Comma 2 4 2 2 4 7" xfId="25718" xr:uid="{00000000-0005-0000-0000-0000E0220000}"/>
    <cellStyle name="Comma 2 4 2 2 4 8" xfId="26222" xr:uid="{00000000-0005-0000-0000-0000E1220000}"/>
    <cellStyle name="Comma 2 4 2 2 4 9" xfId="26726" xr:uid="{00000000-0005-0000-0000-0000E2220000}"/>
    <cellStyle name="Comma 2 4 2 2 5" xfId="9569" xr:uid="{00000000-0005-0000-0000-0000E3220000}"/>
    <cellStyle name="Comma 2 4 2 2 5 2" xfId="9570" xr:uid="{00000000-0005-0000-0000-0000E4220000}"/>
    <cellStyle name="Comma 2 4 2 2 5 2 2" xfId="18203" xr:uid="{00000000-0005-0000-0000-0000E5220000}"/>
    <cellStyle name="Comma 2 4 2 2 6" xfId="9571" xr:uid="{00000000-0005-0000-0000-0000E6220000}"/>
    <cellStyle name="Comma 2 4 2 2 6 2" xfId="9572" xr:uid="{00000000-0005-0000-0000-0000E7220000}"/>
    <cellStyle name="Comma 2 4 2 2 6 2 2" xfId="18204" xr:uid="{00000000-0005-0000-0000-0000E8220000}"/>
    <cellStyle name="Comma 2 4 2 2 7" xfId="9573" xr:uid="{00000000-0005-0000-0000-0000E9220000}"/>
    <cellStyle name="Comma 2 4 2 2 7 2" xfId="9574" xr:uid="{00000000-0005-0000-0000-0000EA220000}"/>
    <cellStyle name="Comma 2 4 2 2 7 2 2" xfId="18205" xr:uid="{00000000-0005-0000-0000-0000EB220000}"/>
    <cellStyle name="Comma 2 4 2 2 8" xfId="9575" xr:uid="{00000000-0005-0000-0000-0000EC220000}"/>
    <cellStyle name="Comma 2 4 2 2 8 2" xfId="18206" xr:uid="{00000000-0005-0000-0000-0000ED220000}"/>
    <cellStyle name="Comma 2 4 2 2 9" xfId="9576" xr:uid="{00000000-0005-0000-0000-0000EE220000}"/>
    <cellStyle name="Comma 2 4 2 2 9 2" xfId="18207" xr:uid="{00000000-0005-0000-0000-0000EF220000}"/>
    <cellStyle name="Comma 2 4 2 20" xfId="28738" xr:uid="{00000000-0005-0000-0000-0000F0220000}"/>
    <cellStyle name="Comma 2 4 2 21" xfId="29242" xr:uid="{00000000-0005-0000-0000-0000F1220000}"/>
    <cellStyle name="Comma 2 4 2 22" xfId="29746" xr:uid="{00000000-0005-0000-0000-0000F2220000}"/>
    <cellStyle name="Comma 2 4 2 23" xfId="30250" xr:uid="{00000000-0005-0000-0000-0000F3220000}"/>
    <cellStyle name="Comma 2 4 2 24" xfId="30755" xr:uid="{00000000-0005-0000-0000-0000F4220000}"/>
    <cellStyle name="Comma 2 4 2 3" xfId="2008" xr:uid="{00000000-0005-0000-0000-0000F5220000}"/>
    <cellStyle name="Comma 2 4 2 3 10" xfId="26223" xr:uid="{00000000-0005-0000-0000-0000F6220000}"/>
    <cellStyle name="Comma 2 4 2 3 11" xfId="26727" xr:uid="{00000000-0005-0000-0000-0000F7220000}"/>
    <cellStyle name="Comma 2 4 2 3 12" xfId="27231" xr:uid="{00000000-0005-0000-0000-0000F8220000}"/>
    <cellStyle name="Comma 2 4 2 3 13" xfId="27735" xr:uid="{00000000-0005-0000-0000-0000F9220000}"/>
    <cellStyle name="Comma 2 4 2 3 14" xfId="28239" xr:uid="{00000000-0005-0000-0000-0000FA220000}"/>
    <cellStyle name="Comma 2 4 2 3 15" xfId="28743" xr:uid="{00000000-0005-0000-0000-0000FB220000}"/>
    <cellStyle name="Comma 2 4 2 3 16" xfId="29247" xr:uid="{00000000-0005-0000-0000-0000FC220000}"/>
    <cellStyle name="Comma 2 4 2 3 17" xfId="29751" xr:uid="{00000000-0005-0000-0000-0000FD220000}"/>
    <cellStyle name="Comma 2 4 2 3 18" xfId="30255" xr:uid="{00000000-0005-0000-0000-0000FE220000}"/>
    <cellStyle name="Comma 2 4 2 3 19" xfId="30760" xr:uid="{00000000-0005-0000-0000-0000FF220000}"/>
    <cellStyle name="Comma 2 4 2 3 2" xfId="7295" xr:uid="{00000000-0005-0000-0000-000000230000}"/>
    <cellStyle name="Comma 2 4 2 3 2 2" xfId="18209" xr:uid="{00000000-0005-0000-0000-000001230000}"/>
    <cellStyle name="Comma 2 4 2 3 3" xfId="18208" xr:uid="{00000000-0005-0000-0000-000002230000}"/>
    <cellStyle name="Comma 2 4 2 3 4" xfId="7144" xr:uid="{00000000-0005-0000-0000-000003230000}"/>
    <cellStyle name="Comma 2 4 2 3 5" xfId="22931" xr:uid="{00000000-0005-0000-0000-000004230000}"/>
    <cellStyle name="Comma 2 4 2 3 6" xfId="23558" xr:uid="{00000000-0005-0000-0000-000005230000}"/>
    <cellStyle name="Comma 2 4 2 3 7" xfId="24711" xr:uid="{00000000-0005-0000-0000-000006230000}"/>
    <cellStyle name="Comma 2 4 2 3 8" xfId="25215" xr:uid="{00000000-0005-0000-0000-000007230000}"/>
    <cellStyle name="Comma 2 4 2 3 9" xfId="25719" xr:uid="{00000000-0005-0000-0000-000008230000}"/>
    <cellStyle name="Comma 2 4 2 4" xfId="2009" xr:uid="{00000000-0005-0000-0000-000009230000}"/>
    <cellStyle name="Comma 2 4 2 4 10" xfId="26728" xr:uid="{00000000-0005-0000-0000-00000A230000}"/>
    <cellStyle name="Comma 2 4 2 4 11" xfId="27232" xr:uid="{00000000-0005-0000-0000-00000B230000}"/>
    <cellStyle name="Comma 2 4 2 4 12" xfId="27736" xr:uid="{00000000-0005-0000-0000-00000C230000}"/>
    <cellStyle name="Comma 2 4 2 4 13" xfId="28240" xr:uid="{00000000-0005-0000-0000-00000D230000}"/>
    <cellStyle name="Comma 2 4 2 4 14" xfId="28744" xr:uid="{00000000-0005-0000-0000-00000E230000}"/>
    <cellStyle name="Comma 2 4 2 4 15" xfId="29248" xr:uid="{00000000-0005-0000-0000-00000F230000}"/>
    <cellStyle name="Comma 2 4 2 4 16" xfId="29752" xr:uid="{00000000-0005-0000-0000-000010230000}"/>
    <cellStyle name="Comma 2 4 2 4 17" xfId="30256" xr:uid="{00000000-0005-0000-0000-000011230000}"/>
    <cellStyle name="Comma 2 4 2 4 18" xfId="30761" xr:uid="{00000000-0005-0000-0000-000012230000}"/>
    <cellStyle name="Comma 2 4 2 4 2" xfId="9577" xr:uid="{00000000-0005-0000-0000-000013230000}"/>
    <cellStyle name="Comma 2 4 2 4 2 2" xfId="18211" xr:uid="{00000000-0005-0000-0000-000014230000}"/>
    <cellStyle name="Comma 2 4 2 4 3" xfId="18210" xr:uid="{00000000-0005-0000-0000-000015230000}"/>
    <cellStyle name="Comma 2 4 2 4 4" xfId="7145" xr:uid="{00000000-0005-0000-0000-000016230000}"/>
    <cellStyle name="Comma 2 4 2 4 5" xfId="23559" xr:uid="{00000000-0005-0000-0000-000017230000}"/>
    <cellStyle name="Comma 2 4 2 4 6" xfId="24712" xr:uid="{00000000-0005-0000-0000-000018230000}"/>
    <cellStyle name="Comma 2 4 2 4 7" xfId="25216" xr:uid="{00000000-0005-0000-0000-000019230000}"/>
    <cellStyle name="Comma 2 4 2 4 8" xfId="25720" xr:uid="{00000000-0005-0000-0000-00001A230000}"/>
    <cellStyle name="Comma 2 4 2 4 9" xfId="26224" xr:uid="{00000000-0005-0000-0000-00001B230000}"/>
    <cellStyle name="Comma 2 4 2 5" xfId="7293" xr:uid="{00000000-0005-0000-0000-00001C230000}"/>
    <cellStyle name="Comma 2 4 2 5 10" xfId="27737" xr:uid="{00000000-0005-0000-0000-00001D230000}"/>
    <cellStyle name="Comma 2 4 2 5 11" xfId="28241" xr:uid="{00000000-0005-0000-0000-00001E230000}"/>
    <cellStyle name="Comma 2 4 2 5 12" xfId="28745" xr:uid="{00000000-0005-0000-0000-00001F230000}"/>
    <cellStyle name="Comma 2 4 2 5 13" xfId="29249" xr:uid="{00000000-0005-0000-0000-000020230000}"/>
    <cellStyle name="Comma 2 4 2 5 14" xfId="29753" xr:uid="{00000000-0005-0000-0000-000021230000}"/>
    <cellStyle name="Comma 2 4 2 5 15" xfId="30257" xr:uid="{00000000-0005-0000-0000-000022230000}"/>
    <cellStyle name="Comma 2 4 2 5 16" xfId="30762" xr:uid="{00000000-0005-0000-0000-000023230000}"/>
    <cellStyle name="Comma 2 4 2 5 2" xfId="9578" xr:uid="{00000000-0005-0000-0000-000024230000}"/>
    <cellStyle name="Comma 2 4 2 5 2 2" xfId="18212" xr:uid="{00000000-0005-0000-0000-000025230000}"/>
    <cellStyle name="Comma 2 4 2 5 3" xfId="23560" xr:uid="{00000000-0005-0000-0000-000026230000}"/>
    <cellStyle name="Comma 2 4 2 5 4" xfId="24713" xr:uid="{00000000-0005-0000-0000-000027230000}"/>
    <cellStyle name="Comma 2 4 2 5 5" xfId="25217" xr:uid="{00000000-0005-0000-0000-000028230000}"/>
    <cellStyle name="Comma 2 4 2 5 6" xfId="25721" xr:uid="{00000000-0005-0000-0000-000029230000}"/>
    <cellStyle name="Comma 2 4 2 5 7" xfId="26225" xr:uid="{00000000-0005-0000-0000-00002A230000}"/>
    <cellStyle name="Comma 2 4 2 5 8" xfId="26729" xr:uid="{00000000-0005-0000-0000-00002B230000}"/>
    <cellStyle name="Comma 2 4 2 5 9" xfId="27233" xr:uid="{00000000-0005-0000-0000-00002C230000}"/>
    <cellStyle name="Comma 2 4 2 6" xfId="9579" xr:uid="{00000000-0005-0000-0000-00002D230000}"/>
    <cellStyle name="Comma 2 4 2 6 2" xfId="18213" xr:uid="{00000000-0005-0000-0000-00002E230000}"/>
    <cellStyle name="Comma 2 4 2 7" xfId="9561" xr:uid="{00000000-0005-0000-0000-00002F230000}"/>
    <cellStyle name="Comma 2 4 2 8" xfId="18196" xr:uid="{00000000-0005-0000-0000-000030230000}"/>
    <cellStyle name="Comma 2 4 2 9" xfId="7142" xr:uid="{00000000-0005-0000-0000-000031230000}"/>
    <cellStyle name="Comma 2 4 20" xfId="22927" xr:uid="{00000000-0005-0000-0000-000032230000}"/>
    <cellStyle name="Comma 2 4 21" xfId="23552" xr:uid="{00000000-0005-0000-0000-000033230000}"/>
    <cellStyle name="Comma 2 4 22" xfId="24705" xr:uid="{00000000-0005-0000-0000-000034230000}"/>
    <cellStyle name="Comma 2 4 23" xfId="25209" xr:uid="{00000000-0005-0000-0000-000035230000}"/>
    <cellStyle name="Comma 2 4 24" xfId="25713" xr:uid="{00000000-0005-0000-0000-000036230000}"/>
    <cellStyle name="Comma 2 4 25" xfId="26217" xr:uid="{00000000-0005-0000-0000-000037230000}"/>
    <cellStyle name="Comma 2 4 26" xfId="26721" xr:uid="{00000000-0005-0000-0000-000038230000}"/>
    <cellStyle name="Comma 2 4 27" xfId="27225" xr:uid="{00000000-0005-0000-0000-000039230000}"/>
    <cellStyle name="Comma 2 4 28" xfId="27729" xr:uid="{00000000-0005-0000-0000-00003A230000}"/>
    <cellStyle name="Comma 2 4 29" xfId="28233" xr:uid="{00000000-0005-0000-0000-00003B230000}"/>
    <cellStyle name="Comma 2 4 3" xfId="569" xr:uid="{00000000-0005-0000-0000-00003C230000}"/>
    <cellStyle name="Comma 2 4 3 10" xfId="9581" xr:uid="{00000000-0005-0000-0000-00003D230000}"/>
    <cellStyle name="Comma 2 4 3 10 2" xfId="9582" xr:uid="{00000000-0005-0000-0000-00003E230000}"/>
    <cellStyle name="Comma 2 4 3 10 2 2" xfId="18215" xr:uid="{00000000-0005-0000-0000-00003F230000}"/>
    <cellStyle name="Comma 2 4 3 11" xfId="9583" xr:uid="{00000000-0005-0000-0000-000040230000}"/>
    <cellStyle name="Comma 2 4 3 11 2" xfId="9584" xr:uid="{00000000-0005-0000-0000-000041230000}"/>
    <cellStyle name="Comma 2 4 3 11 2 2" xfId="18216" xr:uid="{00000000-0005-0000-0000-000042230000}"/>
    <cellStyle name="Comma 2 4 3 12" xfId="9585" xr:uid="{00000000-0005-0000-0000-000043230000}"/>
    <cellStyle name="Comma 2 4 3 12 2" xfId="9586" xr:uid="{00000000-0005-0000-0000-000044230000}"/>
    <cellStyle name="Comma 2 4 3 12 2 2" xfId="18217" xr:uid="{00000000-0005-0000-0000-000045230000}"/>
    <cellStyle name="Comma 2 4 3 13" xfId="9587" xr:uid="{00000000-0005-0000-0000-000046230000}"/>
    <cellStyle name="Comma 2 4 3 13 2" xfId="9588" xr:uid="{00000000-0005-0000-0000-000047230000}"/>
    <cellStyle name="Comma 2 4 3 13 2 2" xfId="9589" xr:uid="{00000000-0005-0000-0000-000048230000}"/>
    <cellStyle name="Comma 2 4 3 13 2 2 2" xfId="18218" xr:uid="{00000000-0005-0000-0000-000049230000}"/>
    <cellStyle name="Comma 2 4 3 13 3" xfId="9590" xr:uid="{00000000-0005-0000-0000-00004A230000}"/>
    <cellStyle name="Comma 2 4 3 13 3 2" xfId="9591" xr:uid="{00000000-0005-0000-0000-00004B230000}"/>
    <cellStyle name="Comma 2 4 3 13 3 2 2" xfId="18219" xr:uid="{00000000-0005-0000-0000-00004C230000}"/>
    <cellStyle name="Comma 2 4 3 13 4" xfId="9592" xr:uid="{00000000-0005-0000-0000-00004D230000}"/>
    <cellStyle name="Comma 2 4 3 13 4 2" xfId="9593" xr:uid="{00000000-0005-0000-0000-00004E230000}"/>
    <cellStyle name="Comma 2 4 3 13 4 2 2" xfId="18220" xr:uid="{00000000-0005-0000-0000-00004F230000}"/>
    <cellStyle name="Comma 2 4 3 13 5" xfId="9594" xr:uid="{00000000-0005-0000-0000-000050230000}"/>
    <cellStyle name="Comma 2 4 3 13 5 2" xfId="9595" xr:uid="{00000000-0005-0000-0000-000051230000}"/>
    <cellStyle name="Comma 2 4 3 13 5 2 2" xfId="18221" xr:uid="{00000000-0005-0000-0000-000052230000}"/>
    <cellStyle name="Comma 2 4 3 13 6" xfId="9596" xr:uid="{00000000-0005-0000-0000-000053230000}"/>
    <cellStyle name="Comma 2 4 3 13 6 2" xfId="9597" xr:uid="{00000000-0005-0000-0000-000054230000}"/>
    <cellStyle name="Comma 2 4 3 13 6 2 2" xfId="18222" xr:uid="{00000000-0005-0000-0000-000055230000}"/>
    <cellStyle name="Comma 2 4 3 13 7" xfId="9598" xr:uid="{00000000-0005-0000-0000-000056230000}"/>
    <cellStyle name="Comma 2 4 3 13 7 2" xfId="9599" xr:uid="{00000000-0005-0000-0000-000057230000}"/>
    <cellStyle name="Comma 2 4 3 13 7 2 2" xfId="18223" xr:uid="{00000000-0005-0000-0000-000058230000}"/>
    <cellStyle name="Comma 2 4 3 13 8" xfId="9600" xr:uid="{00000000-0005-0000-0000-000059230000}"/>
    <cellStyle name="Comma 2 4 3 13 8 2" xfId="9601" xr:uid="{00000000-0005-0000-0000-00005A230000}"/>
    <cellStyle name="Comma 2 4 3 13 8 2 2" xfId="18224" xr:uid="{00000000-0005-0000-0000-00005B230000}"/>
    <cellStyle name="Comma 2 4 3 13 9" xfId="9602" xr:uid="{00000000-0005-0000-0000-00005C230000}"/>
    <cellStyle name="Comma 2 4 3 13 9 2" xfId="18225" xr:uid="{00000000-0005-0000-0000-00005D230000}"/>
    <cellStyle name="Comma 2 4 3 14" xfId="9603" xr:uid="{00000000-0005-0000-0000-00005E230000}"/>
    <cellStyle name="Comma 2 4 3 14 2" xfId="9604" xr:uid="{00000000-0005-0000-0000-00005F230000}"/>
    <cellStyle name="Comma 2 4 3 14 2 2" xfId="18226" xr:uid="{00000000-0005-0000-0000-000060230000}"/>
    <cellStyle name="Comma 2 4 3 15" xfId="9605" xr:uid="{00000000-0005-0000-0000-000061230000}"/>
    <cellStyle name="Comma 2 4 3 15 2" xfId="9606" xr:uid="{00000000-0005-0000-0000-000062230000}"/>
    <cellStyle name="Comma 2 4 3 15 2 2" xfId="18227" xr:uid="{00000000-0005-0000-0000-000063230000}"/>
    <cellStyle name="Comma 2 4 3 16" xfId="9607" xr:uid="{00000000-0005-0000-0000-000064230000}"/>
    <cellStyle name="Comma 2 4 3 16 2" xfId="9608" xr:uid="{00000000-0005-0000-0000-000065230000}"/>
    <cellStyle name="Comma 2 4 3 16 2 2" xfId="18228" xr:uid="{00000000-0005-0000-0000-000066230000}"/>
    <cellStyle name="Comma 2 4 3 17" xfId="9609" xr:uid="{00000000-0005-0000-0000-000067230000}"/>
    <cellStyle name="Comma 2 4 3 17 2" xfId="9610" xr:uid="{00000000-0005-0000-0000-000068230000}"/>
    <cellStyle name="Comma 2 4 3 17 2 2" xfId="18229" xr:uid="{00000000-0005-0000-0000-000069230000}"/>
    <cellStyle name="Comma 2 4 3 18" xfId="9611" xr:uid="{00000000-0005-0000-0000-00006A230000}"/>
    <cellStyle name="Comma 2 4 3 18 2" xfId="9612" xr:uid="{00000000-0005-0000-0000-00006B230000}"/>
    <cellStyle name="Comma 2 4 3 18 2 2" xfId="18230" xr:uid="{00000000-0005-0000-0000-00006C230000}"/>
    <cellStyle name="Comma 2 4 3 19" xfId="9613" xr:uid="{00000000-0005-0000-0000-00006D230000}"/>
    <cellStyle name="Comma 2 4 3 19 2" xfId="9614" xr:uid="{00000000-0005-0000-0000-00006E230000}"/>
    <cellStyle name="Comma 2 4 3 19 2 2" xfId="18231" xr:uid="{00000000-0005-0000-0000-00006F230000}"/>
    <cellStyle name="Comma 2 4 3 2" xfId="2010" xr:uid="{00000000-0005-0000-0000-000070230000}"/>
    <cellStyle name="Comma 2 4 3 2 10" xfId="26227" xr:uid="{00000000-0005-0000-0000-000071230000}"/>
    <cellStyle name="Comma 2 4 3 2 11" xfId="26731" xr:uid="{00000000-0005-0000-0000-000072230000}"/>
    <cellStyle name="Comma 2 4 3 2 12" xfId="27235" xr:uid="{00000000-0005-0000-0000-000073230000}"/>
    <cellStyle name="Comma 2 4 3 2 13" xfId="27739" xr:uid="{00000000-0005-0000-0000-000074230000}"/>
    <cellStyle name="Comma 2 4 3 2 14" xfId="28243" xr:uid="{00000000-0005-0000-0000-000075230000}"/>
    <cellStyle name="Comma 2 4 3 2 15" xfId="28747" xr:uid="{00000000-0005-0000-0000-000076230000}"/>
    <cellStyle name="Comma 2 4 3 2 16" xfId="29251" xr:uid="{00000000-0005-0000-0000-000077230000}"/>
    <cellStyle name="Comma 2 4 3 2 17" xfId="29755" xr:uid="{00000000-0005-0000-0000-000078230000}"/>
    <cellStyle name="Comma 2 4 3 2 18" xfId="30259" xr:uid="{00000000-0005-0000-0000-000079230000}"/>
    <cellStyle name="Comma 2 4 3 2 19" xfId="30764" xr:uid="{00000000-0005-0000-0000-00007A230000}"/>
    <cellStyle name="Comma 2 4 3 2 2" xfId="9615" xr:uid="{00000000-0005-0000-0000-00007B230000}"/>
    <cellStyle name="Comma 2 4 3 2 2 2" xfId="18233" xr:uid="{00000000-0005-0000-0000-00007C230000}"/>
    <cellStyle name="Comma 2 4 3 2 3" xfId="18232" xr:uid="{00000000-0005-0000-0000-00007D230000}"/>
    <cellStyle name="Comma 2 4 3 2 4" xfId="7296" xr:uid="{00000000-0005-0000-0000-00007E230000}"/>
    <cellStyle name="Comma 2 4 3 2 5" xfId="22933" xr:uid="{00000000-0005-0000-0000-00007F230000}"/>
    <cellStyle name="Comma 2 4 3 2 6" xfId="23562" xr:uid="{00000000-0005-0000-0000-000080230000}"/>
    <cellStyle name="Comma 2 4 3 2 7" xfId="24715" xr:uid="{00000000-0005-0000-0000-000081230000}"/>
    <cellStyle name="Comma 2 4 3 2 8" xfId="25219" xr:uid="{00000000-0005-0000-0000-000082230000}"/>
    <cellStyle name="Comma 2 4 3 2 9" xfId="25723" xr:uid="{00000000-0005-0000-0000-000083230000}"/>
    <cellStyle name="Comma 2 4 3 20" xfId="9616" xr:uid="{00000000-0005-0000-0000-000084230000}"/>
    <cellStyle name="Comma 2 4 3 20 2" xfId="18234" xr:uid="{00000000-0005-0000-0000-000085230000}"/>
    <cellStyle name="Comma 2 4 3 21" xfId="9617" xr:uid="{00000000-0005-0000-0000-000086230000}"/>
    <cellStyle name="Comma 2 4 3 21 2" xfId="18235" xr:uid="{00000000-0005-0000-0000-000087230000}"/>
    <cellStyle name="Comma 2 4 3 22" xfId="9618" xr:uid="{00000000-0005-0000-0000-000088230000}"/>
    <cellStyle name="Comma 2 4 3 22 2" xfId="18236" xr:uid="{00000000-0005-0000-0000-000089230000}"/>
    <cellStyle name="Comma 2 4 3 23" xfId="9580" xr:uid="{00000000-0005-0000-0000-00008A230000}"/>
    <cellStyle name="Comma 2 4 3 24" xfId="18214" xr:uid="{00000000-0005-0000-0000-00008B230000}"/>
    <cellStyle name="Comma 2 4 3 25" xfId="7146" xr:uid="{00000000-0005-0000-0000-00008C230000}"/>
    <cellStyle name="Comma 2 4 3 26" xfId="22932" xr:uid="{00000000-0005-0000-0000-00008D230000}"/>
    <cellStyle name="Comma 2 4 3 27" xfId="23561" xr:uid="{00000000-0005-0000-0000-00008E230000}"/>
    <cellStyle name="Comma 2 4 3 28" xfId="24714" xr:uid="{00000000-0005-0000-0000-00008F230000}"/>
    <cellStyle name="Comma 2 4 3 29" xfId="25218" xr:uid="{00000000-0005-0000-0000-000090230000}"/>
    <cellStyle name="Comma 2 4 3 3" xfId="3674" xr:uid="{00000000-0005-0000-0000-000091230000}"/>
    <cellStyle name="Comma 2 4 3 3 10" xfId="27236" xr:uid="{00000000-0005-0000-0000-000092230000}"/>
    <cellStyle name="Comma 2 4 3 3 11" xfId="27740" xr:uid="{00000000-0005-0000-0000-000093230000}"/>
    <cellStyle name="Comma 2 4 3 3 12" xfId="28244" xr:uid="{00000000-0005-0000-0000-000094230000}"/>
    <cellStyle name="Comma 2 4 3 3 13" xfId="28748" xr:uid="{00000000-0005-0000-0000-000095230000}"/>
    <cellStyle name="Comma 2 4 3 3 14" xfId="29252" xr:uid="{00000000-0005-0000-0000-000096230000}"/>
    <cellStyle name="Comma 2 4 3 3 15" xfId="29756" xr:uid="{00000000-0005-0000-0000-000097230000}"/>
    <cellStyle name="Comma 2 4 3 3 16" xfId="30260" xr:uid="{00000000-0005-0000-0000-000098230000}"/>
    <cellStyle name="Comma 2 4 3 3 17" xfId="30765" xr:uid="{00000000-0005-0000-0000-000099230000}"/>
    <cellStyle name="Comma 2 4 3 3 2" xfId="9620" xr:uid="{00000000-0005-0000-0000-00009A230000}"/>
    <cellStyle name="Comma 2 4 3 3 2 2" xfId="18237" xr:uid="{00000000-0005-0000-0000-00009B230000}"/>
    <cellStyle name="Comma 2 4 3 3 3" xfId="9619" xr:uid="{00000000-0005-0000-0000-00009C230000}"/>
    <cellStyle name="Comma 2 4 3 3 4" xfId="23563" xr:uid="{00000000-0005-0000-0000-00009D230000}"/>
    <cellStyle name="Comma 2 4 3 3 5" xfId="24716" xr:uid="{00000000-0005-0000-0000-00009E230000}"/>
    <cellStyle name="Comma 2 4 3 3 6" xfId="25220" xr:uid="{00000000-0005-0000-0000-00009F230000}"/>
    <cellStyle name="Comma 2 4 3 3 7" xfId="25724" xr:uid="{00000000-0005-0000-0000-0000A0230000}"/>
    <cellStyle name="Comma 2 4 3 3 8" xfId="26228" xr:uid="{00000000-0005-0000-0000-0000A1230000}"/>
    <cellStyle name="Comma 2 4 3 3 9" xfId="26732" xr:uid="{00000000-0005-0000-0000-0000A2230000}"/>
    <cellStyle name="Comma 2 4 3 30" xfId="25722" xr:uid="{00000000-0005-0000-0000-0000A3230000}"/>
    <cellStyle name="Comma 2 4 3 31" xfId="26226" xr:uid="{00000000-0005-0000-0000-0000A4230000}"/>
    <cellStyle name="Comma 2 4 3 32" xfId="26730" xr:uid="{00000000-0005-0000-0000-0000A5230000}"/>
    <cellStyle name="Comma 2 4 3 33" xfId="27234" xr:uid="{00000000-0005-0000-0000-0000A6230000}"/>
    <cellStyle name="Comma 2 4 3 34" xfId="27738" xr:uid="{00000000-0005-0000-0000-0000A7230000}"/>
    <cellStyle name="Comma 2 4 3 35" xfId="28242" xr:uid="{00000000-0005-0000-0000-0000A8230000}"/>
    <cellStyle name="Comma 2 4 3 36" xfId="28746" xr:uid="{00000000-0005-0000-0000-0000A9230000}"/>
    <cellStyle name="Comma 2 4 3 37" xfId="29250" xr:uid="{00000000-0005-0000-0000-0000AA230000}"/>
    <cellStyle name="Comma 2 4 3 38" xfId="29754" xr:uid="{00000000-0005-0000-0000-0000AB230000}"/>
    <cellStyle name="Comma 2 4 3 39" xfId="30258" xr:uid="{00000000-0005-0000-0000-0000AC230000}"/>
    <cellStyle name="Comma 2 4 3 4" xfId="6848" xr:uid="{00000000-0005-0000-0000-0000AD230000}"/>
    <cellStyle name="Comma 2 4 3 4 10" xfId="27237" xr:uid="{00000000-0005-0000-0000-0000AE230000}"/>
    <cellStyle name="Comma 2 4 3 4 11" xfId="27741" xr:uid="{00000000-0005-0000-0000-0000AF230000}"/>
    <cellStyle name="Comma 2 4 3 4 12" xfId="28245" xr:uid="{00000000-0005-0000-0000-0000B0230000}"/>
    <cellStyle name="Comma 2 4 3 4 13" xfId="28749" xr:uid="{00000000-0005-0000-0000-0000B1230000}"/>
    <cellStyle name="Comma 2 4 3 4 14" xfId="29253" xr:uid="{00000000-0005-0000-0000-0000B2230000}"/>
    <cellStyle name="Comma 2 4 3 4 15" xfId="29757" xr:uid="{00000000-0005-0000-0000-0000B3230000}"/>
    <cellStyle name="Comma 2 4 3 4 16" xfId="30261" xr:uid="{00000000-0005-0000-0000-0000B4230000}"/>
    <cellStyle name="Comma 2 4 3 4 17" xfId="30766" xr:uid="{00000000-0005-0000-0000-0000B5230000}"/>
    <cellStyle name="Comma 2 4 3 4 2" xfId="9622" xr:uid="{00000000-0005-0000-0000-0000B6230000}"/>
    <cellStyle name="Comma 2 4 3 4 2 2" xfId="18238" xr:uid="{00000000-0005-0000-0000-0000B7230000}"/>
    <cellStyle name="Comma 2 4 3 4 3" xfId="9621" xr:uid="{00000000-0005-0000-0000-0000B8230000}"/>
    <cellStyle name="Comma 2 4 3 4 4" xfId="23564" xr:uid="{00000000-0005-0000-0000-0000B9230000}"/>
    <cellStyle name="Comma 2 4 3 4 5" xfId="24717" xr:uid="{00000000-0005-0000-0000-0000BA230000}"/>
    <cellStyle name="Comma 2 4 3 4 6" xfId="25221" xr:uid="{00000000-0005-0000-0000-0000BB230000}"/>
    <cellStyle name="Comma 2 4 3 4 7" xfId="25725" xr:uid="{00000000-0005-0000-0000-0000BC230000}"/>
    <cellStyle name="Comma 2 4 3 4 8" xfId="26229" xr:uid="{00000000-0005-0000-0000-0000BD230000}"/>
    <cellStyle name="Comma 2 4 3 4 9" xfId="26733" xr:uid="{00000000-0005-0000-0000-0000BE230000}"/>
    <cellStyle name="Comma 2 4 3 40" xfId="30763" xr:uid="{00000000-0005-0000-0000-0000BF230000}"/>
    <cellStyle name="Comma 2 4 3 5" xfId="9623" xr:uid="{00000000-0005-0000-0000-0000C0230000}"/>
    <cellStyle name="Comma 2 4 3 5 2" xfId="9624" xr:uid="{00000000-0005-0000-0000-0000C1230000}"/>
    <cellStyle name="Comma 2 4 3 5 2 2" xfId="18239" xr:uid="{00000000-0005-0000-0000-0000C2230000}"/>
    <cellStyle name="Comma 2 4 3 6" xfId="9625" xr:uid="{00000000-0005-0000-0000-0000C3230000}"/>
    <cellStyle name="Comma 2 4 3 6 2" xfId="9626" xr:uid="{00000000-0005-0000-0000-0000C4230000}"/>
    <cellStyle name="Comma 2 4 3 6 2 2" xfId="18240" xr:uid="{00000000-0005-0000-0000-0000C5230000}"/>
    <cellStyle name="Comma 2 4 3 7" xfId="9627" xr:uid="{00000000-0005-0000-0000-0000C6230000}"/>
    <cellStyle name="Comma 2 4 3 7 2" xfId="9628" xr:uid="{00000000-0005-0000-0000-0000C7230000}"/>
    <cellStyle name="Comma 2 4 3 7 2 2" xfId="18241" xr:uid="{00000000-0005-0000-0000-0000C8230000}"/>
    <cellStyle name="Comma 2 4 3 8" xfId="9629" xr:uid="{00000000-0005-0000-0000-0000C9230000}"/>
    <cellStyle name="Comma 2 4 3 8 2" xfId="9630" xr:uid="{00000000-0005-0000-0000-0000CA230000}"/>
    <cellStyle name="Comma 2 4 3 8 2 2" xfId="18242" xr:uid="{00000000-0005-0000-0000-0000CB230000}"/>
    <cellStyle name="Comma 2 4 3 9" xfId="9631" xr:uid="{00000000-0005-0000-0000-0000CC230000}"/>
    <cellStyle name="Comma 2 4 3 9 2" xfId="9632" xr:uid="{00000000-0005-0000-0000-0000CD230000}"/>
    <cellStyle name="Comma 2 4 3 9 2 2" xfId="18243" xr:uid="{00000000-0005-0000-0000-0000CE230000}"/>
    <cellStyle name="Comma 2 4 30" xfId="28737" xr:uid="{00000000-0005-0000-0000-0000CF230000}"/>
    <cellStyle name="Comma 2 4 31" xfId="29241" xr:uid="{00000000-0005-0000-0000-0000D0230000}"/>
    <cellStyle name="Comma 2 4 32" xfId="29745" xr:uid="{00000000-0005-0000-0000-0000D1230000}"/>
    <cellStyle name="Comma 2 4 33" xfId="30249" xr:uid="{00000000-0005-0000-0000-0000D2230000}"/>
    <cellStyle name="Comma 2 4 34" xfId="30754" xr:uid="{00000000-0005-0000-0000-0000D3230000}"/>
    <cellStyle name="Comma 2 4 4" xfId="2011" xr:uid="{00000000-0005-0000-0000-0000D4230000}"/>
    <cellStyle name="Comma 2 4 4 10" xfId="26734" xr:uid="{00000000-0005-0000-0000-0000D5230000}"/>
    <cellStyle name="Comma 2 4 4 11" xfId="27238" xr:uid="{00000000-0005-0000-0000-0000D6230000}"/>
    <cellStyle name="Comma 2 4 4 12" xfId="27742" xr:uid="{00000000-0005-0000-0000-0000D7230000}"/>
    <cellStyle name="Comma 2 4 4 13" xfId="28246" xr:uid="{00000000-0005-0000-0000-0000D8230000}"/>
    <cellStyle name="Comma 2 4 4 14" xfId="28750" xr:uid="{00000000-0005-0000-0000-0000D9230000}"/>
    <cellStyle name="Comma 2 4 4 15" xfId="29254" xr:uid="{00000000-0005-0000-0000-0000DA230000}"/>
    <cellStyle name="Comma 2 4 4 16" xfId="29758" xr:uid="{00000000-0005-0000-0000-0000DB230000}"/>
    <cellStyle name="Comma 2 4 4 17" xfId="30262" xr:uid="{00000000-0005-0000-0000-0000DC230000}"/>
    <cellStyle name="Comma 2 4 4 18" xfId="30767" xr:uid="{00000000-0005-0000-0000-0000DD230000}"/>
    <cellStyle name="Comma 2 4 4 2" xfId="7297" xr:uid="{00000000-0005-0000-0000-0000DE230000}"/>
    <cellStyle name="Comma 2 4 4 2 2" xfId="9633" xr:uid="{00000000-0005-0000-0000-0000DF230000}"/>
    <cellStyle name="Comma 2 4 4 2 2 2" xfId="18244" xr:uid="{00000000-0005-0000-0000-0000E0230000}"/>
    <cellStyle name="Comma 2 4 4 2 3" xfId="22935" xr:uid="{00000000-0005-0000-0000-0000E1230000}"/>
    <cellStyle name="Comma 2 4 4 3" xfId="7147" xr:uid="{00000000-0005-0000-0000-0000E2230000}"/>
    <cellStyle name="Comma 2 4 4 4" xfId="22934" xr:uid="{00000000-0005-0000-0000-0000E3230000}"/>
    <cellStyle name="Comma 2 4 4 5" xfId="23565" xr:uid="{00000000-0005-0000-0000-0000E4230000}"/>
    <cellStyle name="Comma 2 4 4 6" xfId="24718" xr:uid="{00000000-0005-0000-0000-0000E5230000}"/>
    <cellStyle name="Comma 2 4 4 7" xfId="25222" xr:uid="{00000000-0005-0000-0000-0000E6230000}"/>
    <cellStyle name="Comma 2 4 4 8" xfId="25726" xr:uid="{00000000-0005-0000-0000-0000E7230000}"/>
    <cellStyle name="Comma 2 4 4 9" xfId="26230" xr:uid="{00000000-0005-0000-0000-0000E8230000}"/>
    <cellStyle name="Comma 2 4 5" xfId="2012" xr:uid="{00000000-0005-0000-0000-0000E9230000}"/>
    <cellStyle name="Comma 2 4 5 10" xfId="27239" xr:uid="{00000000-0005-0000-0000-0000EA230000}"/>
    <cellStyle name="Comma 2 4 5 11" xfId="27743" xr:uid="{00000000-0005-0000-0000-0000EB230000}"/>
    <cellStyle name="Comma 2 4 5 12" xfId="28247" xr:uid="{00000000-0005-0000-0000-0000EC230000}"/>
    <cellStyle name="Comma 2 4 5 13" xfId="28751" xr:uid="{00000000-0005-0000-0000-0000ED230000}"/>
    <cellStyle name="Comma 2 4 5 14" xfId="29255" xr:uid="{00000000-0005-0000-0000-0000EE230000}"/>
    <cellStyle name="Comma 2 4 5 15" xfId="29759" xr:uid="{00000000-0005-0000-0000-0000EF230000}"/>
    <cellStyle name="Comma 2 4 5 16" xfId="30263" xr:uid="{00000000-0005-0000-0000-0000F0230000}"/>
    <cellStyle name="Comma 2 4 5 17" xfId="30768" xr:uid="{00000000-0005-0000-0000-0000F1230000}"/>
    <cellStyle name="Comma 2 4 5 2" xfId="9634" xr:uid="{00000000-0005-0000-0000-0000F2230000}"/>
    <cellStyle name="Comma 2 4 5 2 2" xfId="9635" xr:uid="{00000000-0005-0000-0000-0000F3230000}"/>
    <cellStyle name="Comma 2 4 5 2 2 2" xfId="18245" xr:uid="{00000000-0005-0000-0000-0000F4230000}"/>
    <cellStyle name="Comma 2 4 5 3" xfId="7148" xr:uid="{00000000-0005-0000-0000-0000F5230000}"/>
    <cellStyle name="Comma 2 4 5 4" xfId="23566" xr:uid="{00000000-0005-0000-0000-0000F6230000}"/>
    <cellStyle name="Comma 2 4 5 5" xfId="24719" xr:uid="{00000000-0005-0000-0000-0000F7230000}"/>
    <cellStyle name="Comma 2 4 5 6" xfId="25223" xr:uid="{00000000-0005-0000-0000-0000F8230000}"/>
    <cellStyle name="Comma 2 4 5 7" xfId="25727" xr:uid="{00000000-0005-0000-0000-0000F9230000}"/>
    <cellStyle name="Comma 2 4 5 8" xfId="26231" xr:uid="{00000000-0005-0000-0000-0000FA230000}"/>
    <cellStyle name="Comma 2 4 5 9" xfId="26735" xr:uid="{00000000-0005-0000-0000-0000FB230000}"/>
    <cellStyle name="Comma 2 4 6" xfId="7292" xr:uid="{00000000-0005-0000-0000-0000FC230000}"/>
    <cellStyle name="Comma 2 4 6 10" xfId="27744" xr:uid="{00000000-0005-0000-0000-0000FD230000}"/>
    <cellStyle name="Comma 2 4 6 11" xfId="28248" xr:uid="{00000000-0005-0000-0000-0000FE230000}"/>
    <cellStyle name="Comma 2 4 6 12" xfId="28752" xr:uid="{00000000-0005-0000-0000-0000FF230000}"/>
    <cellStyle name="Comma 2 4 6 13" xfId="29256" xr:uid="{00000000-0005-0000-0000-000000240000}"/>
    <cellStyle name="Comma 2 4 6 14" xfId="29760" xr:uid="{00000000-0005-0000-0000-000001240000}"/>
    <cellStyle name="Comma 2 4 6 15" xfId="30264" xr:uid="{00000000-0005-0000-0000-000002240000}"/>
    <cellStyle name="Comma 2 4 6 16" xfId="30769" xr:uid="{00000000-0005-0000-0000-000003240000}"/>
    <cellStyle name="Comma 2 4 6 2" xfId="9636" xr:uid="{00000000-0005-0000-0000-000004240000}"/>
    <cellStyle name="Comma 2 4 6 2 2" xfId="18246" xr:uid="{00000000-0005-0000-0000-000005240000}"/>
    <cellStyle name="Comma 2 4 6 3" xfId="23567" xr:uid="{00000000-0005-0000-0000-000006240000}"/>
    <cellStyle name="Comma 2 4 6 4" xfId="24720" xr:uid="{00000000-0005-0000-0000-000007240000}"/>
    <cellStyle name="Comma 2 4 6 5" xfId="25224" xr:uid="{00000000-0005-0000-0000-000008240000}"/>
    <cellStyle name="Comma 2 4 6 6" xfId="25728" xr:uid="{00000000-0005-0000-0000-000009240000}"/>
    <cellStyle name="Comma 2 4 6 7" xfId="26232" xr:uid="{00000000-0005-0000-0000-00000A240000}"/>
    <cellStyle name="Comma 2 4 6 8" xfId="26736" xr:uid="{00000000-0005-0000-0000-00000B240000}"/>
    <cellStyle name="Comma 2 4 6 9" xfId="27240" xr:uid="{00000000-0005-0000-0000-00000C240000}"/>
    <cellStyle name="Comma 2 4 7" xfId="9637" xr:uid="{00000000-0005-0000-0000-00000D240000}"/>
    <cellStyle name="Comma 2 4 7 2" xfId="9638" xr:uid="{00000000-0005-0000-0000-00000E240000}"/>
    <cellStyle name="Comma 2 4 7 2 2" xfId="18247" xr:uid="{00000000-0005-0000-0000-00000F240000}"/>
    <cellStyle name="Comma 2 4 8" xfId="9639" xr:uid="{00000000-0005-0000-0000-000010240000}"/>
    <cellStyle name="Comma 2 4 8 2" xfId="9640" xr:uid="{00000000-0005-0000-0000-000011240000}"/>
    <cellStyle name="Comma 2 4 8 2 2" xfId="18248" xr:uid="{00000000-0005-0000-0000-000012240000}"/>
    <cellStyle name="Comma 2 4 9" xfId="9641" xr:uid="{00000000-0005-0000-0000-000013240000}"/>
    <cellStyle name="Comma 2 4 9 2" xfId="9642" xr:uid="{00000000-0005-0000-0000-000014240000}"/>
    <cellStyle name="Comma 2 4 9 2 2" xfId="18249" xr:uid="{00000000-0005-0000-0000-000015240000}"/>
    <cellStyle name="Comma 2 5" xfId="142" xr:uid="{00000000-0005-0000-0000-000016240000}"/>
    <cellStyle name="Comma 2 5 2" xfId="393" xr:uid="{00000000-0005-0000-0000-000017240000}"/>
    <cellStyle name="Comma 2 5 2 2" xfId="570" xr:uid="{00000000-0005-0000-0000-000018240000}"/>
    <cellStyle name="Comma 2 5 2 2 2" xfId="18250" xr:uid="{00000000-0005-0000-0000-000019240000}"/>
    <cellStyle name="Comma 2 5 2 2 2 2" xfId="22937" xr:uid="{00000000-0005-0000-0000-00001A240000}"/>
    <cellStyle name="Comma 2 5 2 2 3" xfId="9643" xr:uid="{00000000-0005-0000-0000-00001B240000}"/>
    <cellStyle name="Comma 2 5 2 2 4" xfId="22936" xr:uid="{00000000-0005-0000-0000-00001C240000}"/>
    <cellStyle name="Comma 2 5 2 3" xfId="2014" xr:uid="{00000000-0005-0000-0000-00001D240000}"/>
    <cellStyle name="Comma 2 5 2 3 2" xfId="18251" xr:uid="{00000000-0005-0000-0000-00001E240000}"/>
    <cellStyle name="Comma 2 5 2 3 3" xfId="9644" xr:uid="{00000000-0005-0000-0000-00001F240000}"/>
    <cellStyle name="Comma 2 5 2 3 4" xfId="22938" xr:uid="{00000000-0005-0000-0000-000020240000}"/>
    <cellStyle name="Comma 2 5 2 4" xfId="3639" xr:uid="{00000000-0005-0000-0000-000021240000}"/>
    <cellStyle name="Comma 2 5 2 5" xfId="3274" xr:uid="{00000000-0005-0000-0000-000022240000}"/>
    <cellStyle name="Comma 2 5 2 6" xfId="6850" xr:uid="{00000000-0005-0000-0000-000023240000}"/>
    <cellStyle name="Comma 2 5 3" xfId="571" xr:uid="{00000000-0005-0000-0000-000024240000}"/>
    <cellStyle name="Comma 2 5 3 2" xfId="18252" xr:uid="{00000000-0005-0000-0000-000025240000}"/>
    <cellStyle name="Comma 2 5 3 2 2" xfId="22940" xr:uid="{00000000-0005-0000-0000-000026240000}"/>
    <cellStyle name="Comma 2 5 3 3" xfId="9645" xr:uid="{00000000-0005-0000-0000-000027240000}"/>
    <cellStyle name="Comma 2 5 3 4" xfId="22939" xr:uid="{00000000-0005-0000-0000-000028240000}"/>
    <cellStyle name="Comma 2 5 4" xfId="2013" xr:uid="{00000000-0005-0000-0000-000029240000}"/>
    <cellStyle name="Comma 2 5 4 2" xfId="18253" xr:uid="{00000000-0005-0000-0000-00002A240000}"/>
    <cellStyle name="Comma 2 5 4 2 2" xfId="22942" xr:uid="{00000000-0005-0000-0000-00002B240000}"/>
    <cellStyle name="Comma 2 5 4 3" xfId="9646" xr:uid="{00000000-0005-0000-0000-00002C240000}"/>
    <cellStyle name="Comma 2 5 4 4" xfId="22941" xr:uid="{00000000-0005-0000-0000-00002D240000}"/>
    <cellStyle name="Comma 2 5 5" xfId="3621" xr:uid="{00000000-0005-0000-0000-00002E240000}"/>
    <cellStyle name="Comma 2 5 5 2" xfId="22943" xr:uid="{00000000-0005-0000-0000-00002F240000}"/>
    <cellStyle name="Comma 2 5 6" xfId="3273" xr:uid="{00000000-0005-0000-0000-000030240000}"/>
    <cellStyle name="Comma 2 5 7" xfId="6849" xr:uid="{00000000-0005-0000-0000-000031240000}"/>
    <cellStyle name="Comma 2 6" xfId="143" xr:uid="{00000000-0005-0000-0000-000032240000}"/>
    <cellStyle name="Comma 2 6 2" xfId="394" xr:uid="{00000000-0005-0000-0000-000033240000}"/>
    <cellStyle name="Comma 2 6 2 2" xfId="572" xr:uid="{00000000-0005-0000-0000-000034240000}"/>
    <cellStyle name="Comma 2 6 2 2 2" xfId="18254" xr:uid="{00000000-0005-0000-0000-000035240000}"/>
    <cellStyle name="Comma 2 6 2 2 2 2" xfId="22947" xr:uid="{00000000-0005-0000-0000-000036240000}"/>
    <cellStyle name="Comma 2 6 2 2 3" xfId="9647" xr:uid="{00000000-0005-0000-0000-000037240000}"/>
    <cellStyle name="Comma 2 6 2 2 4" xfId="22946" xr:uid="{00000000-0005-0000-0000-000038240000}"/>
    <cellStyle name="Comma 2 6 2 2 5" xfId="23568" xr:uid="{00000000-0005-0000-0000-000039240000}"/>
    <cellStyle name="Comma 2 6 2 3" xfId="2016" xr:uid="{00000000-0005-0000-0000-00003A240000}"/>
    <cellStyle name="Comma 2 6 2 3 2" xfId="18255" xr:uid="{00000000-0005-0000-0000-00003B240000}"/>
    <cellStyle name="Comma 2 6 2 3 3" xfId="9648" xr:uid="{00000000-0005-0000-0000-00003C240000}"/>
    <cellStyle name="Comma 2 6 2 3 4" xfId="22948" xr:uid="{00000000-0005-0000-0000-00003D240000}"/>
    <cellStyle name="Comma 2 6 2 4" xfId="3640" xr:uid="{00000000-0005-0000-0000-00003E240000}"/>
    <cellStyle name="Comma 2 6 2 5" xfId="3276" xr:uid="{00000000-0005-0000-0000-00003F240000}"/>
    <cellStyle name="Comma 2 6 2 6" xfId="6852" xr:uid="{00000000-0005-0000-0000-000040240000}"/>
    <cellStyle name="Comma 2 6 2 7" xfId="22945" xr:uid="{00000000-0005-0000-0000-000041240000}"/>
    <cellStyle name="Comma 2 6 3" xfId="573" xr:uid="{00000000-0005-0000-0000-000042240000}"/>
    <cellStyle name="Comma 2 6 3 2" xfId="18256" xr:uid="{00000000-0005-0000-0000-000043240000}"/>
    <cellStyle name="Comma 2 6 3 2 2" xfId="22950" xr:uid="{00000000-0005-0000-0000-000044240000}"/>
    <cellStyle name="Comma 2 6 3 3" xfId="9649" xr:uid="{00000000-0005-0000-0000-000045240000}"/>
    <cellStyle name="Comma 2 6 3 4" xfId="22949" xr:uid="{00000000-0005-0000-0000-000046240000}"/>
    <cellStyle name="Comma 2 6 3 5" xfId="23569" xr:uid="{00000000-0005-0000-0000-000047240000}"/>
    <cellStyle name="Comma 2 6 4" xfId="2015" xr:uid="{00000000-0005-0000-0000-000048240000}"/>
    <cellStyle name="Comma 2 6 4 2" xfId="18257" xr:uid="{00000000-0005-0000-0000-000049240000}"/>
    <cellStyle name="Comma 2 6 4 2 2" xfId="22952" xr:uid="{00000000-0005-0000-0000-00004A240000}"/>
    <cellStyle name="Comma 2 6 4 3" xfId="9650" xr:uid="{00000000-0005-0000-0000-00004B240000}"/>
    <cellStyle name="Comma 2 6 4 4" xfId="22951" xr:uid="{00000000-0005-0000-0000-00004C240000}"/>
    <cellStyle name="Comma 2 6 5" xfId="3622" xr:uid="{00000000-0005-0000-0000-00004D240000}"/>
    <cellStyle name="Comma 2 6 5 2" xfId="22953" xr:uid="{00000000-0005-0000-0000-00004E240000}"/>
    <cellStyle name="Comma 2 6 6" xfId="3275" xr:uid="{00000000-0005-0000-0000-00004F240000}"/>
    <cellStyle name="Comma 2 6 7" xfId="6851" xr:uid="{00000000-0005-0000-0000-000050240000}"/>
    <cellStyle name="Comma 2 6 8" xfId="22944" xr:uid="{00000000-0005-0000-0000-000051240000}"/>
    <cellStyle name="Comma 2 7" xfId="144" xr:uid="{00000000-0005-0000-0000-000052240000}"/>
    <cellStyle name="Comma 2 7 2" xfId="395" xr:uid="{00000000-0005-0000-0000-000053240000}"/>
    <cellStyle name="Comma 2 7 2 2" xfId="574" xr:uid="{00000000-0005-0000-0000-000054240000}"/>
    <cellStyle name="Comma 2 7 2 2 2" xfId="18258" xr:uid="{00000000-0005-0000-0000-000055240000}"/>
    <cellStyle name="Comma 2 7 2 2 3" xfId="9651" xr:uid="{00000000-0005-0000-0000-000056240000}"/>
    <cellStyle name="Comma 2 7 2 2 4" xfId="23570" xr:uid="{00000000-0005-0000-0000-000057240000}"/>
    <cellStyle name="Comma 2 7 2 3" xfId="2018" xr:uid="{00000000-0005-0000-0000-000058240000}"/>
    <cellStyle name="Comma 2 7 2 3 2" xfId="18259" xr:uid="{00000000-0005-0000-0000-000059240000}"/>
    <cellStyle name="Comma 2 7 2 3 3" xfId="9652" xr:uid="{00000000-0005-0000-0000-00005A240000}"/>
    <cellStyle name="Comma 2 7 2 4" xfId="3641" xr:uid="{00000000-0005-0000-0000-00005B240000}"/>
    <cellStyle name="Comma 2 7 2 5" xfId="3278" xr:uid="{00000000-0005-0000-0000-00005C240000}"/>
    <cellStyle name="Comma 2 7 2 6" xfId="6854" xr:uid="{00000000-0005-0000-0000-00005D240000}"/>
    <cellStyle name="Comma 2 7 3" xfId="575" xr:uid="{00000000-0005-0000-0000-00005E240000}"/>
    <cellStyle name="Comma 2 7 3 2" xfId="18260" xr:uid="{00000000-0005-0000-0000-00005F240000}"/>
    <cellStyle name="Comma 2 7 3 3" xfId="9653" xr:uid="{00000000-0005-0000-0000-000060240000}"/>
    <cellStyle name="Comma 2 7 3 4" xfId="23571" xr:uid="{00000000-0005-0000-0000-000061240000}"/>
    <cellStyle name="Comma 2 7 4" xfId="2017" xr:uid="{00000000-0005-0000-0000-000062240000}"/>
    <cellStyle name="Comma 2 7 4 2" xfId="18261" xr:uid="{00000000-0005-0000-0000-000063240000}"/>
    <cellStyle name="Comma 2 7 4 3" xfId="9654" xr:uid="{00000000-0005-0000-0000-000064240000}"/>
    <cellStyle name="Comma 2 7 5" xfId="3623" xr:uid="{00000000-0005-0000-0000-000065240000}"/>
    <cellStyle name="Comma 2 7 6" xfId="3277" xr:uid="{00000000-0005-0000-0000-000066240000}"/>
    <cellStyle name="Comma 2 7 7" xfId="6853" xr:uid="{00000000-0005-0000-0000-000067240000}"/>
    <cellStyle name="Comma 2 8" xfId="145" xr:uid="{00000000-0005-0000-0000-000068240000}"/>
    <cellStyle name="Comma 2 8 2" xfId="396" xr:uid="{00000000-0005-0000-0000-000069240000}"/>
    <cellStyle name="Comma 2 8 2 2" xfId="576" xr:uid="{00000000-0005-0000-0000-00006A240000}"/>
    <cellStyle name="Comma 2 8 2 2 2" xfId="18262" xr:uid="{00000000-0005-0000-0000-00006B240000}"/>
    <cellStyle name="Comma 2 8 2 2 3" xfId="9655" xr:uid="{00000000-0005-0000-0000-00006C240000}"/>
    <cellStyle name="Comma 2 8 2 2 4" xfId="23572" xr:uid="{00000000-0005-0000-0000-00006D240000}"/>
    <cellStyle name="Comma 2 8 2 3" xfId="2020" xr:uid="{00000000-0005-0000-0000-00006E240000}"/>
    <cellStyle name="Comma 2 8 2 3 2" xfId="18263" xr:uid="{00000000-0005-0000-0000-00006F240000}"/>
    <cellStyle name="Comma 2 8 2 3 3" xfId="9656" xr:uid="{00000000-0005-0000-0000-000070240000}"/>
    <cellStyle name="Comma 2 8 2 4" xfId="3642" xr:uid="{00000000-0005-0000-0000-000071240000}"/>
    <cellStyle name="Comma 2 8 2 5" xfId="3280" xr:uid="{00000000-0005-0000-0000-000072240000}"/>
    <cellStyle name="Comma 2 8 2 6" xfId="6856" xr:uid="{00000000-0005-0000-0000-000073240000}"/>
    <cellStyle name="Comma 2 8 3" xfId="577" xr:uid="{00000000-0005-0000-0000-000074240000}"/>
    <cellStyle name="Comma 2 8 3 2" xfId="18264" xr:uid="{00000000-0005-0000-0000-000075240000}"/>
    <cellStyle name="Comma 2 8 3 3" xfId="9657" xr:uid="{00000000-0005-0000-0000-000076240000}"/>
    <cellStyle name="Comma 2 8 3 4" xfId="23573" xr:uid="{00000000-0005-0000-0000-000077240000}"/>
    <cellStyle name="Comma 2 8 4" xfId="2019" xr:uid="{00000000-0005-0000-0000-000078240000}"/>
    <cellStyle name="Comma 2 8 4 2" xfId="18265" xr:uid="{00000000-0005-0000-0000-000079240000}"/>
    <cellStyle name="Comma 2 8 4 3" xfId="9658" xr:uid="{00000000-0005-0000-0000-00007A240000}"/>
    <cellStyle name="Comma 2 8 5" xfId="3624" xr:uid="{00000000-0005-0000-0000-00007B240000}"/>
    <cellStyle name="Comma 2 8 6" xfId="3279" xr:uid="{00000000-0005-0000-0000-00007C240000}"/>
    <cellStyle name="Comma 2 8 7" xfId="6855" xr:uid="{00000000-0005-0000-0000-00007D240000}"/>
    <cellStyle name="Comma 2 9" xfId="146" xr:uid="{00000000-0005-0000-0000-00007E240000}"/>
    <cellStyle name="Comma 2 9 2" xfId="397" xr:uid="{00000000-0005-0000-0000-00007F240000}"/>
    <cellStyle name="Comma 2 9 2 2" xfId="578" xr:uid="{00000000-0005-0000-0000-000080240000}"/>
    <cellStyle name="Comma 2 9 2 2 2" xfId="18266" xr:uid="{00000000-0005-0000-0000-000081240000}"/>
    <cellStyle name="Comma 2 9 2 2 3" xfId="9659" xr:uid="{00000000-0005-0000-0000-000082240000}"/>
    <cellStyle name="Comma 2 9 2 2 4" xfId="23574" xr:uid="{00000000-0005-0000-0000-000083240000}"/>
    <cellStyle name="Comma 2 9 2 3" xfId="2022" xr:uid="{00000000-0005-0000-0000-000084240000}"/>
    <cellStyle name="Comma 2 9 2 3 2" xfId="18267" xr:uid="{00000000-0005-0000-0000-000085240000}"/>
    <cellStyle name="Comma 2 9 2 3 3" xfId="9660" xr:uid="{00000000-0005-0000-0000-000086240000}"/>
    <cellStyle name="Comma 2 9 2 4" xfId="3643" xr:uid="{00000000-0005-0000-0000-000087240000}"/>
    <cellStyle name="Comma 2 9 2 5" xfId="3282" xr:uid="{00000000-0005-0000-0000-000088240000}"/>
    <cellStyle name="Comma 2 9 2 6" xfId="6858" xr:uid="{00000000-0005-0000-0000-000089240000}"/>
    <cellStyle name="Comma 2 9 3" xfId="579" xr:uid="{00000000-0005-0000-0000-00008A240000}"/>
    <cellStyle name="Comma 2 9 3 2" xfId="18268" xr:uid="{00000000-0005-0000-0000-00008B240000}"/>
    <cellStyle name="Comma 2 9 3 3" xfId="9661" xr:uid="{00000000-0005-0000-0000-00008C240000}"/>
    <cellStyle name="Comma 2 9 3 4" xfId="23575" xr:uid="{00000000-0005-0000-0000-00008D240000}"/>
    <cellStyle name="Comma 2 9 4" xfId="2021" xr:uid="{00000000-0005-0000-0000-00008E240000}"/>
    <cellStyle name="Comma 2 9 4 2" xfId="18269" xr:uid="{00000000-0005-0000-0000-00008F240000}"/>
    <cellStyle name="Comma 2 9 4 3" xfId="9662" xr:uid="{00000000-0005-0000-0000-000090240000}"/>
    <cellStyle name="Comma 2 9 5" xfId="3625" xr:uid="{00000000-0005-0000-0000-000091240000}"/>
    <cellStyle name="Comma 2 9 6" xfId="3281" xr:uid="{00000000-0005-0000-0000-000092240000}"/>
    <cellStyle name="Comma 2 9 7" xfId="6857" xr:uid="{00000000-0005-0000-0000-000093240000}"/>
    <cellStyle name="Comma 2_CBase" xfId="3283" xr:uid="{00000000-0005-0000-0000-000094240000}"/>
    <cellStyle name="Comma 3" xfId="147" xr:uid="{00000000-0005-0000-0000-000095240000}"/>
    <cellStyle name="Comma 3 2" xfId="398" xr:uid="{00000000-0005-0000-0000-000096240000}"/>
    <cellStyle name="Comma 3 2 2" xfId="580" xr:uid="{00000000-0005-0000-0000-000097240000}"/>
    <cellStyle name="Comma 3 3" xfId="581" xr:uid="{00000000-0005-0000-0000-000098240000}"/>
    <cellStyle name="Comma 3 3 2" xfId="22954" xr:uid="{00000000-0005-0000-0000-000099240000}"/>
    <cellStyle name="Comma 3_CBase" xfId="3284" xr:uid="{00000000-0005-0000-0000-00009A240000}"/>
    <cellStyle name="Comma 4" xfId="148" xr:uid="{00000000-0005-0000-0000-00009B240000}"/>
    <cellStyle name="Comma 4 10" xfId="9664" xr:uid="{00000000-0005-0000-0000-00009C240000}"/>
    <cellStyle name="Comma 4 10 2" xfId="9665" xr:uid="{00000000-0005-0000-0000-00009D240000}"/>
    <cellStyle name="Comma 4 10 2 2" xfId="9666" xr:uid="{00000000-0005-0000-0000-00009E240000}"/>
    <cellStyle name="Comma 4 10 2 2 2" xfId="18271" xr:uid="{00000000-0005-0000-0000-00009F240000}"/>
    <cellStyle name="Comma 4 10 3" xfId="9667" xr:uid="{00000000-0005-0000-0000-0000A0240000}"/>
    <cellStyle name="Comma 4 10 3 2" xfId="18272" xr:uid="{00000000-0005-0000-0000-0000A1240000}"/>
    <cellStyle name="Comma 4 11" xfId="9668" xr:uid="{00000000-0005-0000-0000-0000A2240000}"/>
    <cellStyle name="Comma 4 11 2" xfId="9669" xr:uid="{00000000-0005-0000-0000-0000A3240000}"/>
    <cellStyle name="Comma 4 11 2 2" xfId="9670" xr:uid="{00000000-0005-0000-0000-0000A4240000}"/>
    <cellStyle name="Comma 4 11 2 2 2" xfId="18273" xr:uid="{00000000-0005-0000-0000-0000A5240000}"/>
    <cellStyle name="Comma 4 11 3" xfId="9671" xr:uid="{00000000-0005-0000-0000-0000A6240000}"/>
    <cellStyle name="Comma 4 11 3 2" xfId="18274" xr:uid="{00000000-0005-0000-0000-0000A7240000}"/>
    <cellStyle name="Comma 4 12" xfId="9672" xr:uid="{00000000-0005-0000-0000-0000A8240000}"/>
    <cellStyle name="Comma 4 12 2" xfId="9673" xr:uid="{00000000-0005-0000-0000-0000A9240000}"/>
    <cellStyle name="Comma 4 12 2 2" xfId="9674" xr:uid="{00000000-0005-0000-0000-0000AA240000}"/>
    <cellStyle name="Comma 4 12 2 2 2" xfId="18275" xr:uid="{00000000-0005-0000-0000-0000AB240000}"/>
    <cellStyle name="Comma 4 12 3" xfId="9675" xr:uid="{00000000-0005-0000-0000-0000AC240000}"/>
    <cellStyle name="Comma 4 12 3 2" xfId="18276" xr:uid="{00000000-0005-0000-0000-0000AD240000}"/>
    <cellStyle name="Comma 4 13" xfId="9676" xr:uid="{00000000-0005-0000-0000-0000AE240000}"/>
    <cellStyle name="Comma 4 13 2" xfId="9677" xr:uid="{00000000-0005-0000-0000-0000AF240000}"/>
    <cellStyle name="Comma 4 13 2 2" xfId="9678" xr:uid="{00000000-0005-0000-0000-0000B0240000}"/>
    <cellStyle name="Comma 4 13 2 2 2" xfId="18277" xr:uid="{00000000-0005-0000-0000-0000B1240000}"/>
    <cellStyle name="Comma 4 13 3" xfId="9679" xr:uid="{00000000-0005-0000-0000-0000B2240000}"/>
    <cellStyle name="Comma 4 13 3 2" xfId="18278" xr:uid="{00000000-0005-0000-0000-0000B3240000}"/>
    <cellStyle name="Comma 4 14" xfId="9680" xr:uid="{00000000-0005-0000-0000-0000B4240000}"/>
    <cellStyle name="Comma 4 14 2" xfId="9681" xr:uid="{00000000-0005-0000-0000-0000B5240000}"/>
    <cellStyle name="Comma 4 14 2 2" xfId="9682" xr:uid="{00000000-0005-0000-0000-0000B6240000}"/>
    <cellStyle name="Comma 4 14 2 2 2" xfId="18279" xr:uid="{00000000-0005-0000-0000-0000B7240000}"/>
    <cellStyle name="Comma 4 14 3" xfId="9683" xr:uid="{00000000-0005-0000-0000-0000B8240000}"/>
    <cellStyle name="Comma 4 14 3 2" xfId="18280" xr:uid="{00000000-0005-0000-0000-0000B9240000}"/>
    <cellStyle name="Comma 4 15" xfId="9684" xr:uid="{00000000-0005-0000-0000-0000BA240000}"/>
    <cellStyle name="Comma 4 15 2" xfId="9685" xr:uid="{00000000-0005-0000-0000-0000BB240000}"/>
    <cellStyle name="Comma 4 15 2 2" xfId="9686" xr:uid="{00000000-0005-0000-0000-0000BC240000}"/>
    <cellStyle name="Comma 4 15 2 2 2" xfId="18281" xr:uid="{00000000-0005-0000-0000-0000BD240000}"/>
    <cellStyle name="Comma 4 15 3" xfId="9687" xr:uid="{00000000-0005-0000-0000-0000BE240000}"/>
    <cellStyle name="Comma 4 15 3 2" xfId="18282" xr:uid="{00000000-0005-0000-0000-0000BF240000}"/>
    <cellStyle name="Comma 4 16" xfId="9688" xr:uid="{00000000-0005-0000-0000-0000C0240000}"/>
    <cellStyle name="Comma 4 16 2" xfId="9689" xr:uid="{00000000-0005-0000-0000-0000C1240000}"/>
    <cellStyle name="Comma 4 16 2 2" xfId="9690" xr:uid="{00000000-0005-0000-0000-0000C2240000}"/>
    <cellStyle name="Comma 4 16 2 2 2" xfId="18283" xr:uid="{00000000-0005-0000-0000-0000C3240000}"/>
    <cellStyle name="Comma 4 16 3" xfId="9691" xr:uid="{00000000-0005-0000-0000-0000C4240000}"/>
    <cellStyle name="Comma 4 16 3 2" xfId="18284" xr:uid="{00000000-0005-0000-0000-0000C5240000}"/>
    <cellStyle name="Comma 4 17" xfId="9692" xr:uid="{00000000-0005-0000-0000-0000C6240000}"/>
    <cellStyle name="Comma 4 17 2" xfId="9693" xr:uid="{00000000-0005-0000-0000-0000C7240000}"/>
    <cellStyle name="Comma 4 17 2 2" xfId="9694" xr:uid="{00000000-0005-0000-0000-0000C8240000}"/>
    <cellStyle name="Comma 4 17 2 2 2" xfId="9695" xr:uid="{00000000-0005-0000-0000-0000C9240000}"/>
    <cellStyle name="Comma 4 17 2 2 2 2" xfId="18285" xr:uid="{00000000-0005-0000-0000-0000CA240000}"/>
    <cellStyle name="Comma 4 17 2 3" xfId="9696" xr:uid="{00000000-0005-0000-0000-0000CB240000}"/>
    <cellStyle name="Comma 4 17 2 3 2" xfId="9697" xr:uid="{00000000-0005-0000-0000-0000CC240000}"/>
    <cellStyle name="Comma 4 17 2 3 2 2" xfId="18286" xr:uid="{00000000-0005-0000-0000-0000CD240000}"/>
    <cellStyle name="Comma 4 17 2 4" xfId="9698" xr:uid="{00000000-0005-0000-0000-0000CE240000}"/>
    <cellStyle name="Comma 4 17 2 4 2" xfId="9699" xr:uid="{00000000-0005-0000-0000-0000CF240000}"/>
    <cellStyle name="Comma 4 17 2 4 2 2" xfId="18287" xr:uid="{00000000-0005-0000-0000-0000D0240000}"/>
    <cellStyle name="Comma 4 17 2 5" xfId="9700" xr:uid="{00000000-0005-0000-0000-0000D1240000}"/>
    <cellStyle name="Comma 4 17 2 5 2" xfId="9701" xr:uid="{00000000-0005-0000-0000-0000D2240000}"/>
    <cellStyle name="Comma 4 17 2 5 2 2" xfId="18288" xr:uid="{00000000-0005-0000-0000-0000D3240000}"/>
    <cellStyle name="Comma 4 17 2 6" xfId="9702" xr:uid="{00000000-0005-0000-0000-0000D4240000}"/>
    <cellStyle name="Comma 4 17 2 6 2" xfId="9703" xr:uid="{00000000-0005-0000-0000-0000D5240000}"/>
    <cellStyle name="Comma 4 17 2 6 2 2" xfId="18289" xr:uid="{00000000-0005-0000-0000-0000D6240000}"/>
    <cellStyle name="Comma 4 17 2 7" xfId="9704" xr:uid="{00000000-0005-0000-0000-0000D7240000}"/>
    <cellStyle name="Comma 4 17 2 7 2" xfId="9705" xr:uid="{00000000-0005-0000-0000-0000D8240000}"/>
    <cellStyle name="Comma 4 17 2 7 2 2" xfId="18290" xr:uid="{00000000-0005-0000-0000-0000D9240000}"/>
    <cellStyle name="Comma 4 17 2 8" xfId="9706" xr:uid="{00000000-0005-0000-0000-0000DA240000}"/>
    <cellStyle name="Comma 4 17 2 8 2" xfId="18291" xr:uid="{00000000-0005-0000-0000-0000DB240000}"/>
    <cellStyle name="Comma 4 17 3" xfId="9707" xr:uid="{00000000-0005-0000-0000-0000DC240000}"/>
    <cellStyle name="Comma 4 17 3 2" xfId="9708" xr:uid="{00000000-0005-0000-0000-0000DD240000}"/>
    <cellStyle name="Comma 4 17 3 2 2" xfId="18292" xr:uid="{00000000-0005-0000-0000-0000DE240000}"/>
    <cellStyle name="Comma 4 17 4" xfId="9709" xr:uid="{00000000-0005-0000-0000-0000DF240000}"/>
    <cellStyle name="Comma 4 17 4 2" xfId="9710" xr:uid="{00000000-0005-0000-0000-0000E0240000}"/>
    <cellStyle name="Comma 4 17 4 2 2" xfId="18293" xr:uid="{00000000-0005-0000-0000-0000E1240000}"/>
    <cellStyle name="Comma 4 17 5" xfId="9711" xr:uid="{00000000-0005-0000-0000-0000E2240000}"/>
    <cellStyle name="Comma 4 17 5 2" xfId="9712" xr:uid="{00000000-0005-0000-0000-0000E3240000}"/>
    <cellStyle name="Comma 4 17 5 2 2" xfId="18294" xr:uid="{00000000-0005-0000-0000-0000E4240000}"/>
    <cellStyle name="Comma 4 17 6" xfId="9713" xr:uid="{00000000-0005-0000-0000-0000E5240000}"/>
    <cellStyle name="Comma 4 17 6 2" xfId="9714" xr:uid="{00000000-0005-0000-0000-0000E6240000}"/>
    <cellStyle name="Comma 4 17 6 2 2" xfId="18295" xr:uid="{00000000-0005-0000-0000-0000E7240000}"/>
    <cellStyle name="Comma 4 17 7" xfId="9715" xr:uid="{00000000-0005-0000-0000-0000E8240000}"/>
    <cellStyle name="Comma 4 17 7 2" xfId="9716" xr:uid="{00000000-0005-0000-0000-0000E9240000}"/>
    <cellStyle name="Comma 4 17 7 2 2" xfId="18296" xr:uid="{00000000-0005-0000-0000-0000EA240000}"/>
    <cellStyle name="Comma 4 17 8" xfId="9717" xr:uid="{00000000-0005-0000-0000-0000EB240000}"/>
    <cellStyle name="Comma 4 17 8 2" xfId="9718" xr:uid="{00000000-0005-0000-0000-0000EC240000}"/>
    <cellStyle name="Comma 4 17 8 2 2" xfId="18297" xr:uid="{00000000-0005-0000-0000-0000ED240000}"/>
    <cellStyle name="Comma 4 17 9" xfId="9719" xr:uid="{00000000-0005-0000-0000-0000EE240000}"/>
    <cellStyle name="Comma 4 17 9 2" xfId="18298" xr:uid="{00000000-0005-0000-0000-0000EF240000}"/>
    <cellStyle name="Comma 4 18" xfId="9720" xr:uid="{00000000-0005-0000-0000-0000F0240000}"/>
    <cellStyle name="Comma 4 18 2" xfId="9721" xr:uid="{00000000-0005-0000-0000-0000F1240000}"/>
    <cellStyle name="Comma 4 18 2 2" xfId="18299" xr:uid="{00000000-0005-0000-0000-0000F2240000}"/>
    <cellStyle name="Comma 4 19" xfId="9722" xr:uid="{00000000-0005-0000-0000-0000F3240000}"/>
    <cellStyle name="Comma 4 19 2" xfId="9723" xr:uid="{00000000-0005-0000-0000-0000F4240000}"/>
    <cellStyle name="Comma 4 19 2 2" xfId="18300" xr:uid="{00000000-0005-0000-0000-0000F5240000}"/>
    <cellStyle name="Comma 4 2" xfId="149" xr:uid="{00000000-0005-0000-0000-0000F6240000}"/>
    <cellStyle name="Comma 4 2 10" xfId="9725" xr:uid="{00000000-0005-0000-0000-0000F7240000}"/>
    <cellStyle name="Comma 4 2 10 2" xfId="9726" xr:uid="{00000000-0005-0000-0000-0000F8240000}"/>
    <cellStyle name="Comma 4 2 10 2 2" xfId="9727" xr:uid="{00000000-0005-0000-0000-0000F9240000}"/>
    <cellStyle name="Comma 4 2 10 2 2 2" xfId="18302" xr:uid="{00000000-0005-0000-0000-0000FA240000}"/>
    <cellStyle name="Comma 4 2 10 3" xfId="9728" xr:uid="{00000000-0005-0000-0000-0000FB240000}"/>
    <cellStyle name="Comma 4 2 10 3 2" xfId="18303" xr:uid="{00000000-0005-0000-0000-0000FC240000}"/>
    <cellStyle name="Comma 4 2 11" xfId="9729" xr:uid="{00000000-0005-0000-0000-0000FD240000}"/>
    <cellStyle name="Comma 4 2 11 2" xfId="9730" xr:uid="{00000000-0005-0000-0000-0000FE240000}"/>
    <cellStyle name="Comma 4 2 11 2 2" xfId="9731" xr:uid="{00000000-0005-0000-0000-0000FF240000}"/>
    <cellStyle name="Comma 4 2 11 2 2 2" xfId="18304" xr:uid="{00000000-0005-0000-0000-000000250000}"/>
    <cellStyle name="Comma 4 2 11 3" xfId="9732" xr:uid="{00000000-0005-0000-0000-000001250000}"/>
    <cellStyle name="Comma 4 2 11 3 2" xfId="18305" xr:uid="{00000000-0005-0000-0000-000002250000}"/>
    <cellStyle name="Comma 4 2 12" xfId="9733" xr:uid="{00000000-0005-0000-0000-000003250000}"/>
    <cellStyle name="Comma 4 2 12 2" xfId="9734" xr:uid="{00000000-0005-0000-0000-000004250000}"/>
    <cellStyle name="Comma 4 2 12 2 2" xfId="9735" xr:uid="{00000000-0005-0000-0000-000005250000}"/>
    <cellStyle name="Comma 4 2 12 2 2 2" xfId="18306" xr:uid="{00000000-0005-0000-0000-000006250000}"/>
    <cellStyle name="Comma 4 2 12 3" xfId="9736" xr:uid="{00000000-0005-0000-0000-000007250000}"/>
    <cellStyle name="Comma 4 2 12 3 2" xfId="18307" xr:uid="{00000000-0005-0000-0000-000008250000}"/>
    <cellStyle name="Comma 4 2 13" xfId="9737" xr:uid="{00000000-0005-0000-0000-000009250000}"/>
    <cellStyle name="Comma 4 2 13 2" xfId="9738" xr:uid="{00000000-0005-0000-0000-00000A250000}"/>
    <cellStyle name="Comma 4 2 13 2 2" xfId="9739" xr:uid="{00000000-0005-0000-0000-00000B250000}"/>
    <cellStyle name="Comma 4 2 13 2 2 2" xfId="18308" xr:uid="{00000000-0005-0000-0000-00000C250000}"/>
    <cellStyle name="Comma 4 2 13 3" xfId="9740" xr:uid="{00000000-0005-0000-0000-00000D250000}"/>
    <cellStyle name="Comma 4 2 13 3 2" xfId="18309" xr:uid="{00000000-0005-0000-0000-00000E250000}"/>
    <cellStyle name="Comma 4 2 14" xfId="9741" xr:uid="{00000000-0005-0000-0000-00000F250000}"/>
    <cellStyle name="Comma 4 2 14 2" xfId="9742" xr:uid="{00000000-0005-0000-0000-000010250000}"/>
    <cellStyle name="Comma 4 2 14 2 2" xfId="9743" xr:uid="{00000000-0005-0000-0000-000011250000}"/>
    <cellStyle name="Comma 4 2 14 2 2 2" xfId="18310" xr:uid="{00000000-0005-0000-0000-000012250000}"/>
    <cellStyle name="Comma 4 2 14 3" xfId="9744" xr:uid="{00000000-0005-0000-0000-000013250000}"/>
    <cellStyle name="Comma 4 2 14 3 2" xfId="18311" xr:uid="{00000000-0005-0000-0000-000014250000}"/>
    <cellStyle name="Comma 4 2 15" xfId="9745" xr:uid="{00000000-0005-0000-0000-000015250000}"/>
    <cellStyle name="Comma 4 2 15 2" xfId="9746" xr:uid="{00000000-0005-0000-0000-000016250000}"/>
    <cellStyle name="Comma 4 2 15 2 2" xfId="9747" xr:uid="{00000000-0005-0000-0000-000017250000}"/>
    <cellStyle name="Comma 4 2 15 2 2 2" xfId="9748" xr:uid="{00000000-0005-0000-0000-000018250000}"/>
    <cellStyle name="Comma 4 2 15 2 2 2 2" xfId="18312" xr:uid="{00000000-0005-0000-0000-000019250000}"/>
    <cellStyle name="Comma 4 2 15 2 3" xfId="9749" xr:uid="{00000000-0005-0000-0000-00001A250000}"/>
    <cellStyle name="Comma 4 2 15 2 3 2" xfId="9750" xr:uid="{00000000-0005-0000-0000-00001B250000}"/>
    <cellStyle name="Comma 4 2 15 2 3 2 2" xfId="18313" xr:uid="{00000000-0005-0000-0000-00001C250000}"/>
    <cellStyle name="Comma 4 2 15 2 4" xfId="9751" xr:uid="{00000000-0005-0000-0000-00001D250000}"/>
    <cellStyle name="Comma 4 2 15 2 4 2" xfId="9752" xr:uid="{00000000-0005-0000-0000-00001E250000}"/>
    <cellStyle name="Comma 4 2 15 2 4 2 2" xfId="18314" xr:uid="{00000000-0005-0000-0000-00001F250000}"/>
    <cellStyle name="Comma 4 2 15 2 5" xfId="9753" xr:uid="{00000000-0005-0000-0000-000020250000}"/>
    <cellStyle name="Comma 4 2 15 2 5 2" xfId="9754" xr:uid="{00000000-0005-0000-0000-000021250000}"/>
    <cellStyle name="Comma 4 2 15 2 5 2 2" xfId="18315" xr:uid="{00000000-0005-0000-0000-000022250000}"/>
    <cellStyle name="Comma 4 2 15 2 6" xfId="9755" xr:uid="{00000000-0005-0000-0000-000023250000}"/>
    <cellStyle name="Comma 4 2 15 2 6 2" xfId="9756" xr:uid="{00000000-0005-0000-0000-000024250000}"/>
    <cellStyle name="Comma 4 2 15 2 6 2 2" xfId="18316" xr:uid="{00000000-0005-0000-0000-000025250000}"/>
    <cellStyle name="Comma 4 2 15 2 7" xfId="9757" xr:uid="{00000000-0005-0000-0000-000026250000}"/>
    <cellStyle name="Comma 4 2 15 2 7 2" xfId="9758" xr:uid="{00000000-0005-0000-0000-000027250000}"/>
    <cellStyle name="Comma 4 2 15 2 7 2 2" xfId="18317" xr:uid="{00000000-0005-0000-0000-000028250000}"/>
    <cellStyle name="Comma 4 2 15 2 8" xfId="9759" xr:uid="{00000000-0005-0000-0000-000029250000}"/>
    <cellStyle name="Comma 4 2 15 2 8 2" xfId="18318" xr:uid="{00000000-0005-0000-0000-00002A250000}"/>
    <cellStyle name="Comma 4 2 15 3" xfId="9760" xr:uid="{00000000-0005-0000-0000-00002B250000}"/>
    <cellStyle name="Comma 4 2 15 3 2" xfId="9761" xr:uid="{00000000-0005-0000-0000-00002C250000}"/>
    <cellStyle name="Comma 4 2 15 3 2 2" xfId="18319" xr:uid="{00000000-0005-0000-0000-00002D250000}"/>
    <cellStyle name="Comma 4 2 15 4" xfId="9762" xr:uid="{00000000-0005-0000-0000-00002E250000}"/>
    <cellStyle name="Comma 4 2 15 4 2" xfId="9763" xr:uid="{00000000-0005-0000-0000-00002F250000}"/>
    <cellStyle name="Comma 4 2 15 4 2 2" xfId="18320" xr:uid="{00000000-0005-0000-0000-000030250000}"/>
    <cellStyle name="Comma 4 2 15 5" xfId="9764" xr:uid="{00000000-0005-0000-0000-000031250000}"/>
    <cellStyle name="Comma 4 2 15 5 2" xfId="9765" xr:uid="{00000000-0005-0000-0000-000032250000}"/>
    <cellStyle name="Comma 4 2 15 5 2 2" xfId="18321" xr:uid="{00000000-0005-0000-0000-000033250000}"/>
    <cellStyle name="Comma 4 2 15 6" xfId="9766" xr:uid="{00000000-0005-0000-0000-000034250000}"/>
    <cellStyle name="Comma 4 2 15 6 2" xfId="9767" xr:uid="{00000000-0005-0000-0000-000035250000}"/>
    <cellStyle name="Comma 4 2 15 6 2 2" xfId="18322" xr:uid="{00000000-0005-0000-0000-000036250000}"/>
    <cellStyle name="Comma 4 2 15 7" xfId="9768" xr:uid="{00000000-0005-0000-0000-000037250000}"/>
    <cellStyle name="Comma 4 2 15 7 2" xfId="9769" xr:uid="{00000000-0005-0000-0000-000038250000}"/>
    <cellStyle name="Comma 4 2 15 7 2 2" xfId="18323" xr:uid="{00000000-0005-0000-0000-000039250000}"/>
    <cellStyle name="Comma 4 2 15 8" xfId="9770" xr:uid="{00000000-0005-0000-0000-00003A250000}"/>
    <cellStyle name="Comma 4 2 15 8 2" xfId="9771" xr:uid="{00000000-0005-0000-0000-00003B250000}"/>
    <cellStyle name="Comma 4 2 15 8 2 2" xfId="18324" xr:uid="{00000000-0005-0000-0000-00003C250000}"/>
    <cellStyle name="Comma 4 2 15 9" xfId="9772" xr:uid="{00000000-0005-0000-0000-00003D250000}"/>
    <cellStyle name="Comma 4 2 15 9 2" xfId="18325" xr:uid="{00000000-0005-0000-0000-00003E250000}"/>
    <cellStyle name="Comma 4 2 16" xfId="9773" xr:uid="{00000000-0005-0000-0000-00003F250000}"/>
    <cellStyle name="Comma 4 2 16 2" xfId="9774" xr:uid="{00000000-0005-0000-0000-000040250000}"/>
    <cellStyle name="Comma 4 2 16 2 2" xfId="18326" xr:uid="{00000000-0005-0000-0000-000041250000}"/>
    <cellStyle name="Comma 4 2 17" xfId="9775" xr:uid="{00000000-0005-0000-0000-000042250000}"/>
    <cellStyle name="Comma 4 2 17 2" xfId="9776" xr:uid="{00000000-0005-0000-0000-000043250000}"/>
    <cellStyle name="Comma 4 2 17 2 2" xfId="18327" xr:uid="{00000000-0005-0000-0000-000044250000}"/>
    <cellStyle name="Comma 4 2 18" xfId="9777" xr:uid="{00000000-0005-0000-0000-000045250000}"/>
    <cellStyle name="Comma 4 2 18 2" xfId="18328" xr:uid="{00000000-0005-0000-0000-000046250000}"/>
    <cellStyle name="Comma 4 2 19" xfId="9724" xr:uid="{00000000-0005-0000-0000-000047250000}"/>
    <cellStyle name="Comma 4 2 2" xfId="150" xr:uid="{00000000-0005-0000-0000-000048250000}"/>
    <cellStyle name="Comma 4 2 2 10" xfId="9779" xr:uid="{00000000-0005-0000-0000-000049250000}"/>
    <cellStyle name="Comma 4 2 2 10 2" xfId="9780" xr:uid="{00000000-0005-0000-0000-00004A250000}"/>
    <cellStyle name="Comma 4 2 2 10 2 2" xfId="9781" xr:uid="{00000000-0005-0000-0000-00004B250000}"/>
    <cellStyle name="Comma 4 2 2 10 2 2 2" xfId="18330" xr:uid="{00000000-0005-0000-0000-00004C250000}"/>
    <cellStyle name="Comma 4 2 2 10 3" xfId="9782" xr:uid="{00000000-0005-0000-0000-00004D250000}"/>
    <cellStyle name="Comma 4 2 2 10 3 2" xfId="18331" xr:uid="{00000000-0005-0000-0000-00004E250000}"/>
    <cellStyle name="Comma 4 2 2 11" xfId="9783" xr:uid="{00000000-0005-0000-0000-00004F250000}"/>
    <cellStyle name="Comma 4 2 2 11 2" xfId="9784" xr:uid="{00000000-0005-0000-0000-000050250000}"/>
    <cellStyle name="Comma 4 2 2 11 2 2" xfId="9785" xr:uid="{00000000-0005-0000-0000-000051250000}"/>
    <cellStyle name="Comma 4 2 2 11 2 2 2" xfId="18332" xr:uid="{00000000-0005-0000-0000-000052250000}"/>
    <cellStyle name="Comma 4 2 2 11 3" xfId="9786" xr:uid="{00000000-0005-0000-0000-000053250000}"/>
    <cellStyle name="Comma 4 2 2 11 3 2" xfId="18333" xr:uid="{00000000-0005-0000-0000-000054250000}"/>
    <cellStyle name="Comma 4 2 2 12" xfId="9787" xr:uid="{00000000-0005-0000-0000-000055250000}"/>
    <cellStyle name="Comma 4 2 2 12 2" xfId="9788" xr:uid="{00000000-0005-0000-0000-000056250000}"/>
    <cellStyle name="Comma 4 2 2 12 2 2" xfId="9789" xr:uid="{00000000-0005-0000-0000-000057250000}"/>
    <cellStyle name="Comma 4 2 2 12 2 2 2" xfId="18334" xr:uid="{00000000-0005-0000-0000-000058250000}"/>
    <cellStyle name="Comma 4 2 2 12 3" xfId="9790" xr:uid="{00000000-0005-0000-0000-000059250000}"/>
    <cellStyle name="Comma 4 2 2 12 3 2" xfId="18335" xr:uid="{00000000-0005-0000-0000-00005A250000}"/>
    <cellStyle name="Comma 4 2 2 13" xfId="9791" xr:uid="{00000000-0005-0000-0000-00005B250000}"/>
    <cellStyle name="Comma 4 2 2 13 2" xfId="9792" xr:uid="{00000000-0005-0000-0000-00005C250000}"/>
    <cellStyle name="Comma 4 2 2 13 2 2" xfId="9793" xr:uid="{00000000-0005-0000-0000-00005D250000}"/>
    <cellStyle name="Comma 4 2 2 13 2 2 2" xfId="18336" xr:uid="{00000000-0005-0000-0000-00005E250000}"/>
    <cellStyle name="Comma 4 2 2 13 3" xfId="9794" xr:uid="{00000000-0005-0000-0000-00005F250000}"/>
    <cellStyle name="Comma 4 2 2 13 3 2" xfId="18337" xr:uid="{00000000-0005-0000-0000-000060250000}"/>
    <cellStyle name="Comma 4 2 2 14" xfId="9795" xr:uid="{00000000-0005-0000-0000-000061250000}"/>
    <cellStyle name="Comma 4 2 2 14 2" xfId="9796" xr:uid="{00000000-0005-0000-0000-000062250000}"/>
    <cellStyle name="Comma 4 2 2 14 2 2" xfId="9797" xr:uid="{00000000-0005-0000-0000-000063250000}"/>
    <cellStyle name="Comma 4 2 2 14 2 2 2" xfId="9798" xr:uid="{00000000-0005-0000-0000-000064250000}"/>
    <cellStyle name="Comma 4 2 2 14 2 2 2 2" xfId="18338" xr:uid="{00000000-0005-0000-0000-000065250000}"/>
    <cellStyle name="Comma 4 2 2 14 2 3" xfId="9799" xr:uid="{00000000-0005-0000-0000-000066250000}"/>
    <cellStyle name="Comma 4 2 2 14 2 3 2" xfId="9800" xr:uid="{00000000-0005-0000-0000-000067250000}"/>
    <cellStyle name="Comma 4 2 2 14 2 3 2 2" xfId="18339" xr:uid="{00000000-0005-0000-0000-000068250000}"/>
    <cellStyle name="Comma 4 2 2 14 2 4" xfId="9801" xr:uid="{00000000-0005-0000-0000-000069250000}"/>
    <cellStyle name="Comma 4 2 2 14 2 4 2" xfId="9802" xr:uid="{00000000-0005-0000-0000-00006A250000}"/>
    <cellStyle name="Comma 4 2 2 14 2 4 2 2" xfId="18340" xr:uid="{00000000-0005-0000-0000-00006B250000}"/>
    <cellStyle name="Comma 4 2 2 14 2 5" xfId="9803" xr:uid="{00000000-0005-0000-0000-00006C250000}"/>
    <cellStyle name="Comma 4 2 2 14 2 5 2" xfId="9804" xr:uid="{00000000-0005-0000-0000-00006D250000}"/>
    <cellStyle name="Comma 4 2 2 14 2 5 2 2" xfId="18341" xr:uid="{00000000-0005-0000-0000-00006E250000}"/>
    <cellStyle name="Comma 4 2 2 14 2 6" xfId="9805" xr:uid="{00000000-0005-0000-0000-00006F250000}"/>
    <cellStyle name="Comma 4 2 2 14 2 6 2" xfId="9806" xr:uid="{00000000-0005-0000-0000-000070250000}"/>
    <cellStyle name="Comma 4 2 2 14 2 6 2 2" xfId="18342" xr:uid="{00000000-0005-0000-0000-000071250000}"/>
    <cellStyle name="Comma 4 2 2 14 2 7" xfId="9807" xr:uid="{00000000-0005-0000-0000-000072250000}"/>
    <cellStyle name="Comma 4 2 2 14 2 7 2" xfId="9808" xr:uid="{00000000-0005-0000-0000-000073250000}"/>
    <cellStyle name="Comma 4 2 2 14 2 7 2 2" xfId="18343" xr:uid="{00000000-0005-0000-0000-000074250000}"/>
    <cellStyle name="Comma 4 2 2 14 2 8" xfId="9809" xr:uid="{00000000-0005-0000-0000-000075250000}"/>
    <cellStyle name="Comma 4 2 2 14 2 8 2" xfId="18344" xr:uid="{00000000-0005-0000-0000-000076250000}"/>
    <cellStyle name="Comma 4 2 2 14 3" xfId="9810" xr:uid="{00000000-0005-0000-0000-000077250000}"/>
    <cellStyle name="Comma 4 2 2 14 3 2" xfId="9811" xr:uid="{00000000-0005-0000-0000-000078250000}"/>
    <cellStyle name="Comma 4 2 2 14 3 2 2" xfId="18345" xr:uid="{00000000-0005-0000-0000-000079250000}"/>
    <cellStyle name="Comma 4 2 2 14 4" xfId="9812" xr:uid="{00000000-0005-0000-0000-00007A250000}"/>
    <cellStyle name="Comma 4 2 2 14 4 2" xfId="9813" xr:uid="{00000000-0005-0000-0000-00007B250000}"/>
    <cellStyle name="Comma 4 2 2 14 4 2 2" xfId="18346" xr:uid="{00000000-0005-0000-0000-00007C250000}"/>
    <cellStyle name="Comma 4 2 2 14 5" xfId="9814" xr:uid="{00000000-0005-0000-0000-00007D250000}"/>
    <cellStyle name="Comma 4 2 2 14 5 2" xfId="9815" xr:uid="{00000000-0005-0000-0000-00007E250000}"/>
    <cellStyle name="Comma 4 2 2 14 5 2 2" xfId="18347" xr:uid="{00000000-0005-0000-0000-00007F250000}"/>
    <cellStyle name="Comma 4 2 2 14 6" xfId="9816" xr:uid="{00000000-0005-0000-0000-000080250000}"/>
    <cellStyle name="Comma 4 2 2 14 6 2" xfId="9817" xr:uid="{00000000-0005-0000-0000-000081250000}"/>
    <cellStyle name="Comma 4 2 2 14 6 2 2" xfId="18348" xr:uid="{00000000-0005-0000-0000-000082250000}"/>
    <cellStyle name="Comma 4 2 2 14 7" xfId="9818" xr:uid="{00000000-0005-0000-0000-000083250000}"/>
    <cellStyle name="Comma 4 2 2 14 7 2" xfId="9819" xr:uid="{00000000-0005-0000-0000-000084250000}"/>
    <cellStyle name="Comma 4 2 2 14 7 2 2" xfId="18349" xr:uid="{00000000-0005-0000-0000-000085250000}"/>
    <cellStyle name="Comma 4 2 2 14 8" xfId="9820" xr:uid="{00000000-0005-0000-0000-000086250000}"/>
    <cellStyle name="Comma 4 2 2 14 8 2" xfId="9821" xr:uid="{00000000-0005-0000-0000-000087250000}"/>
    <cellStyle name="Comma 4 2 2 14 8 2 2" xfId="18350" xr:uid="{00000000-0005-0000-0000-000088250000}"/>
    <cellStyle name="Comma 4 2 2 14 9" xfId="9822" xr:uid="{00000000-0005-0000-0000-000089250000}"/>
    <cellStyle name="Comma 4 2 2 14 9 2" xfId="18351" xr:uid="{00000000-0005-0000-0000-00008A250000}"/>
    <cellStyle name="Comma 4 2 2 15" xfId="9823" xr:uid="{00000000-0005-0000-0000-00008B250000}"/>
    <cellStyle name="Comma 4 2 2 15 2" xfId="9824" xr:uid="{00000000-0005-0000-0000-00008C250000}"/>
    <cellStyle name="Comma 4 2 2 15 2 2" xfId="18352" xr:uid="{00000000-0005-0000-0000-00008D250000}"/>
    <cellStyle name="Comma 4 2 2 16" xfId="9825" xr:uid="{00000000-0005-0000-0000-00008E250000}"/>
    <cellStyle name="Comma 4 2 2 16 2" xfId="9826" xr:uid="{00000000-0005-0000-0000-00008F250000}"/>
    <cellStyle name="Comma 4 2 2 16 2 2" xfId="18353" xr:uid="{00000000-0005-0000-0000-000090250000}"/>
    <cellStyle name="Comma 4 2 2 17" xfId="9827" xr:uid="{00000000-0005-0000-0000-000091250000}"/>
    <cellStyle name="Comma 4 2 2 17 2" xfId="18354" xr:uid="{00000000-0005-0000-0000-000092250000}"/>
    <cellStyle name="Comma 4 2 2 18" xfId="9778" xr:uid="{00000000-0005-0000-0000-000093250000}"/>
    <cellStyle name="Comma 4 2 2 19" xfId="18329" xr:uid="{00000000-0005-0000-0000-000094250000}"/>
    <cellStyle name="Comma 4 2 2 2" xfId="2023" xr:uid="{00000000-0005-0000-0000-000095250000}"/>
    <cellStyle name="Comma 4 2 2 2 10" xfId="9829" xr:uid="{00000000-0005-0000-0000-000096250000}"/>
    <cellStyle name="Comma 4 2 2 2 10 2" xfId="18356" xr:uid="{00000000-0005-0000-0000-000097250000}"/>
    <cellStyle name="Comma 4 2 2 2 11" xfId="9830" xr:uid="{00000000-0005-0000-0000-000098250000}"/>
    <cellStyle name="Comma 4 2 2 2 11 2" xfId="18357" xr:uid="{00000000-0005-0000-0000-000099250000}"/>
    <cellStyle name="Comma 4 2 2 2 12" xfId="9831" xr:uid="{00000000-0005-0000-0000-00009A250000}"/>
    <cellStyle name="Comma 4 2 2 2 12 2" xfId="18358" xr:uid="{00000000-0005-0000-0000-00009B250000}"/>
    <cellStyle name="Comma 4 2 2 2 13" xfId="9828" xr:uid="{00000000-0005-0000-0000-00009C250000}"/>
    <cellStyle name="Comma 4 2 2 2 14" xfId="18355" xr:uid="{00000000-0005-0000-0000-00009D250000}"/>
    <cellStyle name="Comma 4 2 2 2 15" xfId="7152" xr:uid="{00000000-0005-0000-0000-00009E250000}"/>
    <cellStyle name="Comma 4 2 2 2 16" xfId="22958" xr:uid="{00000000-0005-0000-0000-00009F250000}"/>
    <cellStyle name="Comma 4 2 2 2 17" xfId="23579" xr:uid="{00000000-0005-0000-0000-0000A0250000}"/>
    <cellStyle name="Comma 4 2 2 2 18" xfId="24724" xr:uid="{00000000-0005-0000-0000-0000A1250000}"/>
    <cellStyle name="Comma 4 2 2 2 19" xfId="25228" xr:uid="{00000000-0005-0000-0000-0000A2250000}"/>
    <cellStyle name="Comma 4 2 2 2 2" xfId="2024" xr:uid="{00000000-0005-0000-0000-0000A3250000}"/>
    <cellStyle name="Comma 4 2 2 2 2 10" xfId="9832" xr:uid="{00000000-0005-0000-0000-0000A4250000}"/>
    <cellStyle name="Comma 4 2 2 2 2 10 2" xfId="18359" xr:uid="{00000000-0005-0000-0000-0000A5250000}"/>
    <cellStyle name="Comma 4 2 2 2 2 11" xfId="7153" xr:uid="{00000000-0005-0000-0000-0000A6250000}"/>
    <cellStyle name="Comma 4 2 2 2 2 12" xfId="23580" xr:uid="{00000000-0005-0000-0000-0000A7250000}"/>
    <cellStyle name="Comma 4 2 2 2 2 13" xfId="24725" xr:uid="{00000000-0005-0000-0000-0000A8250000}"/>
    <cellStyle name="Comma 4 2 2 2 2 14" xfId="25229" xr:uid="{00000000-0005-0000-0000-0000A9250000}"/>
    <cellStyle name="Comma 4 2 2 2 2 15" xfId="25733" xr:uid="{00000000-0005-0000-0000-0000AA250000}"/>
    <cellStyle name="Comma 4 2 2 2 2 16" xfId="26237" xr:uid="{00000000-0005-0000-0000-0000AB250000}"/>
    <cellStyle name="Comma 4 2 2 2 2 17" xfId="26741" xr:uid="{00000000-0005-0000-0000-0000AC250000}"/>
    <cellStyle name="Comma 4 2 2 2 2 18" xfId="27245" xr:uid="{00000000-0005-0000-0000-0000AD250000}"/>
    <cellStyle name="Comma 4 2 2 2 2 19" xfId="27749" xr:uid="{00000000-0005-0000-0000-0000AE250000}"/>
    <cellStyle name="Comma 4 2 2 2 2 2" xfId="6860" xr:uid="{00000000-0005-0000-0000-0000AF250000}"/>
    <cellStyle name="Comma 4 2 2 2 2 2 10" xfId="26742" xr:uid="{00000000-0005-0000-0000-0000B0250000}"/>
    <cellStyle name="Comma 4 2 2 2 2 2 11" xfId="27246" xr:uid="{00000000-0005-0000-0000-0000B1250000}"/>
    <cellStyle name="Comma 4 2 2 2 2 2 12" xfId="27750" xr:uid="{00000000-0005-0000-0000-0000B2250000}"/>
    <cellStyle name="Comma 4 2 2 2 2 2 13" xfId="28254" xr:uid="{00000000-0005-0000-0000-0000B3250000}"/>
    <cellStyle name="Comma 4 2 2 2 2 2 14" xfId="28758" xr:uid="{00000000-0005-0000-0000-0000B4250000}"/>
    <cellStyle name="Comma 4 2 2 2 2 2 15" xfId="29262" xr:uid="{00000000-0005-0000-0000-0000B5250000}"/>
    <cellStyle name="Comma 4 2 2 2 2 2 16" xfId="29766" xr:uid="{00000000-0005-0000-0000-0000B6250000}"/>
    <cellStyle name="Comma 4 2 2 2 2 2 17" xfId="30270" xr:uid="{00000000-0005-0000-0000-0000B7250000}"/>
    <cellStyle name="Comma 4 2 2 2 2 2 18" xfId="30775" xr:uid="{00000000-0005-0000-0000-0000B8250000}"/>
    <cellStyle name="Comma 4 2 2 2 2 2 2" xfId="9834" xr:uid="{00000000-0005-0000-0000-0000B9250000}"/>
    <cellStyle name="Comma 4 2 2 2 2 2 2 2" xfId="18361" xr:uid="{00000000-0005-0000-0000-0000BA250000}"/>
    <cellStyle name="Comma 4 2 2 2 2 2 3" xfId="18360" xr:uid="{00000000-0005-0000-0000-0000BB250000}"/>
    <cellStyle name="Comma 4 2 2 2 2 2 4" xfId="9833" xr:uid="{00000000-0005-0000-0000-0000BC250000}"/>
    <cellStyle name="Comma 4 2 2 2 2 2 5" xfId="23581" xr:uid="{00000000-0005-0000-0000-0000BD250000}"/>
    <cellStyle name="Comma 4 2 2 2 2 2 6" xfId="24726" xr:uid="{00000000-0005-0000-0000-0000BE250000}"/>
    <cellStyle name="Comma 4 2 2 2 2 2 7" xfId="25230" xr:uid="{00000000-0005-0000-0000-0000BF250000}"/>
    <cellStyle name="Comma 4 2 2 2 2 2 8" xfId="25734" xr:uid="{00000000-0005-0000-0000-0000C0250000}"/>
    <cellStyle name="Comma 4 2 2 2 2 2 9" xfId="26238" xr:uid="{00000000-0005-0000-0000-0000C1250000}"/>
    <cellStyle name="Comma 4 2 2 2 2 20" xfId="28253" xr:uid="{00000000-0005-0000-0000-0000C2250000}"/>
    <cellStyle name="Comma 4 2 2 2 2 21" xfId="28757" xr:uid="{00000000-0005-0000-0000-0000C3250000}"/>
    <cellStyle name="Comma 4 2 2 2 2 22" xfId="29261" xr:uid="{00000000-0005-0000-0000-0000C4250000}"/>
    <cellStyle name="Comma 4 2 2 2 2 23" xfId="29765" xr:uid="{00000000-0005-0000-0000-0000C5250000}"/>
    <cellStyle name="Comma 4 2 2 2 2 24" xfId="30269" xr:uid="{00000000-0005-0000-0000-0000C6250000}"/>
    <cellStyle name="Comma 4 2 2 2 2 25" xfId="30774" xr:uid="{00000000-0005-0000-0000-0000C7250000}"/>
    <cellStyle name="Comma 4 2 2 2 2 3" xfId="9835" xr:uid="{00000000-0005-0000-0000-0000C8250000}"/>
    <cellStyle name="Comma 4 2 2 2 2 3 10" xfId="27247" xr:uid="{00000000-0005-0000-0000-0000C9250000}"/>
    <cellStyle name="Comma 4 2 2 2 2 3 11" xfId="27751" xr:uid="{00000000-0005-0000-0000-0000CA250000}"/>
    <cellStyle name="Comma 4 2 2 2 2 3 12" xfId="28255" xr:uid="{00000000-0005-0000-0000-0000CB250000}"/>
    <cellStyle name="Comma 4 2 2 2 2 3 13" xfId="28759" xr:uid="{00000000-0005-0000-0000-0000CC250000}"/>
    <cellStyle name="Comma 4 2 2 2 2 3 14" xfId="29263" xr:uid="{00000000-0005-0000-0000-0000CD250000}"/>
    <cellStyle name="Comma 4 2 2 2 2 3 15" xfId="29767" xr:uid="{00000000-0005-0000-0000-0000CE250000}"/>
    <cellStyle name="Comma 4 2 2 2 2 3 16" xfId="30271" xr:uid="{00000000-0005-0000-0000-0000CF250000}"/>
    <cellStyle name="Comma 4 2 2 2 2 3 17" xfId="30776" xr:uid="{00000000-0005-0000-0000-0000D0250000}"/>
    <cellStyle name="Comma 4 2 2 2 2 3 2" xfId="9836" xr:uid="{00000000-0005-0000-0000-0000D1250000}"/>
    <cellStyle name="Comma 4 2 2 2 2 3 2 2" xfId="18363" xr:uid="{00000000-0005-0000-0000-0000D2250000}"/>
    <cellStyle name="Comma 4 2 2 2 2 3 3" xfId="18362" xr:uid="{00000000-0005-0000-0000-0000D3250000}"/>
    <cellStyle name="Comma 4 2 2 2 2 3 4" xfId="23582" xr:uid="{00000000-0005-0000-0000-0000D4250000}"/>
    <cellStyle name="Comma 4 2 2 2 2 3 5" xfId="24727" xr:uid="{00000000-0005-0000-0000-0000D5250000}"/>
    <cellStyle name="Comma 4 2 2 2 2 3 6" xfId="25231" xr:uid="{00000000-0005-0000-0000-0000D6250000}"/>
    <cellStyle name="Comma 4 2 2 2 2 3 7" xfId="25735" xr:uid="{00000000-0005-0000-0000-0000D7250000}"/>
    <cellStyle name="Comma 4 2 2 2 2 3 8" xfId="26239" xr:uid="{00000000-0005-0000-0000-0000D8250000}"/>
    <cellStyle name="Comma 4 2 2 2 2 3 9" xfId="26743" xr:uid="{00000000-0005-0000-0000-0000D9250000}"/>
    <cellStyle name="Comma 4 2 2 2 2 4" xfId="9837" xr:uid="{00000000-0005-0000-0000-0000DA250000}"/>
    <cellStyle name="Comma 4 2 2 2 2 4 2" xfId="9838" xr:uid="{00000000-0005-0000-0000-0000DB250000}"/>
    <cellStyle name="Comma 4 2 2 2 2 4 2 2" xfId="18364" xr:uid="{00000000-0005-0000-0000-0000DC250000}"/>
    <cellStyle name="Comma 4 2 2 2 2 5" xfId="9839" xr:uid="{00000000-0005-0000-0000-0000DD250000}"/>
    <cellStyle name="Comma 4 2 2 2 2 5 2" xfId="9840" xr:uid="{00000000-0005-0000-0000-0000DE250000}"/>
    <cellStyle name="Comma 4 2 2 2 2 5 2 2" xfId="18365" xr:uid="{00000000-0005-0000-0000-0000DF250000}"/>
    <cellStyle name="Comma 4 2 2 2 2 6" xfId="9841" xr:uid="{00000000-0005-0000-0000-0000E0250000}"/>
    <cellStyle name="Comma 4 2 2 2 2 6 2" xfId="9842" xr:uid="{00000000-0005-0000-0000-0000E1250000}"/>
    <cellStyle name="Comma 4 2 2 2 2 6 2 2" xfId="18366" xr:uid="{00000000-0005-0000-0000-0000E2250000}"/>
    <cellStyle name="Comma 4 2 2 2 2 7" xfId="9843" xr:uid="{00000000-0005-0000-0000-0000E3250000}"/>
    <cellStyle name="Comma 4 2 2 2 2 7 2" xfId="9844" xr:uid="{00000000-0005-0000-0000-0000E4250000}"/>
    <cellStyle name="Comma 4 2 2 2 2 7 2 2" xfId="18367" xr:uid="{00000000-0005-0000-0000-0000E5250000}"/>
    <cellStyle name="Comma 4 2 2 2 2 8" xfId="9845" xr:uid="{00000000-0005-0000-0000-0000E6250000}"/>
    <cellStyle name="Comma 4 2 2 2 2 8 2" xfId="9846" xr:uid="{00000000-0005-0000-0000-0000E7250000}"/>
    <cellStyle name="Comma 4 2 2 2 2 8 2 2" xfId="18368" xr:uid="{00000000-0005-0000-0000-0000E8250000}"/>
    <cellStyle name="Comma 4 2 2 2 2 9" xfId="9847" xr:uid="{00000000-0005-0000-0000-0000E9250000}"/>
    <cellStyle name="Comma 4 2 2 2 2 9 2" xfId="18369" xr:uid="{00000000-0005-0000-0000-0000EA250000}"/>
    <cellStyle name="Comma 4 2 2 2 20" xfId="25732" xr:uid="{00000000-0005-0000-0000-0000EB250000}"/>
    <cellStyle name="Comma 4 2 2 2 21" xfId="26236" xr:uid="{00000000-0005-0000-0000-0000EC250000}"/>
    <cellStyle name="Comma 4 2 2 2 22" xfId="26740" xr:uid="{00000000-0005-0000-0000-0000ED250000}"/>
    <cellStyle name="Comma 4 2 2 2 23" xfId="27244" xr:uid="{00000000-0005-0000-0000-0000EE250000}"/>
    <cellStyle name="Comma 4 2 2 2 24" xfId="27748" xr:uid="{00000000-0005-0000-0000-0000EF250000}"/>
    <cellStyle name="Comma 4 2 2 2 25" xfId="28252" xr:uid="{00000000-0005-0000-0000-0000F0250000}"/>
    <cellStyle name="Comma 4 2 2 2 26" xfId="28756" xr:uid="{00000000-0005-0000-0000-0000F1250000}"/>
    <cellStyle name="Comma 4 2 2 2 27" xfId="29260" xr:uid="{00000000-0005-0000-0000-0000F2250000}"/>
    <cellStyle name="Comma 4 2 2 2 28" xfId="29764" xr:uid="{00000000-0005-0000-0000-0000F3250000}"/>
    <cellStyle name="Comma 4 2 2 2 29" xfId="30268" xr:uid="{00000000-0005-0000-0000-0000F4250000}"/>
    <cellStyle name="Comma 4 2 2 2 3" xfId="6859" xr:uid="{00000000-0005-0000-0000-0000F5250000}"/>
    <cellStyle name="Comma 4 2 2 2 3 10" xfId="27248" xr:uid="{00000000-0005-0000-0000-0000F6250000}"/>
    <cellStyle name="Comma 4 2 2 2 3 11" xfId="27752" xr:uid="{00000000-0005-0000-0000-0000F7250000}"/>
    <cellStyle name="Comma 4 2 2 2 3 12" xfId="28256" xr:uid="{00000000-0005-0000-0000-0000F8250000}"/>
    <cellStyle name="Comma 4 2 2 2 3 13" xfId="28760" xr:uid="{00000000-0005-0000-0000-0000F9250000}"/>
    <cellStyle name="Comma 4 2 2 2 3 14" xfId="29264" xr:uid="{00000000-0005-0000-0000-0000FA250000}"/>
    <cellStyle name="Comma 4 2 2 2 3 15" xfId="29768" xr:uid="{00000000-0005-0000-0000-0000FB250000}"/>
    <cellStyle name="Comma 4 2 2 2 3 16" xfId="30272" xr:uid="{00000000-0005-0000-0000-0000FC250000}"/>
    <cellStyle name="Comma 4 2 2 2 3 17" xfId="30777" xr:uid="{00000000-0005-0000-0000-0000FD250000}"/>
    <cellStyle name="Comma 4 2 2 2 3 2" xfId="9848" xr:uid="{00000000-0005-0000-0000-0000FE250000}"/>
    <cellStyle name="Comma 4 2 2 2 3 2 2" xfId="18370" xr:uid="{00000000-0005-0000-0000-0000FF250000}"/>
    <cellStyle name="Comma 4 2 2 2 3 3" xfId="7301" xr:uid="{00000000-0005-0000-0000-000000260000}"/>
    <cellStyle name="Comma 4 2 2 2 3 4" xfId="23583" xr:uid="{00000000-0005-0000-0000-000001260000}"/>
    <cellStyle name="Comma 4 2 2 2 3 5" xfId="24728" xr:uid="{00000000-0005-0000-0000-000002260000}"/>
    <cellStyle name="Comma 4 2 2 2 3 6" xfId="25232" xr:uid="{00000000-0005-0000-0000-000003260000}"/>
    <cellStyle name="Comma 4 2 2 2 3 7" xfId="25736" xr:uid="{00000000-0005-0000-0000-000004260000}"/>
    <cellStyle name="Comma 4 2 2 2 3 8" xfId="26240" xr:uid="{00000000-0005-0000-0000-000005260000}"/>
    <cellStyle name="Comma 4 2 2 2 3 9" xfId="26744" xr:uid="{00000000-0005-0000-0000-000006260000}"/>
    <cellStyle name="Comma 4 2 2 2 30" xfId="30773" xr:uid="{00000000-0005-0000-0000-000007260000}"/>
    <cellStyle name="Comma 4 2 2 2 4" xfId="9849" xr:uid="{00000000-0005-0000-0000-000008260000}"/>
    <cellStyle name="Comma 4 2 2 2 4 10" xfId="27753" xr:uid="{00000000-0005-0000-0000-000009260000}"/>
    <cellStyle name="Comma 4 2 2 2 4 11" xfId="28257" xr:uid="{00000000-0005-0000-0000-00000A260000}"/>
    <cellStyle name="Comma 4 2 2 2 4 12" xfId="28761" xr:uid="{00000000-0005-0000-0000-00000B260000}"/>
    <cellStyle name="Comma 4 2 2 2 4 13" xfId="29265" xr:uid="{00000000-0005-0000-0000-00000C260000}"/>
    <cellStyle name="Comma 4 2 2 2 4 14" xfId="29769" xr:uid="{00000000-0005-0000-0000-00000D260000}"/>
    <cellStyle name="Comma 4 2 2 2 4 15" xfId="30273" xr:uid="{00000000-0005-0000-0000-00000E260000}"/>
    <cellStyle name="Comma 4 2 2 2 4 16" xfId="30778" xr:uid="{00000000-0005-0000-0000-00000F260000}"/>
    <cellStyle name="Comma 4 2 2 2 4 2" xfId="9850" xr:uid="{00000000-0005-0000-0000-000010260000}"/>
    <cellStyle name="Comma 4 2 2 2 4 2 2" xfId="18371" xr:uid="{00000000-0005-0000-0000-000011260000}"/>
    <cellStyle name="Comma 4 2 2 2 4 3" xfId="23584" xr:uid="{00000000-0005-0000-0000-000012260000}"/>
    <cellStyle name="Comma 4 2 2 2 4 4" xfId="24729" xr:uid="{00000000-0005-0000-0000-000013260000}"/>
    <cellStyle name="Comma 4 2 2 2 4 5" xfId="25233" xr:uid="{00000000-0005-0000-0000-000014260000}"/>
    <cellStyle name="Comma 4 2 2 2 4 6" xfId="25737" xr:uid="{00000000-0005-0000-0000-000015260000}"/>
    <cellStyle name="Comma 4 2 2 2 4 7" xfId="26241" xr:uid="{00000000-0005-0000-0000-000016260000}"/>
    <cellStyle name="Comma 4 2 2 2 4 8" xfId="26745" xr:uid="{00000000-0005-0000-0000-000017260000}"/>
    <cellStyle name="Comma 4 2 2 2 4 9" xfId="27249" xr:uid="{00000000-0005-0000-0000-000018260000}"/>
    <cellStyle name="Comma 4 2 2 2 5" xfId="9851" xr:uid="{00000000-0005-0000-0000-000019260000}"/>
    <cellStyle name="Comma 4 2 2 2 5 2" xfId="9852" xr:uid="{00000000-0005-0000-0000-00001A260000}"/>
    <cellStyle name="Comma 4 2 2 2 5 2 2" xfId="18372" xr:uid="{00000000-0005-0000-0000-00001B260000}"/>
    <cellStyle name="Comma 4 2 2 2 6" xfId="9853" xr:uid="{00000000-0005-0000-0000-00001C260000}"/>
    <cellStyle name="Comma 4 2 2 2 6 2" xfId="9854" xr:uid="{00000000-0005-0000-0000-00001D260000}"/>
    <cellStyle name="Comma 4 2 2 2 6 2 2" xfId="18373" xr:uid="{00000000-0005-0000-0000-00001E260000}"/>
    <cellStyle name="Comma 4 2 2 2 7" xfId="9855" xr:uid="{00000000-0005-0000-0000-00001F260000}"/>
    <cellStyle name="Comma 4 2 2 2 7 2" xfId="9856" xr:uid="{00000000-0005-0000-0000-000020260000}"/>
    <cellStyle name="Comma 4 2 2 2 7 2 2" xfId="18374" xr:uid="{00000000-0005-0000-0000-000021260000}"/>
    <cellStyle name="Comma 4 2 2 2 8" xfId="9857" xr:uid="{00000000-0005-0000-0000-000022260000}"/>
    <cellStyle name="Comma 4 2 2 2 8 2" xfId="9858" xr:uid="{00000000-0005-0000-0000-000023260000}"/>
    <cellStyle name="Comma 4 2 2 2 8 2 2" xfId="18375" xr:uid="{00000000-0005-0000-0000-000024260000}"/>
    <cellStyle name="Comma 4 2 2 2 9" xfId="9859" xr:uid="{00000000-0005-0000-0000-000025260000}"/>
    <cellStyle name="Comma 4 2 2 2 9 2" xfId="9860" xr:uid="{00000000-0005-0000-0000-000026260000}"/>
    <cellStyle name="Comma 4 2 2 2 9 2 2" xfId="18376" xr:uid="{00000000-0005-0000-0000-000027260000}"/>
    <cellStyle name="Comma 4 2 2 20" xfId="7151" xr:uid="{00000000-0005-0000-0000-000028260000}"/>
    <cellStyle name="Comma 4 2 2 21" xfId="22957" xr:uid="{00000000-0005-0000-0000-000029260000}"/>
    <cellStyle name="Comma 4 2 2 22" xfId="23578" xr:uid="{00000000-0005-0000-0000-00002A260000}"/>
    <cellStyle name="Comma 4 2 2 23" xfId="24723" xr:uid="{00000000-0005-0000-0000-00002B260000}"/>
    <cellStyle name="Comma 4 2 2 24" xfId="25227" xr:uid="{00000000-0005-0000-0000-00002C260000}"/>
    <cellStyle name="Comma 4 2 2 25" xfId="25731" xr:uid="{00000000-0005-0000-0000-00002D260000}"/>
    <cellStyle name="Comma 4 2 2 26" xfId="26235" xr:uid="{00000000-0005-0000-0000-00002E260000}"/>
    <cellStyle name="Comma 4 2 2 27" xfId="26739" xr:uid="{00000000-0005-0000-0000-00002F260000}"/>
    <cellStyle name="Comma 4 2 2 28" xfId="27243" xr:uid="{00000000-0005-0000-0000-000030260000}"/>
    <cellStyle name="Comma 4 2 2 29" xfId="27747" xr:uid="{00000000-0005-0000-0000-000031260000}"/>
    <cellStyle name="Comma 4 2 2 3" xfId="2025" xr:uid="{00000000-0005-0000-0000-000032260000}"/>
    <cellStyle name="Comma 4 2 2 3 10" xfId="9861" xr:uid="{00000000-0005-0000-0000-000033260000}"/>
    <cellStyle name="Comma 4 2 2 3 10 2" xfId="9862" xr:uid="{00000000-0005-0000-0000-000034260000}"/>
    <cellStyle name="Comma 4 2 2 3 10 2 2" xfId="9863" xr:uid="{00000000-0005-0000-0000-000035260000}"/>
    <cellStyle name="Comma 4 2 2 3 10 2 2 2" xfId="18377" xr:uid="{00000000-0005-0000-0000-000036260000}"/>
    <cellStyle name="Comma 4 2 2 3 10 3" xfId="9864" xr:uid="{00000000-0005-0000-0000-000037260000}"/>
    <cellStyle name="Comma 4 2 2 3 10 3 2" xfId="18378" xr:uid="{00000000-0005-0000-0000-000038260000}"/>
    <cellStyle name="Comma 4 2 2 3 11" xfId="9865" xr:uid="{00000000-0005-0000-0000-000039260000}"/>
    <cellStyle name="Comma 4 2 2 3 11 2" xfId="9866" xr:uid="{00000000-0005-0000-0000-00003A260000}"/>
    <cellStyle name="Comma 4 2 2 3 11 2 2" xfId="9867" xr:uid="{00000000-0005-0000-0000-00003B260000}"/>
    <cellStyle name="Comma 4 2 2 3 11 2 2 2" xfId="18379" xr:uid="{00000000-0005-0000-0000-00003C260000}"/>
    <cellStyle name="Comma 4 2 2 3 11 3" xfId="9868" xr:uid="{00000000-0005-0000-0000-00003D260000}"/>
    <cellStyle name="Comma 4 2 2 3 11 3 2" xfId="18380" xr:uid="{00000000-0005-0000-0000-00003E260000}"/>
    <cellStyle name="Comma 4 2 2 3 12" xfId="9869" xr:uid="{00000000-0005-0000-0000-00003F260000}"/>
    <cellStyle name="Comma 4 2 2 3 12 2" xfId="9870" xr:uid="{00000000-0005-0000-0000-000040260000}"/>
    <cellStyle name="Comma 4 2 2 3 12 2 2" xfId="9871" xr:uid="{00000000-0005-0000-0000-000041260000}"/>
    <cellStyle name="Comma 4 2 2 3 12 2 2 2" xfId="18381" xr:uid="{00000000-0005-0000-0000-000042260000}"/>
    <cellStyle name="Comma 4 2 2 3 12 3" xfId="9872" xr:uid="{00000000-0005-0000-0000-000043260000}"/>
    <cellStyle name="Comma 4 2 2 3 12 3 2" xfId="18382" xr:uid="{00000000-0005-0000-0000-000044260000}"/>
    <cellStyle name="Comma 4 2 2 3 13" xfId="9873" xr:uid="{00000000-0005-0000-0000-000045260000}"/>
    <cellStyle name="Comma 4 2 2 3 13 2" xfId="9874" xr:uid="{00000000-0005-0000-0000-000046260000}"/>
    <cellStyle name="Comma 4 2 2 3 13 2 2" xfId="9875" xr:uid="{00000000-0005-0000-0000-000047260000}"/>
    <cellStyle name="Comma 4 2 2 3 13 2 2 2" xfId="9876" xr:uid="{00000000-0005-0000-0000-000048260000}"/>
    <cellStyle name="Comma 4 2 2 3 13 2 2 2 2" xfId="18383" xr:uid="{00000000-0005-0000-0000-000049260000}"/>
    <cellStyle name="Comma 4 2 2 3 13 2 3" xfId="9877" xr:uid="{00000000-0005-0000-0000-00004A260000}"/>
    <cellStyle name="Comma 4 2 2 3 13 2 3 2" xfId="9878" xr:uid="{00000000-0005-0000-0000-00004B260000}"/>
    <cellStyle name="Comma 4 2 2 3 13 2 3 2 2" xfId="18384" xr:uid="{00000000-0005-0000-0000-00004C260000}"/>
    <cellStyle name="Comma 4 2 2 3 13 2 4" xfId="9879" xr:uid="{00000000-0005-0000-0000-00004D260000}"/>
    <cellStyle name="Comma 4 2 2 3 13 2 4 2" xfId="9880" xr:uid="{00000000-0005-0000-0000-00004E260000}"/>
    <cellStyle name="Comma 4 2 2 3 13 2 4 2 2" xfId="18385" xr:uid="{00000000-0005-0000-0000-00004F260000}"/>
    <cellStyle name="Comma 4 2 2 3 13 2 5" xfId="9881" xr:uid="{00000000-0005-0000-0000-000050260000}"/>
    <cellStyle name="Comma 4 2 2 3 13 2 5 2" xfId="9882" xr:uid="{00000000-0005-0000-0000-000051260000}"/>
    <cellStyle name="Comma 4 2 2 3 13 2 5 2 2" xfId="18386" xr:uid="{00000000-0005-0000-0000-000052260000}"/>
    <cellStyle name="Comma 4 2 2 3 13 2 6" xfId="9883" xr:uid="{00000000-0005-0000-0000-000053260000}"/>
    <cellStyle name="Comma 4 2 2 3 13 2 6 2" xfId="9884" xr:uid="{00000000-0005-0000-0000-000054260000}"/>
    <cellStyle name="Comma 4 2 2 3 13 2 6 2 2" xfId="18387" xr:uid="{00000000-0005-0000-0000-000055260000}"/>
    <cellStyle name="Comma 4 2 2 3 13 2 7" xfId="9885" xr:uid="{00000000-0005-0000-0000-000056260000}"/>
    <cellStyle name="Comma 4 2 2 3 13 2 7 2" xfId="9886" xr:uid="{00000000-0005-0000-0000-000057260000}"/>
    <cellStyle name="Comma 4 2 2 3 13 2 7 2 2" xfId="18388" xr:uid="{00000000-0005-0000-0000-000058260000}"/>
    <cellStyle name="Comma 4 2 2 3 13 2 8" xfId="9887" xr:uid="{00000000-0005-0000-0000-000059260000}"/>
    <cellStyle name="Comma 4 2 2 3 13 2 8 2" xfId="18389" xr:uid="{00000000-0005-0000-0000-00005A260000}"/>
    <cellStyle name="Comma 4 2 2 3 13 3" xfId="9888" xr:uid="{00000000-0005-0000-0000-00005B260000}"/>
    <cellStyle name="Comma 4 2 2 3 13 3 2" xfId="9889" xr:uid="{00000000-0005-0000-0000-00005C260000}"/>
    <cellStyle name="Comma 4 2 2 3 13 3 2 2" xfId="18390" xr:uid="{00000000-0005-0000-0000-00005D260000}"/>
    <cellStyle name="Comma 4 2 2 3 13 4" xfId="9890" xr:uid="{00000000-0005-0000-0000-00005E260000}"/>
    <cellStyle name="Comma 4 2 2 3 13 4 2" xfId="9891" xr:uid="{00000000-0005-0000-0000-00005F260000}"/>
    <cellStyle name="Comma 4 2 2 3 13 4 2 2" xfId="18391" xr:uid="{00000000-0005-0000-0000-000060260000}"/>
    <cellStyle name="Comma 4 2 2 3 13 5" xfId="9892" xr:uid="{00000000-0005-0000-0000-000061260000}"/>
    <cellStyle name="Comma 4 2 2 3 13 5 2" xfId="9893" xr:uid="{00000000-0005-0000-0000-000062260000}"/>
    <cellStyle name="Comma 4 2 2 3 13 5 2 2" xfId="18392" xr:uid="{00000000-0005-0000-0000-000063260000}"/>
    <cellStyle name="Comma 4 2 2 3 13 6" xfId="9894" xr:uid="{00000000-0005-0000-0000-000064260000}"/>
    <cellStyle name="Comma 4 2 2 3 13 6 2" xfId="9895" xr:uid="{00000000-0005-0000-0000-000065260000}"/>
    <cellStyle name="Comma 4 2 2 3 13 6 2 2" xfId="18393" xr:uid="{00000000-0005-0000-0000-000066260000}"/>
    <cellStyle name="Comma 4 2 2 3 13 7" xfId="9896" xr:uid="{00000000-0005-0000-0000-000067260000}"/>
    <cellStyle name="Comma 4 2 2 3 13 7 2" xfId="9897" xr:uid="{00000000-0005-0000-0000-000068260000}"/>
    <cellStyle name="Comma 4 2 2 3 13 7 2 2" xfId="18394" xr:uid="{00000000-0005-0000-0000-000069260000}"/>
    <cellStyle name="Comma 4 2 2 3 13 8" xfId="9898" xr:uid="{00000000-0005-0000-0000-00006A260000}"/>
    <cellStyle name="Comma 4 2 2 3 13 8 2" xfId="9899" xr:uid="{00000000-0005-0000-0000-00006B260000}"/>
    <cellStyle name="Comma 4 2 2 3 13 8 2 2" xfId="18395" xr:uid="{00000000-0005-0000-0000-00006C260000}"/>
    <cellStyle name="Comma 4 2 2 3 13 9" xfId="9900" xr:uid="{00000000-0005-0000-0000-00006D260000}"/>
    <cellStyle name="Comma 4 2 2 3 13 9 2" xfId="18396" xr:uid="{00000000-0005-0000-0000-00006E260000}"/>
    <cellStyle name="Comma 4 2 2 3 14" xfId="9901" xr:uid="{00000000-0005-0000-0000-00006F260000}"/>
    <cellStyle name="Comma 4 2 2 3 14 2" xfId="9902" xr:uid="{00000000-0005-0000-0000-000070260000}"/>
    <cellStyle name="Comma 4 2 2 3 14 2 2" xfId="18397" xr:uid="{00000000-0005-0000-0000-000071260000}"/>
    <cellStyle name="Comma 4 2 2 3 15" xfId="9903" xr:uid="{00000000-0005-0000-0000-000072260000}"/>
    <cellStyle name="Comma 4 2 2 3 15 2" xfId="9904" xr:uid="{00000000-0005-0000-0000-000073260000}"/>
    <cellStyle name="Comma 4 2 2 3 15 2 2" xfId="18398" xr:uid="{00000000-0005-0000-0000-000074260000}"/>
    <cellStyle name="Comma 4 2 2 3 16" xfId="7154" xr:uid="{00000000-0005-0000-0000-000075260000}"/>
    <cellStyle name="Comma 4 2 2 3 17" xfId="23585" xr:uid="{00000000-0005-0000-0000-000076260000}"/>
    <cellStyle name="Comma 4 2 2 3 18" xfId="24730" xr:uid="{00000000-0005-0000-0000-000077260000}"/>
    <cellStyle name="Comma 4 2 2 3 19" xfId="25234" xr:uid="{00000000-0005-0000-0000-000078260000}"/>
    <cellStyle name="Comma 4 2 2 3 2" xfId="7302" xr:uid="{00000000-0005-0000-0000-000079260000}"/>
    <cellStyle name="Comma 4 2 2 3 2 2" xfId="9905" xr:uid="{00000000-0005-0000-0000-00007A260000}"/>
    <cellStyle name="Comma 4 2 2 3 2 2 2" xfId="9906" xr:uid="{00000000-0005-0000-0000-00007B260000}"/>
    <cellStyle name="Comma 4 2 2 3 2 2 2 2" xfId="18401" xr:uid="{00000000-0005-0000-0000-00007C260000}"/>
    <cellStyle name="Comma 4 2 2 3 2 2 3" xfId="18400" xr:uid="{00000000-0005-0000-0000-00007D260000}"/>
    <cellStyle name="Comma 4 2 2 3 2 3" xfId="9907" xr:uid="{00000000-0005-0000-0000-00007E260000}"/>
    <cellStyle name="Comma 4 2 2 3 2 3 2" xfId="18402" xr:uid="{00000000-0005-0000-0000-00007F260000}"/>
    <cellStyle name="Comma 4 2 2 3 2 4" xfId="18399" xr:uid="{00000000-0005-0000-0000-000080260000}"/>
    <cellStyle name="Comma 4 2 2 3 20" xfId="25738" xr:uid="{00000000-0005-0000-0000-000081260000}"/>
    <cellStyle name="Comma 4 2 2 3 21" xfId="26242" xr:uid="{00000000-0005-0000-0000-000082260000}"/>
    <cellStyle name="Comma 4 2 2 3 22" xfId="26746" xr:uid="{00000000-0005-0000-0000-000083260000}"/>
    <cellStyle name="Comma 4 2 2 3 23" xfId="27250" xr:uid="{00000000-0005-0000-0000-000084260000}"/>
    <cellStyle name="Comma 4 2 2 3 24" xfId="27754" xr:uid="{00000000-0005-0000-0000-000085260000}"/>
    <cellStyle name="Comma 4 2 2 3 25" xfId="28258" xr:uid="{00000000-0005-0000-0000-000086260000}"/>
    <cellStyle name="Comma 4 2 2 3 26" xfId="28762" xr:uid="{00000000-0005-0000-0000-000087260000}"/>
    <cellStyle name="Comma 4 2 2 3 27" xfId="29266" xr:uid="{00000000-0005-0000-0000-000088260000}"/>
    <cellStyle name="Comma 4 2 2 3 28" xfId="29770" xr:uid="{00000000-0005-0000-0000-000089260000}"/>
    <cellStyle name="Comma 4 2 2 3 29" xfId="30274" xr:uid="{00000000-0005-0000-0000-00008A260000}"/>
    <cellStyle name="Comma 4 2 2 3 3" xfId="9908" xr:uid="{00000000-0005-0000-0000-00008B260000}"/>
    <cellStyle name="Comma 4 2 2 3 3 2" xfId="9909" xr:uid="{00000000-0005-0000-0000-00008C260000}"/>
    <cellStyle name="Comma 4 2 2 3 3 2 2" xfId="9910" xr:uid="{00000000-0005-0000-0000-00008D260000}"/>
    <cellStyle name="Comma 4 2 2 3 3 2 2 2" xfId="18403" xr:uid="{00000000-0005-0000-0000-00008E260000}"/>
    <cellStyle name="Comma 4 2 2 3 3 3" xfId="9911" xr:uid="{00000000-0005-0000-0000-00008F260000}"/>
    <cellStyle name="Comma 4 2 2 3 3 3 2" xfId="18404" xr:uid="{00000000-0005-0000-0000-000090260000}"/>
    <cellStyle name="Comma 4 2 2 3 30" xfId="30779" xr:uid="{00000000-0005-0000-0000-000091260000}"/>
    <cellStyle name="Comma 4 2 2 3 4" xfId="9912" xr:uid="{00000000-0005-0000-0000-000092260000}"/>
    <cellStyle name="Comma 4 2 2 3 4 2" xfId="9913" xr:uid="{00000000-0005-0000-0000-000093260000}"/>
    <cellStyle name="Comma 4 2 2 3 4 2 2" xfId="9914" xr:uid="{00000000-0005-0000-0000-000094260000}"/>
    <cellStyle name="Comma 4 2 2 3 4 2 2 2" xfId="18405" xr:uid="{00000000-0005-0000-0000-000095260000}"/>
    <cellStyle name="Comma 4 2 2 3 4 3" xfId="9915" xr:uid="{00000000-0005-0000-0000-000096260000}"/>
    <cellStyle name="Comma 4 2 2 3 4 3 2" xfId="18406" xr:uid="{00000000-0005-0000-0000-000097260000}"/>
    <cellStyle name="Comma 4 2 2 3 5" xfId="9916" xr:uid="{00000000-0005-0000-0000-000098260000}"/>
    <cellStyle name="Comma 4 2 2 3 5 2" xfId="9917" xr:uid="{00000000-0005-0000-0000-000099260000}"/>
    <cellStyle name="Comma 4 2 2 3 5 2 2" xfId="9918" xr:uid="{00000000-0005-0000-0000-00009A260000}"/>
    <cellStyle name="Comma 4 2 2 3 5 2 2 2" xfId="18407" xr:uid="{00000000-0005-0000-0000-00009B260000}"/>
    <cellStyle name="Comma 4 2 2 3 5 3" xfId="9919" xr:uid="{00000000-0005-0000-0000-00009C260000}"/>
    <cellStyle name="Comma 4 2 2 3 5 3 2" xfId="18408" xr:uid="{00000000-0005-0000-0000-00009D260000}"/>
    <cellStyle name="Comma 4 2 2 3 6" xfId="9920" xr:uid="{00000000-0005-0000-0000-00009E260000}"/>
    <cellStyle name="Comma 4 2 2 3 6 2" xfId="9921" xr:uid="{00000000-0005-0000-0000-00009F260000}"/>
    <cellStyle name="Comma 4 2 2 3 6 2 2" xfId="9922" xr:uid="{00000000-0005-0000-0000-0000A0260000}"/>
    <cellStyle name="Comma 4 2 2 3 6 2 2 2" xfId="18409" xr:uid="{00000000-0005-0000-0000-0000A1260000}"/>
    <cellStyle name="Comma 4 2 2 3 6 3" xfId="9923" xr:uid="{00000000-0005-0000-0000-0000A2260000}"/>
    <cellStyle name="Comma 4 2 2 3 6 3 2" xfId="18410" xr:uid="{00000000-0005-0000-0000-0000A3260000}"/>
    <cellStyle name="Comma 4 2 2 3 7" xfId="9924" xr:uid="{00000000-0005-0000-0000-0000A4260000}"/>
    <cellStyle name="Comma 4 2 2 3 7 2" xfId="9925" xr:uid="{00000000-0005-0000-0000-0000A5260000}"/>
    <cellStyle name="Comma 4 2 2 3 7 2 2" xfId="9926" xr:uid="{00000000-0005-0000-0000-0000A6260000}"/>
    <cellStyle name="Comma 4 2 2 3 7 2 2 2" xfId="18411" xr:uid="{00000000-0005-0000-0000-0000A7260000}"/>
    <cellStyle name="Comma 4 2 2 3 7 3" xfId="9927" xr:uid="{00000000-0005-0000-0000-0000A8260000}"/>
    <cellStyle name="Comma 4 2 2 3 7 3 2" xfId="18412" xr:uid="{00000000-0005-0000-0000-0000A9260000}"/>
    <cellStyle name="Comma 4 2 2 3 8" xfId="9928" xr:uid="{00000000-0005-0000-0000-0000AA260000}"/>
    <cellStyle name="Comma 4 2 2 3 8 2" xfId="9929" xr:uid="{00000000-0005-0000-0000-0000AB260000}"/>
    <cellStyle name="Comma 4 2 2 3 8 2 2" xfId="9930" xr:uid="{00000000-0005-0000-0000-0000AC260000}"/>
    <cellStyle name="Comma 4 2 2 3 8 2 2 2" xfId="18413" xr:uid="{00000000-0005-0000-0000-0000AD260000}"/>
    <cellStyle name="Comma 4 2 2 3 8 3" xfId="9931" xr:uid="{00000000-0005-0000-0000-0000AE260000}"/>
    <cellStyle name="Comma 4 2 2 3 8 3 2" xfId="18414" xr:uid="{00000000-0005-0000-0000-0000AF260000}"/>
    <cellStyle name="Comma 4 2 2 3 9" xfId="9932" xr:uid="{00000000-0005-0000-0000-0000B0260000}"/>
    <cellStyle name="Comma 4 2 2 3 9 2" xfId="9933" xr:uid="{00000000-0005-0000-0000-0000B1260000}"/>
    <cellStyle name="Comma 4 2 2 3 9 2 2" xfId="9934" xr:uid="{00000000-0005-0000-0000-0000B2260000}"/>
    <cellStyle name="Comma 4 2 2 3 9 2 2 2" xfId="18415" xr:uid="{00000000-0005-0000-0000-0000B3260000}"/>
    <cellStyle name="Comma 4 2 2 3 9 3" xfId="9935" xr:uid="{00000000-0005-0000-0000-0000B4260000}"/>
    <cellStyle name="Comma 4 2 2 3 9 3 2" xfId="18416" xr:uid="{00000000-0005-0000-0000-0000B5260000}"/>
    <cellStyle name="Comma 4 2 2 30" xfId="28251" xr:uid="{00000000-0005-0000-0000-0000B6260000}"/>
    <cellStyle name="Comma 4 2 2 31" xfId="28755" xr:uid="{00000000-0005-0000-0000-0000B7260000}"/>
    <cellStyle name="Comma 4 2 2 32" xfId="29259" xr:uid="{00000000-0005-0000-0000-0000B8260000}"/>
    <cellStyle name="Comma 4 2 2 33" xfId="29763" xr:uid="{00000000-0005-0000-0000-0000B9260000}"/>
    <cellStyle name="Comma 4 2 2 34" xfId="30267" xr:uid="{00000000-0005-0000-0000-0000BA260000}"/>
    <cellStyle name="Comma 4 2 2 35" xfId="30772" xr:uid="{00000000-0005-0000-0000-0000BB260000}"/>
    <cellStyle name="Comma 4 2 2 4" xfId="2026" xr:uid="{00000000-0005-0000-0000-0000BC260000}"/>
    <cellStyle name="Comma 4 2 2 4 10" xfId="26747" xr:uid="{00000000-0005-0000-0000-0000BD260000}"/>
    <cellStyle name="Comma 4 2 2 4 11" xfId="27251" xr:uid="{00000000-0005-0000-0000-0000BE260000}"/>
    <cellStyle name="Comma 4 2 2 4 12" xfId="27755" xr:uid="{00000000-0005-0000-0000-0000BF260000}"/>
    <cellStyle name="Comma 4 2 2 4 13" xfId="28259" xr:uid="{00000000-0005-0000-0000-0000C0260000}"/>
    <cellStyle name="Comma 4 2 2 4 14" xfId="28763" xr:uid="{00000000-0005-0000-0000-0000C1260000}"/>
    <cellStyle name="Comma 4 2 2 4 15" xfId="29267" xr:uid="{00000000-0005-0000-0000-0000C2260000}"/>
    <cellStyle name="Comma 4 2 2 4 16" xfId="29771" xr:uid="{00000000-0005-0000-0000-0000C3260000}"/>
    <cellStyle name="Comma 4 2 2 4 17" xfId="30275" xr:uid="{00000000-0005-0000-0000-0000C4260000}"/>
    <cellStyle name="Comma 4 2 2 4 18" xfId="30780" xr:uid="{00000000-0005-0000-0000-0000C5260000}"/>
    <cellStyle name="Comma 4 2 2 4 2" xfId="9936" xr:uid="{00000000-0005-0000-0000-0000C6260000}"/>
    <cellStyle name="Comma 4 2 2 4 2 2" xfId="9937" xr:uid="{00000000-0005-0000-0000-0000C7260000}"/>
    <cellStyle name="Comma 4 2 2 4 2 2 2" xfId="18417" xr:uid="{00000000-0005-0000-0000-0000C8260000}"/>
    <cellStyle name="Comma 4 2 2 4 3" xfId="9938" xr:uid="{00000000-0005-0000-0000-0000C9260000}"/>
    <cellStyle name="Comma 4 2 2 4 3 2" xfId="9939" xr:uid="{00000000-0005-0000-0000-0000CA260000}"/>
    <cellStyle name="Comma 4 2 2 4 3 2 2" xfId="18418" xr:uid="{00000000-0005-0000-0000-0000CB260000}"/>
    <cellStyle name="Comma 4 2 2 4 4" xfId="7155" xr:uid="{00000000-0005-0000-0000-0000CC260000}"/>
    <cellStyle name="Comma 4 2 2 4 5" xfId="23586" xr:uid="{00000000-0005-0000-0000-0000CD260000}"/>
    <cellStyle name="Comma 4 2 2 4 6" xfId="24731" xr:uid="{00000000-0005-0000-0000-0000CE260000}"/>
    <cellStyle name="Comma 4 2 2 4 7" xfId="25235" xr:uid="{00000000-0005-0000-0000-0000CF260000}"/>
    <cellStyle name="Comma 4 2 2 4 8" xfId="25739" xr:uid="{00000000-0005-0000-0000-0000D0260000}"/>
    <cellStyle name="Comma 4 2 2 4 9" xfId="26243" xr:uid="{00000000-0005-0000-0000-0000D1260000}"/>
    <cellStyle name="Comma 4 2 2 5" xfId="2027" xr:uid="{00000000-0005-0000-0000-0000D2260000}"/>
    <cellStyle name="Comma 4 2 2 5 10" xfId="26748" xr:uid="{00000000-0005-0000-0000-0000D3260000}"/>
    <cellStyle name="Comma 4 2 2 5 11" xfId="27252" xr:uid="{00000000-0005-0000-0000-0000D4260000}"/>
    <cellStyle name="Comma 4 2 2 5 12" xfId="27756" xr:uid="{00000000-0005-0000-0000-0000D5260000}"/>
    <cellStyle name="Comma 4 2 2 5 13" xfId="28260" xr:uid="{00000000-0005-0000-0000-0000D6260000}"/>
    <cellStyle name="Comma 4 2 2 5 14" xfId="28764" xr:uid="{00000000-0005-0000-0000-0000D7260000}"/>
    <cellStyle name="Comma 4 2 2 5 15" xfId="29268" xr:uid="{00000000-0005-0000-0000-0000D8260000}"/>
    <cellStyle name="Comma 4 2 2 5 16" xfId="29772" xr:uid="{00000000-0005-0000-0000-0000D9260000}"/>
    <cellStyle name="Comma 4 2 2 5 17" xfId="30276" xr:uid="{00000000-0005-0000-0000-0000DA260000}"/>
    <cellStyle name="Comma 4 2 2 5 18" xfId="30781" xr:uid="{00000000-0005-0000-0000-0000DB260000}"/>
    <cellStyle name="Comma 4 2 2 5 2" xfId="9940" xr:uid="{00000000-0005-0000-0000-0000DC260000}"/>
    <cellStyle name="Comma 4 2 2 5 2 2" xfId="9941" xr:uid="{00000000-0005-0000-0000-0000DD260000}"/>
    <cellStyle name="Comma 4 2 2 5 2 2 2" xfId="18419" xr:uid="{00000000-0005-0000-0000-0000DE260000}"/>
    <cellStyle name="Comma 4 2 2 5 3" xfId="9942" xr:uid="{00000000-0005-0000-0000-0000DF260000}"/>
    <cellStyle name="Comma 4 2 2 5 3 2" xfId="9943" xr:uid="{00000000-0005-0000-0000-0000E0260000}"/>
    <cellStyle name="Comma 4 2 2 5 3 2 2" xfId="18420" xr:uid="{00000000-0005-0000-0000-0000E1260000}"/>
    <cellStyle name="Comma 4 2 2 5 4" xfId="7156" xr:uid="{00000000-0005-0000-0000-0000E2260000}"/>
    <cellStyle name="Comma 4 2 2 5 5" xfId="23587" xr:uid="{00000000-0005-0000-0000-0000E3260000}"/>
    <cellStyle name="Comma 4 2 2 5 6" xfId="24732" xr:uid="{00000000-0005-0000-0000-0000E4260000}"/>
    <cellStyle name="Comma 4 2 2 5 7" xfId="25236" xr:uid="{00000000-0005-0000-0000-0000E5260000}"/>
    <cellStyle name="Comma 4 2 2 5 8" xfId="25740" xr:uid="{00000000-0005-0000-0000-0000E6260000}"/>
    <cellStyle name="Comma 4 2 2 5 9" xfId="26244" xr:uid="{00000000-0005-0000-0000-0000E7260000}"/>
    <cellStyle name="Comma 4 2 2 6" xfId="7300" xr:uid="{00000000-0005-0000-0000-0000E8260000}"/>
    <cellStyle name="Comma 4 2 2 6 10" xfId="27253" xr:uid="{00000000-0005-0000-0000-0000E9260000}"/>
    <cellStyle name="Comma 4 2 2 6 11" xfId="27757" xr:uid="{00000000-0005-0000-0000-0000EA260000}"/>
    <cellStyle name="Comma 4 2 2 6 12" xfId="28261" xr:uid="{00000000-0005-0000-0000-0000EB260000}"/>
    <cellStyle name="Comma 4 2 2 6 13" xfId="28765" xr:uid="{00000000-0005-0000-0000-0000EC260000}"/>
    <cellStyle name="Comma 4 2 2 6 14" xfId="29269" xr:uid="{00000000-0005-0000-0000-0000ED260000}"/>
    <cellStyle name="Comma 4 2 2 6 15" xfId="29773" xr:uid="{00000000-0005-0000-0000-0000EE260000}"/>
    <cellStyle name="Comma 4 2 2 6 16" xfId="30277" xr:uid="{00000000-0005-0000-0000-0000EF260000}"/>
    <cellStyle name="Comma 4 2 2 6 17" xfId="30782" xr:uid="{00000000-0005-0000-0000-0000F0260000}"/>
    <cellStyle name="Comma 4 2 2 6 2" xfId="9944" xr:uid="{00000000-0005-0000-0000-0000F1260000}"/>
    <cellStyle name="Comma 4 2 2 6 2 2" xfId="9945" xr:uid="{00000000-0005-0000-0000-0000F2260000}"/>
    <cellStyle name="Comma 4 2 2 6 2 2 2" xfId="18421" xr:uid="{00000000-0005-0000-0000-0000F3260000}"/>
    <cellStyle name="Comma 4 2 2 6 3" xfId="9946" xr:uid="{00000000-0005-0000-0000-0000F4260000}"/>
    <cellStyle name="Comma 4 2 2 6 3 2" xfId="18422" xr:uid="{00000000-0005-0000-0000-0000F5260000}"/>
    <cellStyle name="Comma 4 2 2 6 4" xfId="23588" xr:uid="{00000000-0005-0000-0000-0000F6260000}"/>
    <cellStyle name="Comma 4 2 2 6 5" xfId="24733" xr:uid="{00000000-0005-0000-0000-0000F7260000}"/>
    <cellStyle name="Comma 4 2 2 6 6" xfId="25237" xr:uid="{00000000-0005-0000-0000-0000F8260000}"/>
    <cellStyle name="Comma 4 2 2 6 7" xfId="25741" xr:uid="{00000000-0005-0000-0000-0000F9260000}"/>
    <cellStyle name="Comma 4 2 2 6 8" xfId="26245" xr:uid="{00000000-0005-0000-0000-0000FA260000}"/>
    <cellStyle name="Comma 4 2 2 6 9" xfId="26749" xr:uid="{00000000-0005-0000-0000-0000FB260000}"/>
    <cellStyle name="Comma 4 2 2 7" xfId="9947" xr:uid="{00000000-0005-0000-0000-0000FC260000}"/>
    <cellStyle name="Comma 4 2 2 7 2" xfId="9948" xr:uid="{00000000-0005-0000-0000-0000FD260000}"/>
    <cellStyle name="Comma 4 2 2 7 2 2" xfId="9949" xr:uid="{00000000-0005-0000-0000-0000FE260000}"/>
    <cellStyle name="Comma 4 2 2 7 2 2 2" xfId="18423" xr:uid="{00000000-0005-0000-0000-0000FF260000}"/>
    <cellStyle name="Comma 4 2 2 7 3" xfId="9950" xr:uid="{00000000-0005-0000-0000-000000270000}"/>
    <cellStyle name="Comma 4 2 2 7 3 2" xfId="18424" xr:uid="{00000000-0005-0000-0000-000001270000}"/>
    <cellStyle name="Comma 4 2 2 8" xfId="9951" xr:uid="{00000000-0005-0000-0000-000002270000}"/>
    <cellStyle name="Comma 4 2 2 8 2" xfId="9952" xr:uid="{00000000-0005-0000-0000-000003270000}"/>
    <cellStyle name="Comma 4 2 2 8 2 2" xfId="9953" xr:uid="{00000000-0005-0000-0000-000004270000}"/>
    <cellStyle name="Comma 4 2 2 8 2 2 2" xfId="18425" xr:uid="{00000000-0005-0000-0000-000005270000}"/>
    <cellStyle name="Comma 4 2 2 8 3" xfId="9954" xr:uid="{00000000-0005-0000-0000-000006270000}"/>
    <cellStyle name="Comma 4 2 2 8 3 2" xfId="18426" xr:uid="{00000000-0005-0000-0000-000007270000}"/>
    <cellStyle name="Comma 4 2 2 9" xfId="9955" xr:uid="{00000000-0005-0000-0000-000008270000}"/>
    <cellStyle name="Comma 4 2 2 9 2" xfId="9956" xr:uid="{00000000-0005-0000-0000-000009270000}"/>
    <cellStyle name="Comma 4 2 2 9 2 2" xfId="9957" xr:uid="{00000000-0005-0000-0000-00000A270000}"/>
    <cellStyle name="Comma 4 2 2 9 2 2 2" xfId="18427" xr:uid="{00000000-0005-0000-0000-00000B270000}"/>
    <cellStyle name="Comma 4 2 2 9 3" xfId="9958" xr:uid="{00000000-0005-0000-0000-00000C270000}"/>
    <cellStyle name="Comma 4 2 2 9 3 2" xfId="18428" xr:uid="{00000000-0005-0000-0000-00000D270000}"/>
    <cellStyle name="Comma 4 2 20" xfId="18301" xr:uid="{00000000-0005-0000-0000-00000E270000}"/>
    <cellStyle name="Comma 4 2 21" xfId="7150" xr:uid="{00000000-0005-0000-0000-00000F270000}"/>
    <cellStyle name="Comma 4 2 22" xfId="22956" xr:uid="{00000000-0005-0000-0000-000010270000}"/>
    <cellStyle name="Comma 4 2 23" xfId="23577" xr:uid="{00000000-0005-0000-0000-000011270000}"/>
    <cellStyle name="Comma 4 2 24" xfId="24722" xr:uid="{00000000-0005-0000-0000-000012270000}"/>
    <cellStyle name="Comma 4 2 25" xfId="25226" xr:uid="{00000000-0005-0000-0000-000013270000}"/>
    <cellStyle name="Comma 4 2 26" xfId="25730" xr:uid="{00000000-0005-0000-0000-000014270000}"/>
    <cellStyle name="Comma 4 2 27" xfId="26234" xr:uid="{00000000-0005-0000-0000-000015270000}"/>
    <cellStyle name="Comma 4 2 28" xfId="26738" xr:uid="{00000000-0005-0000-0000-000016270000}"/>
    <cellStyle name="Comma 4 2 29" xfId="27242" xr:uid="{00000000-0005-0000-0000-000017270000}"/>
    <cellStyle name="Comma 4 2 3" xfId="2028" xr:uid="{00000000-0005-0000-0000-000018270000}"/>
    <cellStyle name="Comma 4 2 3 10" xfId="9960" xr:uid="{00000000-0005-0000-0000-000019270000}"/>
    <cellStyle name="Comma 4 2 3 10 2" xfId="18430" xr:uid="{00000000-0005-0000-0000-00001A270000}"/>
    <cellStyle name="Comma 4 2 3 11" xfId="9961" xr:uid="{00000000-0005-0000-0000-00001B270000}"/>
    <cellStyle name="Comma 4 2 3 11 2" xfId="18431" xr:uid="{00000000-0005-0000-0000-00001C270000}"/>
    <cellStyle name="Comma 4 2 3 12" xfId="9962" xr:uid="{00000000-0005-0000-0000-00001D270000}"/>
    <cellStyle name="Comma 4 2 3 12 2" xfId="18432" xr:uid="{00000000-0005-0000-0000-00001E270000}"/>
    <cellStyle name="Comma 4 2 3 13" xfId="9959" xr:uid="{00000000-0005-0000-0000-00001F270000}"/>
    <cellStyle name="Comma 4 2 3 14" xfId="18429" xr:uid="{00000000-0005-0000-0000-000020270000}"/>
    <cellStyle name="Comma 4 2 3 15" xfId="7157" xr:uid="{00000000-0005-0000-0000-000021270000}"/>
    <cellStyle name="Comma 4 2 3 16" xfId="22959" xr:uid="{00000000-0005-0000-0000-000022270000}"/>
    <cellStyle name="Comma 4 2 3 17" xfId="23589" xr:uid="{00000000-0005-0000-0000-000023270000}"/>
    <cellStyle name="Comma 4 2 3 18" xfId="24734" xr:uid="{00000000-0005-0000-0000-000024270000}"/>
    <cellStyle name="Comma 4 2 3 19" xfId="25238" xr:uid="{00000000-0005-0000-0000-000025270000}"/>
    <cellStyle name="Comma 4 2 3 2" xfId="2029" xr:uid="{00000000-0005-0000-0000-000026270000}"/>
    <cellStyle name="Comma 4 2 3 2 10" xfId="9963" xr:uid="{00000000-0005-0000-0000-000027270000}"/>
    <cellStyle name="Comma 4 2 3 2 10 2" xfId="18433" xr:uid="{00000000-0005-0000-0000-000028270000}"/>
    <cellStyle name="Comma 4 2 3 2 11" xfId="7158" xr:uid="{00000000-0005-0000-0000-000029270000}"/>
    <cellStyle name="Comma 4 2 3 2 12" xfId="23590" xr:uid="{00000000-0005-0000-0000-00002A270000}"/>
    <cellStyle name="Comma 4 2 3 2 13" xfId="24735" xr:uid="{00000000-0005-0000-0000-00002B270000}"/>
    <cellStyle name="Comma 4 2 3 2 14" xfId="25239" xr:uid="{00000000-0005-0000-0000-00002C270000}"/>
    <cellStyle name="Comma 4 2 3 2 15" xfId="25743" xr:uid="{00000000-0005-0000-0000-00002D270000}"/>
    <cellStyle name="Comma 4 2 3 2 16" xfId="26247" xr:uid="{00000000-0005-0000-0000-00002E270000}"/>
    <cellStyle name="Comma 4 2 3 2 17" xfId="26751" xr:uid="{00000000-0005-0000-0000-00002F270000}"/>
    <cellStyle name="Comma 4 2 3 2 18" xfId="27255" xr:uid="{00000000-0005-0000-0000-000030270000}"/>
    <cellStyle name="Comma 4 2 3 2 19" xfId="27759" xr:uid="{00000000-0005-0000-0000-000031270000}"/>
    <cellStyle name="Comma 4 2 3 2 2" xfId="6862" xr:uid="{00000000-0005-0000-0000-000032270000}"/>
    <cellStyle name="Comma 4 2 3 2 2 10" xfId="26752" xr:uid="{00000000-0005-0000-0000-000033270000}"/>
    <cellStyle name="Comma 4 2 3 2 2 11" xfId="27256" xr:uid="{00000000-0005-0000-0000-000034270000}"/>
    <cellStyle name="Comma 4 2 3 2 2 12" xfId="27760" xr:uid="{00000000-0005-0000-0000-000035270000}"/>
    <cellStyle name="Comma 4 2 3 2 2 13" xfId="28264" xr:uid="{00000000-0005-0000-0000-000036270000}"/>
    <cellStyle name="Comma 4 2 3 2 2 14" xfId="28768" xr:uid="{00000000-0005-0000-0000-000037270000}"/>
    <cellStyle name="Comma 4 2 3 2 2 15" xfId="29272" xr:uid="{00000000-0005-0000-0000-000038270000}"/>
    <cellStyle name="Comma 4 2 3 2 2 16" xfId="29776" xr:uid="{00000000-0005-0000-0000-000039270000}"/>
    <cellStyle name="Comma 4 2 3 2 2 17" xfId="30280" xr:uid="{00000000-0005-0000-0000-00003A270000}"/>
    <cellStyle name="Comma 4 2 3 2 2 18" xfId="30785" xr:uid="{00000000-0005-0000-0000-00003B270000}"/>
    <cellStyle name="Comma 4 2 3 2 2 2" xfId="9965" xr:uid="{00000000-0005-0000-0000-00003C270000}"/>
    <cellStyle name="Comma 4 2 3 2 2 2 2" xfId="18435" xr:uid="{00000000-0005-0000-0000-00003D270000}"/>
    <cellStyle name="Comma 4 2 3 2 2 3" xfId="18434" xr:uid="{00000000-0005-0000-0000-00003E270000}"/>
    <cellStyle name="Comma 4 2 3 2 2 4" xfId="9964" xr:uid="{00000000-0005-0000-0000-00003F270000}"/>
    <cellStyle name="Comma 4 2 3 2 2 5" xfId="23591" xr:uid="{00000000-0005-0000-0000-000040270000}"/>
    <cellStyle name="Comma 4 2 3 2 2 6" xfId="24736" xr:uid="{00000000-0005-0000-0000-000041270000}"/>
    <cellStyle name="Comma 4 2 3 2 2 7" xfId="25240" xr:uid="{00000000-0005-0000-0000-000042270000}"/>
    <cellStyle name="Comma 4 2 3 2 2 8" xfId="25744" xr:uid="{00000000-0005-0000-0000-000043270000}"/>
    <cellStyle name="Comma 4 2 3 2 2 9" xfId="26248" xr:uid="{00000000-0005-0000-0000-000044270000}"/>
    <cellStyle name="Comma 4 2 3 2 20" xfId="28263" xr:uid="{00000000-0005-0000-0000-000045270000}"/>
    <cellStyle name="Comma 4 2 3 2 21" xfId="28767" xr:uid="{00000000-0005-0000-0000-000046270000}"/>
    <cellStyle name="Comma 4 2 3 2 22" xfId="29271" xr:uid="{00000000-0005-0000-0000-000047270000}"/>
    <cellStyle name="Comma 4 2 3 2 23" xfId="29775" xr:uid="{00000000-0005-0000-0000-000048270000}"/>
    <cellStyle name="Comma 4 2 3 2 24" xfId="30279" xr:uid="{00000000-0005-0000-0000-000049270000}"/>
    <cellStyle name="Comma 4 2 3 2 25" xfId="30784" xr:uid="{00000000-0005-0000-0000-00004A270000}"/>
    <cellStyle name="Comma 4 2 3 2 3" xfId="9966" xr:uid="{00000000-0005-0000-0000-00004B270000}"/>
    <cellStyle name="Comma 4 2 3 2 3 10" xfId="27257" xr:uid="{00000000-0005-0000-0000-00004C270000}"/>
    <cellStyle name="Comma 4 2 3 2 3 11" xfId="27761" xr:uid="{00000000-0005-0000-0000-00004D270000}"/>
    <cellStyle name="Comma 4 2 3 2 3 12" xfId="28265" xr:uid="{00000000-0005-0000-0000-00004E270000}"/>
    <cellStyle name="Comma 4 2 3 2 3 13" xfId="28769" xr:uid="{00000000-0005-0000-0000-00004F270000}"/>
    <cellStyle name="Comma 4 2 3 2 3 14" xfId="29273" xr:uid="{00000000-0005-0000-0000-000050270000}"/>
    <cellStyle name="Comma 4 2 3 2 3 15" xfId="29777" xr:uid="{00000000-0005-0000-0000-000051270000}"/>
    <cellStyle name="Comma 4 2 3 2 3 16" xfId="30281" xr:uid="{00000000-0005-0000-0000-000052270000}"/>
    <cellStyle name="Comma 4 2 3 2 3 17" xfId="30786" xr:uid="{00000000-0005-0000-0000-000053270000}"/>
    <cellStyle name="Comma 4 2 3 2 3 2" xfId="9967" xr:uid="{00000000-0005-0000-0000-000054270000}"/>
    <cellStyle name="Comma 4 2 3 2 3 2 2" xfId="18437" xr:uid="{00000000-0005-0000-0000-000055270000}"/>
    <cellStyle name="Comma 4 2 3 2 3 3" xfId="18436" xr:uid="{00000000-0005-0000-0000-000056270000}"/>
    <cellStyle name="Comma 4 2 3 2 3 4" xfId="23592" xr:uid="{00000000-0005-0000-0000-000057270000}"/>
    <cellStyle name="Comma 4 2 3 2 3 5" xfId="24737" xr:uid="{00000000-0005-0000-0000-000058270000}"/>
    <cellStyle name="Comma 4 2 3 2 3 6" xfId="25241" xr:uid="{00000000-0005-0000-0000-000059270000}"/>
    <cellStyle name="Comma 4 2 3 2 3 7" xfId="25745" xr:uid="{00000000-0005-0000-0000-00005A270000}"/>
    <cellStyle name="Comma 4 2 3 2 3 8" xfId="26249" xr:uid="{00000000-0005-0000-0000-00005B270000}"/>
    <cellStyle name="Comma 4 2 3 2 3 9" xfId="26753" xr:uid="{00000000-0005-0000-0000-00005C270000}"/>
    <cellStyle name="Comma 4 2 3 2 4" xfId="9968" xr:uid="{00000000-0005-0000-0000-00005D270000}"/>
    <cellStyle name="Comma 4 2 3 2 4 2" xfId="9969" xr:uid="{00000000-0005-0000-0000-00005E270000}"/>
    <cellStyle name="Comma 4 2 3 2 4 2 2" xfId="18438" xr:uid="{00000000-0005-0000-0000-00005F270000}"/>
    <cellStyle name="Comma 4 2 3 2 5" xfId="9970" xr:uid="{00000000-0005-0000-0000-000060270000}"/>
    <cellStyle name="Comma 4 2 3 2 5 2" xfId="9971" xr:uid="{00000000-0005-0000-0000-000061270000}"/>
    <cellStyle name="Comma 4 2 3 2 5 2 2" xfId="18439" xr:uid="{00000000-0005-0000-0000-000062270000}"/>
    <cellStyle name="Comma 4 2 3 2 6" xfId="9972" xr:uid="{00000000-0005-0000-0000-000063270000}"/>
    <cellStyle name="Comma 4 2 3 2 6 2" xfId="9973" xr:uid="{00000000-0005-0000-0000-000064270000}"/>
    <cellStyle name="Comma 4 2 3 2 6 2 2" xfId="18440" xr:uid="{00000000-0005-0000-0000-000065270000}"/>
    <cellStyle name="Comma 4 2 3 2 7" xfId="9974" xr:uid="{00000000-0005-0000-0000-000066270000}"/>
    <cellStyle name="Comma 4 2 3 2 7 2" xfId="9975" xr:uid="{00000000-0005-0000-0000-000067270000}"/>
    <cellStyle name="Comma 4 2 3 2 7 2 2" xfId="18441" xr:uid="{00000000-0005-0000-0000-000068270000}"/>
    <cellStyle name="Comma 4 2 3 2 8" xfId="9976" xr:uid="{00000000-0005-0000-0000-000069270000}"/>
    <cellStyle name="Comma 4 2 3 2 8 2" xfId="9977" xr:uid="{00000000-0005-0000-0000-00006A270000}"/>
    <cellStyle name="Comma 4 2 3 2 8 2 2" xfId="18442" xr:uid="{00000000-0005-0000-0000-00006B270000}"/>
    <cellStyle name="Comma 4 2 3 2 9" xfId="9978" xr:uid="{00000000-0005-0000-0000-00006C270000}"/>
    <cellStyle name="Comma 4 2 3 2 9 2" xfId="18443" xr:uid="{00000000-0005-0000-0000-00006D270000}"/>
    <cellStyle name="Comma 4 2 3 20" xfId="25742" xr:uid="{00000000-0005-0000-0000-00006E270000}"/>
    <cellStyle name="Comma 4 2 3 21" xfId="26246" xr:uid="{00000000-0005-0000-0000-00006F270000}"/>
    <cellStyle name="Comma 4 2 3 22" xfId="26750" xr:uid="{00000000-0005-0000-0000-000070270000}"/>
    <cellStyle name="Comma 4 2 3 23" xfId="27254" xr:uid="{00000000-0005-0000-0000-000071270000}"/>
    <cellStyle name="Comma 4 2 3 24" xfId="27758" xr:uid="{00000000-0005-0000-0000-000072270000}"/>
    <cellStyle name="Comma 4 2 3 25" xfId="28262" xr:uid="{00000000-0005-0000-0000-000073270000}"/>
    <cellStyle name="Comma 4 2 3 26" xfId="28766" xr:uid="{00000000-0005-0000-0000-000074270000}"/>
    <cellStyle name="Comma 4 2 3 27" xfId="29270" xr:uid="{00000000-0005-0000-0000-000075270000}"/>
    <cellStyle name="Comma 4 2 3 28" xfId="29774" xr:uid="{00000000-0005-0000-0000-000076270000}"/>
    <cellStyle name="Comma 4 2 3 29" xfId="30278" xr:uid="{00000000-0005-0000-0000-000077270000}"/>
    <cellStyle name="Comma 4 2 3 3" xfId="6861" xr:uid="{00000000-0005-0000-0000-000078270000}"/>
    <cellStyle name="Comma 4 2 3 3 10" xfId="27258" xr:uid="{00000000-0005-0000-0000-000079270000}"/>
    <cellStyle name="Comma 4 2 3 3 11" xfId="27762" xr:uid="{00000000-0005-0000-0000-00007A270000}"/>
    <cellStyle name="Comma 4 2 3 3 12" xfId="28266" xr:uid="{00000000-0005-0000-0000-00007B270000}"/>
    <cellStyle name="Comma 4 2 3 3 13" xfId="28770" xr:uid="{00000000-0005-0000-0000-00007C270000}"/>
    <cellStyle name="Comma 4 2 3 3 14" xfId="29274" xr:uid="{00000000-0005-0000-0000-00007D270000}"/>
    <cellStyle name="Comma 4 2 3 3 15" xfId="29778" xr:uid="{00000000-0005-0000-0000-00007E270000}"/>
    <cellStyle name="Comma 4 2 3 3 16" xfId="30282" xr:uid="{00000000-0005-0000-0000-00007F270000}"/>
    <cellStyle name="Comma 4 2 3 3 17" xfId="30787" xr:uid="{00000000-0005-0000-0000-000080270000}"/>
    <cellStyle name="Comma 4 2 3 3 2" xfId="9979" xr:uid="{00000000-0005-0000-0000-000081270000}"/>
    <cellStyle name="Comma 4 2 3 3 2 2" xfId="18444" xr:uid="{00000000-0005-0000-0000-000082270000}"/>
    <cellStyle name="Comma 4 2 3 3 3" xfId="7303" xr:uid="{00000000-0005-0000-0000-000083270000}"/>
    <cellStyle name="Comma 4 2 3 3 4" xfId="23593" xr:uid="{00000000-0005-0000-0000-000084270000}"/>
    <cellStyle name="Comma 4 2 3 3 5" xfId="24738" xr:uid="{00000000-0005-0000-0000-000085270000}"/>
    <cellStyle name="Comma 4 2 3 3 6" xfId="25242" xr:uid="{00000000-0005-0000-0000-000086270000}"/>
    <cellStyle name="Comma 4 2 3 3 7" xfId="25746" xr:uid="{00000000-0005-0000-0000-000087270000}"/>
    <cellStyle name="Comma 4 2 3 3 8" xfId="26250" xr:uid="{00000000-0005-0000-0000-000088270000}"/>
    <cellStyle name="Comma 4 2 3 3 9" xfId="26754" xr:uid="{00000000-0005-0000-0000-000089270000}"/>
    <cellStyle name="Comma 4 2 3 30" xfId="30783" xr:uid="{00000000-0005-0000-0000-00008A270000}"/>
    <cellStyle name="Comma 4 2 3 4" xfId="9980" xr:uid="{00000000-0005-0000-0000-00008B270000}"/>
    <cellStyle name="Comma 4 2 3 4 10" xfId="27763" xr:uid="{00000000-0005-0000-0000-00008C270000}"/>
    <cellStyle name="Comma 4 2 3 4 11" xfId="28267" xr:uid="{00000000-0005-0000-0000-00008D270000}"/>
    <cellStyle name="Comma 4 2 3 4 12" xfId="28771" xr:uid="{00000000-0005-0000-0000-00008E270000}"/>
    <cellStyle name="Comma 4 2 3 4 13" xfId="29275" xr:uid="{00000000-0005-0000-0000-00008F270000}"/>
    <cellStyle name="Comma 4 2 3 4 14" xfId="29779" xr:uid="{00000000-0005-0000-0000-000090270000}"/>
    <cellStyle name="Comma 4 2 3 4 15" xfId="30283" xr:uid="{00000000-0005-0000-0000-000091270000}"/>
    <cellStyle name="Comma 4 2 3 4 16" xfId="30788" xr:uid="{00000000-0005-0000-0000-000092270000}"/>
    <cellStyle name="Comma 4 2 3 4 2" xfId="9981" xr:uid="{00000000-0005-0000-0000-000093270000}"/>
    <cellStyle name="Comma 4 2 3 4 2 2" xfId="18445" xr:uid="{00000000-0005-0000-0000-000094270000}"/>
    <cellStyle name="Comma 4 2 3 4 3" xfId="23594" xr:uid="{00000000-0005-0000-0000-000095270000}"/>
    <cellStyle name="Comma 4 2 3 4 4" xfId="24739" xr:uid="{00000000-0005-0000-0000-000096270000}"/>
    <cellStyle name="Comma 4 2 3 4 5" xfId="25243" xr:uid="{00000000-0005-0000-0000-000097270000}"/>
    <cellStyle name="Comma 4 2 3 4 6" xfId="25747" xr:uid="{00000000-0005-0000-0000-000098270000}"/>
    <cellStyle name="Comma 4 2 3 4 7" xfId="26251" xr:uid="{00000000-0005-0000-0000-000099270000}"/>
    <cellStyle name="Comma 4 2 3 4 8" xfId="26755" xr:uid="{00000000-0005-0000-0000-00009A270000}"/>
    <cellStyle name="Comma 4 2 3 4 9" xfId="27259" xr:uid="{00000000-0005-0000-0000-00009B270000}"/>
    <cellStyle name="Comma 4 2 3 5" xfId="9982" xr:uid="{00000000-0005-0000-0000-00009C270000}"/>
    <cellStyle name="Comma 4 2 3 5 2" xfId="9983" xr:uid="{00000000-0005-0000-0000-00009D270000}"/>
    <cellStyle name="Comma 4 2 3 5 2 2" xfId="18446" xr:uid="{00000000-0005-0000-0000-00009E270000}"/>
    <cellStyle name="Comma 4 2 3 6" xfId="9984" xr:uid="{00000000-0005-0000-0000-00009F270000}"/>
    <cellStyle name="Comma 4 2 3 6 2" xfId="9985" xr:uid="{00000000-0005-0000-0000-0000A0270000}"/>
    <cellStyle name="Comma 4 2 3 6 2 2" xfId="18447" xr:uid="{00000000-0005-0000-0000-0000A1270000}"/>
    <cellStyle name="Comma 4 2 3 7" xfId="9986" xr:uid="{00000000-0005-0000-0000-0000A2270000}"/>
    <cellStyle name="Comma 4 2 3 7 2" xfId="9987" xr:uid="{00000000-0005-0000-0000-0000A3270000}"/>
    <cellStyle name="Comma 4 2 3 7 2 2" xfId="18448" xr:uid="{00000000-0005-0000-0000-0000A4270000}"/>
    <cellStyle name="Comma 4 2 3 8" xfId="9988" xr:uid="{00000000-0005-0000-0000-0000A5270000}"/>
    <cellStyle name="Comma 4 2 3 8 2" xfId="9989" xr:uid="{00000000-0005-0000-0000-0000A6270000}"/>
    <cellStyle name="Comma 4 2 3 8 2 2" xfId="18449" xr:uid="{00000000-0005-0000-0000-0000A7270000}"/>
    <cellStyle name="Comma 4 2 3 9" xfId="9990" xr:uid="{00000000-0005-0000-0000-0000A8270000}"/>
    <cellStyle name="Comma 4 2 3 9 2" xfId="9991" xr:uid="{00000000-0005-0000-0000-0000A9270000}"/>
    <cellStyle name="Comma 4 2 3 9 2 2" xfId="18450" xr:uid="{00000000-0005-0000-0000-0000AA270000}"/>
    <cellStyle name="Comma 4 2 30" xfId="27746" xr:uid="{00000000-0005-0000-0000-0000AB270000}"/>
    <cellStyle name="Comma 4 2 31" xfId="28250" xr:uid="{00000000-0005-0000-0000-0000AC270000}"/>
    <cellStyle name="Comma 4 2 32" xfId="28754" xr:uid="{00000000-0005-0000-0000-0000AD270000}"/>
    <cellStyle name="Comma 4 2 33" xfId="29258" xr:uid="{00000000-0005-0000-0000-0000AE270000}"/>
    <cellStyle name="Comma 4 2 34" xfId="29762" xr:uid="{00000000-0005-0000-0000-0000AF270000}"/>
    <cellStyle name="Comma 4 2 35" xfId="30266" xr:uid="{00000000-0005-0000-0000-0000B0270000}"/>
    <cellStyle name="Comma 4 2 36" xfId="30771" xr:uid="{00000000-0005-0000-0000-0000B1270000}"/>
    <cellStyle name="Comma 4 2 4" xfId="2030" xr:uid="{00000000-0005-0000-0000-0000B2270000}"/>
    <cellStyle name="Comma 4 2 4 10" xfId="9992" xr:uid="{00000000-0005-0000-0000-0000B3270000}"/>
    <cellStyle name="Comma 4 2 4 10 2" xfId="9993" xr:uid="{00000000-0005-0000-0000-0000B4270000}"/>
    <cellStyle name="Comma 4 2 4 10 2 2" xfId="9994" xr:uid="{00000000-0005-0000-0000-0000B5270000}"/>
    <cellStyle name="Comma 4 2 4 10 2 2 2" xfId="18451" xr:uid="{00000000-0005-0000-0000-0000B6270000}"/>
    <cellStyle name="Comma 4 2 4 10 3" xfId="9995" xr:uid="{00000000-0005-0000-0000-0000B7270000}"/>
    <cellStyle name="Comma 4 2 4 10 3 2" xfId="18452" xr:uid="{00000000-0005-0000-0000-0000B8270000}"/>
    <cellStyle name="Comma 4 2 4 11" xfId="9996" xr:uid="{00000000-0005-0000-0000-0000B9270000}"/>
    <cellStyle name="Comma 4 2 4 11 2" xfId="9997" xr:uid="{00000000-0005-0000-0000-0000BA270000}"/>
    <cellStyle name="Comma 4 2 4 11 2 2" xfId="9998" xr:uid="{00000000-0005-0000-0000-0000BB270000}"/>
    <cellStyle name="Comma 4 2 4 11 2 2 2" xfId="18453" xr:uid="{00000000-0005-0000-0000-0000BC270000}"/>
    <cellStyle name="Comma 4 2 4 11 3" xfId="9999" xr:uid="{00000000-0005-0000-0000-0000BD270000}"/>
    <cellStyle name="Comma 4 2 4 11 3 2" xfId="18454" xr:uid="{00000000-0005-0000-0000-0000BE270000}"/>
    <cellStyle name="Comma 4 2 4 12" xfId="10000" xr:uid="{00000000-0005-0000-0000-0000BF270000}"/>
    <cellStyle name="Comma 4 2 4 12 2" xfId="10001" xr:uid="{00000000-0005-0000-0000-0000C0270000}"/>
    <cellStyle name="Comma 4 2 4 12 2 2" xfId="10002" xr:uid="{00000000-0005-0000-0000-0000C1270000}"/>
    <cellStyle name="Comma 4 2 4 12 2 2 2" xfId="18455" xr:uid="{00000000-0005-0000-0000-0000C2270000}"/>
    <cellStyle name="Comma 4 2 4 12 3" xfId="10003" xr:uid="{00000000-0005-0000-0000-0000C3270000}"/>
    <cellStyle name="Comma 4 2 4 12 3 2" xfId="18456" xr:uid="{00000000-0005-0000-0000-0000C4270000}"/>
    <cellStyle name="Comma 4 2 4 13" xfId="10004" xr:uid="{00000000-0005-0000-0000-0000C5270000}"/>
    <cellStyle name="Comma 4 2 4 13 2" xfId="10005" xr:uid="{00000000-0005-0000-0000-0000C6270000}"/>
    <cellStyle name="Comma 4 2 4 13 2 2" xfId="10006" xr:uid="{00000000-0005-0000-0000-0000C7270000}"/>
    <cellStyle name="Comma 4 2 4 13 2 2 2" xfId="10007" xr:uid="{00000000-0005-0000-0000-0000C8270000}"/>
    <cellStyle name="Comma 4 2 4 13 2 2 2 2" xfId="18457" xr:uid="{00000000-0005-0000-0000-0000C9270000}"/>
    <cellStyle name="Comma 4 2 4 13 2 3" xfId="10008" xr:uid="{00000000-0005-0000-0000-0000CA270000}"/>
    <cellStyle name="Comma 4 2 4 13 2 3 2" xfId="10009" xr:uid="{00000000-0005-0000-0000-0000CB270000}"/>
    <cellStyle name="Comma 4 2 4 13 2 3 2 2" xfId="18458" xr:uid="{00000000-0005-0000-0000-0000CC270000}"/>
    <cellStyle name="Comma 4 2 4 13 2 4" xfId="10010" xr:uid="{00000000-0005-0000-0000-0000CD270000}"/>
    <cellStyle name="Comma 4 2 4 13 2 4 2" xfId="10011" xr:uid="{00000000-0005-0000-0000-0000CE270000}"/>
    <cellStyle name="Comma 4 2 4 13 2 4 2 2" xfId="18459" xr:uid="{00000000-0005-0000-0000-0000CF270000}"/>
    <cellStyle name="Comma 4 2 4 13 2 5" xfId="10012" xr:uid="{00000000-0005-0000-0000-0000D0270000}"/>
    <cellStyle name="Comma 4 2 4 13 2 5 2" xfId="10013" xr:uid="{00000000-0005-0000-0000-0000D1270000}"/>
    <cellStyle name="Comma 4 2 4 13 2 5 2 2" xfId="18460" xr:uid="{00000000-0005-0000-0000-0000D2270000}"/>
    <cellStyle name="Comma 4 2 4 13 2 6" xfId="10014" xr:uid="{00000000-0005-0000-0000-0000D3270000}"/>
    <cellStyle name="Comma 4 2 4 13 2 6 2" xfId="10015" xr:uid="{00000000-0005-0000-0000-0000D4270000}"/>
    <cellStyle name="Comma 4 2 4 13 2 6 2 2" xfId="18461" xr:uid="{00000000-0005-0000-0000-0000D5270000}"/>
    <cellStyle name="Comma 4 2 4 13 2 7" xfId="10016" xr:uid="{00000000-0005-0000-0000-0000D6270000}"/>
    <cellStyle name="Comma 4 2 4 13 2 7 2" xfId="10017" xr:uid="{00000000-0005-0000-0000-0000D7270000}"/>
    <cellStyle name="Comma 4 2 4 13 2 7 2 2" xfId="18462" xr:uid="{00000000-0005-0000-0000-0000D8270000}"/>
    <cellStyle name="Comma 4 2 4 13 2 8" xfId="10018" xr:uid="{00000000-0005-0000-0000-0000D9270000}"/>
    <cellStyle name="Comma 4 2 4 13 2 8 2" xfId="18463" xr:uid="{00000000-0005-0000-0000-0000DA270000}"/>
    <cellStyle name="Comma 4 2 4 13 3" xfId="10019" xr:uid="{00000000-0005-0000-0000-0000DB270000}"/>
    <cellStyle name="Comma 4 2 4 13 3 2" xfId="10020" xr:uid="{00000000-0005-0000-0000-0000DC270000}"/>
    <cellStyle name="Comma 4 2 4 13 3 2 2" xfId="18464" xr:uid="{00000000-0005-0000-0000-0000DD270000}"/>
    <cellStyle name="Comma 4 2 4 13 4" xfId="10021" xr:uid="{00000000-0005-0000-0000-0000DE270000}"/>
    <cellStyle name="Comma 4 2 4 13 4 2" xfId="10022" xr:uid="{00000000-0005-0000-0000-0000DF270000}"/>
    <cellStyle name="Comma 4 2 4 13 4 2 2" xfId="18465" xr:uid="{00000000-0005-0000-0000-0000E0270000}"/>
    <cellStyle name="Comma 4 2 4 13 5" xfId="10023" xr:uid="{00000000-0005-0000-0000-0000E1270000}"/>
    <cellStyle name="Comma 4 2 4 13 5 2" xfId="10024" xr:uid="{00000000-0005-0000-0000-0000E2270000}"/>
    <cellStyle name="Comma 4 2 4 13 5 2 2" xfId="18466" xr:uid="{00000000-0005-0000-0000-0000E3270000}"/>
    <cellStyle name="Comma 4 2 4 13 6" xfId="10025" xr:uid="{00000000-0005-0000-0000-0000E4270000}"/>
    <cellStyle name="Comma 4 2 4 13 6 2" xfId="10026" xr:uid="{00000000-0005-0000-0000-0000E5270000}"/>
    <cellStyle name="Comma 4 2 4 13 6 2 2" xfId="18467" xr:uid="{00000000-0005-0000-0000-0000E6270000}"/>
    <cellStyle name="Comma 4 2 4 13 7" xfId="10027" xr:uid="{00000000-0005-0000-0000-0000E7270000}"/>
    <cellStyle name="Comma 4 2 4 13 7 2" xfId="10028" xr:uid="{00000000-0005-0000-0000-0000E8270000}"/>
    <cellStyle name="Comma 4 2 4 13 7 2 2" xfId="18468" xr:uid="{00000000-0005-0000-0000-0000E9270000}"/>
    <cellStyle name="Comma 4 2 4 13 8" xfId="10029" xr:uid="{00000000-0005-0000-0000-0000EA270000}"/>
    <cellStyle name="Comma 4 2 4 13 8 2" xfId="10030" xr:uid="{00000000-0005-0000-0000-0000EB270000}"/>
    <cellStyle name="Comma 4 2 4 13 8 2 2" xfId="18469" xr:uid="{00000000-0005-0000-0000-0000EC270000}"/>
    <cellStyle name="Comma 4 2 4 13 9" xfId="10031" xr:uid="{00000000-0005-0000-0000-0000ED270000}"/>
    <cellStyle name="Comma 4 2 4 13 9 2" xfId="18470" xr:uid="{00000000-0005-0000-0000-0000EE270000}"/>
    <cellStyle name="Comma 4 2 4 14" xfId="10032" xr:uid="{00000000-0005-0000-0000-0000EF270000}"/>
    <cellStyle name="Comma 4 2 4 14 2" xfId="10033" xr:uid="{00000000-0005-0000-0000-0000F0270000}"/>
    <cellStyle name="Comma 4 2 4 14 2 2" xfId="18471" xr:uid="{00000000-0005-0000-0000-0000F1270000}"/>
    <cellStyle name="Comma 4 2 4 15" xfId="10034" xr:uid="{00000000-0005-0000-0000-0000F2270000}"/>
    <cellStyle name="Comma 4 2 4 15 2" xfId="10035" xr:uid="{00000000-0005-0000-0000-0000F3270000}"/>
    <cellStyle name="Comma 4 2 4 15 2 2" xfId="18472" xr:uid="{00000000-0005-0000-0000-0000F4270000}"/>
    <cellStyle name="Comma 4 2 4 16" xfId="7159" xr:uid="{00000000-0005-0000-0000-0000F5270000}"/>
    <cellStyle name="Comma 4 2 4 17" xfId="23595" xr:uid="{00000000-0005-0000-0000-0000F6270000}"/>
    <cellStyle name="Comma 4 2 4 18" xfId="24740" xr:uid="{00000000-0005-0000-0000-0000F7270000}"/>
    <cellStyle name="Comma 4 2 4 19" xfId="25244" xr:uid="{00000000-0005-0000-0000-0000F8270000}"/>
    <cellStyle name="Comma 4 2 4 2" xfId="7304" xr:uid="{00000000-0005-0000-0000-0000F9270000}"/>
    <cellStyle name="Comma 4 2 4 2 2" xfId="10036" xr:uid="{00000000-0005-0000-0000-0000FA270000}"/>
    <cellStyle name="Comma 4 2 4 2 2 2" xfId="10037" xr:uid="{00000000-0005-0000-0000-0000FB270000}"/>
    <cellStyle name="Comma 4 2 4 2 2 2 2" xfId="18475" xr:uid="{00000000-0005-0000-0000-0000FC270000}"/>
    <cellStyle name="Comma 4 2 4 2 2 3" xfId="18474" xr:uid="{00000000-0005-0000-0000-0000FD270000}"/>
    <cellStyle name="Comma 4 2 4 2 3" xfId="10038" xr:uid="{00000000-0005-0000-0000-0000FE270000}"/>
    <cellStyle name="Comma 4 2 4 2 3 2" xfId="18476" xr:uid="{00000000-0005-0000-0000-0000FF270000}"/>
    <cellStyle name="Comma 4 2 4 2 4" xfId="18473" xr:uid="{00000000-0005-0000-0000-000000280000}"/>
    <cellStyle name="Comma 4 2 4 20" xfId="25748" xr:uid="{00000000-0005-0000-0000-000001280000}"/>
    <cellStyle name="Comma 4 2 4 21" xfId="26252" xr:uid="{00000000-0005-0000-0000-000002280000}"/>
    <cellStyle name="Comma 4 2 4 22" xfId="26756" xr:uid="{00000000-0005-0000-0000-000003280000}"/>
    <cellStyle name="Comma 4 2 4 23" xfId="27260" xr:uid="{00000000-0005-0000-0000-000004280000}"/>
    <cellStyle name="Comma 4 2 4 24" xfId="27764" xr:uid="{00000000-0005-0000-0000-000005280000}"/>
    <cellStyle name="Comma 4 2 4 25" xfId="28268" xr:uid="{00000000-0005-0000-0000-000006280000}"/>
    <cellStyle name="Comma 4 2 4 26" xfId="28772" xr:uid="{00000000-0005-0000-0000-000007280000}"/>
    <cellStyle name="Comma 4 2 4 27" xfId="29276" xr:uid="{00000000-0005-0000-0000-000008280000}"/>
    <cellStyle name="Comma 4 2 4 28" xfId="29780" xr:uid="{00000000-0005-0000-0000-000009280000}"/>
    <cellStyle name="Comma 4 2 4 29" xfId="30284" xr:uid="{00000000-0005-0000-0000-00000A280000}"/>
    <cellStyle name="Comma 4 2 4 3" xfId="10039" xr:uid="{00000000-0005-0000-0000-00000B280000}"/>
    <cellStyle name="Comma 4 2 4 3 2" xfId="10040" xr:uid="{00000000-0005-0000-0000-00000C280000}"/>
    <cellStyle name="Comma 4 2 4 3 2 2" xfId="10041" xr:uid="{00000000-0005-0000-0000-00000D280000}"/>
    <cellStyle name="Comma 4 2 4 3 2 2 2" xfId="18477" xr:uid="{00000000-0005-0000-0000-00000E280000}"/>
    <cellStyle name="Comma 4 2 4 3 3" xfId="10042" xr:uid="{00000000-0005-0000-0000-00000F280000}"/>
    <cellStyle name="Comma 4 2 4 3 3 2" xfId="18478" xr:uid="{00000000-0005-0000-0000-000010280000}"/>
    <cellStyle name="Comma 4 2 4 30" xfId="30789" xr:uid="{00000000-0005-0000-0000-000011280000}"/>
    <cellStyle name="Comma 4 2 4 4" xfId="10043" xr:uid="{00000000-0005-0000-0000-000012280000}"/>
    <cellStyle name="Comma 4 2 4 4 2" xfId="10044" xr:uid="{00000000-0005-0000-0000-000013280000}"/>
    <cellStyle name="Comma 4 2 4 4 2 2" xfId="10045" xr:uid="{00000000-0005-0000-0000-000014280000}"/>
    <cellStyle name="Comma 4 2 4 4 2 2 2" xfId="18479" xr:uid="{00000000-0005-0000-0000-000015280000}"/>
    <cellStyle name="Comma 4 2 4 4 3" xfId="10046" xr:uid="{00000000-0005-0000-0000-000016280000}"/>
    <cellStyle name="Comma 4 2 4 4 3 2" xfId="18480" xr:uid="{00000000-0005-0000-0000-000017280000}"/>
    <cellStyle name="Comma 4 2 4 5" xfId="10047" xr:uid="{00000000-0005-0000-0000-000018280000}"/>
    <cellStyle name="Comma 4 2 4 5 2" xfId="10048" xr:uid="{00000000-0005-0000-0000-000019280000}"/>
    <cellStyle name="Comma 4 2 4 5 2 2" xfId="10049" xr:uid="{00000000-0005-0000-0000-00001A280000}"/>
    <cellStyle name="Comma 4 2 4 5 2 2 2" xfId="18481" xr:uid="{00000000-0005-0000-0000-00001B280000}"/>
    <cellStyle name="Comma 4 2 4 5 3" xfId="10050" xr:uid="{00000000-0005-0000-0000-00001C280000}"/>
    <cellStyle name="Comma 4 2 4 5 3 2" xfId="18482" xr:uid="{00000000-0005-0000-0000-00001D280000}"/>
    <cellStyle name="Comma 4 2 4 6" xfId="10051" xr:uid="{00000000-0005-0000-0000-00001E280000}"/>
    <cellStyle name="Comma 4 2 4 6 2" xfId="10052" xr:uid="{00000000-0005-0000-0000-00001F280000}"/>
    <cellStyle name="Comma 4 2 4 6 2 2" xfId="10053" xr:uid="{00000000-0005-0000-0000-000020280000}"/>
    <cellStyle name="Comma 4 2 4 6 2 2 2" xfId="18483" xr:uid="{00000000-0005-0000-0000-000021280000}"/>
    <cellStyle name="Comma 4 2 4 6 3" xfId="10054" xr:uid="{00000000-0005-0000-0000-000022280000}"/>
    <cellStyle name="Comma 4 2 4 6 3 2" xfId="18484" xr:uid="{00000000-0005-0000-0000-000023280000}"/>
    <cellStyle name="Comma 4 2 4 7" xfId="10055" xr:uid="{00000000-0005-0000-0000-000024280000}"/>
    <cellStyle name="Comma 4 2 4 7 2" xfId="10056" xr:uid="{00000000-0005-0000-0000-000025280000}"/>
    <cellStyle name="Comma 4 2 4 7 2 2" xfId="10057" xr:uid="{00000000-0005-0000-0000-000026280000}"/>
    <cellStyle name="Comma 4 2 4 7 2 2 2" xfId="18485" xr:uid="{00000000-0005-0000-0000-000027280000}"/>
    <cellStyle name="Comma 4 2 4 7 3" xfId="10058" xr:uid="{00000000-0005-0000-0000-000028280000}"/>
    <cellStyle name="Comma 4 2 4 7 3 2" xfId="18486" xr:uid="{00000000-0005-0000-0000-000029280000}"/>
    <cellStyle name="Comma 4 2 4 8" xfId="10059" xr:uid="{00000000-0005-0000-0000-00002A280000}"/>
    <cellStyle name="Comma 4 2 4 8 2" xfId="10060" xr:uid="{00000000-0005-0000-0000-00002B280000}"/>
    <cellStyle name="Comma 4 2 4 8 2 2" xfId="10061" xr:uid="{00000000-0005-0000-0000-00002C280000}"/>
    <cellStyle name="Comma 4 2 4 8 2 2 2" xfId="18487" xr:uid="{00000000-0005-0000-0000-00002D280000}"/>
    <cellStyle name="Comma 4 2 4 8 3" xfId="10062" xr:uid="{00000000-0005-0000-0000-00002E280000}"/>
    <cellStyle name="Comma 4 2 4 8 3 2" xfId="18488" xr:uid="{00000000-0005-0000-0000-00002F280000}"/>
    <cellStyle name="Comma 4 2 4 9" xfId="10063" xr:uid="{00000000-0005-0000-0000-000030280000}"/>
    <cellStyle name="Comma 4 2 4 9 2" xfId="10064" xr:uid="{00000000-0005-0000-0000-000031280000}"/>
    <cellStyle name="Comma 4 2 4 9 2 2" xfId="10065" xr:uid="{00000000-0005-0000-0000-000032280000}"/>
    <cellStyle name="Comma 4 2 4 9 2 2 2" xfId="18489" xr:uid="{00000000-0005-0000-0000-000033280000}"/>
    <cellStyle name="Comma 4 2 4 9 3" xfId="10066" xr:uid="{00000000-0005-0000-0000-000034280000}"/>
    <cellStyle name="Comma 4 2 4 9 3 2" xfId="18490" xr:uid="{00000000-0005-0000-0000-000035280000}"/>
    <cellStyle name="Comma 4 2 5" xfId="2031" xr:uid="{00000000-0005-0000-0000-000036280000}"/>
    <cellStyle name="Comma 4 2 5 10" xfId="26757" xr:uid="{00000000-0005-0000-0000-000037280000}"/>
    <cellStyle name="Comma 4 2 5 11" xfId="27261" xr:uid="{00000000-0005-0000-0000-000038280000}"/>
    <cellStyle name="Comma 4 2 5 12" xfId="27765" xr:uid="{00000000-0005-0000-0000-000039280000}"/>
    <cellStyle name="Comma 4 2 5 13" xfId="28269" xr:uid="{00000000-0005-0000-0000-00003A280000}"/>
    <cellStyle name="Comma 4 2 5 14" xfId="28773" xr:uid="{00000000-0005-0000-0000-00003B280000}"/>
    <cellStyle name="Comma 4 2 5 15" xfId="29277" xr:uid="{00000000-0005-0000-0000-00003C280000}"/>
    <cellStyle name="Comma 4 2 5 16" xfId="29781" xr:uid="{00000000-0005-0000-0000-00003D280000}"/>
    <cellStyle name="Comma 4 2 5 17" xfId="30285" xr:uid="{00000000-0005-0000-0000-00003E280000}"/>
    <cellStyle name="Comma 4 2 5 18" xfId="30790" xr:uid="{00000000-0005-0000-0000-00003F280000}"/>
    <cellStyle name="Comma 4 2 5 2" xfId="10067" xr:uid="{00000000-0005-0000-0000-000040280000}"/>
    <cellStyle name="Comma 4 2 5 2 2" xfId="10068" xr:uid="{00000000-0005-0000-0000-000041280000}"/>
    <cellStyle name="Comma 4 2 5 2 2 2" xfId="18491" xr:uid="{00000000-0005-0000-0000-000042280000}"/>
    <cellStyle name="Comma 4 2 5 3" xfId="10069" xr:uid="{00000000-0005-0000-0000-000043280000}"/>
    <cellStyle name="Comma 4 2 5 3 2" xfId="10070" xr:uid="{00000000-0005-0000-0000-000044280000}"/>
    <cellStyle name="Comma 4 2 5 3 2 2" xfId="18492" xr:uid="{00000000-0005-0000-0000-000045280000}"/>
    <cellStyle name="Comma 4 2 5 4" xfId="7160" xr:uid="{00000000-0005-0000-0000-000046280000}"/>
    <cellStyle name="Comma 4 2 5 5" xfId="23596" xr:uid="{00000000-0005-0000-0000-000047280000}"/>
    <cellStyle name="Comma 4 2 5 6" xfId="24741" xr:uid="{00000000-0005-0000-0000-000048280000}"/>
    <cellStyle name="Comma 4 2 5 7" xfId="25245" xr:uid="{00000000-0005-0000-0000-000049280000}"/>
    <cellStyle name="Comma 4 2 5 8" xfId="25749" xr:uid="{00000000-0005-0000-0000-00004A280000}"/>
    <cellStyle name="Comma 4 2 5 9" xfId="26253" xr:uid="{00000000-0005-0000-0000-00004B280000}"/>
    <cellStyle name="Comma 4 2 6" xfId="2032" xr:uid="{00000000-0005-0000-0000-00004C280000}"/>
    <cellStyle name="Comma 4 2 6 10" xfId="26758" xr:uid="{00000000-0005-0000-0000-00004D280000}"/>
    <cellStyle name="Comma 4 2 6 11" xfId="27262" xr:uid="{00000000-0005-0000-0000-00004E280000}"/>
    <cellStyle name="Comma 4 2 6 12" xfId="27766" xr:uid="{00000000-0005-0000-0000-00004F280000}"/>
    <cellStyle name="Comma 4 2 6 13" xfId="28270" xr:uid="{00000000-0005-0000-0000-000050280000}"/>
    <cellStyle name="Comma 4 2 6 14" xfId="28774" xr:uid="{00000000-0005-0000-0000-000051280000}"/>
    <cellStyle name="Comma 4 2 6 15" xfId="29278" xr:uid="{00000000-0005-0000-0000-000052280000}"/>
    <cellStyle name="Comma 4 2 6 16" xfId="29782" xr:uid="{00000000-0005-0000-0000-000053280000}"/>
    <cellStyle name="Comma 4 2 6 17" xfId="30286" xr:uid="{00000000-0005-0000-0000-000054280000}"/>
    <cellStyle name="Comma 4 2 6 18" xfId="30791" xr:uid="{00000000-0005-0000-0000-000055280000}"/>
    <cellStyle name="Comma 4 2 6 2" xfId="10071" xr:uid="{00000000-0005-0000-0000-000056280000}"/>
    <cellStyle name="Comma 4 2 6 2 2" xfId="10072" xr:uid="{00000000-0005-0000-0000-000057280000}"/>
    <cellStyle name="Comma 4 2 6 2 2 2" xfId="18493" xr:uid="{00000000-0005-0000-0000-000058280000}"/>
    <cellStyle name="Comma 4 2 6 3" xfId="10073" xr:uid="{00000000-0005-0000-0000-000059280000}"/>
    <cellStyle name="Comma 4 2 6 3 2" xfId="10074" xr:uid="{00000000-0005-0000-0000-00005A280000}"/>
    <cellStyle name="Comma 4 2 6 3 2 2" xfId="18494" xr:uid="{00000000-0005-0000-0000-00005B280000}"/>
    <cellStyle name="Comma 4 2 6 4" xfId="7161" xr:uid="{00000000-0005-0000-0000-00005C280000}"/>
    <cellStyle name="Comma 4 2 6 5" xfId="23597" xr:uid="{00000000-0005-0000-0000-00005D280000}"/>
    <cellStyle name="Comma 4 2 6 6" xfId="24742" xr:uid="{00000000-0005-0000-0000-00005E280000}"/>
    <cellStyle name="Comma 4 2 6 7" xfId="25246" xr:uid="{00000000-0005-0000-0000-00005F280000}"/>
    <cellStyle name="Comma 4 2 6 8" xfId="25750" xr:uid="{00000000-0005-0000-0000-000060280000}"/>
    <cellStyle name="Comma 4 2 6 9" xfId="26254" xr:uid="{00000000-0005-0000-0000-000061280000}"/>
    <cellStyle name="Comma 4 2 7" xfId="7299" xr:uid="{00000000-0005-0000-0000-000062280000}"/>
    <cellStyle name="Comma 4 2 7 10" xfId="27263" xr:uid="{00000000-0005-0000-0000-000063280000}"/>
    <cellStyle name="Comma 4 2 7 11" xfId="27767" xr:uid="{00000000-0005-0000-0000-000064280000}"/>
    <cellStyle name="Comma 4 2 7 12" xfId="28271" xr:uid="{00000000-0005-0000-0000-000065280000}"/>
    <cellStyle name="Comma 4 2 7 13" xfId="28775" xr:uid="{00000000-0005-0000-0000-000066280000}"/>
    <cellStyle name="Comma 4 2 7 14" xfId="29279" xr:uid="{00000000-0005-0000-0000-000067280000}"/>
    <cellStyle name="Comma 4 2 7 15" xfId="29783" xr:uid="{00000000-0005-0000-0000-000068280000}"/>
    <cellStyle name="Comma 4 2 7 16" xfId="30287" xr:uid="{00000000-0005-0000-0000-000069280000}"/>
    <cellStyle name="Comma 4 2 7 17" xfId="30792" xr:uid="{00000000-0005-0000-0000-00006A280000}"/>
    <cellStyle name="Comma 4 2 7 2" xfId="10075" xr:uid="{00000000-0005-0000-0000-00006B280000}"/>
    <cellStyle name="Comma 4 2 7 2 2" xfId="10076" xr:uid="{00000000-0005-0000-0000-00006C280000}"/>
    <cellStyle name="Comma 4 2 7 2 2 2" xfId="18495" xr:uid="{00000000-0005-0000-0000-00006D280000}"/>
    <cellStyle name="Comma 4 2 7 3" xfId="10077" xr:uid="{00000000-0005-0000-0000-00006E280000}"/>
    <cellStyle name="Comma 4 2 7 3 2" xfId="18496" xr:uid="{00000000-0005-0000-0000-00006F280000}"/>
    <cellStyle name="Comma 4 2 7 4" xfId="23598" xr:uid="{00000000-0005-0000-0000-000070280000}"/>
    <cellStyle name="Comma 4 2 7 5" xfId="24743" xr:uid="{00000000-0005-0000-0000-000071280000}"/>
    <cellStyle name="Comma 4 2 7 6" xfId="25247" xr:uid="{00000000-0005-0000-0000-000072280000}"/>
    <cellStyle name="Comma 4 2 7 7" xfId="25751" xr:uid="{00000000-0005-0000-0000-000073280000}"/>
    <cellStyle name="Comma 4 2 7 8" xfId="26255" xr:uid="{00000000-0005-0000-0000-000074280000}"/>
    <cellStyle name="Comma 4 2 7 9" xfId="26759" xr:uid="{00000000-0005-0000-0000-000075280000}"/>
    <cellStyle name="Comma 4 2 8" xfId="10078" xr:uid="{00000000-0005-0000-0000-000076280000}"/>
    <cellStyle name="Comma 4 2 8 2" xfId="10079" xr:uid="{00000000-0005-0000-0000-000077280000}"/>
    <cellStyle name="Comma 4 2 8 2 2" xfId="10080" xr:uid="{00000000-0005-0000-0000-000078280000}"/>
    <cellStyle name="Comma 4 2 8 2 2 2" xfId="18497" xr:uid="{00000000-0005-0000-0000-000079280000}"/>
    <cellStyle name="Comma 4 2 8 3" xfId="10081" xr:uid="{00000000-0005-0000-0000-00007A280000}"/>
    <cellStyle name="Comma 4 2 8 3 2" xfId="18498" xr:uid="{00000000-0005-0000-0000-00007B280000}"/>
    <cellStyle name="Comma 4 2 9" xfId="10082" xr:uid="{00000000-0005-0000-0000-00007C280000}"/>
    <cellStyle name="Comma 4 2 9 2" xfId="10083" xr:uid="{00000000-0005-0000-0000-00007D280000}"/>
    <cellStyle name="Comma 4 2 9 2 2" xfId="10084" xr:uid="{00000000-0005-0000-0000-00007E280000}"/>
    <cellStyle name="Comma 4 2 9 2 2 2" xfId="18499" xr:uid="{00000000-0005-0000-0000-00007F280000}"/>
    <cellStyle name="Comma 4 2 9 3" xfId="10085" xr:uid="{00000000-0005-0000-0000-000080280000}"/>
    <cellStyle name="Comma 4 2 9 3 2" xfId="18500" xr:uid="{00000000-0005-0000-0000-000081280000}"/>
    <cellStyle name="Comma 4 20" xfId="10086" xr:uid="{00000000-0005-0000-0000-000082280000}"/>
    <cellStyle name="Comma 4 20 2" xfId="18501" xr:uid="{00000000-0005-0000-0000-000083280000}"/>
    <cellStyle name="Comma 4 21" xfId="9663" xr:uid="{00000000-0005-0000-0000-000084280000}"/>
    <cellStyle name="Comma 4 22" xfId="18270" xr:uid="{00000000-0005-0000-0000-000085280000}"/>
    <cellStyle name="Comma 4 23" xfId="7149" xr:uid="{00000000-0005-0000-0000-000086280000}"/>
    <cellStyle name="Comma 4 24" xfId="22955" xr:uid="{00000000-0005-0000-0000-000087280000}"/>
    <cellStyle name="Comma 4 25" xfId="23576" xr:uid="{00000000-0005-0000-0000-000088280000}"/>
    <cellStyle name="Comma 4 26" xfId="24721" xr:uid="{00000000-0005-0000-0000-000089280000}"/>
    <cellStyle name="Comma 4 27" xfId="25225" xr:uid="{00000000-0005-0000-0000-00008A280000}"/>
    <cellStyle name="Comma 4 28" xfId="25729" xr:uid="{00000000-0005-0000-0000-00008B280000}"/>
    <cellStyle name="Comma 4 29" xfId="26233" xr:uid="{00000000-0005-0000-0000-00008C280000}"/>
    <cellStyle name="Comma 4 3" xfId="151" xr:uid="{00000000-0005-0000-0000-00008D280000}"/>
    <cellStyle name="Comma 4 3 10" xfId="10088" xr:uid="{00000000-0005-0000-0000-00008E280000}"/>
    <cellStyle name="Comma 4 3 10 2" xfId="10089" xr:uid="{00000000-0005-0000-0000-00008F280000}"/>
    <cellStyle name="Comma 4 3 10 2 2" xfId="10090" xr:uid="{00000000-0005-0000-0000-000090280000}"/>
    <cellStyle name="Comma 4 3 10 2 2 2" xfId="18503" xr:uid="{00000000-0005-0000-0000-000091280000}"/>
    <cellStyle name="Comma 4 3 10 3" xfId="10091" xr:uid="{00000000-0005-0000-0000-000092280000}"/>
    <cellStyle name="Comma 4 3 10 3 2" xfId="18504" xr:uid="{00000000-0005-0000-0000-000093280000}"/>
    <cellStyle name="Comma 4 3 11" xfId="10092" xr:uid="{00000000-0005-0000-0000-000094280000}"/>
    <cellStyle name="Comma 4 3 11 2" xfId="10093" xr:uid="{00000000-0005-0000-0000-000095280000}"/>
    <cellStyle name="Comma 4 3 11 2 2" xfId="10094" xr:uid="{00000000-0005-0000-0000-000096280000}"/>
    <cellStyle name="Comma 4 3 11 2 2 2" xfId="18505" xr:uid="{00000000-0005-0000-0000-000097280000}"/>
    <cellStyle name="Comma 4 3 11 3" xfId="10095" xr:uid="{00000000-0005-0000-0000-000098280000}"/>
    <cellStyle name="Comma 4 3 11 3 2" xfId="18506" xr:uid="{00000000-0005-0000-0000-000099280000}"/>
    <cellStyle name="Comma 4 3 12" xfId="10096" xr:uid="{00000000-0005-0000-0000-00009A280000}"/>
    <cellStyle name="Comma 4 3 12 2" xfId="10097" xr:uid="{00000000-0005-0000-0000-00009B280000}"/>
    <cellStyle name="Comma 4 3 12 2 2" xfId="10098" xr:uid="{00000000-0005-0000-0000-00009C280000}"/>
    <cellStyle name="Comma 4 3 12 2 2 2" xfId="18507" xr:uid="{00000000-0005-0000-0000-00009D280000}"/>
    <cellStyle name="Comma 4 3 12 3" xfId="10099" xr:uid="{00000000-0005-0000-0000-00009E280000}"/>
    <cellStyle name="Comma 4 3 12 3 2" xfId="18508" xr:uid="{00000000-0005-0000-0000-00009F280000}"/>
    <cellStyle name="Comma 4 3 13" xfId="10100" xr:uid="{00000000-0005-0000-0000-0000A0280000}"/>
    <cellStyle name="Comma 4 3 13 2" xfId="10101" xr:uid="{00000000-0005-0000-0000-0000A1280000}"/>
    <cellStyle name="Comma 4 3 13 2 2" xfId="10102" xr:uid="{00000000-0005-0000-0000-0000A2280000}"/>
    <cellStyle name="Comma 4 3 13 2 2 2" xfId="18509" xr:uid="{00000000-0005-0000-0000-0000A3280000}"/>
    <cellStyle name="Comma 4 3 13 3" xfId="10103" xr:uid="{00000000-0005-0000-0000-0000A4280000}"/>
    <cellStyle name="Comma 4 3 13 3 2" xfId="18510" xr:uid="{00000000-0005-0000-0000-0000A5280000}"/>
    <cellStyle name="Comma 4 3 14" xfId="10104" xr:uid="{00000000-0005-0000-0000-0000A6280000}"/>
    <cellStyle name="Comma 4 3 14 2" xfId="10105" xr:uid="{00000000-0005-0000-0000-0000A7280000}"/>
    <cellStyle name="Comma 4 3 14 2 2" xfId="10106" xr:uid="{00000000-0005-0000-0000-0000A8280000}"/>
    <cellStyle name="Comma 4 3 14 2 2 2" xfId="18511" xr:uid="{00000000-0005-0000-0000-0000A9280000}"/>
    <cellStyle name="Comma 4 3 14 3" xfId="10107" xr:uid="{00000000-0005-0000-0000-0000AA280000}"/>
    <cellStyle name="Comma 4 3 14 3 2" xfId="18512" xr:uid="{00000000-0005-0000-0000-0000AB280000}"/>
    <cellStyle name="Comma 4 3 15" xfId="10108" xr:uid="{00000000-0005-0000-0000-0000AC280000}"/>
    <cellStyle name="Comma 4 3 15 2" xfId="10109" xr:uid="{00000000-0005-0000-0000-0000AD280000}"/>
    <cellStyle name="Comma 4 3 15 2 2" xfId="10110" xr:uid="{00000000-0005-0000-0000-0000AE280000}"/>
    <cellStyle name="Comma 4 3 15 2 2 2" xfId="10111" xr:uid="{00000000-0005-0000-0000-0000AF280000}"/>
    <cellStyle name="Comma 4 3 15 2 2 2 2" xfId="18513" xr:uid="{00000000-0005-0000-0000-0000B0280000}"/>
    <cellStyle name="Comma 4 3 15 2 3" xfId="10112" xr:uid="{00000000-0005-0000-0000-0000B1280000}"/>
    <cellStyle name="Comma 4 3 15 2 3 2" xfId="10113" xr:uid="{00000000-0005-0000-0000-0000B2280000}"/>
    <cellStyle name="Comma 4 3 15 2 3 2 2" xfId="18514" xr:uid="{00000000-0005-0000-0000-0000B3280000}"/>
    <cellStyle name="Comma 4 3 15 2 4" xfId="10114" xr:uid="{00000000-0005-0000-0000-0000B4280000}"/>
    <cellStyle name="Comma 4 3 15 2 4 2" xfId="10115" xr:uid="{00000000-0005-0000-0000-0000B5280000}"/>
    <cellStyle name="Comma 4 3 15 2 4 2 2" xfId="18515" xr:uid="{00000000-0005-0000-0000-0000B6280000}"/>
    <cellStyle name="Comma 4 3 15 2 5" xfId="10116" xr:uid="{00000000-0005-0000-0000-0000B7280000}"/>
    <cellStyle name="Comma 4 3 15 2 5 2" xfId="10117" xr:uid="{00000000-0005-0000-0000-0000B8280000}"/>
    <cellStyle name="Comma 4 3 15 2 5 2 2" xfId="18516" xr:uid="{00000000-0005-0000-0000-0000B9280000}"/>
    <cellStyle name="Comma 4 3 15 2 6" xfId="10118" xr:uid="{00000000-0005-0000-0000-0000BA280000}"/>
    <cellStyle name="Comma 4 3 15 2 6 2" xfId="10119" xr:uid="{00000000-0005-0000-0000-0000BB280000}"/>
    <cellStyle name="Comma 4 3 15 2 6 2 2" xfId="18517" xr:uid="{00000000-0005-0000-0000-0000BC280000}"/>
    <cellStyle name="Comma 4 3 15 2 7" xfId="10120" xr:uid="{00000000-0005-0000-0000-0000BD280000}"/>
    <cellStyle name="Comma 4 3 15 2 7 2" xfId="10121" xr:uid="{00000000-0005-0000-0000-0000BE280000}"/>
    <cellStyle name="Comma 4 3 15 2 7 2 2" xfId="18518" xr:uid="{00000000-0005-0000-0000-0000BF280000}"/>
    <cellStyle name="Comma 4 3 15 2 8" xfId="10122" xr:uid="{00000000-0005-0000-0000-0000C0280000}"/>
    <cellStyle name="Comma 4 3 15 2 8 2" xfId="18519" xr:uid="{00000000-0005-0000-0000-0000C1280000}"/>
    <cellStyle name="Comma 4 3 15 3" xfId="10123" xr:uid="{00000000-0005-0000-0000-0000C2280000}"/>
    <cellStyle name="Comma 4 3 15 3 2" xfId="10124" xr:uid="{00000000-0005-0000-0000-0000C3280000}"/>
    <cellStyle name="Comma 4 3 15 3 2 2" xfId="18520" xr:uid="{00000000-0005-0000-0000-0000C4280000}"/>
    <cellStyle name="Comma 4 3 15 4" xfId="10125" xr:uid="{00000000-0005-0000-0000-0000C5280000}"/>
    <cellStyle name="Comma 4 3 15 4 2" xfId="10126" xr:uid="{00000000-0005-0000-0000-0000C6280000}"/>
    <cellStyle name="Comma 4 3 15 4 2 2" xfId="18521" xr:uid="{00000000-0005-0000-0000-0000C7280000}"/>
    <cellStyle name="Comma 4 3 15 5" xfId="10127" xr:uid="{00000000-0005-0000-0000-0000C8280000}"/>
    <cellStyle name="Comma 4 3 15 5 2" xfId="10128" xr:uid="{00000000-0005-0000-0000-0000C9280000}"/>
    <cellStyle name="Comma 4 3 15 5 2 2" xfId="18522" xr:uid="{00000000-0005-0000-0000-0000CA280000}"/>
    <cellStyle name="Comma 4 3 15 6" xfId="10129" xr:uid="{00000000-0005-0000-0000-0000CB280000}"/>
    <cellStyle name="Comma 4 3 15 6 2" xfId="10130" xr:uid="{00000000-0005-0000-0000-0000CC280000}"/>
    <cellStyle name="Comma 4 3 15 6 2 2" xfId="18523" xr:uid="{00000000-0005-0000-0000-0000CD280000}"/>
    <cellStyle name="Comma 4 3 15 7" xfId="10131" xr:uid="{00000000-0005-0000-0000-0000CE280000}"/>
    <cellStyle name="Comma 4 3 15 7 2" xfId="10132" xr:uid="{00000000-0005-0000-0000-0000CF280000}"/>
    <cellStyle name="Comma 4 3 15 7 2 2" xfId="18524" xr:uid="{00000000-0005-0000-0000-0000D0280000}"/>
    <cellStyle name="Comma 4 3 15 8" xfId="10133" xr:uid="{00000000-0005-0000-0000-0000D1280000}"/>
    <cellStyle name="Comma 4 3 15 8 2" xfId="10134" xr:uid="{00000000-0005-0000-0000-0000D2280000}"/>
    <cellStyle name="Comma 4 3 15 8 2 2" xfId="18525" xr:uid="{00000000-0005-0000-0000-0000D3280000}"/>
    <cellStyle name="Comma 4 3 15 9" xfId="10135" xr:uid="{00000000-0005-0000-0000-0000D4280000}"/>
    <cellStyle name="Comma 4 3 15 9 2" xfId="18526" xr:uid="{00000000-0005-0000-0000-0000D5280000}"/>
    <cellStyle name="Comma 4 3 16" xfId="10136" xr:uid="{00000000-0005-0000-0000-0000D6280000}"/>
    <cellStyle name="Comma 4 3 16 2" xfId="10137" xr:uid="{00000000-0005-0000-0000-0000D7280000}"/>
    <cellStyle name="Comma 4 3 16 2 2" xfId="18527" xr:uid="{00000000-0005-0000-0000-0000D8280000}"/>
    <cellStyle name="Comma 4 3 17" xfId="10138" xr:uid="{00000000-0005-0000-0000-0000D9280000}"/>
    <cellStyle name="Comma 4 3 17 2" xfId="10139" xr:uid="{00000000-0005-0000-0000-0000DA280000}"/>
    <cellStyle name="Comma 4 3 17 2 2" xfId="18528" xr:uid="{00000000-0005-0000-0000-0000DB280000}"/>
    <cellStyle name="Comma 4 3 18" xfId="10140" xr:uid="{00000000-0005-0000-0000-0000DC280000}"/>
    <cellStyle name="Comma 4 3 18 2" xfId="18529" xr:uid="{00000000-0005-0000-0000-0000DD280000}"/>
    <cellStyle name="Comma 4 3 19" xfId="10087" xr:uid="{00000000-0005-0000-0000-0000DE280000}"/>
    <cellStyle name="Comma 4 3 2" xfId="152" xr:uid="{00000000-0005-0000-0000-0000DF280000}"/>
    <cellStyle name="Comma 4 3 2 10" xfId="10142" xr:uid="{00000000-0005-0000-0000-0000E0280000}"/>
    <cellStyle name="Comma 4 3 2 10 2" xfId="10143" xr:uid="{00000000-0005-0000-0000-0000E1280000}"/>
    <cellStyle name="Comma 4 3 2 10 2 2" xfId="10144" xr:uid="{00000000-0005-0000-0000-0000E2280000}"/>
    <cellStyle name="Comma 4 3 2 10 2 2 2" xfId="18531" xr:uid="{00000000-0005-0000-0000-0000E3280000}"/>
    <cellStyle name="Comma 4 3 2 10 3" xfId="10145" xr:uid="{00000000-0005-0000-0000-0000E4280000}"/>
    <cellStyle name="Comma 4 3 2 10 3 2" xfId="18532" xr:uid="{00000000-0005-0000-0000-0000E5280000}"/>
    <cellStyle name="Comma 4 3 2 11" xfId="10146" xr:uid="{00000000-0005-0000-0000-0000E6280000}"/>
    <cellStyle name="Comma 4 3 2 11 2" xfId="10147" xr:uid="{00000000-0005-0000-0000-0000E7280000}"/>
    <cellStyle name="Comma 4 3 2 11 2 2" xfId="10148" xr:uid="{00000000-0005-0000-0000-0000E8280000}"/>
    <cellStyle name="Comma 4 3 2 11 2 2 2" xfId="18533" xr:uid="{00000000-0005-0000-0000-0000E9280000}"/>
    <cellStyle name="Comma 4 3 2 11 3" xfId="10149" xr:uid="{00000000-0005-0000-0000-0000EA280000}"/>
    <cellStyle name="Comma 4 3 2 11 3 2" xfId="18534" xr:uid="{00000000-0005-0000-0000-0000EB280000}"/>
    <cellStyle name="Comma 4 3 2 12" xfId="10150" xr:uid="{00000000-0005-0000-0000-0000EC280000}"/>
    <cellStyle name="Comma 4 3 2 12 2" xfId="10151" xr:uid="{00000000-0005-0000-0000-0000ED280000}"/>
    <cellStyle name="Comma 4 3 2 12 2 2" xfId="10152" xr:uid="{00000000-0005-0000-0000-0000EE280000}"/>
    <cellStyle name="Comma 4 3 2 12 2 2 2" xfId="18535" xr:uid="{00000000-0005-0000-0000-0000EF280000}"/>
    <cellStyle name="Comma 4 3 2 12 3" xfId="10153" xr:uid="{00000000-0005-0000-0000-0000F0280000}"/>
    <cellStyle name="Comma 4 3 2 12 3 2" xfId="18536" xr:uid="{00000000-0005-0000-0000-0000F1280000}"/>
    <cellStyle name="Comma 4 3 2 13" xfId="10154" xr:uid="{00000000-0005-0000-0000-0000F2280000}"/>
    <cellStyle name="Comma 4 3 2 13 2" xfId="10155" xr:uid="{00000000-0005-0000-0000-0000F3280000}"/>
    <cellStyle name="Comma 4 3 2 13 2 2" xfId="10156" xr:uid="{00000000-0005-0000-0000-0000F4280000}"/>
    <cellStyle name="Comma 4 3 2 13 2 2 2" xfId="18537" xr:uid="{00000000-0005-0000-0000-0000F5280000}"/>
    <cellStyle name="Comma 4 3 2 13 3" xfId="10157" xr:uid="{00000000-0005-0000-0000-0000F6280000}"/>
    <cellStyle name="Comma 4 3 2 13 3 2" xfId="18538" xr:uid="{00000000-0005-0000-0000-0000F7280000}"/>
    <cellStyle name="Comma 4 3 2 14" xfId="10158" xr:uid="{00000000-0005-0000-0000-0000F8280000}"/>
    <cellStyle name="Comma 4 3 2 14 2" xfId="10159" xr:uid="{00000000-0005-0000-0000-0000F9280000}"/>
    <cellStyle name="Comma 4 3 2 14 2 2" xfId="10160" xr:uid="{00000000-0005-0000-0000-0000FA280000}"/>
    <cellStyle name="Comma 4 3 2 14 2 2 2" xfId="10161" xr:uid="{00000000-0005-0000-0000-0000FB280000}"/>
    <cellStyle name="Comma 4 3 2 14 2 2 2 2" xfId="18539" xr:uid="{00000000-0005-0000-0000-0000FC280000}"/>
    <cellStyle name="Comma 4 3 2 14 2 3" xfId="10162" xr:uid="{00000000-0005-0000-0000-0000FD280000}"/>
    <cellStyle name="Comma 4 3 2 14 2 3 2" xfId="10163" xr:uid="{00000000-0005-0000-0000-0000FE280000}"/>
    <cellStyle name="Comma 4 3 2 14 2 3 2 2" xfId="18540" xr:uid="{00000000-0005-0000-0000-0000FF280000}"/>
    <cellStyle name="Comma 4 3 2 14 2 4" xfId="10164" xr:uid="{00000000-0005-0000-0000-000000290000}"/>
    <cellStyle name="Comma 4 3 2 14 2 4 2" xfId="10165" xr:uid="{00000000-0005-0000-0000-000001290000}"/>
    <cellStyle name="Comma 4 3 2 14 2 4 2 2" xfId="18541" xr:uid="{00000000-0005-0000-0000-000002290000}"/>
    <cellStyle name="Comma 4 3 2 14 2 5" xfId="10166" xr:uid="{00000000-0005-0000-0000-000003290000}"/>
    <cellStyle name="Comma 4 3 2 14 2 5 2" xfId="10167" xr:uid="{00000000-0005-0000-0000-000004290000}"/>
    <cellStyle name="Comma 4 3 2 14 2 5 2 2" xfId="18542" xr:uid="{00000000-0005-0000-0000-000005290000}"/>
    <cellStyle name="Comma 4 3 2 14 2 6" xfId="10168" xr:uid="{00000000-0005-0000-0000-000006290000}"/>
    <cellStyle name="Comma 4 3 2 14 2 6 2" xfId="10169" xr:uid="{00000000-0005-0000-0000-000007290000}"/>
    <cellStyle name="Comma 4 3 2 14 2 6 2 2" xfId="18543" xr:uid="{00000000-0005-0000-0000-000008290000}"/>
    <cellStyle name="Comma 4 3 2 14 2 7" xfId="10170" xr:uid="{00000000-0005-0000-0000-000009290000}"/>
    <cellStyle name="Comma 4 3 2 14 2 7 2" xfId="10171" xr:uid="{00000000-0005-0000-0000-00000A290000}"/>
    <cellStyle name="Comma 4 3 2 14 2 7 2 2" xfId="18544" xr:uid="{00000000-0005-0000-0000-00000B290000}"/>
    <cellStyle name="Comma 4 3 2 14 2 8" xfId="10172" xr:uid="{00000000-0005-0000-0000-00000C290000}"/>
    <cellStyle name="Comma 4 3 2 14 2 8 2" xfId="18545" xr:uid="{00000000-0005-0000-0000-00000D290000}"/>
    <cellStyle name="Comma 4 3 2 14 3" xfId="10173" xr:uid="{00000000-0005-0000-0000-00000E290000}"/>
    <cellStyle name="Comma 4 3 2 14 3 2" xfId="10174" xr:uid="{00000000-0005-0000-0000-00000F290000}"/>
    <cellStyle name="Comma 4 3 2 14 3 2 2" xfId="18546" xr:uid="{00000000-0005-0000-0000-000010290000}"/>
    <cellStyle name="Comma 4 3 2 14 4" xfId="10175" xr:uid="{00000000-0005-0000-0000-000011290000}"/>
    <cellStyle name="Comma 4 3 2 14 4 2" xfId="10176" xr:uid="{00000000-0005-0000-0000-000012290000}"/>
    <cellStyle name="Comma 4 3 2 14 4 2 2" xfId="18547" xr:uid="{00000000-0005-0000-0000-000013290000}"/>
    <cellStyle name="Comma 4 3 2 14 5" xfId="10177" xr:uid="{00000000-0005-0000-0000-000014290000}"/>
    <cellStyle name="Comma 4 3 2 14 5 2" xfId="10178" xr:uid="{00000000-0005-0000-0000-000015290000}"/>
    <cellStyle name="Comma 4 3 2 14 5 2 2" xfId="18548" xr:uid="{00000000-0005-0000-0000-000016290000}"/>
    <cellStyle name="Comma 4 3 2 14 6" xfId="10179" xr:uid="{00000000-0005-0000-0000-000017290000}"/>
    <cellStyle name="Comma 4 3 2 14 6 2" xfId="10180" xr:uid="{00000000-0005-0000-0000-000018290000}"/>
    <cellStyle name="Comma 4 3 2 14 6 2 2" xfId="18549" xr:uid="{00000000-0005-0000-0000-000019290000}"/>
    <cellStyle name="Comma 4 3 2 14 7" xfId="10181" xr:uid="{00000000-0005-0000-0000-00001A290000}"/>
    <cellStyle name="Comma 4 3 2 14 7 2" xfId="10182" xr:uid="{00000000-0005-0000-0000-00001B290000}"/>
    <cellStyle name="Comma 4 3 2 14 7 2 2" xfId="18550" xr:uid="{00000000-0005-0000-0000-00001C290000}"/>
    <cellStyle name="Comma 4 3 2 14 8" xfId="10183" xr:uid="{00000000-0005-0000-0000-00001D290000}"/>
    <cellStyle name="Comma 4 3 2 14 8 2" xfId="10184" xr:uid="{00000000-0005-0000-0000-00001E290000}"/>
    <cellStyle name="Comma 4 3 2 14 8 2 2" xfId="18551" xr:uid="{00000000-0005-0000-0000-00001F290000}"/>
    <cellStyle name="Comma 4 3 2 14 9" xfId="10185" xr:uid="{00000000-0005-0000-0000-000020290000}"/>
    <cellStyle name="Comma 4 3 2 14 9 2" xfId="18552" xr:uid="{00000000-0005-0000-0000-000021290000}"/>
    <cellStyle name="Comma 4 3 2 15" xfId="10186" xr:uid="{00000000-0005-0000-0000-000022290000}"/>
    <cellStyle name="Comma 4 3 2 15 2" xfId="10187" xr:uid="{00000000-0005-0000-0000-000023290000}"/>
    <cellStyle name="Comma 4 3 2 15 2 2" xfId="18553" xr:uid="{00000000-0005-0000-0000-000024290000}"/>
    <cellStyle name="Comma 4 3 2 16" xfId="10188" xr:uid="{00000000-0005-0000-0000-000025290000}"/>
    <cellStyle name="Comma 4 3 2 16 2" xfId="10189" xr:uid="{00000000-0005-0000-0000-000026290000}"/>
    <cellStyle name="Comma 4 3 2 16 2 2" xfId="18554" xr:uid="{00000000-0005-0000-0000-000027290000}"/>
    <cellStyle name="Comma 4 3 2 17" xfId="10190" xr:uid="{00000000-0005-0000-0000-000028290000}"/>
    <cellStyle name="Comma 4 3 2 17 2" xfId="18555" xr:uid="{00000000-0005-0000-0000-000029290000}"/>
    <cellStyle name="Comma 4 3 2 18" xfId="10141" xr:uid="{00000000-0005-0000-0000-00002A290000}"/>
    <cellStyle name="Comma 4 3 2 19" xfId="18530" xr:uid="{00000000-0005-0000-0000-00002B290000}"/>
    <cellStyle name="Comma 4 3 2 2" xfId="2033" xr:uid="{00000000-0005-0000-0000-00002C290000}"/>
    <cellStyle name="Comma 4 3 2 2 10" xfId="10192" xr:uid="{00000000-0005-0000-0000-00002D290000}"/>
    <cellStyle name="Comma 4 3 2 2 10 2" xfId="18557" xr:uid="{00000000-0005-0000-0000-00002E290000}"/>
    <cellStyle name="Comma 4 3 2 2 11" xfId="10193" xr:uid="{00000000-0005-0000-0000-00002F290000}"/>
    <cellStyle name="Comma 4 3 2 2 11 2" xfId="18558" xr:uid="{00000000-0005-0000-0000-000030290000}"/>
    <cellStyle name="Comma 4 3 2 2 12" xfId="10194" xr:uid="{00000000-0005-0000-0000-000031290000}"/>
    <cellStyle name="Comma 4 3 2 2 12 2" xfId="18559" xr:uid="{00000000-0005-0000-0000-000032290000}"/>
    <cellStyle name="Comma 4 3 2 2 13" xfId="10191" xr:uid="{00000000-0005-0000-0000-000033290000}"/>
    <cellStyle name="Comma 4 3 2 2 14" xfId="18556" xr:uid="{00000000-0005-0000-0000-000034290000}"/>
    <cellStyle name="Comma 4 3 2 2 15" xfId="7164" xr:uid="{00000000-0005-0000-0000-000035290000}"/>
    <cellStyle name="Comma 4 3 2 2 16" xfId="23601" xr:uid="{00000000-0005-0000-0000-000036290000}"/>
    <cellStyle name="Comma 4 3 2 2 17" xfId="24746" xr:uid="{00000000-0005-0000-0000-000037290000}"/>
    <cellStyle name="Comma 4 3 2 2 18" xfId="25250" xr:uid="{00000000-0005-0000-0000-000038290000}"/>
    <cellStyle name="Comma 4 3 2 2 19" xfId="25754" xr:uid="{00000000-0005-0000-0000-000039290000}"/>
    <cellStyle name="Comma 4 3 2 2 2" xfId="2034" xr:uid="{00000000-0005-0000-0000-00003A290000}"/>
    <cellStyle name="Comma 4 3 2 2 2 10" xfId="10195" xr:uid="{00000000-0005-0000-0000-00003B290000}"/>
    <cellStyle name="Comma 4 3 2 2 2 10 2" xfId="18560" xr:uid="{00000000-0005-0000-0000-00003C290000}"/>
    <cellStyle name="Comma 4 3 2 2 2 11" xfId="7165" xr:uid="{00000000-0005-0000-0000-00003D290000}"/>
    <cellStyle name="Comma 4 3 2 2 2 12" xfId="23602" xr:uid="{00000000-0005-0000-0000-00003E290000}"/>
    <cellStyle name="Comma 4 3 2 2 2 13" xfId="24747" xr:uid="{00000000-0005-0000-0000-00003F290000}"/>
    <cellStyle name="Comma 4 3 2 2 2 14" xfId="25251" xr:uid="{00000000-0005-0000-0000-000040290000}"/>
    <cellStyle name="Comma 4 3 2 2 2 15" xfId="25755" xr:uid="{00000000-0005-0000-0000-000041290000}"/>
    <cellStyle name="Comma 4 3 2 2 2 16" xfId="26259" xr:uid="{00000000-0005-0000-0000-000042290000}"/>
    <cellStyle name="Comma 4 3 2 2 2 17" xfId="26763" xr:uid="{00000000-0005-0000-0000-000043290000}"/>
    <cellStyle name="Comma 4 3 2 2 2 18" xfId="27267" xr:uid="{00000000-0005-0000-0000-000044290000}"/>
    <cellStyle name="Comma 4 3 2 2 2 19" xfId="27771" xr:uid="{00000000-0005-0000-0000-000045290000}"/>
    <cellStyle name="Comma 4 3 2 2 2 2" xfId="6864" xr:uid="{00000000-0005-0000-0000-000046290000}"/>
    <cellStyle name="Comma 4 3 2 2 2 2 10" xfId="26764" xr:uid="{00000000-0005-0000-0000-000047290000}"/>
    <cellStyle name="Comma 4 3 2 2 2 2 11" xfId="27268" xr:uid="{00000000-0005-0000-0000-000048290000}"/>
    <cellStyle name="Comma 4 3 2 2 2 2 12" xfId="27772" xr:uid="{00000000-0005-0000-0000-000049290000}"/>
    <cellStyle name="Comma 4 3 2 2 2 2 13" xfId="28276" xr:uid="{00000000-0005-0000-0000-00004A290000}"/>
    <cellStyle name="Comma 4 3 2 2 2 2 14" xfId="28780" xr:uid="{00000000-0005-0000-0000-00004B290000}"/>
    <cellStyle name="Comma 4 3 2 2 2 2 15" xfId="29284" xr:uid="{00000000-0005-0000-0000-00004C290000}"/>
    <cellStyle name="Comma 4 3 2 2 2 2 16" xfId="29788" xr:uid="{00000000-0005-0000-0000-00004D290000}"/>
    <cellStyle name="Comma 4 3 2 2 2 2 17" xfId="30292" xr:uid="{00000000-0005-0000-0000-00004E290000}"/>
    <cellStyle name="Comma 4 3 2 2 2 2 18" xfId="30797" xr:uid="{00000000-0005-0000-0000-00004F290000}"/>
    <cellStyle name="Comma 4 3 2 2 2 2 2" xfId="10197" xr:uid="{00000000-0005-0000-0000-000050290000}"/>
    <cellStyle name="Comma 4 3 2 2 2 2 2 2" xfId="18562" xr:uid="{00000000-0005-0000-0000-000051290000}"/>
    <cellStyle name="Comma 4 3 2 2 2 2 3" xfId="18561" xr:uid="{00000000-0005-0000-0000-000052290000}"/>
    <cellStyle name="Comma 4 3 2 2 2 2 4" xfId="10196" xr:uid="{00000000-0005-0000-0000-000053290000}"/>
    <cellStyle name="Comma 4 3 2 2 2 2 5" xfId="23603" xr:uid="{00000000-0005-0000-0000-000054290000}"/>
    <cellStyle name="Comma 4 3 2 2 2 2 6" xfId="24748" xr:uid="{00000000-0005-0000-0000-000055290000}"/>
    <cellStyle name="Comma 4 3 2 2 2 2 7" xfId="25252" xr:uid="{00000000-0005-0000-0000-000056290000}"/>
    <cellStyle name="Comma 4 3 2 2 2 2 8" xfId="25756" xr:uid="{00000000-0005-0000-0000-000057290000}"/>
    <cellStyle name="Comma 4 3 2 2 2 2 9" xfId="26260" xr:uid="{00000000-0005-0000-0000-000058290000}"/>
    <cellStyle name="Comma 4 3 2 2 2 20" xfId="28275" xr:uid="{00000000-0005-0000-0000-000059290000}"/>
    <cellStyle name="Comma 4 3 2 2 2 21" xfId="28779" xr:uid="{00000000-0005-0000-0000-00005A290000}"/>
    <cellStyle name="Comma 4 3 2 2 2 22" xfId="29283" xr:uid="{00000000-0005-0000-0000-00005B290000}"/>
    <cellStyle name="Comma 4 3 2 2 2 23" xfId="29787" xr:uid="{00000000-0005-0000-0000-00005C290000}"/>
    <cellStyle name="Comma 4 3 2 2 2 24" xfId="30291" xr:uid="{00000000-0005-0000-0000-00005D290000}"/>
    <cellStyle name="Comma 4 3 2 2 2 25" xfId="30796" xr:uid="{00000000-0005-0000-0000-00005E290000}"/>
    <cellStyle name="Comma 4 3 2 2 2 3" xfId="10198" xr:uid="{00000000-0005-0000-0000-00005F290000}"/>
    <cellStyle name="Comma 4 3 2 2 2 3 10" xfId="27269" xr:uid="{00000000-0005-0000-0000-000060290000}"/>
    <cellStyle name="Comma 4 3 2 2 2 3 11" xfId="27773" xr:uid="{00000000-0005-0000-0000-000061290000}"/>
    <cellStyle name="Comma 4 3 2 2 2 3 12" xfId="28277" xr:uid="{00000000-0005-0000-0000-000062290000}"/>
    <cellStyle name="Comma 4 3 2 2 2 3 13" xfId="28781" xr:uid="{00000000-0005-0000-0000-000063290000}"/>
    <cellStyle name="Comma 4 3 2 2 2 3 14" xfId="29285" xr:uid="{00000000-0005-0000-0000-000064290000}"/>
    <cellStyle name="Comma 4 3 2 2 2 3 15" xfId="29789" xr:uid="{00000000-0005-0000-0000-000065290000}"/>
    <cellStyle name="Comma 4 3 2 2 2 3 16" xfId="30293" xr:uid="{00000000-0005-0000-0000-000066290000}"/>
    <cellStyle name="Comma 4 3 2 2 2 3 17" xfId="30798" xr:uid="{00000000-0005-0000-0000-000067290000}"/>
    <cellStyle name="Comma 4 3 2 2 2 3 2" xfId="10199" xr:uid="{00000000-0005-0000-0000-000068290000}"/>
    <cellStyle name="Comma 4 3 2 2 2 3 2 2" xfId="18564" xr:uid="{00000000-0005-0000-0000-000069290000}"/>
    <cellStyle name="Comma 4 3 2 2 2 3 3" xfId="18563" xr:uid="{00000000-0005-0000-0000-00006A290000}"/>
    <cellStyle name="Comma 4 3 2 2 2 3 4" xfId="23604" xr:uid="{00000000-0005-0000-0000-00006B290000}"/>
    <cellStyle name="Comma 4 3 2 2 2 3 5" xfId="24749" xr:uid="{00000000-0005-0000-0000-00006C290000}"/>
    <cellStyle name="Comma 4 3 2 2 2 3 6" xfId="25253" xr:uid="{00000000-0005-0000-0000-00006D290000}"/>
    <cellStyle name="Comma 4 3 2 2 2 3 7" xfId="25757" xr:uid="{00000000-0005-0000-0000-00006E290000}"/>
    <cellStyle name="Comma 4 3 2 2 2 3 8" xfId="26261" xr:uid="{00000000-0005-0000-0000-00006F290000}"/>
    <cellStyle name="Comma 4 3 2 2 2 3 9" xfId="26765" xr:uid="{00000000-0005-0000-0000-000070290000}"/>
    <cellStyle name="Comma 4 3 2 2 2 4" xfId="10200" xr:uid="{00000000-0005-0000-0000-000071290000}"/>
    <cellStyle name="Comma 4 3 2 2 2 4 2" xfId="10201" xr:uid="{00000000-0005-0000-0000-000072290000}"/>
    <cellStyle name="Comma 4 3 2 2 2 4 2 2" xfId="18565" xr:uid="{00000000-0005-0000-0000-000073290000}"/>
    <cellStyle name="Comma 4 3 2 2 2 5" xfId="10202" xr:uid="{00000000-0005-0000-0000-000074290000}"/>
    <cellStyle name="Comma 4 3 2 2 2 5 2" xfId="10203" xr:uid="{00000000-0005-0000-0000-000075290000}"/>
    <cellStyle name="Comma 4 3 2 2 2 5 2 2" xfId="18566" xr:uid="{00000000-0005-0000-0000-000076290000}"/>
    <cellStyle name="Comma 4 3 2 2 2 6" xfId="10204" xr:uid="{00000000-0005-0000-0000-000077290000}"/>
    <cellStyle name="Comma 4 3 2 2 2 6 2" xfId="10205" xr:uid="{00000000-0005-0000-0000-000078290000}"/>
    <cellStyle name="Comma 4 3 2 2 2 6 2 2" xfId="18567" xr:uid="{00000000-0005-0000-0000-000079290000}"/>
    <cellStyle name="Comma 4 3 2 2 2 7" xfId="10206" xr:uid="{00000000-0005-0000-0000-00007A290000}"/>
    <cellStyle name="Comma 4 3 2 2 2 7 2" xfId="10207" xr:uid="{00000000-0005-0000-0000-00007B290000}"/>
    <cellStyle name="Comma 4 3 2 2 2 7 2 2" xfId="18568" xr:uid="{00000000-0005-0000-0000-00007C290000}"/>
    <cellStyle name="Comma 4 3 2 2 2 8" xfId="10208" xr:uid="{00000000-0005-0000-0000-00007D290000}"/>
    <cellStyle name="Comma 4 3 2 2 2 8 2" xfId="10209" xr:uid="{00000000-0005-0000-0000-00007E290000}"/>
    <cellStyle name="Comma 4 3 2 2 2 8 2 2" xfId="18569" xr:uid="{00000000-0005-0000-0000-00007F290000}"/>
    <cellStyle name="Comma 4 3 2 2 2 9" xfId="10210" xr:uid="{00000000-0005-0000-0000-000080290000}"/>
    <cellStyle name="Comma 4 3 2 2 2 9 2" xfId="18570" xr:uid="{00000000-0005-0000-0000-000081290000}"/>
    <cellStyle name="Comma 4 3 2 2 20" xfId="26258" xr:uid="{00000000-0005-0000-0000-000082290000}"/>
    <cellStyle name="Comma 4 3 2 2 21" xfId="26762" xr:uid="{00000000-0005-0000-0000-000083290000}"/>
    <cellStyle name="Comma 4 3 2 2 22" xfId="27266" xr:uid="{00000000-0005-0000-0000-000084290000}"/>
    <cellStyle name="Comma 4 3 2 2 23" xfId="27770" xr:uid="{00000000-0005-0000-0000-000085290000}"/>
    <cellStyle name="Comma 4 3 2 2 24" xfId="28274" xr:uid="{00000000-0005-0000-0000-000086290000}"/>
    <cellStyle name="Comma 4 3 2 2 25" xfId="28778" xr:uid="{00000000-0005-0000-0000-000087290000}"/>
    <cellStyle name="Comma 4 3 2 2 26" xfId="29282" xr:uid="{00000000-0005-0000-0000-000088290000}"/>
    <cellStyle name="Comma 4 3 2 2 27" xfId="29786" xr:uid="{00000000-0005-0000-0000-000089290000}"/>
    <cellStyle name="Comma 4 3 2 2 28" xfId="30290" xr:uid="{00000000-0005-0000-0000-00008A290000}"/>
    <cellStyle name="Comma 4 3 2 2 29" xfId="30795" xr:uid="{00000000-0005-0000-0000-00008B290000}"/>
    <cellStyle name="Comma 4 3 2 2 3" xfId="6863" xr:uid="{00000000-0005-0000-0000-00008C290000}"/>
    <cellStyle name="Comma 4 3 2 2 3 10" xfId="27270" xr:uid="{00000000-0005-0000-0000-00008D290000}"/>
    <cellStyle name="Comma 4 3 2 2 3 11" xfId="27774" xr:uid="{00000000-0005-0000-0000-00008E290000}"/>
    <cellStyle name="Comma 4 3 2 2 3 12" xfId="28278" xr:uid="{00000000-0005-0000-0000-00008F290000}"/>
    <cellStyle name="Comma 4 3 2 2 3 13" xfId="28782" xr:uid="{00000000-0005-0000-0000-000090290000}"/>
    <cellStyle name="Comma 4 3 2 2 3 14" xfId="29286" xr:uid="{00000000-0005-0000-0000-000091290000}"/>
    <cellStyle name="Comma 4 3 2 2 3 15" xfId="29790" xr:uid="{00000000-0005-0000-0000-000092290000}"/>
    <cellStyle name="Comma 4 3 2 2 3 16" xfId="30294" xr:uid="{00000000-0005-0000-0000-000093290000}"/>
    <cellStyle name="Comma 4 3 2 2 3 17" xfId="30799" xr:uid="{00000000-0005-0000-0000-000094290000}"/>
    <cellStyle name="Comma 4 3 2 2 3 2" xfId="10211" xr:uid="{00000000-0005-0000-0000-000095290000}"/>
    <cellStyle name="Comma 4 3 2 2 3 2 2" xfId="18571" xr:uid="{00000000-0005-0000-0000-000096290000}"/>
    <cellStyle name="Comma 4 3 2 2 3 3" xfId="7307" xr:uid="{00000000-0005-0000-0000-000097290000}"/>
    <cellStyle name="Comma 4 3 2 2 3 4" xfId="23605" xr:uid="{00000000-0005-0000-0000-000098290000}"/>
    <cellStyle name="Comma 4 3 2 2 3 5" xfId="24750" xr:uid="{00000000-0005-0000-0000-000099290000}"/>
    <cellStyle name="Comma 4 3 2 2 3 6" xfId="25254" xr:uid="{00000000-0005-0000-0000-00009A290000}"/>
    <cellStyle name="Comma 4 3 2 2 3 7" xfId="25758" xr:uid="{00000000-0005-0000-0000-00009B290000}"/>
    <cellStyle name="Comma 4 3 2 2 3 8" xfId="26262" xr:uid="{00000000-0005-0000-0000-00009C290000}"/>
    <cellStyle name="Comma 4 3 2 2 3 9" xfId="26766" xr:uid="{00000000-0005-0000-0000-00009D290000}"/>
    <cellStyle name="Comma 4 3 2 2 4" xfId="10212" xr:uid="{00000000-0005-0000-0000-00009E290000}"/>
    <cellStyle name="Comma 4 3 2 2 4 10" xfId="27775" xr:uid="{00000000-0005-0000-0000-00009F290000}"/>
    <cellStyle name="Comma 4 3 2 2 4 11" xfId="28279" xr:uid="{00000000-0005-0000-0000-0000A0290000}"/>
    <cellStyle name="Comma 4 3 2 2 4 12" xfId="28783" xr:uid="{00000000-0005-0000-0000-0000A1290000}"/>
    <cellStyle name="Comma 4 3 2 2 4 13" xfId="29287" xr:uid="{00000000-0005-0000-0000-0000A2290000}"/>
    <cellStyle name="Comma 4 3 2 2 4 14" xfId="29791" xr:uid="{00000000-0005-0000-0000-0000A3290000}"/>
    <cellStyle name="Comma 4 3 2 2 4 15" xfId="30295" xr:uid="{00000000-0005-0000-0000-0000A4290000}"/>
    <cellStyle name="Comma 4 3 2 2 4 16" xfId="30800" xr:uid="{00000000-0005-0000-0000-0000A5290000}"/>
    <cellStyle name="Comma 4 3 2 2 4 2" xfId="10213" xr:uid="{00000000-0005-0000-0000-0000A6290000}"/>
    <cellStyle name="Comma 4 3 2 2 4 2 2" xfId="18572" xr:uid="{00000000-0005-0000-0000-0000A7290000}"/>
    <cellStyle name="Comma 4 3 2 2 4 3" xfId="23606" xr:uid="{00000000-0005-0000-0000-0000A8290000}"/>
    <cellStyle name="Comma 4 3 2 2 4 4" xfId="24751" xr:uid="{00000000-0005-0000-0000-0000A9290000}"/>
    <cellStyle name="Comma 4 3 2 2 4 5" xfId="25255" xr:uid="{00000000-0005-0000-0000-0000AA290000}"/>
    <cellStyle name="Comma 4 3 2 2 4 6" xfId="25759" xr:uid="{00000000-0005-0000-0000-0000AB290000}"/>
    <cellStyle name="Comma 4 3 2 2 4 7" xfId="26263" xr:uid="{00000000-0005-0000-0000-0000AC290000}"/>
    <cellStyle name="Comma 4 3 2 2 4 8" xfId="26767" xr:uid="{00000000-0005-0000-0000-0000AD290000}"/>
    <cellStyle name="Comma 4 3 2 2 4 9" xfId="27271" xr:uid="{00000000-0005-0000-0000-0000AE290000}"/>
    <cellStyle name="Comma 4 3 2 2 5" xfId="10214" xr:uid="{00000000-0005-0000-0000-0000AF290000}"/>
    <cellStyle name="Comma 4 3 2 2 5 2" xfId="10215" xr:uid="{00000000-0005-0000-0000-0000B0290000}"/>
    <cellStyle name="Comma 4 3 2 2 5 2 2" xfId="18573" xr:uid="{00000000-0005-0000-0000-0000B1290000}"/>
    <cellStyle name="Comma 4 3 2 2 6" xfId="10216" xr:uid="{00000000-0005-0000-0000-0000B2290000}"/>
    <cellStyle name="Comma 4 3 2 2 6 2" xfId="10217" xr:uid="{00000000-0005-0000-0000-0000B3290000}"/>
    <cellStyle name="Comma 4 3 2 2 6 2 2" xfId="18574" xr:uid="{00000000-0005-0000-0000-0000B4290000}"/>
    <cellStyle name="Comma 4 3 2 2 7" xfId="10218" xr:uid="{00000000-0005-0000-0000-0000B5290000}"/>
    <cellStyle name="Comma 4 3 2 2 7 2" xfId="10219" xr:uid="{00000000-0005-0000-0000-0000B6290000}"/>
    <cellStyle name="Comma 4 3 2 2 7 2 2" xfId="18575" xr:uid="{00000000-0005-0000-0000-0000B7290000}"/>
    <cellStyle name="Comma 4 3 2 2 8" xfId="10220" xr:uid="{00000000-0005-0000-0000-0000B8290000}"/>
    <cellStyle name="Comma 4 3 2 2 8 2" xfId="10221" xr:uid="{00000000-0005-0000-0000-0000B9290000}"/>
    <cellStyle name="Comma 4 3 2 2 8 2 2" xfId="18576" xr:uid="{00000000-0005-0000-0000-0000BA290000}"/>
    <cellStyle name="Comma 4 3 2 2 9" xfId="10222" xr:uid="{00000000-0005-0000-0000-0000BB290000}"/>
    <cellStyle name="Comma 4 3 2 2 9 2" xfId="10223" xr:uid="{00000000-0005-0000-0000-0000BC290000}"/>
    <cellStyle name="Comma 4 3 2 2 9 2 2" xfId="18577" xr:uid="{00000000-0005-0000-0000-0000BD290000}"/>
    <cellStyle name="Comma 4 3 2 20" xfId="7163" xr:uid="{00000000-0005-0000-0000-0000BE290000}"/>
    <cellStyle name="Comma 4 3 2 21" xfId="22961" xr:uid="{00000000-0005-0000-0000-0000BF290000}"/>
    <cellStyle name="Comma 4 3 2 22" xfId="23600" xr:uid="{00000000-0005-0000-0000-0000C0290000}"/>
    <cellStyle name="Comma 4 3 2 23" xfId="24745" xr:uid="{00000000-0005-0000-0000-0000C1290000}"/>
    <cellStyle name="Comma 4 3 2 24" xfId="25249" xr:uid="{00000000-0005-0000-0000-0000C2290000}"/>
    <cellStyle name="Comma 4 3 2 25" xfId="25753" xr:uid="{00000000-0005-0000-0000-0000C3290000}"/>
    <cellStyle name="Comma 4 3 2 26" xfId="26257" xr:uid="{00000000-0005-0000-0000-0000C4290000}"/>
    <cellStyle name="Comma 4 3 2 27" xfId="26761" xr:uid="{00000000-0005-0000-0000-0000C5290000}"/>
    <cellStyle name="Comma 4 3 2 28" xfId="27265" xr:uid="{00000000-0005-0000-0000-0000C6290000}"/>
    <cellStyle name="Comma 4 3 2 29" xfId="27769" xr:uid="{00000000-0005-0000-0000-0000C7290000}"/>
    <cellStyle name="Comma 4 3 2 3" xfId="2035" xr:uid="{00000000-0005-0000-0000-0000C8290000}"/>
    <cellStyle name="Comma 4 3 2 3 10" xfId="10224" xr:uid="{00000000-0005-0000-0000-0000C9290000}"/>
    <cellStyle name="Comma 4 3 2 3 10 2" xfId="10225" xr:uid="{00000000-0005-0000-0000-0000CA290000}"/>
    <cellStyle name="Comma 4 3 2 3 10 2 2" xfId="10226" xr:uid="{00000000-0005-0000-0000-0000CB290000}"/>
    <cellStyle name="Comma 4 3 2 3 10 2 2 2" xfId="18578" xr:uid="{00000000-0005-0000-0000-0000CC290000}"/>
    <cellStyle name="Comma 4 3 2 3 10 3" xfId="10227" xr:uid="{00000000-0005-0000-0000-0000CD290000}"/>
    <cellStyle name="Comma 4 3 2 3 10 3 2" xfId="18579" xr:uid="{00000000-0005-0000-0000-0000CE290000}"/>
    <cellStyle name="Comma 4 3 2 3 11" xfId="10228" xr:uid="{00000000-0005-0000-0000-0000CF290000}"/>
    <cellStyle name="Comma 4 3 2 3 11 2" xfId="10229" xr:uid="{00000000-0005-0000-0000-0000D0290000}"/>
    <cellStyle name="Comma 4 3 2 3 11 2 2" xfId="10230" xr:uid="{00000000-0005-0000-0000-0000D1290000}"/>
    <cellStyle name="Comma 4 3 2 3 11 2 2 2" xfId="18580" xr:uid="{00000000-0005-0000-0000-0000D2290000}"/>
    <cellStyle name="Comma 4 3 2 3 11 3" xfId="10231" xr:uid="{00000000-0005-0000-0000-0000D3290000}"/>
    <cellStyle name="Comma 4 3 2 3 11 3 2" xfId="18581" xr:uid="{00000000-0005-0000-0000-0000D4290000}"/>
    <cellStyle name="Comma 4 3 2 3 12" xfId="10232" xr:uid="{00000000-0005-0000-0000-0000D5290000}"/>
    <cellStyle name="Comma 4 3 2 3 12 2" xfId="10233" xr:uid="{00000000-0005-0000-0000-0000D6290000}"/>
    <cellStyle name="Comma 4 3 2 3 12 2 2" xfId="10234" xr:uid="{00000000-0005-0000-0000-0000D7290000}"/>
    <cellStyle name="Comma 4 3 2 3 12 2 2 2" xfId="18582" xr:uid="{00000000-0005-0000-0000-0000D8290000}"/>
    <cellStyle name="Comma 4 3 2 3 12 3" xfId="10235" xr:uid="{00000000-0005-0000-0000-0000D9290000}"/>
    <cellStyle name="Comma 4 3 2 3 12 3 2" xfId="18583" xr:uid="{00000000-0005-0000-0000-0000DA290000}"/>
    <cellStyle name="Comma 4 3 2 3 13" xfId="10236" xr:uid="{00000000-0005-0000-0000-0000DB290000}"/>
    <cellStyle name="Comma 4 3 2 3 13 2" xfId="10237" xr:uid="{00000000-0005-0000-0000-0000DC290000}"/>
    <cellStyle name="Comma 4 3 2 3 13 2 2" xfId="10238" xr:uid="{00000000-0005-0000-0000-0000DD290000}"/>
    <cellStyle name="Comma 4 3 2 3 13 2 2 2" xfId="10239" xr:uid="{00000000-0005-0000-0000-0000DE290000}"/>
    <cellStyle name="Comma 4 3 2 3 13 2 2 2 2" xfId="18584" xr:uid="{00000000-0005-0000-0000-0000DF290000}"/>
    <cellStyle name="Comma 4 3 2 3 13 2 3" xfId="10240" xr:uid="{00000000-0005-0000-0000-0000E0290000}"/>
    <cellStyle name="Comma 4 3 2 3 13 2 3 2" xfId="10241" xr:uid="{00000000-0005-0000-0000-0000E1290000}"/>
    <cellStyle name="Comma 4 3 2 3 13 2 3 2 2" xfId="18585" xr:uid="{00000000-0005-0000-0000-0000E2290000}"/>
    <cellStyle name="Comma 4 3 2 3 13 2 4" xfId="10242" xr:uid="{00000000-0005-0000-0000-0000E3290000}"/>
    <cellStyle name="Comma 4 3 2 3 13 2 4 2" xfId="10243" xr:uid="{00000000-0005-0000-0000-0000E4290000}"/>
    <cellStyle name="Comma 4 3 2 3 13 2 4 2 2" xfId="18586" xr:uid="{00000000-0005-0000-0000-0000E5290000}"/>
    <cellStyle name="Comma 4 3 2 3 13 2 5" xfId="10244" xr:uid="{00000000-0005-0000-0000-0000E6290000}"/>
    <cellStyle name="Comma 4 3 2 3 13 2 5 2" xfId="10245" xr:uid="{00000000-0005-0000-0000-0000E7290000}"/>
    <cellStyle name="Comma 4 3 2 3 13 2 5 2 2" xfId="18587" xr:uid="{00000000-0005-0000-0000-0000E8290000}"/>
    <cellStyle name="Comma 4 3 2 3 13 2 6" xfId="10246" xr:uid="{00000000-0005-0000-0000-0000E9290000}"/>
    <cellStyle name="Comma 4 3 2 3 13 2 6 2" xfId="10247" xr:uid="{00000000-0005-0000-0000-0000EA290000}"/>
    <cellStyle name="Comma 4 3 2 3 13 2 6 2 2" xfId="18588" xr:uid="{00000000-0005-0000-0000-0000EB290000}"/>
    <cellStyle name="Comma 4 3 2 3 13 2 7" xfId="10248" xr:uid="{00000000-0005-0000-0000-0000EC290000}"/>
    <cellStyle name="Comma 4 3 2 3 13 2 7 2" xfId="10249" xr:uid="{00000000-0005-0000-0000-0000ED290000}"/>
    <cellStyle name="Comma 4 3 2 3 13 2 7 2 2" xfId="18589" xr:uid="{00000000-0005-0000-0000-0000EE290000}"/>
    <cellStyle name="Comma 4 3 2 3 13 2 8" xfId="10250" xr:uid="{00000000-0005-0000-0000-0000EF290000}"/>
    <cellStyle name="Comma 4 3 2 3 13 2 8 2" xfId="18590" xr:uid="{00000000-0005-0000-0000-0000F0290000}"/>
    <cellStyle name="Comma 4 3 2 3 13 3" xfId="10251" xr:uid="{00000000-0005-0000-0000-0000F1290000}"/>
    <cellStyle name="Comma 4 3 2 3 13 3 2" xfId="10252" xr:uid="{00000000-0005-0000-0000-0000F2290000}"/>
    <cellStyle name="Comma 4 3 2 3 13 3 2 2" xfId="18591" xr:uid="{00000000-0005-0000-0000-0000F3290000}"/>
    <cellStyle name="Comma 4 3 2 3 13 4" xfId="10253" xr:uid="{00000000-0005-0000-0000-0000F4290000}"/>
    <cellStyle name="Comma 4 3 2 3 13 4 2" xfId="10254" xr:uid="{00000000-0005-0000-0000-0000F5290000}"/>
    <cellStyle name="Comma 4 3 2 3 13 4 2 2" xfId="18592" xr:uid="{00000000-0005-0000-0000-0000F6290000}"/>
    <cellStyle name="Comma 4 3 2 3 13 5" xfId="10255" xr:uid="{00000000-0005-0000-0000-0000F7290000}"/>
    <cellStyle name="Comma 4 3 2 3 13 5 2" xfId="10256" xr:uid="{00000000-0005-0000-0000-0000F8290000}"/>
    <cellStyle name="Comma 4 3 2 3 13 5 2 2" xfId="18593" xr:uid="{00000000-0005-0000-0000-0000F9290000}"/>
    <cellStyle name="Comma 4 3 2 3 13 6" xfId="10257" xr:uid="{00000000-0005-0000-0000-0000FA290000}"/>
    <cellStyle name="Comma 4 3 2 3 13 6 2" xfId="10258" xr:uid="{00000000-0005-0000-0000-0000FB290000}"/>
    <cellStyle name="Comma 4 3 2 3 13 6 2 2" xfId="18594" xr:uid="{00000000-0005-0000-0000-0000FC290000}"/>
    <cellStyle name="Comma 4 3 2 3 13 7" xfId="10259" xr:uid="{00000000-0005-0000-0000-0000FD290000}"/>
    <cellStyle name="Comma 4 3 2 3 13 7 2" xfId="10260" xr:uid="{00000000-0005-0000-0000-0000FE290000}"/>
    <cellStyle name="Comma 4 3 2 3 13 7 2 2" xfId="18595" xr:uid="{00000000-0005-0000-0000-0000FF290000}"/>
    <cellStyle name="Comma 4 3 2 3 13 8" xfId="10261" xr:uid="{00000000-0005-0000-0000-0000002A0000}"/>
    <cellStyle name="Comma 4 3 2 3 13 8 2" xfId="10262" xr:uid="{00000000-0005-0000-0000-0000012A0000}"/>
    <cellStyle name="Comma 4 3 2 3 13 8 2 2" xfId="18596" xr:uid="{00000000-0005-0000-0000-0000022A0000}"/>
    <cellStyle name="Comma 4 3 2 3 13 9" xfId="10263" xr:uid="{00000000-0005-0000-0000-0000032A0000}"/>
    <cellStyle name="Comma 4 3 2 3 13 9 2" xfId="18597" xr:uid="{00000000-0005-0000-0000-0000042A0000}"/>
    <cellStyle name="Comma 4 3 2 3 14" xfId="10264" xr:uid="{00000000-0005-0000-0000-0000052A0000}"/>
    <cellStyle name="Comma 4 3 2 3 14 2" xfId="10265" xr:uid="{00000000-0005-0000-0000-0000062A0000}"/>
    <cellStyle name="Comma 4 3 2 3 14 2 2" xfId="18598" xr:uid="{00000000-0005-0000-0000-0000072A0000}"/>
    <cellStyle name="Comma 4 3 2 3 15" xfId="10266" xr:uid="{00000000-0005-0000-0000-0000082A0000}"/>
    <cellStyle name="Comma 4 3 2 3 15 2" xfId="10267" xr:uid="{00000000-0005-0000-0000-0000092A0000}"/>
    <cellStyle name="Comma 4 3 2 3 15 2 2" xfId="18599" xr:uid="{00000000-0005-0000-0000-00000A2A0000}"/>
    <cellStyle name="Comma 4 3 2 3 16" xfId="7166" xr:uid="{00000000-0005-0000-0000-00000B2A0000}"/>
    <cellStyle name="Comma 4 3 2 3 17" xfId="23607" xr:uid="{00000000-0005-0000-0000-00000C2A0000}"/>
    <cellStyle name="Comma 4 3 2 3 18" xfId="24752" xr:uid="{00000000-0005-0000-0000-00000D2A0000}"/>
    <cellStyle name="Comma 4 3 2 3 19" xfId="25256" xr:uid="{00000000-0005-0000-0000-00000E2A0000}"/>
    <cellStyle name="Comma 4 3 2 3 2" xfId="7308" xr:uid="{00000000-0005-0000-0000-00000F2A0000}"/>
    <cellStyle name="Comma 4 3 2 3 2 2" xfId="10268" xr:uid="{00000000-0005-0000-0000-0000102A0000}"/>
    <cellStyle name="Comma 4 3 2 3 2 2 2" xfId="10269" xr:uid="{00000000-0005-0000-0000-0000112A0000}"/>
    <cellStyle name="Comma 4 3 2 3 2 2 2 2" xfId="18602" xr:uid="{00000000-0005-0000-0000-0000122A0000}"/>
    <cellStyle name="Comma 4 3 2 3 2 2 3" xfId="18601" xr:uid="{00000000-0005-0000-0000-0000132A0000}"/>
    <cellStyle name="Comma 4 3 2 3 2 3" xfId="10270" xr:uid="{00000000-0005-0000-0000-0000142A0000}"/>
    <cellStyle name="Comma 4 3 2 3 2 3 2" xfId="18603" xr:uid="{00000000-0005-0000-0000-0000152A0000}"/>
    <cellStyle name="Comma 4 3 2 3 2 4" xfId="18600" xr:uid="{00000000-0005-0000-0000-0000162A0000}"/>
    <cellStyle name="Comma 4 3 2 3 20" xfId="25760" xr:uid="{00000000-0005-0000-0000-0000172A0000}"/>
    <cellStyle name="Comma 4 3 2 3 21" xfId="26264" xr:uid="{00000000-0005-0000-0000-0000182A0000}"/>
    <cellStyle name="Comma 4 3 2 3 22" xfId="26768" xr:uid="{00000000-0005-0000-0000-0000192A0000}"/>
    <cellStyle name="Comma 4 3 2 3 23" xfId="27272" xr:uid="{00000000-0005-0000-0000-00001A2A0000}"/>
    <cellStyle name="Comma 4 3 2 3 24" xfId="27776" xr:uid="{00000000-0005-0000-0000-00001B2A0000}"/>
    <cellStyle name="Comma 4 3 2 3 25" xfId="28280" xr:uid="{00000000-0005-0000-0000-00001C2A0000}"/>
    <cellStyle name="Comma 4 3 2 3 26" xfId="28784" xr:uid="{00000000-0005-0000-0000-00001D2A0000}"/>
    <cellStyle name="Comma 4 3 2 3 27" xfId="29288" xr:uid="{00000000-0005-0000-0000-00001E2A0000}"/>
    <cellStyle name="Comma 4 3 2 3 28" xfId="29792" xr:uid="{00000000-0005-0000-0000-00001F2A0000}"/>
    <cellStyle name="Comma 4 3 2 3 29" xfId="30296" xr:uid="{00000000-0005-0000-0000-0000202A0000}"/>
    <cellStyle name="Comma 4 3 2 3 3" xfId="10271" xr:uid="{00000000-0005-0000-0000-0000212A0000}"/>
    <cellStyle name="Comma 4 3 2 3 3 2" xfId="10272" xr:uid="{00000000-0005-0000-0000-0000222A0000}"/>
    <cellStyle name="Comma 4 3 2 3 3 2 2" xfId="10273" xr:uid="{00000000-0005-0000-0000-0000232A0000}"/>
    <cellStyle name="Comma 4 3 2 3 3 2 2 2" xfId="18604" xr:uid="{00000000-0005-0000-0000-0000242A0000}"/>
    <cellStyle name="Comma 4 3 2 3 3 3" xfId="10274" xr:uid="{00000000-0005-0000-0000-0000252A0000}"/>
    <cellStyle name="Comma 4 3 2 3 3 3 2" xfId="18605" xr:uid="{00000000-0005-0000-0000-0000262A0000}"/>
    <cellStyle name="Comma 4 3 2 3 30" xfId="30801" xr:uid="{00000000-0005-0000-0000-0000272A0000}"/>
    <cellStyle name="Comma 4 3 2 3 4" xfId="10275" xr:uid="{00000000-0005-0000-0000-0000282A0000}"/>
    <cellStyle name="Comma 4 3 2 3 4 2" xfId="10276" xr:uid="{00000000-0005-0000-0000-0000292A0000}"/>
    <cellStyle name="Comma 4 3 2 3 4 2 2" xfId="10277" xr:uid="{00000000-0005-0000-0000-00002A2A0000}"/>
    <cellStyle name="Comma 4 3 2 3 4 2 2 2" xfId="18606" xr:uid="{00000000-0005-0000-0000-00002B2A0000}"/>
    <cellStyle name="Comma 4 3 2 3 4 3" xfId="10278" xr:uid="{00000000-0005-0000-0000-00002C2A0000}"/>
    <cellStyle name="Comma 4 3 2 3 4 3 2" xfId="18607" xr:uid="{00000000-0005-0000-0000-00002D2A0000}"/>
    <cellStyle name="Comma 4 3 2 3 5" xfId="10279" xr:uid="{00000000-0005-0000-0000-00002E2A0000}"/>
    <cellStyle name="Comma 4 3 2 3 5 2" xfId="10280" xr:uid="{00000000-0005-0000-0000-00002F2A0000}"/>
    <cellStyle name="Comma 4 3 2 3 5 2 2" xfId="10281" xr:uid="{00000000-0005-0000-0000-0000302A0000}"/>
    <cellStyle name="Comma 4 3 2 3 5 2 2 2" xfId="18608" xr:uid="{00000000-0005-0000-0000-0000312A0000}"/>
    <cellStyle name="Comma 4 3 2 3 5 3" xfId="10282" xr:uid="{00000000-0005-0000-0000-0000322A0000}"/>
    <cellStyle name="Comma 4 3 2 3 5 3 2" xfId="18609" xr:uid="{00000000-0005-0000-0000-0000332A0000}"/>
    <cellStyle name="Comma 4 3 2 3 6" xfId="10283" xr:uid="{00000000-0005-0000-0000-0000342A0000}"/>
    <cellStyle name="Comma 4 3 2 3 6 2" xfId="10284" xr:uid="{00000000-0005-0000-0000-0000352A0000}"/>
    <cellStyle name="Comma 4 3 2 3 6 2 2" xfId="10285" xr:uid="{00000000-0005-0000-0000-0000362A0000}"/>
    <cellStyle name="Comma 4 3 2 3 6 2 2 2" xfId="18610" xr:uid="{00000000-0005-0000-0000-0000372A0000}"/>
    <cellStyle name="Comma 4 3 2 3 6 3" xfId="10286" xr:uid="{00000000-0005-0000-0000-0000382A0000}"/>
    <cellStyle name="Comma 4 3 2 3 6 3 2" xfId="18611" xr:uid="{00000000-0005-0000-0000-0000392A0000}"/>
    <cellStyle name="Comma 4 3 2 3 7" xfId="10287" xr:uid="{00000000-0005-0000-0000-00003A2A0000}"/>
    <cellStyle name="Comma 4 3 2 3 7 2" xfId="10288" xr:uid="{00000000-0005-0000-0000-00003B2A0000}"/>
    <cellStyle name="Comma 4 3 2 3 7 2 2" xfId="10289" xr:uid="{00000000-0005-0000-0000-00003C2A0000}"/>
    <cellStyle name="Comma 4 3 2 3 7 2 2 2" xfId="18612" xr:uid="{00000000-0005-0000-0000-00003D2A0000}"/>
    <cellStyle name="Comma 4 3 2 3 7 3" xfId="10290" xr:uid="{00000000-0005-0000-0000-00003E2A0000}"/>
    <cellStyle name="Comma 4 3 2 3 7 3 2" xfId="18613" xr:uid="{00000000-0005-0000-0000-00003F2A0000}"/>
    <cellStyle name="Comma 4 3 2 3 8" xfId="10291" xr:uid="{00000000-0005-0000-0000-0000402A0000}"/>
    <cellStyle name="Comma 4 3 2 3 8 2" xfId="10292" xr:uid="{00000000-0005-0000-0000-0000412A0000}"/>
    <cellStyle name="Comma 4 3 2 3 8 2 2" xfId="10293" xr:uid="{00000000-0005-0000-0000-0000422A0000}"/>
    <cellStyle name="Comma 4 3 2 3 8 2 2 2" xfId="18614" xr:uid="{00000000-0005-0000-0000-0000432A0000}"/>
    <cellStyle name="Comma 4 3 2 3 8 3" xfId="10294" xr:uid="{00000000-0005-0000-0000-0000442A0000}"/>
    <cellStyle name="Comma 4 3 2 3 8 3 2" xfId="18615" xr:uid="{00000000-0005-0000-0000-0000452A0000}"/>
    <cellStyle name="Comma 4 3 2 3 9" xfId="10295" xr:uid="{00000000-0005-0000-0000-0000462A0000}"/>
    <cellStyle name="Comma 4 3 2 3 9 2" xfId="10296" xr:uid="{00000000-0005-0000-0000-0000472A0000}"/>
    <cellStyle name="Comma 4 3 2 3 9 2 2" xfId="10297" xr:uid="{00000000-0005-0000-0000-0000482A0000}"/>
    <cellStyle name="Comma 4 3 2 3 9 2 2 2" xfId="18616" xr:uid="{00000000-0005-0000-0000-0000492A0000}"/>
    <cellStyle name="Comma 4 3 2 3 9 3" xfId="10298" xr:uid="{00000000-0005-0000-0000-00004A2A0000}"/>
    <cellStyle name="Comma 4 3 2 3 9 3 2" xfId="18617" xr:uid="{00000000-0005-0000-0000-00004B2A0000}"/>
    <cellStyle name="Comma 4 3 2 30" xfId="28273" xr:uid="{00000000-0005-0000-0000-00004C2A0000}"/>
    <cellStyle name="Comma 4 3 2 31" xfId="28777" xr:uid="{00000000-0005-0000-0000-00004D2A0000}"/>
    <cellStyle name="Comma 4 3 2 32" xfId="29281" xr:uid="{00000000-0005-0000-0000-00004E2A0000}"/>
    <cellStyle name="Comma 4 3 2 33" xfId="29785" xr:uid="{00000000-0005-0000-0000-00004F2A0000}"/>
    <cellStyle name="Comma 4 3 2 34" xfId="30289" xr:uid="{00000000-0005-0000-0000-0000502A0000}"/>
    <cellStyle name="Comma 4 3 2 35" xfId="30794" xr:uid="{00000000-0005-0000-0000-0000512A0000}"/>
    <cellStyle name="Comma 4 3 2 4" xfId="2036" xr:uid="{00000000-0005-0000-0000-0000522A0000}"/>
    <cellStyle name="Comma 4 3 2 4 10" xfId="26769" xr:uid="{00000000-0005-0000-0000-0000532A0000}"/>
    <cellStyle name="Comma 4 3 2 4 11" xfId="27273" xr:uid="{00000000-0005-0000-0000-0000542A0000}"/>
    <cellStyle name="Comma 4 3 2 4 12" xfId="27777" xr:uid="{00000000-0005-0000-0000-0000552A0000}"/>
    <cellStyle name="Comma 4 3 2 4 13" xfId="28281" xr:uid="{00000000-0005-0000-0000-0000562A0000}"/>
    <cellStyle name="Comma 4 3 2 4 14" xfId="28785" xr:uid="{00000000-0005-0000-0000-0000572A0000}"/>
    <cellStyle name="Comma 4 3 2 4 15" xfId="29289" xr:uid="{00000000-0005-0000-0000-0000582A0000}"/>
    <cellStyle name="Comma 4 3 2 4 16" xfId="29793" xr:uid="{00000000-0005-0000-0000-0000592A0000}"/>
    <cellStyle name="Comma 4 3 2 4 17" xfId="30297" xr:uid="{00000000-0005-0000-0000-00005A2A0000}"/>
    <cellStyle name="Comma 4 3 2 4 18" xfId="30802" xr:uid="{00000000-0005-0000-0000-00005B2A0000}"/>
    <cellStyle name="Comma 4 3 2 4 2" xfId="10299" xr:uid="{00000000-0005-0000-0000-00005C2A0000}"/>
    <cellStyle name="Comma 4 3 2 4 2 2" xfId="10300" xr:uid="{00000000-0005-0000-0000-00005D2A0000}"/>
    <cellStyle name="Comma 4 3 2 4 2 2 2" xfId="18618" xr:uid="{00000000-0005-0000-0000-00005E2A0000}"/>
    <cellStyle name="Comma 4 3 2 4 3" xfId="10301" xr:uid="{00000000-0005-0000-0000-00005F2A0000}"/>
    <cellStyle name="Comma 4 3 2 4 3 2" xfId="10302" xr:uid="{00000000-0005-0000-0000-0000602A0000}"/>
    <cellStyle name="Comma 4 3 2 4 3 2 2" xfId="18619" xr:uid="{00000000-0005-0000-0000-0000612A0000}"/>
    <cellStyle name="Comma 4 3 2 4 4" xfId="7167" xr:uid="{00000000-0005-0000-0000-0000622A0000}"/>
    <cellStyle name="Comma 4 3 2 4 5" xfId="23608" xr:uid="{00000000-0005-0000-0000-0000632A0000}"/>
    <cellStyle name="Comma 4 3 2 4 6" xfId="24753" xr:uid="{00000000-0005-0000-0000-0000642A0000}"/>
    <cellStyle name="Comma 4 3 2 4 7" xfId="25257" xr:uid="{00000000-0005-0000-0000-0000652A0000}"/>
    <cellStyle name="Comma 4 3 2 4 8" xfId="25761" xr:uid="{00000000-0005-0000-0000-0000662A0000}"/>
    <cellStyle name="Comma 4 3 2 4 9" xfId="26265" xr:uid="{00000000-0005-0000-0000-0000672A0000}"/>
    <cellStyle name="Comma 4 3 2 5" xfId="2037" xr:uid="{00000000-0005-0000-0000-0000682A0000}"/>
    <cellStyle name="Comma 4 3 2 5 10" xfId="26770" xr:uid="{00000000-0005-0000-0000-0000692A0000}"/>
    <cellStyle name="Comma 4 3 2 5 11" xfId="27274" xr:uid="{00000000-0005-0000-0000-00006A2A0000}"/>
    <cellStyle name="Comma 4 3 2 5 12" xfId="27778" xr:uid="{00000000-0005-0000-0000-00006B2A0000}"/>
    <cellStyle name="Comma 4 3 2 5 13" xfId="28282" xr:uid="{00000000-0005-0000-0000-00006C2A0000}"/>
    <cellStyle name="Comma 4 3 2 5 14" xfId="28786" xr:uid="{00000000-0005-0000-0000-00006D2A0000}"/>
    <cellStyle name="Comma 4 3 2 5 15" xfId="29290" xr:uid="{00000000-0005-0000-0000-00006E2A0000}"/>
    <cellStyle name="Comma 4 3 2 5 16" xfId="29794" xr:uid="{00000000-0005-0000-0000-00006F2A0000}"/>
    <cellStyle name="Comma 4 3 2 5 17" xfId="30298" xr:uid="{00000000-0005-0000-0000-0000702A0000}"/>
    <cellStyle name="Comma 4 3 2 5 18" xfId="30803" xr:uid="{00000000-0005-0000-0000-0000712A0000}"/>
    <cellStyle name="Comma 4 3 2 5 2" xfId="10303" xr:uid="{00000000-0005-0000-0000-0000722A0000}"/>
    <cellStyle name="Comma 4 3 2 5 2 2" xfId="10304" xr:uid="{00000000-0005-0000-0000-0000732A0000}"/>
    <cellStyle name="Comma 4 3 2 5 2 2 2" xfId="18620" xr:uid="{00000000-0005-0000-0000-0000742A0000}"/>
    <cellStyle name="Comma 4 3 2 5 3" xfId="10305" xr:uid="{00000000-0005-0000-0000-0000752A0000}"/>
    <cellStyle name="Comma 4 3 2 5 3 2" xfId="10306" xr:uid="{00000000-0005-0000-0000-0000762A0000}"/>
    <cellStyle name="Comma 4 3 2 5 3 2 2" xfId="18621" xr:uid="{00000000-0005-0000-0000-0000772A0000}"/>
    <cellStyle name="Comma 4 3 2 5 4" xfId="7168" xr:uid="{00000000-0005-0000-0000-0000782A0000}"/>
    <cellStyle name="Comma 4 3 2 5 5" xfId="23609" xr:uid="{00000000-0005-0000-0000-0000792A0000}"/>
    <cellStyle name="Comma 4 3 2 5 6" xfId="24754" xr:uid="{00000000-0005-0000-0000-00007A2A0000}"/>
    <cellStyle name="Comma 4 3 2 5 7" xfId="25258" xr:uid="{00000000-0005-0000-0000-00007B2A0000}"/>
    <cellStyle name="Comma 4 3 2 5 8" xfId="25762" xr:uid="{00000000-0005-0000-0000-00007C2A0000}"/>
    <cellStyle name="Comma 4 3 2 5 9" xfId="26266" xr:uid="{00000000-0005-0000-0000-00007D2A0000}"/>
    <cellStyle name="Comma 4 3 2 6" xfId="7306" xr:uid="{00000000-0005-0000-0000-00007E2A0000}"/>
    <cellStyle name="Comma 4 3 2 6 10" xfId="27275" xr:uid="{00000000-0005-0000-0000-00007F2A0000}"/>
    <cellStyle name="Comma 4 3 2 6 11" xfId="27779" xr:uid="{00000000-0005-0000-0000-0000802A0000}"/>
    <cellStyle name="Comma 4 3 2 6 12" xfId="28283" xr:uid="{00000000-0005-0000-0000-0000812A0000}"/>
    <cellStyle name="Comma 4 3 2 6 13" xfId="28787" xr:uid="{00000000-0005-0000-0000-0000822A0000}"/>
    <cellStyle name="Comma 4 3 2 6 14" xfId="29291" xr:uid="{00000000-0005-0000-0000-0000832A0000}"/>
    <cellStyle name="Comma 4 3 2 6 15" xfId="29795" xr:uid="{00000000-0005-0000-0000-0000842A0000}"/>
    <cellStyle name="Comma 4 3 2 6 16" xfId="30299" xr:uid="{00000000-0005-0000-0000-0000852A0000}"/>
    <cellStyle name="Comma 4 3 2 6 17" xfId="30804" xr:uid="{00000000-0005-0000-0000-0000862A0000}"/>
    <cellStyle name="Comma 4 3 2 6 2" xfId="10307" xr:uid="{00000000-0005-0000-0000-0000872A0000}"/>
    <cellStyle name="Comma 4 3 2 6 2 2" xfId="10308" xr:uid="{00000000-0005-0000-0000-0000882A0000}"/>
    <cellStyle name="Comma 4 3 2 6 2 2 2" xfId="18622" xr:uid="{00000000-0005-0000-0000-0000892A0000}"/>
    <cellStyle name="Comma 4 3 2 6 3" xfId="10309" xr:uid="{00000000-0005-0000-0000-00008A2A0000}"/>
    <cellStyle name="Comma 4 3 2 6 3 2" xfId="18623" xr:uid="{00000000-0005-0000-0000-00008B2A0000}"/>
    <cellStyle name="Comma 4 3 2 6 4" xfId="23610" xr:uid="{00000000-0005-0000-0000-00008C2A0000}"/>
    <cellStyle name="Comma 4 3 2 6 5" xfId="24755" xr:uid="{00000000-0005-0000-0000-00008D2A0000}"/>
    <cellStyle name="Comma 4 3 2 6 6" xfId="25259" xr:uid="{00000000-0005-0000-0000-00008E2A0000}"/>
    <cellStyle name="Comma 4 3 2 6 7" xfId="25763" xr:uid="{00000000-0005-0000-0000-00008F2A0000}"/>
    <cellStyle name="Comma 4 3 2 6 8" xfId="26267" xr:uid="{00000000-0005-0000-0000-0000902A0000}"/>
    <cellStyle name="Comma 4 3 2 6 9" xfId="26771" xr:uid="{00000000-0005-0000-0000-0000912A0000}"/>
    <cellStyle name="Comma 4 3 2 7" xfId="10310" xr:uid="{00000000-0005-0000-0000-0000922A0000}"/>
    <cellStyle name="Comma 4 3 2 7 2" xfId="10311" xr:uid="{00000000-0005-0000-0000-0000932A0000}"/>
    <cellStyle name="Comma 4 3 2 7 2 2" xfId="10312" xr:uid="{00000000-0005-0000-0000-0000942A0000}"/>
    <cellStyle name="Comma 4 3 2 7 2 2 2" xfId="18624" xr:uid="{00000000-0005-0000-0000-0000952A0000}"/>
    <cellStyle name="Comma 4 3 2 7 3" xfId="10313" xr:uid="{00000000-0005-0000-0000-0000962A0000}"/>
    <cellStyle name="Comma 4 3 2 7 3 2" xfId="18625" xr:uid="{00000000-0005-0000-0000-0000972A0000}"/>
    <cellStyle name="Comma 4 3 2 8" xfId="10314" xr:uid="{00000000-0005-0000-0000-0000982A0000}"/>
    <cellStyle name="Comma 4 3 2 8 2" xfId="10315" xr:uid="{00000000-0005-0000-0000-0000992A0000}"/>
    <cellStyle name="Comma 4 3 2 8 2 2" xfId="10316" xr:uid="{00000000-0005-0000-0000-00009A2A0000}"/>
    <cellStyle name="Comma 4 3 2 8 2 2 2" xfId="18626" xr:uid="{00000000-0005-0000-0000-00009B2A0000}"/>
    <cellStyle name="Comma 4 3 2 8 3" xfId="10317" xr:uid="{00000000-0005-0000-0000-00009C2A0000}"/>
    <cellStyle name="Comma 4 3 2 8 3 2" xfId="18627" xr:uid="{00000000-0005-0000-0000-00009D2A0000}"/>
    <cellStyle name="Comma 4 3 2 9" xfId="10318" xr:uid="{00000000-0005-0000-0000-00009E2A0000}"/>
    <cellStyle name="Comma 4 3 2 9 2" xfId="10319" xr:uid="{00000000-0005-0000-0000-00009F2A0000}"/>
    <cellStyle name="Comma 4 3 2 9 2 2" xfId="10320" xr:uid="{00000000-0005-0000-0000-0000A02A0000}"/>
    <cellStyle name="Comma 4 3 2 9 2 2 2" xfId="18628" xr:uid="{00000000-0005-0000-0000-0000A12A0000}"/>
    <cellStyle name="Comma 4 3 2 9 3" xfId="10321" xr:uid="{00000000-0005-0000-0000-0000A22A0000}"/>
    <cellStyle name="Comma 4 3 2 9 3 2" xfId="18629" xr:uid="{00000000-0005-0000-0000-0000A32A0000}"/>
    <cellStyle name="Comma 4 3 20" xfId="18502" xr:uid="{00000000-0005-0000-0000-0000A42A0000}"/>
    <cellStyle name="Comma 4 3 21" xfId="7162" xr:uid="{00000000-0005-0000-0000-0000A52A0000}"/>
    <cellStyle name="Comma 4 3 22" xfId="22960" xr:uid="{00000000-0005-0000-0000-0000A62A0000}"/>
    <cellStyle name="Comma 4 3 23" xfId="23599" xr:uid="{00000000-0005-0000-0000-0000A72A0000}"/>
    <cellStyle name="Comma 4 3 24" xfId="24744" xr:uid="{00000000-0005-0000-0000-0000A82A0000}"/>
    <cellStyle name="Comma 4 3 25" xfId="25248" xr:uid="{00000000-0005-0000-0000-0000A92A0000}"/>
    <cellStyle name="Comma 4 3 26" xfId="25752" xr:uid="{00000000-0005-0000-0000-0000AA2A0000}"/>
    <cellStyle name="Comma 4 3 27" xfId="26256" xr:uid="{00000000-0005-0000-0000-0000AB2A0000}"/>
    <cellStyle name="Comma 4 3 28" xfId="26760" xr:uid="{00000000-0005-0000-0000-0000AC2A0000}"/>
    <cellStyle name="Comma 4 3 29" xfId="27264" xr:uid="{00000000-0005-0000-0000-0000AD2A0000}"/>
    <cellStyle name="Comma 4 3 3" xfId="2038" xr:uid="{00000000-0005-0000-0000-0000AE2A0000}"/>
    <cellStyle name="Comma 4 3 3 10" xfId="10323" xr:uid="{00000000-0005-0000-0000-0000AF2A0000}"/>
    <cellStyle name="Comma 4 3 3 10 2" xfId="18631" xr:uid="{00000000-0005-0000-0000-0000B02A0000}"/>
    <cellStyle name="Comma 4 3 3 11" xfId="10324" xr:uid="{00000000-0005-0000-0000-0000B12A0000}"/>
    <cellStyle name="Comma 4 3 3 11 2" xfId="18632" xr:uid="{00000000-0005-0000-0000-0000B22A0000}"/>
    <cellStyle name="Comma 4 3 3 12" xfId="10325" xr:uid="{00000000-0005-0000-0000-0000B32A0000}"/>
    <cellStyle name="Comma 4 3 3 12 2" xfId="18633" xr:uid="{00000000-0005-0000-0000-0000B42A0000}"/>
    <cellStyle name="Comma 4 3 3 13" xfId="10322" xr:uid="{00000000-0005-0000-0000-0000B52A0000}"/>
    <cellStyle name="Comma 4 3 3 14" xfId="18630" xr:uid="{00000000-0005-0000-0000-0000B62A0000}"/>
    <cellStyle name="Comma 4 3 3 15" xfId="7169" xr:uid="{00000000-0005-0000-0000-0000B72A0000}"/>
    <cellStyle name="Comma 4 3 3 16" xfId="23611" xr:uid="{00000000-0005-0000-0000-0000B82A0000}"/>
    <cellStyle name="Comma 4 3 3 17" xfId="24756" xr:uid="{00000000-0005-0000-0000-0000B92A0000}"/>
    <cellStyle name="Comma 4 3 3 18" xfId="25260" xr:uid="{00000000-0005-0000-0000-0000BA2A0000}"/>
    <cellStyle name="Comma 4 3 3 19" xfId="25764" xr:uid="{00000000-0005-0000-0000-0000BB2A0000}"/>
    <cellStyle name="Comma 4 3 3 2" xfId="2039" xr:uid="{00000000-0005-0000-0000-0000BC2A0000}"/>
    <cellStyle name="Comma 4 3 3 2 10" xfId="10326" xr:uid="{00000000-0005-0000-0000-0000BD2A0000}"/>
    <cellStyle name="Comma 4 3 3 2 10 2" xfId="18634" xr:uid="{00000000-0005-0000-0000-0000BE2A0000}"/>
    <cellStyle name="Comma 4 3 3 2 11" xfId="7170" xr:uid="{00000000-0005-0000-0000-0000BF2A0000}"/>
    <cellStyle name="Comma 4 3 3 2 12" xfId="23612" xr:uid="{00000000-0005-0000-0000-0000C02A0000}"/>
    <cellStyle name="Comma 4 3 3 2 13" xfId="24757" xr:uid="{00000000-0005-0000-0000-0000C12A0000}"/>
    <cellStyle name="Comma 4 3 3 2 14" xfId="25261" xr:uid="{00000000-0005-0000-0000-0000C22A0000}"/>
    <cellStyle name="Comma 4 3 3 2 15" xfId="25765" xr:uid="{00000000-0005-0000-0000-0000C32A0000}"/>
    <cellStyle name="Comma 4 3 3 2 16" xfId="26269" xr:uid="{00000000-0005-0000-0000-0000C42A0000}"/>
    <cellStyle name="Comma 4 3 3 2 17" xfId="26773" xr:uid="{00000000-0005-0000-0000-0000C52A0000}"/>
    <cellStyle name="Comma 4 3 3 2 18" xfId="27277" xr:uid="{00000000-0005-0000-0000-0000C62A0000}"/>
    <cellStyle name="Comma 4 3 3 2 19" xfId="27781" xr:uid="{00000000-0005-0000-0000-0000C72A0000}"/>
    <cellStyle name="Comma 4 3 3 2 2" xfId="6866" xr:uid="{00000000-0005-0000-0000-0000C82A0000}"/>
    <cellStyle name="Comma 4 3 3 2 2 10" xfId="26774" xr:uid="{00000000-0005-0000-0000-0000C92A0000}"/>
    <cellStyle name="Comma 4 3 3 2 2 11" xfId="27278" xr:uid="{00000000-0005-0000-0000-0000CA2A0000}"/>
    <cellStyle name="Comma 4 3 3 2 2 12" xfId="27782" xr:uid="{00000000-0005-0000-0000-0000CB2A0000}"/>
    <cellStyle name="Comma 4 3 3 2 2 13" xfId="28286" xr:uid="{00000000-0005-0000-0000-0000CC2A0000}"/>
    <cellStyle name="Comma 4 3 3 2 2 14" xfId="28790" xr:uid="{00000000-0005-0000-0000-0000CD2A0000}"/>
    <cellStyle name="Comma 4 3 3 2 2 15" xfId="29294" xr:uid="{00000000-0005-0000-0000-0000CE2A0000}"/>
    <cellStyle name="Comma 4 3 3 2 2 16" xfId="29798" xr:uid="{00000000-0005-0000-0000-0000CF2A0000}"/>
    <cellStyle name="Comma 4 3 3 2 2 17" xfId="30302" xr:uid="{00000000-0005-0000-0000-0000D02A0000}"/>
    <cellStyle name="Comma 4 3 3 2 2 18" xfId="30807" xr:uid="{00000000-0005-0000-0000-0000D12A0000}"/>
    <cellStyle name="Comma 4 3 3 2 2 2" xfId="10328" xr:uid="{00000000-0005-0000-0000-0000D22A0000}"/>
    <cellStyle name="Comma 4 3 3 2 2 2 2" xfId="18636" xr:uid="{00000000-0005-0000-0000-0000D32A0000}"/>
    <cellStyle name="Comma 4 3 3 2 2 3" xfId="18635" xr:uid="{00000000-0005-0000-0000-0000D42A0000}"/>
    <cellStyle name="Comma 4 3 3 2 2 4" xfId="10327" xr:uid="{00000000-0005-0000-0000-0000D52A0000}"/>
    <cellStyle name="Comma 4 3 3 2 2 5" xfId="23613" xr:uid="{00000000-0005-0000-0000-0000D62A0000}"/>
    <cellStyle name="Comma 4 3 3 2 2 6" xfId="24758" xr:uid="{00000000-0005-0000-0000-0000D72A0000}"/>
    <cellStyle name="Comma 4 3 3 2 2 7" xfId="25262" xr:uid="{00000000-0005-0000-0000-0000D82A0000}"/>
    <cellStyle name="Comma 4 3 3 2 2 8" xfId="25766" xr:uid="{00000000-0005-0000-0000-0000D92A0000}"/>
    <cellStyle name="Comma 4 3 3 2 2 9" xfId="26270" xr:uid="{00000000-0005-0000-0000-0000DA2A0000}"/>
    <cellStyle name="Comma 4 3 3 2 20" xfId="28285" xr:uid="{00000000-0005-0000-0000-0000DB2A0000}"/>
    <cellStyle name="Comma 4 3 3 2 21" xfId="28789" xr:uid="{00000000-0005-0000-0000-0000DC2A0000}"/>
    <cellStyle name="Comma 4 3 3 2 22" xfId="29293" xr:uid="{00000000-0005-0000-0000-0000DD2A0000}"/>
    <cellStyle name="Comma 4 3 3 2 23" xfId="29797" xr:uid="{00000000-0005-0000-0000-0000DE2A0000}"/>
    <cellStyle name="Comma 4 3 3 2 24" xfId="30301" xr:uid="{00000000-0005-0000-0000-0000DF2A0000}"/>
    <cellStyle name="Comma 4 3 3 2 25" xfId="30806" xr:uid="{00000000-0005-0000-0000-0000E02A0000}"/>
    <cellStyle name="Comma 4 3 3 2 3" xfId="10329" xr:uid="{00000000-0005-0000-0000-0000E12A0000}"/>
    <cellStyle name="Comma 4 3 3 2 3 10" xfId="27279" xr:uid="{00000000-0005-0000-0000-0000E22A0000}"/>
    <cellStyle name="Comma 4 3 3 2 3 11" xfId="27783" xr:uid="{00000000-0005-0000-0000-0000E32A0000}"/>
    <cellStyle name="Comma 4 3 3 2 3 12" xfId="28287" xr:uid="{00000000-0005-0000-0000-0000E42A0000}"/>
    <cellStyle name="Comma 4 3 3 2 3 13" xfId="28791" xr:uid="{00000000-0005-0000-0000-0000E52A0000}"/>
    <cellStyle name="Comma 4 3 3 2 3 14" xfId="29295" xr:uid="{00000000-0005-0000-0000-0000E62A0000}"/>
    <cellStyle name="Comma 4 3 3 2 3 15" xfId="29799" xr:uid="{00000000-0005-0000-0000-0000E72A0000}"/>
    <cellStyle name="Comma 4 3 3 2 3 16" xfId="30303" xr:uid="{00000000-0005-0000-0000-0000E82A0000}"/>
    <cellStyle name="Comma 4 3 3 2 3 17" xfId="30808" xr:uid="{00000000-0005-0000-0000-0000E92A0000}"/>
    <cellStyle name="Comma 4 3 3 2 3 2" xfId="10330" xr:uid="{00000000-0005-0000-0000-0000EA2A0000}"/>
    <cellStyle name="Comma 4 3 3 2 3 2 2" xfId="18638" xr:uid="{00000000-0005-0000-0000-0000EB2A0000}"/>
    <cellStyle name="Comma 4 3 3 2 3 3" xfId="18637" xr:uid="{00000000-0005-0000-0000-0000EC2A0000}"/>
    <cellStyle name="Comma 4 3 3 2 3 4" xfId="23614" xr:uid="{00000000-0005-0000-0000-0000ED2A0000}"/>
    <cellStyle name="Comma 4 3 3 2 3 5" xfId="24759" xr:uid="{00000000-0005-0000-0000-0000EE2A0000}"/>
    <cellStyle name="Comma 4 3 3 2 3 6" xfId="25263" xr:uid="{00000000-0005-0000-0000-0000EF2A0000}"/>
    <cellStyle name="Comma 4 3 3 2 3 7" xfId="25767" xr:uid="{00000000-0005-0000-0000-0000F02A0000}"/>
    <cellStyle name="Comma 4 3 3 2 3 8" xfId="26271" xr:uid="{00000000-0005-0000-0000-0000F12A0000}"/>
    <cellStyle name="Comma 4 3 3 2 3 9" xfId="26775" xr:uid="{00000000-0005-0000-0000-0000F22A0000}"/>
    <cellStyle name="Comma 4 3 3 2 4" xfId="10331" xr:uid="{00000000-0005-0000-0000-0000F32A0000}"/>
    <cellStyle name="Comma 4 3 3 2 4 2" xfId="10332" xr:uid="{00000000-0005-0000-0000-0000F42A0000}"/>
    <cellStyle name="Comma 4 3 3 2 4 2 2" xfId="18639" xr:uid="{00000000-0005-0000-0000-0000F52A0000}"/>
    <cellStyle name="Comma 4 3 3 2 5" xfId="10333" xr:uid="{00000000-0005-0000-0000-0000F62A0000}"/>
    <cellStyle name="Comma 4 3 3 2 5 2" xfId="10334" xr:uid="{00000000-0005-0000-0000-0000F72A0000}"/>
    <cellStyle name="Comma 4 3 3 2 5 2 2" xfId="18640" xr:uid="{00000000-0005-0000-0000-0000F82A0000}"/>
    <cellStyle name="Comma 4 3 3 2 6" xfId="10335" xr:uid="{00000000-0005-0000-0000-0000F92A0000}"/>
    <cellStyle name="Comma 4 3 3 2 6 2" xfId="10336" xr:uid="{00000000-0005-0000-0000-0000FA2A0000}"/>
    <cellStyle name="Comma 4 3 3 2 6 2 2" xfId="18641" xr:uid="{00000000-0005-0000-0000-0000FB2A0000}"/>
    <cellStyle name="Comma 4 3 3 2 7" xfId="10337" xr:uid="{00000000-0005-0000-0000-0000FC2A0000}"/>
    <cellStyle name="Comma 4 3 3 2 7 2" xfId="10338" xr:uid="{00000000-0005-0000-0000-0000FD2A0000}"/>
    <cellStyle name="Comma 4 3 3 2 7 2 2" xfId="18642" xr:uid="{00000000-0005-0000-0000-0000FE2A0000}"/>
    <cellStyle name="Comma 4 3 3 2 8" xfId="10339" xr:uid="{00000000-0005-0000-0000-0000FF2A0000}"/>
    <cellStyle name="Comma 4 3 3 2 8 2" xfId="10340" xr:uid="{00000000-0005-0000-0000-0000002B0000}"/>
    <cellStyle name="Comma 4 3 3 2 8 2 2" xfId="18643" xr:uid="{00000000-0005-0000-0000-0000012B0000}"/>
    <cellStyle name="Comma 4 3 3 2 9" xfId="10341" xr:uid="{00000000-0005-0000-0000-0000022B0000}"/>
    <cellStyle name="Comma 4 3 3 2 9 2" xfId="18644" xr:uid="{00000000-0005-0000-0000-0000032B0000}"/>
    <cellStyle name="Comma 4 3 3 20" xfId="26268" xr:uid="{00000000-0005-0000-0000-0000042B0000}"/>
    <cellStyle name="Comma 4 3 3 21" xfId="26772" xr:uid="{00000000-0005-0000-0000-0000052B0000}"/>
    <cellStyle name="Comma 4 3 3 22" xfId="27276" xr:uid="{00000000-0005-0000-0000-0000062B0000}"/>
    <cellStyle name="Comma 4 3 3 23" xfId="27780" xr:uid="{00000000-0005-0000-0000-0000072B0000}"/>
    <cellStyle name="Comma 4 3 3 24" xfId="28284" xr:uid="{00000000-0005-0000-0000-0000082B0000}"/>
    <cellStyle name="Comma 4 3 3 25" xfId="28788" xr:uid="{00000000-0005-0000-0000-0000092B0000}"/>
    <cellStyle name="Comma 4 3 3 26" xfId="29292" xr:uid="{00000000-0005-0000-0000-00000A2B0000}"/>
    <cellStyle name="Comma 4 3 3 27" xfId="29796" xr:uid="{00000000-0005-0000-0000-00000B2B0000}"/>
    <cellStyle name="Comma 4 3 3 28" xfId="30300" xr:uid="{00000000-0005-0000-0000-00000C2B0000}"/>
    <cellStyle name="Comma 4 3 3 29" xfId="30805" xr:uid="{00000000-0005-0000-0000-00000D2B0000}"/>
    <cellStyle name="Comma 4 3 3 3" xfId="6865" xr:uid="{00000000-0005-0000-0000-00000E2B0000}"/>
    <cellStyle name="Comma 4 3 3 3 10" xfId="27280" xr:uid="{00000000-0005-0000-0000-00000F2B0000}"/>
    <cellStyle name="Comma 4 3 3 3 11" xfId="27784" xr:uid="{00000000-0005-0000-0000-0000102B0000}"/>
    <cellStyle name="Comma 4 3 3 3 12" xfId="28288" xr:uid="{00000000-0005-0000-0000-0000112B0000}"/>
    <cellStyle name="Comma 4 3 3 3 13" xfId="28792" xr:uid="{00000000-0005-0000-0000-0000122B0000}"/>
    <cellStyle name="Comma 4 3 3 3 14" xfId="29296" xr:uid="{00000000-0005-0000-0000-0000132B0000}"/>
    <cellStyle name="Comma 4 3 3 3 15" xfId="29800" xr:uid="{00000000-0005-0000-0000-0000142B0000}"/>
    <cellStyle name="Comma 4 3 3 3 16" xfId="30304" xr:uid="{00000000-0005-0000-0000-0000152B0000}"/>
    <cellStyle name="Comma 4 3 3 3 17" xfId="30809" xr:uid="{00000000-0005-0000-0000-0000162B0000}"/>
    <cellStyle name="Comma 4 3 3 3 2" xfId="10342" xr:uid="{00000000-0005-0000-0000-0000172B0000}"/>
    <cellStyle name="Comma 4 3 3 3 2 2" xfId="18645" xr:uid="{00000000-0005-0000-0000-0000182B0000}"/>
    <cellStyle name="Comma 4 3 3 3 3" xfId="7309" xr:uid="{00000000-0005-0000-0000-0000192B0000}"/>
    <cellStyle name="Comma 4 3 3 3 4" xfId="23615" xr:uid="{00000000-0005-0000-0000-00001A2B0000}"/>
    <cellStyle name="Comma 4 3 3 3 5" xfId="24760" xr:uid="{00000000-0005-0000-0000-00001B2B0000}"/>
    <cellStyle name="Comma 4 3 3 3 6" xfId="25264" xr:uid="{00000000-0005-0000-0000-00001C2B0000}"/>
    <cellStyle name="Comma 4 3 3 3 7" xfId="25768" xr:uid="{00000000-0005-0000-0000-00001D2B0000}"/>
    <cellStyle name="Comma 4 3 3 3 8" xfId="26272" xr:uid="{00000000-0005-0000-0000-00001E2B0000}"/>
    <cellStyle name="Comma 4 3 3 3 9" xfId="26776" xr:uid="{00000000-0005-0000-0000-00001F2B0000}"/>
    <cellStyle name="Comma 4 3 3 4" xfId="10343" xr:uid="{00000000-0005-0000-0000-0000202B0000}"/>
    <cellStyle name="Comma 4 3 3 4 10" xfId="27785" xr:uid="{00000000-0005-0000-0000-0000212B0000}"/>
    <cellStyle name="Comma 4 3 3 4 11" xfId="28289" xr:uid="{00000000-0005-0000-0000-0000222B0000}"/>
    <cellStyle name="Comma 4 3 3 4 12" xfId="28793" xr:uid="{00000000-0005-0000-0000-0000232B0000}"/>
    <cellStyle name="Comma 4 3 3 4 13" xfId="29297" xr:uid="{00000000-0005-0000-0000-0000242B0000}"/>
    <cellStyle name="Comma 4 3 3 4 14" xfId="29801" xr:uid="{00000000-0005-0000-0000-0000252B0000}"/>
    <cellStyle name="Comma 4 3 3 4 15" xfId="30305" xr:uid="{00000000-0005-0000-0000-0000262B0000}"/>
    <cellStyle name="Comma 4 3 3 4 16" xfId="30810" xr:uid="{00000000-0005-0000-0000-0000272B0000}"/>
    <cellStyle name="Comma 4 3 3 4 2" xfId="10344" xr:uid="{00000000-0005-0000-0000-0000282B0000}"/>
    <cellStyle name="Comma 4 3 3 4 2 2" xfId="18646" xr:uid="{00000000-0005-0000-0000-0000292B0000}"/>
    <cellStyle name="Comma 4 3 3 4 3" xfId="23616" xr:uid="{00000000-0005-0000-0000-00002A2B0000}"/>
    <cellStyle name="Comma 4 3 3 4 4" xfId="24761" xr:uid="{00000000-0005-0000-0000-00002B2B0000}"/>
    <cellStyle name="Comma 4 3 3 4 5" xfId="25265" xr:uid="{00000000-0005-0000-0000-00002C2B0000}"/>
    <cellStyle name="Comma 4 3 3 4 6" xfId="25769" xr:uid="{00000000-0005-0000-0000-00002D2B0000}"/>
    <cellStyle name="Comma 4 3 3 4 7" xfId="26273" xr:uid="{00000000-0005-0000-0000-00002E2B0000}"/>
    <cellStyle name="Comma 4 3 3 4 8" xfId="26777" xr:uid="{00000000-0005-0000-0000-00002F2B0000}"/>
    <cellStyle name="Comma 4 3 3 4 9" xfId="27281" xr:uid="{00000000-0005-0000-0000-0000302B0000}"/>
    <cellStyle name="Comma 4 3 3 5" xfId="10345" xr:uid="{00000000-0005-0000-0000-0000312B0000}"/>
    <cellStyle name="Comma 4 3 3 5 2" xfId="10346" xr:uid="{00000000-0005-0000-0000-0000322B0000}"/>
    <cellStyle name="Comma 4 3 3 5 2 2" xfId="18647" xr:uid="{00000000-0005-0000-0000-0000332B0000}"/>
    <cellStyle name="Comma 4 3 3 6" xfId="10347" xr:uid="{00000000-0005-0000-0000-0000342B0000}"/>
    <cellStyle name="Comma 4 3 3 6 2" xfId="10348" xr:uid="{00000000-0005-0000-0000-0000352B0000}"/>
    <cellStyle name="Comma 4 3 3 6 2 2" xfId="18648" xr:uid="{00000000-0005-0000-0000-0000362B0000}"/>
    <cellStyle name="Comma 4 3 3 7" xfId="10349" xr:uid="{00000000-0005-0000-0000-0000372B0000}"/>
    <cellStyle name="Comma 4 3 3 7 2" xfId="10350" xr:uid="{00000000-0005-0000-0000-0000382B0000}"/>
    <cellStyle name="Comma 4 3 3 7 2 2" xfId="18649" xr:uid="{00000000-0005-0000-0000-0000392B0000}"/>
    <cellStyle name="Comma 4 3 3 8" xfId="10351" xr:uid="{00000000-0005-0000-0000-00003A2B0000}"/>
    <cellStyle name="Comma 4 3 3 8 2" xfId="10352" xr:uid="{00000000-0005-0000-0000-00003B2B0000}"/>
    <cellStyle name="Comma 4 3 3 8 2 2" xfId="18650" xr:uid="{00000000-0005-0000-0000-00003C2B0000}"/>
    <cellStyle name="Comma 4 3 3 9" xfId="10353" xr:uid="{00000000-0005-0000-0000-00003D2B0000}"/>
    <cellStyle name="Comma 4 3 3 9 2" xfId="10354" xr:uid="{00000000-0005-0000-0000-00003E2B0000}"/>
    <cellStyle name="Comma 4 3 3 9 2 2" xfId="18651" xr:uid="{00000000-0005-0000-0000-00003F2B0000}"/>
    <cellStyle name="Comma 4 3 30" xfId="27768" xr:uid="{00000000-0005-0000-0000-0000402B0000}"/>
    <cellStyle name="Comma 4 3 31" xfId="28272" xr:uid="{00000000-0005-0000-0000-0000412B0000}"/>
    <cellStyle name="Comma 4 3 32" xfId="28776" xr:uid="{00000000-0005-0000-0000-0000422B0000}"/>
    <cellStyle name="Comma 4 3 33" xfId="29280" xr:uid="{00000000-0005-0000-0000-0000432B0000}"/>
    <cellStyle name="Comma 4 3 34" xfId="29784" xr:uid="{00000000-0005-0000-0000-0000442B0000}"/>
    <cellStyle name="Comma 4 3 35" xfId="30288" xr:uid="{00000000-0005-0000-0000-0000452B0000}"/>
    <cellStyle name="Comma 4 3 36" xfId="30793" xr:uid="{00000000-0005-0000-0000-0000462B0000}"/>
    <cellStyle name="Comma 4 3 4" xfId="2040" xr:uid="{00000000-0005-0000-0000-0000472B0000}"/>
    <cellStyle name="Comma 4 3 4 10" xfId="10355" xr:uid="{00000000-0005-0000-0000-0000482B0000}"/>
    <cellStyle name="Comma 4 3 4 10 2" xfId="10356" xr:uid="{00000000-0005-0000-0000-0000492B0000}"/>
    <cellStyle name="Comma 4 3 4 10 2 2" xfId="10357" xr:uid="{00000000-0005-0000-0000-00004A2B0000}"/>
    <cellStyle name="Comma 4 3 4 10 2 2 2" xfId="18652" xr:uid="{00000000-0005-0000-0000-00004B2B0000}"/>
    <cellStyle name="Comma 4 3 4 10 3" xfId="10358" xr:uid="{00000000-0005-0000-0000-00004C2B0000}"/>
    <cellStyle name="Comma 4 3 4 10 3 2" xfId="18653" xr:uid="{00000000-0005-0000-0000-00004D2B0000}"/>
    <cellStyle name="Comma 4 3 4 11" xfId="10359" xr:uid="{00000000-0005-0000-0000-00004E2B0000}"/>
    <cellStyle name="Comma 4 3 4 11 2" xfId="10360" xr:uid="{00000000-0005-0000-0000-00004F2B0000}"/>
    <cellStyle name="Comma 4 3 4 11 2 2" xfId="10361" xr:uid="{00000000-0005-0000-0000-0000502B0000}"/>
    <cellStyle name="Comma 4 3 4 11 2 2 2" xfId="18654" xr:uid="{00000000-0005-0000-0000-0000512B0000}"/>
    <cellStyle name="Comma 4 3 4 11 3" xfId="10362" xr:uid="{00000000-0005-0000-0000-0000522B0000}"/>
    <cellStyle name="Comma 4 3 4 11 3 2" xfId="18655" xr:uid="{00000000-0005-0000-0000-0000532B0000}"/>
    <cellStyle name="Comma 4 3 4 12" xfId="10363" xr:uid="{00000000-0005-0000-0000-0000542B0000}"/>
    <cellStyle name="Comma 4 3 4 12 2" xfId="10364" xr:uid="{00000000-0005-0000-0000-0000552B0000}"/>
    <cellStyle name="Comma 4 3 4 12 2 2" xfId="10365" xr:uid="{00000000-0005-0000-0000-0000562B0000}"/>
    <cellStyle name="Comma 4 3 4 12 2 2 2" xfId="18656" xr:uid="{00000000-0005-0000-0000-0000572B0000}"/>
    <cellStyle name="Comma 4 3 4 12 3" xfId="10366" xr:uid="{00000000-0005-0000-0000-0000582B0000}"/>
    <cellStyle name="Comma 4 3 4 12 3 2" xfId="18657" xr:uid="{00000000-0005-0000-0000-0000592B0000}"/>
    <cellStyle name="Comma 4 3 4 13" xfId="10367" xr:uid="{00000000-0005-0000-0000-00005A2B0000}"/>
    <cellStyle name="Comma 4 3 4 13 2" xfId="10368" xr:uid="{00000000-0005-0000-0000-00005B2B0000}"/>
    <cellStyle name="Comma 4 3 4 13 2 2" xfId="10369" xr:uid="{00000000-0005-0000-0000-00005C2B0000}"/>
    <cellStyle name="Comma 4 3 4 13 2 2 2" xfId="10370" xr:uid="{00000000-0005-0000-0000-00005D2B0000}"/>
    <cellStyle name="Comma 4 3 4 13 2 2 2 2" xfId="18658" xr:uid="{00000000-0005-0000-0000-00005E2B0000}"/>
    <cellStyle name="Comma 4 3 4 13 2 3" xfId="10371" xr:uid="{00000000-0005-0000-0000-00005F2B0000}"/>
    <cellStyle name="Comma 4 3 4 13 2 3 2" xfId="10372" xr:uid="{00000000-0005-0000-0000-0000602B0000}"/>
    <cellStyle name="Comma 4 3 4 13 2 3 2 2" xfId="18659" xr:uid="{00000000-0005-0000-0000-0000612B0000}"/>
    <cellStyle name="Comma 4 3 4 13 2 4" xfId="10373" xr:uid="{00000000-0005-0000-0000-0000622B0000}"/>
    <cellStyle name="Comma 4 3 4 13 2 4 2" xfId="10374" xr:uid="{00000000-0005-0000-0000-0000632B0000}"/>
    <cellStyle name="Comma 4 3 4 13 2 4 2 2" xfId="18660" xr:uid="{00000000-0005-0000-0000-0000642B0000}"/>
    <cellStyle name="Comma 4 3 4 13 2 5" xfId="10375" xr:uid="{00000000-0005-0000-0000-0000652B0000}"/>
    <cellStyle name="Comma 4 3 4 13 2 5 2" xfId="10376" xr:uid="{00000000-0005-0000-0000-0000662B0000}"/>
    <cellStyle name="Comma 4 3 4 13 2 5 2 2" xfId="18661" xr:uid="{00000000-0005-0000-0000-0000672B0000}"/>
    <cellStyle name="Comma 4 3 4 13 2 6" xfId="10377" xr:uid="{00000000-0005-0000-0000-0000682B0000}"/>
    <cellStyle name="Comma 4 3 4 13 2 6 2" xfId="10378" xr:uid="{00000000-0005-0000-0000-0000692B0000}"/>
    <cellStyle name="Comma 4 3 4 13 2 6 2 2" xfId="18662" xr:uid="{00000000-0005-0000-0000-00006A2B0000}"/>
    <cellStyle name="Comma 4 3 4 13 2 7" xfId="10379" xr:uid="{00000000-0005-0000-0000-00006B2B0000}"/>
    <cellStyle name="Comma 4 3 4 13 2 7 2" xfId="10380" xr:uid="{00000000-0005-0000-0000-00006C2B0000}"/>
    <cellStyle name="Comma 4 3 4 13 2 7 2 2" xfId="18663" xr:uid="{00000000-0005-0000-0000-00006D2B0000}"/>
    <cellStyle name="Comma 4 3 4 13 2 8" xfId="10381" xr:uid="{00000000-0005-0000-0000-00006E2B0000}"/>
    <cellStyle name="Comma 4 3 4 13 2 8 2" xfId="18664" xr:uid="{00000000-0005-0000-0000-00006F2B0000}"/>
    <cellStyle name="Comma 4 3 4 13 3" xfId="10382" xr:uid="{00000000-0005-0000-0000-0000702B0000}"/>
    <cellStyle name="Comma 4 3 4 13 3 2" xfId="10383" xr:uid="{00000000-0005-0000-0000-0000712B0000}"/>
    <cellStyle name="Comma 4 3 4 13 3 2 2" xfId="18665" xr:uid="{00000000-0005-0000-0000-0000722B0000}"/>
    <cellStyle name="Comma 4 3 4 13 4" xfId="10384" xr:uid="{00000000-0005-0000-0000-0000732B0000}"/>
    <cellStyle name="Comma 4 3 4 13 4 2" xfId="10385" xr:uid="{00000000-0005-0000-0000-0000742B0000}"/>
    <cellStyle name="Comma 4 3 4 13 4 2 2" xfId="18666" xr:uid="{00000000-0005-0000-0000-0000752B0000}"/>
    <cellStyle name="Comma 4 3 4 13 5" xfId="10386" xr:uid="{00000000-0005-0000-0000-0000762B0000}"/>
    <cellStyle name="Comma 4 3 4 13 5 2" xfId="10387" xr:uid="{00000000-0005-0000-0000-0000772B0000}"/>
    <cellStyle name="Comma 4 3 4 13 5 2 2" xfId="18667" xr:uid="{00000000-0005-0000-0000-0000782B0000}"/>
    <cellStyle name="Comma 4 3 4 13 6" xfId="10388" xr:uid="{00000000-0005-0000-0000-0000792B0000}"/>
    <cellStyle name="Comma 4 3 4 13 6 2" xfId="10389" xr:uid="{00000000-0005-0000-0000-00007A2B0000}"/>
    <cellStyle name="Comma 4 3 4 13 6 2 2" xfId="18668" xr:uid="{00000000-0005-0000-0000-00007B2B0000}"/>
    <cellStyle name="Comma 4 3 4 13 7" xfId="10390" xr:uid="{00000000-0005-0000-0000-00007C2B0000}"/>
    <cellStyle name="Comma 4 3 4 13 7 2" xfId="10391" xr:uid="{00000000-0005-0000-0000-00007D2B0000}"/>
    <cellStyle name="Comma 4 3 4 13 7 2 2" xfId="18669" xr:uid="{00000000-0005-0000-0000-00007E2B0000}"/>
    <cellStyle name="Comma 4 3 4 13 8" xfId="10392" xr:uid="{00000000-0005-0000-0000-00007F2B0000}"/>
    <cellStyle name="Comma 4 3 4 13 8 2" xfId="10393" xr:uid="{00000000-0005-0000-0000-0000802B0000}"/>
    <cellStyle name="Comma 4 3 4 13 8 2 2" xfId="18670" xr:uid="{00000000-0005-0000-0000-0000812B0000}"/>
    <cellStyle name="Comma 4 3 4 13 9" xfId="10394" xr:uid="{00000000-0005-0000-0000-0000822B0000}"/>
    <cellStyle name="Comma 4 3 4 13 9 2" xfId="18671" xr:uid="{00000000-0005-0000-0000-0000832B0000}"/>
    <cellStyle name="Comma 4 3 4 14" xfId="10395" xr:uid="{00000000-0005-0000-0000-0000842B0000}"/>
    <cellStyle name="Comma 4 3 4 14 2" xfId="10396" xr:uid="{00000000-0005-0000-0000-0000852B0000}"/>
    <cellStyle name="Comma 4 3 4 14 2 2" xfId="18672" xr:uid="{00000000-0005-0000-0000-0000862B0000}"/>
    <cellStyle name="Comma 4 3 4 15" xfId="10397" xr:uid="{00000000-0005-0000-0000-0000872B0000}"/>
    <cellStyle name="Comma 4 3 4 15 2" xfId="10398" xr:uid="{00000000-0005-0000-0000-0000882B0000}"/>
    <cellStyle name="Comma 4 3 4 15 2 2" xfId="18673" xr:uid="{00000000-0005-0000-0000-0000892B0000}"/>
    <cellStyle name="Comma 4 3 4 16" xfId="7171" xr:uid="{00000000-0005-0000-0000-00008A2B0000}"/>
    <cellStyle name="Comma 4 3 4 17" xfId="23617" xr:uid="{00000000-0005-0000-0000-00008B2B0000}"/>
    <cellStyle name="Comma 4 3 4 18" xfId="24762" xr:uid="{00000000-0005-0000-0000-00008C2B0000}"/>
    <cellStyle name="Comma 4 3 4 19" xfId="25266" xr:uid="{00000000-0005-0000-0000-00008D2B0000}"/>
    <cellStyle name="Comma 4 3 4 2" xfId="7310" xr:uid="{00000000-0005-0000-0000-00008E2B0000}"/>
    <cellStyle name="Comma 4 3 4 2 2" xfId="10399" xr:uid="{00000000-0005-0000-0000-00008F2B0000}"/>
    <cellStyle name="Comma 4 3 4 2 2 2" xfId="10400" xr:uid="{00000000-0005-0000-0000-0000902B0000}"/>
    <cellStyle name="Comma 4 3 4 2 2 2 2" xfId="18676" xr:uid="{00000000-0005-0000-0000-0000912B0000}"/>
    <cellStyle name="Comma 4 3 4 2 2 3" xfId="18675" xr:uid="{00000000-0005-0000-0000-0000922B0000}"/>
    <cellStyle name="Comma 4 3 4 2 3" xfId="10401" xr:uid="{00000000-0005-0000-0000-0000932B0000}"/>
    <cellStyle name="Comma 4 3 4 2 3 2" xfId="18677" xr:uid="{00000000-0005-0000-0000-0000942B0000}"/>
    <cellStyle name="Comma 4 3 4 2 4" xfId="18674" xr:uid="{00000000-0005-0000-0000-0000952B0000}"/>
    <cellStyle name="Comma 4 3 4 20" xfId="25770" xr:uid="{00000000-0005-0000-0000-0000962B0000}"/>
    <cellStyle name="Comma 4 3 4 21" xfId="26274" xr:uid="{00000000-0005-0000-0000-0000972B0000}"/>
    <cellStyle name="Comma 4 3 4 22" xfId="26778" xr:uid="{00000000-0005-0000-0000-0000982B0000}"/>
    <cellStyle name="Comma 4 3 4 23" xfId="27282" xr:uid="{00000000-0005-0000-0000-0000992B0000}"/>
    <cellStyle name="Comma 4 3 4 24" xfId="27786" xr:uid="{00000000-0005-0000-0000-00009A2B0000}"/>
    <cellStyle name="Comma 4 3 4 25" xfId="28290" xr:uid="{00000000-0005-0000-0000-00009B2B0000}"/>
    <cellStyle name="Comma 4 3 4 26" xfId="28794" xr:uid="{00000000-0005-0000-0000-00009C2B0000}"/>
    <cellStyle name="Comma 4 3 4 27" xfId="29298" xr:uid="{00000000-0005-0000-0000-00009D2B0000}"/>
    <cellStyle name="Comma 4 3 4 28" xfId="29802" xr:uid="{00000000-0005-0000-0000-00009E2B0000}"/>
    <cellStyle name="Comma 4 3 4 29" xfId="30306" xr:uid="{00000000-0005-0000-0000-00009F2B0000}"/>
    <cellStyle name="Comma 4 3 4 3" xfId="10402" xr:uid="{00000000-0005-0000-0000-0000A02B0000}"/>
    <cellStyle name="Comma 4 3 4 3 2" xfId="10403" xr:uid="{00000000-0005-0000-0000-0000A12B0000}"/>
    <cellStyle name="Comma 4 3 4 3 2 2" xfId="10404" xr:uid="{00000000-0005-0000-0000-0000A22B0000}"/>
    <cellStyle name="Comma 4 3 4 3 2 2 2" xfId="18678" xr:uid="{00000000-0005-0000-0000-0000A32B0000}"/>
    <cellStyle name="Comma 4 3 4 3 3" xfId="10405" xr:uid="{00000000-0005-0000-0000-0000A42B0000}"/>
    <cellStyle name="Comma 4 3 4 3 3 2" xfId="18679" xr:uid="{00000000-0005-0000-0000-0000A52B0000}"/>
    <cellStyle name="Comma 4 3 4 30" xfId="30811" xr:uid="{00000000-0005-0000-0000-0000A62B0000}"/>
    <cellStyle name="Comma 4 3 4 4" xfId="10406" xr:uid="{00000000-0005-0000-0000-0000A72B0000}"/>
    <cellStyle name="Comma 4 3 4 4 2" xfId="10407" xr:uid="{00000000-0005-0000-0000-0000A82B0000}"/>
    <cellStyle name="Comma 4 3 4 4 2 2" xfId="10408" xr:uid="{00000000-0005-0000-0000-0000A92B0000}"/>
    <cellStyle name="Comma 4 3 4 4 2 2 2" xfId="18680" xr:uid="{00000000-0005-0000-0000-0000AA2B0000}"/>
    <cellStyle name="Comma 4 3 4 4 3" xfId="10409" xr:uid="{00000000-0005-0000-0000-0000AB2B0000}"/>
    <cellStyle name="Comma 4 3 4 4 3 2" xfId="18681" xr:uid="{00000000-0005-0000-0000-0000AC2B0000}"/>
    <cellStyle name="Comma 4 3 4 5" xfId="10410" xr:uid="{00000000-0005-0000-0000-0000AD2B0000}"/>
    <cellStyle name="Comma 4 3 4 5 2" xfId="10411" xr:uid="{00000000-0005-0000-0000-0000AE2B0000}"/>
    <cellStyle name="Comma 4 3 4 5 2 2" xfId="10412" xr:uid="{00000000-0005-0000-0000-0000AF2B0000}"/>
    <cellStyle name="Comma 4 3 4 5 2 2 2" xfId="18682" xr:uid="{00000000-0005-0000-0000-0000B02B0000}"/>
    <cellStyle name="Comma 4 3 4 5 3" xfId="10413" xr:uid="{00000000-0005-0000-0000-0000B12B0000}"/>
    <cellStyle name="Comma 4 3 4 5 3 2" xfId="18683" xr:uid="{00000000-0005-0000-0000-0000B22B0000}"/>
    <cellStyle name="Comma 4 3 4 6" xfId="10414" xr:uid="{00000000-0005-0000-0000-0000B32B0000}"/>
    <cellStyle name="Comma 4 3 4 6 2" xfId="10415" xr:uid="{00000000-0005-0000-0000-0000B42B0000}"/>
    <cellStyle name="Comma 4 3 4 6 2 2" xfId="10416" xr:uid="{00000000-0005-0000-0000-0000B52B0000}"/>
    <cellStyle name="Comma 4 3 4 6 2 2 2" xfId="18684" xr:uid="{00000000-0005-0000-0000-0000B62B0000}"/>
    <cellStyle name="Comma 4 3 4 6 3" xfId="10417" xr:uid="{00000000-0005-0000-0000-0000B72B0000}"/>
    <cellStyle name="Comma 4 3 4 6 3 2" xfId="18685" xr:uid="{00000000-0005-0000-0000-0000B82B0000}"/>
    <cellStyle name="Comma 4 3 4 7" xfId="10418" xr:uid="{00000000-0005-0000-0000-0000B92B0000}"/>
    <cellStyle name="Comma 4 3 4 7 2" xfId="10419" xr:uid="{00000000-0005-0000-0000-0000BA2B0000}"/>
    <cellStyle name="Comma 4 3 4 7 2 2" xfId="10420" xr:uid="{00000000-0005-0000-0000-0000BB2B0000}"/>
    <cellStyle name="Comma 4 3 4 7 2 2 2" xfId="18686" xr:uid="{00000000-0005-0000-0000-0000BC2B0000}"/>
    <cellStyle name="Comma 4 3 4 7 3" xfId="10421" xr:uid="{00000000-0005-0000-0000-0000BD2B0000}"/>
    <cellStyle name="Comma 4 3 4 7 3 2" xfId="18687" xr:uid="{00000000-0005-0000-0000-0000BE2B0000}"/>
    <cellStyle name="Comma 4 3 4 8" xfId="10422" xr:uid="{00000000-0005-0000-0000-0000BF2B0000}"/>
    <cellStyle name="Comma 4 3 4 8 2" xfId="10423" xr:uid="{00000000-0005-0000-0000-0000C02B0000}"/>
    <cellStyle name="Comma 4 3 4 8 2 2" xfId="10424" xr:uid="{00000000-0005-0000-0000-0000C12B0000}"/>
    <cellStyle name="Comma 4 3 4 8 2 2 2" xfId="18688" xr:uid="{00000000-0005-0000-0000-0000C22B0000}"/>
    <cellStyle name="Comma 4 3 4 8 3" xfId="10425" xr:uid="{00000000-0005-0000-0000-0000C32B0000}"/>
    <cellStyle name="Comma 4 3 4 8 3 2" xfId="18689" xr:uid="{00000000-0005-0000-0000-0000C42B0000}"/>
    <cellStyle name="Comma 4 3 4 9" xfId="10426" xr:uid="{00000000-0005-0000-0000-0000C52B0000}"/>
    <cellStyle name="Comma 4 3 4 9 2" xfId="10427" xr:uid="{00000000-0005-0000-0000-0000C62B0000}"/>
    <cellStyle name="Comma 4 3 4 9 2 2" xfId="10428" xr:uid="{00000000-0005-0000-0000-0000C72B0000}"/>
    <cellStyle name="Comma 4 3 4 9 2 2 2" xfId="18690" xr:uid="{00000000-0005-0000-0000-0000C82B0000}"/>
    <cellStyle name="Comma 4 3 4 9 3" xfId="10429" xr:uid="{00000000-0005-0000-0000-0000C92B0000}"/>
    <cellStyle name="Comma 4 3 4 9 3 2" xfId="18691" xr:uid="{00000000-0005-0000-0000-0000CA2B0000}"/>
    <cellStyle name="Comma 4 3 5" xfId="2041" xr:uid="{00000000-0005-0000-0000-0000CB2B0000}"/>
    <cellStyle name="Comma 4 3 5 10" xfId="26779" xr:uid="{00000000-0005-0000-0000-0000CC2B0000}"/>
    <cellStyle name="Comma 4 3 5 11" xfId="27283" xr:uid="{00000000-0005-0000-0000-0000CD2B0000}"/>
    <cellStyle name="Comma 4 3 5 12" xfId="27787" xr:uid="{00000000-0005-0000-0000-0000CE2B0000}"/>
    <cellStyle name="Comma 4 3 5 13" xfId="28291" xr:uid="{00000000-0005-0000-0000-0000CF2B0000}"/>
    <cellStyle name="Comma 4 3 5 14" xfId="28795" xr:uid="{00000000-0005-0000-0000-0000D02B0000}"/>
    <cellStyle name="Comma 4 3 5 15" xfId="29299" xr:uid="{00000000-0005-0000-0000-0000D12B0000}"/>
    <cellStyle name="Comma 4 3 5 16" xfId="29803" xr:uid="{00000000-0005-0000-0000-0000D22B0000}"/>
    <cellStyle name="Comma 4 3 5 17" xfId="30307" xr:uid="{00000000-0005-0000-0000-0000D32B0000}"/>
    <cellStyle name="Comma 4 3 5 18" xfId="30812" xr:uid="{00000000-0005-0000-0000-0000D42B0000}"/>
    <cellStyle name="Comma 4 3 5 2" xfId="10430" xr:uid="{00000000-0005-0000-0000-0000D52B0000}"/>
    <cellStyle name="Comma 4 3 5 2 2" xfId="10431" xr:uid="{00000000-0005-0000-0000-0000D62B0000}"/>
    <cellStyle name="Comma 4 3 5 2 2 2" xfId="18692" xr:uid="{00000000-0005-0000-0000-0000D72B0000}"/>
    <cellStyle name="Comma 4 3 5 3" xfId="10432" xr:uid="{00000000-0005-0000-0000-0000D82B0000}"/>
    <cellStyle name="Comma 4 3 5 3 2" xfId="10433" xr:uid="{00000000-0005-0000-0000-0000D92B0000}"/>
    <cellStyle name="Comma 4 3 5 3 2 2" xfId="18693" xr:uid="{00000000-0005-0000-0000-0000DA2B0000}"/>
    <cellStyle name="Comma 4 3 5 4" xfId="7172" xr:uid="{00000000-0005-0000-0000-0000DB2B0000}"/>
    <cellStyle name="Comma 4 3 5 5" xfId="23618" xr:uid="{00000000-0005-0000-0000-0000DC2B0000}"/>
    <cellStyle name="Comma 4 3 5 6" xfId="24763" xr:uid="{00000000-0005-0000-0000-0000DD2B0000}"/>
    <cellStyle name="Comma 4 3 5 7" xfId="25267" xr:uid="{00000000-0005-0000-0000-0000DE2B0000}"/>
    <cellStyle name="Comma 4 3 5 8" xfId="25771" xr:uid="{00000000-0005-0000-0000-0000DF2B0000}"/>
    <cellStyle name="Comma 4 3 5 9" xfId="26275" xr:uid="{00000000-0005-0000-0000-0000E02B0000}"/>
    <cellStyle name="Comma 4 3 6" xfId="2042" xr:uid="{00000000-0005-0000-0000-0000E12B0000}"/>
    <cellStyle name="Comma 4 3 6 10" xfId="26780" xr:uid="{00000000-0005-0000-0000-0000E22B0000}"/>
    <cellStyle name="Comma 4 3 6 11" xfId="27284" xr:uid="{00000000-0005-0000-0000-0000E32B0000}"/>
    <cellStyle name="Comma 4 3 6 12" xfId="27788" xr:uid="{00000000-0005-0000-0000-0000E42B0000}"/>
    <cellStyle name="Comma 4 3 6 13" xfId="28292" xr:uid="{00000000-0005-0000-0000-0000E52B0000}"/>
    <cellStyle name="Comma 4 3 6 14" xfId="28796" xr:uid="{00000000-0005-0000-0000-0000E62B0000}"/>
    <cellStyle name="Comma 4 3 6 15" xfId="29300" xr:uid="{00000000-0005-0000-0000-0000E72B0000}"/>
    <cellStyle name="Comma 4 3 6 16" xfId="29804" xr:uid="{00000000-0005-0000-0000-0000E82B0000}"/>
    <cellStyle name="Comma 4 3 6 17" xfId="30308" xr:uid="{00000000-0005-0000-0000-0000E92B0000}"/>
    <cellStyle name="Comma 4 3 6 18" xfId="30813" xr:uid="{00000000-0005-0000-0000-0000EA2B0000}"/>
    <cellStyle name="Comma 4 3 6 2" xfId="10434" xr:uid="{00000000-0005-0000-0000-0000EB2B0000}"/>
    <cellStyle name="Comma 4 3 6 2 2" xfId="10435" xr:uid="{00000000-0005-0000-0000-0000EC2B0000}"/>
    <cellStyle name="Comma 4 3 6 2 2 2" xfId="18694" xr:uid="{00000000-0005-0000-0000-0000ED2B0000}"/>
    <cellStyle name="Comma 4 3 6 3" xfId="10436" xr:uid="{00000000-0005-0000-0000-0000EE2B0000}"/>
    <cellStyle name="Comma 4 3 6 3 2" xfId="10437" xr:uid="{00000000-0005-0000-0000-0000EF2B0000}"/>
    <cellStyle name="Comma 4 3 6 3 2 2" xfId="18695" xr:uid="{00000000-0005-0000-0000-0000F02B0000}"/>
    <cellStyle name="Comma 4 3 6 4" xfId="7173" xr:uid="{00000000-0005-0000-0000-0000F12B0000}"/>
    <cellStyle name="Comma 4 3 6 5" xfId="23619" xr:uid="{00000000-0005-0000-0000-0000F22B0000}"/>
    <cellStyle name="Comma 4 3 6 6" xfId="24764" xr:uid="{00000000-0005-0000-0000-0000F32B0000}"/>
    <cellStyle name="Comma 4 3 6 7" xfId="25268" xr:uid="{00000000-0005-0000-0000-0000F42B0000}"/>
    <cellStyle name="Comma 4 3 6 8" xfId="25772" xr:uid="{00000000-0005-0000-0000-0000F52B0000}"/>
    <cellStyle name="Comma 4 3 6 9" xfId="26276" xr:uid="{00000000-0005-0000-0000-0000F62B0000}"/>
    <cellStyle name="Comma 4 3 7" xfId="7305" xr:uid="{00000000-0005-0000-0000-0000F72B0000}"/>
    <cellStyle name="Comma 4 3 7 10" xfId="27285" xr:uid="{00000000-0005-0000-0000-0000F82B0000}"/>
    <cellStyle name="Comma 4 3 7 11" xfId="27789" xr:uid="{00000000-0005-0000-0000-0000F92B0000}"/>
    <cellStyle name="Comma 4 3 7 12" xfId="28293" xr:uid="{00000000-0005-0000-0000-0000FA2B0000}"/>
    <cellStyle name="Comma 4 3 7 13" xfId="28797" xr:uid="{00000000-0005-0000-0000-0000FB2B0000}"/>
    <cellStyle name="Comma 4 3 7 14" xfId="29301" xr:uid="{00000000-0005-0000-0000-0000FC2B0000}"/>
    <cellStyle name="Comma 4 3 7 15" xfId="29805" xr:uid="{00000000-0005-0000-0000-0000FD2B0000}"/>
    <cellStyle name="Comma 4 3 7 16" xfId="30309" xr:uid="{00000000-0005-0000-0000-0000FE2B0000}"/>
    <cellStyle name="Comma 4 3 7 17" xfId="30814" xr:uid="{00000000-0005-0000-0000-0000FF2B0000}"/>
    <cellStyle name="Comma 4 3 7 2" xfId="10438" xr:uid="{00000000-0005-0000-0000-0000002C0000}"/>
    <cellStyle name="Comma 4 3 7 2 2" xfId="10439" xr:uid="{00000000-0005-0000-0000-0000012C0000}"/>
    <cellStyle name="Comma 4 3 7 2 2 2" xfId="18696" xr:uid="{00000000-0005-0000-0000-0000022C0000}"/>
    <cellStyle name="Comma 4 3 7 3" xfId="10440" xr:uid="{00000000-0005-0000-0000-0000032C0000}"/>
    <cellStyle name="Comma 4 3 7 3 2" xfId="18697" xr:uid="{00000000-0005-0000-0000-0000042C0000}"/>
    <cellStyle name="Comma 4 3 7 4" xfId="23620" xr:uid="{00000000-0005-0000-0000-0000052C0000}"/>
    <cellStyle name="Comma 4 3 7 5" xfId="24765" xr:uid="{00000000-0005-0000-0000-0000062C0000}"/>
    <cellStyle name="Comma 4 3 7 6" xfId="25269" xr:uid="{00000000-0005-0000-0000-0000072C0000}"/>
    <cellStyle name="Comma 4 3 7 7" xfId="25773" xr:uid="{00000000-0005-0000-0000-0000082C0000}"/>
    <cellStyle name="Comma 4 3 7 8" xfId="26277" xr:uid="{00000000-0005-0000-0000-0000092C0000}"/>
    <cellStyle name="Comma 4 3 7 9" xfId="26781" xr:uid="{00000000-0005-0000-0000-00000A2C0000}"/>
    <cellStyle name="Comma 4 3 8" xfId="10441" xr:uid="{00000000-0005-0000-0000-00000B2C0000}"/>
    <cellStyle name="Comma 4 3 8 2" xfId="10442" xr:uid="{00000000-0005-0000-0000-00000C2C0000}"/>
    <cellStyle name="Comma 4 3 8 2 2" xfId="10443" xr:uid="{00000000-0005-0000-0000-00000D2C0000}"/>
    <cellStyle name="Comma 4 3 8 2 2 2" xfId="18698" xr:uid="{00000000-0005-0000-0000-00000E2C0000}"/>
    <cellStyle name="Comma 4 3 8 3" xfId="10444" xr:uid="{00000000-0005-0000-0000-00000F2C0000}"/>
    <cellStyle name="Comma 4 3 8 3 2" xfId="18699" xr:uid="{00000000-0005-0000-0000-0000102C0000}"/>
    <cellStyle name="Comma 4 3 9" xfId="10445" xr:uid="{00000000-0005-0000-0000-0000112C0000}"/>
    <cellStyle name="Comma 4 3 9 2" xfId="10446" xr:uid="{00000000-0005-0000-0000-0000122C0000}"/>
    <cellStyle name="Comma 4 3 9 2 2" xfId="10447" xr:uid="{00000000-0005-0000-0000-0000132C0000}"/>
    <cellStyle name="Comma 4 3 9 2 2 2" xfId="18700" xr:uid="{00000000-0005-0000-0000-0000142C0000}"/>
    <cellStyle name="Comma 4 3 9 3" xfId="10448" xr:uid="{00000000-0005-0000-0000-0000152C0000}"/>
    <cellStyle name="Comma 4 3 9 3 2" xfId="18701" xr:uid="{00000000-0005-0000-0000-0000162C0000}"/>
    <cellStyle name="Comma 4 30" xfId="26737" xr:uid="{00000000-0005-0000-0000-0000172C0000}"/>
    <cellStyle name="Comma 4 31" xfId="27241" xr:uid="{00000000-0005-0000-0000-0000182C0000}"/>
    <cellStyle name="Comma 4 32" xfId="27745" xr:uid="{00000000-0005-0000-0000-0000192C0000}"/>
    <cellStyle name="Comma 4 33" xfId="28249" xr:uid="{00000000-0005-0000-0000-00001A2C0000}"/>
    <cellStyle name="Comma 4 34" xfId="28753" xr:uid="{00000000-0005-0000-0000-00001B2C0000}"/>
    <cellStyle name="Comma 4 35" xfId="29257" xr:uid="{00000000-0005-0000-0000-00001C2C0000}"/>
    <cellStyle name="Comma 4 36" xfId="29761" xr:uid="{00000000-0005-0000-0000-00001D2C0000}"/>
    <cellStyle name="Comma 4 37" xfId="30265" xr:uid="{00000000-0005-0000-0000-00001E2C0000}"/>
    <cellStyle name="Comma 4 38" xfId="30770" xr:uid="{00000000-0005-0000-0000-00001F2C0000}"/>
    <cellStyle name="Comma 4 4" xfId="153" xr:uid="{00000000-0005-0000-0000-0000202C0000}"/>
    <cellStyle name="Comma 4 4 10" xfId="10450" xr:uid="{00000000-0005-0000-0000-0000212C0000}"/>
    <cellStyle name="Comma 4 4 10 2" xfId="10451" xr:uid="{00000000-0005-0000-0000-0000222C0000}"/>
    <cellStyle name="Comma 4 4 10 2 2" xfId="10452" xr:uid="{00000000-0005-0000-0000-0000232C0000}"/>
    <cellStyle name="Comma 4 4 10 2 2 2" xfId="18703" xr:uid="{00000000-0005-0000-0000-0000242C0000}"/>
    <cellStyle name="Comma 4 4 10 3" xfId="10453" xr:uid="{00000000-0005-0000-0000-0000252C0000}"/>
    <cellStyle name="Comma 4 4 10 3 2" xfId="18704" xr:uid="{00000000-0005-0000-0000-0000262C0000}"/>
    <cellStyle name="Comma 4 4 11" xfId="10454" xr:uid="{00000000-0005-0000-0000-0000272C0000}"/>
    <cellStyle name="Comma 4 4 11 2" xfId="10455" xr:uid="{00000000-0005-0000-0000-0000282C0000}"/>
    <cellStyle name="Comma 4 4 11 2 2" xfId="10456" xr:uid="{00000000-0005-0000-0000-0000292C0000}"/>
    <cellStyle name="Comma 4 4 11 2 2 2" xfId="18705" xr:uid="{00000000-0005-0000-0000-00002A2C0000}"/>
    <cellStyle name="Comma 4 4 11 3" xfId="10457" xr:uid="{00000000-0005-0000-0000-00002B2C0000}"/>
    <cellStyle name="Comma 4 4 11 3 2" xfId="18706" xr:uid="{00000000-0005-0000-0000-00002C2C0000}"/>
    <cellStyle name="Comma 4 4 12" xfId="10458" xr:uid="{00000000-0005-0000-0000-00002D2C0000}"/>
    <cellStyle name="Comma 4 4 12 2" xfId="10459" xr:uid="{00000000-0005-0000-0000-00002E2C0000}"/>
    <cellStyle name="Comma 4 4 12 2 2" xfId="10460" xr:uid="{00000000-0005-0000-0000-00002F2C0000}"/>
    <cellStyle name="Comma 4 4 12 2 2 2" xfId="18707" xr:uid="{00000000-0005-0000-0000-0000302C0000}"/>
    <cellStyle name="Comma 4 4 12 3" xfId="10461" xr:uid="{00000000-0005-0000-0000-0000312C0000}"/>
    <cellStyle name="Comma 4 4 12 3 2" xfId="18708" xr:uid="{00000000-0005-0000-0000-0000322C0000}"/>
    <cellStyle name="Comma 4 4 13" xfId="10462" xr:uid="{00000000-0005-0000-0000-0000332C0000}"/>
    <cellStyle name="Comma 4 4 13 2" xfId="10463" xr:uid="{00000000-0005-0000-0000-0000342C0000}"/>
    <cellStyle name="Comma 4 4 13 2 2" xfId="10464" xr:uid="{00000000-0005-0000-0000-0000352C0000}"/>
    <cellStyle name="Comma 4 4 13 2 2 2" xfId="18709" xr:uid="{00000000-0005-0000-0000-0000362C0000}"/>
    <cellStyle name="Comma 4 4 13 3" xfId="10465" xr:uid="{00000000-0005-0000-0000-0000372C0000}"/>
    <cellStyle name="Comma 4 4 13 3 2" xfId="18710" xr:uid="{00000000-0005-0000-0000-0000382C0000}"/>
    <cellStyle name="Comma 4 4 14" xfId="10466" xr:uid="{00000000-0005-0000-0000-0000392C0000}"/>
    <cellStyle name="Comma 4 4 14 2" xfId="10467" xr:uid="{00000000-0005-0000-0000-00003A2C0000}"/>
    <cellStyle name="Comma 4 4 14 2 2" xfId="10468" xr:uid="{00000000-0005-0000-0000-00003B2C0000}"/>
    <cellStyle name="Comma 4 4 14 2 2 2" xfId="10469" xr:uid="{00000000-0005-0000-0000-00003C2C0000}"/>
    <cellStyle name="Comma 4 4 14 2 2 2 2" xfId="18711" xr:uid="{00000000-0005-0000-0000-00003D2C0000}"/>
    <cellStyle name="Comma 4 4 14 2 3" xfId="10470" xr:uid="{00000000-0005-0000-0000-00003E2C0000}"/>
    <cellStyle name="Comma 4 4 14 2 3 2" xfId="10471" xr:uid="{00000000-0005-0000-0000-00003F2C0000}"/>
    <cellStyle name="Comma 4 4 14 2 3 2 2" xfId="18712" xr:uid="{00000000-0005-0000-0000-0000402C0000}"/>
    <cellStyle name="Comma 4 4 14 2 4" xfId="10472" xr:uid="{00000000-0005-0000-0000-0000412C0000}"/>
    <cellStyle name="Comma 4 4 14 2 4 2" xfId="10473" xr:uid="{00000000-0005-0000-0000-0000422C0000}"/>
    <cellStyle name="Comma 4 4 14 2 4 2 2" xfId="18713" xr:uid="{00000000-0005-0000-0000-0000432C0000}"/>
    <cellStyle name="Comma 4 4 14 2 5" xfId="10474" xr:uid="{00000000-0005-0000-0000-0000442C0000}"/>
    <cellStyle name="Comma 4 4 14 2 5 2" xfId="10475" xr:uid="{00000000-0005-0000-0000-0000452C0000}"/>
    <cellStyle name="Comma 4 4 14 2 5 2 2" xfId="18714" xr:uid="{00000000-0005-0000-0000-0000462C0000}"/>
    <cellStyle name="Comma 4 4 14 2 6" xfId="10476" xr:uid="{00000000-0005-0000-0000-0000472C0000}"/>
    <cellStyle name="Comma 4 4 14 2 6 2" xfId="10477" xr:uid="{00000000-0005-0000-0000-0000482C0000}"/>
    <cellStyle name="Comma 4 4 14 2 6 2 2" xfId="18715" xr:uid="{00000000-0005-0000-0000-0000492C0000}"/>
    <cellStyle name="Comma 4 4 14 2 7" xfId="10478" xr:uid="{00000000-0005-0000-0000-00004A2C0000}"/>
    <cellStyle name="Comma 4 4 14 2 7 2" xfId="10479" xr:uid="{00000000-0005-0000-0000-00004B2C0000}"/>
    <cellStyle name="Comma 4 4 14 2 7 2 2" xfId="18716" xr:uid="{00000000-0005-0000-0000-00004C2C0000}"/>
    <cellStyle name="Comma 4 4 14 2 8" xfId="10480" xr:uid="{00000000-0005-0000-0000-00004D2C0000}"/>
    <cellStyle name="Comma 4 4 14 2 8 2" xfId="18717" xr:uid="{00000000-0005-0000-0000-00004E2C0000}"/>
    <cellStyle name="Comma 4 4 14 3" xfId="10481" xr:uid="{00000000-0005-0000-0000-00004F2C0000}"/>
    <cellStyle name="Comma 4 4 14 3 2" xfId="10482" xr:uid="{00000000-0005-0000-0000-0000502C0000}"/>
    <cellStyle name="Comma 4 4 14 3 2 2" xfId="18718" xr:uid="{00000000-0005-0000-0000-0000512C0000}"/>
    <cellStyle name="Comma 4 4 14 4" xfId="10483" xr:uid="{00000000-0005-0000-0000-0000522C0000}"/>
    <cellStyle name="Comma 4 4 14 4 2" xfId="10484" xr:uid="{00000000-0005-0000-0000-0000532C0000}"/>
    <cellStyle name="Comma 4 4 14 4 2 2" xfId="18719" xr:uid="{00000000-0005-0000-0000-0000542C0000}"/>
    <cellStyle name="Comma 4 4 14 5" xfId="10485" xr:uid="{00000000-0005-0000-0000-0000552C0000}"/>
    <cellStyle name="Comma 4 4 14 5 2" xfId="10486" xr:uid="{00000000-0005-0000-0000-0000562C0000}"/>
    <cellStyle name="Comma 4 4 14 5 2 2" xfId="18720" xr:uid="{00000000-0005-0000-0000-0000572C0000}"/>
    <cellStyle name="Comma 4 4 14 6" xfId="10487" xr:uid="{00000000-0005-0000-0000-0000582C0000}"/>
    <cellStyle name="Comma 4 4 14 6 2" xfId="10488" xr:uid="{00000000-0005-0000-0000-0000592C0000}"/>
    <cellStyle name="Comma 4 4 14 6 2 2" xfId="18721" xr:uid="{00000000-0005-0000-0000-00005A2C0000}"/>
    <cellStyle name="Comma 4 4 14 7" xfId="10489" xr:uid="{00000000-0005-0000-0000-00005B2C0000}"/>
    <cellStyle name="Comma 4 4 14 7 2" xfId="10490" xr:uid="{00000000-0005-0000-0000-00005C2C0000}"/>
    <cellStyle name="Comma 4 4 14 7 2 2" xfId="18722" xr:uid="{00000000-0005-0000-0000-00005D2C0000}"/>
    <cellStyle name="Comma 4 4 14 8" xfId="10491" xr:uid="{00000000-0005-0000-0000-00005E2C0000}"/>
    <cellStyle name="Comma 4 4 14 8 2" xfId="10492" xr:uid="{00000000-0005-0000-0000-00005F2C0000}"/>
    <cellStyle name="Comma 4 4 14 8 2 2" xfId="18723" xr:uid="{00000000-0005-0000-0000-0000602C0000}"/>
    <cellStyle name="Comma 4 4 14 9" xfId="10493" xr:uid="{00000000-0005-0000-0000-0000612C0000}"/>
    <cellStyle name="Comma 4 4 14 9 2" xfId="18724" xr:uid="{00000000-0005-0000-0000-0000622C0000}"/>
    <cellStyle name="Comma 4 4 15" xfId="10494" xr:uid="{00000000-0005-0000-0000-0000632C0000}"/>
    <cellStyle name="Comma 4 4 15 2" xfId="10495" xr:uid="{00000000-0005-0000-0000-0000642C0000}"/>
    <cellStyle name="Comma 4 4 15 2 2" xfId="18725" xr:uid="{00000000-0005-0000-0000-0000652C0000}"/>
    <cellStyle name="Comma 4 4 16" xfId="10496" xr:uid="{00000000-0005-0000-0000-0000662C0000}"/>
    <cellStyle name="Comma 4 4 16 2" xfId="10497" xr:uid="{00000000-0005-0000-0000-0000672C0000}"/>
    <cellStyle name="Comma 4 4 16 2 2" xfId="18726" xr:uid="{00000000-0005-0000-0000-0000682C0000}"/>
    <cellStyle name="Comma 4 4 17" xfId="10498" xr:uid="{00000000-0005-0000-0000-0000692C0000}"/>
    <cellStyle name="Comma 4 4 17 2" xfId="18727" xr:uid="{00000000-0005-0000-0000-00006A2C0000}"/>
    <cellStyle name="Comma 4 4 18" xfId="10449" xr:uid="{00000000-0005-0000-0000-00006B2C0000}"/>
    <cellStyle name="Comma 4 4 19" xfId="18702" xr:uid="{00000000-0005-0000-0000-00006C2C0000}"/>
    <cellStyle name="Comma 4 4 2" xfId="2043" xr:uid="{00000000-0005-0000-0000-00006D2C0000}"/>
    <cellStyle name="Comma 4 4 2 10" xfId="10500" xr:uid="{00000000-0005-0000-0000-00006E2C0000}"/>
    <cellStyle name="Comma 4 4 2 10 2" xfId="18729" xr:uid="{00000000-0005-0000-0000-00006F2C0000}"/>
    <cellStyle name="Comma 4 4 2 11" xfId="10501" xr:uid="{00000000-0005-0000-0000-0000702C0000}"/>
    <cellStyle name="Comma 4 4 2 11 2" xfId="18730" xr:uid="{00000000-0005-0000-0000-0000712C0000}"/>
    <cellStyle name="Comma 4 4 2 12" xfId="10502" xr:uid="{00000000-0005-0000-0000-0000722C0000}"/>
    <cellStyle name="Comma 4 4 2 12 2" xfId="18731" xr:uid="{00000000-0005-0000-0000-0000732C0000}"/>
    <cellStyle name="Comma 4 4 2 13" xfId="10499" xr:uid="{00000000-0005-0000-0000-0000742C0000}"/>
    <cellStyle name="Comma 4 4 2 14" xfId="18728" xr:uid="{00000000-0005-0000-0000-0000752C0000}"/>
    <cellStyle name="Comma 4 4 2 15" xfId="7175" xr:uid="{00000000-0005-0000-0000-0000762C0000}"/>
    <cellStyle name="Comma 4 4 2 16" xfId="22963" xr:uid="{00000000-0005-0000-0000-0000772C0000}"/>
    <cellStyle name="Comma 4 4 2 17" xfId="23622" xr:uid="{00000000-0005-0000-0000-0000782C0000}"/>
    <cellStyle name="Comma 4 4 2 18" xfId="24767" xr:uid="{00000000-0005-0000-0000-0000792C0000}"/>
    <cellStyle name="Comma 4 4 2 19" xfId="25271" xr:uid="{00000000-0005-0000-0000-00007A2C0000}"/>
    <cellStyle name="Comma 4 4 2 2" xfId="2044" xr:uid="{00000000-0005-0000-0000-00007B2C0000}"/>
    <cellStyle name="Comma 4 4 2 2 10" xfId="10503" xr:uid="{00000000-0005-0000-0000-00007C2C0000}"/>
    <cellStyle name="Comma 4 4 2 2 10 2" xfId="18732" xr:uid="{00000000-0005-0000-0000-00007D2C0000}"/>
    <cellStyle name="Comma 4 4 2 2 11" xfId="7176" xr:uid="{00000000-0005-0000-0000-00007E2C0000}"/>
    <cellStyle name="Comma 4 4 2 2 12" xfId="23623" xr:uid="{00000000-0005-0000-0000-00007F2C0000}"/>
    <cellStyle name="Comma 4 4 2 2 13" xfId="24768" xr:uid="{00000000-0005-0000-0000-0000802C0000}"/>
    <cellStyle name="Comma 4 4 2 2 14" xfId="25272" xr:uid="{00000000-0005-0000-0000-0000812C0000}"/>
    <cellStyle name="Comma 4 4 2 2 15" xfId="25776" xr:uid="{00000000-0005-0000-0000-0000822C0000}"/>
    <cellStyle name="Comma 4 4 2 2 16" xfId="26280" xr:uid="{00000000-0005-0000-0000-0000832C0000}"/>
    <cellStyle name="Comma 4 4 2 2 17" xfId="26784" xr:uid="{00000000-0005-0000-0000-0000842C0000}"/>
    <cellStyle name="Comma 4 4 2 2 18" xfId="27288" xr:uid="{00000000-0005-0000-0000-0000852C0000}"/>
    <cellStyle name="Comma 4 4 2 2 19" xfId="27792" xr:uid="{00000000-0005-0000-0000-0000862C0000}"/>
    <cellStyle name="Comma 4 4 2 2 2" xfId="6868" xr:uid="{00000000-0005-0000-0000-0000872C0000}"/>
    <cellStyle name="Comma 4 4 2 2 2 10" xfId="26785" xr:uid="{00000000-0005-0000-0000-0000882C0000}"/>
    <cellStyle name="Comma 4 4 2 2 2 11" xfId="27289" xr:uid="{00000000-0005-0000-0000-0000892C0000}"/>
    <cellStyle name="Comma 4 4 2 2 2 12" xfId="27793" xr:uid="{00000000-0005-0000-0000-00008A2C0000}"/>
    <cellStyle name="Comma 4 4 2 2 2 13" xfId="28297" xr:uid="{00000000-0005-0000-0000-00008B2C0000}"/>
    <cellStyle name="Comma 4 4 2 2 2 14" xfId="28801" xr:uid="{00000000-0005-0000-0000-00008C2C0000}"/>
    <cellStyle name="Comma 4 4 2 2 2 15" xfId="29305" xr:uid="{00000000-0005-0000-0000-00008D2C0000}"/>
    <cellStyle name="Comma 4 4 2 2 2 16" xfId="29809" xr:uid="{00000000-0005-0000-0000-00008E2C0000}"/>
    <cellStyle name="Comma 4 4 2 2 2 17" xfId="30313" xr:uid="{00000000-0005-0000-0000-00008F2C0000}"/>
    <cellStyle name="Comma 4 4 2 2 2 18" xfId="30818" xr:uid="{00000000-0005-0000-0000-0000902C0000}"/>
    <cellStyle name="Comma 4 4 2 2 2 2" xfId="10505" xr:uid="{00000000-0005-0000-0000-0000912C0000}"/>
    <cellStyle name="Comma 4 4 2 2 2 2 2" xfId="18734" xr:uid="{00000000-0005-0000-0000-0000922C0000}"/>
    <cellStyle name="Comma 4 4 2 2 2 3" xfId="18733" xr:uid="{00000000-0005-0000-0000-0000932C0000}"/>
    <cellStyle name="Comma 4 4 2 2 2 4" xfId="10504" xr:uid="{00000000-0005-0000-0000-0000942C0000}"/>
    <cellStyle name="Comma 4 4 2 2 2 5" xfId="23624" xr:uid="{00000000-0005-0000-0000-0000952C0000}"/>
    <cellStyle name="Comma 4 4 2 2 2 6" xfId="24769" xr:uid="{00000000-0005-0000-0000-0000962C0000}"/>
    <cellStyle name="Comma 4 4 2 2 2 7" xfId="25273" xr:uid="{00000000-0005-0000-0000-0000972C0000}"/>
    <cellStyle name="Comma 4 4 2 2 2 8" xfId="25777" xr:uid="{00000000-0005-0000-0000-0000982C0000}"/>
    <cellStyle name="Comma 4 4 2 2 2 9" xfId="26281" xr:uid="{00000000-0005-0000-0000-0000992C0000}"/>
    <cellStyle name="Comma 4 4 2 2 20" xfId="28296" xr:uid="{00000000-0005-0000-0000-00009A2C0000}"/>
    <cellStyle name="Comma 4 4 2 2 21" xfId="28800" xr:uid="{00000000-0005-0000-0000-00009B2C0000}"/>
    <cellStyle name="Comma 4 4 2 2 22" xfId="29304" xr:uid="{00000000-0005-0000-0000-00009C2C0000}"/>
    <cellStyle name="Comma 4 4 2 2 23" xfId="29808" xr:uid="{00000000-0005-0000-0000-00009D2C0000}"/>
    <cellStyle name="Comma 4 4 2 2 24" xfId="30312" xr:uid="{00000000-0005-0000-0000-00009E2C0000}"/>
    <cellStyle name="Comma 4 4 2 2 25" xfId="30817" xr:uid="{00000000-0005-0000-0000-00009F2C0000}"/>
    <cellStyle name="Comma 4 4 2 2 3" xfId="10506" xr:uid="{00000000-0005-0000-0000-0000A02C0000}"/>
    <cellStyle name="Comma 4 4 2 2 3 10" xfId="27290" xr:uid="{00000000-0005-0000-0000-0000A12C0000}"/>
    <cellStyle name="Comma 4 4 2 2 3 11" xfId="27794" xr:uid="{00000000-0005-0000-0000-0000A22C0000}"/>
    <cellStyle name="Comma 4 4 2 2 3 12" xfId="28298" xr:uid="{00000000-0005-0000-0000-0000A32C0000}"/>
    <cellStyle name="Comma 4 4 2 2 3 13" xfId="28802" xr:uid="{00000000-0005-0000-0000-0000A42C0000}"/>
    <cellStyle name="Comma 4 4 2 2 3 14" xfId="29306" xr:uid="{00000000-0005-0000-0000-0000A52C0000}"/>
    <cellStyle name="Comma 4 4 2 2 3 15" xfId="29810" xr:uid="{00000000-0005-0000-0000-0000A62C0000}"/>
    <cellStyle name="Comma 4 4 2 2 3 16" xfId="30314" xr:uid="{00000000-0005-0000-0000-0000A72C0000}"/>
    <cellStyle name="Comma 4 4 2 2 3 17" xfId="30819" xr:uid="{00000000-0005-0000-0000-0000A82C0000}"/>
    <cellStyle name="Comma 4 4 2 2 3 2" xfId="10507" xr:uid="{00000000-0005-0000-0000-0000A92C0000}"/>
    <cellStyle name="Comma 4 4 2 2 3 2 2" xfId="18736" xr:uid="{00000000-0005-0000-0000-0000AA2C0000}"/>
    <cellStyle name="Comma 4 4 2 2 3 3" xfId="18735" xr:uid="{00000000-0005-0000-0000-0000AB2C0000}"/>
    <cellStyle name="Comma 4 4 2 2 3 4" xfId="23625" xr:uid="{00000000-0005-0000-0000-0000AC2C0000}"/>
    <cellStyle name="Comma 4 4 2 2 3 5" xfId="24770" xr:uid="{00000000-0005-0000-0000-0000AD2C0000}"/>
    <cellStyle name="Comma 4 4 2 2 3 6" xfId="25274" xr:uid="{00000000-0005-0000-0000-0000AE2C0000}"/>
    <cellStyle name="Comma 4 4 2 2 3 7" xfId="25778" xr:uid="{00000000-0005-0000-0000-0000AF2C0000}"/>
    <cellStyle name="Comma 4 4 2 2 3 8" xfId="26282" xr:uid="{00000000-0005-0000-0000-0000B02C0000}"/>
    <cellStyle name="Comma 4 4 2 2 3 9" xfId="26786" xr:uid="{00000000-0005-0000-0000-0000B12C0000}"/>
    <cellStyle name="Comma 4 4 2 2 4" xfId="10508" xr:uid="{00000000-0005-0000-0000-0000B22C0000}"/>
    <cellStyle name="Comma 4 4 2 2 4 2" xfId="10509" xr:uid="{00000000-0005-0000-0000-0000B32C0000}"/>
    <cellStyle name="Comma 4 4 2 2 4 2 2" xfId="18737" xr:uid="{00000000-0005-0000-0000-0000B42C0000}"/>
    <cellStyle name="Comma 4 4 2 2 5" xfId="10510" xr:uid="{00000000-0005-0000-0000-0000B52C0000}"/>
    <cellStyle name="Comma 4 4 2 2 5 2" xfId="10511" xr:uid="{00000000-0005-0000-0000-0000B62C0000}"/>
    <cellStyle name="Comma 4 4 2 2 5 2 2" xfId="18738" xr:uid="{00000000-0005-0000-0000-0000B72C0000}"/>
    <cellStyle name="Comma 4 4 2 2 6" xfId="10512" xr:uid="{00000000-0005-0000-0000-0000B82C0000}"/>
    <cellStyle name="Comma 4 4 2 2 6 2" xfId="10513" xr:uid="{00000000-0005-0000-0000-0000B92C0000}"/>
    <cellStyle name="Comma 4 4 2 2 6 2 2" xfId="18739" xr:uid="{00000000-0005-0000-0000-0000BA2C0000}"/>
    <cellStyle name="Comma 4 4 2 2 7" xfId="10514" xr:uid="{00000000-0005-0000-0000-0000BB2C0000}"/>
    <cellStyle name="Comma 4 4 2 2 7 2" xfId="10515" xr:uid="{00000000-0005-0000-0000-0000BC2C0000}"/>
    <cellStyle name="Comma 4 4 2 2 7 2 2" xfId="18740" xr:uid="{00000000-0005-0000-0000-0000BD2C0000}"/>
    <cellStyle name="Comma 4 4 2 2 8" xfId="10516" xr:uid="{00000000-0005-0000-0000-0000BE2C0000}"/>
    <cellStyle name="Comma 4 4 2 2 8 2" xfId="10517" xr:uid="{00000000-0005-0000-0000-0000BF2C0000}"/>
    <cellStyle name="Comma 4 4 2 2 8 2 2" xfId="18741" xr:uid="{00000000-0005-0000-0000-0000C02C0000}"/>
    <cellStyle name="Comma 4 4 2 2 9" xfId="10518" xr:uid="{00000000-0005-0000-0000-0000C12C0000}"/>
    <cellStyle name="Comma 4 4 2 2 9 2" xfId="18742" xr:uid="{00000000-0005-0000-0000-0000C22C0000}"/>
    <cellStyle name="Comma 4 4 2 20" xfId="25775" xr:uid="{00000000-0005-0000-0000-0000C32C0000}"/>
    <cellStyle name="Comma 4 4 2 21" xfId="26279" xr:uid="{00000000-0005-0000-0000-0000C42C0000}"/>
    <cellStyle name="Comma 4 4 2 22" xfId="26783" xr:uid="{00000000-0005-0000-0000-0000C52C0000}"/>
    <cellStyle name="Comma 4 4 2 23" xfId="27287" xr:uid="{00000000-0005-0000-0000-0000C62C0000}"/>
    <cellStyle name="Comma 4 4 2 24" xfId="27791" xr:uid="{00000000-0005-0000-0000-0000C72C0000}"/>
    <cellStyle name="Comma 4 4 2 25" xfId="28295" xr:uid="{00000000-0005-0000-0000-0000C82C0000}"/>
    <cellStyle name="Comma 4 4 2 26" xfId="28799" xr:uid="{00000000-0005-0000-0000-0000C92C0000}"/>
    <cellStyle name="Comma 4 4 2 27" xfId="29303" xr:uid="{00000000-0005-0000-0000-0000CA2C0000}"/>
    <cellStyle name="Comma 4 4 2 28" xfId="29807" xr:uid="{00000000-0005-0000-0000-0000CB2C0000}"/>
    <cellStyle name="Comma 4 4 2 29" xfId="30311" xr:uid="{00000000-0005-0000-0000-0000CC2C0000}"/>
    <cellStyle name="Comma 4 4 2 3" xfId="6867" xr:uid="{00000000-0005-0000-0000-0000CD2C0000}"/>
    <cellStyle name="Comma 4 4 2 3 10" xfId="27291" xr:uid="{00000000-0005-0000-0000-0000CE2C0000}"/>
    <cellStyle name="Comma 4 4 2 3 11" xfId="27795" xr:uid="{00000000-0005-0000-0000-0000CF2C0000}"/>
    <cellStyle name="Comma 4 4 2 3 12" xfId="28299" xr:uid="{00000000-0005-0000-0000-0000D02C0000}"/>
    <cellStyle name="Comma 4 4 2 3 13" xfId="28803" xr:uid="{00000000-0005-0000-0000-0000D12C0000}"/>
    <cellStyle name="Comma 4 4 2 3 14" xfId="29307" xr:uid="{00000000-0005-0000-0000-0000D22C0000}"/>
    <cellStyle name="Comma 4 4 2 3 15" xfId="29811" xr:uid="{00000000-0005-0000-0000-0000D32C0000}"/>
    <cellStyle name="Comma 4 4 2 3 16" xfId="30315" xr:uid="{00000000-0005-0000-0000-0000D42C0000}"/>
    <cellStyle name="Comma 4 4 2 3 17" xfId="30820" xr:uid="{00000000-0005-0000-0000-0000D52C0000}"/>
    <cellStyle name="Comma 4 4 2 3 2" xfId="10519" xr:uid="{00000000-0005-0000-0000-0000D62C0000}"/>
    <cellStyle name="Comma 4 4 2 3 2 2" xfId="18743" xr:uid="{00000000-0005-0000-0000-0000D72C0000}"/>
    <cellStyle name="Comma 4 4 2 3 3" xfId="7312" xr:uid="{00000000-0005-0000-0000-0000D82C0000}"/>
    <cellStyle name="Comma 4 4 2 3 4" xfId="23626" xr:uid="{00000000-0005-0000-0000-0000D92C0000}"/>
    <cellStyle name="Comma 4 4 2 3 5" xfId="24771" xr:uid="{00000000-0005-0000-0000-0000DA2C0000}"/>
    <cellStyle name="Comma 4 4 2 3 6" xfId="25275" xr:uid="{00000000-0005-0000-0000-0000DB2C0000}"/>
    <cellStyle name="Comma 4 4 2 3 7" xfId="25779" xr:uid="{00000000-0005-0000-0000-0000DC2C0000}"/>
    <cellStyle name="Comma 4 4 2 3 8" xfId="26283" xr:uid="{00000000-0005-0000-0000-0000DD2C0000}"/>
    <cellStyle name="Comma 4 4 2 3 9" xfId="26787" xr:uid="{00000000-0005-0000-0000-0000DE2C0000}"/>
    <cellStyle name="Comma 4 4 2 30" xfId="30816" xr:uid="{00000000-0005-0000-0000-0000DF2C0000}"/>
    <cellStyle name="Comma 4 4 2 4" xfId="10520" xr:uid="{00000000-0005-0000-0000-0000E02C0000}"/>
    <cellStyle name="Comma 4 4 2 4 10" xfId="27796" xr:uid="{00000000-0005-0000-0000-0000E12C0000}"/>
    <cellStyle name="Comma 4 4 2 4 11" xfId="28300" xr:uid="{00000000-0005-0000-0000-0000E22C0000}"/>
    <cellStyle name="Comma 4 4 2 4 12" xfId="28804" xr:uid="{00000000-0005-0000-0000-0000E32C0000}"/>
    <cellStyle name="Comma 4 4 2 4 13" xfId="29308" xr:uid="{00000000-0005-0000-0000-0000E42C0000}"/>
    <cellStyle name="Comma 4 4 2 4 14" xfId="29812" xr:uid="{00000000-0005-0000-0000-0000E52C0000}"/>
    <cellStyle name="Comma 4 4 2 4 15" xfId="30316" xr:uid="{00000000-0005-0000-0000-0000E62C0000}"/>
    <cellStyle name="Comma 4 4 2 4 16" xfId="30821" xr:uid="{00000000-0005-0000-0000-0000E72C0000}"/>
    <cellStyle name="Comma 4 4 2 4 2" xfId="10521" xr:uid="{00000000-0005-0000-0000-0000E82C0000}"/>
    <cellStyle name="Comma 4 4 2 4 2 2" xfId="18744" xr:uid="{00000000-0005-0000-0000-0000E92C0000}"/>
    <cellStyle name="Comma 4 4 2 4 3" xfId="23627" xr:uid="{00000000-0005-0000-0000-0000EA2C0000}"/>
    <cellStyle name="Comma 4 4 2 4 4" xfId="24772" xr:uid="{00000000-0005-0000-0000-0000EB2C0000}"/>
    <cellStyle name="Comma 4 4 2 4 5" xfId="25276" xr:uid="{00000000-0005-0000-0000-0000EC2C0000}"/>
    <cellStyle name="Comma 4 4 2 4 6" xfId="25780" xr:uid="{00000000-0005-0000-0000-0000ED2C0000}"/>
    <cellStyle name="Comma 4 4 2 4 7" xfId="26284" xr:uid="{00000000-0005-0000-0000-0000EE2C0000}"/>
    <cellStyle name="Comma 4 4 2 4 8" xfId="26788" xr:uid="{00000000-0005-0000-0000-0000EF2C0000}"/>
    <cellStyle name="Comma 4 4 2 4 9" xfId="27292" xr:uid="{00000000-0005-0000-0000-0000F02C0000}"/>
    <cellStyle name="Comma 4 4 2 5" xfId="10522" xr:uid="{00000000-0005-0000-0000-0000F12C0000}"/>
    <cellStyle name="Comma 4 4 2 5 2" xfId="10523" xr:uid="{00000000-0005-0000-0000-0000F22C0000}"/>
    <cellStyle name="Comma 4 4 2 5 2 2" xfId="18745" xr:uid="{00000000-0005-0000-0000-0000F32C0000}"/>
    <cellStyle name="Comma 4 4 2 6" xfId="10524" xr:uid="{00000000-0005-0000-0000-0000F42C0000}"/>
    <cellStyle name="Comma 4 4 2 6 2" xfId="10525" xr:uid="{00000000-0005-0000-0000-0000F52C0000}"/>
    <cellStyle name="Comma 4 4 2 6 2 2" xfId="18746" xr:uid="{00000000-0005-0000-0000-0000F62C0000}"/>
    <cellStyle name="Comma 4 4 2 7" xfId="10526" xr:uid="{00000000-0005-0000-0000-0000F72C0000}"/>
    <cellStyle name="Comma 4 4 2 7 2" xfId="10527" xr:uid="{00000000-0005-0000-0000-0000F82C0000}"/>
    <cellStyle name="Comma 4 4 2 7 2 2" xfId="18747" xr:uid="{00000000-0005-0000-0000-0000F92C0000}"/>
    <cellStyle name="Comma 4 4 2 8" xfId="10528" xr:uid="{00000000-0005-0000-0000-0000FA2C0000}"/>
    <cellStyle name="Comma 4 4 2 8 2" xfId="10529" xr:uid="{00000000-0005-0000-0000-0000FB2C0000}"/>
    <cellStyle name="Comma 4 4 2 8 2 2" xfId="18748" xr:uid="{00000000-0005-0000-0000-0000FC2C0000}"/>
    <cellStyle name="Comma 4 4 2 9" xfId="10530" xr:uid="{00000000-0005-0000-0000-0000FD2C0000}"/>
    <cellStyle name="Comma 4 4 2 9 2" xfId="10531" xr:uid="{00000000-0005-0000-0000-0000FE2C0000}"/>
    <cellStyle name="Comma 4 4 2 9 2 2" xfId="18749" xr:uid="{00000000-0005-0000-0000-0000FF2C0000}"/>
    <cellStyle name="Comma 4 4 20" xfId="7174" xr:uid="{00000000-0005-0000-0000-0000002D0000}"/>
    <cellStyle name="Comma 4 4 21" xfId="22962" xr:uid="{00000000-0005-0000-0000-0000012D0000}"/>
    <cellStyle name="Comma 4 4 22" xfId="23621" xr:uid="{00000000-0005-0000-0000-0000022D0000}"/>
    <cellStyle name="Comma 4 4 23" xfId="24766" xr:uid="{00000000-0005-0000-0000-0000032D0000}"/>
    <cellStyle name="Comma 4 4 24" xfId="25270" xr:uid="{00000000-0005-0000-0000-0000042D0000}"/>
    <cellStyle name="Comma 4 4 25" xfId="25774" xr:uid="{00000000-0005-0000-0000-0000052D0000}"/>
    <cellStyle name="Comma 4 4 26" xfId="26278" xr:uid="{00000000-0005-0000-0000-0000062D0000}"/>
    <cellStyle name="Comma 4 4 27" xfId="26782" xr:uid="{00000000-0005-0000-0000-0000072D0000}"/>
    <cellStyle name="Comma 4 4 28" xfId="27286" xr:uid="{00000000-0005-0000-0000-0000082D0000}"/>
    <cellStyle name="Comma 4 4 29" xfId="27790" xr:uid="{00000000-0005-0000-0000-0000092D0000}"/>
    <cellStyle name="Comma 4 4 3" xfId="2045" xr:uid="{00000000-0005-0000-0000-00000A2D0000}"/>
    <cellStyle name="Comma 4 4 3 10" xfId="10532" xr:uid="{00000000-0005-0000-0000-00000B2D0000}"/>
    <cellStyle name="Comma 4 4 3 10 2" xfId="10533" xr:uid="{00000000-0005-0000-0000-00000C2D0000}"/>
    <cellStyle name="Comma 4 4 3 10 2 2" xfId="10534" xr:uid="{00000000-0005-0000-0000-00000D2D0000}"/>
    <cellStyle name="Comma 4 4 3 10 2 2 2" xfId="18750" xr:uid="{00000000-0005-0000-0000-00000E2D0000}"/>
    <cellStyle name="Comma 4 4 3 10 3" xfId="10535" xr:uid="{00000000-0005-0000-0000-00000F2D0000}"/>
    <cellStyle name="Comma 4 4 3 10 3 2" xfId="18751" xr:uid="{00000000-0005-0000-0000-0000102D0000}"/>
    <cellStyle name="Comma 4 4 3 11" xfId="10536" xr:uid="{00000000-0005-0000-0000-0000112D0000}"/>
    <cellStyle name="Comma 4 4 3 11 2" xfId="10537" xr:uid="{00000000-0005-0000-0000-0000122D0000}"/>
    <cellStyle name="Comma 4 4 3 11 2 2" xfId="10538" xr:uid="{00000000-0005-0000-0000-0000132D0000}"/>
    <cellStyle name="Comma 4 4 3 11 2 2 2" xfId="18752" xr:uid="{00000000-0005-0000-0000-0000142D0000}"/>
    <cellStyle name="Comma 4 4 3 11 3" xfId="10539" xr:uid="{00000000-0005-0000-0000-0000152D0000}"/>
    <cellStyle name="Comma 4 4 3 11 3 2" xfId="18753" xr:uid="{00000000-0005-0000-0000-0000162D0000}"/>
    <cellStyle name="Comma 4 4 3 12" xfId="10540" xr:uid="{00000000-0005-0000-0000-0000172D0000}"/>
    <cellStyle name="Comma 4 4 3 12 2" xfId="10541" xr:uid="{00000000-0005-0000-0000-0000182D0000}"/>
    <cellStyle name="Comma 4 4 3 12 2 2" xfId="10542" xr:uid="{00000000-0005-0000-0000-0000192D0000}"/>
    <cellStyle name="Comma 4 4 3 12 2 2 2" xfId="18754" xr:uid="{00000000-0005-0000-0000-00001A2D0000}"/>
    <cellStyle name="Comma 4 4 3 12 3" xfId="10543" xr:uid="{00000000-0005-0000-0000-00001B2D0000}"/>
    <cellStyle name="Comma 4 4 3 12 3 2" xfId="18755" xr:uid="{00000000-0005-0000-0000-00001C2D0000}"/>
    <cellStyle name="Comma 4 4 3 13" xfId="10544" xr:uid="{00000000-0005-0000-0000-00001D2D0000}"/>
    <cellStyle name="Comma 4 4 3 13 2" xfId="10545" xr:uid="{00000000-0005-0000-0000-00001E2D0000}"/>
    <cellStyle name="Comma 4 4 3 13 2 2" xfId="10546" xr:uid="{00000000-0005-0000-0000-00001F2D0000}"/>
    <cellStyle name="Comma 4 4 3 13 2 2 2" xfId="10547" xr:uid="{00000000-0005-0000-0000-0000202D0000}"/>
    <cellStyle name="Comma 4 4 3 13 2 2 2 2" xfId="18756" xr:uid="{00000000-0005-0000-0000-0000212D0000}"/>
    <cellStyle name="Comma 4 4 3 13 2 3" xfId="10548" xr:uid="{00000000-0005-0000-0000-0000222D0000}"/>
    <cellStyle name="Comma 4 4 3 13 2 3 2" xfId="10549" xr:uid="{00000000-0005-0000-0000-0000232D0000}"/>
    <cellStyle name="Comma 4 4 3 13 2 3 2 2" xfId="18757" xr:uid="{00000000-0005-0000-0000-0000242D0000}"/>
    <cellStyle name="Comma 4 4 3 13 2 4" xfId="10550" xr:uid="{00000000-0005-0000-0000-0000252D0000}"/>
    <cellStyle name="Comma 4 4 3 13 2 4 2" xfId="10551" xr:uid="{00000000-0005-0000-0000-0000262D0000}"/>
    <cellStyle name="Comma 4 4 3 13 2 4 2 2" xfId="18758" xr:uid="{00000000-0005-0000-0000-0000272D0000}"/>
    <cellStyle name="Comma 4 4 3 13 2 5" xfId="10552" xr:uid="{00000000-0005-0000-0000-0000282D0000}"/>
    <cellStyle name="Comma 4 4 3 13 2 5 2" xfId="10553" xr:uid="{00000000-0005-0000-0000-0000292D0000}"/>
    <cellStyle name="Comma 4 4 3 13 2 5 2 2" xfId="18759" xr:uid="{00000000-0005-0000-0000-00002A2D0000}"/>
    <cellStyle name="Comma 4 4 3 13 2 6" xfId="10554" xr:uid="{00000000-0005-0000-0000-00002B2D0000}"/>
    <cellStyle name="Comma 4 4 3 13 2 6 2" xfId="10555" xr:uid="{00000000-0005-0000-0000-00002C2D0000}"/>
    <cellStyle name="Comma 4 4 3 13 2 6 2 2" xfId="18760" xr:uid="{00000000-0005-0000-0000-00002D2D0000}"/>
    <cellStyle name="Comma 4 4 3 13 2 7" xfId="10556" xr:uid="{00000000-0005-0000-0000-00002E2D0000}"/>
    <cellStyle name="Comma 4 4 3 13 2 7 2" xfId="10557" xr:uid="{00000000-0005-0000-0000-00002F2D0000}"/>
    <cellStyle name="Comma 4 4 3 13 2 7 2 2" xfId="18761" xr:uid="{00000000-0005-0000-0000-0000302D0000}"/>
    <cellStyle name="Comma 4 4 3 13 2 8" xfId="10558" xr:uid="{00000000-0005-0000-0000-0000312D0000}"/>
    <cellStyle name="Comma 4 4 3 13 2 8 2" xfId="18762" xr:uid="{00000000-0005-0000-0000-0000322D0000}"/>
    <cellStyle name="Comma 4 4 3 13 3" xfId="10559" xr:uid="{00000000-0005-0000-0000-0000332D0000}"/>
    <cellStyle name="Comma 4 4 3 13 3 2" xfId="10560" xr:uid="{00000000-0005-0000-0000-0000342D0000}"/>
    <cellStyle name="Comma 4 4 3 13 3 2 2" xfId="18763" xr:uid="{00000000-0005-0000-0000-0000352D0000}"/>
    <cellStyle name="Comma 4 4 3 13 4" xfId="10561" xr:uid="{00000000-0005-0000-0000-0000362D0000}"/>
    <cellStyle name="Comma 4 4 3 13 4 2" xfId="10562" xr:uid="{00000000-0005-0000-0000-0000372D0000}"/>
    <cellStyle name="Comma 4 4 3 13 4 2 2" xfId="18764" xr:uid="{00000000-0005-0000-0000-0000382D0000}"/>
    <cellStyle name="Comma 4 4 3 13 5" xfId="10563" xr:uid="{00000000-0005-0000-0000-0000392D0000}"/>
    <cellStyle name="Comma 4 4 3 13 5 2" xfId="10564" xr:uid="{00000000-0005-0000-0000-00003A2D0000}"/>
    <cellStyle name="Comma 4 4 3 13 5 2 2" xfId="18765" xr:uid="{00000000-0005-0000-0000-00003B2D0000}"/>
    <cellStyle name="Comma 4 4 3 13 6" xfId="10565" xr:uid="{00000000-0005-0000-0000-00003C2D0000}"/>
    <cellStyle name="Comma 4 4 3 13 6 2" xfId="10566" xr:uid="{00000000-0005-0000-0000-00003D2D0000}"/>
    <cellStyle name="Comma 4 4 3 13 6 2 2" xfId="18766" xr:uid="{00000000-0005-0000-0000-00003E2D0000}"/>
    <cellStyle name="Comma 4 4 3 13 7" xfId="10567" xr:uid="{00000000-0005-0000-0000-00003F2D0000}"/>
    <cellStyle name="Comma 4 4 3 13 7 2" xfId="10568" xr:uid="{00000000-0005-0000-0000-0000402D0000}"/>
    <cellStyle name="Comma 4 4 3 13 7 2 2" xfId="18767" xr:uid="{00000000-0005-0000-0000-0000412D0000}"/>
    <cellStyle name="Comma 4 4 3 13 8" xfId="10569" xr:uid="{00000000-0005-0000-0000-0000422D0000}"/>
    <cellStyle name="Comma 4 4 3 13 8 2" xfId="10570" xr:uid="{00000000-0005-0000-0000-0000432D0000}"/>
    <cellStyle name="Comma 4 4 3 13 8 2 2" xfId="18768" xr:uid="{00000000-0005-0000-0000-0000442D0000}"/>
    <cellStyle name="Comma 4 4 3 13 9" xfId="10571" xr:uid="{00000000-0005-0000-0000-0000452D0000}"/>
    <cellStyle name="Comma 4 4 3 13 9 2" xfId="18769" xr:uid="{00000000-0005-0000-0000-0000462D0000}"/>
    <cellStyle name="Comma 4 4 3 14" xfId="10572" xr:uid="{00000000-0005-0000-0000-0000472D0000}"/>
    <cellStyle name="Comma 4 4 3 14 2" xfId="10573" xr:uid="{00000000-0005-0000-0000-0000482D0000}"/>
    <cellStyle name="Comma 4 4 3 14 2 2" xfId="18770" xr:uid="{00000000-0005-0000-0000-0000492D0000}"/>
    <cellStyle name="Comma 4 4 3 15" xfId="10574" xr:uid="{00000000-0005-0000-0000-00004A2D0000}"/>
    <cellStyle name="Comma 4 4 3 15 2" xfId="10575" xr:uid="{00000000-0005-0000-0000-00004B2D0000}"/>
    <cellStyle name="Comma 4 4 3 15 2 2" xfId="18771" xr:uid="{00000000-0005-0000-0000-00004C2D0000}"/>
    <cellStyle name="Comma 4 4 3 16" xfId="7177" xr:uid="{00000000-0005-0000-0000-00004D2D0000}"/>
    <cellStyle name="Comma 4 4 3 17" xfId="23628" xr:uid="{00000000-0005-0000-0000-00004E2D0000}"/>
    <cellStyle name="Comma 4 4 3 18" xfId="24773" xr:uid="{00000000-0005-0000-0000-00004F2D0000}"/>
    <cellStyle name="Comma 4 4 3 19" xfId="25277" xr:uid="{00000000-0005-0000-0000-0000502D0000}"/>
    <cellStyle name="Comma 4 4 3 2" xfId="7313" xr:uid="{00000000-0005-0000-0000-0000512D0000}"/>
    <cellStyle name="Comma 4 4 3 2 2" xfId="10576" xr:uid="{00000000-0005-0000-0000-0000522D0000}"/>
    <cellStyle name="Comma 4 4 3 2 2 2" xfId="10577" xr:uid="{00000000-0005-0000-0000-0000532D0000}"/>
    <cellStyle name="Comma 4 4 3 2 2 2 2" xfId="18774" xr:uid="{00000000-0005-0000-0000-0000542D0000}"/>
    <cellStyle name="Comma 4 4 3 2 2 3" xfId="18773" xr:uid="{00000000-0005-0000-0000-0000552D0000}"/>
    <cellStyle name="Comma 4 4 3 2 3" xfId="10578" xr:uid="{00000000-0005-0000-0000-0000562D0000}"/>
    <cellStyle name="Comma 4 4 3 2 3 2" xfId="18775" xr:uid="{00000000-0005-0000-0000-0000572D0000}"/>
    <cellStyle name="Comma 4 4 3 2 4" xfId="18772" xr:uid="{00000000-0005-0000-0000-0000582D0000}"/>
    <cellStyle name="Comma 4 4 3 20" xfId="25781" xr:uid="{00000000-0005-0000-0000-0000592D0000}"/>
    <cellStyle name="Comma 4 4 3 21" xfId="26285" xr:uid="{00000000-0005-0000-0000-00005A2D0000}"/>
    <cellStyle name="Comma 4 4 3 22" xfId="26789" xr:uid="{00000000-0005-0000-0000-00005B2D0000}"/>
    <cellStyle name="Comma 4 4 3 23" xfId="27293" xr:uid="{00000000-0005-0000-0000-00005C2D0000}"/>
    <cellStyle name="Comma 4 4 3 24" xfId="27797" xr:uid="{00000000-0005-0000-0000-00005D2D0000}"/>
    <cellStyle name="Comma 4 4 3 25" xfId="28301" xr:uid="{00000000-0005-0000-0000-00005E2D0000}"/>
    <cellStyle name="Comma 4 4 3 26" xfId="28805" xr:uid="{00000000-0005-0000-0000-00005F2D0000}"/>
    <cellStyle name="Comma 4 4 3 27" xfId="29309" xr:uid="{00000000-0005-0000-0000-0000602D0000}"/>
    <cellStyle name="Comma 4 4 3 28" xfId="29813" xr:uid="{00000000-0005-0000-0000-0000612D0000}"/>
    <cellStyle name="Comma 4 4 3 29" xfId="30317" xr:uid="{00000000-0005-0000-0000-0000622D0000}"/>
    <cellStyle name="Comma 4 4 3 3" xfId="10579" xr:uid="{00000000-0005-0000-0000-0000632D0000}"/>
    <cellStyle name="Comma 4 4 3 3 2" xfId="10580" xr:uid="{00000000-0005-0000-0000-0000642D0000}"/>
    <cellStyle name="Comma 4 4 3 3 2 2" xfId="10581" xr:uid="{00000000-0005-0000-0000-0000652D0000}"/>
    <cellStyle name="Comma 4 4 3 3 2 2 2" xfId="18776" xr:uid="{00000000-0005-0000-0000-0000662D0000}"/>
    <cellStyle name="Comma 4 4 3 3 3" xfId="10582" xr:uid="{00000000-0005-0000-0000-0000672D0000}"/>
    <cellStyle name="Comma 4 4 3 3 3 2" xfId="18777" xr:uid="{00000000-0005-0000-0000-0000682D0000}"/>
    <cellStyle name="Comma 4 4 3 30" xfId="30822" xr:uid="{00000000-0005-0000-0000-0000692D0000}"/>
    <cellStyle name="Comma 4 4 3 4" xfId="10583" xr:uid="{00000000-0005-0000-0000-00006A2D0000}"/>
    <cellStyle name="Comma 4 4 3 4 2" xfId="10584" xr:uid="{00000000-0005-0000-0000-00006B2D0000}"/>
    <cellStyle name="Comma 4 4 3 4 2 2" xfId="10585" xr:uid="{00000000-0005-0000-0000-00006C2D0000}"/>
    <cellStyle name="Comma 4 4 3 4 2 2 2" xfId="18778" xr:uid="{00000000-0005-0000-0000-00006D2D0000}"/>
    <cellStyle name="Comma 4 4 3 4 3" xfId="10586" xr:uid="{00000000-0005-0000-0000-00006E2D0000}"/>
    <cellStyle name="Comma 4 4 3 4 3 2" xfId="18779" xr:uid="{00000000-0005-0000-0000-00006F2D0000}"/>
    <cellStyle name="Comma 4 4 3 5" xfId="10587" xr:uid="{00000000-0005-0000-0000-0000702D0000}"/>
    <cellStyle name="Comma 4 4 3 5 2" xfId="10588" xr:uid="{00000000-0005-0000-0000-0000712D0000}"/>
    <cellStyle name="Comma 4 4 3 5 2 2" xfId="10589" xr:uid="{00000000-0005-0000-0000-0000722D0000}"/>
    <cellStyle name="Comma 4 4 3 5 2 2 2" xfId="18780" xr:uid="{00000000-0005-0000-0000-0000732D0000}"/>
    <cellStyle name="Comma 4 4 3 5 3" xfId="10590" xr:uid="{00000000-0005-0000-0000-0000742D0000}"/>
    <cellStyle name="Comma 4 4 3 5 3 2" xfId="18781" xr:uid="{00000000-0005-0000-0000-0000752D0000}"/>
    <cellStyle name="Comma 4 4 3 6" xfId="10591" xr:uid="{00000000-0005-0000-0000-0000762D0000}"/>
    <cellStyle name="Comma 4 4 3 6 2" xfId="10592" xr:uid="{00000000-0005-0000-0000-0000772D0000}"/>
    <cellStyle name="Comma 4 4 3 6 2 2" xfId="10593" xr:uid="{00000000-0005-0000-0000-0000782D0000}"/>
    <cellStyle name="Comma 4 4 3 6 2 2 2" xfId="18782" xr:uid="{00000000-0005-0000-0000-0000792D0000}"/>
    <cellStyle name="Comma 4 4 3 6 3" xfId="10594" xr:uid="{00000000-0005-0000-0000-00007A2D0000}"/>
    <cellStyle name="Comma 4 4 3 6 3 2" xfId="18783" xr:uid="{00000000-0005-0000-0000-00007B2D0000}"/>
    <cellStyle name="Comma 4 4 3 7" xfId="10595" xr:uid="{00000000-0005-0000-0000-00007C2D0000}"/>
    <cellStyle name="Comma 4 4 3 7 2" xfId="10596" xr:uid="{00000000-0005-0000-0000-00007D2D0000}"/>
    <cellStyle name="Comma 4 4 3 7 2 2" xfId="10597" xr:uid="{00000000-0005-0000-0000-00007E2D0000}"/>
    <cellStyle name="Comma 4 4 3 7 2 2 2" xfId="18784" xr:uid="{00000000-0005-0000-0000-00007F2D0000}"/>
    <cellStyle name="Comma 4 4 3 7 3" xfId="10598" xr:uid="{00000000-0005-0000-0000-0000802D0000}"/>
    <cellStyle name="Comma 4 4 3 7 3 2" xfId="18785" xr:uid="{00000000-0005-0000-0000-0000812D0000}"/>
    <cellStyle name="Comma 4 4 3 8" xfId="10599" xr:uid="{00000000-0005-0000-0000-0000822D0000}"/>
    <cellStyle name="Comma 4 4 3 8 2" xfId="10600" xr:uid="{00000000-0005-0000-0000-0000832D0000}"/>
    <cellStyle name="Comma 4 4 3 8 2 2" xfId="10601" xr:uid="{00000000-0005-0000-0000-0000842D0000}"/>
    <cellStyle name="Comma 4 4 3 8 2 2 2" xfId="18786" xr:uid="{00000000-0005-0000-0000-0000852D0000}"/>
    <cellStyle name="Comma 4 4 3 8 3" xfId="10602" xr:uid="{00000000-0005-0000-0000-0000862D0000}"/>
    <cellStyle name="Comma 4 4 3 8 3 2" xfId="18787" xr:uid="{00000000-0005-0000-0000-0000872D0000}"/>
    <cellStyle name="Comma 4 4 3 9" xfId="10603" xr:uid="{00000000-0005-0000-0000-0000882D0000}"/>
    <cellStyle name="Comma 4 4 3 9 2" xfId="10604" xr:uid="{00000000-0005-0000-0000-0000892D0000}"/>
    <cellStyle name="Comma 4 4 3 9 2 2" xfId="10605" xr:uid="{00000000-0005-0000-0000-00008A2D0000}"/>
    <cellStyle name="Comma 4 4 3 9 2 2 2" xfId="18788" xr:uid="{00000000-0005-0000-0000-00008B2D0000}"/>
    <cellStyle name="Comma 4 4 3 9 3" xfId="10606" xr:uid="{00000000-0005-0000-0000-00008C2D0000}"/>
    <cellStyle name="Comma 4 4 3 9 3 2" xfId="18789" xr:uid="{00000000-0005-0000-0000-00008D2D0000}"/>
    <cellStyle name="Comma 4 4 30" xfId="28294" xr:uid="{00000000-0005-0000-0000-00008E2D0000}"/>
    <cellStyle name="Comma 4 4 31" xfId="28798" xr:uid="{00000000-0005-0000-0000-00008F2D0000}"/>
    <cellStyle name="Comma 4 4 32" xfId="29302" xr:uid="{00000000-0005-0000-0000-0000902D0000}"/>
    <cellStyle name="Comma 4 4 33" xfId="29806" xr:uid="{00000000-0005-0000-0000-0000912D0000}"/>
    <cellStyle name="Comma 4 4 34" xfId="30310" xr:uid="{00000000-0005-0000-0000-0000922D0000}"/>
    <cellStyle name="Comma 4 4 35" xfId="30815" xr:uid="{00000000-0005-0000-0000-0000932D0000}"/>
    <cellStyle name="Comma 4 4 4" xfId="2046" xr:uid="{00000000-0005-0000-0000-0000942D0000}"/>
    <cellStyle name="Comma 4 4 4 10" xfId="26790" xr:uid="{00000000-0005-0000-0000-0000952D0000}"/>
    <cellStyle name="Comma 4 4 4 11" xfId="27294" xr:uid="{00000000-0005-0000-0000-0000962D0000}"/>
    <cellStyle name="Comma 4 4 4 12" xfId="27798" xr:uid="{00000000-0005-0000-0000-0000972D0000}"/>
    <cellStyle name="Comma 4 4 4 13" xfId="28302" xr:uid="{00000000-0005-0000-0000-0000982D0000}"/>
    <cellStyle name="Comma 4 4 4 14" xfId="28806" xr:uid="{00000000-0005-0000-0000-0000992D0000}"/>
    <cellStyle name="Comma 4 4 4 15" xfId="29310" xr:uid="{00000000-0005-0000-0000-00009A2D0000}"/>
    <cellStyle name="Comma 4 4 4 16" xfId="29814" xr:uid="{00000000-0005-0000-0000-00009B2D0000}"/>
    <cellStyle name="Comma 4 4 4 17" xfId="30318" xr:uid="{00000000-0005-0000-0000-00009C2D0000}"/>
    <cellStyle name="Comma 4 4 4 18" xfId="30823" xr:uid="{00000000-0005-0000-0000-00009D2D0000}"/>
    <cellStyle name="Comma 4 4 4 2" xfId="10607" xr:uid="{00000000-0005-0000-0000-00009E2D0000}"/>
    <cellStyle name="Comma 4 4 4 2 2" xfId="10608" xr:uid="{00000000-0005-0000-0000-00009F2D0000}"/>
    <cellStyle name="Comma 4 4 4 2 2 2" xfId="18790" xr:uid="{00000000-0005-0000-0000-0000A02D0000}"/>
    <cellStyle name="Comma 4 4 4 3" xfId="10609" xr:uid="{00000000-0005-0000-0000-0000A12D0000}"/>
    <cellStyle name="Comma 4 4 4 3 2" xfId="10610" xr:uid="{00000000-0005-0000-0000-0000A22D0000}"/>
    <cellStyle name="Comma 4 4 4 3 2 2" xfId="18791" xr:uid="{00000000-0005-0000-0000-0000A32D0000}"/>
    <cellStyle name="Comma 4 4 4 4" xfId="7178" xr:uid="{00000000-0005-0000-0000-0000A42D0000}"/>
    <cellStyle name="Comma 4 4 4 5" xfId="23629" xr:uid="{00000000-0005-0000-0000-0000A52D0000}"/>
    <cellStyle name="Comma 4 4 4 6" xfId="24774" xr:uid="{00000000-0005-0000-0000-0000A62D0000}"/>
    <cellStyle name="Comma 4 4 4 7" xfId="25278" xr:uid="{00000000-0005-0000-0000-0000A72D0000}"/>
    <cellStyle name="Comma 4 4 4 8" xfId="25782" xr:uid="{00000000-0005-0000-0000-0000A82D0000}"/>
    <cellStyle name="Comma 4 4 4 9" xfId="26286" xr:uid="{00000000-0005-0000-0000-0000A92D0000}"/>
    <cellStyle name="Comma 4 4 5" xfId="2047" xr:uid="{00000000-0005-0000-0000-0000AA2D0000}"/>
    <cellStyle name="Comma 4 4 5 10" xfId="26791" xr:uid="{00000000-0005-0000-0000-0000AB2D0000}"/>
    <cellStyle name="Comma 4 4 5 11" xfId="27295" xr:uid="{00000000-0005-0000-0000-0000AC2D0000}"/>
    <cellStyle name="Comma 4 4 5 12" xfId="27799" xr:uid="{00000000-0005-0000-0000-0000AD2D0000}"/>
    <cellStyle name="Comma 4 4 5 13" xfId="28303" xr:uid="{00000000-0005-0000-0000-0000AE2D0000}"/>
    <cellStyle name="Comma 4 4 5 14" xfId="28807" xr:uid="{00000000-0005-0000-0000-0000AF2D0000}"/>
    <cellStyle name="Comma 4 4 5 15" xfId="29311" xr:uid="{00000000-0005-0000-0000-0000B02D0000}"/>
    <cellStyle name="Comma 4 4 5 16" xfId="29815" xr:uid="{00000000-0005-0000-0000-0000B12D0000}"/>
    <cellStyle name="Comma 4 4 5 17" xfId="30319" xr:uid="{00000000-0005-0000-0000-0000B22D0000}"/>
    <cellStyle name="Comma 4 4 5 18" xfId="30824" xr:uid="{00000000-0005-0000-0000-0000B32D0000}"/>
    <cellStyle name="Comma 4 4 5 2" xfId="10611" xr:uid="{00000000-0005-0000-0000-0000B42D0000}"/>
    <cellStyle name="Comma 4 4 5 2 2" xfId="10612" xr:uid="{00000000-0005-0000-0000-0000B52D0000}"/>
    <cellStyle name="Comma 4 4 5 2 2 2" xfId="18792" xr:uid="{00000000-0005-0000-0000-0000B62D0000}"/>
    <cellStyle name="Comma 4 4 5 3" xfId="10613" xr:uid="{00000000-0005-0000-0000-0000B72D0000}"/>
    <cellStyle name="Comma 4 4 5 3 2" xfId="10614" xr:uid="{00000000-0005-0000-0000-0000B82D0000}"/>
    <cellStyle name="Comma 4 4 5 3 2 2" xfId="18793" xr:uid="{00000000-0005-0000-0000-0000B92D0000}"/>
    <cellStyle name="Comma 4 4 5 4" xfId="7179" xr:uid="{00000000-0005-0000-0000-0000BA2D0000}"/>
    <cellStyle name="Comma 4 4 5 5" xfId="23630" xr:uid="{00000000-0005-0000-0000-0000BB2D0000}"/>
    <cellStyle name="Comma 4 4 5 6" xfId="24775" xr:uid="{00000000-0005-0000-0000-0000BC2D0000}"/>
    <cellStyle name="Comma 4 4 5 7" xfId="25279" xr:uid="{00000000-0005-0000-0000-0000BD2D0000}"/>
    <cellStyle name="Comma 4 4 5 8" xfId="25783" xr:uid="{00000000-0005-0000-0000-0000BE2D0000}"/>
    <cellStyle name="Comma 4 4 5 9" xfId="26287" xr:uid="{00000000-0005-0000-0000-0000BF2D0000}"/>
    <cellStyle name="Comma 4 4 6" xfId="7311" xr:uid="{00000000-0005-0000-0000-0000C02D0000}"/>
    <cellStyle name="Comma 4 4 6 10" xfId="27296" xr:uid="{00000000-0005-0000-0000-0000C12D0000}"/>
    <cellStyle name="Comma 4 4 6 11" xfId="27800" xr:uid="{00000000-0005-0000-0000-0000C22D0000}"/>
    <cellStyle name="Comma 4 4 6 12" xfId="28304" xr:uid="{00000000-0005-0000-0000-0000C32D0000}"/>
    <cellStyle name="Comma 4 4 6 13" xfId="28808" xr:uid="{00000000-0005-0000-0000-0000C42D0000}"/>
    <cellStyle name="Comma 4 4 6 14" xfId="29312" xr:uid="{00000000-0005-0000-0000-0000C52D0000}"/>
    <cellStyle name="Comma 4 4 6 15" xfId="29816" xr:uid="{00000000-0005-0000-0000-0000C62D0000}"/>
    <cellStyle name="Comma 4 4 6 16" xfId="30320" xr:uid="{00000000-0005-0000-0000-0000C72D0000}"/>
    <cellStyle name="Comma 4 4 6 17" xfId="30825" xr:uid="{00000000-0005-0000-0000-0000C82D0000}"/>
    <cellStyle name="Comma 4 4 6 2" xfId="10615" xr:uid="{00000000-0005-0000-0000-0000C92D0000}"/>
    <cellStyle name="Comma 4 4 6 2 2" xfId="10616" xr:uid="{00000000-0005-0000-0000-0000CA2D0000}"/>
    <cellStyle name="Comma 4 4 6 2 2 2" xfId="18794" xr:uid="{00000000-0005-0000-0000-0000CB2D0000}"/>
    <cellStyle name="Comma 4 4 6 3" xfId="10617" xr:uid="{00000000-0005-0000-0000-0000CC2D0000}"/>
    <cellStyle name="Comma 4 4 6 3 2" xfId="18795" xr:uid="{00000000-0005-0000-0000-0000CD2D0000}"/>
    <cellStyle name="Comma 4 4 6 4" xfId="23631" xr:uid="{00000000-0005-0000-0000-0000CE2D0000}"/>
    <cellStyle name="Comma 4 4 6 5" xfId="24776" xr:uid="{00000000-0005-0000-0000-0000CF2D0000}"/>
    <cellStyle name="Comma 4 4 6 6" xfId="25280" xr:uid="{00000000-0005-0000-0000-0000D02D0000}"/>
    <cellStyle name="Comma 4 4 6 7" xfId="25784" xr:uid="{00000000-0005-0000-0000-0000D12D0000}"/>
    <cellStyle name="Comma 4 4 6 8" xfId="26288" xr:uid="{00000000-0005-0000-0000-0000D22D0000}"/>
    <cellStyle name="Comma 4 4 6 9" xfId="26792" xr:uid="{00000000-0005-0000-0000-0000D32D0000}"/>
    <cellStyle name="Comma 4 4 7" xfId="10618" xr:uid="{00000000-0005-0000-0000-0000D42D0000}"/>
    <cellStyle name="Comma 4 4 7 2" xfId="10619" xr:uid="{00000000-0005-0000-0000-0000D52D0000}"/>
    <cellStyle name="Comma 4 4 7 2 2" xfId="10620" xr:uid="{00000000-0005-0000-0000-0000D62D0000}"/>
    <cellStyle name="Comma 4 4 7 2 2 2" xfId="18796" xr:uid="{00000000-0005-0000-0000-0000D72D0000}"/>
    <cellStyle name="Comma 4 4 7 3" xfId="10621" xr:uid="{00000000-0005-0000-0000-0000D82D0000}"/>
    <cellStyle name="Comma 4 4 7 3 2" xfId="18797" xr:uid="{00000000-0005-0000-0000-0000D92D0000}"/>
    <cellStyle name="Comma 4 4 8" xfId="10622" xr:uid="{00000000-0005-0000-0000-0000DA2D0000}"/>
    <cellStyle name="Comma 4 4 8 2" xfId="10623" xr:uid="{00000000-0005-0000-0000-0000DB2D0000}"/>
    <cellStyle name="Comma 4 4 8 2 2" xfId="10624" xr:uid="{00000000-0005-0000-0000-0000DC2D0000}"/>
    <cellStyle name="Comma 4 4 8 2 2 2" xfId="18798" xr:uid="{00000000-0005-0000-0000-0000DD2D0000}"/>
    <cellStyle name="Comma 4 4 8 3" xfId="10625" xr:uid="{00000000-0005-0000-0000-0000DE2D0000}"/>
    <cellStyle name="Comma 4 4 8 3 2" xfId="18799" xr:uid="{00000000-0005-0000-0000-0000DF2D0000}"/>
    <cellStyle name="Comma 4 4 9" xfId="10626" xr:uid="{00000000-0005-0000-0000-0000E02D0000}"/>
    <cellStyle name="Comma 4 4 9 2" xfId="10627" xr:uid="{00000000-0005-0000-0000-0000E12D0000}"/>
    <cellStyle name="Comma 4 4 9 2 2" xfId="10628" xr:uid="{00000000-0005-0000-0000-0000E22D0000}"/>
    <cellStyle name="Comma 4 4 9 2 2 2" xfId="18800" xr:uid="{00000000-0005-0000-0000-0000E32D0000}"/>
    <cellStyle name="Comma 4 4 9 3" xfId="10629" xr:uid="{00000000-0005-0000-0000-0000E42D0000}"/>
    <cellStyle name="Comma 4 4 9 3 2" xfId="18801" xr:uid="{00000000-0005-0000-0000-0000E52D0000}"/>
    <cellStyle name="Comma 4 5" xfId="2048" xr:uid="{00000000-0005-0000-0000-0000E62D0000}"/>
    <cellStyle name="Comma 4 5 10" xfId="10631" xr:uid="{00000000-0005-0000-0000-0000E72D0000}"/>
    <cellStyle name="Comma 4 5 10 2" xfId="18803" xr:uid="{00000000-0005-0000-0000-0000E82D0000}"/>
    <cellStyle name="Comma 4 5 11" xfId="10632" xr:uid="{00000000-0005-0000-0000-0000E92D0000}"/>
    <cellStyle name="Comma 4 5 11 2" xfId="18804" xr:uid="{00000000-0005-0000-0000-0000EA2D0000}"/>
    <cellStyle name="Comma 4 5 12" xfId="10633" xr:uid="{00000000-0005-0000-0000-0000EB2D0000}"/>
    <cellStyle name="Comma 4 5 12 2" xfId="18805" xr:uid="{00000000-0005-0000-0000-0000EC2D0000}"/>
    <cellStyle name="Comma 4 5 13" xfId="10630" xr:uid="{00000000-0005-0000-0000-0000ED2D0000}"/>
    <cellStyle name="Comma 4 5 14" xfId="18802" xr:uid="{00000000-0005-0000-0000-0000EE2D0000}"/>
    <cellStyle name="Comma 4 5 15" xfId="7180" xr:uid="{00000000-0005-0000-0000-0000EF2D0000}"/>
    <cellStyle name="Comma 4 5 16" xfId="23632" xr:uid="{00000000-0005-0000-0000-0000F02D0000}"/>
    <cellStyle name="Comma 4 5 17" xfId="24777" xr:uid="{00000000-0005-0000-0000-0000F12D0000}"/>
    <cellStyle name="Comma 4 5 18" xfId="25281" xr:uid="{00000000-0005-0000-0000-0000F22D0000}"/>
    <cellStyle name="Comma 4 5 19" xfId="25785" xr:uid="{00000000-0005-0000-0000-0000F32D0000}"/>
    <cellStyle name="Comma 4 5 2" xfId="2049" xr:uid="{00000000-0005-0000-0000-0000F42D0000}"/>
    <cellStyle name="Comma 4 5 2 10" xfId="10634" xr:uid="{00000000-0005-0000-0000-0000F52D0000}"/>
    <cellStyle name="Comma 4 5 2 10 2" xfId="18806" xr:uid="{00000000-0005-0000-0000-0000F62D0000}"/>
    <cellStyle name="Comma 4 5 2 11" xfId="7181" xr:uid="{00000000-0005-0000-0000-0000F72D0000}"/>
    <cellStyle name="Comma 4 5 2 12" xfId="23633" xr:uid="{00000000-0005-0000-0000-0000F82D0000}"/>
    <cellStyle name="Comma 4 5 2 13" xfId="24778" xr:uid="{00000000-0005-0000-0000-0000F92D0000}"/>
    <cellStyle name="Comma 4 5 2 14" xfId="25282" xr:uid="{00000000-0005-0000-0000-0000FA2D0000}"/>
    <cellStyle name="Comma 4 5 2 15" xfId="25786" xr:uid="{00000000-0005-0000-0000-0000FB2D0000}"/>
    <cellStyle name="Comma 4 5 2 16" xfId="26290" xr:uid="{00000000-0005-0000-0000-0000FC2D0000}"/>
    <cellStyle name="Comma 4 5 2 17" xfId="26794" xr:uid="{00000000-0005-0000-0000-0000FD2D0000}"/>
    <cellStyle name="Comma 4 5 2 18" xfId="27298" xr:uid="{00000000-0005-0000-0000-0000FE2D0000}"/>
    <cellStyle name="Comma 4 5 2 19" xfId="27802" xr:uid="{00000000-0005-0000-0000-0000FF2D0000}"/>
    <cellStyle name="Comma 4 5 2 2" xfId="6870" xr:uid="{00000000-0005-0000-0000-0000002E0000}"/>
    <cellStyle name="Comma 4 5 2 2 10" xfId="26795" xr:uid="{00000000-0005-0000-0000-0000012E0000}"/>
    <cellStyle name="Comma 4 5 2 2 11" xfId="27299" xr:uid="{00000000-0005-0000-0000-0000022E0000}"/>
    <cellStyle name="Comma 4 5 2 2 12" xfId="27803" xr:uid="{00000000-0005-0000-0000-0000032E0000}"/>
    <cellStyle name="Comma 4 5 2 2 13" xfId="28307" xr:uid="{00000000-0005-0000-0000-0000042E0000}"/>
    <cellStyle name="Comma 4 5 2 2 14" xfId="28811" xr:uid="{00000000-0005-0000-0000-0000052E0000}"/>
    <cellStyle name="Comma 4 5 2 2 15" xfId="29315" xr:uid="{00000000-0005-0000-0000-0000062E0000}"/>
    <cellStyle name="Comma 4 5 2 2 16" xfId="29819" xr:uid="{00000000-0005-0000-0000-0000072E0000}"/>
    <cellStyle name="Comma 4 5 2 2 17" xfId="30323" xr:uid="{00000000-0005-0000-0000-0000082E0000}"/>
    <cellStyle name="Comma 4 5 2 2 18" xfId="30828" xr:uid="{00000000-0005-0000-0000-0000092E0000}"/>
    <cellStyle name="Comma 4 5 2 2 2" xfId="10636" xr:uid="{00000000-0005-0000-0000-00000A2E0000}"/>
    <cellStyle name="Comma 4 5 2 2 2 2" xfId="18808" xr:uid="{00000000-0005-0000-0000-00000B2E0000}"/>
    <cellStyle name="Comma 4 5 2 2 3" xfId="18807" xr:uid="{00000000-0005-0000-0000-00000C2E0000}"/>
    <cellStyle name="Comma 4 5 2 2 4" xfId="10635" xr:uid="{00000000-0005-0000-0000-00000D2E0000}"/>
    <cellStyle name="Comma 4 5 2 2 5" xfId="23634" xr:uid="{00000000-0005-0000-0000-00000E2E0000}"/>
    <cellStyle name="Comma 4 5 2 2 6" xfId="24779" xr:uid="{00000000-0005-0000-0000-00000F2E0000}"/>
    <cellStyle name="Comma 4 5 2 2 7" xfId="25283" xr:uid="{00000000-0005-0000-0000-0000102E0000}"/>
    <cellStyle name="Comma 4 5 2 2 8" xfId="25787" xr:uid="{00000000-0005-0000-0000-0000112E0000}"/>
    <cellStyle name="Comma 4 5 2 2 9" xfId="26291" xr:uid="{00000000-0005-0000-0000-0000122E0000}"/>
    <cellStyle name="Comma 4 5 2 20" xfId="28306" xr:uid="{00000000-0005-0000-0000-0000132E0000}"/>
    <cellStyle name="Comma 4 5 2 21" xfId="28810" xr:uid="{00000000-0005-0000-0000-0000142E0000}"/>
    <cellStyle name="Comma 4 5 2 22" xfId="29314" xr:uid="{00000000-0005-0000-0000-0000152E0000}"/>
    <cellStyle name="Comma 4 5 2 23" xfId="29818" xr:uid="{00000000-0005-0000-0000-0000162E0000}"/>
    <cellStyle name="Comma 4 5 2 24" xfId="30322" xr:uid="{00000000-0005-0000-0000-0000172E0000}"/>
    <cellStyle name="Comma 4 5 2 25" xfId="30827" xr:uid="{00000000-0005-0000-0000-0000182E0000}"/>
    <cellStyle name="Comma 4 5 2 3" xfId="10637" xr:uid="{00000000-0005-0000-0000-0000192E0000}"/>
    <cellStyle name="Comma 4 5 2 3 10" xfId="27300" xr:uid="{00000000-0005-0000-0000-00001A2E0000}"/>
    <cellStyle name="Comma 4 5 2 3 11" xfId="27804" xr:uid="{00000000-0005-0000-0000-00001B2E0000}"/>
    <cellStyle name="Comma 4 5 2 3 12" xfId="28308" xr:uid="{00000000-0005-0000-0000-00001C2E0000}"/>
    <cellStyle name="Comma 4 5 2 3 13" xfId="28812" xr:uid="{00000000-0005-0000-0000-00001D2E0000}"/>
    <cellStyle name="Comma 4 5 2 3 14" xfId="29316" xr:uid="{00000000-0005-0000-0000-00001E2E0000}"/>
    <cellStyle name="Comma 4 5 2 3 15" xfId="29820" xr:uid="{00000000-0005-0000-0000-00001F2E0000}"/>
    <cellStyle name="Comma 4 5 2 3 16" xfId="30324" xr:uid="{00000000-0005-0000-0000-0000202E0000}"/>
    <cellStyle name="Comma 4 5 2 3 17" xfId="30829" xr:uid="{00000000-0005-0000-0000-0000212E0000}"/>
    <cellStyle name="Comma 4 5 2 3 2" xfId="10638" xr:uid="{00000000-0005-0000-0000-0000222E0000}"/>
    <cellStyle name="Comma 4 5 2 3 2 2" xfId="18810" xr:uid="{00000000-0005-0000-0000-0000232E0000}"/>
    <cellStyle name="Comma 4 5 2 3 3" xfId="18809" xr:uid="{00000000-0005-0000-0000-0000242E0000}"/>
    <cellStyle name="Comma 4 5 2 3 4" xfId="23635" xr:uid="{00000000-0005-0000-0000-0000252E0000}"/>
    <cellStyle name="Comma 4 5 2 3 5" xfId="24780" xr:uid="{00000000-0005-0000-0000-0000262E0000}"/>
    <cellStyle name="Comma 4 5 2 3 6" xfId="25284" xr:uid="{00000000-0005-0000-0000-0000272E0000}"/>
    <cellStyle name="Comma 4 5 2 3 7" xfId="25788" xr:uid="{00000000-0005-0000-0000-0000282E0000}"/>
    <cellStyle name="Comma 4 5 2 3 8" xfId="26292" xr:uid="{00000000-0005-0000-0000-0000292E0000}"/>
    <cellStyle name="Comma 4 5 2 3 9" xfId="26796" xr:uid="{00000000-0005-0000-0000-00002A2E0000}"/>
    <cellStyle name="Comma 4 5 2 4" xfId="10639" xr:uid="{00000000-0005-0000-0000-00002B2E0000}"/>
    <cellStyle name="Comma 4 5 2 4 2" xfId="10640" xr:uid="{00000000-0005-0000-0000-00002C2E0000}"/>
    <cellStyle name="Comma 4 5 2 4 2 2" xfId="18811" xr:uid="{00000000-0005-0000-0000-00002D2E0000}"/>
    <cellStyle name="Comma 4 5 2 5" xfId="10641" xr:uid="{00000000-0005-0000-0000-00002E2E0000}"/>
    <cellStyle name="Comma 4 5 2 5 2" xfId="10642" xr:uid="{00000000-0005-0000-0000-00002F2E0000}"/>
    <cellStyle name="Comma 4 5 2 5 2 2" xfId="18812" xr:uid="{00000000-0005-0000-0000-0000302E0000}"/>
    <cellStyle name="Comma 4 5 2 6" xfId="10643" xr:uid="{00000000-0005-0000-0000-0000312E0000}"/>
    <cellStyle name="Comma 4 5 2 6 2" xfId="10644" xr:uid="{00000000-0005-0000-0000-0000322E0000}"/>
    <cellStyle name="Comma 4 5 2 6 2 2" xfId="18813" xr:uid="{00000000-0005-0000-0000-0000332E0000}"/>
    <cellStyle name="Comma 4 5 2 7" xfId="10645" xr:uid="{00000000-0005-0000-0000-0000342E0000}"/>
    <cellStyle name="Comma 4 5 2 7 2" xfId="10646" xr:uid="{00000000-0005-0000-0000-0000352E0000}"/>
    <cellStyle name="Comma 4 5 2 7 2 2" xfId="18814" xr:uid="{00000000-0005-0000-0000-0000362E0000}"/>
    <cellStyle name="Comma 4 5 2 8" xfId="10647" xr:uid="{00000000-0005-0000-0000-0000372E0000}"/>
    <cellStyle name="Comma 4 5 2 8 2" xfId="10648" xr:uid="{00000000-0005-0000-0000-0000382E0000}"/>
    <cellStyle name="Comma 4 5 2 8 2 2" xfId="18815" xr:uid="{00000000-0005-0000-0000-0000392E0000}"/>
    <cellStyle name="Comma 4 5 2 9" xfId="10649" xr:uid="{00000000-0005-0000-0000-00003A2E0000}"/>
    <cellStyle name="Comma 4 5 2 9 2" xfId="18816" xr:uid="{00000000-0005-0000-0000-00003B2E0000}"/>
    <cellStyle name="Comma 4 5 20" xfId="26289" xr:uid="{00000000-0005-0000-0000-00003C2E0000}"/>
    <cellStyle name="Comma 4 5 21" xfId="26793" xr:uid="{00000000-0005-0000-0000-00003D2E0000}"/>
    <cellStyle name="Comma 4 5 22" xfId="27297" xr:uid="{00000000-0005-0000-0000-00003E2E0000}"/>
    <cellStyle name="Comma 4 5 23" xfId="27801" xr:uid="{00000000-0005-0000-0000-00003F2E0000}"/>
    <cellStyle name="Comma 4 5 24" xfId="28305" xr:uid="{00000000-0005-0000-0000-0000402E0000}"/>
    <cellStyle name="Comma 4 5 25" xfId="28809" xr:uid="{00000000-0005-0000-0000-0000412E0000}"/>
    <cellStyle name="Comma 4 5 26" xfId="29313" xr:uid="{00000000-0005-0000-0000-0000422E0000}"/>
    <cellStyle name="Comma 4 5 27" xfId="29817" xr:uid="{00000000-0005-0000-0000-0000432E0000}"/>
    <cellStyle name="Comma 4 5 28" xfId="30321" xr:uid="{00000000-0005-0000-0000-0000442E0000}"/>
    <cellStyle name="Comma 4 5 29" xfId="30826" xr:uid="{00000000-0005-0000-0000-0000452E0000}"/>
    <cellStyle name="Comma 4 5 3" xfId="6869" xr:uid="{00000000-0005-0000-0000-0000462E0000}"/>
    <cellStyle name="Comma 4 5 3 10" xfId="27301" xr:uid="{00000000-0005-0000-0000-0000472E0000}"/>
    <cellStyle name="Comma 4 5 3 11" xfId="27805" xr:uid="{00000000-0005-0000-0000-0000482E0000}"/>
    <cellStyle name="Comma 4 5 3 12" xfId="28309" xr:uid="{00000000-0005-0000-0000-0000492E0000}"/>
    <cellStyle name="Comma 4 5 3 13" xfId="28813" xr:uid="{00000000-0005-0000-0000-00004A2E0000}"/>
    <cellStyle name="Comma 4 5 3 14" xfId="29317" xr:uid="{00000000-0005-0000-0000-00004B2E0000}"/>
    <cellStyle name="Comma 4 5 3 15" xfId="29821" xr:uid="{00000000-0005-0000-0000-00004C2E0000}"/>
    <cellStyle name="Comma 4 5 3 16" xfId="30325" xr:uid="{00000000-0005-0000-0000-00004D2E0000}"/>
    <cellStyle name="Comma 4 5 3 17" xfId="30830" xr:uid="{00000000-0005-0000-0000-00004E2E0000}"/>
    <cellStyle name="Comma 4 5 3 2" xfId="10650" xr:uid="{00000000-0005-0000-0000-00004F2E0000}"/>
    <cellStyle name="Comma 4 5 3 2 2" xfId="18817" xr:uid="{00000000-0005-0000-0000-0000502E0000}"/>
    <cellStyle name="Comma 4 5 3 3" xfId="7314" xr:uid="{00000000-0005-0000-0000-0000512E0000}"/>
    <cellStyle name="Comma 4 5 3 4" xfId="23636" xr:uid="{00000000-0005-0000-0000-0000522E0000}"/>
    <cellStyle name="Comma 4 5 3 5" xfId="24781" xr:uid="{00000000-0005-0000-0000-0000532E0000}"/>
    <cellStyle name="Comma 4 5 3 6" xfId="25285" xr:uid="{00000000-0005-0000-0000-0000542E0000}"/>
    <cellStyle name="Comma 4 5 3 7" xfId="25789" xr:uid="{00000000-0005-0000-0000-0000552E0000}"/>
    <cellStyle name="Comma 4 5 3 8" xfId="26293" xr:uid="{00000000-0005-0000-0000-0000562E0000}"/>
    <cellStyle name="Comma 4 5 3 9" xfId="26797" xr:uid="{00000000-0005-0000-0000-0000572E0000}"/>
    <cellStyle name="Comma 4 5 4" xfId="10651" xr:uid="{00000000-0005-0000-0000-0000582E0000}"/>
    <cellStyle name="Comma 4 5 4 10" xfId="27806" xr:uid="{00000000-0005-0000-0000-0000592E0000}"/>
    <cellStyle name="Comma 4 5 4 11" xfId="28310" xr:uid="{00000000-0005-0000-0000-00005A2E0000}"/>
    <cellStyle name="Comma 4 5 4 12" xfId="28814" xr:uid="{00000000-0005-0000-0000-00005B2E0000}"/>
    <cellStyle name="Comma 4 5 4 13" xfId="29318" xr:uid="{00000000-0005-0000-0000-00005C2E0000}"/>
    <cellStyle name="Comma 4 5 4 14" xfId="29822" xr:uid="{00000000-0005-0000-0000-00005D2E0000}"/>
    <cellStyle name="Comma 4 5 4 15" xfId="30326" xr:uid="{00000000-0005-0000-0000-00005E2E0000}"/>
    <cellStyle name="Comma 4 5 4 16" xfId="30831" xr:uid="{00000000-0005-0000-0000-00005F2E0000}"/>
    <cellStyle name="Comma 4 5 4 2" xfId="10652" xr:uid="{00000000-0005-0000-0000-0000602E0000}"/>
    <cellStyle name="Comma 4 5 4 2 2" xfId="18818" xr:uid="{00000000-0005-0000-0000-0000612E0000}"/>
    <cellStyle name="Comma 4 5 4 3" xfId="23637" xr:uid="{00000000-0005-0000-0000-0000622E0000}"/>
    <cellStyle name="Comma 4 5 4 4" xfId="24782" xr:uid="{00000000-0005-0000-0000-0000632E0000}"/>
    <cellStyle name="Comma 4 5 4 5" xfId="25286" xr:uid="{00000000-0005-0000-0000-0000642E0000}"/>
    <cellStyle name="Comma 4 5 4 6" xfId="25790" xr:uid="{00000000-0005-0000-0000-0000652E0000}"/>
    <cellStyle name="Comma 4 5 4 7" xfId="26294" xr:uid="{00000000-0005-0000-0000-0000662E0000}"/>
    <cellStyle name="Comma 4 5 4 8" xfId="26798" xr:uid="{00000000-0005-0000-0000-0000672E0000}"/>
    <cellStyle name="Comma 4 5 4 9" xfId="27302" xr:uid="{00000000-0005-0000-0000-0000682E0000}"/>
    <cellStyle name="Comma 4 5 5" xfId="10653" xr:uid="{00000000-0005-0000-0000-0000692E0000}"/>
    <cellStyle name="Comma 4 5 5 2" xfId="10654" xr:uid="{00000000-0005-0000-0000-00006A2E0000}"/>
    <cellStyle name="Comma 4 5 5 2 2" xfId="18819" xr:uid="{00000000-0005-0000-0000-00006B2E0000}"/>
    <cellStyle name="Comma 4 5 6" xfId="10655" xr:uid="{00000000-0005-0000-0000-00006C2E0000}"/>
    <cellStyle name="Comma 4 5 6 2" xfId="10656" xr:uid="{00000000-0005-0000-0000-00006D2E0000}"/>
    <cellStyle name="Comma 4 5 6 2 2" xfId="18820" xr:uid="{00000000-0005-0000-0000-00006E2E0000}"/>
    <cellStyle name="Comma 4 5 7" xfId="10657" xr:uid="{00000000-0005-0000-0000-00006F2E0000}"/>
    <cellStyle name="Comma 4 5 7 2" xfId="10658" xr:uid="{00000000-0005-0000-0000-0000702E0000}"/>
    <cellStyle name="Comma 4 5 7 2 2" xfId="18821" xr:uid="{00000000-0005-0000-0000-0000712E0000}"/>
    <cellStyle name="Comma 4 5 8" xfId="10659" xr:uid="{00000000-0005-0000-0000-0000722E0000}"/>
    <cellStyle name="Comma 4 5 8 2" xfId="10660" xr:uid="{00000000-0005-0000-0000-0000732E0000}"/>
    <cellStyle name="Comma 4 5 8 2 2" xfId="18822" xr:uid="{00000000-0005-0000-0000-0000742E0000}"/>
    <cellStyle name="Comma 4 5 9" xfId="10661" xr:uid="{00000000-0005-0000-0000-0000752E0000}"/>
    <cellStyle name="Comma 4 5 9 2" xfId="10662" xr:uid="{00000000-0005-0000-0000-0000762E0000}"/>
    <cellStyle name="Comma 4 5 9 2 2" xfId="18823" xr:uid="{00000000-0005-0000-0000-0000772E0000}"/>
    <cellStyle name="Comma 4 6" xfId="2050" xr:uid="{00000000-0005-0000-0000-0000782E0000}"/>
    <cellStyle name="Comma 4 6 10" xfId="10663" xr:uid="{00000000-0005-0000-0000-0000792E0000}"/>
    <cellStyle name="Comma 4 6 10 2" xfId="10664" xr:uid="{00000000-0005-0000-0000-00007A2E0000}"/>
    <cellStyle name="Comma 4 6 10 2 2" xfId="10665" xr:uid="{00000000-0005-0000-0000-00007B2E0000}"/>
    <cellStyle name="Comma 4 6 10 2 2 2" xfId="18824" xr:uid="{00000000-0005-0000-0000-00007C2E0000}"/>
    <cellStyle name="Comma 4 6 10 3" xfId="10666" xr:uid="{00000000-0005-0000-0000-00007D2E0000}"/>
    <cellStyle name="Comma 4 6 10 3 2" xfId="18825" xr:uid="{00000000-0005-0000-0000-00007E2E0000}"/>
    <cellStyle name="Comma 4 6 11" xfId="10667" xr:uid="{00000000-0005-0000-0000-00007F2E0000}"/>
    <cellStyle name="Comma 4 6 11 2" xfId="10668" xr:uid="{00000000-0005-0000-0000-0000802E0000}"/>
    <cellStyle name="Comma 4 6 11 2 2" xfId="10669" xr:uid="{00000000-0005-0000-0000-0000812E0000}"/>
    <cellStyle name="Comma 4 6 11 2 2 2" xfId="18826" xr:uid="{00000000-0005-0000-0000-0000822E0000}"/>
    <cellStyle name="Comma 4 6 11 3" xfId="10670" xr:uid="{00000000-0005-0000-0000-0000832E0000}"/>
    <cellStyle name="Comma 4 6 11 3 2" xfId="18827" xr:uid="{00000000-0005-0000-0000-0000842E0000}"/>
    <cellStyle name="Comma 4 6 12" xfId="10671" xr:uid="{00000000-0005-0000-0000-0000852E0000}"/>
    <cellStyle name="Comma 4 6 12 2" xfId="10672" xr:uid="{00000000-0005-0000-0000-0000862E0000}"/>
    <cellStyle name="Comma 4 6 12 2 2" xfId="10673" xr:uid="{00000000-0005-0000-0000-0000872E0000}"/>
    <cellStyle name="Comma 4 6 12 2 2 2" xfId="18828" xr:uid="{00000000-0005-0000-0000-0000882E0000}"/>
    <cellStyle name="Comma 4 6 12 3" xfId="10674" xr:uid="{00000000-0005-0000-0000-0000892E0000}"/>
    <cellStyle name="Comma 4 6 12 3 2" xfId="18829" xr:uid="{00000000-0005-0000-0000-00008A2E0000}"/>
    <cellStyle name="Comma 4 6 13" xfId="10675" xr:uid="{00000000-0005-0000-0000-00008B2E0000}"/>
    <cellStyle name="Comma 4 6 13 2" xfId="10676" xr:uid="{00000000-0005-0000-0000-00008C2E0000}"/>
    <cellStyle name="Comma 4 6 13 2 2" xfId="10677" xr:uid="{00000000-0005-0000-0000-00008D2E0000}"/>
    <cellStyle name="Comma 4 6 13 2 2 2" xfId="10678" xr:uid="{00000000-0005-0000-0000-00008E2E0000}"/>
    <cellStyle name="Comma 4 6 13 2 2 2 2" xfId="18830" xr:uid="{00000000-0005-0000-0000-00008F2E0000}"/>
    <cellStyle name="Comma 4 6 13 2 3" xfId="10679" xr:uid="{00000000-0005-0000-0000-0000902E0000}"/>
    <cellStyle name="Comma 4 6 13 2 3 2" xfId="10680" xr:uid="{00000000-0005-0000-0000-0000912E0000}"/>
    <cellStyle name="Comma 4 6 13 2 3 2 2" xfId="18831" xr:uid="{00000000-0005-0000-0000-0000922E0000}"/>
    <cellStyle name="Comma 4 6 13 2 4" xfId="10681" xr:uid="{00000000-0005-0000-0000-0000932E0000}"/>
    <cellStyle name="Comma 4 6 13 2 4 2" xfId="10682" xr:uid="{00000000-0005-0000-0000-0000942E0000}"/>
    <cellStyle name="Comma 4 6 13 2 4 2 2" xfId="18832" xr:uid="{00000000-0005-0000-0000-0000952E0000}"/>
    <cellStyle name="Comma 4 6 13 2 5" xfId="10683" xr:uid="{00000000-0005-0000-0000-0000962E0000}"/>
    <cellStyle name="Comma 4 6 13 2 5 2" xfId="10684" xr:uid="{00000000-0005-0000-0000-0000972E0000}"/>
    <cellStyle name="Comma 4 6 13 2 5 2 2" xfId="18833" xr:uid="{00000000-0005-0000-0000-0000982E0000}"/>
    <cellStyle name="Comma 4 6 13 2 6" xfId="10685" xr:uid="{00000000-0005-0000-0000-0000992E0000}"/>
    <cellStyle name="Comma 4 6 13 2 6 2" xfId="10686" xr:uid="{00000000-0005-0000-0000-00009A2E0000}"/>
    <cellStyle name="Comma 4 6 13 2 6 2 2" xfId="18834" xr:uid="{00000000-0005-0000-0000-00009B2E0000}"/>
    <cellStyle name="Comma 4 6 13 2 7" xfId="10687" xr:uid="{00000000-0005-0000-0000-00009C2E0000}"/>
    <cellStyle name="Comma 4 6 13 2 7 2" xfId="10688" xr:uid="{00000000-0005-0000-0000-00009D2E0000}"/>
    <cellStyle name="Comma 4 6 13 2 7 2 2" xfId="18835" xr:uid="{00000000-0005-0000-0000-00009E2E0000}"/>
    <cellStyle name="Comma 4 6 13 2 8" xfId="10689" xr:uid="{00000000-0005-0000-0000-00009F2E0000}"/>
    <cellStyle name="Comma 4 6 13 2 8 2" xfId="18836" xr:uid="{00000000-0005-0000-0000-0000A02E0000}"/>
    <cellStyle name="Comma 4 6 13 3" xfId="10690" xr:uid="{00000000-0005-0000-0000-0000A12E0000}"/>
    <cellStyle name="Comma 4 6 13 3 2" xfId="10691" xr:uid="{00000000-0005-0000-0000-0000A22E0000}"/>
    <cellStyle name="Comma 4 6 13 3 2 2" xfId="18837" xr:uid="{00000000-0005-0000-0000-0000A32E0000}"/>
    <cellStyle name="Comma 4 6 13 4" xfId="10692" xr:uid="{00000000-0005-0000-0000-0000A42E0000}"/>
    <cellStyle name="Comma 4 6 13 4 2" xfId="10693" xr:uid="{00000000-0005-0000-0000-0000A52E0000}"/>
    <cellStyle name="Comma 4 6 13 4 2 2" xfId="18838" xr:uid="{00000000-0005-0000-0000-0000A62E0000}"/>
    <cellStyle name="Comma 4 6 13 5" xfId="10694" xr:uid="{00000000-0005-0000-0000-0000A72E0000}"/>
    <cellStyle name="Comma 4 6 13 5 2" xfId="10695" xr:uid="{00000000-0005-0000-0000-0000A82E0000}"/>
    <cellStyle name="Comma 4 6 13 5 2 2" xfId="18839" xr:uid="{00000000-0005-0000-0000-0000A92E0000}"/>
    <cellStyle name="Comma 4 6 13 6" xfId="10696" xr:uid="{00000000-0005-0000-0000-0000AA2E0000}"/>
    <cellStyle name="Comma 4 6 13 6 2" xfId="10697" xr:uid="{00000000-0005-0000-0000-0000AB2E0000}"/>
    <cellStyle name="Comma 4 6 13 6 2 2" xfId="18840" xr:uid="{00000000-0005-0000-0000-0000AC2E0000}"/>
    <cellStyle name="Comma 4 6 13 7" xfId="10698" xr:uid="{00000000-0005-0000-0000-0000AD2E0000}"/>
    <cellStyle name="Comma 4 6 13 7 2" xfId="10699" xr:uid="{00000000-0005-0000-0000-0000AE2E0000}"/>
    <cellStyle name="Comma 4 6 13 7 2 2" xfId="18841" xr:uid="{00000000-0005-0000-0000-0000AF2E0000}"/>
    <cellStyle name="Comma 4 6 13 8" xfId="10700" xr:uid="{00000000-0005-0000-0000-0000B02E0000}"/>
    <cellStyle name="Comma 4 6 13 8 2" xfId="10701" xr:uid="{00000000-0005-0000-0000-0000B12E0000}"/>
    <cellStyle name="Comma 4 6 13 8 2 2" xfId="18842" xr:uid="{00000000-0005-0000-0000-0000B22E0000}"/>
    <cellStyle name="Comma 4 6 13 9" xfId="10702" xr:uid="{00000000-0005-0000-0000-0000B32E0000}"/>
    <cellStyle name="Comma 4 6 13 9 2" xfId="18843" xr:uid="{00000000-0005-0000-0000-0000B42E0000}"/>
    <cellStyle name="Comma 4 6 14" xfId="10703" xr:uid="{00000000-0005-0000-0000-0000B52E0000}"/>
    <cellStyle name="Comma 4 6 14 2" xfId="10704" xr:uid="{00000000-0005-0000-0000-0000B62E0000}"/>
    <cellStyle name="Comma 4 6 14 2 2" xfId="18844" xr:uid="{00000000-0005-0000-0000-0000B72E0000}"/>
    <cellStyle name="Comma 4 6 15" xfId="10705" xr:uid="{00000000-0005-0000-0000-0000B82E0000}"/>
    <cellStyle name="Comma 4 6 15 2" xfId="10706" xr:uid="{00000000-0005-0000-0000-0000B92E0000}"/>
    <cellStyle name="Comma 4 6 15 2 2" xfId="18845" xr:uid="{00000000-0005-0000-0000-0000BA2E0000}"/>
    <cellStyle name="Comma 4 6 16" xfId="7182" xr:uid="{00000000-0005-0000-0000-0000BB2E0000}"/>
    <cellStyle name="Comma 4 6 17" xfId="23638" xr:uid="{00000000-0005-0000-0000-0000BC2E0000}"/>
    <cellStyle name="Comma 4 6 18" xfId="24783" xr:uid="{00000000-0005-0000-0000-0000BD2E0000}"/>
    <cellStyle name="Comma 4 6 19" xfId="25287" xr:uid="{00000000-0005-0000-0000-0000BE2E0000}"/>
    <cellStyle name="Comma 4 6 2" xfId="7315" xr:uid="{00000000-0005-0000-0000-0000BF2E0000}"/>
    <cellStyle name="Comma 4 6 2 2" xfId="10707" xr:uid="{00000000-0005-0000-0000-0000C02E0000}"/>
    <cellStyle name="Comma 4 6 2 2 2" xfId="10708" xr:uid="{00000000-0005-0000-0000-0000C12E0000}"/>
    <cellStyle name="Comma 4 6 2 2 2 2" xfId="18848" xr:uid="{00000000-0005-0000-0000-0000C22E0000}"/>
    <cellStyle name="Comma 4 6 2 2 3" xfId="18847" xr:uid="{00000000-0005-0000-0000-0000C32E0000}"/>
    <cellStyle name="Comma 4 6 2 3" xfId="10709" xr:uid="{00000000-0005-0000-0000-0000C42E0000}"/>
    <cellStyle name="Comma 4 6 2 3 2" xfId="18849" xr:uid="{00000000-0005-0000-0000-0000C52E0000}"/>
    <cellStyle name="Comma 4 6 2 4" xfId="18846" xr:uid="{00000000-0005-0000-0000-0000C62E0000}"/>
    <cellStyle name="Comma 4 6 20" xfId="25791" xr:uid="{00000000-0005-0000-0000-0000C72E0000}"/>
    <cellStyle name="Comma 4 6 21" xfId="26295" xr:uid="{00000000-0005-0000-0000-0000C82E0000}"/>
    <cellStyle name="Comma 4 6 22" xfId="26799" xr:uid="{00000000-0005-0000-0000-0000C92E0000}"/>
    <cellStyle name="Comma 4 6 23" xfId="27303" xr:uid="{00000000-0005-0000-0000-0000CA2E0000}"/>
    <cellStyle name="Comma 4 6 24" xfId="27807" xr:uid="{00000000-0005-0000-0000-0000CB2E0000}"/>
    <cellStyle name="Comma 4 6 25" xfId="28311" xr:uid="{00000000-0005-0000-0000-0000CC2E0000}"/>
    <cellStyle name="Comma 4 6 26" xfId="28815" xr:uid="{00000000-0005-0000-0000-0000CD2E0000}"/>
    <cellStyle name="Comma 4 6 27" xfId="29319" xr:uid="{00000000-0005-0000-0000-0000CE2E0000}"/>
    <cellStyle name="Comma 4 6 28" xfId="29823" xr:uid="{00000000-0005-0000-0000-0000CF2E0000}"/>
    <cellStyle name="Comma 4 6 29" xfId="30327" xr:uid="{00000000-0005-0000-0000-0000D02E0000}"/>
    <cellStyle name="Comma 4 6 3" xfId="10710" xr:uid="{00000000-0005-0000-0000-0000D12E0000}"/>
    <cellStyle name="Comma 4 6 3 2" xfId="10711" xr:uid="{00000000-0005-0000-0000-0000D22E0000}"/>
    <cellStyle name="Comma 4 6 3 2 2" xfId="10712" xr:uid="{00000000-0005-0000-0000-0000D32E0000}"/>
    <cellStyle name="Comma 4 6 3 2 2 2" xfId="18850" xr:uid="{00000000-0005-0000-0000-0000D42E0000}"/>
    <cellStyle name="Comma 4 6 3 3" xfId="10713" xr:uid="{00000000-0005-0000-0000-0000D52E0000}"/>
    <cellStyle name="Comma 4 6 3 3 2" xfId="18851" xr:uid="{00000000-0005-0000-0000-0000D62E0000}"/>
    <cellStyle name="Comma 4 6 30" xfId="30832" xr:uid="{00000000-0005-0000-0000-0000D72E0000}"/>
    <cellStyle name="Comma 4 6 4" xfId="10714" xr:uid="{00000000-0005-0000-0000-0000D82E0000}"/>
    <cellStyle name="Comma 4 6 4 2" xfId="10715" xr:uid="{00000000-0005-0000-0000-0000D92E0000}"/>
    <cellStyle name="Comma 4 6 4 2 2" xfId="10716" xr:uid="{00000000-0005-0000-0000-0000DA2E0000}"/>
    <cellStyle name="Comma 4 6 4 2 2 2" xfId="18852" xr:uid="{00000000-0005-0000-0000-0000DB2E0000}"/>
    <cellStyle name="Comma 4 6 4 3" xfId="10717" xr:uid="{00000000-0005-0000-0000-0000DC2E0000}"/>
    <cellStyle name="Comma 4 6 4 3 2" xfId="18853" xr:uid="{00000000-0005-0000-0000-0000DD2E0000}"/>
    <cellStyle name="Comma 4 6 5" xfId="10718" xr:uid="{00000000-0005-0000-0000-0000DE2E0000}"/>
    <cellStyle name="Comma 4 6 5 2" xfId="10719" xr:uid="{00000000-0005-0000-0000-0000DF2E0000}"/>
    <cellStyle name="Comma 4 6 5 2 2" xfId="10720" xr:uid="{00000000-0005-0000-0000-0000E02E0000}"/>
    <cellStyle name="Comma 4 6 5 2 2 2" xfId="18854" xr:uid="{00000000-0005-0000-0000-0000E12E0000}"/>
    <cellStyle name="Comma 4 6 5 3" xfId="10721" xr:uid="{00000000-0005-0000-0000-0000E22E0000}"/>
    <cellStyle name="Comma 4 6 5 3 2" xfId="18855" xr:uid="{00000000-0005-0000-0000-0000E32E0000}"/>
    <cellStyle name="Comma 4 6 6" xfId="10722" xr:uid="{00000000-0005-0000-0000-0000E42E0000}"/>
    <cellStyle name="Comma 4 6 6 2" xfId="10723" xr:uid="{00000000-0005-0000-0000-0000E52E0000}"/>
    <cellStyle name="Comma 4 6 6 2 2" xfId="10724" xr:uid="{00000000-0005-0000-0000-0000E62E0000}"/>
    <cellStyle name="Comma 4 6 6 2 2 2" xfId="18856" xr:uid="{00000000-0005-0000-0000-0000E72E0000}"/>
    <cellStyle name="Comma 4 6 6 3" xfId="10725" xr:uid="{00000000-0005-0000-0000-0000E82E0000}"/>
    <cellStyle name="Comma 4 6 6 3 2" xfId="18857" xr:uid="{00000000-0005-0000-0000-0000E92E0000}"/>
    <cellStyle name="Comma 4 6 7" xfId="10726" xr:uid="{00000000-0005-0000-0000-0000EA2E0000}"/>
    <cellStyle name="Comma 4 6 7 2" xfId="10727" xr:uid="{00000000-0005-0000-0000-0000EB2E0000}"/>
    <cellStyle name="Comma 4 6 7 2 2" xfId="10728" xr:uid="{00000000-0005-0000-0000-0000EC2E0000}"/>
    <cellStyle name="Comma 4 6 7 2 2 2" xfId="18858" xr:uid="{00000000-0005-0000-0000-0000ED2E0000}"/>
    <cellStyle name="Comma 4 6 7 3" xfId="10729" xr:uid="{00000000-0005-0000-0000-0000EE2E0000}"/>
    <cellStyle name="Comma 4 6 7 3 2" xfId="18859" xr:uid="{00000000-0005-0000-0000-0000EF2E0000}"/>
    <cellStyle name="Comma 4 6 8" xfId="10730" xr:uid="{00000000-0005-0000-0000-0000F02E0000}"/>
    <cellStyle name="Comma 4 6 8 2" xfId="10731" xr:uid="{00000000-0005-0000-0000-0000F12E0000}"/>
    <cellStyle name="Comma 4 6 8 2 2" xfId="10732" xr:uid="{00000000-0005-0000-0000-0000F22E0000}"/>
    <cellStyle name="Comma 4 6 8 2 2 2" xfId="18860" xr:uid="{00000000-0005-0000-0000-0000F32E0000}"/>
    <cellStyle name="Comma 4 6 8 3" xfId="10733" xr:uid="{00000000-0005-0000-0000-0000F42E0000}"/>
    <cellStyle name="Comma 4 6 8 3 2" xfId="18861" xr:uid="{00000000-0005-0000-0000-0000F52E0000}"/>
    <cellStyle name="Comma 4 6 9" xfId="10734" xr:uid="{00000000-0005-0000-0000-0000F62E0000}"/>
    <cellStyle name="Comma 4 6 9 2" xfId="10735" xr:uid="{00000000-0005-0000-0000-0000F72E0000}"/>
    <cellStyle name="Comma 4 6 9 2 2" xfId="10736" xr:uid="{00000000-0005-0000-0000-0000F82E0000}"/>
    <cellStyle name="Comma 4 6 9 2 2 2" xfId="18862" xr:uid="{00000000-0005-0000-0000-0000F92E0000}"/>
    <cellStyle name="Comma 4 6 9 3" xfId="10737" xr:uid="{00000000-0005-0000-0000-0000FA2E0000}"/>
    <cellStyle name="Comma 4 6 9 3 2" xfId="18863" xr:uid="{00000000-0005-0000-0000-0000FB2E0000}"/>
    <cellStyle name="Comma 4 7" xfId="2051" xr:uid="{00000000-0005-0000-0000-0000FC2E0000}"/>
    <cellStyle name="Comma 4 7 10" xfId="26800" xr:uid="{00000000-0005-0000-0000-0000FD2E0000}"/>
    <cellStyle name="Comma 4 7 11" xfId="27304" xr:uid="{00000000-0005-0000-0000-0000FE2E0000}"/>
    <cellStyle name="Comma 4 7 12" xfId="27808" xr:uid="{00000000-0005-0000-0000-0000FF2E0000}"/>
    <cellStyle name="Comma 4 7 13" xfId="28312" xr:uid="{00000000-0005-0000-0000-0000002F0000}"/>
    <cellStyle name="Comma 4 7 14" xfId="28816" xr:uid="{00000000-0005-0000-0000-0000012F0000}"/>
    <cellStyle name="Comma 4 7 15" xfId="29320" xr:uid="{00000000-0005-0000-0000-0000022F0000}"/>
    <cellStyle name="Comma 4 7 16" xfId="29824" xr:uid="{00000000-0005-0000-0000-0000032F0000}"/>
    <cellStyle name="Comma 4 7 17" xfId="30328" xr:uid="{00000000-0005-0000-0000-0000042F0000}"/>
    <cellStyle name="Comma 4 7 18" xfId="30833" xr:uid="{00000000-0005-0000-0000-0000052F0000}"/>
    <cellStyle name="Comma 4 7 2" xfId="10738" xr:uid="{00000000-0005-0000-0000-0000062F0000}"/>
    <cellStyle name="Comma 4 7 2 2" xfId="10739" xr:uid="{00000000-0005-0000-0000-0000072F0000}"/>
    <cellStyle name="Comma 4 7 2 2 2" xfId="18864" xr:uid="{00000000-0005-0000-0000-0000082F0000}"/>
    <cellStyle name="Comma 4 7 3" xfId="10740" xr:uid="{00000000-0005-0000-0000-0000092F0000}"/>
    <cellStyle name="Comma 4 7 3 2" xfId="10741" xr:uid="{00000000-0005-0000-0000-00000A2F0000}"/>
    <cellStyle name="Comma 4 7 3 2 2" xfId="18865" xr:uid="{00000000-0005-0000-0000-00000B2F0000}"/>
    <cellStyle name="Comma 4 7 4" xfId="7183" xr:uid="{00000000-0005-0000-0000-00000C2F0000}"/>
    <cellStyle name="Comma 4 7 5" xfId="23639" xr:uid="{00000000-0005-0000-0000-00000D2F0000}"/>
    <cellStyle name="Comma 4 7 6" xfId="24784" xr:uid="{00000000-0005-0000-0000-00000E2F0000}"/>
    <cellStyle name="Comma 4 7 7" xfId="25288" xr:uid="{00000000-0005-0000-0000-00000F2F0000}"/>
    <cellStyle name="Comma 4 7 8" xfId="25792" xr:uid="{00000000-0005-0000-0000-0000102F0000}"/>
    <cellStyle name="Comma 4 7 9" xfId="26296" xr:uid="{00000000-0005-0000-0000-0000112F0000}"/>
    <cellStyle name="Comma 4 8" xfId="2052" xr:uid="{00000000-0005-0000-0000-0000122F0000}"/>
    <cellStyle name="Comma 4 8 10" xfId="26801" xr:uid="{00000000-0005-0000-0000-0000132F0000}"/>
    <cellStyle name="Comma 4 8 11" xfId="27305" xr:uid="{00000000-0005-0000-0000-0000142F0000}"/>
    <cellStyle name="Comma 4 8 12" xfId="27809" xr:uid="{00000000-0005-0000-0000-0000152F0000}"/>
    <cellStyle name="Comma 4 8 13" xfId="28313" xr:uid="{00000000-0005-0000-0000-0000162F0000}"/>
    <cellStyle name="Comma 4 8 14" xfId="28817" xr:uid="{00000000-0005-0000-0000-0000172F0000}"/>
    <cellStyle name="Comma 4 8 15" xfId="29321" xr:uid="{00000000-0005-0000-0000-0000182F0000}"/>
    <cellStyle name="Comma 4 8 16" xfId="29825" xr:uid="{00000000-0005-0000-0000-0000192F0000}"/>
    <cellStyle name="Comma 4 8 17" xfId="30329" xr:uid="{00000000-0005-0000-0000-00001A2F0000}"/>
    <cellStyle name="Comma 4 8 18" xfId="30834" xr:uid="{00000000-0005-0000-0000-00001B2F0000}"/>
    <cellStyle name="Comma 4 8 2" xfId="10742" xr:uid="{00000000-0005-0000-0000-00001C2F0000}"/>
    <cellStyle name="Comma 4 8 2 2" xfId="10743" xr:uid="{00000000-0005-0000-0000-00001D2F0000}"/>
    <cellStyle name="Comma 4 8 2 2 2" xfId="18866" xr:uid="{00000000-0005-0000-0000-00001E2F0000}"/>
    <cellStyle name="Comma 4 8 3" xfId="10744" xr:uid="{00000000-0005-0000-0000-00001F2F0000}"/>
    <cellStyle name="Comma 4 8 3 2" xfId="10745" xr:uid="{00000000-0005-0000-0000-0000202F0000}"/>
    <cellStyle name="Comma 4 8 3 2 2" xfId="18867" xr:uid="{00000000-0005-0000-0000-0000212F0000}"/>
    <cellStyle name="Comma 4 8 4" xfId="7184" xr:uid="{00000000-0005-0000-0000-0000222F0000}"/>
    <cellStyle name="Comma 4 8 5" xfId="23640" xr:uid="{00000000-0005-0000-0000-0000232F0000}"/>
    <cellStyle name="Comma 4 8 6" xfId="24785" xr:uid="{00000000-0005-0000-0000-0000242F0000}"/>
    <cellStyle name="Comma 4 8 7" xfId="25289" xr:uid="{00000000-0005-0000-0000-0000252F0000}"/>
    <cellStyle name="Comma 4 8 8" xfId="25793" xr:uid="{00000000-0005-0000-0000-0000262F0000}"/>
    <cellStyle name="Comma 4 8 9" xfId="26297" xr:uid="{00000000-0005-0000-0000-0000272F0000}"/>
    <cellStyle name="Comma 4 9" xfId="7298" xr:uid="{00000000-0005-0000-0000-0000282F0000}"/>
    <cellStyle name="Comma 4 9 10" xfId="27306" xr:uid="{00000000-0005-0000-0000-0000292F0000}"/>
    <cellStyle name="Comma 4 9 11" xfId="27810" xr:uid="{00000000-0005-0000-0000-00002A2F0000}"/>
    <cellStyle name="Comma 4 9 12" xfId="28314" xr:uid="{00000000-0005-0000-0000-00002B2F0000}"/>
    <cellStyle name="Comma 4 9 13" xfId="28818" xr:uid="{00000000-0005-0000-0000-00002C2F0000}"/>
    <cellStyle name="Comma 4 9 14" xfId="29322" xr:uid="{00000000-0005-0000-0000-00002D2F0000}"/>
    <cellStyle name="Comma 4 9 15" xfId="29826" xr:uid="{00000000-0005-0000-0000-00002E2F0000}"/>
    <cellStyle name="Comma 4 9 16" xfId="30330" xr:uid="{00000000-0005-0000-0000-00002F2F0000}"/>
    <cellStyle name="Comma 4 9 17" xfId="30835" xr:uid="{00000000-0005-0000-0000-0000302F0000}"/>
    <cellStyle name="Comma 4 9 2" xfId="10746" xr:uid="{00000000-0005-0000-0000-0000312F0000}"/>
    <cellStyle name="Comma 4 9 2 2" xfId="10747" xr:uid="{00000000-0005-0000-0000-0000322F0000}"/>
    <cellStyle name="Comma 4 9 2 2 2" xfId="18868" xr:uid="{00000000-0005-0000-0000-0000332F0000}"/>
    <cellStyle name="Comma 4 9 3" xfId="10748" xr:uid="{00000000-0005-0000-0000-0000342F0000}"/>
    <cellStyle name="Comma 4 9 3 2" xfId="18869" xr:uid="{00000000-0005-0000-0000-0000352F0000}"/>
    <cellStyle name="Comma 4 9 4" xfId="23641" xr:uid="{00000000-0005-0000-0000-0000362F0000}"/>
    <cellStyle name="Comma 4 9 5" xfId="24786" xr:uid="{00000000-0005-0000-0000-0000372F0000}"/>
    <cellStyle name="Comma 4 9 6" xfId="25290" xr:uid="{00000000-0005-0000-0000-0000382F0000}"/>
    <cellStyle name="Comma 4 9 7" xfId="25794" xr:uid="{00000000-0005-0000-0000-0000392F0000}"/>
    <cellStyle name="Comma 4 9 8" xfId="26298" xr:uid="{00000000-0005-0000-0000-00003A2F0000}"/>
    <cellStyle name="Comma 4 9 9" xfId="26802" xr:uid="{00000000-0005-0000-0000-00003B2F0000}"/>
    <cellStyle name="Comma 5" xfId="3285" xr:uid="{00000000-0005-0000-0000-00003C2F0000}"/>
    <cellStyle name="Comma 5 2" xfId="6871" xr:uid="{00000000-0005-0000-0000-00003D2F0000}"/>
    <cellStyle name="Comma 5 2 2" xfId="10750" xr:uid="{00000000-0005-0000-0000-00003E2F0000}"/>
    <cellStyle name="Comma 5 2 2 2" xfId="10751" xr:uid="{00000000-0005-0000-0000-00003F2F0000}"/>
    <cellStyle name="Comma 5 2 2 2 2" xfId="18870" xr:uid="{00000000-0005-0000-0000-0000402F0000}"/>
    <cellStyle name="Comma 5 2 3" xfId="10752" xr:uid="{00000000-0005-0000-0000-0000412F0000}"/>
    <cellStyle name="Comma 5 2 3 2" xfId="18871" xr:uid="{00000000-0005-0000-0000-0000422F0000}"/>
    <cellStyle name="Comma 5 2 4" xfId="10749" xr:uid="{00000000-0005-0000-0000-0000432F0000}"/>
    <cellStyle name="Comma 5 3" xfId="10753" xr:uid="{00000000-0005-0000-0000-0000442F0000}"/>
    <cellStyle name="Comma 5 3 2" xfId="10754" xr:uid="{00000000-0005-0000-0000-0000452F0000}"/>
    <cellStyle name="Comma 5 3 2 2" xfId="18872" xr:uid="{00000000-0005-0000-0000-0000462F0000}"/>
    <cellStyle name="Comma 5 4" xfId="10755" xr:uid="{00000000-0005-0000-0000-0000472F0000}"/>
    <cellStyle name="Comma 5 4 2" xfId="18873" xr:uid="{00000000-0005-0000-0000-0000482F0000}"/>
    <cellStyle name="Comma 5 5" xfId="10756" xr:uid="{00000000-0005-0000-0000-0000492F0000}"/>
    <cellStyle name="Comma 5 5 2" xfId="18874" xr:uid="{00000000-0005-0000-0000-00004A2F0000}"/>
    <cellStyle name="Comma 6" xfId="3286" xr:uid="{00000000-0005-0000-0000-00004B2F0000}"/>
    <cellStyle name="Comma 6 10" xfId="10758" xr:uid="{00000000-0005-0000-0000-00004C2F0000}"/>
    <cellStyle name="Comma 6 10 2" xfId="10759" xr:uid="{00000000-0005-0000-0000-00004D2F0000}"/>
    <cellStyle name="Comma 6 10 2 2" xfId="18876" xr:uid="{00000000-0005-0000-0000-00004E2F0000}"/>
    <cellStyle name="Comma 6 11" xfId="10760" xr:uid="{00000000-0005-0000-0000-00004F2F0000}"/>
    <cellStyle name="Comma 6 11 2" xfId="10761" xr:uid="{00000000-0005-0000-0000-0000502F0000}"/>
    <cellStyle name="Comma 6 11 2 2" xfId="18877" xr:uid="{00000000-0005-0000-0000-0000512F0000}"/>
    <cellStyle name="Comma 6 12" xfId="10762" xr:uid="{00000000-0005-0000-0000-0000522F0000}"/>
    <cellStyle name="Comma 6 12 2" xfId="10763" xr:uid="{00000000-0005-0000-0000-0000532F0000}"/>
    <cellStyle name="Comma 6 12 2 2" xfId="18878" xr:uid="{00000000-0005-0000-0000-0000542F0000}"/>
    <cellStyle name="Comma 6 13" xfId="10764" xr:uid="{00000000-0005-0000-0000-0000552F0000}"/>
    <cellStyle name="Comma 6 13 2" xfId="10765" xr:uid="{00000000-0005-0000-0000-0000562F0000}"/>
    <cellStyle name="Comma 6 13 2 2" xfId="18879" xr:uid="{00000000-0005-0000-0000-0000572F0000}"/>
    <cellStyle name="Comma 6 14" xfId="10766" xr:uid="{00000000-0005-0000-0000-0000582F0000}"/>
    <cellStyle name="Comma 6 14 2" xfId="10767" xr:uid="{00000000-0005-0000-0000-0000592F0000}"/>
    <cellStyle name="Comma 6 14 2 2" xfId="10768" xr:uid="{00000000-0005-0000-0000-00005A2F0000}"/>
    <cellStyle name="Comma 6 14 2 2 2" xfId="18880" xr:uid="{00000000-0005-0000-0000-00005B2F0000}"/>
    <cellStyle name="Comma 6 14 3" xfId="10769" xr:uid="{00000000-0005-0000-0000-00005C2F0000}"/>
    <cellStyle name="Comma 6 14 3 2" xfId="10770" xr:uid="{00000000-0005-0000-0000-00005D2F0000}"/>
    <cellStyle name="Comma 6 14 3 2 2" xfId="18881" xr:uid="{00000000-0005-0000-0000-00005E2F0000}"/>
    <cellStyle name="Comma 6 14 4" xfId="10771" xr:uid="{00000000-0005-0000-0000-00005F2F0000}"/>
    <cellStyle name="Comma 6 14 4 2" xfId="10772" xr:uid="{00000000-0005-0000-0000-0000602F0000}"/>
    <cellStyle name="Comma 6 14 4 2 2" xfId="18882" xr:uid="{00000000-0005-0000-0000-0000612F0000}"/>
    <cellStyle name="Comma 6 14 5" xfId="10773" xr:uid="{00000000-0005-0000-0000-0000622F0000}"/>
    <cellStyle name="Comma 6 14 5 2" xfId="10774" xr:uid="{00000000-0005-0000-0000-0000632F0000}"/>
    <cellStyle name="Comma 6 14 5 2 2" xfId="18883" xr:uid="{00000000-0005-0000-0000-0000642F0000}"/>
    <cellStyle name="Comma 6 14 6" xfId="10775" xr:uid="{00000000-0005-0000-0000-0000652F0000}"/>
    <cellStyle name="Comma 6 14 6 2" xfId="10776" xr:uid="{00000000-0005-0000-0000-0000662F0000}"/>
    <cellStyle name="Comma 6 14 6 2 2" xfId="18884" xr:uid="{00000000-0005-0000-0000-0000672F0000}"/>
    <cellStyle name="Comma 6 14 7" xfId="10777" xr:uid="{00000000-0005-0000-0000-0000682F0000}"/>
    <cellStyle name="Comma 6 14 7 2" xfId="10778" xr:uid="{00000000-0005-0000-0000-0000692F0000}"/>
    <cellStyle name="Comma 6 14 7 2 2" xfId="18885" xr:uid="{00000000-0005-0000-0000-00006A2F0000}"/>
    <cellStyle name="Comma 6 14 8" xfId="10779" xr:uid="{00000000-0005-0000-0000-00006B2F0000}"/>
    <cellStyle name="Comma 6 14 8 2" xfId="10780" xr:uid="{00000000-0005-0000-0000-00006C2F0000}"/>
    <cellStyle name="Comma 6 14 8 2 2" xfId="18886" xr:uid="{00000000-0005-0000-0000-00006D2F0000}"/>
    <cellStyle name="Comma 6 14 9" xfId="10781" xr:uid="{00000000-0005-0000-0000-00006E2F0000}"/>
    <cellStyle name="Comma 6 14 9 2" xfId="18887" xr:uid="{00000000-0005-0000-0000-00006F2F0000}"/>
    <cellStyle name="Comma 6 15" xfId="10782" xr:uid="{00000000-0005-0000-0000-0000702F0000}"/>
    <cellStyle name="Comma 6 15 2" xfId="18888" xr:uid="{00000000-0005-0000-0000-0000712F0000}"/>
    <cellStyle name="Comma 6 16" xfId="10783" xr:uid="{00000000-0005-0000-0000-0000722F0000}"/>
    <cellStyle name="Comma 6 16 2" xfId="18889" xr:uid="{00000000-0005-0000-0000-0000732F0000}"/>
    <cellStyle name="Comma 6 17" xfId="10784" xr:uid="{00000000-0005-0000-0000-0000742F0000}"/>
    <cellStyle name="Comma 6 17 2" xfId="18890" xr:uid="{00000000-0005-0000-0000-0000752F0000}"/>
    <cellStyle name="Comma 6 18" xfId="18875" xr:uid="{00000000-0005-0000-0000-0000762F0000}"/>
    <cellStyle name="Comma 6 19" xfId="10757" xr:uid="{00000000-0005-0000-0000-0000772F0000}"/>
    <cellStyle name="Comma 6 2" xfId="6872" xr:uid="{00000000-0005-0000-0000-0000782F0000}"/>
    <cellStyle name="Comma 6 2 10" xfId="26804" xr:uid="{00000000-0005-0000-0000-0000792F0000}"/>
    <cellStyle name="Comma 6 2 11" xfId="27308" xr:uid="{00000000-0005-0000-0000-00007A2F0000}"/>
    <cellStyle name="Comma 6 2 12" xfId="27812" xr:uid="{00000000-0005-0000-0000-00007B2F0000}"/>
    <cellStyle name="Comma 6 2 13" xfId="28316" xr:uid="{00000000-0005-0000-0000-00007C2F0000}"/>
    <cellStyle name="Comma 6 2 14" xfId="28820" xr:uid="{00000000-0005-0000-0000-00007D2F0000}"/>
    <cellStyle name="Comma 6 2 15" xfId="29324" xr:uid="{00000000-0005-0000-0000-00007E2F0000}"/>
    <cellStyle name="Comma 6 2 16" xfId="29828" xr:uid="{00000000-0005-0000-0000-00007F2F0000}"/>
    <cellStyle name="Comma 6 2 17" xfId="30332" xr:uid="{00000000-0005-0000-0000-0000802F0000}"/>
    <cellStyle name="Comma 6 2 18" xfId="30837" xr:uid="{00000000-0005-0000-0000-0000812F0000}"/>
    <cellStyle name="Comma 6 2 2" xfId="10786" xr:uid="{00000000-0005-0000-0000-0000822F0000}"/>
    <cellStyle name="Comma 6 2 2 2" xfId="10787" xr:uid="{00000000-0005-0000-0000-0000832F0000}"/>
    <cellStyle name="Comma 6 2 2 2 2" xfId="18892" xr:uid="{00000000-0005-0000-0000-0000842F0000}"/>
    <cellStyle name="Comma 6 2 2 3" xfId="18891" xr:uid="{00000000-0005-0000-0000-0000852F0000}"/>
    <cellStyle name="Comma 6 2 3" xfId="10788" xr:uid="{00000000-0005-0000-0000-0000862F0000}"/>
    <cellStyle name="Comma 6 2 3 2" xfId="18893" xr:uid="{00000000-0005-0000-0000-0000872F0000}"/>
    <cellStyle name="Comma 6 2 4" xfId="10785" xr:uid="{00000000-0005-0000-0000-0000882F0000}"/>
    <cellStyle name="Comma 6 2 5" xfId="23643" xr:uid="{00000000-0005-0000-0000-0000892F0000}"/>
    <cellStyle name="Comma 6 2 6" xfId="24788" xr:uid="{00000000-0005-0000-0000-00008A2F0000}"/>
    <cellStyle name="Comma 6 2 7" xfId="25292" xr:uid="{00000000-0005-0000-0000-00008B2F0000}"/>
    <cellStyle name="Comma 6 2 8" xfId="25796" xr:uid="{00000000-0005-0000-0000-00008C2F0000}"/>
    <cellStyle name="Comma 6 2 9" xfId="26300" xr:uid="{00000000-0005-0000-0000-00008D2F0000}"/>
    <cellStyle name="Comma 6 20" xfId="23642" xr:uid="{00000000-0005-0000-0000-00008E2F0000}"/>
    <cellStyle name="Comma 6 21" xfId="24787" xr:uid="{00000000-0005-0000-0000-00008F2F0000}"/>
    <cellStyle name="Comma 6 22" xfId="25291" xr:uid="{00000000-0005-0000-0000-0000902F0000}"/>
    <cellStyle name="Comma 6 23" xfId="25795" xr:uid="{00000000-0005-0000-0000-0000912F0000}"/>
    <cellStyle name="Comma 6 24" xfId="26299" xr:uid="{00000000-0005-0000-0000-0000922F0000}"/>
    <cellStyle name="Comma 6 25" xfId="26803" xr:uid="{00000000-0005-0000-0000-0000932F0000}"/>
    <cellStyle name="Comma 6 26" xfId="27307" xr:uid="{00000000-0005-0000-0000-0000942F0000}"/>
    <cellStyle name="Comma 6 27" xfId="27811" xr:uid="{00000000-0005-0000-0000-0000952F0000}"/>
    <cellStyle name="Comma 6 28" xfId="28315" xr:uid="{00000000-0005-0000-0000-0000962F0000}"/>
    <cellStyle name="Comma 6 29" xfId="28819" xr:uid="{00000000-0005-0000-0000-0000972F0000}"/>
    <cellStyle name="Comma 6 3" xfId="10789" xr:uid="{00000000-0005-0000-0000-0000982F0000}"/>
    <cellStyle name="Comma 6 3 10" xfId="10790" xr:uid="{00000000-0005-0000-0000-0000992F0000}"/>
    <cellStyle name="Comma 6 3 10 2" xfId="10791" xr:uid="{00000000-0005-0000-0000-00009A2F0000}"/>
    <cellStyle name="Comma 6 3 10 2 2" xfId="18894" xr:uid="{00000000-0005-0000-0000-00009B2F0000}"/>
    <cellStyle name="Comma 6 3 11" xfId="10792" xr:uid="{00000000-0005-0000-0000-00009C2F0000}"/>
    <cellStyle name="Comma 6 3 11 2" xfId="10793" xr:uid="{00000000-0005-0000-0000-00009D2F0000}"/>
    <cellStyle name="Comma 6 3 11 2 2" xfId="18895" xr:uid="{00000000-0005-0000-0000-00009E2F0000}"/>
    <cellStyle name="Comma 6 3 12" xfId="10794" xr:uid="{00000000-0005-0000-0000-00009F2F0000}"/>
    <cellStyle name="Comma 6 3 12 2" xfId="10795" xr:uid="{00000000-0005-0000-0000-0000A02F0000}"/>
    <cellStyle name="Comma 6 3 12 2 2" xfId="18896" xr:uid="{00000000-0005-0000-0000-0000A12F0000}"/>
    <cellStyle name="Comma 6 3 13" xfId="10796" xr:uid="{00000000-0005-0000-0000-0000A22F0000}"/>
    <cellStyle name="Comma 6 3 13 2" xfId="10797" xr:uid="{00000000-0005-0000-0000-0000A32F0000}"/>
    <cellStyle name="Comma 6 3 13 2 2" xfId="10798" xr:uid="{00000000-0005-0000-0000-0000A42F0000}"/>
    <cellStyle name="Comma 6 3 13 2 2 2" xfId="18897" xr:uid="{00000000-0005-0000-0000-0000A52F0000}"/>
    <cellStyle name="Comma 6 3 13 3" xfId="10799" xr:uid="{00000000-0005-0000-0000-0000A62F0000}"/>
    <cellStyle name="Comma 6 3 13 3 2" xfId="10800" xr:uid="{00000000-0005-0000-0000-0000A72F0000}"/>
    <cellStyle name="Comma 6 3 13 3 2 2" xfId="18898" xr:uid="{00000000-0005-0000-0000-0000A82F0000}"/>
    <cellStyle name="Comma 6 3 13 4" xfId="10801" xr:uid="{00000000-0005-0000-0000-0000A92F0000}"/>
    <cellStyle name="Comma 6 3 13 4 2" xfId="10802" xr:uid="{00000000-0005-0000-0000-0000AA2F0000}"/>
    <cellStyle name="Comma 6 3 13 4 2 2" xfId="18899" xr:uid="{00000000-0005-0000-0000-0000AB2F0000}"/>
    <cellStyle name="Comma 6 3 13 5" xfId="10803" xr:uid="{00000000-0005-0000-0000-0000AC2F0000}"/>
    <cellStyle name="Comma 6 3 13 5 2" xfId="10804" xr:uid="{00000000-0005-0000-0000-0000AD2F0000}"/>
    <cellStyle name="Comma 6 3 13 5 2 2" xfId="18900" xr:uid="{00000000-0005-0000-0000-0000AE2F0000}"/>
    <cellStyle name="Comma 6 3 13 6" xfId="10805" xr:uid="{00000000-0005-0000-0000-0000AF2F0000}"/>
    <cellStyle name="Comma 6 3 13 6 2" xfId="10806" xr:uid="{00000000-0005-0000-0000-0000B02F0000}"/>
    <cellStyle name="Comma 6 3 13 6 2 2" xfId="18901" xr:uid="{00000000-0005-0000-0000-0000B12F0000}"/>
    <cellStyle name="Comma 6 3 13 7" xfId="10807" xr:uid="{00000000-0005-0000-0000-0000B22F0000}"/>
    <cellStyle name="Comma 6 3 13 7 2" xfId="10808" xr:uid="{00000000-0005-0000-0000-0000B32F0000}"/>
    <cellStyle name="Comma 6 3 13 7 2 2" xfId="18902" xr:uid="{00000000-0005-0000-0000-0000B42F0000}"/>
    <cellStyle name="Comma 6 3 13 8" xfId="10809" xr:uid="{00000000-0005-0000-0000-0000B52F0000}"/>
    <cellStyle name="Comma 6 3 13 8 2" xfId="10810" xr:uid="{00000000-0005-0000-0000-0000B62F0000}"/>
    <cellStyle name="Comma 6 3 13 8 2 2" xfId="18903" xr:uid="{00000000-0005-0000-0000-0000B72F0000}"/>
    <cellStyle name="Comma 6 3 13 9" xfId="10811" xr:uid="{00000000-0005-0000-0000-0000B82F0000}"/>
    <cellStyle name="Comma 6 3 13 9 2" xfId="18904" xr:uid="{00000000-0005-0000-0000-0000B92F0000}"/>
    <cellStyle name="Comma 6 3 14" xfId="10812" xr:uid="{00000000-0005-0000-0000-0000BA2F0000}"/>
    <cellStyle name="Comma 6 3 14 2" xfId="18905" xr:uid="{00000000-0005-0000-0000-0000BB2F0000}"/>
    <cellStyle name="Comma 6 3 15" xfId="23644" xr:uid="{00000000-0005-0000-0000-0000BC2F0000}"/>
    <cellStyle name="Comma 6 3 16" xfId="24789" xr:uid="{00000000-0005-0000-0000-0000BD2F0000}"/>
    <cellStyle name="Comma 6 3 17" xfId="25293" xr:uid="{00000000-0005-0000-0000-0000BE2F0000}"/>
    <cellStyle name="Comma 6 3 18" xfId="25797" xr:uid="{00000000-0005-0000-0000-0000BF2F0000}"/>
    <cellStyle name="Comma 6 3 19" xfId="26301" xr:uid="{00000000-0005-0000-0000-0000C02F0000}"/>
    <cellStyle name="Comma 6 3 2" xfId="10813" xr:uid="{00000000-0005-0000-0000-0000C12F0000}"/>
    <cellStyle name="Comma 6 3 2 2" xfId="10814" xr:uid="{00000000-0005-0000-0000-0000C22F0000}"/>
    <cellStyle name="Comma 6 3 2 2 2" xfId="18907" xr:uid="{00000000-0005-0000-0000-0000C32F0000}"/>
    <cellStyle name="Comma 6 3 2 3" xfId="18906" xr:uid="{00000000-0005-0000-0000-0000C42F0000}"/>
    <cellStyle name="Comma 6 3 20" xfId="26805" xr:uid="{00000000-0005-0000-0000-0000C52F0000}"/>
    <cellStyle name="Comma 6 3 21" xfId="27309" xr:uid="{00000000-0005-0000-0000-0000C62F0000}"/>
    <cellStyle name="Comma 6 3 22" xfId="27813" xr:uid="{00000000-0005-0000-0000-0000C72F0000}"/>
    <cellStyle name="Comma 6 3 23" xfId="28317" xr:uid="{00000000-0005-0000-0000-0000C82F0000}"/>
    <cellStyle name="Comma 6 3 24" xfId="28821" xr:uid="{00000000-0005-0000-0000-0000C92F0000}"/>
    <cellStyle name="Comma 6 3 25" xfId="29325" xr:uid="{00000000-0005-0000-0000-0000CA2F0000}"/>
    <cellStyle name="Comma 6 3 26" xfId="29829" xr:uid="{00000000-0005-0000-0000-0000CB2F0000}"/>
    <cellStyle name="Comma 6 3 27" xfId="30333" xr:uid="{00000000-0005-0000-0000-0000CC2F0000}"/>
    <cellStyle name="Comma 6 3 28" xfId="30838" xr:uid="{00000000-0005-0000-0000-0000CD2F0000}"/>
    <cellStyle name="Comma 6 3 3" xfId="10815" xr:uid="{00000000-0005-0000-0000-0000CE2F0000}"/>
    <cellStyle name="Comma 6 3 3 2" xfId="10816" xr:uid="{00000000-0005-0000-0000-0000CF2F0000}"/>
    <cellStyle name="Comma 6 3 3 2 2" xfId="18908" xr:uid="{00000000-0005-0000-0000-0000D02F0000}"/>
    <cellStyle name="Comma 6 3 4" xfId="10817" xr:uid="{00000000-0005-0000-0000-0000D12F0000}"/>
    <cellStyle name="Comma 6 3 4 2" xfId="10818" xr:uid="{00000000-0005-0000-0000-0000D22F0000}"/>
    <cellStyle name="Comma 6 3 4 2 2" xfId="18909" xr:uid="{00000000-0005-0000-0000-0000D32F0000}"/>
    <cellStyle name="Comma 6 3 5" xfId="10819" xr:uid="{00000000-0005-0000-0000-0000D42F0000}"/>
    <cellStyle name="Comma 6 3 5 2" xfId="10820" xr:uid="{00000000-0005-0000-0000-0000D52F0000}"/>
    <cellStyle name="Comma 6 3 5 2 2" xfId="18910" xr:uid="{00000000-0005-0000-0000-0000D62F0000}"/>
    <cellStyle name="Comma 6 3 6" xfId="10821" xr:uid="{00000000-0005-0000-0000-0000D72F0000}"/>
    <cellStyle name="Comma 6 3 6 2" xfId="10822" xr:uid="{00000000-0005-0000-0000-0000D82F0000}"/>
    <cellStyle name="Comma 6 3 6 2 2" xfId="18911" xr:uid="{00000000-0005-0000-0000-0000D92F0000}"/>
    <cellStyle name="Comma 6 3 7" xfId="10823" xr:uid="{00000000-0005-0000-0000-0000DA2F0000}"/>
    <cellStyle name="Comma 6 3 7 2" xfId="10824" xr:uid="{00000000-0005-0000-0000-0000DB2F0000}"/>
    <cellStyle name="Comma 6 3 7 2 2" xfId="18912" xr:uid="{00000000-0005-0000-0000-0000DC2F0000}"/>
    <cellStyle name="Comma 6 3 8" xfId="10825" xr:uid="{00000000-0005-0000-0000-0000DD2F0000}"/>
    <cellStyle name="Comma 6 3 8 2" xfId="10826" xr:uid="{00000000-0005-0000-0000-0000DE2F0000}"/>
    <cellStyle name="Comma 6 3 8 3" xfId="18913" xr:uid="{00000000-0005-0000-0000-0000DF2F0000}"/>
    <cellStyle name="Comma 6 3 9" xfId="10827" xr:uid="{00000000-0005-0000-0000-0000E02F0000}"/>
    <cellStyle name="Comma 6 3 9 2" xfId="10828" xr:uid="{00000000-0005-0000-0000-0000E12F0000}"/>
    <cellStyle name="Comma 6 30" xfId="29323" xr:uid="{00000000-0005-0000-0000-0000E22F0000}"/>
    <cellStyle name="Comma 6 31" xfId="29827" xr:uid="{00000000-0005-0000-0000-0000E32F0000}"/>
    <cellStyle name="Comma 6 32" xfId="30331" xr:uid="{00000000-0005-0000-0000-0000E42F0000}"/>
    <cellStyle name="Comma 6 33" xfId="30836" xr:uid="{00000000-0005-0000-0000-0000E52F0000}"/>
    <cellStyle name="Comma 6 4" xfId="10829" xr:uid="{00000000-0005-0000-0000-0000E62F0000}"/>
    <cellStyle name="Comma 6 4 2" xfId="10830" xr:uid="{00000000-0005-0000-0000-0000E72F0000}"/>
    <cellStyle name="Comma 6 5" xfId="10831" xr:uid="{00000000-0005-0000-0000-0000E82F0000}"/>
    <cellStyle name="Comma 6 5 2" xfId="10832" xr:uid="{00000000-0005-0000-0000-0000E92F0000}"/>
    <cellStyle name="Comma 6 6" xfId="10833" xr:uid="{00000000-0005-0000-0000-0000EA2F0000}"/>
    <cellStyle name="Comma 6 6 2" xfId="10834" xr:uid="{00000000-0005-0000-0000-0000EB2F0000}"/>
    <cellStyle name="Comma 6 7" xfId="10835" xr:uid="{00000000-0005-0000-0000-0000EC2F0000}"/>
    <cellStyle name="Comma 6 7 2" xfId="10836" xr:uid="{00000000-0005-0000-0000-0000ED2F0000}"/>
    <cellStyle name="Comma 6 8" xfId="10837" xr:uid="{00000000-0005-0000-0000-0000EE2F0000}"/>
    <cellStyle name="Comma 6 8 2" xfId="10838" xr:uid="{00000000-0005-0000-0000-0000EF2F0000}"/>
    <cellStyle name="Comma 6 9" xfId="10839" xr:uid="{00000000-0005-0000-0000-0000F02F0000}"/>
    <cellStyle name="Comma 6 9 2" xfId="10840" xr:uid="{00000000-0005-0000-0000-0000F12F0000}"/>
    <cellStyle name="Comma_2002_octubre" xfId="154" xr:uid="{00000000-0005-0000-0000-0000F22F0000}"/>
    <cellStyle name="Comma0" xfId="155" xr:uid="{00000000-0005-0000-0000-0000F32F0000}"/>
    <cellStyle name="Comma0 2" xfId="10841" xr:uid="{00000000-0005-0000-0000-0000F42F0000}"/>
    <cellStyle name="Currency [0]_2002_octubre" xfId="156" xr:uid="{00000000-0005-0000-0000-0000F52F0000}"/>
    <cellStyle name="Currency_2002_octubre" xfId="157" xr:uid="{00000000-0005-0000-0000-0000F62F0000}"/>
    <cellStyle name="Currency0" xfId="158" xr:uid="{00000000-0005-0000-0000-0000F72F0000}"/>
    <cellStyle name="Currency0 2" xfId="10842" xr:uid="{00000000-0005-0000-0000-0000F82F0000}"/>
    <cellStyle name="Date" xfId="159" xr:uid="{00000000-0005-0000-0000-0000F92F0000}"/>
    <cellStyle name="Date 2" xfId="10843" xr:uid="{00000000-0005-0000-0000-0000FA2F0000}"/>
    <cellStyle name="dosmil" xfId="2053" xr:uid="{00000000-0005-0000-0000-0000FB2F0000}"/>
    <cellStyle name="dosmil 2" xfId="10845" xr:uid="{00000000-0005-0000-0000-0000FC2F0000}"/>
    <cellStyle name="dosmil 2 2" xfId="23645" xr:uid="{00000000-0005-0000-0000-0000FD2F0000}"/>
    <cellStyle name="dosmil 3" xfId="10846" xr:uid="{00000000-0005-0000-0000-0000FE2F0000}"/>
    <cellStyle name="dosmil 3 2" xfId="23646" xr:uid="{00000000-0005-0000-0000-0000FF2F0000}"/>
    <cellStyle name="dosmil 4" xfId="10847" xr:uid="{00000000-0005-0000-0000-000000300000}"/>
    <cellStyle name="dosmil 4 2" xfId="10848" xr:uid="{00000000-0005-0000-0000-000001300000}"/>
    <cellStyle name="dosmil 4 3" xfId="23647" xr:uid="{00000000-0005-0000-0000-000002300000}"/>
    <cellStyle name="dosmil 5" xfId="10849" xr:uid="{00000000-0005-0000-0000-000003300000}"/>
    <cellStyle name="dosmil 5 2" xfId="10850" xr:uid="{00000000-0005-0000-0000-000004300000}"/>
    <cellStyle name="dosmil 5 3" xfId="23648" xr:uid="{00000000-0005-0000-0000-000005300000}"/>
    <cellStyle name="dosmil 6" xfId="10844" xr:uid="{00000000-0005-0000-0000-000006300000}"/>
    <cellStyle name="Encabezado 1" xfId="345" builtinId="16" customBuiltin="1"/>
    <cellStyle name="Encabezado 1 2" xfId="7088" xr:uid="{00000000-0005-0000-0000-000008300000}"/>
    <cellStyle name="Encabezado 4" xfId="160" builtinId="19" customBuiltin="1"/>
    <cellStyle name="Encabezado 4 10" xfId="1177" xr:uid="{00000000-0005-0000-0000-00000A300000}"/>
    <cellStyle name="Encabezado 4 11" xfId="1394" xr:uid="{00000000-0005-0000-0000-00000B300000}"/>
    <cellStyle name="Encabezado 4 12" xfId="4897" xr:uid="{00000000-0005-0000-0000-00000C300000}"/>
    <cellStyle name="Encabezado 4 2" xfId="583" xr:uid="{00000000-0005-0000-0000-00000D300000}"/>
    <cellStyle name="Encabezado 4 2 2" xfId="2054" xr:uid="{00000000-0005-0000-0000-00000E300000}"/>
    <cellStyle name="Encabezado 4 2 2 2" xfId="3287" xr:uid="{00000000-0005-0000-0000-00000F300000}"/>
    <cellStyle name="Encabezado 4 2 2 2 2" xfId="10854" xr:uid="{00000000-0005-0000-0000-000010300000}"/>
    <cellStyle name="Encabezado 4 2 2 3" xfId="10855" xr:uid="{00000000-0005-0000-0000-000011300000}"/>
    <cellStyle name="Encabezado 4 2 2 4" xfId="10853" xr:uid="{00000000-0005-0000-0000-000012300000}"/>
    <cellStyle name="Encabezado 4 2 3" xfId="10856" xr:uid="{00000000-0005-0000-0000-000013300000}"/>
    <cellStyle name="Encabezado 4 2 3 2" xfId="22964" xr:uid="{00000000-0005-0000-0000-000014300000}"/>
    <cellStyle name="Encabezado 4 2 4" xfId="10852" xr:uid="{00000000-0005-0000-0000-000015300000}"/>
    <cellStyle name="Encabezado 4 3" xfId="582" xr:uid="{00000000-0005-0000-0000-000016300000}"/>
    <cellStyle name="Encabezado 4 3 2" xfId="2055" xr:uid="{00000000-0005-0000-0000-000017300000}"/>
    <cellStyle name="Encabezado 4 3 2 2" xfId="10858" xr:uid="{00000000-0005-0000-0000-000018300000}"/>
    <cellStyle name="Encabezado 4 3 3" xfId="2056" xr:uid="{00000000-0005-0000-0000-000019300000}"/>
    <cellStyle name="Encabezado 4 3 3 2" xfId="10859" xr:uid="{00000000-0005-0000-0000-00001A300000}"/>
    <cellStyle name="Encabezado 4 3 4" xfId="10860" xr:uid="{00000000-0005-0000-0000-00001B300000}"/>
    <cellStyle name="Encabezado 4 3 4 2" xfId="23649" xr:uid="{00000000-0005-0000-0000-00001C300000}"/>
    <cellStyle name="Encabezado 4 3 5" xfId="10861" xr:uid="{00000000-0005-0000-0000-00001D300000}"/>
    <cellStyle name="Encabezado 4 3 5 2" xfId="23650" xr:uid="{00000000-0005-0000-0000-00001E300000}"/>
    <cellStyle name="Encabezado 4 3 6" xfId="10857" xr:uid="{00000000-0005-0000-0000-00001F300000}"/>
    <cellStyle name="Encabezado 4 4" xfId="1178" xr:uid="{00000000-0005-0000-0000-000020300000}"/>
    <cellStyle name="Encabezado 4 4 2" xfId="2057" xr:uid="{00000000-0005-0000-0000-000021300000}"/>
    <cellStyle name="Encabezado 4 4 2 2" xfId="10863" xr:uid="{00000000-0005-0000-0000-000022300000}"/>
    <cellStyle name="Encabezado 4 4 3" xfId="10864" xr:uid="{00000000-0005-0000-0000-000023300000}"/>
    <cellStyle name="Encabezado 4 4 4" xfId="10862" xr:uid="{00000000-0005-0000-0000-000024300000}"/>
    <cellStyle name="Encabezado 4 5" xfId="1179" xr:uid="{00000000-0005-0000-0000-000025300000}"/>
    <cellStyle name="Encabezado 4 5 2" xfId="10866" xr:uid="{00000000-0005-0000-0000-000026300000}"/>
    <cellStyle name="Encabezado 4 5 3" xfId="10867" xr:uid="{00000000-0005-0000-0000-000027300000}"/>
    <cellStyle name="Encabezado 4 5 4" xfId="10865" xr:uid="{00000000-0005-0000-0000-000028300000}"/>
    <cellStyle name="Encabezado 4 6" xfId="1180" xr:uid="{00000000-0005-0000-0000-000029300000}"/>
    <cellStyle name="Encabezado 4 6 2" xfId="2058" xr:uid="{00000000-0005-0000-0000-00002A300000}"/>
    <cellStyle name="Encabezado 4 6 2 2" xfId="10869" xr:uid="{00000000-0005-0000-0000-00002B300000}"/>
    <cellStyle name="Encabezado 4 6 2 3" xfId="23651" xr:uid="{00000000-0005-0000-0000-00002C300000}"/>
    <cellStyle name="Encabezado 4 6 3" xfId="3865" xr:uid="{00000000-0005-0000-0000-00002D300000}"/>
    <cellStyle name="Encabezado 4 6 3 2" xfId="10870" xr:uid="{00000000-0005-0000-0000-00002E300000}"/>
    <cellStyle name="Encabezado 4 6 3 3" xfId="23652" xr:uid="{00000000-0005-0000-0000-00002F300000}"/>
    <cellStyle name="Encabezado 4 6 4" xfId="3288" xr:uid="{00000000-0005-0000-0000-000030300000}"/>
    <cellStyle name="Encabezado 4 6 4 2" xfId="10871" xr:uid="{00000000-0005-0000-0000-000031300000}"/>
    <cellStyle name="Encabezado 4 6 5" xfId="10868" xr:uid="{00000000-0005-0000-0000-000032300000}"/>
    <cellStyle name="Encabezado 4 7" xfId="1181" xr:uid="{00000000-0005-0000-0000-000033300000}"/>
    <cellStyle name="Encabezado 4 7 2" xfId="2059" xr:uid="{00000000-0005-0000-0000-000034300000}"/>
    <cellStyle name="Encabezado 4 7 2 2" xfId="10873" xr:uid="{00000000-0005-0000-0000-000035300000}"/>
    <cellStyle name="Encabezado 4 7 2 3" xfId="23653" xr:uid="{00000000-0005-0000-0000-000036300000}"/>
    <cellStyle name="Encabezado 4 7 3" xfId="3866" xr:uid="{00000000-0005-0000-0000-000037300000}"/>
    <cellStyle name="Encabezado 4 7 3 2" xfId="10872" xr:uid="{00000000-0005-0000-0000-000038300000}"/>
    <cellStyle name="Encabezado 4 7 3 3" xfId="23654" xr:uid="{00000000-0005-0000-0000-000039300000}"/>
    <cellStyle name="Encabezado 4 7 4" xfId="3289" xr:uid="{00000000-0005-0000-0000-00003A300000}"/>
    <cellStyle name="Encabezado 4 8" xfId="1182" xr:uid="{00000000-0005-0000-0000-00003B300000}"/>
    <cellStyle name="Encabezado 4 8 2" xfId="10874" xr:uid="{00000000-0005-0000-0000-00003C300000}"/>
    <cellStyle name="Encabezado 4 9" xfId="1183" xr:uid="{00000000-0005-0000-0000-00003D300000}"/>
    <cellStyle name="Encabezado 4 9 2" xfId="10851" xr:uid="{00000000-0005-0000-0000-00003E300000}"/>
    <cellStyle name="Encabezados de los periodos" xfId="32023" xr:uid="{D1B414C1-6A4B-4175-BD74-BDE1EF67D338}"/>
    <cellStyle name="Encabezados del proyecto" xfId="32022" xr:uid="{D2E4889C-04D4-4715-9E5E-40C53DA92481}"/>
    <cellStyle name="Énfasis1" xfId="161" builtinId="29" customBuiltin="1"/>
    <cellStyle name="Énfasis1 10" xfId="1185" xr:uid="{00000000-0005-0000-0000-000040300000}"/>
    <cellStyle name="Énfasis1 11" xfId="1184" xr:uid="{00000000-0005-0000-0000-000041300000}"/>
    <cellStyle name="Énfasis1 12" xfId="1395" xr:uid="{00000000-0005-0000-0000-000042300000}"/>
    <cellStyle name="Énfasis1 13" xfId="4898" xr:uid="{00000000-0005-0000-0000-000043300000}"/>
    <cellStyle name="Énfasis1 2" xfId="585" xr:uid="{00000000-0005-0000-0000-000044300000}"/>
    <cellStyle name="Énfasis1 2 2" xfId="2060" xr:uid="{00000000-0005-0000-0000-000045300000}"/>
    <cellStyle name="Énfasis1 2 2 2" xfId="3290" xr:uid="{00000000-0005-0000-0000-000046300000}"/>
    <cellStyle name="Énfasis1 2 2 2 2" xfId="10878" xr:uid="{00000000-0005-0000-0000-000047300000}"/>
    <cellStyle name="Énfasis1 2 2 3" xfId="10879" xr:uid="{00000000-0005-0000-0000-000048300000}"/>
    <cellStyle name="Énfasis1 2 2 4" xfId="10877" xr:uid="{00000000-0005-0000-0000-000049300000}"/>
    <cellStyle name="Énfasis1 2 3" xfId="10880" xr:uid="{00000000-0005-0000-0000-00004A300000}"/>
    <cellStyle name="Énfasis1 2 3 2" xfId="22965" xr:uid="{00000000-0005-0000-0000-00004B300000}"/>
    <cellStyle name="Énfasis1 2 4" xfId="10876" xr:uid="{00000000-0005-0000-0000-00004C300000}"/>
    <cellStyle name="Énfasis1 3" xfId="584" xr:uid="{00000000-0005-0000-0000-00004D300000}"/>
    <cellStyle name="Énfasis1 3 2" xfId="2061" xr:uid="{00000000-0005-0000-0000-00004E300000}"/>
    <cellStyle name="Énfasis1 3 2 2" xfId="10882" xr:uid="{00000000-0005-0000-0000-00004F300000}"/>
    <cellStyle name="Énfasis1 3 3" xfId="2062" xr:uid="{00000000-0005-0000-0000-000050300000}"/>
    <cellStyle name="Énfasis1 3 3 2" xfId="10883" xr:uid="{00000000-0005-0000-0000-000051300000}"/>
    <cellStyle name="Énfasis1 3 4" xfId="10884" xr:uid="{00000000-0005-0000-0000-000052300000}"/>
    <cellStyle name="Énfasis1 3 4 2" xfId="23655" xr:uid="{00000000-0005-0000-0000-000053300000}"/>
    <cellStyle name="Énfasis1 3 5" xfId="10885" xr:uid="{00000000-0005-0000-0000-000054300000}"/>
    <cellStyle name="Énfasis1 3 5 2" xfId="23656" xr:uid="{00000000-0005-0000-0000-000055300000}"/>
    <cellStyle name="Énfasis1 3 6" xfId="10881" xr:uid="{00000000-0005-0000-0000-000056300000}"/>
    <cellStyle name="Énfasis1 4" xfId="1186" xr:uid="{00000000-0005-0000-0000-000057300000}"/>
    <cellStyle name="Énfasis1 4 2" xfId="10887" xr:uid="{00000000-0005-0000-0000-000058300000}"/>
    <cellStyle name="Énfasis1 4 3" xfId="10888" xr:uid="{00000000-0005-0000-0000-000059300000}"/>
    <cellStyle name="Énfasis1 4 4" xfId="10889" xr:uid="{00000000-0005-0000-0000-00005A300000}"/>
    <cellStyle name="Énfasis1 4 5" xfId="10886" xr:uid="{00000000-0005-0000-0000-00005B300000}"/>
    <cellStyle name="Énfasis1 5" xfId="1187" xr:uid="{00000000-0005-0000-0000-00005C300000}"/>
    <cellStyle name="Énfasis1 5 2" xfId="2063" xr:uid="{00000000-0005-0000-0000-00005D300000}"/>
    <cellStyle name="Énfasis1 5 2 2" xfId="10891" xr:uid="{00000000-0005-0000-0000-00005E300000}"/>
    <cellStyle name="Énfasis1 5 2 3" xfId="23657" xr:uid="{00000000-0005-0000-0000-00005F300000}"/>
    <cellStyle name="Énfasis1 5 3" xfId="3867" xr:uid="{00000000-0005-0000-0000-000060300000}"/>
    <cellStyle name="Énfasis1 5 3 2" xfId="10892" xr:uid="{00000000-0005-0000-0000-000061300000}"/>
    <cellStyle name="Énfasis1 5 3 3" xfId="23658" xr:uid="{00000000-0005-0000-0000-000062300000}"/>
    <cellStyle name="Énfasis1 5 4" xfId="3291" xr:uid="{00000000-0005-0000-0000-000063300000}"/>
    <cellStyle name="Énfasis1 5 4 2" xfId="10893" xr:uid="{00000000-0005-0000-0000-000064300000}"/>
    <cellStyle name="Énfasis1 5 5" xfId="10890" xr:uid="{00000000-0005-0000-0000-000065300000}"/>
    <cellStyle name="Énfasis1 6" xfId="1188" xr:uid="{00000000-0005-0000-0000-000066300000}"/>
    <cellStyle name="Énfasis1 6 2" xfId="2064" xr:uid="{00000000-0005-0000-0000-000067300000}"/>
    <cellStyle name="Énfasis1 6 2 2" xfId="10895" xr:uid="{00000000-0005-0000-0000-000068300000}"/>
    <cellStyle name="Énfasis1 6 2 3" xfId="23659" xr:uid="{00000000-0005-0000-0000-000069300000}"/>
    <cellStyle name="Énfasis1 6 3" xfId="3868" xr:uid="{00000000-0005-0000-0000-00006A300000}"/>
    <cellStyle name="Énfasis1 6 3 2" xfId="10894" xr:uid="{00000000-0005-0000-0000-00006B300000}"/>
    <cellStyle name="Énfasis1 6 3 3" xfId="23660" xr:uid="{00000000-0005-0000-0000-00006C300000}"/>
    <cellStyle name="Énfasis1 6 4" xfId="3292" xr:uid="{00000000-0005-0000-0000-00006D300000}"/>
    <cellStyle name="Énfasis1 7" xfId="1189" xr:uid="{00000000-0005-0000-0000-00006E300000}"/>
    <cellStyle name="Énfasis1 7 2" xfId="10896" xr:uid="{00000000-0005-0000-0000-00006F300000}"/>
    <cellStyle name="Énfasis1 8" xfId="1190" xr:uid="{00000000-0005-0000-0000-000070300000}"/>
    <cellStyle name="Énfasis1 8 2" xfId="10875" xr:uid="{00000000-0005-0000-0000-000071300000}"/>
    <cellStyle name="Énfasis1 9" xfId="1191" xr:uid="{00000000-0005-0000-0000-000072300000}"/>
    <cellStyle name="Énfasis2" xfId="162" builtinId="33" customBuiltin="1"/>
    <cellStyle name="Énfasis2 10" xfId="1193" xr:uid="{00000000-0005-0000-0000-000074300000}"/>
    <cellStyle name="Énfasis2 11" xfId="1192" xr:uid="{00000000-0005-0000-0000-000075300000}"/>
    <cellStyle name="Énfasis2 12" xfId="1396" xr:uid="{00000000-0005-0000-0000-000076300000}"/>
    <cellStyle name="Énfasis2 13" xfId="4899" xr:uid="{00000000-0005-0000-0000-000077300000}"/>
    <cellStyle name="Énfasis2 2" xfId="587" xr:uid="{00000000-0005-0000-0000-000078300000}"/>
    <cellStyle name="Énfasis2 2 2" xfId="2065" xr:uid="{00000000-0005-0000-0000-000079300000}"/>
    <cellStyle name="Énfasis2 2 2 2" xfId="3293" xr:uid="{00000000-0005-0000-0000-00007A300000}"/>
    <cellStyle name="Énfasis2 2 2 2 2" xfId="10901" xr:uid="{00000000-0005-0000-0000-00007B300000}"/>
    <cellStyle name="Énfasis2 2 2 2 3" xfId="10900" xr:uid="{00000000-0005-0000-0000-00007C300000}"/>
    <cellStyle name="Énfasis2 2 2 3" xfId="10902" xr:uid="{00000000-0005-0000-0000-00007D300000}"/>
    <cellStyle name="Énfasis2 2 2 4" xfId="10903" xr:uid="{00000000-0005-0000-0000-00007E300000}"/>
    <cellStyle name="Énfasis2 2 2 5" xfId="10899" xr:uid="{00000000-0005-0000-0000-00007F300000}"/>
    <cellStyle name="Énfasis2 2 3" xfId="10904" xr:uid="{00000000-0005-0000-0000-000080300000}"/>
    <cellStyle name="Énfasis2 2 3 2" xfId="22966" xr:uid="{00000000-0005-0000-0000-000081300000}"/>
    <cellStyle name="Énfasis2 2 4" xfId="10905" xr:uid="{00000000-0005-0000-0000-000082300000}"/>
    <cellStyle name="Énfasis2 2 5" xfId="10898" xr:uid="{00000000-0005-0000-0000-000083300000}"/>
    <cellStyle name="Énfasis2 3" xfId="586" xr:uid="{00000000-0005-0000-0000-000084300000}"/>
    <cellStyle name="Énfasis2 3 2" xfId="2066" xr:uid="{00000000-0005-0000-0000-000085300000}"/>
    <cellStyle name="Énfasis2 3 2 2" xfId="10908" xr:uid="{00000000-0005-0000-0000-000086300000}"/>
    <cellStyle name="Énfasis2 3 2 3" xfId="10907" xr:uid="{00000000-0005-0000-0000-000087300000}"/>
    <cellStyle name="Énfasis2 3 3" xfId="2067" xr:uid="{00000000-0005-0000-0000-000088300000}"/>
    <cellStyle name="Énfasis2 3 3 2" xfId="10910" xr:uid="{00000000-0005-0000-0000-000089300000}"/>
    <cellStyle name="Énfasis2 3 3 3" xfId="10909" xr:uid="{00000000-0005-0000-0000-00008A300000}"/>
    <cellStyle name="Énfasis2 3 4" xfId="10911" xr:uid="{00000000-0005-0000-0000-00008B300000}"/>
    <cellStyle name="Énfasis2 3 5" xfId="10912" xr:uid="{00000000-0005-0000-0000-00008C300000}"/>
    <cellStyle name="Énfasis2 3 6" xfId="10906" xr:uid="{00000000-0005-0000-0000-00008D300000}"/>
    <cellStyle name="Énfasis2 4" xfId="1194" xr:uid="{00000000-0005-0000-0000-00008E300000}"/>
    <cellStyle name="Énfasis2 4 2" xfId="10914" xr:uid="{00000000-0005-0000-0000-00008F300000}"/>
    <cellStyle name="Énfasis2 4 3" xfId="10915" xr:uid="{00000000-0005-0000-0000-000090300000}"/>
    <cellStyle name="Énfasis2 4 4" xfId="10916" xr:uid="{00000000-0005-0000-0000-000091300000}"/>
    <cellStyle name="Énfasis2 4 5" xfId="10913" xr:uid="{00000000-0005-0000-0000-000092300000}"/>
    <cellStyle name="Énfasis2 5" xfId="1195" xr:uid="{00000000-0005-0000-0000-000093300000}"/>
    <cellStyle name="Énfasis2 5 2" xfId="2068" xr:uid="{00000000-0005-0000-0000-000094300000}"/>
    <cellStyle name="Énfasis2 5 2 2" xfId="10918" xr:uid="{00000000-0005-0000-0000-000095300000}"/>
    <cellStyle name="Énfasis2 5 2 3" xfId="23661" xr:uid="{00000000-0005-0000-0000-000096300000}"/>
    <cellStyle name="Énfasis2 5 3" xfId="3869" xr:uid="{00000000-0005-0000-0000-000097300000}"/>
    <cellStyle name="Énfasis2 5 3 2" xfId="10919" xr:uid="{00000000-0005-0000-0000-000098300000}"/>
    <cellStyle name="Énfasis2 5 3 3" xfId="23662" xr:uid="{00000000-0005-0000-0000-000099300000}"/>
    <cellStyle name="Énfasis2 5 4" xfId="3294" xr:uid="{00000000-0005-0000-0000-00009A300000}"/>
    <cellStyle name="Énfasis2 5 4 2" xfId="10920" xr:uid="{00000000-0005-0000-0000-00009B300000}"/>
    <cellStyle name="Énfasis2 5 5" xfId="10917" xr:uid="{00000000-0005-0000-0000-00009C300000}"/>
    <cellStyle name="Énfasis2 6" xfId="1196" xr:uid="{00000000-0005-0000-0000-00009D300000}"/>
    <cellStyle name="Énfasis2 6 2" xfId="2069" xr:uid="{00000000-0005-0000-0000-00009E300000}"/>
    <cellStyle name="Énfasis2 6 2 2" xfId="10922" xr:uid="{00000000-0005-0000-0000-00009F300000}"/>
    <cellStyle name="Énfasis2 6 2 3" xfId="23663" xr:uid="{00000000-0005-0000-0000-0000A0300000}"/>
    <cellStyle name="Énfasis2 6 3" xfId="3870" xr:uid="{00000000-0005-0000-0000-0000A1300000}"/>
    <cellStyle name="Énfasis2 6 3 2" xfId="10921" xr:uid="{00000000-0005-0000-0000-0000A2300000}"/>
    <cellStyle name="Énfasis2 6 3 3" xfId="23664" xr:uid="{00000000-0005-0000-0000-0000A3300000}"/>
    <cellStyle name="Énfasis2 6 4" xfId="3295" xr:uid="{00000000-0005-0000-0000-0000A4300000}"/>
    <cellStyle name="Énfasis2 7" xfId="1197" xr:uid="{00000000-0005-0000-0000-0000A5300000}"/>
    <cellStyle name="Énfasis2 7 2" xfId="10923" xr:uid="{00000000-0005-0000-0000-0000A6300000}"/>
    <cellStyle name="Énfasis2 8" xfId="1198" xr:uid="{00000000-0005-0000-0000-0000A7300000}"/>
    <cellStyle name="Énfasis2 8 2" xfId="10924" xr:uid="{00000000-0005-0000-0000-0000A8300000}"/>
    <cellStyle name="Énfasis2 9" xfId="1199" xr:uid="{00000000-0005-0000-0000-0000A9300000}"/>
    <cellStyle name="Énfasis2 9 2" xfId="10897" xr:uid="{00000000-0005-0000-0000-0000AA300000}"/>
    <cellStyle name="Énfasis3" xfId="163" builtinId="37" customBuiltin="1"/>
    <cellStyle name="Énfasis3 10" xfId="1201" xr:uid="{00000000-0005-0000-0000-0000AC300000}"/>
    <cellStyle name="Énfasis3 11" xfId="1200" xr:uid="{00000000-0005-0000-0000-0000AD300000}"/>
    <cellStyle name="Énfasis3 12" xfId="1397" xr:uid="{00000000-0005-0000-0000-0000AE300000}"/>
    <cellStyle name="Énfasis3 13" xfId="4900" xr:uid="{00000000-0005-0000-0000-0000AF300000}"/>
    <cellStyle name="Énfasis3 2" xfId="589" xr:uid="{00000000-0005-0000-0000-0000B0300000}"/>
    <cellStyle name="Énfasis3 2 2" xfId="2070" xr:uid="{00000000-0005-0000-0000-0000B1300000}"/>
    <cellStyle name="Énfasis3 2 2 2" xfId="3296" xr:uid="{00000000-0005-0000-0000-0000B2300000}"/>
    <cellStyle name="Énfasis3 2 2 2 2" xfId="10929" xr:uid="{00000000-0005-0000-0000-0000B3300000}"/>
    <cellStyle name="Énfasis3 2 2 2 3" xfId="10928" xr:uid="{00000000-0005-0000-0000-0000B4300000}"/>
    <cellStyle name="Énfasis3 2 2 3" xfId="10930" xr:uid="{00000000-0005-0000-0000-0000B5300000}"/>
    <cellStyle name="Énfasis3 2 2 4" xfId="10931" xr:uid="{00000000-0005-0000-0000-0000B6300000}"/>
    <cellStyle name="Énfasis3 2 2 5" xfId="10927" xr:uid="{00000000-0005-0000-0000-0000B7300000}"/>
    <cellStyle name="Énfasis3 2 3" xfId="10932" xr:uid="{00000000-0005-0000-0000-0000B8300000}"/>
    <cellStyle name="Énfasis3 2 3 2" xfId="22967" xr:uid="{00000000-0005-0000-0000-0000B9300000}"/>
    <cellStyle name="Énfasis3 2 4" xfId="10933" xr:uid="{00000000-0005-0000-0000-0000BA300000}"/>
    <cellStyle name="Énfasis3 2 5" xfId="10926" xr:uid="{00000000-0005-0000-0000-0000BB300000}"/>
    <cellStyle name="Énfasis3 3" xfId="588" xr:uid="{00000000-0005-0000-0000-0000BC300000}"/>
    <cellStyle name="Énfasis3 3 2" xfId="2071" xr:uid="{00000000-0005-0000-0000-0000BD300000}"/>
    <cellStyle name="Énfasis3 3 2 2" xfId="10936" xr:uid="{00000000-0005-0000-0000-0000BE300000}"/>
    <cellStyle name="Énfasis3 3 2 3" xfId="10935" xr:uid="{00000000-0005-0000-0000-0000BF300000}"/>
    <cellStyle name="Énfasis3 3 3" xfId="2072" xr:uid="{00000000-0005-0000-0000-0000C0300000}"/>
    <cellStyle name="Énfasis3 3 3 2" xfId="10938" xr:uid="{00000000-0005-0000-0000-0000C1300000}"/>
    <cellStyle name="Énfasis3 3 3 3" xfId="10937" xr:uid="{00000000-0005-0000-0000-0000C2300000}"/>
    <cellStyle name="Énfasis3 3 4" xfId="10939" xr:uid="{00000000-0005-0000-0000-0000C3300000}"/>
    <cellStyle name="Énfasis3 3 5" xfId="10940" xr:uid="{00000000-0005-0000-0000-0000C4300000}"/>
    <cellStyle name="Énfasis3 3 6" xfId="10934" xr:uid="{00000000-0005-0000-0000-0000C5300000}"/>
    <cellStyle name="Énfasis3 4" xfId="1202" xr:uid="{00000000-0005-0000-0000-0000C6300000}"/>
    <cellStyle name="Énfasis3 4 2" xfId="10942" xr:uid="{00000000-0005-0000-0000-0000C7300000}"/>
    <cellStyle name="Énfasis3 4 3" xfId="10943" xr:uid="{00000000-0005-0000-0000-0000C8300000}"/>
    <cellStyle name="Énfasis3 4 4" xfId="10944" xr:uid="{00000000-0005-0000-0000-0000C9300000}"/>
    <cellStyle name="Énfasis3 4 5" xfId="10941" xr:uid="{00000000-0005-0000-0000-0000CA300000}"/>
    <cellStyle name="Énfasis3 5" xfId="1203" xr:uid="{00000000-0005-0000-0000-0000CB300000}"/>
    <cellStyle name="Énfasis3 5 2" xfId="2073" xr:uid="{00000000-0005-0000-0000-0000CC300000}"/>
    <cellStyle name="Énfasis3 5 2 2" xfId="10946" xr:uid="{00000000-0005-0000-0000-0000CD300000}"/>
    <cellStyle name="Énfasis3 5 2 3" xfId="23665" xr:uid="{00000000-0005-0000-0000-0000CE300000}"/>
    <cellStyle name="Énfasis3 5 3" xfId="3871" xr:uid="{00000000-0005-0000-0000-0000CF300000}"/>
    <cellStyle name="Énfasis3 5 3 2" xfId="10947" xr:uid="{00000000-0005-0000-0000-0000D0300000}"/>
    <cellStyle name="Énfasis3 5 3 3" xfId="23666" xr:uid="{00000000-0005-0000-0000-0000D1300000}"/>
    <cellStyle name="Énfasis3 5 4" xfId="3297" xr:uid="{00000000-0005-0000-0000-0000D2300000}"/>
    <cellStyle name="Énfasis3 5 4 2" xfId="10948" xr:uid="{00000000-0005-0000-0000-0000D3300000}"/>
    <cellStyle name="Énfasis3 5 5" xfId="10945" xr:uid="{00000000-0005-0000-0000-0000D4300000}"/>
    <cellStyle name="Énfasis3 6" xfId="1204" xr:uid="{00000000-0005-0000-0000-0000D5300000}"/>
    <cellStyle name="Énfasis3 6 2" xfId="2074" xr:uid="{00000000-0005-0000-0000-0000D6300000}"/>
    <cellStyle name="Énfasis3 6 2 2" xfId="10950" xr:uid="{00000000-0005-0000-0000-0000D7300000}"/>
    <cellStyle name="Énfasis3 6 2 3" xfId="23667" xr:uid="{00000000-0005-0000-0000-0000D8300000}"/>
    <cellStyle name="Énfasis3 6 3" xfId="3872" xr:uid="{00000000-0005-0000-0000-0000D9300000}"/>
    <cellStyle name="Énfasis3 6 3 2" xfId="10949" xr:uid="{00000000-0005-0000-0000-0000DA300000}"/>
    <cellStyle name="Énfasis3 6 3 3" xfId="23668" xr:uid="{00000000-0005-0000-0000-0000DB300000}"/>
    <cellStyle name="Énfasis3 6 4" xfId="3298" xr:uid="{00000000-0005-0000-0000-0000DC300000}"/>
    <cellStyle name="Énfasis3 7" xfId="1205" xr:uid="{00000000-0005-0000-0000-0000DD300000}"/>
    <cellStyle name="Énfasis3 7 2" xfId="10951" xr:uid="{00000000-0005-0000-0000-0000DE300000}"/>
    <cellStyle name="Énfasis3 8" xfId="1206" xr:uid="{00000000-0005-0000-0000-0000DF300000}"/>
    <cellStyle name="Énfasis3 8 2" xfId="10952" xr:uid="{00000000-0005-0000-0000-0000E0300000}"/>
    <cellStyle name="Énfasis3 9" xfId="1207" xr:uid="{00000000-0005-0000-0000-0000E1300000}"/>
    <cellStyle name="Énfasis3 9 2" xfId="10925" xr:uid="{00000000-0005-0000-0000-0000E2300000}"/>
    <cellStyle name="Énfasis4" xfId="164" builtinId="41" customBuiltin="1"/>
    <cellStyle name="Énfasis4 10" xfId="1209" xr:uid="{00000000-0005-0000-0000-0000E4300000}"/>
    <cellStyle name="Énfasis4 11" xfId="1208" xr:uid="{00000000-0005-0000-0000-0000E5300000}"/>
    <cellStyle name="Énfasis4 12" xfId="1398" xr:uid="{00000000-0005-0000-0000-0000E6300000}"/>
    <cellStyle name="Énfasis4 13" xfId="4901" xr:uid="{00000000-0005-0000-0000-0000E7300000}"/>
    <cellStyle name="Énfasis4 2" xfId="591" xr:uid="{00000000-0005-0000-0000-0000E8300000}"/>
    <cellStyle name="Énfasis4 2 2" xfId="2075" xr:uid="{00000000-0005-0000-0000-0000E9300000}"/>
    <cellStyle name="Énfasis4 2 2 2" xfId="3299" xr:uid="{00000000-0005-0000-0000-0000EA300000}"/>
    <cellStyle name="Énfasis4 2 2 2 2" xfId="10957" xr:uid="{00000000-0005-0000-0000-0000EB300000}"/>
    <cellStyle name="Énfasis4 2 2 2 3" xfId="10956" xr:uid="{00000000-0005-0000-0000-0000EC300000}"/>
    <cellStyle name="Énfasis4 2 2 3" xfId="10958" xr:uid="{00000000-0005-0000-0000-0000ED300000}"/>
    <cellStyle name="Énfasis4 2 2 4" xfId="10959" xr:uid="{00000000-0005-0000-0000-0000EE300000}"/>
    <cellStyle name="Énfasis4 2 2 5" xfId="10955" xr:uid="{00000000-0005-0000-0000-0000EF300000}"/>
    <cellStyle name="Énfasis4 2 3" xfId="10960" xr:uid="{00000000-0005-0000-0000-0000F0300000}"/>
    <cellStyle name="Énfasis4 2 3 2" xfId="22968" xr:uid="{00000000-0005-0000-0000-0000F1300000}"/>
    <cellStyle name="Énfasis4 2 4" xfId="10961" xr:uid="{00000000-0005-0000-0000-0000F2300000}"/>
    <cellStyle name="Énfasis4 2 5" xfId="10954" xr:uid="{00000000-0005-0000-0000-0000F3300000}"/>
    <cellStyle name="Énfasis4 3" xfId="590" xr:uid="{00000000-0005-0000-0000-0000F4300000}"/>
    <cellStyle name="Énfasis4 3 2" xfId="2076" xr:uid="{00000000-0005-0000-0000-0000F5300000}"/>
    <cellStyle name="Énfasis4 3 2 2" xfId="10964" xr:uid="{00000000-0005-0000-0000-0000F6300000}"/>
    <cellStyle name="Énfasis4 3 2 3" xfId="10963" xr:uid="{00000000-0005-0000-0000-0000F7300000}"/>
    <cellStyle name="Énfasis4 3 3" xfId="2077" xr:uid="{00000000-0005-0000-0000-0000F8300000}"/>
    <cellStyle name="Énfasis4 3 3 2" xfId="10966" xr:uid="{00000000-0005-0000-0000-0000F9300000}"/>
    <cellStyle name="Énfasis4 3 3 3" xfId="10965" xr:uid="{00000000-0005-0000-0000-0000FA300000}"/>
    <cellStyle name="Énfasis4 3 4" xfId="10967" xr:uid="{00000000-0005-0000-0000-0000FB300000}"/>
    <cellStyle name="Énfasis4 3 4 2" xfId="23669" xr:uid="{00000000-0005-0000-0000-0000FC300000}"/>
    <cellStyle name="Énfasis4 3 5" xfId="10968" xr:uid="{00000000-0005-0000-0000-0000FD300000}"/>
    <cellStyle name="Énfasis4 3 5 2" xfId="23670" xr:uid="{00000000-0005-0000-0000-0000FE300000}"/>
    <cellStyle name="Énfasis4 3 6" xfId="10969" xr:uid="{00000000-0005-0000-0000-0000FF300000}"/>
    <cellStyle name="Énfasis4 3 7" xfId="10962" xr:uid="{00000000-0005-0000-0000-000000310000}"/>
    <cellStyle name="Énfasis4 4" xfId="1210" xr:uid="{00000000-0005-0000-0000-000001310000}"/>
    <cellStyle name="Énfasis4 4 2" xfId="10971" xr:uid="{00000000-0005-0000-0000-000002310000}"/>
    <cellStyle name="Énfasis4 4 3" xfId="10972" xr:uid="{00000000-0005-0000-0000-000003310000}"/>
    <cellStyle name="Énfasis4 4 4" xfId="10973" xr:uid="{00000000-0005-0000-0000-000004310000}"/>
    <cellStyle name="Énfasis4 4 5" xfId="10974" xr:uid="{00000000-0005-0000-0000-000005310000}"/>
    <cellStyle name="Énfasis4 4 6" xfId="10970" xr:uid="{00000000-0005-0000-0000-000006310000}"/>
    <cellStyle name="Énfasis4 5" xfId="1211" xr:uid="{00000000-0005-0000-0000-000007310000}"/>
    <cellStyle name="Énfasis4 5 2" xfId="2078" xr:uid="{00000000-0005-0000-0000-000008310000}"/>
    <cellStyle name="Énfasis4 5 2 2" xfId="10976" xr:uid="{00000000-0005-0000-0000-000009310000}"/>
    <cellStyle name="Énfasis4 5 2 3" xfId="23671" xr:uid="{00000000-0005-0000-0000-00000A310000}"/>
    <cellStyle name="Énfasis4 5 3" xfId="3873" xr:uid="{00000000-0005-0000-0000-00000B310000}"/>
    <cellStyle name="Énfasis4 5 3 2" xfId="10977" xr:uid="{00000000-0005-0000-0000-00000C310000}"/>
    <cellStyle name="Énfasis4 5 3 3" xfId="23672" xr:uid="{00000000-0005-0000-0000-00000D310000}"/>
    <cellStyle name="Énfasis4 5 4" xfId="3300" xr:uid="{00000000-0005-0000-0000-00000E310000}"/>
    <cellStyle name="Énfasis4 5 4 2" xfId="10978" xr:uid="{00000000-0005-0000-0000-00000F310000}"/>
    <cellStyle name="Énfasis4 5 5" xfId="10975" xr:uid="{00000000-0005-0000-0000-000010310000}"/>
    <cellStyle name="Énfasis4 6" xfId="1212" xr:uid="{00000000-0005-0000-0000-000011310000}"/>
    <cellStyle name="Énfasis4 6 2" xfId="2079" xr:uid="{00000000-0005-0000-0000-000012310000}"/>
    <cellStyle name="Énfasis4 6 2 2" xfId="10980" xr:uid="{00000000-0005-0000-0000-000013310000}"/>
    <cellStyle name="Énfasis4 6 2 3" xfId="23673" xr:uid="{00000000-0005-0000-0000-000014310000}"/>
    <cellStyle name="Énfasis4 6 3" xfId="3874" xr:uid="{00000000-0005-0000-0000-000015310000}"/>
    <cellStyle name="Énfasis4 6 3 2" xfId="10979" xr:uid="{00000000-0005-0000-0000-000016310000}"/>
    <cellStyle name="Énfasis4 6 3 3" xfId="23674" xr:uid="{00000000-0005-0000-0000-000017310000}"/>
    <cellStyle name="Énfasis4 6 4" xfId="3301" xr:uid="{00000000-0005-0000-0000-000018310000}"/>
    <cellStyle name="Énfasis4 7" xfId="1213" xr:uid="{00000000-0005-0000-0000-000019310000}"/>
    <cellStyle name="Énfasis4 7 2" xfId="10981" xr:uid="{00000000-0005-0000-0000-00001A310000}"/>
    <cellStyle name="Énfasis4 8" xfId="1214" xr:uid="{00000000-0005-0000-0000-00001B310000}"/>
    <cellStyle name="Énfasis4 8 2" xfId="10982" xr:uid="{00000000-0005-0000-0000-00001C310000}"/>
    <cellStyle name="Énfasis4 9" xfId="1215" xr:uid="{00000000-0005-0000-0000-00001D310000}"/>
    <cellStyle name="Énfasis4 9 2" xfId="10953" xr:uid="{00000000-0005-0000-0000-00001E310000}"/>
    <cellStyle name="Énfasis5" xfId="165" builtinId="45" customBuiltin="1"/>
    <cellStyle name="Énfasis5 10" xfId="1217" xr:uid="{00000000-0005-0000-0000-000020310000}"/>
    <cellStyle name="Énfasis5 10 2" xfId="10983" xr:uid="{00000000-0005-0000-0000-000021310000}"/>
    <cellStyle name="Énfasis5 11" xfId="1216" xr:uid="{00000000-0005-0000-0000-000022310000}"/>
    <cellStyle name="Énfasis5 12" xfId="1399" xr:uid="{00000000-0005-0000-0000-000023310000}"/>
    <cellStyle name="Énfasis5 13" xfId="4902" xr:uid="{00000000-0005-0000-0000-000024310000}"/>
    <cellStyle name="Énfasis5 2" xfId="593" xr:uid="{00000000-0005-0000-0000-000025310000}"/>
    <cellStyle name="Énfasis5 2 2" xfId="2080" xr:uid="{00000000-0005-0000-0000-000026310000}"/>
    <cellStyle name="Énfasis5 2 2 2" xfId="3302" xr:uid="{00000000-0005-0000-0000-000027310000}"/>
    <cellStyle name="Énfasis5 2 2 2 2" xfId="10987" xr:uid="{00000000-0005-0000-0000-000028310000}"/>
    <cellStyle name="Énfasis5 2 2 2 3" xfId="10986" xr:uid="{00000000-0005-0000-0000-000029310000}"/>
    <cellStyle name="Énfasis5 2 2 3" xfId="10988" xr:uid="{00000000-0005-0000-0000-00002A310000}"/>
    <cellStyle name="Énfasis5 2 2 4" xfId="10989" xr:uid="{00000000-0005-0000-0000-00002B310000}"/>
    <cellStyle name="Énfasis5 2 2 5" xfId="10985" xr:uid="{00000000-0005-0000-0000-00002C310000}"/>
    <cellStyle name="Énfasis5 2 3" xfId="10990" xr:uid="{00000000-0005-0000-0000-00002D310000}"/>
    <cellStyle name="Énfasis5 2 3 2" xfId="22969" xr:uid="{00000000-0005-0000-0000-00002E310000}"/>
    <cellStyle name="Énfasis5 2 4" xfId="10991" xr:uid="{00000000-0005-0000-0000-00002F310000}"/>
    <cellStyle name="Énfasis5 2 5" xfId="10984" xr:uid="{00000000-0005-0000-0000-000030310000}"/>
    <cellStyle name="Énfasis5 3" xfId="592" xr:uid="{00000000-0005-0000-0000-000031310000}"/>
    <cellStyle name="Énfasis5 3 2" xfId="2081" xr:uid="{00000000-0005-0000-0000-000032310000}"/>
    <cellStyle name="Énfasis5 3 2 2" xfId="10994" xr:uid="{00000000-0005-0000-0000-000033310000}"/>
    <cellStyle name="Énfasis5 3 2 3" xfId="10993" xr:uid="{00000000-0005-0000-0000-000034310000}"/>
    <cellStyle name="Énfasis5 3 3" xfId="2082" xr:uid="{00000000-0005-0000-0000-000035310000}"/>
    <cellStyle name="Énfasis5 3 3 2" xfId="10996" xr:uid="{00000000-0005-0000-0000-000036310000}"/>
    <cellStyle name="Énfasis5 3 3 3" xfId="10995" xr:uid="{00000000-0005-0000-0000-000037310000}"/>
    <cellStyle name="Énfasis5 3 4" xfId="10997" xr:uid="{00000000-0005-0000-0000-000038310000}"/>
    <cellStyle name="Énfasis5 3 5" xfId="10998" xr:uid="{00000000-0005-0000-0000-000039310000}"/>
    <cellStyle name="Énfasis5 3 6" xfId="10992" xr:uid="{00000000-0005-0000-0000-00003A310000}"/>
    <cellStyle name="Énfasis5 4" xfId="1218" xr:uid="{00000000-0005-0000-0000-00003B310000}"/>
    <cellStyle name="Énfasis5 4 2" xfId="11000" xr:uid="{00000000-0005-0000-0000-00003C310000}"/>
    <cellStyle name="Énfasis5 4 3" xfId="11001" xr:uid="{00000000-0005-0000-0000-00003D310000}"/>
    <cellStyle name="Énfasis5 4 4" xfId="11002" xr:uid="{00000000-0005-0000-0000-00003E310000}"/>
    <cellStyle name="Énfasis5 4 5" xfId="10999" xr:uid="{00000000-0005-0000-0000-00003F310000}"/>
    <cellStyle name="Énfasis5 5" xfId="1219" xr:uid="{00000000-0005-0000-0000-000040310000}"/>
    <cellStyle name="Énfasis5 5 2" xfId="2083" xr:uid="{00000000-0005-0000-0000-000041310000}"/>
    <cellStyle name="Énfasis5 5 2 2" xfId="11004" xr:uid="{00000000-0005-0000-0000-000042310000}"/>
    <cellStyle name="Énfasis5 5 2 3" xfId="23675" xr:uid="{00000000-0005-0000-0000-000043310000}"/>
    <cellStyle name="Énfasis5 5 3" xfId="3875" xr:uid="{00000000-0005-0000-0000-000044310000}"/>
    <cellStyle name="Énfasis5 5 3 2" xfId="11005" xr:uid="{00000000-0005-0000-0000-000045310000}"/>
    <cellStyle name="Énfasis5 5 4" xfId="11006" xr:uid="{00000000-0005-0000-0000-000046310000}"/>
    <cellStyle name="Énfasis5 5 5" xfId="11003" xr:uid="{00000000-0005-0000-0000-000047310000}"/>
    <cellStyle name="Énfasis5 6" xfId="1220" xr:uid="{00000000-0005-0000-0000-000048310000}"/>
    <cellStyle name="Énfasis5 6 2" xfId="3876" xr:uid="{00000000-0005-0000-0000-000049310000}"/>
    <cellStyle name="Énfasis5 6 2 2" xfId="11008" xr:uid="{00000000-0005-0000-0000-00004A310000}"/>
    <cellStyle name="Énfasis5 6 2 3" xfId="23676" xr:uid="{00000000-0005-0000-0000-00004B310000}"/>
    <cellStyle name="Énfasis5 6 3" xfId="3303" xr:uid="{00000000-0005-0000-0000-00004C310000}"/>
    <cellStyle name="Énfasis5 6 4" xfId="11007" xr:uid="{00000000-0005-0000-0000-00004D310000}"/>
    <cellStyle name="Énfasis5 7" xfId="1221" xr:uid="{00000000-0005-0000-0000-00004E310000}"/>
    <cellStyle name="Énfasis5 7 2" xfId="11009" xr:uid="{00000000-0005-0000-0000-00004F310000}"/>
    <cellStyle name="Énfasis5 8" xfId="1222" xr:uid="{00000000-0005-0000-0000-000050310000}"/>
    <cellStyle name="Énfasis5 8 2" xfId="11010" xr:uid="{00000000-0005-0000-0000-000051310000}"/>
    <cellStyle name="Énfasis5 9" xfId="1223" xr:uid="{00000000-0005-0000-0000-000052310000}"/>
    <cellStyle name="Énfasis5 9 2" xfId="11011" xr:uid="{00000000-0005-0000-0000-000053310000}"/>
    <cellStyle name="Énfasis6" xfId="166" builtinId="49" customBuiltin="1"/>
    <cellStyle name="Énfasis6 10" xfId="1225" xr:uid="{00000000-0005-0000-0000-000055310000}"/>
    <cellStyle name="Énfasis6 11" xfId="1224" xr:uid="{00000000-0005-0000-0000-000056310000}"/>
    <cellStyle name="Énfasis6 12" xfId="1400" xr:uid="{00000000-0005-0000-0000-000057310000}"/>
    <cellStyle name="Énfasis6 13" xfId="4903" xr:uid="{00000000-0005-0000-0000-000058310000}"/>
    <cellStyle name="Énfasis6 2" xfId="595" xr:uid="{00000000-0005-0000-0000-000059310000}"/>
    <cellStyle name="Énfasis6 2 2" xfId="2084" xr:uid="{00000000-0005-0000-0000-00005A310000}"/>
    <cellStyle name="Énfasis6 2 2 2" xfId="3304" xr:uid="{00000000-0005-0000-0000-00005B310000}"/>
    <cellStyle name="Énfasis6 2 2 2 2" xfId="11016" xr:uid="{00000000-0005-0000-0000-00005C310000}"/>
    <cellStyle name="Énfasis6 2 2 2 3" xfId="11015" xr:uid="{00000000-0005-0000-0000-00005D310000}"/>
    <cellStyle name="Énfasis6 2 2 3" xfId="11017" xr:uid="{00000000-0005-0000-0000-00005E310000}"/>
    <cellStyle name="Énfasis6 2 2 4" xfId="11018" xr:uid="{00000000-0005-0000-0000-00005F310000}"/>
    <cellStyle name="Énfasis6 2 2 5" xfId="11014" xr:uid="{00000000-0005-0000-0000-000060310000}"/>
    <cellStyle name="Énfasis6 2 3" xfId="11019" xr:uid="{00000000-0005-0000-0000-000061310000}"/>
    <cellStyle name="Énfasis6 2 3 2" xfId="22970" xr:uid="{00000000-0005-0000-0000-000062310000}"/>
    <cellStyle name="Énfasis6 2 4" xfId="11020" xr:uid="{00000000-0005-0000-0000-000063310000}"/>
    <cellStyle name="Énfasis6 2 5" xfId="11013" xr:uid="{00000000-0005-0000-0000-000064310000}"/>
    <cellStyle name="Énfasis6 3" xfId="594" xr:uid="{00000000-0005-0000-0000-000065310000}"/>
    <cellStyle name="Énfasis6 3 2" xfId="2085" xr:uid="{00000000-0005-0000-0000-000066310000}"/>
    <cellStyle name="Énfasis6 3 2 2" xfId="11023" xr:uid="{00000000-0005-0000-0000-000067310000}"/>
    <cellStyle name="Énfasis6 3 2 3" xfId="11022" xr:uid="{00000000-0005-0000-0000-000068310000}"/>
    <cellStyle name="Énfasis6 3 3" xfId="2086" xr:uid="{00000000-0005-0000-0000-000069310000}"/>
    <cellStyle name="Énfasis6 3 3 2" xfId="11025" xr:uid="{00000000-0005-0000-0000-00006A310000}"/>
    <cellStyle name="Énfasis6 3 3 3" xfId="11024" xr:uid="{00000000-0005-0000-0000-00006B310000}"/>
    <cellStyle name="Énfasis6 3 4" xfId="11026" xr:uid="{00000000-0005-0000-0000-00006C310000}"/>
    <cellStyle name="Énfasis6 3 5" xfId="11027" xr:uid="{00000000-0005-0000-0000-00006D310000}"/>
    <cellStyle name="Énfasis6 3 6" xfId="11021" xr:uid="{00000000-0005-0000-0000-00006E310000}"/>
    <cellStyle name="Énfasis6 4" xfId="1226" xr:uid="{00000000-0005-0000-0000-00006F310000}"/>
    <cellStyle name="Énfasis6 4 2" xfId="11029" xr:uid="{00000000-0005-0000-0000-000070310000}"/>
    <cellStyle name="Énfasis6 4 3" xfId="11030" xr:uid="{00000000-0005-0000-0000-000071310000}"/>
    <cellStyle name="Énfasis6 4 4" xfId="11031" xr:uid="{00000000-0005-0000-0000-000072310000}"/>
    <cellStyle name="Énfasis6 4 5" xfId="11028" xr:uid="{00000000-0005-0000-0000-000073310000}"/>
    <cellStyle name="Énfasis6 5" xfId="1227" xr:uid="{00000000-0005-0000-0000-000074310000}"/>
    <cellStyle name="Énfasis6 5 2" xfId="2087" xr:uid="{00000000-0005-0000-0000-000075310000}"/>
    <cellStyle name="Énfasis6 5 2 2" xfId="11033" xr:uid="{00000000-0005-0000-0000-000076310000}"/>
    <cellStyle name="Énfasis6 5 2 3" xfId="23677" xr:uid="{00000000-0005-0000-0000-000077310000}"/>
    <cellStyle name="Énfasis6 5 3" xfId="3877" xr:uid="{00000000-0005-0000-0000-000078310000}"/>
    <cellStyle name="Énfasis6 5 3 2" xfId="11034" xr:uid="{00000000-0005-0000-0000-000079310000}"/>
    <cellStyle name="Énfasis6 5 3 3" xfId="23678" xr:uid="{00000000-0005-0000-0000-00007A310000}"/>
    <cellStyle name="Énfasis6 5 4" xfId="3305" xr:uid="{00000000-0005-0000-0000-00007B310000}"/>
    <cellStyle name="Énfasis6 5 4 2" xfId="11035" xr:uid="{00000000-0005-0000-0000-00007C310000}"/>
    <cellStyle name="Énfasis6 5 5" xfId="11032" xr:uid="{00000000-0005-0000-0000-00007D310000}"/>
    <cellStyle name="Énfasis6 6" xfId="1228" xr:uid="{00000000-0005-0000-0000-00007E310000}"/>
    <cellStyle name="Énfasis6 6 2" xfId="2088" xr:uid="{00000000-0005-0000-0000-00007F310000}"/>
    <cellStyle name="Énfasis6 6 2 2" xfId="11037" xr:uid="{00000000-0005-0000-0000-000080310000}"/>
    <cellStyle name="Énfasis6 6 2 3" xfId="23679" xr:uid="{00000000-0005-0000-0000-000081310000}"/>
    <cellStyle name="Énfasis6 6 3" xfId="3878" xr:uid="{00000000-0005-0000-0000-000082310000}"/>
    <cellStyle name="Énfasis6 6 3 2" xfId="11036" xr:uid="{00000000-0005-0000-0000-000083310000}"/>
    <cellStyle name="Énfasis6 6 3 3" xfId="23680" xr:uid="{00000000-0005-0000-0000-000084310000}"/>
    <cellStyle name="Énfasis6 6 4" xfId="3306" xr:uid="{00000000-0005-0000-0000-000085310000}"/>
    <cellStyle name="Énfasis6 7" xfId="1229" xr:uid="{00000000-0005-0000-0000-000086310000}"/>
    <cellStyle name="Énfasis6 7 2" xfId="11038" xr:uid="{00000000-0005-0000-0000-000087310000}"/>
    <cellStyle name="Énfasis6 8" xfId="1230" xr:uid="{00000000-0005-0000-0000-000088310000}"/>
    <cellStyle name="Énfasis6 8 2" xfId="11039" xr:uid="{00000000-0005-0000-0000-000089310000}"/>
    <cellStyle name="Énfasis6 9" xfId="1231" xr:uid="{00000000-0005-0000-0000-00008A310000}"/>
    <cellStyle name="Énfasis6 9 2" xfId="11012" xr:uid="{00000000-0005-0000-0000-00008B310000}"/>
    <cellStyle name="Entrada" xfId="167" builtinId="20" customBuiltin="1"/>
    <cellStyle name="Entrada 10" xfId="1232" xr:uid="{00000000-0005-0000-0000-00008D310000}"/>
    <cellStyle name="Entrada 10 2" xfId="11040" xr:uid="{00000000-0005-0000-0000-00008E310000}"/>
    <cellStyle name="Entrada 11" xfId="1401" xr:uid="{00000000-0005-0000-0000-00008F310000}"/>
    <cellStyle name="Entrada 12" xfId="4904" xr:uid="{00000000-0005-0000-0000-000090310000}"/>
    <cellStyle name="Entrada 2" xfId="597" xr:uid="{00000000-0005-0000-0000-000091310000}"/>
    <cellStyle name="Entrada 2 10" xfId="11042" xr:uid="{00000000-0005-0000-0000-000092310000}"/>
    <cellStyle name="Entrada 2 10 2" xfId="11043" xr:uid="{00000000-0005-0000-0000-000093310000}"/>
    <cellStyle name="Entrada 2 10 3" xfId="11044" xr:uid="{00000000-0005-0000-0000-000094310000}"/>
    <cellStyle name="Entrada 2 10 4" xfId="11045" xr:uid="{00000000-0005-0000-0000-000095310000}"/>
    <cellStyle name="Entrada 2 10 5" xfId="11046" xr:uid="{00000000-0005-0000-0000-000096310000}"/>
    <cellStyle name="Entrada 2 11" xfId="11047" xr:uid="{00000000-0005-0000-0000-000097310000}"/>
    <cellStyle name="Entrada 2 11 2" xfId="11048" xr:uid="{00000000-0005-0000-0000-000098310000}"/>
    <cellStyle name="Entrada 2 11 3" xfId="11049" xr:uid="{00000000-0005-0000-0000-000099310000}"/>
    <cellStyle name="Entrada 2 11 4" xfId="11050" xr:uid="{00000000-0005-0000-0000-00009A310000}"/>
    <cellStyle name="Entrada 2 11 5" xfId="11051" xr:uid="{00000000-0005-0000-0000-00009B310000}"/>
    <cellStyle name="Entrada 2 12" xfId="11052" xr:uid="{00000000-0005-0000-0000-00009C310000}"/>
    <cellStyle name="Entrada 2 12 2" xfId="11053" xr:uid="{00000000-0005-0000-0000-00009D310000}"/>
    <cellStyle name="Entrada 2 12 3" xfId="11054" xr:uid="{00000000-0005-0000-0000-00009E310000}"/>
    <cellStyle name="Entrada 2 12 4" xfId="11055" xr:uid="{00000000-0005-0000-0000-00009F310000}"/>
    <cellStyle name="Entrada 2 12 5" xfId="11056" xr:uid="{00000000-0005-0000-0000-0000A0310000}"/>
    <cellStyle name="Entrada 2 13" xfId="11057" xr:uid="{00000000-0005-0000-0000-0000A1310000}"/>
    <cellStyle name="Entrada 2 14" xfId="11041" xr:uid="{00000000-0005-0000-0000-0000A2310000}"/>
    <cellStyle name="Entrada 2 2" xfId="2089" xr:uid="{00000000-0005-0000-0000-0000A3310000}"/>
    <cellStyle name="Entrada 2 2 10" xfId="11059" xr:uid="{00000000-0005-0000-0000-0000A4310000}"/>
    <cellStyle name="Entrada 2 2 10 2" xfId="11060" xr:uid="{00000000-0005-0000-0000-0000A5310000}"/>
    <cellStyle name="Entrada 2 2 10 3" xfId="11061" xr:uid="{00000000-0005-0000-0000-0000A6310000}"/>
    <cellStyle name="Entrada 2 2 10 4" xfId="11062" xr:uid="{00000000-0005-0000-0000-0000A7310000}"/>
    <cellStyle name="Entrada 2 2 10 5" xfId="11063" xr:uid="{00000000-0005-0000-0000-0000A8310000}"/>
    <cellStyle name="Entrada 2 2 11" xfId="11064" xr:uid="{00000000-0005-0000-0000-0000A9310000}"/>
    <cellStyle name="Entrada 2 2 11 2" xfId="11065" xr:uid="{00000000-0005-0000-0000-0000AA310000}"/>
    <cellStyle name="Entrada 2 2 11 3" xfId="11066" xr:uid="{00000000-0005-0000-0000-0000AB310000}"/>
    <cellStyle name="Entrada 2 2 11 4" xfId="11067" xr:uid="{00000000-0005-0000-0000-0000AC310000}"/>
    <cellStyle name="Entrada 2 2 11 5" xfId="11068" xr:uid="{00000000-0005-0000-0000-0000AD310000}"/>
    <cellStyle name="Entrada 2 2 12" xfId="11069" xr:uid="{00000000-0005-0000-0000-0000AE310000}"/>
    <cellStyle name="Entrada 2 2 12 2" xfId="11070" xr:uid="{00000000-0005-0000-0000-0000AF310000}"/>
    <cellStyle name="Entrada 2 2 12 3" xfId="11071" xr:uid="{00000000-0005-0000-0000-0000B0310000}"/>
    <cellStyle name="Entrada 2 2 12 4" xfId="11072" xr:uid="{00000000-0005-0000-0000-0000B1310000}"/>
    <cellStyle name="Entrada 2 2 12 5" xfId="11073" xr:uid="{00000000-0005-0000-0000-0000B2310000}"/>
    <cellStyle name="Entrada 2 2 13" xfId="11074" xr:uid="{00000000-0005-0000-0000-0000B3310000}"/>
    <cellStyle name="Entrada 2 2 14" xfId="11075" xr:uid="{00000000-0005-0000-0000-0000B4310000}"/>
    <cellStyle name="Entrada 2 2 15" xfId="11076" xr:uid="{00000000-0005-0000-0000-0000B5310000}"/>
    <cellStyle name="Entrada 2 2 16" xfId="11077" xr:uid="{00000000-0005-0000-0000-0000B6310000}"/>
    <cellStyle name="Entrada 2 2 17" xfId="11078" xr:uid="{00000000-0005-0000-0000-0000B7310000}"/>
    <cellStyle name="Entrada 2 2 18" xfId="11079" xr:uid="{00000000-0005-0000-0000-0000B8310000}"/>
    <cellStyle name="Entrada 2 2 19" xfId="11080" xr:uid="{00000000-0005-0000-0000-0000B9310000}"/>
    <cellStyle name="Entrada 2 2 2" xfId="3307" xr:uid="{00000000-0005-0000-0000-0000BA310000}"/>
    <cellStyle name="Entrada 2 2 2 2" xfId="11082" xr:uid="{00000000-0005-0000-0000-0000BB310000}"/>
    <cellStyle name="Entrada 2 2 2 3" xfId="11083" xr:uid="{00000000-0005-0000-0000-0000BC310000}"/>
    <cellStyle name="Entrada 2 2 2 4" xfId="11084" xr:uid="{00000000-0005-0000-0000-0000BD310000}"/>
    <cellStyle name="Entrada 2 2 2 5" xfId="11085" xr:uid="{00000000-0005-0000-0000-0000BE310000}"/>
    <cellStyle name="Entrada 2 2 2 6" xfId="11086" xr:uid="{00000000-0005-0000-0000-0000BF310000}"/>
    <cellStyle name="Entrada 2 2 2 7" xfId="11081" xr:uid="{00000000-0005-0000-0000-0000C0310000}"/>
    <cellStyle name="Entrada 2 2 20" xfId="11058" xr:uid="{00000000-0005-0000-0000-0000C1310000}"/>
    <cellStyle name="Entrada 2 2 3" xfId="11087" xr:uid="{00000000-0005-0000-0000-0000C2310000}"/>
    <cellStyle name="Entrada 2 2 3 2" xfId="11088" xr:uid="{00000000-0005-0000-0000-0000C3310000}"/>
    <cellStyle name="Entrada 2 2 3 3" xfId="11089" xr:uid="{00000000-0005-0000-0000-0000C4310000}"/>
    <cellStyle name="Entrada 2 2 3 4" xfId="11090" xr:uid="{00000000-0005-0000-0000-0000C5310000}"/>
    <cellStyle name="Entrada 2 2 3 5" xfId="11091" xr:uid="{00000000-0005-0000-0000-0000C6310000}"/>
    <cellStyle name="Entrada 2 2 3 6" xfId="23681" xr:uid="{00000000-0005-0000-0000-0000C7310000}"/>
    <cellStyle name="Entrada 2 2 4" xfId="11092" xr:uid="{00000000-0005-0000-0000-0000C8310000}"/>
    <cellStyle name="Entrada 2 2 4 2" xfId="11093" xr:uid="{00000000-0005-0000-0000-0000C9310000}"/>
    <cellStyle name="Entrada 2 2 4 3" xfId="11094" xr:uid="{00000000-0005-0000-0000-0000CA310000}"/>
    <cellStyle name="Entrada 2 2 4 4" xfId="11095" xr:uid="{00000000-0005-0000-0000-0000CB310000}"/>
    <cellStyle name="Entrada 2 2 4 5" xfId="11096" xr:uid="{00000000-0005-0000-0000-0000CC310000}"/>
    <cellStyle name="Entrada 2 2 4 6" xfId="23682" xr:uid="{00000000-0005-0000-0000-0000CD310000}"/>
    <cellStyle name="Entrada 2 2 5" xfId="11097" xr:uid="{00000000-0005-0000-0000-0000CE310000}"/>
    <cellStyle name="Entrada 2 2 5 2" xfId="11098" xr:uid="{00000000-0005-0000-0000-0000CF310000}"/>
    <cellStyle name="Entrada 2 2 5 3" xfId="11099" xr:uid="{00000000-0005-0000-0000-0000D0310000}"/>
    <cellStyle name="Entrada 2 2 5 4" xfId="11100" xr:uid="{00000000-0005-0000-0000-0000D1310000}"/>
    <cellStyle name="Entrada 2 2 5 5" xfId="11101" xr:uid="{00000000-0005-0000-0000-0000D2310000}"/>
    <cellStyle name="Entrada 2 2 6" xfId="11102" xr:uid="{00000000-0005-0000-0000-0000D3310000}"/>
    <cellStyle name="Entrada 2 2 6 2" xfId="11103" xr:uid="{00000000-0005-0000-0000-0000D4310000}"/>
    <cellStyle name="Entrada 2 2 6 3" xfId="11104" xr:uid="{00000000-0005-0000-0000-0000D5310000}"/>
    <cellStyle name="Entrada 2 2 6 4" xfId="11105" xr:uid="{00000000-0005-0000-0000-0000D6310000}"/>
    <cellStyle name="Entrada 2 2 6 5" xfId="11106" xr:uid="{00000000-0005-0000-0000-0000D7310000}"/>
    <cellStyle name="Entrada 2 2 7" xfId="11107" xr:uid="{00000000-0005-0000-0000-0000D8310000}"/>
    <cellStyle name="Entrada 2 2 7 2" xfId="11108" xr:uid="{00000000-0005-0000-0000-0000D9310000}"/>
    <cellStyle name="Entrada 2 2 7 3" xfId="11109" xr:uid="{00000000-0005-0000-0000-0000DA310000}"/>
    <cellStyle name="Entrada 2 2 7 4" xfId="11110" xr:uid="{00000000-0005-0000-0000-0000DB310000}"/>
    <cellStyle name="Entrada 2 2 7 5" xfId="11111" xr:uid="{00000000-0005-0000-0000-0000DC310000}"/>
    <cellStyle name="Entrada 2 2 8" xfId="11112" xr:uid="{00000000-0005-0000-0000-0000DD310000}"/>
    <cellStyle name="Entrada 2 2 8 2" xfId="11113" xr:uid="{00000000-0005-0000-0000-0000DE310000}"/>
    <cellStyle name="Entrada 2 2 8 3" xfId="11114" xr:uid="{00000000-0005-0000-0000-0000DF310000}"/>
    <cellStyle name="Entrada 2 2 8 4" xfId="11115" xr:uid="{00000000-0005-0000-0000-0000E0310000}"/>
    <cellStyle name="Entrada 2 2 8 5" xfId="11116" xr:uid="{00000000-0005-0000-0000-0000E1310000}"/>
    <cellStyle name="Entrada 2 2 9" xfId="11117" xr:uid="{00000000-0005-0000-0000-0000E2310000}"/>
    <cellStyle name="Entrada 2 2 9 2" xfId="11118" xr:uid="{00000000-0005-0000-0000-0000E3310000}"/>
    <cellStyle name="Entrada 2 2 9 3" xfId="11119" xr:uid="{00000000-0005-0000-0000-0000E4310000}"/>
    <cellStyle name="Entrada 2 2 9 4" xfId="11120" xr:uid="{00000000-0005-0000-0000-0000E5310000}"/>
    <cellStyle name="Entrada 2 2 9 5" xfId="11121" xr:uid="{00000000-0005-0000-0000-0000E6310000}"/>
    <cellStyle name="Entrada 2 3" xfId="11122" xr:uid="{00000000-0005-0000-0000-0000E7310000}"/>
    <cellStyle name="Entrada 2 3 10" xfId="11123" xr:uid="{00000000-0005-0000-0000-0000E8310000}"/>
    <cellStyle name="Entrada 2 3 10 2" xfId="11124" xr:uid="{00000000-0005-0000-0000-0000E9310000}"/>
    <cellStyle name="Entrada 2 3 10 3" xfId="11125" xr:uid="{00000000-0005-0000-0000-0000EA310000}"/>
    <cellStyle name="Entrada 2 3 10 4" xfId="11126" xr:uid="{00000000-0005-0000-0000-0000EB310000}"/>
    <cellStyle name="Entrada 2 3 10 5" xfId="11127" xr:uid="{00000000-0005-0000-0000-0000EC310000}"/>
    <cellStyle name="Entrada 2 3 11" xfId="11128" xr:uid="{00000000-0005-0000-0000-0000ED310000}"/>
    <cellStyle name="Entrada 2 3 11 2" xfId="11129" xr:uid="{00000000-0005-0000-0000-0000EE310000}"/>
    <cellStyle name="Entrada 2 3 11 3" xfId="11130" xr:uid="{00000000-0005-0000-0000-0000EF310000}"/>
    <cellStyle name="Entrada 2 3 11 4" xfId="11131" xr:uid="{00000000-0005-0000-0000-0000F0310000}"/>
    <cellStyle name="Entrada 2 3 11 5" xfId="11132" xr:uid="{00000000-0005-0000-0000-0000F1310000}"/>
    <cellStyle name="Entrada 2 3 12" xfId="11133" xr:uid="{00000000-0005-0000-0000-0000F2310000}"/>
    <cellStyle name="Entrada 2 3 12 2" xfId="11134" xr:uid="{00000000-0005-0000-0000-0000F3310000}"/>
    <cellStyle name="Entrada 2 3 12 3" xfId="11135" xr:uid="{00000000-0005-0000-0000-0000F4310000}"/>
    <cellStyle name="Entrada 2 3 12 4" xfId="11136" xr:uid="{00000000-0005-0000-0000-0000F5310000}"/>
    <cellStyle name="Entrada 2 3 12 5" xfId="11137" xr:uid="{00000000-0005-0000-0000-0000F6310000}"/>
    <cellStyle name="Entrada 2 3 13" xfId="11138" xr:uid="{00000000-0005-0000-0000-0000F7310000}"/>
    <cellStyle name="Entrada 2 3 14" xfId="11139" xr:uid="{00000000-0005-0000-0000-0000F8310000}"/>
    <cellStyle name="Entrada 2 3 15" xfId="11140" xr:uid="{00000000-0005-0000-0000-0000F9310000}"/>
    <cellStyle name="Entrada 2 3 16" xfId="11141" xr:uid="{00000000-0005-0000-0000-0000FA310000}"/>
    <cellStyle name="Entrada 2 3 17" xfId="22971" xr:uid="{00000000-0005-0000-0000-0000FB310000}"/>
    <cellStyle name="Entrada 2 3 18" xfId="23683" xr:uid="{00000000-0005-0000-0000-0000FC310000}"/>
    <cellStyle name="Entrada 2 3 2" xfId="11142" xr:uid="{00000000-0005-0000-0000-0000FD310000}"/>
    <cellStyle name="Entrada 2 3 2 2" xfId="11143" xr:uid="{00000000-0005-0000-0000-0000FE310000}"/>
    <cellStyle name="Entrada 2 3 2 3" xfId="11144" xr:uid="{00000000-0005-0000-0000-0000FF310000}"/>
    <cellStyle name="Entrada 2 3 2 4" xfId="11145" xr:uid="{00000000-0005-0000-0000-000000320000}"/>
    <cellStyle name="Entrada 2 3 2 5" xfId="11146" xr:uid="{00000000-0005-0000-0000-000001320000}"/>
    <cellStyle name="Entrada 2 3 3" xfId="11147" xr:uid="{00000000-0005-0000-0000-000002320000}"/>
    <cellStyle name="Entrada 2 3 3 2" xfId="11148" xr:uid="{00000000-0005-0000-0000-000003320000}"/>
    <cellStyle name="Entrada 2 3 3 3" xfId="11149" xr:uid="{00000000-0005-0000-0000-000004320000}"/>
    <cellStyle name="Entrada 2 3 3 4" xfId="11150" xr:uid="{00000000-0005-0000-0000-000005320000}"/>
    <cellStyle name="Entrada 2 3 3 5" xfId="11151" xr:uid="{00000000-0005-0000-0000-000006320000}"/>
    <cellStyle name="Entrada 2 3 4" xfId="11152" xr:uid="{00000000-0005-0000-0000-000007320000}"/>
    <cellStyle name="Entrada 2 3 4 2" xfId="11153" xr:uid="{00000000-0005-0000-0000-000008320000}"/>
    <cellStyle name="Entrada 2 3 4 3" xfId="11154" xr:uid="{00000000-0005-0000-0000-000009320000}"/>
    <cellStyle name="Entrada 2 3 4 4" xfId="11155" xr:uid="{00000000-0005-0000-0000-00000A320000}"/>
    <cellStyle name="Entrada 2 3 4 5" xfId="11156" xr:uid="{00000000-0005-0000-0000-00000B320000}"/>
    <cellStyle name="Entrada 2 3 5" xfId="11157" xr:uid="{00000000-0005-0000-0000-00000C320000}"/>
    <cellStyle name="Entrada 2 3 5 2" xfId="11158" xr:uid="{00000000-0005-0000-0000-00000D320000}"/>
    <cellStyle name="Entrada 2 3 5 3" xfId="11159" xr:uid="{00000000-0005-0000-0000-00000E320000}"/>
    <cellStyle name="Entrada 2 3 5 4" xfId="11160" xr:uid="{00000000-0005-0000-0000-00000F320000}"/>
    <cellStyle name="Entrada 2 3 5 5" xfId="11161" xr:uid="{00000000-0005-0000-0000-000010320000}"/>
    <cellStyle name="Entrada 2 3 6" xfId="11162" xr:uid="{00000000-0005-0000-0000-000011320000}"/>
    <cellStyle name="Entrada 2 3 6 2" xfId="11163" xr:uid="{00000000-0005-0000-0000-000012320000}"/>
    <cellStyle name="Entrada 2 3 6 3" xfId="11164" xr:uid="{00000000-0005-0000-0000-000013320000}"/>
    <cellStyle name="Entrada 2 3 6 4" xfId="11165" xr:uid="{00000000-0005-0000-0000-000014320000}"/>
    <cellStyle name="Entrada 2 3 6 5" xfId="11166" xr:uid="{00000000-0005-0000-0000-000015320000}"/>
    <cellStyle name="Entrada 2 3 7" xfId="11167" xr:uid="{00000000-0005-0000-0000-000016320000}"/>
    <cellStyle name="Entrada 2 3 7 2" xfId="11168" xr:uid="{00000000-0005-0000-0000-000017320000}"/>
    <cellStyle name="Entrada 2 3 7 3" xfId="11169" xr:uid="{00000000-0005-0000-0000-000018320000}"/>
    <cellStyle name="Entrada 2 3 7 4" xfId="11170" xr:uid="{00000000-0005-0000-0000-000019320000}"/>
    <cellStyle name="Entrada 2 3 7 5" xfId="11171" xr:uid="{00000000-0005-0000-0000-00001A320000}"/>
    <cellStyle name="Entrada 2 3 8" xfId="11172" xr:uid="{00000000-0005-0000-0000-00001B320000}"/>
    <cellStyle name="Entrada 2 3 8 2" xfId="11173" xr:uid="{00000000-0005-0000-0000-00001C320000}"/>
    <cellStyle name="Entrada 2 3 8 3" xfId="11174" xr:uid="{00000000-0005-0000-0000-00001D320000}"/>
    <cellStyle name="Entrada 2 3 8 4" xfId="11175" xr:uid="{00000000-0005-0000-0000-00001E320000}"/>
    <cellStyle name="Entrada 2 3 8 5" xfId="11176" xr:uid="{00000000-0005-0000-0000-00001F320000}"/>
    <cellStyle name="Entrada 2 3 9" xfId="11177" xr:uid="{00000000-0005-0000-0000-000020320000}"/>
    <cellStyle name="Entrada 2 3 9 2" xfId="11178" xr:uid="{00000000-0005-0000-0000-000021320000}"/>
    <cellStyle name="Entrada 2 3 9 3" xfId="11179" xr:uid="{00000000-0005-0000-0000-000022320000}"/>
    <cellStyle name="Entrada 2 3 9 4" xfId="11180" xr:uid="{00000000-0005-0000-0000-000023320000}"/>
    <cellStyle name="Entrada 2 3 9 5" xfId="11181" xr:uid="{00000000-0005-0000-0000-000024320000}"/>
    <cellStyle name="Entrada 2 4" xfId="11182" xr:uid="{00000000-0005-0000-0000-000025320000}"/>
    <cellStyle name="Entrada 2 4 10" xfId="11183" xr:uid="{00000000-0005-0000-0000-000026320000}"/>
    <cellStyle name="Entrada 2 4 10 2" xfId="11184" xr:uid="{00000000-0005-0000-0000-000027320000}"/>
    <cellStyle name="Entrada 2 4 10 3" xfId="11185" xr:uid="{00000000-0005-0000-0000-000028320000}"/>
    <cellStyle name="Entrada 2 4 10 4" xfId="11186" xr:uid="{00000000-0005-0000-0000-000029320000}"/>
    <cellStyle name="Entrada 2 4 10 5" xfId="11187" xr:uid="{00000000-0005-0000-0000-00002A320000}"/>
    <cellStyle name="Entrada 2 4 11" xfId="11188" xr:uid="{00000000-0005-0000-0000-00002B320000}"/>
    <cellStyle name="Entrada 2 4 11 2" xfId="11189" xr:uid="{00000000-0005-0000-0000-00002C320000}"/>
    <cellStyle name="Entrada 2 4 11 3" xfId="11190" xr:uid="{00000000-0005-0000-0000-00002D320000}"/>
    <cellStyle name="Entrada 2 4 11 4" xfId="11191" xr:uid="{00000000-0005-0000-0000-00002E320000}"/>
    <cellStyle name="Entrada 2 4 11 5" xfId="11192" xr:uid="{00000000-0005-0000-0000-00002F320000}"/>
    <cellStyle name="Entrada 2 4 12" xfId="11193" xr:uid="{00000000-0005-0000-0000-000030320000}"/>
    <cellStyle name="Entrada 2 4 13" xfId="11194" xr:uid="{00000000-0005-0000-0000-000031320000}"/>
    <cellStyle name="Entrada 2 4 14" xfId="11195" xr:uid="{00000000-0005-0000-0000-000032320000}"/>
    <cellStyle name="Entrada 2 4 15" xfId="11196" xr:uid="{00000000-0005-0000-0000-000033320000}"/>
    <cellStyle name="Entrada 2 4 16" xfId="23684" xr:uid="{00000000-0005-0000-0000-000034320000}"/>
    <cellStyle name="Entrada 2 4 2" xfId="11197" xr:uid="{00000000-0005-0000-0000-000035320000}"/>
    <cellStyle name="Entrada 2 4 2 2" xfId="11198" xr:uid="{00000000-0005-0000-0000-000036320000}"/>
    <cellStyle name="Entrada 2 4 2 3" xfId="11199" xr:uid="{00000000-0005-0000-0000-000037320000}"/>
    <cellStyle name="Entrada 2 4 2 4" xfId="11200" xr:uid="{00000000-0005-0000-0000-000038320000}"/>
    <cellStyle name="Entrada 2 4 2 5" xfId="11201" xr:uid="{00000000-0005-0000-0000-000039320000}"/>
    <cellStyle name="Entrada 2 4 3" xfId="11202" xr:uid="{00000000-0005-0000-0000-00003A320000}"/>
    <cellStyle name="Entrada 2 4 3 2" xfId="11203" xr:uid="{00000000-0005-0000-0000-00003B320000}"/>
    <cellStyle name="Entrada 2 4 3 3" xfId="11204" xr:uid="{00000000-0005-0000-0000-00003C320000}"/>
    <cellStyle name="Entrada 2 4 3 4" xfId="11205" xr:uid="{00000000-0005-0000-0000-00003D320000}"/>
    <cellStyle name="Entrada 2 4 3 5" xfId="11206" xr:uid="{00000000-0005-0000-0000-00003E320000}"/>
    <cellStyle name="Entrada 2 4 4" xfId="11207" xr:uid="{00000000-0005-0000-0000-00003F320000}"/>
    <cellStyle name="Entrada 2 4 4 2" xfId="11208" xr:uid="{00000000-0005-0000-0000-000040320000}"/>
    <cellStyle name="Entrada 2 4 4 3" xfId="11209" xr:uid="{00000000-0005-0000-0000-000041320000}"/>
    <cellStyle name="Entrada 2 4 4 4" xfId="11210" xr:uid="{00000000-0005-0000-0000-000042320000}"/>
    <cellStyle name="Entrada 2 4 4 5" xfId="11211" xr:uid="{00000000-0005-0000-0000-000043320000}"/>
    <cellStyle name="Entrada 2 4 5" xfId="11212" xr:uid="{00000000-0005-0000-0000-000044320000}"/>
    <cellStyle name="Entrada 2 4 5 2" xfId="11213" xr:uid="{00000000-0005-0000-0000-000045320000}"/>
    <cellStyle name="Entrada 2 4 5 3" xfId="11214" xr:uid="{00000000-0005-0000-0000-000046320000}"/>
    <cellStyle name="Entrada 2 4 5 4" xfId="11215" xr:uid="{00000000-0005-0000-0000-000047320000}"/>
    <cellStyle name="Entrada 2 4 5 5" xfId="11216" xr:uid="{00000000-0005-0000-0000-000048320000}"/>
    <cellStyle name="Entrada 2 4 6" xfId="11217" xr:uid="{00000000-0005-0000-0000-000049320000}"/>
    <cellStyle name="Entrada 2 4 6 2" xfId="11218" xr:uid="{00000000-0005-0000-0000-00004A320000}"/>
    <cellStyle name="Entrada 2 4 6 3" xfId="11219" xr:uid="{00000000-0005-0000-0000-00004B320000}"/>
    <cellStyle name="Entrada 2 4 6 4" xfId="11220" xr:uid="{00000000-0005-0000-0000-00004C320000}"/>
    <cellStyle name="Entrada 2 4 6 5" xfId="11221" xr:uid="{00000000-0005-0000-0000-00004D320000}"/>
    <cellStyle name="Entrada 2 4 7" xfId="11222" xr:uid="{00000000-0005-0000-0000-00004E320000}"/>
    <cellStyle name="Entrada 2 4 7 2" xfId="11223" xr:uid="{00000000-0005-0000-0000-00004F320000}"/>
    <cellStyle name="Entrada 2 4 7 3" xfId="11224" xr:uid="{00000000-0005-0000-0000-000050320000}"/>
    <cellStyle name="Entrada 2 4 7 4" xfId="11225" xr:uid="{00000000-0005-0000-0000-000051320000}"/>
    <cellStyle name="Entrada 2 4 7 5" xfId="11226" xr:uid="{00000000-0005-0000-0000-000052320000}"/>
    <cellStyle name="Entrada 2 4 8" xfId="11227" xr:uid="{00000000-0005-0000-0000-000053320000}"/>
    <cellStyle name="Entrada 2 4 8 2" xfId="11228" xr:uid="{00000000-0005-0000-0000-000054320000}"/>
    <cellStyle name="Entrada 2 4 8 3" xfId="11229" xr:uid="{00000000-0005-0000-0000-000055320000}"/>
    <cellStyle name="Entrada 2 4 8 4" xfId="11230" xr:uid="{00000000-0005-0000-0000-000056320000}"/>
    <cellStyle name="Entrada 2 4 8 5" xfId="11231" xr:uid="{00000000-0005-0000-0000-000057320000}"/>
    <cellStyle name="Entrada 2 4 9" xfId="11232" xr:uid="{00000000-0005-0000-0000-000058320000}"/>
    <cellStyle name="Entrada 2 4 9 2" xfId="11233" xr:uid="{00000000-0005-0000-0000-000059320000}"/>
    <cellStyle name="Entrada 2 4 9 3" xfId="11234" xr:uid="{00000000-0005-0000-0000-00005A320000}"/>
    <cellStyle name="Entrada 2 4 9 4" xfId="11235" xr:uid="{00000000-0005-0000-0000-00005B320000}"/>
    <cellStyle name="Entrada 2 4 9 5" xfId="11236" xr:uid="{00000000-0005-0000-0000-00005C320000}"/>
    <cellStyle name="Entrada 2 5" xfId="11237" xr:uid="{00000000-0005-0000-0000-00005D320000}"/>
    <cellStyle name="Entrada 2 5 10" xfId="11238" xr:uid="{00000000-0005-0000-0000-00005E320000}"/>
    <cellStyle name="Entrada 2 5 10 2" xfId="11239" xr:uid="{00000000-0005-0000-0000-00005F320000}"/>
    <cellStyle name="Entrada 2 5 10 3" xfId="11240" xr:uid="{00000000-0005-0000-0000-000060320000}"/>
    <cellStyle name="Entrada 2 5 10 4" xfId="11241" xr:uid="{00000000-0005-0000-0000-000061320000}"/>
    <cellStyle name="Entrada 2 5 10 5" xfId="11242" xr:uid="{00000000-0005-0000-0000-000062320000}"/>
    <cellStyle name="Entrada 2 5 11" xfId="11243" xr:uid="{00000000-0005-0000-0000-000063320000}"/>
    <cellStyle name="Entrada 2 5 11 2" xfId="11244" xr:uid="{00000000-0005-0000-0000-000064320000}"/>
    <cellStyle name="Entrada 2 5 11 3" xfId="11245" xr:uid="{00000000-0005-0000-0000-000065320000}"/>
    <cellStyle name="Entrada 2 5 11 4" xfId="11246" xr:uid="{00000000-0005-0000-0000-000066320000}"/>
    <cellStyle name="Entrada 2 5 11 5" xfId="11247" xr:uid="{00000000-0005-0000-0000-000067320000}"/>
    <cellStyle name="Entrada 2 5 12" xfId="11248" xr:uid="{00000000-0005-0000-0000-000068320000}"/>
    <cellStyle name="Entrada 2 5 13" xfId="11249" xr:uid="{00000000-0005-0000-0000-000069320000}"/>
    <cellStyle name="Entrada 2 5 14" xfId="11250" xr:uid="{00000000-0005-0000-0000-00006A320000}"/>
    <cellStyle name="Entrada 2 5 15" xfId="11251" xr:uid="{00000000-0005-0000-0000-00006B320000}"/>
    <cellStyle name="Entrada 2 5 2" xfId="11252" xr:uid="{00000000-0005-0000-0000-00006C320000}"/>
    <cellStyle name="Entrada 2 5 2 2" xfId="11253" xr:uid="{00000000-0005-0000-0000-00006D320000}"/>
    <cellStyle name="Entrada 2 5 2 3" xfId="11254" xr:uid="{00000000-0005-0000-0000-00006E320000}"/>
    <cellStyle name="Entrada 2 5 2 4" xfId="11255" xr:uid="{00000000-0005-0000-0000-00006F320000}"/>
    <cellStyle name="Entrada 2 5 2 5" xfId="11256" xr:uid="{00000000-0005-0000-0000-000070320000}"/>
    <cellStyle name="Entrada 2 5 3" xfId="11257" xr:uid="{00000000-0005-0000-0000-000071320000}"/>
    <cellStyle name="Entrada 2 5 3 2" xfId="11258" xr:uid="{00000000-0005-0000-0000-000072320000}"/>
    <cellStyle name="Entrada 2 5 3 3" xfId="11259" xr:uid="{00000000-0005-0000-0000-000073320000}"/>
    <cellStyle name="Entrada 2 5 3 4" xfId="11260" xr:uid="{00000000-0005-0000-0000-000074320000}"/>
    <cellStyle name="Entrada 2 5 3 5" xfId="11261" xr:uid="{00000000-0005-0000-0000-000075320000}"/>
    <cellStyle name="Entrada 2 5 4" xfId="11262" xr:uid="{00000000-0005-0000-0000-000076320000}"/>
    <cellStyle name="Entrada 2 5 4 2" xfId="11263" xr:uid="{00000000-0005-0000-0000-000077320000}"/>
    <cellStyle name="Entrada 2 5 4 3" xfId="11264" xr:uid="{00000000-0005-0000-0000-000078320000}"/>
    <cellStyle name="Entrada 2 5 4 4" xfId="11265" xr:uid="{00000000-0005-0000-0000-000079320000}"/>
    <cellStyle name="Entrada 2 5 4 5" xfId="11266" xr:uid="{00000000-0005-0000-0000-00007A320000}"/>
    <cellStyle name="Entrada 2 5 5" xfId="11267" xr:uid="{00000000-0005-0000-0000-00007B320000}"/>
    <cellStyle name="Entrada 2 5 5 2" xfId="11268" xr:uid="{00000000-0005-0000-0000-00007C320000}"/>
    <cellStyle name="Entrada 2 5 5 3" xfId="11269" xr:uid="{00000000-0005-0000-0000-00007D320000}"/>
    <cellStyle name="Entrada 2 5 5 4" xfId="11270" xr:uid="{00000000-0005-0000-0000-00007E320000}"/>
    <cellStyle name="Entrada 2 5 5 5" xfId="11271" xr:uid="{00000000-0005-0000-0000-00007F320000}"/>
    <cellStyle name="Entrada 2 5 6" xfId="11272" xr:uid="{00000000-0005-0000-0000-000080320000}"/>
    <cellStyle name="Entrada 2 5 6 2" xfId="11273" xr:uid="{00000000-0005-0000-0000-000081320000}"/>
    <cellStyle name="Entrada 2 5 6 3" xfId="11274" xr:uid="{00000000-0005-0000-0000-000082320000}"/>
    <cellStyle name="Entrada 2 5 6 4" xfId="11275" xr:uid="{00000000-0005-0000-0000-000083320000}"/>
    <cellStyle name="Entrada 2 5 6 5" xfId="11276" xr:uid="{00000000-0005-0000-0000-000084320000}"/>
    <cellStyle name="Entrada 2 5 7" xfId="11277" xr:uid="{00000000-0005-0000-0000-000085320000}"/>
    <cellStyle name="Entrada 2 5 7 2" xfId="11278" xr:uid="{00000000-0005-0000-0000-000086320000}"/>
    <cellStyle name="Entrada 2 5 7 3" xfId="11279" xr:uid="{00000000-0005-0000-0000-000087320000}"/>
    <cellStyle name="Entrada 2 5 7 4" xfId="11280" xr:uid="{00000000-0005-0000-0000-000088320000}"/>
    <cellStyle name="Entrada 2 5 7 5" xfId="11281" xr:uid="{00000000-0005-0000-0000-000089320000}"/>
    <cellStyle name="Entrada 2 5 8" xfId="11282" xr:uid="{00000000-0005-0000-0000-00008A320000}"/>
    <cellStyle name="Entrada 2 5 8 2" xfId="11283" xr:uid="{00000000-0005-0000-0000-00008B320000}"/>
    <cellStyle name="Entrada 2 5 8 3" xfId="11284" xr:uid="{00000000-0005-0000-0000-00008C320000}"/>
    <cellStyle name="Entrada 2 5 8 4" xfId="11285" xr:uid="{00000000-0005-0000-0000-00008D320000}"/>
    <cellStyle name="Entrada 2 5 8 5" xfId="11286" xr:uid="{00000000-0005-0000-0000-00008E320000}"/>
    <cellStyle name="Entrada 2 5 9" xfId="11287" xr:uid="{00000000-0005-0000-0000-00008F320000}"/>
    <cellStyle name="Entrada 2 5 9 2" xfId="11288" xr:uid="{00000000-0005-0000-0000-000090320000}"/>
    <cellStyle name="Entrada 2 5 9 3" xfId="11289" xr:uid="{00000000-0005-0000-0000-000091320000}"/>
    <cellStyle name="Entrada 2 5 9 4" xfId="11290" xr:uid="{00000000-0005-0000-0000-000092320000}"/>
    <cellStyle name="Entrada 2 5 9 5" xfId="11291" xr:uid="{00000000-0005-0000-0000-000093320000}"/>
    <cellStyle name="Entrada 2 6" xfId="11292" xr:uid="{00000000-0005-0000-0000-000094320000}"/>
    <cellStyle name="Entrada 2 6 10" xfId="11293" xr:uid="{00000000-0005-0000-0000-000095320000}"/>
    <cellStyle name="Entrada 2 6 10 2" xfId="11294" xr:uid="{00000000-0005-0000-0000-000096320000}"/>
    <cellStyle name="Entrada 2 6 10 3" xfId="11295" xr:uid="{00000000-0005-0000-0000-000097320000}"/>
    <cellStyle name="Entrada 2 6 10 4" xfId="11296" xr:uid="{00000000-0005-0000-0000-000098320000}"/>
    <cellStyle name="Entrada 2 6 10 5" xfId="11297" xr:uid="{00000000-0005-0000-0000-000099320000}"/>
    <cellStyle name="Entrada 2 6 11" xfId="11298" xr:uid="{00000000-0005-0000-0000-00009A320000}"/>
    <cellStyle name="Entrada 2 6 11 2" xfId="11299" xr:uid="{00000000-0005-0000-0000-00009B320000}"/>
    <cellStyle name="Entrada 2 6 11 3" xfId="11300" xr:uid="{00000000-0005-0000-0000-00009C320000}"/>
    <cellStyle name="Entrada 2 6 11 4" xfId="11301" xr:uid="{00000000-0005-0000-0000-00009D320000}"/>
    <cellStyle name="Entrada 2 6 11 5" xfId="11302" xr:uid="{00000000-0005-0000-0000-00009E320000}"/>
    <cellStyle name="Entrada 2 6 12" xfId="11303" xr:uid="{00000000-0005-0000-0000-00009F320000}"/>
    <cellStyle name="Entrada 2 6 13" xfId="11304" xr:uid="{00000000-0005-0000-0000-0000A0320000}"/>
    <cellStyle name="Entrada 2 6 14" xfId="11305" xr:uid="{00000000-0005-0000-0000-0000A1320000}"/>
    <cellStyle name="Entrada 2 6 15" xfId="11306" xr:uid="{00000000-0005-0000-0000-0000A2320000}"/>
    <cellStyle name="Entrada 2 6 2" xfId="11307" xr:uid="{00000000-0005-0000-0000-0000A3320000}"/>
    <cellStyle name="Entrada 2 6 2 2" xfId="11308" xr:uid="{00000000-0005-0000-0000-0000A4320000}"/>
    <cellStyle name="Entrada 2 6 2 3" xfId="11309" xr:uid="{00000000-0005-0000-0000-0000A5320000}"/>
    <cellStyle name="Entrada 2 6 2 4" xfId="11310" xr:uid="{00000000-0005-0000-0000-0000A6320000}"/>
    <cellStyle name="Entrada 2 6 2 5" xfId="11311" xr:uid="{00000000-0005-0000-0000-0000A7320000}"/>
    <cellStyle name="Entrada 2 6 3" xfId="11312" xr:uid="{00000000-0005-0000-0000-0000A8320000}"/>
    <cellStyle name="Entrada 2 6 3 2" xfId="11313" xr:uid="{00000000-0005-0000-0000-0000A9320000}"/>
    <cellStyle name="Entrada 2 6 3 3" xfId="11314" xr:uid="{00000000-0005-0000-0000-0000AA320000}"/>
    <cellStyle name="Entrada 2 6 3 4" xfId="11315" xr:uid="{00000000-0005-0000-0000-0000AB320000}"/>
    <cellStyle name="Entrada 2 6 3 5" xfId="11316" xr:uid="{00000000-0005-0000-0000-0000AC320000}"/>
    <cellStyle name="Entrada 2 6 4" xfId="11317" xr:uid="{00000000-0005-0000-0000-0000AD320000}"/>
    <cellStyle name="Entrada 2 6 4 2" xfId="11318" xr:uid="{00000000-0005-0000-0000-0000AE320000}"/>
    <cellStyle name="Entrada 2 6 4 3" xfId="11319" xr:uid="{00000000-0005-0000-0000-0000AF320000}"/>
    <cellStyle name="Entrada 2 6 4 4" xfId="11320" xr:uid="{00000000-0005-0000-0000-0000B0320000}"/>
    <cellStyle name="Entrada 2 6 4 5" xfId="11321" xr:uid="{00000000-0005-0000-0000-0000B1320000}"/>
    <cellStyle name="Entrada 2 6 5" xfId="11322" xr:uid="{00000000-0005-0000-0000-0000B2320000}"/>
    <cellStyle name="Entrada 2 6 5 2" xfId="11323" xr:uid="{00000000-0005-0000-0000-0000B3320000}"/>
    <cellStyle name="Entrada 2 6 5 3" xfId="11324" xr:uid="{00000000-0005-0000-0000-0000B4320000}"/>
    <cellStyle name="Entrada 2 6 5 4" xfId="11325" xr:uid="{00000000-0005-0000-0000-0000B5320000}"/>
    <cellStyle name="Entrada 2 6 5 5" xfId="11326" xr:uid="{00000000-0005-0000-0000-0000B6320000}"/>
    <cellStyle name="Entrada 2 6 6" xfId="11327" xr:uid="{00000000-0005-0000-0000-0000B7320000}"/>
    <cellStyle name="Entrada 2 6 6 2" xfId="11328" xr:uid="{00000000-0005-0000-0000-0000B8320000}"/>
    <cellStyle name="Entrada 2 6 6 3" xfId="11329" xr:uid="{00000000-0005-0000-0000-0000B9320000}"/>
    <cellStyle name="Entrada 2 6 6 4" xfId="11330" xr:uid="{00000000-0005-0000-0000-0000BA320000}"/>
    <cellStyle name="Entrada 2 6 6 5" xfId="11331" xr:uid="{00000000-0005-0000-0000-0000BB320000}"/>
    <cellStyle name="Entrada 2 6 7" xfId="11332" xr:uid="{00000000-0005-0000-0000-0000BC320000}"/>
    <cellStyle name="Entrada 2 6 7 2" xfId="11333" xr:uid="{00000000-0005-0000-0000-0000BD320000}"/>
    <cellStyle name="Entrada 2 6 7 3" xfId="11334" xr:uid="{00000000-0005-0000-0000-0000BE320000}"/>
    <cellStyle name="Entrada 2 6 7 4" xfId="11335" xr:uid="{00000000-0005-0000-0000-0000BF320000}"/>
    <cellStyle name="Entrada 2 6 7 5" xfId="11336" xr:uid="{00000000-0005-0000-0000-0000C0320000}"/>
    <cellStyle name="Entrada 2 6 8" xfId="11337" xr:uid="{00000000-0005-0000-0000-0000C1320000}"/>
    <cellStyle name="Entrada 2 6 8 2" xfId="11338" xr:uid="{00000000-0005-0000-0000-0000C2320000}"/>
    <cellStyle name="Entrada 2 6 8 3" xfId="11339" xr:uid="{00000000-0005-0000-0000-0000C3320000}"/>
    <cellStyle name="Entrada 2 6 8 4" xfId="11340" xr:uid="{00000000-0005-0000-0000-0000C4320000}"/>
    <cellStyle name="Entrada 2 6 8 5" xfId="11341" xr:uid="{00000000-0005-0000-0000-0000C5320000}"/>
    <cellStyle name="Entrada 2 6 9" xfId="11342" xr:uid="{00000000-0005-0000-0000-0000C6320000}"/>
    <cellStyle name="Entrada 2 6 9 2" xfId="11343" xr:uid="{00000000-0005-0000-0000-0000C7320000}"/>
    <cellStyle name="Entrada 2 6 9 3" xfId="11344" xr:uid="{00000000-0005-0000-0000-0000C8320000}"/>
    <cellStyle name="Entrada 2 6 9 4" xfId="11345" xr:uid="{00000000-0005-0000-0000-0000C9320000}"/>
    <cellStyle name="Entrada 2 6 9 5" xfId="11346" xr:uid="{00000000-0005-0000-0000-0000CA320000}"/>
    <cellStyle name="Entrada 2 7" xfId="11347" xr:uid="{00000000-0005-0000-0000-0000CB320000}"/>
    <cellStyle name="Entrada 2 7 10" xfId="11348" xr:uid="{00000000-0005-0000-0000-0000CC320000}"/>
    <cellStyle name="Entrada 2 7 10 2" xfId="11349" xr:uid="{00000000-0005-0000-0000-0000CD320000}"/>
    <cellStyle name="Entrada 2 7 10 3" xfId="11350" xr:uid="{00000000-0005-0000-0000-0000CE320000}"/>
    <cellStyle name="Entrada 2 7 10 4" xfId="11351" xr:uid="{00000000-0005-0000-0000-0000CF320000}"/>
    <cellStyle name="Entrada 2 7 10 5" xfId="11352" xr:uid="{00000000-0005-0000-0000-0000D0320000}"/>
    <cellStyle name="Entrada 2 7 11" xfId="11353" xr:uid="{00000000-0005-0000-0000-0000D1320000}"/>
    <cellStyle name="Entrada 2 7 11 2" xfId="11354" xr:uid="{00000000-0005-0000-0000-0000D2320000}"/>
    <cellStyle name="Entrada 2 7 11 3" xfId="11355" xr:uid="{00000000-0005-0000-0000-0000D3320000}"/>
    <cellStyle name="Entrada 2 7 11 4" xfId="11356" xr:uid="{00000000-0005-0000-0000-0000D4320000}"/>
    <cellStyle name="Entrada 2 7 11 5" xfId="11357" xr:uid="{00000000-0005-0000-0000-0000D5320000}"/>
    <cellStyle name="Entrada 2 7 12" xfId="11358" xr:uid="{00000000-0005-0000-0000-0000D6320000}"/>
    <cellStyle name="Entrada 2 7 13" xfId="11359" xr:uid="{00000000-0005-0000-0000-0000D7320000}"/>
    <cellStyle name="Entrada 2 7 14" xfId="11360" xr:uid="{00000000-0005-0000-0000-0000D8320000}"/>
    <cellStyle name="Entrada 2 7 15" xfId="11361" xr:uid="{00000000-0005-0000-0000-0000D9320000}"/>
    <cellStyle name="Entrada 2 7 2" xfId="11362" xr:uid="{00000000-0005-0000-0000-0000DA320000}"/>
    <cellStyle name="Entrada 2 7 2 2" xfId="11363" xr:uid="{00000000-0005-0000-0000-0000DB320000}"/>
    <cellStyle name="Entrada 2 7 2 3" xfId="11364" xr:uid="{00000000-0005-0000-0000-0000DC320000}"/>
    <cellStyle name="Entrada 2 7 2 4" xfId="11365" xr:uid="{00000000-0005-0000-0000-0000DD320000}"/>
    <cellStyle name="Entrada 2 7 2 5" xfId="11366" xr:uid="{00000000-0005-0000-0000-0000DE320000}"/>
    <cellStyle name="Entrada 2 7 3" xfId="11367" xr:uid="{00000000-0005-0000-0000-0000DF320000}"/>
    <cellStyle name="Entrada 2 7 3 2" xfId="11368" xr:uid="{00000000-0005-0000-0000-0000E0320000}"/>
    <cellStyle name="Entrada 2 7 3 3" xfId="11369" xr:uid="{00000000-0005-0000-0000-0000E1320000}"/>
    <cellStyle name="Entrada 2 7 3 4" xfId="11370" xr:uid="{00000000-0005-0000-0000-0000E2320000}"/>
    <cellStyle name="Entrada 2 7 3 5" xfId="11371" xr:uid="{00000000-0005-0000-0000-0000E3320000}"/>
    <cellStyle name="Entrada 2 7 4" xfId="11372" xr:uid="{00000000-0005-0000-0000-0000E4320000}"/>
    <cellStyle name="Entrada 2 7 4 2" xfId="11373" xr:uid="{00000000-0005-0000-0000-0000E5320000}"/>
    <cellStyle name="Entrada 2 7 4 3" xfId="11374" xr:uid="{00000000-0005-0000-0000-0000E6320000}"/>
    <cellStyle name="Entrada 2 7 4 4" xfId="11375" xr:uid="{00000000-0005-0000-0000-0000E7320000}"/>
    <cellStyle name="Entrada 2 7 4 5" xfId="11376" xr:uid="{00000000-0005-0000-0000-0000E8320000}"/>
    <cellStyle name="Entrada 2 7 5" xfId="11377" xr:uid="{00000000-0005-0000-0000-0000E9320000}"/>
    <cellStyle name="Entrada 2 7 5 2" xfId="11378" xr:uid="{00000000-0005-0000-0000-0000EA320000}"/>
    <cellStyle name="Entrada 2 7 5 3" xfId="11379" xr:uid="{00000000-0005-0000-0000-0000EB320000}"/>
    <cellStyle name="Entrada 2 7 5 4" xfId="11380" xr:uid="{00000000-0005-0000-0000-0000EC320000}"/>
    <cellStyle name="Entrada 2 7 5 5" xfId="11381" xr:uid="{00000000-0005-0000-0000-0000ED320000}"/>
    <cellStyle name="Entrada 2 7 6" xfId="11382" xr:uid="{00000000-0005-0000-0000-0000EE320000}"/>
    <cellStyle name="Entrada 2 7 6 2" xfId="11383" xr:uid="{00000000-0005-0000-0000-0000EF320000}"/>
    <cellStyle name="Entrada 2 7 6 3" xfId="11384" xr:uid="{00000000-0005-0000-0000-0000F0320000}"/>
    <cellStyle name="Entrada 2 7 6 4" xfId="11385" xr:uid="{00000000-0005-0000-0000-0000F1320000}"/>
    <cellStyle name="Entrada 2 7 6 5" xfId="11386" xr:uid="{00000000-0005-0000-0000-0000F2320000}"/>
    <cellStyle name="Entrada 2 7 7" xfId="11387" xr:uid="{00000000-0005-0000-0000-0000F3320000}"/>
    <cellStyle name="Entrada 2 7 7 2" xfId="11388" xr:uid="{00000000-0005-0000-0000-0000F4320000}"/>
    <cellStyle name="Entrada 2 7 7 3" xfId="11389" xr:uid="{00000000-0005-0000-0000-0000F5320000}"/>
    <cellStyle name="Entrada 2 7 7 4" xfId="11390" xr:uid="{00000000-0005-0000-0000-0000F6320000}"/>
    <cellStyle name="Entrada 2 7 7 5" xfId="11391" xr:uid="{00000000-0005-0000-0000-0000F7320000}"/>
    <cellStyle name="Entrada 2 7 8" xfId="11392" xr:uid="{00000000-0005-0000-0000-0000F8320000}"/>
    <cellStyle name="Entrada 2 7 8 2" xfId="11393" xr:uid="{00000000-0005-0000-0000-0000F9320000}"/>
    <cellStyle name="Entrada 2 7 8 3" xfId="11394" xr:uid="{00000000-0005-0000-0000-0000FA320000}"/>
    <cellStyle name="Entrada 2 7 8 4" xfId="11395" xr:uid="{00000000-0005-0000-0000-0000FB320000}"/>
    <cellStyle name="Entrada 2 7 8 5" xfId="11396" xr:uid="{00000000-0005-0000-0000-0000FC320000}"/>
    <cellStyle name="Entrada 2 7 9" xfId="11397" xr:uid="{00000000-0005-0000-0000-0000FD320000}"/>
    <cellStyle name="Entrada 2 7 9 2" xfId="11398" xr:uid="{00000000-0005-0000-0000-0000FE320000}"/>
    <cellStyle name="Entrada 2 7 9 3" xfId="11399" xr:uid="{00000000-0005-0000-0000-0000FF320000}"/>
    <cellStyle name="Entrada 2 7 9 4" xfId="11400" xr:uid="{00000000-0005-0000-0000-000000330000}"/>
    <cellStyle name="Entrada 2 7 9 5" xfId="11401" xr:uid="{00000000-0005-0000-0000-000001330000}"/>
    <cellStyle name="Entrada 2 8" xfId="11402" xr:uid="{00000000-0005-0000-0000-000002330000}"/>
    <cellStyle name="Entrada 2 8 2" xfId="11403" xr:uid="{00000000-0005-0000-0000-000003330000}"/>
    <cellStyle name="Entrada 2 8 3" xfId="11404" xr:uid="{00000000-0005-0000-0000-000004330000}"/>
    <cellStyle name="Entrada 2 8 4" xfId="11405" xr:uid="{00000000-0005-0000-0000-000005330000}"/>
    <cellStyle name="Entrada 2 8 5" xfId="11406" xr:uid="{00000000-0005-0000-0000-000006330000}"/>
    <cellStyle name="Entrada 2 9" xfId="11407" xr:uid="{00000000-0005-0000-0000-000007330000}"/>
    <cellStyle name="Entrada 2 9 2" xfId="11408" xr:uid="{00000000-0005-0000-0000-000008330000}"/>
    <cellStyle name="Entrada 2 9 3" xfId="11409" xr:uid="{00000000-0005-0000-0000-000009330000}"/>
    <cellStyle name="Entrada 2 9 4" xfId="11410" xr:uid="{00000000-0005-0000-0000-00000A330000}"/>
    <cellStyle name="Entrada 2 9 5" xfId="11411" xr:uid="{00000000-0005-0000-0000-00000B330000}"/>
    <cellStyle name="Entrada 3" xfId="596" xr:uid="{00000000-0005-0000-0000-00000C330000}"/>
    <cellStyle name="Entrada 3 2" xfId="2090" xr:uid="{00000000-0005-0000-0000-00000D330000}"/>
    <cellStyle name="Entrada 3 2 2" xfId="11414" xr:uid="{00000000-0005-0000-0000-00000E330000}"/>
    <cellStyle name="Entrada 3 2 2 2" xfId="11415" xr:uid="{00000000-0005-0000-0000-00000F330000}"/>
    <cellStyle name="Entrada 3 2 2 3" xfId="11416" xr:uid="{00000000-0005-0000-0000-000010330000}"/>
    <cellStyle name="Entrada 3 2 2 4" xfId="11417" xr:uid="{00000000-0005-0000-0000-000011330000}"/>
    <cellStyle name="Entrada 3 2 2 5" xfId="11418" xr:uid="{00000000-0005-0000-0000-000012330000}"/>
    <cellStyle name="Entrada 3 2 2 6" xfId="23685" xr:uid="{00000000-0005-0000-0000-000013330000}"/>
    <cellStyle name="Entrada 3 2 3" xfId="11419" xr:uid="{00000000-0005-0000-0000-000014330000}"/>
    <cellStyle name="Entrada 3 2 3 2" xfId="23686" xr:uid="{00000000-0005-0000-0000-000015330000}"/>
    <cellStyle name="Entrada 3 2 4" xfId="11413" xr:uid="{00000000-0005-0000-0000-000016330000}"/>
    <cellStyle name="Entrada 3 3" xfId="2091" xr:uid="{00000000-0005-0000-0000-000017330000}"/>
    <cellStyle name="Entrada 3 3 2" xfId="11421" xr:uid="{00000000-0005-0000-0000-000018330000}"/>
    <cellStyle name="Entrada 3 3 2 2" xfId="23687" xr:uid="{00000000-0005-0000-0000-000019330000}"/>
    <cellStyle name="Entrada 3 3 3" xfId="11422" xr:uid="{00000000-0005-0000-0000-00001A330000}"/>
    <cellStyle name="Entrada 3 3 3 2" xfId="23688" xr:uid="{00000000-0005-0000-0000-00001B330000}"/>
    <cellStyle name="Entrada 3 3 4" xfId="11423" xr:uid="{00000000-0005-0000-0000-00001C330000}"/>
    <cellStyle name="Entrada 3 3 5" xfId="11424" xr:uid="{00000000-0005-0000-0000-00001D330000}"/>
    <cellStyle name="Entrada 3 3 6" xfId="11425" xr:uid="{00000000-0005-0000-0000-00001E330000}"/>
    <cellStyle name="Entrada 3 3 7" xfId="11420" xr:uid="{00000000-0005-0000-0000-00001F330000}"/>
    <cellStyle name="Entrada 3 4" xfId="11426" xr:uid="{00000000-0005-0000-0000-000020330000}"/>
    <cellStyle name="Entrada 3 4 2" xfId="11427" xr:uid="{00000000-0005-0000-0000-000021330000}"/>
    <cellStyle name="Entrada 3 4 3" xfId="11428" xr:uid="{00000000-0005-0000-0000-000022330000}"/>
    <cellStyle name="Entrada 3 4 4" xfId="11429" xr:uid="{00000000-0005-0000-0000-000023330000}"/>
    <cellStyle name="Entrada 3 4 5" xfId="11430" xr:uid="{00000000-0005-0000-0000-000024330000}"/>
    <cellStyle name="Entrada 3 4 6" xfId="23689" xr:uid="{00000000-0005-0000-0000-000025330000}"/>
    <cellStyle name="Entrada 3 5" xfId="11431" xr:uid="{00000000-0005-0000-0000-000026330000}"/>
    <cellStyle name="Entrada 3 5 2" xfId="11432" xr:uid="{00000000-0005-0000-0000-000027330000}"/>
    <cellStyle name="Entrada 3 5 3" xfId="11433" xr:uid="{00000000-0005-0000-0000-000028330000}"/>
    <cellStyle name="Entrada 3 5 4" xfId="11434" xr:uid="{00000000-0005-0000-0000-000029330000}"/>
    <cellStyle name="Entrada 3 5 5" xfId="11435" xr:uid="{00000000-0005-0000-0000-00002A330000}"/>
    <cellStyle name="Entrada 3 5 6" xfId="23690" xr:uid="{00000000-0005-0000-0000-00002B330000}"/>
    <cellStyle name="Entrada 3 6" xfId="11436" xr:uid="{00000000-0005-0000-0000-00002C330000}"/>
    <cellStyle name="Entrada 3 7" xfId="11412" xr:uid="{00000000-0005-0000-0000-00002D330000}"/>
    <cellStyle name="Entrada 4" xfId="1233" xr:uid="{00000000-0005-0000-0000-00002E330000}"/>
    <cellStyle name="Entrada 4 2" xfId="11438" xr:uid="{00000000-0005-0000-0000-00002F330000}"/>
    <cellStyle name="Entrada 4 2 2" xfId="23691" xr:uid="{00000000-0005-0000-0000-000030330000}"/>
    <cellStyle name="Entrada 4 3" xfId="11439" xr:uid="{00000000-0005-0000-0000-000031330000}"/>
    <cellStyle name="Entrada 4 3 2" xfId="23692" xr:uid="{00000000-0005-0000-0000-000032330000}"/>
    <cellStyle name="Entrada 4 4" xfId="11440" xr:uid="{00000000-0005-0000-0000-000033330000}"/>
    <cellStyle name="Entrada 4 5" xfId="11441" xr:uid="{00000000-0005-0000-0000-000034330000}"/>
    <cellStyle name="Entrada 4 6" xfId="11442" xr:uid="{00000000-0005-0000-0000-000035330000}"/>
    <cellStyle name="Entrada 4 7" xfId="11443" xr:uid="{00000000-0005-0000-0000-000036330000}"/>
    <cellStyle name="Entrada 4 8" xfId="11444" xr:uid="{00000000-0005-0000-0000-000037330000}"/>
    <cellStyle name="Entrada 4 9" xfId="11437" xr:uid="{00000000-0005-0000-0000-000038330000}"/>
    <cellStyle name="Entrada 5" xfId="1234" xr:uid="{00000000-0005-0000-0000-000039330000}"/>
    <cellStyle name="Entrada 5 2" xfId="2092" xr:uid="{00000000-0005-0000-0000-00003A330000}"/>
    <cellStyle name="Entrada 5 2 2" xfId="11447" xr:uid="{00000000-0005-0000-0000-00003B330000}"/>
    <cellStyle name="Entrada 5 2 3" xfId="11448" xr:uid="{00000000-0005-0000-0000-00003C330000}"/>
    <cellStyle name="Entrada 5 2 4" xfId="11449" xr:uid="{00000000-0005-0000-0000-00003D330000}"/>
    <cellStyle name="Entrada 5 2 5" xfId="11450" xr:uid="{00000000-0005-0000-0000-00003E330000}"/>
    <cellStyle name="Entrada 5 2 6" xfId="11446" xr:uid="{00000000-0005-0000-0000-00003F330000}"/>
    <cellStyle name="Entrada 5 2 7" xfId="23693" xr:uid="{00000000-0005-0000-0000-000040330000}"/>
    <cellStyle name="Entrada 5 3" xfId="3879" xr:uid="{00000000-0005-0000-0000-000041330000}"/>
    <cellStyle name="Entrada 5 3 2" xfId="11451" xr:uid="{00000000-0005-0000-0000-000042330000}"/>
    <cellStyle name="Entrada 5 3 3" xfId="23694" xr:uid="{00000000-0005-0000-0000-000043330000}"/>
    <cellStyle name="Entrada 5 4" xfId="3308" xr:uid="{00000000-0005-0000-0000-000044330000}"/>
    <cellStyle name="Entrada 5 4 2" xfId="11452" xr:uid="{00000000-0005-0000-0000-000045330000}"/>
    <cellStyle name="Entrada 5 5" xfId="11445" xr:uid="{00000000-0005-0000-0000-000046330000}"/>
    <cellStyle name="Entrada 6" xfId="1235" xr:uid="{00000000-0005-0000-0000-000047330000}"/>
    <cellStyle name="Entrada 6 2" xfId="2093" xr:uid="{00000000-0005-0000-0000-000048330000}"/>
    <cellStyle name="Entrada 6 2 2" xfId="11454" xr:uid="{00000000-0005-0000-0000-000049330000}"/>
    <cellStyle name="Entrada 6 2 3" xfId="23695" xr:uid="{00000000-0005-0000-0000-00004A330000}"/>
    <cellStyle name="Entrada 6 3" xfId="3880" xr:uid="{00000000-0005-0000-0000-00004B330000}"/>
    <cellStyle name="Entrada 6 3 2" xfId="11453" xr:uid="{00000000-0005-0000-0000-00004C330000}"/>
    <cellStyle name="Entrada 6 3 3" xfId="23696" xr:uid="{00000000-0005-0000-0000-00004D330000}"/>
    <cellStyle name="Entrada 6 4" xfId="3309" xr:uid="{00000000-0005-0000-0000-00004E330000}"/>
    <cellStyle name="Entrada 7" xfId="1236" xr:uid="{00000000-0005-0000-0000-00004F330000}"/>
    <cellStyle name="Entrada 7 2" xfId="11456" xr:uid="{00000000-0005-0000-0000-000050330000}"/>
    <cellStyle name="Entrada 7 3" xfId="11457" xr:uid="{00000000-0005-0000-0000-000051330000}"/>
    <cellStyle name="Entrada 7 4" xfId="11458" xr:uid="{00000000-0005-0000-0000-000052330000}"/>
    <cellStyle name="Entrada 7 5" xfId="11459" xr:uid="{00000000-0005-0000-0000-000053330000}"/>
    <cellStyle name="Entrada 7 6" xfId="11455" xr:uid="{00000000-0005-0000-0000-000054330000}"/>
    <cellStyle name="Entrada 8" xfId="1237" xr:uid="{00000000-0005-0000-0000-000055330000}"/>
    <cellStyle name="Entrada 8 2" xfId="11461" xr:uid="{00000000-0005-0000-0000-000056330000}"/>
    <cellStyle name="Entrada 8 3" xfId="11462" xr:uid="{00000000-0005-0000-0000-000057330000}"/>
    <cellStyle name="Entrada 8 4" xfId="11463" xr:uid="{00000000-0005-0000-0000-000058330000}"/>
    <cellStyle name="Entrada 8 5" xfId="11464" xr:uid="{00000000-0005-0000-0000-000059330000}"/>
    <cellStyle name="Entrada 8 6" xfId="11460" xr:uid="{00000000-0005-0000-0000-00005A330000}"/>
    <cellStyle name="Entrada 9" xfId="1238" xr:uid="{00000000-0005-0000-0000-00005B330000}"/>
    <cellStyle name="Entrada 9 2" xfId="11465" xr:uid="{00000000-0005-0000-0000-00005C330000}"/>
    <cellStyle name="Estilo 1" xfId="168" xr:uid="{00000000-0005-0000-0000-00005D330000}"/>
    <cellStyle name="Estilo 1 2" xfId="169" xr:uid="{00000000-0005-0000-0000-00005E330000}"/>
    <cellStyle name="Estilo 1 2 2" xfId="399" xr:uid="{00000000-0005-0000-0000-00005F330000}"/>
    <cellStyle name="Estilo 1 2 2 2" xfId="598" xr:uid="{00000000-0005-0000-0000-000060330000}"/>
    <cellStyle name="Estilo 1 2 2 2 2" xfId="11469" xr:uid="{00000000-0005-0000-0000-000061330000}"/>
    <cellStyle name="Estilo 1 2 2 3" xfId="11468" xr:uid="{00000000-0005-0000-0000-000062330000}"/>
    <cellStyle name="Estilo 1 2 3" xfId="599" xr:uid="{00000000-0005-0000-0000-000063330000}"/>
    <cellStyle name="Estilo 1 2 3 2" xfId="11470" xr:uid="{00000000-0005-0000-0000-000064330000}"/>
    <cellStyle name="Estilo 1 2 4" xfId="11467" xr:uid="{00000000-0005-0000-0000-000065330000}"/>
    <cellStyle name="Estilo 1 2_Bdgt Anual" xfId="2094" xr:uid="{00000000-0005-0000-0000-000066330000}"/>
    <cellStyle name="Estilo 1 3" xfId="170" xr:uid="{00000000-0005-0000-0000-000067330000}"/>
    <cellStyle name="Estilo 1 3 2" xfId="400" xr:uid="{00000000-0005-0000-0000-000068330000}"/>
    <cellStyle name="Estilo 1 3 2 2" xfId="600" xr:uid="{00000000-0005-0000-0000-000069330000}"/>
    <cellStyle name="Estilo 1 3 2 2 2" xfId="11473" xr:uid="{00000000-0005-0000-0000-00006A330000}"/>
    <cellStyle name="Estilo 1 3 2 3" xfId="11472" xr:uid="{00000000-0005-0000-0000-00006B330000}"/>
    <cellStyle name="Estilo 1 3 3" xfId="601" xr:uid="{00000000-0005-0000-0000-00006C330000}"/>
    <cellStyle name="Estilo 1 3 3 2" xfId="11474" xr:uid="{00000000-0005-0000-0000-00006D330000}"/>
    <cellStyle name="Estilo 1 3 4" xfId="11471" xr:uid="{00000000-0005-0000-0000-00006E330000}"/>
    <cellStyle name="Estilo 1 3_Bdgt Anual" xfId="2095" xr:uid="{00000000-0005-0000-0000-00006F330000}"/>
    <cellStyle name="Estilo 1 4" xfId="171" xr:uid="{00000000-0005-0000-0000-000070330000}"/>
    <cellStyle name="Estilo 1 4 2" xfId="401" xr:uid="{00000000-0005-0000-0000-000071330000}"/>
    <cellStyle name="Estilo 1 4 2 2" xfId="602" xr:uid="{00000000-0005-0000-0000-000072330000}"/>
    <cellStyle name="Estilo 1 4 2 2 2" xfId="11477" xr:uid="{00000000-0005-0000-0000-000073330000}"/>
    <cellStyle name="Estilo 1 4 2 3" xfId="11476" xr:uid="{00000000-0005-0000-0000-000074330000}"/>
    <cellStyle name="Estilo 1 4 3" xfId="603" xr:uid="{00000000-0005-0000-0000-000075330000}"/>
    <cellStyle name="Estilo 1 4 3 2" xfId="11478" xr:uid="{00000000-0005-0000-0000-000076330000}"/>
    <cellStyle name="Estilo 1 4 4" xfId="11475" xr:uid="{00000000-0005-0000-0000-000077330000}"/>
    <cellStyle name="Estilo 1 4_Bdgt Anual" xfId="2096" xr:uid="{00000000-0005-0000-0000-000078330000}"/>
    <cellStyle name="Estilo 1 5" xfId="604" xr:uid="{00000000-0005-0000-0000-000079330000}"/>
    <cellStyle name="Estilo 1 5 2" xfId="3310" xr:uid="{00000000-0005-0000-0000-00007A330000}"/>
    <cellStyle name="Estilo 1 5 2 2" xfId="11480" xr:uid="{00000000-0005-0000-0000-00007B330000}"/>
    <cellStyle name="Estilo 1 5 2 2 2" xfId="23698" xr:uid="{00000000-0005-0000-0000-00007C330000}"/>
    <cellStyle name="Estilo 1 5 2 3" xfId="23697" xr:uid="{00000000-0005-0000-0000-00007D330000}"/>
    <cellStyle name="Estilo 1 5 3" xfId="11481" xr:uid="{00000000-0005-0000-0000-00007E330000}"/>
    <cellStyle name="Estilo 1 5 4" xfId="11479" xr:uid="{00000000-0005-0000-0000-00007F330000}"/>
    <cellStyle name="Estilo 1 6" xfId="3311" xr:uid="{00000000-0005-0000-0000-000080330000}"/>
    <cellStyle name="Estilo 1 6 2" xfId="11483" xr:uid="{00000000-0005-0000-0000-000081330000}"/>
    <cellStyle name="Estilo 1 6 3" xfId="11482" xr:uid="{00000000-0005-0000-0000-000082330000}"/>
    <cellStyle name="Estilo 1 7" xfId="3312" xr:uid="{00000000-0005-0000-0000-000083330000}"/>
    <cellStyle name="Estilo 1 7 2" xfId="11485" xr:uid="{00000000-0005-0000-0000-000084330000}"/>
    <cellStyle name="Estilo 1 7 3" xfId="11484" xr:uid="{00000000-0005-0000-0000-000085330000}"/>
    <cellStyle name="Estilo 1 8" xfId="11486" xr:uid="{00000000-0005-0000-0000-000086330000}"/>
    <cellStyle name="Estilo 1 9" xfId="11466" xr:uid="{00000000-0005-0000-0000-000087330000}"/>
    <cellStyle name="Estilo 1_Copia de Plan b07 con modelo de nuevas recuperaciones" xfId="172" xr:uid="{00000000-0005-0000-0000-000088330000}"/>
    <cellStyle name="Euro" xfId="173" xr:uid="{00000000-0005-0000-0000-000089330000}"/>
    <cellStyle name="Euro 10" xfId="1714" xr:uid="{00000000-0005-0000-0000-00008A330000}"/>
    <cellStyle name="Euro 10 2" xfId="2098" xr:uid="{00000000-0005-0000-0000-00008B330000}"/>
    <cellStyle name="Euro 10 2 2" xfId="11490" xr:uid="{00000000-0005-0000-0000-00008C330000}"/>
    <cellStyle name="Euro 10 2 3" xfId="11489" xr:uid="{00000000-0005-0000-0000-00008D330000}"/>
    <cellStyle name="Euro 10 3" xfId="2097" xr:uid="{00000000-0005-0000-0000-00008E330000}"/>
    <cellStyle name="Euro 10 3 2" xfId="11491" xr:uid="{00000000-0005-0000-0000-00008F330000}"/>
    <cellStyle name="Euro 10 3 3" xfId="23699" xr:uid="{00000000-0005-0000-0000-000090330000}"/>
    <cellStyle name="Euro 10 4" xfId="3140" xr:uid="{00000000-0005-0000-0000-000091330000}"/>
    <cellStyle name="Euro 10 4 2" xfId="11492" xr:uid="{00000000-0005-0000-0000-000092330000}"/>
    <cellStyle name="Euro 10 5" xfId="4230" xr:uid="{00000000-0005-0000-0000-000093330000}"/>
    <cellStyle name="Euro 10 5 2" xfId="11488" xr:uid="{00000000-0005-0000-0000-000094330000}"/>
    <cellStyle name="Euro 11" xfId="2099" xr:uid="{00000000-0005-0000-0000-000095330000}"/>
    <cellStyle name="Euro 11 2" xfId="11494" xr:uid="{00000000-0005-0000-0000-000096330000}"/>
    <cellStyle name="Euro 11 2 2" xfId="23700" xr:uid="{00000000-0005-0000-0000-000097330000}"/>
    <cellStyle name="Euro 11 3" xfId="11495" xr:uid="{00000000-0005-0000-0000-000098330000}"/>
    <cellStyle name="Euro 11 3 2" xfId="23701" xr:uid="{00000000-0005-0000-0000-000099330000}"/>
    <cellStyle name="Euro 11 4" xfId="11493" xr:uid="{00000000-0005-0000-0000-00009A330000}"/>
    <cellStyle name="Euro 11 4 2" xfId="23702" xr:uid="{00000000-0005-0000-0000-00009B330000}"/>
    <cellStyle name="Euro 12" xfId="2100" xr:uid="{00000000-0005-0000-0000-00009C330000}"/>
    <cellStyle name="Euro 12 2" xfId="11497" xr:uid="{00000000-0005-0000-0000-00009D330000}"/>
    <cellStyle name="Euro 12 2 2" xfId="23703" xr:uid="{00000000-0005-0000-0000-00009E330000}"/>
    <cellStyle name="Euro 12 3" xfId="11496" xr:uid="{00000000-0005-0000-0000-00009F330000}"/>
    <cellStyle name="Euro 12 3 2" xfId="23704" xr:uid="{00000000-0005-0000-0000-0000A0330000}"/>
    <cellStyle name="Euro 13" xfId="2101" xr:uid="{00000000-0005-0000-0000-0000A1330000}"/>
    <cellStyle name="Euro 13 2" xfId="2102" xr:uid="{00000000-0005-0000-0000-0000A2330000}"/>
    <cellStyle name="Euro 13 2 2" xfId="11500" xr:uid="{00000000-0005-0000-0000-0000A3330000}"/>
    <cellStyle name="Euro 13 2 3" xfId="11499" xr:uid="{00000000-0005-0000-0000-0000A4330000}"/>
    <cellStyle name="Euro 13 3" xfId="11501" xr:uid="{00000000-0005-0000-0000-0000A5330000}"/>
    <cellStyle name="Euro 13 3 2" xfId="23705" xr:uid="{00000000-0005-0000-0000-0000A6330000}"/>
    <cellStyle name="Euro 13 4" xfId="11502" xr:uid="{00000000-0005-0000-0000-0000A7330000}"/>
    <cellStyle name="Euro 13 5" xfId="11503" xr:uid="{00000000-0005-0000-0000-0000A8330000}"/>
    <cellStyle name="Euro 13 6" xfId="11498" xr:uid="{00000000-0005-0000-0000-0000A9330000}"/>
    <cellStyle name="Euro 14" xfId="7186" xr:uid="{00000000-0005-0000-0000-0000AA330000}"/>
    <cellStyle name="Euro 14 2" xfId="11505" xr:uid="{00000000-0005-0000-0000-0000AB330000}"/>
    <cellStyle name="Euro 14 2 2" xfId="23706" xr:uid="{00000000-0005-0000-0000-0000AC330000}"/>
    <cellStyle name="Euro 14 3" xfId="11506" xr:uid="{00000000-0005-0000-0000-0000AD330000}"/>
    <cellStyle name="Euro 14 4" xfId="11504" xr:uid="{00000000-0005-0000-0000-0000AE330000}"/>
    <cellStyle name="Euro 15" xfId="7185" xr:uid="{00000000-0005-0000-0000-0000AF330000}"/>
    <cellStyle name="Euro 15 2" xfId="11507" xr:uid="{00000000-0005-0000-0000-0000B0330000}"/>
    <cellStyle name="Euro 16" xfId="11508" xr:uid="{00000000-0005-0000-0000-0000B1330000}"/>
    <cellStyle name="Euro 17" xfId="11509" xr:uid="{00000000-0005-0000-0000-0000B2330000}"/>
    <cellStyle name="Euro 18" xfId="11487" xr:uid="{00000000-0005-0000-0000-0000B3330000}"/>
    <cellStyle name="Euro 2" xfId="174" xr:uid="{00000000-0005-0000-0000-0000B4330000}"/>
    <cellStyle name="Euro 2 2" xfId="605" xr:uid="{00000000-0005-0000-0000-0000B5330000}"/>
    <cellStyle name="Euro 2 2 2" xfId="2105" xr:uid="{00000000-0005-0000-0000-0000B6330000}"/>
    <cellStyle name="Euro 2 2 2 2" xfId="3313" xr:uid="{00000000-0005-0000-0000-0000B7330000}"/>
    <cellStyle name="Euro 2 2 2 2 2" xfId="11514" xr:uid="{00000000-0005-0000-0000-0000B8330000}"/>
    <cellStyle name="Euro 2 2 2 2 2 2" xfId="23708" xr:uid="{00000000-0005-0000-0000-0000B9330000}"/>
    <cellStyle name="Euro 2 2 2 2 3" xfId="11513" xr:uid="{00000000-0005-0000-0000-0000BA330000}"/>
    <cellStyle name="Euro 2 2 2 2 4" xfId="23707" xr:uid="{00000000-0005-0000-0000-0000BB330000}"/>
    <cellStyle name="Euro 2 2 2 3" xfId="11515" xr:uid="{00000000-0005-0000-0000-0000BC330000}"/>
    <cellStyle name="Euro 2 2 2 3 2" xfId="23709" xr:uid="{00000000-0005-0000-0000-0000BD330000}"/>
    <cellStyle name="Euro 2 2 2 4" xfId="11516" xr:uid="{00000000-0005-0000-0000-0000BE330000}"/>
    <cellStyle name="Euro 2 2 2 5" xfId="11512" xr:uid="{00000000-0005-0000-0000-0000BF330000}"/>
    <cellStyle name="Euro 2 2 3" xfId="2106" xr:uid="{00000000-0005-0000-0000-0000C0330000}"/>
    <cellStyle name="Euro 2 2 3 2" xfId="3314" xr:uid="{00000000-0005-0000-0000-0000C1330000}"/>
    <cellStyle name="Euro 2 2 3 2 2" xfId="11519" xr:uid="{00000000-0005-0000-0000-0000C2330000}"/>
    <cellStyle name="Euro 2 2 3 2 3" xfId="11518" xr:uid="{00000000-0005-0000-0000-0000C3330000}"/>
    <cellStyle name="Euro 2 2 3 3" xfId="11520" xr:uid="{00000000-0005-0000-0000-0000C4330000}"/>
    <cellStyle name="Euro 2 2 3 4" xfId="11521" xr:uid="{00000000-0005-0000-0000-0000C5330000}"/>
    <cellStyle name="Euro 2 2 3 5" xfId="11517" xr:uid="{00000000-0005-0000-0000-0000C6330000}"/>
    <cellStyle name="Euro 2 2 4" xfId="2107" xr:uid="{00000000-0005-0000-0000-0000C7330000}"/>
    <cellStyle name="Euro 2 2 4 2" xfId="4264" xr:uid="{00000000-0005-0000-0000-0000C8330000}"/>
    <cellStyle name="Euro 2 2 4 2 2" xfId="11523" xr:uid="{00000000-0005-0000-0000-0000C9330000}"/>
    <cellStyle name="Euro 2 2 4 2 3" xfId="23710" xr:uid="{00000000-0005-0000-0000-0000CA330000}"/>
    <cellStyle name="Euro 2 2 4 3" xfId="3315" xr:uid="{00000000-0005-0000-0000-0000CB330000}"/>
    <cellStyle name="Euro 2 2 4 3 2" xfId="11522" xr:uid="{00000000-0005-0000-0000-0000CC330000}"/>
    <cellStyle name="Euro 2 2 5" xfId="2108" xr:uid="{00000000-0005-0000-0000-0000CD330000}"/>
    <cellStyle name="Euro 2 2 5 2" xfId="11524" xr:uid="{00000000-0005-0000-0000-0000CE330000}"/>
    <cellStyle name="Euro 2 2 6" xfId="2104" xr:uid="{00000000-0005-0000-0000-0000CF330000}"/>
    <cellStyle name="Euro 2 2 6 2" xfId="11525" xr:uid="{00000000-0005-0000-0000-0000D0330000}"/>
    <cellStyle name="Euro 2 2 7" xfId="11511" xr:uid="{00000000-0005-0000-0000-0000D1330000}"/>
    <cellStyle name="Euro 2 3" xfId="2109" xr:uid="{00000000-0005-0000-0000-0000D2330000}"/>
    <cellStyle name="Euro 2 3 2" xfId="2110" xr:uid="{00000000-0005-0000-0000-0000D3330000}"/>
    <cellStyle name="Euro 2 3 2 2" xfId="11528" xr:uid="{00000000-0005-0000-0000-0000D4330000}"/>
    <cellStyle name="Euro 2 3 2 2 2" xfId="23711" xr:uid="{00000000-0005-0000-0000-0000D5330000}"/>
    <cellStyle name="Euro 2 3 2 3" xfId="11527" xr:uid="{00000000-0005-0000-0000-0000D6330000}"/>
    <cellStyle name="Euro 2 3 3" xfId="2752" xr:uid="{00000000-0005-0000-0000-0000D7330000}"/>
    <cellStyle name="Euro 2 3 3 2" xfId="11529" xr:uid="{00000000-0005-0000-0000-0000D8330000}"/>
    <cellStyle name="Euro 2 3 3 3" xfId="23712" xr:uid="{00000000-0005-0000-0000-0000D9330000}"/>
    <cellStyle name="Euro 2 3 4" xfId="11530" xr:uid="{00000000-0005-0000-0000-0000DA330000}"/>
    <cellStyle name="Euro 2 3 4 2" xfId="23713" xr:uid="{00000000-0005-0000-0000-0000DB330000}"/>
    <cellStyle name="Euro 2 3 5" xfId="11526" xr:uid="{00000000-0005-0000-0000-0000DC330000}"/>
    <cellStyle name="Euro 2 4" xfId="2111" xr:uid="{00000000-0005-0000-0000-0000DD330000}"/>
    <cellStyle name="Euro 2 4 2" xfId="11532" xr:uid="{00000000-0005-0000-0000-0000DE330000}"/>
    <cellStyle name="Euro 2 4 2 2" xfId="23714" xr:uid="{00000000-0005-0000-0000-0000DF330000}"/>
    <cellStyle name="Euro 2 4 3" xfId="11533" xr:uid="{00000000-0005-0000-0000-0000E0330000}"/>
    <cellStyle name="Euro 2 4 3 2" xfId="23715" xr:uid="{00000000-0005-0000-0000-0000E1330000}"/>
    <cellStyle name="Euro 2 4 4" xfId="11531" xr:uid="{00000000-0005-0000-0000-0000E2330000}"/>
    <cellStyle name="Euro 2 5" xfId="2112" xr:uid="{00000000-0005-0000-0000-0000E3330000}"/>
    <cellStyle name="Euro 2 5 2" xfId="4265" xr:uid="{00000000-0005-0000-0000-0000E4330000}"/>
    <cellStyle name="Euro 2 5 2 2" xfId="11535" xr:uid="{00000000-0005-0000-0000-0000E5330000}"/>
    <cellStyle name="Euro 2 5 2 3" xfId="23716" xr:uid="{00000000-0005-0000-0000-0000E6330000}"/>
    <cellStyle name="Euro 2 5 3" xfId="3316" xr:uid="{00000000-0005-0000-0000-0000E7330000}"/>
    <cellStyle name="Euro 2 5 3 2" xfId="11536" xr:uid="{00000000-0005-0000-0000-0000E8330000}"/>
    <cellStyle name="Euro 2 5 4" xfId="11537" xr:uid="{00000000-0005-0000-0000-0000E9330000}"/>
    <cellStyle name="Euro 2 5 5" xfId="11534" xr:uid="{00000000-0005-0000-0000-0000EA330000}"/>
    <cellStyle name="Euro 2 6" xfId="2103" xr:uid="{00000000-0005-0000-0000-0000EB330000}"/>
    <cellStyle name="Euro 2 6 2" xfId="11538" xr:uid="{00000000-0005-0000-0000-0000EC330000}"/>
    <cellStyle name="Euro 2 6 3" xfId="23717" xr:uid="{00000000-0005-0000-0000-0000ED330000}"/>
    <cellStyle name="Euro 2 7" xfId="2730" xr:uid="{00000000-0005-0000-0000-0000EE330000}"/>
    <cellStyle name="Euro 2 7 2" xfId="11539" xr:uid="{00000000-0005-0000-0000-0000EF330000}"/>
    <cellStyle name="Euro 2 8" xfId="11510" xr:uid="{00000000-0005-0000-0000-0000F0330000}"/>
    <cellStyle name="Euro 3" xfId="175" xr:uid="{00000000-0005-0000-0000-0000F1330000}"/>
    <cellStyle name="Euro 3 2" xfId="403" xr:uid="{00000000-0005-0000-0000-0000F2330000}"/>
    <cellStyle name="Euro 3 2 10" xfId="7187" xr:uid="{00000000-0005-0000-0000-0000F3330000}"/>
    <cellStyle name="Euro 3 2 2" xfId="606" xr:uid="{00000000-0005-0000-0000-0000F4330000}"/>
    <cellStyle name="Euro 3 2 2 2" xfId="2116" xr:uid="{00000000-0005-0000-0000-0000F5330000}"/>
    <cellStyle name="Euro 3 2 2 2 2" xfId="11544" xr:uid="{00000000-0005-0000-0000-0000F6330000}"/>
    <cellStyle name="Euro 3 2 2 2 3" xfId="11543" xr:uid="{00000000-0005-0000-0000-0000F7330000}"/>
    <cellStyle name="Euro 3 2 2 3" xfId="2117" xr:uid="{00000000-0005-0000-0000-0000F8330000}"/>
    <cellStyle name="Euro 3 2 2 3 2" xfId="11546" xr:uid="{00000000-0005-0000-0000-0000F9330000}"/>
    <cellStyle name="Euro 3 2 2 3 3" xfId="11545" xr:uid="{00000000-0005-0000-0000-0000FA330000}"/>
    <cellStyle name="Euro 3 2 2 4" xfId="2115" xr:uid="{00000000-0005-0000-0000-0000FB330000}"/>
    <cellStyle name="Euro 3 2 2 4 2" xfId="11548" xr:uid="{00000000-0005-0000-0000-0000FC330000}"/>
    <cellStyle name="Euro 3 2 2 4 3" xfId="11547" xr:uid="{00000000-0005-0000-0000-0000FD330000}"/>
    <cellStyle name="Euro 3 2 2 5" xfId="11549" xr:uid="{00000000-0005-0000-0000-0000FE330000}"/>
    <cellStyle name="Euro 3 2 2 5 2" xfId="23718" xr:uid="{00000000-0005-0000-0000-0000FF330000}"/>
    <cellStyle name="Euro 3 2 2 6" xfId="11542" xr:uid="{00000000-0005-0000-0000-000000340000}"/>
    <cellStyle name="Euro 3 2 3" xfId="2118" xr:uid="{00000000-0005-0000-0000-000001340000}"/>
    <cellStyle name="Euro 3 2 3 2" xfId="11551" xr:uid="{00000000-0005-0000-0000-000002340000}"/>
    <cellStyle name="Euro 3 2 3 3" xfId="11550" xr:uid="{00000000-0005-0000-0000-000003340000}"/>
    <cellStyle name="Euro 3 2 4" xfId="2119" xr:uid="{00000000-0005-0000-0000-000004340000}"/>
    <cellStyle name="Euro 3 2 4 2" xfId="7316" xr:uid="{00000000-0005-0000-0000-000005340000}"/>
    <cellStyle name="Euro 3 2 4 2 2" xfId="11553" xr:uid="{00000000-0005-0000-0000-000006340000}"/>
    <cellStyle name="Euro 3 2 4 3" xfId="11554" xr:uid="{00000000-0005-0000-0000-000007340000}"/>
    <cellStyle name="Euro 3 2 4 4" xfId="11552" xr:uid="{00000000-0005-0000-0000-000008340000}"/>
    <cellStyle name="Euro 3 2 4 5" xfId="7188" xr:uid="{00000000-0005-0000-0000-000009340000}"/>
    <cellStyle name="Euro 3 2 5" xfId="2120" xr:uid="{00000000-0005-0000-0000-00000A340000}"/>
    <cellStyle name="Euro 3 2 5 2" xfId="11555" xr:uid="{00000000-0005-0000-0000-00000B340000}"/>
    <cellStyle name="Euro 3 2 6" xfId="2114" xr:uid="{00000000-0005-0000-0000-00000C340000}"/>
    <cellStyle name="Euro 3 2 6 2" xfId="11556" xr:uid="{00000000-0005-0000-0000-00000D340000}"/>
    <cellStyle name="Euro 3 2 6 3" xfId="23719" xr:uid="{00000000-0005-0000-0000-00000E340000}"/>
    <cellStyle name="Euro 3 2 7" xfId="11557" xr:uid="{00000000-0005-0000-0000-00000F340000}"/>
    <cellStyle name="Euro 3 2 8" xfId="11558" xr:uid="{00000000-0005-0000-0000-000010340000}"/>
    <cellStyle name="Euro 3 2 9" xfId="11541" xr:uid="{00000000-0005-0000-0000-000011340000}"/>
    <cellStyle name="Euro 3 3" xfId="607" xr:uid="{00000000-0005-0000-0000-000012340000}"/>
    <cellStyle name="Euro 3 3 2" xfId="2122" xr:uid="{00000000-0005-0000-0000-000013340000}"/>
    <cellStyle name="Euro 3 3 2 2" xfId="11561" xr:uid="{00000000-0005-0000-0000-000014340000}"/>
    <cellStyle name="Euro 3 3 2 3" xfId="11560" xr:uid="{00000000-0005-0000-0000-000015340000}"/>
    <cellStyle name="Euro 3 3 3" xfId="2123" xr:uid="{00000000-0005-0000-0000-000016340000}"/>
    <cellStyle name="Euro 3 3 3 2" xfId="11563" xr:uid="{00000000-0005-0000-0000-000017340000}"/>
    <cellStyle name="Euro 3 3 3 2 2" xfId="23720" xr:uid="{00000000-0005-0000-0000-000018340000}"/>
    <cellStyle name="Euro 3 3 3 3" xfId="11562" xr:uid="{00000000-0005-0000-0000-000019340000}"/>
    <cellStyle name="Euro 3 3 4" xfId="2121" xr:uid="{00000000-0005-0000-0000-00001A340000}"/>
    <cellStyle name="Euro 3 3 4 2" xfId="11564" xr:uid="{00000000-0005-0000-0000-00001B340000}"/>
    <cellStyle name="Euro 3 3 5" xfId="3675" xr:uid="{00000000-0005-0000-0000-00001C340000}"/>
    <cellStyle name="Euro 3 3 5 2" xfId="11565" xr:uid="{00000000-0005-0000-0000-00001D340000}"/>
    <cellStyle name="Euro 3 3 6" xfId="11559" xr:uid="{00000000-0005-0000-0000-00001E340000}"/>
    <cellStyle name="Euro 3 4" xfId="2124" xr:uid="{00000000-0005-0000-0000-00001F340000}"/>
    <cellStyle name="Euro 3 4 2" xfId="11567" xr:uid="{00000000-0005-0000-0000-000020340000}"/>
    <cellStyle name="Euro 3 4 2 2" xfId="23721" xr:uid="{00000000-0005-0000-0000-000021340000}"/>
    <cellStyle name="Euro 3 4 3" xfId="11568" xr:uid="{00000000-0005-0000-0000-000022340000}"/>
    <cellStyle name="Euro 3 4 3 2" xfId="23722" xr:uid="{00000000-0005-0000-0000-000023340000}"/>
    <cellStyle name="Euro 3 4 4" xfId="11566" xr:uid="{00000000-0005-0000-0000-000024340000}"/>
    <cellStyle name="Euro 3 5" xfId="2125" xr:uid="{00000000-0005-0000-0000-000025340000}"/>
    <cellStyle name="Euro 3 5 2" xfId="11570" xr:uid="{00000000-0005-0000-0000-000026340000}"/>
    <cellStyle name="Euro 3 5 2 2" xfId="23723" xr:uid="{00000000-0005-0000-0000-000027340000}"/>
    <cellStyle name="Euro 3 5 3" xfId="11569" xr:uid="{00000000-0005-0000-0000-000028340000}"/>
    <cellStyle name="Euro 3 5 3 2" xfId="23724" xr:uid="{00000000-0005-0000-0000-000029340000}"/>
    <cellStyle name="Euro 3 6" xfId="2126" xr:uid="{00000000-0005-0000-0000-00002A340000}"/>
    <cellStyle name="Euro 3 6 2" xfId="4266" xr:uid="{00000000-0005-0000-0000-00002B340000}"/>
    <cellStyle name="Euro 3 6 2 2" xfId="11572" xr:uid="{00000000-0005-0000-0000-00002C340000}"/>
    <cellStyle name="Euro 3 6 2 3" xfId="23725" xr:uid="{00000000-0005-0000-0000-00002D340000}"/>
    <cellStyle name="Euro 3 6 3" xfId="3317" xr:uid="{00000000-0005-0000-0000-00002E340000}"/>
    <cellStyle name="Euro 3 6 3 2" xfId="11573" xr:uid="{00000000-0005-0000-0000-00002F340000}"/>
    <cellStyle name="Euro 3 6 4" xfId="11574" xr:uid="{00000000-0005-0000-0000-000030340000}"/>
    <cellStyle name="Euro 3 6 5" xfId="11571" xr:uid="{00000000-0005-0000-0000-000031340000}"/>
    <cellStyle name="Euro 3 7" xfId="2113" xr:uid="{00000000-0005-0000-0000-000032340000}"/>
    <cellStyle name="Euro 3 7 2" xfId="11575" xr:uid="{00000000-0005-0000-0000-000033340000}"/>
    <cellStyle name="Euro 3 7 3" xfId="23726" xr:uid="{00000000-0005-0000-0000-000034340000}"/>
    <cellStyle name="Euro 3 8" xfId="11540" xr:uid="{00000000-0005-0000-0000-000035340000}"/>
    <cellStyle name="Euro 3 8 2" xfId="23727" xr:uid="{00000000-0005-0000-0000-000036340000}"/>
    <cellStyle name="Euro 4" xfId="176" xr:uid="{00000000-0005-0000-0000-000037340000}"/>
    <cellStyle name="Euro 4 2" xfId="404" xr:uid="{00000000-0005-0000-0000-000038340000}"/>
    <cellStyle name="Euro 4 2 2" xfId="608" xr:uid="{00000000-0005-0000-0000-000039340000}"/>
    <cellStyle name="Euro 4 2 2 2" xfId="2130" xr:uid="{00000000-0005-0000-0000-00003A340000}"/>
    <cellStyle name="Euro 4 2 2 2 2" xfId="11580" xr:uid="{00000000-0005-0000-0000-00003B340000}"/>
    <cellStyle name="Euro 4 2 2 2 3" xfId="11579" xr:uid="{00000000-0005-0000-0000-00003C340000}"/>
    <cellStyle name="Euro 4 2 2 3" xfId="2129" xr:uid="{00000000-0005-0000-0000-00003D340000}"/>
    <cellStyle name="Euro 4 2 2 3 2" xfId="11582" xr:uid="{00000000-0005-0000-0000-00003E340000}"/>
    <cellStyle name="Euro 4 2 2 3 3" xfId="11581" xr:uid="{00000000-0005-0000-0000-00003F340000}"/>
    <cellStyle name="Euro 4 2 2 4" xfId="11583" xr:uid="{00000000-0005-0000-0000-000040340000}"/>
    <cellStyle name="Euro 4 2 2 4 2" xfId="23728" xr:uid="{00000000-0005-0000-0000-000041340000}"/>
    <cellStyle name="Euro 4 2 2 5" xfId="11578" xr:uid="{00000000-0005-0000-0000-000042340000}"/>
    <cellStyle name="Euro 4 2 3" xfId="2131" xr:uid="{00000000-0005-0000-0000-000043340000}"/>
    <cellStyle name="Euro 4 2 3 2" xfId="11585" xr:uid="{00000000-0005-0000-0000-000044340000}"/>
    <cellStyle name="Euro 4 2 3 3" xfId="11584" xr:uid="{00000000-0005-0000-0000-000045340000}"/>
    <cellStyle name="Euro 4 2 4" xfId="2132" xr:uid="{00000000-0005-0000-0000-000046340000}"/>
    <cellStyle name="Euro 4 2 4 2" xfId="11586" xr:uid="{00000000-0005-0000-0000-000047340000}"/>
    <cellStyle name="Euro 4 2 5" xfId="2128" xr:uid="{00000000-0005-0000-0000-000048340000}"/>
    <cellStyle name="Euro 4 2 5 2" xfId="11587" xr:uid="{00000000-0005-0000-0000-000049340000}"/>
    <cellStyle name="Euro 4 2 6" xfId="11577" xr:uid="{00000000-0005-0000-0000-00004A340000}"/>
    <cellStyle name="Euro 4 3" xfId="609" xr:uid="{00000000-0005-0000-0000-00004B340000}"/>
    <cellStyle name="Euro 4 3 2" xfId="2134" xr:uid="{00000000-0005-0000-0000-00004C340000}"/>
    <cellStyle name="Euro 4 3 2 2" xfId="11590" xr:uid="{00000000-0005-0000-0000-00004D340000}"/>
    <cellStyle name="Euro 4 3 2 3" xfId="11589" xr:uid="{00000000-0005-0000-0000-00004E340000}"/>
    <cellStyle name="Euro 4 3 3" xfId="2133" xr:uid="{00000000-0005-0000-0000-00004F340000}"/>
    <cellStyle name="Euro 4 3 3 2" xfId="11592" xr:uid="{00000000-0005-0000-0000-000050340000}"/>
    <cellStyle name="Euro 4 3 3 3" xfId="11591" xr:uid="{00000000-0005-0000-0000-000051340000}"/>
    <cellStyle name="Euro 4 3 4" xfId="11593" xr:uid="{00000000-0005-0000-0000-000052340000}"/>
    <cellStyle name="Euro 4 3 4 2" xfId="23729" xr:uid="{00000000-0005-0000-0000-000053340000}"/>
    <cellStyle name="Euro 4 3 5" xfId="11588" xr:uid="{00000000-0005-0000-0000-000054340000}"/>
    <cellStyle name="Euro 4 4" xfId="2135" xr:uid="{00000000-0005-0000-0000-000055340000}"/>
    <cellStyle name="Euro 4 4 2" xfId="2753" xr:uid="{00000000-0005-0000-0000-000056340000}"/>
    <cellStyle name="Euro 4 4 2 2" xfId="11595" xr:uid="{00000000-0005-0000-0000-000057340000}"/>
    <cellStyle name="Euro 4 4 3" xfId="11594" xr:uid="{00000000-0005-0000-0000-000058340000}"/>
    <cellStyle name="Euro 4 5" xfId="2136" xr:uid="{00000000-0005-0000-0000-000059340000}"/>
    <cellStyle name="Euro 4 5 2" xfId="11597" xr:uid="{00000000-0005-0000-0000-00005A340000}"/>
    <cellStyle name="Euro 4 5 3" xfId="11596" xr:uid="{00000000-0005-0000-0000-00005B340000}"/>
    <cellStyle name="Euro 4 6" xfId="2137" xr:uid="{00000000-0005-0000-0000-00005C340000}"/>
    <cellStyle name="Euro 4 6 2" xfId="4267" xr:uid="{00000000-0005-0000-0000-00005D340000}"/>
    <cellStyle name="Euro 4 6 2 2" xfId="11599" xr:uid="{00000000-0005-0000-0000-00005E340000}"/>
    <cellStyle name="Euro 4 6 2 3" xfId="23730" xr:uid="{00000000-0005-0000-0000-00005F340000}"/>
    <cellStyle name="Euro 4 6 3" xfId="3318" xr:uid="{00000000-0005-0000-0000-000060340000}"/>
    <cellStyle name="Euro 4 6 3 2" xfId="11600" xr:uid="{00000000-0005-0000-0000-000061340000}"/>
    <cellStyle name="Euro 4 6 4" xfId="11601" xr:uid="{00000000-0005-0000-0000-000062340000}"/>
    <cellStyle name="Euro 4 6 5" xfId="11598" xr:uid="{00000000-0005-0000-0000-000063340000}"/>
    <cellStyle name="Euro 4 7" xfId="2127" xr:uid="{00000000-0005-0000-0000-000064340000}"/>
    <cellStyle name="Euro 4 7 2" xfId="11602" xr:uid="{00000000-0005-0000-0000-000065340000}"/>
    <cellStyle name="Euro 4 7 3" xfId="23731" xr:uid="{00000000-0005-0000-0000-000066340000}"/>
    <cellStyle name="Euro 4 8" xfId="11576" xr:uid="{00000000-0005-0000-0000-000067340000}"/>
    <cellStyle name="Euro 4 8 2" xfId="23732" xr:uid="{00000000-0005-0000-0000-000068340000}"/>
    <cellStyle name="Euro 5" xfId="177" xr:uid="{00000000-0005-0000-0000-000069340000}"/>
    <cellStyle name="Euro 5 2" xfId="405" xr:uid="{00000000-0005-0000-0000-00006A340000}"/>
    <cellStyle name="Euro 5 2 2" xfId="610" xr:uid="{00000000-0005-0000-0000-00006B340000}"/>
    <cellStyle name="Euro 5 2 2 2" xfId="11605" xr:uid="{00000000-0005-0000-0000-00006C340000}"/>
    <cellStyle name="Euro 5 2 3" xfId="11606" xr:uid="{00000000-0005-0000-0000-00006D340000}"/>
    <cellStyle name="Euro 5 2 3 2" xfId="23733" xr:uid="{00000000-0005-0000-0000-00006E340000}"/>
    <cellStyle name="Euro 5 2 4" xfId="11604" xr:uid="{00000000-0005-0000-0000-00006F340000}"/>
    <cellStyle name="Euro 5 3" xfId="611" xr:uid="{00000000-0005-0000-0000-000070340000}"/>
    <cellStyle name="Euro 5 3 2" xfId="2140" xr:uid="{00000000-0005-0000-0000-000071340000}"/>
    <cellStyle name="Euro 5 3 2 2" xfId="11609" xr:uid="{00000000-0005-0000-0000-000072340000}"/>
    <cellStyle name="Euro 5 3 2 3" xfId="11608" xr:uid="{00000000-0005-0000-0000-000073340000}"/>
    <cellStyle name="Euro 5 3 3" xfId="2139" xr:uid="{00000000-0005-0000-0000-000074340000}"/>
    <cellStyle name="Euro 5 3 3 2" xfId="11611" xr:uid="{00000000-0005-0000-0000-000075340000}"/>
    <cellStyle name="Euro 5 3 3 3" xfId="11610" xr:uid="{00000000-0005-0000-0000-000076340000}"/>
    <cellStyle name="Euro 5 3 4" xfId="11612" xr:uid="{00000000-0005-0000-0000-000077340000}"/>
    <cellStyle name="Euro 5 3 5" xfId="11607" xr:uid="{00000000-0005-0000-0000-000078340000}"/>
    <cellStyle name="Euro 5 4" xfId="2141" xr:uid="{00000000-0005-0000-0000-000079340000}"/>
    <cellStyle name="Euro 5 4 2" xfId="11614" xr:uid="{00000000-0005-0000-0000-00007A340000}"/>
    <cellStyle name="Euro 5 4 3" xfId="11613" xr:uid="{00000000-0005-0000-0000-00007B340000}"/>
    <cellStyle name="Euro 5 5" xfId="2142" xr:uid="{00000000-0005-0000-0000-00007C340000}"/>
    <cellStyle name="Euro 5 5 2" xfId="4268" xr:uid="{00000000-0005-0000-0000-00007D340000}"/>
    <cellStyle name="Euro 5 5 2 2" xfId="11616" xr:uid="{00000000-0005-0000-0000-00007E340000}"/>
    <cellStyle name="Euro 5 5 2 3" xfId="23734" xr:uid="{00000000-0005-0000-0000-00007F340000}"/>
    <cellStyle name="Euro 5 5 3" xfId="3319" xr:uid="{00000000-0005-0000-0000-000080340000}"/>
    <cellStyle name="Euro 5 5 3 2" xfId="11615" xr:uid="{00000000-0005-0000-0000-000081340000}"/>
    <cellStyle name="Euro 5 6" xfId="2143" xr:uid="{00000000-0005-0000-0000-000082340000}"/>
    <cellStyle name="Euro 5 6 2" xfId="11617" xr:uid="{00000000-0005-0000-0000-000083340000}"/>
    <cellStyle name="Euro 5 7" xfId="2138" xr:uid="{00000000-0005-0000-0000-000084340000}"/>
    <cellStyle name="Euro 5 7 2" xfId="11618" xr:uid="{00000000-0005-0000-0000-000085340000}"/>
    <cellStyle name="Euro 5 7 3" xfId="23735" xr:uid="{00000000-0005-0000-0000-000086340000}"/>
    <cellStyle name="Euro 5 8" xfId="11603" xr:uid="{00000000-0005-0000-0000-000087340000}"/>
    <cellStyle name="Euro 5 8 2" xfId="23736" xr:uid="{00000000-0005-0000-0000-000088340000}"/>
    <cellStyle name="Euro 6" xfId="178" xr:uid="{00000000-0005-0000-0000-000089340000}"/>
    <cellStyle name="Euro 6 2" xfId="406" xr:uid="{00000000-0005-0000-0000-00008A340000}"/>
    <cellStyle name="Euro 6 2 2" xfId="612" xr:uid="{00000000-0005-0000-0000-00008B340000}"/>
    <cellStyle name="Euro 6 2 2 2" xfId="11621" xr:uid="{00000000-0005-0000-0000-00008C340000}"/>
    <cellStyle name="Euro 6 2 3" xfId="11622" xr:uid="{00000000-0005-0000-0000-00008D340000}"/>
    <cellStyle name="Euro 6 2 3 2" xfId="23737" xr:uid="{00000000-0005-0000-0000-00008E340000}"/>
    <cellStyle name="Euro 6 2 4" xfId="11620" xr:uid="{00000000-0005-0000-0000-00008F340000}"/>
    <cellStyle name="Euro 6 3" xfId="613" xr:uid="{00000000-0005-0000-0000-000090340000}"/>
    <cellStyle name="Euro 6 3 2" xfId="2144" xr:uid="{00000000-0005-0000-0000-000091340000}"/>
    <cellStyle name="Euro 6 3 2 2" xfId="11624" xr:uid="{00000000-0005-0000-0000-000092340000}"/>
    <cellStyle name="Euro 6 3 2 3" xfId="23738" xr:uid="{00000000-0005-0000-0000-000093340000}"/>
    <cellStyle name="Euro 6 3 3" xfId="3676" xr:uid="{00000000-0005-0000-0000-000094340000}"/>
    <cellStyle name="Euro 6 3 3 2" xfId="11625" xr:uid="{00000000-0005-0000-0000-000095340000}"/>
    <cellStyle name="Euro 6 3 4" xfId="11623" xr:uid="{00000000-0005-0000-0000-000096340000}"/>
    <cellStyle name="Euro 6 4" xfId="2145" xr:uid="{00000000-0005-0000-0000-000097340000}"/>
    <cellStyle name="Euro 6 4 2" xfId="11627" xr:uid="{00000000-0005-0000-0000-000098340000}"/>
    <cellStyle name="Euro 6 4 2 2" xfId="23739" xr:uid="{00000000-0005-0000-0000-000099340000}"/>
    <cellStyle name="Euro 6 4 3" xfId="11626" xr:uid="{00000000-0005-0000-0000-00009A340000}"/>
    <cellStyle name="Euro 6 4 3 2" xfId="23740" xr:uid="{00000000-0005-0000-0000-00009B340000}"/>
    <cellStyle name="Euro 6 5" xfId="11628" xr:uid="{00000000-0005-0000-0000-00009C340000}"/>
    <cellStyle name="Euro 6 5 2" xfId="23741" xr:uid="{00000000-0005-0000-0000-00009D340000}"/>
    <cellStyle name="Euro 6 6" xfId="11619" xr:uid="{00000000-0005-0000-0000-00009E340000}"/>
    <cellStyle name="Euro 7" xfId="402" xr:uid="{00000000-0005-0000-0000-00009F340000}"/>
    <cellStyle name="Euro 7 2" xfId="614" xr:uid="{00000000-0005-0000-0000-0000A0340000}"/>
    <cellStyle name="Euro 7 2 2" xfId="11631" xr:uid="{00000000-0005-0000-0000-0000A1340000}"/>
    <cellStyle name="Euro 7 2 3" xfId="11630" xr:uid="{00000000-0005-0000-0000-0000A2340000}"/>
    <cellStyle name="Euro 7 3" xfId="2146" xr:uid="{00000000-0005-0000-0000-0000A3340000}"/>
    <cellStyle name="Euro 7 3 2" xfId="11633" xr:uid="{00000000-0005-0000-0000-0000A4340000}"/>
    <cellStyle name="Euro 7 3 3" xfId="11632" xr:uid="{00000000-0005-0000-0000-0000A5340000}"/>
    <cellStyle name="Euro 7 4" xfId="11634" xr:uid="{00000000-0005-0000-0000-0000A6340000}"/>
    <cellStyle name="Euro 7 4 2" xfId="23742" xr:uid="{00000000-0005-0000-0000-0000A7340000}"/>
    <cellStyle name="Euro 7 5" xfId="11635" xr:uid="{00000000-0005-0000-0000-0000A8340000}"/>
    <cellStyle name="Euro 7 5 2" xfId="23743" xr:uid="{00000000-0005-0000-0000-0000A9340000}"/>
    <cellStyle name="Euro 7 6" xfId="11629" xr:uid="{00000000-0005-0000-0000-0000AA340000}"/>
    <cellStyle name="Euro 8" xfId="441" xr:uid="{00000000-0005-0000-0000-0000AB340000}"/>
    <cellStyle name="Euro 8 2" xfId="615" xr:uid="{00000000-0005-0000-0000-0000AC340000}"/>
    <cellStyle name="Euro 8 2 2" xfId="11637" xr:uid="{00000000-0005-0000-0000-0000AD340000}"/>
    <cellStyle name="Euro 8 2 2 2" xfId="23745" xr:uid="{00000000-0005-0000-0000-0000AE340000}"/>
    <cellStyle name="Euro 8 2 3" xfId="23744" xr:uid="{00000000-0005-0000-0000-0000AF340000}"/>
    <cellStyle name="Euro 8 3" xfId="11638" xr:uid="{00000000-0005-0000-0000-0000B0340000}"/>
    <cellStyle name="Euro 8 3 2" xfId="23746" xr:uid="{00000000-0005-0000-0000-0000B1340000}"/>
    <cellStyle name="Euro 8 4" xfId="11639" xr:uid="{00000000-0005-0000-0000-0000B2340000}"/>
    <cellStyle name="Euro 8 4 2" xfId="23747" xr:uid="{00000000-0005-0000-0000-0000B3340000}"/>
    <cellStyle name="Euro 8 5" xfId="11636" xr:uid="{00000000-0005-0000-0000-0000B4340000}"/>
    <cellStyle name="Euro 9" xfId="616" xr:uid="{00000000-0005-0000-0000-0000B5340000}"/>
    <cellStyle name="Euro 9 2" xfId="2148" xr:uid="{00000000-0005-0000-0000-0000B6340000}"/>
    <cellStyle name="Euro 9 2 2" xfId="11642" xr:uid="{00000000-0005-0000-0000-0000B7340000}"/>
    <cellStyle name="Euro 9 2 2 2" xfId="23748" xr:uid="{00000000-0005-0000-0000-0000B8340000}"/>
    <cellStyle name="Euro 9 2 3" xfId="11641" xr:uid="{00000000-0005-0000-0000-0000B9340000}"/>
    <cellStyle name="Euro 9 2 3 2" xfId="23749" xr:uid="{00000000-0005-0000-0000-0000BA340000}"/>
    <cellStyle name="Euro 9 3" xfId="2147" xr:uid="{00000000-0005-0000-0000-0000BB340000}"/>
    <cellStyle name="Euro 9 3 2" xfId="11643" xr:uid="{00000000-0005-0000-0000-0000BC340000}"/>
    <cellStyle name="Euro 9 3 2 2" xfId="23750" xr:uid="{00000000-0005-0000-0000-0000BD340000}"/>
    <cellStyle name="Euro 9 4" xfId="3677" xr:uid="{00000000-0005-0000-0000-0000BE340000}"/>
    <cellStyle name="Euro 9 4 2" xfId="11640" xr:uid="{00000000-0005-0000-0000-0000BF340000}"/>
    <cellStyle name="Euro 9 4 3" xfId="23751" xr:uid="{00000000-0005-0000-0000-0000C0340000}"/>
    <cellStyle name="Euro_01" xfId="2149" xr:uid="{00000000-0005-0000-0000-0000C1340000}"/>
    <cellStyle name="Explanatory Text" xfId="179" xr:uid="{00000000-0005-0000-0000-0000C2340000}"/>
    <cellStyle name="Explanatory Text 2" xfId="180" xr:uid="{00000000-0005-0000-0000-0000C3340000}"/>
    <cellStyle name="Explanatory Text 2 2" xfId="1240" xr:uid="{00000000-0005-0000-0000-0000C4340000}"/>
    <cellStyle name="Explanatory Text 2 2 2" xfId="2150" xr:uid="{00000000-0005-0000-0000-0000C5340000}"/>
    <cellStyle name="Explanatory Text 2 2 2 2" xfId="11647" xr:uid="{00000000-0005-0000-0000-0000C6340000}"/>
    <cellStyle name="Explanatory Text 2 2 2 3" xfId="23752" xr:uid="{00000000-0005-0000-0000-0000C7340000}"/>
    <cellStyle name="Explanatory Text 2 2 3" xfId="3882" xr:uid="{00000000-0005-0000-0000-0000C8340000}"/>
    <cellStyle name="Explanatory Text 2 2 3 2" xfId="11646" xr:uid="{00000000-0005-0000-0000-0000C9340000}"/>
    <cellStyle name="Explanatory Text 2 3" xfId="11648" xr:uid="{00000000-0005-0000-0000-0000CA340000}"/>
    <cellStyle name="Explanatory Text 2 4" xfId="11649" xr:uid="{00000000-0005-0000-0000-0000CB340000}"/>
    <cellStyle name="Explanatory Text 2 5" xfId="11645" xr:uid="{00000000-0005-0000-0000-0000CC340000}"/>
    <cellStyle name="Explanatory Text 3" xfId="1239" xr:uid="{00000000-0005-0000-0000-0000CD340000}"/>
    <cellStyle name="Explanatory Text 3 2" xfId="2151" xr:uid="{00000000-0005-0000-0000-0000CE340000}"/>
    <cellStyle name="Explanatory Text 3 2 2" xfId="11651" xr:uid="{00000000-0005-0000-0000-0000CF340000}"/>
    <cellStyle name="Explanatory Text 3 2 3" xfId="23753" xr:uid="{00000000-0005-0000-0000-0000D0340000}"/>
    <cellStyle name="Explanatory Text 3 3" xfId="3881" xr:uid="{00000000-0005-0000-0000-0000D1340000}"/>
    <cellStyle name="Explanatory Text 3 3 2" xfId="11650" xr:uid="{00000000-0005-0000-0000-0000D2340000}"/>
    <cellStyle name="Explanatory Text 4" xfId="11652" xr:uid="{00000000-0005-0000-0000-0000D3340000}"/>
    <cellStyle name="Explanatory Text 5" xfId="11653" xr:uid="{00000000-0005-0000-0000-0000D4340000}"/>
    <cellStyle name="Explanatory Text 6" xfId="11644" xr:uid="{00000000-0005-0000-0000-0000D5340000}"/>
    <cellStyle name="F2" xfId="181" xr:uid="{00000000-0005-0000-0000-0000D6340000}"/>
    <cellStyle name="F2 2" xfId="182" xr:uid="{00000000-0005-0000-0000-0000D7340000}"/>
    <cellStyle name="F2 2 2" xfId="617" xr:uid="{00000000-0005-0000-0000-0000D8340000}"/>
    <cellStyle name="F2 2 2 2" xfId="11656" xr:uid="{00000000-0005-0000-0000-0000D9340000}"/>
    <cellStyle name="F2 2 3" xfId="11655" xr:uid="{00000000-0005-0000-0000-0000DA340000}"/>
    <cellStyle name="F2 3" xfId="183" xr:uid="{00000000-0005-0000-0000-0000DB340000}"/>
    <cellStyle name="F2 3 2" xfId="618" xr:uid="{00000000-0005-0000-0000-0000DC340000}"/>
    <cellStyle name="F2 3 2 2" xfId="11658" xr:uid="{00000000-0005-0000-0000-0000DD340000}"/>
    <cellStyle name="F2 3 3" xfId="11657" xr:uid="{00000000-0005-0000-0000-0000DE340000}"/>
    <cellStyle name="F2 4" xfId="184" xr:uid="{00000000-0005-0000-0000-0000DF340000}"/>
    <cellStyle name="F2 4 2" xfId="619" xr:uid="{00000000-0005-0000-0000-0000E0340000}"/>
    <cellStyle name="F2 4 2 2" xfId="11660" xr:uid="{00000000-0005-0000-0000-0000E1340000}"/>
    <cellStyle name="F2 4 3" xfId="11659" xr:uid="{00000000-0005-0000-0000-0000E2340000}"/>
    <cellStyle name="F2 5" xfId="185" xr:uid="{00000000-0005-0000-0000-0000E3340000}"/>
    <cellStyle name="F2 5 2" xfId="620" xr:uid="{00000000-0005-0000-0000-0000E4340000}"/>
    <cellStyle name="F2 5 2 2" xfId="11662" xr:uid="{00000000-0005-0000-0000-0000E5340000}"/>
    <cellStyle name="F2 5 3" xfId="11661" xr:uid="{00000000-0005-0000-0000-0000E6340000}"/>
    <cellStyle name="F2 6" xfId="11663" xr:uid="{00000000-0005-0000-0000-0000E7340000}"/>
    <cellStyle name="F2 7" xfId="11654" xr:uid="{00000000-0005-0000-0000-0000E8340000}"/>
    <cellStyle name="F2_Budget 2012 - Plan de Producción (15092011)" xfId="11664" xr:uid="{00000000-0005-0000-0000-0000E9340000}"/>
    <cellStyle name="F3" xfId="186" xr:uid="{00000000-0005-0000-0000-0000EA340000}"/>
    <cellStyle name="F3 2" xfId="187" xr:uid="{00000000-0005-0000-0000-0000EB340000}"/>
    <cellStyle name="F3 2 2" xfId="621" xr:uid="{00000000-0005-0000-0000-0000EC340000}"/>
    <cellStyle name="F3 2 2 2" xfId="11667" xr:uid="{00000000-0005-0000-0000-0000ED340000}"/>
    <cellStyle name="F3 2 3" xfId="11666" xr:uid="{00000000-0005-0000-0000-0000EE340000}"/>
    <cellStyle name="F3 3" xfId="188" xr:uid="{00000000-0005-0000-0000-0000EF340000}"/>
    <cellStyle name="F3 3 2" xfId="622" xr:uid="{00000000-0005-0000-0000-0000F0340000}"/>
    <cellStyle name="F3 3 2 2" xfId="11669" xr:uid="{00000000-0005-0000-0000-0000F1340000}"/>
    <cellStyle name="F3 3 3" xfId="11668" xr:uid="{00000000-0005-0000-0000-0000F2340000}"/>
    <cellStyle name="F3 4" xfId="189" xr:uid="{00000000-0005-0000-0000-0000F3340000}"/>
    <cellStyle name="F3 4 2" xfId="623" xr:uid="{00000000-0005-0000-0000-0000F4340000}"/>
    <cellStyle name="F3 4 2 2" xfId="11671" xr:uid="{00000000-0005-0000-0000-0000F5340000}"/>
    <cellStyle name="F3 4 3" xfId="11670" xr:uid="{00000000-0005-0000-0000-0000F6340000}"/>
    <cellStyle name="F3 5" xfId="190" xr:uid="{00000000-0005-0000-0000-0000F7340000}"/>
    <cellStyle name="F3 5 2" xfId="624" xr:uid="{00000000-0005-0000-0000-0000F8340000}"/>
    <cellStyle name="F3 5 2 2" xfId="11673" xr:uid="{00000000-0005-0000-0000-0000F9340000}"/>
    <cellStyle name="F3 5 3" xfId="11672" xr:uid="{00000000-0005-0000-0000-0000FA340000}"/>
    <cellStyle name="F3 6" xfId="11674" xr:uid="{00000000-0005-0000-0000-0000FB340000}"/>
    <cellStyle name="F3 7" xfId="11665" xr:uid="{00000000-0005-0000-0000-0000FC340000}"/>
    <cellStyle name="F3_Budget 2012 - Plan de Producción (15092011)" xfId="11675" xr:uid="{00000000-0005-0000-0000-0000FD340000}"/>
    <cellStyle name="F4" xfId="191" xr:uid="{00000000-0005-0000-0000-0000FE340000}"/>
    <cellStyle name="F4 2" xfId="192" xr:uid="{00000000-0005-0000-0000-0000FF340000}"/>
    <cellStyle name="F4 2 2" xfId="625" xr:uid="{00000000-0005-0000-0000-000000350000}"/>
    <cellStyle name="F4 2 2 2" xfId="11678" xr:uid="{00000000-0005-0000-0000-000001350000}"/>
    <cellStyle name="F4 2 3" xfId="11677" xr:uid="{00000000-0005-0000-0000-000002350000}"/>
    <cellStyle name="F4 3" xfId="193" xr:uid="{00000000-0005-0000-0000-000003350000}"/>
    <cellStyle name="F4 3 2" xfId="626" xr:uid="{00000000-0005-0000-0000-000004350000}"/>
    <cellStyle name="F4 3 2 2" xfId="11680" xr:uid="{00000000-0005-0000-0000-000005350000}"/>
    <cellStyle name="F4 3 3" xfId="11679" xr:uid="{00000000-0005-0000-0000-000006350000}"/>
    <cellStyle name="F4 4" xfId="194" xr:uid="{00000000-0005-0000-0000-000007350000}"/>
    <cellStyle name="F4 4 2" xfId="627" xr:uid="{00000000-0005-0000-0000-000008350000}"/>
    <cellStyle name="F4 4 2 2" xfId="11682" xr:uid="{00000000-0005-0000-0000-000009350000}"/>
    <cellStyle name="F4 4 3" xfId="11681" xr:uid="{00000000-0005-0000-0000-00000A350000}"/>
    <cellStyle name="F4 5" xfId="195" xr:uid="{00000000-0005-0000-0000-00000B350000}"/>
    <cellStyle name="F4 5 2" xfId="628" xr:uid="{00000000-0005-0000-0000-00000C350000}"/>
    <cellStyle name="F4 5 2 2" xfId="11684" xr:uid="{00000000-0005-0000-0000-00000D350000}"/>
    <cellStyle name="F4 5 3" xfId="11683" xr:uid="{00000000-0005-0000-0000-00000E350000}"/>
    <cellStyle name="F4 6" xfId="11685" xr:uid="{00000000-0005-0000-0000-00000F350000}"/>
    <cellStyle name="F4 7" xfId="11676" xr:uid="{00000000-0005-0000-0000-000010350000}"/>
    <cellStyle name="F4_Budget 2012 - Plan de Producción (15092011)" xfId="11686" xr:uid="{00000000-0005-0000-0000-000011350000}"/>
    <cellStyle name="F7" xfId="196" xr:uid="{00000000-0005-0000-0000-000012350000}"/>
    <cellStyle name="F7 2" xfId="197" xr:uid="{00000000-0005-0000-0000-000013350000}"/>
    <cellStyle name="F7 2 2" xfId="629" xr:uid="{00000000-0005-0000-0000-000014350000}"/>
    <cellStyle name="F7 2 2 2" xfId="11689" xr:uid="{00000000-0005-0000-0000-000015350000}"/>
    <cellStyle name="F7 2 3" xfId="11688" xr:uid="{00000000-0005-0000-0000-000016350000}"/>
    <cellStyle name="F7 3" xfId="198" xr:uid="{00000000-0005-0000-0000-000017350000}"/>
    <cellStyle name="F7 3 2" xfId="630" xr:uid="{00000000-0005-0000-0000-000018350000}"/>
    <cellStyle name="F7 3 2 2" xfId="11691" xr:uid="{00000000-0005-0000-0000-000019350000}"/>
    <cellStyle name="F7 3 3" xfId="11690" xr:uid="{00000000-0005-0000-0000-00001A350000}"/>
    <cellStyle name="F7 4" xfId="199" xr:uid="{00000000-0005-0000-0000-00001B350000}"/>
    <cellStyle name="F7 4 2" xfId="631" xr:uid="{00000000-0005-0000-0000-00001C350000}"/>
    <cellStyle name="F7 4 2 2" xfId="11693" xr:uid="{00000000-0005-0000-0000-00001D350000}"/>
    <cellStyle name="F7 4 3" xfId="11692" xr:uid="{00000000-0005-0000-0000-00001E350000}"/>
    <cellStyle name="F7 5" xfId="200" xr:uid="{00000000-0005-0000-0000-00001F350000}"/>
    <cellStyle name="F7 5 2" xfId="632" xr:uid="{00000000-0005-0000-0000-000020350000}"/>
    <cellStyle name="F7 5 2 2" xfId="11695" xr:uid="{00000000-0005-0000-0000-000021350000}"/>
    <cellStyle name="F7 5 3" xfId="11694" xr:uid="{00000000-0005-0000-0000-000022350000}"/>
    <cellStyle name="F7 6" xfId="11696" xr:uid="{00000000-0005-0000-0000-000023350000}"/>
    <cellStyle name="F7 7" xfId="11687" xr:uid="{00000000-0005-0000-0000-000024350000}"/>
    <cellStyle name="F7_Budget 2012 - Plan de Producción (15092011)" xfId="11697" xr:uid="{00000000-0005-0000-0000-000025350000}"/>
    <cellStyle name="Fecha" xfId="201" xr:uid="{00000000-0005-0000-0000-000026350000}"/>
    <cellStyle name="Fecha 2" xfId="202" xr:uid="{00000000-0005-0000-0000-000027350000}"/>
    <cellStyle name="Fecha 2 2" xfId="633" xr:uid="{00000000-0005-0000-0000-000028350000}"/>
    <cellStyle name="Fecha 2 2 2" xfId="11700" xr:uid="{00000000-0005-0000-0000-000029350000}"/>
    <cellStyle name="Fecha 2 3" xfId="11699" xr:uid="{00000000-0005-0000-0000-00002A350000}"/>
    <cellStyle name="Fecha 3" xfId="203" xr:uid="{00000000-0005-0000-0000-00002B350000}"/>
    <cellStyle name="Fecha 3 2" xfId="634" xr:uid="{00000000-0005-0000-0000-00002C350000}"/>
    <cellStyle name="Fecha 3 2 2" xfId="11702" xr:uid="{00000000-0005-0000-0000-00002D350000}"/>
    <cellStyle name="Fecha 3 3" xfId="11701" xr:uid="{00000000-0005-0000-0000-00002E350000}"/>
    <cellStyle name="Fecha 4" xfId="204" xr:uid="{00000000-0005-0000-0000-00002F350000}"/>
    <cellStyle name="Fecha 4 2" xfId="635" xr:uid="{00000000-0005-0000-0000-000030350000}"/>
    <cellStyle name="Fecha 4 2 2" xfId="11704" xr:uid="{00000000-0005-0000-0000-000031350000}"/>
    <cellStyle name="Fecha 4 3" xfId="11703" xr:uid="{00000000-0005-0000-0000-000032350000}"/>
    <cellStyle name="Fecha 5" xfId="205" xr:uid="{00000000-0005-0000-0000-000033350000}"/>
    <cellStyle name="Fecha 5 2" xfId="636" xr:uid="{00000000-0005-0000-0000-000034350000}"/>
    <cellStyle name="Fecha 5 2 2" xfId="11706" xr:uid="{00000000-0005-0000-0000-000035350000}"/>
    <cellStyle name="Fecha 5 3" xfId="11705" xr:uid="{00000000-0005-0000-0000-000036350000}"/>
    <cellStyle name="Fecha 6" xfId="11707" xr:uid="{00000000-0005-0000-0000-000037350000}"/>
    <cellStyle name="Fecha 7" xfId="11698" xr:uid="{00000000-0005-0000-0000-000038350000}"/>
    <cellStyle name="Fecha_CBase" xfId="3320" xr:uid="{00000000-0005-0000-0000-000039350000}"/>
    <cellStyle name="Fijo" xfId="206" xr:uid="{00000000-0005-0000-0000-00003A350000}"/>
    <cellStyle name="Fijo 10" xfId="11708" xr:uid="{00000000-0005-0000-0000-00003B350000}"/>
    <cellStyle name="Fijo 2" xfId="407" xr:uid="{00000000-0005-0000-0000-00003C350000}"/>
    <cellStyle name="Fijo 2 2" xfId="637" xr:uid="{00000000-0005-0000-0000-00003D350000}"/>
    <cellStyle name="Fijo 2 2 2" xfId="11710" xr:uid="{00000000-0005-0000-0000-00003E350000}"/>
    <cellStyle name="Fijo 2 3" xfId="11709" xr:uid="{00000000-0005-0000-0000-00003F350000}"/>
    <cellStyle name="Fijo 3" xfId="1715" xr:uid="{00000000-0005-0000-0000-000040350000}"/>
    <cellStyle name="Fijo 3 2" xfId="2153" xr:uid="{00000000-0005-0000-0000-000041350000}"/>
    <cellStyle name="Fijo 3 2 2" xfId="11713" xr:uid="{00000000-0005-0000-0000-000042350000}"/>
    <cellStyle name="Fijo 3 2 3" xfId="11712" xr:uid="{00000000-0005-0000-0000-000043350000}"/>
    <cellStyle name="Fijo 3 3" xfId="2152" xr:uid="{00000000-0005-0000-0000-000044350000}"/>
    <cellStyle name="Fijo 3 3 2" xfId="11714" xr:uid="{00000000-0005-0000-0000-000045350000}"/>
    <cellStyle name="Fijo 3 4" xfId="11711" xr:uid="{00000000-0005-0000-0000-000046350000}"/>
    <cellStyle name="Fijo 4" xfId="2154" xr:uid="{00000000-0005-0000-0000-000047350000}"/>
    <cellStyle name="Fijo 4 2" xfId="11716" xr:uid="{00000000-0005-0000-0000-000048350000}"/>
    <cellStyle name="Fijo 4 2 2" xfId="23754" xr:uid="{00000000-0005-0000-0000-000049350000}"/>
    <cellStyle name="Fijo 4 3" xfId="11715" xr:uid="{00000000-0005-0000-0000-00004A350000}"/>
    <cellStyle name="Fijo 5" xfId="2155" xr:uid="{00000000-0005-0000-0000-00004B350000}"/>
    <cellStyle name="Fijo 5 2" xfId="11718" xr:uid="{00000000-0005-0000-0000-00004C350000}"/>
    <cellStyle name="Fijo 5 3" xfId="11717" xr:uid="{00000000-0005-0000-0000-00004D350000}"/>
    <cellStyle name="Fijo 6" xfId="2156" xr:uid="{00000000-0005-0000-0000-00004E350000}"/>
    <cellStyle name="Fijo 6 2" xfId="11720" xr:uid="{00000000-0005-0000-0000-00004F350000}"/>
    <cellStyle name="Fijo 6 2 2" xfId="23755" xr:uid="{00000000-0005-0000-0000-000050350000}"/>
    <cellStyle name="Fijo 6 3" xfId="11719" xr:uid="{00000000-0005-0000-0000-000051350000}"/>
    <cellStyle name="Fijo 7" xfId="2157" xr:uid="{00000000-0005-0000-0000-000052350000}"/>
    <cellStyle name="Fijo 7 2" xfId="11722" xr:uid="{00000000-0005-0000-0000-000053350000}"/>
    <cellStyle name="Fijo 7 3" xfId="11721" xr:uid="{00000000-0005-0000-0000-000054350000}"/>
    <cellStyle name="Fijo 8" xfId="2158" xr:uid="{00000000-0005-0000-0000-000055350000}"/>
    <cellStyle name="Fijo 8 2" xfId="2159" xr:uid="{00000000-0005-0000-0000-000056350000}"/>
    <cellStyle name="Fijo 8 2 2" xfId="11725" xr:uid="{00000000-0005-0000-0000-000057350000}"/>
    <cellStyle name="Fijo 8 2 3" xfId="11724" xr:uid="{00000000-0005-0000-0000-000058350000}"/>
    <cellStyle name="Fijo 8 3" xfId="11726" xr:uid="{00000000-0005-0000-0000-000059350000}"/>
    <cellStyle name="Fijo 8 4" xfId="11723" xr:uid="{00000000-0005-0000-0000-00005A350000}"/>
    <cellStyle name="Fijo 9" xfId="11727" xr:uid="{00000000-0005-0000-0000-00005B350000}"/>
    <cellStyle name="Fijo_Bdgt Anual" xfId="2160" xr:uid="{00000000-0005-0000-0000-00005C350000}"/>
    <cellStyle name="Fixed" xfId="207" xr:uid="{00000000-0005-0000-0000-00005D350000}"/>
    <cellStyle name="Fixed 2" xfId="11729" xr:uid="{00000000-0005-0000-0000-00005E350000}"/>
    <cellStyle name="Fixed 3" xfId="11728" xr:uid="{00000000-0005-0000-0000-00005F350000}"/>
    <cellStyle name="Good" xfId="208" xr:uid="{00000000-0005-0000-0000-000060350000}"/>
    <cellStyle name="Good 2" xfId="209" xr:uid="{00000000-0005-0000-0000-000061350000}"/>
    <cellStyle name="Good 2 2" xfId="1241" xr:uid="{00000000-0005-0000-0000-000062350000}"/>
    <cellStyle name="Good 2 2 2" xfId="2161" xr:uid="{00000000-0005-0000-0000-000063350000}"/>
    <cellStyle name="Good 2 2 2 2" xfId="11733" xr:uid="{00000000-0005-0000-0000-000064350000}"/>
    <cellStyle name="Good 2 2 2 3" xfId="23756" xr:uid="{00000000-0005-0000-0000-000065350000}"/>
    <cellStyle name="Good 2 2 3" xfId="3883" xr:uid="{00000000-0005-0000-0000-000066350000}"/>
    <cellStyle name="Good 2 2 3 2" xfId="11732" xr:uid="{00000000-0005-0000-0000-000067350000}"/>
    <cellStyle name="Good 2 3" xfId="11734" xr:uid="{00000000-0005-0000-0000-000068350000}"/>
    <cellStyle name="Good 2 4" xfId="11735" xr:uid="{00000000-0005-0000-0000-000069350000}"/>
    <cellStyle name="Good 2 5" xfId="11731" xr:uid="{00000000-0005-0000-0000-00006A350000}"/>
    <cellStyle name="Good 3" xfId="2162" xr:uid="{00000000-0005-0000-0000-00006B350000}"/>
    <cellStyle name="Good 3 2" xfId="11737" xr:uid="{00000000-0005-0000-0000-00006C350000}"/>
    <cellStyle name="Good 3 3" xfId="11736" xr:uid="{00000000-0005-0000-0000-00006D350000}"/>
    <cellStyle name="Good 4" xfId="11738" xr:uid="{00000000-0005-0000-0000-00006E350000}"/>
    <cellStyle name="Good 5" xfId="11739" xr:uid="{00000000-0005-0000-0000-00006F350000}"/>
    <cellStyle name="Good 6" xfId="11730" xr:uid="{00000000-0005-0000-0000-000070350000}"/>
    <cellStyle name="Heading 1" xfId="210" xr:uid="{00000000-0005-0000-0000-000071350000}"/>
    <cellStyle name="Heading 1 2" xfId="211" xr:uid="{00000000-0005-0000-0000-000072350000}"/>
    <cellStyle name="Heading 1 2 2" xfId="1243" xr:uid="{00000000-0005-0000-0000-000073350000}"/>
    <cellStyle name="Heading 1 2 2 2" xfId="2163" xr:uid="{00000000-0005-0000-0000-000074350000}"/>
    <cellStyle name="Heading 1 2 2 2 2" xfId="11743" xr:uid="{00000000-0005-0000-0000-000075350000}"/>
    <cellStyle name="Heading 1 2 2 2 3" xfId="23757" xr:uid="{00000000-0005-0000-0000-000076350000}"/>
    <cellStyle name="Heading 1 2 2 3" xfId="3884" xr:uid="{00000000-0005-0000-0000-000077350000}"/>
    <cellStyle name="Heading 1 2 2 3 2" xfId="11742" xr:uid="{00000000-0005-0000-0000-000078350000}"/>
    <cellStyle name="Heading 1 2 3" xfId="11744" xr:uid="{00000000-0005-0000-0000-000079350000}"/>
    <cellStyle name="Heading 1 2 4" xfId="11745" xr:uid="{00000000-0005-0000-0000-00007A350000}"/>
    <cellStyle name="Heading 1 2 5" xfId="11741" xr:uid="{00000000-0005-0000-0000-00007B350000}"/>
    <cellStyle name="Heading 1 3" xfId="638" xr:uid="{00000000-0005-0000-0000-00007C350000}"/>
    <cellStyle name="Heading 1 3 2" xfId="11746" xr:uid="{00000000-0005-0000-0000-00007D350000}"/>
    <cellStyle name="Heading 1 3 3" xfId="22972" xr:uid="{00000000-0005-0000-0000-00007E350000}"/>
    <cellStyle name="Heading 1 4" xfId="1242" xr:uid="{00000000-0005-0000-0000-00007F350000}"/>
    <cellStyle name="Heading 1 4 2" xfId="11740" xr:uid="{00000000-0005-0000-0000-000080350000}"/>
    <cellStyle name="Heading 1 4 3" xfId="22973" xr:uid="{00000000-0005-0000-0000-000081350000}"/>
    <cellStyle name="Heading 1 5" xfId="2754" xr:uid="{00000000-0005-0000-0000-000082350000}"/>
    <cellStyle name="Heading 1_Bdgt Anual" xfId="2164" xr:uid="{00000000-0005-0000-0000-000083350000}"/>
    <cellStyle name="Heading 2" xfId="212" xr:uid="{00000000-0005-0000-0000-000084350000}"/>
    <cellStyle name="Heading 2 2" xfId="213" xr:uid="{00000000-0005-0000-0000-000085350000}"/>
    <cellStyle name="Heading 2 2 2" xfId="1245" xr:uid="{00000000-0005-0000-0000-000086350000}"/>
    <cellStyle name="Heading 2 2 2 2" xfId="2165" xr:uid="{00000000-0005-0000-0000-000087350000}"/>
    <cellStyle name="Heading 2 2 2 2 2" xfId="11750" xr:uid="{00000000-0005-0000-0000-000088350000}"/>
    <cellStyle name="Heading 2 2 2 2 3" xfId="23758" xr:uid="{00000000-0005-0000-0000-000089350000}"/>
    <cellStyle name="Heading 2 2 2 3" xfId="3885" xr:uid="{00000000-0005-0000-0000-00008A350000}"/>
    <cellStyle name="Heading 2 2 2 3 2" xfId="11749" xr:uid="{00000000-0005-0000-0000-00008B350000}"/>
    <cellStyle name="Heading 2 2 3" xfId="11751" xr:uid="{00000000-0005-0000-0000-00008C350000}"/>
    <cellStyle name="Heading 2 2 4" xfId="11752" xr:uid="{00000000-0005-0000-0000-00008D350000}"/>
    <cellStyle name="Heading 2 2 5" xfId="11748" xr:uid="{00000000-0005-0000-0000-00008E350000}"/>
    <cellStyle name="Heading 2 3" xfId="639" xr:uid="{00000000-0005-0000-0000-00008F350000}"/>
    <cellStyle name="Heading 2 3 2" xfId="11753" xr:uid="{00000000-0005-0000-0000-000090350000}"/>
    <cellStyle name="Heading 2 3 3" xfId="22974" xr:uid="{00000000-0005-0000-0000-000091350000}"/>
    <cellStyle name="Heading 2 4" xfId="1244" xr:uid="{00000000-0005-0000-0000-000092350000}"/>
    <cellStyle name="Heading 2 4 2" xfId="11747" xr:uid="{00000000-0005-0000-0000-000093350000}"/>
    <cellStyle name="Heading 2 4 3" xfId="22975" xr:uid="{00000000-0005-0000-0000-000094350000}"/>
    <cellStyle name="Heading 2 5" xfId="2755" xr:uid="{00000000-0005-0000-0000-000095350000}"/>
    <cellStyle name="Heading 2_Bdgt Anual" xfId="2166" xr:uid="{00000000-0005-0000-0000-000096350000}"/>
    <cellStyle name="Heading 3" xfId="214" xr:uid="{00000000-0005-0000-0000-000097350000}"/>
    <cellStyle name="Heading 3 2" xfId="215" xr:uid="{00000000-0005-0000-0000-000098350000}"/>
    <cellStyle name="Heading 3 2 2" xfId="1247" xr:uid="{00000000-0005-0000-0000-000099350000}"/>
    <cellStyle name="Heading 3 2 2 2" xfId="2167" xr:uid="{00000000-0005-0000-0000-00009A350000}"/>
    <cellStyle name="Heading 3 2 2 2 2" xfId="11757" xr:uid="{00000000-0005-0000-0000-00009B350000}"/>
    <cellStyle name="Heading 3 2 2 2 3" xfId="23759" xr:uid="{00000000-0005-0000-0000-00009C350000}"/>
    <cellStyle name="Heading 3 2 2 3" xfId="3887" xr:uid="{00000000-0005-0000-0000-00009D350000}"/>
    <cellStyle name="Heading 3 2 2 3 2" xfId="11756" xr:uid="{00000000-0005-0000-0000-00009E350000}"/>
    <cellStyle name="Heading 3 2 3" xfId="11758" xr:uid="{00000000-0005-0000-0000-00009F350000}"/>
    <cellStyle name="Heading 3 2 4" xfId="11759" xr:uid="{00000000-0005-0000-0000-0000A0350000}"/>
    <cellStyle name="Heading 3 2 5" xfId="11755" xr:uid="{00000000-0005-0000-0000-0000A1350000}"/>
    <cellStyle name="Heading 3 3" xfId="1246" xr:uid="{00000000-0005-0000-0000-0000A2350000}"/>
    <cellStyle name="Heading 3 3 2" xfId="2168" xr:uid="{00000000-0005-0000-0000-0000A3350000}"/>
    <cellStyle name="Heading 3 3 2 2" xfId="11761" xr:uid="{00000000-0005-0000-0000-0000A4350000}"/>
    <cellStyle name="Heading 3 3 2 3" xfId="23760" xr:uid="{00000000-0005-0000-0000-0000A5350000}"/>
    <cellStyle name="Heading 3 3 3" xfId="3886" xr:uid="{00000000-0005-0000-0000-0000A6350000}"/>
    <cellStyle name="Heading 3 3 3 2" xfId="11760" xr:uid="{00000000-0005-0000-0000-0000A7350000}"/>
    <cellStyle name="Heading 3 4" xfId="11762" xr:uid="{00000000-0005-0000-0000-0000A8350000}"/>
    <cellStyle name="Heading 3 5" xfId="11763" xr:uid="{00000000-0005-0000-0000-0000A9350000}"/>
    <cellStyle name="Heading 3 6" xfId="11754" xr:uid="{00000000-0005-0000-0000-0000AA350000}"/>
    <cellStyle name="Heading 4" xfId="216" xr:uid="{00000000-0005-0000-0000-0000AB350000}"/>
    <cellStyle name="Heading 4 2" xfId="217" xr:uid="{00000000-0005-0000-0000-0000AC350000}"/>
    <cellStyle name="Heading 4 2 2" xfId="1248" xr:uid="{00000000-0005-0000-0000-0000AD350000}"/>
    <cellStyle name="Heading 4 2 2 2" xfId="2169" xr:uid="{00000000-0005-0000-0000-0000AE350000}"/>
    <cellStyle name="Heading 4 2 2 2 2" xfId="11767" xr:uid="{00000000-0005-0000-0000-0000AF350000}"/>
    <cellStyle name="Heading 4 2 2 2 3" xfId="23761" xr:uid="{00000000-0005-0000-0000-0000B0350000}"/>
    <cellStyle name="Heading 4 2 2 3" xfId="3888" xr:uid="{00000000-0005-0000-0000-0000B1350000}"/>
    <cellStyle name="Heading 4 2 2 3 2" xfId="11766" xr:uid="{00000000-0005-0000-0000-0000B2350000}"/>
    <cellStyle name="Heading 4 2 3" xfId="11768" xr:uid="{00000000-0005-0000-0000-0000B3350000}"/>
    <cellStyle name="Heading 4 2 4" xfId="11769" xr:uid="{00000000-0005-0000-0000-0000B4350000}"/>
    <cellStyle name="Heading 4 2 5" xfId="11765" xr:uid="{00000000-0005-0000-0000-0000B5350000}"/>
    <cellStyle name="Heading 4 3" xfId="2170" xr:uid="{00000000-0005-0000-0000-0000B6350000}"/>
    <cellStyle name="Heading 4 3 2" xfId="11771" xr:uid="{00000000-0005-0000-0000-0000B7350000}"/>
    <cellStyle name="Heading 4 3 3" xfId="11770" xr:uid="{00000000-0005-0000-0000-0000B8350000}"/>
    <cellStyle name="Heading 4 4" xfId="11772" xr:uid="{00000000-0005-0000-0000-0000B9350000}"/>
    <cellStyle name="Heading 4 5" xfId="11773" xr:uid="{00000000-0005-0000-0000-0000BA350000}"/>
    <cellStyle name="Heading 4 6" xfId="11764" xr:uid="{00000000-0005-0000-0000-0000BB350000}"/>
    <cellStyle name="Hipervínculo" xfId="218" builtinId="8"/>
    <cellStyle name="Hipervínculo 2" xfId="640" xr:uid="{00000000-0005-0000-0000-0000BD350000}"/>
    <cellStyle name="Hipervínculo 2 2" xfId="2171" xr:uid="{00000000-0005-0000-0000-0000BE350000}"/>
    <cellStyle name="Hipervínculo 2 2 2" xfId="11776" xr:uid="{00000000-0005-0000-0000-0000BF350000}"/>
    <cellStyle name="Hipervínculo 2 2 3" xfId="11775" xr:uid="{00000000-0005-0000-0000-0000C0350000}"/>
    <cellStyle name="Hipervínculo 2 3" xfId="2172" xr:uid="{00000000-0005-0000-0000-0000C1350000}"/>
    <cellStyle name="Hipervínculo 2 3 2" xfId="11778" xr:uid="{00000000-0005-0000-0000-0000C2350000}"/>
    <cellStyle name="Hipervínculo 2 3 3" xfId="11777" xr:uid="{00000000-0005-0000-0000-0000C3350000}"/>
    <cellStyle name="Hipervínculo 2 4" xfId="11779" xr:uid="{00000000-0005-0000-0000-0000C4350000}"/>
    <cellStyle name="Hipervínculo 2 5" xfId="11774" xr:uid="{00000000-0005-0000-0000-0000C5350000}"/>
    <cellStyle name="Hipervínculo 3" xfId="2173" xr:uid="{00000000-0005-0000-0000-0000C6350000}"/>
    <cellStyle name="Hipervínculo 3 2" xfId="11781" xr:uid="{00000000-0005-0000-0000-0000C7350000}"/>
    <cellStyle name="Hipervínculo 3 3" xfId="11780" xr:uid="{00000000-0005-0000-0000-0000C8350000}"/>
    <cellStyle name="Hipervínculo 4" xfId="2174" xr:uid="{00000000-0005-0000-0000-0000C9350000}"/>
    <cellStyle name="Hipervínculo 4 2" xfId="11783" xr:uid="{00000000-0005-0000-0000-0000CA350000}"/>
    <cellStyle name="Hipervínculo 4 3" xfId="11784" xr:uid="{00000000-0005-0000-0000-0000CB350000}"/>
    <cellStyle name="Hipervínculo 4 4" xfId="11785" xr:uid="{00000000-0005-0000-0000-0000CC350000}"/>
    <cellStyle name="Hipervínculo 4 5" xfId="11782" xr:uid="{00000000-0005-0000-0000-0000CD350000}"/>
    <cellStyle name="Hipervínculo 5" xfId="2175" xr:uid="{00000000-0005-0000-0000-0000CE350000}"/>
    <cellStyle name="Hipervínculo 5 2" xfId="11787" xr:uid="{00000000-0005-0000-0000-0000CF350000}"/>
    <cellStyle name="Hipervínculo 5 2 2" xfId="23762" xr:uid="{00000000-0005-0000-0000-0000D0350000}"/>
    <cellStyle name="Hipervínculo 5 3" xfId="11786" xr:uid="{00000000-0005-0000-0000-0000D1350000}"/>
    <cellStyle name="Hyperlink 2" xfId="219" xr:uid="{00000000-0005-0000-0000-0000D2350000}"/>
    <cellStyle name="Hyperlink 2 2" xfId="220" xr:uid="{00000000-0005-0000-0000-0000D3350000}"/>
    <cellStyle name="Hyperlink 2 2 2" xfId="11790" xr:uid="{00000000-0005-0000-0000-0000D4350000}"/>
    <cellStyle name="Hyperlink 2 2 3" xfId="11789" xr:uid="{00000000-0005-0000-0000-0000D5350000}"/>
    <cellStyle name="Hyperlink 2 3" xfId="221" xr:uid="{00000000-0005-0000-0000-0000D6350000}"/>
    <cellStyle name="Hyperlink 2 3 2" xfId="11792" xr:uid="{00000000-0005-0000-0000-0000D7350000}"/>
    <cellStyle name="Hyperlink 2 3 3" xfId="11791" xr:uid="{00000000-0005-0000-0000-0000D8350000}"/>
    <cellStyle name="Hyperlink 2 4" xfId="222" xr:uid="{00000000-0005-0000-0000-0000D9350000}"/>
    <cellStyle name="Hyperlink 2 4 2" xfId="11794" xr:uid="{00000000-0005-0000-0000-0000DA350000}"/>
    <cellStyle name="Hyperlink 2 4 3" xfId="11793" xr:uid="{00000000-0005-0000-0000-0000DB350000}"/>
    <cellStyle name="Hyperlink 2 5" xfId="223" xr:uid="{00000000-0005-0000-0000-0000DC350000}"/>
    <cellStyle name="Hyperlink 2 5 2" xfId="11796" xr:uid="{00000000-0005-0000-0000-0000DD350000}"/>
    <cellStyle name="Hyperlink 2 5 3" xfId="11795" xr:uid="{00000000-0005-0000-0000-0000DE350000}"/>
    <cellStyle name="Hyperlink 2 6" xfId="11797" xr:uid="{00000000-0005-0000-0000-0000DF350000}"/>
    <cellStyle name="Hyperlink 2 7" xfId="11788" xr:uid="{00000000-0005-0000-0000-0000E0350000}"/>
    <cellStyle name="Incorrecto" xfId="224" builtinId="27" customBuiltin="1"/>
    <cellStyle name="Incorrecto 10" xfId="1250" xr:uid="{00000000-0005-0000-0000-0000E2350000}"/>
    <cellStyle name="Incorrecto 11" xfId="1249" xr:uid="{00000000-0005-0000-0000-0000E3350000}"/>
    <cellStyle name="Incorrecto 12" xfId="1402" xr:uid="{00000000-0005-0000-0000-0000E4350000}"/>
    <cellStyle name="Incorrecto 13" xfId="4905" xr:uid="{00000000-0005-0000-0000-0000E5350000}"/>
    <cellStyle name="Incorrecto 2" xfId="642" xr:uid="{00000000-0005-0000-0000-0000E6350000}"/>
    <cellStyle name="Incorrecto 2 2" xfId="2176" xr:uid="{00000000-0005-0000-0000-0000E7350000}"/>
    <cellStyle name="Incorrecto 2 2 2" xfId="3321" xr:uid="{00000000-0005-0000-0000-0000E8350000}"/>
    <cellStyle name="Incorrecto 2 2 2 2" xfId="11802" xr:uid="{00000000-0005-0000-0000-0000E9350000}"/>
    <cellStyle name="Incorrecto 2 2 2 3" xfId="11801" xr:uid="{00000000-0005-0000-0000-0000EA350000}"/>
    <cellStyle name="Incorrecto 2 2 3" xfId="11803" xr:uid="{00000000-0005-0000-0000-0000EB350000}"/>
    <cellStyle name="Incorrecto 2 2 4" xfId="11804" xr:uid="{00000000-0005-0000-0000-0000EC350000}"/>
    <cellStyle name="Incorrecto 2 2 5" xfId="11800" xr:uid="{00000000-0005-0000-0000-0000ED350000}"/>
    <cellStyle name="Incorrecto 2 3" xfId="11805" xr:uid="{00000000-0005-0000-0000-0000EE350000}"/>
    <cellStyle name="Incorrecto 2 3 2" xfId="22976" xr:uid="{00000000-0005-0000-0000-0000EF350000}"/>
    <cellStyle name="Incorrecto 2 4" xfId="11806" xr:uid="{00000000-0005-0000-0000-0000F0350000}"/>
    <cellStyle name="Incorrecto 2 5" xfId="11799" xr:uid="{00000000-0005-0000-0000-0000F1350000}"/>
    <cellStyle name="Incorrecto 3" xfId="641" xr:uid="{00000000-0005-0000-0000-0000F2350000}"/>
    <cellStyle name="Incorrecto 3 2" xfId="2177" xr:uid="{00000000-0005-0000-0000-0000F3350000}"/>
    <cellStyle name="Incorrecto 3 2 2" xfId="11809" xr:uid="{00000000-0005-0000-0000-0000F4350000}"/>
    <cellStyle name="Incorrecto 3 2 3" xfId="11808" xr:uid="{00000000-0005-0000-0000-0000F5350000}"/>
    <cellStyle name="Incorrecto 3 3" xfId="2178" xr:uid="{00000000-0005-0000-0000-0000F6350000}"/>
    <cellStyle name="Incorrecto 3 3 2" xfId="11811" xr:uid="{00000000-0005-0000-0000-0000F7350000}"/>
    <cellStyle name="Incorrecto 3 3 3" xfId="11810" xr:uid="{00000000-0005-0000-0000-0000F8350000}"/>
    <cellStyle name="Incorrecto 3 4" xfId="11812" xr:uid="{00000000-0005-0000-0000-0000F9350000}"/>
    <cellStyle name="Incorrecto 3 5" xfId="11813" xr:uid="{00000000-0005-0000-0000-0000FA350000}"/>
    <cellStyle name="Incorrecto 3 6" xfId="11807" xr:uid="{00000000-0005-0000-0000-0000FB350000}"/>
    <cellStyle name="Incorrecto 4" xfId="1251" xr:uid="{00000000-0005-0000-0000-0000FC350000}"/>
    <cellStyle name="Incorrecto 4 2" xfId="11815" xr:uid="{00000000-0005-0000-0000-0000FD350000}"/>
    <cellStyle name="Incorrecto 4 3" xfId="11816" xr:uid="{00000000-0005-0000-0000-0000FE350000}"/>
    <cellStyle name="Incorrecto 4 4" xfId="11817" xr:uid="{00000000-0005-0000-0000-0000FF350000}"/>
    <cellStyle name="Incorrecto 4 5" xfId="11814" xr:uid="{00000000-0005-0000-0000-000000360000}"/>
    <cellStyle name="Incorrecto 5" xfId="1252" xr:uid="{00000000-0005-0000-0000-000001360000}"/>
    <cellStyle name="Incorrecto 5 2" xfId="2179" xr:uid="{00000000-0005-0000-0000-000002360000}"/>
    <cellStyle name="Incorrecto 5 2 2" xfId="11819" xr:uid="{00000000-0005-0000-0000-000003360000}"/>
    <cellStyle name="Incorrecto 5 2 3" xfId="23763" xr:uid="{00000000-0005-0000-0000-000004360000}"/>
    <cellStyle name="Incorrecto 5 3" xfId="3889" xr:uid="{00000000-0005-0000-0000-000005360000}"/>
    <cellStyle name="Incorrecto 5 3 2" xfId="11820" xr:uid="{00000000-0005-0000-0000-000006360000}"/>
    <cellStyle name="Incorrecto 5 3 3" xfId="23764" xr:uid="{00000000-0005-0000-0000-000007360000}"/>
    <cellStyle name="Incorrecto 5 4" xfId="3322" xr:uid="{00000000-0005-0000-0000-000008360000}"/>
    <cellStyle name="Incorrecto 5 4 2" xfId="11821" xr:uid="{00000000-0005-0000-0000-000009360000}"/>
    <cellStyle name="Incorrecto 5 5" xfId="11818" xr:uid="{00000000-0005-0000-0000-00000A360000}"/>
    <cellStyle name="Incorrecto 6" xfId="1253" xr:uid="{00000000-0005-0000-0000-00000B360000}"/>
    <cellStyle name="Incorrecto 6 2" xfId="2180" xr:uid="{00000000-0005-0000-0000-00000C360000}"/>
    <cellStyle name="Incorrecto 6 2 2" xfId="11823" xr:uid="{00000000-0005-0000-0000-00000D360000}"/>
    <cellStyle name="Incorrecto 6 2 3" xfId="23765" xr:uid="{00000000-0005-0000-0000-00000E360000}"/>
    <cellStyle name="Incorrecto 6 3" xfId="3890" xr:uid="{00000000-0005-0000-0000-00000F360000}"/>
    <cellStyle name="Incorrecto 6 3 2" xfId="11822" xr:uid="{00000000-0005-0000-0000-000010360000}"/>
    <cellStyle name="Incorrecto 6 3 3" xfId="23766" xr:uid="{00000000-0005-0000-0000-000011360000}"/>
    <cellStyle name="Incorrecto 6 4" xfId="3323" xr:uid="{00000000-0005-0000-0000-000012360000}"/>
    <cellStyle name="Incorrecto 7" xfId="1254" xr:uid="{00000000-0005-0000-0000-000013360000}"/>
    <cellStyle name="Incorrecto 7 2" xfId="11824" xr:uid="{00000000-0005-0000-0000-000014360000}"/>
    <cellStyle name="Incorrecto 8" xfId="1255" xr:uid="{00000000-0005-0000-0000-000015360000}"/>
    <cellStyle name="Incorrecto 8 2" xfId="11825" xr:uid="{00000000-0005-0000-0000-000016360000}"/>
    <cellStyle name="Incorrecto 9" xfId="1256" xr:uid="{00000000-0005-0000-0000-000017360000}"/>
    <cellStyle name="Incorrecto 9 2" xfId="11798" xr:uid="{00000000-0005-0000-0000-000018360000}"/>
    <cellStyle name="Input" xfId="225" xr:uid="{00000000-0005-0000-0000-000019360000}"/>
    <cellStyle name="Input 10" xfId="11827" xr:uid="{00000000-0005-0000-0000-00001A360000}"/>
    <cellStyle name="Input 10 2" xfId="11828" xr:uid="{00000000-0005-0000-0000-00001B360000}"/>
    <cellStyle name="Input 10 3" xfId="11829" xr:uid="{00000000-0005-0000-0000-00001C360000}"/>
    <cellStyle name="Input 10 4" xfId="11830" xr:uid="{00000000-0005-0000-0000-00001D360000}"/>
    <cellStyle name="Input 10 5" xfId="11831" xr:uid="{00000000-0005-0000-0000-00001E360000}"/>
    <cellStyle name="Input 11" xfId="11832" xr:uid="{00000000-0005-0000-0000-00001F360000}"/>
    <cellStyle name="Input 11 2" xfId="11833" xr:uid="{00000000-0005-0000-0000-000020360000}"/>
    <cellStyle name="Input 11 3" xfId="11834" xr:uid="{00000000-0005-0000-0000-000021360000}"/>
    <cellStyle name="Input 11 4" xfId="11835" xr:uid="{00000000-0005-0000-0000-000022360000}"/>
    <cellStyle name="Input 11 5" xfId="11836" xr:uid="{00000000-0005-0000-0000-000023360000}"/>
    <cellStyle name="Input 12" xfId="11837" xr:uid="{00000000-0005-0000-0000-000024360000}"/>
    <cellStyle name="Input 12 2" xfId="11838" xr:uid="{00000000-0005-0000-0000-000025360000}"/>
    <cellStyle name="Input 12 3" xfId="11839" xr:uid="{00000000-0005-0000-0000-000026360000}"/>
    <cellStyle name="Input 12 4" xfId="11840" xr:uid="{00000000-0005-0000-0000-000027360000}"/>
    <cellStyle name="Input 12 5" xfId="11841" xr:uid="{00000000-0005-0000-0000-000028360000}"/>
    <cellStyle name="Input 13" xfId="11842" xr:uid="{00000000-0005-0000-0000-000029360000}"/>
    <cellStyle name="Input 13 2" xfId="11843" xr:uid="{00000000-0005-0000-0000-00002A360000}"/>
    <cellStyle name="Input 13 3" xfId="11844" xr:uid="{00000000-0005-0000-0000-00002B360000}"/>
    <cellStyle name="Input 13 4" xfId="11845" xr:uid="{00000000-0005-0000-0000-00002C360000}"/>
    <cellStyle name="Input 13 5" xfId="11846" xr:uid="{00000000-0005-0000-0000-00002D360000}"/>
    <cellStyle name="Input 14" xfId="11847" xr:uid="{00000000-0005-0000-0000-00002E360000}"/>
    <cellStyle name="Input 15" xfId="11826" xr:uid="{00000000-0005-0000-0000-00002F360000}"/>
    <cellStyle name="Input 2" xfId="226" xr:uid="{00000000-0005-0000-0000-000030360000}"/>
    <cellStyle name="Input 2 10" xfId="11849" xr:uid="{00000000-0005-0000-0000-000031360000}"/>
    <cellStyle name="Input 2 10 2" xfId="11850" xr:uid="{00000000-0005-0000-0000-000032360000}"/>
    <cellStyle name="Input 2 10 3" xfId="11851" xr:uid="{00000000-0005-0000-0000-000033360000}"/>
    <cellStyle name="Input 2 10 4" xfId="11852" xr:uid="{00000000-0005-0000-0000-000034360000}"/>
    <cellStyle name="Input 2 10 5" xfId="11853" xr:uid="{00000000-0005-0000-0000-000035360000}"/>
    <cellStyle name="Input 2 11" xfId="11854" xr:uid="{00000000-0005-0000-0000-000036360000}"/>
    <cellStyle name="Input 2 11 2" xfId="11855" xr:uid="{00000000-0005-0000-0000-000037360000}"/>
    <cellStyle name="Input 2 11 3" xfId="11856" xr:uid="{00000000-0005-0000-0000-000038360000}"/>
    <cellStyle name="Input 2 11 4" xfId="11857" xr:uid="{00000000-0005-0000-0000-000039360000}"/>
    <cellStyle name="Input 2 11 5" xfId="11858" xr:uid="{00000000-0005-0000-0000-00003A360000}"/>
    <cellStyle name="Input 2 12" xfId="11859" xr:uid="{00000000-0005-0000-0000-00003B360000}"/>
    <cellStyle name="Input 2 12 2" xfId="11860" xr:uid="{00000000-0005-0000-0000-00003C360000}"/>
    <cellStyle name="Input 2 12 3" xfId="11861" xr:uid="{00000000-0005-0000-0000-00003D360000}"/>
    <cellStyle name="Input 2 12 4" xfId="11862" xr:uid="{00000000-0005-0000-0000-00003E360000}"/>
    <cellStyle name="Input 2 12 5" xfId="11863" xr:uid="{00000000-0005-0000-0000-00003F360000}"/>
    <cellStyle name="Input 2 13" xfId="11864" xr:uid="{00000000-0005-0000-0000-000040360000}"/>
    <cellStyle name="Input 2 14" xfId="11848" xr:uid="{00000000-0005-0000-0000-000041360000}"/>
    <cellStyle name="Input 2 2" xfId="1257" xr:uid="{00000000-0005-0000-0000-000042360000}"/>
    <cellStyle name="Input 2 2 10" xfId="11866" xr:uid="{00000000-0005-0000-0000-000043360000}"/>
    <cellStyle name="Input 2 2 10 2" xfId="11867" xr:uid="{00000000-0005-0000-0000-000044360000}"/>
    <cellStyle name="Input 2 2 10 3" xfId="11868" xr:uid="{00000000-0005-0000-0000-000045360000}"/>
    <cellStyle name="Input 2 2 10 4" xfId="11869" xr:uid="{00000000-0005-0000-0000-000046360000}"/>
    <cellStyle name="Input 2 2 10 5" xfId="11870" xr:uid="{00000000-0005-0000-0000-000047360000}"/>
    <cellStyle name="Input 2 2 11" xfId="11871" xr:uid="{00000000-0005-0000-0000-000048360000}"/>
    <cellStyle name="Input 2 2 11 2" xfId="11872" xr:uid="{00000000-0005-0000-0000-000049360000}"/>
    <cellStyle name="Input 2 2 11 3" xfId="11873" xr:uid="{00000000-0005-0000-0000-00004A360000}"/>
    <cellStyle name="Input 2 2 11 4" xfId="11874" xr:uid="{00000000-0005-0000-0000-00004B360000}"/>
    <cellStyle name="Input 2 2 11 5" xfId="11875" xr:uid="{00000000-0005-0000-0000-00004C360000}"/>
    <cellStyle name="Input 2 2 12" xfId="11876" xr:uid="{00000000-0005-0000-0000-00004D360000}"/>
    <cellStyle name="Input 2 2 12 2" xfId="11877" xr:uid="{00000000-0005-0000-0000-00004E360000}"/>
    <cellStyle name="Input 2 2 12 3" xfId="11878" xr:uid="{00000000-0005-0000-0000-00004F360000}"/>
    <cellStyle name="Input 2 2 12 4" xfId="11879" xr:uid="{00000000-0005-0000-0000-000050360000}"/>
    <cellStyle name="Input 2 2 12 5" xfId="11880" xr:uid="{00000000-0005-0000-0000-000051360000}"/>
    <cellStyle name="Input 2 2 13" xfId="11881" xr:uid="{00000000-0005-0000-0000-000052360000}"/>
    <cellStyle name="Input 2 2 14" xfId="11882" xr:uid="{00000000-0005-0000-0000-000053360000}"/>
    <cellStyle name="Input 2 2 15" xfId="11883" xr:uid="{00000000-0005-0000-0000-000054360000}"/>
    <cellStyle name="Input 2 2 16" xfId="11884" xr:uid="{00000000-0005-0000-0000-000055360000}"/>
    <cellStyle name="Input 2 2 17" xfId="11885" xr:uid="{00000000-0005-0000-0000-000056360000}"/>
    <cellStyle name="Input 2 2 18" xfId="11865" xr:uid="{00000000-0005-0000-0000-000057360000}"/>
    <cellStyle name="Input 2 2 2" xfId="2181" xr:uid="{00000000-0005-0000-0000-000058360000}"/>
    <cellStyle name="Input 2 2 2 2" xfId="11887" xr:uid="{00000000-0005-0000-0000-000059360000}"/>
    <cellStyle name="Input 2 2 2 3" xfId="11888" xr:uid="{00000000-0005-0000-0000-00005A360000}"/>
    <cellStyle name="Input 2 2 2 4" xfId="11889" xr:uid="{00000000-0005-0000-0000-00005B360000}"/>
    <cellStyle name="Input 2 2 2 5" xfId="11890" xr:uid="{00000000-0005-0000-0000-00005C360000}"/>
    <cellStyle name="Input 2 2 2 6" xfId="11886" xr:uid="{00000000-0005-0000-0000-00005D360000}"/>
    <cellStyle name="Input 2 2 2 7" xfId="23767" xr:uid="{00000000-0005-0000-0000-00005E360000}"/>
    <cellStyle name="Input 2 2 3" xfId="3891" xr:uid="{00000000-0005-0000-0000-00005F360000}"/>
    <cellStyle name="Input 2 2 3 2" xfId="11892" xr:uid="{00000000-0005-0000-0000-000060360000}"/>
    <cellStyle name="Input 2 2 3 3" xfId="11893" xr:uid="{00000000-0005-0000-0000-000061360000}"/>
    <cellStyle name="Input 2 2 3 4" xfId="11894" xr:uid="{00000000-0005-0000-0000-000062360000}"/>
    <cellStyle name="Input 2 2 3 5" xfId="11895" xr:uid="{00000000-0005-0000-0000-000063360000}"/>
    <cellStyle name="Input 2 2 3 6" xfId="11891" xr:uid="{00000000-0005-0000-0000-000064360000}"/>
    <cellStyle name="Input 2 2 3 7" xfId="23768" xr:uid="{00000000-0005-0000-0000-000065360000}"/>
    <cellStyle name="Input 2 2 4" xfId="11896" xr:uid="{00000000-0005-0000-0000-000066360000}"/>
    <cellStyle name="Input 2 2 4 2" xfId="11897" xr:uid="{00000000-0005-0000-0000-000067360000}"/>
    <cellStyle name="Input 2 2 4 3" xfId="11898" xr:uid="{00000000-0005-0000-0000-000068360000}"/>
    <cellStyle name="Input 2 2 4 4" xfId="11899" xr:uid="{00000000-0005-0000-0000-000069360000}"/>
    <cellStyle name="Input 2 2 4 5" xfId="11900" xr:uid="{00000000-0005-0000-0000-00006A360000}"/>
    <cellStyle name="Input 2 2 4 6" xfId="23769" xr:uid="{00000000-0005-0000-0000-00006B360000}"/>
    <cellStyle name="Input 2 2 5" xfId="11901" xr:uid="{00000000-0005-0000-0000-00006C360000}"/>
    <cellStyle name="Input 2 2 5 2" xfId="11902" xr:uid="{00000000-0005-0000-0000-00006D360000}"/>
    <cellStyle name="Input 2 2 5 3" xfId="11903" xr:uid="{00000000-0005-0000-0000-00006E360000}"/>
    <cellStyle name="Input 2 2 5 4" xfId="11904" xr:uid="{00000000-0005-0000-0000-00006F360000}"/>
    <cellStyle name="Input 2 2 5 5" xfId="11905" xr:uid="{00000000-0005-0000-0000-000070360000}"/>
    <cellStyle name="Input 2 2 6" xfId="11906" xr:uid="{00000000-0005-0000-0000-000071360000}"/>
    <cellStyle name="Input 2 2 6 2" xfId="11907" xr:uid="{00000000-0005-0000-0000-000072360000}"/>
    <cellStyle name="Input 2 2 6 3" xfId="11908" xr:uid="{00000000-0005-0000-0000-000073360000}"/>
    <cellStyle name="Input 2 2 6 4" xfId="11909" xr:uid="{00000000-0005-0000-0000-000074360000}"/>
    <cellStyle name="Input 2 2 6 5" xfId="11910" xr:uid="{00000000-0005-0000-0000-000075360000}"/>
    <cellStyle name="Input 2 2 7" xfId="11911" xr:uid="{00000000-0005-0000-0000-000076360000}"/>
    <cellStyle name="Input 2 2 7 2" xfId="11912" xr:uid="{00000000-0005-0000-0000-000077360000}"/>
    <cellStyle name="Input 2 2 7 3" xfId="11913" xr:uid="{00000000-0005-0000-0000-000078360000}"/>
    <cellStyle name="Input 2 2 7 4" xfId="11914" xr:uid="{00000000-0005-0000-0000-000079360000}"/>
    <cellStyle name="Input 2 2 7 5" xfId="11915" xr:uid="{00000000-0005-0000-0000-00007A360000}"/>
    <cellStyle name="Input 2 2 8" xfId="11916" xr:uid="{00000000-0005-0000-0000-00007B360000}"/>
    <cellStyle name="Input 2 2 8 2" xfId="11917" xr:uid="{00000000-0005-0000-0000-00007C360000}"/>
    <cellStyle name="Input 2 2 8 3" xfId="11918" xr:uid="{00000000-0005-0000-0000-00007D360000}"/>
    <cellStyle name="Input 2 2 8 4" xfId="11919" xr:uid="{00000000-0005-0000-0000-00007E360000}"/>
    <cellStyle name="Input 2 2 8 5" xfId="11920" xr:uid="{00000000-0005-0000-0000-00007F360000}"/>
    <cellStyle name="Input 2 2 9" xfId="11921" xr:uid="{00000000-0005-0000-0000-000080360000}"/>
    <cellStyle name="Input 2 2 9 2" xfId="11922" xr:uid="{00000000-0005-0000-0000-000081360000}"/>
    <cellStyle name="Input 2 2 9 3" xfId="11923" xr:uid="{00000000-0005-0000-0000-000082360000}"/>
    <cellStyle name="Input 2 2 9 4" xfId="11924" xr:uid="{00000000-0005-0000-0000-000083360000}"/>
    <cellStyle name="Input 2 2 9 5" xfId="11925" xr:uid="{00000000-0005-0000-0000-000084360000}"/>
    <cellStyle name="Input 2 3" xfId="11926" xr:uid="{00000000-0005-0000-0000-000085360000}"/>
    <cellStyle name="Input 2 3 10" xfId="11927" xr:uid="{00000000-0005-0000-0000-000086360000}"/>
    <cellStyle name="Input 2 3 10 2" xfId="11928" xr:uid="{00000000-0005-0000-0000-000087360000}"/>
    <cellStyle name="Input 2 3 10 3" xfId="11929" xr:uid="{00000000-0005-0000-0000-000088360000}"/>
    <cellStyle name="Input 2 3 10 4" xfId="11930" xr:uid="{00000000-0005-0000-0000-000089360000}"/>
    <cellStyle name="Input 2 3 10 5" xfId="11931" xr:uid="{00000000-0005-0000-0000-00008A360000}"/>
    <cellStyle name="Input 2 3 11" xfId="11932" xr:uid="{00000000-0005-0000-0000-00008B360000}"/>
    <cellStyle name="Input 2 3 11 2" xfId="11933" xr:uid="{00000000-0005-0000-0000-00008C360000}"/>
    <cellStyle name="Input 2 3 11 3" xfId="11934" xr:uid="{00000000-0005-0000-0000-00008D360000}"/>
    <cellStyle name="Input 2 3 11 4" xfId="11935" xr:uid="{00000000-0005-0000-0000-00008E360000}"/>
    <cellStyle name="Input 2 3 11 5" xfId="11936" xr:uid="{00000000-0005-0000-0000-00008F360000}"/>
    <cellStyle name="Input 2 3 12" xfId="11937" xr:uid="{00000000-0005-0000-0000-000090360000}"/>
    <cellStyle name="Input 2 3 12 2" xfId="11938" xr:uid="{00000000-0005-0000-0000-000091360000}"/>
    <cellStyle name="Input 2 3 12 3" xfId="11939" xr:uid="{00000000-0005-0000-0000-000092360000}"/>
    <cellStyle name="Input 2 3 12 4" xfId="11940" xr:uid="{00000000-0005-0000-0000-000093360000}"/>
    <cellStyle name="Input 2 3 12 5" xfId="11941" xr:uid="{00000000-0005-0000-0000-000094360000}"/>
    <cellStyle name="Input 2 3 13" xfId="11942" xr:uid="{00000000-0005-0000-0000-000095360000}"/>
    <cellStyle name="Input 2 3 14" xfId="11943" xr:uid="{00000000-0005-0000-0000-000096360000}"/>
    <cellStyle name="Input 2 3 15" xfId="11944" xr:uid="{00000000-0005-0000-0000-000097360000}"/>
    <cellStyle name="Input 2 3 16" xfId="11945" xr:uid="{00000000-0005-0000-0000-000098360000}"/>
    <cellStyle name="Input 2 3 17" xfId="23770" xr:uid="{00000000-0005-0000-0000-000099360000}"/>
    <cellStyle name="Input 2 3 2" xfId="11946" xr:uid="{00000000-0005-0000-0000-00009A360000}"/>
    <cellStyle name="Input 2 3 2 2" xfId="11947" xr:uid="{00000000-0005-0000-0000-00009B360000}"/>
    <cellStyle name="Input 2 3 2 3" xfId="11948" xr:uid="{00000000-0005-0000-0000-00009C360000}"/>
    <cellStyle name="Input 2 3 2 4" xfId="11949" xr:uid="{00000000-0005-0000-0000-00009D360000}"/>
    <cellStyle name="Input 2 3 2 5" xfId="11950" xr:uid="{00000000-0005-0000-0000-00009E360000}"/>
    <cellStyle name="Input 2 3 3" xfId="11951" xr:uid="{00000000-0005-0000-0000-00009F360000}"/>
    <cellStyle name="Input 2 3 3 2" xfId="11952" xr:uid="{00000000-0005-0000-0000-0000A0360000}"/>
    <cellStyle name="Input 2 3 3 3" xfId="11953" xr:uid="{00000000-0005-0000-0000-0000A1360000}"/>
    <cellStyle name="Input 2 3 3 4" xfId="11954" xr:uid="{00000000-0005-0000-0000-0000A2360000}"/>
    <cellStyle name="Input 2 3 3 5" xfId="11955" xr:uid="{00000000-0005-0000-0000-0000A3360000}"/>
    <cellStyle name="Input 2 3 4" xfId="11956" xr:uid="{00000000-0005-0000-0000-0000A4360000}"/>
    <cellStyle name="Input 2 3 4 2" xfId="11957" xr:uid="{00000000-0005-0000-0000-0000A5360000}"/>
    <cellStyle name="Input 2 3 4 3" xfId="11958" xr:uid="{00000000-0005-0000-0000-0000A6360000}"/>
    <cellStyle name="Input 2 3 4 4" xfId="11959" xr:uid="{00000000-0005-0000-0000-0000A7360000}"/>
    <cellStyle name="Input 2 3 4 5" xfId="11960" xr:uid="{00000000-0005-0000-0000-0000A8360000}"/>
    <cellStyle name="Input 2 3 5" xfId="11961" xr:uid="{00000000-0005-0000-0000-0000A9360000}"/>
    <cellStyle name="Input 2 3 5 2" xfId="11962" xr:uid="{00000000-0005-0000-0000-0000AA360000}"/>
    <cellStyle name="Input 2 3 5 3" xfId="11963" xr:uid="{00000000-0005-0000-0000-0000AB360000}"/>
    <cellStyle name="Input 2 3 5 4" xfId="11964" xr:uid="{00000000-0005-0000-0000-0000AC360000}"/>
    <cellStyle name="Input 2 3 5 5" xfId="11965" xr:uid="{00000000-0005-0000-0000-0000AD360000}"/>
    <cellStyle name="Input 2 3 6" xfId="11966" xr:uid="{00000000-0005-0000-0000-0000AE360000}"/>
    <cellStyle name="Input 2 3 6 2" xfId="11967" xr:uid="{00000000-0005-0000-0000-0000AF360000}"/>
    <cellStyle name="Input 2 3 6 3" xfId="11968" xr:uid="{00000000-0005-0000-0000-0000B0360000}"/>
    <cellStyle name="Input 2 3 6 4" xfId="11969" xr:uid="{00000000-0005-0000-0000-0000B1360000}"/>
    <cellStyle name="Input 2 3 6 5" xfId="11970" xr:uid="{00000000-0005-0000-0000-0000B2360000}"/>
    <cellStyle name="Input 2 3 7" xfId="11971" xr:uid="{00000000-0005-0000-0000-0000B3360000}"/>
    <cellStyle name="Input 2 3 7 2" xfId="11972" xr:uid="{00000000-0005-0000-0000-0000B4360000}"/>
    <cellStyle name="Input 2 3 7 3" xfId="11973" xr:uid="{00000000-0005-0000-0000-0000B5360000}"/>
    <cellStyle name="Input 2 3 7 4" xfId="11974" xr:uid="{00000000-0005-0000-0000-0000B6360000}"/>
    <cellStyle name="Input 2 3 7 5" xfId="11975" xr:uid="{00000000-0005-0000-0000-0000B7360000}"/>
    <cellStyle name="Input 2 3 8" xfId="11976" xr:uid="{00000000-0005-0000-0000-0000B8360000}"/>
    <cellStyle name="Input 2 3 8 2" xfId="11977" xr:uid="{00000000-0005-0000-0000-0000B9360000}"/>
    <cellStyle name="Input 2 3 8 3" xfId="11978" xr:uid="{00000000-0005-0000-0000-0000BA360000}"/>
    <cellStyle name="Input 2 3 8 4" xfId="11979" xr:uid="{00000000-0005-0000-0000-0000BB360000}"/>
    <cellStyle name="Input 2 3 8 5" xfId="11980" xr:uid="{00000000-0005-0000-0000-0000BC360000}"/>
    <cellStyle name="Input 2 3 9" xfId="11981" xr:uid="{00000000-0005-0000-0000-0000BD360000}"/>
    <cellStyle name="Input 2 3 9 2" xfId="11982" xr:uid="{00000000-0005-0000-0000-0000BE360000}"/>
    <cellStyle name="Input 2 3 9 3" xfId="11983" xr:uid="{00000000-0005-0000-0000-0000BF360000}"/>
    <cellStyle name="Input 2 3 9 4" xfId="11984" xr:uid="{00000000-0005-0000-0000-0000C0360000}"/>
    <cellStyle name="Input 2 3 9 5" xfId="11985" xr:uid="{00000000-0005-0000-0000-0000C1360000}"/>
    <cellStyle name="Input 2 4" xfId="11986" xr:uid="{00000000-0005-0000-0000-0000C2360000}"/>
    <cellStyle name="Input 2 4 10" xfId="11987" xr:uid="{00000000-0005-0000-0000-0000C3360000}"/>
    <cellStyle name="Input 2 4 10 2" xfId="11988" xr:uid="{00000000-0005-0000-0000-0000C4360000}"/>
    <cellStyle name="Input 2 4 10 3" xfId="11989" xr:uid="{00000000-0005-0000-0000-0000C5360000}"/>
    <cellStyle name="Input 2 4 10 4" xfId="11990" xr:uid="{00000000-0005-0000-0000-0000C6360000}"/>
    <cellStyle name="Input 2 4 10 5" xfId="11991" xr:uid="{00000000-0005-0000-0000-0000C7360000}"/>
    <cellStyle name="Input 2 4 11" xfId="11992" xr:uid="{00000000-0005-0000-0000-0000C8360000}"/>
    <cellStyle name="Input 2 4 11 2" xfId="11993" xr:uid="{00000000-0005-0000-0000-0000C9360000}"/>
    <cellStyle name="Input 2 4 11 3" xfId="11994" xr:uid="{00000000-0005-0000-0000-0000CA360000}"/>
    <cellStyle name="Input 2 4 11 4" xfId="11995" xr:uid="{00000000-0005-0000-0000-0000CB360000}"/>
    <cellStyle name="Input 2 4 11 5" xfId="11996" xr:uid="{00000000-0005-0000-0000-0000CC360000}"/>
    <cellStyle name="Input 2 4 12" xfId="11997" xr:uid="{00000000-0005-0000-0000-0000CD360000}"/>
    <cellStyle name="Input 2 4 13" xfId="11998" xr:uid="{00000000-0005-0000-0000-0000CE360000}"/>
    <cellStyle name="Input 2 4 14" xfId="11999" xr:uid="{00000000-0005-0000-0000-0000CF360000}"/>
    <cellStyle name="Input 2 4 15" xfId="12000" xr:uid="{00000000-0005-0000-0000-0000D0360000}"/>
    <cellStyle name="Input 2 4 16" xfId="23771" xr:uid="{00000000-0005-0000-0000-0000D1360000}"/>
    <cellStyle name="Input 2 4 2" xfId="12001" xr:uid="{00000000-0005-0000-0000-0000D2360000}"/>
    <cellStyle name="Input 2 4 2 2" xfId="12002" xr:uid="{00000000-0005-0000-0000-0000D3360000}"/>
    <cellStyle name="Input 2 4 2 3" xfId="12003" xr:uid="{00000000-0005-0000-0000-0000D4360000}"/>
    <cellStyle name="Input 2 4 2 4" xfId="12004" xr:uid="{00000000-0005-0000-0000-0000D5360000}"/>
    <cellStyle name="Input 2 4 2 5" xfId="12005" xr:uid="{00000000-0005-0000-0000-0000D6360000}"/>
    <cellStyle name="Input 2 4 3" xfId="12006" xr:uid="{00000000-0005-0000-0000-0000D7360000}"/>
    <cellStyle name="Input 2 4 3 2" xfId="12007" xr:uid="{00000000-0005-0000-0000-0000D8360000}"/>
    <cellStyle name="Input 2 4 3 3" xfId="12008" xr:uid="{00000000-0005-0000-0000-0000D9360000}"/>
    <cellStyle name="Input 2 4 3 4" xfId="12009" xr:uid="{00000000-0005-0000-0000-0000DA360000}"/>
    <cellStyle name="Input 2 4 3 5" xfId="12010" xr:uid="{00000000-0005-0000-0000-0000DB360000}"/>
    <cellStyle name="Input 2 4 4" xfId="12011" xr:uid="{00000000-0005-0000-0000-0000DC360000}"/>
    <cellStyle name="Input 2 4 4 2" xfId="12012" xr:uid="{00000000-0005-0000-0000-0000DD360000}"/>
    <cellStyle name="Input 2 4 4 3" xfId="12013" xr:uid="{00000000-0005-0000-0000-0000DE360000}"/>
    <cellStyle name="Input 2 4 4 4" xfId="12014" xr:uid="{00000000-0005-0000-0000-0000DF360000}"/>
    <cellStyle name="Input 2 4 4 5" xfId="12015" xr:uid="{00000000-0005-0000-0000-0000E0360000}"/>
    <cellStyle name="Input 2 4 5" xfId="12016" xr:uid="{00000000-0005-0000-0000-0000E1360000}"/>
    <cellStyle name="Input 2 4 5 2" xfId="12017" xr:uid="{00000000-0005-0000-0000-0000E2360000}"/>
    <cellStyle name="Input 2 4 5 3" xfId="12018" xr:uid="{00000000-0005-0000-0000-0000E3360000}"/>
    <cellStyle name="Input 2 4 5 4" xfId="12019" xr:uid="{00000000-0005-0000-0000-0000E4360000}"/>
    <cellStyle name="Input 2 4 5 5" xfId="12020" xr:uid="{00000000-0005-0000-0000-0000E5360000}"/>
    <cellStyle name="Input 2 4 6" xfId="12021" xr:uid="{00000000-0005-0000-0000-0000E6360000}"/>
    <cellStyle name="Input 2 4 6 2" xfId="12022" xr:uid="{00000000-0005-0000-0000-0000E7360000}"/>
    <cellStyle name="Input 2 4 6 3" xfId="12023" xr:uid="{00000000-0005-0000-0000-0000E8360000}"/>
    <cellStyle name="Input 2 4 6 4" xfId="12024" xr:uid="{00000000-0005-0000-0000-0000E9360000}"/>
    <cellStyle name="Input 2 4 6 5" xfId="12025" xr:uid="{00000000-0005-0000-0000-0000EA360000}"/>
    <cellStyle name="Input 2 4 7" xfId="12026" xr:uid="{00000000-0005-0000-0000-0000EB360000}"/>
    <cellStyle name="Input 2 4 7 2" xfId="12027" xr:uid="{00000000-0005-0000-0000-0000EC360000}"/>
    <cellStyle name="Input 2 4 7 3" xfId="12028" xr:uid="{00000000-0005-0000-0000-0000ED360000}"/>
    <cellStyle name="Input 2 4 7 4" xfId="12029" xr:uid="{00000000-0005-0000-0000-0000EE360000}"/>
    <cellStyle name="Input 2 4 7 5" xfId="12030" xr:uid="{00000000-0005-0000-0000-0000EF360000}"/>
    <cellStyle name="Input 2 4 8" xfId="12031" xr:uid="{00000000-0005-0000-0000-0000F0360000}"/>
    <cellStyle name="Input 2 4 8 2" xfId="12032" xr:uid="{00000000-0005-0000-0000-0000F1360000}"/>
    <cellStyle name="Input 2 4 8 3" xfId="12033" xr:uid="{00000000-0005-0000-0000-0000F2360000}"/>
    <cellStyle name="Input 2 4 8 4" xfId="12034" xr:uid="{00000000-0005-0000-0000-0000F3360000}"/>
    <cellStyle name="Input 2 4 8 5" xfId="12035" xr:uid="{00000000-0005-0000-0000-0000F4360000}"/>
    <cellStyle name="Input 2 4 9" xfId="12036" xr:uid="{00000000-0005-0000-0000-0000F5360000}"/>
    <cellStyle name="Input 2 4 9 2" xfId="12037" xr:uid="{00000000-0005-0000-0000-0000F6360000}"/>
    <cellStyle name="Input 2 4 9 3" xfId="12038" xr:uid="{00000000-0005-0000-0000-0000F7360000}"/>
    <cellStyle name="Input 2 4 9 4" xfId="12039" xr:uid="{00000000-0005-0000-0000-0000F8360000}"/>
    <cellStyle name="Input 2 4 9 5" xfId="12040" xr:uid="{00000000-0005-0000-0000-0000F9360000}"/>
    <cellStyle name="Input 2 5" xfId="12041" xr:uid="{00000000-0005-0000-0000-0000FA360000}"/>
    <cellStyle name="Input 2 5 10" xfId="12042" xr:uid="{00000000-0005-0000-0000-0000FB360000}"/>
    <cellStyle name="Input 2 5 10 2" xfId="12043" xr:uid="{00000000-0005-0000-0000-0000FC360000}"/>
    <cellStyle name="Input 2 5 10 3" xfId="12044" xr:uid="{00000000-0005-0000-0000-0000FD360000}"/>
    <cellStyle name="Input 2 5 10 4" xfId="12045" xr:uid="{00000000-0005-0000-0000-0000FE360000}"/>
    <cellStyle name="Input 2 5 10 5" xfId="12046" xr:uid="{00000000-0005-0000-0000-0000FF360000}"/>
    <cellStyle name="Input 2 5 11" xfId="12047" xr:uid="{00000000-0005-0000-0000-000000370000}"/>
    <cellStyle name="Input 2 5 11 2" xfId="12048" xr:uid="{00000000-0005-0000-0000-000001370000}"/>
    <cellStyle name="Input 2 5 11 3" xfId="12049" xr:uid="{00000000-0005-0000-0000-000002370000}"/>
    <cellStyle name="Input 2 5 11 4" xfId="12050" xr:uid="{00000000-0005-0000-0000-000003370000}"/>
    <cellStyle name="Input 2 5 11 5" xfId="12051" xr:uid="{00000000-0005-0000-0000-000004370000}"/>
    <cellStyle name="Input 2 5 12" xfId="12052" xr:uid="{00000000-0005-0000-0000-000005370000}"/>
    <cellStyle name="Input 2 5 13" xfId="12053" xr:uid="{00000000-0005-0000-0000-000006370000}"/>
    <cellStyle name="Input 2 5 14" xfId="12054" xr:uid="{00000000-0005-0000-0000-000007370000}"/>
    <cellStyle name="Input 2 5 15" xfId="12055" xr:uid="{00000000-0005-0000-0000-000008370000}"/>
    <cellStyle name="Input 2 5 2" xfId="12056" xr:uid="{00000000-0005-0000-0000-000009370000}"/>
    <cellStyle name="Input 2 5 2 2" xfId="12057" xr:uid="{00000000-0005-0000-0000-00000A370000}"/>
    <cellStyle name="Input 2 5 2 3" xfId="12058" xr:uid="{00000000-0005-0000-0000-00000B370000}"/>
    <cellStyle name="Input 2 5 2 4" xfId="12059" xr:uid="{00000000-0005-0000-0000-00000C370000}"/>
    <cellStyle name="Input 2 5 2 5" xfId="12060" xr:uid="{00000000-0005-0000-0000-00000D370000}"/>
    <cellStyle name="Input 2 5 3" xfId="12061" xr:uid="{00000000-0005-0000-0000-00000E370000}"/>
    <cellStyle name="Input 2 5 3 2" xfId="12062" xr:uid="{00000000-0005-0000-0000-00000F370000}"/>
    <cellStyle name="Input 2 5 3 3" xfId="12063" xr:uid="{00000000-0005-0000-0000-000010370000}"/>
    <cellStyle name="Input 2 5 3 4" xfId="12064" xr:uid="{00000000-0005-0000-0000-000011370000}"/>
    <cellStyle name="Input 2 5 3 5" xfId="12065" xr:uid="{00000000-0005-0000-0000-000012370000}"/>
    <cellStyle name="Input 2 5 4" xfId="12066" xr:uid="{00000000-0005-0000-0000-000013370000}"/>
    <cellStyle name="Input 2 5 4 2" xfId="12067" xr:uid="{00000000-0005-0000-0000-000014370000}"/>
    <cellStyle name="Input 2 5 4 3" xfId="12068" xr:uid="{00000000-0005-0000-0000-000015370000}"/>
    <cellStyle name="Input 2 5 4 4" xfId="12069" xr:uid="{00000000-0005-0000-0000-000016370000}"/>
    <cellStyle name="Input 2 5 4 5" xfId="12070" xr:uid="{00000000-0005-0000-0000-000017370000}"/>
    <cellStyle name="Input 2 5 5" xfId="12071" xr:uid="{00000000-0005-0000-0000-000018370000}"/>
    <cellStyle name="Input 2 5 5 2" xfId="12072" xr:uid="{00000000-0005-0000-0000-000019370000}"/>
    <cellStyle name="Input 2 5 5 3" xfId="12073" xr:uid="{00000000-0005-0000-0000-00001A370000}"/>
    <cellStyle name="Input 2 5 5 4" xfId="12074" xr:uid="{00000000-0005-0000-0000-00001B370000}"/>
    <cellStyle name="Input 2 5 5 5" xfId="12075" xr:uid="{00000000-0005-0000-0000-00001C370000}"/>
    <cellStyle name="Input 2 5 6" xfId="12076" xr:uid="{00000000-0005-0000-0000-00001D370000}"/>
    <cellStyle name="Input 2 5 6 2" xfId="12077" xr:uid="{00000000-0005-0000-0000-00001E370000}"/>
    <cellStyle name="Input 2 5 6 3" xfId="12078" xr:uid="{00000000-0005-0000-0000-00001F370000}"/>
    <cellStyle name="Input 2 5 6 4" xfId="12079" xr:uid="{00000000-0005-0000-0000-000020370000}"/>
    <cellStyle name="Input 2 5 6 5" xfId="12080" xr:uid="{00000000-0005-0000-0000-000021370000}"/>
    <cellStyle name="Input 2 5 7" xfId="12081" xr:uid="{00000000-0005-0000-0000-000022370000}"/>
    <cellStyle name="Input 2 5 7 2" xfId="12082" xr:uid="{00000000-0005-0000-0000-000023370000}"/>
    <cellStyle name="Input 2 5 7 3" xfId="12083" xr:uid="{00000000-0005-0000-0000-000024370000}"/>
    <cellStyle name="Input 2 5 7 4" xfId="12084" xr:uid="{00000000-0005-0000-0000-000025370000}"/>
    <cellStyle name="Input 2 5 7 5" xfId="12085" xr:uid="{00000000-0005-0000-0000-000026370000}"/>
    <cellStyle name="Input 2 5 8" xfId="12086" xr:uid="{00000000-0005-0000-0000-000027370000}"/>
    <cellStyle name="Input 2 5 8 2" xfId="12087" xr:uid="{00000000-0005-0000-0000-000028370000}"/>
    <cellStyle name="Input 2 5 8 3" xfId="12088" xr:uid="{00000000-0005-0000-0000-000029370000}"/>
    <cellStyle name="Input 2 5 8 4" xfId="12089" xr:uid="{00000000-0005-0000-0000-00002A370000}"/>
    <cellStyle name="Input 2 5 8 5" xfId="12090" xr:uid="{00000000-0005-0000-0000-00002B370000}"/>
    <cellStyle name="Input 2 5 9" xfId="12091" xr:uid="{00000000-0005-0000-0000-00002C370000}"/>
    <cellStyle name="Input 2 5 9 2" xfId="12092" xr:uid="{00000000-0005-0000-0000-00002D370000}"/>
    <cellStyle name="Input 2 5 9 3" xfId="12093" xr:uid="{00000000-0005-0000-0000-00002E370000}"/>
    <cellStyle name="Input 2 5 9 4" xfId="12094" xr:uid="{00000000-0005-0000-0000-00002F370000}"/>
    <cellStyle name="Input 2 5 9 5" xfId="12095" xr:uid="{00000000-0005-0000-0000-000030370000}"/>
    <cellStyle name="Input 2 6" xfId="12096" xr:uid="{00000000-0005-0000-0000-000031370000}"/>
    <cellStyle name="Input 2 6 10" xfId="12097" xr:uid="{00000000-0005-0000-0000-000032370000}"/>
    <cellStyle name="Input 2 6 10 2" xfId="12098" xr:uid="{00000000-0005-0000-0000-000033370000}"/>
    <cellStyle name="Input 2 6 10 3" xfId="12099" xr:uid="{00000000-0005-0000-0000-000034370000}"/>
    <cellStyle name="Input 2 6 10 4" xfId="12100" xr:uid="{00000000-0005-0000-0000-000035370000}"/>
    <cellStyle name="Input 2 6 10 5" xfId="12101" xr:uid="{00000000-0005-0000-0000-000036370000}"/>
    <cellStyle name="Input 2 6 11" xfId="12102" xr:uid="{00000000-0005-0000-0000-000037370000}"/>
    <cellStyle name="Input 2 6 11 2" xfId="12103" xr:uid="{00000000-0005-0000-0000-000038370000}"/>
    <cellStyle name="Input 2 6 11 3" xfId="12104" xr:uid="{00000000-0005-0000-0000-000039370000}"/>
    <cellStyle name="Input 2 6 11 4" xfId="12105" xr:uid="{00000000-0005-0000-0000-00003A370000}"/>
    <cellStyle name="Input 2 6 11 5" xfId="12106" xr:uid="{00000000-0005-0000-0000-00003B370000}"/>
    <cellStyle name="Input 2 6 12" xfId="12107" xr:uid="{00000000-0005-0000-0000-00003C370000}"/>
    <cellStyle name="Input 2 6 13" xfId="12108" xr:uid="{00000000-0005-0000-0000-00003D370000}"/>
    <cellStyle name="Input 2 6 14" xfId="12109" xr:uid="{00000000-0005-0000-0000-00003E370000}"/>
    <cellStyle name="Input 2 6 15" xfId="12110" xr:uid="{00000000-0005-0000-0000-00003F370000}"/>
    <cellStyle name="Input 2 6 2" xfId="12111" xr:uid="{00000000-0005-0000-0000-000040370000}"/>
    <cellStyle name="Input 2 6 2 2" xfId="12112" xr:uid="{00000000-0005-0000-0000-000041370000}"/>
    <cellStyle name="Input 2 6 2 3" xfId="12113" xr:uid="{00000000-0005-0000-0000-000042370000}"/>
    <cellStyle name="Input 2 6 2 4" xfId="12114" xr:uid="{00000000-0005-0000-0000-000043370000}"/>
    <cellStyle name="Input 2 6 2 5" xfId="12115" xr:uid="{00000000-0005-0000-0000-000044370000}"/>
    <cellStyle name="Input 2 6 3" xfId="12116" xr:uid="{00000000-0005-0000-0000-000045370000}"/>
    <cellStyle name="Input 2 6 3 2" xfId="12117" xr:uid="{00000000-0005-0000-0000-000046370000}"/>
    <cellStyle name="Input 2 6 3 3" xfId="12118" xr:uid="{00000000-0005-0000-0000-000047370000}"/>
    <cellStyle name="Input 2 6 3 4" xfId="12119" xr:uid="{00000000-0005-0000-0000-000048370000}"/>
    <cellStyle name="Input 2 6 3 5" xfId="12120" xr:uid="{00000000-0005-0000-0000-000049370000}"/>
    <cellStyle name="Input 2 6 4" xfId="12121" xr:uid="{00000000-0005-0000-0000-00004A370000}"/>
    <cellStyle name="Input 2 6 4 2" xfId="12122" xr:uid="{00000000-0005-0000-0000-00004B370000}"/>
    <cellStyle name="Input 2 6 4 3" xfId="12123" xr:uid="{00000000-0005-0000-0000-00004C370000}"/>
    <cellStyle name="Input 2 6 4 4" xfId="12124" xr:uid="{00000000-0005-0000-0000-00004D370000}"/>
    <cellStyle name="Input 2 6 4 5" xfId="12125" xr:uid="{00000000-0005-0000-0000-00004E370000}"/>
    <cellStyle name="Input 2 6 5" xfId="12126" xr:uid="{00000000-0005-0000-0000-00004F370000}"/>
    <cellStyle name="Input 2 6 5 2" xfId="12127" xr:uid="{00000000-0005-0000-0000-000050370000}"/>
    <cellStyle name="Input 2 6 5 3" xfId="12128" xr:uid="{00000000-0005-0000-0000-000051370000}"/>
    <cellStyle name="Input 2 6 5 4" xfId="12129" xr:uid="{00000000-0005-0000-0000-000052370000}"/>
    <cellStyle name="Input 2 6 5 5" xfId="12130" xr:uid="{00000000-0005-0000-0000-000053370000}"/>
    <cellStyle name="Input 2 6 6" xfId="12131" xr:uid="{00000000-0005-0000-0000-000054370000}"/>
    <cellStyle name="Input 2 6 6 2" xfId="12132" xr:uid="{00000000-0005-0000-0000-000055370000}"/>
    <cellStyle name="Input 2 6 6 3" xfId="12133" xr:uid="{00000000-0005-0000-0000-000056370000}"/>
    <cellStyle name="Input 2 6 6 4" xfId="12134" xr:uid="{00000000-0005-0000-0000-000057370000}"/>
    <cellStyle name="Input 2 6 6 5" xfId="12135" xr:uid="{00000000-0005-0000-0000-000058370000}"/>
    <cellStyle name="Input 2 6 7" xfId="12136" xr:uid="{00000000-0005-0000-0000-000059370000}"/>
    <cellStyle name="Input 2 6 7 2" xfId="12137" xr:uid="{00000000-0005-0000-0000-00005A370000}"/>
    <cellStyle name="Input 2 6 7 3" xfId="12138" xr:uid="{00000000-0005-0000-0000-00005B370000}"/>
    <cellStyle name="Input 2 6 7 4" xfId="12139" xr:uid="{00000000-0005-0000-0000-00005C370000}"/>
    <cellStyle name="Input 2 6 7 5" xfId="12140" xr:uid="{00000000-0005-0000-0000-00005D370000}"/>
    <cellStyle name="Input 2 6 8" xfId="12141" xr:uid="{00000000-0005-0000-0000-00005E370000}"/>
    <cellStyle name="Input 2 6 8 2" xfId="12142" xr:uid="{00000000-0005-0000-0000-00005F370000}"/>
    <cellStyle name="Input 2 6 8 3" xfId="12143" xr:uid="{00000000-0005-0000-0000-000060370000}"/>
    <cellStyle name="Input 2 6 8 4" xfId="12144" xr:uid="{00000000-0005-0000-0000-000061370000}"/>
    <cellStyle name="Input 2 6 8 5" xfId="12145" xr:uid="{00000000-0005-0000-0000-000062370000}"/>
    <cellStyle name="Input 2 6 9" xfId="12146" xr:uid="{00000000-0005-0000-0000-000063370000}"/>
    <cellStyle name="Input 2 6 9 2" xfId="12147" xr:uid="{00000000-0005-0000-0000-000064370000}"/>
    <cellStyle name="Input 2 6 9 3" xfId="12148" xr:uid="{00000000-0005-0000-0000-000065370000}"/>
    <cellStyle name="Input 2 6 9 4" xfId="12149" xr:uid="{00000000-0005-0000-0000-000066370000}"/>
    <cellStyle name="Input 2 6 9 5" xfId="12150" xr:uid="{00000000-0005-0000-0000-000067370000}"/>
    <cellStyle name="Input 2 7" xfId="12151" xr:uid="{00000000-0005-0000-0000-000068370000}"/>
    <cellStyle name="Input 2 7 10" xfId="12152" xr:uid="{00000000-0005-0000-0000-000069370000}"/>
    <cellStyle name="Input 2 7 10 2" xfId="12153" xr:uid="{00000000-0005-0000-0000-00006A370000}"/>
    <cellStyle name="Input 2 7 10 3" xfId="12154" xr:uid="{00000000-0005-0000-0000-00006B370000}"/>
    <cellStyle name="Input 2 7 10 4" xfId="12155" xr:uid="{00000000-0005-0000-0000-00006C370000}"/>
    <cellStyle name="Input 2 7 10 5" xfId="12156" xr:uid="{00000000-0005-0000-0000-00006D370000}"/>
    <cellStyle name="Input 2 7 11" xfId="12157" xr:uid="{00000000-0005-0000-0000-00006E370000}"/>
    <cellStyle name="Input 2 7 11 2" xfId="12158" xr:uid="{00000000-0005-0000-0000-00006F370000}"/>
    <cellStyle name="Input 2 7 11 3" xfId="12159" xr:uid="{00000000-0005-0000-0000-000070370000}"/>
    <cellStyle name="Input 2 7 11 4" xfId="12160" xr:uid="{00000000-0005-0000-0000-000071370000}"/>
    <cellStyle name="Input 2 7 11 5" xfId="12161" xr:uid="{00000000-0005-0000-0000-000072370000}"/>
    <cellStyle name="Input 2 7 12" xfId="12162" xr:uid="{00000000-0005-0000-0000-000073370000}"/>
    <cellStyle name="Input 2 7 13" xfId="12163" xr:uid="{00000000-0005-0000-0000-000074370000}"/>
    <cellStyle name="Input 2 7 14" xfId="12164" xr:uid="{00000000-0005-0000-0000-000075370000}"/>
    <cellStyle name="Input 2 7 15" xfId="12165" xr:uid="{00000000-0005-0000-0000-000076370000}"/>
    <cellStyle name="Input 2 7 2" xfId="12166" xr:uid="{00000000-0005-0000-0000-000077370000}"/>
    <cellStyle name="Input 2 7 2 2" xfId="12167" xr:uid="{00000000-0005-0000-0000-000078370000}"/>
    <cellStyle name="Input 2 7 2 3" xfId="12168" xr:uid="{00000000-0005-0000-0000-000079370000}"/>
    <cellStyle name="Input 2 7 2 4" xfId="12169" xr:uid="{00000000-0005-0000-0000-00007A370000}"/>
    <cellStyle name="Input 2 7 2 5" xfId="12170" xr:uid="{00000000-0005-0000-0000-00007B370000}"/>
    <cellStyle name="Input 2 7 3" xfId="12171" xr:uid="{00000000-0005-0000-0000-00007C370000}"/>
    <cellStyle name="Input 2 7 3 2" xfId="12172" xr:uid="{00000000-0005-0000-0000-00007D370000}"/>
    <cellStyle name="Input 2 7 3 3" xfId="12173" xr:uid="{00000000-0005-0000-0000-00007E370000}"/>
    <cellStyle name="Input 2 7 3 4" xfId="12174" xr:uid="{00000000-0005-0000-0000-00007F370000}"/>
    <cellStyle name="Input 2 7 3 5" xfId="12175" xr:uid="{00000000-0005-0000-0000-000080370000}"/>
    <cellStyle name="Input 2 7 4" xfId="12176" xr:uid="{00000000-0005-0000-0000-000081370000}"/>
    <cellStyle name="Input 2 7 4 2" xfId="12177" xr:uid="{00000000-0005-0000-0000-000082370000}"/>
    <cellStyle name="Input 2 7 4 3" xfId="12178" xr:uid="{00000000-0005-0000-0000-000083370000}"/>
    <cellStyle name="Input 2 7 4 4" xfId="12179" xr:uid="{00000000-0005-0000-0000-000084370000}"/>
    <cellStyle name="Input 2 7 4 5" xfId="12180" xr:uid="{00000000-0005-0000-0000-000085370000}"/>
    <cellStyle name="Input 2 7 5" xfId="12181" xr:uid="{00000000-0005-0000-0000-000086370000}"/>
    <cellStyle name="Input 2 7 5 2" xfId="12182" xr:uid="{00000000-0005-0000-0000-000087370000}"/>
    <cellStyle name="Input 2 7 5 3" xfId="12183" xr:uid="{00000000-0005-0000-0000-000088370000}"/>
    <cellStyle name="Input 2 7 5 4" xfId="12184" xr:uid="{00000000-0005-0000-0000-000089370000}"/>
    <cellStyle name="Input 2 7 5 5" xfId="12185" xr:uid="{00000000-0005-0000-0000-00008A370000}"/>
    <cellStyle name="Input 2 7 6" xfId="12186" xr:uid="{00000000-0005-0000-0000-00008B370000}"/>
    <cellStyle name="Input 2 7 6 2" xfId="12187" xr:uid="{00000000-0005-0000-0000-00008C370000}"/>
    <cellStyle name="Input 2 7 6 3" xfId="12188" xr:uid="{00000000-0005-0000-0000-00008D370000}"/>
    <cellStyle name="Input 2 7 6 4" xfId="12189" xr:uid="{00000000-0005-0000-0000-00008E370000}"/>
    <cellStyle name="Input 2 7 6 5" xfId="12190" xr:uid="{00000000-0005-0000-0000-00008F370000}"/>
    <cellStyle name="Input 2 7 7" xfId="12191" xr:uid="{00000000-0005-0000-0000-000090370000}"/>
    <cellStyle name="Input 2 7 7 2" xfId="12192" xr:uid="{00000000-0005-0000-0000-000091370000}"/>
    <cellStyle name="Input 2 7 7 3" xfId="12193" xr:uid="{00000000-0005-0000-0000-000092370000}"/>
    <cellStyle name="Input 2 7 7 4" xfId="12194" xr:uid="{00000000-0005-0000-0000-000093370000}"/>
    <cellStyle name="Input 2 7 7 5" xfId="12195" xr:uid="{00000000-0005-0000-0000-000094370000}"/>
    <cellStyle name="Input 2 7 8" xfId="12196" xr:uid="{00000000-0005-0000-0000-000095370000}"/>
    <cellStyle name="Input 2 7 8 2" xfId="12197" xr:uid="{00000000-0005-0000-0000-000096370000}"/>
    <cellStyle name="Input 2 7 8 3" xfId="12198" xr:uid="{00000000-0005-0000-0000-000097370000}"/>
    <cellStyle name="Input 2 7 8 4" xfId="12199" xr:uid="{00000000-0005-0000-0000-000098370000}"/>
    <cellStyle name="Input 2 7 8 5" xfId="12200" xr:uid="{00000000-0005-0000-0000-000099370000}"/>
    <cellStyle name="Input 2 7 9" xfId="12201" xr:uid="{00000000-0005-0000-0000-00009A370000}"/>
    <cellStyle name="Input 2 7 9 2" xfId="12202" xr:uid="{00000000-0005-0000-0000-00009B370000}"/>
    <cellStyle name="Input 2 7 9 3" xfId="12203" xr:uid="{00000000-0005-0000-0000-00009C370000}"/>
    <cellStyle name="Input 2 7 9 4" xfId="12204" xr:uid="{00000000-0005-0000-0000-00009D370000}"/>
    <cellStyle name="Input 2 7 9 5" xfId="12205" xr:uid="{00000000-0005-0000-0000-00009E370000}"/>
    <cellStyle name="Input 2 8" xfId="12206" xr:uid="{00000000-0005-0000-0000-00009F370000}"/>
    <cellStyle name="Input 2 8 2" xfId="12207" xr:uid="{00000000-0005-0000-0000-0000A0370000}"/>
    <cellStyle name="Input 2 8 3" xfId="12208" xr:uid="{00000000-0005-0000-0000-0000A1370000}"/>
    <cellStyle name="Input 2 8 4" xfId="12209" xr:uid="{00000000-0005-0000-0000-0000A2370000}"/>
    <cellStyle name="Input 2 8 5" xfId="12210" xr:uid="{00000000-0005-0000-0000-0000A3370000}"/>
    <cellStyle name="Input 2 9" xfId="12211" xr:uid="{00000000-0005-0000-0000-0000A4370000}"/>
    <cellStyle name="Input 2 9 2" xfId="12212" xr:uid="{00000000-0005-0000-0000-0000A5370000}"/>
    <cellStyle name="Input 2 9 3" xfId="12213" xr:uid="{00000000-0005-0000-0000-0000A6370000}"/>
    <cellStyle name="Input 2 9 4" xfId="12214" xr:uid="{00000000-0005-0000-0000-0000A7370000}"/>
    <cellStyle name="Input 2 9 5" xfId="12215" xr:uid="{00000000-0005-0000-0000-0000A8370000}"/>
    <cellStyle name="Input 3" xfId="2182" xr:uid="{00000000-0005-0000-0000-0000A9370000}"/>
    <cellStyle name="Input 3 10" xfId="12217" xr:uid="{00000000-0005-0000-0000-0000AA370000}"/>
    <cellStyle name="Input 3 10 2" xfId="12218" xr:uid="{00000000-0005-0000-0000-0000AB370000}"/>
    <cellStyle name="Input 3 10 3" xfId="12219" xr:uid="{00000000-0005-0000-0000-0000AC370000}"/>
    <cellStyle name="Input 3 10 4" xfId="12220" xr:uid="{00000000-0005-0000-0000-0000AD370000}"/>
    <cellStyle name="Input 3 10 5" xfId="12221" xr:uid="{00000000-0005-0000-0000-0000AE370000}"/>
    <cellStyle name="Input 3 11" xfId="12222" xr:uid="{00000000-0005-0000-0000-0000AF370000}"/>
    <cellStyle name="Input 3 11 2" xfId="12223" xr:uid="{00000000-0005-0000-0000-0000B0370000}"/>
    <cellStyle name="Input 3 11 3" xfId="12224" xr:uid="{00000000-0005-0000-0000-0000B1370000}"/>
    <cellStyle name="Input 3 11 4" xfId="12225" xr:uid="{00000000-0005-0000-0000-0000B2370000}"/>
    <cellStyle name="Input 3 11 5" xfId="12226" xr:uid="{00000000-0005-0000-0000-0000B3370000}"/>
    <cellStyle name="Input 3 12" xfId="12227" xr:uid="{00000000-0005-0000-0000-0000B4370000}"/>
    <cellStyle name="Input 3 12 2" xfId="12228" xr:uid="{00000000-0005-0000-0000-0000B5370000}"/>
    <cellStyle name="Input 3 12 3" xfId="12229" xr:uid="{00000000-0005-0000-0000-0000B6370000}"/>
    <cellStyle name="Input 3 12 4" xfId="12230" xr:uid="{00000000-0005-0000-0000-0000B7370000}"/>
    <cellStyle name="Input 3 12 5" xfId="12231" xr:uid="{00000000-0005-0000-0000-0000B8370000}"/>
    <cellStyle name="Input 3 13" xfId="12232" xr:uid="{00000000-0005-0000-0000-0000B9370000}"/>
    <cellStyle name="Input 3 14" xfId="12233" xr:uid="{00000000-0005-0000-0000-0000BA370000}"/>
    <cellStyle name="Input 3 15" xfId="12234" xr:uid="{00000000-0005-0000-0000-0000BB370000}"/>
    <cellStyle name="Input 3 16" xfId="12235" xr:uid="{00000000-0005-0000-0000-0000BC370000}"/>
    <cellStyle name="Input 3 17" xfId="12236" xr:uid="{00000000-0005-0000-0000-0000BD370000}"/>
    <cellStyle name="Input 3 18" xfId="12216" xr:uid="{00000000-0005-0000-0000-0000BE370000}"/>
    <cellStyle name="Input 3 2" xfId="12237" xr:uid="{00000000-0005-0000-0000-0000BF370000}"/>
    <cellStyle name="Input 3 2 2" xfId="12238" xr:uid="{00000000-0005-0000-0000-0000C0370000}"/>
    <cellStyle name="Input 3 2 3" xfId="12239" xr:uid="{00000000-0005-0000-0000-0000C1370000}"/>
    <cellStyle name="Input 3 2 4" xfId="12240" xr:uid="{00000000-0005-0000-0000-0000C2370000}"/>
    <cellStyle name="Input 3 2 5" xfId="12241" xr:uid="{00000000-0005-0000-0000-0000C3370000}"/>
    <cellStyle name="Input 3 2 6" xfId="23772" xr:uid="{00000000-0005-0000-0000-0000C4370000}"/>
    <cellStyle name="Input 3 3" xfId="12242" xr:uid="{00000000-0005-0000-0000-0000C5370000}"/>
    <cellStyle name="Input 3 3 2" xfId="12243" xr:uid="{00000000-0005-0000-0000-0000C6370000}"/>
    <cellStyle name="Input 3 3 3" xfId="12244" xr:uid="{00000000-0005-0000-0000-0000C7370000}"/>
    <cellStyle name="Input 3 3 4" xfId="12245" xr:uid="{00000000-0005-0000-0000-0000C8370000}"/>
    <cellStyle name="Input 3 3 5" xfId="12246" xr:uid="{00000000-0005-0000-0000-0000C9370000}"/>
    <cellStyle name="Input 3 3 6" xfId="23773" xr:uid="{00000000-0005-0000-0000-0000CA370000}"/>
    <cellStyle name="Input 3 4" xfId="12247" xr:uid="{00000000-0005-0000-0000-0000CB370000}"/>
    <cellStyle name="Input 3 4 2" xfId="12248" xr:uid="{00000000-0005-0000-0000-0000CC370000}"/>
    <cellStyle name="Input 3 4 3" xfId="12249" xr:uid="{00000000-0005-0000-0000-0000CD370000}"/>
    <cellStyle name="Input 3 4 4" xfId="12250" xr:uid="{00000000-0005-0000-0000-0000CE370000}"/>
    <cellStyle name="Input 3 4 5" xfId="12251" xr:uid="{00000000-0005-0000-0000-0000CF370000}"/>
    <cellStyle name="Input 3 5" xfId="12252" xr:uid="{00000000-0005-0000-0000-0000D0370000}"/>
    <cellStyle name="Input 3 5 2" xfId="12253" xr:uid="{00000000-0005-0000-0000-0000D1370000}"/>
    <cellStyle name="Input 3 5 3" xfId="12254" xr:uid="{00000000-0005-0000-0000-0000D2370000}"/>
    <cellStyle name="Input 3 5 4" xfId="12255" xr:uid="{00000000-0005-0000-0000-0000D3370000}"/>
    <cellStyle name="Input 3 5 5" xfId="12256" xr:uid="{00000000-0005-0000-0000-0000D4370000}"/>
    <cellStyle name="Input 3 6" xfId="12257" xr:uid="{00000000-0005-0000-0000-0000D5370000}"/>
    <cellStyle name="Input 3 6 2" xfId="12258" xr:uid="{00000000-0005-0000-0000-0000D6370000}"/>
    <cellStyle name="Input 3 6 3" xfId="12259" xr:uid="{00000000-0005-0000-0000-0000D7370000}"/>
    <cellStyle name="Input 3 6 4" xfId="12260" xr:uid="{00000000-0005-0000-0000-0000D8370000}"/>
    <cellStyle name="Input 3 6 5" xfId="12261" xr:uid="{00000000-0005-0000-0000-0000D9370000}"/>
    <cellStyle name="Input 3 7" xfId="12262" xr:uid="{00000000-0005-0000-0000-0000DA370000}"/>
    <cellStyle name="Input 3 7 2" xfId="12263" xr:uid="{00000000-0005-0000-0000-0000DB370000}"/>
    <cellStyle name="Input 3 7 3" xfId="12264" xr:uid="{00000000-0005-0000-0000-0000DC370000}"/>
    <cellStyle name="Input 3 7 4" xfId="12265" xr:uid="{00000000-0005-0000-0000-0000DD370000}"/>
    <cellStyle name="Input 3 7 5" xfId="12266" xr:uid="{00000000-0005-0000-0000-0000DE370000}"/>
    <cellStyle name="Input 3 8" xfId="12267" xr:uid="{00000000-0005-0000-0000-0000DF370000}"/>
    <cellStyle name="Input 3 8 2" xfId="12268" xr:uid="{00000000-0005-0000-0000-0000E0370000}"/>
    <cellStyle name="Input 3 8 3" xfId="12269" xr:uid="{00000000-0005-0000-0000-0000E1370000}"/>
    <cellStyle name="Input 3 8 4" xfId="12270" xr:uid="{00000000-0005-0000-0000-0000E2370000}"/>
    <cellStyle name="Input 3 8 5" xfId="12271" xr:uid="{00000000-0005-0000-0000-0000E3370000}"/>
    <cellStyle name="Input 3 9" xfId="12272" xr:uid="{00000000-0005-0000-0000-0000E4370000}"/>
    <cellStyle name="Input 3 9 2" xfId="12273" xr:uid="{00000000-0005-0000-0000-0000E5370000}"/>
    <cellStyle name="Input 3 9 3" xfId="12274" xr:uid="{00000000-0005-0000-0000-0000E6370000}"/>
    <cellStyle name="Input 3 9 4" xfId="12275" xr:uid="{00000000-0005-0000-0000-0000E7370000}"/>
    <cellStyle name="Input 3 9 5" xfId="12276" xr:uid="{00000000-0005-0000-0000-0000E8370000}"/>
    <cellStyle name="Input 4" xfId="12277" xr:uid="{00000000-0005-0000-0000-0000E9370000}"/>
    <cellStyle name="Input 4 10" xfId="12278" xr:uid="{00000000-0005-0000-0000-0000EA370000}"/>
    <cellStyle name="Input 4 10 2" xfId="12279" xr:uid="{00000000-0005-0000-0000-0000EB370000}"/>
    <cellStyle name="Input 4 10 3" xfId="12280" xr:uid="{00000000-0005-0000-0000-0000EC370000}"/>
    <cellStyle name="Input 4 10 4" xfId="12281" xr:uid="{00000000-0005-0000-0000-0000ED370000}"/>
    <cellStyle name="Input 4 10 5" xfId="12282" xr:uid="{00000000-0005-0000-0000-0000EE370000}"/>
    <cellStyle name="Input 4 11" xfId="12283" xr:uid="{00000000-0005-0000-0000-0000EF370000}"/>
    <cellStyle name="Input 4 11 2" xfId="12284" xr:uid="{00000000-0005-0000-0000-0000F0370000}"/>
    <cellStyle name="Input 4 11 3" xfId="12285" xr:uid="{00000000-0005-0000-0000-0000F1370000}"/>
    <cellStyle name="Input 4 11 4" xfId="12286" xr:uid="{00000000-0005-0000-0000-0000F2370000}"/>
    <cellStyle name="Input 4 11 5" xfId="12287" xr:uid="{00000000-0005-0000-0000-0000F3370000}"/>
    <cellStyle name="Input 4 12" xfId="12288" xr:uid="{00000000-0005-0000-0000-0000F4370000}"/>
    <cellStyle name="Input 4 12 2" xfId="12289" xr:uid="{00000000-0005-0000-0000-0000F5370000}"/>
    <cellStyle name="Input 4 12 3" xfId="12290" xr:uid="{00000000-0005-0000-0000-0000F6370000}"/>
    <cellStyle name="Input 4 12 4" xfId="12291" xr:uid="{00000000-0005-0000-0000-0000F7370000}"/>
    <cellStyle name="Input 4 12 5" xfId="12292" xr:uid="{00000000-0005-0000-0000-0000F8370000}"/>
    <cellStyle name="Input 4 13" xfId="12293" xr:uid="{00000000-0005-0000-0000-0000F9370000}"/>
    <cellStyle name="Input 4 14" xfId="12294" xr:uid="{00000000-0005-0000-0000-0000FA370000}"/>
    <cellStyle name="Input 4 15" xfId="12295" xr:uid="{00000000-0005-0000-0000-0000FB370000}"/>
    <cellStyle name="Input 4 16" xfId="12296" xr:uid="{00000000-0005-0000-0000-0000FC370000}"/>
    <cellStyle name="Input 4 17" xfId="23774" xr:uid="{00000000-0005-0000-0000-0000FD370000}"/>
    <cellStyle name="Input 4 2" xfId="12297" xr:uid="{00000000-0005-0000-0000-0000FE370000}"/>
    <cellStyle name="Input 4 2 2" xfId="12298" xr:uid="{00000000-0005-0000-0000-0000FF370000}"/>
    <cellStyle name="Input 4 2 3" xfId="12299" xr:uid="{00000000-0005-0000-0000-000000380000}"/>
    <cellStyle name="Input 4 2 4" xfId="12300" xr:uid="{00000000-0005-0000-0000-000001380000}"/>
    <cellStyle name="Input 4 2 5" xfId="12301" xr:uid="{00000000-0005-0000-0000-000002380000}"/>
    <cellStyle name="Input 4 3" xfId="12302" xr:uid="{00000000-0005-0000-0000-000003380000}"/>
    <cellStyle name="Input 4 3 2" xfId="12303" xr:uid="{00000000-0005-0000-0000-000004380000}"/>
    <cellStyle name="Input 4 3 3" xfId="12304" xr:uid="{00000000-0005-0000-0000-000005380000}"/>
    <cellStyle name="Input 4 3 4" xfId="12305" xr:uid="{00000000-0005-0000-0000-000006380000}"/>
    <cellStyle name="Input 4 3 5" xfId="12306" xr:uid="{00000000-0005-0000-0000-000007380000}"/>
    <cellStyle name="Input 4 4" xfId="12307" xr:uid="{00000000-0005-0000-0000-000008380000}"/>
    <cellStyle name="Input 4 4 2" xfId="12308" xr:uid="{00000000-0005-0000-0000-000009380000}"/>
    <cellStyle name="Input 4 4 3" xfId="12309" xr:uid="{00000000-0005-0000-0000-00000A380000}"/>
    <cellStyle name="Input 4 4 4" xfId="12310" xr:uid="{00000000-0005-0000-0000-00000B380000}"/>
    <cellStyle name="Input 4 4 5" xfId="12311" xr:uid="{00000000-0005-0000-0000-00000C380000}"/>
    <cellStyle name="Input 4 5" xfId="12312" xr:uid="{00000000-0005-0000-0000-00000D380000}"/>
    <cellStyle name="Input 4 5 2" xfId="12313" xr:uid="{00000000-0005-0000-0000-00000E380000}"/>
    <cellStyle name="Input 4 5 3" xfId="12314" xr:uid="{00000000-0005-0000-0000-00000F380000}"/>
    <cellStyle name="Input 4 5 4" xfId="12315" xr:uid="{00000000-0005-0000-0000-000010380000}"/>
    <cellStyle name="Input 4 5 5" xfId="12316" xr:uid="{00000000-0005-0000-0000-000011380000}"/>
    <cellStyle name="Input 4 6" xfId="12317" xr:uid="{00000000-0005-0000-0000-000012380000}"/>
    <cellStyle name="Input 4 6 2" xfId="12318" xr:uid="{00000000-0005-0000-0000-000013380000}"/>
    <cellStyle name="Input 4 6 3" xfId="12319" xr:uid="{00000000-0005-0000-0000-000014380000}"/>
    <cellStyle name="Input 4 6 4" xfId="12320" xr:uid="{00000000-0005-0000-0000-000015380000}"/>
    <cellStyle name="Input 4 6 5" xfId="12321" xr:uid="{00000000-0005-0000-0000-000016380000}"/>
    <cellStyle name="Input 4 7" xfId="12322" xr:uid="{00000000-0005-0000-0000-000017380000}"/>
    <cellStyle name="Input 4 7 2" xfId="12323" xr:uid="{00000000-0005-0000-0000-000018380000}"/>
    <cellStyle name="Input 4 7 3" xfId="12324" xr:uid="{00000000-0005-0000-0000-000019380000}"/>
    <cellStyle name="Input 4 7 4" xfId="12325" xr:uid="{00000000-0005-0000-0000-00001A380000}"/>
    <cellStyle name="Input 4 7 5" xfId="12326" xr:uid="{00000000-0005-0000-0000-00001B380000}"/>
    <cellStyle name="Input 4 8" xfId="12327" xr:uid="{00000000-0005-0000-0000-00001C380000}"/>
    <cellStyle name="Input 4 8 2" xfId="12328" xr:uid="{00000000-0005-0000-0000-00001D380000}"/>
    <cellStyle name="Input 4 8 3" xfId="12329" xr:uid="{00000000-0005-0000-0000-00001E380000}"/>
    <cellStyle name="Input 4 8 4" xfId="12330" xr:uid="{00000000-0005-0000-0000-00001F380000}"/>
    <cellStyle name="Input 4 8 5" xfId="12331" xr:uid="{00000000-0005-0000-0000-000020380000}"/>
    <cellStyle name="Input 4 9" xfId="12332" xr:uid="{00000000-0005-0000-0000-000021380000}"/>
    <cellStyle name="Input 4 9 2" xfId="12333" xr:uid="{00000000-0005-0000-0000-000022380000}"/>
    <cellStyle name="Input 4 9 3" xfId="12334" xr:uid="{00000000-0005-0000-0000-000023380000}"/>
    <cellStyle name="Input 4 9 4" xfId="12335" xr:uid="{00000000-0005-0000-0000-000024380000}"/>
    <cellStyle name="Input 4 9 5" xfId="12336" xr:uid="{00000000-0005-0000-0000-000025380000}"/>
    <cellStyle name="Input 5" xfId="12337" xr:uid="{00000000-0005-0000-0000-000026380000}"/>
    <cellStyle name="Input 5 10" xfId="12338" xr:uid="{00000000-0005-0000-0000-000027380000}"/>
    <cellStyle name="Input 5 10 2" xfId="12339" xr:uid="{00000000-0005-0000-0000-000028380000}"/>
    <cellStyle name="Input 5 10 3" xfId="12340" xr:uid="{00000000-0005-0000-0000-000029380000}"/>
    <cellStyle name="Input 5 10 4" xfId="12341" xr:uid="{00000000-0005-0000-0000-00002A380000}"/>
    <cellStyle name="Input 5 10 5" xfId="12342" xr:uid="{00000000-0005-0000-0000-00002B380000}"/>
    <cellStyle name="Input 5 11" xfId="12343" xr:uid="{00000000-0005-0000-0000-00002C380000}"/>
    <cellStyle name="Input 5 11 2" xfId="12344" xr:uid="{00000000-0005-0000-0000-00002D380000}"/>
    <cellStyle name="Input 5 11 3" xfId="12345" xr:uid="{00000000-0005-0000-0000-00002E380000}"/>
    <cellStyle name="Input 5 11 4" xfId="12346" xr:uid="{00000000-0005-0000-0000-00002F380000}"/>
    <cellStyle name="Input 5 11 5" xfId="12347" xr:uid="{00000000-0005-0000-0000-000030380000}"/>
    <cellStyle name="Input 5 12" xfId="12348" xr:uid="{00000000-0005-0000-0000-000031380000}"/>
    <cellStyle name="Input 5 13" xfId="12349" xr:uid="{00000000-0005-0000-0000-000032380000}"/>
    <cellStyle name="Input 5 14" xfId="12350" xr:uid="{00000000-0005-0000-0000-000033380000}"/>
    <cellStyle name="Input 5 15" xfId="12351" xr:uid="{00000000-0005-0000-0000-000034380000}"/>
    <cellStyle name="Input 5 16" xfId="23775" xr:uid="{00000000-0005-0000-0000-000035380000}"/>
    <cellStyle name="Input 5 2" xfId="12352" xr:uid="{00000000-0005-0000-0000-000036380000}"/>
    <cellStyle name="Input 5 2 2" xfId="12353" xr:uid="{00000000-0005-0000-0000-000037380000}"/>
    <cellStyle name="Input 5 2 3" xfId="12354" xr:uid="{00000000-0005-0000-0000-000038380000}"/>
    <cellStyle name="Input 5 2 4" xfId="12355" xr:uid="{00000000-0005-0000-0000-000039380000}"/>
    <cellStyle name="Input 5 2 5" xfId="12356" xr:uid="{00000000-0005-0000-0000-00003A380000}"/>
    <cellStyle name="Input 5 3" xfId="12357" xr:uid="{00000000-0005-0000-0000-00003B380000}"/>
    <cellStyle name="Input 5 3 2" xfId="12358" xr:uid="{00000000-0005-0000-0000-00003C380000}"/>
    <cellStyle name="Input 5 3 3" xfId="12359" xr:uid="{00000000-0005-0000-0000-00003D380000}"/>
    <cellStyle name="Input 5 3 4" xfId="12360" xr:uid="{00000000-0005-0000-0000-00003E380000}"/>
    <cellStyle name="Input 5 3 5" xfId="12361" xr:uid="{00000000-0005-0000-0000-00003F380000}"/>
    <cellStyle name="Input 5 4" xfId="12362" xr:uid="{00000000-0005-0000-0000-000040380000}"/>
    <cellStyle name="Input 5 4 2" xfId="12363" xr:uid="{00000000-0005-0000-0000-000041380000}"/>
    <cellStyle name="Input 5 4 3" xfId="12364" xr:uid="{00000000-0005-0000-0000-000042380000}"/>
    <cellStyle name="Input 5 4 4" xfId="12365" xr:uid="{00000000-0005-0000-0000-000043380000}"/>
    <cellStyle name="Input 5 4 5" xfId="12366" xr:uid="{00000000-0005-0000-0000-000044380000}"/>
    <cellStyle name="Input 5 5" xfId="12367" xr:uid="{00000000-0005-0000-0000-000045380000}"/>
    <cellStyle name="Input 5 5 2" xfId="12368" xr:uid="{00000000-0005-0000-0000-000046380000}"/>
    <cellStyle name="Input 5 5 3" xfId="12369" xr:uid="{00000000-0005-0000-0000-000047380000}"/>
    <cellStyle name="Input 5 5 4" xfId="12370" xr:uid="{00000000-0005-0000-0000-000048380000}"/>
    <cellStyle name="Input 5 5 5" xfId="12371" xr:uid="{00000000-0005-0000-0000-000049380000}"/>
    <cellStyle name="Input 5 6" xfId="12372" xr:uid="{00000000-0005-0000-0000-00004A380000}"/>
    <cellStyle name="Input 5 6 2" xfId="12373" xr:uid="{00000000-0005-0000-0000-00004B380000}"/>
    <cellStyle name="Input 5 6 3" xfId="12374" xr:uid="{00000000-0005-0000-0000-00004C380000}"/>
    <cellStyle name="Input 5 6 4" xfId="12375" xr:uid="{00000000-0005-0000-0000-00004D380000}"/>
    <cellStyle name="Input 5 6 5" xfId="12376" xr:uid="{00000000-0005-0000-0000-00004E380000}"/>
    <cellStyle name="Input 5 7" xfId="12377" xr:uid="{00000000-0005-0000-0000-00004F380000}"/>
    <cellStyle name="Input 5 7 2" xfId="12378" xr:uid="{00000000-0005-0000-0000-000050380000}"/>
    <cellStyle name="Input 5 7 3" xfId="12379" xr:uid="{00000000-0005-0000-0000-000051380000}"/>
    <cellStyle name="Input 5 7 4" xfId="12380" xr:uid="{00000000-0005-0000-0000-000052380000}"/>
    <cellStyle name="Input 5 7 5" xfId="12381" xr:uid="{00000000-0005-0000-0000-000053380000}"/>
    <cellStyle name="Input 5 8" xfId="12382" xr:uid="{00000000-0005-0000-0000-000054380000}"/>
    <cellStyle name="Input 5 8 2" xfId="12383" xr:uid="{00000000-0005-0000-0000-000055380000}"/>
    <cellStyle name="Input 5 8 3" xfId="12384" xr:uid="{00000000-0005-0000-0000-000056380000}"/>
    <cellStyle name="Input 5 8 4" xfId="12385" xr:uid="{00000000-0005-0000-0000-000057380000}"/>
    <cellStyle name="Input 5 8 5" xfId="12386" xr:uid="{00000000-0005-0000-0000-000058380000}"/>
    <cellStyle name="Input 5 9" xfId="12387" xr:uid="{00000000-0005-0000-0000-000059380000}"/>
    <cellStyle name="Input 5 9 2" xfId="12388" xr:uid="{00000000-0005-0000-0000-00005A380000}"/>
    <cellStyle name="Input 5 9 3" xfId="12389" xr:uid="{00000000-0005-0000-0000-00005B380000}"/>
    <cellStyle name="Input 5 9 4" xfId="12390" xr:uid="{00000000-0005-0000-0000-00005C380000}"/>
    <cellStyle name="Input 5 9 5" xfId="12391" xr:uid="{00000000-0005-0000-0000-00005D380000}"/>
    <cellStyle name="Input 6" xfId="12392" xr:uid="{00000000-0005-0000-0000-00005E380000}"/>
    <cellStyle name="Input 6 10" xfId="12393" xr:uid="{00000000-0005-0000-0000-00005F380000}"/>
    <cellStyle name="Input 6 10 2" xfId="12394" xr:uid="{00000000-0005-0000-0000-000060380000}"/>
    <cellStyle name="Input 6 10 3" xfId="12395" xr:uid="{00000000-0005-0000-0000-000061380000}"/>
    <cellStyle name="Input 6 10 4" xfId="12396" xr:uid="{00000000-0005-0000-0000-000062380000}"/>
    <cellStyle name="Input 6 10 5" xfId="12397" xr:uid="{00000000-0005-0000-0000-000063380000}"/>
    <cellStyle name="Input 6 11" xfId="12398" xr:uid="{00000000-0005-0000-0000-000064380000}"/>
    <cellStyle name="Input 6 11 2" xfId="12399" xr:uid="{00000000-0005-0000-0000-000065380000}"/>
    <cellStyle name="Input 6 11 3" xfId="12400" xr:uid="{00000000-0005-0000-0000-000066380000}"/>
    <cellStyle name="Input 6 11 4" xfId="12401" xr:uid="{00000000-0005-0000-0000-000067380000}"/>
    <cellStyle name="Input 6 11 5" xfId="12402" xr:uid="{00000000-0005-0000-0000-000068380000}"/>
    <cellStyle name="Input 6 12" xfId="12403" xr:uid="{00000000-0005-0000-0000-000069380000}"/>
    <cellStyle name="Input 6 13" xfId="12404" xr:uid="{00000000-0005-0000-0000-00006A380000}"/>
    <cellStyle name="Input 6 14" xfId="12405" xr:uid="{00000000-0005-0000-0000-00006B380000}"/>
    <cellStyle name="Input 6 15" xfId="12406" xr:uid="{00000000-0005-0000-0000-00006C380000}"/>
    <cellStyle name="Input 6 2" xfId="12407" xr:uid="{00000000-0005-0000-0000-00006D380000}"/>
    <cellStyle name="Input 6 2 2" xfId="12408" xr:uid="{00000000-0005-0000-0000-00006E380000}"/>
    <cellStyle name="Input 6 2 3" xfId="12409" xr:uid="{00000000-0005-0000-0000-00006F380000}"/>
    <cellStyle name="Input 6 2 4" xfId="12410" xr:uid="{00000000-0005-0000-0000-000070380000}"/>
    <cellStyle name="Input 6 2 5" xfId="12411" xr:uid="{00000000-0005-0000-0000-000071380000}"/>
    <cellStyle name="Input 6 3" xfId="12412" xr:uid="{00000000-0005-0000-0000-000072380000}"/>
    <cellStyle name="Input 6 3 2" xfId="12413" xr:uid="{00000000-0005-0000-0000-000073380000}"/>
    <cellStyle name="Input 6 3 3" xfId="12414" xr:uid="{00000000-0005-0000-0000-000074380000}"/>
    <cellStyle name="Input 6 3 4" xfId="12415" xr:uid="{00000000-0005-0000-0000-000075380000}"/>
    <cellStyle name="Input 6 3 5" xfId="12416" xr:uid="{00000000-0005-0000-0000-000076380000}"/>
    <cellStyle name="Input 6 4" xfId="12417" xr:uid="{00000000-0005-0000-0000-000077380000}"/>
    <cellStyle name="Input 6 4 2" xfId="12418" xr:uid="{00000000-0005-0000-0000-000078380000}"/>
    <cellStyle name="Input 6 4 3" xfId="12419" xr:uid="{00000000-0005-0000-0000-000079380000}"/>
    <cellStyle name="Input 6 4 4" xfId="12420" xr:uid="{00000000-0005-0000-0000-00007A380000}"/>
    <cellStyle name="Input 6 4 5" xfId="12421" xr:uid="{00000000-0005-0000-0000-00007B380000}"/>
    <cellStyle name="Input 6 5" xfId="12422" xr:uid="{00000000-0005-0000-0000-00007C380000}"/>
    <cellStyle name="Input 6 5 2" xfId="12423" xr:uid="{00000000-0005-0000-0000-00007D380000}"/>
    <cellStyle name="Input 6 5 3" xfId="12424" xr:uid="{00000000-0005-0000-0000-00007E380000}"/>
    <cellStyle name="Input 6 5 4" xfId="12425" xr:uid="{00000000-0005-0000-0000-00007F380000}"/>
    <cellStyle name="Input 6 5 5" xfId="12426" xr:uid="{00000000-0005-0000-0000-000080380000}"/>
    <cellStyle name="Input 6 6" xfId="12427" xr:uid="{00000000-0005-0000-0000-000081380000}"/>
    <cellStyle name="Input 6 6 2" xfId="12428" xr:uid="{00000000-0005-0000-0000-000082380000}"/>
    <cellStyle name="Input 6 6 3" xfId="12429" xr:uid="{00000000-0005-0000-0000-000083380000}"/>
    <cellStyle name="Input 6 6 4" xfId="12430" xr:uid="{00000000-0005-0000-0000-000084380000}"/>
    <cellStyle name="Input 6 6 5" xfId="12431" xr:uid="{00000000-0005-0000-0000-000085380000}"/>
    <cellStyle name="Input 6 7" xfId="12432" xr:uid="{00000000-0005-0000-0000-000086380000}"/>
    <cellStyle name="Input 6 7 2" xfId="12433" xr:uid="{00000000-0005-0000-0000-000087380000}"/>
    <cellStyle name="Input 6 7 3" xfId="12434" xr:uid="{00000000-0005-0000-0000-000088380000}"/>
    <cellStyle name="Input 6 7 4" xfId="12435" xr:uid="{00000000-0005-0000-0000-000089380000}"/>
    <cellStyle name="Input 6 7 5" xfId="12436" xr:uid="{00000000-0005-0000-0000-00008A380000}"/>
    <cellStyle name="Input 6 8" xfId="12437" xr:uid="{00000000-0005-0000-0000-00008B380000}"/>
    <cellStyle name="Input 6 8 2" xfId="12438" xr:uid="{00000000-0005-0000-0000-00008C380000}"/>
    <cellStyle name="Input 6 8 3" xfId="12439" xr:uid="{00000000-0005-0000-0000-00008D380000}"/>
    <cellStyle name="Input 6 8 4" xfId="12440" xr:uid="{00000000-0005-0000-0000-00008E380000}"/>
    <cellStyle name="Input 6 8 5" xfId="12441" xr:uid="{00000000-0005-0000-0000-00008F380000}"/>
    <cellStyle name="Input 6 9" xfId="12442" xr:uid="{00000000-0005-0000-0000-000090380000}"/>
    <cellStyle name="Input 6 9 2" xfId="12443" xr:uid="{00000000-0005-0000-0000-000091380000}"/>
    <cellStyle name="Input 6 9 3" xfId="12444" xr:uid="{00000000-0005-0000-0000-000092380000}"/>
    <cellStyle name="Input 6 9 4" xfId="12445" xr:uid="{00000000-0005-0000-0000-000093380000}"/>
    <cellStyle name="Input 6 9 5" xfId="12446" xr:uid="{00000000-0005-0000-0000-000094380000}"/>
    <cellStyle name="Input 7" xfId="12447" xr:uid="{00000000-0005-0000-0000-000095380000}"/>
    <cellStyle name="Input 7 10" xfId="12448" xr:uid="{00000000-0005-0000-0000-000096380000}"/>
    <cellStyle name="Input 7 10 2" xfId="12449" xr:uid="{00000000-0005-0000-0000-000097380000}"/>
    <cellStyle name="Input 7 10 3" xfId="12450" xr:uid="{00000000-0005-0000-0000-000098380000}"/>
    <cellStyle name="Input 7 10 4" xfId="12451" xr:uid="{00000000-0005-0000-0000-000099380000}"/>
    <cellStyle name="Input 7 10 5" xfId="12452" xr:uid="{00000000-0005-0000-0000-00009A380000}"/>
    <cellStyle name="Input 7 11" xfId="12453" xr:uid="{00000000-0005-0000-0000-00009B380000}"/>
    <cellStyle name="Input 7 11 2" xfId="12454" xr:uid="{00000000-0005-0000-0000-00009C380000}"/>
    <cellStyle name="Input 7 11 3" xfId="12455" xr:uid="{00000000-0005-0000-0000-00009D380000}"/>
    <cellStyle name="Input 7 11 4" xfId="12456" xr:uid="{00000000-0005-0000-0000-00009E380000}"/>
    <cellStyle name="Input 7 11 5" xfId="12457" xr:uid="{00000000-0005-0000-0000-00009F380000}"/>
    <cellStyle name="Input 7 12" xfId="12458" xr:uid="{00000000-0005-0000-0000-0000A0380000}"/>
    <cellStyle name="Input 7 13" xfId="12459" xr:uid="{00000000-0005-0000-0000-0000A1380000}"/>
    <cellStyle name="Input 7 14" xfId="12460" xr:uid="{00000000-0005-0000-0000-0000A2380000}"/>
    <cellStyle name="Input 7 15" xfId="12461" xr:uid="{00000000-0005-0000-0000-0000A3380000}"/>
    <cellStyle name="Input 7 2" xfId="12462" xr:uid="{00000000-0005-0000-0000-0000A4380000}"/>
    <cellStyle name="Input 7 2 2" xfId="12463" xr:uid="{00000000-0005-0000-0000-0000A5380000}"/>
    <cellStyle name="Input 7 2 3" xfId="12464" xr:uid="{00000000-0005-0000-0000-0000A6380000}"/>
    <cellStyle name="Input 7 2 4" xfId="12465" xr:uid="{00000000-0005-0000-0000-0000A7380000}"/>
    <cellStyle name="Input 7 2 5" xfId="12466" xr:uid="{00000000-0005-0000-0000-0000A8380000}"/>
    <cellStyle name="Input 7 3" xfId="12467" xr:uid="{00000000-0005-0000-0000-0000A9380000}"/>
    <cellStyle name="Input 7 3 2" xfId="12468" xr:uid="{00000000-0005-0000-0000-0000AA380000}"/>
    <cellStyle name="Input 7 3 3" xfId="12469" xr:uid="{00000000-0005-0000-0000-0000AB380000}"/>
    <cellStyle name="Input 7 3 4" xfId="12470" xr:uid="{00000000-0005-0000-0000-0000AC380000}"/>
    <cellStyle name="Input 7 3 5" xfId="12471" xr:uid="{00000000-0005-0000-0000-0000AD380000}"/>
    <cellStyle name="Input 7 4" xfId="12472" xr:uid="{00000000-0005-0000-0000-0000AE380000}"/>
    <cellStyle name="Input 7 4 2" xfId="12473" xr:uid="{00000000-0005-0000-0000-0000AF380000}"/>
    <cellStyle name="Input 7 4 3" xfId="12474" xr:uid="{00000000-0005-0000-0000-0000B0380000}"/>
    <cellStyle name="Input 7 4 4" xfId="12475" xr:uid="{00000000-0005-0000-0000-0000B1380000}"/>
    <cellStyle name="Input 7 4 5" xfId="12476" xr:uid="{00000000-0005-0000-0000-0000B2380000}"/>
    <cellStyle name="Input 7 5" xfId="12477" xr:uid="{00000000-0005-0000-0000-0000B3380000}"/>
    <cellStyle name="Input 7 5 2" xfId="12478" xr:uid="{00000000-0005-0000-0000-0000B4380000}"/>
    <cellStyle name="Input 7 5 3" xfId="12479" xr:uid="{00000000-0005-0000-0000-0000B5380000}"/>
    <cellStyle name="Input 7 5 4" xfId="12480" xr:uid="{00000000-0005-0000-0000-0000B6380000}"/>
    <cellStyle name="Input 7 5 5" xfId="12481" xr:uid="{00000000-0005-0000-0000-0000B7380000}"/>
    <cellStyle name="Input 7 6" xfId="12482" xr:uid="{00000000-0005-0000-0000-0000B8380000}"/>
    <cellStyle name="Input 7 6 2" xfId="12483" xr:uid="{00000000-0005-0000-0000-0000B9380000}"/>
    <cellStyle name="Input 7 6 3" xfId="12484" xr:uid="{00000000-0005-0000-0000-0000BA380000}"/>
    <cellStyle name="Input 7 6 4" xfId="12485" xr:uid="{00000000-0005-0000-0000-0000BB380000}"/>
    <cellStyle name="Input 7 6 5" xfId="12486" xr:uid="{00000000-0005-0000-0000-0000BC380000}"/>
    <cellStyle name="Input 7 7" xfId="12487" xr:uid="{00000000-0005-0000-0000-0000BD380000}"/>
    <cellStyle name="Input 7 7 2" xfId="12488" xr:uid="{00000000-0005-0000-0000-0000BE380000}"/>
    <cellStyle name="Input 7 7 3" xfId="12489" xr:uid="{00000000-0005-0000-0000-0000BF380000}"/>
    <cellStyle name="Input 7 7 4" xfId="12490" xr:uid="{00000000-0005-0000-0000-0000C0380000}"/>
    <cellStyle name="Input 7 7 5" xfId="12491" xr:uid="{00000000-0005-0000-0000-0000C1380000}"/>
    <cellStyle name="Input 7 8" xfId="12492" xr:uid="{00000000-0005-0000-0000-0000C2380000}"/>
    <cellStyle name="Input 7 8 2" xfId="12493" xr:uid="{00000000-0005-0000-0000-0000C3380000}"/>
    <cellStyle name="Input 7 8 3" xfId="12494" xr:uid="{00000000-0005-0000-0000-0000C4380000}"/>
    <cellStyle name="Input 7 8 4" xfId="12495" xr:uid="{00000000-0005-0000-0000-0000C5380000}"/>
    <cellStyle name="Input 7 8 5" xfId="12496" xr:uid="{00000000-0005-0000-0000-0000C6380000}"/>
    <cellStyle name="Input 7 9" xfId="12497" xr:uid="{00000000-0005-0000-0000-0000C7380000}"/>
    <cellStyle name="Input 7 9 2" xfId="12498" xr:uid="{00000000-0005-0000-0000-0000C8380000}"/>
    <cellStyle name="Input 7 9 3" xfId="12499" xr:uid="{00000000-0005-0000-0000-0000C9380000}"/>
    <cellStyle name="Input 7 9 4" xfId="12500" xr:uid="{00000000-0005-0000-0000-0000CA380000}"/>
    <cellStyle name="Input 7 9 5" xfId="12501" xr:uid="{00000000-0005-0000-0000-0000CB380000}"/>
    <cellStyle name="Input 8" xfId="12502" xr:uid="{00000000-0005-0000-0000-0000CC380000}"/>
    <cellStyle name="Input 8 10" xfId="12503" xr:uid="{00000000-0005-0000-0000-0000CD380000}"/>
    <cellStyle name="Input 8 10 2" xfId="12504" xr:uid="{00000000-0005-0000-0000-0000CE380000}"/>
    <cellStyle name="Input 8 10 3" xfId="12505" xr:uid="{00000000-0005-0000-0000-0000CF380000}"/>
    <cellStyle name="Input 8 10 4" xfId="12506" xr:uid="{00000000-0005-0000-0000-0000D0380000}"/>
    <cellStyle name="Input 8 10 5" xfId="12507" xr:uid="{00000000-0005-0000-0000-0000D1380000}"/>
    <cellStyle name="Input 8 11" xfId="12508" xr:uid="{00000000-0005-0000-0000-0000D2380000}"/>
    <cellStyle name="Input 8 11 2" xfId="12509" xr:uid="{00000000-0005-0000-0000-0000D3380000}"/>
    <cellStyle name="Input 8 11 3" xfId="12510" xr:uid="{00000000-0005-0000-0000-0000D4380000}"/>
    <cellStyle name="Input 8 11 4" xfId="12511" xr:uid="{00000000-0005-0000-0000-0000D5380000}"/>
    <cellStyle name="Input 8 11 5" xfId="12512" xr:uid="{00000000-0005-0000-0000-0000D6380000}"/>
    <cellStyle name="Input 8 12" xfId="12513" xr:uid="{00000000-0005-0000-0000-0000D7380000}"/>
    <cellStyle name="Input 8 13" xfId="12514" xr:uid="{00000000-0005-0000-0000-0000D8380000}"/>
    <cellStyle name="Input 8 14" xfId="12515" xr:uid="{00000000-0005-0000-0000-0000D9380000}"/>
    <cellStyle name="Input 8 15" xfId="12516" xr:uid="{00000000-0005-0000-0000-0000DA380000}"/>
    <cellStyle name="Input 8 2" xfId="12517" xr:uid="{00000000-0005-0000-0000-0000DB380000}"/>
    <cellStyle name="Input 8 2 2" xfId="12518" xr:uid="{00000000-0005-0000-0000-0000DC380000}"/>
    <cellStyle name="Input 8 2 3" xfId="12519" xr:uid="{00000000-0005-0000-0000-0000DD380000}"/>
    <cellStyle name="Input 8 2 4" xfId="12520" xr:uid="{00000000-0005-0000-0000-0000DE380000}"/>
    <cellStyle name="Input 8 2 5" xfId="12521" xr:uid="{00000000-0005-0000-0000-0000DF380000}"/>
    <cellStyle name="Input 8 3" xfId="12522" xr:uid="{00000000-0005-0000-0000-0000E0380000}"/>
    <cellStyle name="Input 8 3 2" xfId="12523" xr:uid="{00000000-0005-0000-0000-0000E1380000}"/>
    <cellStyle name="Input 8 3 3" xfId="12524" xr:uid="{00000000-0005-0000-0000-0000E2380000}"/>
    <cellStyle name="Input 8 3 4" xfId="12525" xr:uid="{00000000-0005-0000-0000-0000E3380000}"/>
    <cellStyle name="Input 8 3 5" xfId="12526" xr:uid="{00000000-0005-0000-0000-0000E4380000}"/>
    <cellStyle name="Input 8 4" xfId="12527" xr:uid="{00000000-0005-0000-0000-0000E5380000}"/>
    <cellStyle name="Input 8 4 2" xfId="12528" xr:uid="{00000000-0005-0000-0000-0000E6380000}"/>
    <cellStyle name="Input 8 4 3" xfId="12529" xr:uid="{00000000-0005-0000-0000-0000E7380000}"/>
    <cellStyle name="Input 8 4 4" xfId="12530" xr:uid="{00000000-0005-0000-0000-0000E8380000}"/>
    <cellStyle name="Input 8 4 5" xfId="12531" xr:uid="{00000000-0005-0000-0000-0000E9380000}"/>
    <cellStyle name="Input 8 5" xfId="12532" xr:uid="{00000000-0005-0000-0000-0000EA380000}"/>
    <cellStyle name="Input 8 5 2" xfId="12533" xr:uid="{00000000-0005-0000-0000-0000EB380000}"/>
    <cellStyle name="Input 8 5 3" xfId="12534" xr:uid="{00000000-0005-0000-0000-0000EC380000}"/>
    <cellStyle name="Input 8 5 4" xfId="12535" xr:uid="{00000000-0005-0000-0000-0000ED380000}"/>
    <cellStyle name="Input 8 5 5" xfId="12536" xr:uid="{00000000-0005-0000-0000-0000EE380000}"/>
    <cellStyle name="Input 8 6" xfId="12537" xr:uid="{00000000-0005-0000-0000-0000EF380000}"/>
    <cellStyle name="Input 8 6 2" xfId="12538" xr:uid="{00000000-0005-0000-0000-0000F0380000}"/>
    <cellStyle name="Input 8 6 3" xfId="12539" xr:uid="{00000000-0005-0000-0000-0000F1380000}"/>
    <cellStyle name="Input 8 6 4" xfId="12540" xr:uid="{00000000-0005-0000-0000-0000F2380000}"/>
    <cellStyle name="Input 8 6 5" xfId="12541" xr:uid="{00000000-0005-0000-0000-0000F3380000}"/>
    <cellStyle name="Input 8 7" xfId="12542" xr:uid="{00000000-0005-0000-0000-0000F4380000}"/>
    <cellStyle name="Input 8 7 2" xfId="12543" xr:uid="{00000000-0005-0000-0000-0000F5380000}"/>
    <cellStyle name="Input 8 7 3" xfId="12544" xr:uid="{00000000-0005-0000-0000-0000F6380000}"/>
    <cellStyle name="Input 8 7 4" xfId="12545" xr:uid="{00000000-0005-0000-0000-0000F7380000}"/>
    <cellStyle name="Input 8 7 5" xfId="12546" xr:uid="{00000000-0005-0000-0000-0000F8380000}"/>
    <cellStyle name="Input 8 8" xfId="12547" xr:uid="{00000000-0005-0000-0000-0000F9380000}"/>
    <cellStyle name="Input 8 8 2" xfId="12548" xr:uid="{00000000-0005-0000-0000-0000FA380000}"/>
    <cellStyle name="Input 8 8 3" xfId="12549" xr:uid="{00000000-0005-0000-0000-0000FB380000}"/>
    <cellStyle name="Input 8 8 4" xfId="12550" xr:uid="{00000000-0005-0000-0000-0000FC380000}"/>
    <cellStyle name="Input 8 8 5" xfId="12551" xr:uid="{00000000-0005-0000-0000-0000FD380000}"/>
    <cellStyle name="Input 8 9" xfId="12552" xr:uid="{00000000-0005-0000-0000-0000FE380000}"/>
    <cellStyle name="Input 8 9 2" xfId="12553" xr:uid="{00000000-0005-0000-0000-0000FF380000}"/>
    <cellStyle name="Input 8 9 3" xfId="12554" xr:uid="{00000000-0005-0000-0000-000000390000}"/>
    <cellStyle name="Input 8 9 4" xfId="12555" xr:uid="{00000000-0005-0000-0000-000001390000}"/>
    <cellStyle name="Input 8 9 5" xfId="12556" xr:uid="{00000000-0005-0000-0000-000002390000}"/>
    <cellStyle name="Input 9" xfId="12557" xr:uid="{00000000-0005-0000-0000-000003390000}"/>
    <cellStyle name="Input 9 2" xfId="12558" xr:uid="{00000000-0005-0000-0000-000004390000}"/>
    <cellStyle name="Input 9 3" xfId="12559" xr:uid="{00000000-0005-0000-0000-000005390000}"/>
    <cellStyle name="Input 9 4" xfId="12560" xr:uid="{00000000-0005-0000-0000-000006390000}"/>
    <cellStyle name="Input 9 5" xfId="12561" xr:uid="{00000000-0005-0000-0000-000007390000}"/>
    <cellStyle name="Linked Cell" xfId="227" xr:uid="{00000000-0005-0000-0000-000008390000}"/>
    <cellStyle name="Linked Cell 2" xfId="228" xr:uid="{00000000-0005-0000-0000-000009390000}"/>
    <cellStyle name="Linked Cell 2 2" xfId="1258" xr:uid="{00000000-0005-0000-0000-00000A390000}"/>
    <cellStyle name="Linked Cell 2 2 2" xfId="2183" xr:uid="{00000000-0005-0000-0000-00000B390000}"/>
    <cellStyle name="Linked Cell 2 2 2 2" xfId="12565" xr:uid="{00000000-0005-0000-0000-00000C390000}"/>
    <cellStyle name="Linked Cell 2 2 2 3" xfId="23776" xr:uid="{00000000-0005-0000-0000-00000D390000}"/>
    <cellStyle name="Linked Cell 2 2 3" xfId="3892" xr:uid="{00000000-0005-0000-0000-00000E390000}"/>
    <cellStyle name="Linked Cell 2 2 3 2" xfId="12564" xr:uid="{00000000-0005-0000-0000-00000F390000}"/>
    <cellStyle name="Linked Cell 2 3" xfId="12566" xr:uid="{00000000-0005-0000-0000-000010390000}"/>
    <cellStyle name="Linked Cell 2 4" xfId="12567" xr:uid="{00000000-0005-0000-0000-000011390000}"/>
    <cellStyle name="Linked Cell 2 5" xfId="12563" xr:uid="{00000000-0005-0000-0000-000012390000}"/>
    <cellStyle name="Linked Cell 3" xfId="2184" xr:uid="{00000000-0005-0000-0000-000013390000}"/>
    <cellStyle name="Linked Cell 3 2" xfId="12569" xr:uid="{00000000-0005-0000-0000-000014390000}"/>
    <cellStyle name="Linked Cell 3 3" xfId="12568" xr:uid="{00000000-0005-0000-0000-000015390000}"/>
    <cellStyle name="Linked Cell 4" xfId="12570" xr:uid="{00000000-0005-0000-0000-000016390000}"/>
    <cellStyle name="Linked Cell 5" xfId="12571" xr:uid="{00000000-0005-0000-0000-000017390000}"/>
    <cellStyle name="Linked Cell 6" xfId="12562" xr:uid="{00000000-0005-0000-0000-000018390000}"/>
    <cellStyle name="Millares" xfId="229" builtinId="3"/>
    <cellStyle name="Millares [0]" xfId="31096" builtinId="6"/>
    <cellStyle name="Millares [0] 10" xfId="12572" xr:uid="{00000000-0005-0000-0000-00001B390000}"/>
    <cellStyle name="Millares [0] 10 2" xfId="12573" xr:uid="{00000000-0005-0000-0000-00001C390000}"/>
    <cellStyle name="Millares [0] 10 2 2" xfId="12574" xr:uid="{00000000-0005-0000-0000-00001D390000}"/>
    <cellStyle name="Millares [0] 10 2 2 2" xfId="12575" xr:uid="{00000000-0005-0000-0000-00001E390000}"/>
    <cellStyle name="Millares [0] 10 2 2 2 2" xfId="12576" xr:uid="{00000000-0005-0000-0000-00001F390000}"/>
    <cellStyle name="Millares [0] 10 2 2 3" xfId="12577" xr:uid="{00000000-0005-0000-0000-000020390000}"/>
    <cellStyle name="Millares [0] 10 2 3" xfId="12578" xr:uid="{00000000-0005-0000-0000-000021390000}"/>
    <cellStyle name="Millares [0] 10 2 3 2" xfId="12579" xr:uid="{00000000-0005-0000-0000-000022390000}"/>
    <cellStyle name="Millares [0] 10 2 4" xfId="12580" xr:uid="{00000000-0005-0000-0000-000023390000}"/>
    <cellStyle name="Millares [0] 10 3" xfId="12581" xr:uid="{00000000-0005-0000-0000-000024390000}"/>
    <cellStyle name="Millares [0] 10 3 2" xfId="12582" xr:uid="{00000000-0005-0000-0000-000025390000}"/>
    <cellStyle name="Millares [0] 10 3 2 2" xfId="12583" xr:uid="{00000000-0005-0000-0000-000026390000}"/>
    <cellStyle name="Millares [0] 10 3 3" xfId="12584" xr:uid="{00000000-0005-0000-0000-000027390000}"/>
    <cellStyle name="Millares [0] 10 4" xfId="12585" xr:uid="{00000000-0005-0000-0000-000028390000}"/>
    <cellStyle name="Millares [0] 10 4 2" xfId="12586" xr:uid="{00000000-0005-0000-0000-000029390000}"/>
    <cellStyle name="Millares [0] 10 5" xfId="12587" xr:uid="{00000000-0005-0000-0000-00002A390000}"/>
    <cellStyle name="Millares [0] 10 6" xfId="23777" xr:uid="{00000000-0005-0000-0000-00002B390000}"/>
    <cellStyle name="Millares [0] 11" xfId="12588" xr:uid="{00000000-0005-0000-0000-00002C390000}"/>
    <cellStyle name="Millares [0] 12" xfId="22978" xr:uid="{00000000-0005-0000-0000-00002D390000}"/>
    <cellStyle name="Millares [0] 13" xfId="24542" xr:uid="{00000000-0005-0000-0000-00002E390000}"/>
    <cellStyle name="Millares [0] 14" xfId="25046" xr:uid="{00000000-0005-0000-0000-00002F390000}"/>
    <cellStyle name="Millares [0] 15" xfId="25550" xr:uid="{00000000-0005-0000-0000-000030390000}"/>
    <cellStyle name="Millares [0] 16" xfId="26054" xr:uid="{00000000-0005-0000-0000-000031390000}"/>
    <cellStyle name="Millares [0] 17" xfId="26558" xr:uid="{00000000-0005-0000-0000-000032390000}"/>
    <cellStyle name="Millares [0] 18" xfId="27062" xr:uid="{00000000-0005-0000-0000-000033390000}"/>
    <cellStyle name="Millares [0] 19" xfId="27566" xr:uid="{00000000-0005-0000-0000-000034390000}"/>
    <cellStyle name="Millares [0] 2" xfId="2185" xr:uid="{00000000-0005-0000-0000-000035390000}"/>
    <cellStyle name="Millares [0] 2 10" xfId="32020" xr:uid="{295211F1-DF2F-4DF9-BE09-D0915CE1C1BD}"/>
    <cellStyle name="Millares [0] 2 2" xfId="2186" xr:uid="{00000000-0005-0000-0000-000036390000}"/>
    <cellStyle name="Millares [0] 2 2 2" xfId="12591" xr:uid="{00000000-0005-0000-0000-000037390000}"/>
    <cellStyle name="Millares [0] 2 2 2 2" xfId="23778" xr:uid="{00000000-0005-0000-0000-000038390000}"/>
    <cellStyle name="Millares [0] 2 2 3" xfId="12590" xr:uid="{00000000-0005-0000-0000-000039390000}"/>
    <cellStyle name="Millares [0] 2 3" xfId="3324" xr:uid="{00000000-0005-0000-0000-00003A390000}"/>
    <cellStyle name="Millares [0] 2 3 2" xfId="12593" xr:uid="{00000000-0005-0000-0000-00003B390000}"/>
    <cellStyle name="Millares [0] 2 3 2 2" xfId="23779" xr:uid="{00000000-0005-0000-0000-00003C390000}"/>
    <cellStyle name="Millares [0] 2 3 3" xfId="12592" xr:uid="{00000000-0005-0000-0000-00003D390000}"/>
    <cellStyle name="Millares [0] 2 4" xfId="12594" xr:uid="{00000000-0005-0000-0000-00003E390000}"/>
    <cellStyle name="Millares [0] 2 4 2" xfId="23780" xr:uid="{00000000-0005-0000-0000-00003F390000}"/>
    <cellStyle name="Millares [0] 2 5" xfId="12595" xr:uid="{00000000-0005-0000-0000-000040390000}"/>
    <cellStyle name="Millares [0] 2 5 2" xfId="23781" xr:uid="{00000000-0005-0000-0000-000041390000}"/>
    <cellStyle name="Millares [0] 2 6" xfId="12596" xr:uid="{00000000-0005-0000-0000-000042390000}"/>
    <cellStyle name="Millares [0] 2 7" xfId="12589" xr:uid="{00000000-0005-0000-0000-000043390000}"/>
    <cellStyle name="Millares [0] 2 8" xfId="22979" xr:uid="{00000000-0005-0000-0000-000044390000}"/>
    <cellStyle name="Millares [0] 2 9" xfId="31998" xr:uid="{73AD4646-BD35-4A51-ABA3-9263FD324F23}"/>
    <cellStyle name="Millares [0] 2_12" xfId="2187" xr:uid="{00000000-0005-0000-0000-000045390000}"/>
    <cellStyle name="Millares [0] 20" xfId="28070" xr:uid="{00000000-0005-0000-0000-000046390000}"/>
    <cellStyle name="Millares [0] 21" xfId="28574" xr:uid="{00000000-0005-0000-0000-000047390000}"/>
    <cellStyle name="Millares [0] 22" xfId="29078" xr:uid="{00000000-0005-0000-0000-000048390000}"/>
    <cellStyle name="Millares [0] 23" xfId="29582" xr:uid="{00000000-0005-0000-0000-000049390000}"/>
    <cellStyle name="Millares [0] 24" xfId="30086" xr:uid="{00000000-0005-0000-0000-00004A390000}"/>
    <cellStyle name="Millares [0] 25" xfId="30590" xr:uid="{00000000-0005-0000-0000-00004B390000}"/>
    <cellStyle name="Millares [0] 26" xfId="30591" xr:uid="{00000000-0005-0000-0000-00004C390000}"/>
    <cellStyle name="Millares [0] 27" xfId="31095" xr:uid="{00000000-0005-0000-0000-00004D390000}"/>
    <cellStyle name="Millares [0] 28" xfId="31108" xr:uid="{2F945132-ED16-4331-9649-AA4F4F24B029}"/>
    <cellStyle name="Millares [0] 29" xfId="31116" xr:uid="{32E01B1F-8556-45E7-992C-642FAB88D06D}"/>
    <cellStyle name="Millares [0] 3" xfId="12597" xr:uid="{00000000-0005-0000-0000-00004E390000}"/>
    <cellStyle name="Millares [0] 3 2" xfId="23782" xr:uid="{00000000-0005-0000-0000-00004F390000}"/>
    <cellStyle name="Millares [0] 3 3" xfId="32003" xr:uid="{BBA39CC1-47F7-4F62-B112-3119AE40F47B}"/>
    <cellStyle name="Millares [0] 30" xfId="31991" xr:uid="{A44F33EA-D145-4BC7-91D2-82F8B2F6FA26}"/>
    <cellStyle name="Millares [0] 31" xfId="31994" xr:uid="{5D9B746C-F457-48DA-BCFB-A2E20E3A4937}"/>
    <cellStyle name="Millares [0] 4" xfId="12598" xr:uid="{00000000-0005-0000-0000-000050390000}"/>
    <cellStyle name="Millares [0] 4 2" xfId="23783" xr:uid="{00000000-0005-0000-0000-000051390000}"/>
    <cellStyle name="Millares [0] 4 3" xfId="32006" xr:uid="{167F8DDF-90FF-4F7F-8C01-A5D04830D5B7}"/>
    <cellStyle name="Millares [0] 5" xfId="12599" xr:uid="{00000000-0005-0000-0000-000052390000}"/>
    <cellStyle name="Millares [0] 5 2" xfId="23784" xr:uid="{00000000-0005-0000-0000-000053390000}"/>
    <cellStyle name="Millares [0] 6" xfId="12600" xr:uid="{00000000-0005-0000-0000-000054390000}"/>
    <cellStyle name="Millares [0] 6 2" xfId="23785" xr:uid="{00000000-0005-0000-0000-000055390000}"/>
    <cellStyle name="Millares [0] 7" xfId="12601" xr:uid="{00000000-0005-0000-0000-000056390000}"/>
    <cellStyle name="Millares [0] 7 2" xfId="12602" xr:uid="{00000000-0005-0000-0000-000057390000}"/>
    <cellStyle name="Millares [0] 7 3" xfId="12603" xr:uid="{00000000-0005-0000-0000-000058390000}"/>
    <cellStyle name="Millares [0] 7 4" xfId="23786" xr:uid="{00000000-0005-0000-0000-000059390000}"/>
    <cellStyle name="Millares [0] 8" xfId="12604" xr:uid="{00000000-0005-0000-0000-00005A390000}"/>
    <cellStyle name="Millares [0] 8 2" xfId="12605" xr:uid="{00000000-0005-0000-0000-00005B390000}"/>
    <cellStyle name="Millares [0] 8 2 2" xfId="12606" xr:uid="{00000000-0005-0000-0000-00005C390000}"/>
    <cellStyle name="Millares [0] 8 2 2 2" xfId="12607" xr:uid="{00000000-0005-0000-0000-00005D390000}"/>
    <cellStyle name="Millares [0] 8 2 2 2 2" xfId="12608" xr:uid="{00000000-0005-0000-0000-00005E390000}"/>
    <cellStyle name="Millares [0] 8 2 2 3" xfId="12609" xr:uid="{00000000-0005-0000-0000-00005F390000}"/>
    <cellStyle name="Millares [0] 8 2 3" xfId="12610" xr:uid="{00000000-0005-0000-0000-000060390000}"/>
    <cellStyle name="Millares [0] 8 2 3 2" xfId="12611" xr:uid="{00000000-0005-0000-0000-000061390000}"/>
    <cellStyle name="Millares [0] 8 2 4" xfId="12612" xr:uid="{00000000-0005-0000-0000-000062390000}"/>
    <cellStyle name="Millares [0] 8 3" xfId="12613" xr:uid="{00000000-0005-0000-0000-000063390000}"/>
    <cellStyle name="Millares [0] 8 3 2" xfId="12614" xr:uid="{00000000-0005-0000-0000-000064390000}"/>
    <cellStyle name="Millares [0] 8 3 2 2" xfId="12615" xr:uid="{00000000-0005-0000-0000-000065390000}"/>
    <cellStyle name="Millares [0] 8 3 3" xfId="12616" xr:uid="{00000000-0005-0000-0000-000066390000}"/>
    <cellStyle name="Millares [0] 8 4" xfId="12617" xr:uid="{00000000-0005-0000-0000-000067390000}"/>
    <cellStyle name="Millares [0] 8 4 2" xfId="12618" xr:uid="{00000000-0005-0000-0000-000068390000}"/>
    <cellStyle name="Millares [0] 8 5" xfId="12619" xr:uid="{00000000-0005-0000-0000-000069390000}"/>
    <cellStyle name="Millares [0] 8 6" xfId="23787" xr:uid="{00000000-0005-0000-0000-00006A390000}"/>
    <cellStyle name="Millares [0] 9" xfId="12620" xr:uid="{00000000-0005-0000-0000-00006B390000}"/>
    <cellStyle name="Millares [0] 9 2" xfId="12621" xr:uid="{00000000-0005-0000-0000-00006C390000}"/>
    <cellStyle name="Millares [0] 9 2 2" xfId="12622" xr:uid="{00000000-0005-0000-0000-00006D390000}"/>
    <cellStyle name="Millares [0] 9 2 2 2" xfId="12623" xr:uid="{00000000-0005-0000-0000-00006E390000}"/>
    <cellStyle name="Millares [0] 9 2 2 2 2" xfId="12624" xr:uid="{00000000-0005-0000-0000-00006F390000}"/>
    <cellStyle name="Millares [0] 9 2 2 3" xfId="12625" xr:uid="{00000000-0005-0000-0000-000070390000}"/>
    <cellStyle name="Millares [0] 9 2 3" xfId="12626" xr:uid="{00000000-0005-0000-0000-000071390000}"/>
    <cellStyle name="Millares [0] 9 2 3 2" xfId="12627" xr:uid="{00000000-0005-0000-0000-000072390000}"/>
    <cellStyle name="Millares [0] 9 2 4" xfId="12628" xr:uid="{00000000-0005-0000-0000-000073390000}"/>
    <cellStyle name="Millares [0] 9 3" xfId="12629" xr:uid="{00000000-0005-0000-0000-000074390000}"/>
    <cellStyle name="Millares [0] 9 3 2" xfId="12630" xr:uid="{00000000-0005-0000-0000-000075390000}"/>
    <cellStyle name="Millares [0] 9 3 2 2" xfId="12631" xr:uid="{00000000-0005-0000-0000-000076390000}"/>
    <cellStyle name="Millares [0] 9 3 3" xfId="12632" xr:uid="{00000000-0005-0000-0000-000077390000}"/>
    <cellStyle name="Millares [0] 9 4" xfId="12633" xr:uid="{00000000-0005-0000-0000-000078390000}"/>
    <cellStyle name="Millares [0] 9 4 2" xfId="12634" xr:uid="{00000000-0005-0000-0000-000079390000}"/>
    <cellStyle name="Millares [0] 9 5" xfId="12635" xr:uid="{00000000-0005-0000-0000-00007A390000}"/>
    <cellStyle name="Millares [0] 9 6" xfId="23788" xr:uid="{00000000-0005-0000-0000-00007B390000}"/>
    <cellStyle name="Millares 10" xfId="1403" xr:uid="{00000000-0005-0000-0000-00007C390000}"/>
    <cellStyle name="Millares 10 2" xfId="2189" xr:uid="{00000000-0005-0000-0000-00007D390000}"/>
    <cellStyle name="Millares 10 2 2" xfId="3325" xr:uid="{00000000-0005-0000-0000-00007E390000}"/>
    <cellStyle name="Millares 10 2 2 2" xfId="6873" xr:uid="{00000000-0005-0000-0000-00007F390000}"/>
    <cellStyle name="Millares 10 2 2 2 2" xfId="12640" xr:uid="{00000000-0005-0000-0000-000080390000}"/>
    <cellStyle name="Millares 10 2 2 2 3" xfId="12639" xr:uid="{00000000-0005-0000-0000-000081390000}"/>
    <cellStyle name="Millares 10 2 2 3" xfId="12641" xr:uid="{00000000-0005-0000-0000-000082390000}"/>
    <cellStyle name="Millares 10 2 2 4" xfId="12642" xr:uid="{00000000-0005-0000-0000-000083390000}"/>
    <cellStyle name="Millares 10 2 2 5" xfId="12643" xr:uid="{00000000-0005-0000-0000-000084390000}"/>
    <cellStyle name="Millares 10 2 2 6" xfId="12638" xr:uid="{00000000-0005-0000-0000-000085390000}"/>
    <cellStyle name="Millares 10 2 3" xfId="3326" xr:uid="{00000000-0005-0000-0000-000086390000}"/>
    <cellStyle name="Millares 10 2 3 2" xfId="6874" xr:uid="{00000000-0005-0000-0000-000087390000}"/>
    <cellStyle name="Millares 10 2 3 2 2" xfId="12645" xr:uid="{00000000-0005-0000-0000-000088390000}"/>
    <cellStyle name="Millares 10 2 3 3" xfId="12646" xr:uid="{00000000-0005-0000-0000-000089390000}"/>
    <cellStyle name="Millares 10 2 3 4" xfId="12647" xr:uid="{00000000-0005-0000-0000-00008A390000}"/>
    <cellStyle name="Millares 10 2 3 5" xfId="12644" xr:uid="{00000000-0005-0000-0000-00008B390000}"/>
    <cellStyle name="Millares 10 2 4" xfId="12648" xr:uid="{00000000-0005-0000-0000-00008C390000}"/>
    <cellStyle name="Millares 10 2 4 2" xfId="12649" xr:uid="{00000000-0005-0000-0000-00008D390000}"/>
    <cellStyle name="Millares 10 2 5" xfId="12650" xr:uid="{00000000-0005-0000-0000-00008E390000}"/>
    <cellStyle name="Millares 10 2 6" xfId="12637" xr:uid="{00000000-0005-0000-0000-00008F390000}"/>
    <cellStyle name="Millares 10 3" xfId="2188" xr:uid="{00000000-0005-0000-0000-000090390000}"/>
    <cellStyle name="Millares 10 3 2" xfId="4269" xr:uid="{00000000-0005-0000-0000-000091390000}"/>
    <cellStyle name="Millares 10 3 2 2" xfId="12652" xr:uid="{00000000-0005-0000-0000-000092390000}"/>
    <cellStyle name="Millares 10 3 2 3" xfId="22980" xr:uid="{00000000-0005-0000-0000-000093390000}"/>
    <cellStyle name="Millares 10 3 2 4" xfId="23789" xr:uid="{00000000-0005-0000-0000-000094390000}"/>
    <cellStyle name="Millares 10 3 3" xfId="3327" xr:uid="{00000000-0005-0000-0000-000095390000}"/>
    <cellStyle name="Millares 10 3 3 2" xfId="12653" xr:uid="{00000000-0005-0000-0000-000096390000}"/>
    <cellStyle name="Millares 10 3 3 3" xfId="23790" xr:uid="{00000000-0005-0000-0000-000097390000}"/>
    <cellStyle name="Millares 10 3 4" xfId="6875" xr:uid="{00000000-0005-0000-0000-000098390000}"/>
    <cellStyle name="Millares 10 3 4 2" xfId="12654" xr:uid="{00000000-0005-0000-0000-000099390000}"/>
    <cellStyle name="Millares 10 3 5" xfId="12651" xr:uid="{00000000-0005-0000-0000-00009A390000}"/>
    <cellStyle name="Millares 10 4" xfId="3328" xr:uid="{00000000-0005-0000-0000-00009B390000}"/>
    <cellStyle name="Millares 10 4 2" xfId="6876" xr:uid="{00000000-0005-0000-0000-00009C390000}"/>
    <cellStyle name="Millares 10 4 2 2" xfId="12657" xr:uid="{00000000-0005-0000-0000-00009D390000}"/>
    <cellStyle name="Millares 10 4 2 3" xfId="12656" xr:uid="{00000000-0005-0000-0000-00009E390000}"/>
    <cellStyle name="Millares 10 4 3" xfId="12658" xr:uid="{00000000-0005-0000-0000-00009F390000}"/>
    <cellStyle name="Millares 10 4 4" xfId="12659" xr:uid="{00000000-0005-0000-0000-0000A0390000}"/>
    <cellStyle name="Millares 10 4 5" xfId="12660" xr:uid="{00000000-0005-0000-0000-0000A1390000}"/>
    <cellStyle name="Millares 10 4 6" xfId="12655" xr:uid="{00000000-0005-0000-0000-0000A2390000}"/>
    <cellStyle name="Millares 10 5" xfId="3935" xr:uid="{00000000-0005-0000-0000-0000A3390000}"/>
    <cellStyle name="Millares 10 5 2" xfId="12662" xr:uid="{00000000-0005-0000-0000-0000A4390000}"/>
    <cellStyle name="Millares 10 5 3" xfId="12661" xr:uid="{00000000-0005-0000-0000-0000A5390000}"/>
    <cellStyle name="Millares 10 5 4" xfId="22981" xr:uid="{00000000-0005-0000-0000-0000A6390000}"/>
    <cellStyle name="Millares 10 6" xfId="12663" xr:uid="{00000000-0005-0000-0000-0000A7390000}"/>
    <cellStyle name="Millares 10 6 2" xfId="12664" xr:uid="{00000000-0005-0000-0000-0000A8390000}"/>
    <cellStyle name="Millares 10 7" xfId="12665" xr:uid="{00000000-0005-0000-0000-0000A9390000}"/>
    <cellStyle name="Millares 10 8" xfId="12666" xr:uid="{00000000-0005-0000-0000-0000AA390000}"/>
    <cellStyle name="Millares 10 9" xfId="12636" xr:uid="{00000000-0005-0000-0000-0000AB390000}"/>
    <cellStyle name="Millares 100" xfId="12667" xr:uid="{00000000-0005-0000-0000-0000AC390000}"/>
    <cellStyle name="Millares 100 2" xfId="12668" xr:uid="{00000000-0005-0000-0000-0000AD390000}"/>
    <cellStyle name="Millares 100 3" xfId="23791" xr:uid="{00000000-0005-0000-0000-0000AE390000}"/>
    <cellStyle name="Millares 101" xfId="12669" xr:uid="{00000000-0005-0000-0000-0000AF390000}"/>
    <cellStyle name="Millares 101 2" xfId="12670" xr:uid="{00000000-0005-0000-0000-0000B0390000}"/>
    <cellStyle name="Millares 101 3" xfId="23792" xr:uid="{00000000-0005-0000-0000-0000B1390000}"/>
    <cellStyle name="Millares 102" xfId="12671" xr:uid="{00000000-0005-0000-0000-0000B2390000}"/>
    <cellStyle name="Millares 102 2" xfId="12672" xr:uid="{00000000-0005-0000-0000-0000B3390000}"/>
    <cellStyle name="Millares 102 3" xfId="23793" xr:uid="{00000000-0005-0000-0000-0000B4390000}"/>
    <cellStyle name="Millares 103" xfId="12673" xr:uid="{00000000-0005-0000-0000-0000B5390000}"/>
    <cellStyle name="Millares 103 2" xfId="12674" xr:uid="{00000000-0005-0000-0000-0000B6390000}"/>
    <cellStyle name="Millares 103 3" xfId="23794" xr:uid="{00000000-0005-0000-0000-0000B7390000}"/>
    <cellStyle name="Millares 104" xfId="12675" xr:uid="{00000000-0005-0000-0000-0000B8390000}"/>
    <cellStyle name="Millares 104 10" xfId="28057" xr:uid="{00000000-0005-0000-0000-0000B9390000}"/>
    <cellStyle name="Millares 104 11" xfId="28561" xr:uid="{00000000-0005-0000-0000-0000BA390000}"/>
    <cellStyle name="Millares 104 12" xfId="29065" xr:uid="{00000000-0005-0000-0000-0000BB390000}"/>
    <cellStyle name="Millares 104 13" xfId="29569" xr:uid="{00000000-0005-0000-0000-0000BC390000}"/>
    <cellStyle name="Millares 104 14" xfId="30073" xr:uid="{00000000-0005-0000-0000-0000BD390000}"/>
    <cellStyle name="Millares 104 15" xfId="30577" xr:uid="{00000000-0005-0000-0000-0000BE390000}"/>
    <cellStyle name="Millares 104 16" xfId="31082" xr:uid="{00000000-0005-0000-0000-0000BF390000}"/>
    <cellStyle name="Millares 104 2" xfId="12676" xr:uid="{00000000-0005-0000-0000-0000C0390000}"/>
    <cellStyle name="Millares 104 3" xfId="24525" xr:uid="{00000000-0005-0000-0000-0000C1390000}"/>
    <cellStyle name="Millares 104 4" xfId="25033" xr:uid="{00000000-0005-0000-0000-0000C2390000}"/>
    <cellStyle name="Millares 104 5" xfId="25537" xr:uid="{00000000-0005-0000-0000-0000C3390000}"/>
    <cellStyle name="Millares 104 6" xfId="26041" xr:uid="{00000000-0005-0000-0000-0000C4390000}"/>
    <cellStyle name="Millares 104 7" xfId="26545" xr:uid="{00000000-0005-0000-0000-0000C5390000}"/>
    <cellStyle name="Millares 104 8" xfId="27049" xr:uid="{00000000-0005-0000-0000-0000C6390000}"/>
    <cellStyle name="Millares 104 9" xfId="27553" xr:uid="{00000000-0005-0000-0000-0000C7390000}"/>
    <cellStyle name="Millares 105" xfId="12677" xr:uid="{00000000-0005-0000-0000-0000C8390000}"/>
    <cellStyle name="Millares 105 2" xfId="12678" xr:uid="{00000000-0005-0000-0000-0000C9390000}"/>
    <cellStyle name="Millares 105 3" xfId="24535" xr:uid="{00000000-0005-0000-0000-0000CA390000}"/>
    <cellStyle name="Millares 106" xfId="12679" xr:uid="{00000000-0005-0000-0000-0000CB390000}"/>
    <cellStyle name="Millares 106 2" xfId="12680" xr:uid="{00000000-0005-0000-0000-0000CC390000}"/>
    <cellStyle name="Millares 106 3" xfId="24539" xr:uid="{00000000-0005-0000-0000-0000CD390000}"/>
    <cellStyle name="Millares 107" xfId="12681" xr:uid="{00000000-0005-0000-0000-0000CE390000}"/>
    <cellStyle name="Millares 107 2" xfId="12682" xr:uid="{00000000-0005-0000-0000-0000CF390000}"/>
    <cellStyle name="Millares 107 3" xfId="24540" xr:uid="{00000000-0005-0000-0000-0000D0390000}"/>
    <cellStyle name="Millares 108" xfId="12683" xr:uid="{00000000-0005-0000-0000-0000D1390000}"/>
    <cellStyle name="Millares 108 2" xfId="12684" xr:uid="{00000000-0005-0000-0000-0000D2390000}"/>
    <cellStyle name="Millares 109" xfId="12685" xr:uid="{00000000-0005-0000-0000-0000D3390000}"/>
    <cellStyle name="Millares 109 2" xfId="12686" xr:uid="{00000000-0005-0000-0000-0000D4390000}"/>
    <cellStyle name="Millares 11" xfId="1507" xr:uid="{00000000-0005-0000-0000-0000D5390000}"/>
    <cellStyle name="Millares 11 2" xfId="2190" xr:uid="{00000000-0005-0000-0000-0000D6390000}"/>
    <cellStyle name="Millares 11 2 2" xfId="3330" xr:uid="{00000000-0005-0000-0000-0000D7390000}"/>
    <cellStyle name="Millares 11 2 2 2" xfId="6878" xr:uid="{00000000-0005-0000-0000-0000D8390000}"/>
    <cellStyle name="Millares 11 2 2 2 2" xfId="12691" xr:uid="{00000000-0005-0000-0000-0000D9390000}"/>
    <cellStyle name="Millares 11 2 2 2 3" xfId="12690" xr:uid="{00000000-0005-0000-0000-0000DA390000}"/>
    <cellStyle name="Millares 11 2 2 3" xfId="12692" xr:uid="{00000000-0005-0000-0000-0000DB390000}"/>
    <cellStyle name="Millares 11 2 2 4" xfId="12693" xr:uid="{00000000-0005-0000-0000-0000DC390000}"/>
    <cellStyle name="Millares 11 2 2 5" xfId="12694" xr:uid="{00000000-0005-0000-0000-0000DD390000}"/>
    <cellStyle name="Millares 11 2 2 6" xfId="12689" xr:uid="{00000000-0005-0000-0000-0000DE390000}"/>
    <cellStyle name="Millares 11 2 3" xfId="4270" xr:uid="{00000000-0005-0000-0000-0000DF390000}"/>
    <cellStyle name="Millares 11 2 3 2" xfId="12696" xr:uid="{00000000-0005-0000-0000-0000E0390000}"/>
    <cellStyle name="Millares 11 2 3 3" xfId="12695" xr:uid="{00000000-0005-0000-0000-0000E1390000}"/>
    <cellStyle name="Millares 11 2 3 4" xfId="22983" xr:uid="{00000000-0005-0000-0000-0000E2390000}"/>
    <cellStyle name="Millares 11 2 4" xfId="3329" xr:uid="{00000000-0005-0000-0000-0000E3390000}"/>
    <cellStyle name="Millares 11 2 4 2" xfId="12697" xr:uid="{00000000-0005-0000-0000-0000E4390000}"/>
    <cellStyle name="Millares 11 2 5" xfId="6877" xr:uid="{00000000-0005-0000-0000-0000E5390000}"/>
    <cellStyle name="Millares 11 2 5 2" xfId="12698" xr:uid="{00000000-0005-0000-0000-0000E6390000}"/>
    <cellStyle name="Millares 11 2 6" xfId="12699" xr:uid="{00000000-0005-0000-0000-0000E7390000}"/>
    <cellStyle name="Millares 11 2 7" xfId="12688" xr:uid="{00000000-0005-0000-0000-0000E8390000}"/>
    <cellStyle name="Millares 11 3" xfId="3331" xr:uid="{00000000-0005-0000-0000-0000E9390000}"/>
    <cellStyle name="Millares 11 3 2" xfId="6879" xr:uid="{00000000-0005-0000-0000-0000EA390000}"/>
    <cellStyle name="Millares 11 3 2 2" xfId="12702" xr:uid="{00000000-0005-0000-0000-0000EB390000}"/>
    <cellStyle name="Millares 11 3 2 3" xfId="12701" xr:uid="{00000000-0005-0000-0000-0000EC390000}"/>
    <cellStyle name="Millares 11 3 3" xfId="12703" xr:uid="{00000000-0005-0000-0000-0000ED390000}"/>
    <cellStyle name="Millares 11 3 4" xfId="12704" xr:uid="{00000000-0005-0000-0000-0000EE390000}"/>
    <cellStyle name="Millares 11 3 5" xfId="12705" xr:uid="{00000000-0005-0000-0000-0000EF390000}"/>
    <cellStyle name="Millares 11 3 6" xfId="12700" xr:uid="{00000000-0005-0000-0000-0000F0390000}"/>
    <cellStyle name="Millares 11 4" xfId="3332" xr:uid="{00000000-0005-0000-0000-0000F1390000}"/>
    <cellStyle name="Millares 11 4 2" xfId="6880" xr:uid="{00000000-0005-0000-0000-0000F2390000}"/>
    <cellStyle name="Millares 11 4 2 2" xfId="12707" xr:uid="{00000000-0005-0000-0000-0000F3390000}"/>
    <cellStyle name="Millares 11 4 2 3" xfId="22985" xr:uid="{00000000-0005-0000-0000-0000F4390000}"/>
    <cellStyle name="Millares 11 4 3" xfId="12708" xr:uid="{00000000-0005-0000-0000-0000F5390000}"/>
    <cellStyle name="Millares 11 4 4" xfId="12709" xr:uid="{00000000-0005-0000-0000-0000F6390000}"/>
    <cellStyle name="Millares 11 4 5" xfId="12706" xr:uid="{00000000-0005-0000-0000-0000F7390000}"/>
    <cellStyle name="Millares 11 4 6" xfId="22984" xr:uid="{00000000-0005-0000-0000-0000F8390000}"/>
    <cellStyle name="Millares 11 5" xfId="4028" xr:uid="{00000000-0005-0000-0000-0000F9390000}"/>
    <cellStyle name="Millares 11 5 2" xfId="12711" xr:uid="{00000000-0005-0000-0000-0000FA390000}"/>
    <cellStyle name="Millares 11 5 3" xfId="12710" xr:uid="{00000000-0005-0000-0000-0000FB390000}"/>
    <cellStyle name="Millares 11 6" xfId="12712" xr:uid="{00000000-0005-0000-0000-0000FC390000}"/>
    <cellStyle name="Millares 11 7" xfId="12713" xr:uid="{00000000-0005-0000-0000-0000FD390000}"/>
    <cellStyle name="Millares 11 8" xfId="12687" xr:uid="{00000000-0005-0000-0000-0000FE390000}"/>
    <cellStyle name="Millares 11 9" xfId="22982" xr:uid="{00000000-0005-0000-0000-0000FF390000}"/>
    <cellStyle name="Millares 110" xfId="12714" xr:uid="{00000000-0005-0000-0000-0000003A0000}"/>
    <cellStyle name="Millares 110 2" xfId="12715" xr:uid="{00000000-0005-0000-0000-0000013A0000}"/>
    <cellStyle name="Millares 111" xfId="12716" xr:uid="{00000000-0005-0000-0000-0000023A0000}"/>
    <cellStyle name="Millares 111 2" xfId="12717" xr:uid="{00000000-0005-0000-0000-0000033A0000}"/>
    <cellStyle name="Millares 112" xfId="12718" xr:uid="{00000000-0005-0000-0000-0000043A0000}"/>
    <cellStyle name="Millares 112 2" xfId="12719" xr:uid="{00000000-0005-0000-0000-0000053A0000}"/>
    <cellStyle name="Millares 113" xfId="12720" xr:uid="{00000000-0005-0000-0000-0000063A0000}"/>
    <cellStyle name="Millares 113 2" xfId="12721" xr:uid="{00000000-0005-0000-0000-0000073A0000}"/>
    <cellStyle name="Millares 114" xfId="12722" xr:uid="{00000000-0005-0000-0000-0000083A0000}"/>
    <cellStyle name="Millares 114 2" xfId="12723" xr:uid="{00000000-0005-0000-0000-0000093A0000}"/>
    <cellStyle name="Millares 115" xfId="12724" xr:uid="{00000000-0005-0000-0000-00000A3A0000}"/>
    <cellStyle name="Millares 115 2" xfId="12725" xr:uid="{00000000-0005-0000-0000-00000B3A0000}"/>
    <cellStyle name="Millares 116" xfId="12726" xr:uid="{00000000-0005-0000-0000-00000C3A0000}"/>
    <cellStyle name="Millares 116 2" xfId="12727" xr:uid="{00000000-0005-0000-0000-00000D3A0000}"/>
    <cellStyle name="Millares 117" xfId="12728" xr:uid="{00000000-0005-0000-0000-00000E3A0000}"/>
    <cellStyle name="Millares 117 2" xfId="12729" xr:uid="{00000000-0005-0000-0000-00000F3A0000}"/>
    <cellStyle name="Millares 118" xfId="12730" xr:uid="{00000000-0005-0000-0000-0000103A0000}"/>
    <cellStyle name="Millares 118 2" xfId="12731" xr:uid="{00000000-0005-0000-0000-0000113A0000}"/>
    <cellStyle name="Millares 119" xfId="12732" xr:uid="{00000000-0005-0000-0000-0000123A0000}"/>
    <cellStyle name="Millares 119 2" xfId="12733" xr:uid="{00000000-0005-0000-0000-0000133A0000}"/>
    <cellStyle name="Millares 12" xfId="1719" xr:uid="{00000000-0005-0000-0000-0000143A0000}"/>
    <cellStyle name="Millares 12 2" xfId="2191" xr:uid="{00000000-0005-0000-0000-0000153A0000}"/>
    <cellStyle name="Millares 12 2 2" xfId="3334" xr:uid="{00000000-0005-0000-0000-0000163A0000}"/>
    <cellStyle name="Millares 12 2 2 2" xfId="6882" xr:uid="{00000000-0005-0000-0000-0000173A0000}"/>
    <cellStyle name="Millares 12 2 2 2 2" xfId="12737" xr:uid="{00000000-0005-0000-0000-0000183A0000}"/>
    <cellStyle name="Millares 12 2 2 3" xfId="12738" xr:uid="{00000000-0005-0000-0000-0000193A0000}"/>
    <cellStyle name="Millares 12 2 2 4" xfId="12736" xr:uid="{00000000-0005-0000-0000-00001A3A0000}"/>
    <cellStyle name="Millares 12 2 3" xfId="4271" xr:uid="{00000000-0005-0000-0000-00001B3A0000}"/>
    <cellStyle name="Millares 12 2 3 2" xfId="12739" xr:uid="{00000000-0005-0000-0000-00001C3A0000}"/>
    <cellStyle name="Millares 12 2 3 3" xfId="23795" xr:uid="{00000000-0005-0000-0000-00001D3A0000}"/>
    <cellStyle name="Millares 12 2 4" xfId="3333" xr:uid="{00000000-0005-0000-0000-00001E3A0000}"/>
    <cellStyle name="Millares 12 2 4 2" xfId="12740" xr:uid="{00000000-0005-0000-0000-00001F3A0000}"/>
    <cellStyle name="Millares 12 2 5" xfId="6881" xr:uid="{00000000-0005-0000-0000-0000203A0000}"/>
    <cellStyle name="Millares 12 2 5 2" xfId="12741" xr:uid="{00000000-0005-0000-0000-0000213A0000}"/>
    <cellStyle name="Millares 12 2 6" xfId="12735" xr:uid="{00000000-0005-0000-0000-0000223A0000}"/>
    <cellStyle name="Millares 12 3" xfId="3335" xr:uid="{00000000-0005-0000-0000-0000233A0000}"/>
    <cellStyle name="Millares 12 3 2" xfId="6883" xr:uid="{00000000-0005-0000-0000-0000243A0000}"/>
    <cellStyle name="Millares 12 3 2 2" xfId="12743" xr:uid="{00000000-0005-0000-0000-0000253A0000}"/>
    <cellStyle name="Millares 12 3 3" xfId="12744" xr:uid="{00000000-0005-0000-0000-0000263A0000}"/>
    <cellStyle name="Millares 12 3 4" xfId="12742" xr:uid="{00000000-0005-0000-0000-0000273A0000}"/>
    <cellStyle name="Millares 12 3 5" xfId="23796" xr:uid="{00000000-0005-0000-0000-0000283A0000}"/>
    <cellStyle name="Millares 12 4" xfId="3336" xr:uid="{00000000-0005-0000-0000-0000293A0000}"/>
    <cellStyle name="Millares 12 4 2" xfId="6884" xr:uid="{00000000-0005-0000-0000-00002A3A0000}"/>
    <cellStyle name="Millares 12 4 2 2" xfId="12746" xr:uid="{00000000-0005-0000-0000-00002B3A0000}"/>
    <cellStyle name="Millares 12 4 3" xfId="12747" xr:uid="{00000000-0005-0000-0000-00002C3A0000}"/>
    <cellStyle name="Millares 12 4 4" xfId="12745" xr:uid="{00000000-0005-0000-0000-00002D3A0000}"/>
    <cellStyle name="Millares 12 5" xfId="4232" xr:uid="{00000000-0005-0000-0000-00002E3A0000}"/>
    <cellStyle name="Millares 12 5 2" xfId="12748" xr:uid="{00000000-0005-0000-0000-00002F3A0000}"/>
    <cellStyle name="Millares 12 6" xfId="12734" xr:uid="{00000000-0005-0000-0000-0000303A0000}"/>
    <cellStyle name="Millares 12 7" xfId="31999" xr:uid="{BE20F467-C0AC-4901-9AA0-4024253A0266}"/>
    <cellStyle name="Millares 120" xfId="12749" xr:uid="{00000000-0005-0000-0000-0000313A0000}"/>
    <cellStyle name="Millares 120 2" xfId="12750" xr:uid="{00000000-0005-0000-0000-0000323A0000}"/>
    <cellStyle name="Millares 121" xfId="12751" xr:uid="{00000000-0005-0000-0000-0000333A0000}"/>
    <cellStyle name="Millares 121 2" xfId="12752" xr:uid="{00000000-0005-0000-0000-0000343A0000}"/>
    <cellStyle name="Millares 122" xfId="12753" xr:uid="{00000000-0005-0000-0000-0000353A0000}"/>
    <cellStyle name="Millares 122 2" xfId="12754" xr:uid="{00000000-0005-0000-0000-0000363A0000}"/>
    <cellStyle name="Millares 123" xfId="12755" xr:uid="{00000000-0005-0000-0000-0000373A0000}"/>
    <cellStyle name="Millares 123 2" xfId="12756" xr:uid="{00000000-0005-0000-0000-0000383A0000}"/>
    <cellStyle name="Millares 124" xfId="12757" xr:uid="{00000000-0005-0000-0000-0000393A0000}"/>
    <cellStyle name="Millares 124 2" xfId="12758" xr:uid="{00000000-0005-0000-0000-00003A3A0000}"/>
    <cellStyle name="Millares 125" xfId="12759" xr:uid="{00000000-0005-0000-0000-00003B3A0000}"/>
    <cellStyle name="Millares 125 2" xfId="12760" xr:uid="{00000000-0005-0000-0000-00003C3A0000}"/>
    <cellStyle name="Millares 126" xfId="12761" xr:uid="{00000000-0005-0000-0000-00003D3A0000}"/>
    <cellStyle name="Millares 126 2" xfId="12762" xr:uid="{00000000-0005-0000-0000-00003E3A0000}"/>
    <cellStyle name="Millares 127" xfId="12763" xr:uid="{00000000-0005-0000-0000-00003F3A0000}"/>
    <cellStyle name="Millares 127 2" xfId="12764" xr:uid="{00000000-0005-0000-0000-0000403A0000}"/>
    <cellStyle name="Millares 128" xfId="12765" xr:uid="{00000000-0005-0000-0000-0000413A0000}"/>
    <cellStyle name="Millares 128 2" xfId="12766" xr:uid="{00000000-0005-0000-0000-0000423A0000}"/>
    <cellStyle name="Millares 129" xfId="12767" xr:uid="{00000000-0005-0000-0000-0000433A0000}"/>
    <cellStyle name="Millares 129 2" xfId="12768" xr:uid="{00000000-0005-0000-0000-0000443A0000}"/>
    <cellStyle name="Millares 13" xfId="2192" xr:uid="{00000000-0005-0000-0000-0000453A0000}"/>
    <cellStyle name="Millares 13 2" xfId="2193" xr:uid="{00000000-0005-0000-0000-0000463A0000}"/>
    <cellStyle name="Millares 13 2 2" xfId="3337" xr:uid="{00000000-0005-0000-0000-0000473A0000}"/>
    <cellStyle name="Millares 13 2 2 2" xfId="6885" xr:uid="{00000000-0005-0000-0000-0000483A0000}"/>
    <cellStyle name="Millares 13 2 2 2 2" xfId="12772" xr:uid="{00000000-0005-0000-0000-0000493A0000}"/>
    <cellStyle name="Millares 13 2 2 3" xfId="12773" xr:uid="{00000000-0005-0000-0000-00004A3A0000}"/>
    <cellStyle name="Millares 13 2 2 4" xfId="12771" xr:uid="{00000000-0005-0000-0000-00004B3A0000}"/>
    <cellStyle name="Millares 13 2 3" xfId="3338" xr:uid="{00000000-0005-0000-0000-00004C3A0000}"/>
    <cellStyle name="Millares 13 2 3 2" xfId="6886" xr:uid="{00000000-0005-0000-0000-00004D3A0000}"/>
    <cellStyle name="Millares 13 2 3 2 2" xfId="12775" xr:uid="{00000000-0005-0000-0000-00004E3A0000}"/>
    <cellStyle name="Millares 13 2 3 3" xfId="12776" xr:uid="{00000000-0005-0000-0000-00004F3A0000}"/>
    <cellStyle name="Millares 13 2 3 4" xfId="12774" xr:uid="{00000000-0005-0000-0000-0000503A0000}"/>
    <cellStyle name="Millares 13 2 4" xfId="12777" xr:uid="{00000000-0005-0000-0000-0000513A0000}"/>
    <cellStyle name="Millares 13 2 5" xfId="12770" xr:uid="{00000000-0005-0000-0000-0000523A0000}"/>
    <cellStyle name="Millares 13 2 6" xfId="22987" xr:uid="{00000000-0005-0000-0000-0000533A0000}"/>
    <cellStyle name="Millares 13 3" xfId="2756" xr:uid="{00000000-0005-0000-0000-0000543A0000}"/>
    <cellStyle name="Millares 13 3 2" xfId="4409" xr:uid="{00000000-0005-0000-0000-0000553A0000}"/>
    <cellStyle name="Millares 13 3 2 2" xfId="12779" xr:uid="{00000000-0005-0000-0000-0000563A0000}"/>
    <cellStyle name="Millares 13 3 2 3" xfId="23798" xr:uid="{00000000-0005-0000-0000-0000573A0000}"/>
    <cellStyle name="Millares 13 3 3" xfId="3339" xr:uid="{00000000-0005-0000-0000-0000583A0000}"/>
    <cellStyle name="Millares 13 3 3 2" xfId="12780" xr:uid="{00000000-0005-0000-0000-0000593A0000}"/>
    <cellStyle name="Millares 13 3 4" xfId="6887" xr:uid="{00000000-0005-0000-0000-00005A3A0000}"/>
    <cellStyle name="Millares 13 3 4 2" xfId="12781" xr:uid="{00000000-0005-0000-0000-00005B3A0000}"/>
    <cellStyle name="Millares 13 3 5" xfId="12778" xr:uid="{00000000-0005-0000-0000-00005C3A0000}"/>
    <cellStyle name="Millares 13 3 6" xfId="23797" xr:uid="{00000000-0005-0000-0000-00005D3A0000}"/>
    <cellStyle name="Millares 13 4" xfId="3340" xr:uid="{00000000-0005-0000-0000-00005E3A0000}"/>
    <cellStyle name="Millares 13 4 2" xfId="6888" xr:uid="{00000000-0005-0000-0000-00005F3A0000}"/>
    <cellStyle name="Millares 13 4 2 2" xfId="12783" xr:uid="{00000000-0005-0000-0000-0000603A0000}"/>
    <cellStyle name="Millares 13 4 3" xfId="12784" xr:uid="{00000000-0005-0000-0000-0000613A0000}"/>
    <cellStyle name="Millares 13 4 4" xfId="12782" xr:uid="{00000000-0005-0000-0000-0000623A0000}"/>
    <cellStyle name="Millares 13 4 5" xfId="23799" xr:uid="{00000000-0005-0000-0000-0000633A0000}"/>
    <cellStyle name="Millares 13 5" xfId="12785" xr:uid="{00000000-0005-0000-0000-0000643A0000}"/>
    <cellStyle name="Millares 13 6" xfId="12769" xr:uid="{00000000-0005-0000-0000-0000653A0000}"/>
    <cellStyle name="Millares 13 7" xfId="22986" xr:uid="{00000000-0005-0000-0000-0000663A0000}"/>
    <cellStyle name="Millares 130" xfId="12786" xr:uid="{00000000-0005-0000-0000-0000673A0000}"/>
    <cellStyle name="Millares 130 2" xfId="12787" xr:uid="{00000000-0005-0000-0000-0000683A0000}"/>
    <cellStyle name="Millares 131" xfId="12788" xr:uid="{00000000-0005-0000-0000-0000693A0000}"/>
    <cellStyle name="Millares 131 2" xfId="12789" xr:uid="{00000000-0005-0000-0000-00006A3A0000}"/>
    <cellStyle name="Millares 132" xfId="12790" xr:uid="{00000000-0005-0000-0000-00006B3A0000}"/>
    <cellStyle name="Millares 132 2" xfId="12791" xr:uid="{00000000-0005-0000-0000-00006C3A0000}"/>
    <cellStyle name="Millares 133" xfId="12792" xr:uid="{00000000-0005-0000-0000-00006D3A0000}"/>
    <cellStyle name="Millares 133 2" xfId="12793" xr:uid="{00000000-0005-0000-0000-00006E3A0000}"/>
    <cellStyle name="Millares 134" xfId="12794" xr:uid="{00000000-0005-0000-0000-00006F3A0000}"/>
    <cellStyle name="Millares 134 2" xfId="12795" xr:uid="{00000000-0005-0000-0000-0000703A0000}"/>
    <cellStyle name="Millares 135" xfId="12796" xr:uid="{00000000-0005-0000-0000-0000713A0000}"/>
    <cellStyle name="Millares 135 2" xfId="12797" xr:uid="{00000000-0005-0000-0000-0000723A0000}"/>
    <cellStyle name="Millares 136" xfId="12798" xr:uid="{00000000-0005-0000-0000-0000733A0000}"/>
    <cellStyle name="Millares 136 2" xfId="12799" xr:uid="{00000000-0005-0000-0000-0000743A0000}"/>
    <cellStyle name="Millares 137" xfId="12800" xr:uid="{00000000-0005-0000-0000-0000753A0000}"/>
    <cellStyle name="Millares 137 2" xfId="12801" xr:uid="{00000000-0005-0000-0000-0000763A0000}"/>
    <cellStyle name="Millares 138" xfId="12802" xr:uid="{00000000-0005-0000-0000-0000773A0000}"/>
    <cellStyle name="Millares 138 2" xfId="12803" xr:uid="{00000000-0005-0000-0000-0000783A0000}"/>
    <cellStyle name="Millares 139" xfId="12804" xr:uid="{00000000-0005-0000-0000-0000793A0000}"/>
    <cellStyle name="Millares 139 2" xfId="12805" xr:uid="{00000000-0005-0000-0000-00007A3A0000}"/>
    <cellStyle name="Millares 14" xfId="2194" xr:uid="{00000000-0005-0000-0000-00007B3A0000}"/>
    <cellStyle name="Millares 14 2" xfId="2195" xr:uid="{00000000-0005-0000-0000-00007C3A0000}"/>
    <cellStyle name="Millares 14 2 2" xfId="3341" xr:uid="{00000000-0005-0000-0000-00007D3A0000}"/>
    <cellStyle name="Millares 14 2 2 2" xfId="6889" xr:uid="{00000000-0005-0000-0000-00007E3A0000}"/>
    <cellStyle name="Millares 14 2 2 2 2" xfId="12809" xr:uid="{00000000-0005-0000-0000-00007F3A0000}"/>
    <cellStyle name="Millares 14 2 2 3" xfId="12810" xr:uid="{00000000-0005-0000-0000-0000803A0000}"/>
    <cellStyle name="Millares 14 2 2 4" xfId="12808" xr:uid="{00000000-0005-0000-0000-0000813A0000}"/>
    <cellStyle name="Millares 14 2 3" xfId="3342" xr:uid="{00000000-0005-0000-0000-0000823A0000}"/>
    <cellStyle name="Millares 14 2 3 2" xfId="6890" xr:uid="{00000000-0005-0000-0000-0000833A0000}"/>
    <cellStyle name="Millares 14 2 3 2 2" xfId="12812" xr:uid="{00000000-0005-0000-0000-0000843A0000}"/>
    <cellStyle name="Millares 14 2 3 3" xfId="12813" xr:uid="{00000000-0005-0000-0000-0000853A0000}"/>
    <cellStyle name="Millares 14 2 3 4" xfId="12811" xr:uid="{00000000-0005-0000-0000-0000863A0000}"/>
    <cellStyle name="Millares 14 2 4" xfId="12814" xr:uid="{00000000-0005-0000-0000-0000873A0000}"/>
    <cellStyle name="Millares 14 2 5" xfId="12807" xr:uid="{00000000-0005-0000-0000-0000883A0000}"/>
    <cellStyle name="Millares 14 3" xfId="3153" xr:uid="{00000000-0005-0000-0000-0000893A0000}"/>
    <cellStyle name="Millares 14 3 2" xfId="4769" xr:uid="{00000000-0005-0000-0000-00008A3A0000}"/>
    <cellStyle name="Millares 14 3 2 2" xfId="12816" xr:uid="{00000000-0005-0000-0000-00008B3A0000}"/>
    <cellStyle name="Millares 14 3 2 3" xfId="23801" xr:uid="{00000000-0005-0000-0000-00008C3A0000}"/>
    <cellStyle name="Millares 14 3 3" xfId="3343" xr:uid="{00000000-0005-0000-0000-00008D3A0000}"/>
    <cellStyle name="Millares 14 3 3 2" xfId="12817" xr:uid="{00000000-0005-0000-0000-00008E3A0000}"/>
    <cellStyle name="Millares 14 3 4" xfId="6891" xr:uid="{00000000-0005-0000-0000-00008F3A0000}"/>
    <cellStyle name="Millares 14 3 4 2" xfId="12818" xr:uid="{00000000-0005-0000-0000-0000903A0000}"/>
    <cellStyle name="Millares 14 3 5" xfId="12815" xr:uid="{00000000-0005-0000-0000-0000913A0000}"/>
    <cellStyle name="Millares 14 3 6" xfId="23800" xr:uid="{00000000-0005-0000-0000-0000923A0000}"/>
    <cellStyle name="Millares 14 4" xfId="3344" xr:uid="{00000000-0005-0000-0000-0000933A0000}"/>
    <cellStyle name="Millares 14 4 2" xfId="6892" xr:uid="{00000000-0005-0000-0000-0000943A0000}"/>
    <cellStyle name="Millares 14 4 2 2" xfId="12820" xr:uid="{00000000-0005-0000-0000-0000953A0000}"/>
    <cellStyle name="Millares 14 4 3" xfId="12821" xr:uid="{00000000-0005-0000-0000-0000963A0000}"/>
    <cellStyle name="Millares 14 4 4" xfId="12819" xr:uid="{00000000-0005-0000-0000-0000973A0000}"/>
    <cellStyle name="Millares 14 4 5" xfId="23802" xr:uid="{00000000-0005-0000-0000-0000983A0000}"/>
    <cellStyle name="Millares 14 5" xfId="12822" xr:uid="{00000000-0005-0000-0000-0000993A0000}"/>
    <cellStyle name="Millares 14 6" xfId="12806" xr:uid="{00000000-0005-0000-0000-00009A3A0000}"/>
    <cellStyle name="Millares 14 7" xfId="22988" xr:uid="{00000000-0005-0000-0000-00009B3A0000}"/>
    <cellStyle name="Millares 140" xfId="12823" xr:uid="{00000000-0005-0000-0000-00009C3A0000}"/>
    <cellStyle name="Millares 140 2" xfId="12824" xr:uid="{00000000-0005-0000-0000-00009D3A0000}"/>
    <cellStyle name="Millares 141" xfId="12825" xr:uid="{00000000-0005-0000-0000-00009E3A0000}"/>
    <cellStyle name="Millares 141 2" xfId="12826" xr:uid="{00000000-0005-0000-0000-00009F3A0000}"/>
    <cellStyle name="Millares 142" xfId="12827" xr:uid="{00000000-0005-0000-0000-0000A03A0000}"/>
    <cellStyle name="Millares 142 2" xfId="12828" xr:uid="{00000000-0005-0000-0000-0000A13A0000}"/>
    <cellStyle name="Millares 143" xfId="12829" xr:uid="{00000000-0005-0000-0000-0000A23A0000}"/>
    <cellStyle name="Millares 143 2" xfId="12830" xr:uid="{00000000-0005-0000-0000-0000A33A0000}"/>
    <cellStyle name="Millares 144" xfId="12831" xr:uid="{00000000-0005-0000-0000-0000A43A0000}"/>
    <cellStyle name="Millares 144 2" xfId="12832" xr:uid="{00000000-0005-0000-0000-0000A53A0000}"/>
    <cellStyle name="Millares 145" xfId="12833" xr:uid="{00000000-0005-0000-0000-0000A63A0000}"/>
    <cellStyle name="Millares 145 2" xfId="12834" xr:uid="{00000000-0005-0000-0000-0000A73A0000}"/>
    <cellStyle name="Millares 146" xfId="12835" xr:uid="{00000000-0005-0000-0000-0000A83A0000}"/>
    <cellStyle name="Millares 146 2" xfId="12836" xr:uid="{00000000-0005-0000-0000-0000A93A0000}"/>
    <cellStyle name="Millares 147" xfId="12837" xr:uid="{00000000-0005-0000-0000-0000AA3A0000}"/>
    <cellStyle name="Millares 147 2" xfId="12838" xr:uid="{00000000-0005-0000-0000-0000AB3A0000}"/>
    <cellStyle name="Millares 148" xfId="12839" xr:uid="{00000000-0005-0000-0000-0000AC3A0000}"/>
    <cellStyle name="Millares 148 2" xfId="12840" xr:uid="{00000000-0005-0000-0000-0000AD3A0000}"/>
    <cellStyle name="Millares 149" xfId="12841" xr:uid="{00000000-0005-0000-0000-0000AE3A0000}"/>
    <cellStyle name="Millares 149 2" xfId="12842" xr:uid="{00000000-0005-0000-0000-0000AF3A0000}"/>
    <cellStyle name="Millares 15" xfId="2196" xr:uid="{00000000-0005-0000-0000-0000B03A0000}"/>
    <cellStyle name="Millares 15 10" xfId="12843" xr:uid="{00000000-0005-0000-0000-0000B13A0000}"/>
    <cellStyle name="Millares 15 10 10" xfId="28318" xr:uid="{00000000-0005-0000-0000-0000B23A0000}"/>
    <cellStyle name="Millares 15 10 11" xfId="28822" xr:uid="{00000000-0005-0000-0000-0000B33A0000}"/>
    <cellStyle name="Millares 15 10 12" xfId="29326" xr:uid="{00000000-0005-0000-0000-0000B43A0000}"/>
    <cellStyle name="Millares 15 10 13" xfId="29830" xr:uid="{00000000-0005-0000-0000-0000B53A0000}"/>
    <cellStyle name="Millares 15 10 14" xfId="30334" xr:uid="{00000000-0005-0000-0000-0000B63A0000}"/>
    <cellStyle name="Millares 15 10 15" xfId="30839" xr:uid="{00000000-0005-0000-0000-0000B73A0000}"/>
    <cellStyle name="Millares 15 10 2" xfId="23803" xr:uid="{00000000-0005-0000-0000-0000B83A0000}"/>
    <cellStyle name="Millares 15 10 3" xfId="24790" xr:uid="{00000000-0005-0000-0000-0000B93A0000}"/>
    <cellStyle name="Millares 15 10 4" xfId="25294" xr:uid="{00000000-0005-0000-0000-0000BA3A0000}"/>
    <cellStyle name="Millares 15 10 5" xfId="25798" xr:uid="{00000000-0005-0000-0000-0000BB3A0000}"/>
    <cellStyle name="Millares 15 10 6" xfId="26302" xr:uid="{00000000-0005-0000-0000-0000BC3A0000}"/>
    <cellStyle name="Millares 15 10 7" xfId="26806" xr:uid="{00000000-0005-0000-0000-0000BD3A0000}"/>
    <cellStyle name="Millares 15 10 8" xfId="27310" xr:uid="{00000000-0005-0000-0000-0000BE3A0000}"/>
    <cellStyle name="Millares 15 10 9" xfId="27814" xr:uid="{00000000-0005-0000-0000-0000BF3A0000}"/>
    <cellStyle name="Millares 15 11" xfId="22989" xr:uid="{00000000-0005-0000-0000-0000C03A0000}"/>
    <cellStyle name="Millares 15 12" xfId="32000" xr:uid="{8F9536BC-B7FB-47B4-9B6A-5BDC2E799815}"/>
    <cellStyle name="Millares 15 2" xfId="2197" xr:uid="{00000000-0005-0000-0000-0000C13A0000}"/>
    <cellStyle name="Millares 15 2 2" xfId="2198" xr:uid="{00000000-0005-0000-0000-0000C23A0000}"/>
    <cellStyle name="Millares 15 2 2 2" xfId="4274" xr:uid="{00000000-0005-0000-0000-0000C33A0000}"/>
    <cellStyle name="Millares 15 2 2 2 2" xfId="12846" xr:uid="{00000000-0005-0000-0000-0000C43A0000}"/>
    <cellStyle name="Millares 15 2 2 3" xfId="3347" xr:uid="{00000000-0005-0000-0000-0000C53A0000}"/>
    <cellStyle name="Millares 15 2 2 3 2" xfId="12847" xr:uid="{00000000-0005-0000-0000-0000C63A0000}"/>
    <cellStyle name="Millares 15 2 2 4" xfId="6895" xr:uid="{00000000-0005-0000-0000-0000C73A0000}"/>
    <cellStyle name="Millares 15 2 2 4 2" xfId="12848" xr:uid="{00000000-0005-0000-0000-0000C83A0000}"/>
    <cellStyle name="Millares 15 2 2 5" xfId="12845" xr:uid="{00000000-0005-0000-0000-0000C93A0000}"/>
    <cellStyle name="Millares 15 2 3" xfId="4273" xr:uid="{00000000-0005-0000-0000-0000CA3A0000}"/>
    <cellStyle name="Millares 15 2 3 2" xfId="12849" xr:uid="{00000000-0005-0000-0000-0000CB3A0000}"/>
    <cellStyle name="Millares 15 2 4" xfId="3346" xr:uid="{00000000-0005-0000-0000-0000CC3A0000}"/>
    <cellStyle name="Millares 15 2 4 2" xfId="12850" xr:uid="{00000000-0005-0000-0000-0000CD3A0000}"/>
    <cellStyle name="Millares 15 2 5" xfId="6894" xr:uid="{00000000-0005-0000-0000-0000CE3A0000}"/>
    <cellStyle name="Millares 15 2 5 2" xfId="12851" xr:uid="{00000000-0005-0000-0000-0000CF3A0000}"/>
    <cellStyle name="Millares 15 2 6" xfId="12844" xr:uid="{00000000-0005-0000-0000-0000D03A0000}"/>
    <cellStyle name="Millares 15 3" xfId="2199" xr:uid="{00000000-0005-0000-0000-0000D13A0000}"/>
    <cellStyle name="Millares 15 3 2" xfId="2200" xr:uid="{00000000-0005-0000-0000-0000D23A0000}"/>
    <cellStyle name="Millares 15 3 2 2" xfId="4276" xr:uid="{00000000-0005-0000-0000-0000D33A0000}"/>
    <cellStyle name="Millares 15 3 2 2 2" xfId="12854" xr:uid="{00000000-0005-0000-0000-0000D43A0000}"/>
    <cellStyle name="Millares 15 3 2 3" xfId="3349" xr:uid="{00000000-0005-0000-0000-0000D53A0000}"/>
    <cellStyle name="Millares 15 3 2 3 2" xfId="12855" xr:uid="{00000000-0005-0000-0000-0000D63A0000}"/>
    <cellStyle name="Millares 15 3 2 4" xfId="6897" xr:uid="{00000000-0005-0000-0000-0000D73A0000}"/>
    <cellStyle name="Millares 15 3 2 4 2" xfId="12853" xr:uid="{00000000-0005-0000-0000-0000D83A0000}"/>
    <cellStyle name="Millares 15 3 3" xfId="4275" xr:uid="{00000000-0005-0000-0000-0000D93A0000}"/>
    <cellStyle name="Millares 15 3 3 2" xfId="12856" xr:uid="{00000000-0005-0000-0000-0000DA3A0000}"/>
    <cellStyle name="Millares 15 3 3 3" xfId="23804" xr:uid="{00000000-0005-0000-0000-0000DB3A0000}"/>
    <cellStyle name="Millares 15 3 4" xfId="3348" xr:uid="{00000000-0005-0000-0000-0000DC3A0000}"/>
    <cellStyle name="Millares 15 3 4 2" xfId="12857" xr:uid="{00000000-0005-0000-0000-0000DD3A0000}"/>
    <cellStyle name="Millares 15 3 4 3" xfId="23805" xr:uid="{00000000-0005-0000-0000-0000DE3A0000}"/>
    <cellStyle name="Millares 15 3 5" xfId="6896" xr:uid="{00000000-0005-0000-0000-0000DF3A0000}"/>
    <cellStyle name="Millares 15 3 5 2" xfId="12858" xr:uid="{00000000-0005-0000-0000-0000E03A0000}"/>
    <cellStyle name="Millares 15 3 6" xfId="12852" xr:uid="{00000000-0005-0000-0000-0000E13A0000}"/>
    <cellStyle name="Millares 15 4" xfId="2201" xr:uid="{00000000-0005-0000-0000-0000E23A0000}"/>
    <cellStyle name="Millares 15 4 2" xfId="4277" xr:uid="{00000000-0005-0000-0000-0000E33A0000}"/>
    <cellStyle name="Millares 15 4 2 2" xfId="12860" xr:uid="{00000000-0005-0000-0000-0000E43A0000}"/>
    <cellStyle name="Millares 15 4 3" xfId="3350" xr:uid="{00000000-0005-0000-0000-0000E53A0000}"/>
    <cellStyle name="Millares 15 4 3 2" xfId="12861" xr:uid="{00000000-0005-0000-0000-0000E63A0000}"/>
    <cellStyle name="Millares 15 4 4" xfId="6898" xr:uid="{00000000-0005-0000-0000-0000E73A0000}"/>
    <cellStyle name="Millares 15 4 4 2" xfId="12862" xr:uid="{00000000-0005-0000-0000-0000E83A0000}"/>
    <cellStyle name="Millares 15 4 5" xfId="12859" xr:uid="{00000000-0005-0000-0000-0000E93A0000}"/>
    <cellStyle name="Millares 15 5" xfId="2202" xr:uid="{00000000-0005-0000-0000-0000EA3A0000}"/>
    <cellStyle name="Millares 15 5 2" xfId="4278" xr:uid="{00000000-0005-0000-0000-0000EB3A0000}"/>
    <cellStyle name="Millares 15 5 2 2" xfId="12864" xr:uid="{00000000-0005-0000-0000-0000EC3A0000}"/>
    <cellStyle name="Millares 15 5 3" xfId="3351" xr:uid="{00000000-0005-0000-0000-0000ED3A0000}"/>
    <cellStyle name="Millares 15 5 3 2" xfId="12865" xr:uid="{00000000-0005-0000-0000-0000EE3A0000}"/>
    <cellStyle name="Millares 15 5 4" xfId="6899" xr:uid="{00000000-0005-0000-0000-0000EF3A0000}"/>
    <cellStyle name="Millares 15 5 4 2" xfId="12863" xr:uid="{00000000-0005-0000-0000-0000F03A0000}"/>
    <cellStyle name="Millares 15 6" xfId="3147" xr:uid="{00000000-0005-0000-0000-0000F13A0000}"/>
    <cellStyle name="Millares 15 6 2" xfId="12867" xr:uid="{00000000-0005-0000-0000-0000F23A0000}"/>
    <cellStyle name="Millares 15 6 3" xfId="12866" xr:uid="{00000000-0005-0000-0000-0000F33A0000}"/>
    <cellStyle name="Millares 15 6 4" xfId="23806" xr:uid="{00000000-0005-0000-0000-0000F43A0000}"/>
    <cellStyle name="Millares 15 7" xfId="4272" xr:uid="{00000000-0005-0000-0000-0000F53A0000}"/>
    <cellStyle name="Millares 15 7 2" xfId="12868" xr:uid="{00000000-0005-0000-0000-0000F63A0000}"/>
    <cellStyle name="Millares 15 7 3" xfId="23807" xr:uid="{00000000-0005-0000-0000-0000F73A0000}"/>
    <cellStyle name="Millares 15 8" xfId="3345" xr:uid="{00000000-0005-0000-0000-0000F83A0000}"/>
    <cellStyle name="Millares 15 8 2" xfId="5765" xr:uid="{00000000-0005-0000-0000-0000F93A0000}"/>
    <cellStyle name="Millares 15 8 3" xfId="12869" xr:uid="{00000000-0005-0000-0000-0000FA3A0000}"/>
    <cellStyle name="Millares 15 8 4" xfId="23808" xr:uid="{00000000-0005-0000-0000-0000FB3A0000}"/>
    <cellStyle name="Millares 15 9" xfId="6893" xr:uid="{00000000-0005-0000-0000-0000FC3A0000}"/>
    <cellStyle name="Millares 15 9 2" xfId="12870" xr:uid="{00000000-0005-0000-0000-0000FD3A0000}"/>
    <cellStyle name="Millares 15 9 3" xfId="23809" xr:uid="{00000000-0005-0000-0000-0000FE3A0000}"/>
    <cellStyle name="Millares 150" xfId="12871" xr:uid="{00000000-0005-0000-0000-0000FF3A0000}"/>
    <cellStyle name="Millares 150 2" xfId="12872" xr:uid="{00000000-0005-0000-0000-0000003B0000}"/>
    <cellStyle name="Millares 151" xfId="12873" xr:uid="{00000000-0005-0000-0000-0000013B0000}"/>
    <cellStyle name="Millares 151 2" xfId="12874" xr:uid="{00000000-0005-0000-0000-0000023B0000}"/>
    <cellStyle name="Millares 152" xfId="12875" xr:uid="{00000000-0005-0000-0000-0000033B0000}"/>
    <cellStyle name="Millares 152 2" xfId="12876" xr:uid="{00000000-0005-0000-0000-0000043B0000}"/>
    <cellStyle name="Millares 153" xfId="12877" xr:uid="{00000000-0005-0000-0000-0000053B0000}"/>
    <cellStyle name="Millares 153 2" xfId="12878" xr:uid="{00000000-0005-0000-0000-0000063B0000}"/>
    <cellStyle name="Millares 154" xfId="12879" xr:uid="{00000000-0005-0000-0000-0000073B0000}"/>
    <cellStyle name="Millares 154 2" xfId="12880" xr:uid="{00000000-0005-0000-0000-0000083B0000}"/>
    <cellStyle name="Millares 155" xfId="12881" xr:uid="{00000000-0005-0000-0000-0000093B0000}"/>
    <cellStyle name="Millares 155 2" xfId="12882" xr:uid="{00000000-0005-0000-0000-00000A3B0000}"/>
    <cellStyle name="Millares 156" xfId="12883" xr:uid="{00000000-0005-0000-0000-00000B3B0000}"/>
    <cellStyle name="Millares 156 2" xfId="12884" xr:uid="{00000000-0005-0000-0000-00000C3B0000}"/>
    <cellStyle name="Millares 157" xfId="12885" xr:uid="{00000000-0005-0000-0000-00000D3B0000}"/>
    <cellStyle name="Millares 157 2" xfId="12886" xr:uid="{00000000-0005-0000-0000-00000E3B0000}"/>
    <cellStyle name="Millares 158" xfId="12887" xr:uid="{00000000-0005-0000-0000-00000F3B0000}"/>
    <cellStyle name="Millares 158 2" xfId="12888" xr:uid="{00000000-0005-0000-0000-0000103B0000}"/>
    <cellStyle name="Millares 159" xfId="12889" xr:uid="{00000000-0005-0000-0000-0000113B0000}"/>
    <cellStyle name="Millares 159 2" xfId="12890" xr:uid="{00000000-0005-0000-0000-0000123B0000}"/>
    <cellStyle name="Millares 16" xfId="2203" xr:uid="{00000000-0005-0000-0000-0000133B0000}"/>
    <cellStyle name="Millares 16 10" xfId="12892" xr:uid="{00000000-0005-0000-0000-0000143B0000}"/>
    <cellStyle name="Millares 16 11" xfId="12893" xr:uid="{00000000-0005-0000-0000-0000153B0000}"/>
    <cellStyle name="Millares 16 12" xfId="12891" xr:uid="{00000000-0005-0000-0000-0000163B0000}"/>
    <cellStyle name="Millares 16 13" xfId="7190" xr:uid="{00000000-0005-0000-0000-0000173B0000}"/>
    <cellStyle name="Millares 16 14" xfId="22990" xr:uid="{00000000-0005-0000-0000-0000183B0000}"/>
    <cellStyle name="Millares 16 15" xfId="23810" xr:uid="{00000000-0005-0000-0000-0000193B0000}"/>
    <cellStyle name="Millares 16 16" xfId="24791" xr:uid="{00000000-0005-0000-0000-00001A3B0000}"/>
    <cellStyle name="Millares 16 17" xfId="25295" xr:uid="{00000000-0005-0000-0000-00001B3B0000}"/>
    <cellStyle name="Millares 16 18" xfId="25799" xr:uid="{00000000-0005-0000-0000-00001C3B0000}"/>
    <cellStyle name="Millares 16 19" xfId="26303" xr:uid="{00000000-0005-0000-0000-00001D3B0000}"/>
    <cellStyle name="Millares 16 2" xfId="3149" xr:uid="{00000000-0005-0000-0000-00001E3B0000}"/>
    <cellStyle name="Millares 16 2 10" xfId="25800" xr:uid="{00000000-0005-0000-0000-00001F3B0000}"/>
    <cellStyle name="Millares 16 2 11" xfId="26304" xr:uid="{00000000-0005-0000-0000-0000203B0000}"/>
    <cellStyle name="Millares 16 2 12" xfId="26808" xr:uid="{00000000-0005-0000-0000-0000213B0000}"/>
    <cellStyle name="Millares 16 2 13" xfId="27312" xr:uid="{00000000-0005-0000-0000-0000223B0000}"/>
    <cellStyle name="Millares 16 2 14" xfId="27816" xr:uid="{00000000-0005-0000-0000-0000233B0000}"/>
    <cellStyle name="Millares 16 2 15" xfId="28320" xr:uid="{00000000-0005-0000-0000-0000243B0000}"/>
    <cellStyle name="Millares 16 2 16" xfId="28824" xr:uid="{00000000-0005-0000-0000-0000253B0000}"/>
    <cellStyle name="Millares 16 2 17" xfId="29328" xr:uid="{00000000-0005-0000-0000-0000263B0000}"/>
    <cellStyle name="Millares 16 2 18" xfId="29832" xr:uid="{00000000-0005-0000-0000-0000273B0000}"/>
    <cellStyle name="Millares 16 2 19" xfId="30336" xr:uid="{00000000-0005-0000-0000-0000283B0000}"/>
    <cellStyle name="Millares 16 2 2" xfId="4765" xr:uid="{00000000-0005-0000-0000-0000293B0000}"/>
    <cellStyle name="Millares 16 2 2 2" xfId="12895" xr:uid="{00000000-0005-0000-0000-00002A3B0000}"/>
    <cellStyle name="Millares 16 2 2 3" xfId="23812" xr:uid="{00000000-0005-0000-0000-00002B3B0000}"/>
    <cellStyle name="Millares 16 2 20" xfId="30841" xr:uid="{00000000-0005-0000-0000-00002C3B0000}"/>
    <cellStyle name="Millares 16 2 3" xfId="3352" xr:uid="{00000000-0005-0000-0000-00002D3B0000}"/>
    <cellStyle name="Millares 16 2 3 10" xfId="27817" xr:uid="{00000000-0005-0000-0000-00002E3B0000}"/>
    <cellStyle name="Millares 16 2 3 11" xfId="28321" xr:uid="{00000000-0005-0000-0000-00002F3B0000}"/>
    <cellStyle name="Millares 16 2 3 12" xfId="28825" xr:uid="{00000000-0005-0000-0000-0000303B0000}"/>
    <cellStyle name="Millares 16 2 3 13" xfId="29329" xr:uid="{00000000-0005-0000-0000-0000313B0000}"/>
    <cellStyle name="Millares 16 2 3 14" xfId="29833" xr:uid="{00000000-0005-0000-0000-0000323B0000}"/>
    <cellStyle name="Millares 16 2 3 15" xfId="30337" xr:uid="{00000000-0005-0000-0000-0000333B0000}"/>
    <cellStyle name="Millares 16 2 3 16" xfId="30842" xr:uid="{00000000-0005-0000-0000-0000343B0000}"/>
    <cellStyle name="Millares 16 2 3 2" xfId="12896" xr:uid="{00000000-0005-0000-0000-0000353B0000}"/>
    <cellStyle name="Millares 16 2 3 3" xfId="23813" xr:uid="{00000000-0005-0000-0000-0000363B0000}"/>
    <cellStyle name="Millares 16 2 3 4" xfId="24793" xr:uid="{00000000-0005-0000-0000-0000373B0000}"/>
    <cellStyle name="Millares 16 2 3 5" xfId="25297" xr:uid="{00000000-0005-0000-0000-0000383B0000}"/>
    <cellStyle name="Millares 16 2 3 6" xfId="25801" xr:uid="{00000000-0005-0000-0000-0000393B0000}"/>
    <cellStyle name="Millares 16 2 3 7" xfId="26305" xr:uid="{00000000-0005-0000-0000-00003A3B0000}"/>
    <cellStyle name="Millares 16 2 3 8" xfId="26809" xr:uid="{00000000-0005-0000-0000-00003B3B0000}"/>
    <cellStyle name="Millares 16 2 3 9" xfId="27313" xr:uid="{00000000-0005-0000-0000-00003C3B0000}"/>
    <cellStyle name="Millares 16 2 4" xfId="12897" xr:uid="{00000000-0005-0000-0000-00003D3B0000}"/>
    <cellStyle name="Millares 16 2 4 10" xfId="28322" xr:uid="{00000000-0005-0000-0000-00003E3B0000}"/>
    <cellStyle name="Millares 16 2 4 11" xfId="28826" xr:uid="{00000000-0005-0000-0000-00003F3B0000}"/>
    <cellStyle name="Millares 16 2 4 12" xfId="29330" xr:uid="{00000000-0005-0000-0000-0000403B0000}"/>
    <cellStyle name="Millares 16 2 4 13" xfId="29834" xr:uid="{00000000-0005-0000-0000-0000413B0000}"/>
    <cellStyle name="Millares 16 2 4 14" xfId="30338" xr:uid="{00000000-0005-0000-0000-0000423B0000}"/>
    <cellStyle name="Millares 16 2 4 15" xfId="30843" xr:uid="{00000000-0005-0000-0000-0000433B0000}"/>
    <cellStyle name="Millares 16 2 4 2" xfId="23814" xr:uid="{00000000-0005-0000-0000-0000443B0000}"/>
    <cellStyle name="Millares 16 2 4 3" xfId="24794" xr:uid="{00000000-0005-0000-0000-0000453B0000}"/>
    <cellStyle name="Millares 16 2 4 4" xfId="25298" xr:uid="{00000000-0005-0000-0000-0000463B0000}"/>
    <cellStyle name="Millares 16 2 4 5" xfId="25802" xr:uid="{00000000-0005-0000-0000-0000473B0000}"/>
    <cellStyle name="Millares 16 2 4 6" xfId="26306" xr:uid="{00000000-0005-0000-0000-0000483B0000}"/>
    <cellStyle name="Millares 16 2 4 7" xfId="26810" xr:uid="{00000000-0005-0000-0000-0000493B0000}"/>
    <cellStyle name="Millares 16 2 4 8" xfId="27314" xr:uid="{00000000-0005-0000-0000-00004A3B0000}"/>
    <cellStyle name="Millares 16 2 4 9" xfId="27818" xr:uid="{00000000-0005-0000-0000-00004B3B0000}"/>
    <cellStyle name="Millares 16 2 5" xfId="12894" xr:uid="{00000000-0005-0000-0000-00004C3B0000}"/>
    <cellStyle name="Millares 16 2 6" xfId="7317" xr:uid="{00000000-0005-0000-0000-00004D3B0000}"/>
    <cellStyle name="Millares 16 2 7" xfId="23811" xr:uid="{00000000-0005-0000-0000-00004E3B0000}"/>
    <cellStyle name="Millares 16 2 8" xfId="24792" xr:uid="{00000000-0005-0000-0000-00004F3B0000}"/>
    <cellStyle name="Millares 16 2 9" xfId="25296" xr:uid="{00000000-0005-0000-0000-0000503B0000}"/>
    <cellStyle name="Millares 16 20" xfId="26807" xr:uid="{00000000-0005-0000-0000-0000513B0000}"/>
    <cellStyle name="Millares 16 21" xfId="27311" xr:uid="{00000000-0005-0000-0000-0000523B0000}"/>
    <cellStyle name="Millares 16 22" xfId="27815" xr:uid="{00000000-0005-0000-0000-0000533B0000}"/>
    <cellStyle name="Millares 16 23" xfId="28319" xr:uid="{00000000-0005-0000-0000-0000543B0000}"/>
    <cellStyle name="Millares 16 24" xfId="28823" xr:uid="{00000000-0005-0000-0000-0000553B0000}"/>
    <cellStyle name="Millares 16 25" xfId="29327" xr:uid="{00000000-0005-0000-0000-0000563B0000}"/>
    <cellStyle name="Millares 16 26" xfId="29831" xr:uid="{00000000-0005-0000-0000-0000573B0000}"/>
    <cellStyle name="Millares 16 27" xfId="30335" xr:uid="{00000000-0005-0000-0000-0000583B0000}"/>
    <cellStyle name="Millares 16 28" xfId="30840" xr:uid="{00000000-0005-0000-0000-0000593B0000}"/>
    <cellStyle name="Millares 16 3" xfId="6900" xr:uid="{00000000-0005-0000-0000-00005A3B0000}"/>
    <cellStyle name="Millares 16 3 2" xfId="12899" xr:uid="{00000000-0005-0000-0000-00005B3B0000}"/>
    <cellStyle name="Millares 16 3 3" xfId="12898" xr:uid="{00000000-0005-0000-0000-00005C3B0000}"/>
    <cellStyle name="Millares 16 3 4" xfId="23815" xr:uid="{00000000-0005-0000-0000-00005D3B0000}"/>
    <cellStyle name="Millares 16 4" xfId="12900" xr:uid="{00000000-0005-0000-0000-00005E3B0000}"/>
    <cellStyle name="Millares 16 4 10" xfId="27819" xr:uid="{00000000-0005-0000-0000-00005F3B0000}"/>
    <cellStyle name="Millares 16 4 11" xfId="28323" xr:uid="{00000000-0005-0000-0000-0000603B0000}"/>
    <cellStyle name="Millares 16 4 12" xfId="28827" xr:uid="{00000000-0005-0000-0000-0000613B0000}"/>
    <cellStyle name="Millares 16 4 13" xfId="29331" xr:uid="{00000000-0005-0000-0000-0000623B0000}"/>
    <cellStyle name="Millares 16 4 14" xfId="29835" xr:uid="{00000000-0005-0000-0000-0000633B0000}"/>
    <cellStyle name="Millares 16 4 15" xfId="30339" xr:uid="{00000000-0005-0000-0000-0000643B0000}"/>
    <cellStyle name="Millares 16 4 16" xfId="30844" xr:uid="{00000000-0005-0000-0000-0000653B0000}"/>
    <cellStyle name="Millares 16 4 2" xfId="12901" xr:uid="{00000000-0005-0000-0000-0000663B0000}"/>
    <cellStyle name="Millares 16 4 3" xfId="23816" xr:uid="{00000000-0005-0000-0000-0000673B0000}"/>
    <cellStyle name="Millares 16 4 4" xfId="24795" xr:uid="{00000000-0005-0000-0000-0000683B0000}"/>
    <cellStyle name="Millares 16 4 5" xfId="25299" xr:uid="{00000000-0005-0000-0000-0000693B0000}"/>
    <cellStyle name="Millares 16 4 6" xfId="25803" xr:uid="{00000000-0005-0000-0000-00006A3B0000}"/>
    <cellStyle name="Millares 16 4 7" xfId="26307" xr:uid="{00000000-0005-0000-0000-00006B3B0000}"/>
    <cellStyle name="Millares 16 4 8" xfId="26811" xr:uid="{00000000-0005-0000-0000-00006C3B0000}"/>
    <cellStyle name="Millares 16 4 9" xfId="27315" xr:uid="{00000000-0005-0000-0000-00006D3B0000}"/>
    <cellStyle name="Millares 16 5" xfId="12902" xr:uid="{00000000-0005-0000-0000-00006E3B0000}"/>
    <cellStyle name="Millares 16 5 10" xfId="27820" xr:uid="{00000000-0005-0000-0000-00006F3B0000}"/>
    <cellStyle name="Millares 16 5 11" xfId="28324" xr:uid="{00000000-0005-0000-0000-0000703B0000}"/>
    <cellStyle name="Millares 16 5 12" xfId="28828" xr:uid="{00000000-0005-0000-0000-0000713B0000}"/>
    <cellStyle name="Millares 16 5 13" xfId="29332" xr:uid="{00000000-0005-0000-0000-0000723B0000}"/>
    <cellStyle name="Millares 16 5 14" xfId="29836" xr:uid="{00000000-0005-0000-0000-0000733B0000}"/>
    <cellStyle name="Millares 16 5 15" xfId="30340" xr:uid="{00000000-0005-0000-0000-0000743B0000}"/>
    <cellStyle name="Millares 16 5 16" xfId="30845" xr:uid="{00000000-0005-0000-0000-0000753B0000}"/>
    <cellStyle name="Millares 16 5 2" xfId="12903" xr:uid="{00000000-0005-0000-0000-0000763B0000}"/>
    <cellStyle name="Millares 16 5 3" xfId="23817" xr:uid="{00000000-0005-0000-0000-0000773B0000}"/>
    <cellStyle name="Millares 16 5 4" xfId="24796" xr:uid="{00000000-0005-0000-0000-0000783B0000}"/>
    <cellStyle name="Millares 16 5 5" xfId="25300" xr:uid="{00000000-0005-0000-0000-0000793B0000}"/>
    <cellStyle name="Millares 16 5 6" xfId="25804" xr:uid="{00000000-0005-0000-0000-00007A3B0000}"/>
    <cellStyle name="Millares 16 5 7" xfId="26308" xr:uid="{00000000-0005-0000-0000-00007B3B0000}"/>
    <cellStyle name="Millares 16 5 8" xfId="26812" xr:uid="{00000000-0005-0000-0000-00007C3B0000}"/>
    <cellStyle name="Millares 16 5 9" xfId="27316" xr:uid="{00000000-0005-0000-0000-00007D3B0000}"/>
    <cellStyle name="Millares 16 6" xfId="12904" xr:uid="{00000000-0005-0000-0000-00007E3B0000}"/>
    <cellStyle name="Millares 16 6 2" xfId="12905" xr:uid="{00000000-0005-0000-0000-00007F3B0000}"/>
    <cellStyle name="Millares 16 7" xfId="12906" xr:uid="{00000000-0005-0000-0000-0000803B0000}"/>
    <cellStyle name="Millares 16 7 2" xfId="12907" xr:uid="{00000000-0005-0000-0000-0000813B0000}"/>
    <cellStyle name="Millares 16 8" xfId="12908" xr:uid="{00000000-0005-0000-0000-0000823B0000}"/>
    <cellStyle name="Millares 16 9" xfId="12909" xr:uid="{00000000-0005-0000-0000-0000833B0000}"/>
    <cellStyle name="Millares 160" xfId="12910" xr:uid="{00000000-0005-0000-0000-0000843B0000}"/>
    <cellStyle name="Millares 160 2" xfId="12911" xr:uid="{00000000-0005-0000-0000-0000853B0000}"/>
    <cellStyle name="Millares 161" xfId="12912" xr:uid="{00000000-0005-0000-0000-0000863B0000}"/>
    <cellStyle name="Millares 161 2" xfId="12913" xr:uid="{00000000-0005-0000-0000-0000873B0000}"/>
    <cellStyle name="Millares 162" xfId="12914" xr:uid="{00000000-0005-0000-0000-0000883B0000}"/>
    <cellStyle name="Millares 162 2" xfId="12915" xr:uid="{00000000-0005-0000-0000-0000893B0000}"/>
    <cellStyle name="Millares 163" xfId="12916" xr:uid="{00000000-0005-0000-0000-00008A3B0000}"/>
    <cellStyle name="Millares 163 2" xfId="12917" xr:uid="{00000000-0005-0000-0000-00008B3B0000}"/>
    <cellStyle name="Millares 164" xfId="12918" xr:uid="{00000000-0005-0000-0000-00008C3B0000}"/>
    <cellStyle name="Millares 164 2" xfId="12919" xr:uid="{00000000-0005-0000-0000-00008D3B0000}"/>
    <cellStyle name="Millares 165" xfId="12920" xr:uid="{00000000-0005-0000-0000-00008E3B0000}"/>
    <cellStyle name="Millares 165 2" xfId="12921" xr:uid="{00000000-0005-0000-0000-00008F3B0000}"/>
    <cellStyle name="Millares 166" xfId="12922" xr:uid="{00000000-0005-0000-0000-0000903B0000}"/>
    <cellStyle name="Millares 166 2" xfId="12923" xr:uid="{00000000-0005-0000-0000-0000913B0000}"/>
    <cellStyle name="Millares 167" xfId="12924" xr:uid="{00000000-0005-0000-0000-0000923B0000}"/>
    <cellStyle name="Millares 167 2" xfId="12925" xr:uid="{00000000-0005-0000-0000-0000933B0000}"/>
    <cellStyle name="Millares 168" xfId="12926" xr:uid="{00000000-0005-0000-0000-0000943B0000}"/>
    <cellStyle name="Millares 168 2" xfId="12927" xr:uid="{00000000-0005-0000-0000-0000953B0000}"/>
    <cellStyle name="Millares 169" xfId="12928" xr:uid="{00000000-0005-0000-0000-0000963B0000}"/>
    <cellStyle name="Millares 169 2" xfId="12929" xr:uid="{00000000-0005-0000-0000-0000973B0000}"/>
    <cellStyle name="Millares 17" xfId="2204" xr:uid="{00000000-0005-0000-0000-0000983B0000}"/>
    <cellStyle name="Millares 17 2" xfId="3146" xr:uid="{00000000-0005-0000-0000-0000993B0000}"/>
    <cellStyle name="Millares 17 2 2" xfId="4763" xr:uid="{00000000-0005-0000-0000-00009A3B0000}"/>
    <cellStyle name="Millares 17 2 2 2" xfId="12932" xr:uid="{00000000-0005-0000-0000-00009B3B0000}"/>
    <cellStyle name="Millares 17 2 3" xfId="3353" xr:uid="{00000000-0005-0000-0000-00009C3B0000}"/>
    <cellStyle name="Millares 17 2 3 2" xfId="12933" xr:uid="{00000000-0005-0000-0000-00009D3B0000}"/>
    <cellStyle name="Millares 17 2 4" xfId="6901" xr:uid="{00000000-0005-0000-0000-00009E3B0000}"/>
    <cellStyle name="Millares 17 2 4 2" xfId="12934" xr:uid="{00000000-0005-0000-0000-00009F3B0000}"/>
    <cellStyle name="Millares 17 2 5" xfId="12931" xr:uid="{00000000-0005-0000-0000-0000A03B0000}"/>
    <cellStyle name="Millares 17 3" xfId="12935" xr:uid="{00000000-0005-0000-0000-0000A13B0000}"/>
    <cellStyle name="Millares 17 4" xfId="12930" xr:uid="{00000000-0005-0000-0000-0000A23B0000}"/>
    <cellStyle name="Millares 17 5" xfId="22991" xr:uid="{00000000-0005-0000-0000-0000A33B0000}"/>
    <cellStyle name="Millares 170" xfId="12936" xr:uid="{00000000-0005-0000-0000-0000A43B0000}"/>
    <cellStyle name="Millares 170 2" xfId="12937" xr:uid="{00000000-0005-0000-0000-0000A53B0000}"/>
    <cellStyle name="Millares 171" xfId="12938" xr:uid="{00000000-0005-0000-0000-0000A63B0000}"/>
    <cellStyle name="Millares 171 2" xfId="12939" xr:uid="{00000000-0005-0000-0000-0000A73B0000}"/>
    <cellStyle name="Millares 172" xfId="12940" xr:uid="{00000000-0005-0000-0000-0000A83B0000}"/>
    <cellStyle name="Millares 172 2" xfId="12941" xr:uid="{00000000-0005-0000-0000-0000A93B0000}"/>
    <cellStyle name="Millares 173" xfId="12942" xr:uid="{00000000-0005-0000-0000-0000AA3B0000}"/>
    <cellStyle name="Millares 173 2" xfId="12943" xr:uid="{00000000-0005-0000-0000-0000AB3B0000}"/>
    <cellStyle name="Millares 174" xfId="12944" xr:uid="{00000000-0005-0000-0000-0000AC3B0000}"/>
    <cellStyle name="Millares 174 2" xfId="12945" xr:uid="{00000000-0005-0000-0000-0000AD3B0000}"/>
    <cellStyle name="Millares 175" xfId="12946" xr:uid="{00000000-0005-0000-0000-0000AE3B0000}"/>
    <cellStyle name="Millares 175 2" xfId="12947" xr:uid="{00000000-0005-0000-0000-0000AF3B0000}"/>
    <cellStyle name="Millares 176" xfId="12948" xr:uid="{00000000-0005-0000-0000-0000B03B0000}"/>
    <cellStyle name="Millares 176 2" xfId="12949" xr:uid="{00000000-0005-0000-0000-0000B13B0000}"/>
    <cellStyle name="Millares 177" xfId="12950" xr:uid="{00000000-0005-0000-0000-0000B23B0000}"/>
    <cellStyle name="Millares 177 2" xfId="12951" xr:uid="{00000000-0005-0000-0000-0000B33B0000}"/>
    <cellStyle name="Millares 178" xfId="12952" xr:uid="{00000000-0005-0000-0000-0000B43B0000}"/>
    <cellStyle name="Millares 178 2" xfId="12953" xr:uid="{00000000-0005-0000-0000-0000B53B0000}"/>
    <cellStyle name="Millares 179" xfId="12954" xr:uid="{00000000-0005-0000-0000-0000B63B0000}"/>
    <cellStyle name="Millares 179 2" xfId="12955" xr:uid="{00000000-0005-0000-0000-0000B73B0000}"/>
    <cellStyle name="Millares 18" xfId="2205" xr:uid="{00000000-0005-0000-0000-0000B83B0000}"/>
    <cellStyle name="Millares 18 10" xfId="12957" xr:uid="{00000000-0005-0000-0000-0000B93B0000}"/>
    <cellStyle name="Millares 18 11" xfId="12958" xr:uid="{00000000-0005-0000-0000-0000BA3B0000}"/>
    <cellStyle name="Millares 18 12" xfId="12956" xr:uid="{00000000-0005-0000-0000-0000BB3B0000}"/>
    <cellStyle name="Millares 18 13" xfId="7191" xr:uid="{00000000-0005-0000-0000-0000BC3B0000}"/>
    <cellStyle name="Millares 18 14" xfId="22992" xr:uid="{00000000-0005-0000-0000-0000BD3B0000}"/>
    <cellStyle name="Millares 18 15" xfId="23818" xr:uid="{00000000-0005-0000-0000-0000BE3B0000}"/>
    <cellStyle name="Millares 18 16" xfId="24797" xr:uid="{00000000-0005-0000-0000-0000BF3B0000}"/>
    <cellStyle name="Millares 18 17" xfId="25301" xr:uid="{00000000-0005-0000-0000-0000C03B0000}"/>
    <cellStyle name="Millares 18 18" xfId="25805" xr:uid="{00000000-0005-0000-0000-0000C13B0000}"/>
    <cellStyle name="Millares 18 19" xfId="26309" xr:uid="{00000000-0005-0000-0000-0000C23B0000}"/>
    <cellStyle name="Millares 18 2" xfId="3150" xr:uid="{00000000-0005-0000-0000-0000C33B0000}"/>
    <cellStyle name="Millares 18 2 2" xfId="4766" xr:uid="{00000000-0005-0000-0000-0000C43B0000}"/>
    <cellStyle name="Millares 18 2 2 2" xfId="12960" xr:uid="{00000000-0005-0000-0000-0000C53B0000}"/>
    <cellStyle name="Millares 18 2 3" xfId="3354" xr:uid="{00000000-0005-0000-0000-0000C63B0000}"/>
    <cellStyle name="Millares 18 2 3 2" xfId="12961" xr:uid="{00000000-0005-0000-0000-0000C73B0000}"/>
    <cellStyle name="Millares 18 2 4" xfId="6903" xr:uid="{00000000-0005-0000-0000-0000C83B0000}"/>
    <cellStyle name="Millares 18 2 4 2" xfId="12962" xr:uid="{00000000-0005-0000-0000-0000C93B0000}"/>
    <cellStyle name="Millares 18 2 5" xfId="12959" xr:uid="{00000000-0005-0000-0000-0000CA3B0000}"/>
    <cellStyle name="Millares 18 2 6" xfId="7318" xr:uid="{00000000-0005-0000-0000-0000CB3B0000}"/>
    <cellStyle name="Millares 18 20" xfId="26813" xr:uid="{00000000-0005-0000-0000-0000CC3B0000}"/>
    <cellStyle name="Millares 18 21" xfId="27317" xr:uid="{00000000-0005-0000-0000-0000CD3B0000}"/>
    <cellStyle name="Millares 18 22" xfId="27821" xr:uid="{00000000-0005-0000-0000-0000CE3B0000}"/>
    <cellStyle name="Millares 18 23" xfId="28325" xr:uid="{00000000-0005-0000-0000-0000CF3B0000}"/>
    <cellStyle name="Millares 18 24" xfId="28829" xr:uid="{00000000-0005-0000-0000-0000D03B0000}"/>
    <cellStyle name="Millares 18 25" xfId="29333" xr:uid="{00000000-0005-0000-0000-0000D13B0000}"/>
    <cellStyle name="Millares 18 26" xfId="29837" xr:uid="{00000000-0005-0000-0000-0000D23B0000}"/>
    <cellStyle name="Millares 18 27" xfId="30341" xr:uid="{00000000-0005-0000-0000-0000D33B0000}"/>
    <cellStyle name="Millares 18 28" xfId="30846" xr:uid="{00000000-0005-0000-0000-0000D43B0000}"/>
    <cellStyle name="Millares 18 3" xfId="6902" xr:uid="{00000000-0005-0000-0000-0000D53B0000}"/>
    <cellStyle name="Millares 18 3 10" xfId="27318" xr:uid="{00000000-0005-0000-0000-0000D63B0000}"/>
    <cellStyle name="Millares 18 3 11" xfId="27822" xr:uid="{00000000-0005-0000-0000-0000D73B0000}"/>
    <cellStyle name="Millares 18 3 12" xfId="28326" xr:uid="{00000000-0005-0000-0000-0000D83B0000}"/>
    <cellStyle name="Millares 18 3 13" xfId="28830" xr:uid="{00000000-0005-0000-0000-0000D93B0000}"/>
    <cellStyle name="Millares 18 3 14" xfId="29334" xr:uid="{00000000-0005-0000-0000-0000DA3B0000}"/>
    <cellStyle name="Millares 18 3 15" xfId="29838" xr:uid="{00000000-0005-0000-0000-0000DB3B0000}"/>
    <cellStyle name="Millares 18 3 16" xfId="30342" xr:uid="{00000000-0005-0000-0000-0000DC3B0000}"/>
    <cellStyle name="Millares 18 3 17" xfId="30847" xr:uid="{00000000-0005-0000-0000-0000DD3B0000}"/>
    <cellStyle name="Millares 18 3 2" xfId="12964" xr:uid="{00000000-0005-0000-0000-0000DE3B0000}"/>
    <cellStyle name="Millares 18 3 3" xfId="12963" xr:uid="{00000000-0005-0000-0000-0000DF3B0000}"/>
    <cellStyle name="Millares 18 3 4" xfId="23819" xr:uid="{00000000-0005-0000-0000-0000E03B0000}"/>
    <cellStyle name="Millares 18 3 5" xfId="24798" xr:uid="{00000000-0005-0000-0000-0000E13B0000}"/>
    <cellStyle name="Millares 18 3 6" xfId="25302" xr:uid="{00000000-0005-0000-0000-0000E23B0000}"/>
    <cellStyle name="Millares 18 3 7" xfId="25806" xr:uid="{00000000-0005-0000-0000-0000E33B0000}"/>
    <cellStyle name="Millares 18 3 8" xfId="26310" xr:uid="{00000000-0005-0000-0000-0000E43B0000}"/>
    <cellStyle name="Millares 18 3 9" xfId="26814" xr:uid="{00000000-0005-0000-0000-0000E53B0000}"/>
    <cellStyle name="Millares 18 4" xfId="12965" xr:uid="{00000000-0005-0000-0000-0000E63B0000}"/>
    <cellStyle name="Millares 18 4 10" xfId="27823" xr:uid="{00000000-0005-0000-0000-0000E73B0000}"/>
    <cellStyle name="Millares 18 4 11" xfId="28327" xr:uid="{00000000-0005-0000-0000-0000E83B0000}"/>
    <cellStyle name="Millares 18 4 12" xfId="28831" xr:uid="{00000000-0005-0000-0000-0000E93B0000}"/>
    <cellStyle name="Millares 18 4 13" xfId="29335" xr:uid="{00000000-0005-0000-0000-0000EA3B0000}"/>
    <cellStyle name="Millares 18 4 14" xfId="29839" xr:uid="{00000000-0005-0000-0000-0000EB3B0000}"/>
    <cellStyle name="Millares 18 4 15" xfId="30343" xr:uid="{00000000-0005-0000-0000-0000EC3B0000}"/>
    <cellStyle name="Millares 18 4 16" xfId="30848" xr:uid="{00000000-0005-0000-0000-0000ED3B0000}"/>
    <cellStyle name="Millares 18 4 2" xfId="12966" xr:uid="{00000000-0005-0000-0000-0000EE3B0000}"/>
    <cellStyle name="Millares 18 4 3" xfId="23820" xr:uid="{00000000-0005-0000-0000-0000EF3B0000}"/>
    <cellStyle name="Millares 18 4 4" xfId="24799" xr:uid="{00000000-0005-0000-0000-0000F03B0000}"/>
    <cellStyle name="Millares 18 4 5" xfId="25303" xr:uid="{00000000-0005-0000-0000-0000F13B0000}"/>
    <cellStyle name="Millares 18 4 6" xfId="25807" xr:uid="{00000000-0005-0000-0000-0000F23B0000}"/>
    <cellStyle name="Millares 18 4 7" xfId="26311" xr:uid="{00000000-0005-0000-0000-0000F33B0000}"/>
    <cellStyle name="Millares 18 4 8" xfId="26815" xr:uid="{00000000-0005-0000-0000-0000F43B0000}"/>
    <cellStyle name="Millares 18 4 9" xfId="27319" xr:uid="{00000000-0005-0000-0000-0000F53B0000}"/>
    <cellStyle name="Millares 18 5" xfId="12967" xr:uid="{00000000-0005-0000-0000-0000F63B0000}"/>
    <cellStyle name="Millares 18 5 2" xfId="12968" xr:uid="{00000000-0005-0000-0000-0000F73B0000}"/>
    <cellStyle name="Millares 18 6" xfId="12969" xr:uid="{00000000-0005-0000-0000-0000F83B0000}"/>
    <cellStyle name="Millares 18 6 2" xfId="12970" xr:uid="{00000000-0005-0000-0000-0000F93B0000}"/>
    <cellStyle name="Millares 18 7" xfId="12971" xr:uid="{00000000-0005-0000-0000-0000FA3B0000}"/>
    <cellStyle name="Millares 18 7 2" xfId="12972" xr:uid="{00000000-0005-0000-0000-0000FB3B0000}"/>
    <cellStyle name="Millares 18 8" xfId="12973" xr:uid="{00000000-0005-0000-0000-0000FC3B0000}"/>
    <cellStyle name="Millares 18 9" xfId="12974" xr:uid="{00000000-0005-0000-0000-0000FD3B0000}"/>
    <cellStyle name="Millares 180" xfId="12975" xr:uid="{00000000-0005-0000-0000-0000FE3B0000}"/>
    <cellStyle name="Millares 180 2" xfId="12976" xr:uid="{00000000-0005-0000-0000-0000FF3B0000}"/>
    <cellStyle name="Millares 181" xfId="12977" xr:uid="{00000000-0005-0000-0000-0000003C0000}"/>
    <cellStyle name="Millares 181 2" xfId="12978" xr:uid="{00000000-0005-0000-0000-0000013C0000}"/>
    <cellStyle name="Millares 182" xfId="12979" xr:uid="{00000000-0005-0000-0000-0000023C0000}"/>
    <cellStyle name="Millares 182 2" xfId="12980" xr:uid="{00000000-0005-0000-0000-0000033C0000}"/>
    <cellStyle name="Millares 183" xfId="12981" xr:uid="{00000000-0005-0000-0000-0000043C0000}"/>
    <cellStyle name="Millares 184" xfId="12982" xr:uid="{00000000-0005-0000-0000-0000053C0000}"/>
    <cellStyle name="Millares 185" xfId="12983" xr:uid="{00000000-0005-0000-0000-0000063C0000}"/>
    <cellStyle name="Millares 186" xfId="12984" xr:uid="{00000000-0005-0000-0000-0000073C0000}"/>
    <cellStyle name="Millares 187" xfId="12985" xr:uid="{00000000-0005-0000-0000-0000083C0000}"/>
    <cellStyle name="Millares 188" xfId="12986" xr:uid="{00000000-0005-0000-0000-0000093C0000}"/>
    <cellStyle name="Millares 189" xfId="12987" xr:uid="{00000000-0005-0000-0000-00000A3C0000}"/>
    <cellStyle name="Millares 19" xfId="2206" xr:uid="{00000000-0005-0000-0000-00000B3C0000}"/>
    <cellStyle name="Millares 19 2" xfId="3145" xr:uid="{00000000-0005-0000-0000-00000C3C0000}"/>
    <cellStyle name="Millares 19 2 2" xfId="4762" xr:uid="{00000000-0005-0000-0000-00000D3C0000}"/>
    <cellStyle name="Millares 19 2 2 2" xfId="12990" xr:uid="{00000000-0005-0000-0000-00000E3C0000}"/>
    <cellStyle name="Millares 19 2 3" xfId="3355" xr:uid="{00000000-0005-0000-0000-00000F3C0000}"/>
    <cellStyle name="Millares 19 2 3 2" xfId="12991" xr:uid="{00000000-0005-0000-0000-0000103C0000}"/>
    <cellStyle name="Millares 19 2 4" xfId="6904" xr:uid="{00000000-0005-0000-0000-0000113C0000}"/>
    <cellStyle name="Millares 19 2 4 2" xfId="12992" xr:uid="{00000000-0005-0000-0000-0000123C0000}"/>
    <cellStyle name="Millares 19 2 5" xfId="12989" xr:uid="{00000000-0005-0000-0000-0000133C0000}"/>
    <cellStyle name="Millares 19 3" xfId="12993" xr:uid="{00000000-0005-0000-0000-0000143C0000}"/>
    <cellStyle name="Millares 19 4" xfId="12988" xr:uid="{00000000-0005-0000-0000-0000153C0000}"/>
    <cellStyle name="Millares 19 5" xfId="22993" xr:uid="{00000000-0005-0000-0000-0000163C0000}"/>
    <cellStyle name="Millares 190" xfId="12994" xr:uid="{00000000-0005-0000-0000-0000173C0000}"/>
    <cellStyle name="Millares 191" xfId="12995" xr:uid="{00000000-0005-0000-0000-0000183C0000}"/>
    <cellStyle name="Millares 192" xfId="12996" xr:uid="{00000000-0005-0000-0000-0000193C0000}"/>
    <cellStyle name="Millares 193" xfId="12997" xr:uid="{00000000-0005-0000-0000-00001A3C0000}"/>
    <cellStyle name="Millares 194" xfId="12998" xr:uid="{00000000-0005-0000-0000-00001B3C0000}"/>
    <cellStyle name="Millares 195" xfId="12999" xr:uid="{00000000-0005-0000-0000-00001C3C0000}"/>
    <cellStyle name="Millares 196" xfId="13000" xr:uid="{00000000-0005-0000-0000-00001D3C0000}"/>
    <cellStyle name="Millares 197" xfId="13001" xr:uid="{00000000-0005-0000-0000-00001E3C0000}"/>
    <cellStyle name="Millares 198" xfId="13002" xr:uid="{00000000-0005-0000-0000-00001F3C0000}"/>
    <cellStyle name="Millares 199" xfId="13003" xr:uid="{00000000-0005-0000-0000-0000203C0000}"/>
    <cellStyle name="Millares 2" xfId="230" xr:uid="{00000000-0005-0000-0000-0000213C0000}"/>
    <cellStyle name="Millares 2 10" xfId="2711" xr:uid="{00000000-0005-0000-0000-0000223C0000}"/>
    <cellStyle name="Millares 2 10 2" xfId="13006" xr:uid="{00000000-0005-0000-0000-0000233C0000}"/>
    <cellStyle name="Millares 2 10 3" xfId="13005" xr:uid="{00000000-0005-0000-0000-0000243C0000}"/>
    <cellStyle name="Millares 2 10 4" xfId="7192" xr:uid="{00000000-0005-0000-0000-0000253C0000}"/>
    <cellStyle name="Millares 2 10 5" xfId="23822" xr:uid="{00000000-0005-0000-0000-0000263C0000}"/>
    <cellStyle name="Millares 2 11" xfId="3627" xr:uid="{00000000-0005-0000-0000-0000273C0000}"/>
    <cellStyle name="Millares 2 11 2" xfId="13007" xr:uid="{00000000-0005-0000-0000-0000283C0000}"/>
    <cellStyle name="Millares 2 11 3" xfId="23823" xr:uid="{00000000-0005-0000-0000-0000293C0000}"/>
    <cellStyle name="Millares 2 12" xfId="3356" xr:uid="{00000000-0005-0000-0000-00002A3C0000}"/>
    <cellStyle name="Millares 2 12 10" xfId="28058" xr:uid="{00000000-0005-0000-0000-00002B3C0000}"/>
    <cellStyle name="Millares 2 12 10 2" xfId="32019" xr:uid="{9DD1B727-529D-46BD-BFEE-D1943F7F97AB}"/>
    <cellStyle name="Millares 2 12 11" xfId="28562" xr:uid="{00000000-0005-0000-0000-00002C3C0000}"/>
    <cellStyle name="Millares 2 12 12" xfId="29066" xr:uid="{00000000-0005-0000-0000-00002D3C0000}"/>
    <cellStyle name="Millares 2 12 13" xfId="29570" xr:uid="{00000000-0005-0000-0000-00002E3C0000}"/>
    <cellStyle name="Millares 2 12 14" xfId="30074" xr:uid="{00000000-0005-0000-0000-00002F3C0000}"/>
    <cellStyle name="Millares 2 12 15" xfId="30578" xr:uid="{00000000-0005-0000-0000-0000303C0000}"/>
    <cellStyle name="Millares 2 12 16" xfId="31083" xr:uid="{00000000-0005-0000-0000-0000313C0000}"/>
    <cellStyle name="Millares 2 12 2" xfId="13008" xr:uid="{00000000-0005-0000-0000-0000323C0000}"/>
    <cellStyle name="Millares 2 12 3" xfId="24526" xr:uid="{00000000-0005-0000-0000-0000333C0000}"/>
    <cellStyle name="Millares 2 12 4" xfId="25034" xr:uid="{00000000-0005-0000-0000-0000343C0000}"/>
    <cellStyle name="Millares 2 12 5" xfId="25538" xr:uid="{00000000-0005-0000-0000-0000353C0000}"/>
    <cellStyle name="Millares 2 12 6" xfId="26042" xr:uid="{00000000-0005-0000-0000-0000363C0000}"/>
    <cellStyle name="Millares 2 12 7" xfId="26546" xr:uid="{00000000-0005-0000-0000-0000373C0000}"/>
    <cellStyle name="Millares 2 12 8" xfId="27050" xr:uid="{00000000-0005-0000-0000-0000383C0000}"/>
    <cellStyle name="Millares 2 12 9" xfId="27554" xr:uid="{00000000-0005-0000-0000-0000393C0000}"/>
    <cellStyle name="Millares 2 13" xfId="6905" xr:uid="{00000000-0005-0000-0000-00003A3C0000}"/>
    <cellStyle name="Millares 2 13 10" xfId="28066" xr:uid="{00000000-0005-0000-0000-00003B3C0000}"/>
    <cellStyle name="Millares 2 13 11" xfId="28570" xr:uid="{00000000-0005-0000-0000-00003C3C0000}"/>
    <cellStyle name="Millares 2 13 12" xfId="29074" xr:uid="{00000000-0005-0000-0000-00003D3C0000}"/>
    <cellStyle name="Millares 2 13 13" xfId="29578" xr:uid="{00000000-0005-0000-0000-00003E3C0000}"/>
    <cellStyle name="Millares 2 13 14" xfId="30082" xr:uid="{00000000-0005-0000-0000-00003F3C0000}"/>
    <cellStyle name="Millares 2 13 15" xfId="30586" xr:uid="{00000000-0005-0000-0000-0000403C0000}"/>
    <cellStyle name="Millares 2 13 16" xfId="31091" xr:uid="{00000000-0005-0000-0000-0000413C0000}"/>
    <cellStyle name="Millares 2 13 2" xfId="13009" xr:uid="{00000000-0005-0000-0000-0000423C0000}"/>
    <cellStyle name="Millares 2 13 3" xfId="24536" xr:uid="{00000000-0005-0000-0000-0000433C0000}"/>
    <cellStyle name="Millares 2 13 4" xfId="25042" xr:uid="{00000000-0005-0000-0000-0000443C0000}"/>
    <cellStyle name="Millares 2 13 5" xfId="25546" xr:uid="{00000000-0005-0000-0000-0000453C0000}"/>
    <cellStyle name="Millares 2 13 6" xfId="26050" xr:uid="{00000000-0005-0000-0000-0000463C0000}"/>
    <cellStyle name="Millares 2 13 7" xfId="26554" xr:uid="{00000000-0005-0000-0000-0000473C0000}"/>
    <cellStyle name="Millares 2 13 8" xfId="27058" xr:uid="{00000000-0005-0000-0000-0000483C0000}"/>
    <cellStyle name="Millares 2 13 9" xfId="27562" xr:uid="{00000000-0005-0000-0000-0000493C0000}"/>
    <cellStyle name="Millares 2 14" xfId="13004" xr:uid="{00000000-0005-0000-0000-00004A3C0000}"/>
    <cellStyle name="Millares 2 14 10" xfId="28573" xr:uid="{00000000-0005-0000-0000-00004B3C0000}"/>
    <cellStyle name="Millares 2 14 11" xfId="29077" xr:uid="{00000000-0005-0000-0000-00004C3C0000}"/>
    <cellStyle name="Millares 2 14 12" xfId="29581" xr:uid="{00000000-0005-0000-0000-00004D3C0000}"/>
    <cellStyle name="Millares 2 14 13" xfId="30085" xr:uid="{00000000-0005-0000-0000-00004E3C0000}"/>
    <cellStyle name="Millares 2 14 14" xfId="30589" xr:uid="{00000000-0005-0000-0000-00004F3C0000}"/>
    <cellStyle name="Millares 2 14 15" xfId="31094" xr:uid="{00000000-0005-0000-0000-0000503C0000}"/>
    <cellStyle name="Millares 2 14 2" xfId="24541" xr:uid="{00000000-0005-0000-0000-0000513C0000}"/>
    <cellStyle name="Millares 2 14 3" xfId="25045" xr:uid="{00000000-0005-0000-0000-0000523C0000}"/>
    <cellStyle name="Millares 2 14 4" xfId="25549" xr:uid="{00000000-0005-0000-0000-0000533C0000}"/>
    <cellStyle name="Millares 2 14 5" xfId="26053" xr:uid="{00000000-0005-0000-0000-0000543C0000}"/>
    <cellStyle name="Millares 2 14 6" xfId="26557" xr:uid="{00000000-0005-0000-0000-0000553C0000}"/>
    <cellStyle name="Millares 2 14 7" xfId="27061" xr:uid="{00000000-0005-0000-0000-0000563C0000}"/>
    <cellStyle name="Millares 2 14 8" xfId="27565" xr:uid="{00000000-0005-0000-0000-0000573C0000}"/>
    <cellStyle name="Millares 2 14 9" xfId="28069" xr:uid="{00000000-0005-0000-0000-0000583C0000}"/>
    <cellStyle name="Millares 2 15" xfId="7091" xr:uid="{00000000-0005-0000-0000-0000593C0000}"/>
    <cellStyle name="Millares 2 16" xfId="22994" xr:uid="{00000000-0005-0000-0000-00005A3C0000}"/>
    <cellStyle name="Millares 2 17" xfId="23821" xr:uid="{00000000-0005-0000-0000-00005B3C0000}"/>
    <cellStyle name="Millares 2 18" xfId="24800" xr:uid="{00000000-0005-0000-0000-00005C3C0000}"/>
    <cellStyle name="Millares 2 19" xfId="25304" xr:uid="{00000000-0005-0000-0000-00005D3C0000}"/>
    <cellStyle name="Millares 2 2" xfId="442" xr:uid="{00000000-0005-0000-0000-00005E3C0000}"/>
    <cellStyle name="Millares 2 2 10" xfId="3644" xr:uid="{00000000-0005-0000-0000-00005F3C0000}"/>
    <cellStyle name="Millares 2 2 10 2" xfId="13010" xr:uid="{00000000-0005-0000-0000-0000603C0000}"/>
    <cellStyle name="Millares 2 2 11" xfId="3357" xr:uid="{00000000-0005-0000-0000-0000613C0000}"/>
    <cellStyle name="Millares 2 2 12" xfId="6906" xr:uid="{00000000-0005-0000-0000-0000623C0000}"/>
    <cellStyle name="Millares 2 2 13" xfId="7092" xr:uid="{00000000-0005-0000-0000-0000633C0000}"/>
    <cellStyle name="Millares 2 2 14" xfId="22995" xr:uid="{00000000-0005-0000-0000-0000643C0000}"/>
    <cellStyle name="Millares 2 2 15" xfId="23824" xr:uid="{00000000-0005-0000-0000-0000653C0000}"/>
    <cellStyle name="Millares 2 2 16" xfId="24801" xr:uid="{00000000-0005-0000-0000-0000663C0000}"/>
    <cellStyle name="Millares 2 2 17" xfId="25305" xr:uid="{00000000-0005-0000-0000-0000673C0000}"/>
    <cellStyle name="Millares 2 2 18" xfId="25809" xr:uid="{00000000-0005-0000-0000-0000683C0000}"/>
    <cellStyle name="Millares 2 2 19" xfId="26313" xr:uid="{00000000-0005-0000-0000-0000693C0000}"/>
    <cellStyle name="Millares 2 2 2" xfId="643" xr:uid="{00000000-0005-0000-0000-00006A3C0000}"/>
    <cellStyle name="Millares 2 2 2 2" xfId="2210" xr:uid="{00000000-0005-0000-0000-00006B3C0000}"/>
    <cellStyle name="Millares 2 2 2 2 2" xfId="13013" xr:uid="{00000000-0005-0000-0000-00006C3C0000}"/>
    <cellStyle name="Millares 2 2 2 2 2 2" xfId="22998" xr:uid="{00000000-0005-0000-0000-00006D3C0000}"/>
    <cellStyle name="Millares 2 2 2 2 3" xfId="13012" xr:uid="{00000000-0005-0000-0000-00006E3C0000}"/>
    <cellStyle name="Millares 2 2 2 2 4" xfId="22997" xr:uid="{00000000-0005-0000-0000-00006F3C0000}"/>
    <cellStyle name="Millares 2 2 2 3" xfId="2211" xr:uid="{00000000-0005-0000-0000-0000703C0000}"/>
    <cellStyle name="Millares 2 2 2 3 2" xfId="13015" xr:uid="{00000000-0005-0000-0000-0000713C0000}"/>
    <cellStyle name="Millares 2 2 2 3 3" xfId="13014" xr:uid="{00000000-0005-0000-0000-0000723C0000}"/>
    <cellStyle name="Millares 2 2 2 3 4" xfId="7193" xr:uid="{00000000-0005-0000-0000-0000733C0000}"/>
    <cellStyle name="Millares 2 2 2 3 5" xfId="22999" xr:uid="{00000000-0005-0000-0000-0000743C0000}"/>
    <cellStyle name="Millares 2 2 2 4" xfId="2209" xr:uid="{00000000-0005-0000-0000-0000753C0000}"/>
    <cellStyle name="Millares 2 2 2 4 2" xfId="13016" xr:uid="{00000000-0005-0000-0000-0000763C0000}"/>
    <cellStyle name="Millares 2 2 2 5" xfId="3678" xr:uid="{00000000-0005-0000-0000-0000773C0000}"/>
    <cellStyle name="Millares 2 2 2 5 2" xfId="13011" xr:uid="{00000000-0005-0000-0000-0000783C0000}"/>
    <cellStyle name="Millares 2 2 2 6" xfId="3358" xr:uid="{00000000-0005-0000-0000-0000793C0000}"/>
    <cellStyle name="Millares 2 2 2 7" xfId="6907" xr:uid="{00000000-0005-0000-0000-00007A3C0000}"/>
    <cellStyle name="Millares 2 2 2 8" xfId="22996" xr:uid="{00000000-0005-0000-0000-00007B3C0000}"/>
    <cellStyle name="Millares 2 2 2 9" xfId="31223" xr:uid="{E79104F2-D8F9-4BBA-AEDB-67A683BE5B01}"/>
    <cellStyle name="Millares 2 2 20" xfId="26817" xr:uid="{00000000-0005-0000-0000-00007C3C0000}"/>
    <cellStyle name="Millares 2 2 21" xfId="27321" xr:uid="{00000000-0005-0000-0000-00007D3C0000}"/>
    <cellStyle name="Millares 2 2 22" xfId="27825" xr:uid="{00000000-0005-0000-0000-00007E3C0000}"/>
    <cellStyle name="Millares 2 2 23" xfId="28329" xr:uid="{00000000-0005-0000-0000-00007F3C0000}"/>
    <cellStyle name="Millares 2 2 24" xfId="28833" xr:uid="{00000000-0005-0000-0000-0000803C0000}"/>
    <cellStyle name="Millares 2 2 25" xfId="29337" xr:uid="{00000000-0005-0000-0000-0000813C0000}"/>
    <cellStyle name="Millares 2 2 26" xfId="29841" xr:uid="{00000000-0005-0000-0000-0000823C0000}"/>
    <cellStyle name="Millares 2 2 27" xfId="30345" xr:uid="{00000000-0005-0000-0000-0000833C0000}"/>
    <cellStyle name="Millares 2 2 28" xfId="30850" xr:uid="{00000000-0005-0000-0000-0000843C0000}"/>
    <cellStyle name="Millares 2 2 29" xfId="31138" xr:uid="{64C3076E-DA27-4938-9295-79DBDFD8341F}"/>
    <cellStyle name="Millares 2 2 3" xfId="2212" xr:uid="{00000000-0005-0000-0000-0000853C0000}"/>
    <cellStyle name="Millares 2 2 3 2" xfId="2786" xr:uid="{00000000-0005-0000-0000-0000863C0000}"/>
    <cellStyle name="Millares 2 2 3 2 2" xfId="13018" xr:uid="{00000000-0005-0000-0000-0000873C0000}"/>
    <cellStyle name="Millares 2 2 3 2 3" xfId="23001" xr:uid="{00000000-0005-0000-0000-0000883C0000}"/>
    <cellStyle name="Millares 2 2 3 2 4" xfId="23825" xr:uid="{00000000-0005-0000-0000-0000893C0000}"/>
    <cellStyle name="Millares 2 2 3 3" xfId="4279" xr:uid="{00000000-0005-0000-0000-00008A3C0000}"/>
    <cellStyle name="Millares 2 2 3 3 2" xfId="13019" xr:uid="{00000000-0005-0000-0000-00008B3C0000}"/>
    <cellStyle name="Millares 2 2 3 3 3" xfId="23826" xr:uid="{00000000-0005-0000-0000-00008C3C0000}"/>
    <cellStyle name="Millares 2 2 3 4" xfId="3359" xr:uid="{00000000-0005-0000-0000-00008D3C0000}"/>
    <cellStyle name="Millares 2 2 3 4 2" xfId="13020" xr:uid="{00000000-0005-0000-0000-00008E3C0000}"/>
    <cellStyle name="Millares 2 2 3 5" xfId="6908" xr:uid="{00000000-0005-0000-0000-00008F3C0000}"/>
    <cellStyle name="Millares 2 2 3 5 2" xfId="13017" xr:uid="{00000000-0005-0000-0000-0000903C0000}"/>
    <cellStyle name="Millares 2 2 3 6" xfId="23000" xr:uid="{00000000-0005-0000-0000-0000913C0000}"/>
    <cellStyle name="Millares 2 2 4" xfId="2213" xr:uid="{00000000-0005-0000-0000-0000923C0000}"/>
    <cellStyle name="Millares 2 2 4 2" xfId="13022" xr:uid="{00000000-0005-0000-0000-0000933C0000}"/>
    <cellStyle name="Millares 2 2 4 2 2" xfId="23003" xr:uid="{00000000-0005-0000-0000-0000943C0000}"/>
    <cellStyle name="Millares 2 2 4 3" xfId="13021" xr:uid="{00000000-0005-0000-0000-0000953C0000}"/>
    <cellStyle name="Millares 2 2 4 4" xfId="23002" xr:uid="{00000000-0005-0000-0000-0000963C0000}"/>
    <cellStyle name="Millares 2 2 5" xfId="2214" xr:uid="{00000000-0005-0000-0000-0000973C0000}"/>
    <cellStyle name="Millares 2 2 5 2" xfId="3361" xr:uid="{00000000-0005-0000-0000-0000983C0000}"/>
    <cellStyle name="Millares 2 2 5 2 2" xfId="13025" xr:uid="{00000000-0005-0000-0000-0000993C0000}"/>
    <cellStyle name="Millares 2 2 5 2 3" xfId="13024" xr:uid="{00000000-0005-0000-0000-00009A3C0000}"/>
    <cellStyle name="Millares 2 2 5 3" xfId="4280" xr:uid="{00000000-0005-0000-0000-00009B3C0000}"/>
    <cellStyle name="Millares 2 2 5 3 2" xfId="13026" xr:uid="{00000000-0005-0000-0000-00009C3C0000}"/>
    <cellStyle name="Millares 2 2 5 4" xfId="3360" xr:uid="{00000000-0005-0000-0000-00009D3C0000}"/>
    <cellStyle name="Millares 2 2 5 4 2" xfId="13027" xr:uid="{00000000-0005-0000-0000-00009E3C0000}"/>
    <cellStyle name="Millares 2 2 5 5" xfId="6909" xr:uid="{00000000-0005-0000-0000-00009F3C0000}"/>
    <cellStyle name="Millares 2 2 5 5 2" xfId="13028" xr:uid="{00000000-0005-0000-0000-0000A03C0000}"/>
    <cellStyle name="Millares 2 2 5 6" xfId="13023" xr:uid="{00000000-0005-0000-0000-0000A13C0000}"/>
    <cellStyle name="Millares 2 2 6" xfId="2215" xr:uid="{00000000-0005-0000-0000-0000A23C0000}"/>
    <cellStyle name="Millares 2 2 6 2" xfId="4281" xr:uid="{00000000-0005-0000-0000-0000A33C0000}"/>
    <cellStyle name="Millares 2 2 6 2 10" xfId="27826" xr:uid="{00000000-0005-0000-0000-0000A43C0000}"/>
    <cellStyle name="Millares 2 2 6 2 11" xfId="28330" xr:uid="{00000000-0005-0000-0000-0000A53C0000}"/>
    <cellStyle name="Millares 2 2 6 2 12" xfId="28834" xr:uid="{00000000-0005-0000-0000-0000A63C0000}"/>
    <cellStyle name="Millares 2 2 6 2 13" xfId="29338" xr:uid="{00000000-0005-0000-0000-0000A73C0000}"/>
    <cellStyle name="Millares 2 2 6 2 14" xfId="29842" xr:uid="{00000000-0005-0000-0000-0000A83C0000}"/>
    <cellStyle name="Millares 2 2 6 2 15" xfId="30346" xr:uid="{00000000-0005-0000-0000-0000A93C0000}"/>
    <cellStyle name="Millares 2 2 6 2 16" xfId="30851" xr:uid="{00000000-0005-0000-0000-0000AA3C0000}"/>
    <cellStyle name="Millares 2 2 6 2 2" xfId="13030" xr:uid="{00000000-0005-0000-0000-0000AB3C0000}"/>
    <cellStyle name="Millares 2 2 6 2 3" xfId="23827" xr:uid="{00000000-0005-0000-0000-0000AC3C0000}"/>
    <cellStyle name="Millares 2 2 6 2 4" xfId="24802" xr:uid="{00000000-0005-0000-0000-0000AD3C0000}"/>
    <cellStyle name="Millares 2 2 6 2 5" xfId="25306" xr:uid="{00000000-0005-0000-0000-0000AE3C0000}"/>
    <cellStyle name="Millares 2 2 6 2 6" xfId="25810" xr:uid="{00000000-0005-0000-0000-0000AF3C0000}"/>
    <cellStyle name="Millares 2 2 6 2 7" xfId="26314" xr:uid="{00000000-0005-0000-0000-0000B03C0000}"/>
    <cellStyle name="Millares 2 2 6 2 8" xfId="26818" xr:uid="{00000000-0005-0000-0000-0000B13C0000}"/>
    <cellStyle name="Millares 2 2 6 2 9" xfId="27322" xr:uid="{00000000-0005-0000-0000-0000B23C0000}"/>
    <cellStyle name="Millares 2 2 6 3" xfId="3362" xr:uid="{00000000-0005-0000-0000-0000B33C0000}"/>
    <cellStyle name="Millares 2 2 6 3 10" xfId="27827" xr:uid="{00000000-0005-0000-0000-0000B43C0000}"/>
    <cellStyle name="Millares 2 2 6 3 11" xfId="28331" xr:uid="{00000000-0005-0000-0000-0000B53C0000}"/>
    <cellStyle name="Millares 2 2 6 3 12" xfId="28835" xr:uid="{00000000-0005-0000-0000-0000B63C0000}"/>
    <cellStyle name="Millares 2 2 6 3 13" xfId="29339" xr:uid="{00000000-0005-0000-0000-0000B73C0000}"/>
    <cellStyle name="Millares 2 2 6 3 14" xfId="29843" xr:uid="{00000000-0005-0000-0000-0000B83C0000}"/>
    <cellStyle name="Millares 2 2 6 3 15" xfId="30347" xr:uid="{00000000-0005-0000-0000-0000B93C0000}"/>
    <cellStyle name="Millares 2 2 6 3 16" xfId="30852" xr:uid="{00000000-0005-0000-0000-0000BA3C0000}"/>
    <cellStyle name="Millares 2 2 6 3 2" xfId="13031" xr:uid="{00000000-0005-0000-0000-0000BB3C0000}"/>
    <cellStyle name="Millares 2 2 6 3 3" xfId="23828" xr:uid="{00000000-0005-0000-0000-0000BC3C0000}"/>
    <cellStyle name="Millares 2 2 6 3 4" xfId="24803" xr:uid="{00000000-0005-0000-0000-0000BD3C0000}"/>
    <cellStyle name="Millares 2 2 6 3 5" xfId="25307" xr:uid="{00000000-0005-0000-0000-0000BE3C0000}"/>
    <cellStyle name="Millares 2 2 6 3 6" xfId="25811" xr:uid="{00000000-0005-0000-0000-0000BF3C0000}"/>
    <cellStyle name="Millares 2 2 6 3 7" xfId="26315" xr:uid="{00000000-0005-0000-0000-0000C03C0000}"/>
    <cellStyle name="Millares 2 2 6 3 8" xfId="26819" xr:uid="{00000000-0005-0000-0000-0000C13C0000}"/>
    <cellStyle name="Millares 2 2 6 3 9" xfId="27323" xr:uid="{00000000-0005-0000-0000-0000C23C0000}"/>
    <cellStyle name="Millares 2 2 6 4" xfId="6910" xr:uid="{00000000-0005-0000-0000-0000C33C0000}"/>
    <cellStyle name="Millares 2 2 6 4 10" xfId="27828" xr:uid="{00000000-0005-0000-0000-0000C43C0000}"/>
    <cellStyle name="Millares 2 2 6 4 11" xfId="28332" xr:uid="{00000000-0005-0000-0000-0000C53C0000}"/>
    <cellStyle name="Millares 2 2 6 4 12" xfId="28836" xr:uid="{00000000-0005-0000-0000-0000C63C0000}"/>
    <cellStyle name="Millares 2 2 6 4 13" xfId="29340" xr:uid="{00000000-0005-0000-0000-0000C73C0000}"/>
    <cellStyle name="Millares 2 2 6 4 14" xfId="29844" xr:uid="{00000000-0005-0000-0000-0000C83C0000}"/>
    <cellStyle name="Millares 2 2 6 4 15" xfId="30348" xr:uid="{00000000-0005-0000-0000-0000C93C0000}"/>
    <cellStyle name="Millares 2 2 6 4 16" xfId="30853" xr:uid="{00000000-0005-0000-0000-0000CA3C0000}"/>
    <cellStyle name="Millares 2 2 6 4 2" xfId="13029" xr:uid="{00000000-0005-0000-0000-0000CB3C0000}"/>
    <cellStyle name="Millares 2 2 6 4 3" xfId="23829" xr:uid="{00000000-0005-0000-0000-0000CC3C0000}"/>
    <cellStyle name="Millares 2 2 6 4 4" xfId="24804" xr:uid="{00000000-0005-0000-0000-0000CD3C0000}"/>
    <cellStyle name="Millares 2 2 6 4 5" xfId="25308" xr:uid="{00000000-0005-0000-0000-0000CE3C0000}"/>
    <cellStyle name="Millares 2 2 6 4 6" xfId="25812" xr:uid="{00000000-0005-0000-0000-0000CF3C0000}"/>
    <cellStyle name="Millares 2 2 6 4 7" xfId="26316" xr:uid="{00000000-0005-0000-0000-0000D03C0000}"/>
    <cellStyle name="Millares 2 2 6 4 8" xfId="26820" xr:uid="{00000000-0005-0000-0000-0000D13C0000}"/>
    <cellStyle name="Millares 2 2 6 4 9" xfId="27324" xr:uid="{00000000-0005-0000-0000-0000D23C0000}"/>
    <cellStyle name="Millares 2 2 6 5" xfId="7194" xr:uid="{00000000-0005-0000-0000-0000D33C0000}"/>
    <cellStyle name="Millares 2 2 7" xfId="2216" xr:uid="{00000000-0005-0000-0000-0000D43C0000}"/>
    <cellStyle name="Millares 2 2 7 10" xfId="23830" xr:uid="{00000000-0005-0000-0000-0000D53C0000}"/>
    <cellStyle name="Millares 2 2 7 11" xfId="24805" xr:uid="{00000000-0005-0000-0000-0000D63C0000}"/>
    <cellStyle name="Millares 2 2 7 12" xfId="25309" xr:uid="{00000000-0005-0000-0000-0000D73C0000}"/>
    <cellStyle name="Millares 2 2 7 13" xfId="25813" xr:uid="{00000000-0005-0000-0000-0000D83C0000}"/>
    <cellStyle name="Millares 2 2 7 14" xfId="26317" xr:uid="{00000000-0005-0000-0000-0000D93C0000}"/>
    <cellStyle name="Millares 2 2 7 15" xfId="26821" xr:uid="{00000000-0005-0000-0000-0000DA3C0000}"/>
    <cellStyle name="Millares 2 2 7 16" xfId="27325" xr:uid="{00000000-0005-0000-0000-0000DB3C0000}"/>
    <cellStyle name="Millares 2 2 7 17" xfId="27829" xr:uid="{00000000-0005-0000-0000-0000DC3C0000}"/>
    <cellStyle name="Millares 2 2 7 18" xfId="28333" xr:uid="{00000000-0005-0000-0000-0000DD3C0000}"/>
    <cellStyle name="Millares 2 2 7 19" xfId="28837" xr:uid="{00000000-0005-0000-0000-0000DE3C0000}"/>
    <cellStyle name="Millares 2 2 7 2" xfId="13033" xr:uid="{00000000-0005-0000-0000-0000DF3C0000}"/>
    <cellStyle name="Millares 2 2 7 2 10" xfId="27830" xr:uid="{00000000-0005-0000-0000-0000E03C0000}"/>
    <cellStyle name="Millares 2 2 7 2 11" xfId="28334" xr:uid="{00000000-0005-0000-0000-0000E13C0000}"/>
    <cellStyle name="Millares 2 2 7 2 12" xfId="28838" xr:uid="{00000000-0005-0000-0000-0000E23C0000}"/>
    <cellStyle name="Millares 2 2 7 2 13" xfId="29342" xr:uid="{00000000-0005-0000-0000-0000E33C0000}"/>
    <cellStyle name="Millares 2 2 7 2 14" xfId="29846" xr:uid="{00000000-0005-0000-0000-0000E43C0000}"/>
    <cellStyle name="Millares 2 2 7 2 15" xfId="30350" xr:uid="{00000000-0005-0000-0000-0000E53C0000}"/>
    <cellStyle name="Millares 2 2 7 2 16" xfId="30855" xr:uid="{00000000-0005-0000-0000-0000E63C0000}"/>
    <cellStyle name="Millares 2 2 7 2 2" xfId="13034" xr:uid="{00000000-0005-0000-0000-0000E73C0000}"/>
    <cellStyle name="Millares 2 2 7 2 3" xfId="23831" xr:uid="{00000000-0005-0000-0000-0000E83C0000}"/>
    <cellStyle name="Millares 2 2 7 2 4" xfId="24806" xr:uid="{00000000-0005-0000-0000-0000E93C0000}"/>
    <cellStyle name="Millares 2 2 7 2 5" xfId="25310" xr:uid="{00000000-0005-0000-0000-0000EA3C0000}"/>
    <cellStyle name="Millares 2 2 7 2 6" xfId="25814" xr:uid="{00000000-0005-0000-0000-0000EB3C0000}"/>
    <cellStyle name="Millares 2 2 7 2 7" xfId="26318" xr:uid="{00000000-0005-0000-0000-0000EC3C0000}"/>
    <cellStyle name="Millares 2 2 7 2 8" xfId="26822" xr:uid="{00000000-0005-0000-0000-0000ED3C0000}"/>
    <cellStyle name="Millares 2 2 7 2 9" xfId="27326" xr:uid="{00000000-0005-0000-0000-0000EE3C0000}"/>
    <cellStyle name="Millares 2 2 7 20" xfId="29341" xr:uid="{00000000-0005-0000-0000-0000EF3C0000}"/>
    <cellStyle name="Millares 2 2 7 21" xfId="29845" xr:uid="{00000000-0005-0000-0000-0000F03C0000}"/>
    <cellStyle name="Millares 2 2 7 22" xfId="30349" xr:uid="{00000000-0005-0000-0000-0000F13C0000}"/>
    <cellStyle name="Millares 2 2 7 23" xfId="30854" xr:uid="{00000000-0005-0000-0000-0000F23C0000}"/>
    <cellStyle name="Millares 2 2 7 3" xfId="13035" xr:uid="{00000000-0005-0000-0000-0000F33C0000}"/>
    <cellStyle name="Millares 2 2 7 3 2" xfId="13036" xr:uid="{00000000-0005-0000-0000-0000F43C0000}"/>
    <cellStyle name="Millares 2 2 7 4" xfId="13037" xr:uid="{00000000-0005-0000-0000-0000F53C0000}"/>
    <cellStyle name="Millares 2 2 7 4 2" xfId="13038" xr:uid="{00000000-0005-0000-0000-0000F63C0000}"/>
    <cellStyle name="Millares 2 2 7 5" xfId="13039" xr:uid="{00000000-0005-0000-0000-0000F73C0000}"/>
    <cellStyle name="Millares 2 2 7 5 2" xfId="13040" xr:uid="{00000000-0005-0000-0000-0000F83C0000}"/>
    <cellStyle name="Millares 2 2 7 6" xfId="13041" xr:uid="{00000000-0005-0000-0000-0000F93C0000}"/>
    <cellStyle name="Millares 2 2 7 6 2" xfId="13042" xr:uid="{00000000-0005-0000-0000-0000FA3C0000}"/>
    <cellStyle name="Millares 2 2 7 7" xfId="13043" xr:uid="{00000000-0005-0000-0000-0000FB3C0000}"/>
    <cellStyle name="Millares 2 2 7 8" xfId="13032" xr:uid="{00000000-0005-0000-0000-0000FC3C0000}"/>
    <cellStyle name="Millares 2 2 7 9" xfId="7195" xr:uid="{00000000-0005-0000-0000-0000FD3C0000}"/>
    <cellStyle name="Millares 2 2 8" xfId="2208" xr:uid="{00000000-0005-0000-0000-0000FE3C0000}"/>
    <cellStyle name="Millares 2 2 8 2" xfId="13044" xr:uid="{00000000-0005-0000-0000-0000FF3C0000}"/>
    <cellStyle name="Millares 2 2 9" xfId="2731" xr:uid="{00000000-0005-0000-0000-0000003D0000}"/>
    <cellStyle name="Millares 2 2 9 2" xfId="13045" xr:uid="{00000000-0005-0000-0000-0000013D0000}"/>
    <cellStyle name="Millares 2 20" xfId="25808" xr:uid="{00000000-0005-0000-0000-0000023D0000}"/>
    <cellStyle name="Millares 2 21" xfId="26312" xr:uid="{00000000-0005-0000-0000-0000033D0000}"/>
    <cellStyle name="Millares 2 22" xfId="26816" xr:uid="{00000000-0005-0000-0000-0000043D0000}"/>
    <cellStyle name="Millares 2 23" xfId="27320" xr:uid="{00000000-0005-0000-0000-0000053D0000}"/>
    <cellStyle name="Millares 2 24" xfId="27824" xr:uid="{00000000-0005-0000-0000-0000063D0000}"/>
    <cellStyle name="Millares 2 25" xfId="28328" xr:uid="{00000000-0005-0000-0000-0000073D0000}"/>
    <cellStyle name="Millares 2 26" xfId="28832" xr:uid="{00000000-0005-0000-0000-0000083D0000}"/>
    <cellStyle name="Millares 2 27" xfId="29336" xr:uid="{00000000-0005-0000-0000-0000093D0000}"/>
    <cellStyle name="Millares 2 28" xfId="29840" xr:uid="{00000000-0005-0000-0000-00000A3D0000}"/>
    <cellStyle name="Millares 2 29" xfId="30344" xr:uid="{00000000-0005-0000-0000-00000B3D0000}"/>
    <cellStyle name="Millares 2 3" xfId="1260" xr:uid="{00000000-0005-0000-0000-00000C3D0000}"/>
    <cellStyle name="Millares 2 3 10" xfId="7093" xr:uid="{00000000-0005-0000-0000-00000D3D0000}"/>
    <cellStyle name="Millares 2 3 11" xfId="31139" xr:uid="{686D6D27-4640-4EF0-AE1A-3B94BB314FA0}"/>
    <cellStyle name="Millares 2 3 2" xfId="2218" xr:uid="{00000000-0005-0000-0000-00000E3D0000}"/>
    <cellStyle name="Millares 2 3 2 2" xfId="2843" xr:uid="{00000000-0005-0000-0000-00000F3D0000}"/>
    <cellStyle name="Millares 2 3 2 2 2" xfId="4463" xr:uid="{00000000-0005-0000-0000-0000103D0000}"/>
    <cellStyle name="Millares 2 3 2 2 2 2" xfId="13049" xr:uid="{00000000-0005-0000-0000-0000113D0000}"/>
    <cellStyle name="Millares 2 3 2 2 2 3" xfId="23832" xr:uid="{00000000-0005-0000-0000-0000123D0000}"/>
    <cellStyle name="Millares 2 3 2 2 3" xfId="3364" xr:uid="{00000000-0005-0000-0000-0000133D0000}"/>
    <cellStyle name="Millares 2 3 2 2 3 2" xfId="13050" xr:uid="{00000000-0005-0000-0000-0000143D0000}"/>
    <cellStyle name="Millares 2 3 2 2 4" xfId="13048" xr:uid="{00000000-0005-0000-0000-0000153D0000}"/>
    <cellStyle name="Millares 2 3 2 2 5" xfId="23004" xr:uid="{00000000-0005-0000-0000-0000163D0000}"/>
    <cellStyle name="Millares 2 3 2 3" xfId="4282" xr:uid="{00000000-0005-0000-0000-0000173D0000}"/>
    <cellStyle name="Millares 2 3 2 3 2" xfId="13052" xr:uid="{00000000-0005-0000-0000-0000183D0000}"/>
    <cellStyle name="Millares 2 3 2 3 3" xfId="13051" xr:uid="{00000000-0005-0000-0000-0000193D0000}"/>
    <cellStyle name="Millares 2 3 2 3 4" xfId="23833" xr:uid="{00000000-0005-0000-0000-00001A3D0000}"/>
    <cellStyle name="Millares 2 3 2 4" xfId="3363" xr:uid="{00000000-0005-0000-0000-00001B3D0000}"/>
    <cellStyle name="Millares 2 3 2 4 2" xfId="13053" xr:uid="{00000000-0005-0000-0000-00001C3D0000}"/>
    <cellStyle name="Millares 2 3 2 5" xfId="6912" xr:uid="{00000000-0005-0000-0000-00001D3D0000}"/>
    <cellStyle name="Millares 2 3 2 5 2" xfId="13054" xr:uid="{00000000-0005-0000-0000-00001E3D0000}"/>
    <cellStyle name="Millares 2 3 2 6" xfId="13055" xr:uid="{00000000-0005-0000-0000-00001F3D0000}"/>
    <cellStyle name="Millares 2 3 2 7" xfId="13056" xr:uid="{00000000-0005-0000-0000-0000203D0000}"/>
    <cellStyle name="Millares 2 3 2 8" xfId="13047" xr:uid="{00000000-0005-0000-0000-0000213D0000}"/>
    <cellStyle name="Millares 2 3 2 9" xfId="31224" xr:uid="{9A851E3E-1505-4DF2-9F29-8C1D6F77E91B}"/>
    <cellStyle name="Millares 2 3 3" xfId="2219" xr:uid="{00000000-0005-0000-0000-0000223D0000}"/>
    <cellStyle name="Millares 2 3 3 2" xfId="3365" xr:uid="{00000000-0005-0000-0000-0000233D0000}"/>
    <cellStyle name="Millares 2 3 3 2 2" xfId="6913" xr:uid="{00000000-0005-0000-0000-0000243D0000}"/>
    <cellStyle name="Millares 2 3 3 2 2 2" xfId="13059" xr:uid="{00000000-0005-0000-0000-0000253D0000}"/>
    <cellStyle name="Millares 2 3 3 2 3" xfId="13058" xr:uid="{00000000-0005-0000-0000-0000263D0000}"/>
    <cellStyle name="Millares 2 3 3 2 4" xfId="23006" xr:uid="{00000000-0005-0000-0000-0000273D0000}"/>
    <cellStyle name="Millares 2 3 3 3" xfId="13060" xr:uid="{00000000-0005-0000-0000-0000283D0000}"/>
    <cellStyle name="Millares 2 3 3 4" xfId="13061" xr:uid="{00000000-0005-0000-0000-0000293D0000}"/>
    <cellStyle name="Millares 2 3 3 5" xfId="13057" xr:uid="{00000000-0005-0000-0000-00002A3D0000}"/>
    <cellStyle name="Millares 2 3 3 6" xfId="23005" xr:uid="{00000000-0005-0000-0000-00002B3D0000}"/>
    <cellStyle name="Millares 2 3 4" xfId="2220" xr:uid="{00000000-0005-0000-0000-00002C3D0000}"/>
    <cellStyle name="Millares 2 3 4 10" xfId="13062" xr:uid="{00000000-0005-0000-0000-00002D3D0000}"/>
    <cellStyle name="Millares 2 3 4 11" xfId="7196" xr:uid="{00000000-0005-0000-0000-00002E3D0000}"/>
    <cellStyle name="Millares 2 3 4 12" xfId="23007" xr:uid="{00000000-0005-0000-0000-00002F3D0000}"/>
    <cellStyle name="Millares 2 3 4 13" xfId="23834" xr:uid="{00000000-0005-0000-0000-0000303D0000}"/>
    <cellStyle name="Millares 2 3 4 14" xfId="24807" xr:uid="{00000000-0005-0000-0000-0000313D0000}"/>
    <cellStyle name="Millares 2 3 4 15" xfId="25311" xr:uid="{00000000-0005-0000-0000-0000323D0000}"/>
    <cellStyle name="Millares 2 3 4 16" xfId="25815" xr:uid="{00000000-0005-0000-0000-0000333D0000}"/>
    <cellStyle name="Millares 2 3 4 17" xfId="26319" xr:uid="{00000000-0005-0000-0000-0000343D0000}"/>
    <cellStyle name="Millares 2 3 4 18" xfId="26823" xr:uid="{00000000-0005-0000-0000-0000353D0000}"/>
    <cellStyle name="Millares 2 3 4 19" xfId="27327" xr:uid="{00000000-0005-0000-0000-0000363D0000}"/>
    <cellStyle name="Millares 2 3 4 2" xfId="13063" xr:uid="{00000000-0005-0000-0000-0000373D0000}"/>
    <cellStyle name="Millares 2 3 4 2 2" xfId="13064" xr:uid="{00000000-0005-0000-0000-0000383D0000}"/>
    <cellStyle name="Millares 2 3 4 2 3" xfId="23835" xr:uid="{00000000-0005-0000-0000-0000393D0000}"/>
    <cellStyle name="Millares 2 3 4 20" xfId="27831" xr:uid="{00000000-0005-0000-0000-00003A3D0000}"/>
    <cellStyle name="Millares 2 3 4 21" xfId="28335" xr:uid="{00000000-0005-0000-0000-00003B3D0000}"/>
    <cellStyle name="Millares 2 3 4 22" xfId="28839" xr:uid="{00000000-0005-0000-0000-00003C3D0000}"/>
    <cellStyle name="Millares 2 3 4 23" xfId="29343" xr:uid="{00000000-0005-0000-0000-00003D3D0000}"/>
    <cellStyle name="Millares 2 3 4 24" xfId="29847" xr:uid="{00000000-0005-0000-0000-00003E3D0000}"/>
    <cellStyle name="Millares 2 3 4 25" xfId="30351" xr:uid="{00000000-0005-0000-0000-00003F3D0000}"/>
    <cellStyle name="Millares 2 3 4 26" xfId="30856" xr:uid="{00000000-0005-0000-0000-0000403D0000}"/>
    <cellStyle name="Millares 2 3 4 3" xfId="13065" xr:uid="{00000000-0005-0000-0000-0000413D0000}"/>
    <cellStyle name="Millares 2 3 4 3 10" xfId="27832" xr:uid="{00000000-0005-0000-0000-0000423D0000}"/>
    <cellStyle name="Millares 2 3 4 3 11" xfId="28336" xr:uid="{00000000-0005-0000-0000-0000433D0000}"/>
    <cellStyle name="Millares 2 3 4 3 12" xfId="28840" xr:uid="{00000000-0005-0000-0000-0000443D0000}"/>
    <cellStyle name="Millares 2 3 4 3 13" xfId="29344" xr:uid="{00000000-0005-0000-0000-0000453D0000}"/>
    <cellStyle name="Millares 2 3 4 3 14" xfId="29848" xr:uid="{00000000-0005-0000-0000-0000463D0000}"/>
    <cellStyle name="Millares 2 3 4 3 15" xfId="30352" xr:uid="{00000000-0005-0000-0000-0000473D0000}"/>
    <cellStyle name="Millares 2 3 4 3 16" xfId="30857" xr:uid="{00000000-0005-0000-0000-0000483D0000}"/>
    <cellStyle name="Millares 2 3 4 3 2" xfId="13066" xr:uid="{00000000-0005-0000-0000-0000493D0000}"/>
    <cellStyle name="Millares 2 3 4 3 3" xfId="23836" xr:uid="{00000000-0005-0000-0000-00004A3D0000}"/>
    <cellStyle name="Millares 2 3 4 3 4" xfId="24808" xr:uid="{00000000-0005-0000-0000-00004B3D0000}"/>
    <cellStyle name="Millares 2 3 4 3 5" xfId="25312" xr:uid="{00000000-0005-0000-0000-00004C3D0000}"/>
    <cellStyle name="Millares 2 3 4 3 6" xfId="25816" xr:uid="{00000000-0005-0000-0000-00004D3D0000}"/>
    <cellStyle name="Millares 2 3 4 3 7" xfId="26320" xr:uid="{00000000-0005-0000-0000-00004E3D0000}"/>
    <cellStyle name="Millares 2 3 4 3 8" xfId="26824" xr:uid="{00000000-0005-0000-0000-00004F3D0000}"/>
    <cellStyle name="Millares 2 3 4 3 9" xfId="27328" xr:uid="{00000000-0005-0000-0000-0000503D0000}"/>
    <cellStyle name="Millares 2 3 4 4" xfId="13067" xr:uid="{00000000-0005-0000-0000-0000513D0000}"/>
    <cellStyle name="Millares 2 3 4 4 10" xfId="27833" xr:uid="{00000000-0005-0000-0000-0000523D0000}"/>
    <cellStyle name="Millares 2 3 4 4 11" xfId="28337" xr:uid="{00000000-0005-0000-0000-0000533D0000}"/>
    <cellStyle name="Millares 2 3 4 4 12" xfId="28841" xr:uid="{00000000-0005-0000-0000-0000543D0000}"/>
    <cellStyle name="Millares 2 3 4 4 13" xfId="29345" xr:uid="{00000000-0005-0000-0000-0000553D0000}"/>
    <cellStyle name="Millares 2 3 4 4 14" xfId="29849" xr:uid="{00000000-0005-0000-0000-0000563D0000}"/>
    <cellStyle name="Millares 2 3 4 4 15" xfId="30353" xr:uid="{00000000-0005-0000-0000-0000573D0000}"/>
    <cellStyle name="Millares 2 3 4 4 16" xfId="30858" xr:uid="{00000000-0005-0000-0000-0000583D0000}"/>
    <cellStyle name="Millares 2 3 4 4 2" xfId="13068" xr:uid="{00000000-0005-0000-0000-0000593D0000}"/>
    <cellStyle name="Millares 2 3 4 4 3" xfId="23837" xr:uid="{00000000-0005-0000-0000-00005A3D0000}"/>
    <cellStyle name="Millares 2 3 4 4 4" xfId="24809" xr:uid="{00000000-0005-0000-0000-00005B3D0000}"/>
    <cellStyle name="Millares 2 3 4 4 5" xfId="25313" xr:uid="{00000000-0005-0000-0000-00005C3D0000}"/>
    <cellStyle name="Millares 2 3 4 4 6" xfId="25817" xr:uid="{00000000-0005-0000-0000-00005D3D0000}"/>
    <cellStyle name="Millares 2 3 4 4 7" xfId="26321" xr:uid="{00000000-0005-0000-0000-00005E3D0000}"/>
    <cellStyle name="Millares 2 3 4 4 8" xfId="26825" xr:uid="{00000000-0005-0000-0000-00005F3D0000}"/>
    <cellStyle name="Millares 2 3 4 4 9" xfId="27329" xr:uid="{00000000-0005-0000-0000-0000603D0000}"/>
    <cellStyle name="Millares 2 3 4 5" xfId="13069" xr:uid="{00000000-0005-0000-0000-0000613D0000}"/>
    <cellStyle name="Millares 2 3 4 5 2" xfId="13070" xr:uid="{00000000-0005-0000-0000-0000623D0000}"/>
    <cellStyle name="Millares 2 3 4 6" xfId="13071" xr:uid="{00000000-0005-0000-0000-0000633D0000}"/>
    <cellStyle name="Millares 2 3 4 6 2" xfId="13072" xr:uid="{00000000-0005-0000-0000-0000643D0000}"/>
    <cellStyle name="Millares 2 3 4 7" xfId="13073" xr:uid="{00000000-0005-0000-0000-0000653D0000}"/>
    <cellStyle name="Millares 2 3 4 8" xfId="13074" xr:uid="{00000000-0005-0000-0000-0000663D0000}"/>
    <cellStyle name="Millares 2 3 4 9" xfId="13075" xr:uid="{00000000-0005-0000-0000-0000673D0000}"/>
    <cellStyle name="Millares 2 3 5" xfId="2217" xr:uid="{00000000-0005-0000-0000-0000683D0000}"/>
    <cellStyle name="Millares 2 3 5 10" xfId="27330" xr:uid="{00000000-0005-0000-0000-0000693D0000}"/>
    <cellStyle name="Millares 2 3 5 11" xfId="27834" xr:uid="{00000000-0005-0000-0000-00006A3D0000}"/>
    <cellStyle name="Millares 2 3 5 12" xfId="28338" xr:uid="{00000000-0005-0000-0000-00006B3D0000}"/>
    <cellStyle name="Millares 2 3 5 13" xfId="28842" xr:uid="{00000000-0005-0000-0000-00006C3D0000}"/>
    <cellStyle name="Millares 2 3 5 14" xfId="29346" xr:uid="{00000000-0005-0000-0000-00006D3D0000}"/>
    <cellStyle name="Millares 2 3 5 15" xfId="29850" xr:uid="{00000000-0005-0000-0000-00006E3D0000}"/>
    <cellStyle name="Millares 2 3 5 16" xfId="30354" xr:uid="{00000000-0005-0000-0000-00006F3D0000}"/>
    <cellStyle name="Millares 2 3 5 17" xfId="30859" xr:uid="{00000000-0005-0000-0000-0000703D0000}"/>
    <cellStyle name="Millares 2 3 5 2" xfId="13077" xr:uid="{00000000-0005-0000-0000-0000713D0000}"/>
    <cellStyle name="Millares 2 3 5 3" xfId="13076" xr:uid="{00000000-0005-0000-0000-0000723D0000}"/>
    <cellStyle name="Millares 2 3 5 4" xfId="23838" xr:uid="{00000000-0005-0000-0000-0000733D0000}"/>
    <cellStyle name="Millares 2 3 5 5" xfId="24810" xr:uid="{00000000-0005-0000-0000-0000743D0000}"/>
    <cellStyle name="Millares 2 3 5 6" xfId="25314" xr:uid="{00000000-0005-0000-0000-0000753D0000}"/>
    <cellStyle name="Millares 2 3 5 7" xfId="25818" xr:uid="{00000000-0005-0000-0000-0000763D0000}"/>
    <cellStyle name="Millares 2 3 5 8" xfId="26322" xr:uid="{00000000-0005-0000-0000-0000773D0000}"/>
    <cellStyle name="Millares 2 3 5 9" xfId="26826" xr:uid="{00000000-0005-0000-0000-0000783D0000}"/>
    <cellStyle name="Millares 2 3 6" xfId="6911" xr:uid="{00000000-0005-0000-0000-0000793D0000}"/>
    <cellStyle name="Millares 2 3 6 2" xfId="13079" xr:uid="{00000000-0005-0000-0000-00007A3D0000}"/>
    <cellStyle name="Millares 2 3 6 3" xfId="13078" xr:uid="{00000000-0005-0000-0000-00007B3D0000}"/>
    <cellStyle name="Millares 2 3 6 4" xfId="7319" xr:uid="{00000000-0005-0000-0000-00007C3D0000}"/>
    <cellStyle name="Millares 2 3 7" xfId="13080" xr:uid="{00000000-0005-0000-0000-00007D3D0000}"/>
    <cellStyle name="Millares 2 3 8" xfId="13081" xr:uid="{00000000-0005-0000-0000-00007E3D0000}"/>
    <cellStyle name="Millares 2 3 9" xfId="13046" xr:uid="{00000000-0005-0000-0000-00007F3D0000}"/>
    <cellStyle name="Millares 2 30" xfId="30849" xr:uid="{00000000-0005-0000-0000-0000803D0000}"/>
    <cellStyle name="Millares 2 31" xfId="31137" xr:uid="{8719A462-CACE-4116-8973-3B4EE5D677F8}"/>
    <cellStyle name="Millares 2 32" xfId="31996" xr:uid="{0838D354-6A8A-4262-BA7A-56BEF52E136B}"/>
    <cellStyle name="Millares 2 4" xfId="1508" xr:uid="{00000000-0005-0000-0000-0000813D0000}"/>
    <cellStyle name="Millares 2 4 10" xfId="31140" xr:uid="{6017CD5B-9E7E-4D58-B27C-8FC511304D3D}"/>
    <cellStyle name="Millares 2 4 2" xfId="2222" xr:uid="{00000000-0005-0000-0000-0000823D0000}"/>
    <cellStyle name="Millares 2 4 2 2" xfId="13084" xr:uid="{00000000-0005-0000-0000-0000833D0000}"/>
    <cellStyle name="Millares 2 4 2 2 2" xfId="23010" xr:uid="{00000000-0005-0000-0000-0000843D0000}"/>
    <cellStyle name="Millares 2 4 2 2 2 2" xfId="31195" xr:uid="{F6A739AA-7D24-4DAF-AD35-456FE1274F4E}"/>
    <cellStyle name="Millares 2 4 2 2 2 2 2" xfId="31269" xr:uid="{EFC21D7D-1DF9-49BB-80FE-D80C55041AD7}"/>
    <cellStyle name="Millares 2 4 2 2 2 2 2 2" xfId="31370" xr:uid="{7DCB4292-B0AD-43CE-A0BD-5E4698A4D093}"/>
    <cellStyle name="Millares 2 4 2 2 2 2 2 2 2" xfId="31572" xr:uid="{BCB05854-03C6-4245-8337-3220B3A1498D}"/>
    <cellStyle name="Millares 2 4 2 2 2 2 2 2 2 2" xfId="31976" xr:uid="{AF1BB655-F8E6-475A-BAF3-6EB24C8C076C}"/>
    <cellStyle name="Millares 2 4 2 2 2 2 2 2 3" xfId="31774" xr:uid="{7B264677-F014-4B62-A34F-0D7A818A1B5B}"/>
    <cellStyle name="Millares 2 4 2 2 2 2 2 3" xfId="31471" xr:uid="{A615CC04-8E63-4C54-B218-C2DE4458F92C}"/>
    <cellStyle name="Millares 2 4 2 2 2 2 2 3 2" xfId="31875" xr:uid="{D9239AA9-B3FA-44EA-ACBE-0203E613E650}"/>
    <cellStyle name="Millares 2 4 2 2 2 2 2 4" xfId="31673" xr:uid="{669849BC-F14D-4803-BCA2-2FB162127630}"/>
    <cellStyle name="Millares 2 4 2 2 2 2 3" xfId="31319" xr:uid="{53856E68-FA24-4BD8-8EDA-B48385548E5B}"/>
    <cellStyle name="Millares 2 4 2 2 2 2 3 2" xfId="31521" xr:uid="{FC717238-A9FD-44D6-BC38-616D287AD542}"/>
    <cellStyle name="Millares 2 4 2 2 2 2 3 2 2" xfId="31925" xr:uid="{96BFF506-9565-4BA7-91A4-9114BB714C00}"/>
    <cellStyle name="Millares 2 4 2 2 2 2 3 3" xfId="31723" xr:uid="{0A0FA11E-C687-472C-BE48-867ABF5E35FE}"/>
    <cellStyle name="Millares 2 4 2 2 2 2 4" xfId="31420" xr:uid="{1CE8EA14-D08A-4123-8D08-64B5243CB098}"/>
    <cellStyle name="Millares 2 4 2 2 2 2 4 2" xfId="31824" xr:uid="{EF26674E-C24A-4AE2-8D7E-FEFC3E3900B4}"/>
    <cellStyle name="Millares 2 4 2 2 2 2 5" xfId="31622" xr:uid="{B5598748-5778-4FE7-BDD6-E96B1312D1E6}"/>
    <cellStyle name="Millares 2 4 2 2 2 3" xfId="31244" xr:uid="{3A1B9243-C05D-445F-A5EA-4037E31F35C6}"/>
    <cellStyle name="Millares 2 4 2 2 2 3 2" xfId="31345" xr:uid="{475EAC1E-4DA0-43AE-AFB1-1EA9A117B083}"/>
    <cellStyle name="Millares 2 4 2 2 2 3 2 2" xfId="31547" xr:uid="{FD8856A8-A959-4448-AAF1-6954170056F2}"/>
    <cellStyle name="Millares 2 4 2 2 2 3 2 2 2" xfId="31951" xr:uid="{9A17C0FA-B3C5-4E94-A4A1-2B6FDD6CE4B6}"/>
    <cellStyle name="Millares 2 4 2 2 2 3 2 3" xfId="31749" xr:uid="{F2658069-3318-4CE1-A438-3093F27A5898}"/>
    <cellStyle name="Millares 2 4 2 2 2 3 3" xfId="31446" xr:uid="{83ECF64E-96C1-4321-A9A6-49291DEC9BC9}"/>
    <cellStyle name="Millares 2 4 2 2 2 3 3 2" xfId="31850" xr:uid="{72FB8A13-EB51-46C6-ABE9-63037EA0258F}"/>
    <cellStyle name="Millares 2 4 2 2 2 3 4" xfId="31648" xr:uid="{CD2D2E5C-CC95-489C-9BF1-C80A9E6731DC}"/>
    <cellStyle name="Millares 2 4 2 2 2 4" xfId="31294" xr:uid="{5DD86445-B2E6-46CC-AB9B-AB60692981BC}"/>
    <cellStyle name="Millares 2 4 2 2 2 4 2" xfId="31496" xr:uid="{031289EF-4CBC-4330-86C9-F1A470920C17}"/>
    <cellStyle name="Millares 2 4 2 2 2 4 2 2" xfId="31900" xr:uid="{721407FD-3F11-4A3F-8DC6-AA5B8203003C}"/>
    <cellStyle name="Millares 2 4 2 2 2 4 3" xfId="31698" xr:uid="{AADCD85D-FDA4-40D2-8A97-5D067AD129A5}"/>
    <cellStyle name="Millares 2 4 2 2 2 5" xfId="31395" xr:uid="{37028EF2-FA01-4AA2-8B40-A010A7F99109}"/>
    <cellStyle name="Millares 2 4 2 2 2 5 2" xfId="31799" xr:uid="{4C994FA2-3C43-49CB-8696-262B73A45F88}"/>
    <cellStyle name="Millares 2 4 2 2 2 6" xfId="31597" xr:uid="{D530E959-4424-47F5-ADD1-E78EEE37B750}"/>
    <cellStyle name="Millares 2 4 2 2 2 7" xfId="31166" xr:uid="{DCD5F393-C67E-48D4-8BF1-F6B23CE5A38F}"/>
    <cellStyle name="Millares 2 4 2 2 3" xfId="31182" xr:uid="{753AB11D-0BE3-4F10-99F8-C20A0488BA5F}"/>
    <cellStyle name="Millares 2 4 2 2 3 2" xfId="31256" xr:uid="{44D94CCA-7D36-45AB-A22E-0B90C321D2F2}"/>
    <cellStyle name="Millares 2 4 2 2 3 2 2" xfId="31357" xr:uid="{F905BC28-8588-4AB7-B5C1-7E07F26D7811}"/>
    <cellStyle name="Millares 2 4 2 2 3 2 2 2" xfId="31559" xr:uid="{BF716A32-42A1-4EB0-83B9-168C4BAA43A4}"/>
    <cellStyle name="Millares 2 4 2 2 3 2 2 2 2" xfId="31963" xr:uid="{D14D35EC-7731-426A-9B8F-382AA0C6790B}"/>
    <cellStyle name="Millares 2 4 2 2 3 2 2 3" xfId="31761" xr:uid="{FC9C515B-1542-4266-B4B9-2388B0326B14}"/>
    <cellStyle name="Millares 2 4 2 2 3 2 3" xfId="31458" xr:uid="{5F6E0A38-6251-4A3D-ABCD-FDF00E75485E}"/>
    <cellStyle name="Millares 2 4 2 2 3 2 3 2" xfId="31862" xr:uid="{A9B5A383-6C72-4F04-BBB8-B20F60E2ABAA}"/>
    <cellStyle name="Millares 2 4 2 2 3 2 4" xfId="31660" xr:uid="{91A4D072-6226-48CC-9259-E58E3ED66FB2}"/>
    <cellStyle name="Millares 2 4 2 2 3 3" xfId="31306" xr:uid="{FC03B0F5-EE55-4F06-9013-BD30B3AFE265}"/>
    <cellStyle name="Millares 2 4 2 2 3 3 2" xfId="31508" xr:uid="{7E8B75C3-310C-40BA-99E5-996B3C35DD6C}"/>
    <cellStyle name="Millares 2 4 2 2 3 3 2 2" xfId="31912" xr:uid="{D2489FE8-2078-49B1-9E61-6AF10192254E}"/>
    <cellStyle name="Millares 2 4 2 2 3 3 3" xfId="31710" xr:uid="{529D7231-4CE5-4A18-A4A5-5AA7A6BE13A1}"/>
    <cellStyle name="Millares 2 4 2 2 3 4" xfId="31407" xr:uid="{32628750-1877-46A7-9C14-2354190C706A}"/>
    <cellStyle name="Millares 2 4 2 2 3 4 2" xfId="31811" xr:uid="{78C8BC5F-B868-4D13-AE8A-23B0A1D5996A}"/>
    <cellStyle name="Millares 2 4 2 2 3 5" xfId="31609" xr:uid="{B1530094-099D-449A-BB5B-CF6633B094B8}"/>
    <cellStyle name="Millares 2 4 2 2 4" xfId="31227" xr:uid="{5810D323-C201-4066-ACE9-427D98027A41}"/>
    <cellStyle name="Millares 2 4 2 2 4 2" xfId="31331" xr:uid="{CA334B88-7619-4B94-A6AB-D26ED2364B52}"/>
    <cellStyle name="Millares 2 4 2 2 4 2 2" xfId="31533" xr:uid="{B3C4322A-7E2A-4BEF-88BF-F82F2015164A}"/>
    <cellStyle name="Millares 2 4 2 2 4 2 2 2" xfId="31937" xr:uid="{B72CCB9F-5C34-44A0-BC56-6F2F616BAB61}"/>
    <cellStyle name="Millares 2 4 2 2 4 2 3" xfId="31735" xr:uid="{64BDB445-744F-4728-9AD9-CAB8523C89BC}"/>
    <cellStyle name="Millares 2 4 2 2 4 3" xfId="31432" xr:uid="{D4D09430-7AC8-4FE1-91DD-71CA81A97364}"/>
    <cellStyle name="Millares 2 4 2 2 4 3 2" xfId="31836" xr:uid="{853E10BF-D1C8-4DCF-961C-6CFCD2692E4C}"/>
    <cellStyle name="Millares 2 4 2 2 4 4" xfId="31634" xr:uid="{6E26C223-B20F-4FFA-BDC6-91BF5588E8BF}"/>
    <cellStyle name="Millares 2 4 2 2 5" xfId="31281" xr:uid="{66DA79B9-86D3-4BD8-8FFF-D05AABAB8780}"/>
    <cellStyle name="Millares 2 4 2 2 5 2" xfId="31483" xr:uid="{F0272231-4916-4827-A0E4-43A6D12D5B8B}"/>
    <cellStyle name="Millares 2 4 2 2 5 2 2" xfId="31887" xr:uid="{2B3B354D-A96C-42DF-93A4-08D88ABA16D7}"/>
    <cellStyle name="Millares 2 4 2 2 5 3" xfId="31685" xr:uid="{9D813426-05B2-40BA-A518-8518BD276A87}"/>
    <cellStyle name="Millares 2 4 2 2 6" xfId="31382" xr:uid="{499EE313-D56B-4A25-8DBE-9E06014155E4}"/>
    <cellStyle name="Millares 2 4 2 2 6 2" xfId="31786" xr:uid="{EA3085A6-7F1D-4352-8BFB-7C8844A72A12}"/>
    <cellStyle name="Millares 2 4 2 2 7" xfId="31584" xr:uid="{8FD41717-3A54-4DAE-B85E-32798C8E55E2}"/>
    <cellStyle name="Millares 2 4 2 2 8" xfId="31142" xr:uid="{B4F2BBB9-7592-4B8F-A324-CA0F65F1FF6A}"/>
    <cellStyle name="Millares 2 4 2 3" xfId="13083" xr:uid="{00000000-0005-0000-0000-0000853D0000}"/>
    <cellStyle name="Millares 2 4 2 3 2" xfId="31194" xr:uid="{356C0C93-BD31-4C3F-9C7D-675E0AC38889}"/>
    <cellStyle name="Millares 2 4 2 3 2 2" xfId="31268" xr:uid="{61D5EEEB-7CCA-45CE-BD5E-4480860464E9}"/>
    <cellStyle name="Millares 2 4 2 3 2 2 2" xfId="31369" xr:uid="{DCAE709E-469A-4553-8385-81481F06D515}"/>
    <cellStyle name="Millares 2 4 2 3 2 2 2 2" xfId="31571" xr:uid="{3F3AACF5-177B-4584-91E7-C05A63C1A3EF}"/>
    <cellStyle name="Millares 2 4 2 3 2 2 2 2 2" xfId="31975" xr:uid="{4E820F33-ACAD-4163-999A-1EEAB412325C}"/>
    <cellStyle name="Millares 2 4 2 3 2 2 2 3" xfId="31773" xr:uid="{697AB904-3DA9-402A-9972-F5F20B853C65}"/>
    <cellStyle name="Millares 2 4 2 3 2 2 3" xfId="31470" xr:uid="{B2EE77E0-80FD-465D-8FF5-B85805A0A4A6}"/>
    <cellStyle name="Millares 2 4 2 3 2 2 3 2" xfId="31874" xr:uid="{60675ADB-5A8B-4FFD-B337-4E156DBDA710}"/>
    <cellStyle name="Millares 2 4 2 3 2 2 4" xfId="31672" xr:uid="{031D29C7-B41C-4ECC-8981-EE9D1A9CE48E}"/>
    <cellStyle name="Millares 2 4 2 3 2 3" xfId="31318" xr:uid="{B37980CA-4F47-4EC5-831D-16A78FDAF77E}"/>
    <cellStyle name="Millares 2 4 2 3 2 3 2" xfId="31520" xr:uid="{DA6D2132-4719-409C-97FA-FDC186C3E513}"/>
    <cellStyle name="Millares 2 4 2 3 2 3 2 2" xfId="31924" xr:uid="{E4CC6267-DD9B-4C04-A686-8CC4FD7FFE93}"/>
    <cellStyle name="Millares 2 4 2 3 2 3 3" xfId="31722" xr:uid="{ED61B120-A003-4E9C-8254-8FE3F7791C70}"/>
    <cellStyle name="Millares 2 4 2 3 2 4" xfId="31419" xr:uid="{1A5A8818-D2DF-46C7-AE5F-0C27A45C1B1A}"/>
    <cellStyle name="Millares 2 4 2 3 2 4 2" xfId="31823" xr:uid="{C090D48A-BB59-4B78-962B-E85D50D0DFCA}"/>
    <cellStyle name="Millares 2 4 2 3 2 5" xfId="31621" xr:uid="{89ABBFFC-B229-4E47-A7AD-E24BC58FEB32}"/>
    <cellStyle name="Millares 2 4 2 3 3" xfId="31243" xr:uid="{5BC61982-2277-439A-8C64-943831022F99}"/>
    <cellStyle name="Millares 2 4 2 3 3 2" xfId="31344" xr:uid="{F08D4A4A-453B-4E45-BC56-BED08C2BF5F6}"/>
    <cellStyle name="Millares 2 4 2 3 3 2 2" xfId="31546" xr:uid="{04601D29-7A43-4E51-AF2F-22F6E77ABD9C}"/>
    <cellStyle name="Millares 2 4 2 3 3 2 2 2" xfId="31950" xr:uid="{E04BB1FB-9126-4F97-8FD7-87DCF60C5406}"/>
    <cellStyle name="Millares 2 4 2 3 3 2 3" xfId="31748" xr:uid="{7C5AAE4C-E74F-47D7-91F6-DD3E4DA4E4AC}"/>
    <cellStyle name="Millares 2 4 2 3 3 3" xfId="31445" xr:uid="{9ED852E5-9948-480F-AF37-FF4D0EB74A02}"/>
    <cellStyle name="Millares 2 4 2 3 3 3 2" xfId="31849" xr:uid="{5D3B28EC-3253-403D-ACCD-0A8B995163A2}"/>
    <cellStyle name="Millares 2 4 2 3 3 4" xfId="31647" xr:uid="{96281F02-9EAE-401B-A81D-0AA116BA5698}"/>
    <cellStyle name="Millares 2 4 2 3 4" xfId="31293" xr:uid="{C1139F5A-8083-46ED-B373-3ED326530E95}"/>
    <cellStyle name="Millares 2 4 2 3 4 2" xfId="31495" xr:uid="{BE8ECE29-4ED8-44EF-B938-6C92B8D8375F}"/>
    <cellStyle name="Millares 2 4 2 3 4 2 2" xfId="31899" xr:uid="{22E2B85B-2176-4A4F-A31E-9C3DCB271604}"/>
    <cellStyle name="Millares 2 4 2 3 4 3" xfId="31697" xr:uid="{9E96355D-E9AC-417E-9AF6-556B9160C5F4}"/>
    <cellStyle name="Millares 2 4 2 3 5" xfId="31394" xr:uid="{CD54C0A0-D71F-4DF8-B766-C0AEE46A5926}"/>
    <cellStyle name="Millares 2 4 2 3 5 2" xfId="31798" xr:uid="{94AC9879-0F52-4891-BE87-CF6E8A41888A}"/>
    <cellStyle name="Millares 2 4 2 3 6" xfId="31596" xr:uid="{2E456416-866E-4025-BED5-4D3B1F402D15}"/>
    <cellStyle name="Millares 2 4 2 3 7" xfId="31165" xr:uid="{782C284D-9892-40A5-8D8A-00588782AAC0}"/>
    <cellStyle name="Millares 2 4 2 4" xfId="23009" xr:uid="{00000000-0005-0000-0000-0000863D0000}"/>
    <cellStyle name="Millares 2 4 2 4 2" xfId="31255" xr:uid="{1CA8C3B5-4F34-40CC-A739-24323D36126A}"/>
    <cellStyle name="Millares 2 4 2 4 2 2" xfId="31356" xr:uid="{F67FC860-5158-411A-B967-01987241E4E1}"/>
    <cellStyle name="Millares 2 4 2 4 2 2 2" xfId="31558" xr:uid="{B2978835-D0E0-4967-8BC4-B9DEA406C79E}"/>
    <cellStyle name="Millares 2 4 2 4 2 2 2 2" xfId="31962" xr:uid="{4499CDD0-000F-45D3-B8F2-B22F40B7F623}"/>
    <cellStyle name="Millares 2 4 2 4 2 2 3" xfId="31760" xr:uid="{CE893EA9-AB30-432D-97BC-F3BD150AE2A2}"/>
    <cellStyle name="Millares 2 4 2 4 2 3" xfId="31457" xr:uid="{A825E6F8-BC88-4396-9126-BFFA2C5FFDE1}"/>
    <cellStyle name="Millares 2 4 2 4 2 3 2" xfId="31861" xr:uid="{330A0D5F-D5C5-408B-B85A-509801400461}"/>
    <cellStyle name="Millares 2 4 2 4 2 4" xfId="31659" xr:uid="{92A852E8-7381-488C-A22D-A016A45BEC41}"/>
    <cellStyle name="Millares 2 4 2 4 3" xfId="31305" xr:uid="{9404F17B-5CD2-42DD-9948-0D531DC82E6B}"/>
    <cellStyle name="Millares 2 4 2 4 3 2" xfId="31507" xr:uid="{72793978-09E8-4EF3-B487-B71E3DBB62BA}"/>
    <cellStyle name="Millares 2 4 2 4 3 2 2" xfId="31911" xr:uid="{8E64F0CE-8F81-4A63-8D94-9C691CF985F4}"/>
    <cellStyle name="Millares 2 4 2 4 3 3" xfId="31709" xr:uid="{4D107017-D137-4420-9D50-BB6169A8CE09}"/>
    <cellStyle name="Millares 2 4 2 4 4" xfId="31406" xr:uid="{AE0911F5-B494-40AC-A2DC-1B2A95DB499A}"/>
    <cellStyle name="Millares 2 4 2 4 4 2" xfId="31810" xr:uid="{8BB3BA7B-6466-4866-851A-4E3C446D3B17}"/>
    <cellStyle name="Millares 2 4 2 4 5" xfId="31608" xr:uid="{B9F63CF2-F8D1-4134-AD96-E4E94A5E486F}"/>
    <cellStyle name="Millares 2 4 2 4 6" xfId="31181" xr:uid="{5232D7F5-00D3-41E7-AA74-F4BC019ED5EB}"/>
    <cellStyle name="Millares 2 4 2 5" xfId="31226" xr:uid="{09531B97-2110-4B08-A7CF-F1E25E755894}"/>
    <cellStyle name="Millares 2 4 2 5 2" xfId="31330" xr:uid="{3D1049A0-A3AD-40BC-B1F7-DA2DD5B2221E}"/>
    <cellStyle name="Millares 2 4 2 5 2 2" xfId="31532" xr:uid="{5178B8F4-C50F-4188-BC54-A88C99116056}"/>
    <cellStyle name="Millares 2 4 2 5 2 2 2" xfId="31936" xr:uid="{C1C914DC-DB05-45AA-84C9-8745FD4BF5EC}"/>
    <cellStyle name="Millares 2 4 2 5 2 3" xfId="31734" xr:uid="{7F97BCD5-0B37-4107-B991-C350D8341DC7}"/>
    <cellStyle name="Millares 2 4 2 5 3" xfId="31431" xr:uid="{C833D585-1D8C-4BE1-8779-6FD027EE8EA7}"/>
    <cellStyle name="Millares 2 4 2 5 3 2" xfId="31835" xr:uid="{0A5D5F4E-FF29-47CB-8975-76ED345DCDD3}"/>
    <cellStyle name="Millares 2 4 2 5 4" xfId="31633" xr:uid="{FCFE47F4-3B26-4E69-B947-6036F2B89A87}"/>
    <cellStyle name="Millares 2 4 2 6" xfId="31280" xr:uid="{F35544B6-2573-4356-839F-BB5620AB64B9}"/>
    <cellStyle name="Millares 2 4 2 6 2" xfId="31482" xr:uid="{EB6F7D64-C172-4344-A7D1-4ED22B098D76}"/>
    <cellStyle name="Millares 2 4 2 6 2 2" xfId="31886" xr:uid="{FA88AC23-64F1-4BB8-940E-A5C37AF14AF1}"/>
    <cellStyle name="Millares 2 4 2 6 3" xfId="31684" xr:uid="{AD860955-385C-484C-BD07-B1F4D4AF3A19}"/>
    <cellStyle name="Millares 2 4 2 7" xfId="31381" xr:uid="{A3397CB3-C819-4914-80F7-81A5971120F1}"/>
    <cellStyle name="Millares 2 4 2 7 2" xfId="31785" xr:uid="{B2D67966-A8B6-4D8C-8492-17563A1FC128}"/>
    <cellStyle name="Millares 2 4 2 8" xfId="31583" xr:uid="{6F66FBF1-4573-4D22-8177-EDE679C75BB5}"/>
    <cellStyle name="Millares 2 4 2 9" xfId="31141" xr:uid="{CFA550EB-AC44-490C-BCE6-D63A2BF035A1}"/>
    <cellStyle name="Millares 2 4 3" xfId="2223" xr:uid="{00000000-0005-0000-0000-0000873D0000}"/>
    <cellStyle name="Millares 2 4 3 2" xfId="4283" xr:uid="{00000000-0005-0000-0000-0000883D0000}"/>
    <cellStyle name="Millares 2 4 3 2 10" xfId="27331" xr:uid="{00000000-0005-0000-0000-0000893D0000}"/>
    <cellStyle name="Millares 2 4 3 2 11" xfId="27835" xr:uid="{00000000-0005-0000-0000-00008A3D0000}"/>
    <cellStyle name="Millares 2 4 3 2 12" xfId="28339" xr:uid="{00000000-0005-0000-0000-00008B3D0000}"/>
    <cellStyle name="Millares 2 4 3 2 13" xfId="28843" xr:uid="{00000000-0005-0000-0000-00008C3D0000}"/>
    <cellStyle name="Millares 2 4 3 2 14" xfId="29347" xr:uid="{00000000-0005-0000-0000-00008D3D0000}"/>
    <cellStyle name="Millares 2 4 3 2 15" xfId="29851" xr:uid="{00000000-0005-0000-0000-00008E3D0000}"/>
    <cellStyle name="Millares 2 4 3 2 16" xfId="30355" xr:uid="{00000000-0005-0000-0000-00008F3D0000}"/>
    <cellStyle name="Millares 2 4 3 2 17" xfId="30860" xr:uid="{00000000-0005-0000-0000-0000903D0000}"/>
    <cellStyle name="Millares 2 4 3 2 18" xfId="31167" xr:uid="{2C0C3966-D4A0-4455-93A0-EFCB2D53A6F2}"/>
    <cellStyle name="Millares 2 4 3 2 2" xfId="13086" xr:uid="{00000000-0005-0000-0000-0000913D0000}"/>
    <cellStyle name="Millares 2 4 3 2 2 10" xfId="28340" xr:uid="{00000000-0005-0000-0000-0000923D0000}"/>
    <cellStyle name="Millares 2 4 3 2 2 11" xfId="28844" xr:uid="{00000000-0005-0000-0000-0000933D0000}"/>
    <cellStyle name="Millares 2 4 3 2 2 12" xfId="29348" xr:uid="{00000000-0005-0000-0000-0000943D0000}"/>
    <cellStyle name="Millares 2 4 3 2 2 13" xfId="29852" xr:uid="{00000000-0005-0000-0000-0000953D0000}"/>
    <cellStyle name="Millares 2 4 3 2 2 14" xfId="30356" xr:uid="{00000000-0005-0000-0000-0000963D0000}"/>
    <cellStyle name="Millares 2 4 3 2 2 15" xfId="30861" xr:uid="{00000000-0005-0000-0000-0000973D0000}"/>
    <cellStyle name="Millares 2 4 3 2 2 16" xfId="31196" xr:uid="{D737748D-0520-44DD-8371-2BD07FEAE36D}"/>
    <cellStyle name="Millares 2 4 3 2 2 2" xfId="23840" xr:uid="{00000000-0005-0000-0000-0000983D0000}"/>
    <cellStyle name="Millares 2 4 3 2 2 2 2" xfId="31371" xr:uid="{8B76D330-7DB0-4036-B932-E5867C85E0A1}"/>
    <cellStyle name="Millares 2 4 3 2 2 2 2 2" xfId="31573" xr:uid="{58C660D9-F1D2-428B-923F-068E21A4F956}"/>
    <cellStyle name="Millares 2 4 3 2 2 2 2 2 2" xfId="31977" xr:uid="{BCD36C3E-FAEA-42A9-BB91-0785A4564837}"/>
    <cellStyle name="Millares 2 4 3 2 2 2 2 3" xfId="31775" xr:uid="{836B05EB-D2B5-4BAA-8C9D-87EF96695C23}"/>
    <cellStyle name="Millares 2 4 3 2 2 2 3" xfId="31472" xr:uid="{6A2B2760-20D9-4259-8545-284EA15449D3}"/>
    <cellStyle name="Millares 2 4 3 2 2 2 3 2" xfId="31876" xr:uid="{E38DAF4F-0CDA-4D21-AB91-85BBF94D6CEE}"/>
    <cellStyle name="Millares 2 4 3 2 2 2 4" xfId="31674" xr:uid="{B39CC4E8-D345-4F7C-A3F6-DB39D2ED9358}"/>
    <cellStyle name="Millares 2 4 3 2 2 2 5" xfId="31270" xr:uid="{4D2B4D25-AE57-4A04-91A5-2E607C671C6E}"/>
    <cellStyle name="Millares 2 4 3 2 2 3" xfId="24812" xr:uid="{00000000-0005-0000-0000-0000993D0000}"/>
    <cellStyle name="Millares 2 4 3 2 2 3 2" xfId="31522" xr:uid="{1998DBFD-999A-49B7-B3F1-E69CE564AA03}"/>
    <cellStyle name="Millares 2 4 3 2 2 3 2 2" xfId="31926" xr:uid="{53C82714-1C4F-4479-85D3-E16166F93901}"/>
    <cellStyle name="Millares 2 4 3 2 2 3 3" xfId="31724" xr:uid="{B5B500F3-DB06-47BA-A29B-C165EEA50EE1}"/>
    <cellStyle name="Millares 2 4 3 2 2 3 4" xfId="31320" xr:uid="{F43B2518-FCC7-434E-ACBA-AD36C66EC3AB}"/>
    <cellStyle name="Millares 2 4 3 2 2 4" xfId="25316" xr:uid="{00000000-0005-0000-0000-00009A3D0000}"/>
    <cellStyle name="Millares 2 4 3 2 2 4 2" xfId="31825" xr:uid="{0993B4FE-CC1B-4F8D-BE3A-EC3B1E4FD553}"/>
    <cellStyle name="Millares 2 4 3 2 2 4 3" xfId="31421" xr:uid="{F96088AB-A178-40D7-9E3C-35D2773CB62A}"/>
    <cellStyle name="Millares 2 4 3 2 2 5" xfId="25820" xr:uid="{00000000-0005-0000-0000-00009B3D0000}"/>
    <cellStyle name="Millares 2 4 3 2 2 5 2" xfId="31623" xr:uid="{2F9D9707-790F-4F01-A512-EE18D6E1862A}"/>
    <cellStyle name="Millares 2 4 3 2 2 6" xfId="26324" xr:uid="{00000000-0005-0000-0000-00009C3D0000}"/>
    <cellStyle name="Millares 2 4 3 2 2 7" xfId="26828" xr:uid="{00000000-0005-0000-0000-00009D3D0000}"/>
    <cellStyle name="Millares 2 4 3 2 2 8" xfId="27332" xr:uid="{00000000-0005-0000-0000-00009E3D0000}"/>
    <cellStyle name="Millares 2 4 3 2 2 9" xfId="27836" xr:uid="{00000000-0005-0000-0000-00009F3D0000}"/>
    <cellStyle name="Millares 2 4 3 2 3" xfId="23841" xr:uid="{00000000-0005-0000-0000-0000A03D0000}"/>
    <cellStyle name="Millares 2 4 3 2 3 10" xfId="28845" xr:uid="{00000000-0005-0000-0000-0000A13D0000}"/>
    <cellStyle name="Millares 2 4 3 2 3 11" xfId="29349" xr:uid="{00000000-0005-0000-0000-0000A23D0000}"/>
    <cellStyle name="Millares 2 4 3 2 3 12" xfId="29853" xr:uid="{00000000-0005-0000-0000-0000A33D0000}"/>
    <cellStyle name="Millares 2 4 3 2 3 13" xfId="30357" xr:uid="{00000000-0005-0000-0000-0000A43D0000}"/>
    <cellStyle name="Millares 2 4 3 2 3 14" xfId="30862" xr:uid="{00000000-0005-0000-0000-0000A53D0000}"/>
    <cellStyle name="Millares 2 4 3 2 3 15" xfId="31245" xr:uid="{D7271A9A-D4FC-494D-BC4F-485DC516D4D7}"/>
    <cellStyle name="Millares 2 4 3 2 3 2" xfId="24813" xr:uid="{00000000-0005-0000-0000-0000A63D0000}"/>
    <cellStyle name="Millares 2 4 3 2 3 2 2" xfId="31548" xr:uid="{DB08DA82-E1E8-4726-B036-754606764214}"/>
    <cellStyle name="Millares 2 4 3 2 3 2 2 2" xfId="31952" xr:uid="{8078181A-46BD-4994-8826-9CDCF66795A9}"/>
    <cellStyle name="Millares 2 4 3 2 3 2 3" xfId="31750" xr:uid="{38D3DF9C-E8FF-46D7-A322-4CF277348D54}"/>
    <cellStyle name="Millares 2 4 3 2 3 2 4" xfId="31346" xr:uid="{AEAA3375-F8F6-422B-BC5B-1871A18A85A6}"/>
    <cellStyle name="Millares 2 4 3 2 3 3" xfId="25317" xr:uid="{00000000-0005-0000-0000-0000A73D0000}"/>
    <cellStyle name="Millares 2 4 3 2 3 3 2" xfId="31851" xr:uid="{81F3F257-4956-45D6-ACAE-30885A3C5942}"/>
    <cellStyle name="Millares 2 4 3 2 3 3 3" xfId="31447" xr:uid="{95B372F0-EFEA-4794-BC82-AA5EECA38580}"/>
    <cellStyle name="Millares 2 4 3 2 3 4" xfId="25821" xr:uid="{00000000-0005-0000-0000-0000A83D0000}"/>
    <cellStyle name="Millares 2 4 3 2 3 4 2" xfId="31649" xr:uid="{D76EC592-DF4C-4354-B2B9-E95679E9951C}"/>
    <cellStyle name="Millares 2 4 3 2 3 5" xfId="26325" xr:uid="{00000000-0005-0000-0000-0000A93D0000}"/>
    <cellStyle name="Millares 2 4 3 2 3 6" xfId="26829" xr:uid="{00000000-0005-0000-0000-0000AA3D0000}"/>
    <cellStyle name="Millares 2 4 3 2 3 7" xfId="27333" xr:uid="{00000000-0005-0000-0000-0000AB3D0000}"/>
    <cellStyle name="Millares 2 4 3 2 3 8" xfId="27837" xr:uid="{00000000-0005-0000-0000-0000AC3D0000}"/>
    <cellStyle name="Millares 2 4 3 2 3 9" xfId="28341" xr:uid="{00000000-0005-0000-0000-0000AD3D0000}"/>
    <cellStyle name="Millares 2 4 3 2 4" xfId="23839" xr:uid="{00000000-0005-0000-0000-0000AE3D0000}"/>
    <cellStyle name="Millares 2 4 3 2 4 2" xfId="31497" xr:uid="{C1B3F8DA-6C85-4D59-9074-BD6E09C53587}"/>
    <cellStyle name="Millares 2 4 3 2 4 2 2" xfId="31901" xr:uid="{4CFCF5C8-8B9B-4F9D-9B49-2F907771E999}"/>
    <cellStyle name="Millares 2 4 3 2 4 3" xfId="31699" xr:uid="{FA718513-8456-4447-A7BC-EF6BF8886059}"/>
    <cellStyle name="Millares 2 4 3 2 4 4" xfId="31295" xr:uid="{B5D30C9D-8E2A-47A4-8D56-0A3EA2B59D34}"/>
    <cellStyle name="Millares 2 4 3 2 5" xfId="24811" xr:uid="{00000000-0005-0000-0000-0000AF3D0000}"/>
    <cellStyle name="Millares 2 4 3 2 5 2" xfId="31800" xr:uid="{CD103FE9-9A37-4227-BCA2-4D66CBA81FFD}"/>
    <cellStyle name="Millares 2 4 3 2 5 3" xfId="31396" xr:uid="{DA230646-8963-43F1-ABCB-6F50291D44FD}"/>
    <cellStyle name="Millares 2 4 3 2 6" xfId="25315" xr:uid="{00000000-0005-0000-0000-0000B03D0000}"/>
    <cellStyle name="Millares 2 4 3 2 6 2" xfId="31598" xr:uid="{603C2259-F36C-4117-8DD4-F519670F7C8F}"/>
    <cellStyle name="Millares 2 4 3 2 7" xfId="25819" xr:uid="{00000000-0005-0000-0000-0000B13D0000}"/>
    <cellStyle name="Millares 2 4 3 2 8" xfId="26323" xr:uid="{00000000-0005-0000-0000-0000B23D0000}"/>
    <cellStyle name="Millares 2 4 3 2 9" xfId="26827" xr:uid="{00000000-0005-0000-0000-0000B33D0000}"/>
    <cellStyle name="Millares 2 4 3 3" xfId="3367" xr:uid="{00000000-0005-0000-0000-0000B43D0000}"/>
    <cellStyle name="Millares 2 4 3 3 10" xfId="27838" xr:uid="{00000000-0005-0000-0000-0000B53D0000}"/>
    <cellStyle name="Millares 2 4 3 3 11" xfId="28342" xr:uid="{00000000-0005-0000-0000-0000B63D0000}"/>
    <cellStyle name="Millares 2 4 3 3 12" xfId="28846" xr:uid="{00000000-0005-0000-0000-0000B73D0000}"/>
    <cellStyle name="Millares 2 4 3 3 13" xfId="29350" xr:uid="{00000000-0005-0000-0000-0000B83D0000}"/>
    <cellStyle name="Millares 2 4 3 3 14" xfId="29854" xr:uid="{00000000-0005-0000-0000-0000B93D0000}"/>
    <cellStyle name="Millares 2 4 3 3 15" xfId="30358" xr:uid="{00000000-0005-0000-0000-0000BA3D0000}"/>
    <cellStyle name="Millares 2 4 3 3 16" xfId="30863" xr:uid="{00000000-0005-0000-0000-0000BB3D0000}"/>
    <cellStyle name="Millares 2 4 3 3 17" xfId="31183" xr:uid="{8C5F465C-45AF-47A5-AB66-477A9573F1E9}"/>
    <cellStyle name="Millares 2 4 3 3 2" xfId="13087" xr:uid="{00000000-0005-0000-0000-0000BC3D0000}"/>
    <cellStyle name="Millares 2 4 3 3 2 2" xfId="31358" xr:uid="{7E22C93A-49C7-4ACB-AA85-1A982A7E4DDE}"/>
    <cellStyle name="Millares 2 4 3 3 2 2 2" xfId="31560" xr:uid="{294EA1DB-A35D-409F-9E17-A641EF1873A0}"/>
    <cellStyle name="Millares 2 4 3 3 2 2 2 2" xfId="31964" xr:uid="{03DCF7A1-5524-4A22-AA57-B080A70A9C2F}"/>
    <cellStyle name="Millares 2 4 3 3 2 2 3" xfId="31762" xr:uid="{AEDF4B40-CD22-479B-B7A6-913233B010AA}"/>
    <cellStyle name="Millares 2 4 3 3 2 3" xfId="31459" xr:uid="{4022E2BE-6723-46EE-8142-B64E62D4A287}"/>
    <cellStyle name="Millares 2 4 3 3 2 3 2" xfId="31863" xr:uid="{9A89FAF1-6BDB-48F0-83B1-889AAA48F6FD}"/>
    <cellStyle name="Millares 2 4 3 3 2 4" xfId="31661" xr:uid="{6947C621-463C-4984-A261-C3D5B800B584}"/>
    <cellStyle name="Millares 2 4 3 3 2 5" xfId="31257" xr:uid="{EC37A695-C990-41B0-82A6-DB8CF753EC87}"/>
    <cellStyle name="Millares 2 4 3 3 3" xfId="23842" xr:uid="{00000000-0005-0000-0000-0000BD3D0000}"/>
    <cellStyle name="Millares 2 4 3 3 3 2" xfId="31509" xr:uid="{A470FD20-7345-4159-9591-4A852D299185}"/>
    <cellStyle name="Millares 2 4 3 3 3 2 2" xfId="31913" xr:uid="{2DA043B4-AD7D-4B90-BF39-8394A88D1C17}"/>
    <cellStyle name="Millares 2 4 3 3 3 3" xfId="31711" xr:uid="{96ADBD5E-A622-46C8-AEAF-99F3AF875D68}"/>
    <cellStyle name="Millares 2 4 3 3 3 4" xfId="31307" xr:uid="{FB25586D-78D6-413F-AB0A-F8359293223D}"/>
    <cellStyle name="Millares 2 4 3 3 4" xfId="24814" xr:uid="{00000000-0005-0000-0000-0000BE3D0000}"/>
    <cellStyle name="Millares 2 4 3 3 4 2" xfId="31812" xr:uid="{2A84C6E0-3CE4-42C5-8EFA-BF489272046F}"/>
    <cellStyle name="Millares 2 4 3 3 4 3" xfId="31408" xr:uid="{3FCAE891-DC26-4535-8563-4D45785FCA53}"/>
    <cellStyle name="Millares 2 4 3 3 5" xfId="25318" xr:uid="{00000000-0005-0000-0000-0000BF3D0000}"/>
    <cellStyle name="Millares 2 4 3 3 5 2" xfId="31610" xr:uid="{CC3736B9-27D1-4614-8DA6-BFDAEA56FD4D}"/>
    <cellStyle name="Millares 2 4 3 3 6" xfId="25822" xr:uid="{00000000-0005-0000-0000-0000C03D0000}"/>
    <cellStyle name="Millares 2 4 3 3 7" xfId="26326" xr:uid="{00000000-0005-0000-0000-0000C13D0000}"/>
    <cellStyle name="Millares 2 4 3 3 8" xfId="26830" xr:uid="{00000000-0005-0000-0000-0000C23D0000}"/>
    <cellStyle name="Millares 2 4 3 3 9" xfId="27334" xr:uid="{00000000-0005-0000-0000-0000C33D0000}"/>
    <cellStyle name="Millares 2 4 3 4" xfId="6915" xr:uid="{00000000-0005-0000-0000-0000C43D0000}"/>
    <cellStyle name="Millares 2 4 3 4 2" xfId="13088" xr:uid="{00000000-0005-0000-0000-0000C53D0000}"/>
    <cellStyle name="Millares 2 4 3 4 2 2" xfId="31534" xr:uid="{E802E56E-F250-4E53-BE51-638B46A02C27}"/>
    <cellStyle name="Millares 2 4 3 4 2 2 2" xfId="31938" xr:uid="{1807FFBD-32E7-4F4A-9A60-01C290A58E60}"/>
    <cellStyle name="Millares 2 4 3 4 2 3" xfId="31736" xr:uid="{2A16AC55-EECE-4686-8961-4F9E9684BC78}"/>
    <cellStyle name="Millares 2 4 3 4 2 4" xfId="31332" xr:uid="{B2927114-6B6C-41A9-9AD4-06EDB4D919C9}"/>
    <cellStyle name="Millares 2 4 3 4 3" xfId="31433" xr:uid="{58F23525-FAF2-41CC-8CE4-D9124DA5DC6E}"/>
    <cellStyle name="Millares 2 4 3 4 3 2" xfId="31837" xr:uid="{C9AEABCD-CF6B-4A21-BFEC-9E8FED5D68CA}"/>
    <cellStyle name="Millares 2 4 3 4 4" xfId="31635" xr:uid="{1E7BA905-43A3-48FB-B7EA-18CC21743F64}"/>
    <cellStyle name="Millares 2 4 3 4 5" xfId="31228" xr:uid="{D1D4186A-5A97-481B-8542-61B99C7118F8}"/>
    <cellStyle name="Millares 2 4 3 5" xfId="13089" xr:uid="{00000000-0005-0000-0000-0000C63D0000}"/>
    <cellStyle name="Millares 2 4 3 5 2" xfId="31484" xr:uid="{0061716E-1474-4711-A3A5-95B5F93CCF96}"/>
    <cellStyle name="Millares 2 4 3 5 2 2" xfId="31888" xr:uid="{0FB7BB02-BF13-4870-AF5D-A18F4D59EACD}"/>
    <cellStyle name="Millares 2 4 3 5 3" xfId="31686" xr:uid="{EE1E3948-910E-45E8-8DFB-C5382C2B904F}"/>
    <cellStyle name="Millares 2 4 3 5 4" xfId="31282" xr:uid="{680CDF97-F20F-47F4-8D06-7B3C8300F11A}"/>
    <cellStyle name="Millares 2 4 3 6" xfId="13085" xr:uid="{00000000-0005-0000-0000-0000C73D0000}"/>
    <cellStyle name="Millares 2 4 3 6 2" xfId="31787" xr:uid="{C1F392F8-162D-4108-A057-1D6F1BDC3462}"/>
    <cellStyle name="Millares 2 4 3 6 3" xfId="31383" xr:uid="{87664D10-5275-45A5-AAA2-8502E8914E41}"/>
    <cellStyle name="Millares 2 4 3 7" xfId="7197" xr:uid="{00000000-0005-0000-0000-0000C83D0000}"/>
    <cellStyle name="Millares 2 4 3 7 2" xfId="31585" xr:uid="{D502C9D4-B520-4E31-9344-6A4D4FFC0F66}"/>
    <cellStyle name="Millares 2 4 3 8" xfId="23011" xr:uid="{00000000-0005-0000-0000-0000C93D0000}"/>
    <cellStyle name="Millares 2 4 3 9" xfId="31143" xr:uid="{B278F1A2-0F43-4920-9FB5-ACF12A11352D}"/>
    <cellStyle name="Millares 2 4 4" xfId="2221" xr:uid="{00000000-0005-0000-0000-0000CA3D0000}"/>
    <cellStyle name="Millares 2 4 4 2" xfId="13090" xr:uid="{00000000-0005-0000-0000-0000CB3D0000}"/>
    <cellStyle name="Millares 2 4 4 2 2" xfId="31267" xr:uid="{CB1D176B-5606-4838-A3A7-671BB60919E0}"/>
    <cellStyle name="Millares 2 4 4 2 2 2" xfId="31368" xr:uid="{669BF0F3-0C84-4AE5-A2C1-02C96928A354}"/>
    <cellStyle name="Millares 2 4 4 2 2 2 2" xfId="31570" xr:uid="{6CDC7079-1D04-46DD-9E60-B440F91F5E36}"/>
    <cellStyle name="Millares 2 4 4 2 2 2 2 2" xfId="31974" xr:uid="{C276DDBB-4B57-40CC-9FC1-90798C69E378}"/>
    <cellStyle name="Millares 2 4 4 2 2 2 3" xfId="31772" xr:uid="{4EC96577-6838-4E0B-AC6F-91C76E62E4A9}"/>
    <cellStyle name="Millares 2 4 4 2 2 3" xfId="31469" xr:uid="{EEA84E07-F51B-4FA6-BB6E-2FE4D9634EE7}"/>
    <cellStyle name="Millares 2 4 4 2 2 3 2" xfId="31873" xr:uid="{C95B36BA-910B-4E4B-8498-8068F5E22841}"/>
    <cellStyle name="Millares 2 4 4 2 2 4" xfId="31671" xr:uid="{141146D2-16CA-476C-9389-AAD363D9555F}"/>
    <cellStyle name="Millares 2 4 4 2 3" xfId="31317" xr:uid="{D6F93831-72DE-44A0-87A8-E0A16BAB4A12}"/>
    <cellStyle name="Millares 2 4 4 2 3 2" xfId="31519" xr:uid="{4443D1A3-70F9-46C8-8E31-C01C795B8366}"/>
    <cellStyle name="Millares 2 4 4 2 3 2 2" xfId="31923" xr:uid="{9BC3150D-E1FF-4080-ADE5-B16018EABED2}"/>
    <cellStyle name="Millares 2 4 4 2 3 3" xfId="31721" xr:uid="{E73276E4-9930-46CB-8B3E-FB91AD280C67}"/>
    <cellStyle name="Millares 2 4 4 2 4" xfId="31418" xr:uid="{D077DB41-8674-472B-9FD8-5F8064B49695}"/>
    <cellStyle name="Millares 2 4 4 2 4 2" xfId="31822" xr:uid="{CC171A77-727B-4C07-9741-41EE5FF5152D}"/>
    <cellStyle name="Millares 2 4 4 2 5" xfId="31620" xr:uid="{F1078A4D-FBB2-4106-A3BB-D754AE4F4CC7}"/>
    <cellStyle name="Millares 2 4 4 2 6" xfId="31193" xr:uid="{B5CB79C7-AEBE-4769-BF5A-1FAEEF2F6D6C}"/>
    <cellStyle name="Millares 2 4 4 3" xfId="31242" xr:uid="{F4BAB384-57C8-46F5-8E61-A75F5EAFF49D}"/>
    <cellStyle name="Millares 2 4 4 3 2" xfId="31343" xr:uid="{0DBEFE41-BDF3-4227-8CF3-DBAF4612159F}"/>
    <cellStyle name="Millares 2 4 4 3 2 2" xfId="31545" xr:uid="{52F44AC5-9931-4408-B2A9-D433E5A6A599}"/>
    <cellStyle name="Millares 2 4 4 3 2 2 2" xfId="31949" xr:uid="{7AE84395-D13F-4925-81D4-D704548EAB1F}"/>
    <cellStyle name="Millares 2 4 4 3 2 3" xfId="31747" xr:uid="{E28C68BE-F17C-4032-BBB3-639A9D24A48A}"/>
    <cellStyle name="Millares 2 4 4 3 3" xfId="31444" xr:uid="{5B92FB3B-9744-49AA-96B2-DDD3A0B613D8}"/>
    <cellStyle name="Millares 2 4 4 3 3 2" xfId="31848" xr:uid="{9B2B7AB4-65BF-4F4C-9BCB-6E62E927B3C2}"/>
    <cellStyle name="Millares 2 4 4 3 4" xfId="31646" xr:uid="{C603699C-7096-4CD4-9D18-77778FCBDFD0}"/>
    <cellStyle name="Millares 2 4 4 4" xfId="31292" xr:uid="{E1CCED54-B61F-44CF-AA5E-4AD084E01F14}"/>
    <cellStyle name="Millares 2 4 4 4 2" xfId="31494" xr:uid="{7B4751BF-7564-4D56-8642-0F44DD8867A5}"/>
    <cellStyle name="Millares 2 4 4 4 2 2" xfId="31898" xr:uid="{DDAC2FD1-4F22-45BC-A1EA-DBE01812B533}"/>
    <cellStyle name="Millares 2 4 4 4 3" xfId="31696" xr:uid="{7030834E-0F17-4B6A-8EE8-027FA225C248}"/>
    <cellStyle name="Millares 2 4 4 5" xfId="31393" xr:uid="{F2BF81F7-7CB5-4E5D-8000-D7C46315C443}"/>
    <cellStyle name="Millares 2 4 4 5 2" xfId="31797" xr:uid="{6217D0A3-F10F-4B13-89B6-6F3D0B4D7209}"/>
    <cellStyle name="Millares 2 4 4 6" xfId="31595" xr:uid="{E64F7B0B-F1B0-4620-A1A9-A51A43D30E5B}"/>
    <cellStyle name="Millares 2 4 4 7" xfId="31164" xr:uid="{7D46CBBB-66DE-41D2-AF0E-0CF25DC42439}"/>
    <cellStyle name="Millares 2 4 5" xfId="3366" xr:uid="{00000000-0005-0000-0000-0000CC3D0000}"/>
    <cellStyle name="Millares 2 4 5 2" xfId="13091" xr:uid="{00000000-0005-0000-0000-0000CD3D0000}"/>
    <cellStyle name="Millares 2 4 5 2 2" xfId="31355" xr:uid="{87482A0F-1B5B-42B1-AA7B-006B298DDA29}"/>
    <cellStyle name="Millares 2 4 5 2 2 2" xfId="31557" xr:uid="{363B61B5-CDFE-4459-B196-C62F5155A430}"/>
    <cellStyle name="Millares 2 4 5 2 2 2 2" xfId="31961" xr:uid="{DF06629C-412E-492B-8455-5EB8435733B2}"/>
    <cellStyle name="Millares 2 4 5 2 2 3" xfId="31759" xr:uid="{F09351F8-AD82-4A6C-A25A-7631FD3DAA15}"/>
    <cellStyle name="Millares 2 4 5 2 3" xfId="31456" xr:uid="{AA4EE293-5120-4D55-BDDC-A8E2C42E64BE}"/>
    <cellStyle name="Millares 2 4 5 2 3 2" xfId="31860" xr:uid="{C9B4C3BD-6D89-4BBE-A1E0-C9E8CB82B6D1}"/>
    <cellStyle name="Millares 2 4 5 2 4" xfId="31658" xr:uid="{3D0AEA08-12C0-4337-8109-F6E7E638CA2D}"/>
    <cellStyle name="Millares 2 4 5 2 5" xfId="31254" xr:uid="{6F01F614-62C4-4BE4-A9EB-7549A280EBF3}"/>
    <cellStyle name="Millares 2 4 5 3" xfId="31304" xr:uid="{437AE8F6-18BC-42B6-8951-33944767AA68}"/>
    <cellStyle name="Millares 2 4 5 3 2" xfId="31506" xr:uid="{C05FC887-05C6-4D29-ADC7-E27DAC364EA3}"/>
    <cellStyle name="Millares 2 4 5 3 2 2" xfId="31910" xr:uid="{7563C56E-EA70-447C-A8DA-45E05A62D56D}"/>
    <cellStyle name="Millares 2 4 5 3 3" xfId="31708" xr:uid="{275C5199-9EAA-4539-8F3B-D57CDDEA59F9}"/>
    <cellStyle name="Millares 2 4 5 4" xfId="31405" xr:uid="{AE530A47-F201-4277-85F6-6D355CB5DC1D}"/>
    <cellStyle name="Millares 2 4 5 4 2" xfId="31809" xr:uid="{0EA6EBA6-BB47-477B-AE37-A0EA908A782A}"/>
    <cellStyle name="Millares 2 4 5 5" xfId="31607" xr:uid="{C7EAEBD3-E1B6-4E06-93AD-EA88BFCAF9A0}"/>
    <cellStyle name="Millares 2 4 5 6" xfId="31180" xr:uid="{B14B842F-CE6D-4C9F-A5EA-F2363E3E28A7}"/>
    <cellStyle name="Millares 2 4 6" xfId="6914" xr:uid="{00000000-0005-0000-0000-0000CE3D0000}"/>
    <cellStyle name="Millares 2 4 6 2" xfId="13082" xr:uid="{00000000-0005-0000-0000-0000CF3D0000}"/>
    <cellStyle name="Millares 2 4 6 2 2" xfId="31531" xr:uid="{0D448F97-FDF8-4727-9EC4-4FE47B9CE008}"/>
    <cellStyle name="Millares 2 4 6 2 2 2" xfId="31935" xr:uid="{666ED23F-86DA-4036-9CCD-E793D451D1E6}"/>
    <cellStyle name="Millares 2 4 6 2 3" xfId="31733" xr:uid="{4D0E8251-6111-45EA-877A-2D548602E522}"/>
    <cellStyle name="Millares 2 4 6 2 4" xfId="31329" xr:uid="{D6783B96-A5DE-4221-8B33-004ECE3CE5B2}"/>
    <cellStyle name="Millares 2 4 6 3" xfId="31430" xr:uid="{83AEFA2C-BF9D-41DA-A5EF-7C91DB52E802}"/>
    <cellStyle name="Millares 2 4 6 3 2" xfId="31834" xr:uid="{C475DD3D-6808-4369-927B-1356BC6F1D76}"/>
    <cellStyle name="Millares 2 4 6 4" xfId="31632" xr:uid="{104E222B-BE44-449E-B314-27BD094133B5}"/>
    <cellStyle name="Millares 2 4 6 5" xfId="31225" xr:uid="{50BC8A47-213E-4220-BD18-EAB95C0B0F2E}"/>
    <cellStyle name="Millares 2 4 7" xfId="7094" xr:uid="{00000000-0005-0000-0000-0000D03D0000}"/>
    <cellStyle name="Millares 2 4 7 2" xfId="31481" xr:uid="{7F00A84B-CC32-45A1-9872-50325D4DC594}"/>
    <cellStyle name="Millares 2 4 7 2 2" xfId="31885" xr:uid="{C5B6435C-6BA8-439D-99D1-93515EE84389}"/>
    <cellStyle name="Millares 2 4 7 3" xfId="31683" xr:uid="{52FCBFBD-2E09-4DDB-806E-16D5E476A464}"/>
    <cellStyle name="Millares 2 4 7 4" xfId="31279" xr:uid="{B414BA08-7F2D-401E-BCCF-E8DCEA4785F3}"/>
    <cellStyle name="Millares 2 4 8" xfId="23008" xr:uid="{00000000-0005-0000-0000-0000D13D0000}"/>
    <cellStyle name="Millares 2 4 8 2" xfId="31784" xr:uid="{289CFCDF-70D6-4828-A977-EF52DD4276E5}"/>
    <cellStyle name="Millares 2 4 8 3" xfId="31380" xr:uid="{CFFCE35C-557C-43A4-9444-9BF01811C139}"/>
    <cellStyle name="Millares 2 4 9" xfId="31582" xr:uid="{AEEA8D41-26FA-4801-946C-B046DD2849CD}"/>
    <cellStyle name="Millares 2 5" xfId="2224" xr:uid="{00000000-0005-0000-0000-0000D23D0000}"/>
    <cellStyle name="Millares 2 5 2" xfId="2757" xr:uid="{00000000-0005-0000-0000-0000D33D0000}"/>
    <cellStyle name="Millares 2 5 2 2" xfId="13094" xr:uid="{00000000-0005-0000-0000-0000D43D0000}"/>
    <cellStyle name="Millares 2 5 2 2 2" xfId="31367" xr:uid="{94ABAAE8-2971-453C-ABB2-4D9217B57ADC}"/>
    <cellStyle name="Millares 2 5 2 2 2 2" xfId="31569" xr:uid="{A862B586-E7B0-4646-BBA7-E76D44CAB1DF}"/>
    <cellStyle name="Millares 2 5 2 2 2 2 2" xfId="31973" xr:uid="{E9E0D659-B898-4C74-BA31-37B472400AC5}"/>
    <cellStyle name="Millares 2 5 2 2 2 3" xfId="31771" xr:uid="{ED6E8D21-2D4D-40E4-B539-388E6EFB7873}"/>
    <cellStyle name="Millares 2 5 2 2 3" xfId="31468" xr:uid="{A250D774-EEF9-44C4-B15B-FB70679AF4E3}"/>
    <cellStyle name="Millares 2 5 2 2 3 2" xfId="31872" xr:uid="{568242AE-ACAC-4E9E-ACE8-C0D9F9AB8594}"/>
    <cellStyle name="Millares 2 5 2 2 4" xfId="31670" xr:uid="{F939724A-90C8-4777-94CB-98351EEE86CD}"/>
    <cellStyle name="Millares 2 5 2 2 5" xfId="31266" xr:uid="{C04BC967-5F63-48C6-B4C4-FBD14845801A}"/>
    <cellStyle name="Millares 2 5 2 3" xfId="13093" xr:uid="{00000000-0005-0000-0000-0000D53D0000}"/>
    <cellStyle name="Millares 2 5 2 3 2" xfId="31518" xr:uid="{E708807B-12B5-49A5-8E3A-362959500EDB}"/>
    <cellStyle name="Millares 2 5 2 3 2 2" xfId="31922" xr:uid="{7AC0A490-EF2E-4DED-8341-E5E6D558AEF0}"/>
    <cellStyle name="Millares 2 5 2 3 3" xfId="31720" xr:uid="{223F1676-DEB7-47C9-B5C6-D97E5DCFDB42}"/>
    <cellStyle name="Millares 2 5 2 3 4" xfId="31316" xr:uid="{FE27DA3C-A877-4C75-8073-AB5C0793E3D3}"/>
    <cellStyle name="Millares 2 5 2 4" xfId="23843" xr:uid="{00000000-0005-0000-0000-0000D63D0000}"/>
    <cellStyle name="Millares 2 5 2 4 2" xfId="31821" xr:uid="{6521EE92-C180-4EF3-A3DE-8675CB0CE56B}"/>
    <cellStyle name="Millares 2 5 2 4 3" xfId="31417" xr:uid="{81CD4D81-3AE2-4586-A39C-51FAF1DC96FA}"/>
    <cellStyle name="Millares 2 5 2 5" xfId="31619" xr:uid="{E6E6482A-4AC7-46DC-8993-9D1F5F69E9FE}"/>
    <cellStyle name="Millares 2 5 2 6" xfId="31192" xr:uid="{53B39266-F220-4AFC-B48A-AAE00370F95B}"/>
    <cellStyle name="Millares 2 5 3" xfId="4284" xr:uid="{00000000-0005-0000-0000-0000D73D0000}"/>
    <cellStyle name="Millares 2 5 3 2" xfId="13095" xr:uid="{00000000-0005-0000-0000-0000D83D0000}"/>
    <cellStyle name="Millares 2 5 3 2 2" xfId="31544" xr:uid="{061B4EA8-9661-4F73-9CF9-EAAE14D3AB52}"/>
    <cellStyle name="Millares 2 5 3 2 2 2" xfId="31948" xr:uid="{48A90999-3220-4328-ABEF-5B955C2CF069}"/>
    <cellStyle name="Millares 2 5 3 2 3" xfId="31746" xr:uid="{0AC23D7E-9532-4297-BD29-2EE48268FEB9}"/>
    <cellStyle name="Millares 2 5 3 2 4" xfId="31342" xr:uid="{B1F434A8-A21F-4E8F-88BA-0ECE6782DC36}"/>
    <cellStyle name="Millares 2 5 3 3" xfId="23844" xr:uid="{00000000-0005-0000-0000-0000D93D0000}"/>
    <cellStyle name="Millares 2 5 3 3 2" xfId="31847" xr:uid="{E80ADA81-E6C4-435C-8847-6929F0090181}"/>
    <cellStyle name="Millares 2 5 3 3 3" xfId="31443" xr:uid="{04F516EA-69F5-4098-AE3D-3FEE3A389705}"/>
    <cellStyle name="Millares 2 5 3 4" xfId="31645" xr:uid="{7683BD23-34DD-474B-A194-9429CACF5CFC}"/>
    <cellStyle name="Millares 2 5 3 5" xfId="31241" xr:uid="{B78C8F52-D49C-42FD-B08B-137E6F945761}"/>
    <cellStyle name="Millares 2 5 4" xfId="3368" xr:uid="{00000000-0005-0000-0000-0000DA3D0000}"/>
    <cellStyle name="Millares 2 5 4 2" xfId="13096" xr:uid="{00000000-0005-0000-0000-0000DB3D0000}"/>
    <cellStyle name="Millares 2 5 4 2 2" xfId="31897" xr:uid="{7F7E53F0-A50D-4395-BFD8-C69B9BBA6F31}"/>
    <cellStyle name="Millares 2 5 4 2 3" xfId="31493" xr:uid="{852059D7-E041-4E7F-AA47-8D17B04BC365}"/>
    <cellStyle name="Millares 2 5 4 3" xfId="23845" xr:uid="{00000000-0005-0000-0000-0000DC3D0000}"/>
    <cellStyle name="Millares 2 5 4 3 2" xfId="31695" xr:uid="{92116CFB-5ECF-4FFC-8F2E-AE37AE2444DC}"/>
    <cellStyle name="Millares 2 5 4 4" xfId="31291" xr:uid="{EDC971D6-2B96-4FE2-8EE3-0F249DF2312F}"/>
    <cellStyle name="Millares 2 5 5" xfId="6916" xr:uid="{00000000-0005-0000-0000-0000DD3D0000}"/>
    <cellStyle name="Millares 2 5 5 2" xfId="13097" xr:uid="{00000000-0005-0000-0000-0000DE3D0000}"/>
    <cellStyle name="Millares 2 5 5 2 2" xfId="31796" xr:uid="{2874C37A-D90F-48E0-B354-F0301D32FDC2}"/>
    <cellStyle name="Millares 2 5 5 3" xfId="31392" xr:uid="{D96FBBEA-37D8-4270-BFFB-29F094CCBBFD}"/>
    <cellStyle name="Millares 2 5 6" xfId="13092" xr:uid="{00000000-0005-0000-0000-0000DF3D0000}"/>
    <cellStyle name="Millares 2 5 6 2" xfId="31594" xr:uid="{3C53EAD7-E26B-49A3-822C-FB2885C1DE29}"/>
    <cellStyle name="Millares 2 5 7" xfId="31163" xr:uid="{D057B5BD-CA6D-45D6-9160-01D5B43257EA}"/>
    <cellStyle name="Millares 2 6" xfId="2225" xr:uid="{00000000-0005-0000-0000-0000E03D0000}"/>
    <cellStyle name="Millares 2 6 2" xfId="2729" xr:uid="{00000000-0005-0000-0000-0000E13D0000}"/>
    <cellStyle name="Millares 2 6 2 2" xfId="13100" xr:uid="{00000000-0005-0000-0000-0000E23D0000}"/>
    <cellStyle name="Millares 2 6 2 3" xfId="13099" xr:uid="{00000000-0005-0000-0000-0000E33D0000}"/>
    <cellStyle name="Millares 2 6 3" xfId="13101" xr:uid="{00000000-0005-0000-0000-0000E43D0000}"/>
    <cellStyle name="Millares 2 6 4" xfId="13098" xr:uid="{00000000-0005-0000-0000-0000E53D0000}"/>
    <cellStyle name="Millares 2 7" xfId="2226" xr:uid="{00000000-0005-0000-0000-0000E63D0000}"/>
    <cellStyle name="Millares 2 7 2" xfId="3370" xr:uid="{00000000-0005-0000-0000-0000E73D0000}"/>
    <cellStyle name="Millares 2 7 2 2" xfId="6918" xr:uid="{00000000-0005-0000-0000-0000E83D0000}"/>
    <cellStyle name="Millares 2 7 2 2 2" xfId="13104" xr:uid="{00000000-0005-0000-0000-0000E93D0000}"/>
    <cellStyle name="Millares 2 7 2 3" xfId="13105" xr:uid="{00000000-0005-0000-0000-0000EA3D0000}"/>
    <cellStyle name="Millares 2 7 2 4" xfId="13103" xr:uid="{00000000-0005-0000-0000-0000EB3D0000}"/>
    <cellStyle name="Millares 2 7 2 5" xfId="23846" xr:uid="{00000000-0005-0000-0000-0000EC3D0000}"/>
    <cellStyle name="Millares 2 7 3" xfId="4285" xr:uid="{00000000-0005-0000-0000-0000ED3D0000}"/>
    <cellStyle name="Millares 2 7 3 2" xfId="13106" xr:uid="{00000000-0005-0000-0000-0000EE3D0000}"/>
    <cellStyle name="Millares 2 7 3 3" xfId="23847" xr:uid="{00000000-0005-0000-0000-0000EF3D0000}"/>
    <cellStyle name="Millares 2 7 4" xfId="3369" xr:uid="{00000000-0005-0000-0000-0000F03D0000}"/>
    <cellStyle name="Millares 2 7 4 2" xfId="13107" xr:uid="{00000000-0005-0000-0000-0000F13D0000}"/>
    <cellStyle name="Millares 2 7 5" xfId="6917" xr:uid="{00000000-0005-0000-0000-0000F23D0000}"/>
    <cellStyle name="Millares 2 7 5 2" xfId="13108" xr:uid="{00000000-0005-0000-0000-0000F33D0000}"/>
    <cellStyle name="Millares 2 7 6" xfId="13102" xr:uid="{00000000-0005-0000-0000-0000F43D0000}"/>
    <cellStyle name="Millares 2 8" xfId="2227" xr:uid="{00000000-0005-0000-0000-0000F53D0000}"/>
    <cellStyle name="Millares 2 8 2" xfId="13110" xr:uid="{00000000-0005-0000-0000-0000F63D0000}"/>
    <cellStyle name="Millares 2 8 2 2" xfId="13111" xr:uid="{00000000-0005-0000-0000-0000F73D0000}"/>
    <cellStyle name="Millares 2 8 2 3" xfId="23848" xr:uid="{00000000-0005-0000-0000-0000F83D0000}"/>
    <cellStyle name="Millares 2 8 3" xfId="13112" xr:uid="{00000000-0005-0000-0000-0000F93D0000}"/>
    <cellStyle name="Millares 2 8 3 2" xfId="23849" xr:uid="{00000000-0005-0000-0000-0000FA3D0000}"/>
    <cellStyle name="Millares 2 8 4" xfId="13109" xr:uid="{00000000-0005-0000-0000-0000FB3D0000}"/>
    <cellStyle name="Millares 2 8 5" xfId="7198" xr:uid="{00000000-0005-0000-0000-0000FC3D0000}"/>
    <cellStyle name="Millares 2 9" xfId="2207" xr:uid="{00000000-0005-0000-0000-0000FD3D0000}"/>
    <cellStyle name="Millares 2 9 2" xfId="13114" xr:uid="{00000000-0005-0000-0000-0000FE3D0000}"/>
    <cellStyle name="Millares 2 9 2 2" xfId="13115" xr:uid="{00000000-0005-0000-0000-0000FF3D0000}"/>
    <cellStyle name="Millares 2 9 2 3" xfId="23850" xr:uid="{00000000-0005-0000-0000-0000003E0000}"/>
    <cellStyle name="Millares 2 9 3" xfId="13113" xr:uid="{00000000-0005-0000-0000-0000013E0000}"/>
    <cellStyle name="Millares 2 9 3 2" xfId="23851" xr:uid="{00000000-0005-0000-0000-0000023E0000}"/>
    <cellStyle name="Millares 2_Siop.Rpt.CFG" xfId="7095" xr:uid="{00000000-0005-0000-0000-0000033E0000}"/>
    <cellStyle name="Millares 20" xfId="2228" xr:uid="{00000000-0005-0000-0000-0000043E0000}"/>
    <cellStyle name="Millares 20 2" xfId="3151" xr:uid="{00000000-0005-0000-0000-0000053E0000}"/>
    <cellStyle name="Millares 20 2 2" xfId="4767" xr:uid="{00000000-0005-0000-0000-0000063E0000}"/>
    <cellStyle name="Millares 20 2 2 2" xfId="13118" xr:uid="{00000000-0005-0000-0000-0000073E0000}"/>
    <cellStyle name="Millares 20 2 3" xfId="3371" xr:uid="{00000000-0005-0000-0000-0000083E0000}"/>
    <cellStyle name="Millares 20 2 3 2" xfId="13119" xr:uid="{00000000-0005-0000-0000-0000093E0000}"/>
    <cellStyle name="Millares 20 2 4" xfId="6919" xr:uid="{00000000-0005-0000-0000-00000A3E0000}"/>
    <cellStyle name="Millares 20 2 4 2" xfId="13120" xr:uid="{00000000-0005-0000-0000-00000B3E0000}"/>
    <cellStyle name="Millares 20 2 5" xfId="13117" xr:uid="{00000000-0005-0000-0000-00000C3E0000}"/>
    <cellStyle name="Millares 20 3" xfId="13121" xr:uid="{00000000-0005-0000-0000-00000D3E0000}"/>
    <cellStyle name="Millares 20 4" xfId="13116" xr:uid="{00000000-0005-0000-0000-00000E3E0000}"/>
    <cellStyle name="Millares 200" xfId="13122" xr:uid="{00000000-0005-0000-0000-00000F3E0000}"/>
    <cellStyle name="Millares 201" xfId="7090" xr:uid="{00000000-0005-0000-0000-0000103E0000}"/>
    <cellStyle name="Millares 202" xfId="7252" xr:uid="{00000000-0005-0000-0000-0000113E0000}"/>
    <cellStyle name="Millares 203" xfId="22977" xr:uid="{00000000-0005-0000-0000-0000123E0000}"/>
    <cellStyle name="Millares 204" xfId="31136" xr:uid="{CE53B425-F933-4A3C-8842-5260AB134ACF}"/>
    <cellStyle name="Millares 205" xfId="31986" xr:uid="{603C4568-A7E4-4C29-89D4-259999FB40C5}"/>
    <cellStyle name="Millares 206" xfId="31987" xr:uid="{234E4837-22B4-47FF-9D77-6CE4B23E6E4F}"/>
    <cellStyle name="Millares 207" xfId="31990" xr:uid="{268B486D-C306-4A8F-97FD-AC6330E42774}"/>
    <cellStyle name="Millares 208" xfId="31993" xr:uid="{EDCC60F0-DE5D-45A9-AD73-3D531681C7DE}"/>
    <cellStyle name="Millares 21" xfId="2229" xr:uid="{00000000-0005-0000-0000-0000133E0000}"/>
    <cellStyle name="Millares 21 2" xfId="3144" xr:uid="{00000000-0005-0000-0000-0000143E0000}"/>
    <cellStyle name="Millares 21 2 2" xfId="4761" xr:uid="{00000000-0005-0000-0000-0000153E0000}"/>
    <cellStyle name="Millares 21 2 2 2" xfId="13125" xr:uid="{00000000-0005-0000-0000-0000163E0000}"/>
    <cellStyle name="Millares 21 2 3" xfId="3373" xr:uid="{00000000-0005-0000-0000-0000173E0000}"/>
    <cellStyle name="Millares 21 2 4" xfId="6921" xr:uid="{00000000-0005-0000-0000-0000183E0000}"/>
    <cellStyle name="Millares 21 2 5" xfId="13124" xr:uid="{00000000-0005-0000-0000-0000193E0000}"/>
    <cellStyle name="Millares 21 3" xfId="4286" xr:uid="{00000000-0005-0000-0000-00001A3E0000}"/>
    <cellStyle name="Millares 21 3 2" xfId="13126" xr:uid="{00000000-0005-0000-0000-00001B3E0000}"/>
    <cellStyle name="Millares 21 4" xfId="3372" xr:uid="{00000000-0005-0000-0000-00001C3E0000}"/>
    <cellStyle name="Millares 21 4 2" xfId="13127" xr:uid="{00000000-0005-0000-0000-00001D3E0000}"/>
    <cellStyle name="Millares 21 5" xfId="6920" xr:uid="{00000000-0005-0000-0000-00001E3E0000}"/>
    <cellStyle name="Millares 21 5 2" xfId="13128" xr:uid="{00000000-0005-0000-0000-00001F3E0000}"/>
    <cellStyle name="Millares 21 6" xfId="13129" xr:uid="{00000000-0005-0000-0000-0000203E0000}"/>
    <cellStyle name="Millares 21 7" xfId="13123" xr:uid="{00000000-0005-0000-0000-0000213E0000}"/>
    <cellStyle name="Millares 22" xfId="2230" xr:uid="{00000000-0005-0000-0000-0000223E0000}"/>
    <cellStyle name="Millares 22 2" xfId="2231" xr:uid="{00000000-0005-0000-0000-0000233E0000}"/>
    <cellStyle name="Millares 22 2 2" xfId="4288" xr:uid="{00000000-0005-0000-0000-0000243E0000}"/>
    <cellStyle name="Millares 22 2 2 2" xfId="13132" xr:uid="{00000000-0005-0000-0000-0000253E0000}"/>
    <cellStyle name="Millares 22 2 3" xfId="3375" xr:uid="{00000000-0005-0000-0000-0000263E0000}"/>
    <cellStyle name="Millares 22 2 3 2" xfId="13133" xr:uid="{00000000-0005-0000-0000-0000273E0000}"/>
    <cellStyle name="Millares 22 2 4" xfId="6923" xr:uid="{00000000-0005-0000-0000-0000283E0000}"/>
    <cellStyle name="Millares 22 2 4 2" xfId="13131" xr:uid="{00000000-0005-0000-0000-0000293E0000}"/>
    <cellStyle name="Millares 22 3" xfId="3152" xr:uid="{00000000-0005-0000-0000-00002A3E0000}"/>
    <cellStyle name="Millares 22 3 2" xfId="4768" xr:uid="{00000000-0005-0000-0000-00002B3E0000}"/>
    <cellStyle name="Millares 22 3 2 2" xfId="13135" xr:uid="{00000000-0005-0000-0000-00002C3E0000}"/>
    <cellStyle name="Millares 22 3 3" xfId="3376" xr:uid="{00000000-0005-0000-0000-00002D3E0000}"/>
    <cellStyle name="Millares 22 3 4" xfId="6924" xr:uid="{00000000-0005-0000-0000-00002E3E0000}"/>
    <cellStyle name="Millares 22 3 5" xfId="13134" xr:uid="{00000000-0005-0000-0000-00002F3E0000}"/>
    <cellStyle name="Millares 22 4" xfId="4287" xr:uid="{00000000-0005-0000-0000-0000303E0000}"/>
    <cellStyle name="Millares 22 4 2" xfId="13136" xr:uid="{00000000-0005-0000-0000-0000313E0000}"/>
    <cellStyle name="Millares 22 5" xfId="3374" xr:uid="{00000000-0005-0000-0000-0000323E0000}"/>
    <cellStyle name="Millares 22 5 2" xfId="13137" xr:uid="{00000000-0005-0000-0000-0000333E0000}"/>
    <cellStyle name="Millares 22 6" xfId="6922" xr:uid="{00000000-0005-0000-0000-0000343E0000}"/>
    <cellStyle name="Millares 22 6 2" xfId="13138" xr:uid="{00000000-0005-0000-0000-0000353E0000}"/>
    <cellStyle name="Millares 22 7" xfId="13139" xr:uid="{00000000-0005-0000-0000-0000363E0000}"/>
    <cellStyle name="Millares 22 8" xfId="13130" xr:uid="{00000000-0005-0000-0000-0000373E0000}"/>
    <cellStyle name="Millares 23" xfId="2232" xr:uid="{00000000-0005-0000-0000-0000383E0000}"/>
    <cellStyle name="Millares 23 2" xfId="3143" xr:uid="{00000000-0005-0000-0000-0000393E0000}"/>
    <cellStyle name="Millares 23 2 2" xfId="4760" xr:uid="{00000000-0005-0000-0000-00003A3E0000}"/>
    <cellStyle name="Millares 23 2 2 2" xfId="13142" xr:uid="{00000000-0005-0000-0000-00003B3E0000}"/>
    <cellStyle name="Millares 23 2 2 3" xfId="23853" xr:uid="{00000000-0005-0000-0000-00003C3E0000}"/>
    <cellStyle name="Millares 23 2 3" xfId="3378" xr:uid="{00000000-0005-0000-0000-00003D3E0000}"/>
    <cellStyle name="Millares 23 2 3 2" xfId="13141" xr:uid="{00000000-0005-0000-0000-00003E3E0000}"/>
    <cellStyle name="Millares 23 2 4" xfId="6926" xr:uid="{00000000-0005-0000-0000-00003F3E0000}"/>
    <cellStyle name="Millares 23 2 5" xfId="7320" xr:uid="{00000000-0005-0000-0000-0000403E0000}"/>
    <cellStyle name="Millares 23 2 6" xfId="23852" xr:uid="{00000000-0005-0000-0000-0000413E0000}"/>
    <cellStyle name="Millares 23 3" xfId="4289" xr:uid="{00000000-0005-0000-0000-0000423E0000}"/>
    <cellStyle name="Millares 23 3 2" xfId="13144" xr:uid="{00000000-0005-0000-0000-0000433E0000}"/>
    <cellStyle name="Millares 23 3 3" xfId="13143" xr:uid="{00000000-0005-0000-0000-0000443E0000}"/>
    <cellStyle name="Millares 23 3 4" xfId="23854" xr:uid="{00000000-0005-0000-0000-0000453E0000}"/>
    <cellStyle name="Millares 23 4" xfId="3377" xr:uid="{00000000-0005-0000-0000-0000463E0000}"/>
    <cellStyle name="Millares 23 4 2" xfId="13145" xr:uid="{00000000-0005-0000-0000-0000473E0000}"/>
    <cellStyle name="Millares 23 5" xfId="6925" xr:uid="{00000000-0005-0000-0000-0000483E0000}"/>
    <cellStyle name="Millares 23 5 2" xfId="13146" xr:uid="{00000000-0005-0000-0000-0000493E0000}"/>
    <cellStyle name="Millares 23 6" xfId="13147" xr:uid="{00000000-0005-0000-0000-00004A3E0000}"/>
    <cellStyle name="Millares 23 7" xfId="13148" xr:uid="{00000000-0005-0000-0000-00004B3E0000}"/>
    <cellStyle name="Millares 23 8" xfId="13140" xr:uid="{00000000-0005-0000-0000-00004C3E0000}"/>
    <cellStyle name="Millares 24" xfId="2233" xr:uid="{00000000-0005-0000-0000-00004D3E0000}"/>
    <cellStyle name="Millares 24 2" xfId="3148" xr:uid="{00000000-0005-0000-0000-00004E3E0000}"/>
    <cellStyle name="Millares 24 2 10" xfId="26327" xr:uid="{00000000-0005-0000-0000-00004F3E0000}"/>
    <cellStyle name="Millares 24 2 11" xfId="26831" xr:uid="{00000000-0005-0000-0000-0000503E0000}"/>
    <cellStyle name="Millares 24 2 12" xfId="27335" xr:uid="{00000000-0005-0000-0000-0000513E0000}"/>
    <cellStyle name="Millares 24 2 13" xfId="27839" xr:uid="{00000000-0005-0000-0000-0000523E0000}"/>
    <cellStyle name="Millares 24 2 14" xfId="28343" xr:uid="{00000000-0005-0000-0000-0000533E0000}"/>
    <cellStyle name="Millares 24 2 15" xfId="28847" xr:uid="{00000000-0005-0000-0000-0000543E0000}"/>
    <cellStyle name="Millares 24 2 16" xfId="29351" xr:uid="{00000000-0005-0000-0000-0000553E0000}"/>
    <cellStyle name="Millares 24 2 17" xfId="29855" xr:uid="{00000000-0005-0000-0000-0000563E0000}"/>
    <cellStyle name="Millares 24 2 18" xfId="30359" xr:uid="{00000000-0005-0000-0000-0000573E0000}"/>
    <cellStyle name="Millares 24 2 19" xfId="30864" xr:uid="{00000000-0005-0000-0000-0000583E0000}"/>
    <cellStyle name="Millares 24 2 2" xfId="4764" xr:uid="{00000000-0005-0000-0000-0000593E0000}"/>
    <cellStyle name="Millares 24 2 2 2" xfId="13151" xr:uid="{00000000-0005-0000-0000-00005A3E0000}"/>
    <cellStyle name="Millares 24 2 2 3" xfId="23856" xr:uid="{00000000-0005-0000-0000-00005B3E0000}"/>
    <cellStyle name="Millares 24 2 3" xfId="3379" xr:uid="{00000000-0005-0000-0000-00005C3E0000}"/>
    <cellStyle name="Millares 24 2 3 10" xfId="28344" xr:uid="{00000000-0005-0000-0000-00005D3E0000}"/>
    <cellStyle name="Millares 24 2 3 11" xfId="28848" xr:uid="{00000000-0005-0000-0000-00005E3E0000}"/>
    <cellStyle name="Millares 24 2 3 12" xfId="29352" xr:uid="{00000000-0005-0000-0000-00005F3E0000}"/>
    <cellStyle name="Millares 24 2 3 13" xfId="29856" xr:uid="{00000000-0005-0000-0000-0000603E0000}"/>
    <cellStyle name="Millares 24 2 3 14" xfId="30360" xr:uid="{00000000-0005-0000-0000-0000613E0000}"/>
    <cellStyle name="Millares 24 2 3 15" xfId="30865" xr:uid="{00000000-0005-0000-0000-0000623E0000}"/>
    <cellStyle name="Millares 24 2 3 2" xfId="23857" xr:uid="{00000000-0005-0000-0000-0000633E0000}"/>
    <cellStyle name="Millares 24 2 3 3" xfId="24816" xr:uid="{00000000-0005-0000-0000-0000643E0000}"/>
    <cellStyle name="Millares 24 2 3 4" xfId="25320" xr:uid="{00000000-0005-0000-0000-0000653E0000}"/>
    <cellStyle name="Millares 24 2 3 5" xfId="25824" xr:uid="{00000000-0005-0000-0000-0000663E0000}"/>
    <cellStyle name="Millares 24 2 3 6" xfId="26328" xr:uid="{00000000-0005-0000-0000-0000673E0000}"/>
    <cellStyle name="Millares 24 2 3 7" xfId="26832" xr:uid="{00000000-0005-0000-0000-0000683E0000}"/>
    <cellStyle name="Millares 24 2 3 8" xfId="27336" xr:uid="{00000000-0005-0000-0000-0000693E0000}"/>
    <cellStyle name="Millares 24 2 3 9" xfId="27840" xr:uid="{00000000-0005-0000-0000-00006A3E0000}"/>
    <cellStyle name="Millares 24 2 4" xfId="6927" xr:uid="{00000000-0005-0000-0000-00006B3E0000}"/>
    <cellStyle name="Millares 24 2 4 10" xfId="28345" xr:uid="{00000000-0005-0000-0000-00006C3E0000}"/>
    <cellStyle name="Millares 24 2 4 11" xfId="28849" xr:uid="{00000000-0005-0000-0000-00006D3E0000}"/>
    <cellStyle name="Millares 24 2 4 12" xfId="29353" xr:uid="{00000000-0005-0000-0000-00006E3E0000}"/>
    <cellStyle name="Millares 24 2 4 13" xfId="29857" xr:uid="{00000000-0005-0000-0000-00006F3E0000}"/>
    <cellStyle name="Millares 24 2 4 14" xfId="30361" xr:uid="{00000000-0005-0000-0000-0000703E0000}"/>
    <cellStyle name="Millares 24 2 4 15" xfId="30866" xr:uid="{00000000-0005-0000-0000-0000713E0000}"/>
    <cellStyle name="Millares 24 2 4 2" xfId="23858" xr:uid="{00000000-0005-0000-0000-0000723E0000}"/>
    <cellStyle name="Millares 24 2 4 3" xfId="24817" xr:uid="{00000000-0005-0000-0000-0000733E0000}"/>
    <cellStyle name="Millares 24 2 4 4" xfId="25321" xr:uid="{00000000-0005-0000-0000-0000743E0000}"/>
    <cellStyle name="Millares 24 2 4 5" xfId="25825" xr:uid="{00000000-0005-0000-0000-0000753E0000}"/>
    <cellStyle name="Millares 24 2 4 6" xfId="26329" xr:uid="{00000000-0005-0000-0000-0000763E0000}"/>
    <cellStyle name="Millares 24 2 4 7" xfId="26833" xr:uid="{00000000-0005-0000-0000-0000773E0000}"/>
    <cellStyle name="Millares 24 2 4 8" xfId="27337" xr:uid="{00000000-0005-0000-0000-0000783E0000}"/>
    <cellStyle name="Millares 24 2 4 9" xfId="27841" xr:uid="{00000000-0005-0000-0000-0000793E0000}"/>
    <cellStyle name="Millares 24 2 5" xfId="13150" xr:uid="{00000000-0005-0000-0000-00007A3E0000}"/>
    <cellStyle name="Millares 24 2 6" xfId="23855" xr:uid="{00000000-0005-0000-0000-00007B3E0000}"/>
    <cellStyle name="Millares 24 2 7" xfId="24815" xr:uid="{00000000-0005-0000-0000-00007C3E0000}"/>
    <cellStyle name="Millares 24 2 8" xfId="25319" xr:uid="{00000000-0005-0000-0000-00007D3E0000}"/>
    <cellStyle name="Millares 24 2 9" xfId="25823" xr:uid="{00000000-0005-0000-0000-00007E3E0000}"/>
    <cellStyle name="Millares 24 3" xfId="13152" xr:uid="{00000000-0005-0000-0000-00007F3E0000}"/>
    <cellStyle name="Millares 24 3 2" xfId="23859" xr:uid="{00000000-0005-0000-0000-0000803E0000}"/>
    <cellStyle name="Millares 24 4" xfId="13153" xr:uid="{00000000-0005-0000-0000-0000813E0000}"/>
    <cellStyle name="Millares 24 4 2" xfId="23860" xr:uid="{00000000-0005-0000-0000-0000823E0000}"/>
    <cellStyle name="Millares 24 5" xfId="13154" xr:uid="{00000000-0005-0000-0000-0000833E0000}"/>
    <cellStyle name="Millares 24 6" xfId="13155" xr:uid="{00000000-0005-0000-0000-0000843E0000}"/>
    <cellStyle name="Millares 24 7" xfId="13149" xr:uid="{00000000-0005-0000-0000-0000853E0000}"/>
    <cellStyle name="Millares 25" xfId="2234" xr:uid="{00000000-0005-0000-0000-0000863E0000}"/>
    <cellStyle name="Millares 25 2" xfId="3380" xr:uid="{00000000-0005-0000-0000-0000873E0000}"/>
    <cellStyle name="Millares 25 2 10" xfId="26834" xr:uid="{00000000-0005-0000-0000-0000883E0000}"/>
    <cellStyle name="Millares 25 2 11" xfId="27338" xr:uid="{00000000-0005-0000-0000-0000893E0000}"/>
    <cellStyle name="Millares 25 2 12" xfId="27842" xr:uid="{00000000-0005-0000-0000-00008A3E0000}"/>
    <cellStyle name="Millares 25 2 13" xfId="28346" xr:uid="{00000000-0005-0000-0000-00008B3E0000}"/>
    <cellStyle name="Millares 25 2 14" xfId="28850" xr:uid="{00000000-0005-0000-0000-00008C3E0000}"/>
    <cellStyle name="Millares 25 2 15" xfId="29354" xr:uid="{00000000-0005-0000-0000-00008D3E0000}"/>
    <cellStyle name="Millares 25 2 16" xfId="29858" xr:uid="{00000000-0005-0000-0000-00008E3E0000}"/>
    <cellStyle name="Millares 25 2 17" xfId="30362" xr:uid="{00000000-0005-0000-0000-00008F3E0000}"/>
    <cellStyle name="Millares 25 2 18" xfId="30867" xr:uid="{00000000-0005-0000-0000-0000903E0000}"/>
    <cellStyle name="Millares 25 2 2" xfId="6928" xr:uid="{00000000-0005-0000-0000-0000913E0000}"/>
    <cellStyle name="Millares 25 2 2 2" xfId="13158" xr:uid="{00000000-0005-0000-0000-0000923E0000}"/>
    <cellStyle name="Millares 25 2 3" xfId="13157" xr:uid="{00000000-0005-0000-0000-0000933E0000}"/>
    <cellStyle name="Millares 25 2 3 10" xfId="28347" xr:uid="{00000000-0005-0000-0000-0000943E0000}"/>
    <cellStyle name="Millares 25 2 3 11" xfId="28851" xr:uid="{00000000-0005-0000-0000-0000953E0000}"/>
    <cellStyle name="Millares 25 2 3 12" xfId="29355" xr:uid="{00000000-0005-0000-0000-0000963E0000}"/>
    <cellStyle name="Millares 25 2 3 13" xfId="29859" xr:uid="{00000000-0005-0000-0000-0000973E0000}"/>
    <cellStyle name="Millares 25 2 3 14" xfId="30363" xr:uid="{00000000-0005-0000-0000-0000983E0000}"/>
    <cellStyle name="Millares 25 2 3 15" xfId="30868" xr:uid="{00000000-0005-0000-0000-0000993E0000}"/>
    <cellStyle name="Millares 25 2 3 2" xfId="23862" xr:uid="{00000000-0005-0000-0000-00009A3E0000}"/>
    <cellStyle name="Millares 25 2 3 3" xfId="24819" xr:uid="{00000000-0005-0000-0000-00009B3E0000}"/>
    <cellStyle name="Millares 25 2 3 4" xfId="25323" xr:uid="{00000000-0005-0000-0000-00009C3E0000}"/>
    <cellStyle name="Millares 25 2 3 5" xfId="25827" xr:uid="{00000000-0005-0000-0000-00009D3E0000}"/>
    <cellStyle name="Millares 25 2 3 6" xfId="26331" xr:uid="{00000000-0005-0000-0000-00009E3E0000}"/>
    <cellStyle name="Millares 25 2 3 7" xfId="26835" xr:uid="{00000000-0005-0000-0000-00009F3E0000}"/>
    <cellStyle name="Millares 25 2 3 8" xfId="27339" xr:uid="{00000000-0005-0000-0000-0000A03E0000}"/>
    <cellStyle name="Millares 25 2 3 9" xfId="27843" xr:uid="{00000000-0005-0000-0000-0000A13E0000}"/>
    <cellStyle name="Millares 25 2 4" xfId="23863" xr:uid="{00000000-0005-0000-0000-0000A23E0000}"/>
    <cellStyle name="Millares 25 2 4 10" xfId="28852" xr:uid="{00000000-0005-0000-0000-0000A33E0000}"/>
    <cellStyle name="Millares 25 2 4 11" xfId="29356" xr:uid="{00000000-0005-0000-0000-0000A43E0000}"/>
    <cellStyle name="Millares 25 2 4 12" xfId="29860" xr:uid="{00000000-0005-0000-0000-0000A53E0000}"/>
    <cellStyle name="Millares 25 2 4 13" xfId="30364" xr:uid="{00000000-0005-0000-0000-0000A63E0000}"/>
    <cellStyle name="Millares 25 2 4 14" xfId="30869" xr:uid="{00000000-0005-0000-0000-0000A73E0000}"/>
    <cellStyle name="Millares 25 2 4 2" xfId="24820" xr:uid="{00000000-0005-0000-0000-0000A83E0000}"/>
    <cellStyle name="Millares 25 2 4 3" xfId="25324" xr:uid="{00000000-0005-0000-0000-0000A93E0000}"/>
    <cellStyle name="Millares 25 2 4 4" xfId="25828" xr:uid="{00000000-0005-0000-0000-0000AA3E0000}"/>
    <cellStyle name="Millares 25 2 4 5" xfId="26332" xr:uid="{00000000-0005-0000-0000-0000AB3E0000}"/>
    <cellStyle name="Millares 25 2 4 6" xfId="26836" xr:uid="{00000000-0005-0000-0000-0000AC3E0000}"/>
    <cellStyle name="Millares 25 2 4 7" xfId="27340" xr:uid="{00000000-0005-0000-0000-0000AD3E0000}"/>
    <cellStyle name="Millares 25 2 4 8" xfId="27844" xr:uid="{00000000-0005-0000-0000-0000AE3E0000}"/>
    <cellStyle name="Millares 25 2 4 9" xfId="28348" xr:uid="{00000000-0005-0000-0000-0000AF3E0000}"/>
    <cellStyle name="Millares 25 2 5" xfId="23861" xr:uid="{00000000-0005-0000-0000-0000B03E0000}"/>
    <cellStyle name="Millares 25 2 6" xfId="24818" xr:uid="{00000000-0005-0000-0000-0000B13E0000}"/>
    <cellStyle name="Millares 25 2 7" xfId="25322" xr:uid="{00000000-0005-0000-0000-0000B23E0000}"/>
    <cellStyle name="Millares 25 2 8" xfId="25826" xr:uid="{00000000-0005-0000-0000-0000B33E0000}"/>
    <cellStyle name="Millares 25 2 9" xfId="26330" xr:uid="{00000000-0005-0000-0000-0000B43E0000}"/>
    <cellStyle name="Millares 25 3" xfId="13159" xr:uid="{00000000-0005-0000-0000-0000B53E0000}"/>
    <cellStyle name="Millares 25 3 2" xfId="13160" xr:uid="{00000000-0005-0000-0000-0000B63E0000}"/>
    <cellStyle name="Millares 25 3 3" xfId="23864" xr:uid="{00000000-0005-0000-0000-0000B73E0000}"/>
    <cellStyle name="Millares 25 4" xfId="13161" xr:uid="{00000000-0005-0000-0000-0000B83E0000}"/>
    <cellStyle name="Millares 25 4 2" xfId="23865" xr:uid="{00000000-0005-0000-0000-0000B93E0000}"/>
    <cellStyle name="Millares 25 5" xfId="13162" xr:uid="{00000000-0005-0000-0000-0000BA3E0000}"/>
    <cellStyle name="Millares 25 6" xfId="13163" xr:uid="{00000000-0005-0000-0000-0000BB3E0000}"/>
    <cellStyle name="Millares 25 7" xfId="13156" xr:uid="{00000000-0005-0000-0000-0000BC3E0000}"/>
    <cellStyle name="Millares 26" xfId="2235" xr:uid="{00000000-0005-0000-0000-0000BD3E0000}"/>
    <cellStyle name="Millares 26 2" xfId="3381" xr:uid="{00000000-0005-0000-0000-0000BE3E0000}"/>
    <cellStyle name="Millares 26 2 10" xfId="26837" xr:uid="{00000000-0005-0000-0000-0000BF3E0000}"/>
    <cellStyle name="Millares 26 2 11" xfId="27341" xr:uid="{00000000-0005-0000-0000-0000C03E0000}"/>
    <cellStyle name="Millares 26 2 12" xfId="27845" xr:uid="{00000000-0005-0000-0000-0000C13E0000}"/>
    <cellStyle name="Millares 26 2 13" xfId="28349" xr:uid="{00000000-0005-0000-0000-0000C23E0000}"/>
    <cellStyle name="Millares 26 2 14" xfId="28853" xr:uid="{00000000-0005-0000-0000-0000C33E0000}"/>
    <cellStyle name="Millares 26 2 15" xfId="29357" xr:uid="{00000000-0005-0000-0000-0000C43E0000}"/>
    <cellStyle name="Millares 26 2 16" xfId="29861" xr:uid="{00000000-0005-0000-0000-0000C53E0000}"/>
    <cellStyle name="Millares 26 2 17" xfId="30365" xr:uid="{00000000-0005-0000-0000-0000C63E0000}"/>
    <cellStyle name="Millares 26 2 18" xfId="30870" xr:uid="{00000000-0005-0000-0000-0000C73E0000}"/>
    <cellStyle name="Millares 26 2 2" xfId="6929" xr:uid="{00000000-0005-0000-0000-0000C83E0000}"/>
    <cellStyle name="Millares 26 2 2 2" xfId="13166" xr:uid="{00000000-0005-0000-0000-0000C93E0000}"/>
    <cellStyle name="Millares 26 2 3" xfId="13167" xr:uid="{00000000-0005-0000-0000-0000CA3E0000}"/>
    <cellStyle name="Millares 26 2 3 10" xfId="28350" xr:uid="{00000000-0005-0000-0000-0000CB3E0000}"/>
    <cellStyle name="Millares 26 2 3 11" xfId="28854" xr:uid="{00000000-0005-0000-0000-0000CC3E0000}"/>
    <cellStyle name="Millares 26 2 3 12" xfId="29358" xr:uid="{00000000-0005-0000-0000-0000CD3E0000}"/>
    <cellStyle name="Millares 26 2 3 13" xfId="29862" xr:uid="{00000000-0005-0000-0000-0000CE3E0000}"/>
    <cellStyle name="Millares 26 2 3 14" xfId="30366" xr:uid="{00000000-0005-0000-0000-0000CF3E0000}"/>
    <cellStyle name="Millares 26 2 3 15" xfId="30871" xr:uid="{00000000-0005-0000-0000-0000D03E0000}"/>
    <cellStyle name="Millares 26 2 3 2" xfId="23867" xr:uid="{00000000-0005-0000-0000-0000D13E0000}"/>
    <cellStyle name="Millares 26 2 3 3" xfId="24822" xr:uid="{00000000-0005-0000-0000-0000D23E0000}"/>
    <cellStyle name="Millares 26 2 3 4" xfId="25326" xr:uid="{00000000-0005-0000-0000-0000D33E0000}"/>
    <cellStyle name="Millares 26 2 3 5" xfId="25830" xr:uid="{00000000-0005-0000-0000-0000D43E0000}"/>
    <cellStyle name="Millares 26 2 3 6" xfId="26334" xr:uid="{00000000-0005-0000-0000-0000D53E0000}"/>
    <cellStyle name="Millares 26 2 3 7" xfId="26838" xr:uid="{00000000-0005-0000-0000-0000D63E0000}"/>
    <cellStyle name="Millares 26 2 3 8" xfId="27342" xr:uid="{00000000-0005-0000-0000-0000D73E0000}"/>
    <cellStyle name="Millares 26 2 3 9" xfId="27846" xr:uid="{00000000-0005-0000-0000-0000D83E0000}"/>
    <cellStyle name="Millares 26 2 4" xfId="13165" xr:uid="{00000000-0005-0000-0000-0000D93E0000}"/>
    <cellStyle name="Millares 26 2 4 10" xfId="28351" xr:uid="{00000000-0005-0000-0000-0000DA3E0000}"/>
    <cellStyle name="Millares 26 2 4 11" xfId="28855" xr:uid="{00000000-0005-0000-0000-0000DB3E0000}"/>
    <cellStyle name="Millares 26 2 4 12" xfId="29359" xr:uid="{00000000-0005-0000-0000-0000DC3E0000}"/>
    <cellStyle name="Millares 26 2 4 13" xfId="29863" xr:uid="{00000000-0005-0000-0000-0000DD3E0000}"/>
    <cellStyle name="Millares 26 2 4 14" xfId="30367" xr:uid="{00000000-0005-0000-0000-0000DE3E0000}"/>
    <cellStyle name="Millares 26 2 4 15" xfId="30872" xr:uid="{00000000-0005-0000-0000-0000DF3E0000}"/>
    <cellStyle name="Millares 26 2 4 2" xfId="23868" xr:uid="{00000000-0005-0000-0000-0000E03E0000}"/>
    <cellStyle name="Millares 26 2 4 3" xfId="24823" xr:uid="{00000000-0005-0000-0000-0000E13E0000}"/>
    <cellStyle name="Millares 26 2 4 4" xfId="25327" xr:uid="{00000000-0005-0000-0000-0000E23E0000}"/>
    <cellStyle name="Millares 26 2 4 5" xfId="25831" xr:uid="{00000000-0005-0000-0000-0000E33E0000}"/>
    <cellStyle name="Millares 26 2 4 6" xfId="26335" xr:uid="{00000000-0005-0000-0000-0000E43E0000}"/>
    <cellStyle name="Millares 26 2 4 7" xfId="26839" xr:uid="{00000000-0005-0000-0000-0000E53E0000}"/>
    <cellStyle name="Millares 26 2 4 8" xfId="27343" xr:uid="{00000000-0005-0000-0000-0000E63E0000}"/>
    <cellStyle name="Millares 26 2 4 9" xfId="27847" xr:uid="{00000000-0005-0000-0000-0000E73E0000}"/>
    <cellStyle name="Millares 26 2 5" xfId="23866" xr:uid="{00000000-0005-0000-0000-0000E83E0000}"/>
    <cellStyle name="Millares 26 2 6" xfId="24821" xr:uid="{00000000-0005-0000-0000-0000E93E0000}"/>
    <cellStyle name="Millares 26 2 7" xfId="25325" xr:uid="{00000000-0005-0000-0000-0000EA3E0000}"/>
    <cellStyle name="Millares 26 2 8" xfId="25829" xr:uid="{00000000-0005-0000-0000-0000EB3E0000}"/>
    <cellStyle name="Millares 26 2 9" xfId="26333" xr:uid="{00000000-0005-0000-0000-0000EC3E0000}"/>
    <cellStyle name="Millares 26 3" xfId="13168" xr:uid="{00000000-0005-0000-0000-0000ED3E0000}"/>
    <cellStyle name="Millares 26 3 2" xfId="23869" xr:uid="{00000000-0005-0000-0000-0000EE3E0000}"/>
    <cellStyle name="Millares 26 4" xfId="13169" xr:uid="{00000000-0005-0000-0000-0000EF3E0000}"/>
    <cellStyle name="Millares 26 4 2" xfId="23870" xr:uid="{00000000-0005-0000-0000-0000F03E0000}"/>
    <cellStyle name="Millares 26 5" xfId="13170" xr:uid="{00000000-0005-0000-0000-0000F13E0000}"/>
    <cellStyle name="Millares 26 6" xfId="13164" xr:uid="{00000000-0005-0000-0000-0000F23E0000}"/>
    <cellStyle name="Millares 27" xfId="2236" xr:uid="{00000000-0005-0000-0000-0000F33E0000}"/>
    <cellStyle name="Millares 27 2" xfId="3382" xr:uid="{00000000-0005-0000-0000-0000F43E0000}"/>
    <cellStyle name="Millares 27 2 10" xfId="26840" xr:uid="{00000000-0005-0000-0000-0000F53E0000}"/>
    <cellStyle name="Millares 27 2 11" xfId="27344" xr:uid="{00000000-0005-0000-0000-0000F63E0000}"/>
    <cellStyle name="Millares 27 2 12" xfId="27848" xr:uid="{00000000-0005-0000-0000-0000F73E0000}"/>
    <cellStyle name="Millares 27 2 13" xfId="28352" xr:uid="{00000000-0005-0000-0000-0000F83E0000}"/>
    <cellStyle name="Millares 27 2 14" xfId="28856" xr:uid="{00000000-0005-0000-0000-0000F93E0000}"/>
    <cellStyle name="Millares 27 2 15" xfId="29360" xr:uid="{00000000-0005-0000-0000-0000FA3E0000}"/>
    <cellStyle name="Millares 27 2 16" xfId="29864" xr:uid="{00000000-0005-0000-0000-0000FB3E0000}"/>
    <cellStyle name="Millares 27 2 17" xfId="30368" xr:uid="{00000000-0005-0000-0000-0000FC3E0000}"/>
    <cellStyle name="Millares 27 2 18" xfId="30873" xr:uid="{00000000-0005-0000-0000-0000FD3E0000}"/>
    <cellStyle name="Millares 27 2 2" xfId="6930" xr:uid="{00000000-0005-0000-0000-0000FE3E0000}"/>
    <cellStyle name="Millares 27 2 2 2" xfId="13173" xr:uid="{00000000-0005-0000-0000-0000FF3E0000}"/>
    <cellStyle name="Millares 27 2 3" xfId="13174" xr:uid="{00000000-0005-0000-0000-0000003F0000}"/>
    <cellStyle name="Millares 27 2 3 10" xfId="28353" xr:uid="{00000000-0005-0000-0000-0000013F0000}"/>
    <cellStyle name="Millares 27 2 3 11" xfId="28857" xr:uid="{00000000-0005-0000-0000-0000023F0000}"/>
    <cellStyle name="Millares 27 2 3 12" xfId="29361" xr:uid="{00000000-0005-0000-0000-0000033F0000}"/>
    <cellStyle name="Millares 27 2 3 13" xfId="29865" xr:uid="{00000000-0005-0000-0000-0000043F0000}"/>
    <cellStyle name="Millares 27 2 3 14" xfId="30369" xr:uid="{00000000-0005-0000-0000-0000053F0000}"/>
    <cellStyle name="Millares 27 2 3 15" xfId="30874" xr:uid="{00000000-0005-0000-0000-0000063F0000}"/>
    <cellStyle name="Millares 27 2 3 2" xfId="23872" xr:uid="{00000000-0005-0000-0000-0000073F0000}"/>
    <cellStyle name="Millares 27 2 3 3" xfId="24825" xr:uid="{00000000-0005-0000-0000-0000083F0000}"/>
    <cellStyle name="Millares 27 2 3 4" xfId="25329" xr:uid="{00000000-0005-0000-0000-0000093F0000}"/>
    <cellStyle name="Millares 27 2 3 5" xfId="25833" xr:uid="{00000000-0005-0000-0000-00000A3F0000}"/>
    <cellStyle name="Millares 27 2 3 6" xfId="26337" xr:uid="{00000000-0005-0000-0000-00000B3F0000}"/>
    <cellStyle name="Millares 27 2 3 7" xfId="26841" xr:uid="{00000000-0005-0000-0000-00000C3F0000}"/>
    <cellStyle name="Millares 27 2 3 8" xfId="27345" xr:uid="{00000000-0005-0000-0000-00000D3F0000}"/>
    <cellStyle name="Millares 27 2 3 9" xfId="27849" xr:uid="{00000000-0005-0000-0000-00000E3F0000}"/>
    <cellStyle name="Millares 27 2 4" xfId="13172" xr:uid="{00000000-0005-0000-0000-00000F3F0000}"/>
    <cellStyle name="Millares 27 2 4 10" xfId="28354" xr:uid="{00000000-0005-0000-0000-0000103F0000}"/>
    <cellStyle name="Millares 27 2 4 11" xfId="28858" xr:uid="{00000000-0005-0000-0000-0000113F0000}"/>
    <cellStyle name="Millares 27 2 4 12" xfId="29362" xr:uid="{00000000-0005-0000-0000-0000123F0000}"/>
    <cellStyle name="Millares 27 2 4 13" xfId="29866" xr:uid="{00000000-0005-0000-0000-0000133F0000}"/>
    <cellStyle name="Millares 27 2 4 14" xfId="30370" xr:uid="{00000000-0005-0000-0000-0000143F0000}"/>
    <cellStyle name="Millares 27 2 4 15" xfId="30875" xr:uid="{00000000-0005-0000-0000-0000153F0000}"/>
    <cellStyle name="Millares 27 2 4 2" xfId="23873" xr:uid="{00000000-0005-0000-0000-0000163F0000}"/>
    <cellStyle name="Millares 27 2 4 3" xfId="24826" xr:uid="{00000000-0005-0000-0000-0000173F0000}"/>
    <cellStyle name="Millares 27 2 4 4" xfId="25330" xr:uid="{00000000-0005-0000-0000-0000183F0000}"/>
    <cellStyle name="Millares 27 2 4 5" xfId="25834" xr:uid="{00000000-0005-0000-0000-0000193F0000}"/>
    <cellStyle name="Millares 27 2 4 6" xfId="26338" xr:uid="{00000000-0005-0000-0000-00001A3F0000}"/>
    <cellStyle name="Millares 27 2 4 7" xfId="26842" xr:uid="{00000000-0005-0000-0000-00001B3F0000}"/>
    <cellStyle name="Millares 27 2 4 8" xfId="27346" xr:uid="{00000000-0005-0000-0000-00001C3F0000}"/>
    <cellStyle name="Millares 27 2 4 9" xfId="27850" xr:uid="{00000000-0005-0000-0000-00001D3F0000}"/>
    <cellStyle name="Millares 27 2 5" xfId="23871" xr:uid="{00000000-0005-0000-0000-00001E3F0000}"/>
    <cellStyle name="Millares 27 2 6" xfId="24824" xr:uid="{00000000-0005-0000-0000-00001F3F0000}"/>
    <cellStyle name="Millares 27 2 7" xfId="25328" xr:uid="{00000000-0005-0000-0000-0000203F0000}"/>
    <cellStyle name="Millares 27 2 8" xfId="25832" xr:uid="{00000000-0005-0000-0000-0000213F0000}"/>
    <cellStyle name="Millares 27 2 9" xfId="26336" xr:uid="{00000000-0005-0000-0000-0000223F0000}"/>
    <cellStyle name="Millares 27 3" xfId="13175" xr:uid="{00000000-0005-0000-0000-0000233F0000}"/>
    <cellStyle name="Millares 27 3 2" xfId="23874" xr:uid="{00000000-0005-0000-0000-0000243F0000}"/>
    <cellStyle name="Millares 27 4" xfId="13176" xr:uid="{00000000-0005-0000-0000-0000253F0000}"/>
    <cellStyle name="Millares 27 4 2" xfId="23875" xr:uid="{00000000-0005-0000-0000-0000263F0000}"/>
    <cellStyle name="Millares 27 5" xfId="13177" xr:uid="{00000000-0005-0000-0000-0000273F0000}"/>
    <cellStyle name="Millares 27 6" xfId="13171" xr:uid="{00000000-0005-0000-0000-0000283F0000}"/>
    <cellStyle name="Millares 28" xfId="2237" xr:uid="{00000000-0005-0000-0000-0000293F0000}"/>
    <cellStyle name="Millares 28 2" xfId="3383" xr:uid="{00000000-0005-0000-0000-00002A3F0000}"/>
    <cellStyle name="Millares 28 2 10" xfId="26843" xr:uid="{00000000-0005-0000-0000-00002B3F0000}"/>
    <cellStyle name="Millares 28 2 11" xfId="27347" xr:uid="{00000000-0005-0000-0000-00002C3F0000}"/>
    <cellStyle name="Millares 28 2 12" xfId="27851" xr:uid="{00000000-0005-0000-0000-00002D3F0000}"/>
    <cellStyle name="Millares 28 2 13" xfId="28355" xr:uid="{00000000-0005-0000-0000-00002E3F0000}"/>
    <cellStyle name="Millares 28 2 14" xfId="28859" xr:uid="{00000000-0005-0000-0000-00002F3F0000}"/>
    <cellStyle name="Millares 28 2 15" xfId="29363" xr:uid="{00000000-0005-0000-0000-0000303F0000}"/>
    <cellStyle name="Millares 28 2 16" xfId="29867" xr:uid="{00000000-0005-0000-0000-0000313F0000}"/>
    <cellStyle name="Millares 28 2 17" xfId="30371" xr:uid="{00000000-0005-0000-0000-0000323F0000}"/>
    <cellStyle name="Millares 28 2 18" xfId="30876" xr:uid="{00000000-0005-0000-0000-0000333F0000}"/>
    <cellStyle name="Millares 28 2 2" xfId="6931" xr:uid="{00000000-0005-0000-0000-0000343F0000}"/>
    <cellStyle name="Millares 28 2 2 2" xfId="13180" xr:uid="{00000000-0005-0000-0000-0000353F0000}"/>
    <cellStyle name="Millares 28 2 3" xfId="13181" xr:uid="{00000000-0005-0000-0000-0000363F0000}"/>
    <cellStyle name="Millares 28 2 3 10" xfId="28356" xr:uid="{00000000-0005-0000-0000-0000373F0000}"/>
    <cellStyle name="Millares 28 2 3 11" xfId="28860" xr:uid="{00000000-0005-0000-0000-0000383F0000}"/>
    <cellStyle name="Millares 28 2 3 12" xfId="29364" xr:uid="{00000000-0005-0000-0000-0000393F0000}"/>
    <cellStyle name="Millares 28 2 3 13" xfId="29868" xr:uid="{00000000-0005-0000-0000-00003A3F0000}"/>
    <cellStyle name="Millares 28 2 3 14" xfId="30372" xr:uid="{00000000-0005-0000-0000-00003B3F0000}"/>
    <cellStyle name="Millares 28 2 3 15" xfId="30877" xr:uid="{00000000-0005-0000-0000-00003C3F0000}"/>
    <cellStyle name="Millares 28 2 3 2" xfId="23877" xr:uid="{00000000-0005-0000-0000-00003D3F0000}"/>
    <cellStyle name="Millares 28 2 3 3" xfId="24828" xr:uid="{00000000-0005-0000-0000-00003E3F0000}"/>
    <cellStyle name="Millares 28 2 3 4" xfId="25332" xr:uid="{00000000-0005-0000-0000-00003F3F0000}"/>
    <cellStyle name="Millares 28 2 3 5" xfId="25836" xr:uid="{00000000-0005-0000-0000-0000403F0000}"/>
    <cellStyle name="Millares 28 2 3 6" xfId="26340" xr:uid="{00000000-0005-0000-0000-0000413F0000}"/>
    <cellStyle name="Millares 28 2 3 7" xfId="26844" xr:uid="{00000000-0005-0000-0000-0000423F0000}"/>
    <cellStyle name="Millares 28 2 3 8" xfId="27348" xr:uid="{00000000-0005-0000-0000-0000433F0000}"/>
    <cellStyle name="Millares 28 2 3 9" xfId="27852" xr:uid="{00000000-0005-0000-0000-0000443F0000}"/>
    <cellStyle name="Millares 28 2 4" xfId="13179" xr:uid="{00000000-0005-0000-0000-0000453F0000}"/>
    <cellStyle name="Millares 28 2 4 10" xfId="28357" xr:uid="{00000000-0005-0000-0000-0000463F0000}"/>
    <cellStyle name="Millares 28 2 4 11" xfId="28861" xr:uid="{00000000-0005-0000-0000-0000473F0000}"/>
    <cellStyle name="Millares 28 2 4 12" xfId="29365" xr:uid="{00000000-0005-0000-0000-0000483F0000}"/>
    <cellStyle name="Millares 28 2 4 13" xfId="29869" xr:uid="{00000000-0005-0000-0000-0000493F0000}"/>
    <cellStyle name="Millares 28 2 4 14" xfId="30373" xr:uid="{00000000-0005-0000-0000-00004A3F0000}"/>
    <cellStyle name="Millares 28 2 4 15" xfId="30878" xr:uid="{00000000-0005-0000-0000-00004B3F0000}"/>
    <cellStyle name="Millares 28 2 4 2" xfId="23878" xr:uid="{00000000-0005-0000-0000-00004C3F0000}"/>
    <cellStyle name="Millares 28 2 4 3" xfId="24829" xr:uid="{00000000-0005-0000-0000-00004D3F0000}"/>
    <cellStyle name="Millares 28 2 4 4" xfId="25333" xr:uid="{00000000-0005-0000-0000-00004E3F0000}"/>
    <cellStyle name="Millares 28 2 4 5" xfId="25837" xr:uid="{00000000-0005-0000-0000-00004F3F0000}"/>
    <cellStyle name="Millares 28 2 4 6" xfId="26341" xr:uid="{00000000-0005-0000-0000-0000503F0000}"/>
    <cellStyle name="Millares 28 2 4 7" xfId="26845" xr:uid="{00000000-0005-0000-0000-0000513F0000}"/>
    <cellStyle name="Millares 28 2 4 8" xfId="27349" xr:uid="{00000000-0005-0000-0000-0000523F0000}"/>
    <cellStyle name="Millares 28 2 4 9" xfId="27853" xr:uid="{00000000-0005-0000-0000-0000533F0000}"/>
    <cellStyle name="Millares 28 2 5" xfId="23876" xr:uid="{00000000-0005-0000-0000-0000543F0000}"/>
    <cellStyle name="Millares 28 2 6" xfId="24827" xr:uid="{00000000-0005-0000-0000-0000553F0000}"/>
    <cellStyle name="Millares 28 2 7" xfId="25331" xr:uid="{00000000-0005-0000-0000-0000563F0000}"/>
    <cellStyle name="Millares 28 2 8" xfId="25835" xr:uid="{00000000-0005-0000-0000-0000573F0000}"/>
    <cellStyle name="Millares 28 2 9" xfId="26339" xr:uid="{00000000-0005-0000-0000-0000583F0000}"/>
    <cellStyle name="Millares 28 3" xfId="13182" xr:uid="{00000000-0005-0000-0000-0000593F0000}"/>
    <cellStyle name="Millares 28 3 2" xfId="23879" xr:uid="{00000000-0005-0000-0000-00005A3F0000}"/>
    <cellStyle name="Millares 28 4" xfId="13183" xr:uid="{00000000-0005-0000-0000-00005B3F0000}"/>
    <cellStyle name="Millares 28 4 2" xfId="23880" xr:uid="{00000000-0005-0000-0000-00005C3F0000}"/>
    <cellStyle name="Millares 28 5" xfId="13184" xr:uid="{00000000-0005-0000-0000-00005D3F0000}"/>
    <cellStyle name="Millares 28 6" xfId="13178" xr:uid="{00000000-0005-0000-0000-00005E3F0000}"/>
    <cellStyle name="Millares 29" xfId="2238" xr:uid="{00000000-0005-0000-0000-00005F3F0000}"/>
    <cellStyle name="Millares 29 2" xfId="3384" xr:uid="{00000000-0005-0000-0000-0000603F0000}"/>
    <cellStyle name="Millares 29 2 10" xfId="26846" xr:uid="{00000000-0005-0000-0000-0000613F0000}"/>
    <cellStyle name="Millares 29 2 11" xfId="27350" xr:uid="{00000000-0005-0000-0000-0000623F0000}"/>
    <cellStyle name="Millares 29 2 12" xfId="27854" xr:uid="{00000000-0005-0000-0000-0000633F0000}"/>
    <cellStyle name="Millares 29 2 13" xfId="28358" xr:uid="{00000000-0005-0000-0000-0000643F0000}"/>
    <cellStyle name="Millares 29 2 14" xfId="28862" xr:uid="{00000000-0005-0000-0000-0000653F0000}"/>
    <cellStyle name="Millares 29 2 15" xfId="29366" xr:uid="{00000000-0005-0000-0000-0000663F0000}"/>
    <cellStyle name="Millares 29 2 16" xfId="29870" xr:uid="{00000000-0005-0000-0000-0000673F0000}"/>
    <cellStyle name="Millares 29 2 17" xfId="30374" xr:uid="{00000000-0005-0000-0000-0000683F0000}"/>
    <cellStyle name="Millares 29 2 18" xfId="30879" xr:uid="{00000000-0005-0000-0000-0000693F0000}"/>
    <cellStyle name="Millares 29 2 2" xfId="6932" xr:uid="{00000000-0005-0000-0000-00006A3F0000}"/>
    <cellStyle name="Millares 29 2 2 2" xfId="13187" xr:uid="{00000000-0005-0000-0000-00006B3F0000}"/>
    <cellStyle name="Millares 29 2 3" xfId="13188" xr:uid="{00000000-0005-0000-0000-00006C3F0000}"/>
    <cellStyle name="Millares 29 2 3 10" xfId="28359" xr:uid="{00000000-0005-0000-0000-00006D3F0000}"/>
    <cellStyle name="Millares 29 2 3 11" xfId="28863" xr:uid="{00000000-0005-0000-0000-00006E3F0000}"/>
    <cellStyle name="Millares 29 2 3 12" xfId="29367" xr:uid="{00000000-0005-0000-0000-00006F3F0000}"/>
    <cellStyle name="Millares 29 2 3 13" xfId="29871" xr:uid="{00000000-0005-0000-0000-0000703F0000}"/>
    <cellStyle name="Millares 29 2 3 14" xfId="30375" xr:uid="{00000000-0005-0000-0000-0000713F0000}"/>
    <cellStyle name="Millares 29 2 3 15" xfId="30880" xr:uid="{00000000-0005-0000-0000-0000723F0000}"/>
    <cellStyle name="Millares 29 2 3 2" xfId="23882" xr:uid="{00000000-0005-0000-0000-0000733F0000}"/>
    <cellStyle name="Millares 29 2 3 3" xfId="24831" xr:uid="{00000000-0005-0000-0000-0000743F0000}"/>
    <cellStyle name="Millares 29 2 3 4" xfId="25335" xr:uid="{00000000-0005-0000-0000-0000753F0000}"/>
    <cellStyle name="Millares 29 2 3 5" xfId="25839" xr:uid="{00000000-0005-0000-0000-0000763F0000}"/>
    <cellStyle name="Millares 29 2 3 6" xfId="26343" xr:uid="{00000000-0005-0000-0000-0000773F0000}"/>
    <cellStyle name="Millares 29 2 3 7" xfId="26847" xr:uid="{00000000-0005-0000-0000-0000783F0000}"/>
    <cellStyle name="Millares 29 2 3 8" xfId="27351" xr:uid="{00000000-0005-0000-0000-0000793F0000}"/>
    <cellStyle name="Millares 29 2 3 9" xfId="27855" xr:uid="{00000000-0005-0000-0000-00007A3F0000}"/>
    <cellStyle name="Millares 29 2 4" xfId="13186" xr:uid="{00000000-0005-0000-0000-00007B3F0000}"/>
    <cellStyle name="Millares 29 2 4 10" xfId="28360" xr:uid="{00000000-0005-0000-0000-00007C3F0000}"/>
    <cellStyle name="Millares 29 2 4 11" xfId="28864" xr:uid="{00000000-0005-0000-0000-00007D3F0000}"/>
    <cellStyle name="Millares 29 2 4 12" xfId="29368" xr:uid="{00000000-0005-0000-0000-00007E3F0000}"/>
    <cellStyle name="Millares 29 2 4 13" xfId="29872" xr:uid="{00000000-0005-0000-0000-00007F3F0000}"/>
    <cellStyle name="Millares 29 2 4 14" xfId="30376" xr:uid="{00000000-0005-0000-0000-0000803F0000}"/>
    <cellStyle name="Millares 29 2 4 15" xfId="30881" xr:uid="{00000000-0005-0000-0000-0000813F0000}"/>
    <cellStyle name="Millares 29 2 4 2" xfId="23883" xr:uid="{00000000-0005-0000-0000-0000823F0000}"/>
    <cellStyle name="Millares 29 2 4 3" xfId="24832" xr:uid="{00000000-0005-0000-0000-0000833F0000}"/>
    <cellStyle name="Millares 29 2 4 4" xfId="25336" xr:uid="{00000000-0005-0000-0000-0000843F0000}"/>
    <cellStyle name="Millares 29 2 4 5" xfId="25840" xr:uid="{00000000-0005-0000-0000-0000853F0000}"/>
    <cellStyle name="Millares 29 2 4 6" xfId="26344" xr:uid="{00000000-0005-0000-0000-0000863F0000}"/>
    <cellStyle name="Millares 29 2 4 7" xfId="26848" xr:uid="{00000000-0005-0000-0000-0000873F0000}"/>
    <cellStyle name="Millares 29 2 4 8" xfId="27352" xr:uid="{00000000-0005-0000-0000-0000883F0000}"/>
    <cellStyle name="Millares 29 2 4 9" xfId="27856" xr:uid="{00000000-0005-0000-0000-0000893F0000}"/>
    <cellStyle name="Millares 29 2 5" xfId="23881" xr:uid="{00000000-0005-0000-0000-00008A3F0000}"/>
    <cellStyle name="Millares 29 2 6" xfId="24830" xr:uid="{00000000-0005-0000-0000-00008B3F0000}"/>
    <cellStyle name="Millares 29 2 7" xfId="25334" xr:uid="{00000000-0005-0000-0000-00008C3F0000}"/>
    <cellStyle name="Millares 29 2 8" xfId="25838" xr:uid="{00000000-0005-0000-0000-00008D3F0000}"/>
    <cellStyle name="Millares 29 2 9" xfId="26342" xr:uid="{00000000-0005-0000-0000-00008E3F0000}"/>
    <cellStyle name="Millares 29 3" xfId="13189" xr:uid="{00000000-0005-0000-0000-00008F3F0000}"/>
    <cellStyle name="Millares 29 3 2" xfId="23884" xr:uid="{00000000-0005-0000-0000-0000903F0000}"/>
    <cellStyle name="Millares 29 4" xfId="13190" xr:uid="{00000000-0005-0000-0000-0000913F0000}"/>
    <cellStyle name="Millares 29 4 2" xfId="23885" xr:uid="{00000000-0005-0000-0000-0000923F0000}"/>
    <cellStyle name="Millares 29 5" xfId="13191" xr:uid="{00000000-0005-0000-0000-0000933F0000}"/>
    <cellStyle name="Millares 29 6" xfId="13185" xr:uid="{00000000-0005-0000-0000-0000943F0000}"/>
    <cellStyle name="Millares 3" xfId="425" xr:uid="{00000000-0005-0000-0000-0000953F0000}"/>
    <cellStyle name="Millares 3 10" xfId="13193" xr:uid="{00000000-0005-0000-0000-0000963F0000}"/>
    <cellStyle name="Millares 3 11" xfId="13194" xr:uid="{00000000-0005-0000-0000-0000973F0000}"/>
    <cellStyle name="Millares 3 12" xfId="13195" xr:uid="{00000000-0005-0000-0000-0000983F0000}"/>
    <cellStyle name="Millares 3 13" xfId="13192" xr:uid="{00000000-0005-0000-0000-0000993F0000}"/>
    <cellStyle name="Millares 3 14" xfId="23012" xr:uid="{00000000-0005-0000-0000-00009A3F0000}"/>
    <cellStyle name="Millares 3 15" xfId="31144" xr:uid="{7EB65FF2-EA4F-470A-983C-BA5AF87D9841}"/>
    <cellStyle name="Millares 3 16" xfId="32007" xr:uid="{68482E63-575A-4BA7-8AFF-EBABFE4499C2}"/>
    <cellStyle name="Millares 3 2" xfId="644" xr:uid="{00000000-0005-0000-0000-00009B3F0000}"/>
    <cellStyle name="Millares 3 2 2" xfId="2241" xr:uid="{00000000-0005-0000-0000-00009C3F0000}"/>
    <cellStyle name="Millares 3 2 2 2" xfId="3386" xr:uid="{00000000-0005-0000-0000-00009D3F0000}"/>
    <cellStyle name="Millares 3 2 2 2 2" xfId="6934" xr:uid="{00000000-0005-0000-0000-00009E3F0000}"/>
    <cellStyle name="Millares 3 2 2 2 2 2" xfId="13199" xr:uid="{00000000-0005-0000-0000-00009F3F0000}"/>
    <cellStyle name="Millares 3 2 2 2 2 3" xfId="23016" xr:uid="{00000000-0005-0000-0000-0000A03F0000}"/>
    <cellStyle name="Millares 3 2 2 2 2 4" xfId="23887" xr:uid="{00000000-0005-0000-0000-0000A13F0000}"/>
    <cellStyle name="Millares 3 2 2 2 3" xfId="13200" xr:uid="{00000000-0005-0000-0000-0000A23F0000}"/>
    <cellStyle name="Millares 3 2 2 2 3 2" xfId="23888" xr:uid="{00000000-0005-0000-0000-0000A33F0000}"/>
    <cellStyle name="Millares 3 2 2 2 4" xfId="13201" xr:uid="{00000000-0005-0000-0000-0000A43F0000}"/>
    <cellStyle name="Millares 3 2 2 2 5" xfId="13198" xr:uid="{00000000-0005-0000-0000-0000A53F0000}"/>
    <cellStyle name="Millares 3 2 2 2 6" xfId="23015" xr:uid="{00000000-0005-0000-0000-0000A63F0000}"/>
    <cellStyle name="Millares 3 2 2 2 7" xfId="23886" xr:uid="{00000000-0005-0000-0000-0000A73F0000}"/>
    <cellStyle name="Millares 3 2 2 3" xfId="3387" xr:uid="{00000000-0005-0000-0000-0000A83F0000}"/>
    <cellStyle name="Millares 3 2 2 3 2" xfId="13203" xr:uid="{00000000-0005-0000-0000-0000A93F0000}"/>
    <cellStyle name="Millares 3 2 2 3 3" xfId="13202" xr:uid="{00000000-0005-0000-0000-0000AA3F0000}"/>
    <cellStyle name="Millares 3 2 2 3 4" xfId="23017" xr:uid="{00000000-0005-0000-0000-0000AB3F0000}"/>
    <cellStyle name="Millares 3 2 2 4" xfId="4293" xr:uid="{00000000-0005-0000-0000-0000AC3F0000}"/>
    <cellStyle name="Millares 3 2 2 4 2" xfId="13204" xr:uid="{00000000-0005-0000-0000-0000AD3F0000}"/>
    <cellStyle name="Millares 3 2 2 5" xfId="3385" xr:uid="{00000000-0005-0000-0000-0000AE3F0000}"/>
    <cellStyle name="Millares 3 2 2 5 2" xfId="13205" xr:uid="{00000000-0005-0000-0000-0000AF3F0000}"/>
    <cellStyle name="Millares 3 2 2 6" xfId="6933" xr:uid="{00000000-0005-0000-0000-0000B03F0000}"/>
    <cellStyle name="Millares 3 2 2 6 2" xfId="13197" xr:uid="{00000000-0005-0000-0000-0000B13F0000}"/>
    <cellStyle name="Millares 3 2 2 7" xfId="23014" xr:uid="{00000000-0005-0000-0000-0000B23F0000}"/>
    <cellStyle name="Millares 3 2 2 8" xfId="31230" xr:uid="{35199DCC-E8DB-4863-BE5F-A2491FF37CB0}"/>
    <cellStyle name="Millares 3 2 3" xfId="2242" xr:uid="{00000000-0005-0000-0000-0000B33F0000}"/>
    <cellStyle name="Millares 3 2 3 2" xfId="3388" xr:uid="{00000000-0005-0000-0000-0000B43F0000}"/>
    <cellStyle name="Millares 3 2 3 2 2" xfId="13208" xr:uid="{00000000-0005-0000-0000-0000B53F0000}"/>
    <cellStyle name="Millares 3 2 3 2 3" xfId="13207" xr:uid="{00000000-0005-0000-0000-0000B63F0000}"/>
    <cellStyle name="Millares 3 2 3 2 4" xfId="23019" xr:uid="{00000000-0005-0000-0000-0000B73F0000}"/>
    <cellStyle name="Millares 3 2 3 3" xfId="13209" xr:uid="{00000000-0005-0000-0000-0000B83F0000}"/>
    <cellStyle name="Millares 3 2 3 4" xfId="13210" xr:uid="{00000000-0005-0000-0000-0000B93F0000}"/>
    <cellStyle name="Millares 3 2 3 5" xfId="13206" xr:uid="{00000000-0005-0000-0000-0000BA3F0000}"/>
    <cellStyle name="Millares 3 2 3 6" xfId="23018" xr:uid="{00000000-0005-0000-0000-0000BB3F0000}"/>
    <cellStyle name="Millares 3 2 4" xfId="2240" xr:uid="{00000000-0005-0000-0000-0000BC3F0000}"/>
    <cellStyle name="Millares 3 2 4 2" xfId="4292" xr:uid="{00000000-0005-0000-0000-0000BD3F0000}"/>
    <cellStyle name="Millares 3 2 4 2 2" xfId="13212" xr:uid="{00000000-0005-0000-0000-0000BE3F0000}"/>
    <cellStyle name="Millares 3 2 4 2 3" xfId="23021" xr:uid="{00000000-0005-0000-0000-0000BF3F0000}"/>
    <cellStyle name="Millares 3 2 4 2 4" xfId="23889" xr:uid="{00000000-0005-0000-0000-0000C03F0000}"/>
    <cellStyle name="Millares 3 2 4 3" xfId="3389" xr:uid="{00000000-0005-0000-0000-0000C13F0000}"/>
    <cellStyle name="Millares 3 2 4 3 2" xfId="13213" xr:uid="{00000000-0005-0000-0000-0000C23F0000}"/>
    <cellStyle name="Millares 3 2 4 4" xfId="6935" xr:uid="{00000000-0005-0000-0000-0000C33F0000}"/>
    <cellStyle name="Millares 3 2 4 4 2" xfId="13214" xr:uid="{00000000-0005-0000-0000-0000C43F0000}"/>
    <cellStyle name="Millares 3 2 4 5" xfId="13211" xr:uid="{00000000-0005-0000-0000-0000C53F0000}"/>
    <cellStyle name="Millares 3 2 4 6" xfId="23020" xr:uid="{00000000-0005-0000-0000-0000C63F0000}"/>
    <cellStyle name="Millares 3 2 5" xfId="13215" xr:uid="{00000000-0005-0000-0000-0000C73F0000}"/>
    <cellStyle name="Millares 3 2 6" xfId="13196" xr:uid="{00000000-0005-0000-0000-0000C83F0000}"/>
    <cellStyle name="Millares 3 2 7" xfId="23013" xr:uid="{00000000-0005-0000-0000-0000C93F0000}"/>
    <cellStyle name="Millares 3 2 8" xfId="31145" xr:uid="{5D82B143-6A6F-44A4-A250-2D8CDC6972B2}"/>
    <cellStyle name="Millares 3 3" xfId="1261" xr:uid="{00000000-0005-0000-0000-0000CA3F0000}"/>
    <cellStyle name="Millares 3 3 10" xfId="31146" xr:uid="{0DA319DF-E26D-4082-9600-82C6F79664E4}"/>
    <cellStyle name="Millares 3 3 2" xfId="2243" xr:uid="{00000000-0005-0000-0000-0000CB3F0000}"/>
    <cellStyle name="Millares 3 3 2 2" xfId="4294" xr:uid="{00000000-0005-0000-0000-0000CC3F0000}"/>
    <cellStyle name="Millares 3 3 2 2 10" xfId="27353" xr:uid="{00000000-0005-0000-0000-0000CD3F0000}"/>
    <cellStyle name="Millares 3 3 2 2 11" xfId="27857" xr:uid="{00000000-0005-0000-0000-0000CE3F0000}"/>
    <cellStyle name="Millares 3 3 2 2 12" xfId="28361" xr:uid="{00000000-0005-0000-0000-0000CF3F0000}"/>
    <cellStyle name="Millares 3 3 2 2 13" xfId="28865" xr:uid="{00000000-0005-0000-0000-0000D03F0000}"/>
    <cellStyle name="Millares 3 3 2 2 14" xfId="29369" xr:uid="{00000000-0005-0000-0000-0000D13F0000}"/>
    <cellStyle name="Millares 3 3 2 2 15" xfId="29873" xr:uid="{00000000-0005-0000-0000-0000D23F0000}"/>
    <cellStyle name="Millares 3 3 2 2 16" xfId="30377" xr:uid="{00000000-0005-0000-0000-0000D33F0000}"/>
    <cellStyle name="Millares 3 3 2 2 17" xfId="30882" xr:uid="{00000000-0005-0000-0000-0000D43F0000}"/>
    <cellStyle name="Millares 3 3 2 2 18" xfId="31148" xr:uid="{A35B7FFF-D145-4F8A-B51E-55277E6356A7}"/>
    <cellStyle name="Millares 3 3 2 2 2" xfId="13218" xr:uid="{00000000-0005-0000-0000-0000D53F0000}"/>
    <cellStyle name="Millares 3 3 2 2 2 10" xfId="27858" xr:uid="{00000000-0005-0000-0000-0000D63F0000}"/>
    <cellStyle name="Millares 3 3 2 2 2 11" xfId="28362" xr:uid="{00000000-0005-0000-0000-0000D73F0000}"/>
    <cellStyle name="Millares 3 3 2 2 2 12" xfId="28866" xr:uid="{00000000-0005-0000-0000-0000D83F0000}"/>
    <cellStyle name="Millares 3 3 2 2 2 13" xfId="29370" xr:uid="{00000000-0005-0000-0000-0000D93F0000}"/>
    <cellStyle name="Millares 3 3 2 2 2 14" xfId="29874" xr:uid="{00000000-0005-0000-0000-0000DA3F0000}"/>
    <cellStyle name="Millares 3 3 2 2 2 15" xfId="30378" xr:uid="{00000000-0005-0000-0000-0000DB3F0000}"/>
    <cellStyle name="Millares 3 3 2 2 2 16" xfId="30883" xr:uid="{00000000-0005-0000-0000-0000DC3F0000}"/>
    <cellStyle name="Millares 3 3 2 2 2 17" xfId="31170" xr:uid="{F961ABEA-0CF6-4ECD-9FB6-B9AFD0F7D822}"/>
    <cellStyle name="Millares 3 3 2 2 2 2" xfId="23024" xr:uid="{00000000-0005-0000-0000-0000DD3F0000}"/>
    <cellStyle name="Millares 3 3 2 2 2 2 2" xfId="31273" xr:uid="{8A57AFDB-FCBF-4281-9101-7B6CBF1357B1}"/>
    <cellStyle name="Millares 3 3 2 2 2 2 2 2" xfId="31374" xr:uid="{20F1C7D6-101D-4B2A-B63A-8AF5A1E4B5F9}"/>
    <cellStyle name="Millares 3 3 2 2 2 2 2 2 2" xfId="31576" xr:uid="{CBC6F0CC-6BE7-41D6-9D0D-C71E74A00800}"/>
    <cellStyle name="Millares 3 3 2 2 2 2 2 2 2 2" xfId="31980" xr:uid="{1A037C31-3C7E-4184-AB5E-EDE02C3FEC9C}"/>
    <cellStyle name="Millares 3 3 2 2 2 2 2 2 3" xfId="31778" xr:uid="{372CC7E3-AEC8-4A38-9638-86E191D2F062}"/>
    <cellStyle name="Millares 3 3 2 2 2 2 2 3" xfId="31475" xr:uid="{C4E23422-736D-4462-948B-6594A33B0816}"/>
    <cellStyle name="Millares 3 3 2 2 2 2 2 3 2" xfId="31879" xr:uid="{70AECE12-EEE2-40E3-993C-0237B7EE3592}"/>
    <cellStyle name="Millares 3 3 2 2 2 2 2 4" xfId="31677" xr:uid="{8E0B2C55-904A-40A7-92B3-E25E7274D19A}"/>
    <cellStyle name="Millares 3 3 2 2 2 2 3" xfId="31323" xr:uid="{D10E5FBA-69DE-4788-B040-8A63A0948206}"/>
    <cellStyle name="Millares 3 3 2 2 2 2 3 2" xfId="31525" xr:uid="{BFB28F87-975E-4430-9DE5-596E7ABA3DF6}"/>
    <cellStyle name="Millares 3 3 2 2 2 2 3 2 2" xfId="31929" xr:uid="{A2E5DA7B-0C87-4551-8C9F-887D7C1F4612}"/>
    <cellStyle name="Millares 3 3 2 2 2 2 3 3" xfId="31727" xr:uid="{A9086161-80B9-42CC-AE34-7032C6A2371C}"/>
    <cellStyle name="Millares 3 3 2 2 2 2 4" xfId="31424" xr:uid="{EC6382F5-6E32-4CA1-BC77-1C63D5102F54}"/>
    <cellStyle name="Millares 3 3 2 2 2 2 4 2" xfId="31828" xr:uid="{0AD0EB19-D1FF-40B8-A69A-BB2B7610E2F7}"/>
    <cellStyle name="Millares 3 3 2 2 2 2 5" xfId="31626" xr:uid="{EB7E4860-B317-4AA7-81B9-38D4C6090B79}"/>
    <cellStyle name="Millares 3 3 2 2 2 2 6" xfId="31199" xr:uid="{1235BF3E-9657-47EC-BD92-8AEA687B714F}"/>
    <cellStyle name="Millares 3 3 2 2 2 3" xfId="23892" xr:uid="{00000000-0005-0000-0000-0000DE3F0000}"/>
    <cellStyle name="Millares 3 3 2 2 2 3 2" xfId="31349" xr:uid="{3F6EB812-8E04-4CC8-8BCC-66A4D916FD2B}"/>
    <cellStyle name="Millares 3 3 2 2 2 3 2 2" xfId="31551" xr:uid="{7AA06585-B8FC-44CC-AE81-547139EA1EC7}"/>
    <cellStyle name="Millares 3 3 2 2 2 3 2 2 2" xfId="31955" xr:uid="{45AA53B3-7127-4ABD-AA96-FB8E840203C7}"/>
    <cellStyle name="Millares 3 3 2 2 2 3 2 3" xfId="31753" xr:uid="{8A344EC7-2217-4B2D-BFC2-6CBDD9552783}"/>
    <cellStyle name="Millares 3 3 2 2 2 3 3" xfId="31450" xr:uid="{726E1994-275E-43D5-B164-E7449E6984B2}"/>
    <cellStyle name="Millares 3 3 2 2 2 3 3 2" xfId="31854" xr:uid="{2EFDF98E-9580-41BB-85CD-33505DA33840}"/>
    <cellStyle name="Millares 3 3 2 2 2 3 4" xfId="31652" xr:uid="{295C7F4E-190E-49FC-923B-E92962CA36FF}"/>
    <cellStyle name="Millares 3 3 2 2 2 3 5" xfId="31248" xr:uid="{CA761EC3-2FBE-4871-9261-4F265D7CA8E8}"/>
    <cellStyle name="Millares 3 3 2 2 2 4" xfId="24834" xr:uid="{00000000-0005-0000-0000-0000DF3F0000}"/>
    <cellStyle name="Millares 3 3 2 2 2 4 2" xfId="31500" xr:uid="{4138F857-E4A5-424D-B220-553F8C6AB497}"/>
    <cellStyle name="Millares 3 3 2 2 2 4 2 2" xfId="31904" xr:uid="{5A9C13AB-4BA0-4583-80C8-6EFDBBE05F74}"/>
    <cellStyle name="Millares 3 3 2 2 2 4 3" xfId="31702" xr:uid="{CC57AD8C-6570-4A90-8118-3C939F0C6C62}"/>
    <cellStyle name="Millares 3 3 2 2 2 4 4" xfId="31298" xr:uid="{AF46F5CB-61BC-44E6-8E9E-7FCEFFCFE856}"/>
    <cellStyle name="Millares 3 3 2 2 2 5" xfId="25338" xr:uid="{00000000-0005-0000-0000-0000E03F0000}"/>
    <cellStyle name="Millares 3 3 2 2 2 5 2" xfId="31803" xr:uid="{D9B69393-8C29-47BD-BF1B-32779B38945D}"/>
    <cellStyle name="Millares 3 3 2 2 2 5 3" xfId="31399" xr:uid="{D8BBE975-572F-48A0-AE9E-E0228CB65038}"/>
    <cellStyle name="Millares 3 3 2 2 2 6" xfId="25842" xr:uid="{00000000-0005-0000-0000-0000E13F0000}"/>
    <cellStyle name="Millares 3 3 2 2 2 6 2" xfId="31601" xr:uid="{B2C8D451-CCAB-4F1A-8156-5A7C2431192E}"/>
    <cellStyle name="Millares 3 3 2 2 2 7" xfId="26346" xr:uid="{00000000-0005-0000-0000-0000E23F0000}"/>
    <cellStyle name="Millares 3 3 2 2 2 8" xfId="26850" xr:uid="{00000000-0005-0000-0000-0000E33F0000}"/>
    <cellStyle name="Millares 3 3 2 2 2 9" xfId="27354" xr:uid="{00000000-0005-0000-0000-0000E43F0000}"/>
    <cellStyle name="Millares 3 3 2 2 3" xfId="23023" xr:uid="{00000000-0005-0000-0000-0000E53F0000}"/>
    <cellStyle name="Millares 3 3 2 2 3 10" xfId="28363" xr:uid="{00000000-0005-0000-0000-0000E63F0000}"/>
    <cellStyle name="Millares 3 3 2 2 3 11" xfId="28867" xr:uid="{00000000-0005-0000-0000-0000E73F0000}"/>
    <cellStyle name="Millares 3 3 2 2 3 12" xfId="29371" xr:uid="{00000000-0005-0000-0000-0000E83F0000}"/>
    <cellStyle name="Millares 3 3 2 2 3 13" xfId="29875" xr:uid="{00000000-0005-0000-0000-0000E93F0000}"/>
    <cellStyle name="Millares 3 3 2 2 3 14" xfId="30379" xr:uid="{00000000-0005-0000-0000-0000EA3F0000}"/>
    <cellStyle name="Millares 3 3 2 2 3 15" xfId="30884" xr:uid="{00000000-0005-0000-0000-0000EB3F0000}"/>
    <cellStyle name="Millares 3 3 2 2 3 16" xfId="31186" xr:uid="{26FB1A40-17F6-4458-82D1-9ABA49ABDF0A}"/>
    <cellStyle name="Millares 3 3 2 2 3 2" xfId="23893" xr:uid="{00000000-0005-0000-0000-0000EC3F0000}"/>
    <cellStyle name="Millares 3 3 2 2 3 2 2" xfId="31361" xr:uid="{0CAA6FB9-9A28-4EC6-9645-BE2D5F36961C}"/>
    <cellStyle name="Millares 3 3 2 2 3 2 2 2" xfId="31563" xr:uid="{4FDEFE0C-78C4-4716-8F44-BFEAEF1C2231}"/>
    <cellStyle name="Millares 3 3 2 2 3 2 2 2 2" xfId="31967" xr:uid="{44CF15A2-C2FC-45E1-84BE-E5621C3DE290}"/>
    <cellStyle name="Millares 3 3 2 2 3 2 2 3" xfId="31765" xr:uid="{4C96F75E-BDF6-4AF7-83EB-9FEA2EEF71B9}"/>
    <cellStyle name="Millares 3 3 2 2 3 2 3" xfId="31462" xr:uid="{672DFA7F-7443-4F9E-842F-44650C34A539}"/>
    <cellStyle name="Millares 3 3 2 2 3 2 3 2" xfId="31866" xr:uid="{22355DCC-067D-496B-B810-98A32CB6998B}"/>
    <cellStyle name="Millares 3 3 2 2 3 2 4" xfId="31664" xr:uid="{D5357E79-C652-4768-86FB-867095C26ACB}"/>
    <cellStyle name="Millares 3 3 2 2 3 2 5" xfId="31260" xr:uid="{805CEE22-3F3E-4378-99D8-054E04226DBE}"/>
    <cellStyle name="Millares 3 3 2 2 3 3" xfId="24835" xr:uid="{00000000-0005-0000-0000-0000ED3F0000}"/>
    <cellStyle name="Millares 3 3 2 2 3 3 2" xfId="31512" xr:uid="{DB92B7C9-C999-4AC4-AF41-6B87DD6D8ABB}"/>
    <cellStyle name="Millares 3 3 2 2 3 3 2 2" xfId="31916" xr:uid="{6A09141E-F059-4BFD-8D26-4C961370FF47}"/>
    <cellStyle name="Millares 3 3 2 2 3 3 3" xfId="31714" xr:uid="{F390CDEE-EB25-4E27-BE16-767853389623}"/>
    <cellStyle name="Millares 3 3 2 2 3 3 4" xfId="31310" xr:uid="{0B926C0D-C328-48F4-8DE7-D62FC216EA92}"/>
    <cellStyle name="Millares 3 3 2 2 3 4" xfId="25339" xr:uid="{00000000-0005-0000-0000-0000EE3F0000}"/>
    <cellStyle name="Millares 3 3 2 2 3 4 2" xfId="31815" xr:uid="{12320C1A-B399-4877-93F9-99CCF4F89D59}"/>
    <cellStyle name="Millares 3 3 2 2 3 4 3" xfId="31411" xr:uid="{CF669EF7-D5FC-440B-8E2E-A6A7B69131DE}"/>
    <cellStyle name="Millares 3 3 2 2 3 5" xfId="25843" xr:uid="{00000000-0005-0000-0000-0000EF3F0000}"/>
    <cellStyle name="Millares 3 3 2 2 3 5 2" xfId="31613" xr:uid="{6E8AE2EF-0458-4506-9806-6E338390BDFD}"/>
    <cellStyle name="Millares 3 3 2 2 3 6" xfId="26347" xr:uid="{00000000-0005-0000-0000-0000F03F0000}"/>
    <cellStyle name="Millares 3 3 2 2 3 7" xfId="26851" xr:uid="{00000000-0005-0000-0000-0000F13F0000}"/>
    <cellStyle name="Millares 3 3 2 2 3 8" xfId="27355" xr:uid="{00000000-0005-0000-0000-0000F23F0000}"/>
    <cellStyle name="Millares 3 3 2 2 3 9" xfId="27859" xr:uid="{00000000-0005-0000-0000-0000F33F0000}"/>
    <cellStyle name="Millares 3 3 2 2 4" xfId="23891" xr:uid="{00000000-0005-0000-0000-0000F43F0000}"/>
    <cellStyle name="Millares 3 3 2 2 4 2" xfId="31336" xr:uid="{2B810D09-9C22-4C1F-81B2-3AD7BF8C2304}"/>
    <cellStyle name="Millares 3 3 2 2 4 2 2" xfId="31538" xr:uid="{8AE64009-5895-4CFD-B8C8-0109FF2C3A82}"/>
    <cellStyle name="Millares 3 3 2 2 4 2 2 2" xfId="31942" xr:uid="{1F0519E6-5A46-4DC5-A3D3-D8E8E0F6C72F}"/>
    <cellStyle name="Millares 3 3 2 2 4 2 3" xfId="31740" xr:uid="{B87D962E-2566-4D8F-BF5C-580145AC8BCA}"/>
    <cellStyle name="Millares 3 3 2 2 4 3" xfId="31437" xr:uid="{7C89D7CF-5BC0-4A23-A48A-DD4B39F08242}"/>
    <cellStyle name="Millares 3 3 2 2 4 3 2" xfId="31841" xr:uid="{0D7B8C18-4E7C-4112-B966-1B895FD95406}"/>
    <cellStyle name="Millares 3 3 2 2 4 4" xfId="31639" xr:uid="{B146129F-8F7F-4D5E-8506-45D3C16EA599}"/>
    <cellStyle name="Millares 3 3 2 2 4 5" xfId="31233" xr:uid="{932B67C9-B60B-4800-BBA8-FCC036FEC71A}"/>
    <cellStyle name="Millares 3 3 2 2 5" xfId="24833" xr:uid="{00000000-0005-0000-0000-0000F53F0000}"/>
    <cellStyle name="Millares 3 3 2 2 5 2" xfId="31487" xr:uid="{01E3559A-F3F6-46A8-A152-BFDD3FDA6B7E}"/>
    <cellStyle name="Millares 3 3 2 2 5 2 2" xfId="31891" xr:uid="{67A95F89-648C-4A0F-9A24-7A934CC7ACE6}"/>
    <cellStyle name="Millares 3 3 2 2 5 3" xfId="31689" xr:uid="{0742C7C0-47E9-484E-819E-2858274D5557}"/>
    <cellStyle name="Millares 3 3 2 2 5 4" xfId="31285" xr:uid="{DB03BFB5-0ABB-4007-BCFE-BDBF7987FE70}"/>
    <cellStyle name="Millares 3 3 2 2 6" xfId="25337" xr:uid="{00000000-0005-0000-0000-0000F63F0000}"/>
    <cellStyle name="Millares 3 3 2 2 6 2" xfId="31790" xr:uid="{29CD2783-6BB2-49F8-9309-4B0008DA09C0}"/>
    <cellStyle name="Millares 3 3 2 2 6 3" xfId="31386" xr:uid="{DE43CE5B-6C35-40C4-AE5B-EF0FC313E6FA}"/>
    <cellStyle name="Millares 3 3 2 2 7" xfId="25841" xr:uid="{00000000-0005-0000-0000-0000F73F0000}"/>
    <cellStyle name="Millares 3 3 2 2 7 2" xfId="31588" xr:uid="{FABD5245-0682-4D1E-9539-5F0533F2D781}"/>
    <cellStyle name="Millares 3 3 2 2 8" xfId="26345" xr:uid="{00000000-0005-0000-0000-0000F83F0000}"/>
    <cellStyle name="Millares 3 3 2 2 9" xfId="26849" xr:uid="{00000000-0005-0000-0000-0000F93F0000}"/>
    <cellStyle name="Millares 3 3 2 3" xfId="3391" xr:uid="{00000000-0005-0000-0000-0000FA3F0000}"/>
    <cellStyle name="Millares 3 3 2 3 2" xfId="13219" xr:uid="{00000000-0005-0000-0000-0000FB3F0000}"/>
    <cellStyle name="Millares 3 3 2 3 2 2" xfId="31272" xr:uid="{AA7C6594-8059-4102-A7CC-4C1BD4D62538}"/>
    <cellStyle name="Millares 3 3 2 3 2 2 2" xfId="31373" xr:uid="{D918D27E-DCD7-4F7D-893E-DEE072B5F9A9}"/>
    <cellStyle name="Millares 3 3 2 3 2 2 2 2" xfId="31575" xr:uid="{2F1614AD-17BD-497B-86D0-903EF7D1FBC7}"/>
    <cellStyle name="Millares 3 3 2 3 2 2 2 2 2" xfId="31979" xr:uid="{EAB9DC5C-BA13-4546-B0AB-975601579F2D}"/>
    <cellStyle name="Millares 3 3 2 3 2 2 2 3" xfId="31777" xr:uid="{805ECC9F-9F3C-4FA6-A5BF-748790EB8E5F}"/>
    <cellStyle name="Millares 3 3 2 3 2 2 3" xfId="31474" xr:uid="{622DF236-30AD-4CE4-B15B-50C883F6E5A3}"/>
    <cellStyle name="Millares 3 3 2 3 2 2 3 2" xfId="31878" xr:uid="{E7978A11-29E7-4CBB-92DB-2E6F95381102}"/>
    <cellStyle name="Millares 3 3 2 3 2 2 4" xfId="31676" xr:uid="{1AE01054-C121-4692-8F95-443C272B0C2D}"/>
    <cellStyle name="Millares 3 3 2 3 2 3" xfId="31322" xr:uid="{6BB773D5-9153-4C88-8CDB-594A4305F34D}"/>
    <cellStyle name="Millares 3 3 2 3 2 3 2" xfId="31524" xr:uid="{4BFE2930-D953-404E-AE29-C87E0B6E5285}"/>
    <cellStyle name="Millares 3 3 2 3 2 3 2 2" xfId="31928" xr:uid="{524C576C-3C78-41C3-8226-108C36C119C0}"/>
    <cellStyle name="Millares 3 3 2 3 2 3 3" xfId="31726" xr:uid="{12716156-364D-4291-8ADF-CC4B6381CB8D}"/>
    <cellStyle name="Millares 3 3 2 3 2 4" xfId="31423" xr:uid="{9A0E8461-7C23-4781-8AD1-B9DCA364E56A}"/>
    <cellStyle name="Millares 3 3 2 3 2 4 2" xfId="31827" xr:uid="{926DDCAF-E362-49A5-9400-453862989137}"/>
    <cellStyle name="Millares 3 3 2 3 2 5" xfId="31625" xr:uid="{3358DD07-DBE1-45BD-A8C3-2AEAB4143AAA}"/>
    <cellStyle name="Millares 3 3 2 3 2 6" xfId="31198" xr:uid="{0FD2C27C-FF8D-4EE3-B10B-41EC15FEFFE8}"/>
    <cellStyle name="Millares 3 3 2 3 3" xfId="23025" xr:uid="{00000000-0005-0000-0000-0000FC3F0000}"/>
    <cellStyle name="Millares 3 3 2 3 3 2" xfId="31348" xr:uid="{BAE1A47D-175E-4F34-B09F-EC5E21A5F6D0}"/>
    <cellStyle name="Millares 3 3 2 3 3 2 2" xfId="31550" xr:uid="{BE4CE01E-790D-4B04-86C2-86BDB13D30BE}"/>
    <cellStyle name="Millares 3 3 2 3 3 2 2 2" xfId="31954" xr:uid="{1DF89736-6144-4646-9DD0-F1EFF2E66B21}"/>
    <cellStyle name="Millares 3 3 2 3 3 2 3" xfId="31752" xr:uid="{377BDDC7-8150-49AE-A5C8-59D0EC68380A}"/>
    <cellStyle name="Millares 3 3 2 3 3 3" xfId="31449" xr:uid="{2A70BCC7-B90B-4541-ADC0-5DC5AB6AD1B4}"/>
    <cellStyle name="Millares 3 3 2 3 3 3 2" xfId="31853" xr:uid="{8E4A916F-2B56-4D8D-9DBA-0AB68F6EB7FB}"/>
    <cellStyle name="Millares 3 3 2 3 3 4" xfId="31651" xr:uid="{784E13D9-5117-4427-A216-AD953945719D}"/>
    <cellStyle name="Millares 3 3 2 3 3 5" xfId="31247" xr:uid="{A218C37F-1BFB-459F-9636-DAECBF1AD448}"/>
    <cellStyle name="Millares 3 3 2 3 4" xfId="23894" xr:uid="{00000000-0005-0000-0000-0000FD3F0000}"/>
    <cellStyle name="Millares 3 3 2 3 4 2" xfId="31499" xr:uid="{C2BF24EF-DB7B-4E6D-BE0E-4A51DDCEA23F}"/>
    <cellStyle name="Millares 3 3 2 3 4 2 2" xfId="31903" xr:uid="{E468C75A-D175-4CB5-869D-C655EF31B1F1}"/>
    <cellStyle name="Millares 3 3 2 3 4 3" xfId="31701" xr:uid="{82545758-9DE6-432D-813A-9430ACCC51FC}"/>
    <cellStyle name="Millares 3 3 2 3 4 4" xfId="31297" xr:uid="{4B0B34E1-1351-46DB-B543-A2A25F11C3D0}"/>
    <cellStyle name="Millares 3 3 2 3 5" xfId="31398" xr:uid="{85B6B769-D2A4-40A5-B923-E23B78D0E743}"/>
    <cellStyle name="Millares 3 3 2 3 5 2" xfId="31802" xr:uid="{01657517-DFA9-433F-8330-4046443A4352}"/>
    <cellStyle name="Millares 3 3 2 3 6" xfId="31600" xr:uid="{27955E69-BF3B-4E58-8CBB-60F36CC68EDB}"/>
    <cellStyle name="Millares 3 3 2 3 7" xfId="31169" xr:uid="{C307D7B7-4647-4F86-820C-1D32D8A54B61}"/>
    <cellStyle name="Millares 3 3 2 4" xfId="6937" xr:uid="{00000000-0005-0000-0000-0000FE3F0000}"/>
    <cellStyle name="Millares 3 3 2 4 2" xfId="13220" xr:uid="{00000000-0005-0000-0000-0000FF3F0000}"/>
    <cellStyle name="Millares 3 3 2 4 2 2" xfId="31360" xr:uid="{D3188833-5FD2-4B8E-ABAF-DF7A84E4C42A}"/>
    <cellStyle name="Millares 3 3 2 4 2 2 2" xfId="31562" xr:uid="{14A6F71B-3F0B-43FE-BEA4-E5E29E248079}"/>
    <cellStyle name="Millares 3 3 2 4 2 2 2 2" xfId="31966" xr:uid="{E5BE7875-AC9D-43D7-AE6A-ACCB964D9B36}"/>
    <cellStyle name="Millares 3 3 2 4 2 2 3" xfId="31764" xr:uid="{9BEEBF88-78BF-4222-95A7-11DF79942D69}"/>
    <cellStyle name="Millares 3 3 2 4 2 3" xfId="31461" xr:uid="{C7B18A76-1929-4D5F-81DA-5FBB97D807DC}"/>
    <cellStyle name="Millares 3 3 2 4 2 3 2" xfId="31865" xr:uid="{26D5DCE6-6606-4684-B687-F7B71A67A7FD}"/>
    <cellStyle name="Millares 3 3 2 4 2 4" xfId="31663" xr:uid="{20ED46F1-83F4-4539-AEA1-C369603B7874}"/>
    <cellStyle name="Millares 3 3 2 4 2 5" xfId="31259" xr:uid="{6055582B-4489-49AB-AFE1-AB0F50999AA9}"/>
    <cellStyle name="Millares 3 3 2 4 3" xfId="31309" xr:uid="{59915D04-EAD3-4F74-B8E9-63BDBE23649D}"/>
    <cellStyle name="Millares 3 3 2 4 3 2" xfId="31511" xr:uid="{D6014099-D011-4579-88E4-5CE2099144AA}"/>
    <cellStyle name="Millares 3 3 2 4 3 2 2" xfId="31915" xr:uid="{AEB72A7C-B29D-47EA-B2CD-D08CFDAFED5C}"/>
    <cellStyle name="Millares 3 3 2 4 3 3" xfId="31713" xr:uid="{9FE23ED8-13A9-44ED-9B10-D735FB78C38C}"/>
    <cellStyle name="Millares 3 3 2 4 4" xfId="31410" xr:uid="{694EB45C-C448-4FC0-AAE0-573FB7B02558}"/>
    <cellStyle name="Millares 3 3 2 4 4 2" xfId="31814" xr:uid="{51FB1475-F98E-46C5-8965-EE4FEE72D6C8}"/>
    <cellStyle name="Millares 3 3 2 4 5" xfId="31612" xr:uid="{1882368A-2CF6-4077-BAEB-4E524928BD7B}"/>
    <cellStyle name="Millares 3 3 2 4 6" xfId="31185" xr:uid="{B0BBA689-C7BE-4EE1-8024-4D8336EC0D37}"/>
    <cellStyle name="Millares 3 3 2 5" xfId="13221" xr:uid="{00000000-0005-0000-0000-000000400000}"/>
    <cellStyle name="Millares 3 3 2 5 2" xfId="31335" xr:uid="{CC24D503-2AA3-4C84-99E6-7D37DF0792C0}"/>
    <cellStyle name="Millares 3 3 2 5 2 2" xfId="31537" xr:uid="{039DD99C-AFB5-43B2-B35B-120B34BD7E91}"/>
    <cellStyle name="Millares 3 3 2 5 2 2 2" xfId="31941" xr:uid="{73863CF8-E348-4647-B7A8-4E4B7847F028}"/>
    <cellStyle name="Millares 3 3 2 5 2 3" xfId="31739" xr:uid="{6CAE5B14-415B-42F2-BA08-73FA84020B6C}"/>
    <cellStyle name="Millares 3 3 2 5 3" xfId="31436" xr:uid="{3988CD1D-93C6-47F3-BE82-A04C5A2582D2}"/>
    <cellStyle name="Millares 3 3 2 5 3 2" xfId="31840" xr:uid="{78E68719-5BAF-485A-BB39-511A500FE3C3}"/>
    <cellStyle name="Millares 3 3 2 5 4" xfId="31638" xr:uid="{E1004CE2-655D-4A1C-ABC5-EAE200221CAB}"/>
    <cellStyle name="Millares 3 3 2 5 5" xfId="31232" xr:uid="{95075F0C-279E-4E76-8632-32B1A5C87C13}"/>
    <cellStyle name="Millares 3 3 2 6" xfId="13217" xr:uid="{00000000-0005-0000-0000-000001400000}"/>
    <cellStyle name="Millares 3 3 2 6 2" xfId="31486" xr:uid="{262CCD8F-1314-450B-8894-B217603FE7BB}"/>
    <cellStyle name="Millares 3 3 2 6 2 2" xfId="31890" xr:uid="{D7DFF0AD-3A6D-4011-9F90-0700DA3A7A94}"/>
    <cellStyle name="Millares 3 3 2 6 3" xfId="31688" xr:uid="{532AD899-3105-4840-AECF-49BB47E812F7}"/>
    <cellStyle name="Millares 3 3 2 6 4" xfId="31284" xr:uid="{046D4718-428B-449E-B6CC-34430CA0D76F}"/>
    <cellStyle name="Millares 3 3 2 7" xfId="23022" xr:uid="{00000000-0005-0000-0000-000002400000}"/>
    <cellStyle name="Millares 3 3 2 7 2" xfId="31789" xr:uid="{B08A029C-8088-4B3A-9CF9-B8CA3BE649F5}"/>
    <cellStyle name="Millares 3 3 2 7 3" xfId="31385" xr:uid="{CEE74E6B-20EA-47C5-A9B7-AE914A697CAC}"/>
    <cellStyle name="Millares 3 3 2 8" xfId="23890" xr:uid="{00000000-0005-0000-0000-000003400000}"/>
    <cellStyle name="Millares 3 3 2 8 2" xfId="31587" xr:uid="{3BF605E1-BEEE-4AA3-9B16-D5D8530A8FBB}"/>
    <cellStyle name="Millares 3 3 2 9" xfId="31147" xr:uid="{48D3BE7C-97D3-4ED1-A027-3F0322E41008}"/>
    <cellStyle name="Millares 3 3 3" xfId="3392" xr:uid="{00000000-0005-0000-0000-000004400000}"/>
    <cellStyle name="Millares 3 3 3 2" xfId="6938" xr:uid="{00000000-0005-0000-0000-000005400000}"/>
    <cellStyle name="Millares 3 3 3 2 2" xfId="13223" xr:uid="{00000000-0005-0000-0000-000006400000}"/>
    <cellStyle name="Millares 3 3 3 2 2 2" xfId="31274" xr:uid="{340A362E-16D9-423E-B111-5A026F5B9D78}"/>
    <cellStyle name="Millares 3 3 3 2 2 2 2" xfId="31375" xr:uid="{E6897BD3-968A-4453-A7DA-4028A85049A1}"/>
    <cellStyle name="Millares 3 3 3 2 2 2 2 2" xfId="31577" xr:uid="{238F9798-E5AE-40FF-9165-EA2784F61A7D}"/>
    <cellStyle name="Millares 3 3 3 2 2 2 2 2 2" xfId="31981" xr:uid="{92A75E70-C63C-4C41-A1D7-51AA0469EAC9}"/>
    <cellStyle name="Millares 3 3 3 2 2 2 2 3" xfId="31779" xr:uid="{7D643EAB-6BF4-4454-9105-82772F2C3CEE}"/>
    <cellStyle name="Millares 3 3 3 2 2 2 3" xfId="31476" xr:uid="{E9061C78-4D40-4475-AFA4-7D6B55DF8AE7}"/>
    <cellStyle name="Millares 3 3 3 2 2 2 3 2" xfId="31880" xr:uid="{79952E95-0FFC-4CD5-9568-E44406C3BA98}"/>
    <cellStyle name="Millares 3 3 3 2 2 2 4" xfId="31678" xr:uid="{BB52D2F3-CE7F-47DA-B9A9-BE5C467D4F76}"/>
    <cellStyle name="Millares 3 3 3 2 2 3" xfId="31324" xr:uid="{499F052C-C50C-428B-8C2F-D1D139699209}"/>
    <cellStyle name="Millares 3 3 3 2 2 3 2" xfId="31526" xr:uid="{2D298B6D-FCD9-46C7-96F0-839BEDB6BAC1}"/>
    <cellStyle name="Millares 3 3 3 2 2 3 2 2" xfId="31930" xr:uid="{07931E9D-79FE-445D-B5F5-9EDFD4C51486}"/>
    <cellStyle name="Millares 3 3 3 2 2 3 3" xfId="31728" xr:uid="{FAE91DA7-E082-4337-BA08-6676424BD698}"/>
    <cellStyle name="Millares 3 3 3 2 2 4" xfId="31425" xr:uid="{C293E8C2-FEEC-4215-B4BF-CC7F9818659D}"/>
    <cellStyle name="Millares 3 3 3 2 2 4 2" xfId="31829" xr:uid="{57A2074A-892C-404F-BEF7-E8D4E2B196F9}"/>
    <cellStyle name="Millares 3 3 3 2 2 5" xfId="31627" xr:uid="{D511401F-8823-4A70-8508-5D637CC838C6}"/>
    <cellStyle name="Millares 3 3 3 2 2 6" xfId="31200" xr:uid="{76B041BE-3FE8-42FC-893D-A91958B102C6}"/>
    <cellStyle name="Millares 3 3 3 2 3" xfId="31249" xr:uid="{1A822168-1C19-40DC-A213-619D92093461}"/>
    <cellStyle name="Millares 3 3 3 2 3 2" xfId="31350" xr:uid="{93736583-766B-4F17-805F-9A77CB96B81F}"/>
    <cellStyle name="Millares 3 3 3 2 3 2 2" xfId="31552" xr:uid="{CFFD91F5-711F-46D3-A38B-CCFBC23312FA}"/>
    <cellStyle name="Millares 3 3 3 2 3 2 2 2" xfId="31956" xr:uid="{BBC57C37-9B1C-4B43-8655-FA1691BDDC79}"/>
    <cellStyle name="Millares 3 3 3 2 3 2 3" xfId="31754" xr:uid="{D9C6B831-AF08-4379-98BE-F505CCF8C8F7}"/>
    <cellStyle name="Millares 3 3 3 2 3 3" xfId="31451" xr:uid="{FC3CA456-C23F-4297-A234-43C75B1B901B}"/>
    <cellStyle name="Millares 3 3 3 2 3 3 2" xfId="31855" xr:uid="{A0F44FB7-44C7-42DB-B7AD-E8B614504E7D}"/>
    <cellStyle name="Millares 3 3 3 2 3 4" xfId="31653" xr:uid="{D9B1D242-3D75-42B2-98C5-FFEBE2235F9E}"/>
    <cellStyle name="Millares 3 3 3 2 4" xfId="31299" xr:uid="{4FF6BF28-9F39-422C-9D80-52D687DECDBB}"/>
    <cellStyle name="Millares 3 3 3 2 4 2" xfId="31501" xr:uid="{66997F62-BD01-4999-8486-BA31297DB0CD}"/>
    <cellStyle name="Millares 3 3 3 2 4 2 2" xfId="31905" xr:uid="{F8F52706-4831-423F-AD59-A527B8281FBA}"/>
    <cellStyle name="Millares 3 3 3 2 4 3" xfId="31703" xr:uid="{2D29732C-9CA2-4F54-B06B-02B5B75AC998}"/>
    <cellStyle name="Millares 3 3 3 2 5" xfId="31400" xr:uid="{D6CF7F09-0666-4295-A456-CC22F8256863}"/>
    <cellStyle name="Millares 3 3 3 2 5 2" xfId="31804" xr:uid="{EC52E57F-9468-4FAE-8E6B-8DD00A7D14F9}"/>
    <cellStyle name="Millares 3 3 3 2 6" xfId="31602" xr:uid="{11245305-089C-4D2F-8FDE-CFFFBDAFF58E}"/>
    <cellStyle name="Millares 3 3 3 2 7" xfId="31171" xr:uid="{3968F04E-D9F1-479D-86C1-C8AB1188B19C}"/>
    <cellStyle name="Millares 3 3 3 3" xfId="13224" xr:uid="{00000000-0005-0000-0000-000007400000}"/>
    <cellStyle name="Millares 3 3 3 3 2" xfId="31261" xr:uid="{65F3AA8A-F3C8-4A2F-98E1-D61A71FC83F3}"/>
    <cellStyle name="Millares 3 3 3 3 2 2" xfId="31362" xr:uid="{0A7984BF-81C0-4192-A9A0-AFD1EBCF7178}"/>
    <cellStyle name="Millares 3 3 3 3 2 2 2" xfId="31564" xr:uid="{1CB8B262-6CE5-4777-884A-B7173DC9CF41}"/>
    <cellStyle name="Millares 3 3 3 3 2 2 2 2" xfId="31968" xr:uid="{3160F8E0-A919-4DC1-B6A1-247E9562DF72}"/>
    <cellStyle name="Millares 3 3 3 3 2 2 3" xfId="31766" xr:uid="{5B5BCECC-6A2C-4614-9CDB-1FC252C63A5E}"/>
    <cellStyle name="Millares 3 3 3 3 2 3" xfId="31463" xr:uid="{8322EA2D-A721-442A-A08D-B0C46A0D341C}"/>
    <cellStyle name="Millares 3 3 3 3 2 3 2" xfId="31867" xr:uid="{1682B74F-BA4C-4EDB-8221-AFCC58A14FAB}"/>
    <cellStyle name="Millares 3 3 3 3 2 4" xfId="31665" xr:uid="{70C57021-51EE-4711-9318-0BB8DEB6F541}"/>
    <cellStyle name="Millares 3 3 3 3 3" xfId="31311" xr:uid="{5BFB8FF7-DBBE-40B4-B56C-04216E4AE7B7}"/>
    <cellStyle name="Millares 3 3 3 3 3 2" xfId="31513" xr:uid="{64934C68-CB14-4E6A-AB70-B1351F8DDAAF}"/>
    <cellStyle name="Millares 3 3 3 3 3 2 2" xfId="31917" xr:uid="{2646CA96-0D7F-4FB2-B5A0-8E5EDFBBC765}"/>
    <cellStyle name="Millares 3 3 3 3 3 3" xfId="31715" xr:uid="{97B35529-96BE-44DD-87B0-4F90E75B1CE9}"/>
    <cellStyle name="Millares 3 3 3 3 4" xfId="31412" xr:uid="{1036E652-2FC4-47BA-8FA0-1AF6F2559522}"/>
    <cellStyle name="Millares 3 3 3 3 4 2" xfId="31816" xr:uid="{D323A03D-262D-4DE6-AF4F-AD617B3C75E1}"/>
    <cellStyle name="Millares 3 3 3 3 5" xfId="31614" xr:uid="{F40FD0F7-E294-4DE1-8FCE-68431DCE154A}"/>
    <cellStyle name="Millares 3 3 3 3 6" xfId="31187" xr:uid="{F0FD955E-65F9-4369-8BAF-93E768D84083}"/>
    <cellStyle name="Millares 3 3 3 4" xfId="13222" xr:uid="{00000000-0005-0000-0000-000008400000}"/>
    <cellStyle name="Millares 3 3 3 4 2" xfId="31337" xr:uid="{E35131C1-1394-4D65-950F-8BA522D003A7}"/>
    <cellStyle name="Millares 3 3 3 4 2 2" xfId="31539" xr:uid="{0BA4ED4D-5963-4A1A-8326-2F0A4F7BEFF9}"/>
    <cellStyle name="Millares 3 3 3 4 2 2 2" xfId="31943" xr:uid="{E4E8B28C-0D51-4F59-8348-34389E316734}"/>
    <cellStyle name="Millares 3 3 3 4 2 3" xfId="31741" xr:uid="{6E79E28D-CB90-4F9E-9825-689076BE4F8D}"/>
    <cellStyle name="Millares 3 3 3 4 3" xfId="31438" xr:uid="{80601358-2E50-474C-87D7-E6770FBAC971}"/>
    <cellStyle name="Millares 3 3 3 4 3 2" xfId="31842" xr:uid="{DD0D141B-1A8A-47E1-8F7F-9E7CF7C1552F}"/>
    <cellStyle name="Millares 3 3 3 4 4" xfId="31640" xr:uid="{E7F4F130-999E-46F3-877F-F00A5CAD35D9}"/>
    <cellStyle name="Millares 3 3 3 4 5" xfId="31234" xr:uid="{8C4836EE-0C82-47F2-B846-AC38B5641321}"/>
    <cellStyle name="Millares 3 3 3 5" xfId="31286" xr:uid="{BC709A0D-84D7-4029-9055-2B80AE64EC47}"/>
    <cellStyle name="Millares 3 3 3 5 2" xfId="31488" xr:uid="{9939929D-8937-4513-A3EC-BC405EEA81C4}"/>
    <cellStyle name="Millares 3 3 3 5 2 2" xfId="31892" xr:uid="{EEAF6853-1F11-4B24-A0D8-8BB19ED5EDB3}"/>
    <cellStyle name="Millares 3 3 3 5 3" xfId="31690" xr:uid="{46D66380-5E3A-40A9-B8EA-1D1196B7EEA4}"/>
    <cellStyle name="Millares 3 3 3 6" xfId="31387" xr:uid="{BA138DD8-E36C-4098-B74C-D7FAF81269BA}"/>
    <cellStyle name="Millares 3 3 3 6 2" xfId="31791" xr:uid="{79EC6CFF-028F-4BF5-BF5A-75F1A1F984E6}"/>
    <cellStyle name="Millares 3 3 3 7" xfId="31589" xr:uid="{A72BC8C4-A896-477B-AA10-1731ECBA1DC3}"/>
    <cellStyle name="Millares 3 3 3 8" xfId="31149" xr:uid="{77F59D49-13CC-4106-8C0A-70E6D6691CDA}"/>
    <cellStyle name="Millares 3 3 4" xfId="3894" xr:uid="{00000000-0005-0000-0000-000009400000}"/>
    <cellStyle name="Millares 3 3 4 2" xfId="13225" xr:uid="{00000000-0005-0000-0000-00000A400000}"/>
    <cellStyle name="Millares 3 3 4 2 2" xfId="23027" xr:uid="{00000000-0005-0000-0000-00000B400000}"/>
    <cellStyle name="Millares 3 3 4 2 2 2" xfId="31372" xr:uid="{9E9014F3-E326-45C8-A11C-1FC5BC03E726}"/>
    <cellStyle name="Millares 3 3 4 2 2 2 2" xfId="31574" xr:uid="{DC03F6C5-6607-4DAE-9297-C9E5FAB35FCF}"/>
    <cellStyle name="Millares 3 3 4 2 2 2 2 2" xfId="31978" xr:uid="{CCF654EC-6928-4A48-81AA-80448473756C}"/>
    <cellStyle name="Millares 3 3 4 2 2 2 3" xfId="31776" xr:uid="{F84E0971-2606-4CBB-B536-6C5B433D8516}"/>
    <cellStyle name="Millares 3 3 4 2 2 3" xfId="31473" xr:uid="{8BB86796-1CA6-48AA-AB15-3BF8C105383E}"/>
    <cellStyle name="Millares 3 3 4 2 2 3 2" xfId="31877" xr:uid="{7E4E59F6-79D7-4E3E-B132-93AEACF41722}"/>
    <cellStyle name="Millares 3 3 4 2 2 4" xfId="31675" xr:uid="{478D8E87-6D38-4FA8-9D96-467D157C42A6}"/>
    <cellStyle name="Millares 3 3 4 2 2 5" xfId="31271" xr:uid="{EF9583EC-468F-47C8-BE80-626FD9235BCC}"/>
    <cellStyle name="Millares 3 3 4 2 3" xfId="31321" xr:uid="{2CB541E2-CEB7-481E-AB3C-D199D17BAB03}"/>
    <cellStyle name="Millares 3 3 4 2 3 2" xfId="31523" xr:uid="{4F38A858-D4F3-4C50-AD23-42B5EECD4757}"/>
    <cellStyle name="Millares 3 3 4 2 3 2 2" xfId="31927" xr:uid="{B0F69865-AC70-492D-9A12-1880F27DFF9E}"/>
    <cellStyle name="Millares 3 3 4 2 3 3" xfId="31725" xr:uid="{B7C3E911-58DC-418F-B0CF-1373D5900A54}"/>
    <cellStyle name="Millares 3 3 4 2 4" xfId="31422" xr:uid="{8308EE2B-2F36-491B-B960-CE6D6E8D2EB7}"/>
    <cellStyle name="Millares 3 3 4 2 4 2" xfId="31826" xr:uid="{DAB4520B-A331-4A74-A6A8-AC8B51B65C56}"/>
    <cellStyle name="Millares 3 3 4 2 5" xfId="31624" xr:uid="{BA41C823-5215-4FE1-9713-5274E3221E35}"/>
    <cellStyle name="Millares 3 3 4 2 6" xfId="31197" xr:uid="{0376CEC5-6ED8-4D40-98C3-6D0EB84DAEEC}"/>
    <cellStyle name="Millares 3 3 4 3" xfId="23026" xr:uid="{00000000-0005-0000-0000-00000C400000}"/>
    <cellStyle name="Millares 3 3 4 3 2" xfId="31347" xr:uid="{47D74233-3755-456F-96AD-94A718DBFD9A}"/>
    <cellStyle name="Millares 3 3 4 3 2 2" xfId="31549" xr:uid="{D0EA0150-787D-401B-8893-C237BB71B789}"/>
    <cellStyle name="Millares 3 3 4 3 2 2 2" xfId="31953" xr:uid="{23E38146-BE83-41C6-840D-2531B80C126C}"/>
    <cellStyle name="Millares 3 3 4 3 2 3" xfId="31751" xr:uid="{95F97978-9C92-4FFB-86CB-8F3CE25C650E}"/>
    <cellStyle name="Millares 3 3 4 3 3" xfId="31448" xr:uid="{DEF88F66-9D70-4571-B939-48B7AB8D9B38}"/>
    <cellStyle name="Millares 3 3 4 3 3 2" xfId="31852" xr:uid="{29187840-ACB0-4623-B50D-4D69E638B0E8}"/>
    <cellStyle name="Millares 3 3 4 3 4" xfId="31650" xr:uid="{A856731C-BEA6-4249-9924-F3178D8C1D7E}"/>
    <cellStyle name="Millares 3 3 4 3 5" xfId="31246" xr:uid="{7987820E-9ACE-4355-ABB6-4A4D758EA74D}"/>
    <cellStyle name="Millares 3 3 4 4" xfId="23895" xr:uid="{00000000-0005-0000-0000-00000D400000}"/>
    <cellStyle name="Millares 3 3 4 4 2" xfId="31498" xr:uid="{73D759A2-1772-465C-B209-86BAC20353CD}"/>
    <cellStyle name="Millares 3 3 4 4 2 2" xfId="31902" xr:uid="{848D1A42-57A4-4E6C-B73C-6925D959E0A2}"/>
    <cellStyle name="Millares 3 3 4 4 3" xfId="31700" xr:uid="{4F72BCA3-D36E-4C31-ADD8-4ADBA86B992E}"/>
    <cellStyle name="Millares 3 3 4 4 4" xfId="31296" xr:uid="{35073ACD-FE00-4EC5-AB93-52BFB3C6B4D0}"/>
    <cellStyle name="Millares 3 3 4 5" xfId="31397" xr:uid="{7FAB15BD-A0AF-481A-BB14-0FE76E67AAFC}"/>
    <cellStyle name="Millares 3 3 4 5 2" xfId="31801" xr:uid="{5E88B4DD-D9C9-4A31-AD7A-7E9D90695924}"/>
    <cellStyle name="Millares 3 3 4 6" xfId="31599" xr:uid="{215DECB5-0FD1-41CF-A544-C0CD83DBBF15}"/>
    <cellStyle name="Millares 3 3 4 7" xfId="31168" xr:uid="{CD41700A-21DE-47E4-A697-DD7A979735E4}"/>
    <cellStyle name="Millares 3 3 5" xfId="3390" xr:uid="{00000000-0005-0000-0000-00000E400000}"/>
    <cellStyle name="Millares 3 3 5 2" xfId="13226" xr:uid="{00000000-0005-0000-0000-00000F400000}"/>
    <cellStyle name="Millares 3 3 5 2 2" xfId="31359" xr:uid="{8C4B4FB8-CE56-45ED-BAAD-B2F0CF4C0A56}"/>
    <cellStyle name="Millares 3 3 5 2 2 2" xfId="31561" xr:uid="{6F4964D2-E7C6-4EF9-88B3-500D3ADC7309}"/>
    <cellStyle name="Millares 3 3 5 2 2 2 2" xfId="31965" xr:uid="{0745B6AC-F70F-4DA1-9702-D7CA925FA21C}"/>
    <cellStyle name="Millares 3 3 5 2 2 3" xfId="31763" xr:uid="{4A8FAF5F-F537-4302-BF6C-6A927511E43E}"/>
    <cellStyle name="Millares 3 3 5 2 3" xfId="31460" xr:uid="{8A6916C6-16C9-42A9-B6C9-6D85DA8B9225}"/>
    <cellStyle name="Millares 3 3 5 2 3 2" xfId="31864" xr:uid="{BFECD544-73D2-4733-8CEF-DDE0BE0EB4E7}"/>
    <cellStyle name="Millares 3 3 5 2 4" xfId="31662" xr:uid="{8EB5BD14-49C6-4D17-9720-3AE4327E3D96}"/>
    <cellStyle name="Millares 3 3 5 2 5" xfId="31258" xr:uid="{044014EE-6AB5-4E27-A37A-C3AA1CAD516C}"/>
    <cellStyle name="Millares 3 3 5 3" xfId="23028" xr:uid="{00000000-0005-0000-0000-000010400000}"/>
    <cellStyle name="Millares 3 3 5 3 2" xfId="31510" xr:uid="{40842FAB-7116-4764-BB02-EC6AC7326262}"/>
    <cellStyle name="Millares 3 3 5 3 2 2" xfId="31914" xr:uid="{58F492A5-62BF-4407-812F-B9C15C7B0CDA}"/>
    <cellStyle name="Millares 3 3 5 3 3" xfId="31712" xr:uid="{17561DFE-EBF4-45AC-A03D-FEE9BCDD8507}"/>
    <cellStyle name="Millares 3 3 5 3 4" xfId="31308" xr:uid="{DC2DC642-BDAA-4A14-9C6A-F7D4758ED456}"/>
    <cellStyle name="Millares 3 3 5 4" xfId="31409" xr:uid="{60970D7E-5CAF-4121-A80F-9CB5D1498D53}"/>
    <cellStyle name="Millares 3 3 5 4 2" xfId="31813" xr:uid="{412CDD97-79EC-4282-9F28-B0BDF0AE6F18}"/>
    <cellStyle name="Millares 3 3 5 5" xfId="31611" xr:uid="{B04BFD28-8772-4BE2-8E58-27EBC7AC0CEA}"/>
    <cellStyle name="Millares 3 3 5 6" xfId="31184" xr:uid="{0B3588AE-CA54-47C3-83C4-D101E587063C}"/>
    <cellStyle name="Millares 3 3 6" xfId="6936" xr:uid="{00000000-0005-0000-0000-000011400000}"/>
    <cellStyle name="Millares 3 3 6 2" xfId="13227" xr:uid="{00000000-0005-0000-0000-000012400000}"/>
    <cellStyle name="Millares 3 3 6 2 2" xfId="31536" xr:uid="{C3E92BE5-85CA-44E2-89C6-83BAEF6D8EC2}"/>
    <cellStyle name="Millares 3 3 6 2 2 2" xfId="31940" xr:uid="{86792D32-0080-4C7D-A4A0-6D443E4D95C1}"/>
    <cellStyle name="Millares 3 3 6 2 3" xfId="31738" xr:uid="{8F4784F6-2209-401C-A059-37ACBD410BD4}"/>
    <cellStyle name="Millares 3 3 6 2 4" xfId="31334" xr:uid="{DD4DB214-AF14-4143-819B-31AECE35D821}"/>
    <cellStyle name="Millares 3 3 6 3" xfId="31435" xr:uid="{EEBD571F-343C-4E7C-84EE-CF0112060496}"/>
    <cellStyle name="Millares 3 3 6 3 2" xfId="31839" xr:uid="{25E4EDFC-8121-4B77-A820-1D462059B2B2}"/>
    <cellStyle name="Millares 3 3 6 4" xfId="31637" xr:uid="{FAACF40A-3E2D-45F4-8BC5-751837E9795C}"/>
    <cellStyle name="Millares 3 3 6 5" xfId="31231" xr:uid="{CD948EB0-9E72-4D66-A1DB-3EAE65154635}"/>
    <cellStyle name="Millares 3 3 7" xfId="13216" xr:uid="{00000000-0005-0000-0000-000013400000}"/>
    <cellStyle name="Millares 3 3 7 2" xfId="31485" xr:uid="{2FE9C883-375A-4236-9C43-5E570093F17D}"/>
    <cellStyle name="Millares 3 3 7 2 2" xfId="31889" xr:uid="{3B0B1692-BC73-4F96-81A9-189B58FE1D6A}"/>
    <cellStyle name="Millares 3 3 7 3" xfId="31687" xr:uid="{852FDA79-C696-4BB6-AACB-75F510A65296}"/>
    <cellStyle name="Millares 3 3 7 4" xfId="31283" xr:uid="{EEB03530-D40E-41AD-BDBE-00EF8B180DAE}"/>
    <cellStyle name="Millares 3 3 8" xfId="31384" xr:uid="{A0C383AF-8764-4DBF-9C02-60956D2B7305}"/>
    <cellStyle name="Millares 3 3 8 2" xfId="31788" xr:uid="{8BBCAF27-F910-4A8F-9FA8-F6DA0C13CC59}"/>
    <cellStyle name="Millares 3 3 9" xfId="31586" xr:uid="{615678F8-713F-49C1-8E14-E02471CE1B5B}"/>
    <cellStyle name="Millares 3 4" xfId="1509" xr:uid="{00000000-0005-0000-0000-000014400000}"/>
    <cellStyle name="Millares 3 4 10" xfId="31229" xr:uid="{232866D8-AB03-48B0-8BBA-E8C2DF48C3D8}"/>
    <cellStyle name="Millares 3 4 2" xfId="2244" xr:uid="{00000000-0005-0000-0000-000015400000}"/>
    <cellStyle name="Millares 3 4 2 2" xfId="4295" xr:uid="{00000000-0005-0000-0000-000016400000}"/>
    <cellStyle name="Millares 3 4 2 2 2" xfId="13230" xr:uid="{00000000-0005-0000-0000-000017400000}"/>
    <cellStyle name="Millares 3 4 2 2 2 2" xfId="31939" xr:uid="{37B8C5C3-349C-4F71-90B2-B3867637B761}"/>
    <cellStyle name="Millares 3 4 2 2 3" xfId="23031" xr:uid="{00000000-0005-0000-0000-000018400000}"/>
    <cellStyle name="Millares 3 4 2 2 4" xfId="23897" xr:uid="{00000000-0005-0000-0000-000019400000}"/>
    <cellStyle name="Millares 3 4 2 2 5" xfId="31535" xr:uid="{927C0FE0-DCA9-44A1-8033-9AC1EBF63B3B}"/>
    <cellStyle name="Millares 3 4 2 3" xfId="3394" xr:uid="{00000000-0005-0000-0000-00001A400000}"/>
    <cellStyle name="Millares 3 4 2 3 2" xfId="13231" xr:uid="{00000000-0005-0000-0000-00001B400000}"/>
    <cellStyle name="Millares 3 4 2 3 3" xfId="31737" xr:uid="{7349BAAA-488B-4E76-8E2B-811D0C50A1E5}"/>
    <cellStyle name="Millares 3 4 2 4" xfId="13232" xr:uid="{00000000-0005-0000-0000-00001C400000}"/>
    <cellStyle name="Millares 3 4 2 5" xfId="13229" xr:uid="{00000000-0005-0000-0000-00001D400000}"/>
    <cellStyle name="Millares 3 4 2 6" xfId="23030" xr:uid="{00000000-0005-0000-0000-00001E400000}"/>
    <cellStyle name="Millares 3 4 2 7" xfId="23896" xr:uid="{00000000-0005-0000-0000-00001F400000}"/>
    <cellStyle name="Millares 3 4 2 8" xfId="31333" xr:uid="{35FDDA28-CB14-47B1-998E-1A4E99CA252E}"/>
    <cellStyle name="Millares 3 4 3" xfId="4029" xr:uid="{00000000-0005-0000-0000-000020400000}"/>
    <cellStyle name="Millares 3 4 3 2" xfId="13233" xr:uid="{00000000-0005-0000-0000-000021400000}"/>
    <cellStyle name="Millares 3 4 3 2 2" xfId="23033" xr:uid="{00000000-0005-0000-0000-000022400000}"/>
    <cellStyle name="Millares 3 4 3 2 3" xfId="31838" xr:uid="{3407AE4C-A734-4C74-A04C-4004204FEA39}"/>
    <cellStyle name="Millares 3 4 3 3" xfId="23032" xr:uid="{00000000-0005-0000-0000-000023400000}"/>
    <cellStyle name="Millares 3 4 3 4" xfId="23898" xr:uid="{00000000-0005-0000-0000-000024400000}"/>
    <cellStyle name="Millares 3 4 3 5" xfId="31434" xr:uid="{60720800-C767-4970-8659-F49E3725F038}"/>
    <cellStyle name="Millares 3 4 4" xfId="3393" xr:uid="{00000000-0005-0000-0000-000025400000}"/>
    <cellStyle name="Millares 3 4 4 2" xfId="13234" xr:uid="{00000000-0005-0000-0000-000026400000}"/>
    <cellStyle name="Millares 3 4 4 3" xfId="23034" xr:uid="{00000000-0005-0000-0000-000027400000}"/>
    <cellStyle name="Millares 3 4 4 4" xfId="31636" xr:uid="{8BC9E857-736E-4CF7-93FB-6BF4952F3855}"/>
    <cellStyle name="Millares 3 4 5" xfId="6939" xr:uid="{00000000-0005-0000-0000-000028400000}"/>
    <cellStyle name="Millares 3 4 5 2" xfId="13235" xr:uid="{00000000-0005-0000-0000-000029400000}"/>
    <cellStyle name="Millares 3 4 6" xfId="13236" xr:uid="{00000000-0005-0000-0000-00002A400000}"/>
    <cellStyle name="Millares 3 4 7" xfId="13228" xr:uid="{00000000-0005-0000-0000-00002B400000}"/>
    <cellStyle name="Millares 3 4 8" xfId="7199" xr:uid="{00000000-0005-0000-0000-00002C400000}"/>
    <cellStyle name="Millares 3 4 9" xfId="23029" xr:uid="{00000000-0005-0000-0000-00002D400000}"/>
    <cellStyle name="Millares 3 5" xfId="2239" xr:uid="{00000000-0005-0000-0000-00002E400000}"/>
    <cellStyle name="Millares 3 5 2" xfId="2784" xr:uid="{00000000-0005-0000-0000-00002F400000}"/>
    <cellStyle name="Millares 3 5 2 2" xfId="13238" xr:uid="{00000000-0005-0000-0000-000030400000}"/>
    <cellStyle name="Millares 3 5 2 3" xfId="23036" xr:uid="{00000000-0005-0000-0000-000031400000}"/>
    <cellStyle name="Millares 3 5 3" xfId="4291" xr:uid="{00000000-0005-0000-0000-000032400000}"/>
    <cellStyle name="Millares 3 5 3 2" xfId="13239" xr:uid="{00000000-0005-0000-0000-000033400000}"/>
    <cellStyle name="Millares 3 5 4" xfId="3395" xr:uid="{00000000-0005-0000-0000-000034400000}"/>
    <cellStyle name="Millares 3 5 4 2" xfId="13240" xr:uid="{00000000-0005-0000-0000-000035400000}"/>
    <cellStyle name="Millares 3 5 5" xfId="6940" xr:uid="{00000000-0005-0000-0000-000036400000}"/>
    <cellStyle name="Millares 3 5 5 2" xfId="13241" xr:uid="{00000000-0005-0000-0000-000037400000}"/>
    <cellStyle name="Millares 3 5 6" xfId="13237" xr:uid="{00000000-0005-0000-0000-000038400000}"/>
    <cellStyle name="Millares 3 5 7" xfId="23035" xr:uid="{00000000-0005-0000-0000-000039400000}"/>
    <cellStyle name="Millares 3 6" xfId="2726" xr:uid="{00000000-0005-0000-0000-00003A400000}"/>
    <cellStyle name="Millares 3 6 2" xfId="4404" xr:uid="{00000000-0005-0000-0000-00003B400000}"/>
    <cellStyle name="Millares 3 6 2 2" xfId="6274" xr:uid="{00000000-0005-0000-0000-00003C400000}"/>
    <cellStyle name="Millares 3 6 2 3" xfId="13243" xr:uid="{00000000-0005-0000-0000-00003D400000}"/>
    <cellStyle name="Millares 3 6 3" xfId="5372" xr:uid="{00000000-0005-0000-0000-00003E400000}"/>
    <cellStyle name="Millares 3 6 3 2" xfId="13244" xr:uid="{00000000-0005-0000-0000-00003F400000}"/>
    <cellStyle name="Millares 3 6 4" xfId="13245" xr:uid="{00000000-0005-0000-0000-000040400000}"/>
    <cellStyle name="Millares 3 6 5" xfId="13242" xr:uid="{00000000-0005-0000-0000-000041400000}"/>
    <cellStyle name="Millares 3 6 6" xfId="23899" xr:uid="{00000000-0005-0000-0000-000042400000}"/>
    <cellStyle name="Millares 3 7" xfId="13246" xr:uid="{00000000-0005-0000-0000-000043400000}"/>
    <cellStyle name="Millares 3 7 2" xfId="13247" xr:uid="{00000000-0005-0000-0000-000044400000}"/>
    <cellStyle name="Millares 3 7 3" xfId="23900" xr:uid="{00000000-0005-0000-0000-000045400000}"/>
    <cellStyle name="Millares 3 8" xfId="13248" xr:uid="{00000000-0005-0000-0000-000046400000}"/>
    <cellStyle name="Millares 3 8 10" xfId="28563" xr:uid="{00000000-0005-0000-0000-000047400000}"/>
    <cellStyle name="Millares 3 8 11" xfId="29067" xr:uid="{00000000-0005-0000-0000-000048400000}"/>
    <cellStyle name="Millares 3 8 12" xfId="29571" xr:uid="{00000000-0005-0000-0000-000049400000}"/>
    <cellStyle name="Millares 3 8 13" xfId="30075" xr:uid="{00000000-0005-0000-0000-00004A400000}"/>
    <cellStyle name="Millares 3 8 14" xfId="30579" xr:uid="{00000000-0005-0000-0000-00004B400000}"/>
    <cellStyle name="Millares 3 8 15" xfId="31084" xr:uid="{00000000-0005-0000-0000-00004C400000}"/>
    <cellStyle name="Millares 3 8 2" xfId="24527" xr:uid="{00000000-0005-0000-0000-00004D400000}"/>
    <cellStyle name="Millares 3 8 3" xfId="25035" xr:uid="{00000000-0005-0000-0000-00004E400000}"/>
    <cellStyle name="Millares 3 8 4" xfId="25539" xr:uid="{00000000-0005-0000-0000-00004F400000}"/>
    <cellStyle name="Millares 3 8 5" xfId="26043" xr:uid="{00000000-0005-0000-0000-000050400000}"/>
    <cellStyle name="Millares 3 8 6" xfId="26547" xr:uid="{00000000-0005-0000-0000-000051400000}"/>
    <cellStyle name="Millares 3 8 7" xfId="27051" xr:uid="{00000000-0005-0000-0000-000052400000}"/>
    <cellStyle name="Millares 3 8 8" xfId="27555" xr:uid="{00000000-0005-0000-0000-000053400000}"/>
    <cellStyle name="Millares 3 8 9" xfId="28059" xr:uid="{00000000-0005-0000-0000-000054400000}"/>
    <cellStyle name="Millares 3 9" xfId="13249" xr:uid="{00000000-0005-0000-0000-000055400000}"/>
    <cellStyle name="Millares 3 9 10" xfId="28571" xr:uid="{00000000-0005-0000-0000-000056400000}"/>
    <cellStyle name="Millares 3 9 11" xfId="29075" xr:uid="{00000000-0005-0000-0000-000057400000}"/>
    <cellStyle name="Millares 3 9 12" xfId="29579" xr:uid="{00000000-0005-0000-0000-000058400000}"/>
    <cellStyle name="Millares 3 9 13" xfId="30083" xr:uid="{00000000-0005-0000-0000-000059400000}"/>
    <cellStyle name="Millares 3 9 14" xfId="30587" xr:uid="{00000000-0005-0000-0000-00005A400000}"/>
    <cellStyle name="Millares 3 9 15" xfId="31092" xr:uid="{00000000-0005-0000-0000-00005B400000}"/>
    <cellStyle name="Millares 3 9 2" xfId="24537" xr:uid="{00000000-0005-0000-0000-00005C400000}"/>
    <cellStyle name="Millares 3 9 3" xfId="25043" xr:uid="{00000000-0005-0000-0000-00005D400000}"/>
    <cellStyle name="Millares 3 9 4" xfId="25547" xr:uid="{00000000-0005-0000-0000-00005E400000}"/>
    <cellStyle name="Millares 3 9 5" xfId="26051" xr:uid="{00000000-0005-0000-0000-00005F400000}"/>
    <cellStyle name="Millares 3 9 6" xfId="26555" xr:uid="{00000000-0005-0000-0000-000060400000}"/>
    <cellStyle name="Millares 3 9 7" xfId="27059" xr:uid="{00000000-0005-0000-0000-000061400000}"/>
    <cellStyle name="Millares 3 9 8" xfId="27563" xr:uid="{00000000-0005-0000-0000-000062400000}"/>
    <cellStyle name="Millares 3 9 9" xfId="28067" xr:uid="{00000000-0005-0000-0000-000063400000}"/>
    <cellStyle name="Millares 30" xfId="2245" xr:uid="{00000000-0005-0000-0000-000064400000}"/>
    <cellStyle name="Millares 30 2" xfId="3396" xr:uid="{00000000-0005-0000-0000-000065400000}"/>
    <cellStyle name="Millares 30 2 10" xfId="26852" xr:uid="{00000000-0005-0000-0000-000066400000}"/>
    <cellStyle name="Millares 30 2 11" xfId="27356" xr:uid="{00000000-0005-0000-0000-000067400000}"/>
    <cellStyle name="Millares 30 2 12" xfId="27860" xr:uid="{00000000-0005-0000-0000-000068400000}"/>
    <cellStyle name="Millares 30 2 13" xfId="28364" xr:uid="{00000000-0005-0000-0000-000069400000}"/>
    <cellStyle name="Millares 30 2 14" xfId="28868" xr:uid="{00000000-0005-0000-0000-00006A400000}"/>
    <cellStyle name="Millares 30 2 15" xfId="29372" xr:uid="{00000000-0005-0000-0000-00006B400000}"/>
    <cellStyle name="Millares 30 2 16" xfId="29876" xr:uid="{00000000-0005-0000-0000-00006C400000}"/>
    <cellStyle name="Millares 30 2 17" xfId="30380" xr:uid="{00000000-0005-0000-0000-00006D400000}"/>
    <cellStyle name="Millares 30 2 18" xfId="30885" xr:uid="{00000000-0005-0000-0000-00006E400000}"/>
    <cellStyle name="Millares 30 2 2" xfId="6941" xr:uid="{00000000-0005-0000-0000-00006F400000}"/>
    <cellStyle name="Millares 30 2 2 2" xfId="13252" xr:uid="{00000000-0005-0000-0000-000070400000}"/>
    <cellStyle name="Millares 30 2 3" xfId="13253" xr:uid="{00000000-0005-0000-0000-000071400000}"/>
    <cellStyle name="Millares 30 2 3 10" xfId="28365" xr:uid="{00000000-0005-0000-0000-000072400000}"/>
    <cellStyle name="Millares 30 2 3 11" xfId="28869" xr:uid="{00000000-0005-0000-0000-000073400000}"/>
    <cellStyle name="Millares 30 2 3 12" xfId="29373" xr:uid="{00000000-0005-0000-0000-000074400000}"/>
    <cellStyle name="Millares 30 2 3 13" xfId="29877" xr:uid="{00000000-0005-0000-0000-000075400000}"/>
    <cellStyle name="Millares 30 2 3 14" xfId="30381" xr:uid="{00000000-0005-0000-0000-000076400000}"/>
    <cellStyle name="Millares 30 2 3 15" xfId="30886" xr:uid="{00000000-0005-0000-0000-000077400000}"/>
    <cellStyle name="Millares 30 2 3 2" xfId="23902" xr:uid="{00000000-0005-0000-0000-000078400000}"/>
    <cellStyle name="Millares 30 2 3 3" xfId="24837" xr:uid="{00000000-0005-0000-0000-000079400000}"/>
    <cellStyle name="Millares 30 2 3 4" xfId="25341" xr:uid="{00000000-0005-0000-0000-00007A400000}"/>
    <cellStyle name="Millares 30 2 3 5" xfId="25845" xr:uid="{00000000-0005-0000-0000-00007B400000}"/>
    <cellStyle name="Millares 30 2 3 6" xfId="26349" xr:uid="{00000000-0005-0000-0000-00007C400000}"/>
    <cellStyle name="Millares 30 2 3 7" xfId="26853" xr:uid="{00000000-0005-0000-0000-00007D400000}"/>
    <cellStyle name="Millares 30 2 3 8" xfId="27357" xr:uid="{00000000-0005-0000-0000-00007E400000}"/>
    <cellStyle name="Millares 30 2 3 9" xfId="27861" xr:uid="{00000000-0005-0000-0000-00007F400000}"/>
    <cellStyle name="Millares 30 2 4" xfId="13251" xr:uid="{00000000-0005-0000-0000-000080400000}"/>
    <cellStyle name="Millares 30 2 4 10" xfId="28366" xr:uid="{00000000-0005-0000-0000-000081400000}"/>
    <cellStyle name="Millares 30 2 4 11" xfId="28870" xr:uid="{00000000-0005-0000-0000-000082400000}"/>
    <cellStyle name="Millares 30 2 4 12" xfId="29374" xr:uid="{00000000-0005-0000-0000-000083400000}"/>
    <cellStyle name="Millares 30 2 4 13" xfId="29878" xr:uid="{00000000-0005-0000-0000-000084400000}"/>
    <cellStyle name="Millares 30 2 4 14" xfId="30382" xr:uid="{00000000-0005-0000-0000-000085400000}"/>
    <cellStyle name="Millares 30 2 4 15" xfId="30887" xr:uid="{00000000-0005-0000-0000-000086400000}"/>
    <cellStyle name="Millares 30 2 4 2" xfId="23903" xr:uid="{00000000-0005-0000-0000-000087400000}"/>
    <cellStyle name="Millares 30 2 4 3" xfId="24838" xr:uid="{00000000-0005-0000-0000-000088400000}"/>
    <cellStyle name="Millares 30 2 4 4" xfId="25342" xr:uid="{00000000-0005-0000-0000-000089400000}"/>
    <cellStyle name="Millares 30 2 4 5" xfId="25846" xr:uid="{00000000-0005-0000-0000-00008A400000}"/>
    <cellStyle name="Millares 30 2 4 6" xfId="26350" xr:uid="{00000000-0005-0000-0000-00008B400000}"/>
    <cellStyle name="Millares 30 2 4 7" xfId="26854" xr:uid="{00000000-0005-0000-0000-00008C400000}"/>
    <cellStyle name="Millares 30 2 4 8" xfId="27358" xr:uid="{00000000-0005-0000-0000-00008D400000}"/>
    <cellStyle name="Millares 30 2 4 9" xfId="27862" xr:uid="{00000000-0005-0000-0000-00008E400000}"/>
    <cellStyle name="Millares 30 2 5" xfId="23901" xr:uid="{00000000-0005-0000-0000-00008F400000}"/>
    <cellStyle name="Millares 30 2 6" xfId="24836" xr:uid="{00000000-0005-0000-0000-000090400000}"/>
    <cellStyle name="Millares 30 2 7" xfId="25340" xr:uid="{00000000-0005-0000-0000-000091400000}"/>
    <cellStyle name="Millares 30 2 8" xfId="25844" xr:uid="{00000000-0005-0000-0000-000092400000}"/>
    <cellStyle name="Millares 30 2 9" xfId="26348" xr:uid="{00000000-0005-0000-0000-000093400000}"/>
    <cellStyle name="Millares 30 3" xfId="13254" xr:uid="{00000000-0005-0000-0000-000094400000}"/>
    <cellStyle name="Millares 30 3 2" xfId="23904" xr:uid="{00000000-0005-0000-0000-000095400000}"/>
    <cellStyle name="Millares 30 4" xfId="13255" xr:uid="{00000000-0005-0000-0000-000096400000}"/>
    <cellStyle name="Millares 30 4 2" xfId="23905" xr:uid="{00000000-0005-0000-0000-000097400000}"/>
    <cellStyle name="Millares 30 5" xfId="13256" xr:uid="{00000000-0005-0000-0000-000098400000}"/>
    <cellStyle name="Millares 30 6" xfId="13250" xr:uid="{00000000-0005-0000-0000-000099400000}"/>
    <cellStyle name="Millares 31" xfId="2246" xr:uid="{00000000-0005-0000-0000-00009A400000}"/>
    <cellStyle name="Millares 31 2" xfId="3397" xr:uid="{00000000-0005-0000-0000-00009B400000}"/>
    <cellStyle name="Millares 31 2 10" xfId="26855" xr:uid="{00000000-0005-0000-0000-00009C400000}"/>
    <cellStyle name="Millares 31 2 11" xfId="27359" xr:uid="{00000000-0005-0000-0000-00009D400000}"/>
    <cellStyle name="Millares 31 2 12" xfId="27863" xr:uid="{00000000-0005-0000-0000-00009E400000}"/>
    <cellStyle name="Millares 31 2 13" xfId="28367" xr:uid="{00000000-0005-0000-0000-00009F400000}"/>
    <cellStyle name="Millares 31 2 14" xfId="28871" xr:uid="{00000000-0005-0000-0000-0000A0400000}"/>
    <cellStyle name="Millares 31 2 15" xfId="29375" xr:uid="{00000000-0005-0000-0000-0000A1400000}"/>
    <cellStyle name="Millares 31 2 16" xfId="29879" xr:uid="{00000000-0005-0000-0000-0000A2400000}"/>
    <cellStyle name="Millares 31 2 17" xfId="30383" xr:uid="{00000000-0005-0000-0000-0000A3400000}"/>
    <cellStyle name="Millares 31 2 18" xfId="30888" xr:uid="{00000000-0005-0000-0000-0000A4400000}"/>
    <cellStyle name="Millares 31 2 2" xfId="6942" xr:uid="{00000000-0005-0000-0000-0000A5400000}"/>
    <cellStyle name="Millares 31 2 2 2" xfId="13259" xr:uid="{00000000-0005-0000-0000-0000A6400000}"/>
    <cellStyle name="Millares 31 2 3" xfId="13258" xr:uid="{00000000-0005-0000-0000-0000A7400000}"/>
    <cellStyle name="Millares 31 2 3 10" xfId="28368" xr:uid="{00000000-0005-0000-0000-0000A8400000}"/>
    <cellStyle name="Millares 31 2 3 11" xfId="28872" xr:uid="{00000000-0005-0000-0000-0000A9400000}"/>
    <cellStyle name="Millares 31 2 3 12" xfId="29376" xr:uid="{00000000-0005-0000-0000-0000AA400000}"/>
    <cellStyle name="Millares 31 2 3 13" xfId="29880" xr:uid="{00000000-0005-0000-0000-0000AB400000}"/>
    <cellStyle name="Millares 31 2 3 14" xfId="30384" xr:uid="{00000000-0005-0000-0000-0000AC400000}"/>
    <cellStyle name="Millares 31 2 3 15" xfId="30889" xr:uid="{00000000-0005-0000-0000-0000AD400000}"/>
    <cellStyle name="Millares 31 2 3 2" xfId="23907" xr:uid="{00000000-0005-0000-0000-0000AE400000}"/>
    <cellStyle name="Millares 31 2 3 3" xfId="24840" xr:uid="{00000000-0005-0000-0000-0000AF400000}"/>
    <cellStyle name="Millares 31 2 3 4" xfId="25344" xr:uid="{00000000-0005-0000-0000-0000B0400000}"/>
    <cellStyle name="Millares 31 2 3 5" xfId="25848" xr:uid="{00000000-0005-0000-0000-0000B1400000}"/>
    <cellStyle name="Millares 31 2 3 6" xfId="26352" xr:uid="{00000000-0005-0000-0000-0000B2400000}"/>
    <cellStyle name="Millares 31 2 3 7" xfId="26856" xr:uid="{00000000-0005-0000-0000-0000B3400000}"/>
    <cellStyle name="Millares 31 2 3 8" xfId="27360" xr:uid="{00000000-0005-0000-0000-0000B4400000}"/>
    <cellStyle name="Millares 31 2 3 9" xfId="27864" xr:uid="{00000000-0005-0000-0000-0000B5400000}"/>
    <cellStyle name="Millares 31 2 4" xfId="23908" xr:uid="{00000000-0005-0000-0000-0000B6400000}"/>
    <cellStyle name="Millares 31 2 4 10" xfId="28873" xr:uid="{00000000-0005-0000-0000-0000B7400000}"/>
    <cellStyle name="Millares 31 2 4 11" xfId="29377" xr:uid="{00000000-0005-0000-0000-0000B8400000}"/>
    <cellStyle name="Millares 31 2 4 12" xfId="29881" xr:uid="{00000000-0005-0000-0000-0000B9400000}"/>
    <cellStyle name="Millares 31 2 4 13" xfId="30385" xr:uid="{00000000-0005-0000-0000-0000BA400000}"/>
    <cellStyle name="Millares 31 2 4 14" xfId="30890" xr:uid="{00000000-0005-0000-0000-0000BB400000}"/>
    <cellStyle name="Millares 31 2 4 2" xfId="24841" xr:uid="{00000000-0005-0000-0000-0000BC400000}"/>
    <cellStyle name="Millares 31 2 4 3" xfId="25345" xr:uid="{00000000-0005-0000-0000-0000BD400000}"/>
    <cellStyle name="Millares 31 2 4 4" xfId="25849" xr:uid="{00000000-0005-0000-0000-0000BE400000}"/>
    <cellStyle name="Millares 31 2 4 5" xfId="26353" xr:uid="{00000000-0005-0000-0000-0000BF400000}"/>
    <cellStyle name="Millares 31 2 4 6" xfId="26857" xr:uid="{00000000-0005-0000-0000-0000C0400000}"/>
    <cellStyle name="Millares 31 2 4 7" xfId="27361" xr:uid="{00000000-0005-0000-0000-0000C1400000}"/>
    <cellStyle name="Millares 31 2 4 8" xfId="27865" xr:uid="{00000000-0005-0000-0000-0000C2400000}"/>
    <cellStyle name="Millares 31 2 4 9" xfId="28369" xr:uid="{00000000-0005-0000-0000-0000C3400000}"/>
    <cellStyle name="Millares 31 2 5" xfId="23906" xr:uid="{00000000-0005-0000-0000-0000C4400000}"/>
    <cellStyle name="Millares 31 2 6" xfId="24839" xr:uid="{00000000-0005-0000-0000-0000C5400000}"/>
    <cellStyle name="Millares 31 2 7" xfId="25343" xr:uid="{00000000-0005-0000-0000-0000C6400000}"/>
    <cellStyle name="Millares 31 2 8" xfId="25847" xr:uid="{00000000-0005-0000-0000-0000C7400000}"/>
    <cellStyle name="Millares 31 2 9" xfId="26351" xr:uid="{00000000-0005-0000-0000-0000C8400000}"/>
    <cellStyle name="Millares 31 3" xfId="13260" xr:uid="{00000000-0005-0000-0000-0000C9400000}"/>
    <cellStyle name="Millares 31 3 2" xfId="23909" xr:uid="{00000000-0005-0000-0000-0000CA400000}"/>
    <cellStyle name="Millares 31 4" xfId="13261" xr:uid="{00000000-0005-0000-0000-0000CB400000}"/>
    <cellStyle name="Millares 31 4 2" xfId="13262" xr:uid="{00000000-0005-0000-0000-0000CC400000}"/>
    <cellStyle name="Millares 31 4 3" xfId="23910" xr:uid="{00000000-0005-0000-0000-0000CD400000}"/>
    <cellStyle name="Millares 31 5" xfId="13263" xr:uid="{00000000-0005-0000-0000-0000CE400000}"/>
    <cellStyle name="Millares 31 6" xfId="13264" xr:uid="{00000000-0005-0000-0000-0000CF400000}"/>
    <cellStyle name="Millares 31 7" xfId="13265" xr:uid="{00000000-0005-0000-0000-0000D0400000}"/>
    <cellStyle name="Millares 31 8" xfId="13257" xr:uid="{00000000-0005-0000-0000-0000D1400000}"/>
    <cellStyle name="Millares 32" xfId="2247" xr:uid="{00000000-0005-0000-0000-0000D2400000}"/>
    <cellStyle name="Millares 32 2" xfId="3398" xr:uid="{00000000-0005-0000-0000-0000D3400000}"/>
    <cellStyle name="Millares 32 2 2" xfId="6943" xr:uid="{00000000-0005-0000-0000-0000D4400000}"/>
    <cellStyle name="Millares 32 2 2 2" xfId="13268" xr:uid="{00000000-0005-0000-0000-0000D5400000}"/>
    <cellStyle name="Millares 32 2 3" xfId="13267" xr:uid="{00000000-0005-0000-0000-0000D6400000}"/>
    <cellStyle name="Millares 32 2 4" xfId="23911" xr:uid="{00000000-0005-0000-0000-0000D7400000}"/>
    <cellStyle name="Millares 32 3" xfId="13269" xr:uid="{00000000-0005-0000-0000-0000D8400000}"/>
    <cellStyle name="Millares 32 3 2" xfId="23912" xr:uid="{00000000-0005-0000-0000-0000D9400000}"/>
    <cellStyle name="Millares 32 4" xfId="13270" xr:uid="{00000000-0005-0000-0000-0000DA400000}"/>
    <cellStyle name="Millares 32 4 2" xfId="13271" xr:uid="{00000000-0005-0000-0000-0000DB400000}"/>
    <cellStyle name="Millares 32 5" xfId="13272" xr:uid="{00000000-0005-0000-0000-0000DC400000}"/>
    <cellStyle name="Millares 32 6" xfId="13273" xr:uid="{00000000-0005-0000-0000-0000DD400000}"/>
    <cellStyle name="Millares 32 7" xfId="13274" xr:uid="{00000000-0005-0000-0000-0000DE400000}"/>
    <cellStyle name="Millares 32 8" xfId="13275" xr:uid="{00000000-0005-0000-0000-0000DF400000}"/>
    <cellStyle name="Millares 32 9" xfId="13266" xr:uid="{00000000-0005-0000-0000-0000E0400000}"/>
    <cellStyle name="Millares 33" xfId="2248" xr:uid="{00000000-0005-0000-0000-0000E1400000}"/>
    <cellStyle name="Millares 33 2" xfId="13277" xr:uid="{00000000-0005-0000-0000-0000E2400000}"/>
    <cellStyle name="Millares 33 2 2" xfId="23913" xr:uid="{00000000-0005-0000-0000-0000E3400000}"/>
    <cellStyle name="Millares 33 3" xfId="13278" xr:uid="{00000000-0005-0000-0000-0000E4400000}"/>
    <cellStyle name="Millares 33 3 2" xfId="23914" xr:uid="{00000000-0005-0000-0000-0000E5400000}"/>
    <cellStyle name="Millares 33 4" xfId="13276" xr:uid="{00000000-0005-0000-0000-0000E6400000}"/>
    <cellStyle name="Millares 34" xfId="2249" xr:uid="{00000000-0005-0000-0000-0000E7400000}"/>
    <cellStyle name="Millares 34 2" xfId="13280" xr:uid="{00000000-0005-0000-0000-0000E8400000}"/>
    <cellStyle name="Millares 34 2 2" xfId="23915" xr:uid="{00000000-0005-0000-0000-0000E9400000}"/>
    <cellStyle name="Millares 34 3" xfId="13281" xr:uid="{00000000-0005-0000-0000-0000EA400000}"/>
    <cellStyle name="Millares 34 3 2" xfId="13282" xr:uid="{00000000-0005-0000-0000-0000EB400000}"/>
    <cellStyle name="Millares 34 3 3" xfId="23916" xr:uid="{00000000-0005-0000-0000-0000EC400000}"/>
    <cellStyle name="Millares 34 4" xfId="13283" xr:uid="{00000000-0005-0000-0000-0000ED400000}"/>
    <cellStyle name="Millares 34 5" xfId="13279" xr:uid="{00000000-0005-0000-0000-0000EE400000}"/>
    <cellStyle name="Millares 35" xfId="2250" xr:uid="{00000000-0005-0000-0000-0000EF400000}"/>
    <cellStyle name="Millares 35 2" xfId="13285" xr:uid="{00000000-0005-0000-0000-0000F0400000}"/>
    <cellStyle name="Millares 35 2 2" xfId="13286" xr:uid="{00000000-0005-0000-0000-0000F1400000}"/>
    <cellStyle name="Millares 35 2 3" xfId="23917" xr:uid="{00000000-0005-0000-0000-0000F2400000}"/>
    <cellStyle name="Millares 35 3" xfId="13287" xr:uid="{00000000-0005-0000-0000-0000F3400000}"/>
    <cellStyle name="Millares 35 3 2" xfId="23918" xr:uid="{00000000-0005-0000-0000-0000F4400000}"/>
    <cellStyle name="Millares 35 4" xfId="13284" xr:uid="{00000000-0005-0000-0000-0000F5400000}"/>
    <cellStyle name="Millares 36" xfId="2251" xr:uid="{00000000-0005-0000-0000-0000F6400000}"/>
    <cellStyle name="Millares 36 2" xfId="13289" xr:uid="{00000000-0005-0000-0000-0000F7400000}"/>
    <cellStyle name="Millares 36 2 2" xfId="13290" xr:uid="{00000000-0005-0000-0000-0000F8400000}"/>
    <cellStyle name="Millares 36 2 3" xfId="23919" xr:uid="{00000000-0005-0000-0000-0000F9400000}"/>
    <cellStyle name="Millares 36 3" xfId="13291" xr:uid="{00000000-0005-0000-0000-0000FA400000}"/>
    <cellStyle name="Millares 36 3 2" xfId="23920" xr:uid="{00000000-0005-0000-0000-0000FB400000}"/>
    <cellStyle name="Millares 36 4" xfId="13288" xr:uid="{00000000-0005-0000-0000-0000FC400000}"/>
    <cellStyle name="Millares 37" xfId="2252" xr:uid="{00000000-0005-0000-0000-0000FD400000}"/>
    <cellStyle name="Millares 37 10" xfId="26858" xr:uid="{00000000-0005-0000-0000-0000FE400000}"/>
    <cellStyle name="Millares 37 11" xfId="27362" xr:uid="{00000000-0005-0000-0000-0000FF400000}"/>
    <cellStyle name="Millares 37 12" xfId="27866" xr:uid="{00000000-0005-0000-0000-000000410000}"/>
    <cellStyle name="Millares 37 13" xfId="28370" xr:uid="{00000000-0005-0000-0000-000001410000}"/>
    <cellStyle name="Millares 37 14" xfId="28874" xr:uid="{00000000-0005-0000-0000-000002410000}"/>
    <cellStyle name="Millares 37 15" xfId="29378" xr:uid="{00000000-0005-0000-0000-000003410000}"/>
    <cellStyle name="Millares 37 16" xfId="29882" xr:uid="{00000000-0005-0000-0000-000004410000}"/>
    <cellStyle name="Millares 37 17" xfId="30386" xr:uid="{00000000-0005-0000-0000-000005410000}"/>
    <cellStyle name="Millares 37 18" xfId="30891" xr:uid="{00000000-0005-0000-0000-000006410000}"/>
    <cellStyle name="Millares 37 2" xfId="13293" xr:uid="{00000000-0005-0000-0000-000007410000}"/>
    <cellStyle name="Millares 37 2 2" xfId="23922" xr:uid="{00000000-0005-0000-0000-000008410000}"/>
    <cellStyle name="Millares 37 3" xfId="13292" xr:uid="{00000000-0005-0000-0000-000009410000}"/>
    <cellStyle name="Millares 37 3 2" xfId="23923" xr:uid="{00000000-0005-0000-0000-00000A410000}"/>
    <cellStyle name="Millares 37 4" xfId="7200" xr:uid="{00000000-0005-0000-0000-00000B410000}"/>
    <cellStyle name="Millares 37 4 10" xfId="28371" xr:uid="{00000000-0005-0000-0000-00000C410000}"/>
    <cellStyle name="Millares 37 4 11" xfId="28875" xr:uid="{00000000-0005-0000-0000-00000D410000}"/>
    <cellStyle name="Millares 37 4 12" xfId="29379" xr:uid="{00000000-0005-0000-0000-00000E410000}"/>
    <cellStyle name="Millares 37 4 13" xfId="29883" xr:uid="{00000000-0005-0000-0000-00000F410000}"/>
    <cellStyle name="Millares 37 4 14" xfId="30387" xr:uid="{00000000-0005-0000-0000-000010410000}"/>
    <cellStyle name="Millares 37 4 15" xfId="30892" xr:uid="{00000000-0005-0000-0000-000011410000}"/>
    <cellStyle name="Millares 37 4 2" xfId="23924" xr:uid="{00000000-0005-0000-0000-000012410000}"/>
    <cellStyle name="Millares 37 4 3" xfId="24843" xr:uid="{00000000-0005-0000-0000-000013410000}"/>
    <cellStyle name="Millares 37 4 4" xfId="25347" xr:uid="{00000000-0005-0000-0000-000014410000}"/>
    <cellStyle name="Millares 37 4 5" xfId="25851" xr:uid="{00000000-0005-0000-0000-000015410000}"/>
    <cellStyle name="Millares 37 4 6" xfId="26355" xr:uid="{00000000-0005-0000-0000-000016410000}"/>
    <cellStyle name="Millares 37 4 7" xfId="26859" xr:uid="{00000000-0005-0000-0000-000017410000}"/>
    <cellStyle name="Millares 37 4 8" xfId="27363" xr:uid="{00000000-0005-0000-0000-000018410000}"/>
    <cellStyle name="Millares 37 4 9" xfId="27867" xr:uid="{00000000-0005-0000-0000-000019410000}"/>
    <cellStyle name="Millares 37 5" xfId="23921" xr:uid="{00000000-0005-0000-0000-00001A410000}"/>
    <cellStyle name="Millares 37 6" xfId="24842" xr:uid="{00000000-0005-0000-0000-00001B410000}"/>
    <cellStyle name="Millares 37 7" xfId="25346" xr:uid="{00000000-0005-0000-0000-00001C410000}"/>
    <cellStyle name="Millares 37 8" xfId="25850" xr:uid="{00000000-0005-0000-0000-00001D410000}"/>
    <cellStyle name="Millares 37 9" xfId="26354" xr:uid="{00000000-0005-0000-0000-00001E410000}"/>
    <cellStyle name="Millares 38" xfId="3157" xr:uid="{00000000-0005-0000-0000-00001F410000}"/>
    <cellStyle name="Millares 38 10" xfId="26860" xr:uid="{00000000-0005-0000-0000-000020410000}"/>
    <cellStyle name="Millares 38 11" xfId="27364" xr:uid="{00000000-0005-0000-0000-000021410000}"/>
    <cellStyle name="Millares 38 12" xfId="27868" xr:uid="{00000000-0005-0000-0000-000022410000}"/>
    <cellStyle name="Millares 38 13" xfId="28372" xr:uid="{00000000-0005-0000-0000-000023410000}"/>
    <cellStyle name="Millares 38 14" xfId="28876" xr:uid="{00000000-0005-0000-0000-000024410000}"/>
    <cellStyle name="Millares 38 15" xfId="29380" xr:uid="{00000000-0005-0000-0000-000025410000}"/>
    <cellStyle name="Millares 38 16" xfId="29884" xr:uid="{00000000-0005-0000-0000-000026410000}"/>
    <cellStyle name="Millares 38 17" xfId="30388" xr:uid="{00000000-0005-0000-0000-000027410000}"/>
    <cellStyle name="Millares 38 18" xfId="30893" xr:uid="{00000000-0005-0000-0000-000028410000}"/>
    <cellStyle name="Millares 38 2" xfId="4772" xr:uid="{00000000-0005-0000-0000-000029410000}"/>
    <cellStyle name="Millares 38 2 2" xfId="6628" xr:uid="{00000000-0005-0000-0000-00002A410000}"/>
    <cellStyle name="Millares 38 2 3" xfId="13295" xr:uid="{00000000-0005-0000-0000-00002B410000}"/>
    <cellStyle name="Millares 38 2 4" xfId="23926" xr:uid="{00000000-0005-0000-0000-00002C410000}"/>
    <cellStyle name="Millares 38 3" xfId="5726" xr:uid="{00000000-0005-0000-0000-00002D410000}"/>
    <cellStyle name="Millares 38 3 2" xfId="13294" xr:uid="{00000000-0005-0000-0000-00002E410000}"/>
    <cellStyle name="Millares 38 3 3" xfId="23927" xr:uid="{00000000-0005-0000-0000-00002F410000}"/>
    <cellStyle name="Millares 38 4" xfId="7201" xr:uid="{00000000-0005-0000-0000-000030410000}"/>
    <cellStyle name="Millares 38 4 10" xfId="28373" xr:uid="{00000000-0005-0000-0000-000031410000}"/>
    <cellStyle name="Millares 38 4 11" xfId="28877" xr:uid="{00000000-0005-0000-0000-000032410000}"/>
    <cellStyle name="Millares 38 4 12" xfId="29381" xr:uid="{00000000-0005-0000-0000-000033410000}"/>
    <cellStyle name="Millares 38 4 13" xfId="29885" xr:uid="{00000000-0005-0000-0000-000034410000}"/>
    <cellStyle name="Millares 38 4 14" xfId="30389" xr:uid="{00000000-0005-0000-0000-000035410000}"/>
    <cellStyle name="Millares 38 4 15" xfId="30894" xr:uid="{00000000-0005-0000-0000-000036410000}"/>
    <cellStyle name="Millares 38 4 2" xfId="23928" xr:uid="{00000000-0005-0000-0000-000037410000}"/>
    <cellStyle name="Millares 38 4 3" xfId="24845" xr:uid="{00000000-0005-0000-0000-000038410000}"/>
    <cellStyle name="Millares 38 4 4" xfId="25349" xr:uid="{00000000-0005-0000-0000-000039410000}"/>
    <cellStyle name="Millares 38 4 5" xfId="25853" xr:uid="{00000000-0005-0000-0000-00003A410000}"/>
    <cellStyle name="Millares 38 4 6" xfId="26357" xr:uid="{00000000-0005-0000-0000-00003B410000}"/>
    <cellStyle name="Millares 38 4 7" xfId="26861" xr:uid="{00000000-0005-0000-0000-00003C410000}"/>
    <cellStyle name="Millares 38 4 8" xfId="27365" xr:uid="{00000000-0005-0000-0000-00003D410000}"/>
    <cellStyle name="Millares 38 4 9" xfId="27869" xr:uid="{00000000-0005-0000-0000-00003E410000}"/>
    <cellStyle name="Millares 38 5" xfId="23925" xr:uid="{00000000-0005-0000-0000-00003F410000}"/>
    <cellStyle name="Millares 38 6" xfId="24844" xr:uid="{00000000-0005-0000-0000-000040410000}"/>
    <cellStyle name="Millares 38 7" xfId="25348" xr:uid="{00000000-0005-0000-0000-000041410000}"/>
    <cellStyle name="Millares 38 8" xfId="25852" xr:uid="{00000000-0005-0000-0000-000042410000}"/>
    <cellStyle name="Millares 38 9" xfId="26356" xr:uid="{00000000-0005-0000-0000-000043410000}"/>
    <cellStyle name="Millares 39" xfId="3626" xr:uid="{00000000-0005-0000-0000-000044410000}"/>
    <cellStyle name="Millares 39 2" xfId="13297" xr:uid="{00000000-0005-0000-0000-000045410000}"/>
    <cellStyle name="Millares 39 2 2" xfId="23929" xr:uid="{00000000-0005-0000-0000-000046410000}"/>
    <cellStyle name="Millares 39 3" xfId="13296" xr:uid="{00000000-0005-0000-0000-000047410000}"/>
    <cellStyle name="Millares 39 3 10" xfId="28374" xr:uid="{00000000-0005-0000-0000-000048410000}"/>
    <cellStyle name="Millares 39 3 11" xfId="28878" xr:uid="{00000000-0005-0000-0000-000049410000}"/>
    <cellStyle name="Millares 39 3 12" xfId="29382" xr:uid="{00000000-0005-0000-0000-00004A410000}"/>
    <cellStyle name="Millares 39 3 13" xfId="29886" xr:uid="{00000000-0005-0000-0000-00004B410000}"/>
    <cellStyle name="Millares 39 3 14" xfId="30390" xr:uid="{00000000-0005-0000-0000-00004C410000}"/>
    <cellStyle name="Millares 39 3 15" xfId="30895" xr:uid="{00000000-0005-0000-0000-00004D410000}"/>
    <cellStyle name="Millares 39 3 2" xfId="23930" xr:uid="{00000000-0005-0000-0000-00004E410000}"/>
    <cellStyle name="Millares 39 3 3" xfId="24846" xr:uid="{00000000-0005-0000-0000-00004F410000}"/>
    <cellStyle name="Millares 39 3 4" xfId="25350" xr:uid="{00000000-0005-0000-0000-000050410000}"/>
    <cellStyle name="Millares 39 3 5" xfId="25854" xr:uid="{00000000-0005-0000-0000-000051410000}"/>
    <cellStyle name="Millares 39 3 6" xfId="26358" xr:uid="{00000000-0005-0000-0000-000052410000}"/>
    <cellStyle name="Millares 39 3 7" xfId="26862" xr:uid="{00000000-0005-0000-0000-000053410000}"/>
    <cellStyle name="Millares 39 3 8" xfId="27366" xr:uid="{00000000-0005-0000-0000-000054410000}"/>
    <cellStyle name="Millares 39 3 9" xfId="27870" xr:uid="{00000000-0005-0000-0000-000055410000}"/>
    <cellStyle name="Millares 39 4" xfId="7189" xr:uid="{00000000-0005-0000-0000-000056410000}"/>
    <cellStyle name="Millares 39 4 10" xfId="28375" xr:uid="{00000000-0005-0000-0000-000057410000}"/>
    <cellStyle name="Millares 39 4 11" xfId="28879" xr:uid="{00000000-0005-0000-0000-000058410000}"/>
    <cellStyle name="Millares 39 4 12" xfId="29383" xr:uid="{00000000-0005-0000-0000-000059410000}"/>
    <cellStyle name="Millares 39 4 13" xfId="29887" xr:uid="{00000000-0005-0000-0000-00005A410000}"/>
    <cellStyle name="Millares 39 4 14" xfId="30391" xr:uid="{00000000-0005-0000-0000-00005B410000}"/>
    <cellStyle name="Millares 39 4 15" xfId="30896" xr:uid="{00000000-0005-0000-0000-00005C410000}"/>
    <cellStyle name="Millares 39 4 2" xfId="23931" xr:uid="{00000000-0005-0000-0000-00005D410000}"/>
    <cellStyle name="Millares 39 4 3" xfId="24847" xr:uid="{00000000-0005-0000-0000-00005E410000}"/>
    <cellStyle name="Millares 39 4 4" xfId="25351" xr:uid="{00000000-0005-0000-0000-00005F410000}"/>
    <cellStyle name="Millares 39 4 5" xfId="25855" xr:uid="{00000000-0005-0000-0000-000060410000}"/>
    <cellStyle name="Millares 39 4 6" xfId="26359" xr:uid="{00000000-0005-0000-0000-000061410000}"/>
    <cellStyle name="Millares 39 4 7" xfId="26863" xr:uid="{00000000-0005-0000-0000-000062410000}"/>
    <cellStyle name="Millares 39 4 8" xfId="27367" xr:uid="{00000000-0005-0000-0000-000063410000}"/>
    <cellStyle name="Millares 39 4 9" xfId="27871" xr:uid="{00000000-0005-0000-0000-000064410000}"/>
    <cellStyle name="Millares 39 5" xfId="23932" xr:uid="{00000000-0005-0000-0000-000065410000}"/>
    <cellStyle name="Millares 39 5 10" xfId="28880" xr:uid="{00000000-0005-0000-0000-000066410000}"/>
    <cellStyle name="Millares 39 5 11" xfId="29384" xr:uid="{00000000-0005-0000-0000-000067410000}"/>
    <cellStyle name="Millares 39 5 12" xfId="29888" xr:uid="{00000000-0005-0000-0000-000068410000}"/>
    <cellStyle name="Millares 39 5 13" xfId="30392" xr:uid="{00000000-0005-0000-0000-000069410000}"/>
    <cellStyle name="Millares 39 5 14" xfId="30897" xr:uid="{00000000-0005-0000-0000-00006A410000}"/>
    <cellStyle name="Millares 39 5 2" xfId="24848" xr:uid="{00000000-0005-0000-0000-00006B410000}"/>
    <cellStyle name="Millares 39 5 3" xfId="25352" xr:uid="{00000000-0005-0000-0000-00006C410000}"/>
    <cellStyle name="Millares 39 5 4" xfId="25856" xr:uid="{00000000-0005-0000-0000-00006D410000}"/>
    <cellStyle name="Millares 39 5 5" xfId="26360" xr:uid="{00000000-0005-0000-0000-00006E410000}"/>
    <cellStyle name="Millares 39 5 6" xfId="26864" xr:uid="{00000000-0005-0000-0000-00006F410000}"/>
    <cellStyle name="Millares 39 5 7" xfId="27368" xr:uid="{00000000-0005-0000-0000-000070410000}"/>
    <cellStyle name="Millares 39 5 8" xfId="27872" xr:uid="{00000000-0005-0000-0000-000071410000}"/>
    <cellStyle name="Millares 39 5 9" xfId="28376" xr:uid="{00000000-0005-0000-0000-000072410000}"/>
    <cellStyle name="Millares 4" xfId="443" xr:uid="{00000000-0005-0000-0000-000073410000}"/>
    <cellStyle name="Millares 4 10" xfId="13299" xr:uid="{00000000-0005-0000-0000-000074410000}"/>
    <cellStyle name="Millares 4 11" xfId="13298" xr:uid="{00000000-0005-0000-0000-000075410000}"/>
    <cellStyle name="Millares 4 12" xfId="23037" xr:uid="{00000000-0005-0000-0000-000076410000}"/>
    <cellStyle name="Millares 4 13" xfId="31150" xr:uid="{5E0A3D59-7AAD-4B99-8CDC-5110ECA0E7DA}"/>
    <cellStyle name="Millares 4 2" xfId="645" xr:uid="{00000000-0005-0000-0000-000077410000}"/>
    <cellStyle name="Millares 4 2 10" xfId="31151" xr:uid="{7F3E5642-70AE-4B4A-A3C6-BBEB331412AF}"/>
    <cellStyle name="Millares 4 2 2" xfId="2255" xr:uid="{00000000-0005-0000-0000-000078410000}"/>
    <cellStyle name="Millares 4 2 2 2" xfId="3401" xr:uid="{00000000-0005-0000-0000-000079410000}"/>
    <cellStyle name="Millares 4 2 2 2 2" xfId="6946" xr:uid="{00000000-0005-0000-0000-00007A410000}"/>
    <cellStyle name="Millares 4 2 2 2 2 2" xfId="13303" xr:uid="{00000000-0005-0000-0000-00007B410000}"/>
    <cellStyle name="Millares 4 2 2 2 2 2 2" xfId="31277" xr:uid="{2C4563BE-AE30-4912-BD07-93C856DFD5FF}"/>
    <cellStyle name="Millares 4 2 2 2 2 2 2 2" xfId="31378" xr:uid="{32E2931E-DA86-481F-BB0B-4DC10E17B21E}"/>
    <cellStyle name="Millares 4 2 2 2 2 2 2 2 2" xfId="31580" xr:uid="{569E53E7-A68A-4B90-87B7-FBECF15440D3}"/>
    <cellStyle name="Millares 4 2 2 2 2 2 2 2 2 2" xfId="31984" xr:uid="{C8C2772E-4C72-499F-A50B-B3E10C3E8652}"/>
    <cellStyle name="Millares 4 2 2 2 2 2 2 2 3" xfId="31782" xr:uid="{FBE4AD9D-A2A3-4512-87BB-59430F92B9B7}"/>
    <cellStyle name="Millares 4 2 2 2 2 2 2 3" xfId="31479" xr:uid="{E2CD0013-80CC-41B3-B26B-E0B47265B3FF}"/>
    <cellStyle name="Millares 4 2 2 2 2 2 2 3 2" xfId="31883" xr:uid="{D805FCC8-EEC9-4EAB-A832-C5F1850B289E}"/>
    <cellStyle name="Millares 4 2 2 2 2 2 2 4" xfId="31681" xr:uid="{031EE6D1-EB9E-4C18-9068-D5B543F9DDB9}"/>
    <cellStyle name="Millares 4 2 2 2 2 2 3" xfId="31327" xr:uid="{45F41B92-A966-45D0-B13C-6CCE9FB6F02A}"/>
    <cellStyle name="Millares 4 2 2 2 2 2 3 2" xfId="31529" xr:uid="{0E81B90C-4A22-4392-AEE6-261ED80F3231}"/>
    <cellStyle name="Millares 4 2 2 2 2 2 3 2 2" xfId="31933" xr:uid="{EC728517-C955-4307-90D6-61558780A61B}"/>
    <cellStyle name="Millares 4 2 2 2 2 2 3 3" xfId="31731" xr:uid="{24CFC00A-CC0C-401E-8E20-80540052A74D}"/>
    <cellStyle name="Millares 4 2 2 2 2 2 4" xfId="31428" xr:uid="{D4C14905-4727-4E03-8F32-CF7199B74CA0}"/>
    <cellStyle name="Millares 4 2 2 2 2 2 4 2" xfId="31832" xr:uid="{1E9713A3-37B3-4852-A34B-2E9B89EC3FCB}"/>
    <cellStyle name="Millares 4 2 2 2 2 2 5" xfId="31630" xr:uid="{B5D15710-FC15-4413-A740-B7F19A5382D0}"/>
    <cellStyle name="Millares 4 2 2 2 2 2 6" xfId="31203" xr:uid="{6A5FB98E-6C42-4737-8445-660A1C9C57BD}"/>
    <cellStyle name="Millares 4 2 2 2 2 3" xfId="31252" xr:uid="{F2CDE564-3FDC-4143-8B3A-6786A74A2130}"/>
    <cellStyle name="Millares 4 2 2 2 2 3 2" xfId="31353" xr:uid="{AFF5CE1D-C124-4F9D-843F-84FEBD163901}"/>
    <cellStyle name="Millares 4 2 2 2 2 3 2 2" xfId="31555" xr:uid="{F1088220-5A3D-427D-9406-BBBB3F3AAB1E}"/>
    <cellStyle name="Millares 4 2 2 2 2 3 2 2 2" xfId="31959" xr:uid="{4CAB70B6-C1B7-4DAF-BBCA-122940F62F5B}"/>
    <cellStyle name="Millares 4 2 2 2 2 3 2 3" xfId="31757" xr:uid="{D15708C9-3BCD-4900-A138-5CD148806088}"/>
    <cellStyle name="Millares 4 2 2 2 2 3 3" xfId="31454" xr:uid="{3C827C96-E99C-4EBF-96C1-207A63EE63C0}"/>
    <cellStyle name="Millares 4 2 2 2 2 3 3 2" xfId="31858" xr:uid="{63D77524-B372-4ACE-936E-B82D5FB86771}"/>
    <cellStyle name="Millares 4 2 2 2 2 3 4" xfId="31656" xr:uid="{365D8454-F2E3-40C1-9F08-4BEFC355D1FE}"/>
    <cellStyle name="Millares 4 2 2 2 2 4" xfId="31302" xr:uid="{0BCF07E2-11C3-41FA-8492-7F191B77CC1A}"/>
    <cellStyle name="Millares 4 2 2 2 2 4 2" xfId="31504" xr:uid="{1AAF0B6F-C811-4683-A351-BB8B4B3DA5B1}"/>
    <cellStyle name="Millares 4 2 2 2 2 4 2 2" xfId="31908" xr:uid="{452D9E07-FE42-4F7A-91A0-22FB6641230D}"/>
    <cellStyle name="Millares 4 2 2 2 2 4 3" xfId="31706" xr:uid="{72BBD1DD-AFF0-4692-8EBB-F45181AB6D76}"/>
    <cellStyle name="Millares 4 2 2 2 2 5" xfId="31403" xr:uid="{AE8CAF68-7069-43C2-8202-C05F12CA53F7}"/>
    <cellStyle name="Millares 4 2 2 2 2 5 2" xfId="31807" xr:uid="{8C1D152A-5BEF-4E94-93DE-97CDF44883CD}"/>
    <cellStyle name="Millares 4 2 2 2 2 6" xfId="31605" xr:uid="{7AC191A9-BA96-49DA-9896-6B8E0202FB5E}"/>
    <cellStyle name="Millares 4 2 2 2 2 7" xfId="31174" xr:uid="{B68E9209-61E4-4BFD-A0F5-9BCEAA3D0F14}"/>
    <cellStyle name="Millares 4 2 2 2 3" xfId="13302" xr:uid="{00000000-0005-0000-0000-00007C410000}"/>
    <cellStyle name="Millares 4 2 2 2 3 2" xfId="31264" xr:uid="{059552C2-579C-442F-9AD9-35C1613C1E13}"/>
    <cellStyle name="Millares 4 2 2 2 3 2 2" xfId="31365" xr:uid="{BCAF6706-208C-4555-AC6E-DB3438BC9330}"/>
    <cellStyle name="Millares 4 2 2 2 3 2 2 2" xfId="31567" xr:uid="{0BF0E48A-C3A7-4292-9E6E-E05E6B3098B6}"/>
    <cellStyle name="Millares 4 2 2 2 3 2 2 2 2" xfId="31971" xr:uid="{D908E823-DFDF-4505-9C47-1D4A2897629E}"/>
    <cellStyle name="Millares 4 2 2 2 3 2 2 3" xfId="31769" xr:uid="{54329755-3A44-4DC7-80ED-42E3C7802B5D}"/>
    <cellStyle name="Millares 4 2 2 2 3 2 3" xfId="31466" xr:uid="{8EEA4BA2-3C8C-4309-BAC7-B4957F61B4FA}"/>
    <cellStyle name="Millares 4 2 2 2 3 2 3 2" xfId="31870" xr:uid="{C0DC3E4C-E75B-4200-803E-3561C68DDC1F}"/>
    <cellStyle name="Millares 4 2 2 2 3 2 4" xfId="31668" xr:uid="{850A40B4-6F8F-4728-85B7-EC661E38FD3F}"/>
    <cellStyle name="Millares 4 2 2 2 3 3" xfId="31314" xr:uid="{BDB7112A-FB3E-42D5-8DDA-72EFAD7B1444}"/>
    <cellStyle name="Millares 4 2 2 2 3 3 2" xfId="31516" xr:uid="{11EA2DF0-039C-4976-8DFD-DE2AEB99825C}"/>
    <cellStyle name="Millares 4 2 2 2 3 3 2 2" xfId="31920" xr:uid="{D5DE1FD1-653C-4335-9318-4122603D21AD}"/>
    <cellStyle name="Millares 4 2 2 2 3 3 3" xfId="31718" xr:uid="{E242E7E0-CD75-4589-8E45-94E2373ACFF8}"/>
    <cellStyle name="Millares 4 2 2 2 3 4" xfId="31415" xr:uid="{EA768BEE-C777-4FF3-9075-F86BD0E096EA}"/>
    <cellStyle name="Millares 4 2 2 2 3 4 2" xfId="31819" xr:uid="{D9F06432-AE63-462A-A4C9-6A1BE9D282A7}"/>
    <cellStyle name="Millares 4 2 2 2 3 5" xfId="31617" xr:uid="{19B3A66D-8BDF-43DF-A4E2-9AE951C55CA9}"/>
    <cellStyle name="Millares 4 2 2 2 3 6" xfId="31190" xr:uid="{E881FFA9-ADE1-40FB-9155-DB1C0B750DA8}"/>
    <cellStyle name="Millares 4 2 2 2 4" xfId="31237" xr:uid="{09ED936F-D3AB-43B7-818C-DA69FE676D81}"/>
    <cellStyle name="Millares 4 2 2 2 4 2" xfId="31340" xr:uid="{12285107-3CB5-4DE3-ACC5-DFE405519FD2}"/>
    <cellStyle name="Millares 4 2 2 2 4 2 2" xfId="31542" xr:uid="{A7B8486B-9BB6-4298-BE08-E5B8AE120EBA}"/>
    <cellStyle name="Millares 4 2 2 2 4 2 2 2" xfId="31946" xr:uid="{11ADA3AF-6041-44AB-BC96-DA4F3486D795}"/>
    <cellStyle name="Millares 4 2 2 2 4 2 3" xfId="31744" xr:uid="{A6865BB2-1E82-486B-81C2-EB2D08CDA833}"/>
    <cellStyle name="Millares 4 2 2 2 4 3" xfId="31441" xr:uid="{D9D8B8D9-29F8-4EF0-8BA2-288D5A2F54CE}"/>
    <cellStyle name="Millares 4 2 2 2 4 3 2" xfId="31845" xr:uid="{1654C277-E88F-4395-902C-F4DF66FBBF28}"/>
    <cellStyle name="Millares 4 2 2 2 4 4" xfId="31643" xr:uid="{F3A722B9-79F5-4FD7-886B-151AFB98B5BB}"/>
    <cellStyle name="Millares 4 2 2 2 5" xfId="31289" xr:uid="{8C821759-0BE4-4FC6-9552-726749F660EF}"/>
    <cellStyle name="Millares 4 2 2 2 5 2" xfId="31491" xr:uid="{0CBB6F41-70E5-411E-A30A-B02F94391E52}"/>
    <cellStyle name="Millares 4 2 2 2 5 2 2" xfId="31895" xr:uid="{7743197B-F51A-4769-9965-76FC0D63B4B0}"/>
    <cellStyle name="Millares 4 2 2 2 5 3" xfId="31693" xr:uid="{3981964B-0A2F-4794-B90D-58C332AD3B99}"/>
    <cellStyle name="Millares 4 2 2 2 6" xfId="31390" xr:uid="{5F78B6E1-962E-4859-9896-3CF571BE789E}"/>
    <cellStyle name="Millares 4 2 2 2 6 2" xfId="31794" xr:uid="{B7B30B77-CA45-4078-8D0D-6D0E0D6A6784}"/>
    <cellStyle name="Millares 4 2 2 2 7" xfId="31592" xr:uid="{B68C0561-6EA1-470D-BFB9-CF79AAA56500}"/>
    <cellStyle name="Millares 4 2 2 2 8" xfId="31153" xr:uid="{416FCAEC-03E7-45DC-9CED-C857383AE97E}"/>
    <cellStyle name="Millares 4 2 2 3" xfId="4297" xr:uid="{00000000-0005-0000-0000-00007D410000}"/>
    <cellStyle name="Millares 4 2 2 3 2" xfId="13304" xr:uid="{00000000-0005-0000-0000-00007E410000}"/>
    <cellStyle name="Millares 4 2 2 3 2 2" xfId="31276" xr:uid="{CF714934-201C-483D-9C00-87BA35B66239}"/>
    <cellStyle name="Millares 4 2 2 3 2 2 2" xfId="31377" xr:uid="{2ED0D7F6-5907-4450-9135-BCBF9F771646}"/>
    <cellStyle name="Millares 4 2 2 3 2 2 2 2" xfId="31579" xr:uid="{FAF9DF25-7865-4B82-B932-0930045575CF}"/>
    <cellStyle name="Millares 4 2 2 3 2 2 2 2 2" xfId="31983" xr:uid="{0CD9CFCE-9B82-4DC4-836A-82D6E792FFEE}"/>
    <cellStyle name="Millares 4 2 2 3 2 2 2 3" xfId="31781" xr:uid="{6AE59FFF-17E9-46A0-B2A2-0AFE22D042E4}"/>
    <cellStyle name="Millares 4 2 2 3 2 2 3" xfId="31478" xr:uid="{F2D5AD15-0240-40C6-9441-EE8637905D5A}"/>
    <cellStyle name="Millares 4 2 2 3 2 2 3 2" xfId="31882" xr:uid="{D5208AED-8739-4A5B-8279-325A5736208A}"/>
    <cellStyle name="Millares 4 2 2 3 2 2 4" xfId="31680" xr:uid="{A0521B2A-D1E3-476D-A58A-78F22A87CECB}"/>
    <cellStyle name="Millares 4 2 2 3 2 3" xfId="31326" xr:uid="{03A8B4AE-A06C-4690-A8A8-D27A117695A8}"/>
    <cellStyle name="Millares 4 2 2 3 2 3 2" xfId="31528" xr:uid="{9D8E329E-00D2-4E97-870E-E09C388CADA5}"/>
    <cellStyle name="Millares 4 2 2 3 2 3 2 2" xfId="31932" xr:uid="{82AEBB5F-F989-4C22-AF7F-483578C6AB72}"/>
    <cellStyle name="Millares 4 2 2 3 2 3 3" xfId="31730" xr:uid="{63528DE0-36B2-4A1A-9FC1-432F57AF8801}"/>
    <cellStyle name="Millares 4 2 2 3 2 4" xfId="31427" xr:uid="{82289944-967D-49E9-8492-08D1EEB70440}"/>
    <cellStyle name="Millares 4 2 2 3 2 4 2" xfId="31831" xr:uid="{CC243A92-6849-47A1-A731-699D56499044}"/>
    <cellStyle name="Millares 4 2 2 3 2 5" xfId="31629" xr:uid="{D9D02413-C1CA-4CD1-89A3-802B56E4F056}"/>
    <cellStyle name="Millares 4 2 2 3 2 6" xfId="31202" xr:uid="{79DBCB72-AAFE-4528-AA7E-E9F69B7ADB91}"/>
    <cellStyle name="Millares 4 2 2 3 3" xfId="23039" xr:uid="{00000000-0005-0000-0000-00007F410000}"/>
    <cellStyle name="Millares 4 2 2 3 3 2" xfId="31352" xr:uid="{01911AEE-3952-477E-BE39-A504D83E0222}"/>
    <cellStyle name="Millares 4 2 2 3 3 2 2" xfId="31554" xr:uid="{6B593CB9-B0CC-4733-B8DF-5DBEF2C69FC0}"/>
    <cellStyle name="Millares 4 2 2 3 3 2 2 2" xfId="31958" xr:uid="{85287376-56B2-4199-84FC-86215536C240}"/>
    <cellStyle name="Millares 4 2 2 3 3 2 3" xfId="31756" xr:uid="{8AD63D0B-64B3-483F-82AD-57EA8E64A72E}"/>
    <cellStyle name="Millares 4 2 2 3 3 3" xfId="31453" xr:uid="{8ED30B7F-A091-49DA-B64C-BD718B1FB9DF}"/>
    <cellStyle name="Millares 4 2 2 3 3 3 2" xfId="31857" xr:uid="{B0132360-0AD3-4CFA-B5E7-70C9CFE4932A}"/>
    <cellStyle name="Millares 4 2 2 3 3 4" xfId="31655" xr:uid="{C5F78610-329E-40FE-9903-5C53B6F398E1}"/>
    <cellStyle name="Millares 4 2 2 3 3 5" xfId="31251" xr:uid="{E6C5A4AB-327F-4A69-B8DA-09C9EF7843E4}"/>
    <cellStyle name="Millares 4 2 2 3 4" xfId="31301" xr:uid="{79CCD3BC-4A9F-4F35-98F0-C6BD30293720}"/>
    <cellStyle name="Millares 4 2 2 3 4 2" xfId="31503" xr:uid="{D8C49372-24EE-4EFE-8E1E-715ACC5C5ECE}"/>
    <cellStyle name="Millares 4 2 2 3 4 2 2" xfId="31907" xr:uid="{0FE4A1E5-4697-4650-B408-FB65F2DAB7DB}"/>
    <cellStyle name="Millares 4 2 2 3 4 3" xfId="31705" xr:uid="{3FB4C6C2-09CB-4A30-9DA9-EBA8D98340FA}"/>
    <cellStyle name="Millares 4 2 2 3 5" xfId="31402" xr:uid="{714C6D38-E401-4723-9EF3-1A16ACE05FAE}"/>
    <cellStyle name="Millares 4 2 2 3 5 2" xfId="31806" xr:uid="{7F095FED-94BE-405A-9165-EF4F0C546183}"/>
    <cellStyle name="Millares 4 2 2 3 6" xfId="31604" xr:uid="{F237FD32-AE5D-477A-AD8B-3F5F35DC5C99}"/>
    <cellStyle name="Millares 4 2 2 3 7" xfId="31173" xr:uid="{3A736EBF-377C-4DB4-B6E6-F230CADB0103}"/>
    <cellStyle name="Millares 4 2 2 4" xfId="3400" xr:uid="{00000000-0005-0000-0000-000080410000}"/>
    <cellStyle name="Millares 4 2 2 4 2" xfId="13305" xr:uid="{00000000-0005-0000-0000-000081410000}"/>
    <cellStyle name="Millares 4 2 2 4 2 2" xfId="31364" xr:uid="{91219025-A640-48DA-9640-5B833601F6D0}"/>
    <cellStyle name="Millares 4 2 2 4 2 2 2" xfId="31566" xr:uid="{8E304DD5-ABDC-4714-B652-3896AE098AD8}"/>
    <cellStyle name="Millares 4 2 2 4 2 2 2 2" xfId="31970" xr:uid="{1500F97A-F42C-4344-9BB0-BFCF6650636D}"/>
    <cellStyle name="Millares 4 2 2 4 2 2 3" xfId="31768" xr:uid="{D47D83F5-99C8-4987-A4CD-E8DA186B140E}"/>
    <cellStyle name="Millares 4 2 2 4 2 3" xfId="31465" xr:uid="{49F85314-82D6-40FB-AF70-38A8E2E8C8C6}"/>
    <cellStyle name="Millares 4 2 2 4 2 3 2" xfId="31869" xr:uid="{310228B7-BCD8-4B4F-BDA7-7DEA9742D2C6}"/>
    <cellStyle name="Millares 4 2 2 4 2 4" xfId="31667" xr:uid="{71DA9276-42E0-4764-A074-C106C85845C6}"/>
    <cellStyle name="Millares 4 2 2 4 2 5" xfId="31263" xr:uid="{F6F0B07A-38D6-4EFE-8B02-A410472627F6}"/>
    <cellStyle name="Millares 4 2 2 4 3" xfId="31313" xr:uid="{104B9552-7387-4C50-9099-CD2CF1EF05C7}"/>
    <cellStyle name="Millares 4 2 2 4 3 2" xfId="31515" xr:uid="{ED6A1D01-6CEE-42D3-8785-7B434651C10B}"/>
    <cellStyle name="Millares 4 2 2 4 3 2 2" xfId="31919" xr:uid="{6388BA8D-579B-43A9-96D8-04F132D3B5F1}"/>
    <cellStyle name="Millares 4 2 2 4 3 3" xfId="31717" xr:uid="{888CEA62-A61A-4CCF-953D-CB5010C04D6A}"/>
    <cellStyle name="Millares 4 2 2 4 4" xfId="31414" xr:uid="{B990020A-6A69-49C4-81DB-35F6955FA5A5}"/>
    <cellStyle name="Millares 4 2 2 4 4 2" xfId="31818" xr:uid="{A4F6E114-FD9C-4D25-89AE-1EE69E25EAEC}"/>
    <cellStyle name="Millares 4 2 2 4 5" xfId="31616" xr:uid="{D8476BC9-D431-4AB5-BA64-9A74192CC12F}"/>
    <cellStyle name="Millares 4 2 2 4 6" xfId="31189" xr:uid="{79D0137D-8299-43D1-98C3-CC3121B95A0E}"/>
    <cellStyle name="Millares 4 2 2 5" xfId="6945" xr:uid="{00000000-0005-0000-0000-000082410000}"/>
    <cellStyle name="Millares 4 2 2 5 2" xfId="13306" xr:uid="{00000000-0005-0000-0000-000083410000}"/>
    <cellStyle name="Millares 4 2 2 5 2 2" xfId="31541" xr:uid="{88E05D57-9A0D-462D-A2FB-AAFB0A0EC527}"/>
    <cellStyle name="Millares 4 2 2 5 2 2 2" xfId="31945" xr:uid="{CEF10BFC-DE0C-4AF8-8E84-3E7DAFD4A8FC}"/>
    <cellStyle name="Millares 4 2 2 5 2 3" xfId="31743" xr:uid="{561C54E8-E945-4BFE-AB61-3A181EA3D4C5}"/>
    <cellStyle name="Millares 4 2 2 5 2 4" xfId="31339" xr:uid="{29980F29-16C1-43F3-AF2F-BE7C097E1E3A}"/>
    <cellStyle name="Millares 4 2 2 5 3" xfId="31440" xr:uid="{63340308-2790-475A-92AB-CBC32D157E16}"/>
    <cellStyle name="Millares 4 2 2 5 3 2" xfId="31844" xr:uid="{009AD793-3BF8-48E1-B9F8-EA3EAAD3CC39}"/>
    <cellStyle name="Millares 4 2 2 5 4" xfId="31642" xr:uid="{DF670F11-FE62-48D3-8034-157238787D38}"/>
    <cellStyle name="Millares 4 2 2 5 5" xfId="31236" xr:uid="{80F986B5-457D-41DD-B948-7BCA872724AE}"/>
    <cellStyle name="Millares 4 2 2 6" xfId="13301" xr:uid="{00000000-0005-0000-0000-000084410000}"/>
    <cellStyle name="Millares 4 2 2 6 2" xfId="31490" xr:uid="{AF07344D-D00B-4278-B196-2D7D087D6951}"/>
    <cellStyle name="Millares 4 2 2 6 2 2" xfId="31894" xr:uid="{A44A8088-70AE-481A-ABD3-743C63340B89}"/>
    <cellStyle name="Millares 4 2 2 6 3" xfId="31692" xr:uid="{DEE57E3F-F32F-4929-943D-F7F07363BDDD}"/>
    <cellStyle name="Millares 4 2 2 6 4" xfId="31288" xr:uid="{82CCFD57-C2FB-41AD-97A0-BF3E51C8181C}"/>
    <cellStyle name="Millares 4 2 2 7" xfId="31389" xr:uid="{853EB806-8C7F-42FC-98EC-3A43A2DDF732}"/>
    <cellStyle name="Millares 4 2 2 7 2" xfId="31793" xr:uid="{015ECA7E-EF0C-4BCB-95BB-77CCA327067D}"/>
    <cellStyle name="Millares 4 2 2 8" xfId="31591" xr:uid="{0045FF07-9105-4410-8377-34CD152BCED4}"/>
    <cellStyle name="Millares 4 2 2 9" xfId="31152" xr:uid="{C0467820-8874-492F-B6BD-FBE767AE34BD}"/>
    <cellStyle name="Millares 4 2 3" xfId="2254" xr:uid="{00000000-0005-0000-0000-000085410000}"/>
    <cellStyle name="Millares 4 2 3 2" xfId="4296" xr:uid="{00000000-0005-0000-0000-000086410000}"/>
    <cellStyle name="Millares 4 2 3 2 2" xfId="13308" xr:uid="{00000000-0005-0000-0000-000087410000}"/>
    <cellStyle name="Millares 4 2 3 2 2 2" xfId="31278" xr:uid="{CFF4AC0B-C1C5-4193-B9EC-40E2D63A9FF3}"/>
    <cellStyle name="Millares 4 2 3 2 2 2 2" xfId="31379" xr:uid="{7C184FD1-005E-412A-B1B8-6EB91F47B6E4}"/>
    <cellStyle name="Millares 4 2 3 2 2 2 2 2" xfId="31581" xr:uid="{09DF9939-20E7-44F0-A844-EFF96430A51B}"/>
    <cellStyle name="Millares 4 2 3 2 2 2 2 2 2" xfId="31985" xr:uid="{D5F78289-C9FC-4A81-B13C-1D59877F20EC}"/>
    <cellStyle name="Millares 4 2 3 2 2 2 2 3" xfId="31783" xr:uid="{322DDAD9-E07B-441E-B3D9-C2F507FE2FDF}"/>
    <cellStyle name="Millares 4 2 3 2 2 2 3" xfId="31480" xr:uid="{D5141CE0-E43A-494B-A2E6-D7670E1805B6}"/>
    <cellStyle name="Millares 4 2 3 2 2 2 3 2" xfId="31884" xr:uid="{6EEF69E3-4F27-4B58-BF3B-219B0DBEA64F}"/>
    <cellStyle name="Millares 4 2 3 2 2 2 4" xfId="31682" xr:uid="{A11AD80E-22F8-467E-9557-D36D68465A56}"/>
    <cellStyle name="Millares 4 2 3 2 2 3" xfId="31328" xr:uid="{BD28C15E-B715-44A9-9F70-D4FB5175E149}"/>
    <cellStyle name="Millares 4 2 3 2 2 3 2" xfId="31530" xr:uid="{2AEBE83A-4BB4-470C-B768-E83BB4521EF1}"/>
    <cellStyle name="Millares 4 2 3 2 2 3 2 2" xfId="31934" xr:uid="{75E77EEE-BE50-49DD-86B5-D11860AAAEA3}"/>
    <cellStyle name="Millares 4 2 3 2 2 3 3" xfId="31732" xr:uid="{30B520FA-3395-4217-BAF9-610D747457E1}"/>
    <cellStyle name="Millares 4 2 3 2 2 4" xfId="31429" xr:uid="{9E48998B-9B15-411A-A97E-174B2143ECBD}"/>
    <cellStyle name="Millares 4 2 3 2 2 4 2" xfId="31833" xr:uid="{D56B116F-F231-4B84-82EA-3889E86DC559}"/>
    <cellStyle name="Millares 4 2 3 2 2 5" xfId="31631" xr:uid="{04B41158-889C-4595-8153-8F5D9BEF5DA6}"/>
    <cellStyle name="Millares 4 2 3 2 2 6" xfId="31204" xr:uid="{97441BE3-BB91-4F28-B0D6-83960BF26CC8}"/>
    <cellStyle name="Millares 4 2 3 2 3" xfId="23040" xr:uid="{00000000-0005-0000-0000-000088410000}"/>
    <cellStyle name="Millares 4 2 3 2 3 2" xfId="31354" xr:uid="{D932CF2F-DC76-46ED-96AF-C40C41BBB6D4}"/>
    <cellStyle name="Millares 4 2 3 2 3 2 2" xfId="31556" xr:uid="{0B32F219-CD09-46F0-803D-B55BA7AAEEC0}"/>
    <cellStyle name="Millares 4 2 3 2 3 2 2 2" xfId="31960" xr:uid="{251EA58F-F37F-469B-A7B0-6F1FBF46CA6B}"/>
    <cellStyle name="Millares 4 2 3 2 3 2 3" xfId="31758" xr:uid="{29BFD9E5-DE5F-475C-9258-47F790B3DF27}"/>
    <cellStyle name="Millares 4 2 3 2 3 3" xfId="31455" xr:uid="{726E73E4-9F26-4F2D-A729-99FD3861AC61}"/>
    <cellStyle name="Millares 4 2 3 2 3 3 2" xfId="31859" xr:uid="{358AC0FB-B7AF-44F5-A8AB-992D43B27861}"/>
    <cellStyle name="Millares 4 2 3 2 3 4" xfId="31657" xr:uid="{46ABFBC6-E28E-46BF-A489-0C1344C60BBE}"/>
    <cellStyle name="Millares 4 2 3 2 3 5" xfId="31253" xr:uid="{3FA3E1C6-496B-4152-ACDD-C19DAD9FB23A}"/>
    <cellStyle name="Millares 4 2 3 2 4" xfId="31303" xr:uid="{8E34CDDD-E385-4C57-92EB-FAC12F3008EE}"/>
    <cellStyle name="Millares 4 2 3 2 4 2" xfId="31505" xr:uid="{832970DD-C3BD-49C0-BD5F-DE6FFD86948D}"/>
    <cellStyle name="Millares 4 2 3 2 4 2 2" xfId="31909" xr:uid="{4AE1A596-A9BC-42B4-A1C2-EE641C6E78C8}"/>
    <cellStyle name="Millares 4 2 3 2 4 3" xfId="31707" xr:uid="{743609AC-9EAB-4114-B16D-4650620A6366}"/>
    <cellStyle name="Millares 4 2 3 2 5" xfId="31404" xr:uid="{D52BB964-F3A3-4F52-882F-2453A2CF69E5}"/>
    <cellStyle name="Millares 4 2 3 2 5 2" xfId="31808" xr:uid="{9DB17DDD-D7F2-4DC5-96C5-243B9C23168C}"/>
    <cellStyle name="Millares 4 2 3 2 6" xfId="31606" xr:uid="{F71EDE98-AF8A-43F0-B7AF-B722D5EB6CED}"/>
    <cellStyle name="Millares 4 2 3 2 7" xfId="31175" xr:uid="{2B5F6F31-5AA6-4D2C-8B6A-44C55A3846BC}"/>
    <cellStyle name="Millares 4 2 3 3" xfId="3402" xr:uid="{00000000-0005-0000-0000-000089410000}"/>
    <cellStyle name="Millares 4 2 3 3 2" xfId="13309" xr:uid="{00000000-0005-0000-0000-00008A410000}"/>
    <cellStyle name="Millares 4 2 3 3 2 2" xfId="31366" xr:uid="{5E7BD3DC-1BE9-407C-B8B6-111FF10E5EC2}"/>
    <cellStyle name="Millares 4 2 3 3 2 2 2" xfId="31568" xr:uid="{E1BC636C-95F2-4CF5-A0BA-A7694AAA31B8}"/>
    <cellStyle name="Millares 4 2 3 3 2 2 2 2" xfId="31972" xr:uid="{0AE60B77-3728-437B-8384-E7E492FB950D}"/>
    <cellStyle name="Millares 4 2 3 3 2 2 3" xfId="31770" xr:uid="{5E739988-9CD6-4124-A055-C9A4D8A443EF}"/>
    <cellStyle name="Millares 4 2 3 3 2 3" xfId="31467" xr:uid="{D1B98E10-157A-4579-93E0-39BE3D0562AA}"/>
    <cellStyle name="Millares 4 2 3 3 2 3 2" xfId="31871" xr:uid="{C55457E3-A518-46CC-9746-F0905BEBE5D3}"/>
    <cellStyle name="Millares 4 2 3 3 2 4" xfId="31669" xr:uid="{44660A04-AC0E-46AB-86CF-311B2A5353B2}"/>
    <cellStyle name="Millares 4 2 3 3 2 5" xfId="31265" xr:uid="{E4D4A55B-036A-4FE4-9550-7052FCBBA895}"/>
    <cellStyle name="Millares 4 2 3 3 3" xfId="31315" xr:uid="{3E5F270B-F298-44E7-B2B5-3B445B70313D}"/>
    <cellStyle name="Millares 4 2 3 3 3 2" xfId="31517" xr:uid="{A4765686-7EC5-44A0-B373-E93A79F44D16}"/>
    <cellStyle name="Millares 4 2 3 3 3 2 2" xfId="31921" xr:uid="{B8F8D31B-2797-46CF-BBFD-DE7CD1007ABC}"/>
    <cellStyle name="Millares 4 2 3 3 3 3" xfId="31719" xr:uid="{7ABD8CD2-F7EC-4A69-99A8-5CA829B750C5}"/>
    <cellStyle name="Millares 4 2 3 3 4" xfId="31416" xr:uid="{EBAE34E9-532C-4DC4-A1F7-755D1668736E}"/>
    <cellStyle name="Millares 4 2 3 3 4 2" xfId="31820" xr:uid="{E0D685A2-511F-4802-B1DB-A18B069397F7}"/>
    <cellStyle name="Millares 4 2 3 3 5" xfId="31618" xr:uid="{2E572AC6-BFBA-4618-A9A3-363747419C2B}"/>
    <cellStyle name="Millares 4 2 3 3 6" xfId="31191" xr:uid="{0F38E210-AFFF-42CE-9A74-C67937EB7FA7}"/>
    <cellStyle name="Millares 4 2 3 4" xfId="6947" xr:uid="{00000000-0005-0000-0000-00008B410000}"/>
    <cellStyle name="Millares 4 2 3 4 2" xfId="31341" xr:uid="{0B86BD6F-9CFF-4714-8D44-D61B5ED46E21}"/>
    <cellStyle name="Millares 4 2 3 4 2 2" xfId="31543" xr:uid="{F4FA3FAB-E4A2-428B-8594-0B793BFF2851}"/>
    <cellStyle name="Millares 4 2 3 4 2 2 2" xfId="31947" xr:uid="{CB050858-0A09-4ACA-A9BA-628F691CF382}"/>
    <cellStyle name="Millares 4 2 3 4 2 3" xfId="31745" xr:uid="{EC328870-7DF9-46B6-AD54-86BDD18FCB5B}"/>
    <cellStyle name="Millares 4 2 3 4 3" xfId="31442" xr:uid="{A94D9D05-88C0-4980-B91C-39AF99040FA9}"/>
    <cellStyle name="Millares 4 2 3 4 3 2" xfId="31846" xr:uid="{DE896DE0-A9FC-4C52-B9CF-813095DC1608}"/>
    <cellStyle name="Millares 4 2 3 4 4" xfId="31644" xr:uid="{28EDC792-B862-48BB-9D17-E24252713F80}"/>
    <cellStyle name="Millares 4 2 3 4 5" xfId="31238" xr:uid="{C4B235DA-6956-4E3F-BACC-1290C50FEA0F}"/>
    <cellStyle name="Millares 4 2 3 5" xfId="13307" xr:uid="{00000000-0005-0000-0000-00008C410000}"/>
    <cellStyle name="Millares 4 2 3 5 2" xfId="31492" xr:uid="{D082C9C2-82C6-40CB-B58C-FC671E5609C2}"/>
    <cellStyle name="Millares 4 2 3 5 2 2" xfId="31896" xr:uid="{493F2281-83EF-4C82-976C-0A748DBAFA49}"/>
    <cellStyle name="Millares 4 2 3 5 3" xfId="31694" xr:uid="{474F6511-B3F2-45A3-8065-F761A677EC26}"/>
    <cellStyle name="Millares 4 2 3 5 4" xfId="31290" xr:uid="{931473E7-4F23-48E2-9B49-B1B114F18C3A}"/>
    <cellStyle name="Millares 4 2 3 6" xfId="31391" xr:uid="{CDBA84CE-2E96-4F4B-ABE9-10F4AF4850CC}"/>
    <cellStyle name="Millares 4 2 3 6 2" xfId="31795" xr:uid="{4E3DA33A-78E7-4541-921D-D9571E77752A}"/>
    <cellStyle name="Millares 4 2 3 7" xfId="31593" xr:uid="{25AB07F7-F7CD-453B-9100-73BA84522682}"/>
    <cellStyle name="Millares 4 2 3 8" xfId="31154" xr:uid="{A6A88591-3CC7-42F9-A761-33A0C210257A}"/>
    <cellStyle name="Millares 4 2 4" xfId="3679" xr:uid="{00000000-0005-0000-0000-00008D410000}"/>
    <cellStyle name="Millares 4 2 4 2" xfId="13310" xr:uid="{00000000-0005-0000-0000-00008E410000}"/>
    <cellStyle name="Millares 4 2 4 2 2" xfId="23042" xr:uid="{00000000-0005-0000-0000-00008F410000}"/>
    <cellStyle name="Millares 4 2 4 2 2 2" xfId="31376" xr:uid="{EA3FE3A0-9B26-479E-93C8-F496CCDDB04F}"/>
    <cellStyle name="Millares 4 2 4 2 2 2 2" xfId="31578" xr:uid="{F9DAFDC0-1FC6-4748-A306-F36D3905DC4C}"/>
    <cellStyle name="Millares 4 2 4 2 2 2 2 2" xfId="31982" xr:uid="{5CA3BD6E-F8C2-4A1E-ABFD-6193C702F366}"/>
    <cellStyle name="Millares 4 2 4 2 2 2 3" xfId="31780" xr:uid="{CF3723EE-3F42-4632-996E-68D1B2CE5425}"/>
    <cellStyle name="Millares 4 2 4 2 2 3" xfId="31477" xr:uid="{A023404B-387F-4F39-83C2-DBCE48CDD110}"/>
    <cellStyle name="Millares 4 2 4 2 2 3 2" xfId="31881" xr:uid="{25CDB4A6-C03C-4574-A841-2092C66A7403}"/>
    <cellStyle name="Millares 4 2 4 2 2 4" xfId="31679" xr:uid="{2EACBB9F-2830-4350-B0CC-535B0C3DC0D9}"/>
    <cellStyle name="Millares 4 2 4 2 2 5" xfId="31275" xr:uid="{169E2BDD-0B36-45D7-8CCA-4B6DCCFD25BC}"/>
    <cellStyle name="Millares 4 2 4 2 3" xfId="31325" xr:uid="{E89F693D-246B-4E05-AC0F-07BACC673E4A}"/>
    <cellStyle name="Millares 4 2 4 2 3 2" xfId="31527" xr:uid="{875E2316-34EB-4790-8B3F-6AD07E4459F5}"/>
    <cellStyle name="Millares 4 2 4 2 3 2 2" xfId="31931" xr:uid="{6DBFC76A-FE85-4E7C-AB8B-592C549A1F40}"/>
    <cellStyle name="Millares 4 2 4 2 3 3" xfId="31729" xr:uid="{B0EC2B84-6DE6-45C6-A26F-76EE72BE563D}"/>
    <cellStyle name="Millares 4 2 4 2 4" xfId="31426" xr:uid="{BEA4E68A-8BE2-4627-901F-E09BEAD732AF}"/>
    <cellStyle name="Millares 4 2 4 2 4 2" xfId="31830" xr:uid="{5557F78B-587D-401C-98AF-05219B61E8C3}"/>
    <cellStyle name="Millares 4 2 4 2 5" xfId="31628" xr:uid="{30AE6F58-CE32-40E1-965F-FEA48A7B9909}"/>
    <cellStyle name="Millares 4 2 4 2 6" xfId="31201" xr:uid="{F200C8AD-7C44-495C-B023-53F188530B4F}"/>
    <cellStyle name="Millares 4 2 4 3" xfId="23041" xr:uid="{00000000-0005-0000-0000-000090410000}"/>
    <cellStyle name="Millares 4 2 4 3 2" xfId="31351" xr:uid="{9DAC7D1D-9810-40B8-913A-B80BBA236910}"/>
    <cellStyle name="Millares 4 2 4 3 2 2" xfId="31553" xr:uid="{C7A6A8D2-E5F9-4E17-9C10-5CD5495E340A}"/>
    <cellStyle name="Millares 4 2 4 3 2 2 2" xfId="31957" xr:uid="{C55D1664-37E6-427A-9A22-1AD7935BAC2A}"/>
    <cellStyle name="Millares 4 2 4 3 2 3" xfId="31755" xr:uid="{1D2B0E5D-6592-49FD-8CE7-FB2423D78697}"/>
    <cellStyle name="Millares 4 2 4 3 3" xfId="31452" xr:uid="{BDE040F4-31DD-48F2-837F-F1E43F7D6845}"/>
    <cellStyle name="Millares 4 2 4 3 3 2" xfId="31856" xr:uid="{D4E0E9FD-3920-42EB-9315-B187DD2ED13E}"/>
    <cellStyle name="Millares 4 2 4 3 4" xfId="31654" xr:uid="{91E94A17-C0F1-458C-BBC2-35C33C346D81}"/>
    <cellStyle name="Millares 4 2 4 3 5" xfId="31250" xr:uid="{61791727-06D9-4EE2-ACE9-5366656BDEBF}"/>
    <cellStyle name="Millares 4 2 4 4" xfId="31300" xr:uid="{D7C0C89D-4C9A-49B3-9810-4C494A7D49E2}"/>
    <cellStyle name="Millares 4 2 4 4 2" xfId="31502" xr:uid="{F8120CF4-70BE-4DBB-BEE8-63305CD42728}"/>
    <cellStyle name="Millares 4 2 4 4 2 2" xfId="31906" xr:uid="{6A1F8010-1F0B-4803-8FC8-FA891A0EEA8E}"/>
    <cellStyle name="Millares 4 2 4 4 3" xfId="31704" xr:uid="{11810582-F5C0-469E-BE0E-DBFAEECF0D4A}"/>
    <cellStyle name="Millares 4 2 4 5" xfId="31401" xr:uid="{7AE7B569-7047-43E3-B271-C5A9667F3BF0}"/>
    <cellStyle name="Millares 4 2 4 5 2" xfId="31805" xr:uid="{78E877E4-56D0-4583-90D7-89145A567CE4}"/>
    <cellStyle name="Millares 4 2 4 6" xfId="31603" xr:uid="{408B52F8-0096-4257-8083-B9E9894DDD6B}"/>
    <cellStyle name="Millares 4 2 4 7" xfId="31172" xr:uid="{5C96158C-6AB6-4319-A7DF-D22F81A31733}"/>
    <cellStyle name="Millares 4 2 5" xfId="13311" xr:uid="{00000000-0005-0000-0000-000091410000}"/>
    <cellStyle name="Millares 4 2 5 2" xfId="31262" xr:uid="{680B4B99-6BB0-46CB-A6C7-4DEAACA1549F}"/>
    <cellStyle name="Millares 4 2 5 2 2" xfId="31363" xr:uid="{CE8FC7B3-B129-4312-8608-736204BD9BFC}"/>
    <cellStyle name="Millares 4 2 5 2 2 2" xfId="31565" xr:uid="{D1811BF4-230B-4DDC-B970-AE59355D0604}"/>
    <cellStyle name="Millares 4 2 5 2 2 2 2" xfId="31969" xr:uid="{1442FCDB-2350-4704-A3E3-0283F658902A}"/>
    <cellStyle name="Millares 4 2 5 2 2 3" xfId="31767" xr:uid="{A5372723-2860-4FFE-BE1C-BC11B0A8B348}"/>
    <cellStyle name="Millares 4 2 5 2 3" xfId="31464" xr:uid="{8D6EA3C1-D956-405C-A95E-D7737CE851A1}"/>
    <cellStyle name="Millares 4 2 5 2 3 2" xfId="31868" xr:uid="{780AE754-39FB-4CE5-AE18-C027F393559A}"/>
    <cellStyle name="Millares 4 2 5 2 4" xfId="31666" xr:uid="{0A1D4BE6-2935-4EFD-8B6E-73014B06FB07}"/>
    <cellStyle name="Millares 4 2 5 3" xfId="31312" xr:uid="{9D5C7B72-D636-49D9-A4BA-D40D56FDEF4C}"/>
    <cellStyle name="Millares 4 2 5 3 2" xfId="31514" xr:uid="{2F6C8FA3-ACC6-4F92-9720-65B974E3EE8C}"/>
    <cellStyle name="Millares 4 2 5 3 2 2" xfId="31918" xr:uid="{CEB76347-CC2B-468F-8E7D-92AADBE6BAE6}"/>
    <cellStyle name="Millares 4 2 5 3 3" xfId="31716" xr:uid="{6F925015-5BB8-4B77-BFF0-B0B414EC0917}"/>
    <cellStyle name="Millares 4 2 5 4" xfId="31413" xr:uid="{17C5FA76-C384-4623-8ADC-8CA6A985AC9E}"/>
    <cellStyle name="Millares 4 2 5 4 2" xfId="31817" xr:uid="{ACFD4549-4EE4-4AC3-8361-88C8C9051E5A}"/>
    <cellStyle name="Millares 4 2 5 5" xfId="31615" xr:uid="{81B8CD5D-D842-4E44-9DA0-303CE3A25F26}"/>
    <cellStyle name="Millares 4 2 5 6" xfId="31188" xr:uid="{BAFF90BE-8DFF-4FD4-8483-6E2BBECD06DE}"/>
    <cellStyle name="Millares 4 2 6" xfId="13312" xr:uid="{00000000-0005-0000-0000-000092410000}"/>
    <cellStyle name="Millares 4 2 6 2" xfId="31338" xr:uid="{F85D854D-5984-42A7-A9F3-AFE1F8C68470}"/>
    <cellStyle name="Millares 4 2 6 2 2" xfId="31540" xr:uid="{D6915183-F9FE-4B15-841C-65D9D7EB4332}"/>
    <cellStyle name="Millares 4 2 6 2 2 2" xfId="31944" xr:uid="{6B96E0A7-2F96-44C1-A91B-72D8A94599CF}"/>
    <cellStyle name="Millares 4 2 6 2 3" xfId="31742" xr:uid="{2E7BF152-1BA7-4A04-A734-F0A460771BAB}"/>
    <cellStyle name="Millares 4 2 6 3" xfId="31439" xr:uid="{A889DE20-56EE-4FAD-A583-2A50FE9B215D}"/>
    <cellStyle name="Millares 4 2 6 3 2" xfId="31843" xr:uid="{2F3EC599-6719-4471-95D9-43F3E3474CA7}"/>
    <cellStyle name="Millares 4 2 6 4" xfId="31641" xr:uid="{23E60F6F-AE9F-4DB7-A010-6D92BD24A333}"/>
    <cellStyle name="Millares 4 2 6 5" xfId="31235" xr:uid="{01C25D7C-52A0-4038-A3F3-A930CB967B1F}"/>
    <cellStyle name="Millares 4 2 7" xfId="13300" xr:uid="{00000000-0005-0000-0000-000093410000}"/>
    <cellStyle name="Millares 4 2 7 2" xfId="31489" xr:uid="{974EBFAF-2E11-4A56-8E32-9DD1491824C4}"/>
    <cellStyle name="Millares 4 2 7 2 2" xfId="31893" xr:uid="{F260842D-4E80-4D36-8D07-93B997EEC9D8}"/>
    <cellStyle name="Millares 4 2 7 3" xfId="31691" xr:uid="{1BEA1281-FC4B-41B8-A6AB-964E4A285B32}"/>
    <cellStyle name="Millares 4 2 7 4" xfId="31287" xr:uid="{29F36741-5CCD-492B-A86C-BFDF065470A4}"/>
    <cellStyle name="Millares 4 2 8" xfId="23038" xr:uid="{00000000-0005-0000-0000-000094410000}"/>
    <cellStyle name="Millares 4 2 8 2" xfId="31792" xr:uid="{FD3F9094-BDC5-4DB3-AA9A-A9B81BE9E3B3}"/>
    <cellStyle name="Millares 4 2 8 3" xfId="31388" xr:uid="{556AA137-6CB7-43FC-972B-7A1544A0EF96}"/>
    <cellStyle name="Millares 4 2 9" xfId="31590" xr:uid="{3CD871D3-126E-4329-AE01-DE84EB94E59F}"/>
    <cellStyle name="Millares 4 3" xfId="1262" xr:uid="{00000000-0005-0000-0000-000095410000}"/>
    <cellStyle name="Millares 4 3 2" xfId="2256" xr:uid="{00000000-0005-0000-0000-000096410000}"/>
    <cellStyle name="Millares 4 3 2 10" xfId="26865" xr:uid="{00000000-0005-0000-0000-000097410000}"/>
    <cellStyle name="Millares 4 3 2 11" xfId="27369" xr:uid="{00000000-0005-0000-0000-000098410000}"/>
    <cellStyle name="Millares 4 3 2 12" xfId="27873" xr:uid="{00000000-0005-0000-0000-000099410000}"/>
    <cellStyle name="Millares 4 3 2 13" xfId="28377" xr:uid="{00000000-0005-0000-0000-00009A410000}"/>
    <cellStyle name="Millares 4 3 2 14" xfId="28881" xr:uid="{00000000-0005-0000-0000-00009B410000}"/>
    <cellStyle name="Millares 4 3 2 15" xfId="29385" xr:uid="{00000000-0005-0000-0000-00009C410000}"/>
    <cellStyle name="Millares 4 3 2 16" xfId="29889" xr:uid="{00000000-0005-0000-0000-00009D410000}"/>
    <cellStyle name="Millares 4 3 2 17" xfId="30393" xr:uid="{00000000-0005-0000-0000-00009E410000}"/>
    <cellStyle name="Millares 4 3 2 18" xfId="30898" xr:uid="{00000000-0005-0000-0000-00009F410000}"/>
    <cellStyle name="Millares 4 3 2 2" xfId="13314" xr:uid="{00000000-0005-0000-0000-0000A0410000}"/>
    <cellStyle name="Millares 4 3 2 2 10" xfId="27370" xr:uid="{00000000-0005-0000-0000-0000A1410000}"/>
    <cellStyle name="Millares 4 3 2 2 11" xfId="27874" xr:uid="{00000000-0005-0000-0000-0000A2410000}"/>
    <cellStyle name="Millares 4 3 2 2 12" xfId="28378" xr:uid="{00000000-0005-0000-0000-0000A3410000}"/>
    <cellStyle name="Millares 4 3 2 2 13" xfId="28882" xr:uid="{00000000-0005-0000-0000-0000A4410000}"/>
    <cellStyle name="Millares 4 3 2 2 14" xfId="29386" xr:uid="{00000000-0005-0000-0000-0000A5410000}"/>
    <cellStyle name="Millares 4 3 2 2 15" xfId="29890" xr:uid="{00000000-0005-0000-0000-0000A6410000}"/>
    <cellStyle name="Millares 4 3 2 2 16" xfId="30394" xr:uid="{00000000-0005-0000-0000-0000A7410000}"/>
    <cellStyle name="Millares 4 3 2 2 17" xfId="30899" xr:uid="{00000000-0005-0000-0000-0000A8410000}"/>
    <cellStyle name="Millares 4 3 2 2 2" xfId="23045" xr:uid="{00000000-0005-0000-0000-0000A9410000}"/>
    <cellStyle name="Millares 4 3 2 2 3" xfId="23044" xr:uid="{00000000-0005-0000-0000-0000AA410000}"/>
    <cellStyle name="Millares 4 3 2 2 4" xfId="23934" xr:uid="{00000000-0005-0000-0000-0000AB410000}"/>
    <cellStyle name="Millares 4 3 2 2 5" xfId="24850" xr:uid="{00000000-0005-0000-0000-0000AC410000}"/>
    <cellStyle name="Millares 4 3 2 2 6" xfId="25354" xr:uid="{00000000-0005-0000-0000-0000AD410000}"/>
    <cellStyle name="Millares 4 3 2 2 7" xfId="25858" xr:uid="{00000000-0005-0000-0000-0000AE410000}"/>
    <cellStyle name="Millares 4 3 2 2 8" xfId="26362" xr:uid="{00000000-0005-0000-0000-0000AF410000}"/>
    <cellStyle name="Millares 4 3 2 2 9" xfId="26866" xr:uid="{00000000-0005-0000-0000-0000B0410000}"/>
    <cellStyle name="Millares 4 3 2 3" xfId="23046" xr:uid="{00000000-0005-0000-0000-0000B1410000}"/>
    <cellStyle name="Millares 4 3 2 3 10" xfId="28379" xr:uid="{00000000-0005-0000-0000-0000B2410000}"/>
    <cellStyle name="Millares 4 3 2 3 11" xfId="28883" xr:uid="{00000000-0005-0000-0000-0000B3410000}"/>
    <cellStyle name="Millares 4 3 2 3 12" xfId="29387" xr:uid="{00000000-0005-0000-0000-0000B4410000}"/>
    <cellStyle name="Millares 4 3 2 3 13" xfId="29891" xr:uid="{00000000-0005-0000-0000-0000B5410000}"/>
    <cellStyle name="Millares 4 3 2 3 14" xfId="30395" xr:uid="{00000000-0005-0000-0000-0000B6410000}"/>
    <cellStyle name="Millares 4 3 2 3 15" xfId="30900" xr:uid="{00000000-0005-0000-0000-0000B7410000}"/>
    <cellStyle name="Millares 4 3 2 3 2" xfId="23935" xr:uid="{00000000-0005-0000-0000-0000B8410000}"/>
    <cellStyle name="Millares 4 3 2 3 3" xfId="24851" xr:uid="{00000000-0005-0000-0000-0000B9410000}"/>
    <cellStyle name="Millares 4 3 2 3 4" xfId="25355" xr:uid="{00000000-0005-0000-0000-0000BA410000}"/>
    <cellStyle name="Millares 4 3 2 3 5" xfId="25859" xr:uid="{00000000-0005-0000-0000-0000BB410000}"/>
    <cellStyle name="Millares 4 3 2 3 6" xfId="26363" xr:uid="{00000000-0005-0000-0000-0000BC410000}"/>
    <cellStyle name="Millares 4 3 2 3 7" xfId="26867" xr:uid="{00000000-0005-0000-0000-0000BD410000}"/>
    <cellStyle name="Millares 4 3 2 3 8" xfId="27371" xr:uid="{00000000-0005-0000-0000-0000BE410000}"/>
    <cellStyle name="Millares 4 3 2 3 9" xfId="27875" xr:uid="{00000000-0005-0000-0000-0000BF410000}"/>
    <cellStyle name="Millares 4 3 2 4" xfId="23043" xr:uid="{00000000-0005-0000-0000-0000C0410000}"/>
    <cellStyle name="Millares 4 3 2 5" xfId="23933" xr:uid="{00000000-0005-0000-0000-0000C1410000}"/>
    <cellStyle name="Millares 4 3 2 6" xfId="24849" xr:uid="{00000000-0005-0000-0000-0000C2410000}"/>
    <cellStyle name="Millares 4 3 2 7" xfId="25353" xr:uid="{00000000-0005-0000-0000-0000C3410000}"/>
    <cellStyle name="Millares 4 3 2 8" xfId="25857" xr:uid="{00000000-0005-0000-0000-0000C4410000}"/>
    <cellStyle name="Millares 4 3 2 9" xfId="26361" xr:uid="{00000000-0005-0000-0000-0000C5410000}"/>
    <cellStyle name="Millares 4 3 3" xfId="3895" xr:uid="{00000000-0005-0000-0000-0000C6410000}"/>
    <cellStyle name="Millares 4 3 3 2" xfId="13315" xr:uid="{00000000-0005-0000-0000-0000C7410000}"/>
    <cellStyle name="Millares 4 3 3 2 2" xfId="23048" xr:uid="{00000000-0005-0000-0000-0000C8410000}"/>
    <cellStyle name="Millares 4 3 3 3" xfId="23047" xr:uid="{00000000-0005-0000-0000-0000C9410000}"/>
    <cellStyle name="Millares 4 3 3 4" xfId="23936" xr:uid="{00000000-0005-0000-0000-0000CA410000}"/>
    <cellStyle name="Millares 4 3 4" xfId="3403" xr:uid="{00000000-0005-0000-0000-0000CB410000}"/>
    <cellStyle name="Millares 4 3 4 2" xfId="13316" xr:uid="{00000000-0005-0000-0000-0000CC410000}"/>
    <cellStyle name="Millares 4 3 4 2 2" xfId="23050" xr:uid="{00000000-0005-0000-0000-0000CD410000}"/>
    <cellStyle name="Millares 4 3 4 3" xfId="23049" xr:uid="{00000000-0005-0000-0000-0000CE410000}"/>
    <cellStyle name="Millares 4 3 5" xfId="6948" xr:uid="{00000000-0005-0000-0000-0000CF410000}"/>
    <cellStyle name="Millares 4 3 5 2" xfId="13313" xr:uid="{00000000-0005-0000-0000-0000D0410000}"/>
    <cellStyle name="Millares 4 4" xfId="1510" xr:uid="{00000000-0005-0000-0000-0000D1410000}"/>
    <cellStyle name="Millares 4 4 2" xfId="4030" xr:uid="{00000000-0005-0000-0000-0000D2410000}"/>
    <cellStyle name="Millares 4 4 2 2" xfId="13318" xr:uid="{00000000-0005-0000-0000-0000D3410000}"/>
    <cellStyle name="Millares 4 4 2 2 2" xfId="23052" xr:uid="{00000000-0005-0000-0000-0000D4410000}"/>
    <cellStyle name="Millares 4 4 2 3" xfId="23051" xr:uid="{00000000-0005-0000-0000-0000D5410000}"/>
    <cellStyle name="Millares 4 4 3" xfId="3404" xr:uid="{00000000-0005-0000-0000-0000D6410000}"/>
    <cellStyle name="Millares 4 4 3 2" xfId="13319" xr:uid="{00000000-0005-0000-0000-0000D7410000}"/>
    <cellStyle name="Millares 4 4 3 2 2" xfId="23054" xr:uid="{00000000-0005-0000-0000-0000D8410000}"/>
    <cellStyle name="Millares 4 4 3 3" xfId="23053" xr:uid="{00000000-0005-0000-0000-0000D9410000}"/>
    <cellStyle name="Millares 4 4 4" xfId="6949" xr:uid="{00000000-0005-0000-0000-0000DA410000}"/>
    <cellStyle name="Millares 4 4 4 2" xfId="13320" xr:uid="{00000000-0005-0000-0000-0000DB410000}"/>
    <cellStyle name="Millares 4 4 5" xfId="13321" xr:uid="{00000000-0005-0000-0000-0000DC410000}"/>
    <cellStyle name="Millares 4 4 6" xfId="13317" xr:uid="{00000000-0005-0000-0000-0000DD410000}"/>
    <cellStyle name="Millares 4 4 7" xfId="23937" xr:uid="{00000000-0005-0000-0000-0000DE410000}"/>
    <cellStyle name="Millares 4 5" xfId="2253" xr:uid="{00000000-0005-0000-0000-0000DF410000}"/>
    <cellStyle name="Millares 4 5 2" xfId="2787" xr:uid="{00000000-0005-0000-0000-0000E0410000}"/>
    <cellStyle name="Millares 4 5 2 2" xfId="13323" xr:uid="{00000000-0005-0000-0000-0000E1410000}"/>
    <cellStyle name="Millares 4 5 2 3" xfId="23056" xr:uid="{00000000-0005-0000-0000-0000E2410000}"/>
    <cellStyle name="Millares 4 5 3" xfId="13324" xr:uid="{00000000-0005-0000-0000-0000E3410000}"/>
    <cellStyle name="Millares 4 5 4" xfId="13322" xr:uid="{00000000-0005-0000-0000-0000E4410000}"/>
    <cellStyle name="Millares 4 5 5" xfId="23055" xr:uid="{00000000-0005-0000-0000-0000E5410000}"/>
    <cellStyle name="Millares 4 5 6" xfId="23938" xr:uid="{00000000-0005-0000-0000-0000E6410000}"/>
    <cellStyle name="Millares 4 6" xfId="2725" xr:uid="{00000000-0005-0000-0000-0000E7410000}"/>
    <cellStyle name="Millares 4 6 2" xfId="13326" xr:uid="{00000000-0005-0000-0000-0000E8410000}"/>
    <cellStyle name="Millares 4 6 3" xfId="13325" xr:uid="{00000000-0005-0000-0000-0000E9410000}"/>
    <cellStyle name="Millares 4 6 4" xfId="23939" xr:uid="{00000000-0005-0000-0000-0000EA410000}"/>
    <cellStyle name="Millares 4 7" xfId="3645" xr:uid="{00000000-0005-0000-0000-0000EB410000}"/>
    <cellStyle name="Millares 4 7 2" xfId="13327" xr:uid="{00000000-0005-0000-0000-0000EC410000}"/>
    <cellStyle name="Millares 4 7 3" xfId="23940" xr:uid="{00000000-0005-0000-0000-0000ED410000}"/>
    <cellStyle name="Millares 4 8" xfId="3399" xr:uid="{00000000-0005-0000-0000-0000EE410000}"/>
    <cellStyle name="Millares 4 8 10" xfId="28060" xr:uid="{00000000-0005-0000-0000-0000EF410000}"/>
    <cellStyle name="Millares 4 8 11" xfId="28564" xr:uid="{00000000-0005-0000-0000-0000F0410000}"/>
    <cellStyle name="Millares 4 8 12" xfId="29068" xr:uid="{00000000-0005-0000-0000-0000F1410000}"/>
    <cellStyle name="Millares 4 8 13" xfId="29572" xr:uid="{00000000-0005-0000-0000-0000F2410000}"/>
    <cellStyle name="Millares 4 8 14" xfId="30076" xr:uid="{00000000-0005-0000-0000-0000F3410000}"/>
    <cellStyle name="Millares 4 8 15" xfId="30580" xr:uid="{00000000-0005-0000-0000-0000F4410000}"/>
    <cellStyle name="Millares 4 8 16" xfId="31085" xr:uid="{00000000-0005-0000-0000-0000F5410000}"/>
    <cellStyle name="Millares 4 8 2" xfId="13328" xr:uid="{00000000-0005-0000-0000-0000F6410000}"/>
    <cellStyle name="Millares 4 8 3" xfId="24528" xr:uid="{00000000-0005-0000-0000-0000F7410000}"/>
    <cellStyle name="Millares 4 8 4" xfId="25036" xr:uid="{00000000-0005-0000-0000-0000F8410000}"/>
    <cellStyle name="Millares 4 8 5" xfId="25540" xr:uid="{00000000-0005-0000-0000-0000F9410000}"/>
    <cellStyle name="Millares 4 8 6" xfId="26044" xr:uid="{00000000-0005-0000-0000-0000FA410000}"/>
    <cellStyle name="Millares 4 8 7" xfId="26548" xr:uid="{00000000-0005-0000-0000-0000FB410000}"/>
    <cellStyle name="Millares 4 8 8" xfId="27052" xr:uid="{00000000-0005-0000-0000-0000FC410000}"/>
    <cellStyle name="Millares 4 8 9" xfId="27556" xr:uid="{00000000-0005-0000-0000-0000FD410000}"/>
    <cellStyle name="Millares 4 9" xfId="6944" xr:uid="{00000000-0005-0000-0000-0000FE410000}"/>
    <cellStyle name="Millares 4 9 2" xfId="13329" xr:uid="{00000000-0005-0000-0000-0000FF410000}"/>
    <cellStyle name="Millares 40" xfId="3628" xr:uid="{00000000-0005-0000-0000-000000420000}"/>
    <cellStyle name="Millares 40 2" xfId="13331" xr:uid="{00000000-0005-0000-0000-000001420000}"/>
    <cellStyle name="Millares 40 2 10" xfId="28380" xr:uid="{00000000-0005-0000-0000-000002420000}"/>
    <cellStyle name="Millares 40 2 11" xfId="28884" xr:uid="{00000000-0005-0000-0000-000003420000}"/>
    <cellStyle name="Millares 40 2 12" xfId="29388" xr:uid="{00000000-0005-0000-0000-000004420000}"/>
    <cellStyle name="Millares 40 2 13" xfId="29892" xr:uid="{00000000-0005-0000-0000-000005420000}"/>
    <cellStyle name="Millares 40 2 14" xfId="30396" xr:uid="{00000000-0005-0000-0000-000006420000}"/>
    <cellStyle name="Millares 40 2 15" xfId="30901" xr:uid="{00000000-0005-0000-0000-000007420000}"/>
    <cellStyle name="Millares 40 2 2" xfId="23941" xr:uid="{00000000-0005-0000-0000-000008420000}"/>
    <cellStyle name="Millares 40 2 3" xfId="24852" xr:uid="{00000000-0005-0000-0000-000009420000}"/>
    <cellStyle name="Millares 40 2 4" xfId="25356" xr:uid="{00000000-0005-0000-0000-00000A420000}"/>
    <cellStyle name="Millares 40 2 5" xfId="25860" xr:uid="{00000000-0005-0000-0000-00000B420000}"/>
    <cellStyle name="Millares 40 2 6" xfId="26364" xr:uid="{00000000-0005-0000-0000-00000C420000}"/>
    <cellStyle name="Millares 40 2 7" xfId="26868" xr:uid="{00000000-0005-0000-0000-00000D420000}"/>
    <cellStyle name="Millares 40 2 8" xfId="27372" xr:uid="{00000000-0005-0000-0000-00000E420000}"/>
    <cellStyle name="Millares 40 2 9" xfId="27876" xr:uid="{00000000-0005-0000-0000-00000F420000}"/>
    <cellStyle name="Millares 40 3" xfId="13330" xr:uid="{00000000-0005-0000-0000-000010420000}"/>
    <cellStyle name="Millares 40 3 10" xfId="28381" xr:uid="{00000000-0005-0000-0000-000011420000}"/>
    <cellStyle name="Millares 40 3 11" xfId="28885" xr:uid="{00000000-0005-0000-0000-000012420000}"/>
    <cellStyle name="Millares 40 3 12" xfId="29389" xr:uid="{00000000-0005-0000-0000-000013420000}"/>
    <cellStyle name="Millares 40 3 13" xfId="29893" xr:uid="{00000000-0005-0000-0000-000014420000}"/>
    <cellStyle name="Millares 40 3 14" xfId="30397" xr:uid="{00000000-0005-0000-0000-000015420000}"/>
    <cellStyle name="Millares 40 3 15" xfId="30902" xr:uid="{00000000-0005-0000-0000-000016420000}"/>
    <cellStyle name="Millares 40 3 2" xfId="23942" xr:uid="{00000000-0005-0000-0000-000017420000}"/>
    <cellStyle name="Millares 40 3 3" xfId="24853" xr:uid="{00000000-0005-0000-0000-000018420000}"/>
    <cellStyle name="Millares 40 3 4" xfId="25357" xr:uid="{00000000-0005-0000-0000-000019420000}"/>
    <cellStyle name="Millares 40 3 5" xfId="25861" xr:uid="{00000000-0005-0000-0000-00001A420000}"/>
    <cellStyle name="Millares 40 3 6" xfId="26365" xr:uid="{00000000-0005-0000-0000-00001B420000}"/>
    <cellStyle name="Millares 40 3 7" xfId="26869" xr:uid="{00000000-0005-0000-0000-00001C420000}"/>
    <cellStyle name="Millares 40 3 8" xfId="27373" xr:uid="{00000000-0005-0000-0000-00001D420000}"/>
    <cellStyle name="Millares 40 3 9" xfId="27877" xr:uid="{00000000-0005-0000-0000-00001E420000}"/>
    <cellStyle name="Millares 40 4" xfId="7260" xr:uid="{00000000-0005-0000-0000-00001F420000}"/>
    <cellStyle name="Millares 40 4 10" xfId="28382" xr:uid="{00000000-0005-0000-0000-000020420000}"/>
    <cellStyle name="Millares 40 4 11" xfId="28886" xr:uid="{00000000-0005-0000-0000-000021420000}"/>
    <cellStyle name="Millares 40 4 12" xfId="29390" xr:uid="{00000000-0005-0000-0000-000022420000}"/>
    <cellStyle name="Millares 40 4 13" xfId="29894" xr:uid="{00000000-0005-0000-0000-000023420000}"/>
    <cellStyle name="Millares 40 4 14" xfId="30398" xr:uid="{00000000-0005-0000-0000-000024420000}"/>
    <cellStyle name="Millares 40 4 15" xfId="30903" xr:uid="{00000000-0005-0000-0000-000025420000}"/>
    <cellStyle name="Millares 40 4 2" xfId="23943" xr:uid="{00000000-0005-0000-0000-000026420000}"/>
    <cellStyle name="Millares 40 4 3" xfId="24854" xr:uid="{00000000-0005-0000-0000-000027420000}"/>
    <cellStyle name="Millares 40 4 4" xfId="25358" xr:uid="{00000000-0005-0000-0000-000028420000}"/>
    <cellStyle name="Millares 40 4 5" xfId="25862" xr:uid="{00000000-0005-0000-0000-000029420000}"/>
    <cellStyle name="Millares 40 4 6" xfId="26366" xr:uid="{00000000-0005-0000-0000-00002A420000}"/>
    <cellStyle name="Millares 40 4 7" xfId="26870" xr:uid="{00000000-0005-0000-0000-00002B420000}"/>
    <cellStyle name="Millares 40 4 8" xfId="27374" xr:uid="{00000000-0005-0000-0000-00002C420000}"/>
    <cellStyle name="Millares 40 4 9" xfId="27878" xr:uid="{00000000-0005-0000-0000-00002D420000}"/>
    <cellStyle name="Millares 41" xfId="4775" xr:uid="{00000000-0005-0000-0000-00002E420000}"/>
    <cellStyle name="Millares 41 2" xfId="13333" xr:uid="{00000000-0005-0000-0000-00002F420000}"/>
    <cellStyle name="Millares 41 2 2" xfId="23944" xr:uid="{00000000-0005-0000-0000-000030420000}"/>
    <cellStyle name="Millares 41 3" xfId="13332" xr:uid="{00000000-0005-0000-0000-000031420000}"/>
    <cellStyle name="Millares 41 3 10" xfId="28383" xr:uid="{00000000-0005-0000-0000-000032420000}"/>
    <cellStyle name="Millares 41 3 11" xfId="28887" xr:uid="{00000000-0005-0000-0000-000033420000}"/>
    <cellStyle name="Millares 41 3 12" xfId="29391" xr:uid="{00000000-0005-0000-0000-000034420000}"/>
    <cellStyle name="Millares 41 3 13" xfId="29895" xr:uid="{00000000-0005-0000-0000-000035420000}"/>
    <cellStyle name="Millares 41 3 14" xfId="30399" xr:uid="{00000000-0005-0000-0000-000036420000}"/>
    <cellStyle name="Millares 41 3 15" xfId="30904" xr:uid="{00000000-0005-0000-0000-000037420000}"/>
    <cellStyle name="Millares 41 3 2" xfId="23945" xr:uid="{00000000-0005-0000-0000-000038420000}"/>
    <cellStyle name="Millares 41 3 3" xfId="24855" xr:uid="{00000000-0005-0000-0000-000039420000}"/>
    <cellStyle name="Millares 41 3 4" xfId="25359" xr:uid="{00000000-0005-0000-0000-00003A420000}"/>
    <cellStyle name="Millares 41 3 5" xfId="25863" xr:uid="{00000000-0005-0000-0000-00003B420000}"/>
    <cellStyle name="Millares 41 3 6" xfId="26367" xr:uid="{00000000-0005-0000-0000-00003C420000}"/>
    <cellStyle name="Millares 41 3 7" xfId="26871" xr:uid="{00000000-0005-0000-0000-00003D420000}"/>
    <cellStyle name="Millares 41 3 8" xfId="27375" xr:uid="{00000000-0005-0000-0000-00003E420000}"/>
    <cellStyle name="Millares 41 3 9" xfId="27879" xr:uid="{00000000-0005-0000-0000-00003F420000}"/>
    <cellStyle name="Millares 41 4" xfId="7257" xr:uid="{00000000-0005-0000-0000-000040420000}"/>
    <cellStyle name="Millares 41 4 10" xfId="28384" xr:uid="{00000000-0005-0000-0000-000041420000}"/>
    <cellStyle name="Millares 41 4 11" xfId="28888" xr:uid="{00000000-0005-0000-0000-000042420000}"/>
    <cellStyle name="Millares 41 4 12" xfId="29392" xr:uid="{00000000-0005-0000-0000-000043420000}"/>
    <cellStyle name="Millares 41 4 13" xfId="29896" xr:uid="{00000000-0005-0000-0000-000044420000}"/>
    <cellStyle name="Millares 41 4 14" xfId="30400" xr:uid="{00000000-0005-0000-0000-000045420000}"/>
    <cellStyle name="Millares 41 4 15" xfId="30905" xr:uid="{00000000-0005-0000-0000-000046420000}"/>
    <cellStyle name="Millares 41 4 2" xfId="23946" xr:uid="{00000000-0005-0000-0000-000047420000}"/>
    <cellStyle name="Millares 41 4 3" xfId="24856" xr:uid="{00000000-0005-0000-0000-000048420000}"/>
    <cellStyle name="Millares 41 4 4" xfId="25360" xr:uid="{00000000-0005-0000-0000-000049420000}"/>
    <cellStyle name="Millares 41 4 5" xfId="25864" xr:uid="{00000000-0005-0000-0000-00004A420000}"/>
    <cellStyle name="Millares 41 4 6" xfId="26368" xr:uid="{00000000-0005-0000-0000-00004B420000}"/>
    <cellStyle name="Millares 41 4 7" xfId="26872" xr:uid="{00000000-0005-0000-0000-00004C420000}"/>
    <cellStyle name="Millares 41 4 8" xfId="27376" xr:uid="{00000000-0005-0000-0000-00004D420000}"/>
    <cellStyle name="Millares 41 4 9" xfId="27880" xr:uid="{00000000-0005-0000-0000-00004E420000}"/>
    <cellStyle name="Millares 41 5" xfId="23947" xr:uid="{00000000-0005-0000-0000-00004F420000}"/>
    <cellStyle name="Millares 41 5 10" xfId="28889" xr:uid="{00000000-0005-0000-0000-000050420000}"/>
    <cellStyle name="Millares 41 5 11" xfId="29393" xr:uid="{00000000-0005-0000-0000-000051420000}"/>
    <cellStyle name="Millares 41 5 12" xfId="29897" xr:uid="{00000000-0005-0000-0000-000052420000}"/>
    <cellStyle name="Millares 41 5 13" xfId="30401" xr:uid="{00000000-0005-0000-0000-000053420000}"/>
    <cellStyle name="Millares 41 5 14" xfId="30906" xr:uid="{00000000-0005-0000-0000-000054420000}"/>
    <cellStyle name="Millares 41 5 2" xfId="24857" xr:uid="{00000000-0005-0000-0000-000055420000}"/>
    <cellStyle name="Millares 41 5 3" xfId="25361" xr:uid="{00000000-0005-0000-0000-000056420000}"/>
    <cellStyle name="Millares 41 5 4" xfId="25865" xr:uid="{00000000-0005-0000-0000-000057420000}"/>
    <cellStyle name="Millares 41 5 5" xfId="26369" xr:uid="{00000000-0005-0000-0000-000058420000}"/>
    <cellStyle name="Millares 41 5 6" xfId="26873" xr:uid="{00000000-0005-0000-0000-000059420000}"/>
    <cellStyle name="Millares 41 5 7" xfId="27377" xr:uid="{00000000-0005-0000-0000-00005A420000}"/>
    <cellStyle name="Millares 41 5 8" xfId="27881" xr:uid="{00000000-0005-0000-0000-00005B420000}"/>
    <cellStyle name="Millares 41 5 9" xfId="28385" xr:uid="{00000000-0005-0000-0000-00005C420000}"/>
    <cellStyle name="Millares 42" xfId="4347" xr:uid="{00000000-0005-0000-0000-00005D420000}"/>
    <cellStyle name="Millares 42 2" xfId="13335" xr:uid="{00000000-0005-0000-0000-00005E420000}"/>
    <cellStyle name="Millares 42 2 2" xfId="23948" xr:uid="{00000000-0005-0000-0000-00005F420000}"/>
    <cellStyle name="Millares 42 3" xfId="13334" xr:uid="{00000000-0005-0000-0000-000060420000}"/>
    <cellStyle name="Millares 42 3 10" xfId="28386" xr:uid="{00000000-0005-0000-0000-000061420000}"/>
    <cellStyle name="Millares 42 3 11" xfId="28890" xr:uid="{00000000-0005-0000-0000-000062420000}"/>
    <cellStyle name="Millares 42 3 12" xfId="29394" xr:uid="{00000000-0005-0000-0000-000063420000}"/>
    <cellStyle name="Millares 42 3 13" xfId="29898" xr:uid="{00000000-0005-0000-0000-000064420000}"/>
    <cellStyle name="Millares 42 3 14" xfId="30402" xr:uid="{00000000-0005-0000-0000-000065420000}"/>
    <cellStyle name="Millares 42 3 15" xfId="30907" xr:uid="{00000000-0005-0000-0000-000066420000}"/>
    <cellStyle name="Millares 42 3 2" xfId="23949" xr:uid="{00000000-0005-0000-0000-000067420000}"/>
    <cellStyle name="Millares 42 3 3" xfId="24858" xr:uid="{00000000-0005-0000-0000-000068420000}"/>
    <cellStyle name="Millares 42 3 4" xfId="25362" xr:uid="{00000000-0005-0000-0000-000069420000}"/>
    <cellStyle name="Millares 42 3 5" xfId="25866" xr:uid="{00000000-0005-0000-0000-00006A420000}"/>
    <cellStyle name="Millares 42 3 6" xfId="26370" xr:uid="{00000000-0005-0000-0000-00006B420000}"/>
    <cellStyle name="Millares 42 3 7" xfId="26874" xr:uid="{00000000-0005-0000-0000-00006C420000}"/>
    <cellStyle name="Millares 42 3 8" xfId="27378" xr:uid="{00000000-0005-0000-0000-00006D420000}"/>
    <cellStyle name="Millares 42 3 9" xfId="27882" xr:uid="{00000000-0005-0000-0000-00006E420000}"/>
    <cellStyle name="Millares 42 4" xfId="7258" xr:uid="{00000000-0005-0000-0000-00006F420000}"/>
    <cellStyle name="Millares 42 4 10" xfId="28387" xr:uid="{00000000-0005-0000-0000-000070420000}"/>
    <cellStyle name="Millares 42 4 11" xfId="28891" xr:uid="{00000000-0005-0000-0000-000071420000}"/>
    <cellStyle name="Millares 42 4 12" xfId="29395" xr:uid="{00000000-0005-0000-0000-000072420000}"/>
    <cellStyle name="Millares 42 4 13" xfId="29899" xr:uid="{00000000-0005-0000-0000-000073420000}"/>
    <cellStyle name="Millares 42 4 14" xfId="30403" xr:uid="{00000000-0005-0000-0000-000074420000}"/>
    <cellStyle name="Millares 42 4 15" xfId="30908" xr:uid="{00000000-0005-0000-0000-000075420000}"/>
    <cellStyle name="Millares 42 4 2" xfId="23950" xr:uid="{00000000-0005-0000-0000-000076420000}"/>
    <cellStyle name="Millares 42 4 3" xfId="24859" xr:uid="{00000000-0005-0000-0000-000077420000}"/>
    <cellStyle name="Millares 42 4 4" xfId="25363" xr:uid="{00000000-0005-0000-0000-000078420000}"/>
    <cellStyle name="Millares 42 4 5" xfId="25867" xr:uid="{00000000-0005-0000-0000-000079420000}"/>
    <cellStyle name="Millares 42 4 6" xfId="26371" xr:uid="{00000000-0005-0000-0000-00007A420000}"/>
    <cellStyle name="Millares 42 4 7" xfId="26875" xr:uid="{00000000-0005-0000-0000-00007B420000}"/>
    <cellStyle name="Millares 42 4 8" xfId="27379" xr:uid="{00000000-0005-0000-0000-00007C420000}"/>
    <cellStyle name="Millares 42 4 9" xfId="27883" xr:uid="{00000000-0005-0000-0000-00007D420000}"/>
    <cellStyle name="Millares 42 5" xfId="23951" xr:uid="{00000000-0005-0000-0000-00007E420000}"/>
    <cellStyle name="Millares 42 5 10" xfId="28892" xr:uid="{00000000-0005-0000-0000-00007F420000}"/>
    <cellStyle name="Millares 42 5 11" xfId="29396" xr:uid="{00000000-0005-0000-0000-000080420000}"/>
    <cellStyle name="Millares 42 5 12" xfId="29900" xr:uid="{00000000-0005-0000-0000-000081420000}"/>
    <cellStyle name="Millares 42 5 13" xfId="30404" xr:uid="{00000000-0005-0000-0000-000082420000}"/>
    <cellStyle name="Millares 42 5 14" xfId="30909" xr:uid="{00000000-0005-0000-0000-000083420000}"/>
    <cellStyle name="Millares 42 5 2" xfId="24860" xr:uid="{00000000-0005-0000-0000-000084420000}"/>
    <cellStyle name="Millares 42 5 3" xfId="25364" xr:uid="{00000000-0005-0000-0000-000085420000}"/>
    <cellStyle name="Millares 42 5 4" xfId="25868" xr:uid="{00000000-0005-0000-0000-000086420000}"/>
    <cellStyle name="Millares 42 5 5" xfId="26372" xr:uid="{00000000-0005-0000-0000-000087420000}"/>
    <cellStyle name="Millares 42 5 6" xfId="26876" xr:uid="{00000000-0005-0000-0000-000088420000}"/>
    <cellStyle name="Millares 42 5 7" xfId="27380" xr:uid="{00000000-0005-0000-0000-000089420000}"/>
    <cellStyle name="Millares 42 5 8" xfId="27884" xr:uid="{00000000-0005-0000-0000-00008A420000}"/>
    <cellStyle name="Millares 42 5 9" xfId="28388" xr:uid="{00000000-0005-0000-0000-00008B420000}"/>
    <cellStyle name="Millares 43" xfId="4783" xr:uid="{00000000-0005-0000-0000-00008C420000}"/>
    <cellStyle name="Millares 43 2" xfId="13337" xr:uid="{00000000-0005-0000-0000-00008D420000}"/>
    <cellStyle name="Millares 43 2 2" xfId="23952" xr:uid="{00000000-0005-0000-0000-00008E420000}"/>
    <cellStyle name="Millares 43 3" xfId="13336" xr:uid="{00000000-0005-0000-0000-00008F420000}"/>
    <cellStyle name="Millares 43 4" xfId="7256" xr:uid="{00000000-0005-0000-0000-000090420000}"/>
    <cellStyle name="Millares 44" xfId="4784" xr:uid="{00000000-0005-0000-0000-000091420000}"/>
    <cellStyle name="Millares 44 2" xfId="13339" xr:uid="{00000000-0005-0000-0000-000092420000}"/>
    <cellStyle name="Millares 44 2 10" xfId="28389" xr:uid="{00000000-0005-0000-0000-000093420000}"/>
    <cellStyle name="Millares 44 2 11" xfId="28893" xr:uid="{00000000-0005-0000-0000-000094420000}"/>
    <cellStyle name="Millares 44 2 12" xfId="29397" xr:uid="{00000000-0005-0000-0000-000095420000}"/>
    <cellStyle name="Millares 44 2 13" xfId="29901" xr:uid="{00000000-0005-0000-0000-000096420000}"/>
    <cellStyle name="Millares 44 2 14" xfId="30405" xr:uid="{00000000-0005-0000-0000-000097420000}"/>
    <cellStyle name="Millares 44 2 15" xfId="30910" xr:uid="{00000000-0005-0000-0000-000098420000}"/>
    <cellStyle name="Millares 44 2 2" xfId="23953" xr:uid="{00000000-0005-0000-0000-000099420000}"/>
    <cellStyle name="Millares 44 2 3" xfId="24861" xr:uid="{00000000-0005-0000-0000-00009A420000}"/>
    <cellStyle name="Millares 44 2 4" xfId="25365" xr:uid="{00000000-0005-0000-0000-00009B420000}"/>
    <cellStyle name="Millares 44 2 5" xfId="25869" xr:uid="{00000000-0005-0000-0000-00009C420000}"/>
    <cellStyle name="Millares 44 2 6" xfId="26373" xr:uid="{00000000-0005-0000-0000-00009D420000}"/>
    <cellStyle name="Millares 44 2 7" xfId="26877" xr:uid="{00000000-0005-0000-0000-00009E420000}"/>
    <cellStyle name="Millares 44 2 8" xfId="27381" xr:uid="{00000000-0005-0000-0000-00009F420000}"/>
    <cellStyle name="Millares 44 2 9" xfId="27885" xr:uid="{00000000-0005-0000-0000-0000A0420000}"/>
    <cellStyle name="Millares 44 3" xfId="13338" xr:uid="{00000000-0005-0000-0000-0000A1420000}"/>
    <cellStyle name="Millares 44 3 10" xfId="28390" xr:uid="{00000000-0005-0000-0000-0000A2420000}"/>
    <cellStyle name="Millares 44 3 11" xfId="28894" xr:uid="{00000000-0005-0000-0000-0000A3420000}"/>
    <cellStyle name="Millares 44 3 12" xfId="29398" xr:uid="{00000000-0005-0000-0000-0000A4420000}"/>
    <cellStyle name="Millares 44 3 13" xfId="29902" xr:uid="{00000000-0005-0000-0000-0000A5420000}"/>
    <cellStyle name="Millares 44 3 14" xfId="30406" xr:uid="{00000000-0005-0000-0000-0000A6420000}"/>
    <cellStyle name="Millares 44 3 15" xfId="30911" xr:uid="{00000000-0005-0000-0000-0000A7420000}"/>
    <cellStyle name="Millares 44 3 2" xfId="23954" xr:uid="{00000000-0005-0000-0000-0000A8420000}"/>
    <cellStyle name="Millares 44 3 3" xfId="24862" xr:uid="{00000000-0005-0000-0000-0000A9420000}"/>
    <cellStyle name="Millares 44 3 4" xfId="25366" xr:uid="{00000000-0005-0000-0000-0000AA420000}"/>
    <cellStyle name="Millares 44 3 5" xfId="25870" xr:uid="{00000000-0005-0000-0000-0000AB420000}"/>
    <cellStyle name="Millares 44 3 6" xfId="26374" xr:uid="{00000000-0005-0000-0000-0000AC420000}"/>
    <cellStyle name="Millares 44 3 7" xfId="26878" xr:uid="{00000000-0005-0000-0000-0000AD420000}"/>
    <cellStyle name="Millares 44 3 8" xfId="27382" xr:uid="{00000000-0005-0000-0000-0000AE420000}"/>
    <cellStyle name="Millares 44 3 9" xfId="27886" xr:uid="{00000000-0005-0000-0000-0000AF420000}"/>
    <cellStyle name="Millares 44 4" xfId="7259" xr:uid="{00000000-0005-0000-0000-0000B0420000}"/>
    <cellStyle name="Millares 44 4 10" xfId="28391" xr:uid="{00000000-0005-0000-0000-0000B1420000}"/>
    <cellStyle name="Millares 44 4 11" xfId="28895" xr:uid="{00000000-0005-0000-0000-0000B2420000}"/>
    <cellStyle name="Millares 44 4 12" xfId="29399" xr:uid="{00000000-0005-0000-0000-0000B3420000}"/>
    <cellStyle name="Millares 44 4 13" xfId="29903" xr:uid="{00000000-0005-0000-0000-0000B4420000}"/>
    <cellStyle name="Millares 44 4 14" xfId="30407" xr:uid="{00000000-0005-0000-0000-0000B5420000}"/>
    <cellStyle name="Millares 44 4 15" xfId="30912" xr:uid="{00000000-0005-0000-0000-0000B6420000}"/>
    <cellStyle name="Millares 44 4 2" xfId="23955" xr:uid="{00000000-0005-0000-0000-0000B7420000}"/>
    <cellStyle name="Millares 44 4 3" xfId="24863" xr:uid="{00000000-0005-0000-0000-0000B8420000}"/>
    <cellStyle name="Millares 44 4 4" xfId="25367" xr:uid="{00000000-0005-0000-0000-0000B9420000}"/>
    <cellStyle name="Millares 44 4 5" xfId="25871" xr:uid="{00000000-0005-0000-0000-0000BA420000}"/>
    <cellStyle name="Millares 44 4 6" xfId="26375" xr:uid="{00000000-0005-0000-0000-0000BB420000}"/>
    <cellStyle name="Millares 44 4 7" xfId="26879" xr:uid="{00000000-0005-0000-0000-0000BC420000}"/>
    <cellStyle name="Millares 44 4 8" xfId="27383" xr:uid="{00000000-0005-0000-0000-0000BD420000}"/>
    <cellStyle name="Millares 44 4 9" xfId="27887" xr:uid="{00000000-0005-0000-0000-0000BE420000}"/>
    <cellStyle name="Millares 45" xfId="4776" xr:uid="{00000000-0005-0000-0000-0000BF420000}"/>
    <cellStyle name="Millares 45 2" xfId="13341" xr:uid="{00000000-0005-0000-0000-0000C0420000}"/>
    <cellStyle name="Millares 45 2 2" xfId="23956" xr:uid="{00000000-0005-0000-0000-0000C1420000}"/>
    <cellStyle name="Millares 45 3" xfId="13340" xr:uid="{00000000-0005-0000-0000-0000C2420000}"/>
    <cellStyle name="Millares 45 4" xfId="7255" xr:uid="{00000000-0005-0000-0000-0000C3420000}"/>
    <cellStyle name="Millares 46" xfId="4774" xr:uid="{00000000-0005-0000-0000-0000C4420000}"/>
    <cellStyle name="Millares 46 2" xfId="13343" xr:uid="{00000000-0005-0000-0000-0000C5420000}"/>
    <cellStyle name="Millares 46 2 10" xfId="28392" xr:uid="{00000000-0005-0000-0000-0000C6420000}"/>
    <cellStyle name="Millares 46 2 11" xfId="28896" xr:uid="{00000000-0005-0000-0000-0000C7420000}"/>
    <cellStyle name="Millares 46 2 12" xfId="29400" xr:uid="{00000000-0005-0000-0000-0000C8420000}"/>
    <cellStyle name="Millares 46 2 13" xfId="29904" xr:uid="{00000000-0005-0000-0000-0000C9420000}"/>
    <cellStyle name="Millares 46 2 14" xfId="30408" xr:uid="{00000000-0005-0000-0000-0000CA420000}"/>
    <cellStyle name="Millares 46 2 15" xfId="30913" xr:uid="{00000000-0005-0000-0000-0000CB420000}"/>
    <cellStyle name="Millares 46 2 2" xfId="23957" xr:uid="{00000000-0005-0000-0000-0000CC420000}"/>
    <cellStyle name="Millares 46 2 3" xfId="24864" xr:uid="{00000000-0005-0000-0000-0000CD420000}"/>
    <cellStyle name="Millares 46 2 4" xfId="25368" xr:uid="{00000000-0005-0000-0000-0000CE420000}"/>
    <cellStyle name="Millares 46 2 5" xfId="25872" xr:uid="{00000000-0005-0000-0000-0000CF420000}"/>
    <cellStyle name="Millares 46 2 6" xfId="26376" xr:uid="{00000000-0005-0000-0000-0000D0420000}"/>
    <cellStyle name="Millares 46 2 7" xfId="26880" xr:uid="{00000000-0005-0000-0000-0000D1420000}"/>
    <cellStyle name="Millares 46 2 8" xfId="27384" xr:uid="{00000000-0005-0000-0000-0000D2420000}"/>
    <cellStyle name="Millares 46 2 9" xfId="27888" xr:uid="{00000000-0005-0000-0000-0000D3420000}"/>
    <cellStyle name="Millares 46 3" xfId="13342" xr:uid="{00000000-0005-0000-0000-0000D4420000}"/>
    <cellStyle name="Millares 46 3 10" xfId="28393" xr:uid="{00000000-0005-0000-0000-0000D5420000}"/>
    <cellStyle name="Millares 46 3 11" xfId="28897" xr:uid="{00000000-0005-0000-0000-0000D6420000}"/>
    <cellStyle name="Millares 46 3 12" xfId="29401" xr:uid="{00000000-0005-0000-0000-0000D7420000}"/>
    <cellStyle name="Millares 46 3 13" xfId="29905" xr:uid="{00000000-0005-0000-0000-0000D8420000}"/>
    <cellStyle name="Millares 46 3 14" xfId="30409" xr:uid="{00000000-0005-0000-0000-0000D9420000}"/>
    <cellStyle name="Millares 46 3 15" xfId="30914" xr:uid="{00000000-0005-0000-0000-0000DA420000}"/>
    <cellStyle name="Millares 46 3 2" xfId="23958" xr:uid="{00000000-0005-0000-0000-0000DB420000}"/>
    <cellStyle name="Millares 46 3 3" xfId="24865" xr:uid="{00000000-0005-0000-0000-0000DC420000}"/>
    <cellStyle name="Millares 46 3 4" xfId="25369" xr:uid="{00000000-0005-0000-0000-0000DD420000}"/>
    <cellStyle name="Millares 46 3 5" xfId="25873" xr:uid="{00000000-0005-0000-0000-0000DE420000}"/>
    <cellStyle name="Millares 46 3 6" xfId="26377" xr:uid="{00000000-0005-0000-0000-0000DF420000}"/>
    <cellStyle name="Millares 46 3 7" xfId="26881" xr:uid="{00000000-0005-0000-0000-0000E0420000}"/>
    <cellStyle name="Millares 46 3 8" xfId="27385" xr:uid="{00000000-0005-0000-0000-0000E1420000}"/>
    <cellStyle name="Millares 46 3 9" xfId="27889" xr:uid="{00000000-0005-0000-0000-0000E2420000}"/>
    <cellStyle name="Millares 46 4" xfId="7265" xr:uid="{00000000-0005-0000-0000-0000E3420000}"/>
    <cellStyle name="Millares 46 4 10" xfId="28394" xr:uid="{00000000-0005-0000-0000-0000E4420000}"/>
    <cellStyle name="Millares 46 4 11" xfId="28898" xr:uid="{00000000-0005-0000-0000-0000E5420000}"/>
    <cellStyle name="Millares 46 4 12" xfId="29402" xr:uid="{00000000-0005-0000-0000-0000E6420000}"/>
    <cellStyle name="Millares 46 4 13" xfId="29906" xr:uid="{00000000-0005-0000-0000-0000E7420000}"/>
    <cellStyle name="Millares 46 4 14" xfId="30410" xr:uid="{00000000-0005-0000-0000-0000E8420000}"/>
    <cellStyle name="Millares 46 4 15" xfId="30915" xr:uid="{00000000-0005-0000-0000-0000E9420000}"/>
    <cellStyle name="Millares 46 4 2" xfId="23959" xr:uid="{00000000-0005-0000-0000-0000EA420000}"/>
    <cellStyle name="Millares 46 4 3" xfId="24866" xr:uid="{00000000-0005-0000-0000-0000EB420000}"/>
    <cellStyle name="Millares 46 4 4" xfId="25370" xr:uid="{00000000-0005-0000-0000-0000EC420000}"/>
    <cellStyle name="Millares 46 4 5" xfId="25874" xr:uid="{00000000-0005-0000-0000-0000ED420000}"/>
    <cellStyle name="Millares 46 4 6" xfId="26378" xr:uid="{00000000-0005-0000-0000-0000EE420000}"/>
    <cellStyle name="Millares 46 4 7" xfId="26882" xr:uid="{00000000-0005-0000-0000-0000EF420000}"/>
    <cellStyle name="Millares 46 4 8" xfId="27386" xr:uid="{00000000-0005-0000-0000-0000F0420000}"/>
    <cellStyle name="Millares 46 4 9" xfId="27890" xr:uid="{00000000-0005-0000-0000-0000F1420000}"/>
    <cellStyle name="Millares 47" xfId="4781" xr:uid="{00000000-0005-0000-0000-0000F2420000}"/>
    <cellStyle name="Millares 47 2" xfId="13345" xr:uid="{00000000-0005-0000-0000-0000F3420000}"/>
    <cellStyle name="Millares 47 2 10" xfId="28395" xr:uid="{00000000-0005-0000-0000-0000F4420000}"/>
    <cellStyle name="Millares 47 2 11" xfId="28899" xr:uid="{00000000-0005-0000-0000-0000F5420000}"/>
    <cellStyle name="Millares 47 2 12" xfId="29403" xr:uid="{00000000-0005-0000-0000-0000F6420000}"/>
    <cellStyle name="Millares 47 2 13" xfId="29907" xr:uid="{00000000-0005-0000-0000-0000F7420000}"/>
    <cellStyle name="Millares 47 2 14" xfId="30411" xr:uid="{00000000-0005-0000-0000-0000F8420000}"/>
    <cellStyle name="Millares 47 2 15" xfId="30916" xr:uid="{00000000-0005-0000-0000-0000F9420000}"/>
    <cellStyle name="Millares 47 2 2" xfId="23960" xr:uid="{00000000-0005-0000-0000-0000FA420000}"/>
    <cellStyle name="Millares 47 2 3" xfId="24867" xr:uid="{00000000-0005-0000-0000-0000FB420000}"/>
    <cellStyle name="Millares 47 2 4" xfId="25371" xr:uid="{00000000-0005-0000-0000-0000FC420000}"/>
    <cellStyle name="Millares 47 2 5" xfId="25875" xr:uid="{00000000-0005-0000-0000-0000FD420000}"/>
    <cellStyle name="Millares 47 2 6" xfId="26379" xr:uid="{00000000-0005-0000-0000-0000FE420000}"/>
    <cellStyle name="Millares 47 2 7" xfId="26883" xr:uid="{00000000-0005-0000-0000-0000FF420000}"/>
    <cellStyle name="Millares 47 2 8" xfId="27387" xr:uid="{00000000-0005-0000-0000-000000430000}"/>
    <cellStyle name="Millares 47 2 9" xfId="27891" xr:uid="{00000000-0005-0000-0000-000001430000}"/>
    <cellStyle name="Millares 47 3" xfId="13344" xr:uid="{00000000-0005-0000-0000-000002430000}"/>
    <cellStyle name="Millares 47 3 10" xfId="28396" xr:uid="{00000000-0005-0000-0000-000003430000}"/>
    <cellStyle name="Millares 47 3 11" xfId="28900" xr:uid="{00000000-0005-0000-0000-000004430000}"/>
    <cellStyle name="Millares 47 3 12" xfId="29404" xr:uid="{00000000-0005-0000-0000-000005430000}"/>
    <cellStyle name="Millares 47 3 13" xfId="29908" xr:uid="{00000000-0005-0000-0000-000006430000}"/>
    <cellStyle name="Millares 47 3 14" xfId="30412" xr:uid="{00000000-0005-0000-0000-000007430000}"/>
    <cellStyle name="Millares 47 3 15" xfId="30917" xr:uid="{00000000-0005-0000-0000-000008430000}"/>
    <cellStyle name="Millares 47 3 2" xfId="23961" xr:uid="{00000000-0005-0000-0000-000009430000}"/>
    <cellStyle name="Millares 47 3 3" xfId="24868" xr:uid="{00000000-0005-0000-0000-00000A430000}"/>
    <cellStyle name="Millares 47 3 4" xfId="25372" xr:uid="{00000000-0005-0000-0000-00000B430000}"/>
    <cellStyle name="Millares 47 3 5" xfId="25876" xr:uid="{00000000-0005-0000-0000-00000C430000}"/>
    <cellStyle name="Millares 47 3 6" xfId="26380" xr:uid="{00000000-0005-0000-0000-00000D430000}"/>
    <cellStyle name="Millares 47 3 7" xfId="26884" xr:uid="{00000000-0005-0000-0000-00000E430000}"/>
    <cellStyle name="Millares 47 3 8" xfId="27388" xr:uid="{00000000-0005-0000-0000-00000F430000}"/>
    <cellStyle name="Millares 47 3 9" xfId="27892" xr:uid="{00000000-0005-0000-0000-000010430000}"/>
    <cellStyle name="Millares 47 4" xfId="7263" xr:uid="{00000000-0005-0000-0000-000011430000}"/>
    <cellStyle name="Millares 47 4 10" xfId="28397" xr:uid="{00000000-0005-0000-0000-000012430000}"/>
    <cellStyle name="Millares 47 4 11" xfId="28901" xr:uid="{00000000-0005-0000-0000-000013430000}"/>
    <cellStyle name="Millares 47 4 12" xfId="29405" xr:uid="{00000000-0005-0000-0000-000014430000}"/>
    <cellStyle name="Millares 47 4 13" xfId="29909" xr:uid="{00000000-0005-0000-0000-000015430000}"/>
    <cellStyle name="Millares 47 4 14" xfId="30413" xr:uid="{00000000-0005-0000-0000-000016430000}"/>
    <cellStyle name="Millares 47 4 15" xfId="30918" xr:uid="{00000000-0005-0000-0000-000017430000}"/>
    <cellStyle name="Millares 47 4 2" xfId="23962" xr:uid="{00000000-0005-0000-0000-000018430000}"/>
    <cellStyle name="Millares 47 4 3" xfId="24869" xr:uid="{00000000-0005-0000-0000-000019430000}"/>
    <cellStyle name="Millares 47 4 4" xfId="25373" xr:uid="{00000000-0005-0000-0000-00001A430000}"/>
    <cellStyle name="Millares 47 4 5" xfId="25877" xr:uid="{00000000-0005-0000-0000-00001B430000}"/>
    <cellStyle name="Millares 47 4 6" xfId="26381" xr:uid="{00000000-0005-0000-0000-00001C430000}"/>
    <cellStyle name="Millares 47 4 7" xfId="26885" xr:uid="{00000000-0005-0000-0000-00001D430000}"/>
    <cellStyle name="Millares 47 4 8" xfId="27389" xr:uid="{00000000-0005-0000-0000-00001E430000}"/>
    <cellStyle name="Millares 47 4 9" xfId="27893" xr:uid="{00000000-0005-0000-0000-00001F430000}"/>
    <cellStyle name="Millares 48" xfId="4778" xr:uid="{00000000-0005-0000-0000-000020430000}"/>
    <cellStyle name="Millares 48 2" xfId="13347" xr:uid="{00000000-0005-0000-0000-000021430000}"/>
    <cellStyle name="Millares 48 3" xfId="13346" xr:uid="{00000000-0005-0000-0000-000022430000}"/>
    <cellStyle name="Millares 48 4" xfId="7266" xr:uid="{00000000-0005-0000-0000-000023430000}"/>
    <cellStyle name="Millares 49" xfId="4290" xr:uid="{00000000-0005-0000-0000-000024430000}"/>
    <cellStyle name="Millares 49 2" xfId="13348" xr:uid="{00000000-0005-0000-0000-000025430000}"/>
    <cellStyle name="Millares 49 3" xfId="7262" xr:uid="{00000000-0005-0000-0000-000026430000}"/>
    <cellStyle name="Millares 5" xfId="444" xr:uid="{00000000-0005-0000-0000-000027430000}"/>
    <cellStyle name="Millares 5 10" xfId="13350" xr:uid="{00000000-0005-0000-0000-000028430000}"/>
    <cellStyle name="Millares 5 11" xfId="13351" xr:uid="{00000000-0005-0000-0000-000029430000}"/>
    <cellStyle name="Millares 5 12" xfId="13349" xr:uid="{00000000-0005-0000-0000-00002A430000}"/>
    <cellStyle name="Millares 5 13" xfId="7202" xr:uid="{00000000-0005-0000-0000-00002B430000}"/>
    <cellStyle name="Millares 5 14" xfId="23057" xr:uid="{00000000-0005-0000-0000-00002C430000}"/>
    <cellStyle name="Millares 5 15" xfId="31155" xr:uid="{425114A0-926C-41B6-BDBC-98F69C08E32C}"/>
    <cellStyle name="Millares 5 2" xfId="646" xr:uid="{00000000-0005-0000-0000-00002D430000}"/>
    <cellStyle name="Millares 5 2 10" xfId="23963" xr:uid="{00000000-0005-0000-0000-00002E430000}"/>
    <cellStyle name="Millares 5 2 11" xfId="24870" xr:uid="{00000000-0005-0000-0000-00002F430000}"/>
    <cellStyle name="Millares 5 2 12" xfId="25374" xr:uid="{00000000-0005-0000-0000-000030430000}"/>
    <cellStyle name="Millares 5 2 13" xfId="25878" xr:uid="{00000000-0005-0000-0000-000031430000}"/>
    <cellStyle name="Millares 5 2 14" xfId="26382" xr:uid="{00000000-0005-0000-0000-000032430000}"/>
    <cellStyle name="Millares 5 2 15" xfId="26886" xr:uid="{00000000-0005-0000-0000-000033430000}"/>
    <cellStyle name="Millares 5 2 16" xfId="27390" xr:uid="{00000000-0005-0000-0000-000034430000}"/>
    <cellStyle name="Millares 5 2 17" xfId="27894" xr:uid="{00000000-0005-0000-0000-000035430000}"/>
    <cellStyle name="Millares 5 2 18" xfId="28398" xr:uid="{00000000-0005-0000-0000-000036430000}"/>
    <cellStyle name="Millares 5 2 19" xfId="28902" xr:uid="{00000000-0005-0000-0000-000037430000}"/>
    <cellStyle name="Millares 5 2 2" xfId="3405" xr:uid="{00000000-0005-0000-0000-000038430000}"/>
    <cellStyle name="Millares 5 2 2 2" xfId="6950" xr:uid="{00000000-0005-0000-0000-000039430000}"/>
    <cellStyle name="Millares 5 2 2 2 2" xfId="13354" xr:uid="{00000000-0005-0000-0000-00003A430000}"/>
    <cellStyle name="Millares 5 2 2 2 2 2" xfId="23059" xr:uid="{00000000-0005-0000-0000-00003B430000}"/>
    <cellStyle name="Millares 5 2 2 3" xfId="13355" xr:uid="{00000000-0005-0000-0000-00003C430000}"/>
    <cellStyle name="Millares 5 2 2 3 2" xfId="23060" xr:uid="{00000000-0005-0000-0000-00003D430000}"/>
    <cellStyle name="Millares 5 2 2 4" xfId="13356" xr:uid="{00000000-0005-0000-0000-00003E430000}"/>
    <cellStyle name="Millares 5 2 2 5" xfId="13353" xr:uid="{00000000-0005-0000-0000-00003F430000}"/>
    <cellStyle name="Millares 5 2 2 6" xfId="7322" xr:uid="{00000000-0005-0000-0000-000040430000}"/>
    <cellStyle name="Millares 5 2 2 7" xfId="23964" xr:uid="{00000000-0005-0000-0000-000041430000}"/>
    <cellStyle name="Millares 5 2 20" xfId="29406" xr:uid="{00000000-0005-0000-0000-000042430000}"/>
    <cellStyle name="Millares 5 2 21" xfId="29910" xr:uid="{00000000-0005-0000-0000-000043430000}"/>
    <cellStyle name="Millares 5 2 22" xfId="30414" xr:uid="{00000000-0005-0000-0000-000044430000}"/>
    <cellStyle name="Millares 5 2 23" xfId="30919" xr:uid="{00000000-0005-0000-0000-000045430000}"/>
    <cellStyle name="Millares 5 2 24" xfId="31176" xr:uid="{C02F7077-D556-48EF-9E8E-BA3089AC30D3}"/>
    <cellStyle name="Millares 5 2 3" xfId="3406" xr:uid="{00000000-0005-0000-0000-000046430000}"/>
    <cellStyle name="Millares 5 2 3 10" xfId="26887" xr:uid="{00000000-0005-0000-0000-000047430000}"/>
    <cellStyle name="Millares 5 2 3 11" xfId="27391" xr:uid="{00000000-0005-0000-0000-000048430000}"/>
    <cellStyle name="Millares 5 2 3 12" xfId="27895" xr:uid="{00000000-0005-0000-0000-000049430000}"/>
    <cellStyle name="Millares 5 2 3 13" xfId="28399" xr:uid="{00000000-0005-0000-0000-00004A430000}"/>
    <cellStyle name="Millares 5 2 3 14" xfId="28903" xr:uid="{00000000-0005-0000-0000-00004B430000}"/>
    <cellStyle name="Millares 5 2 3 15" xfId="29407" xr:uid="{00000000-0005-0000-0000-00004C430000}"/>
    <cellStyle name="Millares 5 2 3 16" xfId="29911" xr:uid="{00000000-0005-0000-0000-00004D430000}"/>
    <cellStyle name="Millares 5 2 3 17" xfId="30415" xr:uid="{00000000-0005-0000-0000-00004E430000}"/>
    <cellStyle name="Millares 5 2 3 18" xfId="30920" xr:uid="{00000000-0005-0000-0000-00004F430000}"/>
    <cellStyle name="Millares 5 2 3 2" xfId="6951" xr:uid="{00000000-0005-0000-0000-000050430000}"/>
    <cellStyle name="Millares 5 2 3 2 2" xfId="13358" xr:uid="{00000000-0005-0000-0000-000051430000}"/>
    <cellStyle name="Millares 5 2 3 3" xfId="13359" xr:uid="{00000000-0005-0000-0000-000052430000}"/>
    <cellStyle name="Millares 5 2 3 4" xfId="13357" xr:uid="{00000000-0005-0000-0000-000053430000}"/>
    <cellStyle name="Millares 5 2 3 5" xfId="23965" xr:uid="{00000000-0005-0000-0000-000054430000}"/>
    <cellStyle name="Millares 5 2 3 6" xfId="24871" xr:uid="{00000000-0005-0000-0000-000055430000}"/>
    <cellStyle name="Millares 5 2 3 7" xfId="25375" xr:uid="{00000000-0005-0000-0000-000056430000}"/>
    <cellStyle name="Millares 5 2 3 8" xfId="25879" xr:uid="{00000000-0005-0000-0000-000057430000}"/>
    <cellStyle name="Millares 5 2 3 9" xfId="26383" xr:uid="{00000000-0005-0000-0000-000058430000}"/>
    <cellStyle name="Millares 5 2 4" xfId="13360" xr:uid="{00000000-0005-0000-0000-000059430000}"/>
    <cellStyle name="Millares 5 2 4 2" xfId="23062" xr:uid="{00000000-0005-0000-0000-00005A430000}"/>
    <cellStyle name="Millares 5 2 4 3" xfId="23061" xr:uid="{00000000-0005-0000-0000-00005B430000}"/>
    <cellStyle name="Millares 5 2 4 4" xfId="23966" xr:uid="{00000000-0005-0000-0000-00005C430000}"/>
    <cellStyle name="Millares 5 2 5" xfId="13361" xr:uid="{00000000-0005-0000-0000-00005D430000}"/>
    <cellStyle name="Millares 5 2 6" xfId="13362" xr:uid="{00000000-0005-0000-0000-00005E430000}"/>
    <cellStyle name="Millares 5 2 7" xfId="13352" xr:uid="{00000000-0005-0000-0000-00005F430000}"/>
    <cellStyle name="Millares 5 2 8" xfId="7203" xr:uid="{00000000-0005-0000-0000-000060430000}"/>
    <cellStyle name="Millares 5 2 9" xfId="23058" xr:uid="{00000000-0005-0000-0000-000061430000}"/>
    <cellStyle name="Millares 5 3" xfId="1511" xr:uid="{00000000-0005-0000-0000-000062430000}"/>
    <cellStyle name="Millares 5 3 2" xfId="2257" xr:uid="{00000000-0005-0000-0000-000063430000}"/>
    <cellStyle name="Millares 5 3 2 2" xfId="4298" xr:uid="{00000000-0005-0000-0000-000064430000}"/>
    <cellStyle name="Millares 5 3 2 2 2" xfId="13365" xr:uid="{00000000-0005-0000-0000-000065430000}"/>
    <cellStyle name="Millares 5 3 2 2 2 2" xfId="23064" xr:uid="{00000000-0005-0000-0000-000066430000}"/>
    <cellStyle name="Millares 5 3 2 2 3" xfId="23063" xr:uid="{00000000-0005-0000-0000-000067430000}"/>
    <cellStyle name="Millares 5 3 2 3" xfId="3407" xr:uid="{00000000-0005-0000-0000-000068430000}"/>
    <cellStyle name="Millares 5 3 2 3 2" xfId="13366" xr:uid="{00000000-0005-0000-0000-000069430000}"/>
    <cellStyle name="Millares 5 3 2 3 3" xfId="23065" xr:uid="{00000000-0005-0000-0000-00006A430000}"/>
    <cellStyle name="Millares 5 3 2 4" xfId="6952" xr:uid="{00000000-0005-0000-0000-00006B430000}"/>
    <cellStyle name="Millares 5 3 2 5" xfId="13364" xr:uid="{00000000-0005-0000-0000-00006C430000}"/>
    <cellStyle name="Millares 5 3 3" xfId="4031" xr:uid="{00000000-0005-0000-0000-00006D430000}"/>
    <cellStyle name="Millares 5 3 3 2" xfId="13367" xr:uid="{00000000-0005-0000-0000-00006E430000}"/>
    <cellStyle name="Millares 5 3 3 2 2" xfId="23067" xr:uid="{00000000-0005-0000-0000-00006F430000}"/>
    <cellStyle name="Millares 5 3 3 3" xfId="23066" xr:uid="{00000000-0005-0000-0000-000070430000}"/>
    <cellStyle name="Millares 5 3 3 4" xfId="23967" xr:uid="{00000000-0005-0000-0000-000071430000}"/>
    <cellStyle name="Millares 5 3 4" xfId="13363" xr:uid="{00000000-0005-0000-0000-000072430000}"/>
    <cellStyle name="Millares 5 3 4 2" xfId="23069" xr:uid="{00000000-0005-0000-0000-000073430000}"/>
    <cellStyle name="Millares 5 3 4 3" xfId="23068" xr:uid="{00000000-0005-0000-0000-000074430000}"/>
    <cellStyle name="Millares 5 3 5" xfId="23070" xr:uid="{00000000-0005-0000-0000-000075430000}"/>
    <cellStyle name="Millares 5 4" xfId="2258" xr:uid="{00000000-0005-0000-0000-000076430000}"/>
    <cellStyle name="Millares 5 4 2" xfId="4299" xr:uid="{00000000-0005-0000-0000-000077430000}"/>
    <cellStyle name="Millares 5 4 2 10" xfId="27392" xr:uid="{00000000-0005-0000-0000-000078430000}"/>
    <cellStyle name="Millares 5 4 2 11" xfId="27896" xr:uid="{00000000-0005-0000-0000-000079430000}"/>
    <cellStyle name="Millares 5 4 2 12" xfId="28400" xr:uid="{00000000-0005-0000-0000-00007A430000}"/>
    <cellStyle name="Millares 5 4 2 13" xfId="28904" xr:uid="{00000000-0005-0000-0000-00007B430000}"/>
    <cellStyle name="Millares 5 4 2 14" xfId="29408" xr:uid="{00000000-0005-0000-0000-00007C430000}"/>
    <cellStyle name="Millares 5 4 2 15" xfId="29912" xr:uid="{00000000-0005-0000-0000-00007D430000}"/>
    <cellStyle name="Millares 5 4 2 16" xfId="30416" xr:uid="{00000000-0005-0000-0000-00007E430000}"/>
    <cellStyle name="Millares 5 4 2 17" xfId="30921" xr:uid="{00000000-0005-0000-0000-00007F430000}"/>
    <cellStyle name="Millares 5 4 2 2" xfId="13369" xr:uid="{00000000-0005-0000-0000-000080430000}"/>
    <cellStyle name="Millares 5 4 2 2 2" xfId="23072" xr:uid="{00000000-0005-0000-0000-000081430000}"/>
    <cellStyle name="Millares 5 4 2 3" xfId="23071" xr:uid="{00000000-0005-0000-0000-000082430000}"/>
    <cellStyle name="Millares 5 4 2 4" xfId="23968" xr:uid="{00000000-0005-0000-0000-000083430000}"/>
    <cellStyle name="Millares 5 4 2 5" xfId="24872" xr:uid="{00000000-0005-0000-0000-000084430000}"/>
    <cellStyle name="Millares 5 4 2 6" xfId="25376" xr:uid="{00000000-0005-0000-0000-000085430000}"/>
    <cellStyle name="Millares 5 4 2 7" xfId="25880" xr:uid="{00000000-0005-0000-0000-000086430000}"/>
    <cellStyle name="Millares 5 4 2 8" xfId="26384" xr:uid="{00000000-0005-0000-0000-000087430000}"/>
    <cellStyle name="Millares 5 4 2 9" xfId="26888" xr:uid="{00000000-0005-0000-0000-000088430000}"/>
    <cellStyle name="Millares 5 4 3" xfId="3408" xr:uid="{00000000-0005-0000-0000-000089430000}"/>
    <cellStyle name="Millares 5 4 3 2" xfId="13370" xr:uid="{00000000-0005-0000-0000-00008A430000}"/>
    <cellStyle name="Millares 5 4 3 2 2" xfId="23074" xr:uid="{00000000-0005-0000-0000-00008B430000}"/>
    <cellStyle name="Millares 5 4 3 3" xfId="23073" xr:uid="{00000000-0005-0000-0000-00008C430000}"/>
    <cellStyle name="Millares 5 4 4" xfId="6953" xr:uid="{00000000-0005-0000-0000-00008D430000}"/>
    <cellStyle name="Millares 5 4 4 2" xfId="13371" xr:uid="{00000000-0005-0000-0000-00008E430000}"/>
    <cellStyle name="Millares 5 4 5" xfId="13368" xr:uid="{00000000-0005-0000-0000-00008F430000}"/>
    <cellStyle name="Millares 5 5" xfId="7321" xr:uid="{00000000-0005-0000-0000-000090430000}"/>
    <cellStyle name="Millares 5 5 2" xfId="13373" xr:uid="{00000000-0005-0000-0000-000091430000}"/>
    <cellStyle name="Millares 5 5 2 2" xfId="23076" xr:uid="{00000000-0005-0000-0000-000092430000}"/>
    <cellStyle name="Millares 5 5 3" xfId="13374" xr:uid="{00000000-0005-0000-0000-000093430000}"/>
    <cellStyle name="Millares 5 5 4" xfId="13375" xr:uid="{00000000-0005-0000-0000-000094430000}"/>
    <cellStyle name="Millares 5 5 5" xfId="13372" xr:uid="{00000000-0005-0000-0000-000095430000}"/>
    <cellStyle name="Millares 5 5 6" xfId="23075" xr:uid="{00000000-0005-0000-0000-000096430000}"/>
    <cellStyle name="Millares 5 5 7" xfId="23969" xr:uid="{00000000-0005-0000-0000-000097430000}"/>
    <cellStyle name="Millares 5 6" xfId="13376" xr:uid="{00000000-0005-0000-0000-000098430000}"/>
    <cellStyle name="Millares 5 6 2" xfId="23970" xr:uid="{00000000-0005-0000-0000-000099430000}"/>
    <cellStyle name="Millares 5 7" xfId="13377" xr:uid="{00000000-0005-0000-0000-00009A430000}"/>
    <cellStyle name="Millares 5 7 2" xfId="13378" xr:uid="{00000000-0005-0000-0000-00009B430000}"/>
    <cellStyle name="Millares 5 7 3" xfId="23971" xr:uid="{00000000-0005-0000-0000-00009C430000}"/>
    <cellStyle name="Millares 5 8" xfId="13379" xr:uid="{00000000-0005-0000-0000-00009D430000}"/>
    <cellStyle name="Millares 5 8 10" xfId="28401" xr:uid="{00000000-0005-0000-0000-00009E430000}"/>
    <cellStyle name="Millares 5 8 11" xfId="28905" xr:uid="{00000000-0005-0000-0000-00009F430000}"/>
    <cellStyle name="Millares 5 8 12" xfId="29409" xr:uid="{00000000-0005-0000-0000-0000A0430000}"/>
    <cellStyle name="Millares 5 8 13" xfId="29913" xr:uid="{00000000-0005-0000-0000-0000A1430000}"/>
    <cellStyle name="Millares 5 8 14" xfId="30417" xr:uid="{00000000-0005-0000-0000-0000A2430000}"/>
    <cellStyle name="Millares 5 8 15" xfId="30922" xr:uid="{00000000-0005-0000-0000-0000A3430000}"/>
    <cellStyle name="Millares 5 8 2" xfId="23972" xr:uid="{00000000-0005-0000-0000-0000A4430000}"/>
    <cellStyle name="Millares 5 8 3" xfId="24873" xr:uid="{00000000-0005-0000-0000-0000A5430000}"/>
    <cellStyle name="Millares 5 8 4" xfId="25377" xr:uid="{00000000-0005-0000-0000-0000A6430000}"/>
    <cellStyle name="Millares 5 8 5" xfId="25881" xr:uid="{00000000-0005-0000-0000-0000A7430000}"/>
    <cellStyle name="Millares 5 8 6" xfId="26385" xr:uid="{00000000-0005-0000-0000-0000A8430000}"/>
    <cellStyle name="Millares 5 8 7" xfId="26889" xr:uid="{00000000-0005-0000-0000-0000A9430000}"/>
    <cellStyle name="Millares 5 8 8" xfId="27393" xr:uid="{00000000-0005-0000-0000-0000AA430000}"/>
    <cellStyle name="Millares 5 8 9" xfId="27897" xr:uid="{00000000-0005-0000-0000-0000AB430000}"/>
    <cellStyle name="Millares 5 9" xfId="13380" xr:uid="{00000000-0005-0000-0000-0000AC430000}"/>
    <cellStyle name="Millares 5 9 10" xfId="28565" xr:uid="{00000000-0005-0000-0000-0000AD430000}"/>
    <cellStyle name="Millares 5 9 11" xfId="29069" xr:uid="{00000000-0005-0000-0000-0000AE430000}"/>
    <cellStyle name="Millares 5 9 12" xfId="29573" xr:uid="{00000000-0005-0000-0000-0000AF430000}"/>
    <cellStyle name="Millares 5 9 13" xfId="30077" xr:uid="{00000000-0005-0000-0000-0000B0430000}"/>
    <cellStyle name="Millares 5 9 14" xfId="30581" xr:uid="{00000000-0005-0000-0000-0000B1430000}"/>
    <cellStyle name="Millares 5 9 15" xfId="31086" xr:uid="{00000000-0005-0000-0000-0000B2430000}"/>
    <cellStyle name="Millares 5 9 2" xfId="24529" xr:uid="{00000000-0005-0000-0000-0000B3430000}"/>
    <cellStyle name="Millares 5 9 3" xfId="25037" xr:uid="{00000000-0005-0000-0000-0000B4430000}"/>
    <cellStyle name="Millares 5 9 4" xfId="25541" xr:uid="{00000000-0005-0000-0000-0000B5430000}"/>
    <cellStyle name="Millares 5 9 5" xfId="26045" xr:uid="{00000000-0005-0000-0000-0000B6430000}"/>
    <cellStyle name="Millares 5 9 6" xfId="26549" xr:uid="{00000000-0005-0000-0000-0000B7430000}"/>
    <cellStyle name="Millares 5 9 7" xfId="27053" xr:uid="{00000000-0005-0000-0000-0000B8430000}"/>
    <cellStyle name="Millares 5 9 8" xfId="27557" xr:uid="{00000000-0005-0000-0000-0000B9430000}"/>
    <cellStyle name="Millares 5 9 9" xfId="28061" xr:uid="{00000000-0005-0000-0000-0000BA430000}"/>
    <cellStyle name="Millares 50" xfId="4325" xr:uid="{00000000-0005-0000-0000-0000BB430000}"/>
    <cellStyle name="Millares 50 2" xfId="13382" xr:uid="{00000000-0005-0000-0000-0000BC430000}"/>
    <cellStyle name="Millares 50 3" xfId="13381" xr:uid="{00000000-0005-0000-0000-0000BD430000}"/>
    <cellStyle name="Millares 50 4" xfId="7264" xr:uid="{00000000-0005-0000-0000-0000BE430000}"/>
    <cellStyle name="Millares 51" xfId="4782" xr:uid="{00000000-0005-0000-0000-0000BF430000}"/>
    <cellStyle name="Millares 51 2" xfId="13384" xr:uid="{00000000-0005-0000-0000-0000C0430000}"/>
    <cellStyle name="Millares 51 3" xfId="13383" xr:uid="{00000000-0005-0000-0000-0000C1430000}"/>
    <cellStyle name="Millares 51 4" xfId="7261" xr:uid="{00000000-0005-0000-0000-0000C2430000}"/>
    <cellStyle name="Millares 52" xfId="4777" xr:uid="{00000000-0005-0000-0000-0000C3430000}"/>
    <cellStyle name="Millares 52 2" xfId="13386" xr:uid="{00000000-0005-0000-0000-0000C4430000}"/>
    <cellStyle name="Millares 52 3" xfId="13385" xr:uid="{00000000-0005-0000-0000-0000C5430000}"/>
    <cellStyle name="Millares 52 4" xfId="23973" xr:uid="{00000000-0005-0000-0000-0000C6430000}"/>
    <cellStyle name="Millares 53" xfId="4780" xr:uid="{00000000-0005-0000-0000-0000C7430000}"/>
    <cellStyle name="Millares 53 2" xfId="13388" xr:uid="{00000000-0005-0000-0000-0000C8430000}"/>
    <cellStyle name="Millares 53 3" xfId="13387" xr:uid="{00000000-0005-0000-0000-0000C9430000}"/>
    <cellStyle name="Millares 53 4" xfId="23974" xr:uid="{00000000-0005-0000-0000-0000CA430000}"/>
    <cellStyle name="Millares 54" xfId="4779" xr:uid="{00000000-0005-0000-0000-0000CB430000}"/>
    <cellStyle name="Millares 54 2" xfId="13390" xr:uid="{00000000-0005-0000-0000-0000CC430000}"/>
    <cellStyle name="Millares 54 3" xfId="13389" xr:uid="{00000000-0005-0000-0000-0000CD430000}"/>
    <cellStyle name="Millares 54 4" xfId="23975" xr:uid="{00000000-0005-0000-0000-0000CE430000}"/>
    <cellStyle name="Millares 55" xfId="4822" xr:uid="{00000000-0005-0000-0000-0000CF430000}"/>
    <cellStyle name="Millares 55 2" xfId="13392" xr:uid="{00000000-0005-0000-0000-0000D0430000}"/>
    <cellStyle name="Millares 55 3" xfId="13391" xr:uid="{00000000-0005-0000-0000-0000D1430000}"/>
    <cellStyle name="Millares 55 4" xfId="23976" xr:uid="{00000000-0005-0000-0000-0000D2430000}"/>
    <cellStyle name="Millares 56" xfId="4868" xr:uid="{00000000-0005-0000-0000-0000D3430000}"/>
    <cellStyle name="Millares 56 2" xfId="13394" xr:uid="{00000000-0005-0000-0000-0000D4430000}"/>
    <cellStyle name="Millares 56 3" xfId="13393" xr:uid="{00000000-0005-0000-0000-0000D5430000}"/>
    <cellStyle name="Millares 56 4" xfId="23977" xr:uid="{00000000-0005-0000-0000-0000D6430000}"/>
    <cellStyle name="Millares 57" xfId="4848" xr:uid="{00000000-0005-0000-0000-0000D7430000}"/>
    <cellStyle name="Millares 57 2" xfId="13396" xr:uid="{00000000-0005-0000-0000-0000D8430000}"/>
    <cellStyle name="Millares 57 3" xfId="13395" xr:uid="{00000000-0005-0000-0000-0000D9430000}"/>
    <cellStyle name="Millares 57 4" xfId="23978" xr:uid="{00000000-0005-0000-0000-0000DA430000}"/>
    <cellStyle name="Millares 58" xfId="4867" xr:uid="{00000000-0005-0000-0000-0000DB430000}"/>
    <cellStyle name="Millares 58 2" xfId="13398" xr:uid="{00000000-0005-0000-0000-0000DC430000}"/>
    <cellStyle name="Millares 58 3" xfId="13397" xr:uid="{00000000-0005-0000-0000-0000DD430000}"/>
    <cellStyle name="Millares 58 4" xfId="23979" xr:uid="{00000000-0005-0000-0000-0000DE430000}"/>
    <cellStyle name="Millares 59" xfId="4846" xr:uid="{00000000-0005-0000-0000-0000DF430000}"/>
    <cellStyle name="Millares 59 2" xfId="13400" xr:uid="{00000000-0005-0000-0000-0000E0430000}"/>
    <cellStyle name="Millares 59 3" xfId="13399" xr:uid="{00000000-0005-0000-0000-0000E1430000}"/>
    <cellStyle name="Millares 59 4" xfId="23980" xr:uid="{00000000-0005-0000-0000-0000E2430000}"/>
    <cellStyle name="Millares 6" xfId="460" xr:uid="{00000000-0005-0000-0000-0000E3430000}"/>
    <cellStyle name="Millares 6 10" xfId="2260" xr:uid="{00000000-0005-0000-0000-0000E4430000}"/>
    <cellStyle name="Millares 6 10 2" xfId="4300" xr:uid="{00000000-0005-0000-0000-0000E5430000}"/>
    <cellStyle name="Millares 6 10 2 2" xfId="13403" xr:uid="{00000000-0005-0000-0000-0000E6430000}"/>
    <cellStyle name="Millares 6 10 3" xfId="3410" xr:uid="{00000000-0005-0000-0000-0000E7430000}"/>
    <cellStyle name="Millares 6 10 3 2" xfId="13404" xr:uid="{00000000-0005-0000-0000-0000E8430000}"/>
    <cellStyle name="Millares 6 10 4" xfId="6955" xr:uid="{00000000-0005-0000-0000-0000E9430000}"/>
    <cellStyle name="Millares 6 10 4 2" xfId="13402" xr:uid="{00000000-0005-0000-0000-0000EA430000}"/>
    <cellStyle name="Millares 6 11" xfId="2261" xr:uid="{00000000-0005-0000-0000-0000EB430000}"/>
    <cellStyle name="Millares 6 11 10" xfId="7204" xr:uid="{00000000-0005-0000-0000-0000EC430000}"/>
    <cellStyle name="Millares 6 11 11" xfId="23982" xr:uid="{00000000-0005-0000-0000-0000ED430000}"/>
    <cellStyle name="Millares 6 11 12" xfId="24875" xr:uid="{00000000-0005-0000-0000-0000EE430000}"/>
    <cellStyle name="Millares 6 11 13" xfId="25379" xr:uid="{00000000-0005-0000-0000-0000EF430000}"/>
    <cellStyle name="Millares 6 11 14" xfId="25883" xr:uid="{00000000-0005-0000-0000-0000F0430000}"/>
    <cellStyle name="Millares 6 11 15" xfId="26387" xr:uid="{00000000-0005-0000-0000-0000F1430000}"/>
    <cellStyle name="Millares 6 11 16" xfId="26891" xr:uid="{00000000-0005-0000-0000-0000F2430000}"/>
    <cellStyle name="Millares 6 11 17" xfId="27395" xr:uid="{00000000-0005-0000-0000-0000F3430000}"/>
    <cellStyle name="Millares 6 11 18" xfId="27899" xr:uid="{00000000-0005-0000-0000-0000F4430000}"/>
    <cellStyle name="Millares 6 11 19" xfId="28403" xr:uid="{00000000-0005-0000-0000-0000F5430000}"/>
    <cellStyle name="Millares 6 11 2" xfId="6956" xr:uid="{00000000-0005-0000-0000-0000F6430000}"/>
    <cellStyle name="Millares 6 11 2 2" xfId="13407" xr:uid="{00000000-0005-0000-0000-0000F7430000}"/>
    <cellStyle name="Millares 6 11 2 3" xfId="13406" xr:uid="{00000000-0005-0000-0000-0000F8430000}"/>
    <cellStyle name="Millares 6 11 2 4" xfId="23983" xr:uid="{00000000-0005-0000-0000-0000F9430000}"/>
    <cellStyle name="Millares 6 11 20" xfId="28907" xr:uid="{00000000-0005-0000-0000-0000FA430000}"/>
    <cellStyle name="Millares 6 11 21" xfId="29411" xr:uid="{00000000-0005-0000-0000-0000FB430000}"/>
    <cellStyle name="Millares 6 11 22" xfId="29915" xr:uid="{00000000-0005-0000-0000-0000FC430000}"/>
    <cellStyle name="Millares 6 11 23" xfId="30419" xr:uid="{00000000-0005-0000-0000-0000FD430000}"/>
    <cellStyle name="Millares 6 11 24" xfId="30924" xr:uid="{00000000-0005-0000-0000-0000FE430000}"/>
    <cellStyle name="Millares 6 11 3" xfId="13408" xr:uid="{00000000-0005-0000-0000-0000FF430000}"/>
    <cellStyle name="Millares 6 11 3 10" xfId="27900" xr:uid="{00000000-0005-0000-0000-000000440000}"/>
    <cellStyle name="Millares 6 11 3 11" xfId="28404" xr:uid="{00000000-0005-0000-0000-000001440000}"/>
    <cellStyle name="Millares 6 11 3 12" xfId="28908" xr:uid="{00000000-0005-0000-0000-000002440000}"/>
    <cellStyle name="Millares 6 11 3 13" xfId="29412" xr:uid="{00000000-0005-0000-0000-000003440000}"/>
    <cellStyle name="Millares 6 11 3 14" xfId="29916" xr:uid="{00000000-0005-0000-0000-000004440000}"/>
    <cellStyle name="Millares 6 11 3 15" xfId="30420" xr:uid="{00000000-0005-0000-0000-000005440000}"/>
    <cellStyle name="Millares 6 11 3 16" xfId="30925" xr:uid="{00000000-0005-0000-0000-000006440000}"/>
    <cellStyle name="Millares 6 11 3 2" xfId="13409" xr:uid="{00000000-0005-0000-0000-000007440000}"/>
    <cellStyle name="Millares 6 11 3 3" xfId="23984" xr:uid="{00000000-0005-0000-0000-000008440000}"/>
    <cellStyle name="Millares 6 11 3 4" xfId="24876" xr:uid="{00000000-0005-0000-0000-000009440000}"/>
    <cellStyle name="Millares 6 11 3 5" xfId="25380" xr:uid="{00000000-0005-0000-0000-00000A440000}"/>
    <cellStyle name="Millares 6 11 3 6" xfId="25884" xr:uid="{00000000-0005-0000-0000-00000B440000}"/>
    <cellStyle name="Millares 6 11 3 7" xfId="26388" xr:uid="{00000000-0005-0000-0000-00000C440000}"/>
    <cellStyle name="Millares 6 11 3 8" xfId="26892" xr:uid="{00000000-0005-0000-0000-00000D440000}"/>
    <cellStyle name="Millares 6 11 3 9" xfId="27396" xr:uid="{00000000-0005-0000-0000-00000E440000}"/>
    <cellStyle name="Millares 6 11 4" xfId="13410" xr:uid="{00000000-0005-0000-0000-00000F440000}"/>
    <cellStyle name="Millares 6 11 4 10" xfId="27901" xr:uid="{00000000-0005-0000-0000-000010440000}"/>
    <cellStyle name="Millares 6 11 4 11" xfId="28405" xr:uid="{00000000-0005-0000-0000-000011440000}"/>
    <cellStyle name="Millares 6 11 4 12" xfId="28909" xr:uid="{00000000-0005-0000-0000-000012440000}"/>
    <cellStyle name="Millares 6 11 4 13" xfId="29413" xr:uid="{00000000-0005-0000-0000-000013440000}"/>
    <cellStyle name="Millares 6 11 4 14" xfId="29917" xr:uid="{00000000-0005-0000-0000-000014440000}"/>
    <cellStyle name="Millares 6 11 4 15" xfId="30421" xr:uid="{00000000-0005-0000-0000-000015440000}"/>
    <cellStyle name="Millares 6 11 4 16" xfId="30926" xr:uid="{00000000-0005-0000-0000-000016440000}"/>
    <cellStyle name="Millares 6 11 4 2" xfId="13411" xr:uid="{00000000-0005-0000-0000-000017440000}"/>
    <cellStyle name="Millares 6 11 4 3" xfId="23985" xr:uid="{00000000-0005-0000-0000-000018440000}"/>
    <cellStyle name="Millares 6 11 4 4" xfId="24877" xr:uid="{00000000-0005-0000-0000-000019440000}"/>
    <cellStyle name="Millares 6 11 4 5" xfId="25381" xr:uid="{00000000-0005-0000-0000-00001A440000}"/>
    <cellStyle name="Millares 6 11 4 6" xfId="25885" xr:uid="{00000000-0005-0000-0000-00001B440000}"/>
    <cellStyle name="Millares 6 11 4 7" xfId="26389" xr:uid="{00000000-0005-0000-0000-00001C440000}"/>
    <cellStyle name="Millares 6 11 4 8" xfId="26893" xr:uid="{00000000-0005-0000-0000-00001D440000}"/>
    <cellStyle name="Millares 6 11 4 9" xfId="27397" xr:uid="{00000000-0005-0000-0000-00001E440000}"/>
    <cellStyle name="Millares 6 11 5" xfId="13412" xr:uid="{00000000-0005-0000-0000-00001F440000}"/>
    <cellStyle name="Millares 6 11 5 2" xfId="13413" xr:uid="{00000000-0005-0000-0000-000020440000}"/>
    <cellStyle name="Millares 6 11 6" xfId="13414" xr:uid="{00000000-0005-0000-0000-000021440000}"/>
    <cellStyle name="Millares 6 11 6 2" xfId="13415" xr:uid="{00000000-0005-0000-0000-000022440000}"/>
    <cellStyle name="Millares 6 11 7" xfId="13416" xr:uid="{00000000-0005-0000-0000-000023440000}"/>
    <cellStyle name="Millares 6 11 8" xfId="13417" xr:uid="{00000000-0005-0000-0000-000024440000}"/>
    <cellStyle name="Millares 6 11 9" xfId="13405" xr:uid="{00000000-0005-0000-0000-000025440000}"/>
    <cellStyle name="Millares 6 12" xfId="2259" xr:uid="{00000000-0005-0000-0000-000026440000}"/>
    <cellStyle name="Millares 6 12 2" xfId="13419" xr:uid="{00000000-0005-0000-0000-000027440000}"/>
    <cellStyle name="Millares 6 12 3" xfId="13418" xr:uid="{00000000-0005-0000-0000-000028440000}"/>
    <cellStyle name="Millares 6 12 4" xfId="23986" xr:uid="{00000000-0005-0000-0000-000029440000}"/>
    <cellStyle name="Millares 6 13" xfId="2789" xr:uid="{00000000-0005-0000-0000-00002A440000}"/>
    <cellStyle name="Millares 6 13 2" xfId="4411" xr:uid="{00000000-0005-0000-0000-00002B440000}"/>
    <cellStyle name="Millares 6 13 2 2" xfId="6279" xr:uid="{00000000-0005-0000-0000-00002C440000}"/>
    <cellStyle name="Millares 6 13 2 3" xfId="13421" xr:uid="{00000000-0005-0000-0000-00002D440000}"/>
    <cellStyle name="Millares 6 13 3" xfId="5377" xr:uid="{00000000-0005-0000-0000-00002E440000}"/>
    <cellStyle name="Millares 6 13 4" xfId="13420" xr:uid="{00000000-0005-0000-0000-00002F440000}"/>
    <cellStyle name="Millares 6 13 5" xfId="23987" xr:uid="{00000000-0005-0000-0000-000030440000}"/>
    <cellStyle name="Millares 6 14" xfId="3646" xr:uid="{00000000-0005-0000-0000-000031440000}"/>
    <cellStyle name="Millares 6 14 2" xfId="5847" xr:uid="{00000000-0005-0000-0000-000032440000}"/>
    <cellStyle name="Millares 6 14 3" xfId="13422" xr:uid="{00000000-0005-0000-0000-000033440000}"/>
    <cellStyle name="Millares 6 14 4" xfId="23988" xr:uid="{00000000-0005-0000-0000-000034440000}"/>
    <cellStyle name="Millares 6 15" xfId="3409" xr:uid="{00000000-0005-0000-0000-000035440000}"/>
    <cellStyle name="Millares 6 15 2" xfId="13423" xr:uid="{00000000-0005-0000-0000-000036440000}"/>
    <cellStyle name="Millares 6 15 3" xfId="23989" xr:uid="{00000000-0005-0000-0000-000037440000}"/>
    <cellStyle name="Millares 6 16" xfId="4919" xr:uid="{00000000-0005-0000-0000-000038440000}"/>
    <cellStyle name="Millares 6 16 10" xfId="28062" xr:uid="{00000000-0005-0000-0000-000039440000}"/>
    <cellStyle name="Millares 6 16 11" xfId="28566" xr:uid="{00000000-0005-0000-0000-00003A440000}"/>
    <cellStyle name="Millares 6 16 12" xfId="29070" xr:uid="{00000000-0005-0000-0000-00003B440000}"/>
    <cellStyle name="Millares 6 16 13" xfId="29574" xr:uid="{00000000-0005-0000-0000-00003C440000}"/>
    <cellStyle name="Millares 6 16 14" xfId="30078" xr:uid="{00000000-0005-0000-0000-00003D440000}"/>
    <cellStyle name="Millares 6 16 15" xfId="30582" xr:uid="{00000000-0005-0000-0000-00003E440000}"/>
    <cellStyle name="Millares 6 16 16" xfId="31087" xr:uid="{00000000-0005-0000-0000-00003F440000}"/>
    <cellStyle name="Millares 6 16 2" xfId="13424" xr:uid="{00000000-0005-0000-0000-000040440000}"/>
    <cellStyle name="Millares 6 16 3" xfId="24530" xr:uid="{00000000-0005-0000-0000-000041440000}"/>
    <cellStyle name="Millares 6 16 4" xfId="25038" xr:uid="{00000000-0005-0000-0000-000042440000}"/>
    <cellStyle name="Millares 6 16 5" xfId="25542" xr:uid="{00000000-0005-0000-0000-000043440000}"/>
    <cellStyle name="Millares 6 16 6" xfId="26046" xr:uid="{00000000-0005-0000-0000-000044440000}"/>
    <cellStyle name="Millares 6 16 7" xfId="26550" xr:uid="{00000000-0005-0000-0000-000045440000}"/>
    <cellStyle name="Millares 6 16 8" xfId="27054" xr:uid="{00000000-0005-0000-0000-000046440000}"/>
    <cellStyle name="Millares 6 16 9" xfId="27558" xr:uid="{00000000-0005-0000-0000-000047440000}"/>
    <cellStyle name="Millares 6 17" xfId="6954" xr:uid="{00000000-0005-0000-0000-000048440000}"/>
    <cellStyle name="Millares 6 17 2" xfId="13401" xr:uid="{00000000-0005-0000-0000-000049440000}"/>
    <cellStyle name="Millares 6 18" xfId="23077" xr:uid="{00000000-0005-0000-0000-00004A440000}"/>
    <cellStyle name="Millares 6 19" xfId="23981" xr:uid="{00000000-0005-0000-0000-00004B440000}"/>
    <cellStyle name="Millares 6 2" xfId="466" xr:uid="{00000000-0005-0000-0000-00004C440000}"/>
    <cellStyle name="Millares 6 2 10" xfId="2262" xr:uid="{00000000-0005-0000-0000-00004D440000}"/>
    <cellStyle name="Millares 6 2 10 2" xfId="13427" xr:uid="{00000000-0005-0000-0000-00004E440000}"/>
    <cellStyle name="Millares 6 2 10 3" xfId="13428" xr:uid="{00000000-0005-0000-0000-00004F440000}"/>
    <cellStyle name="Millares 6 2 10 4" xfId="13426" xr:uid="{00000000-0005-0000-0000-000050440000}"/>
    <cellStyle name="Millares 6 2 10 5" xfId="23990" xr:uid="{00000000-0005-0000-0000-000051440000}"/>
    <cellStyle name="Millares 6 2 11" xfId="2793" xr:uid="{00000000-0005-0000-0000-000052440000}"/>
    <cellStyle name="Millares 6 2 11 2" xfId="4415" xr:uid="{00000000-0005-0000-0000-000053440000}"/>
    <cellStyle name="Millares 6 2 11 2 2" xfId="6283" xr:uid="{00000000-0005-0000-0000-000054440000}"/>
    <cellStyle name="Millares 6 2 11 3" xfId="5381" xr:uid="{00000000-0005-0000-0000-000055440000}"/>
    <cellStyle name="Millares 6 2 11 4" xfId="13429" xr:uid="{00000000-0005-0000-0000-000056440000}"/>
    <cellStyle name="Millares 6 2 11 5" xfId="23991" xr:uid="{00000000-0005-0000-0000-000057440000}"/>
    <cellStyle name="Millares 6 2 12" xfId="3647" xr:uid="{00000000-0005-0000-0000-000058440000}"/>
    <cellStyle name="Millares 6 2 12 2" xfId="5848" xr:uid="{00000000-0005-0000-0000-000059440000}"/>
    <cellStyle name="Millares 6 2 12 3" xfId="13430" xr:uid="{00000000-0005-0000-0000-00005A440000}"/>
    <cellStyle name="Millares 6 2 12 4" xfId="23992" xr:uid="{00000000-0005-0000-0000-00005B440000}"/>
    <cellStyle name="Millares 6 2 13" xfId="3411" xr:uid="{00000000-0005-0000-0000-00005C440000}"/>
    <cellStyle name="Millares 6 2 13 2" xfId="5766" xr:uid="{00000000-0005-0000-0000-00005D440000}"/>
    <cellStyle name="Millares 6 2 13 3" xfId="13431" xr:uid="{00000000-0005-0000-0000-00005E440000}"/>
    <cellStyle name="Millares 6 2 13 4" xfId="23993" xr:uid="{00000000-0005-0000-0000-00005F440000}"/>
    <cellStyle name="Millares 6 2 14" xfId="4923" xr:uid="{00000000-0005-0000-0000-000060440000}"/>
    <cellStyle name="Millares 6 2 14 2" xfId="13425" xr:uid="{00000000-0005-0000-0000-000061440000}"/>
    <cellStyle name="Millares 6 2 14 3" xfId="23994" xr:uid="{00000000-0005-0000-0000-000062440000}"/>
    <cellStyle name="Millares 6 2 15" xfId="6957" xr:uid="{00000000-0005-0000-0000-000063440000}"/>
    <cellStyle name="Millares 6 2 15 2" xfId="23995" xr:uid="{00000000-0005-0000-0000-000064440000}"/>
    <cellStyle name="Millares 6 2 16" xfId="23078" xr:uid="{00000000-0005-0000-0000-000065440000}"/>
    <cellStyle name="Millares 6 2 16 2" xfId="23996" xr:uid="{00000000-0005-0000-0000-000066440000}"/>
    <cellStyle name="Millares 6 2 17" xfId="23997" xr:uid="{00000000-0005-0000-0000-000067440000}"/>
    <cellStyle name="Millares 6 2 17 10" xfId="28910" xr:uid="{00000000-0005-0000-0000-000068440000}"/>
    <cellStyle name="Millares 6 2 17 11" xfId="29414" xr:uid="{00000000-0005-0000-0000-000069440000}"/>
    <cellStyle name="Millares 6 2 17 12" xfId="29918" xr:uid="{00000000-0005-0000-0000-00006A440000}"/>
    <cellStyle name="Millares 6 2 17 13" xfId="30422" xr:uid="{00000000-0005-0000-0000-00006B440000}"/>
    <cellStyle name="Millares 6 2 17 14" xfId="30927" xr:uid="{00000000-0005-0000-0000-00006C440000}"/>
    <cellStyle name="Millares 6 2 17 2" xfId="24878" xr:uid="{00000000-0005-0000-0000-00006D440000}"/>
    <cellStyle name="Millares 6 2 17 3" xfId="25382" xr:uid="{00000000-0005-0000-0000-00006E440000}"/>
    <cellStyle name="Millares 6 2 17 4" xfId="25886" xr:uid="{00000000-0005-0000-0000-00006F440000}"/>
    <cellStyle name="Millares 6 2 17 5" xfId="26390" xr:uid="{00000000-0005-0000-0000-000070440000}"/>
    <cellStyle name="Millares 6 2 17 6" xfId="26894" xr:uid="{00000000-0005-0000-0000-000071440000}"/>
    <cellStyle name="Millares 6 2 17 7" xfId="27398" xr:uid="{00000000-0005-0000-0000-000072440000}"/>
    <cellStyle name="Millares 6 2 17 8" xfId="27902" xr:uid="{00000000-0005-0000-0000-000073440000}"/>
    <cellStyle name="Millares 6 2 17 9" xfId="28406" xr:uid="{00000000-0005-0000-0000-000074440000}"/>
    <cellStyle name="Millares 6 2 18" xfId="31157" xr:uid="{3F221691-EE21-40D9-9D54-DBAB0D3A1F76}"/>
    <cellStyle name="Millares 6 2 2" xfId="649" xr:uid="{00000000-0005-0000-0000-000075440000}"/>
    <cellStyle name="Millares 6 2 2 2" xfId="2264" xr:uid="{00000000-0005-0000-0000-000076440000}"/>
    <cellStyle name="Millares 6 2 2 2 2" xfId="4301" xr:uid="{00000000-0005-0000-0000-000077440000}"/>
    <cellStyle name="Millares 6 2 2 2 2 2" xfId="13435" xr:uid="{00000000-0005-0000-0000-000078440000}"/>
    <cellStyle name="Millares 6 2 2 2 2 3" xfId="13434" xr:uid="{00000000-0005-0000-0000-000079440000}"/>
    <cellStyle name="Millares 6 2 2 2 2 4" xfId="23081" xr:uid="{00000000-0005-0000-0000-00007A440000}"/>
    <cellStyle name="Millares 6 2 2 2 3" xfId="3413" xr:uid="{00000000-0005-0000-0000-00007B440000}"/>
    <cellStyle name="Millares 6 2 2 2 3 2" xfId="13436" xr:uid="{00000000-0005-0000-0000-00007C440000}"/>
    <cellStyle name="Millares 6 2 2 2 4" xfId="6959" xr:uid="{00000000-0005-0000-0000-00007D440000}"/>
    <cellStyle name="Millares 6 2 2 2 4 2" xfId="13437" xr:uid="{00000000-0005-0000-0000-00007E440000}"/>
    <cellStyle name="Millares 6 2 2 2 5" xfId="13433" xr:uid="{00000000-0005-0000-0000-00007F440000}"/>
    <cellStyle name="Millares 6 2 2 2 6" xfId="23080" xr:uid="{00000000-0005-0000-0000-000080440000}"/>
    <cellStyle name="Millares 6 2 2 3" xfId="2263" xr:uid="{00000000-0005-0000-0000-000081440000}"/>
    <cellStyle name="Millares 6 2 2 3 2" xfId="13439" xr:uid="{00000000-0005-0000-0000-000082440000}"/>
    <cellStyle name="Millares 6 2 2 3 3" xfId="13438" xr:uid="{00000000-0005-0000-0000-000083440000}"/>
    <cellStyle name="Millares 6 2 2 3 4" xfId="23082" xr:uid="{00000000-0005-0000-0000-000084440000}"/>
    <cellStyle name="Millares 6 2 2 3 5" xfId="23998" xr:uid="{00000000-0005-0000-0000-000085440000}"/>
    <cellStyle name="Millares 6 2 2 4" xfId="3682" xr:uid="{00000000-0005-0000-0000-000086440000}"/>
    <cellStyle name="Millares 6 2 2 4 2" xfId="13440" xr:uid="{00000000-0005-0000-0000-000087440000}"/>
    <cellStyle name="Millares 6 2 2 4 3" xfId="23999" xr:uid="{00000000-0005-0000-0000-000088440000}"/>
    <cellStyle name="Millares 6 2 2 5" xfId="3412" xr:uid="{00000000-0005-0000-0000-000089440000}"/>
    <cellStyle name="Millares 6 2 2 5 2" xfId="13441" xr:uid="{00000000-0005-0000-0000-00008A440000}"/>
    <cellStyle name="Millares 6 2 2 6" xfId="6958" xr:uid="{00000000-0005-0000-0000-00008B440000}"/>
    <cellStyle name="Millares 6 2 2 6 2" xfId="13442" xr:uid="{00000000-0005-0000-0000-00008C440000}"/>
    <cellStyle name="Millares 6 2 2 7" xfId="13432" xr:uid="{00000000-0005-0000-0000-00008D440000}"/>
    <cellStyle name="Millares 6 2 2 8" xfId="23079" xr:uid="{00000000-0005-0000-0000-00008E440000}"/>
    <cellStyle name="Millares 6 2 2 9" xfId="31178" xr:uid="{83A5BD92-8F78-40F4-9933-9297CEA77947}"/>
    <cellStyle name="Millares 6 2 3" xfId="650" xr:uid="{00000000-0005-0000-0000-00008F440000}"/>
    <cellStyle name="Millares 6 2 3 2" xfId="2266" xr:uid="{00000000-0005-0000-0000-000090440000}"/>
    <cellStyle name="Millares 6 2 3 2 2" xfId="4302" xr:uid="{00000000-0005-0000-0000-000091440000}"/>
    <cellStyle name="Millares 6 2 3 2 2 2" xfId="13445" xr:uid="{00000000-0005-0000-0000-000092440000}"/>
    <cellStyle name="Millares 6 2 3 2 3" xfId="3415" xr:uid="{00000000-0005-0000-0000-000093440000}"/>
    <cellStyle name="Millares 6 2 3 2 3 2" xfId="13446" xr:uid="{00000000-0005-0000-0000-000094440000}"/>
    <cellStyle name="Millares 6 2 3 2 4" xfId="6961" xr:uid="{00000000-0005-0000-0000-000095440000}"/>
    <cellStyle name="Millares 6 2 3 2 4 2" xfId="13444" xr:uid="{00000000-0005-0000-0000-000096440000}"/>
    <cellStyle name="Millares 6 2 3 2 5" xfId="23084" xr:uid="{00000000-0005-0000-0000-000097440000}"/>
    <cellStyle name="Millares 6 2 3 3" xfId="2265" xr:uid="{00000000-0005-0000-0000-000098440000}"/>
    <cellStyle name="Millares 6 2 3 3 2" xfId="13448" xr:uid="{00000000-0005-0000-0000-000099440000}"/>
    <cellStyle name="Millares 6 2 3 3 3" xfId="13447" xr:uid="{00000000-0005-0000-0000-00009A440000}"/>
    <cellStyle name="Millares 6 2 3 4" xfId="3683" xr:uid="{00000000-0005-0000-0000-00009B440000}"/>
    <cellStyle name="Millares 6 2 3 4 2" xfId="13449" xr:uid="{00000000-0005-0000-0000-00009C440000}"/>
    <cellStyle name="Millares 6 2 3 5" xfId="3414" xr:uid="{00000000-0005-0000-0000-00009D440000}"/>
    <cellStyle name="Millares 6 2 3 5 2" xfId="13450" xr:uid="{00000000-0005-0000-0000-00009E440000}"/>
    <cellStyle name="Millares 6 2 3 6" xfId="6960" xr:uid="{00000000-0005-0000-0000-00009F440000}"/>
    <cellStyle name="Millares 6 2 3 6 2" xfId="13451" xr:uid="{00000000-0005-0000-0000-0000A0440000}"/>
    <cellStyle name="Millares 6 2 3 7" xfId="13443" xr:uid="{00000000-0005-0000-0000-0000A1440000}"/>
    <cellStyle name="Millares 6 2 3 8" xfId="23083" xr:uid="{00000000-0005-0000-0000-0000A2440000}"/>
    <cellStyle name="Millares 6 2 4" xfId="651" xr:uid="{00000000-0005-0000-0000-0000A3440000}"/>
    <cellStyle name="Millares 6 2 4 10" xfId="23085" xr:uid="{00000000-0005-0000-0000-0000A4440000}"/>
    <cellStyle name="Millares 6 2 4 2" xfId="1423" xr:uid="{00000000-0005-0000-0000-0000A5440000}"/>
    <cellStyle name="Millares 6 2 4 2 2" xfId="1662" xr:uid="{00000000-0005-0000-0000-0000A6440000}"/>
    <cellStyle name="Millares 6 2 4 2 2 2" xfId="3089" xr:uid="{00000000-0005-0000-0000-0000A7440000}"/>
    <cellStyle name="Millares 6 2 4 2 2 2 2" xfId="4708" xr:uid="{00000000-0005-0000-0000-0000A8440000}"/>
    <cellStyle name="Millares 6 2 4 2 2 2 2 2" xfId="6575" xr:uid="{00000000-0005-0000-0000-0000A9440000}"/>
    <cellStyle name="Millares 6 2 4 2 2 2 3" xfId="5673" xr:uid="{00000000-0005-0000-0000-0000AA440000}"/>
    <cellStyle name="Millares 6 2 4 2 2 3" xfId="4181" xr:uid="{00000000-0005-0000-0000-0000AB440000}"/>
    <cellStyle name="Millares 6 2 4 2 2 3 2" xfId="6129" xr:uid="{00000000-0005-0000-0000-0000AC440000}"/>
    <cellStyle name="Millares 6 2 4 2 2 4" xfId="5215" xr:uid="{00000000-0005-0000-0000-0000AD440000}"/>
    <cellStyle name="Millares 6 2 4 2 2 5" xfId="13454" xr:uid="{00000000-0005-0000-0000-0000AE440000}"/>
    <cellStyle name="Millares 6 2 4 2 2 6" xfId="24000" xr:uid="{00000000-0005-0000-0000-0000AF440000}"/>
    <cellStyle name="Millares 6 2 4 2 3" xfId="2268" xr:uid="{00000000-0005-0000-0000-0000B0440000}"/>
    <cellStyle name="Millares 6 2 4 2 3 2" xfId="13455" xr:uid="{00000000-0005-0000-0000-0000B1440000}"/>
    <cellStyle name="Millares 6 2 4 2 3 3" xfId="24001" xr:uid="{00000000-0005-0000-0000-0000B2440000}"/>
    <cellStyle name="Millares 6 2 4 2 4" xfId="2857" xr:uid="{00000000-0005-0000-0000-0000B3440000}"/>
    <cellStyle name="Millares 6 2 4 2 4 2" xfId="4476" xr:uid="{00000000-0005-0000-0000-0000B4440000}"/>
    <cellStyle name="Millares 6 2 4 2 4 2 2" xfId="6343" xr:uid="{00000000-0005-0000-0000-0000B5440000}"/>
    <cellStyle name="Millares 6 2 4 2 4 3" xfId="5441" xr:uid="{00000000-0005-0000-0000-0000B6440000}"/>
    <cellStyle name="Millares 6 2 4 2 4 4" xfId="13453" xr:uid="{00000000-0005-0000-0000-0000B7440000}"/>
    <cellStyle name="Millares 6 2 4 2 5" xfId="3944" xr:uid="{00000000-0005-0000-0000-0000B8440000}"/>
    <cellStyle name="Millares 6 2 4 2 5 2" xfId="5898" xr:uid="{00000000-0005-0000-0000-0000B9440000}"/>
    <cellStyle name="Millares 6 2 4 2 6" xfId="3417" xr:uid="{00000000-0005-0000-0000-0000BA440000}"/>
    <cellStyle name="Millares 6 2 4 2 7" xfId="4983" xr:uid="{00000000-0005-0000-0000-0000BB440000}"/>
    <cellStyle name="Millares 6 2 4 2 8" xfId="6963" xr:uid="{00000000-0005-0000-0000-0000BC440000}"/>
    <cellStyle name="Millares 6 2 4 2 9" xfId="23086" xr:uid="{00000000-0005-0000-0000-0000BD440000}"/>
    <cellStyle name="Millares 6 2 4 3" xfId="1663" xr:uid="{00000000-0005-0000-0000-0000BE440000}"/>
    <cellStyle name="Millares 6 2 4 3 2" xfId="3090" xr:uid="{00000000-0005-0000-0000-0000BF440000}"/>
    <cellStyle name="Millares 6 2 4 3 2 2" xfId="4709" xr:uid="{00000000-0005-0000-0000-0000C0440000}"/>
    <cellStyle name="Millares 6 2 4 3 2 2 2" xfId="6576" xr:uid="{00000000-0005-0000-0000-0000C1440000}"/>
    <cellStyle name="Millares 6 2 4 3 2 3" xfId="5674" xr:uid="{00000000-0005-0000-0000-0000C2440000}"/>
    <cellStyle name="Millares 6 2 4 3 3" xfId="4182" xr:uid="{00000000-0005-0000-0000-0000C3440000}"/>
    <cellStyle name="Millares 6 2 4 3 3 2" xfId="6130" xr:uid="{00000000-0005-0000-0000-0000C4440000}"/>
    <cellStyle name="Millares 6 2 4 3 4" xfId="5216" xr:uid="{00000000-0005-0000-0000-0000C5440000}"/>
    <cellStyle name="Millares 6 2 4 3 5" xfId="13456" xr:uid="{00000000-0005-0000-0000-0000C6440000}"/>
    <cellStyle name="Millares 6 2 4 3 6" xfId="24002" xr:uid="{00000000-0005-0000-0000-0000C7440000}"/>
    <cellStyle name="Millares 6 2 4 4" xfId="2267" xr:uid="{00000000-0005-0000-0000-0000C8440000}"/>
    <cellStyle name="Millares 6 2 4 4 2" xfId="13457" xr:uid="{00000000-0005-0000-0000-0000C9440000}"/>
    <cellStyle name="Millares 6 2 4 4 3" xfId="24003" xr:uid="{00000000-0005-0000-0000-0000CA440000}"/>
    <cellStyle name="Millares 6 2 4 5" xfId="2796" xr:uid="{00000000-0005-0000-0000-0000CB440000}"/>
    <cellStyle name="Millares 6 2 4 5 2" xfId="4418" xr:uid="{00000000-0005-0000-0000-0000CC440000}"/>
    <cellStyle name="Millares 6 2 4 5 2 2" xfId="6286" xr:uid="{00000000-0005-0000-0000-0000CD440000}"/>
    <cellStyle name="Millares 6 2 4 5 3" xfId="5384" xr:uid="{00000000-0005-0000-0000-0000CE440000}"/>
    <cellStyle name="Millares 6 2 4 5 4" xfId="13452" xr:uid="{00000000-0005-0000-0000-0000CF440000}"/>
    <cellStyle name="Millares 6 2 4 5 5" xfId="24004" xr:uid="{00000000-0005-0000-0000-0000D0440000}"/>
    <cellStyle name="Millares 6 2 4 6" xfId="3684" xr:uid="{00000000-0005-0000-0000-0000D1440000}"/>
    <cellStyle name="Millares 6 2 4 6 2" xfId="5849" xr:uid="{00000000-0005-0000-0000-0000D2440000}"/>
    <cellStyle name="Millares 6 2 4 7" xfId="3416" xr:uid="{00000000-0005-0000-0000-0000D3440000}"/>
    <cellStyle name="Millares 6 2 4 8" xfId="4926" xr:uid="{00000000-0005-0000-0000-0000D4440000}"/>
    <cellStyle name="Millares 6 2 4 9" xfId="6962" xr:uid="{00000000-0005-0000-0000-0000D5440000}"/>
    <cellStyle name="Millares 6 2 5" xfId="648" xr:uid="{00000000-0005-0000-0000-0000D6440000}"/>
    <cellStyle name="Millares 6 2 5 2" xfId="2269" xr:uid="{00000000-0005-0000-0000-0000D7440000}"/>
    <cellStyle name="Millares 6 2 5 2 2" xfId="13459" xr:uid="{00000000-0005-0000-0000-0000D8440000}"/>
    <cellStyle name="Millares 6 2 5 3" xfId="3681" xr:uid="{00000000-0005-0000-0000-0000D9440000}"/>
    <cellStyle name="Millares 6 2 5 3 2" xfId="13460" xr:uid="{00000000-0005-0000-0000-0000DA440000}"/>
    <cellStyle name="Millares 6 2 5 4" xfId="3418" xr:uid="{00000000-0005-0000-0000-0000DB440000}"/>
    <cellStyle name="Millares 6 2 5 4 2" xfId="13458" xr:uid="{00000000-0005-0000-0000-0000DC440000}"/>
    <cellStyle name="Millares 6 2 5 5" xfId="6964" xr:uid="{00000000-0005-0000-0000-0000DD440000}"/>
    <cellStyle name="Millares 6 2 6" xfId="1420" xr:uid="{00000000-0005-0000-0000-0000DE440000}"/>
    <cellStyle name="Millares 6 2 6 2" xfId="1664" xr:uid="{00000000-0005-0000-0000-0000DF440000}"/>
    <cellStyle name="Millares 6 2 6 2 2" xfId="3091" xr:uid="{00000000-0005-0000-0000-0000E0440000}"/>
    <cellStyle name="Millares 6 2 6 2 2 2" xfId="4710" xr:uid="{00000000-0005-0000-0000-0000E1440000}"/>
    <cellStyle name="Millares 6 2 6 2 2 2 2" xfId="6577" xr:uid="{00000000-0005-0000-0000-0000E2440000}"/>
    <cellStyle name="Millares 6 2 6 2 2 3" xfId="5675" xr:uid="{00000000-0005-0000-0000-0000E3440000}"/>
    <cellStyle name="Millares 6 2 6 2 3" xfId="4183" xr:uid="{00000000-0005-0000-0000-0000E4440000}"/>
    <cellStyle name="Millares 6 2 6 2 3 2" xfId="6131" xr:uid="{00000000-0005-0000-0000-0000E5440000}"/>
    <cellStyle name="Millares 6 2 6 2 4" xfId="5217" xr:uid="{00000000-0005-0000-0000-0000E6440000}"/>
    <cellStyle name="Millares 6 2 6 2 5" xfId="13462" xr:uid="{00000000-0005-0000-0000-0000E7440000}"/>
    <cellStyle name="Millares 6 2 6 2 6" xfId="24005" xr:uid="{00000000-0005-0000-0000-0000E8440000}"/>
    <cellStyle name="Millares 6 2 6 3" xfId="2270" xr:uid="{00000000-0005-0000-0000-0000E9440000}"/>
    <cellStyle name="Millares 6 2 6 3 2" xfId="13463" xr:uid="{00000000-0005-0000-0000-0000EA440000}"/>
    <cellStyle name="Millares 6 2 6 3 3" xfId="24006" xr:uid="{00000000-0005-0000-0000-0000EB440000}"/>
    <cellStyle name="Millares 6 2 6 4" xfId="2854" xr:uid="{00000000-0005-0000-0000-0000EC440000}"/>
    <cellStyle name="Millares 6 2 6 4 2" xfId="4473" xr:uid="{00000000-0005-0000-0000-0000ED440000}"/>
    <cellStyle name="Millares 6 2 6 4 2 2" xfId="6340" xr:uid="{00000000-0005-0000-0000-0000EE440000}"/>
    <cellStyle name="Millares 6 2 6 4 3" xfId="5438" xr:uid="{00000000-0005-0000-0000-0000EF440000}"/>
    <cellStyle name="Millares 6 2 6 4 4" xfId="13461" xr:uid="{00000000-0005-0000-0000-0000F0440000}"/>
    <cellStyle name="Millares 6 2 6 5" xfId="3941" xr:uid="{00000000-0005-0000-0000-0000F1440000}"/>
    <cellStyle name="Millares 6 2 6 5 2" xfId="5895" xr:uid="{00000000-0005-0000-0000-0000F2440000}"/>
    <cellStyle name="Millares 6 2 6 6" xfId="3419" xr:uid="{00000000-0005-0000-0000-0000F3440000}"/>
    <cellStyle name="Millares 6 2 6 7" xfId="4980" xr:uid="{00000000-0005-0000-0000-0000F4440000}"/>
    <cellStyle name="Millares 6 2 6 8" xfId="6965" xr:uid="{00000000-0005-0000-0000-0000F5440000}"/>
    <cellStyle name="Millares 6 2 7" xfId="1665" xr:uid="{00000000-0005-0000-0000-0000F6440000}"/>
    <cellStyle name="Millares 6 2 7 2" xfId="2271" xr:uid="{00000000-0005-0000-0000-0000F7440000}"/>
    <cellStyle name="Millares 6 2 7 2 2" xfId="13465" xr:uid="{00000000-0005-0000-0000-0000F8440000}"/>
    <cellStyle name="Millares 6 2 7 3" xfId="3092" xr:uid="{00000000-0005-0000-0000-0000F9440000}"/>
    <cellStyle name="Millares 6 2 7 3 2" xfId="4711" xr:uid="{00000000-0005-0000-0000-0000FA440000}"/>
    <cellStyle name="Millares 6 2 7 3 2 2" xfId="6578" xr:uid="{00000000-0005-0000-0000-0000FB440000}"/>
    <cellStyle name="Millares 6 2 7 3 3" xfId="5676" xr:uid="{00000000-0005-0000-0000-0000FC440000}"/>
    <cellStyle name="Millares 6 2 7 3 4" xfId="13466" xr:uid="{00000000-0005-0000-0000-0000FD440000}"/>
    <cellStyle name="Millares 6 2 7 4" xfId="4184" xr:uid="{00000000-0005-0000-0000-0000FE440000}"/>
    <cellStyle name="Millares 6 2 7 4 2" xfId="6132" xr:uid="{00000000-0005-0000-0000-0000FF440000}"/>
    <cellStyle name="Millares 6 2 7 4 3" xfId="13464" xr:uid="{00000000-0005-0000-0000-000000450000}"/>
    <cellStyle name="Millares 6 2 7 5" xfId="3420" xr:uid="{00000000-0005-0000-0000-000001450000}"/>
    <cellStyle name="Millares 6 2 7 6" xfId="5218" xr:uid="{00000000-0005-0000-0000-000002450000}"/>
    <cellStyle name="Millares 6 2 7 7" xfId="6966" xr:uid="{00000000-0005-0000-0000-000003450000}"/>
    <cellStyle name="Millares 6 2 8" xfId="2272" xr:uid="{00000000-0005-0000-0000-000004450000}"/>
    <cellStyle name="Millares 6 2 8 2" xfId="4303" xr:uid="{00000000-0005-0000-0000-000005450000}"/>
    <cellStyle name="Millares 6 2 8 2 2" xfId="13468" xr:uid="{00000000-0005-0000-0000-000006450000}"/>
    <cellStyle name="Millares 6 2 8 2 3" xfId="7206" xr:uid="{00000000-0005-0000-0000-000007450000}"/>
    <cellStyle name="Millares 6 2 8 3" xfId="3421" xr:uid="{00000000-0005-0000-0000-000008450000}"/>
    <cellStyle name="Millares 6 2 8 3 10" xfId="27399" xr:uid="{00000000-0005-0000-0000-000009450000}"/>
    <cellStyle name="Millares 6 2 8 3 11" xfId="27903" xr:uid="{00000000-0005-0000-0000-00000A450000}"/>
    <cellStyle name="Millares 6 2 8 3 12" xfId="28407" xr:uid="{00000000-0005-0000-0000-00000B450000}"/>
    <cellStyle name="Millares 6 2 8 3 13" xfId="28911" xr:uid="{00000000-0005-0000-0000-00000C450000}"/>
    <cellStyle name="Millares 6 2 8 3 14" xfId="29415" xr:uid="{00000000-0005-0000-0000-00000D450000}"/>
    <cellStyle name="Millares 6 2 8 3 15" xfId="29919" xr:uid="{00000000-0005-0000-0000-00000E450000}"/>
    <cellStyle name="Millares 6 2 8 3 16" xfId="30423" xr:uid="{00000000-0005-0000-0000-00000F450000}"/>
    <cellStyle name="Millares 6 2 8 3 17" xfId="30928" xr:uid="{00000000-0005-0000-0000-000010450000}"/>
    <cellStyle name="Millares 6 2 8 3 2" xfId="5767" xr:uid="{00000000-0005-0000-0000-000011450000}"/>
    <cellStyle name="Millares 6 2 8 3 3" xfId="13469" xr:uid="{00000000-0005-0000-0000-000012450000}"/>
    <cellStyle name="Millares 6 2 8 3 4" xfId="24007" xr:uid="{00000000-0005-0000-0000-000013450000}"/>
    <cellStyle name="Millares 6 2 8 3 5" xfId="24879" xr:uid="{00000000-0005-0000-0000-000014450000}"/>
    <cellStyle name="Millares 6 2 8 3 6" xfId="25383" xr:uid="{00000000-0005-0000-0000-000015450000}"/>
    <cellStyle name="Millares 6 2 8 3 7" xfId="25887" xr:uid="{00000000-0005-0000-0000-000016450000}"/>
    <cellStyle name="Millares 6 2 8 3 8" xfId="26391" xr:uid="{00000000-0005-0000-0000-000017450000}"/>
    <cellStyle name="Millares 6 2 8 3 9" xfId="26895" xr:uid="{00000000-0005-0000-0000-000018450000}"/>
    <cellStyle name="Millares 6 2 8 4" xfId="6967" xr:uid="{00000000-0005-0000-0000-000019450000}"/>
    <cellStyle name="Millares 6 2 8 4 2" xfId="13467" xr:uid="{00000000-0005-0000-0000-00001A450000}"/>
    <cellStyle name="Millares 6 2 8 5" xfId="7205" xr:uid="{00000000-0005-0000-0000-00001B450000}"/>
    <cellStyle name="Millares 6 2 9" xfId="2273" xr:uid="{00000000-0005-0000-0000-00001C450000}"/>
    <cellStyle name="Millares 6 2 9 2" xfId="4304" xr:uid="{00000000-0005-0000-0000-00001D450000}"/>
    <cellStyle name="Millares 6 2 9 2 2" xfId="13471" xr:uid="{00000000-0005-0000-0000-00001E450000}"/>
    <cellStyle name="Millares 6 2 9 3" xfId="3422" xr:uid="{00000000-0005-0000-0000-00001F450000}"/>
    <cellStyle name="Millares 6 2 9 3 2" xfId="13472" xr:uid="{00000000-0005-0000-0000-000020450000}"/>
    <cellStyle name="Millares 6 2 9 4" xfId="6968" xr:uid="{00000000-0005-0000-0000-000021450000}"/>
    <cellStyle name="Millares 6 2 9 4 2" xfId="13470" xr:uid="{00000000-0005-0000-0000-000022450000}"/>
    <cellStyle name="Millares 6 20" xfId="24874" xr:uid="{00000000-0005-0000-0000-000023450000}"/>
    <cellStyle name="Millares 6 21" xfId="25378" xr:uid="{00000000-0005-0000-0000-000024450000}"/>
    <cellStyle name="Millares 6 22" xfId="25882" xr:uid="{00000000-0005-0000-0000-000025450000}"/>
    <cellStyle name="Millares 6 23" xfId="26386" xr:uid="{00000000-0005-0000-0000-000026450000}"/>
    <cellStyle name="Millares 6 24" xfId="26890" xr:uid="{00000000-0005-0000-0000-000027450000}"/>
    <cellStyle name="Millares 6 25" xfId="27394" xr:uid="{00000000-0005-0000-0000-000028450000}"/>
    <cellStyle name="Millares 6 26" xfId="27898" xr:uid="{00000000-0005-0000-0000-000029450000}"/>
    <cellStyle name="Millares 6 27" xfId="28402" xr:uid="{00000000-0005-0000-0000-00002A450000}"/>
    <cellStyle name="Millares 6 28" xfId="28906" xr:uid="{00000000-0005-0000-0000-00002B450000}"/>
    <cellStyle name="Millares 6 29" xfId="29410" xr:uid="{00000000-0005-0000-0000-00002C450000}"/>
    <cellStyle name="Millares 6 3" xfId="652" xr:uid="{00000000-0005-0000-0000-00002D450000}"/>
    <cellStyle name="Millares 6 3 2" xfId="2275" xr:uid="{00000000-0005-0000-0000-00002E450000}"/>
    <cellStyle name="Millares 6 3 2 2" xfId="4305" xr:uid="{00000000-0005-0000-0000-00002F450000}"/>
    <cellStyle name="Millares 6 3 2 2 2" xfId="13476" xr:uid="{00000000-0005-0000-0000-000030450000}"/>
    <cellStyle name="Millares 6 3 2 2 3" xfId="13475" xr:uid="{00000000-0005-0000-0000-000031450000}"/>
    <cellStyle name="Millares 6 3 2 2 4" xfId="23087" xr:uid="{00000000-0005-0000-0000-000032450000}"/>
    <cellStyle name="Millares 6 3 2 3" xfId="3424" xr:uid="{00000000-0005-0000-0000-000033450000}"/>
    <cellStyle name="Millares 6 3 2 3 2" xfId="13477" xr:uid="{00000000-0005-0000-0000-000034450000}"/>
    <cellStyle name="Millares 6 3 2 4" xfId="6970" xr:uid="{00000000-0005-0000-0000-000035450000}"/>
    <cellStyle name="Millares 6 3 2 4 2" xfId="13478" xr:uid="{00000000-0005-0000-0000-000036450000}"/>
    <cellStyle name="Millares 6 3 2 5" xfId="13474" xr:uid="{00000000-0005-0000-0000-000037450000}"/>
    <cellStyle name="Millares 6 3 3" xfId="2274" xr:uid="{00000000-0005-0000-0000-000038450000}"/>
    <cellStyle name="Millares 6 3 3 2" xfId="13480" xr:uid="{00000000-0005-0000-0000-000039450000}"/>
    <cellStyle name="Millares 6 3 3 2 2" xfId="23089" xr:uid="{00000000-0005-0000-0000-00003A450000}"/>
    <cellStyle name="Millares 6 3 3 3" xfId="13479" xr:uid="{00000000-0005-0000-0000-00003B450000}"/>
    <cellStyle name="Millares 6 3 3 4" xfId="23088" xr:uid="{00000000-0005-0000-0000-00003C450000}"/>
    <cellStyle name="Millares 6 3 3 5" xfId="24008" xr:uid="{00000000-0005-0000-0000-00003D450000}"/>
    <cellStyle name="Millares 6 3 4" xfId="3685" xr:uid="{00000000-0005-0000-0000-00003E450000}"/>
    <cellStyle name="Millares 6 3 4 2" xfId="13481" xr:uid="{00000000-0005-0000-0000-00003F450000}"/>
    <cellStyle name="Millares 6 3 4 3" xfId="23090" xr:uid="{00000000-0005-0000-0000-000040450000}"/>
    <cellStyle name="Millares 6 3 5" xfId="3423" xr:uid="{00000000-0005-0000-0000-000041450000}"/>
    <cellStyle name="Millares 6 3 5 2" xfId="13482" xr:uid="{00000000-0005-0000-0000-000042450000}"/>
    <cellStyle name="Millares 6 3 6" xfId="6969" xr:uid="{00000000-0005-0000-0000-000043450000}"/>
    <cellStyle name="Millares 6 3 6 2" xfId="13483" xr:uid="{00000000-0005-0000-0000-000044450000}"/>
    <cellStyle name="Millares 6 3 7" xfId="13473" xr:uid="{00000000-0005-0000-0000-000045450000}"/>
    <cellStyle name="Millares 6 3 8" xfId="31177" xr:uid="{6F61A966-B68F-4BC9-9927-40BC14B8B5D1}"/>
    <cellStyle name="Millares 6 30" xfId="29914" xr:uid="{00000000-0005-0000-0000-000046450000}"/>
    <cellStyle name="Millares 6 31" xfId="30418" xr:uid="{00000000-0005-0000-0000-000047450000}"/>
    <cellStyle name="Millares 6 32" xfId="30923" xr:uid="{00000000-0005-0000-0000-000048450000}"/>
    <cellStyle name="Millares 6 33" xfId="31156" xr:uid="{7B876F9A-3136-4F63-AE50-F4E8A9A43E80}"/>
    <cellStyle name="Millares 6 4" xfId="653" xr:uid="{00000000-0005-0000-0000-000049450000}"/>
    <cellStyle name="Millares 6 4 2" xfId="2276" xr:uid="{00000000-0005-0000-0000-00004A450000}"/>
    <cellStyle name="Millares 6 4 2 2" xfId="13485" xr:uid="{00000000-0005-0000-0000-00004B450000}"/>
    <cellStyle name="Millares 6 4 2 3" xfId="23092" xr:uid="{00000000-0005-0000-0000-00004C450000}"/>
    <cellStyle name="Millares 6 4 2 4" xfId="24009" xr:uid="{00000000-0005-0000-0000-00004D450000}"/>
    <cellStyle name="Millares 6 4 3" xfId="3686" xr:uid="{00000000-0005-0000-0000-00004E450000}"/>
    <cellStyle name="Millares 6 4 3 2" xfId="13486" xr:uid="{00000000-0005-0000-0000-00004F450000}"/>
    <cellStyle name="Millares 6 4 4" xfId="3425" xr:uid="{00000000-0005-0000-0000-000050450000}"/>
    <cellStyle name="Millares 6 4 4 2" xfId="13487" xr:uid="{00000000-0005-0000-0000-000051450000}"/>
    <cellStyle name="Millares 6 4 5" xfId="6971" xr:uid="{00000000-0005-0000-0000-000052450000}"/>
    <cellStyle name="Millares 6 4 5 2" xfId="13488" xr:uid="{00000000-0005-0000-0000-000053450000}"/>
    <cellStyle name="Millares 6 4 6" xfId="13484" xr:uid="{00000000-0005-0000-0000-000054450000}"/>
    <cellStyle name="Millares 6 4 7" xfId="23091" xr:uid="{00000000-0005-0000-0000-000055450000}"/>
    <cellStyle name="Millares 6 5" xfId="654" xr:uid="{00000000-0005-0000-0000-000056450000}"/>
    <cellStyle name="Millares 6 5 2" xfId="1424" xr:uid="{00000000-0005-0000-0000-000057450000}"/>
    <cellStyle name="Millares 6 5 2 2" xfId="1666" xr:uid="{00000000-0005-0000-0000-000058450000}"/>
    <cellStyle name="Millares 6 5 2 2 2" xfId="3093" xr:uid="{00000000-0005-0000-0000-000059450000}"/>
    <cellStyle name="Millares 6 5 2 2 2 2" xfId="4712" xr:uid="{00000000-0005-0000-0000-00005A450000}"/>
    <cellStyle name="Millares 6 5 2 2 2 2 2" xfId="6579" xr:uid="{00000000-0005-0000-0000-00005B450000}"/>
    <cellStyle name="Millares 6 5 2 2 2 3" xfId="5677" xr:uid="{00000000-0005-0000-0000-00005C450000}"/>
    <cellStyle name="Millares 6 5 2 2 3" xfId="4185" xr:uid="{00000000-0005-0000-0000-00005D450000}"/>
    <cellStyle name="Millares 6 5 2 2 3 2" xfId="6133" xr:uid="{00000000-0005-0000-0000-00005E450000}"/>
    <cellStyle name="Millares 6 5 2 2 4" xfId="5219" xr:uid="{00000000-0005-0000-0000-00005F450000}"/>
    <cellStyle name="Millares 6 5 2 2 5" xfId="13491" xr:uid="{00000000-0005-0000-0000-000060450000}"/>
    <cellStyle name="Millares 6 5 2 2 6" xfId="24010" xr:uid="{00000000-0005-0000-0000-000061450000}"/>
    <cellStyle name="Millares 6 5 2 3" xfId="2278" xr:uid="{00000000-0005-0000-0000-000062450000}"/>
    <cellStyle name="Millares 6 5 2 3 2" xfId="13492" xr:uid="{00000000-0005-0000-0000-000063450000}"/>
    <cellStyle name="Millares 6 5 2 3 3" xfId="24011" xr:uid="{00000000-0005-0000-0000-000064450000}"/>
    <cellStyle name="Millares 6 5 2 4" xfId="2858" xr:uid="{00000000-0005-0000-0000-000065450000}"/>
    <cellStyle name="Millares 6 5 2 4 2" xfId="4477" xr:uid="{00000000-0005-0000-0000-000066450000}"/>
    <cellStyle name="Millares 6 5 2 4 2 2" xfId="6344" xr:uid="{00000000-0005-0000-0000-000067450000}"/>
    <cellStyle name="Millares 6 5 2 4 3" xfId="5442" xr:uid="{00000000-0005-0000-0000-000068450000}"/>
    <cellStyle name="Millares 6 5 2 4 4" xfId="13490" xr:uid="{00000000-0005-0000-0000-000069450000}"/>
    <cellStyle name="Millares 6 5 2 4 5" xfId="24012" xr:uid="{00000000-0005-0000-0000-00006A450000}"/>
    <cellStyle name="Millares 6 5 2 5" xfId="3945" xr:uid="{00000000-0005-0000-0000-00006B450000}"/>
    <cellStyle name="Millares 6 5 2 5 2" xfId="5899" xr:uid="{00000000-0005-0000-0000-00006C450000}"/>
    <cellStyle name="Millares 6 5 2 5 3" xfId="24013" xr:uid="{00000000-0005-0000-0000-00006D450000}"/>
    <cellStyle name="Millares 6 5 2 6" xfId="3427" xr:uid="{00000000-0005-0000-0000-00006E450000}"/>
    <cellStyle name="Millares 6 5 2 7" xfId="4984" xr:uid="{00000000-0005-0000-0000-00006F450000}"/>
    <cellStyle name="Millares 6 5 2 8" xfId="6973" xr:uid="{00000000-0005-0000-0000-000070450000}"/>
    <cellStyle name="Millares 6 5 3" xfId="1667" xr:uid="{00000000-0005-0000-0000-000071450000}"/>
    <cellStyle name="Millares 6 5 3 2" xfId="3094" xr:uid="{00000000-0005-0000-0000-000072450000}"/>
    <cellStyle name="Millares 6 5 3 2 2" xfId="4713" xr:uid="{00000000-0005-0000-0000-000073450000}"/>
    <cellStyle name="Millares 6 5 3 2 2 2" xfId="6580" xr:uid="{00000000-0005-0000-0000-000074450000}"/>
    <cellStyle name="Millares 6 5 3 2 3" xfId="5678" xr:uid="{00000000-0005-0000-0000-000075450000}"/>
    <cellStyle name="Millares 6 5 3 2 4" xfId="13494" xr:uid="{00000000-0005-0000-0000-000076450000}"/>
    <cellStyle name="Millares 6 5 3 3" xfId="4186" xr:uid="{00000000-0005-0000-0000-000077450000}"/>
    <cellStyle name="Millares 6 5 3 3 2" xfId="6134" xr:uid="{00000000-0005-0000-0000-000078450000}"/>
    <cellStyle name="Millares 6 5 3 4" xfId="5220" xr:uid="{00000000-0005-0000-0000-000079450000}"/>
    <cellStyle name="Millares 6 5 3 5" xfId="13493" xr:uid="{00000000-0005-0000-0000-00007A450000}"/>
    <cellStyle name="Millares 6 5 3 6" xfId="24014" xr:uid="{00000000-0005-0000-0000-00007B450000}"/>
    <cellStyle name="Millares 6 5 4" xfId="2277" xr:uid="{00000000-0005-0000-0000-00007C450000}"/>
    <cellStyle name="Millares 6 5 4 2" xfId="13495" xr:uid="{00000000-0005-0000-0000-00007D450000}"/>
    <cellStyle name="Millares 6 5 4 3" xfId="24015" xr:uid="{00000000-0005-0000-0000-00007E450000}"/>
    <cellStyle name="Millares 6 5 5" xfId="2797" xr:uid="{00000000-0005-0000-0000-00007F450000}"/>
    <cellStyle name="Millares 6 5 5 2" xfId="4419" xr:uid="{00000000-0005-0000-0000-000080450000}"/>
    <cellStyle name="Millares 6 5 5 2 2" xfId="6287" xr:uid="{00000000-0005-0000-0000-000081450000}"/>
    <cellStyle name="Millares 6 5 5 3" xfId="5385" xr:uid="{00000000-0005-0000-0000-000082450000}"/>
    <cellStyle name="Millares 6 5 5 4" xfId="13496" xr:uid="{00000000-0005-0000-0000-000083450000}"/>
    <cellStyle name="Millares 6 5 5 5" xfId="24016" xr:uid="{00000000-0005-0000-0000-000084450000}"/>
    <cellStyle name="Millares 6 5 6" xfId="3687" xr:uid="{00000000-0005-0000-0000-000085450000}"/>
    <cellStyle name="Millares 6 5 6 2" xfId="5850" xr:uid="{00000000-0005-0000-0000-000086450000}"/>
    <cellStyle name="Millares 6 5 6 3" xfId="13489" xr:uid="{00000000-0005-0000-0000-000087450000}"/>
    <cellStyle name="Millares 6 5 7" xfId="3426" xr:uid="{00000000-0005-0000-0000-000088450000}"/>
    <cellStyle name="Millares 6 5 8" xfId="4927" xr:uid="{00000000-0005-0000-0000-000089450000}"/>
    <cellStyle name="Millares 6 5 9" xfId="6972" xr:uid="{00000000-0005-0000-0000-00008A450000}"/>
    <cellStyle name="Millares 6 6" xfId="647" xr:uid="{00000000-0005-0000-0000-00008B450000}"/>
    <cellStyle name="Millares 6 6 2" xfId="2280" xr:uid="{00000000-0005-0000-0000-00008C450000}"/>
    <cellStyle name="Millares 6 6 2 2" xfId="4306" xr:uid="{00000000-0005-0000-0000-00008D450000}"/>
    <cellStyle name="Millares 6 6 2 2 2" xfId="13499" xr:uid="{00000000-0005-0000-0000-00008E450000}"/>
    <cellStyle name="Millares 6 6 2 3" xfId="3429" xr:uid="{00000000-0005-0000-0000-00008F450000}"/>
    <cellStyle name="Millares 6 6 2 3 2" xfId="13500" xr:uid="{00000000-0005-0000-0000-000090450000}"/>
    <cellStyle name="Millares 6 6 2 4" xfId="6975" xr:uid="{00000000-0005-0000-0000-000091450000}"/>
    <cellStyle name="Millares 6 6 2 4 2" xfId="13498" xr:uid="{00000000-0005-0000-0000-000092450000}"/>
    <cellStyle name="Millares 6 6 3" xfId="2279" xr:uid="{00000000-0005-0000-0000-000093450000}"/>
    <cellStyle name="Millares 6 6 3 2" xfId="13501" xr:uid="{00000000-0005-0000-0000-000094450000}"/>
    <cellStyle name="Millares 6 6 4" xfId="3680" xr:uid="{00000000-0005-0000-0000-000095450000}"/>
    <cellStyle name="Millares 6 6 4 2" xfId="13502" xr:uid="{00000000-0005-0000-0000-000096450000}"/>
    <cellStyle name="Millares 6 6 5" xfId="3428" xr:uid="{00000000-0005-0000-0000-000097450000}"/>
    <cellStyle name="Millares 6 6 5 2" xfId="13497" xr:uid="{00000000-0005-0000-0000-000098450000}"/>
    <cellStyle name="Millares 6 6 6" xfId="6974" xr:uid="{00000000-0005-0000-0000-000099450000}"/>
    <cellStyle name="Millares 6 7" xfId="1416" xr:uid="{00000000-0005-0000-0000-00009A450000}"/>
    <cellStyle name="Millares 6 7 2" xfId="1668" xr:uid="{00000000-0005-0000-0000-00009B450000}"/>
    <cellStyle name="Millares 6 7 2 2" xfId="3095" xr:uid="{00000000-0005-0000-0000-00009C450000}"/>
    <cellStyle name="Millares 6 7 2 2 2" xfId="4714" xr:uid="{00000000-0005-0000-0000-00009D450000}"/>
    <cellStyle name="Millares 6 7 2 2 2 2" xfId="6581" xr:uid="{00000000-0005-0000-0000-00009E450000}"/>
    <cellStyle name="Millares 6 7 2 2 3" xfId="5679" xr:uid="{00000000-0005-0000-0000-00009F450000}"/>
    <cellStyle name="Millares 6 7 2 3" xfId="4187" xr:uid="{00000000-0005-0000-0000-0000A0450000}"/>
    <cellStyle name="Millares 6 7 2 3 2" xfId="6135" xr:uid="{00000000-0005-0000-0000-0000A1450000}"/>
    <cellStyle name="Millares 6 7 2 4" xfId="5221" xr:uid="{00000000-0005-0000-0000-0000A2450000}"/>
    <cellStyle name="Millares 6 7 2 5" xfId="13504" xr:uid="{00000000-0005-0000-0000-0000A3450000}"/>
    <cellStyle name="Millares 6 7 2 6" xfId="24017" xr:uid="{00000000-0005-0000-0000-0000A4450000}"/>
    <cellStyle name="Millares 6 7 3" xfId="2281" xr:uid="{00000000-0005-0000-0000-0000A5450000}"/>
    <cellStyle name="Millares 6 7 3 2" xfId="13505" xr:uid="{00000000-0005-0000-0000-0000A6450000}"/>
    <cellStyle name="Millares 6 7 3 3" xfId="24018" xr:uid="{00000000-0005-0000-0000-0000A7450000}"/>
    <cellStyle name="Millares 6 7 4" xfId="2850" xr:uid="{00000000-0005-0000-0000-0000A8450000}"/>
    <cellStyle name="Millares 6 7 4 2" xfId="4469" xr:uid="{00000000-0005-0000-0000-0000A9450000}"/>
    <cellStyle name="Millares 6 7 4 2 2" xfId="6336" xr:uid="{00000000-0005-0000-0000-0000AA450000}"/>
    <cellStyle name="Millares 6 7 4 3" xfId="5434" xr:uid="{00000000-0005-0000-0000-0000AB450000}"/>
    <cellStyle name="Millares 6 7 4 4" xfId="13503" xr:uid="{00000000-0005-0000-0000-0000AC450000}"/>
    <cellStyle name="Millares 6 7 4 5" xfId="24019" xr:uid="{00000000-0005-0000-0000-0000AD450000}"/>
    <cellStyle name="Millares 6 7 5" xfId="3937" xr:uid="{00000000-0005-0000-0000-0000AE450000}"/>
    <cellStyle name="Millares 6 7 5 10" xfId="27904" xr:uid="{00000000-0005-0000-0000-0000AF450000}"/>
    <cellStyle name="Millares 6 7 5 11" xfId="28408" xr:uid="{00000000-0005-0000-0000-0000B0450000}"/>
    <cellStyle name="Millares 6 7 5 12" xfId="28912" xr:uid="{00000000-0005-0000-0000-0000B1450000}"/>
    <cellStyle name="Millares 6 7 5 13" xfId="29416" xr:uid="{00000000-0005-0000-0000-0000B2450000}"/>
    <cellStyle name="Millares 6 7 5 14" xfId="29920" xr:uid="{00000000-0005-0000-0000-0000B3450000}"/>
    <cellStyle name="Millares 6 7 5 15" xfId="30424" xr:uid="{00000000-0005-0000-0000-0000B4450000}"/>
    <cellStyle name="Millares 6 7 5 16" xfId="30929" xr:uid="{00000000-0005-0000-0000-0000B5450000}"/>
    <cellStyle name="Millares 6 7 5 2" xfId="5891" xr:uid="{00000000-0005-0000-0000-0000B6450000}"/>
    <cellStyle name="Millares 6 7 5 3" xfId="24020" xr:uid="{00000000-0005-0000-0000-0000B7450000}"/>
    <cellStyle name="Millares 6 7 5 4" xfId="24880" xr:uid="{00000000-0005-0000-0000-0000B8450000}"/>
    <cellStyle name="Millares 6 7 5 5" xfId="25384" xr:uid="{00000000-0005-0000-0000-0000B9450000}"/>
    <cellStyle name="Millares 6 7 5 6" xfId="25888" xr:uid="{00000000-0005-0000-0000-0000BA450000}"/>
    <cellStyle name="Millares 6 7 5 7" xfId="26392" xr:uid="{00000000-0005-0000-0000-0000BB450000}"/>
    <cellStyle name="Millares 6 7 5 8" xfId="26896" xr:uid="{00000000-0005-0000-0000-0000BC450000}"/>
    <cellStyle name="Millares 6 7 5 9" xfId="27400" xr:uid="{00000000-0005-0000-0000-0000BD450000}"/>
    <cellStyle name="Millares 6 7 6" xfId="3430" xr:uid="{00000000-0005-0000-0000-0000BE450000}"/>
    <cellStyle name="Millares 6 7 6 10" xfId="28409" xr:uid="{00000000-0005-0000-0000-0000BF450000}"/>
    <cellStyle name="Millares 6 7 6 11" xfId="28913" xr:uid="{00000000-0005-0000-0000-0000C0450000}"/>
    <cellStyle name="Millares 6 7 6 12" xfId="29417" xr:uid="{00000000-0005-0000-0000-0000C1450000}"/>
    <cellStyle name="Millares 6 7 6 13" xfId="29921" xr:uid="{00000000-0005-0000-0000-0000C2450000}"/>
    <cellStyle name="Millares 6 7 6 14" xfId="30425" xr:uid="{00000000-0005-0000-0000-0000C3450000}"/>
    <cellStyle name="Millares 6 7 6 15" xfId="30930" xr:uid="{00000000-0005-0000-0000-0000C4450000}"/>
    <cellStyle name="Millares 6 7 6 2" xfId="24021" xr:uid="{00000000-0005-0000-0000-0000C5450000}"/>
    <cellStyle name="Millares 6 7 6 3" xfId="24881" xr:uid="{00000000-0005-0000-0000-0000C6450000}"/>
    <cellStyle name="Millares 6 7 6 4" xfId="25385" xr:uid="{00000000-0005-0000-0000-0000C7450000}"/>
    <cellStyle name="Millares 6 7 6 5" xfId="25889" xr:uid="{00000000-0005-0000-0000-0000C8450000}"/>
    <cellStyle name="Millares 6 7 6 6" xfId="26393" xr:uid="{00000000-0005-0000-0000-0000C9450000}"/>
    <cellStyle name="Millares 6 7 6 7" xfId="26897" xr:uid="{00000000-0005-0000-0000-0000CA450000}"/>
    <cellStyle name="Millares 6 7 6 8" xfId="27401" xr:uid="{00000000-0005-0000-0000-0000CB450000}"/>
    <cellStyle name="Millares 6 7 6 9" xfId="27905" xr:uid="{00000000-0005-0000-0000-0000CC450000}"/>
    <cellStyle name="Millares 6 7 7" xfId="4976" xr:uid="{00000000-0005-0000-0000-0000CD450000}"/>
    <cellStyle name="Millares 6 7 7 10" xfId="28410" xr:uid="{00000000-0005-0000-0000-0000CE450000}"/>
    <cellStyle name="Millares 6 7 7 11" xfId="28914" xr:uid="{00000000-0005-0000-0000-0000CF450000}"/>
    <cellStyle name="Millares 6 7 7 12" xfId="29418" xr:uid="{00000000-0005-0000-0000-0000D0450000}"/>
    <cellStyle name="Millares 6 7 7 13" xfId="29922" xr:uid="{00000000-0005-0000-0000-0000D1450000}"/>
    <cellStyle name="Millares 6 7 7 14" xfId="30426" xr:uid="{00000000-0005-0000-0000-0000D2450000}"/>
    <cellStyle name="Millares 6 7 7 15" xfId="30931" xr:uid="{00000000-0005-0000-0000-0000D3450000}"/>
    <cellStyle name="Millares 6 7 7 2" xfId="24022" xr:uid="{00000000-0005-0000-0000-0000D4450000}"/>
    <cellStyle name="Millares 6 7 7 3" xfId="24882" xr:uid="{00000000-0005-0000-0000-0000D5450000}"/>
    <cellStyle name="Millares 6 7 7 4" xfId="25386" xr:uid="{00000000-0005-0000-0000-0000D6450000}"/>
    <cellStyle name="Millares 6 7 7 5" xfId="25890" xr:uid="{00000000-0005-0000-0000-0000D7450000}"/>
    <cellStyle name="Millares 6 7 7 6" xfId="26394" xr:uid="{00000000-0005-0000-0000-0000D8450000}"/>
    <cellStyle name="Millares 6 7 7 7" xfId="26898" xr:uid="{00000000-0005-0000-0000-0000D9450000}"/>
    <cellStyle name="Millares 6 7 7 8" xfId="27402" xr:uid="{00000000-0005-0000-0000-0000DA450000}"/>
    <cellStyle name="Millares 6 7 7 9" xfId="27906" xr:uid="{00000000-0005-0000-0000-0000DB450000}"/>
    <cellStyle name="Millares 6 7 8" xfId="6976" xr:uid="{00000000-0005-0000-0000-0000DC450000}"/>
    <cellStyle name="Millares 6 8" xfId="1669" xr:uid="{00000000-0005-0000-0000-0000DD450000}"/>
    <cellStyle name="Millares 6 8 2" xfId="2282" xr:uid="{00000000-0005-0000-0000-0000DE450000}"/>
    <cellStyle name="Millares 6 8 2 2" xfId="13507" xr:uid="{00000000-0005-0000-0000-0000DF450000}"/>
    <cellStyle name="Millares 6 8 3" xfId="3096" xr:uid="{00000000-0005-0000-0000-0000E0450000}"/>
    <cellStyle name="Millares 6 8 3 2" xfId="4715" xr:uid="{00000000-0005-0000-0000-0000E1450000}"/>
    <cellStyle name="Millares 6 8 3 2 2" xfId="6582" xr:uid="{00000000-0005-0000-0000-0000E2450000}"/>
    <cellStyle name="Millares 6 8 3 3" xfId="5680" xr:uid="{00000000-0005-0000-0000-0000E3450000}"/>
    <cellStyle name="Millares 6 8 3 4" xfId="13508" xr:uid="{00000000-0005-0000-0000-0000E4450000}"/>
    <cellStyle name="Millares 6 8 4" xfId="4188" xr:uid="{00000000-0005-0000-0000-0000E5450000}"/>
    <cellStyle name="Millares 6 8 4 2" xfId="6136" xr:uid="{00000000-0005-0000-0000-0000E6450000}"/>
    <cellStyle name="Millares 6 8 4 3" xfId="13506" xr:uid="{00000000-0005-0000-0000-0000E7450000}"/>
    <cellStyle name="Millares 6 8 5" xfId="3431" xr:uid="{00000000-0005-0000-0000-0000E8450000}"/>
    <cellStyle name="Millares 6 8 6" xfId="5222" xr:uid="{00000000-0005-0000-0000-0000E9450000}"/>
    <cellStyle name="Millares 6 8 7" xfId="6977" xr:uid="{00000000-0005-0000-0000-0000EA450000}"/>
    <cellStyle name="Millares 6 9" xfId="2283" xr:uid="{00000000-0005-0000-0000-0000EB450000}"/>
    <cellStyle name="Millares 6 9 2" xfId="4307" xr:uid="{00000000-0005-0000-0000-0000EC450000}"/>
    <cellStyle name="Millares 6 9 2 2" xfId="13510" xr:uid="{00000000-0005-0000-0000-0000ED450000}"/>
    <cellStyle name="Millares 6 9 2 3" xfId="7208" xr:uid="{00000000-0005-0000-0000-0000EE450000}"/>
    <cellStyle name="Millares 6 9 3" xfId="3432" xr:uid="{00000000-0005-0000-0000-0000EF450000}"/>
    <cellStyle name="Millares 6 9 3 10" xfId="27403" xr:uid="{00000000-0005-0000-0000-0000F0450000}"/>
    <cellStyle name="Millares 6 9 3 11" xfId="27907" xr:uid="{00000000-0005-0000-0000-0000F1450000}"/>
    <cellStyle name="Millares 6 9 3 12" xfId="28411" xr:uid="{00000000-0005-0000-0000-0000F2450000}"/>
    <cellStyle name="Millares 6 9 3 13" xfId="28915" xr:uid="{00000000-0005-0000-0000-0000F3450000}"/>
    <cellStyle name="Millares 6 9 3 14" xfId="29419" xr:uid="{00000000-0005-0000-0000-0000F4450000}"/>
    <cellStyle name="Millares 6 9 3 15" xfId="29923" xr:uid="{00000000-0005-0000-0000-0000F5450000}"/>
    <cellStyle name="Millares 6 9 3 16" xfId="30427" xr:uid="{00000000-0005-0000-0000-0000F6450000}"/>
    <cellStyle name="Millares 6 9 3 17" xfId="30932" xr:uid="{00000000-0005-0000-0000-0000F7450000}"/>
    <cellStyle name="Millares 6 9 3 2" xfId="5768" xr:uid="{00000000-0005-0000-0000-0000F8450000}"/>
    <cellStyle name="Millares 6 9 3 3" xfId="13511" xr:uid="{00000000-0005-0000-0000-0000F9450000}"/>
    <cellStyle name="Millares 6 9 3 4" xfId="24023" xr:uid="{00000000-0005-0000-0000-0000FA450000}"/>
    <cellStyle name="Millares 6 9 3 5" xfId="24883" xr:uid="{00000000-0005-0000-0000-0000FB450000}"/>
    <cellStyle name="Millares 6 9 3 6" xfId="25387" xr:uid="{00000000-0005-0000-0000-0000FC450000}"/>
    <cellStyle name="Millares 6 9 3 7" xfId="25891" xr:uid="{00000000-0005-0000-0000-0000FD450000}"/>
    <cellStyle name="Millares 6 9 3 8" xfId="26395" xr:uid="{00000000-0005-0000-0000-0000FE450000}"/>
    <cellStyle name="Millares 6 9 3 9" xfId="26899" xr:uid="{00000000-0005-0000-0000-0000FF450000}"/>
    <cellStyle name="Millares 6 9 4" xfId="6978" xr:uid="{00000000-0005-0000-0000-000000460000}"/>
    <cellStyle name="Millares 6 9 4 2" xfId="13509" xr:uid="{00000000-0005-0000-0000-000001460000}"/>
    <cellStyle name="Millares 6 9 5" xfId="7207" xr:uid="{00000000-0005-0000-0000-000002460000}"/>
    <cellStyle name="Millares 60" xfId="4906" xr:uid="{00000000-0005-0000-0000-000003460000}"/>
    <cellStyle name="Millares 60 2" xfId="13513" xr:uid="{00000000-0005-0000-0000-000004460000}"/>
    <cellStyle name="Millares 60 3" xfId="13512" xr:uid="{00000000-0005-0000-0000-000005460000}"/>
    <cellStyle name="Millares 60 4" xfId="24024" xr:uid="{00000000-0005-0000-0000-000006460000}"/>
    <cellStyle name="Millares 61" xfId="6753" xr:uid="{00000000-0005-0000-0000-000007460000}"/>
    <cellStyle name="Millares 61 2" xfId="13515" xr:uid="{00000000-0005-0000-0000-000008460000}"/>
    <cellStyle name="Millares 61 3" xfId="13514" xr:uid="{00000000-0005-0000-0000-000009460000}"/>
    <cellStyle name="Millares 61 4" xfId="24025" xr:uid="{00000000-0005-0000-0000-00000A460000}"/>
    <cellStyle name="Millares 62" xfId="6732" xr:uid="{00000000-0005-0000-0000-00000B460000}"/>
    <cellStyle name="Millares 62 2" xfId="13517" xr:uid="{00000000-0005-0000-0000-00000C460000}"/>
    <cellStyle name="Millares 62 3" xfId="13516" xr:uid="{00000000-0005-0000-0000-00000D460000}"/>
    <cellStyle name="Millares 62 4" xfId="24026" xr:uid="{00000000-0005-0000-0000-00000E460000}"/>
    <cellStyle name="Millares 63" xfId="6752" xr:uid="{00000000-0005-0000-0000-00000F460000}"/>
    <cellStyle name="Millares 63 2" xfId="13519" xr:uid="{00000000-0005-0000-0000-000010460000}"/>
    <cellStyle name="Millares 63 3" xfId="13518" xr:uid="{00000000-0005-0000-0000-000011460000}"/>
    <cellStyle name="Millares 63 4" xfId="24027" xr:uid="{00000000-0005-0000-0000-000012460000}"/>
    <cellStyle name="Millares 64" xfId="6731" xr:uid="{00000000-0005-0000-0000-000013460000}"/>
    <cellStyle name="Millares 64 2" xfId="13521" xr:uid="{00000000-0005-0000-0000-000014460000}"/>
    <cellStyle name="Millares 64 3" xfId="13520" xr:uid="{00000000-0005-0000-0000-000015460000}"/>
    <cellStyle name="Millares 64 4" xfId="24028" xr:uid="{00000000-0005-0000-0000-000016460000}"/>
    <cellStyle name="Millares 65" xfId="6768" xr:uid="{00000000-0005-0000-0000-000017460000}"/>
    <cellStyle name="Millares 65 2" xfId="13523" xr:uid="{00000000-0005-0000-0000-000018460000}"/>
    <cellStyle name="Millares 65 3" xfId="13522" xr:uid="{00000000-0005-0000-0000-000019460000}"/>
    <cellStyle name="Millares 65 4" xfId="24029" xr:uid="{00000000-0005-0000-0000-00001A460000}"/>
    <cellStyle name="Millares 66" xfId="13524" xr:uid="{00000000-0005-0000-0000-00001B460000}"/>
    <cellStyle name="Millares 66 2" xfId="13525" xr:uid="{00000000-0005-0000-0000-00001C460000}"/>
    <cellStyle name="Millares 66 3" xfId="24030" xr:uid="{00000000-0005-0000-0000-00001D460000}"/>
    <cellStyle name="Millares 67" xfId="13526" xr:uid="{00000000-0005-0000-0000-00001E460000}"/>
    <cellStyle name="Millares 67 2" xfId="13527" xr:uid="{00000000-0005-0000-0000-00001F460000}"/>
    <cellStyle name="Millares 67 3" xfId="24031" xr:uid="{00000000-0005-0000-0000-000020460000}"/>
    <cellStyle name="Millares 68" xfId="13528" xr:uid="{00000000-0005-0000-0000-000021460000}"/>
    <cellStyle name="Millares 68 2" xfId="13529" xr:uid="{00000000-0005-0000-0000-000022460000}"/>
    <cellStyle name="Millares 68 3" xfId="24032" xr:uid="{00000000-0005-0000-0000-000023460000}"/>
    <cellStyle name="Millares 69" xfId="13530" xr:uid="{00000000-0005-0000-0000-000024460000}"/>
    <cellStyle name="Millares 69 2" xfId="13531" xr:uid="{00000000-0005-0000-0000-000025460000}"/>
    <cellStyle name="Millares 69 3" xfId="24033" xr:uid="{00000000-0005-0000-0000-000026460000}"/>
    <cellStyle name="Millares 7" xfId="655" xr:uid="{00000000-0005-0000-0000-000027460000}"/>
    <cellStyle name="Millares 7 10" xfId="4869" xr:uid="{00000000-0005-0000-0000-000028460000}"/>
    <cellStyle name="Millares 7 10 2" xfId="6709" xr:uid="{00000000-0005-0000-0000-000029460000}"/>
    <cellStyle name="Millares 7 10 3" xfId="13533" xr:uid="{00000000-0005-0000-0000-00002A460000}"/>
    <cellStyle name="Millares 7 11" xfId="6979" xr:uid="{00000000-0005-0000-0000-00002B460000}"/>
    <cellStyle name="Millares 7 11 2" xfId="13534" xr:uid="{00000000-0005-0000-0000-00002C460000}"/>
    <cellStyle name="Millares 7 12" xfId="13535" xr:uid="{00000000-0005-0000-0000-00002D460000}"/>
    <cellStyle name="Millares 7 13" xfId="13532" xr:uid="{00000000-0005-0000-0000-00002E460000}"/>
    <cellStyle name="Millares 7 14" xfId="23093" xr:uid="{00000000-0005-0000-0000-00002F460000}"/>
    <cellStyle name="Millares 7 15" xfId="31158" xr:uid="{07987417-16EB-4C78-8520-62625C176C7E}"/>
    <cellStyle name="Millares 7 2" xfId="2285" xr:uid="{00000000-0005-0000-0000-000030460000}"/>
    <cellStyle name="Millares 7 2 2" xfId="3154" xr:uid="{00000000-0005-0000-0000-000031460000}"/>
    <cellStyle name="Millares 7 2 2 10" xfId="25892" xr:uid="{00000000-0005-0000-0000-000032460000}"/>
    <cellStyle name="Millares 7 2 2 11" xfId="26396" xr:uid="{00000000-0005-0000-0000-000033460000}"/>
    <cellStyle name="Millares 7 2 2 12" xfId="26900" xr:uid="{00000000-0005-0000-0000-000034460000}"/>
    <cellStyle name="Millares 7 2 2 13" xfId="27404" xr:uid="{00000000-0005-0000-0000-000035460000}"/>
    <cellStyle name="Millares 7 2 2 14" xfId="27908" xr:uid="{00000000-0005-0000-0000-000036460000}"/>
    <cellStyle name="Millares 7 2 2 15" xfId="28412" xr:uid="{00000000-0005-0000-0000-000037460000}"/>
    <cellStyle name="Millares 7 2 2 16" xfId="28916" xr:uid="{00000000-0005-0000-0000-000038460000}"/>
    <cellStyle name="Millares 7 2 2 17" xfId="29420" xr:uid="{00000000-0005-0000-0000-000039460000}"/>
    <cellStyle name="Millares 7 2 2 18" xfId="29924" xr:uid="{00000000-0005-0000-0000-00003A460000}"/>
    <cellStyle name="Millares 7 2 2 19" xfId="30428" xr:uid="{00000000-0005-0000-0000-00003B460000}"/>
    <cellStyle name="Millares 7 2 2 2" xfId="4770" xr:uid="{00000000-0005-0000-0000-00003C460000}"/>
    <cellStyle name="Millares 7 2 2 2 2" xfId="6627" xr:uid="{00000000-0005-0000-0000-00003D460000}"/>
    <cellStyle name="Millares 7 2 2 2 3" xfId="13538" xr:uid="{00000000-0005-0000-0000-00003E460000}"/>
    <cellStyle name="Millares 7 2 2 2 4" xfId="23094" xr:uid="{00000000-0005-0000-0000-00003F460000}"/>
    <cellStyle name="Millares 7 2 2 20" xfId="30933" xr:uid="{00000000-0005-0000-0000-000040460000}"/>
    <cellStyle name="Millares 7 2 2 3" xfId="3434" xr:uid="{00000000-0005-0000-0000-000041460000}"/>
    <cellStyle name="Millares 7 2 2 3 2" xfId="13539" xr:uid="{00000000-0005-0000-0000-000042460000}"/>
    <cellStyle name="Millares 7 2 2 4" xfId="5725" xr:uid="{00000000-0005-0000-0000-000043460000}"/>
    <cellStyle name="Millares 7 2 2 5" xfId="6980" xr:uid="{00000000-0005-0000-0000-000044460000}"/>
    <cellStyle name="Millares 7 2 2 6" xfId="13537" xr:uid="{00000000-0005-0000-0000-000045460000}"/>
    <cellStyle name="Millares 7 2 2 7" xfId="24034" xr:uid="{00000000-0005-0000-0000-000046460000}"/>
    <cellStyle name="Millares 7 2 2 8" xfId="24884" xr:uid="{00000000-0005-0000-0000-000047460000}"/>
    <cellStyle name="Millares 7 2 2 9" xfId="25388" xr:uid="{00000000-0005-0000-0000-000048460000}"/>
    <cellStyle name="Millares 7 2 3" xfId="3435" xr:uid="{00000000-0005-0000-0000-000049460000}"/>
    <cellStyle name="Millares 7 2 3 2" xfId="6981" xr:uid="{00000000-0005-0000-0000-00004A460000}"/>
    <cellStyle name="Millares 7 2 3 2 2" xfId="13541" xr:uid="{00000000-0005-0000-0000-00004B460000}"/>
    <cellStyle name="Millares 7 2 3 3" xfId="13542" xr:uid="{00000000-0005-0000-0000-00004C460000}"/>
    <cellStyle name="Millares 7 2 3 4" xfId="13540" xr:uid="{00000000-0005-0000-0000-00004D460000}"/>
    <cellStyle name="Millares 7 2 3 5" xfId="24035" xr:uid="{00000000-0005-0000-0000-00004E460000}"/>
    <cellStyle name="Millares 7 2 4" xfId="13543" xr:uid="{00000000-0005-0000-0000-00004F460000}"/>
    <cellStyle name="Millares 7 2 4 10" xfId="28413" xr:uid="{00000000-0005-0000-0000-000050460000}"/>
    <cellStyle name="Millares 7 2 4 11" xfId="28917" xr:uid="{00000000-0005-0000-0000-000051460000}"/>
    <cellStyle name="Millares 7 2 4 12" xfId="29421" xr:uid="{00000000-0005-0000-0000-000052460000}"/>
    <cellStyle name="Millares 7 2 4 13" xfId="29925" xr:uid="{00000000-0005-0000-0000-000053460000}"/>
    <cellStyle name="Millares 7 2 4 14" xfId="30429" xr:uid="{00000000-0005-0000-0000-000054460000}"/>
    <cellStyle name="Millares 7 2 4 15" xfId="30934" xr:uid="{00000000-0005-0000-0000-000055460000}"/>
    <cellStyle name="Millares 7 2 4 2" xfId="24036" xr:uid="{00000000-0005-0000-0000-000056460000}"/>
    <cellStyle name="Millares 7 2 4 3" xfId="24885" xr:uid="{00000000-0005-0000-0000-000057460000}"/>
    <cellStyle name="Millares 7 2 4 4" xfId="25389" xr:uid="{00000000-0005-0000-0000-000058460000}"/>
    <cellStyle name="Millares 7 2 4 5" xfId="25893" xr:uid="{00000000-0005-0000-0000-000059460000}"/>
    <cellStyle name="Millares 7 2 4 6" xfId="26397" xr:uid="{00000000-0005-0000-0000-00005A460000}"/>
    <cellStyle name="Millares 7 2 4 7" xfId="26901" xr:uid="{00000000-0005-0000-0000-00005B460000}"/>
    <cellStyle name="Millares 7 2 4 8" xfId="27405" xr:uid="{00000000-0005-0000-0000-00005C460000}"/>
    <cellStyle name="Millares 7 2 4 9" xfId="27909" xr:uid="{00000000-0005-0000-0000-00005D460000}"/>
    <cellStyle name="Millares 7 2 5" xfId="13536" xr:uid="{00000000-0005-0000-0000-00005E460000}"/>
    <cellStyle name="Millares 7 2 6" xfId="31179" xr:uid="{CE427A6A-5473-4020-BDD7-0BB9AE7BAF6F}"/>
    <cellStyle name="Millares 7 3" xfId="2286" xr:uid="{00000000-0005-0000-0000-00005F460000}"/>
    <cellStyle name="Millares 7 3 2" xfId="3436" xr:uid="{00000000-0005-0000-0000-000060460000}"/>
    <cellStyle name="Millares 7 3 2 2" xfId="6982" xr:uid="{00000000-0005-0000-0000-000061460000}"/>
    <cellStyle name="Millares 7 3 2 2 2" xfId="13546" xr:uid="{00000000-0005-0000-0000-000062460000}"/>
    <cellStyle name="Millares 7 3 2 3" xfId="13547" xr:uid="{00000000-0005-0000-0000-000063460000}"/>
    <cellStyle name="Millares 7 3 2 4" xfId="13545" xr:uid="{00000000-0005-0000-0000-000064460000}"/>
    <cellStyle name="Millares 7 3 2 5" xfId="24037" xr:uid="{00000000-0005-0000-0000-000065460000}"/>
    <cellStyle name="Millares 7 3 3" xfId="13548" xr:uid="{00000000-0005-0000-0000-000066460000}"/>
    <cellStyle name="Millares 7 3 3 2" xfId="24038" xr:uid="{00000000-0005-0000-0000-000067460000}"/>
    <cellStyle name="Millares 7 3 4" xfId="13544" xr:uid="{00000000-0005-0000-0000-000068460000}"/>
    <cellStyle name="Millares 7 4" xfId="2287" xr:uid="{00000000-0005-0000-0000-000069460000}"/>
    <cellStyle name="Millares 7 4 2" xfId="13550" xr:uid="{00000000-0005-0000-0000-00006A460000}"/>
    <cellStyle name="Millares 7 4 2 10" xfId="27910" xr:uid="{00000000-0005-0000-0000-00006B460000}"/>
    <cellStyle name="Millares 7 4 2 11" xfId="28414" xr:uid="{00000000-0005-0000-0000-00006C460000}"/>
    <cellStyle name="Millares 7 4 2 12" xfId="28918" xr:uid="{00000000-0005-0000-0000-00006D460000}"/>
    <cellStyle name="Millares 7 4 2 13" xfId="29422" xr:uid="{00000000-0005-0000-0000-00006E460000}"/>
    <cellStyle name="Millares 7 4 2 14" xfId="29926" xr:uid="{00000000-0005-0000-0000-00006F460000}"/>
    <cellStyle name="Millares 7 4 2 15" xfId="30430" xr:uid="{00000000-0005-0000-0000-000070460000}"/>
    <cellStyle name="Millares 7 4 2 16" xfId="30935" xr:uid="{00000000-0005-0000-0000-000071460000}"/>
    <cellStyle name="Millares 7 4 2 2" xfId="23096" xr:uid="{00000000-0005-0000-0000-000072460000}"/>
    <cellStyle name="Millares 7 4 2 3" xfId="24039" xr:uid="{00000000-0005-0000-0000-000073460000}"/>
    <cellStyle name="Millares 7 4 2 4" xfId="24886" xr:uid="{00000000-0005-0000-0000-000074460000}"/>
    <cellStyle name="Millares 7 4 2 5" xfId="25390" xr:uid="{00000000-0005-0000-0000-000075460000}"/>
    <cellStyle name="Millares 7 4 2 6" xfId="25894" xr:uid="{00000000-0005-0000-0000-000076460000}"/>
    <cellStyle name="Millares 7 4 2 7" xfId="26398" xr:uid="{00000000-0005-0000-0000-000077460000}"/>
    <cellStyle name="Millares 7 4 2 8" xfId="26902" xr:uid="{00000000-0005-0000-0000-000078460000}"/>
    <cellStyle name="Millares 7 4 2 9" xfId="27406" xr:uid="{00000000-0005-0000-0000-000079460000}"/>
    <cellStyle name="Millares 7 4 3" xfId="13549" xr:uid="{00000000-0005-0000-0000-00007A460000}"/>
    <cellStyle name="Millares 7 4 3 2" xfId="24040" xr:uid="{00000000-0005-0000-0000-00007B460000}"/>
    <cellStyle name="Millares 7 4 4" xfId="23095" xr:uid="{00000000-0005-0000-0000-00007C460000}"/>
    <cellStyle name="Millares 7 4 4 10" xfId="28415" xr:uid="{00000000-0005-0000-0000-00007D460000}"/>
    <cellStyle name="Millares 7 4 4 11" xfId="28919" xr:uid="{00000000-0005-0000-0000-00007E460000}"/>
    <cellStyle name="Millares 7 4 4 12" xfId="29423" xr:uid="{00000000-0005-0000-0000-00007F460000}"/>
    <cellStyle name="Millares 7 4 4 13" xfId="29927" xr:uid="{00000000-0005-0000-0000-000080460000}"/>
    <cellStyle name="Millares 7 4 4 14" xfId="30431" xr:uid="{00000000-0005-0000-0000-000081460000}"/>
    <cellStyle name="Millares 7 4 4 15" xfId="30936" xr:uid="{00000000-0005-0000-0000-000082460000}"/>
    <cellStyle name="Millares 7 4 4 2" xfId="24041" xr:uid="{00000000-0005-0000-0000-000083460000}"/>
    <cellStyle name="Millares 7 4 4 3" xfId="24887" xr:uid="{00000000-0005-0000-0000-000084460000}"/>
    <cellStyle name="Millares 7 4 4 4" xfId="25391" xr:uid="{00000000-0005-0000-0000-000085460000}"/>
    <cellStyle name="Millares 7 4 4 5" xfId="25895" xr:uid="{00000000-0005-0000-0000-000086460000}"/>
    <cellStyle name="Millares 7 4 4 6" xfId="26399" xr:uid="{00000000-0005-0000-0000-000087460000}"/>
    <cellStyle name="Millares 7 4 4 7" xfId="26903" xr:uid="{00000000-0005-0000-0000-000088460000}"/>
    <cellStyle name="Millares 7 4 4 8" xfId="27407" xr:uid="{00000000-0005-0000-0000-000089460000}"/>
    <cellStyle name="Millares 7 4 4 9" xfId="27911" xr:uid="{00000000-0005-0000-0000-00008A460000}"/>
    <cellStyle name="Millares 7 5" xfId="2288" xr:uid="{00000000-0005-0000-0000-00008B460000}"/>
    <cellStyle name="Millares 7 5 2" xfId="13552" xr:uid="{00000000-0005-0000-0000-00008C460000}"/>
    <cellStyle name="Millares 7 5 2 2" xfId="23098" xr:uid="{00000000-0005-0000-0000-00008D460000}"/>
    <cellStyle name="Millares 7 5 3" xfId="13551" xr:uid="{00000000-0005-0000-0000-00008E460000}"/>
    <cellStyle name="Millares 7 5 4" xfId="23097" xr:uid="{00000000-0005-0000-0000-00008F460000}"/>
    <cellStyle name="Millares 7 6" xfId="2289" xr:uid="{00000000-0005-0000-0000-000090460000}"/>
    <cellStyle name="Millares 7 6 2" xfId="4309" xr:uid="{00000000-0005-0000-0000-000091460000}"/>
    <cellStyle name="Millares 7 6 2 2" xfId="13554" xr:uid="{00000000-0005-0000-0000-000092460000}"/>
    <cellStyle name="Millares 7 6 3" xfId="3437" xr:uid="{00000000-0005-0000-0000-000093460000}"/>
    <cellStyle name="Millares 7 6 3 2" xfId="13555" xr:uid="{00000000-0005-0000-0000-000094460000}"/>
    <cellStyle name="Millares 7 6 4" xfId="6983" xr:uid="{00000000-0005-0000-0000-000095460000}"/>
    <cellStyle name="Millares 7 6 4 2" xfId="13556" xr:uid="{00000000-0005-0000-0000-000096460000}"/>
    <cellStyle name="Millares 7 6 5" xfId="13553" xr:uid="{00000000-0005-0000-0000-000097460000}"/>
    <cellStyle name="Millares 7 7" xfId="2284" xr:uid="{00000000-0005-0000-0000-000098460000}"/>
    <cellStyle name="Millares 7 7 2" xfId="4308" xr:uid="{00000000-0005-0000-0000-000099460000}"/>
    <cellStyle name="Millares 7 7 2 2" xfId="13558" xr:uid="{00000000-0005-0000-0000-00009A460000}"/>
    <cellStyle name="Millares 7 7 2 3" xfId="24043" xr:uid="{00000000-0005-0000-0000-00009B460000}"/>
    <cellStyle name="Millares 7 7 3" xfId="3438" xr:uid="{00000000-0005-0000-0000-00009C460000}"/>
    <cellStyle name="Millares 7 7 3 2" xfId="13559" xr:uid="{00000000-0005-0000-0000-00009D460000}"/>
    <cellStyle name="Millares 7 7 4" xfId="6984" xr:uid="{00000000-0005-0000-0000-00009E460000}"/>
    <cellStyle name="Millares 7 7 4 2" xfId="13560" xr:uid="{00000000-0005-0000-0000-00009F460000}"/>
    <cellStyle name="Millares 7 7 5" xfId="13561" xr:uid="{00000000-0005-0000-0000-0000A0460000}"/>
    <cellStyle name="Millares 7 7 6" xfId="13557" xr:uid="{00000000-0005-0000-0000-0000A1460000}"/>
    <cellStyle name="Millares 7 7 7" xfId="24042" xr:uid="{00000000-0005-0000-0000-0000A2460000}"/>
    <cellStyle name="Millares 7 8" xfId="3433" xr:uid="{00000000-0005-0000-0000-0000A3460000}"/>
    <cellStyle name="Millares 7 8 2" xfId="13563" xr:uid="{00000000-0005-0000-0000-0000A4460000}"/>
    <cellStyle name="Millares 7 8 3" xfId="13564" xr:uid="{00000000-0005-0000-0000-0000A5460000}"/>
    <cellStyle name="Millares 7 8 4" xfId="13562" xr:uid="{00000000-0005-0000-0000-0000A6460000}"/>
    <cellStyle name="Millares 7 8 5" xfId="24044" xr:uid="{00000000-0005-0000-0000-0000A7460000}"/>
    <cellStyle name="Millares 7 9" xfId="4823" xr:uid="{00000000-0005-0000-0000-0000A8460000}"/>
    <cellStyle name="Millares 7 9 10" xfId="27559" xr:uid="{00000000-0005-0000-0000-0000A9460000}"/>
    <cellStyle name="Millares 7 9 11" xfId="28063" xr:uid="{00000000-0005-0000-0000-0000AA460000}"/>
    <cellStyle name="Millares 7 9 12" xfId="28567" xr:uid="{00000000-0005-0000-0000-0000AB460000}"/>
    <cellStyle name="Millares 7 9 13" xfId="29071" xr:uid="{00000000-0005-0000-0000-0000AC460000}"/>
    <cellStyle name="Millares 7 9 14" xfId="29575" xr:uid="{00000000-0005-0000-0000-0000AD460000}"/>
    <cellStyle name="Millares 7 9 15" xfId="30079" xr:uid="{00000000-0005-0000-0000-0000AE460000}"/>
    <cellStyle name="Millares 7 9 16" xfId="30583" xr:uid="{00000000-0005-0000-0000-0000AF460000}"/>
    <cellStyle name="Millares 7 9 17" xfId="31088" xr:uid="{00000000-0005-0000-0000-0000B0460000}"/>
    <cellStyle name="Millares 7 9 2" xfId="6667" xr:uid="{00000000-0005-0000-0000-0000B1460000}"/>
    <cellStyle name="Millares 7 9 2 2" xfId="13566" xr:uid="{00000000-0005-0000-0000-0000B2460000}"/>
    <cellStyle name="Millares 7 9 3" xfId="13565" xr:uid="{00000000-0005-0000-0000-0000B3460000}"/>
    <cellStyle name="Millares 7 9 4" xfId="24531" xr:uid="{00000000-0005-0000-0000-0000B4460000}"/>
    <cellStyle name="Millares 7 9 5" xfId="25039" xr:uid="{00000000-0005-0000-0000-0000B5460000}"/>
    <cellStyle name="Millares 7 9 6" xfId="25543" xr:uid="{00000000-0005-0000-0000-0000B6460000}"/>
    <cellStyle name="Millares 7 9 7" xfId="26047" xr:uid="{00000000-0005-0000-0000-0000B7460000}"/>
    <cellStyle name="Millares 7 9 8" xfId="26551" xr:uid="{00000000-0005-0000-0000-0000B8460000}"/>
    <cellStyle name="Millares 7 9 9" xfId="27055" xr:uid="{00000000-0005-0000-0000-0000B9460000}"/>
    <cellStyle name="Millares 70" xfId="13567" xr:uid="{00000000-0005-0000-0000-0000BA460000}"/>
    <cellStyle name="Millares 70 2" xfId="13568" xr:uid="{00000000-0005-0000-0000-0000BB460000}"/>
    <cellStyle name="Millares 70 3" xfId="24045" xr:uid="{00000000-0005-0000-0000-0000BC460000}"/>
    <cellStyle name="Millares 71" xfId="13569" xr:uid="{00000000-0005-0000-0000-0000BD460000}"/>
    <cellStyle name="Millares 71 2" xfId="13570" xr:uid="{00000000-0005-0000-0000-0000BE460000}"/>
    <cellStyle name="Millares 71 3" xfId="24046" xr:uid="{00000000-0005-0000-0000-0000BF460000}"/>
    <cellStyle name="Millares 72" xfId="13571" xr:uid="{00000000-0005-0000-0000-0000C0460000}"/>
    <cellStyle name="Millares 72 2" xfId="13572" xr:uid="{00000000-0005-0000-0000-0000C1460000}"/>
    <cellStyle name="Millares 72 3" xfId="24047" xr:uid="{00000000-0005-0000-0000-0000C2460000}"/>
    <cellStyle name="Millares 73" xfId="13573" xr:uid="{00000000-0005-0000-0000-0000C3460000}"/>
    <cellStyle name="Millares 73 2" xfId="13574" xr:uid="{00000000-0005-0000-0000-0000C4460000}"/>
    <cellStyle name="Millares 73 3" xfId="24048" xr:uid="{00000000-0005-0000-0000-0000C5460000}"/>
    <cellStyle name="Millares 74" xfId="13575" xr:uid="{00000000-0005-0000-0000-0000C6460000}"/>
    <cellStyle name="Millares 74 2" xfId="13576" xr:uid="{00000000-0005-0000-0000-0000C7460000}"/>
    <cellStyle name="Millares 74 3" xfId="24049" xr:uid="{00000000-0005-0000-0000-0000C8460000}"/>
    <cellStyle name="Millares 75" xfId="13577" xr:uid="{00000000-0005-0000-0000-0000C9460000}"/>
    <cellStyle name="Millares 75 2" xfId="13578" xr:uid="{00000000-0005-0000-0000-0000CA460000}"/>
    <cellStyle name="Millares 75 3" xfId="24050" xr:uid="{00000000-0005-0000-0000-0000CB460000}"/>
    <cellStyle name="Millares 76" xfId="13579" xr:uid="{00000000-0005-0000-0000-0000CC460000}"/>
    <cellStyle name="Millares 76 2" xfId="13580" xr:uid="{00000000-0005-0000-0000-0000CD460000}"/>
    <cellStyle name="Millares 76 3" xfId="24051" xr:uid="{00000000-0005-0000-0000-0000CE460000}"/>
    <cellStyle name="Millares 77" xfId="13581" xr:uid="{00000000-0005-0000-0000-0000CF460000}"/>
    <cellStyle name="Millares 77 2" xfId="13582" xr:uid="{00000000-0005-0000-0000-0000D0460000}"/>
    <cellStyle name="Millares 77 3" xfId="24052" xr:uid="{00000000-0005-0000-0000-0000D1460000}"/>
    <cellStyle name="Millares 78" xfId="13583" xr:uid="{00000000-0005-0000-0000-0000D2460000}"/>
    <cellStyle name="Millares 78 2" xfId="13584" xr:uid="{00000000-0005-0000-0000-0000D3460000}"/>
    <cellStyle name="Millares 78 3" xfId="24053" xr:uid="{00000000-0005-0000-0000-0000D4460000}"/>
    <cellStyle name="Millares 79" xfId="13585" xr:uid="{00000000-0005-0000-0000-0000D5460000}"/>
    <cellStyle name="Millares 79 2" xfId="13586" xr:uid="{00000000-0005-0000-0000-0000D6460000}"/>
    <cellStyle name="Millares 79 3" xfId="24054" xr:uid="{00000000-0005-0000-0000-0000D7460000}"/>
    <cellStyle name="Millares 8" xfId="656" xr:uid="{00000000-0005-0000-0000-0000D8460000}"/>
    <cellStyle name="Millares 8 10" xfId="6985" xr:uid="{00000000-0005-0000-0000-0000D9460000}"/>
    <cellStyle name="Millares 8 10 10" xfId="28064" xr:uid="{00000000-0005-0000-0000-0000DA460000}"/>
    <cellStyle name="Millares 8 10 11" xfId="28568" xr:uid="{00000000-0005-0000-0000-0000DB460000}"/>
    <cellStyle name="Millares 8 10 12" xfId="29072" xr:uid="{00000000-0005-0000-0000-0000DC460000}"/>
    <cellStyle name="Millares 8 10 13" xfId="29576" xr:uid="{00000000-0005-0000-0000-0000DD460000}"/>
    <cellStyle name="Millares 8 10 14" xfId="30080" xr:uid="{00000000-0005-0000-0000-0000DE460000}"/>
    <cellStyle name="Millares 8 10 15" xfId="30584" xr:uid="{00000000-0005-0000-0000-0000DF460000}"/>
    <cellStyle name="Millares 8 10 16" xfId="31089" xr:uid="{00000000-0005-0000-0000-0000E0460000}"/>
    <cellStyle name="Millares 8 10 2" xfId="13588" xr:uid="{00000000-0005-0000-0000-0000E1460000}"/>
    <cellStyle name="Millares 8 10 3" xfId="24532" xr:uid="{00000000-0005-0000-0000-0000E2460000}"/>
    <cellStyle name="Millares 8 10 4" xfId="25040" xr:uid="{00000000-0005-0000-0000-0000E3460000}"/>
    <cellStyle name="Millares 8 10 5" xfId="25544" xr:uid="{00000000-0005-0000-0000-0000E4460000}"/>
    <cellStyle name="Millares 8 10 6" xfId="26048" xr:uid="{00000000-0005-0000-0000-0000E5460000}"/>
    <cellStyle name="Millares 8 10 7" xfId="26552" xr:uid="{00000000-0005-0000-0000-0000E6460000}"/>
    <cellStyle name="Millares 8 10 8" xfId="27056" xr:uid="{00000000-0005-0000-0000-0000E7460000}"/>
    <cellStyle name="Millares 8 10 9" xfId="27560" xr:uid="{00000000-0005-0000-0000-0000E8460000}"/>
    <cellStyle name="Millares 8 11" xfId="13589" xr:uid="{00000000-0005-0000-0000-0000E9460000}"/>
    <cellStyle name="Millares 8 12" xfId="13587" xr:uid="{00000000-0005-0000-0000-0000EA460000}"/>
    <cellStyle name="Millares 8 13" xfId="23099" xr:uid="{00000000-0005-0000-0000-0000EB460000}"/>
    <cellStyle name="Millares 8 2" xfId="2291" xr:uid="{00000000-0005-0000-0000-0000EC460000}"/>
    <cellStyle name="Millares 8 2 2" xfId="3155" xr:uid="{00000000-0005-0000-0000-0000ED460000}"/>
    <cellStyle name="Millares 8 2 2 10" xfId="26400" xr:uid="{00000000-0005-0000-0000-0000EE460000}"/>
    <cellStyle name="Millares 8 2 2 11" xfId="26904" xr:uid="{00000000-0005-0000-0000-0000EF460000}"/>
    <cellStyle name="Millares 8 2 2 12" xfId="27408" xr:uid="{00000000-0005-0000-0000-0000F0460000}"/>
    <cellStyle name="Millares 8 2 2 13" xfId="27912" xr:uid="{00000000-0005-0000-0000-0000F1460000}"/>
    <cellStyle name="Millares 8 2 2 14" xfId="28416" xr:uid="{00000000-0005-0000-0000-0000F2460000}"/>
    <cellStyle name="Millares 8 2 2 15" xfId="28920" xr:uid="{00000000-0005-0000-0000-0000F3460000}"/>
    <cellStyle name="Millares 8 2 2 16" xfId="29424" xr:uid="{00000000-0005-0000-0000-0000F4460000}"/>
    <cellStyle name="Millares 8 2 2 17" xfId="29928" xr:uid="{00000000-0005-0000-0000-0000F5460000}"/>
    <cellStyle name="Millares 8 2 2 18" xfId="30432" xr:uid="{00000000-0005-0000-0000-0000F6460000}"/>
    <cellStyle name="Millares 8 2 2 19" xfId="30937" xr:uid="{00000000-0005-0000-0000-0000F7460000}"/>
    <cellStyle name="Millares 8 2 2 2" xfId="4771" xr:uid="{00000000-0005-0000-0000-0000F8460000}"/>
    <cellStyle name="Millares 8 2 2 2 2" xfId="13592" xr:uid="{00000000-0005-0000-0000-0000F9460000}"/>
    <cellStyle name="Millares 8 2 2 2 3" xfId="23100" xr:uid="{00000000-0005-0000-0000-0000FA460000}"/>
    <cellStyle name="Millares 8 2 2 3" xfId="3440" xr:uid="{00000000-0005-0000-0000-0000FB460000}"/>
    <cellStyle name="Millares 8 2 2 3 2" xfId="13593" xr:uid="{00000000-0005-0000-0000-0000FC460000}"/>
    <cellStyle name="Millares 8 2 2 4" xfId="6986" xr:uid="{00000000-0005-0000-0000-0000FD460000}"/>
    <cellStyle name="Millares 8 2 2 5" xfId="13591" xr:uid="{00000000-0005-0000-0000-0000FE460000}"/>
    <cellStyle name="Millares 8 2 2 6" xfId="24055" xr:uid="{00000000-0005-0000-0000-0000FF460000}"/>
    <cellStyle name="Millares 8 2 2 7" xfId="24888" xr:uid="{00000000-0005-0000-0000-000000470000}"/>
    <cellStyle name="Millares 8 2 2 8" xfId="25392" xr:uid="{00000000-0005-0000-0000-000001470000}"/>
    <cellStyle name="Millares 8 2 2 9" xfId="25896" xr:uid="{00000000-0005-0000-0000-000002470000}"/>
    <cellStyle name="Millares 8 2 3" xfId="3441" xr:uid="{00000000-0005-0000-0000-000003470000}"/>
    <cellStyle name="Millares 8 2 3 2" xfId="6987" xr:uid="{00000000-0005-0000-0000-000004470000}"/>
    <cellStyle name="Millares 8 2 3 2 2" xfId="13595" xr:uid="{00000000-0005-0000-0000-000005470000}"/>
    <cellStyle name="Millares 8 2 3 3" xfId="13596" xr:uid="{00000000-0005-0000-0000-000006470000}"/>
    <cellStyle name="Millares 8 2 3 4" xfId="13594" xr:uid="{00000000-0005-0000-0000-000007470000}"/>
    <cellStyle name="Millares 8 2 3 5" xfId="24056" xr:uid="{00000000-0005-0000-0000-000008470000}"/>
    <cellStyle name="Millares 8 2 4" xfId="13597" xr:uid="{00000000-0005-0000-0000-000009470000}"/>
    <cellStyle name="Millares 8 2 4 10" xfId="28417" xr:uid="{00000000-0005-0000-0000-00000A470000}"/>
    <cellStyle name="Millares 8 2 4 11" xfId="28921" xr:uid="{00000000-0005-0000-0000-00000B470000}"/>
    <cellStyle name="Millares 8 2 4 12" xfId="29425" xr:uid="{00000000-0005-0000-0000-00000C470000}"/>
    <cellStyle name="Millares 8 2 4 13" xfId="29929" xr:uid="{00000000-0005-0000-0000-00000D470000}"/>
    <cellStyle name="Millares 8 2 4 14" xfId="30433" xr:uid="{00000000-0005-0000-0000-00000E470000}"/>
    <cellStyle name="Millares 8 2 4 15" xfId="30938" xr:uid="{00000000-0005-0000-0000-00000F470000}"/>
    <cellStyle name="Millares 8 2 4 2" xfId="24057" xr:uid="{00000000-0005-0000-0000-000010470000}"/>
    <cellStyle name="Millares 8 2 4 3" xfId="24889" xr:uid="{00000000-0005-0000-0000-000011470000}"/>
    <cellStyle name="Millares 8 2 4 4" xfId="25393" xr:uid="{00000000-0005-0000-0000-000012470000}"/>
    <cellStyle name="Millares 8 2 4 5" xfId="25897" xr:uid="{00000000-0005-0000-0000-000013470000}"/>
    <cellStyle name="Millares 8 2 4 6" xfId="26401" xr:uid="{00000000-0005-0000-0000-000014470000}"/>
    <cellStyle name="Millares 8 2 4 7" xfId="26905" xr:uid="{00000000-0005-0000-0000-000015470000}"/>
    <cellStyle name="Millares 8 2 4 8" xfId="27409" xr:uid="{00000000-0005-0000-0000-000016470000}"/>
    <cellStyle name="Millares 8 2 4 9" xfId="27913" xr:uid="{00000000-0005-0000-0000-000017470000}"/>
    <cellStyle name="Millares 8 2 5" xfId="13590" xr:uid="{00000000-0005-0000-0000-000018470000}"/>
    <cellStyle name="Millares 8 3" xfId="2292" xr:uid="{00000000-0005-0000-0000-000019470000}"/>
    <cellStyle name="Millares 8 3 2" xfId="2293" xr:uid="{00000000-0005-0000-0000-00001A470000}"/>
    <cellStyle name="Millares 8 3 2 2" xfId="4311" xr:uid="{00000000-0005-0000-0000-00001B470000}"/>
    <cellStyle name="Millares 8 3 2 2 2" xfId="13600" xr:uid="{00000000-0005-0000-0000-00001C470000}"/>
    <cellStyle name="Millares 8 3 2 3" xfId="3443" xr:uid="{00000000-0005-0000-0000-00001D470000}"/>
    <cellStyle name="Millares 8 3 2 3 2" xfId="13601" xr:uid="{00000000-0005-0000-0000-00001E470000}"/>
    <cellStyle name="Millares 8 3 2 4" xfId="6989" xr:uid="{00000000-0005-0000-0000-00001F470000}"/>
    <cellStyle name="Millares 8 3 2 4 2" xfId="13599" xr:uid="{00000000-0005-0000-0000-000020470000}"/>
    <cellStyle name="Millares 8 3 3" xfId="4310" xr:uid="{00000000-0005-0000-0000-000021470000}"/>
    <cellStyle name="Millares 8 3 3 2" xfId="13602" xr:uid="{00000000-0005-0000-0000-000022470000}"/>
    <cellStyle name="Millares 8 3 3 3" xfId="24058" xr:uid="{00000000-0005-0000-0000-000023470000}"/>
    <cellStyle name="Millares 8 3 4" xfId="3442" xr:uid="{00000000-0005-0000-0000-000024470000}"/>
    <cellStyle name="Millares 8 3 4 2" xfId="13603" xr:uid="{00000000-0005-0000-0000-000025470000}"/>
    <cellStyle name="Millares 8 3 5" xfId="6988" xr:uid="{00000000-0005-0000-0000-000026470000}"/>
    <cellStyle name="Millares 8 3 5 2" xfId="13604" xr:uid="{00000000-0005-0000-0000-000027470000}"/>
    <cellStyle name="Millares 8 3 6" xfId="13598" xr:uid="{00000000-0005-0000-0000-000028470000}"/>
    <cellStyle name="Millares 8 4" xfId="2294" xr:uid="{00000000-0005-0000-0000-000029470000}"/>
    <cellStyle name="Millares 8 4 10" xfId="24890" xr:uid="{00000000-0005-0000-0000-00002A470000}"/>
    <cellStyle name="Millares 8 4 11" xfId="25394" xr:uid="{00000000-0005-0000-0000-00002B470000}"/>
    <cellStyle name="Millares 8 4 12" xfId="25898" xr:uid="{00000000-0005-0000-0000-00002C470000}"/>
    <cellStyle name="Millares 8 4 13" xfId="26402" xr:uid="{00000000-0005-0000-0000-00002D470000}"/>
    <cellStyle name="Millares 8 4 14" xfId="26906" xr:uid="{00000000-0005-0000-0000-00002E470000}"/>
    <cellStyle name="Millares 8 4 15" xfId="27410" xr:uid="{00000000-0005-0000-0000-00002F470000}"/>
    <cellStyle name="Millares 8 4 16" xfId="27914" xr:uid="{00000000-0005-0000-0000-000030470000}"/>
    <cellStyle name="Millares 8 4 17" xfId="28418" xr:uid="{00000000-0005-0000-0000-000031470000}"/>
    <cellStyle name="Millares 8 4 18" xfId="28922" xr:uid="{00000000-0005-0000-0000-000032470000}"/>
    <cellStyle name="Millares 8 4 19" xfId="29426" xr:uid="{00000000-0005-0000-0000-000033470000}"/>
    <cellStyle name="Millares 8 4 2" xfId="3444" xr:uid="{00000000-0005-0000-0000-000034470000}"/>
    <cellStyle name="Millares 8 4 2 10" xfId="26403" xr:uid="{00000000-0005-0000-0000-000035470000}"/>
    <cellStyle name="Millares 8 4 2 11" xfId="26907" xr:uid="{00000000-0005-0000-0000-000036470000}"/>
    <cellStyle name="Millares 8 4 2 12" xfId="27411" xr:uid="{00000000-0005-0000-0000-000037470000}"/>
    <cellStyle name="Millares 8 4 2 13" xfId="27915" xr:uid="{00000000-0005-0000-0000-000038470000}"/>
    <cellStyle name="Millares 8 4 2 14" xfId="28419" xr:uid="{00000000-0005-0000-0000-000039470000}"/>
    <cellStyle name="Millares 8 4 2 15" xfId="28923" xr:uid="{00000000-0005-0000-0000-00003A470000}"/>
    <cellStyle name="Millares 8 4 2 16" xfId="29427" xr:uid="{00000000-0005-0000-0000-00003B470000}"/>
    <cellStyle name="Millares 8 4 2 17" xfId="29931" xr:uid="{00000000-0005-0000-0000-00003C470000}"/>
    <cellStyle name="Millares 8 4 2 18" xfId="30435" xr:uid="{00000000-0005-0000-0000-00003D470000}"/>
    <cellStyle name="Millares 8 4 2 19" xfId="30940" xr:uid="{00000000-0005-0000-0000-00003E470000}"/>
    <cellStyle name="Millares 8 4 2 2" xfId="13607" xr:uid="{00000000-0005-0000-0000-00003F470000}"/>
    <cellStyle name="Millares 8 4 2 3" xfId="13606" xr:uid="{00000000-0005-0000-0000-000040470000}"/>
    <cellStyle name="Millares 8 4 2 4" xfId="7324" xr:uid="{00000000-0005-0000-0000-000041470000}"/>
    <cellStyle name="Millares 8 4 2 5" xfId="23102" xr:uid="{00000000-0005-0000-0000-000042470000}"/>
    <cellStyle name="Millares 8 4 2 6" xfId="24060" xr:uid="{00000000-0005-0000-0000-000043470000}"/>
    <cellStyle name="Millares 8 4 2 7" xfId="24891" xr:uid="{00000000-0005-0000-0000-000044470000}"/>
    <cellStyle name="Millares 8 4 2 8" xfId="25395" xr:uid="{00000000-0005-0000-0000-000045470000}"/>
    <cellStyle name="Millares 8 4 2 9" xfId="25899" xr:uid="{00000000-0005-0000-0000-000046470000}"/>
    <cellStyle name="Millares 8 4 20" xfId="29930" xr:uid="{00000000-0005-0000-0000-000047470000}"/>
    <cellStyle name="Millares 8 4 21" xfId="30434" xr:uid="{00000000-0005-0000-0000-000048470000}"/>
    <cellStyle name="Millares 8 4 22" xfId="30939" xr:uid="{00000000-0005-0000-0000-000049470000}"/>
    <cellStyle name="Millares 8 4 3" xfId="13608" xr:uid="{00000000-0005-0000-0000-00004A470000}"/>
    <cellStyle name="Millares 8 4 3 10" xfId="28420" xr:uid="{00000000-0005-0000-0000-00004B470000}"/>
    <cellStyle name="Millares 8 4 3 11" xfId="28924" xr:uid="{00000000-0005-0000-0000-00004C470000}"/>
    <cellStyle name="Millares 8 4 3 12" xfId="29428" xr:uid="{00000000-0005-0000-0000-00004D470000}"/>
    <cellStyle name="Millares 8 4 3 13" xfId="29932" xr:uid="{00000000-0005-0000-0000-00004E470000}"/>
    <cellStyle name="Millares 8 4 3 14" xfId="30436" xr:uid="{00000000-0005-0000-0000-00004F470000}"/>
    <cellStyle name="Millares 8 4 3 15" xfId="30941" xr:uid="{00000000-0005-0000-0000-000050470000}"/>
    <cellStyle name="Millares 8 4 3 2" xfId="24061" xr:uid="{00000000-0005-0000-0000-000051470000}"/>
    <cellStyle name="Millares 8 4 3 3" xfId="24892" xr:uid="{00000000-0005-0000-0000-000052470000}"/>
    <cellStyle name="Millares 8 4 3 4" xfId="25396" xr:uid="{00000000-0005-0000-0000-000053470000}"/>
    <cellStyle name="Millares 8 4 3 5" xfId="25900" xr:uid="{00000000-0005-0000-0000-000054470000}"/>
    <cellStyle name="Millares 8 4 3 6" xfId="26404" xr:uid="{00000000-0005-0000-0000-000055470000}"/>
    <cellStyle name="Millares 8 4 3 7" xfId="26908" xr:uid="{00000000-0005-0000-0000-000056470000}"/>
    <cellStyle name="Millares 8 4 3 8" xfId="27412" xr:uid="{00000000-0005-0000-0000-000057470000}"/>
    <cellStyle name="Millares 8 4 3 9" xfId="27916" xr:uid="{00000000-0005-0000-0000-000058470000}"/>
    <cellStyle name="Millares 8 4 4" xfId="13609" xr:uid="{00000000-0005-0000-0000-000059470000}"/>
    <cellStyle name="Millares 8 4 4 10" xfId="28421" xr:uid="{00000000-0005-0000-0000-00005A470000}"/>
    <cellStyle name="Millares 8 4 4 11" xfId="28925" xr:uid="{00000000-0005-0000-0000-00005B470000}"/>
    <cellStyle name="Millares 8 4 4 12" xfId="29429" xr:uid="{00000000-0005-0000-0000-00005C470000}"/>
    <cellStyle name="Millares 8 4 4 13" xfId="29933" xr:uid="{00000000-0005-0000-0000-00005D470000}"/>
    <cellStyle name="Millares 8 4 4 14" xfId="30437" xr:uid="{00000000-0005-0000-0000-00005E470000}"/>
    <cellStyle name="Millares 8 4 4 15" xfId="30942" xr:uid="{00000000-0005-0000-0000-00005F470000}"/>
    <cellStyle name="Millares 8 4 4 2" xfId="24062" xr:uid="{00000000-0005-0000-0000-000060470000}"/>
    <cellStyle name="Millares 8 4 4 3" xfId="24893" xr:uid="{00000000-0005-0000-0000-000061470000}"/>
    <cellStyle name="Millares 8 4 4 4" xfId="25397" xr:uid="{00000000-0005-0000-0000-000062470000}"/>
    <cellStyle name="Millares 8 4 4 5" xfId="25901" xr:uid="{00000000-0005-0000-0000-000063470000}"/>
    <cellStyle name="Millares 8 4 4 6" xfId="26405" xr:uid="{00000000-0005-0000-0000-000064470000}"/>
    <cellStyle name="Millares 8 4 4 7" xfId="26909" xr:uid="{00000000-0005-0000-0000-000065470000}"/>
    <cellStyle name="Millares 8 4 4 8" xfId="27413" xr:uid="{00000000-0005-0000-0000-000066470000}"/>
    <cellStyle name="Millares 8 4 4 9" xfId="27917" xr:uid="{00000000-0005-0000-0000-000067470000}"/>
    <cellStyle name="Millares 8 4 5" xfId="13610" xr:uid="{00000000-0005-0000-0000-000068470000}"/>
    <cellStyle name="Millares 8 4 6" xfId="13605" xr:uid="{00000000-0005-0000-0000-000069470000}"/>
    <cellStyle name="Millares 8 4 7" xfId="7209" xr:uid="{00000000-0005-0000-0000-00006A470000}"/>
    <cellStyle name="Millares 8 4 8" xfId="23101" xr:uid="{00000000-0005-0000-0000-00006B470000}"/>
    <cellStyle name="Millares 8 4 9" xfId="24059" xr:uid="{00000000-0005-0000-0000-00006C470000}"/>
    <cellStyle name="Millares 8 5" xfId="2295" xr:uid="{00000000-0005-0000-0000-00006D470000}"/>
    <cellStyle name="Millares 8 5 10" xfId="24894" xr:uid="{00000000-0005-0000-0000-00006E470000}"/>
    <cellStyle name="Millares 8 5 11" xfId="25398" xr:uid="{00000000-0005-0000-0000-00006F470000}"/>
    <cellStyle name="Millares 8 5 12" xfId="25902" xr:uid="{00000000-0005-0000-0000-000070470000}"/>
    <cellStyle name="Millares 8 5 13" xfId="26406" xr:uid="{00000000-0005-0000-0000-000071470000}"/>
    <cellStyle name="Millares 8 5 14" xfId="26910" xr:uid="{00000000-0005-0000-0000-000072470000}"/>
    <cellStyle name="Millares 8 5 15" xfId="27414" xr:uid="{00000000-0005-0000-0000-000073470000}"/>
    <cellStyle name="Millares 8 5 16" xfId="27918" xr:uid="{00000000-0005-0000-0000-000074470000}"/>
    <cellStyle name="Millares 8 5 17" xfId="28422" xr:uid="{00000000-0005-0000-0000-000075470000}"/>
    <cellStyle name="Millares 8 5 18" xfId="28926" xr:uid="{00000000-0005-0000-0000-000076470000}"/>
    <cellStyle name="Millares 8 5 19" xfId="29430" xr:uid="{00000000-0005-0000-0000-000077470000}"/>
    <cellStyle name="Millares 8 5 2" xfId="2296" xr:uid="{00000000-0005-0000-0000-000078470000}"/>
    <cellStyle name="Millares 8 5 2 10" xfId="26407" xr:uid="{00000000-0005-0000-0000-000079470000}"/>
    <cellStyle name="Millares 8 5 2 11" xfId="26911" xr:uid="{00000000-0005-0000-0000-00007A470000}"/>
    <cellStyle name="Millares 8 5 2 12" xfId="27415" xr:uid="{00000000-0005-0000-0000-00007B470000}"/>
    <cellStyle name="Millares 8 5 2 13" xfId="27919" xr:uid="{00000000-0005-0000-0000-00007C470000}"/>
    <cellStyle name="Millares 8 5 2 14" xfId="28423" xr:uid="{00000000-0005-0000-0000-00007D470000}"/>
    <cellStyle name="Millares 8 5 2 15" xfId="28927" xr:uid="{00000000-0005-0000-0000-00007E470000}"/>
    <cellStyle name="Millares 8 5 2 16" xfId="29431" xr:uid="{00000000-0005-0000-0000-00007F470000}"/>
    <cellStyle name="Millares 8 5 2 17" xfId="29935" xr:uid="{00000000-0005-0000-0000-000080470000}"/>
    <cellStyle name="Millares 8 5 2 18" xfId="30439" xr:uid="{00000000-0005-0000-0000-000081470000}"/>
    <cellStyle name="Millares 8 5 2 19" xfId="30944" xr:uid="{00000000-0005-0000-0000-000082470000}"/>
    <cellStyle name="Millares 8 5 2 2" xfId="13613" xr:uid="{00000000-0005-0000-0000-000083470000}"/>
    <cellStyle name="Millares 8 5 2 3" xfId="13614" xr:uid="{00000000-0005-0000-0000-000084470000}"/>
    <cellStyle name="Millares 8 5 2 4" xfId="13612" xr:uid="{00000000-0005-0000-0000-000085470000}"/>
    <cellStyle name="Millares 8 5 2 5" xfId="7211" xr:uid="{00000000-0005-0000-0000-000086470000}"/>
    <cellStyle name="Millares 8 5 2 6" xfId="24064" xr:uid="{00000000-0005-0000-0000-000087470000}"/>
    <cellStyle name="Millares 8 5 2 7" xfId="24895" xr:uid="{00000000-0005-0000-0000-000088470000}"/>
    <cellStyle name="Millares 8 5 2 8" xfId="25399" xr:uid="{00000000-0005-0000-0000-000089470000}"/>
    <cellStyle name="Millares 8 5 2 9" xfId="25903" xr:uid="{00000000-0005-0000-0000-00008A470000}"/>
    <cellStyle name="Millares 8 5 20" xfId="29934" xr:uid="{00000000-0005-0000-0000-00008B470000}"/>
    <cellStyle name="Millares 8 5 21" xfId="30438" xr:uid="{00000000-0005-0000-0000-00008C470000}"/>
    <cellStyle name="Millares 8 5 22" xfId="30943" xr:uid="{00000000-0005-0000-0000-00008D470000}"/>
    <cellStyle name="Millares 8 5 3" xfId="3445" xr:uid="{00000000-0005-0000-0000-00008E470000}"/>
    <cellStyle name="Millares 8 5 3 2" xfId="6990" xr:uid="{00000000-0005-0000-0000-00008F470000}"/>
    <cellStyle name="Millares 8 5 3 2 2" xfId="13616" xr:uid="{00000000-0005-0000-0000-000090470000}"/>
    <cellStyle name="Millares 8 5 3 3" xfId="13615" xr:uid="{00000000-0005-0000-0000-000091470000}"/>
    <cellStyle name="Millares 8 5 3 4" xfId="7325" xr:uid="{00000000-0005-0000-0000-000092470000}"/>
    <cellStyle name="Millares 8 5 4" xfId="13617" xr:uid="{00000000-0005-0000-0000-000093470000}"/>
    <cellStyle name="Millares 8 5 5" xfId="13618" xr:uid="{00000000-0005-0000-0000-000094470000}"/>
    <cellStyle name="Millares 8 5 6" xfId="13619" xr:uid="{00000000-0005-0000-0000-000095470000}"/>
    <cellStyle name="Millares 8 5 7" xfId="13611" xr:uid="{00000000-0005-0000-0000-000096470000}"/>
    <cellStyle name="Millares 8 5 8" xfId="7210" xr:uid="{00000000-0005-0000-0000-000097470000}"/>
    <cellStyle name="Millares 8 5 9" xfId="24063" xr:uid="{00000000-0005-0000-0000-000098470000}"/>
    <cellStyle name="Millares 8 6" xfId="2297" xr:uid="{00000000-0005-0000-0000-000099470000}"/>
    <cellStyle name="Millares 8 6 2" xfId="4312" xr:uid="{00000000-0005-0000-0000-00009A470000}"/>
    <cellStyle name="Millares 8 6 2 2" xfId="13621" xr:uid="{00000000-0005-0000-0000-00009B470000}"/>
    <cellStyle name="Millares 8 6 3" xfId="3446" xr:uid="{00000000-0005-0000-0000-00009C470000}"/>
    <cellStyle name="Millares 8 6 3 2" xfId="13622" xr:uid="{00000000-0005-0000-0000-00009D470000}"/>
    <cellStyle name="Millares 8 6 4" xfId="6991" xr:uid="{00000000-0005-0000-0000-00009E470000}"/>
    <cellStyle name="Millares 8 6 4 2" xfId="13620" xr:uid="{00000000-0005-0000-0000-00009F470000}"/>
    <cellStyle name="Millares 8 7" xfId="2298" xr:uid="{00000000-0005-0000-0000-0000A0470000}"/>
    <cellStyle name="Millares 8 7 2" xfId="4313" xr:uid="{00000000-0005-0000-0000-0000A1470000}"/>
    <cellStyle name="Millares 8 7 2 2" xfId="13624" xr:uid="{00000000-0005-0000-0000-0000A2470000}"/>
    <cellStyle name="Millares 8 7 2 3" xfId="24065" xr:uid="{00000000-0005-0000-0000-0000A3470000}"/>
    <cellStyle name="Millares 8 7 3" xfId="3447" xr:uid="{00000000-0005-0000-0000-0000A4470000}"/>
    <cellStyle name="Millares 8 7 3 10" xfId="27920" xr:uid="{00000000-0005-0000-0000-0000A5470000}"/>
    <cellStyle name="Millares 8 7 3 11" xfId="28424" xr:uid="{00000000-0005-0000-0000-0000A6470000}"/>
    <cellStyle name="Millares 8 7 3 12" xfId="28928" xr:uid="{00000000-0005-0000-0000-0000A7470000}"/>
    <cellStyle name="Millares 8 7 3 13" xfId="29432" xr:uid="{00000000-0005-0000-0000-0000A8470000}"/>
    <cellStyle name="Millares 8 7 3 14" xfId="29936" xr:uid="{00000000-0005-0000-0000-0000A9470000}"/>
    <cellStyle name="Millares 8 7 3 15" xfId="30440" xr:uid="{00000000-0005-0000-0000-0000AA470000}"/>
    <cellStyle name="Millares 8 7 3 16" xfId="30945" xr:uid="{00000000-0005-0000-0000-0000AB470000}"/>
    <cellStyle name="Millares 8 7 3 2" xfId="13625" xr:uid="{00000000-0005-0000-0000-0000AC470000}"/>
    <cellStyle name="Millares 8 7 3 3" xfId="24066" xr:uid="{00000000-0005-0000-0000-0000AD470000}"/>
    <cellStyle name="Millares 8 7 3 4" xfId="24896" xr:uid="{00000000-0005-0000-0000-0000AE470000}"/>
    <cellStyle name="Millares 8 7 3 5" xfId="25400" xr:uid="{00000000-0005-0000-0000-0000AF470000}"/>
    <cellStyle name="Millares 8 7 3 6" xfId="25904" xr:uid="{00000000-0005-0000-0000-0000B0470000}"/>
    <cellStyle name="Millares 8 7 3 7" xfId="26408" xr:uid="{00000000-0005-0000-0000-0000B1470000}"/>
    <cellStyle name="Millares 8 7 3 8" xfId="26912" xr:uid="{00000000-0005-0000-0000-0000B2470000}"/>
    <cellStyle name="Millares 8 7 3 9" xfId="27416" xr:uid="{00000000-0005-0000-0000-0000B3470000}"/>
    <cellStyle name="Millares 8 7 4" xfId="6992" xr:uid="{00000000-0005-0000-0000-0000B4470000}"/>
    <cellStyle name="Millares 8 7 4 2" xfId="13623" xr:uid="{00000000-0005-0000-0000-0000B5470000}"/>
    <cellStyle name="Millares 8 8" xfId="2290" xr:uid="{00000000-0005-0000-0000-0000B6470000}"/>
    <cellStyle name="Millares 8 8 2" xfId="13626" xr:uid="{00000000-0005-0000-0000-0000B7470000}"/>
    <cellStyle name="Millares 8 8 3" xfId="7323" xr:uid="{00000000-0005-0000-0000-0000B8470000}"/>
    <cellStyle name="Millares 8 8 4" xfId="24067" xr:uid="{00000000-0005-0000-0000-0000B9470000}"/>
    <cellStyle name="Millares 8 9" xfId="3439" xr:uid="{00000000-0005-0000-0000-0000BA470000}"/>
    <cellStyle name="Millares 8 9 2" xfId="13628" xr:uid="{00000000-0005-0000-0000-0000BB470000}"/>
    <cellStyle name="Millares 8 9 3" xfId="13627" xr:uid="{00000000-0005-0000-0000-0000BC470000}"/>
    <cellStyle name="Millares 8 9 4" xfId="24068" xr:uid="{00000000-0005-0000-0000-0000BD470000}"/>
    <cellStyle name="Millares 80" xfId="13629" xr:uid="{00000000-0005-0000-0000-0000BE470000}"/>
    <cellStyle name="Millares 80 2" xfId="13630" xr:uid="{00000000-0005-0000-0000-0000BF470000}"/>
    <cellStyle name="Millares 80 3" xfId="24069" xr:uid="{00000000-0005-0000-0000-0000C0470000}"/>
    <cellStyle name="Millares 81" xfId="13631" xr:uid="{00000000-0005-0000-0000-0000C1470000}"/>
    <cellStyle name="Millares 81 2" xfId="13632" xr:uid="{00000000-0005-0000-0000-0000C2470000}"/>
    <cellStyle name="Millares 81 3" xfId="24070" xr:uid="{00000000-0005-0000-0000-0000C3470000}"/>
    <cellStyle name="Millares 82" xfId="13633" xr:uid="{00000000-0005-0000-0000-0000C4470000}"/>
    <cellStyle name="Millares 82 2" xfId="13634" xr:uid="{00000000-0005-0000-0000-0000C5470000}"/>
    <cellStyle name="Millares 82 3" xfId="24071" xr:uid="{00000000-0005-0000-0000-0000C6470000}"/>
    <cellStyle name="Millares 83" xfId="13635" xr:uid="{00000000-0005-0000-0000-0000C7470000}"/>
    <cellStyle name="Millares 83 2" xfId="13636" xr:uid="{00000000-0005-0000-0000-0000C8470000}"/>
    <cellStyle name="Millares 83 3" xfId="24072" xr:uid="{00000000-0005-0000-0000-0000C9470000}"/>
    <cellStyle name="Millares 84" xfId="13637" xr:uid="{00000000-0005-0000-0000-0000CA470000}"/>
    <cellStyle name="Millares 84 2" xfId="13638" xr:uid="{00000000-0005-0000-0000-0000CB470000}"/>
    <cellStyle name="Millares 84 3" xfId="24073" xr:uid="{00000000-0005-0000-0000-0000CC470000}"/>
    <cellStyle name="Millares 85" xfId="13639" xr:uid="{00000000-0005-0000-0000-0000CD470000}"/>
    <cellStyle name="Millares 85 2" xfId="13640" xr:uid="{00000000-0005-0000-0000-0000CE470000}"/>
    <cellStyle name="Millares 85 3" xfId="24074" xr:uid="{00000000-0005-0000-0000-0000CF470000}"/>
    <cellStyle name="Millares 86" xfId="13641" xr:uid="{00000000-0005-0000-0000-0000D0470000}"/>
    <cellStyle name="Millares 86 2" xfId="13642" xr:uid="{00000000-0005-0000-0000-0000D1470000}"/>
    <cellStyle name="Millares 86 3" xfId="24075" xr:uid="{00000000-0005-0000-0000-0000D2470000}"/>
    <cellStyle name="Millares 87" xfId="13643" xr:uid="{00000000-0005-0000-0000-0000D3470000}"/>
    <cellStyle name="Millares 87 2" xfId="13644" xr:uid="{00000000-0005-0000-0000-0000D4470000}"/>
    <cellStyle name="Millares 87 3" xfId="24076" xr:uid="{00000000-0005-0000-0000-0000D5470000}"/>
    <cellStyle name="Millares 88" xfId="13645" xr:uid="{00000000-0005-0000-0000-0000D6470000}"/>
    <cellStyle name="Millares 88 2" xfId="13646" xr:uid="{00000000-0005-0000-0000-0000D7470000}"/>
    <cellStyle name="Millares 88 3" xfId="24077" xr:uid="{00000000-0005-0000-0000-0000D8470000}"/>
    <cellStyle name="Millares 89" xfId="13647" xr:uid="{00000000-0005-0000-0000-0000D9470000}"/>
    <cellStyle name="Millares 89 2" xfId="13648" xr:uid="{00000000-0005-0000-0000-0000DA470000}"/>
    <cellStyle name="Millares 89 3" xfId="24078" xr:uid="{00000000-0005-0000-0000-0000DB470000}"/>
    <cellStyle name="Millares 9" xfId="1259" xr:uid="{00000000-0005-0000-0000-0000DC470000}"/>
    <cellStyle name="Millares 9 10" xfId="13650" xr:uid="{00000000-0005-0000-0000-0000DD470000}"/>
    <cellStyle name="Millares 9 10 2" xfId="13651" xr:uid="{00000000-0005-0000-0000-0000DE470000}"/>
    <cellStyle name="Millares 9 11" xfId="13652" xr:uid="{00000000-0005-0000-0000-0000DF470000}"/>
    <cellStyle name="Millares 9 11 2" xfId="13653" xr:uid="{00000000-0005-0000-0000-0000E0470000}"/>
    <cellStyle name="Millares 9 12" xfId="13654" xr:uid="{00000000-0005-0000-0000-0000E1470000}"/>
    <cellStyle name="Millares 9 13" xfId="13655" xr:uid="{00000000-0005-0000-0000-0000E2470000}"/>
    <cellStyle name="Millares 9 14" xfId="13656" xr:uid="{00000000-0005-0000-0000-0000E3470000}"/>
    <cellStyle name="Millares 9 15" xfId="13649" xr:uid="{00000000-0005-0000-0000-0000E4470000}"/>
    <cellStyle name="Millares 9 16" xfId="7212" xr:uid="{00000000-0005-0000-0000-0000E5470000}"/>
    <cellStyle name="Millares 9 17" xfId="23103" xr:uid="{00000000-0005-0000-0000-0000E6470000}"/>
    <cellStyle name="Millares 9 18" xfId="24079" xr:uid="{00000000-0005-0000-0000-0000E7470000}"/>
    <cellStyle name="Millares 9 19" xfId="24897" xr:uid="{00000000-0005-0000-0000-0000E8470000}"/>
    <cellStyle name="Millares 9 2" xfId="2300" xr:uid="{00000000-0005-0000-0000-0000E9470000}"/>
    <cellStyle name="Millares 9 2 2" xfId="3448" xr:uid="{00000000-0005-0000-0000-0000EA470000}"/>
    <cellStyle name="Millares 9 2 2 10" xfId="26410" xr:uid="{00000000-0005-0000-0000-0000EB470000}"/>
    <cellStyle name="Millares 9 2 2 11" xfId="26914" xr:uid="{00000000-0005-0000-0000-0000EC470000}"/>
    <cellStyle name="Millares 9 2 2 12" xfId="27418" xr:uid="{00000000-0005-0000-0000-0000ED470000}"/>
    <cellStyle name="Millares 9 2 2 13" xfId="27922" xr:uid="{00000000-0005-0000-0000-0000EE470000}"/>
    <cellStyle name="Millares 9 2 2 14" xfId="28426" xr:uid="{00000000-0005-0000-0000-0000EF470000}"/>
    <cellStyle name="Millares 9 2 2 15" xfId="28930" xr:uid="{00000000-0005-0000-0000-0000F0470000}"/>
    <cellStyle name="Millares 9 2 2 16" xfId="29434" xr:uid="{00000000-0005-0000-0000-0000F1470000}"/>
    <cellStyle name="Millares 9 2 2 17" xfId="29938" xr:uid="{00000000-0005-0000-0000-0000F2470000}"/>
    <cellStyle name="Millares 9 2 2 18" xfId="30442" xr:uid="{00000000-0005-0000-0000-0000F3470000}"/>
    <cellStyle name="Millares 9 2 2 19" xfId="30947" xr:uid="{00000000-0005-0000-0000-0000F4470000}"/>
    <cellStyle name="Millares 9 2 2 2" xfId="6994" xr:uid="{00000000-0005-0000-0000-0000F5470000}"/>
    <cellStyle name="Millares 9 2 2 2 2" xfId="13659" xr:uid="{00000000-0005-0000-0000-0000F6470000}"/>
    <cellStyle name="Millares 9 2 2 3" xfId="13660" xr:uid="{00000000-0005-0000-0000-0000F7470000}"/>
    <cellStyle name="Millares 9 2 2 4" xfId="13661" xr:uid="{00000000-0005-0000-0000-0000F8470000}"/>
    <cellStyle name="Millares 9 2 2 5" xfId="13658" xr:uid="{00000000-0005-0000-0000-0000F9470000}"/>
    <cellStyle name="Millares 9 2 2 6" xfId="24080" xr:uid="{00000000-0005-0000-0000-0000FA470000}"/>
    <cellStyle name="Millares 9 2 2 7" xfId="24898" xr:uid="{00000000-0005-0000-0000-0000FB470000}"/>
    <cellStyle name="Millares 9 2 2 8" xfId="25402" xr:uid="{00000000-0005-0000-0000-0000FC470000}"/>
    <cellStyle name="Millares 9 2 2 9" xfId="25906" xr:uid="{00000000-0005-0000-0000-0000FD470000}"/>
    <cellStyle name="Millares 9 2 3" xfId="3449" xr:uid="{00000000-0005-0000-0000-0000FE470000}"/>
    <cellStyle name="Millares 9 2 3 2" xfId="6995" xr:uid="{00000000-0005-0000-0000-0000FF470000}"/>
    <cellStyle name="Millares 9 2 3 2 2" xfId="13663" xr:uid="{00000000-0005-0000-0000-000000480000}"/>
    <cellStyle name="Millares 9 2 3 3" xfId="13664" xr:uid="{00000000-0005-0000-0000-000001480000}"/>
    <cellStyle name="Millares 9 2 3 4" xfId="13662" xr:uid="{00000000-0005-0000-0000-000002480000}"/>
    <cellStyle name="Millares 9 2 3 5" xfId="24081" xr:uid="{00000000-0005-0000-0000-000003480000}"/>
    <cellStyle name="Millares 9 2 4" xfId="13665" xr:uid="{00000000-0005-0000-0000-000004480000}"/>
    <cellStyle name="Millares 9 2 4 10" xfId="28427" xr:uid="{00000000-0005-0000-0000-000005480000}"/>
    <cellStyle name="Millares 9 2 4 11" xfId="28931" xr:uid="{00000000-0005-0000-0000-000006480000}"/>
    <cellStyle name="Millares 9 2 4 12" xfId="29435" xr:uid="{00000000-0005-0000-0000-000007480000}"/>
    <cellStyle name="Millares 9 2 4 13" xfId="29939" xr:uid="{00000000-0005-0000-0000-000008480000}"/>
    <cellStyle name="Millares 9 2 4 14" xfId="30443" xr:uid="{00000000-0005-0000-0000-000009480000}"/>
    <cellStyle name="Millares 9 2 4 15" xfId="30948" xr:uid="{00000000-0005-0000-0000-00000A480000}"/>
    <cellStyle name="Millares 9 2 4 2" xfId="24082" xr:uid="{00000000-0005-0000-0000-00000B480000}"/>
    <cellStyle name="Millares 9 2 4 3" xfId="24899" xr:uid="{00000000-0005-0000-0000-00000C480000}"/>
    <cellStyle name="Millares 9 2 4 4" xfId="25403" xr:uid="{00000000-0005-0000-0000-00000D480000}"/>
    <cellStyle name="Millares 9 2 4 5" xfId="25907" xr:uid="{00000000-0005-0000-0000-00000E480000}"/>
    <cellStyle name="Millares 9 2 4 6" xfId="26411" xr:uid="{00000000-0005-0000-0000-00000F480000}"/>
    <cellStyle name="Millares 9 2 4 7" xfId="26915" xr:uid="{00000000-0005-0000-0000-000010480000}"/>
    <cellStyle name="Millares 9 2 4 8" xfId="27419" xr:uid="{00000000-0005-0000-0000-000011480000}"/>
    <cellStyle name="Millares 9 2 4 9" xfId="27923" xr:uid="{00000000-0005-0000-0000-000012480000}"/>
    <cellStyle name="Millares 9 2 5" xfId="13657" xr:uid="{00000000-0005-0000-0000-000013480000}"/>
    <cellStyle name="Millares 9 20" xfId="25401" xr:uid="{00000000-0005-0000-0000-000014480000}"/>
    <cellStyle name="Millares 9 21" xfId="25905" xr:uid="{00000000-0005-0000-0000-000015480000}"/>
    <cellStyle name="Millares 9 22" xfId="26409" xr:uid="{00000000-0005-0000-0000-000016480000}"/>
    <cellStyle name="Millares 9 23" xfId="26913" xr:uid="{00000000-0005-0000-0000-000017480000}"/>
    <cellStyle name="Millares 9 24" xfId="27417" xr:uid="{00000000-0005-0000-0000-000018480000}"/>
    <cellStyle name="Millares 9 25" xfId="27921" xr:uid="{00000000-0005-0000-0000-000019480000}"/>
    <cellStyle name="Millares 9 26" xfId="28425" xr:uid="{00000000-0005-0000-0000-00001A480000}"/>
    <cellStyle name="Millares 9 27" xfId="28929" xr:uid="{00000000-0005-0000-0000-00001B480000}"/>
    <cellStyle name="Millares 9 28" xfId="29433" xr:uid="{00000000-0005-0000-0000-00001C480000}"/>
    <cellStyle name="Millares 9 29" xfId="29937" xr:uid="{00000000-0005-0000-0000-00001D480000}"/>
    <cellStyle name="Millares 9 3" xfId="2301" xr:uid="{00000000-0005-0000-0000-00001E480000}"/>
    <cellStyle name="Millares 9 3 10" xfId="13667" xr:uid="{00000000-0005-0000-0000-00001F480000}"/>
    <cellStyle name="Millares 9 3 10 2" xfId="13668" xr:uid="{00000000-0005-0000-0000-000020480000}"/>
    <cellStyle name="Millares 9 3 11" xfId="13669" xr:uid="{00000000-0005-0000-0000-000021480000}"/>
    <cellStyle name="Millares 9 3 11 2" xfId="13670" xr:uid="{00000000-0005-0000-0000-000022480000}"/>
    <cellStyle name="Millares 9 3 12" xfId="13671" xr:uid="{00000000-0005-0000-0000-000023480000}"/>
    <cellStyle name="Millares 9 3 12 2" xfId="13672" xr:uid="{00000000-0005-0000-0000-000024480000}"/>
    <cellStyle name="Millares 9 3 13" xfId="13673" xr:uid="{00000000-0005-0000-0000-000025480000}"/>
    <cellStyle name="Millares 9 3 13 2" xfId="13674" xr:uid="{00000000-0005-0000-0000-000026480000}"/>
    <cellStyle name="Millares 9 3 14" xfId="13675" xr:uid="{00000000-0005-0000-0000-000027480000}"/>
    <cellStyle name="Millares 9 3 14 2" xfId="13676" xr:uid="{00000000-0005-0000-0000-000028480000}"/>
    <cellStyle name="Millares 9 3 14 2 2" xfId="13677" xr:uid="{00000000-0005-0000-0000-000029480000}"/>
    <cellStyle name="Millares 9 3 14 3" xfId="13678" xr:uid="{00000000-0005-0000-0000-00002A480000}"/>
    <cellStyle name="Millares 9 3 14 3 2" xfId="13679" xr:uid="{00000000-0005-0000-0000-00002B480000}"/>
    <cellStyle name="Millares 9 3 14 4" xfId="13680" xr:uid="{00000000-0005-0000-0000-00002C480000}"/>
    <cellStyle name="Millares 9 3 14 4 2" xfId="13681" xr:uid="{00000000-0005-0000-0000-00002D480000}"/>
    <cellStyle name="Millares 9 3 14 5" xfId="13682" xr:uid="{00000000-0005-0000-0000-00002E480000}"/>
    <cellStyle name="Millares 9 3 14 5 2" xfId="13683" xr:uid="{00000000-0005-0000-0000-00002F480000}"/>
    <cellStyle name="Millares 9 3 14 6" xfId="13684" xr:uid="{00000000-0005-0000-0000-000030480000}"/>
    <cellStyle name="Millares 9 3 14 6 2" xfId="13685" xr:uid="{00000000-0005-0000-0000-000031480000}"/>
    <cellStyle name="Millares 9 3 14 7" xfId="13686" xr:uid="{00000000-0005-0000-0000-000032480000}"/>
    <cellStyle name="Millares 9 3 14 7 2" xfId="13687" xr:uid="{00000000-0005-0000-0000-000033480000}"/>
    <cellStyle name="Millares 9 3 14 8" xfId="13688" xr:uid="{00000000-0005-0000-0000-000034480000}"/>
    <cellStyle name="Millares 9 3 14 8 2" xfId="13689" xr:uid="{00000000-0005-0000-0000-000035480000}"/>
    <cellStyle name="Millares 9 3 14 9" xfId="13690" xr:uid="{00000000-0005-0000-0000-000036480000}"/>
    <cellStyle name="Millares 9 3 15" xfId="13691" xr:uid="{00000000-0005-0000-0000-000037480000}"/>
    <cellStyle name="Millares 9 3 15 2" xfId="13692" xr:uid="{00000000-0005-0000-0000-000038480000}"/>
    <cellStyle name="Millares 9 3 16" xfId="13693" xr:uid="{00000000-0005-0000-0000-000039480000}"/>
    <cellStyle name="Millares 9 3 16 2" xfId="13694" xr:uid="{00000000-0005-0000-0000-00003A480000}"/>
    <cellStyle name="Millares 9 3 17" xfId="13695" xr:uid="{00000000-0005-0000-0000-00003B480000}"/>
    <cellStyle name="Millares 9 3 17 2" xfId="13696" xr:uid="{00000000-0005-0000-0000-00003C480000}"/>
    <cellStyle name="Millares 9 3 18" xfId="13697" xr:uid="{00000000-0005-0000-0000-00003D480000}"/>
    <cellStyle name="Millares 9 3 18 2" xfId="13698" xr:uid="{00000000-0005-0000-0000-00003E480000}"/>
    <cellStyle name="Millares 9 3 19" xfId="13699" xr:uid="{00000000-0005-0000-0000-00003F480000}"/>
    <cellStyle name="Millares 9 3 19 2" xfId="13700" xr:uid="{00000000-0005-0000-0000-000040480000}"/>
    <cellStyle name="Millares 9 3 2" xfId="3450" xr:uid="{00000000-0005-0000-0000-000041480000}"/>
    <cellStyle name="Millares 9 3 2 10" xfId="24901" xr:uid="{00000000-0005-0000-0000-000042480000}"/>
    <cellStyle name="Millares 9 3 2 11" xfId="25405" xr:uid="{00000000-0005-0000-0000-000043480000}"/>
    <cellStyle name="Millares 9 3 2 12" xfId="25909" xr:uid="{00000000-0005-0000-0000-000044480000}"/>
    <cellStyle name="Millares 9 3 2 13" xfId="26413" xr:uid="{00000000-0005-0000-0000-000045480000}"/>
    <cellStyle name="Millares 9 3 2 14" xfId="26917" xr:uid="{00000000-0005-0000-0000-000046480000}"/>
    <cellStyle name="Millares 9 3 2 15" xfId="27421" xr:uid="{00000000-0005-0000-0000-000047480000}"/>
    <cellStyle name="Millares 9 3 2 16" xfId="27925" xr:uid="{00000000-0005-0000-0000-000048480000}"/>
    <cellStyle name="Millares 9 3 2 17" xfId="28429" xr:uid="{00000000-0005-0000-0000-000049480000}"/>
    <cellStyle name="Millares 9 3 2 18" xfId="28933" xr:uid="{00000000-0005-0000-0000-00004A480000}"/>
    <cellStyle name="Millares 9 3 2 19" xfId="29437" xr:uid="{00000000-0005-0000-0000-00004B480000}"/>
    <cellStyle name="Millares 9 3 2 2" xfId="6997" xr:uid="{00000000-0005-0000-0000-00004C480000}"/>
    <cellStyle name="Millares 9 3 2 2 2" xfId="13703" xr:uid="{00000000-0005-0000-0000-00004D480000}"/>
    <cellStyle name="Millares 9 3 2 2 3" xfId="13702" xr:uid="{00000000-0005-0000-0000-00004E480000}"/>
    <cellStyle name="Millares 9 3 2 20" xfId="29941" xr:uid="{00000000-0005-0000-0000-00004F480000}"/>
    <cellStyle name="Millares 9 3 2 21" xfId="30445" xr:uid="{00000000-0005-0000-0000-000050480000}"/>
    <cellStyle name="Millares 9 3 2 22" xfId="30950" xr:uid="{00000000-0005-0000-0000-000051480000}"/>
    <cellStyle name="Millares 9 3 2 3" xfId="13704" xr:uid="{00000000-0005-0000-0000-000052480000}"/>
    <cellStyle name="Millares 9 3 2 3 10" xfId="28430" xr:uid="{00000000-0005-0000-0000-000053480000}"/>
    <cellStyle name="Millares 9 3 2 3 11" xfId="28934" xr:uid="{00000000-0005-0000-0000-000054480000}"/>
    <cellStyle name="Millares 9 3 2 3 12" xfId="29438" xr:uid="{00000000-0005-0000-0000-000055480000}"/>
    <cellStyle name="Millares 9 3 2 3 13" xfId="29942" xr:uid="{00000000-0005-0000-0000-000056480000}"/>
    <cellStyle name="Millares 9 3 2 3 14" xfId="30446" xr:uid="{00000000-0005-0000-0000-000057480000}"/>
    <cellStyle name="Millares 9 3 2 3 15" xfId="30951" xr:uid="{00000000-0005-0000-0000-000058480000}"/>
    <cellStyle name="Millares 9 3 2 3 2" xfId="24085" xr:uid="{00000000-0005-0000-0000-000059480000}"/>
    <cellStyle name="Millares 9 3 2 3 3" xfId="24902" xr:uid="{00000000-0005-0000-0000-00005A480000}"/>
    <cellStyle name="Millares 9 3 2 3 4" xfId="25406" xr:uid="{00000000-0005-0000-0000-00005B480000}"/>
    <cellStyle name="Millares 9 3 2 3 5" xfId="25910" xr:uid="{00000000-0005-0000-0000-00005C480000}"/>
    <cellStyle name="Millares 9 3 2 3 6" xfId="26414" xr:uid="{00000000-0005-0000-0000-00005D480000}"/>
    <cellStyle name="Millares 9 3 2 3 7" xfId="26918" xr:uid="{00000000-0005-0000-0000-00005E480000}"/>
    <cellStyle name="Millares 9 3 2 3 8" xfId="27422" xr:uid="{00000000-0005-0000-0000-00005F480000}"/>
    <cellStyle name="Millares 9 3 2 3 9" xfId="27926" xr:uid="{00000000-0005-0000-0000-000060480000}"/>
    <cellStyle name="Millares 9 3 2 4" xfId="13705" xr:uid="{00000000-0005-0000-0000-000061480000}"/>
    <cellStyle name="Millares 9 3 2 4 10" xfId="28431" xr:uid="{00000000-0005-0000-0000-000062480000}"/>
    <cellStyle name="Millares 9 3 2 4 11" xfId="28935" xr:uid="{00000000-0005-0000-0000-000063480000}"/>
    <cellStyle name="Millares 9 3 2 4 12" xfId="29439" xr:uid="{00000000-0005-0000-0000-000064480000}"/>
    <cellStyle name="Millares 9 3 2 4 13" xfId="29943" xr:uid="{00000000-0005-0000-0000-000065480000}"/>
    <cellStyle name="Millares 9 3 2 4 14" xfId="30447" xr:uid="{00000000-0005-0000-0000-000066480000}"/>
    <cellStyle name="Millares 9 3 2 4 15" xfId="30952" xr:uid="{00000000-0005-0000-0000-000067480000}"/>
    <cellStyle name="Millares 9 3 2 4 2" xfId="24086" xr:uid="{00000000-0005-0000-0000-000068480000}"/>
    <cellStyle name="Millares 9 3 2 4 3" xfId="24903" xr:uid="{00000000-0005-0000-0000-000069480000}"/>
    <cellStyle name="Millares 9 3 2 4 4" xfId="25407" xr:uid="{00000000-0005-0000-0000-00006A480000}"/>
    <cellStyle name="Millares 9 3 2 4 5" xfId="25911" xr:uid="{00000000-0005-0000-0000-00006B480000}"/>
    <cellStyle name="Millares 9 3 2 4 6" xfId="26415" xr:uid="{00000000-0005-0000-0000-00006C480000}"/>
    <cellStyle name="Millares 9 3 2 4 7" xfId="26919" xr:uid="{00000000-0005-0000-0000-00006D480000}"/>
    <cellStyle name="Millares 9 3 2 4 8" xfId="27423" xr:uid="{00000000-0005-0000-0000-00006E480000}"/>
    <cellStyle name="Millares 9 3 2 4 9" xfId="27927" xr:uid="{00000000-0005-0000-0000-00006F480000}"/>
    <cellStyle name="Millares 9 3 2 5" xfId="13706" xr:uid="{00000000-0005-0000-0000-000070480000}"/>
    <cellStyle name="Millares 9 3 2 6" xfId="13707" xr:uid="{00000000-0005-0000-0000-000071480000}"/>
    <cellStyle name="Millares 9 3 2 7" xfId="13701" xr:uid="{00000000-0005-0000-0000-000072480000}"/>
    <cellStyle name="Millares 9 3 2 8" xfId="7327" xr:uid="{00000000-0005-0000-0000-000073480000}"/>
    <cellStyle name="Millares 9 3 2 9" xfId="24084" xr:uid="{00000000-0005-0000-0000-000074480000}"/>
    <cellStyle name="Millares 9 3 20" xfId="13708" xr:uid="{00000000-0005-0000-0000-000075480000}"/>
    <cellStyle name="Millares 9 3 20 2" xfId="13709" xr:uid="{00000000-0005-0000-0000-000076480000}"/>
    <cellStyle name="Millares 9 3 21" xfId="13710" xr:uid="{00000000-0005-0000-0000-000077480000}"/>
    <cellStyle name="Millares 9 3 22" xfId="13711" xr:uid="{00000000-0005-0000-0000-000078480000}"/>
    <cellStyle name="Millares 9 3 23" xfId="13712" xr:uid="{00000000-0005-0000-0000-000079480000}"/>
    <cellStyle name="Millares 9 3 24" xfId="13713" xr:uid="{00000000-0005-0000-0000-00007A480000}"/>
    <cellStyle name="Millares 9 3 25" xfId="13666" xr:uid="{00000000-0005-0000-0000-00007B480000}"/>
    <cellStyle name="Millares 9 3 26" xfId="7213" xr:uid="{00000000-0005-0000-0000-00007C480000}"/>
    <cellStyle name="Millares 9 3 27" xfId="24083" xr:uid="{00000000-0005-0000-0000-00007D480000}"/>
    <cellStyle name="Millares 9 3 28" xfId="24900" xr:uid="{00000000-0005-0000-0000-00007E480000}"/>
    <cellStyle name="Millares 9 3 29" xfId="25404" xr:uid="{00000000-0005-0000-0000-00007F480000}"/>
    <cellStyle name="Millares 9 3 3" xfId="6996" xr:uid="{00000000-0005-0000-0000-000080480000}"/>
    <cellStyle name="Millares 9 3 3 10" xfId="13715" xr:uid="{00000000-0005-0000-0000-000081480000}"/>
    <cellStyle name="Millares 9 3 3 10 2" xfId="13716" xr:uid="{00000000-0005-0000-0000-000082480000}"/>
    <cellStyle name="Millares 9 3 3 11" xfId="13717" xr:uid="{00000000-0005-0000-0000-000083480000}"/>
    <cellStyle name="Millares 9 3 3 11 2" xfId="13718" xr:uid="{00000000-0005-0000-0000-000084480000}"/>
    <cellStyle name="Millares 9 3 3 12" xfId="13719" xr:uid="{00000000-0005-0000-0000-000085480000}"/>
    <cellStyle name="Millares 9 3 3 12 2" xfId="13720" xr:uid="{00000000-0005-0000-0000-000086480000}"/>
    <cellStyle name="Millares 9 3 3 13" xfId="13721" xr:uid="{00000000-0005-0000-0000-000087480000}"/>
    <cellStyle name="Millares 9 3 3 13 2" xfId="13722" xr:uid="{00000000-0005-0000-0000-000088480000}"/>
    <cellStyle name="Millares 9 3 3 13 2 2" xfId="13723" xr:uid="{00000000-0005-0000-0000-000089480000}"/>
    <cellStyle name="Millares 9 3 3 13 3" xfId="13724" xr:uid="{00000000-0005-0000-0000-00008A480000}"/>
    <cellStyle name="Millares 9 3 3 13 3 2" xfId="13725" xr:uid="{00000000-0005-0000-0000-00008B480000}"/>
    <cellStyle name="Millares 9 3 3 13 4" xfId="13726" xr:uid="{00000000-0005-0000-0000-00008C480000}"/>
    <cellStyle name="Millares 9 3 3 13 4 2" xfId="13727" xr:uid="{00000000-0005-0000-0000-00008D480000}"/>
    <cellStyle name="Millares 9 3 3 13 5" xfId="13728" xr:uid="{00000000-0005-0000-0000-00008E480000}"/>
    <cellStyle name="Millares 9 3 3 13 5 2" xfId="13729" xr:uid="{00000000-0005-0000-0000-00008F480000}"/>
    <cellStyle name="Millares 9 3 3 13 6" xfId="13730" xr:uid="{00000000-0005-0000-0000-000090480000}"/>
    <cellStyle name="Millares 9 3 3 13 6 2" xfId="13731" xr:uid="{00000000-0005-0000-0000-000091480000}"/>
    <cellStyle name="Millares 9 3 3 13 7" xfId="13732" xr:uid="{00000000-0005-0000-0000-000092480000}"/>
    <cellStyle name="Millares 9 3 3 13 7 2" xfId="13733" xr:uid="{00000000-0005-0000-0000-000093480000}"/>
    <cellStyle name="Millares 9 3 3 13 8" xfId="13734" xr:uid="{00000000-0005-0000-0000-000094480000}"/>
    <cellStyle name="Millares 9 3 3 13 8 2" xfId="13735" xr:uid="{00000000-0005-0000-0000-000095480000}"/>
    <cellStyle name="Millares 9 3 3 13 9" xfId="13736" xr:uid="{00000000-0005-0000-0000-000096480000}"/>
    <cellStyle name="Millares 9 3 3 14" xfId="13737" xr:uid="{00000000-0005-0000-0000-000097480000}"/>
    <cellStyle name="Millares 9 3 3 15" xfId="13714" xr:uid="{00000000-0005-0000-0000-000098480000}"/>
    <cellStyle name="Millares 9 3 3 16" xfId="24087" xr:uid="{00000000-0005-0000-0000-000099480000}"/>
    <cellStyle name="Millares 9 3 3 2" xfId="13738" xr:uid="{00000000-0005-0000-0000-00009A480000}"/>
    <cellStyle name="Millares 9 3 3 2 2" xfId="13739" xr:uid="{00000000-0005-0000-0000-00009B480000}"/>
    <cellStyle name="Millares 9 3 3 3" xfId="13740" xr:uid="{00000000-0005-0000-0000-00009C480000}"/>
    <cellStyle name="Millares 9 3 3 3 2" xfId="13741" xr:uid="{00000000-0005-0000-0000-00009D480000}"/>
    <cellStyle name="Millares 9 3 3 4" xfId="13742" xr:uid="{00000000-0005-0000-0000-00009E480000}"/>
    <cellStyle name="Millares 9 3 3 4 2" xfId="13743" xr:uid="{00000000-0005-0000-0000-00009F480000}"/>
    <cellStyle name="Millares 9 3 3 5" xfId="13744" xr:uid="{00000000-0005-0000-0000-0000A0480000}"/>
    <cellStyle name="Millares 9 3 3 5 2" xfId="13745" xr:uid="{00000000-0005-0000-0000-0000A1480000}"/>
    <cellStyle name="Millares 9 3 3 6" xfId="13746" xr:uid="{00000000-0005-0000-0000-0000A2480000}"/>
    <cellStyle name="Millares 9 3 3 6 2" xfId="13747" xr:uid="{00000000-0005-0000-0000-0000A3480000}"/>
    <cellStyle name="Millares 9 3 3 7" xfId="13748" xr:uid="{00000000-0005-0000-0000-0000A4480000}"/>
    <cellStyle name="Millares 9 3 3 7 2" xfId="13749" xr:uid="{00000000-0005-0000-0000-0000A5480000}"/>
    <cellStyle name="Millares 9 3 3 8" xfId="13750" xr:uid="{00000000-0005-0000-0000-0000A6480000}"/>
    <cellStyle name="Millares 9 3 3 8 2" xfId="13751" xr:uid="{00000000-0005-0000-0000-0000A7480000}"/>
    <cellStyle name="Millares 9 3 3 9" xfId="13752" xr:uid="{00000000-0005-0000-0000-0000A8480000}"/>
    <cellStyle name="Millares 9 3 3 9 2" xfId="13753" xr:uid="{00000000-0005-0000-0000-0000A9480000}"/>
    <cellStyle name="Millares 9 3 30" xfId="25908" xr:uid="{00000000-0005-0000-0000-0000AA480000}"/>
    <cellStyle name="Millares 9 3 31" xfId="26412" xr:uid="{00000000-0005-0000-0000-0000AB480000}"/>
    <cellStyle name="Millares 9 3 32" xfId="26916" xr:uid="{00000000-0005-0000-0000-0000AC480000}"/>
    <cellStyle name="Millares 9 3 33" xfId="27420" xr:uid="{00000000-0005-0000-0000-0000AD480000}"/>
    <cellStyle name="Millares 9 3 34" xfId="27924" xr:uid="{00000000-0005-0000-0000-0000AE480000}"/>
    <cellStyle name="Millares 9 3 35" xfId="28428" xr:uid="{00000000-0005-0000-0000-0000AF480000}"/>
    <cellStyle name="Millares 9 3 36" xfId="28932" xr:uid="{00000000-0005-0000-0000-0000B0480000}"/>
    <cellStyle name="Millares 9 3 37" xfId="29436" xr:uid="{00000000-0005-0000-0000-0000B1480000}"/>
    <cellStyle name="Millares 9 3 38" xfId="29940" xr:uid="{00000000-0005-0000-0000-0000B2480000}"/>
    <cellStyle name="Millares 9 3 39" xfId="30444" xr:uid="{00000000-0005-0000-0000-0000B3480000}"/>
    <cellStyle name="Millares 9 3 4" xfId="13754" xr:uid="{00000000-0005-0000-0000-0000B4480000}"/>
    <cellStyle name="Millares 9 3 4 10" xfId="27928" xr:uid="{00000000-0005-0000-0000-0000B5480000}"/>
    <cellStyle name="Millares 9 3 4 11" xfId="28432" xr:uid="{00000000-0005-0000-0000-0000B6480000}"/>
    <cellStyle name="Millares 9 3 4 12" xfId="28936" xr:uid="{00000000-0005-0000-0000-0000B7480000}"/>
    <cellStyle name="Millares 9 3 4 13" xfId="29440" xr:uid="{00000000-0005-0000-0000-0000B8480000}"/>
    <cellStyle name="Millares 9 3 4 14" xfId="29944" xr:uid="{00000000-0005-0000-0000-0000B9480000}"/>
    <cellStyle name="Millares 9 3 4 15" xfId="30448" xr:uid="{00000000-0005-0000-0000-0000BA480000}"/>
    <cellStyle name="Millares 9 3 4 16" xfId="30953" xr:uid="{00000000-0005-0000-0000-0000BB480000}"/>
    <cellStyle name="Millares 9 3 4 2" xfId="13755" xr:uid="{00000000-0005-0000-0000-0000BC480000}"/>
    <cellStyle name="Millares 9 3 4 3" xfId="24088" xr:uid="{00000000-0005-0000-0000-0000BD480000}"/>
    <cellStyle name="Millares 9 3 4 4" xfId="24904" xr:uid="{00000000-0005-0000-0000-0000BE480000}"/>
    <cellStyle name="Millares 9 3 4 5" xfId="25408" xr:uid="{00000000-0005-0000-0000-0000BF480000}"/>
    <cellStyle name="Millares 9 3 4 6" xfId="25912" xr:uid="{00000000-0005-0000-0000-0000C0480000}"/>
    <cellStyle name="Millares 9 3 4 7" xfId="26416" xr:uid="{00000000-0005-0000-0000-0000C1480000}"/>
    <cellStyle name="Millares 9 3 4 8" xfId="26920" xr:uid="{00000000-0005-0000-0000-0000C2480000}"/>
    <cellStyle name="Millares 9 3 4 9" xfId="27424" xr:uid="{00000000-0005-0000-0000-0000C3480000}"/>
    <cellStyle name="Millares 9 3 40" xfId="30949" xr:uid="{00000000-0005-0000-0000-0000C4480000}"/>
    <cellStyle name="Millares 9 3 5" xfId="13756" xr:uid="{00000000-0005-0000-0000-0000C5480000}"/>
    <cellStyle name="Millares 9 3 5 10" xfId="27929" xr:uid="{00000000-0005-0000-0000-0000C6480000}"/>
    <cellStyle name="Millares 9 3 5 11" xfId="28433" xr:uid="{00000000-0005-0000-0000-0000C7480000}"/>
    <cellStyle name="Millares 9 3 5 12" xfId="28937" xr:uid="{00000000-0005-0000-0000-0000C8480000}"/>
    <cellStyle name="Millares 9 3 5 13" xfId="29441" xr:uid="{00000000-0005-0000-0000-0000C9480000}"/>
    <cellStyle name="Millares 9 3 5 14" xfId="29945" xr:uid="{00000000-0005-0000-0000-0000CA480000}"/>
    <cellStyle name="Millares 9 3 5 15" xfId="30449" xr:uid="{00000000-0005-0000-0000-0000CB480000}"/>
    <cellStyle name="Millares 9 3 5 16" xfId="30954" xr:uid="{00000000-0005-0000-0000-0000CC480000}"/>
    <cellStyle name="Millares 9 3 5 2" xfId="13757" xr:uid="{00000000-0005-0000-0000-0000CD480000}"/>
    <cellStyle name="Millares 9 3 5 3" xfId="24089" xr:uid="{00000000-0005-0000-0000-0000CE480000}"/>
    <cellStyle name="Millares 9 3 5 4" xfId="24905" xr:uid="{00000000-0005-0000-0000-0000CF480000}"/>
    <cellStyle name="Millares 9 3 5 5" xfId="25409" xr:uid="{00000000-0005-0000-0000-0000D0480000}"/>
    <cellStyle name="Millares 9 3 5 6" xfId="25913" xr:uid="{00000000-0005-0000-0000-0000D1480000}"/>
    <cellStyle name="Millares 9 3 5 7" xfId="26417" xr:uid="{00000000-0005-0000-0000-0000D2480000}"/>
    <cellStyle name="Millares 9 3 5 8" xfId="26921" xr:uid="{00000000-0005-0000-0000-0000D3480000}"/>
    <cellStyle name="Millares 9 3 5 9" xfId="27425" xr:uid="{00000000-0005-0000-0000-0000D4480000}"/>
    <cellStyle name="Millares 9 3 6" xfId="13758" xr:uid="{00000000-0005-0000-0000-0000D5480000}"/>
    <cellStyle name="Millares 9 3 6 2" xfId="13759" xr:uid="{00000000-0005-0000-0000-0000D6480000}"/>
    <cellStyle name="Millares 9 3 7" xfId="13760" xr:uid="{00000000-0005-0000-0000-0000D7480000}"/>
    <cellStyle name="Millares 9 3 7 2" xfId="13761" xr:uid="{00000000-0005-0000-0000-0000D8480000}"/>
    <cellStyle name="Millares 9 3 8" xfId="13762" xr:uid="{00000000-0005-0000-0000-0000D9480000}"/>
    <cellStyle name="Millares 9 3 8 2" xfId="13763" xr:uid="{00000000-0005-0000-0000-0000DA480000}"/>
    <cellStyle name="Millares 9 3 9" xfId="13764" xr:uid="{00000000-0005-0000-0000-0000DB480000}"/>
    <cellStyle name="Millares 9 3 9 2" xfId="13765" xr:uid="{00000000-0005-0000-0000-0000DC480000}"/>
    <cellStyle name="Millares 9 30" xfId="30441" xr:uid="{00000000-0005-0000-0000-0000DD480000}"/>
    <cellStyle name="Millares 9 31" xfId="30946" xr:uid="{00000000-0005-0000-0000-0000DE480000}"/>
    <cellStyle name="Millares 9 4" xfId="2302" xr:uid="{00000000-0005-0000-0000-0000DF480000}"/>
    <cellStyle name="Millares 9 4 10" xfId="25410" xr:uid="{00000000-0005-0000-0000-0000E0480000}"/>
    <cellStyle name="Millares 9 4 11" xfId="25914" xr:uid="{00000000-0005-0000-0000-0000E1480000}"/>
    <cellStyle name="Millares 9 4 12" xfId="26418" xr:uid="{00000000-0005-0000-0000-0000E2480000}"/>
    <cellStyle name="Millares 9 4 13" xfId="26922" xr:uid="{00000000-0005-0000-0000-0000E3480000}"/>
    <cellStyle name="Millares 9 4 14" xfId="27426" xr:uid="{00000000-0005-0000-0000-0000E4480000}"/>
    <cellStyle name="Millares 9 4 15" xfId="27930" xr:uid="{00000000-0005-0000-0000-0000E5480000}"/>
    <cellStyle name="Millares 9 4 16" xfId="28434" xr:uid="{00000000-0005-0000-0000-0000E6480000}"/>
    <cellStyle name="Millares 9 4 17" xfId="28938" xr:uid="{00000000-0005-0000-0000-0000E7480000}"/>
    <cellStyle name="Millares 9 4 18" xfId="29442" xr:uid="{00000000-0005-0000-0000-0000E8480000}"/>
    <cellStyle name="Millares 9 4 19" xfId="29946" xr:uid="{00000000-0005-0000-0000-0000E9480000}"/>
    <cellStyle name="Millares 9 4 2" xfId="2303" xr:uid="{00000000-0005-0000-0000-0000EA480000}"/>
    <cellStyle name="Millares 9 4 2 10" xfId="25915" xr:uid="{00000000-0005-0000-0000-0000EB480000}"/>
    <cellStyle name="Millares 9 4 2 11" xfId="26419" xr:uid="{00000000-0005-0000-0000-0000EC480000}"/>
    <cellStyle name="Millares 9 4 2 12" xfId="26923" xr:uid="{00000000-0005-0000-0000-0000ED480000}"/>
    <cellStyle name="Millares 9 4 2 13" xfId="27427" xr:uid="{00000000-0005-0000-0000-0000EE480000}"/>
    <cellStyle name="Millares 9 4 2 14" xfId="27931" xr:uid="{00000000-0005-0000-0000-0000EF480000}"/>
    <cellStyle name="Millares 9 4 2 15" xfId="28435" xr:uid="{00000000-0005-0000-0000-0000F0480000}"/>
    <cellStyle name="Millares 9 4 2 16" xfId="28939" xr:uid="{00000000-0005-0000-0000-0000F1480000}"/>
    <cellStyle name="Millares 9 4 2 17" xfId="29443" xr:uid="{00000000-0005-0000-0000-0000F2480000}"/>
    <cellStyle name="Millares 9 4 2 18" xfId="29947" xr:uid="{00000000-0005-0000-0000-0000F3480000}"/>
    <cellStyle name="Millares 9 4 2 19" xfId="30451" xr:uid="{00000000-0005-0000-0000-0000F4480000}"/>
    <cellStyle name="Millares 9 4 2 2" xfId="13768" xr:uid="{00000000-0005-0000-0000-0000F5480000}"/>
    <cellStyle name="Millares 9 4 2 20" xfId="30956" xr:uid="{00000000-0005-0000-0000-0000F6480000}"/>
    <cellStyle name="Millares 9 4 2 3" xfId="13769" xr:uid="{00000000-0005-0000-0000-0000F7480000}"/>
    <cellStyle name="Millares 9 4 2 4" xfId="13767" xr:uid="{00000000-0005-0000-0000-0000F8480000}"/>
    <cellStyle name="Millares 9 4 2 5" xfId="7215" xr:uid="{00000000-0005-0000-0000-0000F9480000}"/>
    <cellStyle name="Millares 9 4 2 6" xfId="23105" xr:uid="{00000000-0005-0000-0000-0000FA480000}"/>
    <cellStyle name="Millares 9 4 2 7" xfId="24091" xr:uid="{00000000-0005-0000-0000-0000FB480000}"/>
    <cellStyle name="Millares 9 4 2 8" xfId="24907" xr:uid="{00000000-0005-0000-0000-0000FC480000}"/>
    <cellStyle name="Millares 9 4 2 9" xfId="25411" xr:uid="{00000000-0005-0000-0000-0000FD480000}"/>
    <cellStyle name="Millares 9 4 20" xfId="30450" xr:uid="{00000000-0005-0000-0000-0000FE480000}"/>
    <cellStyle name="Millares 9 4 21" xfId="30955" xr:uid="{00000000-0005-0000-0000-0000FF480000}"/>
    <cellStyle name="Millares 9 4 3" xfId="7328" xr:uid="{00000000-0005-0000-0000-000000490000}"/>
    <cellStyle name="Millares 9 4 3 2" xfId="13770" xr:uid="{00000000-0005-0000-0000-000001490000}"/>
    <cellStyle name="Millares 9 4 4" xfId="13771" xr:uid="{00000000-0005-0000-0000-000002490000}"/>
    <cellStyle name="Millares 9 4 5" xfId="13766" xr:uid="{00000000-0005-0000-0000-000003490000}"/>
    <cellStyle name="Millares 9 4 6" xfId="7214" xr:uid="{00000000-0005-0000-0000-000004490000}"/>
    <cellStyle name="Millares 9 4 7" xfId="23104" xr:uid="{00000000-0005-0000-0000-000005490000}"/>
    <cellStyle name="Millares 9 4 8" xfId="24090" xr:uid="{00000000-0005-0000-0000-000006490000}"/>
    <cellStyle name="Millares 9 4 9" xfId="24906" xr:uid="{00000000-0005-0000-0000-000007490000}"/>
    <cellStyle name="Millares 9 5" xfId="2304" xr:uid="{00000000-0005-0000-0000-000008490000}"/>
    <cellStyle name="Millares 9 5 10" xfId="13773" xr:uid="{00000000-0005-0000-0000-000009490000}"/>
    <cellStyle name="Millares 9 5 11" xfId="13772" xr:uid="{00000000-0005-0000-0000-00000A490000}"/>
    <cellStyle name="Millares 9 5 12" xfId="7216" xr:uid="{00000000-0005-0000-0000-00000B490000}"/>
    <cellStyle name="Millares 9 5 13" xfId="24092" xr:uid="{00000000-0005-0000-0000-00000C490000}"/>
    <cellStyle name="Millares 9 5 14" xfId="24908" xr:uid="{00000000-0005-0000-0000-00000D490000}"/>
    <cellStyle name="Millares 9 5 15" xfId="25412" xr:uid="{00000000-0005-0000-0000-00000E490000}"/>
    <cellStyle name="Millares 9 5 16" xfId="25916" xr:uid="{00000000-0005-0000-0000-00000F490000}"/>
    <cellStyle name="Millares 9 5 17" xfId="26420" xr:uid="{00000000-0005-0000-0000-000010490000}"/>
    <cellStyle name="Millares 9 5 18" xfId="26924" xr:uid="{00000000-0005-0000-0000-000011490000}"/>
    <cellStyle name="Millares 9 5 19" xfId="27428" xr:uid="{00000000-0005-0000-0000-000012490000}"/>
    <cellStyle name="Millares 9 5 2" xfId="6998" xr:uid="{00000000-0005-0000-0000-000013490000}"/>
    <cellStyle name="Millares 9 5 2 10" xfId="26925" xr:uid="{00000000-0005-0000-0000-000014490000}"/>
    <cellStyle name="Millares 9 5 2 11" xfId="27429" xr:uid="{00000000-0005-0000-0000-000015490000}"/>
    <cellStyle name="Millares 9 5 2 12" xfId="27933" xr:uid="{00000000-0005-0000-0000-000016490000}"/>
    <cellStyle name="Millares 9 5 2 13" xfId="28437" xr:uid="{00000000-0005-0000-0000-000017490000}"/>
    <cellStyle name="Millares 9 5 2 14" xfId="28941" xr:uid="{00000000-0005-0000-0000-000018490000}"/>
    <cellStyle name="Millares 9 5 2 15" xfId="29445" xr:uid="{00000000-0005-0000-0000-000019490000}"/>
    <cellStyle name="Millares 9 5 2 16" xfId="29949" xr:uid="{00000000-0005-0000-0000-00001A490000}"/>
    <cellStyle name="Millares 9 5 2 17" xfId="30453" xr:uid="{00000000-0005-0000-0000-00001B490000}"/>
    <cellStyle name="Millares 9 5 2 18" xfId="30958" xr:uid="{00000000-0005-0000-0000-00001C490000}"/>
    <cellStyle name="Millares 9 5 2 2" xfId="13775" xr:uid="{00000000-0005-0000-0000-00001D490000}"/>
    <cellStyle name="Millares 9 5 2 3" xfId="13774" xr:uid="{00000000-0005-0000-0000-00001E490000}"/>
    <cellStyle name="Millares 9 5 2 4" xfId="7329" xr:uid="{00000000-0005-0000-0000-00001F490000}"/>
    <cellStyle name="Millares 9 5 2 5" xfId="24093" xr:uid="{00000000-0005-0000-0000-000020490000}"/>
    <cellStyle name="Millares 9 5 2 6" xfId="24909" xr:uid="{00000000-0005-0000-0000-000021490000}"/>
    <cellStyle name="Millares 9 5 2 7" xfId="25413" xr:uid="{00000000-0005-0000-0000-000022490000}"/>
    <cellStyle name="Millares 9 5 2 8" xfId="25917" xr:uid="{00000000-0005-0000-0000-000023490000}"/>
    <cellStyle name="Millares 9 5 2 9" xfId="26421" xr:uid="{00000000-0005-0000-0000-000024490000}"/>
    <cellStyle name="Millares 9 5 20" xfId="27932" xr:uid="{00000000-0005-0000-0000-000025490000}"/>
    <cellStyle name="Millares 9 5 21" xfId="28436" xr:uid="{00000000-0005-0000-0000-000026490000}"/>
    <cellStyle name="Millares 9 5 22" xfId="28940" xr:uid="{00000000-0005-0000-0000-000027490000}"/>
    <cellStyle name="Millares 9 5 23" xfId="29444" xr:uid="{00000000-0005-0000-0000-000028490000}"/>
    <cellStyle name="Millares 9 5 24" xfId="29948" xr:uid="{00000000-0005-0000-0000-000029490000}"/>
    <cellStyle name="Millares 9 5 25" xfId="30452" xr:uid="{00000000-0005-0000-0000-00002A490000}"/>
    <cellStyle name="Millares 9 5 26" xfId="30957" xr:uid="{00000000-0005-0000-0000-00002B490000}"/>
    <cellStyle name="Millares 9 5 3" xfId="13776" xr:uid="{00000000-0005-0000-0000-00002C490000}"/>
    <cellStyle name="Millares 9 5 3 10" xfId="27934" xr:uid="{00000000-0005-0000-0000-00002D490000}"/>
    <cellStyle name="Millares 9 5 3 11" xfId="28438" xr:uid="{00000000-0005-0000-0000-00002E490000}"/>
    <cellStyle name="Millares 9 5 3 12" xfId="28942" xr:uid="{00000000-0005-0000-0000-00002F490000}"/>
    <cellStyle name="Millares 9 5 3 13" xfId="29446" xr:uid="{00000000-0005-0000-0000-000030490000}"/>
    <cellStyle name="Millares 9 5 3 14" xfId="29950" xr:uid="{00000000-0005-0000-0000-000031490000}"/>
    <cellStyle name="Millares 9 5 3 15" xfId="30454" xr:uid="{00000000-0005-0000-0000-000032490000}"/>
    <cellStyle name="Millares 9 5 3 16" xfId="30959" xr:uid="{00000000-0005-0000-0000-000033490000}"/>
    <cellStyle name="Millares 9 5 3 2" xfId="13777" xr:uid="{00000000-0005-0000-0000-000034490000}"/>
    <cellStyle name="Millares 9 5 3 3" xfId="24094" xr:uid="{00000000-0005-0000-0000-000035490000}"/>
    <cellStyle name="Millares 9 5 3 4" xfId="24910" xr:uid="{00000000-0005-0000-0000-000036490000}"/>
    <cellStyle name="Millares 9 5 3 5" xfId="25414" xr:uid="{00000000-0005-0000-0000-000037490000}"/>
    <cellStyle name="Millares 9 5 3 6" xfId="25918" xr:uid="{00000000-0005-0000-0000-000038490000}"/>
    <cellStyle name="Millares 9 5 3 7" xfId="26422" xr:uid="{00000000-0005-0000-0000-000039490000}"/>
    <cellStyle name="Millares 9 5 3 8" xfId="26926" xr:uid="{00000000-0005-0000-0000-00003A490000}"/>
    <cellStyle name="Millares 9 5 3 9" xfId="27430" xr:uid="{00000000-0005-0000-0000-00003B490000}"/>
    <cellStyle name="Millares 9 5 4" xfId="13778" xr:uid="{00000000-0005-0000-0000-00003C490000}"/>
    <cellStyle name="Millares 9 5 4 2" xfId="13779" xr:uid="{00000000-0005-0000-0000-00003D490000}"/>
    <cellStyle name="Millares 9 5 5" xfId="13780" xr:uid="{00000000-0005-0000-0000-00003E490000}"/>
    <cellStyle name="Millares 9 5 5 2" xfId="13781" xr:uid="{00000000-0005-0000-0000-00003F490000}"/>
    <cellStyle name="Millares 9 5 6" xfId="13782" xr:uid="{00000000-0005-0000-0000-000040490000}"/>
    <cellStyle name="Millares 9 5 6 2" xfId="13783" xr:uid="{00000000-0005-0000-0000-000041490000}"/>
    <cellStyle name="Millares 9 5 7" xfId="13784" xr:uid="{00000000-0005-0000-0000-000042490000}"/>
    <cellStyle name="Millares 9 5 8" xfId="13785" xr:uid="{00000000-0005-0000-0000-000043490000}"/>
    <cellStyle name="Millares 9 5 9" xfId="13786" xr:uid="{00000000-0005-0000-0000-000044490000}"/>
    <cellStyle name="Millares 9 6" xfId="2299" xr:uid="{00000000-0005-0000-0000-000045490000}"/>
    <cellStyle name="Millares 9 6 10" xfId="25919" xr:uid="{00000000-0005-0000-0000-000046490000}"/>
    <cellStyle name="Millares 9 6 11" xfId="26423" xr:uid="{00000000-0005-0000-0000-000047490000}"/>
    <cellStyle name="Millares 9 6 12" xfId="26927" xr:uid="{00000000-0005-0000-0000-000048490000}"/>
    <cellStyle name="Millares 9 6 13" xfId="27431" xr:uid="{00000000-0005-0000-0000-000049490000}"/>
    <cellStyle name="Millares 9 6 14" xfId="27935" xr:uid="{00000000-0005-0000-0000-00004A490000}"/>
    <cellStyle name="Millares 9 6 15" xfId="28439" xr:uid="{00000000-0005-0000-0000-00004B490000}"/>
    <cellStyle name="Millares 9 6 16" xfId="28943" xr:uid="{00000000-0005-0000-0000-00004C490000}"/>
    <cellStyle name="Millares 9 6 17" xfId="29447" xr:uid="{00000000-0005-0000-0000-00004D490000}"/>
    <cellStyle name="Millares 9 6 18" xfId="29951" xr:uid="{00000000-0005-0000-0000-00004E490000}"/>
    <cellStyle name="Millares 9 6 19" xfId="30455" xr:uid="{00000000-0005-0000-0000-00004F490000}"/>
    <cellStyle name="Millares 9 6 2" xfId="4314" xr:uid="{00000000-0005-0000-0000-000050490000}"/>
    <cellStyle name="Millares 9 6 2 10" xfId="27432" xr:uid="{00000000-0005-0000-0000-000051490000}"/>
    <cellStyle name="Millares 9 6 2 11" xfId="27936" xr:uid="{00000000-0005-0000-0000-000052490000}"/>
    <cellStyle name="Millares 9 6 2 12" xfId="28440" xr:uid="{00000000-0005-0000-0000-000053490000}"/>
    <cellStyle name="Millares 9 6 2 13" xfId="28944" xr:uid="{00000000-0005-0000-0000-000054490000}"/>
    <cellStyle name="Millares 9 6 2 14" xfId="29448" xr:uid="{00000000-0005-0000-0000-000055490000}"/>
    <cellStyle name="Millares 9 6 2 15" xfId="29952" xr:uid="{00000000-0005-0000-0000-000056490000}"/>
    <cellStyle name="Millares 9 6 2 16" xfId="30456" xr:uid="{00000000-0005-0000-0000-000057490000}"/>
    <cellStyle name="Millares 9 6 2 17" xfId="30961" xr:uid="{00000000-0005-0000-0000-000058490000}"/>
    <cellStyle name="Millares 9 6 2 2" xfId="13788" xr:uid="{00000000-0005-0000-0000-000059490000}"/>
    <cellStyle name="Millares 9 6 2 2 10" xfId="28441" xr:uid="{00000000-0005-0000-0000-00005A490000}"/>
    <cellStyle name="Millares 9 6 2 2 11" xfId="28945" xr:uid="{00000000-0005-0000-0000-00005B490000}"/>
    <cellStyle name="Millares 9 6 2 2 12" xfId="29449" xr:uid="{00000000-0005-0000-0000-00005C490000}"/>
    <cellStyle name="Millares 9 6 2 2 13" xfId="29953" xr:uid="{00000000-0005-0000-0000-00005D490000}"/>
    <cellStyle name="Millares 9 6 2 2 14" xfId="30457" xr:uid="{00000000-0005-0000-0000-00005E490000}"/>
    <cellStyle name="Millares 9 6 2 2 15" xfId="30962" xr:uid="{00000000-0005-0000-0000-00005F490000}"/>
    <cellStyle name="Millares 9 6 2 2 2" xfId="24097" xr:uid="{00000000-0005-0000-0000-000060490000}"/>
    <cellStyle name="Millares 9 6 2 2 3" xfId="24913" xr:uid="{00000000-0005-0000-0000-000061490000}"/>
    <cellStyle name="Millares 9 6 2 2 4" xfId="25417" xr:uid="{00000000-0005-0000-0000-000062490000}"/>
    <cellStyle name="Millares 9 6 2 2 5" xfId="25921" xr:uid="{00000000-0005-0000-0000-000063490000}"/>
    <cellStyle name="Millares 9 6 2 2 6" xfId="26425" xr:uid="{00000000-0005-0000-0000-000064490000}"/>
    <cellStyle name="Millares 9 6 2 2 7" xfId="26929" xr:uid="{00000000-0005-0000-0000-000065490000}"/>
    <cellStyle name="Millares 9 6 2 2 8" xfId="27433" xr:uid="{00000000-0005-0000-0000-000066490000}"/>
    <cellStyle name="Millares 9 6 2 2 9" xfId="27937" xr:uid="{00000000-0005-0000-0000-000067490000}"/>
    <cellStyle name="Millares 9 6 2 3" xfId="24098" xr:uid="{00000000-0005-0000-0000-000068490000}"/>
    <cellStyle name="Millares 9 6 2 3 10" xfId="28946" xr:uid="{00000000-0005-0000-0000-000069490000}"/>
    <cellStyle name="Millares 9 6 2 3 11" xfId="29450" xr:uid="{00000000-0005-0000-0000-00006A490000}"/>
    <cellStyle name="Millares 9 6 2 3 12" xfId="29954" xr:uid="{00000000-0005-0000-0000-00006B490000}"/>
    <cellStyle name="Millares 9 6 2 3 13" xfId="30458" xr:uid="{00000000-0005-0000-0000-00006C490000}"/>
    <cellStyle name="Millares 9 6 2 3 14" xfId="30963" xr:uid="{00000000-0005-0000-0000-00006D490000}"/>
    <cellStyle name="Millares 9 6 2 3 2" xfId="24914" xr:uid="{00000000-0005-0000-0000-00006E490000}"/>
    <cellStyle name="Millares 9 6 2 3 3" xfId="25418" xr:uid="{00000000-0005-0000-0000-00006F490000}"/>
    <cellStyle name="Millares 9 6 2 3 4" xfId="25922" xr:uid="{00000000-0005-0000-0000-000070490000}"/>
    <cellStyle name="Millares 9 6 2 3 5" xfId="26426" xr:uid="{00000000-0005-0000-0000-000071490000}"/>
    <cellStyle name="Millares 9 6 2 3 6" xfId="26930" xr:uid="{00000000-0005-0000-0000-000072490000}"/>
    <cellStyle name="Millares 9 6 2 3 7" xfId="27434" xr:uid="{00000000-0005-0000-0000-000073490000}"/>
    <cellStyle name="Millares 9 6 2 3 8" xfId="27938" xr:uid="{00000000-0005-0000-0000-000074490000}"/>
    <cellStyle name="Millares 9 6 2 3 9" xfId="28442" xr:uid="{00000000-0005-0000-0000-000075490000}"/>
    <cellStyle name="Millares 9 6 2 4" xfId="24096" xr:uid="{00000000-0005-0000-0000-000076490000}"/>
    <cellStyle name="Millares 9 6 2 5" xfId="24912" xr:uid="{00000000-0005-0000-0000-000077490000}"/>
    <cellStyle name="Millares 9 6 2 6" xfId="25416" xr:uid="{00000000-0005-0000-0000-000078490000}"/>
    <cellStyle name="Millares 9 6 2 7" xfId="25920" xr:uid="{00000000-0005-0000-0000-000079490000}"/>
    <cellStyle name="Millares 9 6 2 8" xfId="26424" xr:uid="{00000000-0005-0000-0000-00007A490000}"/>
    <cellStyle name="Millares 9 6 2 9" xfId="26928" xr:uid="{00000000-0005-0000-0000-00007B490000}"/>
    <cellStyle name="Millares 9 6 20" xfId="30960" xr:uid="{00000000-0005-0000-0000-00007C490000}"/>
    <cellStyle name="Millares 9 6 3" xfId="3451" xr:uid="{00000000-0005-0000-0000-00007D490000}"/>
    <cellStyle name="Millares 9 6 3 2" xfId="13789" xr:uid="{00000000-0005-0000-0000-00007E490000}"/>
    <cellStyle name="Millares 9 6 3 3" xfId="24099" xr:uid="{00000000-0005-0000-0000-00007F490000}"/>
    <cellStyle name="Millares 9 6 4" xfId="6999" xr:uid="{00000000-0005-0000-0000-000080490000}"/>
    <cellStyle name="Millares 9 6 4 2" xfId="13790" xr:uid="{00000000-0005-0000-0000-000081490000}"/>
    <cellStyle name="Millares 9 6 5" xfId="13787" xr:uid="{00000000-0005-0000-0000-000082490000}"/>
    <cellStyle name="Millares 9 6 6" xfId="7326" xr:uid="{00000000-0005-0000-0000-000083490000}"/>
    <cellStyle name="Millares 9 6 7" xfId="24095" xr:uid="{00000000-0005-0000-0000-000084490000}"/>
    <cellStyle name="Millares 9 6 8" xfId="24911" xr:uid="{00000000-0005-0000-0000-000085490000}"/>
    <cellStyle name="Millares 9 6 9" xfId="25415" xr:uid="{00000000-0005-0000-0000-000086490000}"/>
    <cellStyle name="Millares 9 7" xfId="3893" xr:uid="{00000000-0005-0000-0000-000087490000}"/>
    <cellStyle name="Millares 9 7 2" xfId="13792" xr:uid="{00000000-0005-0000-0000-000088490000}"/>
    <cellStyle name="Millares 9 7 3" xfId="13791" xr:uid="{00000000-0005-0000-0000-000089490000}"/>
    <cellStyle name="Millares 9 7 4" xfId="24100" xr:uid="{00000000-0005-0000-0000-00008A490000}"/>
    <cellStyle name="Millares 9 8" xfId="6993" xr:uid="{00000000-0005-0000-0000-00008B490000}"/>
    <cellStyle name="Millares 9 8 2" xfId="13794" xr:uid="{00000000-0005-0000-0000-00008C490000}"/>
    <cellStyle name="Millares 9 8 3" xfId="13793" xr:uid="{00000000-0005-0000-0000-00008D490000}"/>
    <cellStyle name="Millares 9 8 4" xfId="24101" xr:uid="{00000000-0005-0000-0000-00008E490000}"/>
    <cellStyle name="Millares 9 9" xfId="13795" xr:uid="{00000000-0005-0000-0000-00008F490000}"/>
    <cellStyle name="Millares 9 9 10" xfId="27939" xr:uid="{00000000-0005-0000-0000-000090490000}"/>
    <cellStyle name="Millares 9 9 11" xfId="28443" xr:uid="{00000000-0005-0000-0000-000091490000}"/>
    <cellStyle name="Millares 9 9 12" xfId="28947" xr:uid="{00000000-0005-0000-0000-000092490000}"/>
    <cellStyle name="Millares 9 9 13" xfId="29451" xr:uid="{00000000-0005-0000-0000-000093490000}"/>
    <cellStyle name="Millares 9 9 14" xfId="29955" xr:uid="{00000000-0005-0000-0000-000094490000}"/>
    <cellStyle name="Millares 9 9 15" xfId="30459" xr:uid="{00000000-0005-0000-0000-000095490000}"/>
    <cellStyle name="Millares 9 9 16" xfId="30964" xr:uid="{00000000-0005-0000-0000-000096490000}"/>
    <cellStyle name="Millares 9 9 2" xfId="13796" xr:uid="{00000000-0005-0000-0000-000097490000}"/>
    <cellStyle name="Millares 9 9 3" xfId="24102" xr:uid="{00000000-0005-0000-0000-000098490000}"/>
    <cellStyle name="Millares 9 9 4" xfId="24915" xr:uid="{00000000-0005-0000-0000-000099490000}"/>
    <cellStyle name="Millares 9 9 5" xfId="25419" xr:uid="{00000000-0005-0000-0000-00009A490000}"/>
    <cellStyle name="Millares 9 9 6" xfId="25923" xr:uid="{00000000-0005-0000-0000-00009B490000}"/>
    <cellStyle name="Millares 9 9 7" xfId="26427" xr:uid="{00000000-0005-0000-0000-00009C490000}"/>
    <cellStyle name="Millares 9 9 8" xfId="26931" xr:uid="{00000000-0005-0000-0000-00009D490000}"/>
    <cellStyle name="Millares 9 9 9" xfId="27435" xr:uid="{00000000-0005-0000-0000-00009E490000}"/>
    <cellStyle name="Millares 90" xfId="13797" xr:uid="{00000000-0005-0000-0000-00009F490000}"/>
    <cellStyle name="Millares 90 2" xfId="13798" xr:uid="{00000000-0005-0000-0000-0000A0490000}"/>
    <cellStyle name="Millares 90 3" xfId="24103" xr:uid="{00000000-0005-0000-0000-0000A1490000}"/>
    <cellStyle name="Millares 91" xfId="13799" xr:uid="{00000000-0005-0000-0000-0000A2490000}"/>
    <cellStyle name="Millares 91 2" xfId="13800" xr:uid="{00000000-0005-0000-0000-0000A3490000}"/>
    <cellStyle name="Millares 91 3" xfId="24104" xr:uid="{00000000-0005-0000-0000-0000A4490000}"/>
    <cellStyle name="Millares 92" xfId="13801" xr:uid="{00000000-0005-0000-0000-0000A5490000}"/>
    <cellStyle name="Millares 92 2" xfId="13802" xr:uid="{00000000-0005-0000-0000-0000A6490000}"/>
    <cellStyle name="Millares 92 3" xfId="24105" xr:uid="{00000000-0005-0000-0000-0000A7490000}"/>
    <cellStyle name="Millares 93" xfId="13803" xr:uid="{00000000-0005-0000-0000-0000A8490000}"/>
    <cellStyle name="Millares 93 2" xfId="13804" xr:uid="{00000000-0005-0000-0000-0000A9490000}"/>
    <cellStyle name="Millares 93 3" xfId="24106" xr:uid="{00000000-0005-0000-0000-0000AA490000}"/>
    <cellStyle name="Millares 94" xfId="13805" xr:uid="{00000000-0005-0000-0000-0000AB490000}"/>
    <cellStyle name="Millares 94 2" xfId="13806" xr:uid="{00000000-0005-0000-0000-0000AC490000}"/>
    <cellStyle name="Millares 94 3" xfId="24107" xr:uid="{00000000-0005-0000-0000-0000AD490000}"/>
    <cellStyle name="Millares 95" xfId="13807" xr:uid="{00000000-0005-0000-0000-0000AE490000}"/>
    <cellStyle name="Millares 95 2" xfId="13808" xr:uid="{00000000-0005-0000-0000-0000AF490000}"/>
    <cellStyle name="Millares 95 3" xfId="24108" xr:uid="{00000000-0005-0000-0000-0000B0490000}"/>
    <cellStyle name="Millares 96" xfId="13809" xr:uid="{00000000-0005-0000-0000-0000B1490000}"/>
    <cellStyle name="Millares 96 2" xfId="13810" xr:uid="{00000000-0005-0000-0000-0000B2490000}"/>
    <cellStyle name="Millares 96 3" xfId="24109" xr:uid="{00000000-0005-0000-0000-0000B3490000}"/>
    <cellStyle name="Millares 97" xfId="13811" xr:uid="{00000000-0005-0000-0000-0000B4490000}"/>
    <cellStyle name="Millares 97 2" xfId="13812" xr:uid="{00000000-0005-0000-0000-0000B5490000}"/>
    <cellStyle name="Millares 97 3" xfId="24110" xr:uid="{00000000-0005-0000-0000-0000B6490000}"/>
    <cellStyle name="Millares 98" xfId="13813" xr:uid="{00000000-0005-0000-0000-0000B7490000}"/>
    <cellStyle name="Millares 98 2" xfId="13814" xr:uid="{00000000-0005-0000-0000-0000B8490000}"/>
    <cellStyle name="Millares 98 3" xfId="24111" xr:uid="{00000000-0005-0000-0000-0000B9490000}"/>
    <cellStyle name="Millares 99" xfId="13815" xr:uid="{00000000-0005-0000-0000-0000BA490000}"/>
    <cellStyle name="Millares 99 10" xfId="27940" xr:uid="{00000000-0005-0000-0000-0000BB490000}"/>
    <cellStyle name="Millares 99 11" xfId="28444" xr:uid="{00000000-0005-0000-0000-0000BC490000}"/>
    <cellStyle name="Millares 99 12" xfId="28948" xr:uid="{00000000-0005-0000-0000-0000BD490000}"/>
    <cellStyle name="Millares 99 13" xfId="29452" xr:uid="{00000000-0005-0000-0000-0000BE490000}"/>
    <cellStyle name="Millares 99 14" xfId="29956" xr:uid="{00000000-0005-0000-0000-0000BF490000}"/>
    <cellStyle name="Millares 99 15" xfId="30460" xr:uid="{00000000-0005-0000-0000-0000C0490000}"/>
    <cellStyle name="Millares 99 16" xfId="30965" xr:uid="{00000000-0005-0000-0000-0000C1490000}"/>
    <cellStyle name="Millares 99 2" xfId="13816" xr:uid="{00000000-0005-0000-0000-0000C2490000}"/>
    <cellStyle name="Millares 99 3" xfId="24112" xr:uid="{00000000-0005-0000-0000-0000C3490000}"/>
    <cellStyle name="Millares 99 4" xfId="24916" xr:uid="{00000000-0005-0000-0000-0000C4490000}"/>
    <cellStyle name="Millares 99 5" xfId="25420" xr:uid="{00000000-0005-0000-0000-0000C5490000}"/>
    <cellStyle name="Millares 99 6" xfId="25924" xr:uid="{00000000-0005-0000-0000-0000C6490000}"/>
    <cellStyle name="Millares 99 7" xfId="26428" xr:uid="{00000000-0005-0000-0000-0000C7490000}"/>
    <cellStyle name="Millares 99 8" xfId="26932" xr:uid="{00000000-0005-0000-0000-0000C8490000}"/>
    <cellStyle name="Millares 99 9" xfId="27436" xr:uid="{00000000-0005-0000-0000-0000C9490000}"/>
    <cellStyle name="Millares_Final Junio y Julio" xfId="231" xr:uid="{00000000-0005-0000-0000-0000CA490000}"/>
    <cellStyle name="Millares_Programa Caso Base 2006" xfId="232" xr:uid="{00000000-0005-0000-0000-0000CB490000}"/>
    <cellStyle name="Millares_Programa producción 2009_12_Enero_2009" xfId="233" xr:uid="{00000000-0005-0000-0000-0000CC490000}"/>
    <cellStyle name="Millares_Programa producción 2009_12_Enero_2009 2" xfId="6769" xr:uid="{00000000-0005-0000-0000-0000CD490000}"/>
    <cellStyle name="Millares_Proyección Junio 2009" xfId="234" xr:uid="{00000000-0005-0000-0000-0000CE490000}"/>
    <cellStyle name="Moneda 10" xfId="2305" xr:uid="{00000000-0005-0000-0000-0000CF490000}"/>
    <cellStyle name="Moneda 10 2" xfId="13818" xr:uid="{00000000-0005-0000-0000-0000D0490000}"/>
    <cellStyle name="Moneda 10 3" xfId="13817" xr:uid="{00000000-0005-0000-0000-0000D1490000}"/>
    <cellStyle name="Moneda 11" xfId="2306" xr:uid="{00000000-0005-0000-0000-0000D2490000}"/>
    <cellStyle name="Moneda 11 2" xfId="13820" xr:uid="{00000000-0005-0000-0000-0000D3490000}"/>
    <cellStyle name="Moneda 11 3" xfId="13819" xr:uid="{00000000-0005-0000-0000-0000D4490000}"/>
    <cellStyle name="Moneda 12" xfId="2307" xr:uid="{00000000-0005-0000-0000-0000D5490000}"/>
    <cellStyle name="Moneda 12 2" xfId="13822" xr:uid="{00000000-0005-0000-0000-0000D6490000}"/>
    <cellStyle name="Moneda 12 3" xfId="13821" xr:uid="{00000000-0005-0000-0000-0000D7490000}"/>
    <cellStyle name="Moneda 13" xfId="2308" xr:uid="{00000000-0005-0000-0000-0000D8490000}"/>
    <cellStyle name="Moneda 13 2" xfId="2309" xr:uid="{00000000-0005-0000-0000-0000D9490000}"/>
    <cellStyle name="Moneda 13 2 2" xfId="4316" xr:uid="{00000000-0005-0000-0000-0000DA490000}"/>
    <cellStyle name="Moneda 13 2 2 2" xfId="13825" xr:uid="{00000000-0005-0000-0000-0000DB490000}"/>
    <cellStyle name="Moneda 13 2 3" xfId="3453" xr:uid="{00000000-0005-0000-0000-0000DC490000}"/>
    <cellStyle name="Moneda 13 2 3 2" xfId="13826" xr:uid="{00000000-0005-0000-0000-0000DD490000}"/>
    <cellStyle name="Moneda 13 2 4" xfId="7001" xr:uid="{00000000-0005-0000-0000-0000DE490000}"/>
    <cellStyle name="Moneda 13 2 4 2" xfId="13824" xr:uid="{00000000-0005-0000-0000-0000DF490000}"/>
    <cellStyle name="Moneda 13 3" xfId="4315" xr:uid="{00000000-0005-0000-0000-0000E0490000}"/>
    <cellStyle name="Moneda 13 3 2" xfId="13827" xr:uid="{00000000-0005-0000-0000-0000E1490000}"/>
    <cellStyle name="Moneda 13 4" xfId="3452" xr:uid="{00000000-0005-0000-0000-0000E2490000}"/>
    <cellStyle name="Moneda 13 4 2" xfId="13828" xr:uid="{00000000-0005-0000-0000-0000E3490000}"/>
    <cellStyle name="Moneda 13 5" xfId="7000" xr:uid="{00000000-0005-0000-0000-0000E4490000}"/>
    <cellStyle name="Moneda 13 5 2" xfId="13823" xr:uid="{00000000-0005-0000-0000-0000E5490000}"/>
    <cellStyle name="Moneda 14" xfId="13829" xr:uid="{00000000-0005-0000-0000-0000E6490000}"/>
    <cellStyle name="Moneda 14 2" xfId="13830" xr:uid="{00000000-0005-0000-0000-0000E7490000}"/>
    <cellStyle name="Moneda 15" xfId="13831" xr:uid="{00000000-0005-0000-0000-0000E8490000}"/>
    <cellStyle name="Moneda 2" xfId="2310" xr:uid="{00000000-0005-0000-0000-0000E9490000}"/>
    <cellStyle name="Moneda 2 10" xfId="13833" xr:uid="{00000000-0005-0000-0000-0000EA490000}"/>
    <cellStyle name="Moneda 2 11" xfId="13834" xr:uid="{00000000-0005-0000-0000-0000EB490000}"/>
    <cellStyle name="Moneda 2 12" xfId="13835" xr:uid="{00000000-0005-0000-0000-0000EC490000}"/>
    <cellStyle name="Moneda 2 13" xfId="13836" xr:uid="{00000000-0005-0000-0000-0000ED490000}"/>
    <cellStyle name="Moneda 2 14" xfId="13832" xr:uid="{00000000-0005-0000-0000-0000EE490000}"/>
    <cellStyle name="Moneda 2 15" xfId="23106" xr:uid="{00000000-0005-0000-0000-0000EF490000}"/>
    <cellStyle name="Moneda 2 2" xfId="2311" xr:uid="{00000000-0005-0000-0000-0000F0490000}"/>
    <cellStyle name="Moneda 2 2 2" xfId="13838" xr:uid="{00000000-0005-0000-0000-0000F1490000}"/>
    <cellStyle name="Moneda 2 2 3" xfId="13837" xr:uid="{00000000-0005-0000-0000-0000F2490000}"/>
    <cellStyle name="Moneda 2 3" xfId="2312" xr:uid="{00000000-0005-0000-0000-0000F3490000}"/>
    <cellStyle name="Moneda 2 3 2" xfId="4318" xr:uid="{00000000-0005-0000-0000-0000F4490000}"/>
    <cellStyle name="Moneda 2 3 2 2" xfId="13840" xr:uid="{00000000-0005-0000-0000-0000F5490000}"/>
    <cellStyle name="Moneda 2 3 3" xfId="3455" xr:uid="{00000000-0005-0000-0000-0000F6490000}"/>
    <cellStyle name="Moneda 2 3 3 2" xfId="13841" xr:uid="{00000000-0005-0000-0000-0000F7490000}"/>
    <cellStyle name="Moneda 2 3 4" xfId="7003" xr:uid="{00000000-0005-0000-0000-0000F8490000}"/>
    <cellStyle name="Moneda 2 3 4 2" xfId="13839" xr:uid="{00000000-0005-0000-0000-0000F9490000}"/>
    <cellStyle name="Moneda 2 4" xfId="4317" xr:uid="{00000000-0005-0000-0000-0000FA490000}"/>
    <cellStyle name="Moneda 2 4 2" xfId="13843" xr:uid="{00000000-0005-0000-0000-0000FB490000}"/>
    <cellStyle name="Moneda 2 4 3" xfId="13842" xr:uid="{00000000-0005-0000-0000-0000FC490000}"/>
    <cellStyle name="Moneda 2 4 4" xfId="7217" xr:uid="{00000000-0005-0000-0000-0000FD490000}"/>
    <cellStyle name="Moneda 2 5" xfId="3454" xr:uid="{00000000-0005-0000-0000-0000FE490000}"/>
    <cellStyle name="Moneda 2 5 2" xfId="13844" xr:uid="{00000000-0005-0000-0000-0000FF490000}"/>
    <cellStyle name="Moneda 2 6" xfId="7002" xr:uid="{00000000-0005-0000-0000-0000004A0000}"/>
    <cellStyle name="Moneda 2 6 2" xfId="13846" xr:uid="{00000000-0005-0000-0000-0000014A0000}"/>
    <cellStyle name="Moneda 2 6 3" xfId="13845" xr:uid="{00000000-0005-0000-0000-0000024A0000}"/>
    <cellStyle name="Moneda 2 7" xfId="13847" xr:uid="{00000000-0005-0000-0000-0000034A0000}"/>
    <cellStyle name="Moneda 2 7 2" xfId="13848" xr:uid="{00000000-0005-0000-0000-0000044A0000}"/>
    <cellStyle name="Moneda 2 8" xfId="13849" xr:uid="{00000000-0005-0000-0000-0000054A0000}"/>
    <cellStyle name="Moneda 2 9" xfId="13850" xr:uid="{00000000-0005-0000-0000-0000064A0000}"/>
    <cellStyle name="Moneda 3" xfId="2313" xr:uid="{00000000-0005-0000-0000-0000074A0000}"/>
    <cellStyle name="Moneda 3 10" xfId="13852" xr:uid="{00000000-0005-0000-0000-0000084A0000}"/>
    <cellStyle name="Moneda 3 11" xfId="13851" xr:uid="{00000000-0005-0000-0000-0000094A0000}"/>
    <cellStyle name="Moneda 3 2" xfId="2314" xr:uid="{00000000-0005-0000-0000-00000A4A0000}"/>
    <cellStyle name="Moneda 3 2 2" xfId="4320" xr:uid="{00000000-0005-0000-0000-00000B4A0000}"/>
    <cellStyle name="Moneda 3 2 2 2" xfId="13854" xr:uid="{00000000-0005-0000-0000-00000C4A0000}"/>
    <cellStyle name="Moneda 3 2 3" xfId="3457" xr:uid="{00000000-0005-0000-0000-00000D4A0000}"/>
    <cellStyle name="Moneda 3 2 3 2" xfId="13855" xr:uid="{00000000-0005-0000-0000-00000E4A0000}"/>
    <cellStyle name="Moneda 3 2 4" xfId="7005" xr:uid="{00000000-0005-0000-0000-00000F4A0000}"/>
    <cellStyle name="Moneda 3 2 4 2" xfId="13856" xr:uid="{00000000-0005-0000-0000-0000104A0000}"/>
    <cellStyle name="Moneda 3 2 5" xfId="13857" xr:uid="{00000000-0005-0000-0000-0000114A0000}"/>
    <cellStyle name="Moneda 3 2 6" xfId="13853" xr:uid="{00000000-0005-0000-0000-0000124A0000}"/>
    <cellStyle name="Moneda 3 3" xfId="2315" xr:uid="{00000000-0005-0000-0000-0000134A0000}"/>
    <cellStyle name="Moneda 3 3 2" xfId="4321" xr:uid="{00000000-0005-0000-0000-0000144A0000}"/>
    <cellStyle name="Moneda 3 3 2 2" xfId="13859" xr:uid="{00000000-0005-0000-0000-0000154A0000}"/>
    <cellStyle name="Moneda 3 3 3" xfId="3458" xr:uid="{00000000-0005-0000-0000-0000164A0000}"/>
    <cellStyle name="Moneda 3 3 3 2" xfId="13860" xr:uid="{00000000-0005-0000-0000-0000174A0000}"/>
    <cellStyle name="Moneda 3 3 4" xfId="7006" xr:uid="{00000000-0005-0000-0000-0000184A0000}"/>
    <cellStyle name="Moneda 3 3 4 2" xfId="13861" xr:uid="{00000000-0005-0000-0000-0000194A0000}"/>
    <cellStyle name="Moneda 3 3 5" xfId="13862" xr:uid="{00000000-0005-0000-0000-00001A4A0000}"/>
    <cellStyle name="Moneda 3 3 6" xfId="13858" xr:uid="{00000000-0005-0000-0000-00001B4A0000}"/>
    <cellStyle name="Moneda 3 4" xfId="2316" xr:uid="{00000000-0005-0000-0000-00001C4A0000}"/>
    <cellStyle name="Moneda 3 4 2" xfId="13864" xr:uid="{00000000-0005-0000-0000-00001D4A0000}"/>
    <cellStyle name="Moneda 3 4 3" xfId="13863" xr:uid="{00000000-0005-0000-0000-00001E4A0000}"/>
    <cellStyle name="Moneda 3 5" xfId="4319" xr:uid="{00000000-0005-0000-0000-00001F4A0000}"/>
    <cellStyle name="Moneda 3 5 2" xfId="13866" xr:uid="{00000000-0005-0000-0000-0000204A0000}"/>
    <cellStyle name="Moneda 3 5 3" xfId="13865" xr:uid="{00000000-0005-0000-0000-0000214A0000}"/>
    <cellStyle name="Moneda 3 5 4" xfId="7218" xr:uid="{00000000-0005-0000-0000-0000224A0000}"/>
    <cellStyle name="Moneda 3 6" xfId="3456" xr:uid="{00000000-0005-0000-0000-0000234A0000}"/>
    <cellStyle name="Moneda 3 6 2" xfId="13868" xr:uid="{00000000-0005-0000-0000-0000244A0000}"/>
    <cellStyle name="Moneda 3 6 3" xfId="13867" xr:uid="{00000000-0005-0000-0000-0000254A0000}"/>
    <cellStyle name="Moneda 3 7" xfId="7004" xr:uid="{00000000-0005-0000-0000-0000264A0000}"/>
    <cellStyle name="Moneda 3 7 2" xfId="13869" xr:uid="{00000000-0005-0000-0000-0000274A0000}"/>
    <cellStyle name="Moneda 3 8" xfId="13870" xr:uid="{00000000-0005-0000-0000-0000284A0000}"/>
    <cellStyle name="Moneda 3 9" xfId="13871" xr:uid="{00000000-0005-0000-0000-0000294A0000}"/>
    <cellStyle name="Moneda 4" xfId="2317" xr:uid="{00000000-0005-0000-0000-00002A4A0000}"/>
    <cellStyle name="Moneda 4 2" xfId="2318" xr:uid="{00000000-0005-0000-0000-00002B4A0000}"/>
    <cellStyle name="Moneda 4 2 2" xfId="4323" xr:uid="{00000000-0005-0000-0000-00002C4A0000}"/>
    <cellStyle name="Moneda 4 2 2 2" xfId="13874" xr:uid="{00000000-0005-0000-0000-00002D4A0000}"/>
    <cellStyle name="Moneda 4 2 3" xfId="3460" xr:uid="{00000000-0005-0000-0000-00002E4A0000}"/>
    <cellStyle name="Moneda 4 2 3 2" xfId="13875" xr:uid="{00000000-0005-0000-0000-00002F4A0000}"/>
    <cellStyle name="Moneda 4 2 4" xfId="7008" xr:uid="{00000000-0005-0000-0000-0000304A0000}"/>
    <cellStyle name="Moneda 4 2 4 2" xfId="13876" xr:uid="{00000000-0005-0000-0000-0000314A0000}"/>
    <cellStyle name="Moneda 4 2 5" xfId="13877" xr:uid="{00000000-0005-0000-0000-0000324A0000}"/>
    <cellStyle name="Moneda 4 2 6" xfId="13873" xr:uid="{00000000-0005-0000-0000-0000334A0000}"/>
    <cellStyle name="Moneda 4 3" xfId="2319" xr:uid="{00000000-0005-0000-0000-0000344A0000}"/>
    <cellStyle name="Moneda 4 3 2" xfId="4324" xr:uid="{00000000-0005-0000-0000-0000354A0000}"/>
    <cellStyle name="Moneda 4 3 2 2" xfId="13879" xr:uid="{00000000-0005-0000-0000-0000364A0000}"/>
    <cellStyle name="Moneda 4 3 3" xfId="3461" xr:uid="{00000000-0005-0000-0000-0000374A0000}"/>
    <cellStyle name="Moneda 4 3 3 2" xfId="13880" xr:uid="{00000000-0005-0000-0000-0000384A0000}"/>
    <cellStyle name="Moneda 4 3 4" xfId="7009" xr:uid="{00000000-0005-0000-0000-0000394A0000}"/>
    <cellStyle name="Moneda 4 3 4 2" xfId="13881" xr:uid="{00000000-0005-0000-0000-00003A4A0000}"/>
    <cellStyle name="Moneda 4 3 5" xfId="13882" xr:uid="{00000000-0005-0000-0000-00003B4A0000}"/>
    <cellStyle name="Moneda 4 3 6" xfId="13878" xr:uid="{00000000-0005-0000-0000-00003C4A0000}"/>
    <cellStyle name="Moneda 4 4" xfId="4322" xr:uid="{00000000-0005-0000-0000-00003D4A0000}"/>
    <cellStyle name="Moneda 4 4 2" xfId="13883" xr:uid="{00000000-0005-0000-0000-00003E4A0000}"/>
    <cellStyle name="Moneda 4 5" xfId="3459" xr:uid="{00000000-0005-0000-0000-00003F4A0000}"/>
    <cellStyle name="Moneda 4 5 2" xfId="13884" xr:uid="{00000000-0005-0000-0000-0000404A0000}"/>
    <cellStyle name="Moneda 4 6" xfId="7007" xr:uid="{00000000-0005-0000-0000-0000414A0000}"/>
    <cellStyle name="Moneda 4 6 2" xfId="13885" xr:uid="{00000000-0005-0000-0000-0000424A0000}"/>
    <cellStyle name="Moneda 4 7" xfId="13886" xr:uid="{00000000-0005-0000-0000-0000434A0000}"/>
    <cellStyle name="Moneda 4 8" xfId="13872" xr:uid="{00000000-0005-0000-0000-0000444A0000}"/>
    <cellStyle name="Moneda 5" xfId="2320" xr:uid="{00000000-0005-0000-0000-0000454A0000}"/>
    <cellStyle name="Moneda 5 2" xfId="13888" xr:uid="{00000000-0005-0000-0000-0000464A0000}"/>
    <cellStyle name="Moneda 5 3" xfId="13887" xr:uid="{00000000-0005-0000-0000-0000474A0000}"/>
    <cellStyle name="Moneda 6" xfId="2321" xr:uid="{00000000-0005-0000-0000-0000484A0000}"/>
    <cellStyle name="Moneda 6 2" xfId="13890" xr:uid="{00000000-0005-0000-0000-0000494A0000}"/>
    <cellStyle name="Moneda 6 3" xfId="13889" xr:uid="{00000000-0005-0000-0000-00004A4A0000}"/>
    <cellStyle name="Moneda 7" xfId="2322" xr:uid="{00000000-0005-0000-0000-00004B4A0000}"/>
    <cellStyle name="Moneda 7 2" xfId="13892" xr:uid="{00000000-0005-0000-0000-00004C4A0000}"/>
    <cellStyle name="Moneda 7 3" xfId="13891" xr:uid="{00000000-0005-0000-0000-00004D4A0000}"/>
    <cellStyle name="Moneda 8" xfId="2323" xr:uid="{00000000-0005-0000-0000-00004E4A0000}"/>
    <cellStyle name="Moneda 8 2" xfId="13894" xr:uid="{00000000-0005-0000-0000-00004F4A0000}"/>
    <cellStyle name="Moneda 8 3" xfId="13893" xr:uid="{00000000-0005-0000-0000-0000504A0000}"/>
    <cellStyle name="Moneda 9" xfId="2324" xr:uid="{00000000-0005-0000-0000-0000514A0000}"/>
    <cellStyle name="Moneda 9 2" xfId="13896" xr:uid="{00000000-0005-0000-0000-0000524A0000}"/>
    <cellStyle name="Moneda 9 3" xfId="13895" xr:uid="{00000000-0005-0000-0000-0000534A0000}"/>
    <cellStyle name="Moneda0" xfId="235" xr:uid="{00000000-0005-0000-0000-0000544A0000}"/>
    <cellStyle name="Moneda0 2" xfId="13898" xr:uid="{00000000-0005-0000-0000-0000554A0000}"/>
    <cellStyle name="Moneda0 3" xfId="13897" xr:uid="{00000000-0005-0000-0000-0000564A0000}"/>
    <cellStyle name="Monetario" xfId="236" xr:uid="{00000000-0005-0000-0000-0000574A0000}"/>
    <cellStyle name="Monetario 2" xfId="13900" xr:uid="{00000000-0005-0000-0000-0000584A0000}"/>
    <cellStyle name="Monetario 3" xfId="13899" xr:uid="{00000000-0005-0000-0000-0000594A0000}"/>
    <cellStyle name="Monetario0" xfId="237" xr:uid="{00000000-0005-0000-0000-00005A4A0000}"/>
    <cellStyle name="Monetario0 2" xfId="13902" xr:uid="{00000000-0005-0000-0000-00005B4A0000}"/>
    <cellStyle name="Monetario0 3" xfId="13901" xr:uid="{00000000-0005-0000-0000-00005C4A0000}"/>
    <cellStyle name="Neutral" xfId="238" builtinId="28" customBuiltin="1"/>
    <cellStyle name="Neutral 10" xfId="1264" xr:uid="{00000000-0005-0000-0000-00005E4A0000}"/>
    <cellStyle name="Neutral 11" xfId="1263" xr:uid="{00000000-0005-0000-0000-00005F4A0000}"/>
    <cellStyle name="Neutral 12" xfId="1404" xr:uid="{00000000-0005-0000-0000-0000604A0000}"/>
    <cellStyle name="Neutral 13" xfId="4907" xr:uid="{00000000-0005-0000-0000-0000614A0000}"/>
    <cellStyle name="Neutral 14" xfId="31117" xr:uid="{7A5E12CC-4129-4600-B6C3-DA5ADAFB5FCC}"/>
    <cellStyle name="Neutral 2" xfId="1265" xr:uid="{00000000-0005-0000-0000-0000624A0000}"/>
    <cellStyle name="Neutral 2 2" xfId="2325" xr:uid="{00000000-0005-0000-0000-0000634A0000}"/>
    <cellStyle name="Neutral 2 2 2" xfId="3462" xr:uid="{00000000-0005-0000-0000-0000644A0000}"/>
    <cellStyle name="Neutral 2 2 2 2" xfId="13907" xr:uid="{00000000-0005-0000-0000-0000654A0000}"/>
    <cellStyle name="Neutral 2 2 2 3" xfId="13906" xr:uid="{00000000-0005-0000-0000-0000664A0000}"/>
    <cellStyle name="Neutral 2 2 3" xfId="13908" xr:uid="{00000000-0005-0000-0000-0000674A0000}"/>
    <cellStyle name="Neutral 2 2 4" xfId="13909" xr:uid="{00000000-0005-0000-0000-0000684A0000}"/>
    <cellStyle name="Neutral 2 2 5" xfId="13905" xr:uid="{00000000-0005-0000-0000-0000694A0000}"/>
    <cellStyle name="Neutral 2 3" xfId="13910" xr:uid="{00000000-0005-0000-0000-00006A4A0000}"/>
    <cellStyle name="Neutral 2 3 2" xfId="23107" xr:uid="{00000000-0005-0000-0000-00006B4A0000}"/>
    <cellStyle name="Neutral 2 4" xfId="13911" xr:uid="{00000000-0005-0000-0000-00006C4A0000}"/>
    <cellStyle name="Neutral 2 5" xfId="13904" xr:uid="{00000000-0005-0000-0000-00006D4A0000}"/>
    <cellStyle name="Neutral 2 6" xfId="31159" xr:uid="{02E748E0-C274-41B9-A834-E408C569B200}"/>
    <cellStyle name="Neutral 3" xfId="1266" xr:uid="{00000000-0005-0000-0000-00006E4A0000}"/>
    <cellStyle name="Neutral 3 2" xfId="2326" xr:uid="{00000000-0005-0000-0000-00006F4A0000}"/>
    <cellStyle name="Neutral 3 2 2" xfId="13914" xr:uid="{00000000-0005-0000-0000-0000704A0000}"/>
    <cellStyle name="Neutral 3 2 3" xfId="13913" xr:uid="{00000000-0005-0000-0000-0000714A0000}"/>
    <cellStyle name="Neutral 3 3" xfId="2327" xr:uid="{00000000-0005-0000-0000-0000724A0000}"/>
    <cellStyle name="Neutral 3 3 2" xfId="13916" xr:uid="{00000000-0005-0000-0000-0000734A0000}"/>
    <cellStyle name="Neutral 3 3 3" xfId="13915" xr:uid="{00000000-0005-0000-0000-0000744A0000}"/>
    <cellStyle name="Neutral 3 4" xfId="13917" xr:uid="{00000000-0005-0000-0000-0000754A0000}"/>
    <cellStyle name="Neutral 3 4 2" xfId="24113" xr:uid="{00000000-0005-0000-0000-0000764A0000}"/>
    <cellStyle name="Neutral 3 5" xfId="13918" xr:uid="{00000000-0005-0000-0000-0000774A0000}"/>
    <cellStyle name="Neutral 3 5 2" xfId="24114" xr:uid="{00000000-0005-0000-0000-0000784A0000}"/>
    <cellStyle name="Neutral 3 6" xfId="13919" xr:uid="{00000000-0005-0000-0000-0000794A0000}"/>
    <cellStyle name="Neutral 3 7" xfId="13912" xr:uid="{00000000-0005-0000-0000-00007A4A0000}"/>
    <cellStyle name="Neutral 4" xfId="1267" xr:uid="{00000000-0005-0000-0000-00007B4A0000}"/>
    <cellStyle name="Neutral 4 2" xfId="13921" xr:uid="{00000000-0005-0000-0000-00007C4A0000}"/>
    <cellStyle name="Neutral 4 3" xfId="13922" xr:uid="{00000000-0005-0000-0000-00007D4A0000}"/>
    <cellStyle name="Neutral 4 4" xfId="13923" xr:uid="{00000000-0005-0000-0000-00007E4A0000}"/>
    <cellStyle name="Neutral 4 5" xfId="13924" xr:uid="{00000000-0005-0000-0000-00007F4A0000}"/>
    <cellStyle name="Neutral 4 6" xfId="13920" xr:uid="{00000000-0005-0000-0000-0000804A0000}"/>
    <cellStyle name="Neutral 5" xfId="1268" xr:uid="{00000000-0005-0000-0000-0000814A0000}"/>
    <cellStyle name="Neutral 5 2" xfId="2328" xr:uid="{00000000-0005-0000-0000-0000824A0000}"/>
    <cellStyle name="Neutral 5 2 2" xfId="13926" xr:uid="{00000000-0005-0000-0000-0000834A0000}"/>
    <cellStyle name="Neutral 5 2 3" xfId="24115" xr:uid="{00000000-0005-0000-0000-0000844A0000}"/>
    <cellStyle name="Neutral 5 3" xfId="3896" xr:uid="{00000000-0005-0000-0000-0000854A0000}"/>
    <cellStyle name="Neutral 5 3 2" xfId="13927" xr:uid="{00000000-0005-0000-0000-0000864A0000}"/>
    <cellStyle name="Neutral 5 3 3" xfId="24116" xr:uid="{00000000-0005-0000-0000-0000874A0000}"/>
    <cellStyle name="Neutral 5 4" xfId="3463" xr:uid="{00000000-0005-0000-0000-0000884A0000}"/>
    <cellStyle name="Neutral 5 4 2" xfId="13928" xr:uid="{00000000-0005-0000-0000-0000894A0000}"/>
    <cellStyle name="Neutral 5 5" xfId="13925" xr:uid="{00000000-0005-0000-0000-00008A4A0000}"/>
    <cellStyle name="Neutral 6" xfId="1269" xr:uid="{00000000-0005-0000-0000-00008B4A0000}"/>
    <cellStyle name="Neutral 6 2" xfId="2329" xr:uid="{00000000-0005-0000-0000-00008C4A0000}"/>
    <cellStyle name="Neutral 6 2 2" xfId="13930" xr:uid="{00000000-0005-0000-0000-00008D4A0000}"/>
    <cellStyle name="Neutral 6 2 3" xfId="24117" xr:uid="{00000000-0005-0000-0000-00008E4A0000}"/>
    <cellStyle name="Neutral 6 3" xfId="3897" xr:uid="{00000000-0005-0000-0000-00008F4A0000}"/>
    <cellStyle name="Neutral 6 3 2" xfId="13929" xr:uid="{00000000-0005-0000-0000-0000904A0000}"/>
    <cellStyle name="Neutral 6 3 3" xfId="24118" xr:uid="{00000000-0005-0000-0000-0000914A0000}"/>
    <cellStyle name="Neutral 6 4" xfId="3464" xr:uid="{00000000-0005-0000-0000-0000924A0000}"/>
    <cellStyle name="Neutral 7" xfId="1270" xr:uid="{00000000-0005-0000-0000-0000934A0000}"/>
    <cellStyle name="Neutral 7 2" xfId="13931" xr:uid="{00000000-0005-0000-0000-0000944A0000}"/>
    <cellStyle name="Neutral 8" xfId="1271" xr:uid="{00000000-0005-0000-0000-0000954A0000}"/>
    <cellStyle name="Neutral 8 2" xfId="13932" xr:uid="{00000000-0005-0000-0000-0000964A0000}"/>
    <cellStyle name="Neutral 9" xfId="1272" xr:uid="{00000000-0005-0000-0000-0000974A0000}"/>
    <cellStyle name="Neutral 9 2" xfId="13903" xr:uid="{00000000-0005-0000-0000-0000984A0000}"/>
    <cellStyle name="No-definido" xfId="239" xr:uid="{00000000-0005-0000-0000-0000994A0000}"/>
    <cellStyle name="No-definido 2" xfId="240" xr:uid="{00000000-0005-0000-0000-00009A4A0000}"/>
    <cellStyle name="No-definido 2 2" xfId="657" xr:uid="{00000000-0005-0000-0000-00009B4A0000}"/>
    <cellStyle name="No-definido 2 2 2" xfId="13935" xr:uid="{00000000-0005-0000-0000-00009C4A0000}"/>
    <cellStyle name="No-definido 2 3" xfId="13936" xr:uid="{00000000-0005-0000-0000-00009D4A0000}"/>
    <cellStyle name="No-definido 2 4" xfId="13937" xr:uid="{00000000-0005-0000-0000-00009E4A0000}"/>
    <cellStyle name="No-definido 2 5" xfId="13934" xr:uid="{00000000-0005-0000-0000-00009F4A0000}"/>
    <cellStyle name="No-definido 3" xfId="241" xr:uid="{00000000-0005-0000-0000-0000A04A0000}"/>
    <cellStyle name="No-definido 3 2" xfId="658" xr:uid="{00000000-0005-0000-0000-0000A14A0000}"/>
    <cellStyle name="No-definido 3 2 2" xfId="13939" xr:uid="{00000000-0005-0000-0000-0000A24A0000}"/>
    <cellStyle name="No-definido 3 3" xfId="13940" xr:uid="{00000000-0005-0000-0000-0000A34A0000}"/>
    <cellStyle name="No-definido 3 4" xfId="13941" xr:uid="{00000000-0005-0000-0000-0000A44A0000}"/>
    <cellStyle name="No-definido 3 5" xfId="13938" xr:uid="{00000000-0005-0000-0000-0000A54A0000}"/>
    <cellStyle name="No-definido 4" xfId="242" xr:uid="{00000000-0005-0000-0000-0000A64A0000}"/>
    <cellStyle name="No-definido 4 2" xfId="659" xr:uid="{00000000-0005-0000-0000-0000A74A0000}"/>
    <cellStyle name="No-definido 4 2 2" xfId="13943" xr:uid="{00000000-0005-0000-0000-0000A84A0000}"/>
    <cellStyle name="No-definido 4 3" xfId="13944" xr:uid="{00000000-0005-0000-0000-0000A94A0000}"/>
    <cellStyle name="No-definido 4 4" xfId="13945" xr:uid="{00000000-0005-0000-0000-0000AA4A0000}"/>
    <cellStyle name="No-definido 4 5" xfId="13942" xr:uid="{00000000-0005-0000-0000-0000AB4A0000}"/>
    <cellStyle name="No-definido 5" xfId="243" xr:uid="{00000000-0005-0000-0000-0000AC4A0000}"/>
    <cellStyle name="No-definido 5 2" xfId="660" xr:uid="{00000000-0005-0000-0000-0000AD4A0000}"/>
    <cellStyle name="No-definido 5 2 2" xfId="13947" xr:uid="{00000000-0005-0000-0000-0000AE4A0000}"/>
    <cellStyle name="No-definido 5 3" xfId="13948" xr:uid="{00000000-0005-0000-0000-0000AF4A0000}"/>
    <cellStyle name="No-definido 5 4" xfId="13949" xr:uid="{00000000-0005-0000-0000-0000B04A0000}"/>
    <cellStyle name="No-definido 5 5" xfId="13946" xr:uid="{00000000-0005-0000-0000-0000B14A0000}"/>
    <cellStyle name="No-definido 6" xfId="13950" xr:uid="{00000000-0005-0000-0000-0000B24A0000}"/>
    <cellStyle name="No-definido 6 2" xfId="24119" xr:uid="{00000000-0005-0000-0000-0000B34A0000}"/>
    <cellStyle name="No-definido 7" xfId="13951" xr:uid="{00000000-0005-0000-0000-0000B44A0000}"/>
    <cellStyle name="No-definido 8" xfId="13952" xr:uid="{00000000-0005-0000-0000-0000B54A0000}"/>
    <cellStyle name="No-definido 9" xfId="13933" xr:uid="{00000000-0005-0000-0000-0000B64A0000}"/>
    <cellStyle name="No-definido_Budget 2012 - Plan de Producción (15092011)" xfId="13953" xr:uid="{00000000-0005-0000-0000-0000B74A0000}"/>
    <cellStyle name="Normal" xfId="0" builtinId="0"/>
    <cellStyle name="Normal 10" xfId="244" xr:uid="{00000000-0005-0000-0000-0000B94A0000}"/>
    <cellStyle name="Normal 10 10" xfId="13954" xr:uid="{00000000-0005-0000-0000-0000BA4A0000}"/>
    <cellStyle name="Normal 10 11" xfId="18914" xr:uid="{00000000-0005-0000-0000-0000BB4A0000}"/>
    <cellStyle name="Normal 10 12" xfId="23108" xr:uid="{00000000-0005-0000-0000-0000BC4A0000}"/>
    <cellStyle name="Normal 10 2" xfId="245" xr:uid="{00000000-0005-0000-0000-0000BD4A0000}"/>
    <cellStyle name="Normal 10 2 2" xfId="2330" xr:uid="{00000000-0005-0000-0000-0000BE4A0000}"/>
    <cellStyle name="Normal 10 2 2 2" xfId="13957" xr:uid="{00000000-0005-0000-0000-0000BF4A0000}"/>
    <cellStyle name="Normal 10 2 2 2 2" xfId="18917" xr:uid="{00000000-0005-0000-0000-0000C04A0000}"/>
    <cellStyle name="Normal 10 2 2 3" xfId="13956" xr:uid="{00000000-0005-0000-0000-0000C14A0000}"/>
    <cellStyle name="Normal 10 2 2 4" xfId="18916" xr:uid="{00000000-0005-0000-0000-0000C24A0000}"/>
    <cellStyle name="Normal 10 2 3" xfId="2331" xr:uid="{00000000-0005-0000-0000-0000C34A0000}"/>
    <cellStyle name="Normal 10 2 3 2" xfId="13959" xr:uid="{00000000-0005-0000-0000-0000C44A0000}"/>
    <cellStyle name="Normal 10 2 3 2 2" xfId="18919" xr:uid="{00000000-0005-0000-0000-0000C54A0000}"/>
    <cellStyle name="Normal 10 2 3 3" xfId="13958" xr:uid="{00000000-0005-0000-0000-0000C64A0000}"/>
    <cellStyle name="Normal 10 2 3 4" xfId="18918" xr:uid="{00000000-0005-0000-0000-0000C74A0000}"/>
    <cellStyle name="Normal 10 2 4" xfId="13960" xr:uid="{00000000-0005-0000-0000-0000C84A0000}"/>
    <cellStyle name="Normal 10 2 4 2" xfId="18920" xr:uid="{00000000-0005-0000-0000-0000C94A0000}"/>
    <cellStyle name="Normal 10 2 4 3" xfId="24120" xr:uid="{00000000-0005-0000-0000-0000CA4A0000}"/>
    <cellStyle name="Normal 10 2 5" xfId="13961" xr:uid="{00000000-0005-0000-0000-0000CB4A0000}"/>
    <cellStyle name="Normal 10 2 5 2" xfId="18921" xr:uid="{00000000-0005-0000-0000-0000CC4A0000}"/>
    <cellStyle name="Normal 10 2 6" xfId="13962" xr:uid="{00000000-0005-0000-0000-0000CD4A0000}"/>
    <cellStyle name="Normal 10 2 6 2" xfId="18922" xr:uid="{00000000-0005-0000-0000-0000CE4A0000}"/>
    <cellStyle name="Normal 10 2 7" xfId="13963" xr:uid="{00000000-0005-0000-0000-0000CF4A0000}"/>
    <cellStyle name="Normal 10 2 7 2" xfId="18923" xr:uid="{00000000-0005-0000-0000-0000D04A0000}"/>
    <cellStyle name="Normal 10 2 8" xfId="13955" xr:uid="{00000000-0005-0000-0000-0000D14A0000}"/>
    <cellStyle name="Normal 10 2 9" xfId="18915" xr:uid="{00000000-0005-0000-0000-0000D24A0000}"/>
    <cellStyle name="Normal 10 3" xfId="1273" xr:uid="{00000000-0005-0000-0000-0000D34A0000}"/>
    <cellStyle name="Normal 10 3 2" xfId="1468" xr:uid="{00000000-0005-0000-0000-0000D44A0000}"/>
    <cellStyle name="Normal 10 3 2 2" xfId="1670" xr:uid="{00000000-0005-0000-0000-0000D54A0000}"/>
    <cellStyle name="Normal 10 3 2 2 10" xfId="26429" xr:uid="{00000000-0005-0000-0000-0000D64A0000}"/>
    <cellStyle name="Normal 10 3 2 2 11" xfId="26933" xr:uid="{00000000-0005-0000-0000-0000D74A0000}"/>
    <cellStyle name="Normal 10 3 2 2 12" xfId="27437" xr:uid="{00000000-0005-0000-0000-0000D84A0000}"/>
    <cellStyle name="Normal 10 3 2 2 13" xfId="27941" xr:uid="{00000000-0005-0000-0000-0000D94A0000}"/>
    <cellStyle name="Normal 10 3 2 2 14" xfId="28445" xr:uid="{00000000-0005-0000-0000-0000DA4A0000}"/>
    <cellStyle name="Normal 10 3 2 2 15" xfId="28949" xr:uid="{00000000-0005-0000-0000-0000DB4A0000}"/>
    <cellStyle name="Normal 10 3 2 2 16" xfId="29453" xr:uid="{00000000-0005-0000-0000-0000DC4A0000}"/>
    <cellStyle name="Normal 10 3 2 2 17" xfId="29957" xr:uid="{00000000-0005-0000-0000-0000DD4A0000}"/>
    <cellStyle name="Normal 10 3 2 2 18" xfId="30461" xr:uid="{00000000-0005-0000-0000-0000DE4A0000}"/>
    <cellStyle name="Normal 10 3 2 2 19" xfId="30966" xr:uid="{00000000-0005-0000-0000-0000DF4A0000}"/>
    <cellStyle name="Normal 10 3 2 2 2" xfId="3097" xr:uid="{00000000-0005-0000-0000-0000E04A0000}"/>
    <cellStyle name="Normal 10 3 2 2 2 2" xfId="4716" xr:uid="{00000000-0005-0000-0000-0000E14A0000}"/>
    <cellStyle name="Normal 10 3 2 2 2 2 2" xfId="6583" xr:uid="{00000000-0005-0000-0000-0000E24A0000}"/>
    <cellStyle name="Normal 10 3 2 2 2 3" xfId="5681" xr:uid="{00000000-0005-0000-0000-0000E34A0000}"/>
    <cellStyle name="Normal 10 3 2 2 3" xfId="4189" xr:uid="{00000000-0005-0000-0000-0000E44A0000}"/>
    <cellStyle name="Normal 10 3 2 2 3 2" xfId="6137" xr:uid="{00000000-0005-0000-0000-0000E54A0000}"/>
    <cellStyle name="Normal 10 3 2 2 4" xfId="5223" xr:uid="{00000000-0005-0000-0000-0000E64A0000}"/>
    <cellStyle name="Normal 10 3 2 2 5" xfId="18925" xr:uid="{00000000-0005-0000-0000-0000E74A0000}"/>
    <cellStyle name="Normal 10 3 2 2 6" xfId="24122" xr:uid="{00000000-0005-0000-0000-0000E84A0000}"/>
    <cellStyle name="Normal 10 3 2 2 7" xfId="24917" xr:uid="{00000000-0005-0000-0000-0000E94A0000}"/>
    <cellStyle name="Normal 10 3 2 2 8" xfId="25421" xr:uid="{00000000-0005-0000-0000-0000EA4A0000}"/>
    <cellStyle name="Normal 10 3 2 2 9" xfId="25925" xr:uid="{00000000-0005-0000-0000-0000EB4A0000}"/>
    <cellStyle name="Normal 10 3 2 3" xfId="2902" xr:uid="{00000000-0005-0000-0000-0000EC4A0000}"/>
    <cellStyle name="Normal 10 3 2 3 2" xfId="4521" xr:uid="{00000000-0005-0000-0000-0000ED4A0000}"/>
    <cellStyle name="Normal 10 3 2 3 2 2" xfId="6388" xr:uid="{00000000-0005-0000-0000-0000EE4A0000}"/>
    <cellStyle name="Normal 10 3 2 3 3" xfId="5486" xr:uid="{00000000-0005-0000-0000-0000EF4A0000}"/>
    <cellStyle name="Normal 10 3 2 4" xfId="3989" xr:uid="{00000000-0005-0000-0000-0000F04A0000}"/>
    <cellStyle name="Normal 10 3 2 4 2" xfId="5943" xr:uid="{00000000-0005-0000-0000-0000F14A0000}"/>
    <cellStyle name="Normal 10 3 2 5" xfId="5028" xr:uid="{00000000-0005-0000-0000-0000F24A0000}"/>
    <cellStyle name="Normal 10 3 2 6" xfId="13965" xr:uid="{00000000-0005-0000-0000-0000F34A0000}"/>
    <cellStyle name="Normal 10 3 2 7" xfId="24121" xr:uid="{00000000-0005-0000-0000-0000F44A0000}"/>
    <cellStyle name="Normal 10 3 3" xfId="1671" xr:uid="{00000000-0005-0000-0000-0000F54A0000}"/>
    <cellStyle name="Normal 10 3 3 2" xfId="3098" xr:uid="{00000000-0005-0000-0000-0000F64A0000}"/>
    <cellStyle name="Normal 10 3 3 2 10" xfId="26934" xr:uid="{00000000-0005-0000-0000-0000F74A0000}"/>
    <cellStyle name="Normal 10 3 3 2 11" xfId="27438" xr:uid="{00000000-0005-0000-0000-0000F84A0000}"/>
    <cellStyle name="Normal 10 3 3 2 12" xfId="27942" xr:uid="{00000000-0005-0000-0000-0000F94A0000}"/>
    <cellStyle name="Normal 10 3 3 2 13" xfId="28446" xr:uid="{00000000-0005-0000-0000-0000FA4A0000}"/>
    <cellStyle name="Normal 10 3 3 2 14" xfId="28950" xr:uid="{00000000-0005-0000-0000-0000FB4A0000}"/>
    <cellStyle name="Normal 10 3 3 2 15" xfId="29454" xr:uid="{00000000-0005-0000-0000-0000FC4A0000}"/>
    <cellStyle name="Normal 10 3 3 2 16" xfId="29958" xr:uid="{00000000-0005-0000-0000-0000FD4A0000}"/>
    <cellStyle name="Normal 10 3 3 2 17" xfId="30462" xr:uid="{00000000-0005-0000-0000-0000FE4A0000}"/>
    <cellStyle name="Normal 10 3 3 2 18" xfId="30967" xr:uid="{00000000-0005-0000-0000-0000FF4A0000}"/>
    <cellStyle name="Normal 10 3 3 2 2" xfId="4717" xr:uid="{00000000-0005-0000-0000-0000004B0000}"/>
    <cellStyle name="Normal 10 3 3 2 2 2" xfId="6584" xr:uid="{00000000-0005-0000-0000-0000014B0000}"/>
    <cellStyle name="Normal 10 3 3 2 3" xfId="5682" xr:uid="{00000000-0005-0000-0000-0000024B0000}"/>
    <cellStyle name="Normal 10 3 3 2 4" xfId="18926" xr:uid="{00000000-0005-0000-0000-0000034B0000}"/>
    <cellStyle name="Normal 10 3 3 2 5" xfId="24124" xr:uid="{00000000-0005-0000-0000-0000044B0000}"/>
    <cellStyle name="Normal 10 3 3 2 6" xfId="24918" xr:uid="{00000000-0005-0000-0000-0000054B0000}"/>
    <cellStyle name="Normal 10 3 3 2 7" xfId="25422" xr:uid="{00000000-0005-0000-0000-0000064B0000}"/>
    <cellStyle name="Normal 10 3 3 2 8" xfId="25926" xr:uid="{00000000-0005-0000-0000-0000074B0000}"/>
    <cellStyle name="Normal 10 3 3 2 9" xfId="26430" xr:uid="{00000000-0005-0000-0000-0000084B0000}"/>
    <cellStyle name="Normal 10 3 3 3" xfId="4190" xr:uid="{00000000-0005-0000-0000-0000094B0000}"/>
    <cellStyle name="Normal 10 3 3 3 2" xfId="6138" xr:uid="{00000000-0005-0000-0000-00000A4B0000}"/>
    <cellStyle name="Normal 10 3 3 4" xfId="5224" xr:uid="{00000000-0005-0000-0000-00000B4B0000}"/>
    <cellStyle name="Normal 10 3 3 5" xfId="13966" xr:uid="{00000000-0005-0000-0000-00000C4B0000}"/>
    <cellStyle name="Normal 10 3 3 6" xfId="24123" xr:uid="{00000000-0005-0000-0000-00000D4B0000}"/>
    <cellStyle name="Normal 10 3 4" xfId="2332" xr:uid="{00000000-0005-0000-0000-00000E4B0000}"/>
    <cellStyle name="Normal 10 3 4 2" xfId="18927" xr:uid="{00000000-0005-0000-0000-00000F4B0000}"/>
    <cellStyle name="Normal 10 3 4 3" xfId="13967" xr:uid="{00000000-0005-0000-0000-0000104B0000}"/>
    <cellStyle name="Normal 10 3 5" xfId="2844" xr:uid="{00000000-0005-0000-0000-0000114B0000}"/>
    <cellStyle name="Normal 10 3 5 2" xfId="4464" xr:uid="{00000000-0005-0000-0000-0000124B0000}"/>
    <cellStyle name="Normal 10 3 5 2 2" xfId="6331" xr:uid="{00000000-0005-0000-0000-0000134B0000}"/>
    <cellStyle name="Normal 10 3 5 3" xfId="5429" xr:uid="{00000000-0005-0000-0000-0000144B0000}"/>
    <cellStyle name="Normal 10 3 5 4" xfId="13964" xr:uid="{00000000-0005-0000-0000-0000154B0000}"/>
    <cellStyle name="Normal 10 3 6" xfId="3898" xr:uid="{00000000-0005-0000-0000-0000164B0000}"/>
    <cellStyle name="Normal 10 3 6 2" xfId="5887" xr:uid="{00000000-0005-0000-0000-0000174B0000}"/>
    <cellStyle name="Normal 10 3 6 3" xfId="18924" xr:uid="{00000000-0005-0000-0000-0000184B0000}"/>
    <cellStyle name="Normal 10 3 7" xfId="4971" xr:uid="{00000000-0005-0000-0000-0000194B0000}"/>
    <cellStyle name="Normal 10 4" xfId="1512" xr:uid="{00000000-0005-0000-0000-00001A4B0000}"/>
    <cellStyle name="Normal 10 4 2" xfId="1672" xr:uid="{00000000-0005-0000-0000-00001B4B0000}"/>
    <cellStyle name="Normal 10 4 2 2" xfId="3099" xr:uid="{00000000-0005-0000-0000-00001C4B0000}"/>
    <cellStyle name="Normal 10 4 2 2 2" xfId="4718" xr:uid="{00000000-0005-0000-0000-00001D4B0000}"/>
    <cellStyle name="Normal 10 4 2 2 2 2" xfId="6585" xr:uid="{00000000-0005-0000-0000-00001E4B0000}"/>
    <cellStyle name="Normal 10 4 2 2 3" xfId="5683" xr:uid="{00000000-0005-0000-0000-00001F4B0000}"/>
    <cellStyle name="Normal 10 4 2 2 4" xfId="18929" xr:uid="{00000000-0005-0000-0000-0000204B0000}"/>
    <cellStyle name="Normal 10 4 2 3" xfId="4191" xr:uid="{00000000-0005-0000-0000-0000214B0000}"/>
    <cellStyle name="Normal 10 4 2 3 2" xfId="6139" xr:uid="{00000000-0005-0000-0000-0000224B0000}"/>
    <cellStyle name="Normal 10 4 2 4" xfId="5225" xr:uid="{00000000-0005-0000-0000-0000234B0000}"/>
    <cellStyle name="Normal 10 4 2 5" xfId="13969" xr:uid="{00000000-0005-0000-0000-0000244B0000}"/>
    <cellStyle name="Normal 10 4 3" xfId="2333" xr:uid="{00000000-0005-0000-0000-0000254B0000}"/>
    <cellStyle name="Normal 10 4 3 2" xfId="13968" xr:uid="{00000000-0005-0000-0000-0000264B0000}"/>
    <cellStyle name="Normal 10 4 4" xfId="2941" xr:uid="{00000000-0005-0000-0000-0000274B0000}"/>
    <cellStyle name="Normal 10 4 4 2" xfId="4560" xr:uid="{00000000-0005-0000-0000-0000284B0000}"/>
    <cellStyle name="Normal 10 4 4 2 2" xfId="6427" xr:uid="{00000000-0005-0000-0000-0000294B0000}"/>
    <cellStyle name="Normal 10 4 4 3" xfId="5525" xr:uid="{00000000-0005-0000-0000-00002A4B0000}"/>
    <cellStyle name="Normal 10 4 4 4" xfId="18928" xr:uid="{00000000-0005-0000-0000-00002B4B0000}"/>
    <cellStyle name="Normal 10 4 5" xfId="4032" xr:uid="{00000000-0005-0000-0000-00002C4B0000}"/>
    <cellStyle name="Normal 10 4 5 2" xfId="5982" xr:uid="{00000000-0005-0000-0000-00002D4B0000}"/>
    <cellStyle name="Normal 10 4 6" xfId="5067" xr:uid="{00000000-0005-0000-0000-00002E4B0000}"/>
    <cellStyle name="Normal 10 4 7" xfId="23109" xr:uid="{00000000-0005-0000-0000-00002F4B0000}"/>
    <cellStyle name="Normal 10 5" xfId="1673" xr:uid="{00000000-0005-0000-0000-0000304B0000}"/>
    <cellStyle name="Normal 10 5 2" xfId="2334" xr:uid="{00000000-0005-0000-0000-0000314B0000}"/>
    <cellStyle name="Normal 10 5 2 2" xfId="18931" xr:uid="{00000000-0005-0000-0000-0000324B0000}"/>
    <cellStyle name="Normal 10 5 2 3" xfId="13971" xr:uid="{00000000-0005-0000-0000-0000334B0000}"/>
    <cellStyle name="Normal 10 5 3" xfId="3100" xr:uid="{00000000-0005-0000-0000-0000344B0000}"/>
    <cellStyle name="Normal 10 5 3 2" xfId="4719" xr:uid="{00000000-0005-0000-0000-0000354B0000}"/>
    <cellStyle name="Normal 10 5 3 2 2" xfId="6586" xr:uid="{00000000-0005-0000-0000-0000364B0000}"/>
    <cellStyle name="Normal 10 5 3 3" xfId="5684" xr:uid="{00000000-0005-0000-0000-0000374B0000}"/>
    <cellStyle name="Normal 10 5 3 4" xfId="13970" xr:uid="{00000000-0005-0000-0000-0000384B0000}"/>
    <cellStyle name="Normal 10 5 4" xfId="4192" xr:uid="{00000000-0005-0000-0000-0000394B0000}"/>
    <cellStyle name="Normal 10 5 4 2" xfId="6140" xr:uid="{00000000-0005-0000-0000-00003A4B0000}"/>
    <cellStyle name="Normal 10 5 4 3" xfId="18930" xr:uid="{00000000-0005-0000-0000-00003B4B0000}"/>
    <cellStyle name="Normal 10 5 5" xfId="5226" xr:uid="{00000000-0005-0000-0000-00003C4B0000}"/>
    <cellStyle name="Normal 10 6" xfId="4824" xr:uid="{00000000-0005-0000-0000-00003D4B0000}"/>
    <cellStyle name="Normal 10 6 2" xfId="6668" xr:uid="{00000000-0005-0000-0000-00003E4B0000}"/>
    <cellStyle name="Normal 10 6 2 2" xfId="18932" xr:uid="{00000000-0005-0000-0000-00003F4B0000}"/>
    <cellStyle name="Normal 10 6 3" xfId="13972" xr:uid="{00000000-0005-0000-0000-0000404B0000}"/>
    <cellStyle name="Normal 10 7" xfId="4870" xr:uid="{00000000-0005-0000-0000-0000414B0000}"/>
    <cellStyle name="Normal 10 7 2" xfId="6710" xr:uid="{00000000-0005-0000-0000-0000424B0000}"/>
    <cellStyle name="Normal 10 7 2 2" xfId="18933" xr:uid="{00000000-0005-0000-0000-0000434B0000}"/>
    <cellStyle name="Normal 10 7 3" xfId="13973" xr:uid="{00000000-0005-0000-0000-0000444B0000}"/>
    <cellStyle name="Normal 10 8" xfId="6754" xr:uid="{00000000-0005-0000-0000-0000454B0000}"/>
    <cellStyle name="Normal 10 8 2" xfId="18934" xr:uid="{00000000-0005-0000-0000-0000464B0000}"/>
    <cellStyle name="Normal 10 8 3" xfId="13974" xr:uid="{00000000-0005-0000-0000-0000474B0000}"/>
    <cellStyle name="Normal 10 9" xfId="13975" xr:uid="{00000000-0005-0000-0000-0000484B0000}"/>
    <cellStyle name="Normal 10 9 2" xfId="18935" xr:uid="{00000000-0005-0000-0000-0000494B0000}"/>
    <cellStyle name="Normal 10_Xl0000150" xfId="445" xr:uid="{00000000-0005-0000-0000-00004A4B0000}"/>
    <cellStyle name="Normal 100" xfId="3465" xr:uid="{00000000-0005-0000-0000-00004B4B0000}"/>
    <cellStyle name="Normal 100 10" xfId="26431" xr:uid="{00000000-0005-0000-0000-00004C4B0000}"/>
    <cellStyle name="Normal 100 11" xfId="26935" xr:uid="{00000000-0005-0000-0000-00004D4B0000}"/>
    <cellStyle name="Normal 100 12" xfId="27439" xr:uid="{00000000-0005-0000-0000-00004E4B0000}"/>
    <cellStyle name="Normal 100 13" xfId="27943" xr:uid="{00000000-0005-0000-0000-00004F4B0000}"/>
    <cellStyle name="Normal 100 14" xfId="28447" xr:uid="{00000000-0005-0000-0000-0000504B0000}"/>
    <cellStyle name="Normal 100 15" xfId="28951" xr:uid="{00000000-0005-0000-0000-0000514B0000}"/>
    <cellStyle name="Normal 100 16" xfId="29455" xr:uid="{00000000-0005-0000-0000-0000524B0000}"/>
    <cellStyle name="Normal 100 17" xfId="29959" xr:uid="{00000000-0005-0000-0000-0000534B0000}"/>
    <cellStyle name="Normal 100 18" xfId="30463" xr:uid="{00000000-0005-0000-0000-0000544B0000}"/>
    <cellStyle name="Normal 100 19" xfId="30968" xr:uid="{00000000-0005-0000-0000-0000554B0000}"/>
    <cellStyle name="Normal 100 2" xfId="5769" xr:uid="{00000000-0005-0000-0000-0000564B0000}"/>
    <cellStyle name="Normal 100 2 2" xfId="18937" xr:uid="{00000000-0005-0000-0000-0000574B0000}"/>
    <cellStyle name="Normal 100 2 3" xfId="13977" xr:uid="{00000000-0005-0000-0000-0000584B0000}"/>
    <cellStyle name="Normal 100 3" xfId="7010" xr:uid="{00000000-0005-0000-0000-0000594B0000}"/>
    <cellStyle name="Normal 100 3 2" xfId="18938" xr:uid="{00000000-0005-0000-0000-00005A4B0000}"/>
    <cellStyle name="Normal 100 3 3" xfId="13978" xr:uid="{00000000-0005-0000-0000-00005B4B0000}"/>
    <cellStyle name="Normal 100 4" xfId="18936" xr:uid="{00000000-0005-0000-0000-00005C4B0000}"/>
    <cellStyle name="Normal 100 5" xfId="13976" xr:uid="{00000000-0005-0000-0000-00005D4B0000}"/>
    <cellStyle name="Normal 100 6" xfId="24125" xr:uid="{00000000-0005-0000-0000-00005E4B0000}"/>
    <cellStyle name="Normal 100 7" xfId="24919" xr:uid="{00000000-0005-0000-0000-00005F4B0000}"/>
    <cellStyle name="Normal 100 8" xfId="25423" xr:uid="{00000000-0005-0000-0000-0000604B0000}"/>
    <cellStyle name="Normal 100 9" xfId="25927" xr:uid="{00000000-0005-0000-0000-0000614B0000}"/>
    <cellStyle name="Normal 101" xfId="3159" xr:uid="{00000000-0005-0000-0000-0000624B0000}"/>
    <cellStyle name="Normal 101 2" xfId="5728" xr:uid="{00000000-0005-0000-0000-0000634B0000}"/>
    <cellStyle name="Normal 101 2 2" xfId="18940" xr:uid="{00000000-0005-0000-0000-0000644B0000}"/>
    <cellStyle name="Normal 101 2 3" xfId="13980" xr:uid="{00000000-0005-0000-0000-0000654B0000}"/>
    <cellStyle name="Normal 101 3" xfId="13981" xr:uid="{00000000-0005-0000-0000-0000664B0000}"/>
    <cellStyle name="Normal 101 3 2" xfId="18941" xr:uid="{00000000-0005-0000-0000-0000674B0000}"/>
    <cellStyle name="Normal 101 4" xfId="18939" xr:uid="{00000000-0005-0000-0000-0000684B0000}"/>
    <cellStyle name="Normal 101 5" xfId="13979" xr:uid="{00000000-0005-0000-0000-0000694B0000}"/>
    <cellStyle name="Normal 102" xfId="4785" xr:uid="{00000000-0005-0000-0000-00006A4B0000}"/>
    <cellStyle name="Normal 102 2" xfId="6630" xr:uid="{00000000-0005-0000-0000-00006B4B0000}"/>
    <cellStyle name="Normal 102 2 2" xfId="18943" xr:uid="{00000000-0005-0000-0000-00006C4B0000}"/>
    <cellStyle name="Normal 102 2 3" xfId="13983" xr:uid="{00000000-0005-0000-0000-00006D4B0000}"/>
    <cellStyle name="Normal 102 3" xfId="13984" xr:uid="{00000000-0005-0000-0000-00006E4B0000}"/>
    <cellStyle name="Normal 102 3 2" xfId="18944" xr:uid="{00000000-0005-0000-0000-00006F4B0000}"/>
    <cellStyle name="Normal 102 4" xfId="18942" xr:uid="{00000000-0005-0000-0000-0000704B0000}"/>
    <cellStyle name="Normal 102 5" xfId="13982" xr:uid="{00000000-0005-0000-0000-0000714B0000}"/>
    <cellStyle name="Normal 103" xfId="4828" xr:uid="{00000000-0005-0000-0000-0000724B0000}"/>
    <cellStyle name="Normal 103 2" xfId="6672" xr:uid="{00000000-0005-0000-0000-0000734B0000}"/>
    <cellStyle name="Normal 103 2 2" xfId="18946" xr:uid="{00000000-0005-0000-0000-0000744B0000}"/>
    <cellStyle name="Normal 103 2 3" xfId="13986" xr:uid="{00000000-0005-0000-0000-0000754B0000}"/>
    <cellStyle name="Normal 103 3" xfId="13987" xr:uid="{00000000-0005-0000-0000-0000764B0000}"/>
    <cellStyle name="Normal 103 3 2" xfId="18947" xr:uid="{00000000-0005-0000-0000-0000774B0000}"/>
    <cellStyle name="Normal 103 4" xfId="18945" xr:uid="{00000000-0005-0000-0000-0000784B0000}"/>
    <cellStyle name="Normal 103 5" xfId="13985" xr:uid="{00000000-0005-0000-0000-0000794B0000}"/>
    <cellStyle name="Normal 104 2" xfId="13989" xr:uid="{00000000-0005-0000-0000-00007B4B0000}"/>
    <cellStyle name="Normal 104 2 2" xfId="18949" xr:uid="{00000000-0005-0000-0000-00007C4B0000}"/>
    <cellStyle name="Normal 104 3" xfId="13990" xr:uid="{00000000-0005-0000-0000-00007D4B0000}"/>
    <cellStyle name="Normal 104 3 2" xfId="18950" xr:uid="{00000000-0005-0000-0000-00007E4B0000}"/>
    <cellStyle name="Normal 104 4" xfId="18948" xr:uid="{00000000-0005-0000-0000-00007F4B0000}"/>
    <cellStyle name="Normal 104 5" xfId="13988" xr:uid="{00000000-0005-0000-0000-0000804B0000}"/>
    <cellStyle name="Normal 105" xfId="4874" xr:uid="{00000000-0005-0000-0000-0000814B0000}"/>
    <cellStyle name="Normal 105 2" xfId="13992" xr:uid="{00000000-0005-0000-0000-0000824B0000}"/>
    <cellStyle name="Normal 105 2 2" xfId="18952" xr:uid="{00000000-0005-0000-0000-0000834B0000}"/>
    <cellStyle name="Normal 105 3" xfId="13993" xr:uid="{00000000-0005-0000-0000-0000844B0000}"/>
    <cellStyle name="Normal 105 3 2" xfId="18953" xr:uid="{00000000-0005-0000-0000-0000854B0000}"/>
    <cellStyle name="Normal 105 4" xfId="18951" xr:uid="{00000000-0005-0000-0000-0000864B0000}"/>
    <cellStyle name="Normal 105 5" xfId="13991" xr:uid="{00000000-0005-0000-0000-0000874B0000}"/>
    <cellStyle name="Normal 106" xfId="6759" xr:uid="{00000000-0005-0000-0000-0000884B0000}"/>
    <cellStyle name="Normal 106 2" xfId="13995" xr:uid="{00000000-0005-0000-0000-0000894B0000}"/>
    <cellStyle name="Normal 106 2 2" xfId="18955" xr:uid="{00000000-0005-0000-0000-00008A4B0000}"/>
    <cellStyle name="Normal 106 3" xfId="13996" xr:uid="{00000000-0005-0000-0000-00008B4B0000}"/>
    <cellStyle name="Normal 106 3 2" xfId="18956" xr:uid="{00000000-0005-0000-0000-00008C4B0000}"/>
    <cellStyle name="Normal 106 4" xfId="18954" xr:uid="{00000000-0005-0000-0000-00008D4B0000}"/>
    <cellStyle name="Normal 106 5" xfId="13994" xr:uid="{00000000-0005-0000-0000-00008E4B0000}"/>
    <cellStyle name="Normal 107" xfId="6767" xr:uid="{00000000-0005-0000-0000-00008F4B0000}"/>
    <cellStyle name="Normal 107 2" xfId="13998" xr:uid="{00000000-0005-0000-0000-0000904B0000}"/>
    <cellStyle name="Normal 107 2 2" xfId="18958" xr:uid="{00000000-0005-0000-0000-0000914B0000}"/>
    <cellStyle name="Normal 107 3" xfId="13999" xr:uid="{00000000-0005-0000-0000-0000924B0000}"/>
    <cellStyle name="Normal 107 3 2" xfId="18959" xr:uid="{00000000-0005-0000-0000-0000934B0000}"/>
    <cellStyle name="Normal 107 4" xfId="18957" xr:uid="{00000000-0005-0000-0000-0000944B0000}"/>
    <cellStyle name="Normal 107 5" xfId="13997" xr:uid="{00000000-0005-0000-0000-0000954B0000}"/>
    <cellStyle name="Normal 108" xfId="6770" xr:uid="{00000000-0005-0000-0000-0000964B0000}"/>
    <cellStyle name="Normal 108 2" xfId="14001" xr:uid="{00000000-0005-0000-0000-0000974B0000}"/>
    <cellStyle name="Normal 108 2 2" xfId="18961" xr:uid="{00000000-0005-0000-0000-0000984B0000}"/>
    <cellStyle name="Normal 108 3" xfId="14002" xr:uid="{00000000-0005-0000-0000-0000994B0000}"/>
    <cellStyle name="Normal 108 3 2" xfId="18962" xr:uid="{00000000-0005-0000-0000-00009A4B0000}"/>
    <cellStyle name="Normal 108 4" xfId="18960" xr:uid="{00000000-0005-0000-0000-00009B4B0000}"/>
    <cellStyle name="Normal 108 5" xfId="14000" xr:uid="{00000000-0005-0000-0000-00009C4B0000}"/>
    <cellStyle name="Normal 109" xfId="14003" xr:uid="{00000000-0005-0000-0000-00009D4B0000}"/>
    <cellStyle name="Normal 109 2" xfId="14004" xr:uid="{00000000-0005-0000-0000-00009E4B0000}"/>
    <cellStyle name="Normal 109 2 2" xfId="18964" xr:uid="{00000000-0005-0000-0000-00009F4B0000}"/>
    <cellStyle name="Normal 109 3" xfId="14005" xr:uid="{00000000-0005-0000-0000-0000A04B0000}"/>
    <cellStyle name="Normal 109 3 2" xfId="18965" xr:uid="{00000000-0005-0000-0000-0000A14B0000}"/>
    <cellStyle name="Normal 109 4" xfId="18963" xr:uid="{00000000-0005-0000-0000-0000A24B0000}"/>
    <cellStyle name="Normal 11" xfId="246" xr:uid="{00000000-0005-0000-0000-0000A34B0000}"/>
    <cellStyle name="Normal 11 10" xfId="14006" xr:uid="{00000000-0005-0000-0000-0000A44B0000}"/>
    <cellStyle name="Normal 11 11" xfId="18966" xr:uid="{00000000-0005-0000-0000-0000A54B0000}"/>
    <cellStyle name="Normal 11 2" xfId="247" xr:uid="{00000000-0005-0000-0000-0000A64B0000}"/>
    <cellStyle name="Normal 11 2 2" xfId="2335" xr:uid="{00000000-0005-0000-0000-0000A74B0000}"/>
    <cellStyle name="Normal 11 2 2 2" xfId="14009" xr:uid="{00000000-0005-0000-0000-0000A84B0000}"/>
    <cellStyle name="Normal 11 2 2 2 2" xfId="18969" xr:uid="{00000000-0005-0000-0000-0000A94B0000}"/>
    <cellStyle name="Normal 11 2 2 3" xfId="14008" xr:uid="{00000000-0005-0000-0000-0000AA4B0000}"/>
    <cellStyle name="Normal 11 2 2 4" xfId="18968" xr:uid="{00000000-0005-0000-0000-0000AB4B0000}"/>
    <cellStyle name="Normal 11 2 3" xfId="2336" xr:uid="{00000000-0005-0000-0000-0000AC4B0000}"/>
    <cellStyle name="Normal 11 2 3 2" xfId="14011" xr:uid="{00000000-0005-0000-0000-0000AD4B0000}"/>
    <cellStyle name="Normal 11 2 3 2 2" xfId="18971" xr:uid="{00000000-0005-0000-0000-0000AE4B0000}"/>
    <cellStyle name="Normal 11 2 3 3" xfId="14010" xr:uid="{00000000-0005-0000-0000-0000AF4B0000}"/>
    <cellStyle name="Normal 11 2 3 4" xfId="18970" xr:uid="{00000000-0005-0000-0000-0000B04B0000}"/>
    <cellStyle name="Normal 11 2 4" xfId="14012" xr:uid="{00000000-0005-0000-0000-0000B14B0000}"/>
    <cellStyle name="Normal 11 2 4 2" xfId="18972" xr:uid="{00000000-0005-0000-0000-0000B24B0000}"/>
    <cellStyle name="Normal 11 2 5" xfId="14013" xr:uid="{00000000-0005-0000-0000-0000B34B0000}"/>
    <cellStyle name="Normal 11 2 5 2" xfId="18973" xr:uid="{00000000-0005-0000-0000-0000B44B0000}"/>
    <cellStyle name="Normal 11 2 6" xfId="14014" xr:uid="{00000000-0005-0000-0000-0000B54B0000}"/>
    <cellStyle name="Normal 11 2 6 2" xfId="18974" xr:uid="{00000000-0005-0000-0000-0000B64B0000}"/>
    <cellStyle name="Normal 11 2 7" xfId="14015" xr:uid="{00000000-0005-0000-0000-0000B74B0000}"/>
    <cellStyle name="Normal 11 2 7 2" xfId="18975" xr:uid="{00000000-0005-0000-0000-0000B84B0000}"/>
    <cellStyle name="Normal 11 2 8" xfId="14007" xr:uid="{00000000-0005-0000-0000-0000B94B0000}"/>
    <cellStyle name="Normal 11 2 9" xfId="18967" xr:uid="{00000000-0005-0000-0000-0000BA4B0000}"/>
    <cellStyle name="Normal 11 3" xfId="1274" xr:uid="{00000000-0005-0000-0000-0000BB4B0000}"/>
    <cellStyle name="Normal 11 3 2" xfId="2337" xr:uid="{00000000-0005-0000-0000-0000BC4B0000}"/>
    <cellStyle name="Normal 11 3 2 2" xfId="18977" xr:uid="{00000000-0005-0000-0000-0000BD4B0000}"/>
    <cellStyle name="Normal 11 3 2 3" xfId="14017" xr:uid="{00000000-0005-0000-0000-0000BE4B0000}"/>
    <cellStyle name="Normal 11 3 2 4" xfId="24126" xr:uid="{00000000-0005-0000-0000-0000BF4B0000}"/>
    <cellStyle name="Normal 11 3 3" xfId="3899" xr:uid="{00000000-0005-0000-0000-0000C04B0000}"/>
    <cellStyle name="Normal 11 3 3 2" xfId="18978" xr:uid="{00000000-0005-0000-0000-0000C14B0000}"/>
    <cellStyle name="Normal 11 3 3 3" xfId="14018" xr:uid="{00000000-0005-0000-0000-0000C24B0000}"/>
    <cellStyle name="Normal 11 3 4" xfId="14019" xr:uid="{00000000-0005-0000-0000-0000C34B0000}"/>
    <cellStyle name="Normal 11 3 4 2" xfId="18979" xr:uid="{00000000-0005-0000-0000-0000C44B0000}"/>
    <cellStyle name="Normal 11 3 5" xfId="14016" xr:uid="{00000000-0005-0000-0000-0000C54B0000}"/>
    <cellStyle name="Normal 11 3 6" xfId="18976" xr:uid="{00000000-0005-0000-0000-0000C64B0000}"/>
    <cellStyle name="Normal 11 4" xfId="2338" xr:uid="{00000000-0005-0000-0000-0000C74B0000}"/>
    <cellStyle name="Normal 11 4 2" xfId="14021" xr:uid="{00000000-0005-0000-0000-0000C84B0000}"/>
    <cellStyle name="Normal 11 4 2 2" xfId="18981" xr:uid="{00000000-0005-0000-0000-0000C94B0000}"/>
    <cellStyle name="Normal 11 4 3" xfId="14020" xr:uid="{00000000-0005-0000-0000-0000CA4B0000}"/>
    <cellStyle name="Normal 11 4 4" xfId="18980" xr:uid="{00000000-0005-0000-0000-0000CB4B0000}"/>
    <cellStyle name="Normal 11 5" xfId="2339" xr:uid="{00000000-0005-0000-0000-0000CC4B0000}"/>
    <cellStyle name="Normal 11 5 2" xfId="14023" xr:uid="{00000000-0005-0000-0000-0000CD4B0000}"/>
    <cellStyle name="Normal 11 5 2 2" xfId="18983" xr:uid="{00000000-0005-0000-0000-0000CE4B0000}"/>
    <cellStyle name="Normal 11 5 3" xfId="14022" xr:uid="{00000000-0005-0000-0000-0000CF4B0000}"/>
    <cellStyle name="Normal 11 5 4" xfId="18982" xr:uid="{00000000-0005-0000-0000-0000D04B0000}"/>
    <cellStyle name="Normal 11 6" xfId="14024" xr:uid="{00000000-0005-0000-0000-0000D14B0000}"/>
    <cellStyle name="Normal 11 6 2" xfId="18984" xr:uid="{00000000-0005-0000-0000-0000D24B0000}"/>
    <cellStyle name="Normal 11 6 3" xfId="24127" xr:uid="{00000000-0005-0000-0000-0000D34B0000}"/>
    <cellStyle name="Normal 11 7" xfId="14025" xr:uid="{00000000-0005-0000-0000-0000D44B0000}"/>
    <cellStyle name="Normal 11 7 2" xfId="18985" xr:uid="{00000000-0005-0000-0000-0000D54B0000}"/>
    <cellStyle name="Normal 11 8" xfId="14026" xr:uid="{00000000-0005-0000-0000-0000D64B0000}"/>
    <cellStyle name="Normal 11 8 2" xfId="18986" xr:uid="{00000000-0005-0000-0000-0000D74B0000}"/>
    <cellStyle name="Normal 11 9" xfId="14027" xr:uid="{00000000-0005-0000-0000-0000D84B0000}"/>
    <cellStyle name="Normal 11 9 2" xfId="18987" xr:uid="{00000000-0005-0000-0000-0000D94B0000}"/>
    <cellStyle name="Normal 11_Xl0000150" xfId="446" xr:uid="{00000000-0005-0000-0000-0000DA4B0000}"/>
    <cellStyle name="Normal 110" xfId="14028" xr:uid="{00000000-0005-0000-0000-0000DB4B0000}"/>
    <cellStyle name="Normal 110 2" xfId="14029" xr:uid="{00000000-0005-0000-0000-0000DC4B0000}"/>
    <cellStyle name="Normal 110 2 2" xfId="18989" xr:uid="{00000000-0005-0000-0000-0000DD4B0000}"/>
    <cellStyle name="Normal 110 3" xfId="14030" xr:uid="{00000000-0005-0000-0000-0000DE4B0000}"/>
    <cellStyle name="Normal 110 3 2" xfId="18990" xr:uid="{00000000-0005-0000-0000-0000DF4B0000}"/>
    <cellStyle name="Normal 110 4" xfId="18988" xr:uid="{00000000-0005-0000-0000-0000E04B0000}"/>
    <cellStyle name="Normal 111" xfId="14031" xr:uid="{00000000-0005-0000-0000-0000E14B0000}"/>
    <cellStyle name="Normal 111 2" xfId="14032" xr:uid="{00000000-0005-0000-0000-0000E24B0000}"/>
    <cellStyle name="Normal 111 2 2" xfId="18992" xr:uid="{00000000-0005-0000-0000-0000E34B0000}"/>
    <cellStyle name="Normal 111 3" xfId="14033" xr:uid="{00000000-0005-0000-0000-0000E44B0000}"/>
    <cellStyle name="Normal 111 3 2" xfId="18993" xr:uid="{00000000-0005-0000-0000-0000E54B0000}"/>
    <cellStyle name="Normal 111 4" xfId="18991" xr:uid="{00000000-0005-0000-0000-0000E64B0000}"/>
    <cellStyle name="Normal 112" xfId="14034" xr:uid="{00000000-0005-0000-0000-0000E74B0000}"/>
    <cellStyle name="Normal 112 2" xfId="18994" xr:uid="{00000000-0005-0000-0000-0000E84B0000}"/>
    <cellStyle name="Normal 113" xfId="14035" xr:uid="{00000000-0005-0000-0000-0000E94B0000}"/>
    <cellStyle name="Normal 113 2" xfId="14036" xr:uid="{00000000-0005-0000-0000-0000EA4B0000}"/>
    <cellStyle name="Normal 113 2 2" xfId="18996" xr:uid="{00000000-0005-0000-0000-0000EB4B0000}"/>
    <cellStyle name="Normal 113 3" xfId="14037" xr:uid="{00000000-0005-0000-0000-0000EC4B0000}"/>
    <cellStyle name="Normal 113 3 2" xfId="18997" xr:uid="{00000000-0005-0000-0000-0000ED4B0000}"/>
    <cellStyle name="Normal 113 4" xfId="18995" xr:uid="{00000000-0005-0000-0000-0000EE4B0000}"/>
    <cellStyle name="Normal 114" xfId="14038" xr:uid="{00000000-0005-0000-0000-0000EF4B0000}"/>
    <cellStyle name="Normal 114 2" xfId="14039" xr:uid="{00000000-0005-0000-0000-0000F04B0000}"/>
    <cellStyle name="Normal 114 2 2" xfId="18999" xr:uid="{00000000-0005-0000-0000-0000F14B0000}"/>
    <cellStyle name="Normal 114 3" xfId="14040" xr:uid="{00000000-0005-0000-0000-0000F24B0000}"/>
    <cellStyle name="Normal 114 3 2" xfId="19000" xr:uid="{00000000-0005-0000-0000-0000F34B0000}"/>
    <cellStyle name="Normal 114 4" xfId="18998" xr:uid="{00000000-0005-0000-0000-0000F44B0000}"/>
    <cellStyle name="Normal 115" xfId="14041" xr:uid="{00000000-0005-0000-0000-0000F54B0000}"/>
    <cellStyle name="Normal 115 2" xfId="19001" xr:uid="{00000000-0005-0000-0000-0000F64B0000}"/>
    <cellStyle name="Normal 116" xfId="14042" xr:uid="{00000000-0005-0000-0000-0000F74B0000}"/>
    <cellStyle name="Normal 116 2" xfId="14043" xr:uid="{00000000-0005-0000-0000-0000F84B0000}"/>
    <cellStyle name="Normal 116 2 2" xfId="19003" xr:uid="{00000000-0005-0000-0000-0000F94B0000}"/>
    <cellStyle name="Normal 116 3" xfId="14044" xr:uid="{00000000-0005-0000-0000-0000FA4B0000}"/>
    <cellStyle name="Normal 116 3 2" xfId="19004" xr:uid="{00000000-0005-0000-0000-0000FB4B0000}"/>
    <cellStyle name="Normal 116 4" xfId="19002" xr:uid="{00000000-0005-0000-0000-0000FC4B0000}"/>
    <cellStyle name="Normal 117" xfId="14045" xr:uid="{00000000-0005-0000-0000-0000FD4B0000}"/>
    <cellStyle name="Normal 117 2" xfId="19005" xr:uid="{00000000-0005-0000-0000-0000FE4B0000}"/>
    <cellStyle name="Normal 118" xfId="7344" xr:uid="{00000000-0005-0000-0000-0000FF4B0000}"/>
    <cellStyle name="Normal 119" xfId="17889" xr:uid="{00000000-0005-0000-0000-0000004C0000}"/>
    <cellStyle name="Normal 12" xfId="248" xr:uid="{00000000-0005-0000-0000-0000014C0000}"/>
    <cellStyle name="Normal 12 10" xfId="14046" xr:uid="{00000000-0005-0000-0000-0000024C0000}"/>
    <cellStyle name="Normal 12 11" xfId="19006" xr:uid="{00000000-0005-0000-0000-0000034C0000}"/>
    <cellStyle name="Normal 12 2" xfId="249" xr:uid="{00000000-0005-0000-0000-0000044C0000}"/>
    <cellStyle name="Normal 12 2 2" xfId="1513" xr:uid="{00000000-0005-0000-0000-0000054C0000}"/>
    <cellStyle name="Normal 12 2 2 2" xfId="2340" xr:uid="{00000000-0005-0000-0000-0000064C0000}"/>
    <cellStyle name="Normal 12 2 2 2 2" xfId="19009" xr:uid="{00000000-0005-0000-0000-0000074C0000}"/>
    <cellStyle name="Normal 12 2 2 2 3" xfId="14049" xr:uid="{00000000-0005-0000-0000-0000084C0000}"/>
    <cellStyle name="Normal 12 2 2 3" xfId="4033" xr:uid="{00000000-0005-0000-0000-0000094C0000}"/>
    <cellStyle name="Normal 12 2 2 3 2" xfId="14048" xr:uid="{00000000-0005-0000-0000-00000A4C0000}"/>
    <cellStyle name="Normal 12 2 2 4" xfId="19008" xr:uid="{00000000-0005-0000-0000-00000B4C0000}"/>
    <cellStyle name="Normal 12 2 3" xfId="2341" xr:uid="{00000000-0005-0000-0000-00000C4C0000}"/>
    <cellStyle name="Normal 12 2 3 2" xfId="14051" xr:uid="{00000000-0005-0000-0000-00000D4C0000}"/>
    <cellStyle name="Normal 12 2 3 2 2" xfId="19011" xr:uid="{00000000-0005-0000-0000-00000E4C0000}"/>
    <cellStyle name="Normal 12 2 3 3" xfId="14050" xr:uid="{00000000-0005-0000-0000-00000F4C0000}"/>
    <cellStyle name="Normal 12 2 3 4" xfId="19010" xr:uid="{00000000-0005-0000-0000-0000104C0000}"/>
    <cellStyle name="Normal 12 2 4" xfId="14052" xr:uid="{00000000-0005-0000-0000-0000114C0000}"/>
    <cellStyle name="Normal 12 2 4 2" xfId="19012" xr:uid="{00000000-0005-0000-0000-0000124C0000}"/>
    <cellStyle name="Normal 12 2 4 3" xfId="24128" xr:uid="{00000000-0005-0000-0000-0000134C0000}"/>
    <cellStyle name="Normal 12 2 5" xfId="14053" xr:uid="{00000000-0005-0000-0000-0000144C0000}"/>
    <cellStyle name="Normal 12 2 5 2" xfId="19013" xr:uid="{00000000-0005-0000-0000-0000154C0000}"/>
    <cellStyle name="Normal 12 2 6" xfId="14054" xr:uid="{00000000-0005-0000-0000-0000164C0000}"/>
    <cellStyle name="Normal 12 2 6 2" xfId="19014" xr:uid="{00000000-0005-0000-0000-0000174C0000}"/>
    <cellStyle name="Normal 12 2 7" xfId="14055" xr:uid="{00000000-0005-0000-0000-0000184C0000}"/>
    <cellStyle name="Normal 12 2 7 2" xfId="19015" xr:uid="{00000000-0005-0000-0000-0000194C0000}"/>
    <cellStyle name="Normal 12 2 8" xfId="14047" xr:uid="{00000000-0005-0000-0000-00001A4C0000}"/>
    <cellStyle name="Normal 12 2 9" xfId="19007" xr:uid="{00000000-0005-0000-0000-00001B4C0000}"/>
    <cellStyle name="Normal 12 3" xfId="1275" xr:uid="{00000000-0005-0000-0000-00001C4C0000}"/>
    <cellStyle name="Normal 12 3 2" xfId="14057" xr:uid="{00000000-0005-0000-0000-00001D4C0000}"/>
    <cellStyle name="Normal 12 3 2 2" xfId="19017" xr:uid="{00000000-0005-0000-0000-00001E4C0000}"/>
    <cellStyle name="Normal 12 3 3" xfId="14058" xr:uid="{00000000-0005-0000-0000-00001F4C0000}"/>
    <cellStyle name="Normal 12 3 3 2" xfId="19018" xr:uid="{00000000-0005-0000-0000-0000204C0000}"/>
    <cellStyle name="Normal 12 3 4" xfId="14059" xr:uid="{00000000-0005-0000-0000-0000214C0000}"/>
    <cellStyle name="Normal 12 3 4 2" xfId="19019" xr:uid="{00000000-0005-0000-0000-0000224C0000}"/>
    <cellStyle name="Normal 12 3 5" xfId="14056" xr:uid="{00000000-0005-0000-0000-0000234C0000}"/>
    <cellStyle name="Normal 12 3 6" xfId="19016" xr:uid="{00000000-0005-0000-0000-0000244C0000}"/>
    <cellStyle name="Normal 12 4" xfId="2342" xr:uid="{00000000-0005-0000-0000-0000254C0000}"/>
    <cellStyle name="Normal 12 4 2" xfId="14061" xr:uid="{00000000-0005-0000-0000-0000264C0000}"/>
    <cellStyle name="Normal 12 4 2 2" xfId="19021" xr:uid="{00000000-0005-0000-0000-0000274C0000}"/>
    <cellStyle name="Normal 12 4 3" xfId="14060" xr:uid="{00000000-0005-0000-0000-0000284C0000}"/>
    <cellStyle name="Normal 12 4 4" xfId="19020" xr:uid="{00000000-0005-0000-0000-0000294C0000}"/>
    <cellStyle name="Normal 12 5" xfId="2343" xr:uid="{00000000-0005-0000-0000-00002A4C0000}"/>
    <cellStyle name="Normal 12 5 2" xfId="14063" xr:uid="{00000000-0005-0000-0000-00002B4C0000}"/>
    <cellStyle name="Normal 12 5 2 2" xfId="19023" xr:uid="{00000000-0005-0000-0000-00002C4C0000}"/>
    <cellStyle name="Normal 12 5 3" xfId="14062" xr:uid="{00000000-0005-0000-0000-00002D4C0000}"/>
    <cellStyle name="Normal 12 5 4" xfId="19022" xr:uid="{00000000-0005-0000-0000-00002E4C0000}"/>
    <cellStyle name="Normal 12 6" xfId="14064" xr:uid="{00000000-0005-0000-0000-00002F4C0000}"/>
    <cellStyle name="Normal 12 6 2" xfId="19024" xr:uid="{00000000-0005-0000-0000-0000304C0000}"/>
    <cellStyle name="Normal 12 6 3" xfId="24129" xr:uid="{00000000-0005-0000-0000-0000314C0000}"/>
    <cellStyle name="Normal 12 7" xfId="14065" xr:uid="{00000000-0005-0000-0000-0000324C0000}"/>
    <cellStyle name="Normal 12 7 2" xfId="19025" xr:uid="{00000000-0005-0000-0000-0000334C0000}"/>
    <cellStyle name="Normal 12 8" xfId="14066" xr:uid="{00000000-0005-0000-0000-0000344C0000}"/>
    <cellStyle name="Normal 12 8 2" xfId="19026" xr:uid="{00000000-0005-0000-0000-0000354C0000}"/>
    <cellStyle name="Normal 12 9" xfId="14067" xr:uid="{00000000-0005-0000-0000-0000364C0000}"/>
    <cellStyle name="Normal 12 9 2" xfId="19027" xr:uid="{00000000-0005-0000-0000-0000374C0000}"/>
    <cellStyle name="Normal 12_Xl0000150" xfId="447" xr:uid="{00000000-0005-0000-0000-0000384C0000}"/>
    <cellStyle name="Normal 120" xfId="7089" xr:uid="{00000000-0005-0000-0000-0000394C0000}"/>
    <cellStyle name="Normal 121" xfId="7254" xr:uid="{00000000-0005-0000-0000-00003A4C0000}"/>
    <cellStyle name="Normal 122" xfId="22849" xr:uid="{00000000-0005-0000-0000-00003B4C0000}"/>
    <cellStyle name="Normal 123" xfId="23153" xr:uid="{00000000-0005-0000-0000-00003C4C0000}"/>
    <cellStyle name="Normal 124" xfId="24543" xr:uid="{00000000-0005-0000-0000-00003D4C0000}"/>
    <cellStyle name="Normal 125" xfId="25047" xr:uid="{00000000-0005-0000-0000-00003E4C0000}"/>
    <cellStyle name="Normal 126" xfId="25551" xr:uid="{00000000-0005-0000-0000-00003F4C0000}"/>
    <cellStyle name="Normal 127" xfId="26055" xr:uid="{00000000-0005-0000-0000-0000404C0000}"/>
    <cellStyle name="Normal 128" xfId="26559" xr:uid="{00000000-0005-0000-0000-0000414C0000}"/>
    <cellStyle name="Normal 129" xfId="27063" xr:uid="{00000000-0005-0000-0000-0000424C0000}"/>
    <cellStyle name="Normal 13" xfId="250" xr:uid="{00000000-0005-0000-0000-0000434C0000}"/>
    <cellStyle name="Normal 13 10" xfId="14068" xr:uid="{00000000-0005-0000-0000-0000444C0000}"/>
    <cellStyle name="Normal 13 11" xfId="19028" xr:uid="{00000000-0005-0000-0000-0000454C0000}"/>
    <cellStyle name="Normal 13 12" xfId="23110" xr:uid="{00000000-0005-0000-0000-0000464C0000}"/>
    <cellStyle name="Normal 13 2" xfId="251" xr:uid="{00000000-0005-0000-0000-0000474C0000}"/>
    <cellStyle name="Normal 13 2 2" xfId="2344" xr:uid="{00000000-0005-0000-0000-0000484C0000}"/>
    <cellStyle name="Normal 13 2 2 2" xfId="14071" xr:uid="{00000000-0005-0000-0000-0000494C0000}"/>
    <cellStyle name="Normal 13 2 2 2 2" xfId="19031" xr:uid="{00000000-0005-0000-0000-00004A4C0000}"/>
    <cellStyle name="Normal 13 2 2 3" xfId="14070" xr:uid="{00000000-0005-0000-0000-00004B4C0000}"/>
    <cellStyle name="Normal 13 2 2 4" xfId="19030" xr:uid="{00000000-0005-0000-0000-00004C4C0000}"/>
    <cellStyle name="Normal 13 2 3" xfId="2345" xr:uid="{00000000-0005-0000-0000-00004D4C0000}"/>
    <cellStyle name="Normal 13 2 3 2" xfId="14073" xr:uid="{00000000-0005-0000-0000-00004E4C0000}"/>
    <cellStyle name="Normal 13 2 3 2 2" xfId="19033" xr:uid="{00000000-0005-0000-0000-00004F4C0000}"/>
    <cellStyle name="Normal 13 2 3 3" xfId="14072" xr:uid="{00000000-0005-0000-0000-0000504C0000}"/>
    <cellStyle name="Normal 13 2 3 4" xfId="19032" xr:uid="{00000000-0005-0000-0000-0000514C0000}"/>
    <cellStyle name="Normal 13 2 4" xfId="14074" xr:uid="{00000000-0005-0000-0000-0000524C0000}"/>
    <cellStyle name="Normal 13 2 4 2" xfId="19034" xr:uid="{00000000-0005-0000-0000-0000534C0000}"/>
    <cellStyle name="Normal 13 2 5" xfId="14075" xr:uid="{00000000-0005-0000-0000-0000544C0000}"/>
    <cellStyle name="Normal 13 2 5 2" xfId="19035" xr:uid="{00000000-0005-0000-0000-0000554C0000}"/>
    <cellStyle name="Normal 13 2 6" xfId="14076" xr:uid="{00000000-0005-0000-0000-0000564C0000}"/>
    <cellStyle name="Normal 13 2 6 2" xfId="19036" xr:uid="{00000000-0005-0000-0000-0000574C0000}"/>
    <cellStyle name="Normal 13 2 7" xfId="14077" xr:uid="{00000000-0005-0000-0000-0000584C0000}"/>
    <cellStyle name="Normal 13 2 7 2" xfId="19037" xr:uid="{00000000-0005-0000-0000-0000594C0000}"/>
    <cellStyle name="Normal 13 2 8" xfId="14069" xr:uid="{00000000-0005-0000-0000-00005A4C0000}"/>
    <cellStyle name="Normal 13 2 9" xfId="19029" xr:uid="{00000000-0005-0000-0000-00005B4C0000}"/>
    <cellStyle name="Normal 13 3" xfId="2346" xr:uid="{00000000-0005-0000-0000-00005C4C0000}"/>
    <cellStyle name="Normal 13 3 2" xfId="14079" xr:uid="{00000000-0005-0000-0000-00005D4C0000}"/>
    <cellStyle name="Normal 13 3 2 2" xfId="19039" xr:uid="{00000000-0005-0000-0000-00005E4C0000}"/>
    <cellStyle name="Normal 13 3 3" xfId="14080" xr:uid="{00000000-0005-0000-0000-00005F4C0000}"/>
    <cellStyle name="Normal 13 3 3 2" xfId="19040" xr:uid="{00000000-0005-0000-0000-0000604C0000}"/>
    <cellStyle name="Normal 13 3 4" xfId="14081" xr:uid="{00000000-0005-0000-0000-0000614C0000}"/>
    <cellStyle name="Normal 13 3 4 2" xfId="19041" xr:uid="{00000000-0005-0000-0000-0000624C0000}"/>
    <cellStyle name="Normal 13 3 5" xfId="14078" xr:uid="{00000000-0005-0000-0000-0000634C0000}"/>
    <cellStyle name="Normal 13 3 6" xfId="19038" xr:uid="{00000000-0005-0000-0000-0000644C0000}"/>
    <cellStyle name="Normal 13 4" xfId="2347" xr:uid="{00000000-0005-0000-0000-0000654C0000}"/>
    <cellStyle name="Normal 13 4 2" xfId="14083" xr:uid="{00000000-0005-0000-0000-0000664C0000}"/>
    <cellStyle name="Normal 13 4 2 2" xfId="19043" xr:uid="{00000000-0005-0000-0000-0000674C0000}"/>
    <cellStyle name="Normal 13 4 3" xfId="14082" xr:uid="{00000000-0005-0000-0000-0000684C0000}"/>
    <cellStyle name="Normal 13 4 4" xfId="19042" xr:uid="{00000000-0005-0000-0000-0000694C0000}"/>
    <cellStyle name="Normal 13 5" xfId="2348" xr:uid="{00000000-0005-0000-0000-00006A4C0000}"/>
    <cellStyle name="Normal 13 5 2" xfId="14085" xr:uid="{00000000-0005-0000-0000-00006B4C0000}"/>
    <cellStyle name="Normal 13 5 2 2" xfId="19045" xr:uid="{00000000-0005-0000-0000-00006C4C0000}"/>
    <cellStyle name="Normal 13 5 3" xfId="14084" xr:uid="{00000000-0005-0000-0000-00006D4C0000}"/>
    <cellStyle name="Normal 13 5 4" xfId="19044" xr:uid="{00000000-0005-0000-0000-00006E4C0000}"/>
    <cellStyle name="Normal 13 6" xfId="6755" xr:uid="{00000000-0005-0000-0000-00006F4C0000}"/>
    <cellStyle name="Normal 13 6 10" xfId="27440" xr:uid="{00000000-0005-0000-0000-0000704C0000}"/>
    <cellStyle name="Normal 13 6 11" xfId="27944" xr:uid="{00000000-0005-0000-0000-0000714C0000}"/>
    <cellStyle name="Normal 13 6 12" xfId="28448" xr:uid="{00000000-0005-0000-0000-0000724C0000}"/>
    <cellStyle name="Normal 13 6 13" xfId="28952" xr:uid="{00000000-0005-0000-0000-0000734C0000}"/>
    <cellStyle name="Normal 13 6 14" xfId="29456" xr:uid="{00000000-0005-0000-0000-0000744C0000}"/>
    <cellStyle name="Normal 13 6 15" xfId="29960" xr:uid="{00000000-0005-0000-0000-0000754C0000}"/>
    <cellStyle name="Normal 13 6 16" xfId="30464" xr:uid="{00000000-0005-0000-0000-0000764C0000}"/>
    <cellStyle name="Normal 13 6 17" xfId="30969" xr:uid="{00000000-0005-0000-0000-0000774C0000}"/>
    <cellStyle name="Normal 13 6 2" xfId="19046" xr:uid="{00000000-0005-0000-0000-0000784C0000}"/>
    <cellStyle name="Normal 13 6 3" xfId="14086" xr:uid="{00000000-0005-0000-0000-0000794C0000}"/>
    <cellStyle name="Normal 13 6 4" xfId="24130" xr:uid="{00000000-0005-0000-0000-00007A4C0000}"/>
    <cellStyle name="Normal 13 6 5" xfId="24920" xr:uid="{00000000-0005-0000-0000-00007B4C0000}"/>
    <cellStyle name="Normal 13 6 6" xfId="25424" xr:uid="{00000000-0005-0000-0000-00007C4C0000}"/>
    <cellStyle name="Normal 13 6 7" xfId="25928" xr:uid="{00000000-0005-0000-0000-00007D4C0000}"/>
    <cellStyle name="Normal 13 6 8" xfId="26432" xr:uid="{00000000-0005-0000-0000-00007E4C0000}"/>
    <cellStyle name="Normal 13 6 9" xfId="26936" xr:uid="{00000000-0005-0000-0000-00007F4C0000}"/>
    <cellStyle name="Normal 13 7" xfId="14087" xr:uid="{00000000-0005-0000-0000-0000804C0000}"/>
    <cellStyle name="Normal 13 7 2" xfId="19047" xr:uid="{00000000-0005-0000-0000-0000814C0000}"/>
    <cellStyle name="Normal 13 8" xfId="14088" xr:uid="{00000000-0005-0000-0000-0000824C0000}"/>
    <cellStyle name="Normal 13 8 2" xfId="19048" xr:uid="{00000000-0005-0000-0000-0000834C0000}"/>
    <cellStyle name="Normal 13 9" xfId="14089" xr:uid="{00000000-0005-0000-0000-0000844C0000}"/>
    <cellStyle name="Normal 13 9 2" xfId="19049" xr:uid="{00000000-0005-0000-0000-0000854C0000}"/>
    <cellStyle name="Normal 13_Xl0000150" xfId="448" xr:uid="{00000000-0005-0000-0000-0000864C0000}"/>
    <cellStyle name="Normal 130" xfId="27567" xr:uid="{00000000-0005-0000-0000-0000874C0000}"/>
    <cellStyle name="Normal 131" xfId="28071" xr:uid="{00000000-0005-0000-0000-0000884C0000}"/>
    <cellStyle name="Normal 132" xfId="28575" xr:uid="{00000000-0005-0000-0000-0000894C0000}"/>
    <cellStyle name="Normal 133" xfId="29079" xr:uid="{00000000-0005-0000-0000-00008A4C0000}"/>
    <cellStyle name="Normal 134" xfId="29583" xr:uid="{00000000-0005-0000-0000-00008B4C0000}"/>
    <cellStyle name="Normal 135" xfId="30087" xr:uid="{00000000-0005-0000-0000-00008C4C0000}"/>
    <cellStyle name="Normal 136" xfId="30592" xr:uid="{00000000-0005-0000-0000-00008D4C0000}"/>
    <cellStyle name="Normal 137" xfId="31097" xr:uid="{00000000-0005-0000-0000-00008E4C0000}"/>
    <cellStyle name="Normal 138" xfId="31099" xr:uid="{77D4E64C-CDFA-47F6-9ADE-E54CC8C12C30}"/>
    <cellStyle name="Normal 139" xfId="31101" xr:uid="{B0A09647-4B78-4D3D-B26D-0C86E5113CFB}"/>
    <cellStyle name="Normal 14" xfId="252" xr:uid="{00000000-0005-0000-0000-00008F4C0000}"/>
    <cellStyle name="Normal 14 10" xfId="19050" xr:uid="{00000000-0005-0000-0000-0000904C0000}"/>
    <cellStyle name="Normal 14 2" xfId="253" xr:uid="{00000000-0005-0000-0000-0000914C0000}"/>
    <cellStyle name="Normal 14 2 10" xfId="23111" xr:uid="{00000000-0005-0000-0000-0000924C0000}"/>
    <cellStyle name="Normal 14 2 2" xfId="2349" xr:uid="{00000000-0005-0000-0000-0000934C0000}"/>
    <cellStyle name="Normal 14 2 2 2" xfId="14093" xr:uid="{00000000-0005-0000-0000-0000944C0000}"/>
    <cellStyle name="Normal 14 2 2 2 2" xfId="19053" xr:uid="{00000000-0005-0000-0000-0000954C0000}"/>
    <cellStyle name="Normal 14 2 2 3" xfId="14092" xr:uid="{00000000-0005-0000-0000-0000964C0000}"/>
    <cellStyle name="Normal 14 2 2 4" xfId="19052" xr:uid="{00000000-0005-0000-0000-0000974C0000}"/>
    <cellStyle name="Normal 14 2 3" xfId="2350" xr:uid="{00000000-0005-0000-0000-0000984C0000}"/>
    <cellStyle name="Normal 14 2 3 2" xfId="14095" xr:uid="{00000000-0005-0000-0000-0000994C0000}"/>
    <cellStyle name="Normal 14 2 3 2 2" xfId="19055" xr:uid="{00000000-0005-0000-0000-00009A4C0000}"/>
    <cellStyle name="Normal 14 2 3 3" xfId="14094" xr:uid="{00000000-0005-0000-0000-00009B4C0000}"/>
    <cellStyle name="Normal 14 2 3 4" xfId="19054" xr:uid="{00000000-0005-0000-0000-00009C4C0000}"/>
    <cellStyle name="Normal 14 2 4" xfId="14096" xr:uid="{00000000-0005-0000-0000-00009D4C0000}"/>
    <cellStyle name="Normal 14 2 4 2" xfId="19056" xr:uid="{00000000-0005-0000-0000-00009E4C0000}"/>
    <cellStyle name="Normal 14 2 5" xfId="14097" xr:uid="{00000000-0005-0000-0000-00009F4C0000}"/>
    <cellStyle name="Normal 14 2 5 2" xfId="19057" xr:uid="{00000000-0005-0000-0000-0000A04C0000}"/>
    <cellStyle name="Normal 14 2 6" xfId="14098" xr:uid="{00000000-0005-0000-0000-0000A14C0000}"/>
    <cellStyle name="Normal 14 2 6 2" xfId="19058" xr:uid="{00000000-0005-0000-0000-0000A24C0000}"/>
    <cellStyle name="Normal 14 2 7" xfId="14099" xr:uid="{00000000-0005-0000-0000-0000A34C0000}"/>
    <cellStyle name="Normal 14 2 7 2" xfId="19059" xr:uid="{00000000-0005-0000-0000-0000A44C0000}"/>
    <cellStyle name="Normal 14 2 8" xfId="14091" xr:uid="{00000000-0005-0000-0000-0000A54C0000}"/>
    <cellStyle name="Normal 14 2 9" xfId="19051" xr:uid="{00000000-0005-0000-0000-0000A64C0000}"/>
    <cellStyle name="Normal 14 3" xfId="254" xr:uid="{00000000-0005-0000-0000-0000A74C0000}"/>
    <cellStyle name="Normal 14 3 2" xfId="426" xr:uid="{00000000-0005-0000-0000-0000A84C0000}"/>
    <cellStyle name="Normal 14 3 2 2" xfId="661" xr:uid="{00000000-0005-0000-0000-0000A94C0000}"/>
    <cellStyle name="Normal 14 3 2 2 2" xfId="19062" xr:uid="{00000000-0005-0000-0000-0000AA4C0000}"/>
    <cellStyle name="Normal 14 3 2 2 3" xfId="14102" xr:uid="{00000000-0005-0000-0000-0000AB4C0000}"/>
    <cellStyle name="Normal 14 3 2 3" xfId="14103" xr:uid="{00000000-0005-0000-0000-0000AC4C0000}"/>
    <cellStyle name="Normal 14 3 2 3 2" xfId="19063" xr:uid="{00000000-0005-0000-0000-0000AD4C0000}"/>
    <cellStyle name="Normal 14 3 2 4" xfId="14104" xr:uid="{00000000-0005-0000-0000-0000AE4C0000}"/>
    <cellStyle name="Normal 14 3 2 4 2" xfId="19064" xr:uid="{00000000-0005-0000-0000-0000AF4C0000}"/>
    <cellStyle name="Normal 14 3 2 5" xfId="14101" xr:uid="{00000000-0005-0000-0000-0000B04C0000}"/>
    <cellStyle name="Normal 14 3 2 6" xfId="19061" xr:uid="{00000000-0005-0000-0000-0000B14C0000}"/>
    <cellStyle name="Normal 14 3 3" xfId="662" xr:uid="{00000000-0005-0000-0000-0000B24C0000}"/>
    <cellStyle name="Normal 14 3 3 2" xfId="19065" xr:uid="{00000000-0005-0000-0000-0000B34C0000}"/>
    <cellStyle name="Normal 14 3 3 3" xfId="14105" xr:uid="{00000000-0005-0000-0000-0000B44C0000}"/>
    <cellStyle name="Normal 14 3 4" xfId="14106" xr:uid="{00000000-0005-0000-0000-0000B54C0000}"/>
    <cellStyle name="Normal 14 3 4 2" xfId="19066" xr:uid="{00000000-0005-0000-0000-0000B64C0000}"/>
    <cellStyle name="Normal 14 3 5" xfId="14107" xr:uid="{00000000-0005-0000-0000-0000B74C0000}"/>
    <cellStyle name="Normal 14 3 5 2" xfId="19067" xr:uid="{00000000-0005-0000-0000-0000B84C0000}"/>
    <cellStyle name="Normal 14 3 6" xfId="14100" xr:uid="{00000000-0005-0000-0000-0000B94C0000}"/>
    <cellStyle name="Normal 14 3 7" xfId="19060" xr:uid="{00000000-0005-0000-0000-0000BA4C0000}"/>
    <cellStyle name="Normal 14 3_Real 2013" xfId="663" xr:uid="{00000000-0005-0000-0000-0000BB4C0000}"/>
    <cellStyle name="Normal 14 4" xfId="2351" xr:uid="{00000000-0005-0000-0000-0000BC4C0000}"/>
    <cellStyle name="Normal 14 4 2" xfId="3466" xr:uid="{00000000-0005-0000-0000-0000BD4C0000}"/>
    <cellStyle name="Normal 14 4 2 2" xfId="19069" xr:uid="{00000000-0005-0000-0000-0000BE4C0000}"/>
    <cellStyle name="Normal 14 4 2 3" xfId="14109" xr:uid="{00000000-0005-0000-0000-0000BF4C0000}"/>
    <cellStyle name="Normal 14 4 3" xfId="14110" xr:uid="{00000000-0005-0000-0000-0000C04C0000}"/>
    <cellStyle name="Normal 14 4 3 2" xfId="19070" xr:uid="{00000000-0005-0000-0000-0000C14C0000}"/>
    <cellStyle name="Normal 14 4 4" xfId="14108" xr:uid="{00000000-0005-0000-0000-0000C24C0000}"/>
    <cellStyle name="Normal 14 4 5" xfId="19068" xr:uid="{00000000-0005-0000-0000-0000C34C0000}"/>
    <cellStyle name="Normal 14 5" xfId="2352" xr:uid="{00000000-0005-0000-0000-0000C44C0000}"/>
    <cellStyle name="Normal 14 5 2" xfId="14112" xr:uid="{00000000-0005-0000-0000-0000C54C0000}"/>
    <cellStyle name="Normal 14 5 2 2" xfId="19072" xr:uid="{00000000-0005-0000-0000-0000C64C0000}"/>
    <cellStyle name="Normal 14 5 3" xfId="14111" xr:uid="{00000000-0005-0000-0000-0000C74C0000}"/>
    <cellStyle name="Normal 14 5 4" xfId="19071" xr:uid="{00000000-0005-0000-0000-0000C84C0000}"/>
    <cellStyle name="Normal 14 6" xfId="14113" xr:uid="{00000000-0005-0000-0000-0000C94C0000}"/>
    <cellStyle name="Normal 14 6 10" xfId="27945" xr:uid="{00000000-0005-0000-0000-0000CA4C0000}"/>
    <cellStyle name="Normal 14 6 11" xfId="28449" xr:uid="{00000000-0005-0000-0000-0000CB4C0000}"/>
    <cellStyle name="Normal 14 6 12" xfId="28953" xr:uid="{00000000-0005-0000-0000-0000CC4C0000}"/>
    <cellStyle name="Normal 14 6 13" xfId="29457" xr:uid="{00000000-0005-0000-0000-0000CD4C0000}"/>
    <cellStyle name="Normal 14 6 14" xfId="29961" xr:uid="{00000000-0005-0000-0000-0000CE4C0000}"/>
    <cellStyle name="Normal 14 6 15" xfId="30465" xr:uid="{00000000-0005-0000-0000-0000CF4C0000}"/>
    <cellStyle name="Normal 14 6 16" xfId="30970" xr:uid="{00000000-0005-0000-0000-0000D04C0000}"/>
    <cellStyle name="Normal 14 6 2" xfId="19073" xr:uid="{00000000-0005-0000-0000-0000D14C0000}"/>
    <cellStyle name="Normal 14 6 3" xfId="24131" xr:uid="{00000000-0005-0000-0000-0000D24C0000}"/>
    <cellStyle name="Normal 14 6 4" xfId="24921" xr:uid="{00000000-0005-0000-0000-0000D34C0000}"/>
    <cellStyle name="Normal 14 6 5" xfId="25425" xr:uid="{00000000-0005-0000-0000-0000D44C0000}"/>
    <cellStyle name="Normal 14 6 6" xfId="25929" xr:uid="{00000000-0005-0000-0000-0000D54C0000}"/>
    <cellStyle name="Normal 14 6 7" xfId="26433" xr:uid="{00000000-0005-0000-0000-0000D64C0000}"/>
    <cellStyle name="Normal 14 6 8" xfId="26937" xr:uid="{00000000-0005-0000-0000-0000D74C0000}"/>
    <cellStyle name="Normal 14 6 9" xfId="27441" xr:uid="{00000000-0005-0000-0000-0000D84C0000}"/>
    <cellStyle name="Normal 14 7" xfId="14114" xr:uid="{00000000-0005-0000-0000-0000D94C0000}"/>
    <cellStyle name="Normal 14 7 2" xfId="19074" xr:uid="{00000000-0005-0000-0000-0000DA4C0000}"/>
    <cellStyle name="Normal 14 8" xfId="14115" xr:uid="{00000000-0005-0000-0000-0000DB4C0000}"/>
    <cellStyle name="Normal 14 8 2" xfId="19075" xr:uid="{00000000-0005-0000-0000-0000DC4C0000}"/>
    <cellStyle name="Normal 14 9" xfId="14090" xr:uid="{00000000-0005-0000-0000-0000DD4C0000}"/>
    <cellStyle name="Normal 14_Xl0000150" xfId="449" xr:uid="{00000000-0005-0000-0000-0000DE4C0000}"/>
    <cellStyle name="Normal 140" xfId="31107" xr:uid="{BDD2E449-B46B-4999-84F8-BA2C2F8FD332}"/>
    <cellStyle name="Normal 141" xfId="31109" xr:uid="{3305A9BE-0230-4848-A1EC-F80443D05E44}"/>
    <cellStyle name="Normal 142" xfId="31988" xr:uid="{BBA32F27-B039-445D-91D2-CB044C5402C2}"/>
    <cellStyle name="Normal 143" xfId="31989" xr:uid="{1F55E208-32B7-4B3C-A8A1-143A5D0FFBE6}"/>
    <cellStyle name="Normal 144" xfId="32008" xr:uid="{802B34A0-AF6A-42B0-8D2F-C514A9C7DC10}"/>
    <cellStyle name="Normal 145" xfId="32010" xr:uid="{569B4B75-B4EC-4700-81CE-7AF81306C7A3}"/>
    <cellStyle name="Normal 146" xfId="32017" xr:uid="{43066A19-7B41-4C32-A09F-F31BADC6A82B}"/>
    <cellStyle name="Normal 147" xfId="32018" xr:uid="{80141497-33FF-48C9-87A2-9B9736C97789}"/>
    <cellStyle name="Normal 148" xfId="32021" xr:uid="{F0077128-F618-4369-9E13-A735FBB20709}"/>
    <cellStyle name="Normal 15" xfId="450" xr:uid="{00000000-0005-0000-0000-0000DF4C0000}"/>
    <cellStyle name="Normal 15 2" xfId="664" xr:uid="{00000000-0005-0000-0000-0000E04C0000}"/>
    <cellStyle name="Normal 15 2 10" xfId="24922" xr:uid="{00000000-0005-0000-0000-0000E14C0000}"/>
    <cellStyle name="Normal 15 2 11" xfId="25426" xr:uid="{00000000-0005-0000-0000-0000E24C0000}"/>
    <cellStyle name="Normal 15 2 12" xfId="25930" xr:uid="{00000000-0005-0000-0000-0000E34C0000}"/>
    <cellStyle name="Normal 15 2 13" xfId="26434" xr:uid="{00000000-0005-0000-0000-0000E44C0000}"/>
    <cellStyle name="Normal 15 2 14" xfId="26938" xr:uid="{00000000-0005-0000-0000-0000E54C0000}"/>
    <cellStyle name="Normal 15 2 15" xfId="27442" xr:uid="{00000000-0005-0000-0000-0000E64C0000}"/>
    <cellStyle name="Normal 15 2 16" xfId="27946" xr:uid="{00000000-0005-0000-0000-0000E74C0000}"/>
    <cellStyle name="Normal 15 2 17" xfId="28450" xr:uid="{00000000-0005-0000-0000-0000E84C0000}"/>
    <cellStyle name="Normal 15 2 18" xfId="28954" xr:uid="{00000000-0005-0000-0000-0000E94C0000}"/>
    <cellStyle name="Normal 15 2 19" xfId="29458" xr:uid="{00000000-0005-0000-0000-0000EA4C0000}"/>
    <cellStyle name="Normal 15 2 2" xfId="2353" xr:uid="{00000000-0005-0000-0000-0000EB4C0000}"/>
    <cellStyle name="Normal 15 2 2 10" xfId="26435" xr:uid="{00000000-0005-0000-0000-0000EC4C0000}"/>
    <cellStyle name="Normal 15 2 2 11" xfId="26939" xr:uid="{00000000-0005-0000-0000-0000ED4C0000}"/>
    <cellStyle name="Normal 15 2 2 12" xfId="27443" xr:uid="{00000000-0005-0000-0000-0000EE4C0000}"/>
    <cellStyle name="Normal 15 2 2 13" xfId="27947" xr:uid="{00000000-0005-0000-0000-0000EF4C0000}"/>
    <cellStyle name="Normal 15 2 2 14" xfId="28451" xr:uid="{00000000-0005-0000-0000-0000F04C0000}"/>
    <cellStyle name="Normal 15 2 2 15" xfId="28955" xr:uid="{00000000-0005-0000-0000-0000F14C0000}"/>
    <cellStyle name="Normal 15 2 2 16" xfId="29459" xr:uid="{00000000-0005-0000-0000-0000F24C0000}"/>
    <cellStyle name="Normal 15 2 2 17" xfId="29963" xr:uid="{00000000-0005-0000-0000-0000F34C0000}"/>
    <cellStyle name="Normal 15 2 2 18" xfId="30467" xr:uid="{00000000-0005-0000-0000-0000F44C0000}"/>
    <cellStyle name="Normal 15 2 2 19" xfId="30972" xr:uid="{00000000-0005-0000-0000-0000F54C0000}"/>
    <cellStyle name="Normal 15 2 2 2" xfId="4326" xr:uid="{00000000-0005-0000-0000-0000F64C0000}"/>
    <cellStyle name="Normal 15 2 2 2 2" xfId="6199" xr:uid="{00000000-0005-0000-0000-0000F74C0000}"/>
    <cellStyle name="Normal 15 2 2 2 2 2" xfId="19079" xr:uid="{00000000-0005-0000-0000-0000F84C0000}"/>
    <cellStyle name="Normal 15 2 2 2 3" xfId="14119" xr:uid="{00000000-0005-0000-0000-0000F94C0000}"/>
    <cellStyle name="Normal 15 2 2 2 4" xfId="24134" xr:uid="{00000000-0005-0000-0000-0000FA4C0000}"/>
    <cellStyle name="Normal 15 2 2 3" xfId="3468" xr:uid="{00000000-0005-0000-0000-0000FB4C0000}"/>
    <cellStyle name="Normal 15 2 2 3 2" xfId="14118" xr:uid="{00000000-0005-0000-0000-0000FC4C0000}"/>
    <cellStyle name="Normal 15 2 2 4" xfId="5289" xr:uid="{00000000-0005-0000-0000-0000FD4C0000}"/>
    <cellStyle name="Normal 15 2 2 4 2" xfId="19078" xr:uid="{00000000-0005-0000-0000-0000FE4C0000}"/>
    <cellStyle name="Normal 15 2 2 5" xfId="7330" xr:uid="{00000000-0005-0000-0000-0000FF4C0000}"/>
    <cellStyle name="Normal 15 2 2 6" xfId="24133" xr:uid="{00000000-0005-0000-0000-0000004D0000}"/>
    <cellStyle name="Normal 15 2 2 7" xfId="24923" xr:uid="{00000000-0005-0000-0000-0000014D0000}"/>
    <cellStyle name="Normal 15 2 2 8" xfId="25427" xr:uid="{00000000-0005-0000-0000-0000024D0000}"/>
    <cellStyle name="Normal 15 2 2 9" xfId="25931" xr:uid="{00000000-0005-0000-0000-0000034D0000}"/>
    <cellStyle name="Normal 15 2 20" xfId="29962" xr:uid="{00000000-0005-0000-0000-0000044D0000}"/>
    <cellStyle name="Normal 15 2 21" xfId="30466" xr:uid="{00000000-0005-0000-0000-0000054D0000}"/>
    <cellStyle name="Normal 15 2 22" xfId="30971" xr:uid="{00000000-0005-0000-0000-0000064D0000}"/>
    <cellStyle name="Normal 15 2 3" xfId="2689" xr:uid="{00000000-0005-0000-0000-0000074D0000}"/>
    <cellStyle name="Normal 15 2 3 2" xfId="4370" xr:uid="{00000000-0005-0000-0000-0000084D0000}"/>
    <cellStyle name="Normal 15 2 3 2 2" xfId="6240" xr:uid="{00000000-0005-0000-0000-0000094D0000}"/>
    <cellStyle name="Normal 15 2 3 2 3" xfId="19080" xr:uid="{00000000-0005-0000-0000-00000A4D0000}"/>
    <cellStyle name="Normal 15 2 3 2 4" xfId="24136" xr:uid="{00000000-0005-0000-0000-00000B4D0000}"/>
    <cellStyle name="Normal 15 2 3 3" xfId="5337" xr:uid="{00000000-0005-0000-0000-00000C4D0000}"/>
    <cellStyle name="Normal 15 2 3 4" xfId="14120" xr:uid="{00000000-0005-0000-0000-00000D4D0000}"/>
    <cellStyle name="Normal 15 2 3 5" xfId="24135" xr:uid="{00000000-0005-0000-0000-00000E4D0000}"/>
    <cellStyle name="Normal 15 2 4" xfId="3688" xr:uid="{00000000-0005-0000-0000-00000F4D0000}"/>
    <cellStyle name="Normal 15 2 4 2" xfId="14117" xr:uid="{00000000-0005-0000-0000-0000104D0000}"/>
    <cellStyle name="Normal 15 2 5" xfId="3467" xr:uid="{00000000-0005-0000-0000-0000114D0000}"/>
    <cellStyle name="Normal 15 2 5 2" xfId="5770" xr:uid="{00000000-0005-0000-0000-0000124D0000}"/>
    <cellStyle name="Normal 15 2 5 3" xfId="19077" xr:uid="{00000000-0005-0000-0000-0000134D0000}"/>
    <cellStyle name="Normal 15 2 6" xfId="7011" xr:uid="{00000000-0005-0000-0000-0000144D0000}"/>
    <cellStyle name="Normal 15 2 7" xfId="7219" xr:uid="{00000000-0005-0000-0000-0000154D0000}"/>
    <cellStyle name="Normal 15 2 8" xfId="23113" xr:uid="{00000000-0005-0000-0000-0000164D0000}"/>
    <cellStyle name="Normal 15 2 9" xfId="24132" xr:uid="{00000000-0005-0000-0000-0000174D0000}"/>
    <cellStyle name="Normal 15 3" xfId="2354" xr:uid="{00000000-0005-0000-0000-0000184D0000}"/>
    <cellStyle name="Normal 15 3 2" xfId="14122" xr:uid="{00000000-0005-0000-0000-0000194D0000}"/>
    <cellStyle name="Normal 15 3 2 2" xfId="19082" xr:uid="{00000000-0005-0000-0000-00001A4D0000}"/>
    <cellStyle name="Normal 15 3 3" xfId="14121" xr:uid="{00000000-0005-0000-0000-00001B4D0000}"/>
    <cellStyle name="Normal 15 3 4" xfId="19081" xr:uid="{00000000-0005-0000-0000-00001C4D0000}"/>
    <cellStyle name="Normal 15 4" xfId="2355" xr:uid="{00000000-0005-0000-0000-00001D4D0000}"/>
    <cellStyle name="Normal 15 4 2" xfId="14124" xr:uid="{00000000-0005-0000-0000-00001E4D0000}"/>
    <cellStyle name="Normal 15 4 2 2" xfId="19084" xr:uid="{00000000-0005-0000-0000-00001F4D0000}"/>
    <cellStyle name="Normal 15 4 3" xfId="14123" xr:uid="{00000000-0005-0000-0000-0000204D0000}"/>
    <cellStyle name="Normal 15 4 4" xfId="19083" xr:uid="{00000000-0005-0000-0000-0000214D0000}"/>
    <cellStyle name="Normal 15 5" xfId="14125" xr:uid="{00000000-0005-0000-0000-0000224D0000}"/>
    <cellStyle name="Normal 15 5 2" xfId="19085" xr:uid="{00000000-0005-0000-0000-0000234D0000}"/>
    <cellStyle name="Normal 15 5 3" xfId="24137" xr:uid="{00000000-0005-0000-0000-0000244D0000}"/>
    <cellStyle name="Normal 15 6" xfId="14116" xr:uid="{00000000-0005-0000-0000-0000254D0000}"/>
    <cellStyle name="Normal 15 7" xfId="19076" xr:uid="{00000000-0005-0000-0000-0000264D0000}"/>
    <cellStyle name="Normal 15 8" xfId="23112" xr:uid="{00000000-0005-0000-0000-0000274D0000}"/>
    <cellStyle name="Normal 16" xfId="255" xr:uid="{00000000-0005-0000-0000-0000284D0000}"/>
    <cellStyle name="Normal 16 10" xfId="19086" xr:uid="{00000000-0005-0000-0000-0000294D0000}"/>
    <cellStyle name="Normal 16 2" xfId="256" xr:uid="{00000000-0005-0000-0000-00002A4D0000}"/>
    <cellStyle name="Normal 16 2 2" xfId="2356" xr:uid="{00000000-0005-0000-0000-00002B4D0000}"/>
    <cellStyle name="Normal 16 2 2 2" xfId="14129" xr:uid="{00000000-0005-0000-0000-00002C4D0000}"/>
    <cellStyle name="Normal 16 2 2 2 2" xfId="19089" xr:uid="{00000000-0005-0000-0000-00002D4D0000}"/>
    <cellStyle name="Normal 16 2 2 3" xfId="14128" xr:uid="{00000000-0005-0000-0000-00002E4D0000}"/>
    <cellStyle name="Normal 16 2 2 4" xfId="19088" xr:uid="{00000000-0005-0000-0000-00002F4D0000}"/>
    <cellStyle name="Normal 16 2 3" xfId="2357" xr:uid="{00000000-0005-0000-0000-0000304D0000}"/>
    <cellStyle name="Normal 16 2 3 2" xfId="14131" xr:uid="{00000000-0005-0000-0000-0000314D0000}"/>
    <cellStyle name="Normal 16 2 3 2 2" xfId="19091" xr:uid="{00000000-0005-0000-0000-0000324D0000}"/>
    <cellStyle name="Normal 16 2 3 3" xfId="14130" xr:uid="{00000000-0005-0000-0000-0000334D0000}"/>
    <cellStyle name="Normal 16 2 3 4" xfId="19090" xr:uid="{00000000-0005-0000-0000-0000344D0000}"/>
    <cellStyle name="Normal 16 2 4" xfId="14132" xr:uid="{00000000-0005-0000-0000-0000354D0000}"/>
    <cellStyle name="Normal 16 2 4 2" xfId="19092" xr:uid="{00000000-0005-0000-0000-0000364D0000}"/>
    <cellStyle name="Normal 16 2 5" xfId="14133" xr:uid="{00000000-0005-0000-0000-0000374D0000}"/>
    <cellStyle name="Normal 16 2 5 2" xfId="19093" xr:uid="{00000000-0005-0000-0000-0000384D0000}"/>
    <cellStyle name="Normal 16 2 6" xfId="14134" xr:uid="{00000000-0005-0000-0000-0000394D0000}"/>
    <cellStyle name="Normal 16 2 6 2" xfId="19094" xr:uid="{00000000-0005-0000-0000-00003A4D0000}"/>
    <cellStyle name="Normal 16 2 7" xfId="14135" xr:uid="{00000000-0005-0000-0000-00003B4D0000}"/>
    <cellStyle name="Normal 16 2 7 2" xfId="19095" xr:uid="{00000000-0005-0000-0000-00003C4D0000}"/>
    <cellStyle name="Normal 16 2 8" xfId="14127" xr:uid="{00000000-0005-0000-0000-00003D4D0000}"/>
    <cellStyle name="Normal 16 2 9" xfId="19087" xr:uid="{00000000-0005-0000-0000-00003E4D0000}"/>
    <cellStyle name="Normal 16 3" xfId="2358" xr:uid="{00000000-0005-0000-0000-00003F4D0000}"/>
    <cellStyle name="Normal 16 3 2" xfId="14137" xr:uid="{00000000-0005-0000-0000-0000404D0000}"/>
    <cellStyle name="Normal 16 3 2 2" xfId="19097" xr:uid="{00000000-0005-0000-0000-0000414D0000}"/>
    <cellStyle name="Normal 16 3 3" xfId="14136" xr:uid="{00000000-0005-0000-0000-0000424D0000}"/>
    <cellStyle name="Normal 16 3 4" xfId="19096" xr:uid="{00000000-0005-0000-0000-0000434D0000}"/>
    <cellStyle name="Normal 16 4" xfId="2359" xr:uid="{00000000-0005-0000-0000-0000444D0000}"/>
    <cellStyle name="Normal 16 4 2" xfId="14139" xr:uid="{00000000-0005-0000-0000-0000454D0000}"/>
    <cellStyle name="Normal 16 4 2 2" xfId="19099" xr:uid="{00000000-0005-0000-0000-0000464D0000}"/>
    <cellStyle name="Normal 16 4 3" xfId="14138" xr:uid="{00000000-0005-0000-0000-0000474D0000}"/>
    <cellStyle name="Normal 16 4 4" xfId="19098" xr:uid="{00000000-0005-0000-0000-0000484D0000}"/>
    <cellStyle name="Normal 16 5" xfId="14140" xr:uid="{00000000-0005-0000-0000-0000494D0000}"/>
    <cellStyle name="Normal 16 5 2" xfId="19100" xr:uid="{00000000-0005-0000-0000-00004A4D0000}"/>
    <cellStyle name="Normal 16 5 3" xfId="24138" xr:uid="{00000000-0005-0000-0000-00004B4D0000}"/>
    <cellStyle name="Normal 16 6" xfId="14141" xr:uid="{00000000-0005-0000-0000-00004C4D0000}"/>
    <cellStyle name="Normal 16 6 2" xfId="19101" xr:uid="{00000000-0005-0000-0000-00004D4D0000}"/>
    <cellStyle name="Normal 16 7" xfId="14142" xr:uid="{00000000-0005-0000-0000-00004E4D0000}"/>
    <cellStyle name="Normal 16 7 2" xfId="19102" xr:uid="{00000000-0005-0000-0000-00004F4D0000}"/>
    <cellStyle name="Normal 16 8" xfId="14143" xr:uid="{00000000-0005-0000-0000-0000504D0000}"/>
    <cellStyle name="Normal 16 8 2" xfId="19103" xr:uid="{00000000-0005-0000-0000-0000514D0000}"/>
    <cellStyle name="Normal 16 9" xfId="14126" xr:uid="{00000000-0005-0000-0000-0000524D0000}"/>
    <cellStyle name="Normal 16_Xl0000150" xfId="451" xr:uid="{00000000-0005-0000-0000-0000534D0000}"/>
    <cellStyle name="Normal 17" xfId="257" xr:uid="{00000000-0005-0000-0000-0000544D0000}"/>
    <cellStyle name="Normal 17 10" xfId="19104" xr:uid="{00000000-0005-0000-0000-0000554D0000}"/>
    <cellStyle name="Normal 17 2" xfId="258" xr:uid="{00000000-0005-0000-0000-0000564D0000}"/>
    <cellStyle name="Normal 17 2 2" xfId="2360" xr:uid="{00000000-0005-0000-0000-0000574D0000}"/>
    <cellStyle name="Normal 17 2 2 2" xfId="14147" xr:uid="{00000000-0005-0000-0000-0000584D0000}"/>
    <cellStyle name="Normal 17 2 2 2 2" xfId="19107" xr:uid="{00000000-0005-0000-0000-0000594D0000}"/>
    <cellStyle name="Normal 17 2 2 3" xfId="14146" xr:uid="{00000000-0005-0000-0000-00005A4D0000}"/>
    <cellStyle name="Normal 17 2 2 4" xfId="19106" xr:uid="{00000000-0005-0000-0000-00005B4D0000}"/>
    <cellStyle name="Normal 17 2 3" xfId="2361" xr:uid="{00000000-0005-0000-0000-00005C4D0000}"/>
    <cellStyle name="Normal 17 2 3 2" xfId="14149" xr:uid="{00000000-0005-0000-0000-00005D4D0000}"/>
    <cellStyle name="Normal 17 2 3 2 2" xfId="19109" xr:uid="{00000000-0005-0000-0000-00005E4D0000}"/>
    <cellStyle name="Normal 17 2 3 3" xfId="14148" xr:uid="{00000000-0005-0000-0000-00005F4D0000}"/>
    <cellStyle name="Normal 17 2 3 4" xfId="19108" xr:uid="{00000000-0005-0000-0000-0000604D0000}"/>
    <cellStyle name="Normal 17 2 4" xfId="14150" xr:uid="{00000000-0005-0000-0000-0000614D0000}"/>
    <cellStyle name="Normal 17 2 4 2" xfId="19110" xr:uid="{00000000-0005-0000-0000-0000624D0000}"/>
    <cellStyle name="Normal 17 2 5" xfId="14151" xr:uid="{00000000-0005-0000-0000-0000634D0000}"/>
    <cellStyle name="Normal 17 2 5 2" xfId="19111" xr:uid="{00000000-0005-0000-0000-0000644D0000}"/>
    <cellStyle name="Normal 17 2 6" xfId="14152" xr:uid="{00000000-0005-0000-0000-0000654D0000}"/>
    <cellStyle name="Normal 17 2 6 2" xfId="19112" xr:uid="{00000000-0005-0000-0000-0000664D0000}"/>
    <cellStyle name="Normal 17 2 7" xfId="14153" xr:uid="{00000000-0005-0000-0000-0000674D0000}"/>
    <cellStyle name="Normal 17 2 7 2" xfId="19113" xr:uid="{00000000-0005-0000-0000-0000684D0000}"/>
    <cellStyle name="Normal 17 2 8" xfId="14145" xr:uid="{00000000-0005-0000-0000-0000694D0000}"/>
    <cellStyle name="Normal 17 2 9" xfId="19105" xr:uid="{00000000-0005-0000-0000-00006A4D0000}"/>
    <cellStyle name="Normal 17 3" xfId="2362" xr:uid="{00000000-0005-0000-0000-00006B4D0000}"/>
    <cellStyle name="Normal 17 3 2" xfId="14155" xr:uid="{00000000-0005-0000-0000-00006C4D0000}"/>
    <cellStyle name="Normal 17 3 2 2" xfId="19115" xr:uid="{00000000-0005-0000-0000-00006D4D0000}"/>
    <cellStyle name="Normal 17 3 3" xfId="14154" xr:uid="{00000000-0005-0000-0000-00006E4D0000}"/>
    <cellStyle name="Normal 17 3 4" xfId="19114" xr:uid="{00000000-0005-0000-0000-00006F4D0000}"/>
    <cellStyle name="Normal 17 4" xfId="2363" xr:uid="{00000000-0005-0000-0000-0000704D0000}"/>
    <cellStyle name="Normal 17 4 2" xfId="14157" xr:uid="{00000000-0005-0000-0000-0000714D0000}"/>
    <cellStyle name="Normal 17 4 2 2" xfId="19117" xr:uid="{00000000-0005-0000-0000-0000724D0000}"/>
    <cellStyle name="Normal 17 4 3" xfId="14156" xr:uid="{00000000-0005-0000-0000-0000734D0000}"/>
    <cellStyle name="Normal 17 4 4" xfId="19116" xr:uid="{00000000-0005-0000-0000-0000744D0000}"/>
    <cellStyle name="Normal 17 5" xfId="14158" xr:uid="{00000000-0005-0000-0000-0000754D0000}"/>
    <cellStyle name="Normal 17 5 2" xfId="19118" xr:uid="{00000000-0005-0000-0000-0000764D0000}"/>
    <cellStyle name="Normal 17 5 3" xfId="24139" xr:uid="{00000000-0005-0000-0000-0000774D0000}"/>
    <cellStyle name="Normal 17 6" xfId="14159" xr:uid="{00000000-0005-0000-0000-0000784D0000}"/>
    <cellStyle name="Normal 17 6 2" xfId="19119" xr:uid="{00000000-0005-0000-0000-0000794D0000}"/>
    <cellStyle name="Normal 17 7" xfId="14160" xr:uid="{00000000-0005-0000-0000-00007A4D0000}"/>
    <cellStyle name="Normal 17 7 2" xfId="19120" xr:uid="{00000000-0005-0000-0000-00007B4D0000}"/>
    <cellStyle name="Normal 17 8" xfId="14161" xr:uid="{00000000-0005-0000-0000-00007C4D0000}"/>
    <cellStyle name="Normal 17 8 2" xfId="19121" xr:uid="{00000000-0005-0000-0000-00007D4D0000}"/>
    <cellStyle name="Normal 17 9" xfId="14144" xr:uid="{00000000-0005-0000-0000-00007E4D0000}"/>
    <cellStyle name="Normal 17_Xl0000150" xfId="452" xr:uid="{00000000-0005-0000-0000-00007F4D0000}"/>
    <cellStyle name="Normal 18" xfId="259" xr:uid="{00000000-0005-0000-0000-0000804D0000}"/>
    <cellStyle name="Normal 18 10" xfId="19122" xr:uid="{00000000-0005-0000-0000-0000814D0000}"/>
    <cellStyle name="Normal 18 2" xfId="260" xr:uid="{00000000-0005-0000-0000-0000824D0000}"/>
    <cellStyle name="Normal 18 2 2" xfId="2364" xr:uid="{00000000-0005-0000-0000-0000834D0000}"/>
    <cellStyle name="Normal 18 2 2 2" xfId="14165" xr:uid="{00000000-0005-0000-0000-0000844D0000}"/>
    <cellStyle name="Normal 18 2 2 2 2" xfId="19125" xr:uid="{00000000-0005-0000-0000-0000854D0000}"/>
    <cellStyle name="Normal 18 2 2 3" xfId="14164" xr:uid="{00000000-0005-0000-0000-0000864D0000}"/>
    <cellStyle name="Normal 18 2 2 4" xfId="19124" xr:uid="{00000000-0005-0000-0000-0000874D0000}"/>
    <cellStyle name="Normal 18 2 3" xfId="2365" xr:uid="{00000000-0005-0000-0000-0000884D0000}"/>
    <cellStyle name="Normal 18 2 3 2" xfId="14167" xr:uid="{00000000-0005-0000-0000-0000894D0000}"/>
    <cellStyle name="Normal 18 2 3 2 2" xfId="19127" xr:uid="{00000000-0005-0000-0000-00008A4D0000}"/>
    <cellStyle name="Normal 18 2 3 3" xfId="14166" xr:uid="{00000000-0005-0000-0000-00008B4D0000}"/>
    <cellStyle name="Normal 18 2 3 4" xfId="19126" xr:uid="{00000000-0005-0000-0000-00008C4D0000}"/>
    <cellStyle name="Normal 18 2 4" xfId="14168" xr:uid="{00000000-0005-0000-0000-00008D4D0000}"/>
    <cellStyle name="Normal 18 2 4 2" xfId="19128" xr:uid="{00000000-0005-0000-0000-00008E4D0000}"/>
    <cellStyle name="Normal 18 2 5" xfId="14169" xr:uid="{00000000-0005-0000-0000-00008F4D0000}"/>
    <cellStyle name="Normal 18 2 5 2" xfId="19129" xr:uid="{00000000-0005-0000-0000-0000904D0000}"/>
    <cellStyle name="Normal 18 2 6" xfId="14170" xr:uid="{00000000-0005-0000-0000-0000914D0000}"/>
    <cellStyle name="Normal 18 2 6 2" xfId="19130" xr:uid="{00000000-0005-0000-0000-0000924D0000}"/>
    <cellStyle name="Normal 18 2 7" xfId="14171" xr:uid="{00000000-0005-0000-0000-0000934D0000}"/>
    <cellStyle name="Normal 18 2 7 2" xfId="19131" xr:uid="{00000000-0005-0000-0000-0000944D0000}"/>
    <cellStyle name="Normal 18 2 8" xfId="14163" xr:uid="{00000000-0005-0000-0000-0000954D0000}"/>
    <cellStyle name="Normal 18 2 9" xfId="19123" xr:uid="{00000000-0005-0000-0000-0000964D0000}"/>
    <cellStyle name="Normal 18 3" xfId="2366" xr:uid="{00000000-0005-0000-0000-0000974D0000}"/>
    <cellStyle name="Normal 18 3 2" xfId="14173" xr:uid="{00000000-0005-0000-0000-0000984D0000}"/>
    <cellStyle name="Normal 18 3 2 2" xfId="19133" xr:uid="{00000000-0005-0000-0000-0000994D0000}"/>
    <cellStyle name="Normal 18 3 3" xfId="14172" xr:uid="{00000000-0005-0000-0000-00009A4D0000}"/>
    <cellStyle name="Normal 18 3 4" xfId="19132" xr:uid="{00000000-0005-0000-0000-00009B4D0000}"/>
    <cellStyle name="Normal 18 4" xfId="2367" xr:uid="{00000000-0005-0000-0000-00009C4D0000}"/>
    <cellStyle name="Normal 18 4 2" xfId="14175" xr:uid="{00000000-0005-0000-0000-00009D4D0000}"/>
    <cellStyle name="Normal 18 4 2 2" xfId="19135" xr:uid="{00000000-0005-0000-0000-00009E4D0000}"/>
    <cellStyle name="Normal 18 4 3" xfId="14174" xr:uid="{00000000-0005-0000-0000-00009F4D0000}"/>
    <cellStyle name="Normal 18 4 4" xfId="19134" xr:uid="{00000000-0005-0000-0000-0000A04D0000}"/>
    <cellStyle name="Normal 18 5" xfId="14176" xr:uid="{00000000-0005-0000-0000-0000A14D0000}"/>
    <cellStyle name="Normal 18 5 2" xfId="19136" xr:uid="{00000000-0005-0000-0000-0000A24D0000}"/>
    <cellStyle name="Normal 18 6" xfId="14177" xr:uid="{00000000-0005-0000-0000-0000A34D0000}"/>
    <cellStyle name="Normal 18 6 2" xfId="19137" xr:uid="{00000000-0005-0000-0000-0000A44D0000}"/>
    <cellStyle name="Normal 18 7" xfId="14178" xr:uid="{00000000-0005-0000-0000-0000A54D0000}"/>
    <cellStyle name="Normal 18 7 2" xfId="19138" xr:uid="{00000000-0005-0000-0000-0000A64D0000}"/>
    <cellStyle name="Normal 18 8" xfId="14179" xr:uid="{00000000-0005-0000-0000-0000A74D0000}"/>
    <cellStyle name="Normal 18 8 2" xfId="19139" xr:uid="{00000000-0005-0000-0000-0000A84D0000}"/>
    <cellStyle name="Normal 18 9" xfId="14162" xr:uid="{00000000-0005-0000-0000-0000A94D0000}"/>
    <cellStyle name="Normal 18_Xl0000150" xfId="453" xr:uid="{00000000-0005-0000-0000-0000AA4D0000}"/>
    <cellStyle name="Normal 19" xfId="459" xr:uid="{00000000-0005-0000-0000-0000AB4D0000}"/>
    <cellStyle name="Normal 19 10" xfId="4918" xr:uid="{00000000-0005-0000-0000-0000AC4D0000}"/>
    <cellStyle name="Normal 19 11" xfId="7012" xr:uid="{00000000-0005-0000-0000-0000AD4D0000}"/>
    <cellStyle name="Normal 19 12" xfId="7220" xr:uid="{00000000-0005-0000-0000-0000AE4D0000}"/>
    <cellStyle name="Normal 19 13" xfId="24140" xr:uid="{00000000-0005-0000-0000-0000AF4D0000}"/>
    <cellStyle name="Normal 19 14" xfId="24924" xr:uid="{00000000-0005-0000-0000-0000B04D0000}"/>
    <cellStyle name="Normal 19 15" xfId="25428" xr:uid="{00000000-0005-0000-0000-0000B14D0000}"/>
    <cellStyle name="Normal 19 16" xfId="25932" xr:uid="{00000000-0005-0000-0000-0000B24D0000}"/>
    <cellStyle name="Normal 19 17" xfId="26436" xr:uid="{00000000-0005-0000-0000-0000B34D0000}"/>
    <cellStyle name="Normal 19 18" xfId="26940" xr:uid="{00000000-0005-0000-0000-0000B44D0000}"/>
    <cellStyle name="Normal 19 19" xfId="27444" xr:uid="{00000000-0005-0000-0000-0000B54D0000}"/>
    <cellStyle name="Normal 19 2" xfId="465" xr:uid="{00000000-0005-0000-0000-0000B64D0000}"/>
    <cellStyle name="Normal 19 2 2" xfId="666" xr:uid="{00000000-0005-0000-0000-0000B74D0000}"/>
    <cellStyle name="Normal 19 2 2 10" xfId="7221" xr:uid="{00000000-0005-0000-0000-0000B84D0000}"/>
    <cellStyle name="Normal 19 2 2 11" xfId="24141" xr:uid="{00000000-0005-0000-0000-0000B94D0000}"/>
    <cellStyle name="Normal 19 2 2 12" xfId="24925" xr:uid="{00000000-0005-0000-0000-0000BA4D0000}"/>
    <cellStyle name="Normal 19 2 2 13" xfId="25429" xr:uid="{00000000-0005-0000-0000-0000BB4D0000}"/>
    <cellStyle name="Normal 19 2 2 14" xfId="25933" xr:uid="{00000000-0005-0000-0000-0000BC4D0000}"/>
    <cellStyle name="Normal 19 2 2 15" xfId="26437" xr:uid="{00000000-0005-0000-0000-0000BD4D0000}"/>
    <cellStyle name="Normal 19 2 2 16" xfId="26941" xr:uid="{00000000-0005-0000-0000-0000BE4D0000}"/>
    <cellStyle name="Normal 19 2 2 17" xfId="27445" xr:uid="{00000000-0005-0000-0000-0000BF4D0000}"/>
    <cellStyle name="Normal 19 2 2 18" xfId="27949" xr:uid="{00000000-0005-0000-0000-0000C04D0000}"/>
    <cellStyle name="Normal 19 2 2 19" xfId="28453" xr:uid="{00000000-0005-0000-0000-0000C14D0000}"/>
    <cellStyle name="Normal 19 2 2 2" xfId="1426" xr:uid="{00000000-0005-0000-0000-0000C24D0000}"/>
    <cellStyle name="Normal 19 2 2 2 10" xfId="25934" xr:uid="{00000000-0005-0000-0000-0000C34D0000}"/>
    <cellStyle name="Normal 19 2 2 2 11" xfId="26438" xr:uid="{00000000-0005-0000-0000-0000C44D0000}"/>
    <cellStyle name="Normal 19 2 2 2 12" xfId="26942" xr:uid="{00000000-0005-0000-0000-0000C54D0000}"/>
    <cellStyle name="Normal 19 2 2 2 13" xfId="27446" xr:uid="{00000000-0005-0000-0000-0000C64D0000}"/>
    <cellStyle name="Normal 19 2 2 2 14" xfId="27950" xr:uid="{00000000-0005-0000-0000-0000C74D0000}"/>
    <cellStyle name="Normal 19 2 2 2 15" xfId="28454" xr:uid="{00000000-0005-0000-0000-0000C84D0000}"/>
    <cellStyle name="Normal 19 2 2 2 16" xfId="28958" xr:uid="{00000000-0005-0000-0000-0000C94D0000}"/>
    <cellStyle name="Normal 19 2 2 2 17" xfId="29462" xr:uid="{00000000-0005-0000-0000-0000CA4D0000}"/>
    <cellStyle name="Normal 19 2 2 2 18" xfId="29966" xr:uid="{00000000-0005-0000-0000-0000CB4D0000}"/>
    <cellStyle name="Normal 19 2 2 2 19" xfId="30470" xr:uid="{00000000-0005-0000-0000-0000CC4D0000}"/>
    <cellStyle name="Normal 19 2 2 2 2" xfId="1674" xr:uid="{00000000-0005-0000-0000-0000CD4D0000}"/>
    <cellStyle name="Normal 19 2 2 2 2 2" xfId="3101" xr:uid="{00000000-0005-0000-0000-0000CE4D0000}"/>
    <cellStyle name="Normal 19 2 2 2 2 2 2" xfId="4720" xr:uid="{00000000-0005-0000-0000-0000CF4D0000}"/>
    <cellStyle name="Normal 19 2 2 2 2 2 2 2" xfId="6587" xr:uid="{00000000-0005-0000-0000-0000D04D0000}"/>
    <cellStyle name="Normal 19 2 2 2 2 2 3" xfId="5685" xr:uid="{00000000-0005-0000-0000-0000D14D0000}"/>
    <cellStyle name="Normal 19 2 2 2 2 3" xfId="4193" xr:uid="{00000000-0005-0000-0000-0000D24D0000}"/>
    <cellStyle name="Normal 19 2 2 2 2 3 2" xfId="6141" xr:uid="{00000000-0005-0000-0000-0000D34D0000}"/>
    <cellStyle name="Normal 19 2 2 2 2 4" xfId="5227" xr:uid="{00000000-0005-0000-0000-0000D44D0000}"/>
    <cellStyle name="Normal 19 2 2 2 20" xfId="30975" xr:uid="{00000000-0005-0000-0000-0000D54D0000}"/>
    <cellStyle name="Normal 19 2 2 2 3" xfId="2860" xr:uid="{00000000-0005-0000-0000-0000D64D0000}"/>
    <cellStyle name="Normal 19 2 2 2 3 2" xfId="4479" xr:uid="{00000000-0005-0000-0000-0000D74D0000}"/>
    <cellStyle name="Normal 19 2 2 2 3 2 2" xfId="6346" xr:uid="{00000000-0005-0000-0000-0000D84D0000}"/>
    <cellStyle name="Normal 19 2 2 2 3 3" xfId="5444" xr:uid="{00000000-0005-0000-0000-0000D94D0000}"/>
    <cellStyle name="Normal 19 2 2 2 4" xfId="3947" xr:uid="{00000000-0005-0000-0000-0000DA4D0000}"/>
    <cellStyle name="Normal 19 2 2 2 4 2" xfId="5901" xr:uid="{00000000-0005-0000-0000-0000DB4D0000}"/>
    <cellStyle name="Normal 19 2 2 2 5" xfId="4986" xr:uid="{00000000-0005-0000-0000-0000DC4D0000}"/>
    <cellStyle name="Normal 19 2 2 2 6" xfId="7332" xr:uid="{00000000-0005-0000-0000-0000DD4D0000}"/>
    <cellStyle name="Normal 19 2 2 2 7" xfId="24142" xr:uid="{00000000-0005-0000-0000-0000DE4D0000}"/>
    <cellStyle name="Normal 19 2 2 2 8" xfId="24926" xr:uid="{00000000-0005-0000-0000-0000DF4D0000}"/>
    <cellStyle name="Normal 19 2 2 2 9" xfId="25430" xr:uid="{00000000-0005-0000-0000-0000E04D0000}"/>
    <cellStyle name="Normal 19 2 2 20" xfId="28957" xr:uid="{00000000-0005-0000-0000-0000E14D0000}"/>
    <cellStyle name="Normal 19 2 2 21" xfId="29461" xr:uid="{00000000-0005-0000-0000-0000E24D0000}"/>
    <cellStyle name="Normal 19 2 2 22" xfId="29965" xr:uid="{00000000-0005-0000-0000-0000E34D0000}"/>
    <cellStyle name="Normal 19 2 2 23" xfId="30469" xr:uid="{00000000-0005-0000-0000-0000E44D0000}"/>
    <cellStyle name="Normal 19 2 2 24" xfId="30974" xr:uid="{00000000-0005-0000-0000-0000E54D0000}"/>
    <cellStyle name="Normal 19 2 2 3" xfId="1675" xr:uid="{00000000-0005-0000-0000-0000E64D0000}"/>
    <cellStyle name="Normal 19 2 2 3 2" xfId="3102" xr:uid="{00000000-0005-0000-0000-0000E74D0000}"/>
    <cellStyle name="Normal 19 2 2 3 2 2" xfId="4721" xr:uid="{00000000-0005-0000-0000-0000E84D0000}"/>
    <cellStyle name="Normal 19 2 2 3 2 2 2" xfId="6588" xr:uid="{00000000-0005-0000-0000-0000E94D0000}"/>
    <cellStyle name="Normal 19 2 2 3 2 3" xfId="5686" xr:uid="{00000000-0005-0000-0000-0000EA4D0000}"/>
    <cellStyle name="Normal 19 2 2 3 3" xfId="4194" xr:uid="{00000000-0005-0000-0000-0000EB4D0000}"/>
    <cellStyle name="Normal 19 2 2 3 3 2" xfId="6142" xr:uid="{00000000-0005-0000-0000-0000EC4D0000}"/>
    <cellStyle name="Normal 19 2 2 3 4" xfId="5228" xr:uid="{00000000-0005-0000-0000-0000ED4D0000}"/>
    <cellStyle name="Normal 19 2 2 3 5" xfId="14182" xr:uid="{00000000-0005-0000-0000-0000EE4D0000}"/>
    <cellStyle name="Normal 19 2 2 4" xfId="2370" xr:uid="{00000000-0005-0000-0000-0000EF4D0000}"/>
    <cellStyle name="Normal 19 2 2 4 2" xfId="4328" xr:uid="{00000000-0005-0000-0000-0000F04D0000}"/>
    <cellStyle name="Normal 19 2 2 4 2 2" xfId="6201" xr:uid="{00000000-0005-0000-0000-0000F14D0000}"/>
    <cellStyle name="Normal 19 2 2 4 3" xfId="5291" xr:uid="{00000000-0005-0000-0000-0000F24D0000}"/>
    <cellStyle name="Normal 19 2 2 4 4" xfId="19142" xr:uid="{00000000-0005-0000-0000-0000F34D0000}"/>
    <cellStyle name="Normal 19 2 2 5" xfId="2691" xr:uid="{00000000-0005-0000-0000-0000F44D0000}"/>
    <cellStyle name="Normal 19 2 2 5 2" xfId="4372" xr:uid="{00000000-0005-0000-0000-0000F54D0000}"/>
    <cellStyle name="Normal 19 2 2 5 2 2" xfId="6242" xr:uid="{00000000-0005-0000-0000-0000F64D0000}"/>
    <cellStyle name="Normal 19 2 2 5 3" xfId="5339" xr:uid="{00000000-0005-0000-0000-0000F74D0000}"/>
    <cellStyle name="Normal 19 2 2 6" xfId="2799" xr:uid="{00000000-0005-0000-0000-0000F84D0000}"/>
    <cellStyle name="Normal 19 2 2 6 2" xfId="4421" xr:uid="{00000000-0005-0000-0000-0000F94D0000}"/>
    <cellStyle name="Normal 19 2 2 6 2 2" xfId="6289" xr:uid="{00000000-0005-0000-0000-0000FA4D0000}"/>
    <cellStyle name="Normal 19 2 2 6 3" xfId="5387" xr:uid="{00000000-0005-0000-0000-0000FB4D0000}"/>
    <cellStyle name="Normal 19 2 2 7" xfId="3470" xr:uid="{00000000-0005-0000-0000-0000FC4D0000}"/>
    <cellStyle name="Normal 19 2 2 7 2" xfId="5772" xr:uid="{00000000-0005-0000-0000-0000FD4D0000}"/>
    <cellStyle name="Normal 19 2 2 8" xfId="4929" xr:uid="{00000000-0005-0000-0000-0000FE4D0000}"/>
    <cellStyle name="Normal 19 2 2 9" xfId="7013" xr:uid="{00000000-0005-0000-0000-0000FF4D0000}"/>
    <cellStyle name="Normal 19 2 3" xfId="1419" xr:uid="{00000000-0005-0000-0000-0000004E0000}"/>
    <cellStyle name="Normal 19 2 3 2" xfId="1676" xr:uid="{00000000-0005-0000-0000-0000014E0000}"/>
    <cellStyle name="Normal 19 2 3 2 10" xfId="26439" xr:uid="{00000000-0005-0000-0000-0000024E0000}"/>
    <cellStyle name="Normal 19 2 3 2 11" xfId="26943" xr:uid="{00000000-0005-0000-0000-0000034E0000}"/>
    <cellStyle name="Normal 19 2 3 2 12" xfId="27447" xr:uid="{00000000-0005-0000-0000-0000044E0000}"/>
    <cellStyle name="Normal 19 2 3 2 13" xfId="27951" xr:uid="{00000000-0005-0000-0000-0000054E0000}"/>
    <cellStyle name="Normal 19 2 3 2 14" xfId="28455" xr:uid="{00000000-0005-0000-0000-0000064E0000}"/>
    <cellStyle name="Normal 19 2 3 2 15" xfId="28959" xr:uid="{00000000-0005-0000-0000-0000074E0000}"/>
    <cellStyle name="Normal 19 2 3 2 16" xfId="29463" xr:uid="{00000000-0005-0000-0000-0000084E0000}"/>
    <cellStyle name="Normal 19 2 3 2 17" xfId="29967" xr:uid="{00000000-0005-0000-0000-0000094E0000}"/>
    <cellStyle name="Normal 19 2 3 2 18" xfId="30471" xr:uid="{00000000-0005-0000-0000-00000A4E0000}"/>
    <cellStyle name="Normal 19 2 3 2 19" xfId="30976" xr:uid="{00000000-0005-0000-0000-00000B4E0000}"/>
    <cellStyle name="Normal 19 2 3 2 2" xfId="3103" xr:uid="{00000000-0005-0000-0000-00000C4E0000}"/>
    <cellStyle name="Normal 19 2 3 2 2 2" xfId="4722" xr:uid="{00000000-0005-0000-0000-00000D4E0000}"/>
    <cellStyle name="Normal 19 2 3 2 2 2 2" xfId="6589" xr:uid="{00000000-0005-0000-0000-00000E4E0000}"/>
    <cellStyle name="Normal 19 2 3 2 2 3" xfId="5687" xr:uid="{00000000-0005-0000-0000-00000F4E0000}"/>
    <cellStyle name="Normal 19 2 3 2 2 4" xfId="19144" xr:uid="{00000000-0005-0000-0000-0000104E0000}"/>
    <cellStyle name="Normal 19 2 3 2 3" xfId="4195" xr:uid="{00000000-0005-0000-0000-0000114E0000}"/>
    <cellStyle name="Normal 19 2 3 2 3 2" xfId="6143" xr:uid="{00000000-0005-0000-0000-0000124E0000}"/>
    <cellStyle name="Normal 19 2 3 2 4" xfId="5229" xr:uid="{00000000-0005-0000-0000-0000134E0000}"/>
    <cellStyle name="Normal 19 2 3 2 5" xfId="14184" xr:uid="{00000000-0005-0000-0000-0000144E0000}"/>
    <cellStyle name="Normal 19 2 3 2 6" xfId="24143" xr:uid="{00000000-0005-0000-0000-0000154E0000}"/>
    <cellStyle name="Normal 19 2 3 2 7" xfId="24927" xr:uid="{00000000-0005-0000-0000-0000164E0000}"/>
    <cellStyle name="Normal 19 2 3 2 8" xfId="25431" xr:uid="{00000000-0005-0000-0000-0000174E0000}"/>
    <cellStyle name="Normal 19 2 3 2 9" xfId="25935" xr:uid="{00000000-0005-0000-0000-0000184E0000}"/>
    <cellStyle name="Normal 19 2 3 3" xfId="2371" xr:uid="{00000000-0005-0000-0000-0000194E0000}"/>
    <cellStyle name="Normal 19 2 3 3 2" xfId="14183" xr:uid="{00000000-0005-0000-0000-00001A4E0000}"/>
    <cellStyle name="Normal 19 2 3 4" xfId="2853" xr:uid="{00000000-0005-0000-0000-00001B4E0000}"/>
    <cellStyle name="Normal 19 2 3 4 2" xfId="4472" xr:uid="{00000000-0005-0000-0000-00001C4E0000}"/>
    <cellStyle name="Normal 19 2 3 4 2 2" xfId="6339" xr:uid="{00000000-0005-0000-0000-00001D4E0000}"/>
    <cellStyle name="Normal 19 2 3 4 3" xfId="5437" xr:uid="{00000000-0005-0000-0000-00001E4E0000}"/>
    <cellStyle name="Normal 19 2 3 4 4" xfId="19143" xr:uid="{00000000-0005-0000-0000-00001F4E0000}"/>
    <cellStyle name="Normal 19 2 3 5" xfId="3940" xr:uid="{00000000-0005-0000-0000-0000204E0000}"/>
    <cellStyle name="Normal 19 2 3 5 2" xfId="5894" xr:uid="{00000000-0005-0000-0000-0000214E0000}"/>
    <cellStyle name="Normal 19 2 3 6" xfId="4979" xr:uid="{00000000-0005-0000-0000-0000224E0000}"/>
    <cellStyle name="Normal 19 2 4" xfId="1677" xr:uid="{00000000-0005-0000-0000-0000234E0000}"/>
    <cellStyle name="Normal 19 2 4 2" xfId="3104" xr:uid="{00000000-0005-0000-0000-0000244E0000}"/>
    <cellStyle name="Normal 19 2 4 2 2" xfId="4723" xr:uid="{00000000-0005-0000-0000-0000254E0000}"/>
    <cellStyle name="Normal 19 2 4 2 2 2" xfId="6590" xr:uid="{00000000-0005-0000-0000-0000264E0000}"/>
    <cellStyle name="Normal 19 2 4 2 3" xfId="5688" xr:uid="{00000000-0005-0000-0000-0000274E0000}"/>
    <cellStyle name="Normal 19 2 4 2 4" xfId="19145" xr:uid="{00000000-0005-0000-0000-0000284E0000}"/>
    <cellStyle name="Normal 19 2 4 3" xfId="4196" xr:uid="{00000000-0005-0000-0000-0000294E0000}"/>
    <cellStyle name="Normal 19 2 4 3 2" xfId="6144" xr:uid="{00000000-0005-0000-0000-00002A4E0000}"/>
    <cellStyle name="Normal 19 2 4 4" xfId="5230" xr:uid="{00000000-0005-0000-0000-00002B4E0000}"/>
    <cellStyle name="Normal 19 2 4 5" xfId="14185" xr:uid="{00000000-0005-0000-0000-00002C4E0000}"/>
    <cellStyle name="Normal 19 2 5" xfId="2369" xr:uid="{00000000-0005-0000-0000-00002D4E0000}"/>
    <cellStyle name="Normal 19 2 5 2" xfId="19146" xr:uid="{00000000-0005-0000-0000-00002E4E0000}"/>
    <cellStyle name="Normal 19 2 5 3" xfId="14186" xr:uid="{00000000-0005-0000-0000-00002F4E0000}"/>
    <cellStyle name="Normal 19 2 6" xfId="2792" xr:uid="{00000000-0005-0000-0000-0000304E0000}"/>
    <cellStyle name="Normal 19 2 6 2" xfId="4414" xr:uid="{00000000-0005-0000-0000-0000314E0000}"/>
    <cellStyle name="Normal 19 2 6 2 2" xfId="6282" xr:uid="{00000000-0005-0000-0000-0000324E0000}"/>
    <cellStyle name="Normal 19 2 6 2 3" xfId="19147" xr:uid="{00000000-0005-0000-0000-0000334E0000}"/>
    <cellStyle name="Normal 19 2 6 3" xfId="5380" xr:uid="{00000000-0005-0000-0000-0000344E0000}"/>
    <cellStyle name="Normal 19 2 6 4" xfId="14187" xr:uid="{00000000-0005-0000-0000-0000354E0000}"/>
    <cellStyle name="Normal 19 2 7" xfId="4922" xr:uid="{00000000-0005-0000-0000-0000364E0000}"/>
    <cellStyle name="Normal 19 2 7 2" xfId="14181" xr:uid="{00000000-0005-0000-0000-0000374E0000}"/>
    <cellStyle name="Normal 19 2 8" xfId="19141" xr:uid="{00000000-0005-0000-0000-0000384E0000}"/>
    <cellStyle name="Normal 19 20" xfId="27948" xr:uid="{00000000-0005-0000-0000-0000394E0000}"/>
    <cellStyle name="Normal 19 21" xfId="28452" xr:uid="{00000000-0005-0000-0000-00003A4E0000}"/>
    <cellStyle name="Normal 19 22" xfId="28956" xr:uid="{00000000-0005-0000-0000-00003B4E0000}"/>
    <cellStyle name="Normal 19 23" xfId="29460" xr:uid="{00000000-0005-0000-0000-00003C4E0000}"/>
    <cellStyle name="Normal 19 24" xfId="29964" xr:uid="{00000000-0005-0000-0000-00003D4E0000}"/>
    <cellStyle name="Normal 19 25" xfId="30468" xr:uid="{00000000-0005-0000-0000-00003E4E0000}"/>
    <cellStyle name="Normal 19 26" xfId="30973" xr:uid="{00000000-0005-0000-0000-00003F4E0000}"/>
    <cellStyle name="Normal 19 3" xfId="665" xr:uid="{00000000-0005-0000-0000-0000404E0000}"/>
    <cellStyle name="Normal 19 3 10" xfId="7222" xr:uid="{00000000-0005-0000-0000-0000414E0000}"/>
    <cellStyle name="Normal 19 3 11" xfId="24144" xr:uid="{00000000-0005-0000-0000-0000424E0000}"/>
    <cellStyle name="Normal 19 3 12" xfId="24928" xr:uid="{00000000-0005-0000-0000-0000434E0000}"/>
    <cellStyle name="Normal 19 3 13" xfId="25432" xr:uid="{00000000-0005-0000-0000-0000444E0000}"/>
    <cellStyle name="Normal 19 3 14" xfId="25936" xr:uid="{00000000-0005-0000-0000-0000454E0000}"/>
    <cellStyle name="Normal 19 3 15" xfId="26440" xr:uid="{00000000-0005-0000-0000-0000464E0000}"/>
    <cellStyle name="Normal 19 3 16" xfId="26944" xr:uid="{00000000-0005-0000-0000-0000474E0000}"/>
    <cellStyle name="Normal 19 3 17" xfId="27448" xr:uid="{00000000-0005-0000-0000-0000484E0000}"/>
    <cellStyle name="Normal 19 3 18" xfId="27952" xr:uid="{00000000-0005-0000-0000-0000494E0000}"/>
    <cellStyle name="Normal 19 3 19" xfId="28456" xr:uid="{00000000-0005-0000-0000-00004A4E0000}"/>
    <cellStyle name="Normal 19 3 2" xfId="1425" xr:uid="{00000000-0005-0000-0000-00004B4E0000}"/>
    <cellStyle name="Normal 19 3 2 10" xfId="25937" xr:uid="{00000000-0005-0000-0000-00004C4E0000}"/>
    <cellStyle name="Normal 19 3 2 11" xfId="26441" xr:uid="{00000000-0005-0000-0000-00004D4E0000}"/>
    <cellStyle name="Normal 19 3 2 12" xfId="26945" xr:uid="{00000000-0005-0000-0000-00004E4E0000}"/>
    <cellStyle name="Normal 19 3 2 13" xfId="27449" xr:uid="{00000000-0005-0000-0000-00004F4E0000}"/>
    <cellStyle name="Normal 19 3 2 14" xfId="27953" xr:uid="{00000000-0005-0000-0000-0000504E0000}"/>
    <cellStyle name="Normal 19 3 2 15" xfId="28457" xr:uid="{00000000-0005-0000-0000-0000514E0000}"/>
    <cellStyle name="Normal 19 3 2 16" xfId="28961" xr:uid="{00000000-0005-0000-0000-0000524E0000}"/>
    <cellStyle name="Normal 19 3 2 17" xfId="29465" xr:uid="{00000000-0005-0000-0000-0000534E0000}"/>
    <cellStyle name="Normal 19 3 2 18" xfId="29969" xr:uid="{00000000-0005-0000-0000-0000544E0000}"/>
    <cellStyle name="Normal 19 3 2 19" xfId="30473" xr:uid="{00000000-0005-0000-0000-0000554E0000}"/>
    <cellStyle name="Normal 19 3 2 2" xfId="1678" xr:uid="{00000000-0005-0000-0000-0000564E0000}"/>
    <cellStyle name="Normal 19 3 2 2 2" xfId="3105" xr:uid="{00000000-0005-0000-0000-0000574E0000}"/>
    <cellStyle name="Normal 19 3 2 2 2 2" xfId="4724" xr:uid="{00000000-0005-0000-0000-0000584E0000}"/>
    <cellStyle name="Normal 19 3 2 2 2 2 2" xfId="6591" xr:uid="{00000000-0005-0000-0000-0000594E0000}"/>
    <cellStyle name="Normal 19 3 2 2 2 3" xfId="5689" xr:uid="{00000000-0005-0000-0000-00005A4E0000}"/>
    <cellStyle name="Normal 19 3 2 2 3" xfId="4197" xr:uid="{00000000-0005-0000-0000-00005B4E0000}"/>
    <cellStyle name="Normal 19 3 2 2 3 2" xfId="6145" xr:uid="{00000000-0005-0000-0000-00005C4E0000}"/>
    <cellStyle name="Normal 19 3 2 2 4" xfId="5231" xr:uid="{00000000-0005-0000-0000-00005D4E0000}"/>
    <cellStyle name="Normal 19 3 2 20" xfId="30978" xr:uid="{00000000-0005-0000-0000-00005E4E0000}"/>
    <cellStyle name="Normal 19 3 2 3" xfId="2859" xr:uid="{00000000-0005-0000-0000-00005F4E0000}"/>
    <cellStyle name="Normal 19 3 2 3 2" xfId="4478" xr:uid="{00000000-0005-0000-0000-0000604E0000}"/>
    <cellStyle name="Normal 19 3 2 3 2 2" xfId="6345" xr:uid="{00000000-0005-0000-0000-0000614E0000}"/>
    <cellStyle name="Normal 19 3 2 3 3" xfId="5443" xr:uid="{00000000-0005-0000-0000-0000624E0000}"/>
    <cellStyle name="Normal 19 3 2 4" xfId="3946" xr:uid="{00000000-0005-0000-0000-0000634E0000}"/>
    <cellStyle name="Normal 19 3 2 4 2" xfId="5900" xr:uid="{00000000-0005-0000-0000-0000644E0000}"/>
    <cellStyle name="Normal 19 3 2 5" xfId="4985" xr:uid="{00000000-0005-0000-0000-0000654E0000}"/>
    <cellStyle name="Normal 19 3 2 6" xfId="14188" xr:uid="{00000000-0005-0000-0000-0000664E0000}"/>
    <cellStyle name="Normal 19 3 2 7" xfId="24145" xr:uid="{00000000-0005-0000-0000-0000674E0000}"/>
    <cellStyle name="Normal 19 3 2 8" xfId="24929" xr:uid="{00000000-0005-0000-0000-0000684E0000}"/>
    <cellStyle name="Normal 19 3 2 9" xfId="25433" xr:uid="{00000000-0005-0000-0000-0000694E0000}"/>
    <cellStyle name="Normal 19 3 20" xfId="28960" xr:uid="{00000000-0005-0000-0000-00006A4E0000}"/>
    <cellStyle name="Normal 19 3 21" xfId="29464" xr:uid="{00000000-0005-0000-0000-00006B4E0000}"/>
    <cellStyle name="Normal 19 3 22" xfId="29968" xr:uid="{00000000-0005-0000-0000-00006C4E0000}"/>
    <cellStyle name="Normal 19 3 23" xfId="30472" xr:uid="{00000000-0005-0000-0000-00006D4E0000}"/>
    <cellStyle name="Normal 19 3 24" xfId="30977" xr:uid="{00000000-0005-0000-0000-00006E4E0000}"/>
    <cellStyle name="Normal 19 3 3" xfId="1679" xr:uid="{00000000-0005-0000-0000-00006F4E0000}"/>
    <cellStyle name="Normal 19 3 3 2" xfId="3106" xr:uid="{00000000-0005-0000-0000-0000704E0000}"/>
    <cellStyle name="Normal 19 3 3 2 2" xfId="4725" xr:uid="{00000000-0005-0000-0000-0000714E0000}"/>
    <cellStyle name="Normal 19 3 3 2 2 2" xfId="6592" xr:uid="{00000000-0005-0000-0000-0000724E0000}"/>
    <cellStyle name="Normal 19 3 3 2 3" xfId="5690" xr:uid="{00000000-0005-0000-0000-0000734E0000}"/>
    <cellStyle name="Normal 19 3 3 3" xfId="4198" xr:uid="{00000000-0005-0000-0000-0000744E0000}"/>
    <cellStyle name="Normal 19 3 3 3 2" xfId="6146" xr:uid="{00000000-0005-0000-0000-0000754E0000}"/>
    <cellStyle name="Normal 19 3 3 4" xfId="5232" xr:uid="{00000000-0005-0000-0000-0000764E0000}"/>
    <cellStyle name="Normal 19 3 3 5" xfId="19148" xr:uid="{00000000-0005-0000-0000-0000774E0000}"/>
    <cellStyle name="Normal 19 3 4" xfId="2372" xr:uid="{00000000-0005-0000-0000-0000784E0000}"/>
    <cellStyle name="Normal 19 3 4 2" xfId="4329" xr:uid="{00000000-0005-0000-0000-0000794E0000}"/>
    <cellStyle name="Normal 19 3 4 2 2" xfId="6202" xr:uid="{00000000-0005-0000-0000-00007A4E0000}"/>
    <cellStyle name="Normal 19 3 4 3" xfId="5292" xr:uid="{00000000-0005-0000-0000-00007B4E0000}"/>
    <cellStyle name="Normal 19 3 5" xfId="2692" xr:uid="{00000000-0005-0000-0000-00007C4E0000}"/>
    <cellStyle name="Normal 19 3 5 2" xfId="4373" xr:uid="{00000000-0005-0000-0000-00007D4E0000}"/>
    <cellStyle name="Normal 19 3 5 2 2" xfId="6243" xr:uid="{00000000-0005-0000-0000-00007E4E0000}"/>
    <cellStyle name="Normal 19 3 5 3" xfId="5340" xr:uid="{00000000-0005-0000-0000-00007F4E0000}"/>
    <cellStyle name="Normal 19 3 6" xfId="2798" xr:uid="{00000000-0005-0000-0000-0000804E0000}"/>
    <cellStyle name="Normal 19 3 6 2" xfId="4420" xr:uid="{00000000-0005-0000-0000-0000814E0000}"/>
    <cellStyle name="Normal 19 3 6 2 2" xfId="6288" xr:uid="{00000000-0005-0000-0000-0000824E0000}"/>
    <cellStyle name="Normal 19 3 6 3" xfId="5386" xr:uid="{00000000-0005-0000-0000-0000834E0000}"/>
    <cellStyle name="Normal 19 3 7" xfId="3471" xr:uid="{00000000-0005-0000-0000-0000844E0000}"/>
    <cellStyle name="Normal 19 3 7 2" xfId="5773" xr:uid="{00000000-0005-0000-0000-0000854E0000}"/>
    <cellStyle name="Normal 19 3 8" xfId="4928" xr:uid="{00000000-0005-0000-0000-0000864E0000}"/>
    <cellStyle name="Normal 19 3 9" xfId="7014" xr:uid="{00000000-0005-0000-0000-0000874E0000}"/>
    <cellStyle name="Normal 19 4" xfId="1415" xr:uid="{00000000-0005-0000-0000-0000884E0000}"/>
    <cellStyle name="Normal 19 4 10" xfId="25938" xr:uid="{00000000-0005-0000-0000-0000894E0000}"/>
    <cellStyle name="Normal 19 4 11" xfId="26442" xr:uid="{00000000-0005-0000-0000-00008A4E0000}"/>
    <cellStyle name="Normal 19 4 12" xfId="26946" xr:uid="{00000000-0005-0000-0000-00008B4E0000}"/>
    <cellStyle name="Normal 19 4 13" xfId="27450" xr:uid="{00000000-0005-0000-0000-00008C4E0000}"/>
    <cellStyle name="Normal 19 4 14" xfId="27954" xr:uid="{00000000-0005-0000-0000-00008D4E0000}"/>
    <cellStyle name="Normal 19 4 15" xfId="28458" xr:uid="{00000000-0005-0000-0000-00008E4E0000}"/>
    <cellStyle name="Normal 19 4 16" xfId="28962" xr:uid="{00000000-0005-0000-0000-00008F4E0000}"/>
    <cellStyle name="Normal 19 4 17" xfId="29466" xr:uid="{00000000-0005-0000-0000-0000904E0000}"/>
    <cellStyle name="Normal 19 4 18" xfId="29970" xr:uid="{00000000-0005-0000-0000-0000914E0000}"/>
    <cellStyle name="Normal 19 4 19" xfId="30474" xr:uid="{00000000-0005-0000-0000-0000924E0000}"/>
    <cellStyle name="Normal 19 4 2" xfId="1680" xr:uid="{00000000-0005-0000-0000-0000934E0000}"/>
    <cellStyle name="Normal 19 4 2 2" xfId="3107" xr:uid="{00000000-0005-0000-0000-0000944E0000}"/>
    <cellStyle name="Normal 19 4 2 2 2" xfId="4726" xr:uid="{00000000-0005-0000-0000-0000954E0000}"/>
    <cellStyle name="Normal 19 4 2 2 2 2" xfId="6593" xr:uid="{00000000-0005-0000-0000-0000964E0000}"/>
    <cellStyle name="Normal 19 4 2 2 3" xfId="5691" xr:uid="{00000000-0005-0000-0000-0000974E0000}"/>
    <cellStyle name="Normal 19 4 2 3" xfId="4199" xr:uid="{00000000-0005-0000-0000-0000984E0000}"/>
    <cellStyle name="Normal 19 4 2 3 2" xfId="6147" xr:uid="{00000000-0005-0000-0000-0000994E0000}"/>
    <cellStyle name="Normal 19 4 2 4" xfId="5233" xr:uid="{00000000-0005-0000-0000-00009A4E0000}"/>
    <cellStyle name="Normal 19 4 20" xfId="30979" xr:uid="{00000000-0005-0000-0000-00009B4E0000}"/>
    <cellStyle name="Normal 19 4 3" xfId="2849" xr:uid="{00000000-0005-0000-0000-00009C4E0000}"/>
    <cellStyle name="Normal 19 4 3 2" xfId="4468" xr:uid="{00000000-0005-0000-0000-00009D4E0000}"/>
    <cellStyle name="Normal 19 4 3 2 2" xfId="6335" xr:uid="{00000000-0005-0000-0000-00009E4E0000}"/>
    <cellStyle name="Normal 19 4 3 3" xfId="5433" xr:uid="{00000000-0005-0000-0000-00009F4E0000}"/>
    <cellStyle name="Normal 19 4 4" xfId="3936" xr:uid="{00000000-0005-0000-0000-0000A04E0000}"/>
    <cellStyle name="Normal 19 4 4 2" xfId="5890" xr:uid="{00000000-0005-0000-0000-0000A14E0000}"/>
    <cellStyle name="Normal 19 4 5" xfId="4975" xr:uid="{00000000-0005-0000-0000-0000A24E0000}"/>
    <cellStyle name="Normal 19 4 6" xfId="7331" xr:uid="{00000000-0005-0000-0000-0000A34E0000}"/>
    <cellStyle name="Normal 19 4 7" xfId="24146" xr:uid="{00000000-0005-0000-0000-0000A44E0000}"/>
    <cellStyle name="Normal 19 4 8" xfId="24930" xr:uid="{00000000-0005-0000-0000-0000A54E0000}"/>
    <cellStyle name="Normal 19 4 9" xfId="25434" xr:uid="{00000000-0005-0000-0000-0000A64E0000}"/>
    <cellStyle name="Normal 19 5" xfId="1681" xr:uid="{00000000-0005-0000-0000-0000A74E0000}"/>
    <cellStyle name="Normal 19 5 2" xfId="3108" xr:uid="{00000000-0005-0000-0000-0000A84E0000}"/>
    <cellStyle name="Normal 19 5 2 2" xfId="4727" xr:uid="{00000000-0005-0000-0000-0000A94E0000}"/>
    <cellStyle name="Normal 19 5 2 2 2" xfId="6594" xr:uid="{00000000-0005-0000-0000-0000AA4E0000}"/>
    <cellStyle name="Normal 19 5 2 3" xfId="5692" xr:uid="{00000000-0005-0000-0000-0000AB4E0000}"/>
    <cellStyle name="Normal 19 5 3" xfId="4200" xr:uid="{00000000-0005-0000-0000-0000AC4E0000}"/>
    <cellStyle name="Normal 19 5 3 2" xfId="6148" xr:uid="{00000000-0005-0000-0000-0000AD4E0000}"/>
    <cellStyle name="Normal 19 5 4" xfId="5234" xr:uid="{00000000-0005-0000-0000-0000AE4E0000}"/>
    <cellStyle name="Normal 19 5 5" xfId="14180" xr:uid="{00000000-0005-0000-0000-0000AF4E0000}"/>
    <cellStyle name="Normal 19 6" xfId="2368" xr:uid="{00000000-0005-0000-0000-0000B04E0000}"/>
    <cellStyle name="Normal 19 6 2" xfId="4327" xr:uid="{00000000-0005-0000-0000-0000B14E0000}"/>
    <cellStyle name="Normal 19 6 2 2" xfId="6200" xr:uid="{00000000-0005-0000-0000-0000B24E0000}"/>
    <cellStyle name="Normal 19 6 3" xfId="5290" xr:uid="{00000000-0005-0000-0000-0000B34E0000}"/>
    <cellStyle name="Normal 19 6 4" xfId="19140" xr:uid="{00000000-0005-0000-0000-0000B44E0000}"/>
    <cellStyle name="Normal 19 7" xfId="2690" xr:uid="{00000000-0005-0000-0000-0000B54E0000}"/>
    <cellStyle name="Normal 19 7 2" xfId="4371" xr:uid="{00000000-0005-0000-0000-0000B64E0000}"/>
    <cellStyle name="Normal 19 7 2 2" xfId="6241" xr:uid="{00000000-0005-0000-0000-0000B74E0000}"/>
    <cellStyle name="Normal 19 7 3" xfId="5338" xr:uid="{00000000-0005-0000-0000-0000B84E0000}"/>
    <cellStyle name="Normal 19 8" xfId="2788" xr:uid="{00000000-0005-0000-0000-0000B94E0000}"/>
    <cellStyle name="Normal 19 8 2" xfId="4410" xr:uid="{00000000-0005-0000-0000-0000BA4E0000}"/>
    <cellStyle name="Normal 19 8 2 2" xfId="6278" xr:uid="{00000000-0005-0000-0000-0000BB4E0000}"/>
    <cellStyle name="Normal 19 8 3" xfId="5376" xr:uid="{00000000-0005-0000-0000-0000BC4E0000}"/>
    <cellStyle name="Normal 19 9" xfId="3469" xr:uid="{00000000-0005-0000-0000-0000BD4E0000}"/>
    <cellStyle name="Normal 19 9 2" xfId="5771" xr:uid="{00000000-0005-0000-0000-0000BE4E0000}"/>
    <cellStyle name="Normal 2" xfId="32026" xr:uid="{D8CFAA89-E81F-4FEE-BDF9-E7B6D792232E}"/>
    <cellStyle name="Normal 2 10" xfId="463" xr:uid="{00000000-0005-0000-0000-0000C04E0000}"/>
    <cellStyle name="Normal 2 10 2" xfId="14191" xr:uid="{00000000-0005-0000-0000-0000C14E0000}"/>
    <cellStyle name="Normal 2 10 2 2" xfId="19151" xr:uid="{00000000-0005-0000-0000-0000C24E0000}"/>
    <cellStyle name="Normal 2 10 3" xfId="14192" xr:uid="{00000000-0005-0000-0000-0000C34E0000}"/>
    <cellStyle name="Normal 2 10 3 2" xfId="19152" xr:uid="{00000000-0005-0000-0000-0000C44E0000}"/>
    <cellStyle name="Normal 2 10 4" xfId="14193" xr:uid="{00000000-0005-0000-0000-0000C54E0000}"/>
    <cellStyle name="Normal 2 10 4 2" xfId="19153" xr:uid="{00000000-0005-0000-0000-0000C64E0000}"/>
    <cellStyle name="Normal 2 10 5" xfId="14194" xr:uid="{00000000-0005-0000-0000-0000C74E0000}"/>
    <cellStyle name="Normal 2 10 5 2" xfId="19154" xr:uid="{00000000-0005-0000-0000-0000C84E0000}"/>
    <cellStyle name="Normal 2 10 6" xfId="14190" xr:uid="{00000000-0005-0000-0000-0000C94E0000}"/>
    <cellStyle name="Normal 2 10 7" xfId="19150" xr:uid="{00000000-0005-0000-0000-0000CA4E0000}"/>
    <cellStyle name="Normal 2 11" xfId="667" xr:uid="{00000000-0005-0000-0000-0000CB4E0000}"/>
    <cellStyle name="Normal 2 11 10" xfId="25435" xr:uid="{00000000-0005-0000-0000-0000CC4E0000}"/>
    <cellStyle name="Normal 2 11 11" xfId="25939" xr:uid="{00000000-0005-0000-0000-0000CD4E0000}"/>
    <cellStyle name="Normal 2 11 12" xfId="26443" xr:uid="{00000000-0005-0000-0000-0000CE4E0000}"/>
    <cellStyle name="Normal 2 11 13" xfId="26947" xr:uid="{00000000-0005-0000-0000-0000CF4E0000}"/>
    <cellStyle name="Normal 2 11 14" xfId="27451" xr:uid="{00000000-0005-0000-0000-0000D04E0000}"/>
    <cellStyle name="Normal 2 11 15" xfId="27955" xr:uid="{00000000-0005-0000-0000-0000D14E0000}"/>
    <cellStyle name="Normal 2 11 16" xfId="28459" xr:uid="{00000000-0005-0000-0000-0000D24E0000}"/>
    <cellStyle name="Normal 2 11 17" xfId="28963" xr:uid="{00000000-0005-0000-0000-0000D34E0000}"/>
    <cellStyle name="Normal 2 11 18" xfId="29467" xr:uid="{00000000-0005-0000-0000-0000D44E0000}"/>
    <cellStyle name="Normal 2 11 19" xfId="29971" xr:uid="{00000000-0005-0000-0000-0000D54E0000}"/>
    <cellStyle name="Normal 2 11 2" xfId="3689" xr:uid="{00000000-0005-0000-0000-0000D64E0000}"/>
    <cellStyle name="Normal 2 11 2 2" xfId="19156" xr:uid="{00000000-0005-0000-0000-0000D74E0000}"/>
    <cellStyle name="Normal 2 11 2 3" xfId="14196" xr:uid="{00000000-0005-0000-0000-0000D84E0000}"/>
    <cellStyle name="Normal 2 11 20" xfId="30475" xr:uid="{00000000-0005-0000-0000-0000D94E0000}"/>
    <cellStyle name="Normal 2 11 21" xfId="30980" xr:uid="{00000000-0005-0000-0000-0000DA4E0000}"/>
    <cellStyle name="Normal 2 11 3" xfId="3472" xr:uid="{00000000-0005-0000-0000-0000DB4E0000}"/>
    <cellStyle name="Normal 2 11 3 2" xfId="19157" xr:uid="{00000000-0005-0000-0000-0000DC4E0000}"/>
    <cellStyle name="Normal 2 11 3 3" xfId="14197" xr:uid="{00000000-0005-0000-0000-0000DD4E0000}"/>
    <cellStyle name="Normal 2 11 4" xfId="14198" xr:uid="{00000000-0005-0000-0000-0000DE4E0000}"/>
    <cellStyle name="Normal 2 11 4 2" xfId="19158" xr:uid="{00000000-0005-0000-0000-0000DF4E0000}"/>
    <cellStyle name="Normal 2 11 5" xfId="14195" xr:uid="{00000000-0005-0000-0000-0000E04E0000}"/>
    <cellStyle name="Normal 2 11 6" xfId="19155" xr:uid="{00000000-0005-0000-0000-0000E14E0000}"/>
    <cellStyle name="Normal 2 11 7" xfId="7223" xr:uid="{00000000-0005-0000-0000-0000E24E0000}"/>
    <cellStyle name="Normal 2 11 8" xfId="24147" xr:uid="{00000000-0005-0000-0000-0000E34E0000}"/>
    <cellStyle name="Normal 2 11 9" xfId="24931" xr:uid="{00000000-0005-0000-0000-0000E44E0000}"/>
    <cellStyle name="Normal 2 12" xfId="6766" xr:uid="{00000000-0005-0000-0000-0000E54E0000}"/>
    <cellStyle name="Normal 2 12 2" xfId="14199" xr:uid="{00000000-0005-0000-0000-0000E64E0000}"/>
    <cellStyle name="Normal 2 12 3" xfId="19159" xr:uid="{00000000-0005-0000-0000-0000E74E0000}"/>
    <cellStyle name="Normal 2 12 4" xfId="7102" xr:uid="{00000000-0005-0000-0000-0000E84E0000}"/>
    <cellStyle name="Normal 2 13" xfId="14200" xr:uid="{00000000-0005-0000-0000-0000E94E0000}"/>
    <cellStyle name="Normal 2 13 2" xfId="19160" xr:uid="{00000000-0005-0000-0000-0000EA4E0000}"/>
    <cellStyle name="Normal 2 14" xfId="14201" xr:uid="{00000000-0005-0000-0000-0000EB4E0000}"/>
    <cellStyle name="Normal 2 14 2" xfId="19161" xr:uid="{00000000-0005-0000-0000-0000EC4E0000}"/>
    <cellStyle name="Normal 2 15" xfId="14189" xr:uid="{00000000-0005-0000-0000-0000ED4E0000}"/>
    <cellStyle name="Normal 2 16" xfId="19149" xr:uid="{00000000-0005-0000-0000-0000EE4E0000}"/>
    <cellStyle name="Normal 2 17" xfId="7096" xr:uid="{00000000-0005-0000-0000-0000EF4E0000}"/>
    <cellStyle name="Normal 2 18" xfId="31995" xr:uid="{417FF069-C460-4D01-AC8A-CC6F46EA924C}"/>
    <cellStyle name="Normal 2 2" xfId="261" xr:uid="{00000000-0005-0000-0000-0000F04E0000}"/>
    <cellStyle name="Normal 2 2 10" xfId="668" xr:uid="{00000000-0005-0000-0000-0000F14E0000}"/>
    <cellStyle name="Normal 2 2 10 2" xfId="3474" xr:uid="{00000000-0005-0000-0000-0000F24E0000}"/>
    <cellStyle name="Normal 2 2 10 2 2" xfId="14205" xr:uid="{00000000-0005-0000-0000-0000F34E0000}"/>
    <cellStyle name="Normal 2 2 10 2 2 2" xfId="19165" xr:uid="{00000000-0005-0000-0000-0000F44E0000}"/>
    <cellStyle name="Normal 2 2 10 2 3" xfId="19164" xr:uid="{00000000-0005-0000-0000-0000F54E0000}"/>
    <cellStyle name="Normal 2 2 10 2 4" xfId="14204" xr:uid="{00000000-0005-0000-0000-0000F64E0000}"/>
    <cellStyle name="Normal 2 2 10 3" xfId="3473" xr:uid="{00000000-0005-0000-0000-0000F74E0000}"/>
    <cellStyle name="Normal 2 2 10 3 2" xfId="19166" xr:uid="{00000000-0005-0000-0000-0000F84E0000}"/>
    <cellStyle name="Normal 2 2 10 3 3" xfId="14206" xr:uid="{00000000-0005-0000-0000-0000F94E0000}"/>
    <cellStyle name="Normal 2 2 10 4" xfId="14207" xr:uid="{00000000-0005-0000-0000-0000FA4E0000}"/>
    <cellStyle name="Normal 2 2 10 4 2" xfId="19167" xr:uid="{00000000-0005-0000-0000-0000FB4E0000}"/>
    <cellStyle name="Normal 2 2 10 5" xfId="14203" xr:uid="{00000000-0005-0000-0000-0000FC4E0000}"/>
    <cellStyle name="Normal 2 2 10 6" xfId="19163" xr:uid="{00000000-0005-0000-0000-0000FD4E0000}"/>
    <cellStyle name="Normal 2 2 11" xfId="2373" xr:uid="{00000000-0005-0000-0000-0000FE4E0000}"/>
    <cellStyle name="Normal 2 2 11 2" xfId="4330" xr:uid="{00000000-0005-0000-0000-0000FF4E0000}"/>
    <cellStyle name="Normal 2 2 11 2 2" xfId="19169" xr:uid="{00000000-0005-0000-0000-0000004F0000}"/>
    <cellStyle name="Normal 2 2 11 2 3" xfId="14209" xr:uid="{00000000-0005-0000-0000-0000014F0000}"/>
    <cellStyle name="Normal 2 2 11 3" xfId="3475" xr:uid="{00000000-0005-0000-0000-0000024F0000}"/>
    <cellStyle name="Normal 2 2 11 3 2" xfId="14208" xr:uid="{00000000-0005-0000-0000-0000034F0000}"/>
    <cellStyle name="Normal 2 2 11 4" xfId="19168" xr:uid="{00000000-0005-0000-0000-0000044F0000}"/>
    <cellStyle name="Normal 2 2 12" xfId="14210" xr:uid="{00000000-0005-0000-0000-0000054F0000}"/>
    <cellStyle name="Normal 2 2 12 2" xfId="14211" xr:uid="{00000000-0005-0000-0000-0000064F0000}"/>
    <cellStyle name="Normal 2 2 12 2 2" xfId="19171" xr:uid="{00000000-0005-0000-0000-0000074F0000}"/>
    <cellStyle name="Normal 2 2 12 3" xfId="19170" xr:uid="{00000000-0005-0000-0000-0000084F0000}"/>
    <cellStyle name="Normal 2 2 13" xfId="14212" xr:uid="{00000000-0005-0000-0000-0000094F0000}"/>
    <cellStyle name="Normal 2 2 13 2" xfId="19172" xr:uid="{00000000-0005-0000-0000-00000A4F0000}"/>
    <cellStyle name="Normal 2 2 14" xfId="14202" xr:uid="{00000000-0005-0000-0000-00000B4F0000}"/>
    <cellStyle name="Normal 2 2 15" xfId="19162" xr:uid="{00000000-0005-0000-0000-00000C4F0000}"/>
    <cellStyle name="Normal 2 2 2" xfId="262" xr:uid="{00000000-0005-0000-0000-00000D4F0000}"/>
    <cellStyle name="Normal 2 2 2 2" xfId="263" xr:uid="{00000000-0005-0000-0000-00000E4F0000}"/>
    <cellStyle name="Normal 2 2 2 2 2" xfId="2374" xr:uid="{00000000-0005-0000-0000-00000F4F0000}"/>
    <cellStyle name="Normal 2 2 2 2 2 2" xfId="14216" xr:uid="{00000000-0005-0000-0000-0000104F0000}"/>
    <cellStyle name="Normal 2 2 2 2 2 2 2" xfId="19176" xr:uid="{00000000-0005-0000-0000-0000114F0000}"/>
    <cellStyle name="Normal 2 2 2 2 2 3" xfId="14215" xr:uid="{00000000-0005-0000-0000-0000124F0000}"/>
    <cellStyle name="Normal 2 2 2 2 2 4" xfId="19175" xr:uid="{00000000-0005-0000-0000-0000134F0000}"/>
    <cellStyle name="Normal 2 2 2 2 3" xfId="2375" xr:uid="{00000000-0005-0000-0000-0000144F0000}"/>
    <cellStyle name="Normal 2 2 2 2 3 2" xfId="14218" xr:uid="{00000000-0005-0000-0000-0000154F0000}"/>
    <cellStyle name="Normal 2 2 2 2 3 2 2" xfId="19178" xr:uid="{00000000-0005-0000-0000-0000164F0000}"/>
    <cellStyle name="Normal 2 2 2 2 3 3" xfId="14217" xr:uid="{00000000-0005-0000-0000-0000174F0000}"/>
    <cellStyle name="Normal 2 2 2 2 3 4" xfId="19177" xr:uid="{00000000-0005-0000-0000-0000184F0000}"/>
    <cellStyle name="Normal 2 2 2 2 4" xfId="14219" xr:uid="{00000000-0005-0000-0000-0000194F0000}"/>
    <cellStyle name="Normal 2 2 2 2 4 2" xfId="19179" xr:uid="{00000000-0005-0000-0000-00001A4F0000}"/>
    <cellStyle name="Normal 2 2 2 2 5" xfId="14220" xr:uid="{00000000-0005-0000-0000-00001B4F0000}"/>
    <cellStyle name="Normal 2 2 2 2 5 2" xfId="19180" xr:uid="{00000000-0005-0000-0000-00001C4F0000}"/>
    <cellStyle name="Normal 2 2 2 2 6" xfId="14214" xr:uid="{00000000-0005-0000-0000-00001D4F0000}"/>
    <cellStyle name="Normal 2 2 2 2 7" xfId="19174" xr:uid="{00000000-0005-0000-0000-00001E4F0000}"/>
    <cellStyle name="Normal 2 2 2 3" xfId="2376" xr:uid="{00000000-0005-0000-0000-00001F4F0000}"/>
    <cellStyle name="Normal 2 2 2 3 2" xfId="14222" xr:uid="{00000000-0005-0000-0000-0000204F0000}"/>
    <cellStyle name="Normal 2 2 2 3 2 2" xfId="19182" xr:uid="{00000000-0005-0000-0000-0000214F0000}"/>
    <cellStyle name="Normal 2 2 2 3 3" xfId="14221" xr:uid="{00000000-0005-0000-0000-0000224F0000}"/>
    <cellStyle name="Normal 2 2 2 3 4" xfId="19181" xr:uid="{00000000-0005-0000-0000-0000234F0000}"/>
    <cellStyle name="Normal 2 2 2 4" xfId="2377" xr:uid="{00000000-0005-0000-0000-0000244F0000}"/>
    <cellStyle name="Normal 2 2 2 4 2" xfId="14224" xr:uid="{00000000-0005-0000-0000-0000254F0000}"/>
    <cellStyle name="Normal 2 2 2 4 2 2" xfId="19184" xr:uid="{00000000-0005-0000-0000-0000264F0000}"/>
    <cellStyle name="Normal 2 2 2 4 3" xfId="14223" xr:uid="{00000000-0005-0000-0000-0000274F0000}"/>
    <cellStyle name="Normal 2 2 2 4 4" xfId="19183" xr:uid="{00000000-0005-0000-0000-0000284F0000}"/>
    <cellStyle name="Normal 2 2 2 5" xfId="14225" xr:uid="{00000000-0005-0000-0000-0000294F0000}"/>
    <cellStyle name="Normal 2 2 2 5 2" xfId="19185" xr:uid="{00000000-0005-0000-0000-00002A4F0000}"/>
    <cellStyle name="Normal 2 2 2 5 3" xfId="24148" xr:uid="{00000000-0005-0000-0000-00002B4F0000}"/>
    <cellStyle name="Normal 2 2 2 6" xfId="14226" xr:uid="{00000000-0005-0000-0000-00002C4F0000}"/>
    <cellStyle name="Normal 2 2 2 6 2" xfId="19186" xr:uid="{00000000-0005-0000-0000-00002D4F0000}"/>
    <cellStyle name="Normal 2 2 2 7" xfId="14213" xr:uid="{00000000-0005-0000-0000-00002E4F0000}"/>
    <cellStyle name="Normal 2 2 2 8" xfId="19173" xr:uid="{00000000-0005-0000-0000-00002F4F0000}"/>
    <cellStyle name="Normal 2 2 2 9" xfId="23114" xr:uid="{00000000-0005-0000-0000-0000304F0000}"/>
    <cellStyle name="Normal 2 2 2_Copia de Plan b07 con modelo de nuevas recuperaciones" xfId="264" xr:uid="{00000000-0005-0000-0000-0000314F0000}"/>
    <cellStyle name="Normal 2 2 3" xfId="265" xr:uid="{00000000-0005-0000-0000-0000324F0000}"/>
    <cellStyle name="Normal 2 2 3 2" xfId="266" xr:uid="{00000000-0005-0000-0000-0000334F0000}"/>
    <cellStyle name="Normal 2 2 3 2 2" xfId="2378" xr:uid="{00000000-0005-0000-0000-0000344F0000}"/>
    <cellStyle name="Normal 2 2 3 2 2 2" xfId="14230" xr:uid="{00000000-0005-0000-0000-0000354F0000}"/>
    <cellStyle name="Normal 2 2 3 2 2 2 2" xfId="19190" xr:uid="{00000000-0005-0000-0000-0000364F0000}"/>
    <cellStyle name="Normal 2 2 3 2 2 3" xfId="14229" xr:uid="{00000000-0005-0000-0000-0000374F0000}"/>
    <cellStyle name="Normal 2 2 3 2 2 4" xfId="19189" xr:uid="{00000000-0005-0000-0000-0000384F0000}"/>
    <cellStyle name="Normal 2 2 3 2 3" xfId="2379" xr:uid="{00000000-0005-0000-0000-0000394F0000}"/>
    <cellStyle name="Normal 2 2 3 2 3 2" xfId="14232" xr:uid="{00000000-0005-0000-0000-00003A4F0000}"/>
    <cellStyle name="Normal 2 2 3 2 3 2 2" xfId="19192" xr:uid="{00000000-0005-0000-0000-00003B4F0000}"/>
    <cellStyle name="Normal 2 2 3 2 3 3" xfId="14231" xr:uid="{00000000-0005-0000-0000-00003C4F0000}"/>
    <cellStyle name="Normal 2 2 3 2 3 4" xfId="19191" xr:uid="{00000000-0005-0000-0000-00003D4F0000}"/>
    <cellStyle name="Normal 2 2 3 2 4" xfId="14233" xr:uid="{00000000-0005-0000-0000-00003E4F0000}"/>
    <cellStyle name="Normal 2 2 3 2 4 2" xfId="19193" xr:uid="{00000000-0005-0000-0000-00003F4F0000}"/>
    <cellStyle name="Normal 2 2 3 2 5" xfId="14234" xr:uid="{00000000-0005-0000-0000-0000404F0000}"/>
    <cellStyle name="Normal 2 2 3 2 5 2" xfId="19194" xr:uid="{00000000-0005-0000-0000-0000414F0000}"/>
    <cellStyle name="Normal 2 2 3 2 6" xfId="14228" xr:uid="{00000000-0005-0000-0000-0000424F0000}"/>
    <cellStyle name="Normal 2 2 3 2 7" xfId="19188" xr:uid="{00000000-0005-0000-0000-0000434F0000}"/>
    <cellStyle name="Normal 2 2 3 3" xfId="2380" xr:uid="{00000000-0005-0000-0000-0000444F0000}"/>
    <cellStyle name="Normal 2 2 3 3 2" xfId="14236" xr:uid="{00000000-0005-0000-0000-0000454F0000}"/>
    <cellStyle name="Normal 2 2 3 3 2 2" xfId="19196" xr:uid="{00000000-0005-0000-0000-0000464F0000}"/>
    <cellStyle name="Normal 2 2 3 3 3" xfId="14235" xr:uid="{00000000-0005-0000-0000-0000474F0000}"/>
    <cellStyle name="Normal 2 2 3 3 4" xfId="19195" xr:uid="{00000000-0005-0000-0000-0000484F0000}"/>
    <cellStyle name="Normal 2 2 3 4" xfId="2381" xr:uid="{00000000-0005-0000-0000-0000494F0000}"/>
    <cellStyle name="Normal 2 2 3 4 2" xfId="14238" xr:uid="{00000000-0005-0000-0000-00004A4F0000}"/>
    <cellStyle name="Normal 2 2 3 4 2 2" xfId="19198" xr:uid="{00000000-0005-0000-0000-00004B4F0000}"/>
    <cellStyle name="Normal 2 2 3 4 3" xfId="14237" xr:uid="{00000000-0005-0000-0000-00004C4F0000}"/>
    <cellStyle name="Normal 2 2 3 4 4" xfId="19197" xr:uid="{00000000-0005-0000-0000-00004D4F0000}"/>
    <cellStyle name="Normal 2 2 3 5" xfId="14239" xr:uid="{00000000-0005-0000-0000-00004E4F0000}"/>
    <cellStyle name="Normal 2 2 3 5 2" xfId="19199" xr:uid="{00000000-0005-0000-0000-00004F4F0000}"/>
    <cellStyle name="Normal 2 2 3 6" xfId="14240" xr:uid="{00000000-0005-0000-0000-0000504F0000}"/>
    <cellStyle name="Normal 2 2 3 6 2" xfId="19200" xr:uid="{00000000-0005-0000-0000-0000514F0000}"/>
    <cellStyle name="Normal 2 2 3 7" xfId="14227" xr:uid="{00000000-0005-0000-0000-0000524F0000}"/>
    <cellStyle name="Normal 2 2 3 8" xfId="19187" xr:uid="{00000000-0005-0000-0000-0000534F0000}"/>
    <cellStyle name="Normal 2 2 3 9" xfId="23115" xr:uid="{00000000-0005-0000-0000-0000544F0000}"/>
    <cellStyle name="Normal 2 2 3_Copia de Plan b07 con modelo de nuevas recuperaciones" xfId="267" xr:uid="{00000000-0005-0000-0000-0000554F0000}"/>
    <cellStyle name="Normal 2 2 4" xfId="268" xr:uid="{00000000-0005-0000-0000-0000564F0000}"/>
    <cellStyle name="Normal 2 2 4 2" xfId="2382" xr:uid="{00000000-0005-0000-0000-0000574F0000}"/>
    <cellStyle name="Normal 2 2 4 2 2" xfId="14243" xr:uid="{00000000-0005-0000-0000-0000584F0000}"/>
    <cellStyle name="Normal 2 2 4 2 2 2" xfId="19203" xr:uid="{00000000-0005-0000-0000-0000594F0000}"/>
    <cellStyle name="Normal 2 2 4 2 3" xfId="14242" xr:uid="{00000000-0005-0000-0000-00005A4F0000}"/>
    <cellStyle name="Normal 2 2 4 2 4" xfId="19202" xr:uid="{00000000-0005-0000-0000-00005B4F0000}"/>
    <cellStyle name="Normal 2 2 4 3" xfId="2383" xr:uid="{00000000-0005-0000-0000-00005C4F0000}"/>
    <cellStyle name="Normal 2 2 4 3 2" xfId="14245" xr:uid="{00000000-0005-0000-0000-00005D4F0000}"/>
    <cellStyle name="Normal 2 2 4 3 2 2" xfId="19205" xr:uid="{00000000-0005-0000-0000-00005E4F0000}"/>
    <cellStyle name="Normal 2 2 4 3 3" xfId="14244" xr:uid="{00000000-0005-0000-0000-00005F4F0000}"/>
    <cellStyle name="Normal 2 2 4 3 4" xfId="19204" xr:uid="{00000000-0005-0000-0000-0000604F0000}"/>
    <cellStyle name="Normal 2 2 4 4" xfId="14246" xr:uid="{00000000-0005-0000-0000-0000614F0000}"/>
    <cellStyle name="Normal 2 2 4 4 2" xfId="19206" xr:uid="{00000000-0005-0000-0000-0000624F0000}"/>
    <cellStyle name="Normal 2 2 4 5" xfId="14247" xr:uid="{00000000-0005-0000-0000-0000634F0000}"/>
    <cellStyle name="Normal 2 2 4 5 2" xfId="19207" xr:uid="{00000000-0005-0000-0000-0000644F0000}"/>
    <cellStyle name="Normal 2 2 4 6" xfId="14248" xr:uid="{00000000-0005-0000-0000-0000654F0000}"/>
    <cellStyle name="Normal 2 2 4 6 2" xfId="19208" xr:uid="{00000000-0005-0000-0000-0000664F0000}"/>
    <cellStyle name="Normal 2 2 4 7" xfId="14249" xr:uid="{00000000-0005-0000-0000-0000674F0000}"/>
    <cellStyle name="Normal 2 2 4 7 2" xfId="19209" xr:uid="{00000000-0005-0000-0000-0000684F0000}"/>
    <cellStyle name="Normal 2 2 4 8" xfId="14241" xr:uid="{00000000-0005-0000-0000-0000694F0000}"/>
    <cellStyle name="Normal 2 2 4 9" xfId="19201" xr:uid="{00000000-0005-0000-0000-00006A4F0000}"/>
    <cellStyle name="Normal 2 2 5" xfId="669" xr:uid="{00000000-0005-0000-0000-00006B4F0000}"/>
    <cellStyle name="Normal 2 2 5 2" xfId="3476" xr:uid="{00000000-0005-0000-0000-00006C4F0000}"/>
    <cellStyle name="Normal 2 2 5 2 2" xfId="14252" xr:uid="{00000000-0005-0000-0000-00006D4F0000}"/>
    <cellStyle name="Normal 2 2 5 2 2 2" xfId="19212" xr:uid="{00000000-0005-0000-0000-00006E4F0000}"/>
    <cellStyle name="Normal 2 2 5 2 3" xfId="19211" xr:uid="{00000000-0005-0000-0000-00006F4F0000}"/>
    <cellStyle name="Normal 2 2 5 2 4" xfId="14251" xr:uid="{00000000-0005-0000-0000-0000704F0000}"/>
    <cellStyle name="Normal 2 2 5 3" xfId="3477" xr:uid="{00000000-0005-0000-0000-0000714F0000}"/>
    <cellStyle name="Normal 2 2 5 3 2" xfId="14254" xr:uid="{00000000-0005-0000-0000-0000724F0000}"/>
    <cellStyle name="Normal 2 2 5 3 2 2" xfId="19214" xr:uid="{00000000-0005-0000-0000-0000734F0000}"/>
    <cellStyle name="Normal 2 2 5 3 3" xfId="19213" xr:uid="{00000000-0005-0000-0000-0000744F0000}"/>
    <cellStyle name="Normal 2 2 5 3 4" xfId="14253" xr:uid="{00000000-0005-0000-0000-0000754F0000}"/>
    <cellStyle name="Normal 2 2 5 4" xfId="14255" xr:uid="{00000000-0005-0000-0000-0000764F0000}"/>
    <cellStyle name="Normal 2 2 5 4 2" xfId="19215" xr:uid="{00000000-0005-0000-0000-0000774F0000}"/>
    <cellStyle name="Normal 2 2 5 5" xfId="14256" xr:uid="{00000000-0005-0000-0000-0000784F0000}"/>
    <cellStyle name="Normal 2 2 5 5 2" xfId="19216" xr:uid="{00000000-0005-0000-0000-0000794F0000}"/>
    <cellStyle name="Normal 2 2 5 6" xfId="14257" xr:uid="{00000000-0005-0000-0000-00007A4F0000}"/>
    <cellStyle name="Normal 2 2 5 6 2" xfId="19217" xr:uid="{00000000-0005-0000-0000-00007B4F0000}"/>
    <cellStyle name="Normal 2 2 5 7" xfId="14250" xr:uid="{00000000-0005-0000-0000-00007C4F0000}"/>
    <cellStyle name="Normal 2 2 5 8" xfId="19210" xr:uid="{00000000-0005-0000-0000-00007D4F0000}"/>
    <cellStyle name="Normal 2 2 6" xfId="670" xr:uid="{00000000-0005-0000-0000-00007E4F0000}"/>
    <cellStyle name="Normal 2 2 6 2" xfId="2384" xr:uid="{00000000-0005-0000-0000-00007F4F0000}"/>
    <cellStyle name="Normal 2 2 6 2 2" xfId="19219" xr:uid="{00000000-0005-0000-0000-0000804F0000}"/>
    <cellStyle name="Normal 2 2 6 2 3" xfId="14259" xr:uid="{00000000-0005-0000-0000-0000814F0000}"/>
    <cellStyle name="Normal 2 2 6 2 4" xfId="24149" xr:uid="{00000000-0005-0000-0000-0000824F0000}"/>
    <cellStyle name="Normal 2 2 6 3" xfId="3690" xr:uid="{00000000-0005-0000-0000-0000834F0000}"/>
    <cellStyle name="Normal 2 2 6 3 2" xfId="19220" xr:uid="{00000000-0005-0000-0000-0000844F0000}"/>
    <cellStyle name="Normal 2 2 6 3 3" xfId="14260" xr:uid="{00000000-0005-0000-0000-0000854F0000}"/>
    <cellStyle name="Normal 2 2 6 4" xfId="14261" xr:uid="{00000000-0005-0000-0000-0000864F0000}"/>
    <cellStyle name="Normal 2 2 6 4 2" xfId="19221" xr:uid="{00000000-0005-0000-0000-0000874F0000}"/>
    <cellStyle name="Normal 2 2 6 5" xfId="14258" xr:uid="{00000000-0005-0000-0000-0000884F0000}"/>
    <cellStyle name="Normal 2 2 6 6" xfId="19218" xr:uid="{00000000-0005-0000-0000-0000894F0000}"/>
    <cellStyle name="Normal 2 2 7" xfId="671" xr:uid="{00000000-0005-0000-0000-00008A4F0000}"/>
    <cellStyle name="Normal 2 2 7 2" xfId="3478" xr:uid="{00000000-0005-0000-0000-00008B4F0000}"/>
    <cellStyle name="Normal 2 2 7 2 2" xfId="14264" xr:uid="{00000000-0005-0000-0000-00008C4F0000}"/>
    <cellStyle name="Normal 2 2 7 2 2 2" xfId="19224" xr:uid="{00000000-0005-0000-0000-00008D4F0000}"/>
    <cellStyle name="Normal 2 2 7 2 3" xfId="19223" xr:uid="{00000000-0005-0000-0000-00008E4F0000}"/>
    <cellStyle name="Normal 2 2 7 2 4" xfId="14263" xr:uid="{00000000-0005-0000-0000-00008F4F0000}"/>
    <cellStyle name="Normal 2 2 7 3" xfId="14265" xr:uid="{00000000-0005-0000-0000-0000904F0000}"/>
    <cellStyle name="Normal 2 2 7 3 2" xfId="19225" xr:uid="{00000000-0005-0000-0000-0000914F0000}"/>
    <cellStyle name="Normal 2 2 7 4" xfId="14266" xr:uid="{00000000-0005-0000-0000-0000924F0000}"/>
    <cellStyle name="Normal 2 2 7 4 2" xfId="19226" xr:uid="{00000000-0005-0000-0000-0000934F0000}"/>
    <cellStyle name="Normal 2 2 7 5" xfId="14262" xr:uid="{00000000-0005-0000-0000-0000944F0000}"/>
    <cellStyle name="Normal 2 2 7 6" xfId="19222" xr:uid="{00000000-0005-0000-0000-0000954F0000}"/>
    <cellStyle name="Normal 2 2 8" xfId="672" xr:uid="{00000000-0005-0000-0000-0000964F0000}"/>
    <cellStyle name="Normal 2 2 8 2" xfId="3479" xr:uid="{00000000-0005-0000-0000-0000974F0000}"/>
    <cellStyle name="Normal 2 2 8 2 2" xfId="14269" xr:uid="{00000000-0005-0000-0000-0000984F0000}"/>
    <cellStyle name="Normal 2 2 8 2 2 2" xfId="19229" xr:uid="{00000000-0005-0000-0000-0000994F0000}"/>
    <cellStyle name="Normal 2 2 8 2 2 3" xfId="24151" xr:uid="{00000000-0005-0000-0000-00009A4F0000}"/>
    <cellStyle name="Normal 2 2 8 2 3" xfId="14268" xr:uid="{00000000-0005-0000-0000-00009B4F0000}"/>
    <cellStyle name="Normal 2 2 8 2 4" xfId="19228" xr:uid="{00000000-0005-0000-0000-00009C4F0000}"/>
    <cellStyle name="Normal 2 2 8 2 5" xfId="24150" xr:uid="{00000000-0005-0000-0000-00009D4F0000}"/>
    <cellStyle name="Normal 2 2 8 3" xfId="14270" xr:uid="{00000000-0005-0000-0000-00009E4F0000}"/>
    <cellStyle name="Normal 2 2 8 3 2" xfId="14271" xr:uid="{00000000-0005-0000-0000-00009F4F0000}"/>
    <cellStyle name="Normal 2 2 8 3 2 2" xfId="19231" xr:uid="{00000000-0005-0000-0000-0000A04F0000}"/>
    <cellStyle name="Normal 2 2 8 3 3" xfId="19230" xr:uid="{00000000-0005-0000-0000-0000A14F0000}"/>
    <cellStyle name="Normal 2 2 8 3 4" xfId="24152" xr:uid="{00000000-0005-0000-0000-0000A24F0000}"/>
    <cellStyle name="Normal 2 2 8 4" xfId="14272" xr:uid="{00000000-0005-0000-0000-0000A34F0000}"/>
    <cellStyle name="Normal 2 2 8 4 2" xfId="19232" xr:uid="{00000000-0005-0000-0000-0000A44F0000}"/>
    <cellStyle name="Normal 2 2 8 5" xfId="14267" xr:uid="{00000000-0005-0000-0000-0000A54F0000}"/>
    <cellStyle name="Normal 2 2 8 6" xfId="19227" xr:uid="{00000000-0005-0000-0000-0000A64F0000}"/>
    <cellStyle name="Normal 2 2 9" xfId="673" xr:uid="{00000000-0005-0000-0000-0000A74F0000}"/>
    <cellStyle name="Normal 2 2 9 2" xfId="3481" xr:uid="{00000000-0005-0000-0000-0000A84F0000}"/>
    <cellStyle name="Normal 2 2 9 2 2" xfId="14275" xr:uid="{00000000-0005-0000-0000-0000A94F0000}"/>
    <cellStyle name="Normal 2 2 9 2 2 2" xfId="19235" xr:uid="{00000000-0005-0000-0000-0000AA4F0000}"/>
    <cellStyle name="Normal 2 2 9 2 3" xfId="19234" xr:uid="{00000000-0005-0000-0000-0000AB4F0000}"/>
    <cellStyle name="Normal 2 2 9 2 4" xfId="14274" xr:uid="{00000000-0005-0000-0000-0000AC4F0000}"/>
    <cellStyle name="Normal 2 2 9 3" xfId="3480" xr:uid="{00000000-0005-0000-0000-0000AD4F0000}"/>
    <cellStyle name="Normal 2 2 9 3 2" xfId="19236" xr:uid="{00000000-0005-0000-0000-0000AE4F0000}"/>
    <cellStyle name="Normal 2 2 9 3 3" xfId="14276" xr:uid="{00000000-0005-0000-0000-0000AF4F0000}"/>
    <cellStyle name="Normal 2 2 9 4" xfId="14277" xr:uid="{00000000-0005-0000-0000-0000B04F0000}"/>
    <cellStyle name="Normal 2 2 9 4 2" xfId="19237" xr:uid="{00000000-0005-0000-0000-0000B14F0000}"/>
    <cellStyle name="Normal 2 2 9 5" xfId="14273" xr:uid="{00000000-0005-0000-0000-0000B24F0000}"/>
    <cellStyle name="Normal 2 2 9 6" xfId="19233" xr:uid="{00000000-0005-0000-0000-0000B34F0000}"/>
    <cellStyle name="Normal 2 2_CBase" xfId="3482" xr:uid="{00000000-0005-0000-0000-0000B44F0000}"/>
    <cellStyle name="Normal 2 3" xfId="269" xr:uid="{00000000-0005-0000-0000-0000B54F0000}"/>
    <cellStyle name="Normal 2 3 10" xfId="674" xr:uid="{00000000-0005-0000-0000-0000B64F0000}"/>
    <cellStyle name="Normal 2 3 10 2" xfId="14280" xr:uid="{00000000-0005-0000-0000-0000B74F0000}"/>
    <cellStyle name="Normal 2 3 10 2 2" xfId="19240" xr:uid="{00000000-0005-0000-0000-0000B84F0000}"/>
    <cellStyle name="Normal 2 3 10 2 3" xfId="24154" xr:uid="{00000000-0005-0000-0000-0000B94F0000}"/>
    <cellStyle name="Normal 2 3 10 3" xfId="19239" xr:uid="{00000000-0005-0000-0000-0000BA4F0000}"/>
    <cellStyle name="Normal 2 3 10 4" xfId="14279" xr:uid="{00000000-0005-0000-0000-0000BB4F0000}"/>
    <cellStyle name="Normal 2 3 10 5" xfId="24153" xr:uid="{00000000-0005-0000-0000-0000BC4F0000}"/>
    <cellStyle name="Normal 2 3 11" xfId="14281" xr:uid="{00000000-0005-0000-0000-0000BD4F0000}"/>
    <cellStyle name="Normal 2 3 11 2" xfId="14282" xr:uid="{00000000-0005-0000-0000-0000BE4F0000}"/>
    <cellStyle name="Normal 2 3 11 2 2" xfId="19242" xr:uid="{00000000-0005-0000-0000-0000BF4F0000}"/>
    <cellStyle name="Normal 2 3 11 3" xfId="19241" xr:uid="{00000000-0005-0000-0000-0000C04F0000}"/>
    <cellStyle name="Normal 2 3 12" xfId="14283" xr:uid="{00000000-0005-0000-0000-0000C14F0000}"/>
    <cellStyle name="Normal 2 3 12 2" xfId="19243" xr:uid="{00000000-0005-0000-0000-0000C24F0000}"/>
    <cellStyle name="Normal 2 3 13" xfId="14278" xr:uid="{00000000-0005-0000-0000-0000C34F0000}"/>
    <cellStyle name="Normal 2 3 14" xfId="19238" xr:uid="{00000000-0005-0000-0000-0000C44F0000}"/>
    <cellStyle name="Normal 2 3 15" xfId="23116" xr:uid="{00000000-0005-0000-0000-0000C54F0000}"/>
    <cellStyle name="Normal 2 3 2" xfId="270" xr:uid="{00000000-0005-0000-0000-0000C64F0000}"/>
    <cellStyle name="Normal 2 3 2 2" xfId="271" xr:uid="{00000000-0005-0000-0000-0000C74F0000}"/>
    <cellStyle name="Normal 2 3 2 2 2" xfId="2385" xr:uid="{00000000-0005-0000-0000-0000C84F0000}"/>
    <cellStyle name="Normal 2 3 2 2 2 2" xfId="14287" xr:uid="{00000000-0005-0000-0000-0000C94F0000}"/>
    <cellStyle name="Normal 2 3 2 2 2 2 2" xfId="19247" xr:uid="{00000000-0005-0000-0000-0000CA4F0000}"/>
    <cellStyle name="Normal 2 3 2 2 2 3" xfId="14286" xr:uid="{00000000-0005-0000-0000-0000CB4F0000}"/>
    <cellStyle name="Normal 2 3 2 2 2 4" xfId="19246" xr:uid="{00000000-0005-0000-0000-0000CC4F0000}"/>
    <cellStyle name="Normal 2 3 2 2 3" xfId="2386" xr:uid="{00000000-0005-0000-0000-0000CD4F0000}"/>
    <cellStyle name="Normal 2 3 2 2 3 2" xfId="14289" xr:uid="{00000000-0005-0000-0000-0000CE4F0000}"/>
    <cellStyle name="Normal 2 3 2 2 3 2 2" xfId="19249" xr:uid="{00000000-0005-0000-0000-0000CF4F0000}"/>
    <cellStyle name="Normal 2 3 2 2 3 3" xfId="14288" xr:uid="{00000000-0005-0000-0000-0000D04F0000}"/>
    <cellStyle name="Normal 2 3 2 2 3 4" xfId="19248" xr:uid="{00000000-0005-0000-0000-0000D14F0000}"/>
    <cellStyle name="Normal 2 3 2 2 4" xfId="14290" xr:uid="{00000000-0005-0000-0000-0000D24F0000}"/>
    <cellStyle name="Normal 2 3 2 2 4 2" xfId="19250" xr:uid="{00000000-0005-0000-0000-0000D34F0000}"/>
    <cellStyle name="Normal 2 3 2 2 5" xfId="14291" xr:uid="{00000000-0005-0000-0000-0000D44F0000}"/>
    <cellStyle name="Normal 2 3 2 2 5 2" xfId="19251" xr:uid="{00000000-0005-0000-0000-0000D54F0000}"/>
    <cellStyle name="Normal 2 3 2 2 6" xfId="14285" xr:uid="{00000000-0005-0000-0000-0000D64F0000}"/>
    <cellStyle name="Normal 2 3 2 2 7" xfId="19245" xr:uid="{00000000-0005-0000-0000-0000D74F0000}"/>
    <cellStyle name="Normal 2 3 2 3" xfId="2387" xr:uid="{00000000-0005-0000-0000-0000D84F0000}"/>
    <cellStyle name="Normal 2 3 2 3 2" xfId="14293" xr:uid="{00000000-0005-0000-0000-0000D94F0000}"/>
    <cellStyle name="Normal 2 3 2 3 2 2" xfId="19253" xr:uid="{00000000-0005-0000-0000-0000DA4F0000}"/>
    <cellStyle name="Normal 2 3 2 3 3" xfId="14292" xr:uid="{00000000-0005-0000-0000-0000DB4F0000}"/>
    <cellStyle name="Normal 2 3 2 3 4" xfId="19252" xr:uid="{00000000-0005-0000-0000-0000DC4F0000}"/>
    <cellStyle name="Normal 2 3 2 4" xfId="2388" xr:uid="{00000000-0005-0000-0000-0000DD4F0000}"/>
    <cellStyle name="Normal 2 3 2 4 2" xfId="14295" xr:uid="{00000000-0005-0000-0000-0000DE4F0000}"/>
    <cellStyle name="Normal 2 3 2 4 2 2" xfId="19255" xr:uid="{00000000-0005-0000-0000-0000DF4F0000}"/>
    <cellStyle name="Normal 2 3 2 4 3" xfId="14294" xr:uid="{00000000-0005-0000-0000-0000E04F0000}"/>
    <cellStyle name="Normal 2 3 2 4 4" xfId="19254" xr:uid="{00000000-0005-0000-0000-0000E14F0000}"/>
    <cellStyle name="Normal 2 3 2 5" xfId="14296" xr:uid="{00000000-0005-0000-0000-0000E24F0000}"/>
    <cellStyle name="Normal 2 3 2 5 2" xfId="19256" xr:uid="{00000000-0005-0000-0000-0000E34F0000}"/>
    <cellStyle name="Normal 2 3 2 6" xfId="14297" xr:uid="{00000000-0005-0000-0000-0000E44F0000}"/>
    <cellStyle name="Normal 2 3 2 6 2" xfId="19257" xr:uid="{00000000-0005-0000-0000-0000E54F0000}"/>
    <cellStyle name="Normal 2 3 2 7" xfId="14284" xr:uid="{00000000-0005-0000-0000-0000E64F0000}"/>
    <cellStyle name="Normal 2 3 2 8" xfId="19244" xr:uid="{00000000-0005-0000-0000-0000E74F0000}"/>
    <cellStyle name="Normal 2 3 2_Copia de Plan b07 con modelo de nuevas recuperaciones" xfId="272" xr:uid="{00000000-0005-0000-0000-0000E84F0000}"/>
    <cellStyle name="Normal 2 3 3" xfId="273" xr:uid="{00000000-0005-0000-0000-0000E94F0000}"/>
    <cellStyle name="Normal 2 3 3 2" xfId="274" xr:uid="{00000000-0005-0000-0000-0000EA4F0000}"/>
    <cellStyle name="Normal 2 3 3 2 2" xfId="2389" xr:uid="{00000000-0005-0000-0000-0000EB4F0000}"/>
    <cellStyle name="Normal 2 3 3 2 2 2" xfId="14301" xr:uid="{00000000-0005-0000-0000-0000EC4F0000}"/>
    <cellStyle name="Normal 2 3 3 2 2 2 2" xfId="19261" xr:uid="{00000000-0005-0000-0000-0000ED4F0000}"/>
    <cellStyle name="Normal 2 3 3 2 2 3" xfId="14300" xr:uid="{00000000-0005-0000-0000-0000EE4F0000}"/>
    <cellStyle name="Normal 2 3 3 2 2 4" xfId="19260" xr:uid="{00000000-0005-0000-0000-0000EF4F0000}"/>
    <cellStyle name="Normal 2 3 3 2 3" xfId="2390" xr:uid="{00000000-0005-0000-0000-0000F04F0000}"/>
    <cellStyle name="Normal 2 3 3 2 3 2" xfId="14303" xr:uid="{00000000-0005-0000-0000-0000F14F0000}"/>
    <cellStyle name="Normal 2 3 3 2 3 2 2" xfId="19263" xr:uid="{00000000-0005-0000-0000-0000F24F0000}"/>
    <cellStyle name="Normal 2 3 3 2 3 3" xfId="14302" xr:uid="{00000000-0005-0000-0000-0000F34F0000}"/>
    <cellStyle name="Normal 2 3 3 2 3 4" xfId="19262" xr:uid="{00000000-0005-0000-0000-0000F44F0000}"/>
    <cellStyle name="Normal 2 3 3 2 4" xfId="14304" xr:uid="{00000000-0005-0000-0000-0000F54F0000}"/>
    <cellStyle name="Normal 2 3 3 2 4 2" xfId="19264" xr:uid="{00000000-0005-0000-0000-0000F64F0000}"/>
    <cellStyle name="Normal 2 3 3 2 5" xfId="14305" xr:uid="{00000000-0005-0000-0000-0000F74F0000}"/>
    <cellStyle name="Normal 2 3 3 2 5 2" xfId="19265" xr:uid="{00000000-0005-0000-0000-0000F84F0000}"/>
    <cellStyle name="Normal 2 3 3 2 6" xfId="14299" xr:uid="{00000000-0005-0000-0000-0000F94F0000}"/>
    <cellStyle name="Normal 2 3 3 2 7" xfId="19259" xr:uid="{00000000-0005-0000-0000-0000FA4F0000}"/>
    <cellStyle name="Normal 2 3 3 3" xfId="2391" xr:uid="{00000000-0005-0000-0000-0000FB4F0000}"/>
    <cellStyle name="Normal 2 3 3 3 2" xfId="14307" xr:uid="{00000000-0005-0000-0000-0000FC4F0000}"/>
    <cellStyle name="Normal 2 3 3 3 2 2" xfId="19267" xr:uid="{00000000-0005-0000-0000-0000FD4F0000}"/>
    <cellStyle name="Normal 2 3 3 3 3" xfId="14306" xr:uid="{00000000-0005-0000-0000-0000FE4F0000}"/>
    <cellStyle name="Normal 2 3 3 3 4" xfId="19266" xr:uid="{00000000-0005-0000-0000-0000FF4F0000}"/>
    <cellStyle name="Normal 2 3 3 4" xfId="2392" xr:uid="{00000000-0005-0000-0000-000000500000}"/>
    <cellStyle name="Normal 2 3 3 4 2" xfId="14309" xr:uid="{00000000-0005-0000-0000-000001500000}"/>
    <cellStyle name="Normal 2 3 3 4 2 2" xfId="19269" xr:uid="{00000000-0005-0000-0000-000002500000}"/>
    <cellStyle name="Normal 2 3 3 4 3" xfId="14308" xr:uid="{00000000-0005-0000-0000-000003500000}"/>
    <cellStyle name="Normal 2 3 3 4 4" xfId="19268" xr:uid="{00000000-0005-0000-0000-000004500000}"/>
    <cellStyle name="Normal 2 3 3 5" xfId="14310" xr:uid="{00000000-0005-0000-0000-000005500000}"/>
    <cellStyle name="Normal 2 3 3 5 2" xfId="19270" xr:uid="{00000000-0005-0000-0000-000006500000}"/>
    <cellStyle name="Normal 2 3 3 6" xfId="14311" xr:uid="{00000000-0005-0000-0000-000007500000}"/>
    <cellStyle name="Normal 2 3 3 6 2" xfId="19271" xr:uid="{00000000-0005-0000-0000-000008500000}"/>
    <cellStyle name="Normal 2 3 3 7" xfId="14298" xr:uid="{00000000-0005-0000-0000-000009500000}"/>
    <cellStyle name="Normal 2 3 3 8" xfId="19258" xr:uid="{00000000-0005-0000-0000-00000A500000}"/>
    <cellStyle name="Normal 2 3 3_Copia de Plan b07 con modelo de nuevas recuperaciones" xfId="275" xr:uid="{00000000-0005-0000-0000-00000B500000}"/>
    <cellStyle name="Normal 2 3 4" xfId="276" xr:uid="{00000000-0005-0000-0000-00000C500000}"/>
    <cellStyle name="Normal 2 3 4 2" xfId="2393" xr:uid="{00000000-0005-0000-0000-00000D500000}"/>
    <cellStyle name="Normal 2 3 4 2 2" xfId="14314" xr:uid="{00000000-0005-0000-0000-00000E500000}"/>
    <cellStyle name="Normal 2 3 4 2 2 2" xfId="19274" xr:uid="{00000000-0005-0000-0000-00000F500000}"/>
    <cellStyle name="Normal 2 3 4 2 3" xfId="14313" xr:uid="{00000000-0005-0000-0000-000010500000}"/>
    <cellStyle name="Normal 2 3 4 2 4" xfId="19273" xr:uid="{00000000-0005-0000-0000-000011500000}"/>
    <cellStyle name="Normal 2 3 4 3" xfId="2394" xr:uid="{00000000-0005-0000-0000-000012500000}"/>
    <cellStyle name="Normal 2 3 4 3 2" xfId="14316" xr:uid="{00000000-0005-0000-0000-000013500000}"/>
    <cellStyle name="Normal 2 3 4 3 2 2" xfId="19276" xr:uid="{00000000-0005-0000-0000-000014500000}"/>
    <cellStyle name="Normal 2 3 4 3 3" xfId="14315" xr:uid="{00000000-0005-0000-0000-000015500000}"/>
    <cellStyle name="Normal 2 3 4 3 4" xfId="19275" xr:uid="{00000000-0005-0000-0000-000016500000}"/>
    <cellStyle name="Normal 2 3 4 4" xfId="14317" xr:uid="{00000000-0005-0000-0000-000017500000}"/>
    <cellStyle name="Normal 2 3 4 4 2" xfId="19277" xr:uid="{00000000-0005-0000-0000-000018500000}"/>
    <cellStyle name="Normal 2 3 4 5" xfId="14318" xr:uid="{00000000-0005-0000-0000-000019500000}"/>
    <cellStyle name="Normal 2 3 4 5 2" xfId="19278" xr:uid="{00000000-0005-0000-0000-00001A500000}"/>
    <cellStyle name="Normal 2 3 4 6" xfId="14319" xr:uid="{00000000-0005-0000-0000-00001B500000}"/>
    <cellStyle name="Normal 2 3 4 6 2" xfId="19279" xr:uid="{00000000-0005-0000-0000-00001C500000}"/>
    <cellStyle name="Normal 2 3 4 7" xfId="14320" xr:uid="{00000000-0005-0000-0000-00001D500000}"/>
    <cellStyle name="Normal 2 3 4 7 2" xfId="19280" xr:uid="{00000000-0005-0000-0000-00001E500000}"/>
    <cellStyle name="Normal 2 3 4 8" xfId="14312" xr:uid="{00000000-0005-0000-0000-00001F500000}"/>
    <cellStyle name="Normal 2 3 4 9" xfId="19272" xr:uid="{00000000-0005-0000-0000-000020500000}"/>
    <cellStyle name="Normal 2 3 5" xfId="675" xr:uid="{00000000-0005-0000-0000-000021500000}"/>
    <cellStyle name="Normal 2 3 5 2" xfId="14322" xr:uid="{00000000-0005-0000-0000-000022500000}"/>
    <cellStyle name="Normal 2 3 5 2 2" xfId="19282" xr:uid="{00000000-0005-0000-0000-000023500000}"/>
    <cellStyle name="Normal 2 3 5 3" xfId="14321" xr:uid="{00000000-0005-0000-0000-000024500000}"/>
    <cellStyle name="Normal 2 3 5 4" xfId="19281" xr:uid="{00000000-0005-0000-0000-000025500000}"/>
    <cellStyle name="Normal 2 3 6" xfId="676" xr:uid="{00000000-0005-0000-0000-000026500000}"/>
    <cellStyle name="Normal 2 3 6 2" xfId="14324" xr:uid="{00000000-0005-0000-0000-000027500000}"/>
    <cellStyle name="Normal 2 3 6 2 2" xfId="19284" xr:uid="{00000000-0005-0000-0000-000028500000}"/>
    <cellStyle name="Normal 2 3 6 3" xfId="14323" xr:uid="{00000000-0005-0000-0000-000029500000}"/>
    <cellStyle name="Normal 2 3 6 4" xfId="19283" xr:uid="{00000000-0005-0000-0000-00002A500000}"/>
    <cellStyle name="Normal 2 3 7" xfId="677" xr:uid="{00000000-0005-0000-0000-00002B500000}"/>
    <cellStyle name="Normal 2 3 7 2" xfId="14326" xr:uid="{00000000-0005-0000-0000-00002C500000}"/>
    <cellStyle name="Normal 2 3 7 2 2" xfId="19286" xr:uid="{00000000-0005-0000-0000-00002D500000}"/>
    <cellStyle name="Normal 2 3 7 3" xfId="14325" xr:uid="{00000000-0005-0000-0000-00002E500000}"/>
    <cellStyle name="Normal 2 3 7 4" xfId="19285" xr:uid="{00000000-0005-0000-0000-00002F500000}"/>
    <cellStyle name="Normal 2 3 8" xfId="678" xr:uid="{00000000-0005-0000-0000-000030500000}"/>
    <cellStyle name="Normal 2 3 8 2" xfId="14328" xr:uid="{00000000-0005-0000-0000-000031500000}"/>
    <cellStyle name="Normal 2 3 8 2 2" xfId="19288" xr:uid="{00000000-0005-0000-0000-000032500000}"/>
    <cellStyle name="Normal 2 3 8 3" xfId="14327" xr:uid="{00000000-0005-0000-0000-000033500000}"/>
    <cellStyle name="Normal 2 3 8 4" xfId="19287" xr:uid="{00000000-0005-0000-0000-000034500000}"/>
    <cellStyle name="Normal 2 3 9" xfId="679" xr:uid="{00000000-0005-0000-0000-000035500000}"/>
    <cellStyle name="Normal 2 3 9 2" xfId="14330" xr:uid="{00000000-0005-0000-0000-000036500000}"/>
    <cellStyle name="Normal 2 3 9 2 2" xfId="19290" xr:uid="{00000000-0005-0000-0000-000037500000}"/>
    <cellStyle name="Normal 2 3 9 3" xfId="19289" xr:uid="{00000000-0005-0000-0000-000038500000}"/>
    <cellStyle name="Normal 2 3 9 4" xfId="14329" xr:uid="{00000000-0005-0000-0000-000039500000}"/>
    <cellStyle name="Normal 2 3_Copia de Plan b07 con modelo de nuevas recuperaciones" xfId="277" xr:uid="{00000000-0005-0000-0000-00003A500000}"/>
    <cellStyle name="Normal 2 4" xfId="278" xr:uid="{00000000-0005-0000-0000-00003B500000}"/>
    <cellStyle name="Normal 2 4 10" xfId="681" xr:uid="{00000000-0005-0000-0000-00003C500000}"/>
    <cellStyle name="Normal 2 4 10 10" xfId="27452" xr:uid="{00000000-0005-0000-0000-00003D500000}"/>
    <cellStyle name="Normal 2 4 10 11" xfId="27956" xr:uid="{00000000-0005-0000-0000-00003E500000}"/>
    <cellStyle name="Normal 2 4 10 12" xfId="28460" xr:uid="{00000000-0005-0000-0000-00003F500000}"/>
    <cellStyle name="Normal 2 4 10 13" xfId="28964" xr:uid="{00000000-0005-0000-0000-000040500000}"/>
    <cellStyle name="Normal 2 4 10 14" xfId="29468" xr:uid="{00000000-0005-0000-0000-000041500000}"/>
    <cellStyle name="Normal 2 4 10 15" xfId="29972" xr:uid="{00000000-0005-0000-0000-000042500000}"/>
    <cellStyle name="Normal 2 4 10 16" xfId="30476" xr:uid="{00000000-0005-0000-0000-000043500000}"/>
    <cellStyle name="Normal 2 4 10 17" xfId="30981" xr:uid="{00000000-0005-0000-0000-000044500000}"/>
    <cellStyle name="Normal 2 4 10 2" xfId="19292" xr:uid="{00000000-0005-0000-0000-000045500000}"/>
    <cellStyle name="Normal 2 4 10 2 2" xfId="24156" xr:uid="{00000000-0005-0000-0000-000046500000}"/>
    <cellStyle name="Normal 2 4 10 3" xfId="14332" xr:uid="{00000000-0005-0000-0000-000047500000}"/>
    <cellStyle name="Normal 2 4 10 4" xfId="24155" xr:uid="{00000000-0005-0000-0000-000048500000}"/>
    <cellStyle name="Normal 2 4 10 5" xfId="24932" xr:uid="{00000000-0005-0000-0000-000049500000}"/>
    <cellStyle name="Normal 2 4 10 6" xfId="25436" xr:uid="{00000000-0005-0000-0000-00004A500000}"/>
    <cellStyle name="Normal 2 4 10 7" xfId="25940" xr:uid="{00000000-0005-0000-0000-00004B500000}"/>
    <cellStyle name="Normal 2 4 10 8" xfId="26444" xr:uid="{00000000-0005-0000-0000-00004C500000}"/>
    <cellStyle name="Normal 2 4 10 9" xfId="26948" xr:uid="{00000000-0005-0000-0000-00004D500000}"/>
    <cellStyle name="Normal 2 4 11" xfId="680" xr:uid="{00000000-0005-0000-0000-00004E500000}"/>
    <cellStyle name="Normal 2 4 11 2" xfId="19293" xr:uid="{00000000-0005-0000-0000-00004F500000}"/>
    <cellStyle name="Normal 2 4 11 3" xfId="14333" xr:uid="{00000000-0005-0000-0000-000050500000}"/>
    <cellStyle name="Normal 2 4 12" xfId="14331" xr:uid="{00000000-0005-0000-0000-000051500000}"/>
    <cellStyle name="Normal 2 4 13" xfId="19291" xr:uid="{00000000-0005-0000-0000-000052500000}"/>
    <cellStyle name="Normal 2 4 2" xfId="279" xr:uid="{00000000-0005-0000-0000-000053500000}"/>
    <cellStyle name="Normal 2 4 2 2" xfId="410" xr:uid="{00000000-0005-0000-0000-000054500000}"/>
    <cellStyle name="Normal 2 4 2 2 2" xfId="682" xr:uid="{00000000-0005-0000-0000-000055500000}"/>
    <cellStyle name="Normal 2 4 2 2 2 2" xfId="19296" xr:uid="{00000000-0005-0000-0000-000056500000}"/>
    <cellStyle name="Normal 2 4 2 2 2 3" xfId="14336" xr:uid="{00000000-0005-0000-0000-000057500000}"/>
    <cellStyle name="Normal 2 4 2 2 3" xfId="14337" xr:uid="{00000000-0005-0000-0000-000058500000}"/>
    <cellStyle name="Normal 2 4 2 2 3 2" xfId="19297" xr:uid="{00000000-0005-0000-0000-000059500000}"/>
    <cellStyle name="Normal 2 4 2 2 4" xfId="14338" xr:uid="{00000000-0005-0000-0000-00005A500000}"/>
    <cellStyle name="Normal 2 4 2 2 4 2" xfId="19298" xr:uid="{00000000-0005-0000-0000-00005B500000}"/>
    <cellStyle name="Normal 2 4 2 2 5" xfId="14335" xr:uid="{00000000-0005-0000-0000-00005C500000}"/>
    <cellStyle name="Normal 2 4 2 2 6" xfId="19295" xr:uid="{00000000-0005-0000-0000-00005D500000}"/>
    <cellStyle name="Normal 2 4 2 3" xfId="683" xr:uid="{00000000-0005-0000-0000-00005E500000}"/>
    <cellStyle name="Normal 2 4 2 3 2" xfId="19299" xr:uid="{00000000-0005-0000-0000-00005F500000}"/>
    <cellStyle name="Normal 2 4 2 3 3" xfId="14339" xr:uid="{00000000-0005-0000-0000-000060500000}"/>
    <cellStyle name="Normal 2 4 2 4" xfId="14340" xr:uid="{00000000-0005-0000-0000-000061500000}"/>
    <cellStyle name="Normal 2 4 2 4 2" xfId="19300" xr:uid="{00000000-0005-0000-0000-000062500000}"/>
    <cellStyle name="Normal 2 4 2 5" xfId="14341" xr:uid="{00000000-0005-0000-0000-000063500000}"/>
    <cellStyle name="Normal 2 4 2 5 2" xfId="19301" xr:uid="{00000000-0005-0000-0000-000064500000}"/>
    <cellStyle name="Normal 2 4 2 6" xfId="14334" xr:uid="{00000000-0005-0000-0000-000065500000}"/>
    <cellStyle name="Normal 2 4 2 7" xfId="19294" xr:uid="{00000000-0005-0000-0000-000066500000}"/>
    <cellStyle name="Normal 2 4 2_Bdgt Anual" xfId="2395" xr:uid="{00000000-0005-0000-0000-000067500000}"/>
    <cellStyle name="Normal 2 4 3" xfId="280" xr:uid="{00000000-0005-0000-0000-000068500000}"/>
    <cellStyle name="Normal 2 4 3 2" xfId="411" xr:uid="{00000000-0005-0000-0000-000069500000}"/>
    <cellStyle name="Normal 2 4 3 2 2" xfId="684" xr:uid="{00000000-0005-0000-0000-00006A500000}"/>
    <cellStyle name="Normal 2 4 3 2 2 2" xfId="19304" xr:uid="{00000000-0005-0000-0000-00006B500000}"/>
    <cellStyle name="Normal 2 4 3 2 2 3" xfId="14344" xr:uid="{00000000-0005-0000-0000-00006C500000}"/>
    <cellStyle name="Normal 2 4 3 2 3" xfId="14345" xr:uid="{00000000-0005-0000-0000-00006D500000}"/>
    <cellStyle name="Normal 2 4 3 2 3 2" xfId="19305" xr:uid="{00000000-0005-0000-0000-00006E500000}"/>
    <cellStyle name="Normal 2 4 3 2 4" xfId="14346" xr:uid="{00000000-0005-0000-0000-00006F500000}"/>
    <cellStyle name="Normal 2 4 3 2 4 2" xfId="19306" xr:uid="{00000000-0005-0000-0000-000070500000}"/>
    <cellStyle name="Normal 2 4 3 2 5" xfId="14343" xr:uid="{00000000-0005-0000-0000-000071500000}"/>
    <cellStyle name="Normal 2 4 3 2 6" xfId="19303" xr:uid="{00000000-0005-0000-0000-000072500000}"/>
    <cellStyle name="Normal 2 4 3 3" xfId="685" xr:uid="{00000000-0005-0000-0000-000073500000}"/>
    <cellStyle name="Normal 2 4 3 3 2" xfId="19307" xr:uid="{00000000-0005-0000-0000-000074500000}"/>
    <cellStyle name="Normal 2 4 3 3 3" xfId="14347" xr:uid="{00000000-0005-0000-0000-000075500000}"/>
    <cellStyle name="Normal 2 4 3 4" xfId="14348" xr:uid="{00000000-0005-0000-0000-000076500000}"/>
    <cellStyle name="Normal 2 4 3 4 2" xfId="19308" xr:uid="{00000000-0005-0000-0000-000077500000}"/>
    <cellStyle name="Normal 2 4 3 5" xfId="14349" xr:uid="{00000000-0005-0000-0000-000078500000}"/>
    <cellStyle name="Normal 2 4 3 5 2" xfId="19309" xr:uid="{00000000-0005-0000-0000-000079500000}"/>
    <cellStyle name="Normal 2 4 3 6" xfId="14342" xr:uid="{00000000-0005-0000-0000-00007A500000}"/>
    <cellStyle name="Normal 2 4 3 7" xfId="19302" xr:uid="{00000000-0005-0000-0000-00007B500000}"/>
    <cellStyle name="Normal 2 4 3_Bdgt Anual" xfId="2396" xr:uid="{00000000-0005-0000-0000-00007C500000}"/>
    <cellStyle name="Normal 2 4 4" xfId="281" xr:uid="{00000000-0005-0000-0000-00007D500000}"/>
    <cellStyle name="Normal 2 4 4 2" xfId="412" xr:uid="{00000000-0005-0000-0000-00007E500000}"/>
    <cellStyle name="Normal 2 4 4 2 2" xfId="686" xr:uid="{00000000-0005-0000-0000-00007F500000}"/>
    <cellStyle name="Normal 2 4 4 2 2 2" xfId="19312" xr:uid="{00000000-0005-0000-0000-000080500000}"/>
    <cellStyle name="Normal 2 4 4 2 2 3" xfId="14352" xr:uid="{00000000-0005-0000-0000-000081500000}"/>
    <cellStyle name="Normal 2 4 4 2 3" xfId="14353" xr:uid="{00000000-0005-0000-0000-000082500000}"/>
    <cellStyle name="Normal 2 4 4 2 3 2" xfId="19313" xr:uid="{00000000-0005-0000-0000-000083500000}"/>
    <cellStyle name="Normal 2 4 4 2 4" xfId="14354" xr:uid="{00000000-0005-0000-0000-000084500000}"/>
    <cellStyle name="Normal 2 4 4 2 4 2" xfId="19314" xr:uid="{00000000-0005-0000-0000-000085500000}"/>
    <cellStyle name="Normal 2 4 4 2 5" xfId="14351" xr:uid="{00000000-0005-0000-0000-000086500000}"/>
    <cellStyle name="Normal 2 4 4 2 6" xfId="19311" xr:uid="{00000000-0005-0000-0000-000087500000}"/>
    <cellStyle name="Normal 2 4 4 3" xfId="687" xr:uid="{00000000-0005-0000-0000-000088500000}"/>
    <cellStyle name="Normal 2 4 4 3 2" xfId="19315" xr:uid="{00000000-0005-0000-0000-000089500000}"/>
    <cellStyle name="Normal 2 4 4 3 3" xfId="14355" xr:uid="{00000000-0005-0000-0000-00008A500000}"/>
    <cellStyle name="Normal 2 4 4 4" xfId="14356" xr:uid="{00000000-0005-0000-0000-00008B500000}"/>
    <cellStyle name="Normal 2 4 4 4 2" xfId="19316" xr:uid="{00000000-0005-0000-0000-00008C500000}"/>
    <cellStyle name="Normal 2 4 4 5" xfId="14357" xr:uid="{00000000-0005-0000-0000-00008D500000}"/>
    <cellStyle name="Normal 2 4 4 5 2" xfId="19317" xr:uid="{00000000-0005-0000-0000-00008E500000}"/>
    <cellStyle name="Normal 2 4 4 6" xfId="14350" xr:uid="{00000000-0005-0000-0000-00008F500000}"/>
    <cellStyle name="Normal 2 4 4 7" xfId="19310" xr:uid="{00000000-0005-0000-0000-000090500000}"/>
    <cellStyle name="Normal 2 4 4_Bdgt Anual" xfId="2397" xr:uid="{00000000-0005-0000-0000-000091500000}"/>
    <cellStyle name="Normal 2 4 5" xfId="409" xr:uid="{00000000-0005-0000-0000-000092500000}"/>
    <cellStyle name="Normal 2 4 5 2" xfId="688" xr:uid="{00000000-0005-0000-0000-000093500000}"/>
    <cellStyle name="Normal 2 4 5 2 2" xfId="19319" xr:uid="{00000000-0005-0000-0000-000094500000}"/>
    <cellStyle name="Normal 2 4 5 2 3" xfId="14359" xr:uid="{00000000-0005-0000-0000-000095500000}"/>
    <cellStyle name="Normal 2 4 5 3" xfId="14360" xr:uid="{00000000-0005-0000-0000-000096500000}"/>
    <cellStyle name="Normal 2 4 5 3 2" xfId="19320" xr:uid="{00000000-0005-0000-0000-000097500000}"/>
    <cellStyle name="Normal 2 4 5 4" xfId="14361" xr:uid="{00000000-0005-0000-0000-000098500000}"/>
    <cellStyle name="Normal 2 4 5 4 2" xfId="19321" xr:uid="{00000000-0005-0000-0000-000099500000}"/>
    <cellStyle name="Normal 2 4 5 5" xfId="14358" xr:uid="{00000000-0005-0000-0000-00009A500000}"/>
    <cellStyle name="Normal 2 4 5 6" xfId="19318" xr:uid="{00000000-0005-0000-0000-00009B500000}"/>
    <cellStyle name="Normal 2 4 6" xfId="464" xr:uid="{00000000-0005-0000-0000-00009C500000}"/>
    <cellStyle name="Normal 2 4 6 2" xfId="14363" xr:uid="{00000000-0005-0000-0000-00009D500000}"/>
    <cellStyle name="Normal 2 4 6 2 2" xfId="19323" xr:uid="{00000000-0005-0000-0000-00009E500000}"/>
    <cellStyle name="Normal 2 4 6 3" xfId="14362" xr:uid="{00000000-0005-0000-0000-00009F500000}"/>
    <cellStyle name="Normal 2 4 6 4" xfId="19322" xr:uid="{00000000-0005-0000-0000-0000A0500000}"/>
    <cellStyle name="Normal 2 4 7" xfId="689" xr:uid="{00000000-0005-0000-0000-0000A1500000}"/>
    <cellStyle name="Normal 2 4 7 2" xfId="14365" xr:uid="{00000000-0005-0000-0000-0000A2500000}"/>
    <cellStyle name="Normal 2 4 7 2 2" xfId="19325" xr:uid="{00000000-0005-0000-0000-0000A3500000}"/>
    <cellStyle name="Normal 2 4 7 3" xfId="14364" xr:uid="{00000000-0005-0000-0000-0000A4500000}"/>
    <cellStyle name="Normal 2 4 7 4" xfId="19324" xr:uid="{00000000-0005-0000-0000-0000A5500000}"/>
    <cellStyle name="Normal 2 4 8" xfId="690" xr:uid="{00000000-0005-0000-0000-0000A6500000}"/>
    <cellStyle name="Normal 2 4 8 10" xfId="27453" xr:uid="{00000000-0005-0000-0000-0000A7500000}"/>
    <cellStyle name="Normal 2 4 8 11" xfId="27957" xr:uid="{00000000-0005-0000-0000-0000A8500000}"/>
    <cellStyle name="Normal 2 4 8 12" xfId="28461" xr:uid="{00000000-0005-0000-0000-0000A9500000}"/>
    <cellStyle name="Normal 2 4 8 13" xfId="28965" xr:uid="{00000000-0005-0000-0000-0000AA500000}"/>
    <cellStyle name="Normal 2 4 8 14" xfId="29469" xr:uid="{00000000-0005-0000-0000-0000AB500000}"/>
    <cellStyle name="Normal 2 4 8 15" xfId="29973" xr:uid="{00000000-0005-0000-0000-0000AC500000}"/>
    <cellStyle name="Normal 2 4 8 16" xfId="30477" xr:uid="{00000000-0005-0000-0000-0000AD500000}"/>
    <cellStyle name="Normal 2 4 8 17" xfId="30982" xr:uid="{00000000-0005-0000-0000-0000AE500000}"/>
    <cellStyle name="Normal 2 4 8 2" xfId="19326" xr:uid="{00000000-0005-0000-0000-0000AF500000}"/>
    <cellStyle name="Normal 2 4 8 2 2" xfId="24158" xr:uid="{00000000-0005-0000-0000-0000B0500000}"/>
    <cellStyle name="Normal 2 4 8 3" xfId="14366" xr:uid="{00000000-0005-0000-0000-0000B1500000}"/>
    <cellStyle name="Normal 2 4 8 4" xfId="24157" xr:uid="{00000000-0005-0000-0000-0000B2500000}"/>
    <cellStyle name="Normal 2 4 8 5" xfId="24933" xr:uid="{00000000-0005-0000-0000-0000B3500000}"/>
    <cellStyle name="Normal 2 4 8 6" xfId="25437" xr:uid="{00000000-0005-0000-0000-0000B4500000}"/>
    <cellStyle name="Normal 2 4 8 7" xfId="25941" xr:uid="{00000000-0005-0000-0000-0000B5500000}"/>
    <cellStyle name="Normal 2 4 8 8" xfId="26445" xr:uid="{00000000-0005-0000-0000-0000B6500000}"/>
    <cellStyle name="Normal 2 4 8 9" xfId="26949" xr:uid="{00000000-0005-0000-0000-0000B7500000}"/>
    <cellStyle name="Normal 2 4 9" xfId="691" xr:uid="{00000000-0005-0000-0000-0000B8500000}"/>
    <cellStyle name="Normal 2 4 9 10" xfId="27454" xr:uid="{00000000-0005-0000-0000-0000B9500000}"/>
    <cellStyle name="Normal 2 4 9 11" xfId="27958" xr:uid="{00000000-0005-0000-0000-0000BA500000}"/>
    <cellStyle name="Normal 2 4 9 12" xfId="28462" xr:uid="{00000000-0005-0000-0000-0000BB500000}"/>
    <cellStyle name="Normal 2 4 9 13" xfId="28966" xr:uid="{00000000-0005-0000-0000-0000BC500000}"/>
    <cellStyle name="Normal 2 4 9 14" xfId="29470" xr:uid="{00000000-0005-0000-0000-0000BD500000}"/>
    <cellStyle name="Normal 2 4 9 15" xfId="29974" xr:uid="{00000000-0005-0000-0000-0000BE500000}"/>
    <cellStyle name="Normal 2 4 9 16" xfId="30478" xr:uid="{00000000-0005-0000-0000-0000BF500000}"/>
    <cellStyle name="Normal 2 4 9 17" xfId="30983" xr:uid="{00000000-0005-0000-0000-0000C0500000}"/>
    <cellStyle name="Normal 2 4 9 2" xfId="19327" xr:uid="{00000000-0005-0000-0000-0000C1500000}"/>
    <cellStyle name="Normal 2 4 9 2 2" xfId="24160" xr:uid="{00000000-0005-0000-0000-0000C2500000}"/>
    <cellStyle name="Normal 2 4 9 3" xfId="14367" xr:uid="{00000000-0005-0000-0000-0000C3500000}"/>
    <cellStyle name="Normal 2 4 9 4" xfId="24159" xr:uid="{00000000-0005-0000-0000-0000C4500000}"/>
    <cellStyle name="Normal 2 4 9 5" xfId="24934" xr:uid="{00000000-0005-0000-0000-0000C5500000}"/>
    <cellStyle name="Normal 2 4 9 6" xfId="25438" xr:uid="{00000000-0005-0000-0000-0000C6500000}"/>
    <cellStyle name="Normal 2 4 9 7" xfId="25942" xr:uid="{00000000-0005-0000-0000-0000C7500000}"/>
    <cellStyle name="Normal 2 4 9 8" xfId="26446" xr:uid="{00000000-0005-0000-0000-0000C8500000}"/>
    <cellStyle name="Normal 2 4 9 9" xfId="26950" xr:uid="{00000000-0005-0000-0000-0000C9500000}"/>
    <cellStyle name="Normal 2 4_Bdgt Anual" xfId="2398" xr:uid="{00000000-0005-0000-0000-0000CA500000}"/>
    <cellStyle name="Normal 2 5" xfId="282" xr:uid="{00000000-0005-0000-0000-0000CB500000}"/>
    <cellStyle name="Normal 2 5 2" xfId="413" xr:uid="{00000000-0005-0000-0000-0000CC500000}"/>
    <cellStyle name="Normal 2 5 2 2" xfId="692" xr:uid="{00000000-0005-0000-0000-0000CD500000}"/>
    <cellStyle name="Normal 2 5 2 2 2" xfId="19330" xr:uid="{00000000-0005-0000-0000-0000CE500000}"/>
    <cellStyle name="Normal 2 5 2 2 3" xfId="14370" xr:uid="{00000000-0005-0000-0000-0000CF500000}"/>
    <cellStyle name="Normal 2 5 2 3" xfId="14371" xr:uid="{00000000-0005-0000-0000-0000D0500000}"/>
    <cellStyle name="Normal 2 5 2 3 2" xfId="19331" xr:uid="{00000000-0005-0000-0000-0000D1500000}"/>
    <cellStyle name="Normal 2 5 2 4" xfId="14372" xr:uid="{00000000-0005-0000-0000-0000D2500000}"/>
    <cellStyle name="Normal 2 5 2 4 2" xfId="19332" xr:uid="{00000000-0005-0000-0000-0000D3500000}"/>
    <cellStyle name="Normal 2 5 2 5" xfId="14369" xr:uid="{00000000-0005-0000-0000-0000D4500000}"/>
    <cellStyle name="Normal 2 5 2 6" xfId="19329" xr:uid="{00000000-0005-0000-0000-0000D5500000}"/>
    <cellStyle name="Normal 2 5 3" xfId="693" xr:uid="{00000000-0005-0000-0000-0000D6500000}"/>
    <cellStyle name="Normal 2 5 3 2" xfId="19333" xr:uid="{00000000-0005-0000-0000-0000D7500000}"/>
    <cellStyle name="Normal 2 5 3 3" xfId="14373" xr:uid="{00000000-0005-0000-0000-0000D8500000}"/>
    <cellStyle name="Normal 2 5 4" xfId="14374" xr:uid="{00000000-0005-0000-0000-0000D9500000}"/>
    <cellStyle name="Normal 2 5 4 2" xfId="19334" xr:uid="{00000000-0005-0000-0000-0000DA500000}"/>
    <cellStyle name="Normal 2 5 5" xfId="14375" xr:uid="{00000000-0005-0000-0000-0000DB500000}"/>
    <cellStyle name="Normal 2 5 5 2" xfId="19335" xr:uid="{00000000-0005-0000-0000-0000DC500000}"/>
    <cellStyle name="Normal 2 5 6" xfId="14368" xr:uid="{00000000-0005-0000-0000-0000DD500000}"/>
    <cellStyle name="Normal 2 5 7" xfId="19328" xr:uid="{00000000-0005-0000-0000-0000DE500000}"/>
    <cellStyle name="Normal 2 5_Bdgt Anual" xfId="2399" xr:uid="{00000000-0005-0000-0000-0000DF500000}"/>
    <cellStyle name="Normal 2 6" xfId="283" xr:uid="{00000000-0005-0000-0000-0000E0500000}"/>
    <cellStyle name="Normal 2 6 2" xfId="414" xr:uid="{00000000-0005-0000-0000-0000E1500000}"/>
    <cellStyle name="Normal 2 6 2 2" xfId="694" xr:uid="{00000000-0005-0000-0000-0000E2500000}"/>
    <cellStyle name="Normal 2 6 2 2 2" xfId="19338" xr:uid="{00000000-0005-0000-0000-0000E3500000}"/>
    <cellStyle name="Normal 2 6 2 2 3" xfId="14378" xr:uid="{00000000-0005-0000-0000-0000E4500000}"/>
    <cellStyle name="Normal 2 6 2 3" xfId="14379" xr:uid="{00000000-0005-0000-0000-0000E5500000}"/>
    <cellStyle name="Normal 2 6 2 3 2" xfId="19339" xr:uid="{00000000-0005-0000-0000-0000E6500000}"/>
    <cellStyle name="Normal 2 6 2 4" xfId="14380" xr:uid="{00000000-0005-0000-0000-0000E7500000}"/>
    <cellStyle name="Normal 2 6 2 4 2" xfId="19340" xr:uid="{00000000-0005-0000-0000-0000E8500000}"/>
    <cellStyle name="Normal 2 6 2 5" xfId="14377" xr:uid="{00000000-0005-0000-0000-0000E9500000}"/>
    <cellStyle name="Normal 2 6 2 6" xfId="19337" xr:uid="{00000000-0005-0000-0000-0000EA500000}"/>
    <cellStyle name="Normal 2 6 3" xfId="695" xr:uid="{00000000-0005-0000-0000-0000EB500000}"/>
    <cellStyle name="Normal 2 6 3 2" xfId="19341" xr:uid="{00000000-0005-0000-0000-0000EC500000}"/>
    <cellStyle name="Normal 2 6 3 3" xfId="14381" xr:uid="{00000000-0005-0000-0000-0000ED500000}"/>
    <cellStyle name="Normal 2 6 4" xfId="14382" xr:uid="{00000000-0005-0000-0000-0000EE500000}"/>
    <cellStyle name="Normal 2 6 4 2" xfId="19342" xr:uid="{00000000-0005-0000-0000-0000EF500000}"/>
    <cellStyle name="Normal 2 6 5" xfId="14383" xr:uid="{00000000-0005-0000-0000-0000F0500000}"/>
    <cellStyle name="Normal 2 6 5 2" xfId="19343" xr:uid="{00000000-0005-0000-0000-0000F1500000}"/>
    <cellStyle name="Normal 2 6 6" xfId="14376" xr:uid="{00000000-0005-0000-0000-0000F2500000}"/>
    <cellStyle name="Normal 2 6 7" xfId="19336" xr:uid="{00000000-0005-0000-0000-0000F3500000}"/>
    <cellStyle name="Normal 2 6_Bdgt Anual" xfId="2400" xr:uid="{00000000-0005-0000-0000-0000F4500000}"/>
    <cellStyle name="Normal 2 7" xfId="284" xr:uid="{00000000-0005-0000-0000-0000F5500000}"/>
    <cellStyle name="Normal 2 7 2" xfId="415" xr:uid="{00000000-0005-0000-0000-0000F6500000}"/>
    <cellStyle name="Normal 2 7 2 2" xfId="696" xr:uid="{00000000-0005-0000-0000-0000F7500000}"/>
    <cellStyle name="Normal 2 7 2 2 2" xfId="19346" xr:uid="{00000000-0005-0000-0000-0000F8500000}"/>
    <cellStyle name="Normal 2 7 2 2 3" xfId="14386" xr:uid="{00000000-0005-0000-0000-0000F9500000}"/>
    <cellStyle name="Normal 2 7 2 3" xfId="14387" xr:uid="{00000000-0005-0000-0000-0000FA500000}"/>
    <cellStyle name="Normal 2 7 2 3 2" xfId="19347" xr:uid="{00000000-0005-0000-0000-0000FB500000}"/>
    <cellStyle name="Normal 2 7 2 4" xfId="14388" xr:uid="{00000000-0005-0000-0000-0000FC500000}"/>
    <cellStyle name="Normal 2 7 2 4 2" xfId="19348" xr:uid="{00000000-0005-0000-0000-0000FD500000}"/>
    <cellStyle name="Normal 2 7 2 5" xfId="14385" xr:uid="{00000000-0005-0000-0000-0000FE500000}"/>
    <cellStyle name="Normal 2 7 2 6" xfId="19345" xr:uid="{00000000-0005-0000-0000-0000FF500000}"/>
    <cellStyle name="Normal 2 7 3" xfId="697" xr:uid="{00000000-0005-0000-0000-000000510000}"/>
    <cellStyle name="Normal 2 7 3 2" xfId="19349" xr:uid="{00000000-0005-0000-0000-000001510000}"/>
    <cellStyle name="Normal 2 7 3 3" xfId="14389" xr:uid="{00000000-0005-0000-0000-000002510000}"/>
    <cellStyle name="Normal 2 7 4" xfId="14390" xr:uid="{00000000-0005-0000-0000-000003510000}"/>
    <cellStyle name="Normal 2 7 4 2" xfId="19350" xr:uid="{00000000-0005-0000-0000-000004510000}"/>
    <cellStyle name="Normal 2 7 5" xfId="14391" xr:uid="{00000000-0005-0000-0000-000005510000}"/>
    <cellStyle name="Normal 2 7 5 2" xfId="19351" xr:uid="{00000000-0005-0000-0000-000006510000}"/>
    <cellStyle name="Normal 2 7 6" xfId="14384" xr:uid="{00000000-0005-0000-0000-000007510000}"/>
    <cellStyle name="Normal 2 7 7" xfId="19344" xr:uid="{00000000-0005-0000-0000-000008510000}"/>
    <cellStyle name="Normal 2 7_Bdgt Anual" xfId="2401" xr:uid="{00000000-0005-0000-0000-000009510000}"/>
    <cellStyle name="Normal 2 8" xfId="285" xr:uid="{00000000-0005-0000-0000-00000A510000}"/>
    <cellStyle name="Normal 2 8 2" xfId="416" xr:uid="{00000000-0005-0000-0000-00000B510000}"/>
    <cellStyle name="Normal 2 8 2 2" xfId="698" xr:uid="{00000000-0005-0000-0000-00000C510000}"/>
    <cellStyle name="Normal 2 8 2 2 2" xfId="19354" xr:uid="{00000000-0005-0000-0000-00000D510000}"/>
    <cellStyle name="Normal 2 8 2 2 3" xfId="14394" xr:uid="{00000000-0005-0000-0000-00000E510000}"/>
    <cellStyle name="Normal 2 8 2 3" xfId="14395" xr:uid="{00000000-0005-0000-0000-00000F510000}"/>
    <cellStyle name="Normal 2 8 2 3 2" xfId="19355" xr:uid="{00000000-0005-0000-0000-000010510000}"/>
    <cellStyle name="Normal 2 8 2 4" xfId="14396" xr:uid="{00000000-0005-0000-0000-000011510000}"/>
    <cellStyle name="Normal 2 8 2 4 2" xfId="19356" xr:uid="{00000000-0005-0000-0000-000012510000}"/>
    <cellStyle name="Normal 2 8 2 5" xfId="14393" xr:uid="{00000000-0005-0000-0000-000013510000}"/>
    <cellStyle name="Normal 2 8 2 6" xfId="19353" xr:uid="{00000000-0005-0000-0000-000014510000}"/>
    <cellStyle name="Normal 2 8 3" xfId="699" xr:uid="{00000000-0005-0000-0000-000015510000}"/>
    <cellStyle name="Normal 2 8 3 2" xfId="19357" xr:uid="{00000000-0005-0000-0000-000016510000}"/>
    <cellStyle name="Normal 2 8 3 3" xfId="14397" xr:uid="{00000000-0005-0000-0000-000017510000}"/>
    <cellStyle name="Normal 2 8 4" xfId="14398" xr:uid="{00000000-0005-0000-0000-000018510000}"/>
    <cellStyle name="Normal 2 8 4 2" xfId="19358" xr:uid="{00000000-0005-0000-0000-000019510000}"/>
    <cellStyle name="Normal 2 8 5" xfId="14399" xr:uid="{00000000-0005-0000-0000-00001A510000}"/>
    <cellStyle name="Normal 2 8 5 2" xfId="19359" xr:uid="{00000000-0005-0000-0000-00001B510000}"/>
    <cellStyle name="Normal 2 8 6" xfId="14392" xr:uid="{00000000-0005-0000-0000-00001C510000}"/>
    <cellStyle name="Normal 2 8 7" xfId="19352" xr:uid="{00000000-0005-0000-0000-00001D510000}"/>
    <cellStyle name="Normal 2 8_Bdgt Anual" xfId="2402" xr:uid="{00000000-0005-0000-0000-00001E510000}"/>
    <cellStyle name="Normal 2 9" xfId="408" xr:uid="{00000000-0005-0000-0000-00001F510000}"/>
    <cellStyle name="Normal 2 9 2" xfId="700" xr:uid="{00000000-0005-0000-0000-000020510000}"/>
    <cellStyle name="Normal 2 9 2 2" xfId="3691" xr:uid="{00000000-0005-0000-0000-000021510000}"/>
    <cellStyle name="Normal 2 9 2 2 2" xfId="19362" xr:uid="{00000000-0005-0000-0000-000022510000}"/>
    <cellStyle name="Normal 2 9 2 2 3" xfId="14402" xr:uid="{00000000-0005-0000-0000-000023510000}"/>
    <cellStyle name="Normal 2 9 2 3" xfId="3483" xr:uid="{00000000-0005-0000-0000-000024510000}"/>
    <cellStyle name="Normal 2 9 2 3 2" xfId="19361" xr:uid="{00000000-0005-0000-0000-000025510000}"/>
    <cellStyle name="Normal 2 9 2 4" xfId="14401" xr:uid="{00000000-0005-0000-0000-000026510000}"/>
    <cellStyle name="Normal 2 9 3" xfId="14403" xr:uid="{00000000-0005-0000-0000-000027510000}"/>
    <cellStyle name="Normal 2 9 3 2" xfId="19363" xr:uid="{00000000-0005-0000-0000-000028510000}"/>
    <cellStyle name="Normal 2 9 4" xfId="14404" xr:uid="{00000000-0005-0000-0000-000029510000}"/>
    <cellStyle name="Normal 2 9 4 2" xfId="19364" xr:uid="{00000000-0005-0000-0000-00002A510000}"/>
    <cellStyle name="Normal 2 9 5" xfId="14405" xr:uid="{00000000-0005-0000-0000-00002B510000}"/>
    <cellStyle name="Normal 2 9 5 2" xfId="19365" xr:uid="{00000000-0005-0000-0000-00002C510000}"/>
    <cellStyle name="Normal 2 9 6" xfId="14400" xr:uid="{00000000-0005-0000-0000-00002D510000}"/>
    <cellStyle name="Normal 2 9 7" xfId="19360" xr:uid="{00000000-0005-0000-0000-00002E510000}"/>
    <cellStyle name="Normal 2_Bdgt Anual" xfId="2403" xr:uid="{00000000-0005-0000-0000-00002F510000}"/>
    <cellStyle name="Normal 20" xfId="461" xr:uid="{00000000-0005-0000-0000-000030510000}"/>
    <cellStyle name="Normal 20 10" xfId="4920" xr:uid="{00000000-0005-0000-0000-000031510000}"/>
    <cellStyle name="Normal 20 11" xfId="7015" xr:uid="{00000000-0005-0000-0000-000032510000}"/>
    <cellStyle name="Normal 20 12" xfId="7224" xr:uid="{00000000-0005-0000-0000-000033510000}"/>
    <cellStyle name="Normal 20 13" xfId="24161" xr:uid="{00000000-0005-0000-0000-000034510000}"/>
    <cellStyle name="Normal 20 14" xfId="24935" xr:uid="{00000000-0005-0000-0000-000035510000}"/>
    <cellStyle name="Normal 20 15" xfId="25439" xr:uid="{00000000-0005-0000-0000-000036510000}"/>
    <cellStyle name="Normal 20 16" xfId="25943" xr:uid="{00000000-0005-0000-0000-000037510000}"/>
    <cellStyle name="Normal 20 17" xfId="26447" xr:uid="{00000000-0005-0000-0000-000038510000}"/>
    <cellStyle name="Normal 20 18" xfId="26951" xr:uid="{00000000-0005-0000-0000-000039510000}"/>
    <cellStyle name="Normal 20 19" xfId="27455" xr:uid="{00000000-0005-0000-0000-00003A510000}"/>
    <cellStyle name="Normal 20 2" xfId="467" xr:uid="{00000000-0005-0000-0000-00003B510000}"/>
    <cellStyle name="Normal 20 2 2" xfId="702" xr:uid="{00000000-0005-0000-0000-00003C510000}"/>
    <cellStyle name="Normal 20 2 2 10" xfId="7225" xr:uid="{00000000-0005-0000-0000-00003D510000}"/>
    <cellStyle name="Normal 20 2 2 11" xfId="24162" xr:uid="{00000000-0005-0000-0000-00003E510000}"/>
    <cellStyle name="Normal 20 2 2 12" xfId="24936" xr:uid="{00000000-0005-0000-0000-00003F510000}"/>
    <cellStyle name="Normal 20 2 2 13" xfId="25440" xr:uid="{00000000-0005-0000-0000-000040510000}"/>
    <cellStyle name="Normal 20 2 2 14" xfId="25944" xr:uid="{00000000-0005-0000-0000-000041510000}"/>
    <cellStyle name="Normal 20 2 2 15" xfId="26448" xr:uid="{00000000-0005-0000-0000-000042510000}"/>
    <cellStyle name="Normal 20 2 2 16" xfId="26952" xr:uid="{00000000-0005-0000-0000-000043510000}"/>
    <cellStyle name="Normal 20 2 2 17" xfId="27456" xr:uid="{00000000-0005-0000-0000-000044510000}"/>
    <cellStyle name="Normal 20 2 2 18" xfId="27960" xr:uid="{00000000-0005-0000-0000-000045510000}"/>
    <cellStyle name="Normal 20 2 2 19" xfId="28464" xr:uid="{00000000-0005-0000-0000-000046510000}"/>
    <cellStyle name="Normal 20 2 2 2" xfId="1428" xr:uid="{00000000-0005-0000-0000-000047510000}"/>
    <cellStyle name="Normal 20 2 2 2 10" xfId="25945" xr:uid="{00000000-0005-0000-0000-000048510000}"/>
    <cellStyle name="Normal 20 2 2 2 11" xfId="26449" xr:uid="{00000000-0005-0000-0000-000049510000}"/>
    <cellStyle name="Normal 20 2 2 2 12" xfId="26953" xr:uid="{00000000-0005-0000-0000-00004A510000}"/>
    <cellStyle name="Normal 20 2 2 2 13" xfId="27457" xr:uid="{00000000-0005-0000-0000-00004B510000}"/>
    <cellStyle name="Normal 20 2 2 2 14" xfId="27961" xr:uid="{00000000-0005-0000-0000-00004C510000}"/>
    <cellStyle name="Normal 20 2 2 2 15" xfId="28465" xr:uid="{00000000-0005-0000-0000-00004D510000}"/>
    <cellStyle name="Normal 20 2 2 2 16" xfId="28969" xr:uid="{00000000-0005-0000-0000-00004E510000}"/>
    <cellStyle name="Normal 20 2 2 2 17" xfId="29473" xr:uid="{00000000-0005-0000-0000-00004F510000}"/>
    <cellStyle name="Normal 20 2 2 2 18" xfId="29977" xr:uid="{00000000-0005-0000-0000-000050510000}"/>
    <cellStyle name="Normal 20 2 2 2 19" xfId="30481" xr:uid="{00000000-0005-0000-0000-000051510000}"/>
    <cellStyle name="Normal 20 2 2 2 2" xfId="1682" xr:uid="{00000000-0005-0000-0000-000052510000}"/>
    <cellStyle name="Normal 20 2 2 2 2 2" xfId="3109" xr:uid="{00000000-0005-0000-0000-000053510000}"/>
    <cellStyle name="Normal 20 2 2 2 2 2 2" xfId="4728" xr:uid="{00000000-0005-0000-0000-000054510000}"/>
    <cellStyle name="Normal 20 2 2 2 2 2 2 2" xfId="6595" xr:uid="{00000000-0005-0000-0000-000055510000}"/>
    <cellStyle name="Normal 20 2 2 2 2 2 3" xfId="5693" xr:uid="{00000000-0005-0000-0000-000056510000}"/>
    <cellStyle name="Normal 20 2 2 2 2 3" xfId="4201" xr:uid="{00000000-0005-0000-0000-000057510000}"/>
    <cellStyle name="Normal 20 2 2 2 2 3 2" xfId="6149" xr:uid="{00000000-0005-0000-0000-000058510000}"/>
    <cellStyle name="Normal 20 2 2 2 2 4" xfId="5235" xr:uid="{00000000-0005-0000-0000-000059510000}"/>
    <cellStyle name="Normal 20 2 2 2 20" xfId="30986" xr:uid="{00000000-0005-0000-0000-00005A510000}"/>
    <cellStyle name="Normal 20 2 2 2 3" xfId="2862" xr:uid="{00000000-0005-0000-0000-00005B510000}"/>
    <cellStyle name="Normal 20 2 2 2 3 2" xfId="4481" xr:uid="{00000000-0005-0000-0000-00005C510000}"/>
    <cellStyle name="Normal 20 2 2 2 3 2 2" xfId="6348" xr:uid="{00000000-0005-0000-0000-00005D510000}"/>
    <cellStyle name="Normal 20 2 2 2 3 3" xfId="5446" xr:uid="{00000000-0005-0000-0000-00005E510000}"/>
    <cellStyle name="Normal 20 2 2 2 4" xfId="3949" xr:uid="{00000000-0005-0000-0000-00005F510000}"/>
    <cellStyle name="Normal 20 2 2 2 4 2" xfId="5903" xr:uid="{00000000-0005-0000-0000-000060510000}"/>
    <cellStyle name="Normal 20 2 2 2 5" xfId="4988" xr:uid="{00000000-0005-0000-0000-000061510000}"/>
    <cellStyle name="Normal 20 2 2 2 6" xfId="7334" xr:uid="{00000000-0005-0000-0000-000062510000}"/>
    <cellStyle name="Normal 20 2 2 2 7" xfId="24163" xr:uid="{00000000-0005-0000-0000-000063510000}"/>
    <cellStyle name="Normal 20 2 2 2 8" xfId="24937" xr:uid="{00000000-0005-0000-0000-000064510000}"/>
    <cellStyle name="Normal 20 2 2 2 9" xfId="25441" xr:uid="{00000000-0005-0000-0000-000065510000}"/>
    <cellStyle name="Normal 20 2 2 20" xfId="28968" xr:uid="{00000000-0005-0000-0000-000066510000}"/>
    <cellStyle name="Normal 20 2 2 21" xfId="29472" xr:uid="{00000000-0005-0000-0000-000067510000}"/>
    <cellStyle name="Normal 20 2 2 22" xfId="29976" xr:uid="{00000000-0005-0000-0000-000068510000}"/>
    <cellStyle name="Normal 20 2 2 23" xfId="30480" xr:uid="{00000000-0005-0000-0000-000069510000}"/>
    <cellStyle name="Normal 20 2 2 24" xfId="30985" xr:uid="{00000000-0005-0000-0000-00006A510000}"/>
    <cellStyle name="Normal 20 2 2 3" xfId="1683" xr:uid="{00000000-0005-0000-0000-00006B510000}"/>
    <cellStyle name="Normal 20 2 2 3 2" xfId="3110" xr:uid="{00000000-0005-0000-0000-00006C510000}"/>
    <cellStyle name="Normal 20 2 2 3 2 2" xfId="4729" xr:uid="{00000000-0005-0000-0000-00006D510000}"/>
    <cellStyle name="Normal 20 2 2 3 2 2 2" xfId="6596" xr:uid="{00000000-0005-0000-0000-00006E510000}"/>
    <cellStyle name="Normal 20 2 2 3 2 3" xfId="5694" xr:uid="{00000000-0005-0000-0000-00006F510000}"/>
    <cellStyle name="Normal 20 2 2 3 3" xfId="4202" xr:uid="{00000000-0005-0000-0000-000070510000}"/>
    <cellStyle name="Normal 20 2 2 3 3 2" xfId="6150" xr:uid="{00000000-0005-0000-0000-000071510000}"/>
    <cellStyle name="Normal 20 2 2 3 4" xfId="5236" xr:uid="{00000000-0005-0000-0000-000072510000}"/>
    <cellStyle name="Normal 20 2 2 3 5" xfId="14408" xr:uid="{00000000-0005-0000-0000-000073510000}"/>
    <cellStyle name="Normal 20 2 2 4" xfId="2406" xr:uid="{00000000-0005-0000-0000-000074510000}"/>
    <cellStyle name="Normal 20 2 2 4 2" xfId="4332" xr:uid="{00000000-0005-0000-0000-000075510000}"/>
    <cellStyle name="Normal 20 2 2 4 2 2" xfId="6204" xr:uid="{00000000-0005-0000-0000-000076510000}"/>
    <cellStyle name="Normal 20 2 2 4 3" xfId="5294" xr:uid="{00000000-0005-0000-0000-000077510000}"/>
    <cellStyle name="Normal 20 2 2 4 4" xfId="19368" xr:uid="{00000000-0005-0000-0000-000078510000}"/>
    <cellStyle name="Normal 20 2 2 5" xfId="2694" xr:uid="{00000000-0005-0000-0000-000079510000}"/>
    <cellStyle name="Normal 20 2 2 5 2" xfId="4375" xr:uid="{00000000-0005-0000-0000-00007A510000}"/>
    <cellStyle name="Normal 20 2 2 5 2 2" xfId="6245" xr:uid="{00000000-0005-0000-0000-00007B510000}"/>
    <cellStyle name="Normal 20 2 2 5 3" xfId="5342" xr:uid="{00000000-0005-0000-0000-00007C510000}"/>
    <cellStyle name="Normal 20 2 2 6" xfId="2801" xr:uid="{00000000-0005-0000-0000-00007D510000}"/>
    <cellStyle name="Normal 20 2 2 6 2" xfId="4423" xr:uid="{00000000-0005-0000-0000-00007E510000}"/>
    <cellStyle name="Normal 20 2 2 6 2 2" xfId="6291" xr:uid="{00000000-0005-0000-0000-00007F510000}"/>
    <cellStyle name="Normal 20 2 2 6 3" xfId="5389" xr:uid="{00000000-0005-0000-0000-000080510000}"/>
    <cellStyle name="Normal 20 2 2 7" xfId="3485" xr:uid="{00000000-0005-0000-0000-000081510000}"/>
    <cellStyle name="Normal 20 2 2 7 2" xfId="5775" xr:uid="{00000000-0005-0000-0000-000082510000}"/>
    <cellStyle name="Normal 20 2 2 8" xfId="4931" xr:uid="{00000000-0005-0000-0000-000083510000}"/>
    <cellStyle name="Normal 20 2 2 9" xfId="7016" xr:uid="{00000000-0005-0000-0000-000084510000}"/>
    <cellStyle name="Normal 20 2 3" xfId="1421" xr:uid="{00000000-0005-0000-0000-000085510000}"/>
    <cellStyle name="Normal 20 2 3 2" xfId="1684" xr:uid="{00000000-0005-0000-0000-000086510000}"/>
    <cellStyle name="Normal 20 2 3 2 10" xfId="26450" xr:uid="{00000000-0005-0000-0000-000087510000}"/>
    <cellStyle name="Normal 20 2 3 2 11" xfId="26954" xr:uid="{00000000-0005-0000-0000-000088510000}"/>
    <cellStyle name="Normal 20 2 3 2 12" xfId="27458" xr:uid="{00000000-0005-0000-0000-000089510000}"/>
    <cellStyle name="Normal 20 2 3 2 13" xfId="27962" xr:uid="{00000000-0005-0000-0000-00008A510000}"/>
    <cellStyle name="Normal 20 2 3 2 14" xfId="28466" xr:uid="{00000000-0005-0000-0000-00008B510000}"/>
    <cellStyle name="Normal 20 2 3 2 15" xfId="28970" xr:uid="{00000000-0005-0000-0000-00008C510000}"/>
    <cellStyle name="Normal 20 2 3 2 16" xfId="29474" xr:uid="{00000000-0005-0000-0000-00008D510000}"/>
    <cellStyle name="Normal 20 2 3 2 17" xfId="29978" xr:uid="{00000000-0005-0000-0000-00008E510000}"/>
    <cellStyle name="Normal 20 2 3 2 18" xfId="30482" xr:uid="{00000000-0005-0000-0000-00008F510000}"/>
    <cellStyle name="Normal 20 2 3 2 19" xfId="30987" xr:uid="{00000000-0005-0000-0000-000090510000}"/>
    <cellStyle name="Normal 20 2 3 2 2" xfId="3111" xr:uid="{00000000-0005-0000-0000-000091510000}"/>
    <cellStyle name="Normal 20 2 3 2 2 2" xfId="4730" xr:uid="{00000000-0005-0000-0000-000092510000}"/>
    <cellStyle name="Normal 20 2 3 2 2 2 2" xfId="6597" xr:uid="{00000000-0005-0000-0000-000093510000}"/>
    <cellStyle name="Normal 20 2 3 2 2 3" xfId="5695" xr:uid="{00000000-0005-0000-0000-000094510000}"/>
    <cellStyle name="Normal 20 2 3 2 2 4" xfId="19370" xr:uid="{00000000-0005-0000-0000-000095510000}"/>
    <cellStyle name="Normal 20 2 3 2 3" xfId="4203" xr:uid="{00000000-0005-0000-0000-000096510000}"/>
    <cellStyle name="Normal 20 2 3 2 3 2" xfId="6151" xr:uid="{00000000-0005-0000-0000-000097510000}"/>
    <cellStyle name="Normal 20 2 3 2 4" xfId="5237" xr:uid="{00000000-0005-0000-0000-000098510000}"/>
    <cellStyle name="Normal 20 2 3 2 5" xfId="14410" xr:uid="{00000000-0005-0000-0000-000099510000}"/>
    <cellStyle name="Normal 20 2 3 2 6" xfId="24164" xr:uid="{00000000-0005-0000-0000-00009A510000}"/>
    <cellStyle name="Normal 20 2 3 2 7" xfId="24938" xr:uid="{00000000-0005-0000-0000-00009B510000}"/>
    <cellStyle name="Normal 20 2 3 2 8" xfId="25442" xr:uid="{00000000-0005-0000-0000-00009C510000}"/>
    <cellStyle name="Normal 20 2 3 2 9" xfId="25946" xr:uid="{00000000-0005-0000-0000-00009D510000}"/>
    <cellStyle name="Normal 20 2 3 3" xfId="2407" xr:uid="{00000000-0005-0000-0000-00009E510000}"/>
    <cellStyle name="Normal 20 2 3 3 2" xfId="14409" xr:uid="{00000000-0005-0000-0000-00009F510000}"/>
    <cellStyle name="Normal 20 2 3 3 3" xfId="24165" xr:uid="{00000000-0005-0000-0000-0000A0510000}"/>
    <cellStyle name="Normal 20 2 3 4" xfId="2855" xr:uid="{00000000-0005-0000-0000-0000A1510000}"/>
    <cellStyle name="Normal 20 2 3 4 2" xfId="4474" xr:uid="{00000000-0005-0000-0000-0000A2510000}"/>
    <cellStyle name="Normal 20 2 3 4 2 2" xfId="6341" xr:uid="{00000000-0005-0000-0000-0000A3510000}"/>
    <cellStyle name="Normal 20 2 3 4 3" xfId="5439" xr:uid="{00000000-0005-0000-0000-0000A4510000}"/>
    <cellStyle name="Normal 20 2 3 4 4" xfId="19369" xr:uid="{00000000-0005-0000-0000-0000A5510000}"/>
    <cellStyle name="Normal 20 2 3 5" xfId="3942" xr:uid="{00000000-0005-0000-0000-0000A6510000}"/>
    <cellStyle name="Normal 20 2 3 5 2" xfId="5896" xr:uid="{00000000-0005-0000-0000-0000A7510000}"/>
    <cellStyle name="Normal 20 2 3 6" xfId="4981" xr:uid="{00000000-0005-0000-0000-0000A8510000}"/>
    <cellStyle name="Normal 20 2 4" xfId="1685" xr:uid="{00000000-0005-0000-0000-0000A9510000}"/>
    <cellStyle name="Normal 20 2 4 2" xfId="3112" xr:uid="{00000000-0005-0000-0000-0000AA510000}"/>
    <cellStyle name="Normal 20 2 4 2 2" xfId="4731" xr:uid="{00000000-0005-0000-0000-0000AB510000}"/>
    <cellStyle name="Normal 20 2 4 2 2 2" xfId="6598" xr:uid="{00000000-0005-0000-0000-0000AC510000}"/>
    <cellStyle name="Normal 20 2 4 2 2 3" xfId="19372" xr:uid="{00000000-0005-0000-0000-0000AD510000}"/>
    <cellStyle name="Normal 20 2 4 2 3" xfId="5696" xr:uid="{00000000-0005-0000-0000-0000AE510000}"/>
    <cellStyle name="Normal 20 2 4 2 4" xfId="14412" xr:uid="{00000000-0005-0000-0000-0000AF510000}"/>
    <cellStyle name="Normal 20 2 4 3" xfId="4204" xr:uid="{00000000-0005-0000-0000-0000B0510000}"/>
    <cellStyle name="Normal 20 2 4 3 2" xfId="6152" xr:uid="{00000000-0005-0000-0000-0000B1510000}"/>
    <cellStyle name="Normal 20 2 4 3 3" xfId="19371" xr:uid="{00000000-0005-0000-0000-0000B2510000}"/>
    <cellStyle name="Normal 20 2 4 4" xfId="3486" xr:uid="{00000000-0005-0000-0000-0000B3510000}"/>
    <cellStyle name="Normal 20 2 4 5" xfId="5238" xr:uid="{00000000-0005-0000-0000-0000B4510000}"/>
    <cellStyle name="Normal 20 2 4 6" xfId="14411" xr:uid="{00000000-0005-0000-0000-0000B5510000}"/>
    <cellStyle name="Normal 20 2 5" xfId="2405" xr:uid="{00000000-0005-0000-0000-0000B6510000}"/>
    <cellStyle name="Normal 20 2 5 2" xfId="19373" xr:uid="{00000000-0005-0000-0000-0000B7510000}"/>
    <cellStyle name="Normal 20 2 5 3" xfId="14413" xr:uid="{00000000-0005-0000-0000-0000B8510000}"/>
    <cellStyle name="Normal 20 2 6" xfId="2794" xr:uid="{00000000-0005-0000-0000-0000B9510000}"/>
    <cellStyle name="Normal 20 2 6 2" xfId="4416" xr:uid="{00000000-0005-0000-0000-0000BA510000}"/>
    <cellStyle name="Normal 20 2 6 2 2" xfId="6284" xr:uid="{00000000-0005-0000-0000-0000BB510000}"/>
    <cellStyle name="Normal 20 2 6 2 3" xfId="19374" xr:uid="{00000000-0005-0000-0000-0000BC510000}"/>
    <cellStyle name="Normal 20 2 6 3" xfId="5382" xr:uid="{00000000-0005-0000-0000-0000BD510000}"/>
    <cellStyle name="Normal 20 2 6 4" xfId="14414" xr:uid="{00000000-0005-0000-0000-0000BE510000}"/>
    <cellStyle name="Normal 20 2 7" xfId="4924" xr:uid="{00000000-0005-0000-0000-0000BF510000}"/>
    <cellStyle name="Normal 20 2 7 2" xfId="14407" xr:uid="{00000000-0005-0000-0000-0000C0510000}"/>
    <cellStyle name="Normal 20 2 8" xfId="19367" xr:uid="{00000000-0005-0000-0000-0000C1510000}"/>
    <cellStyle name="Normal 20 20" xfId="27959" xr:uid="{00000000-0005-0000-0000-0000C2510000}"/>
    <cellStyle name="Normal 20 21" xfId="28463" xr:uid="{00000000-0005-0000-0000-0000C3510000}"/>
    <cellStyle name="Normal 20 22" xfId="28967" xr:uid="{00000000-0005-0000-0000-0000C4510000}"/>
    <cellStyle name="Normal 20 23" xfId="29471" xr:uid="{00000000-0005-0000-0000-0000C5510000}"/>
    <cellStyle name="Normal 20 24" xfId="29975" xr:uid="{00000000-0005-0000-0000-0000C6510000}"/>
    <cellStyle name="Normal 20 25" xfId="30479" xr:uid="{00000000-0005-0000-0000-0000C7510000}"/>
    <cellStyle name="Normal 20 26" xfId="30984" xr:uid="{00000000-0005-0000-0000-0000C8510000}"/>
    <cellStyle name="Normal 20 3" xfId="701" xr:uid="{00000000-0005-0000-0000-0000C9510000}"/>
    <cellStyle name="Normal 20 3 10" xfId="7226" xr:uid="{00000000-0005-0000-0000-0000CA510000}"/>
    <cellStyle name="Normal 20 3 11" xfId="24166" xr:uid="{00000000-0005-0000-0000-0000CB510000}"/>
    <cellStyle name="Normal 20 3 12" xfId="24939" xr:uid="{00000000-0005-0000-0000-0000CC510000}"/>
    <cellStyle name="Normal 20 3 13" xfId="25443" xr:uid="{00000000-0005-0000-0000-0000CD510000}"/>
    <cellStyle name="Normal 20 3 14" xfId="25947" xr:uid="{00000000-0005-0000-0000-0000CE510000}"/>
    <cellStyle name="Normal 20 3 15" xfId="26451" xr:uid="{00000000-0005-0000-0000-0000CF510000}"/>
    <cellStyle name="Normal 20 3 16" xfId="26955" xr:uid="{00000000-0005-0000-0000-0000D0510000}"/>
    <cellStyle name="Normal 20 3 17" xfId="27459" xr:uid="{00000000-0005-0000-0000-0000D1510000}"/>
    <cellStyle name="Normal 20 3 18" xfId="27963" xr:uid="{00000000-0005-0000-0000-0000D2510000}"/>
    <cellStyle name="Normal 20 3 19" xfId="28467" xr:uid="{00000000-0005-0000-0000-0000D3510000}"/>
    <cellStyle name="Normal 20 3 2" xfId="1427" xr:uid="{00000000-0005-0000-0000-0000D4510000}"/>
    <cellStyle name="Normal 20 3 2 10" xfId="25948" xr:uid="{00000000-0005-0000-0000-0000D5510000}"/>
    <cellStyle name="Normal 20 3 2 11" xfId="26452" xr:uid="{00000000-0005-0000-0000-0000D6510000}"/>
    <cellStyle name="Normal 20 3 2 12" xfId="26956" xr:uid="{00000000-0005-0000-0000-0000D7510000}"/>
    <cellStyle name="Normal 20 3 2 13" xfId="27460" xr:uid="{00000000-0005-0000-0000-0000D8510000}"/>
    <cellStyle name="Normal 20 3 2 14" xfId="27964" xr:uid="{00000000-0005-0000-0000-0000D9510000}"/>
    <cellStyle name="Normal 20 3 2 15" xfId="28468" xr:uid="{00000000-0005-0000-0000-0000DA510000}"/>
    <cellStyle name="Normal 20 3 2 16" xfId="28972" xr:uid="{00000000-0005-0000-0000-0000DB510000}"/>
    <cellStyle name="Normal 20 3 2 17" xfId="29476" xr:uid="{00000000-0005-0000-0000-0000DC510000}"/>
    <cellStyle name="Normal 20 3 2 18" xfId="29980" xr:uid="{00000000-0005-0000-0000-0000DD510000}"/>
    <cellStyle name="Normal 20 3 2 19" xfId="30484" xr:uid="{00000000-0005-0000-0000-0000DE510000}"/>
    <cellStyle name="Normal 20 3 2 2" xfId="1686" xr:uid="{00000000-0005-0000-0000-0000DF510000}"/>
    <cellStyle name="Normal 20 3 2 2 2" xfId="3113" xr:uid="{00000000-0005-0000-0000-0000E0510000}"/>
    <cellStyle name="Normal 20 3 2 2 2 2" xfId="4732" xr:uid="{00000000-0005-0000-0000-0000E1510000}"/>
    <cellStyle name="Normal 20 3 2 2 2 2 2" xfId="6599" xr:uid="{00000000-0005-0000-0000-0000E2510000}"/>
    <cellStyle name="Normal 20 3 2 2 2 3" xfId="5697" xr:uid="{00000000-0005-0000-0000-0000E3510000}"/>
    <cellStyle name="Normal 20 3 2 2 3" xfId="4205" xr:uid="{00000000-0005-0000-0000-0000E4510000}"/>
    <cellStyle name="Normal 20 3 2 2 3 2" xfId="6153" xr:uid="{00000000-0005-0000-0000-0000E5510000}"/>
    <cellStyle name="Normal 20 3 2 2 4" xfId="5239" xr:uid="{00000000-0005-0000-0000-0000E6510000}"/>
    <cellStyle name="Normal 20 3 2 20" xfId="30989" xr:uid="{00000000-0005-0000-0000-0000E7510000}"/>
    <cellStyle name="Normal 20 3 2 3" xfId="2861" xr:uid="{00000000-0005-0000-0000-0000E8510000}"/>
    <cellStyle name="Normal 20 3 2 3 2" xfId="4480" xr:uid="{00000000-0005-0000-0000-0000E9510000}"/>
    <cellStyle name="Normal 20 3 2 3 2 2" xfId="6347" xr:uid="{00000000-0005-0000-0000-0000EA510000}"/>
    <cellStyle name="Normal 20 3 2 3 3" xfId="5445" xr:uid="{00000000-0005-0000-0000-0000EB510000}"/>
    <cellStyle name="Normal 20 3 2 4" xfId="3948" xr:uid="{00000000-0005-0000-0000-0000EC510000}"/>
    <cellStyle name="Normal 20 3 2 4 2" xfId="5902" xr:uid="{00000000-0005-0000-0000-0000ED510000}"/>
    <cellStyle name="Normal 20 3 2 5" xfId="4987" xr:uid="{00000000-0005-0000-0000-0000EE510000}"/>
    <cellStyle name="Normal 20 3 2 6" xfId="14415" xr:uid="{00000000-0005-0000-0000-0000EF510000}"/>
    <cellStyle name="Normal 20 3 2 7" xfId="24167" xr:uid="{00000000-0005-0000-0000-0000F0510000}"/>
    <cellStyle name="Normal 20 3 2 8" xfId="24940" xr:uid="{00000000-0005-0000-0000-0000F1510000}"/>
    <cellStyle name="Normal 20 3 2 9" xfId="25444" xr:uid="{00000000-0005-0000-0000-0000F2510000}"/>
    <cellStyle name="Normal 20 3 20" xfId="28971" xr:uid="{00000000-0005-0000-0000-0000F3510000}"/>
    <cellStyle name="Normal 20 3 21" xfId="29475" xr:uid="{00000000-0005-0000-0000-0000F4510000}"/>
    <cellStyle name="Normal 20 3 22" xfId="29979" xr:uid="{00000000-0005-0000-0000-0000F5510000}"/>
    <cellStyle name="Normal 20 3 23" xfId="30483" xr:uid="{00000000-0005-0000-0000-0000F6510000}"/>
    <cellStyle name="Normal 20 3 24" xfId="30988" xr:uid="{00000000-0005-0000-0000-0000F7510000}"/>
    <cellStyle name="Normal 20 3 3" xfId="1687" xr:uid="{00000000-0005-0000-0000-0000F8510000}"/>
    <cellStyle name="Normal 20 3 3 2" xfId="3114" xr:uid="{00000000-0005-0000-0000-0000F9510000}"/>
    <cellStyle name="Normal 20 3 3 2 2" xfId="4733" xr:uid="{00000000-0005-0000-0000-0000FA510000}"/>
    <cellStyle name="Normal 20 3 3 2 2 2" xfId="6600" xr:uid="{00000000-0005-0000-0000-0000FB510000}"/>
    <cellStyle name="Normal 20 3 3 2 3" xfId="5698" xr:uid="{00000000-0005-0000-0000-0000FC510000}"/>
    <cellStyle name="Normal 20 3 3 3" xfId="4206" xr:uid="{00000000-0005-0000-0000-0000FD510000}"/>
    <cellStyle name="Normal 20 3 3 3 2" xfId="6154" xr:uid="{00000000-0005-0000-0000-0000FE510000}"/>
    <cellStyle name="Normal 20 3 3 4" xfId="5240" xr:uid="{00000000-0005-0000-0000-0000FF510000}"/>
    <cellStyle name="Normal 20 3 3 5" xfId="19375" xr:uid="{00000000-0005-0000-0000-000000520000}"/>
    <cellStyle name="Normal 20 3 4" xfId="2408" xr:uid="{00000000-0005-0000-0000-000001520000}"/>
    <cellStyle name="Normal 20 3 4 2" xfId="4333" xr:uid="{00000000-0005-0000-0000-000002520000}"/>
    <cellStyle name="Normal 20 3 4 2 2" xfId="6205" xr:uid="{00000000-0005-0000-0000-000003520000}"/>
    <cellStyle name="Normal 20 3 4 3" xfId="5295" xr:uid="{00000000-0005-0000-0000-000004520000}"/>
    <cellStyle name="Normal 20 3 5" xfId="2695" xr:uid="{00000000-0005-0000-0000-000005520000}"/>
    <cellStyle name="Normal 20 3 5 2" xfId="4376" xr:uid="{00000000-0005-0000-0000-000006520000}"/>
    <cellStyle name="Normal 20 3 5 2 2" xfId="6246" xr:uid="{00000000-0005-0000-0000-000007520000}"/>
    <cellStyle name="Normal 20 3 5 3" xfId="5343" xr:uid="{00000000-0005-0000-0000-000008520000}"/>
    <cellStyle name="Normal 20 3 6" xfId="2800" xr:uid="{00000000-0005-0000-0000-000009520000}"/>
    <cellStyle name="Normal 20 3 6 2" xfId="4422" xr:uid="{00000000-0005-0000-0000-00000A520000}"/>
    <cellStyle name="Normal 20 3 6 2 2" xfId="6290" xr:uid="{00000000-0005-0000-0000-00000B520000}"/>
    <cellStyle name="Normal 20 3 6 3" xfId="5388" xr:uid="{00000000-0005-0000-0000-00000C520000}"/>
    <cellStyle name="Normal 20 3 7" xfId="3487" xr:uid="{00000000-0005-0000-0000-00000D520000}"/>
    <cellStyle name="Normal 20 3 7 2" xfId="5776" xr:uid="{00000000-0005-0000-0000-00000E520000}"/>
    <cellStyle name="Normal 20 3 8" xfId="4930" xr:uid="{00000000-0005-0000-0000-00000F520000}"/>
    <cellStyle name="Normal 20 3 9" xfId="7017" xr:uid="{00000000-0005-0000-0000-000010520000}"/>
    <cellStyle name="Normal 20 4" xfId="1417" xr:uid="{00000000-0005-0000-0000-000011520000}"/>
    <cellStyle name="Normal 20 4 10" xfId="25949" xr:uid="{00000000-0005-0000-0000-000012520000}"/>
    <cellStyle name="Normal 20 4 11" xfId="26453" xr:uid="{00000000-0005-0000-0000-000013520000}"/>
    <cellStyle name="Normal 20 4 12" xfId="26957" xr:uid="{00000000-0005-0000-0000-000014520000}"/>
    <cellStyle name="Normal 20 4 13" xfId="27461" xr:uid="{00000000-0005-0000-0000-000015520000}"/>
    <cellStyle name="Normal 20 4 14" xfId="27965" xr:uid="{00000000-0005-0000-0000-000016520000}"/>
    <cellStyle name="Normal 20 4 15" xfId="28469" xr:uid="{00000000-0005-0000-0000-000017520000}"/>
    <cellStyle name="Normal 20 4 16" xfId="28973" xr:uid="{00000000-0005-0000-0000-000018520000}"/>
    <cellStyle name="Normal 20 4 17" xfId="29477" xr:uid="{00000000-0005-0000-0000-000019520000}"/>
    <cellStyle name="Normal 20 4 18" xfId="29981" xr:uid="{00000000-0005-0000-0000-00001A520000}"/>
    <cellStyle name="Normal 20 4 19" xfId="30485" xr:uid="{00000000-0005-0000-0000-00001B520000}"/>
    <cellStyle name="Normal 20 4 2" xfId="1688" xr:uid="{00000000-0005-0000-0000-00001C520000}"/>
    <cellStyle name="Normal 20 4 2 2" xfId="3115" xr:uid="{00000000-0005-0000-0000-00001D520000}"/>
    <cellStyle name="Normal 20 4 2 2 2" xfId="4734" xr:uid="{00000000-0005-0000-0000-00001E520000}"/>
    <cellStyle name="Normal 20 4 2 2 2 2" xfId="6601" xr:uid="{00000000-0005-0000-0000-00001F520000}"/>
    <cellStyle name="Normal 20 4 2 2 3" xfId="5699" xr:uid="{00000000-0005-0000-0000-000020520000}"/>
    <cellStyle name="Normal 20 4 2 3" xfId="4207" xr:uid="{00000000-0005-0000-0000-000021520000}"/>
    <cellStyle name="Normal 20 4 2 3 2" xfId="6155" xr:uid="{00000000-0005-0000-0000-000022520000}"/>
    <cellStyle name="Normal 20 4 2 4" xfId="5241" xr:uid="{00000000-0005-0000-0000-000023520000}"/>
    <cellStyle name="Normal 20 4 2 5" xfId="14416" xr:uid="{00000000-0005-0000-0000-000024520000}"/>
    <cellStyle name="Normal 20 4 20" xfId="30990" xr:uid="{00000000-0005-0000-0000-000025520000}"/>
    <cellStyle name="Normal 20 4 3" xfId="2851" xr:uid="{00000000-0005-0000-0000-000026520000}"/>
    <cellStyle name="Normal 20 4 3 2" xfId="4470" xr:uid="{00000000-0005-0000-0000-000027520000}"/>
    <cellStyle name="Normal 20 4 3 2 2" xfId="6337" xr:uid="{00000000-0005-0000-0000-000028520000}"/>
    <cellStyle name="Normal 20 4 3 3" xfId="5435" xr:uid="{00000000-0005-0000-0000-000029520000}"/>
    <cellStyle name="Normal 20 4 3 4" xfId="19376" xr:uid="{00000000-0005-0000-0000-00002A520000}"/>
    <cellStyle name="Normal 20 4 4" xfId="3938" xr:uid="{00000000-0005-0000-0000-00002B520000}"/>
    <cellStyle name="Normal 20 4 4 2" xfId="5892" xr:uid="{00000000-0005-0000-0000-00002C520000}"/>
    <cellStyle name="Normal 20 4 5" xfId="4977" xr:uid="{00000000-0005-0000-0000-00002D520000}"/>
    <cellStyle name="Normal 20 4 6" xfId="7333" xr:uid="{00000000-0005-0000-0000-00002E520000}"/>
    <cellStyle name="Normal 20 4 7" xfId="24168" xr:uid="{00000000-0005-0000-0000-00002F520000}"/>
    <cellStyle name="Normal 20 4 8" xfId="24941" xr:uid="{00000000-0005-0000-0000-000030520000}"/>
    <cellStyle name="Normal 20 4 9" xfId="25445" xr:uid="{00000000-0005-0000-0000-000031520000}"/>
    <cellStyle name="Normal 20 5" xfId="1689" xr:uid="{00000000-0005-0000-0000-000032520000}"/>
    <cellStyle name="Normal 20 5 2" xfId="3116" xr:uid="{00000000-0005-0000-0000-000033520000}"/>
    <cellStyle name="Normal 20 5 2 2" xfId="4735" xr:uid="{00000000-0005-0000-0000-000034520000}"/>
    <cellStyle name="Normal 20 5 2 2 2" xfId="6602" xr:uid="{00000000-0005-0000-0000-000035520000}"/>
    <cellStyle name="Normal 20 5 2 3" xfId="5700" xr:uid="{00000000-0005-0000-0000-000036520000}"/>
    <cellStyle name="Normal 20 5 3" xfId="4208" xr:uid="{00000000-0005-0000-0000-000037520000}"/>
    <cellStyle name="Normal 20 5 3 2" xfId="6156" xr:uid="{00000000-0005-0000-0000-000038520000}"/>
    <cellStyle name="Normal 20 5 4" xfId="5242" xr:uid="{00000000-0005-0000-0000-000039520000}"/>
    <cellStyle name="Normal 20 5 5" xfId="14406" xr:uid="{00000000-0005-0000-0000-00003A520000}"/>
    <cellStyle name="Normal 20 6" xfId="2404" xr:uid="{00000000-0005-0000-0000-00003B520000}"/>
    <cellStyle name="Normal 20 6 2" xfId="4331" xr:uid="{00000000-0005-0000-0000-00003C520000}"/>
    <cellStyle name="Normal 20 6 2 2" xfId="6203" xr:uid="{00000000-0005-0000-0000-00003D520000}"/>
    <cellStyle name="Normal 20 6 3" xfId="5293" xr:uid="{00000000-0005-0000-0000-00003E520000}"/>
    <cellStyle name="Normal 20 6 4" xfId="19366" xr:uid="{00000000-0005-0000-0000-00003F520000}"/>
    <cellStyle name="Normal 20 7" xfId="2693" xr:uid="{00000000-0005-0000-0000-000040520000}"/>
    <cellStyle name="Normal 20 7 2" xfId="4374" xr:uid="{00000000-0005-0000-0000-000041520000}"/>
    <cellStyle name="Normal 20 7 2 2" xfId="6244" xr:uid="{00000000-0005-0000-0000-000042520000}"/>
    <cellStyle name="Normal 20 7 3" xfId="5341" xr:uid="{00000000-0005-0000-0000-000043520000}"/>
    <cellStyle name="Normal 20 8" xfId="2790" xr:uid="{00000000-0005-0000-0000-000044520000}"/>
    <cellStyle name="Normal 20 8 2" xfId="4412" xr:uid="{00000000-0005-0000-0000-000045520000}"/>
    <cellStyle name="Normal 20 8 2 2" xfId="6280" xr:uid="{00000000-0005-0000-0000-000046520000}"/>
    <cellStyle name="Normal 20 8 3" xfId="5378" xr:uid="{00000000-0005-0000-0000-000047520000}"/>
    <cellStyle name="Normal 20 9" xfId="3484" xr:uid="{00000000-0005-0000-0000-000048520000}"/>
    <cellStyle name="Normal 20 9 2" xfId="5774" xr:uid="{00000000-0005-0000-0000-000049520000}"/>
    <cellStyle name="Normal 21" xfId="462" xr:uid="{00000000-0005-0000-0000-00004A520000}"/>
    <cellStyle name="Normal 21 10" xfId="4921" xr:uid="{00000000-0005-0000-0000-00004B520000}"/>
    <cellStyle name="Normal 21 11" xfId="7018" xr:uid="{00000000-0005-0000-0000-00004C520000}"/>
    <cellStyle name="Normal 21 12" xfId="7227" xr:uid="{00000000-0005-0000-0000-00004D520000}"/>
    <cellStyle name="Normal 21 13" xfId="24169" xr:uid="{00000000-0005-0000-0000-00004E520000}"/>
    <cellStyle name="Normal 21 14" xfId="24942" xr:uid="{00000000-0005-0000-0000-00004F520000}"/>
    <cellStyle name="Normal 21 15" xfId="25446" xr:uid="{00000000-0005-0000-0000-000050520000}"/>
    <cellStyle name="Normal 21 16" xfId="25950" xr:uid="{00000000-0005-0000-0000-000051520000}"/>
    <cellStyle name="Normal 21 17" xfId="26454" xr:uid="{00000000-0005-0000-0000-000052520000}"/>
    <cellStyle name="Normal 21 18" xfId="26958" xr:uid="{00000000-0005-0000-0000-000053520000}"/>
    <cellStyle name="Normal 21 19" xfId="27462" xr:uid="{00000000-0005-0000-0000-000054520000}"/>
    <cellStyle name="Normal 21 2" xfId="468" xr:uid="{00000000-0005-0000-0000-000055520000}"/>
    <cellStyle name="Normal 21 2 2" xfId="704" xr:uid="{00000000-0005-0000-0000-000056520000}"/>
    <cellStyle name="Normal 21 2 2 10" xfId="7228" xr:uid="{00000000-0005-0000-0000-000057520000}"/>
    <cellStyle name="Normal 21 2 2 11" xfId="24170" xr:uid="{00000000-0005-0000-0000-000058520000}"/>
    <cellStyle name="Normal 21 2 2 12" xfId="24943" xr:uid="{00000000-0005-0000-0000-000059520000}"/>
    <cellStyle name="Normal 21 2 2 13" xfId="25447" xr:uid="{00000000-0005-0000-0000-00005A520000}"/>
    <cellStyle name="Normal 21 2 2 14" xfId="25951" xr:uid="{00000000-0005-0000-0000-00005B520000}"/>
    <cellStyle name="Normal 21 2 2 15" xfId="26455" xr:uid="{00000000-0005-0000-0000-00005C520000}"/>
    <cellStyle name="Normal 21 2 2 16" xfId="26959" xr:uid="{00000000-0005-0000-0000-00005D520000}"/>
    <cellStyle name="Normal 21 2 2 17" xfId="27463" xr:uid="{00000000-0005-0000-0000-00005E520000}"/>
    <cellStyle name="Normal 21 2 2 18" xfId="27967" xr:uid="{00000000-0005-0000-0000-00005F520000}"/>
    <cellStyle name="Normal 21 2 2 19" xfId="28471" xr:uid="{00000000-0005-0000-0000-000060520000}"/>
    <cellStyle name="Normal 21 2 2 2" xfId="1430" xr:uid="{00000000-0005-0000-0000-000061520000}"/>
    <cellStyle name="Normal 21 2 2 2 10" xfId="25952" xr:uid="{00000000-0005-0000-0000-000062520000}"/>
    <cellStyle name="Normal 21 2 2 2 11" xfId="26456" xr:uid="{00000000-0005-0000-0000-000063520000}"/>
    <cellStyle name="Normal 21 2 2 2 12" xfId="26960" xr:uid="{00000000-0005-0000-0000-000064520000}"/>
    <cellStyle name="Normal 21 2 2 2 13" xfId="27464" xr:uid="{00000000-0005-0000-0000-000065520000}"/>
    <cellStyle name="Normal 21 2 2 2 14" xfId="27968" xr:uid="{00000000-0005-0000-0000-000066520000}"/>
    <cellStyle name="Normal 21 2 2 2 15" xfId="28472" xr:uid="{00000000-0005-0000-0000-000067520000}"/>
    <cellStyle name="Normal 21 2 2 2 16" xfId="28976" xr:uid="{00000000-0005-0000-0000-000068520000}"/>
    <cellStyle name="Normal 21 2 2 2 17" xfId="29480" xr:uid="{00000000-0005-0000-0000-000069520000}"/>
    <cellStyle name="Normal 21 2 2 2 18" xfId="29984" xr:uid="{00000000-0005-0000-0000-00006A520000}"/>
    <cellStyle name="Normal 21 2 2 2 19" xfId="30488" xr:uid="{00000000-0005-0000-0000-00006B520000}"/>
    <cellStyle name="Normal 21 2 2 2 2" xfId="1690" xr:uid="{00000000-0005-0000-0000-00006C520000}"/>
    <cellStyle name="Normal 21 2 2 2 2 2" xfId="3117" xr:uid="{00000000-0005-0000-0000-00006D520000}"/>
    <cellStyle name="Normal 21 2 2 2 2 2 2" xfId="4736" xr:uid="{00000000-0005-0000-0000-00006E520000}"/>
    <cellStyle name="Normal 21 2 2 2 2 2 2 2" xfId="6603" xr:uid="{00000000-0005-0000-0000-00006F520000}"/>
    <cellStyle name="Normal 21 2 2 2 2 2 3" xfId="5701" xr:uid="{00000000-0005-0000-0000-000070520000}"/>
    <cellStyle name="Normal 21 2 2 2 2 3" xfId="4209" xr:uid="{00000000-0005-0000-0000-000071520000}"/>
    <cellStyle name="Normal 21 2 2 2 2 3 2" xfId="6157" xr:uid="{00000000-0005-0000-0000-000072520000}"/>
    <cellStyle name="Normal 21 2 2 2 2 4" xfId="5243" xr:uid="{00000000-0005-0000-0000-000073520000}"/>
    <cellStyle name="Normal 21 2 2 2 20" xfId="30993" xr:uid="{00000000-0005-0000-0000-000074520000}"/>
    <cellStyle name="Normal 21 2 2 2 3" xfId="2864" xr:uid="{00000000-0005-0000-0000-000075520000}"/>
    <cellStyle name="Normal 21 2 2 2 3 2" xfId="4483" xr:uid="{00000000-0005-0000-0000-000076520000}"/>
    <cellStyle name="Normal 21 2 2 2 3 2 2" xfId="6350" xr:uid="{00000000-0005-0000-0000-000077520000}"/>
    <cellStyle name="Normal 21 2 2 2 3 3" xfId="5448" xr:uid="{00000000-0005-0000-0000-000078520000}"/>
    <cellStyle name="Normal 21 2 2 2 4" xfId="3951" xr:uid="{00000000-0005-0000-0000-000079520000}"/>
    <cellStyle name="Normal 21 2 2 2 4 2" xfId="5905" xr:uid="{00000000-0005-0000-0000-00007A520000}"/>
    <cellStyle name="Normal 21 2 2 2 5" xfId="4990" xr:uid="{00000000-0005-0000-0000-00007B520000}"/>
    <cellStyle name="Normal 21 2 2 2 6" xfId="7336" xr:uid="{00000000-0005-0000-0000-00007C520000}"/>
    <cellStyle name="Normal 21 2 2 2 7" xfId="24171" xr:uid="{00000000-0005-0000-0000-00007D520000}"/>
    <cellStyle name="Normal 21 2 2 2 8" xfId="24944" xr:uid="{00000000-0005-0000-0000-00007E520000}"/>
    <cellStyle name="Normal 21 2 2 2 9" xfId="25448" xr:uid="{00000000-0005-0000-0000-00007F520000}"/>
    <cellStyle name="Normal 21 2 2 20" xfId="28975" xr:uid="{00000000-0005-0000-0000-000080520000}"/>
    <cellStyle name="Normal 21 2 2 21" xfId="29479" xr:uid="{00000000-0005-0000-0000-000081520000}"/>
    <cellStyle name="Normal 21 2 2 22" xfId="29983" xr:uid="{00000000-0005-0000-0000-000082520000}"/>
    <cellStyle name="Normal 21 2 2 23" xfId="30487" xr:uid="{00000000-0005-0000-0000-000083520000}"/>
    <cellStyle name="Normal 21 2 2 24" xfId="30992" xr:uid="{00000000-0005-0000-0000-000084520000}"/>
    <cellStyle name="Normal 21 2 2 3" xfId="1691" xr:uid="{00000000-0005-0000-0000-000085520000}"/>
    <cellStyle name="Normal 21 2 2 3 2" xfId="3118" xr:uid="{00000000-0005-0000-0000-000086520000}"/>
    <cellStyle name="Normal 21 2 2 3 2 2" xfId="4737" xr:uid="{00000000-0005-0000-0000-000087520000}"/>
    <cellStyle name="Normal 21 2 2 3 2 2 2" xfId="6604" xr:uid="{00000000-0005-0000-0000-000088520000}"/>
    <cellStyle name="Normal 21 2 2 3 2 3" xfId="5702" xr:uid="{00000000-0005-0000-0000-000089520000}"/>
    <cellStyle name="Normal 21 2 2 3 3" xfId="4210" xr:uid="{00000000-0005-0000-0000-00008A520000}"/>
    <cellStyle name="Normal 21 2 2 3 3 2" xfId="6158" xr:uid="{00000000-0005-0000-0000-00008B520000}"/>
    <cellStyle name="Normal 21 2 2 3 4" xfId="5244" xr:uid="{00000000-0005-0000-0000-00008C520000}"/>
    <cellStyle name="Normal 21 2 2 3 5" xfId="14419" xr:uid="{00000000-0005-0000-0000-00008D520000}"/>
    <cellStyle name="Normal 21 2 2 4" xfId="2411" xr:uid="{00000000-0005-0000-0000-00008E520000}"/>
    <cellStyle name="Normal 21 2 2 4 2" xfId="4335" xr:uid="{00000000-0005-0000-0000-00008F520000}"/>
    <cellStyle name="Normal 21 2 2 4 2 2" xfId="6207" xr:uid="{00000000-0005-0000-0000-000090520000}"/>
    <cellStyle name="Normal 21 2 2 4 3" xfId="5297" xr:uid="{00000000-0005-0000-0000-000091520000}"/>
    <cellStyle name="Normal 21 2 2 4 4" xfId="19379" xr:uid="{00000000-0005-0000-0000-000092520000}"/>
    <cellStyle name="Normal 21 2 2 5" xfId="2697" xr:uid="{00000000-0005-0000-0000-000093520000}"/>
    <cellStyle name="Normal 21 2 2 5 2" xfId="4378" xr:uid="{00000000-0005-0000-0000-000094520000}"/>
    <cellStyle name="Normal 21 2 2 5 2 2" xfId="6248" xr:uid="{00000000-0005-0000-0000-000095520000}"/>
    <cellStyle name="Normal 21 2 2 5 3" xfId="5345" xr:uid="{00000000-0005-0000-0000-000096520000}"/>
    <cellStyle name="Normal 21 2 2 6" xfId="2803" xr:uid="{00000000-0005-0000-0000-000097520000}"/>
    <cellStyle name="Normal 21 2 2 6 2" xfId="4425" xr:uid="{00000000-0005-0000-0000-000098520000}"/>
    <cellStyle name="Normal 21 2 2 6 2 2" xfId="6293" xr:uid="{00000000-0005-0000-0000-000099520000}"/>
    <cellStyle name="Normal 21 2 2 6 3" xfId="5391" xr:uid="{00000000-0005-0000-0000-00009A520000}"/>
    <cellStyle name="Normal 21 2 2 7" xfId="3489" xr:uid="{00000000-0005-0000-0000-00009B520000}"/>
    <cellStyle name="Normal 21 2 2 7 2" xfId="5778" xr:uid="{00000000-0005-0000-0000-00009C520000}"/>
    <cellStyle name="Normal 21 2 2 8" xfId="4933" xr:uid="{00000000-0005-0000-0000-00009D520000}"/>
    <cellStyle name="Normal 21 2 2 9" xfId="7019" xr:uid="{00000000-0005-0000-0000-00009E520000}"/>
    <cellStyle name="Normal 21 2 3" xfId="1422" xr:uid="{00000000-0005-0000-0000-00009F520000}"/>
    <cellStyle name="Normal 21 2 3 2" xfId="1692" xr:uid="{00000000-0005-0000-0000-0000A0520000}"/>
    <cellStyle name="Normal 21 2 3 2 10" xfId="26457" xr:uid="{00000000-0005-0000-0000-0000A1520000}"/>
    <cellStyle name="Normal 21 2 3 2 11" xfId="26961" xr:uid="{00000000-0005-0000-0000-0000A2520000}"/>
    <cellStyle name="Normal 21 2 3 2 12" xfId="27465" xr:uid="{00000000-0005-0000-0000-0000A3520000}"/>
    <cellStyle name="Normal 21 2 3 2 13" xfId="27969" xr:uid="{00000000-0005-0000-0000-0000A4520000}"/>
    <cellStyle name="Normal 21 2 3 2 14" xfId="28473" xr:uid="{00000000-0005-0000-0000-0000A5520000}"/>
    <cellStyle name="Normal 21 2 3 2 15" xfId="28977" xr:uid="{00000000-0005-0000-0000-0000A6520000}"/>
    <cellStyle name="Normal 21 2 3 2 16" xfId="29481" xr:uid="{00000000-0005-0000-0000-0000A7520000}"/>
    <cellStyle name="Normal 21 2 3 2 17" xfId="29985" xr:uid="{00000000-0005-0000-0000-0000A8520000}"/>
    <cellStyle name="Normal 21 2 3 2 18" xfId="30489" xr:uid="{00000000-0005-0000-0000-0000A9520000}"/>
    <cellStyle name="Normal 21 2 3 2 19" xfId="30994" xr:uid="{00000000-0005-0000-0000-0000AA520000}"/>
    <cellStyle name="Normal 21 2 3 2 2" xfId="3119" xr:uid="{00000000-0005-0000-0000-0000AB520000}"/>
    <cellStyle name="Normal 21 2 3 2 2 2" xfId="4738" xr:uid="{00000000-0005-0000-0000-0000AC520000}"/>
    <cellStyle name="Normal 21 2 3 2 2 2 2" xfId="6605" xr:uid="{00000000-0005-0000-0000-0000AD520000}"/>
    <cellStyle name="Normal 21 2 3 2 2 3" xfId="5703" xr:uid="{00000000-0005-0000-0000-0000AE520000}"/>
    <cellStyle name="Normal 21 2 3 2 2 4" xfId="19381" xr:uid="{00000000-0005-0000-0000-0000AF520000}"/>
    <cellStyle name="Normal 21 2 3 2 3" xfId="4211" xr:uid="{00000000-0005-0000-0000-0000B0520000}"/>
    <cellStyle name="Normal 21 2 3 2 3 2" xfId="6159" xr:uid="{00000000-0005-0000-0000-0000B1520000}"/>
    <cellStyle name="Normal 21 2 3 2 4" xfId="5245" xr:uid="{00000000-0005-0000-0000-0000B2520000}"/>
    <cellStyle name="Normal 21 2 3 2 5" xfId="14421" xr:uid="{00000000-0005-0000-0000-0000B3520000}"/>
    <cellStyle name="Normal 21 2 3 2 6" xfId="24172" xr:uid="{00000000-0005-0000-0000-0000B4520000}"/>
    <cellStyle name="Normal 21 2 3 2 7" xfId="24945" xr:uid="{00000000-0005-0000-0000-0000B5520000}"/>
    <cellStyle name="Normal 21 2 3 2 8" xfId="25449" xr:uid="{00000000-0005-0000-0000-0000B6520000}"/>
    <cellStyle name="Normal 21 2 3 2 9" xfId="25953" xr:uid="{00000000-0005-0000-0000-0000B7520000}"/>
    <cellStyle name="Normal 21 2 3 3" xfId="2412" xr:uid="{00000000-0005-0000-0000-0000B8520000}"/>
    <cellStyle name="Normal 21 2 3 3 2" xfId="14420" xr:uid="{00000000-0005-0000-0000-0000B9520000}"/>
    <cellStyle name="Normal 21 2 3 4" xfId="2856" xr:uid="{00000000-0005-0000-0000-0000BA520000}"/>
    <cellStyle name="Normal 21 2 3 4 2" xfId="4475" xr:uid="{00000000-0005-0000-0000-0000BB520000}"/>
    <cellStyle name="Normal 21 2 3 4 2 2" xfId="6342" xr:uid="{00000000-0005-0000-0000-0000BC520000}"/>
    <cellStyle name="Normal 21 2 3 4 3" xfId="5440" xr:uid="{00000000-0005-0000-0000-0000BD520000}"/>
    <cellStyle name="Normal 21 2 3 4 4" xfId="19380" xr:uid="{00000000-0005-0000-0000-0000BE520000}"/>
    <cellStyle name="Normal 21 2 3 5" xfId="3943" xr:uid="{00000000-0005-0000-0000-0000BF520000}"/>
    <cellStyle name="Normal 21 2 3 5 2" xfId="5897" xr:uid="{00000000-0005-0000-0000-0000C0520000}"/>
    <cellStyle name="Normal 21 2 3 6" xfId="4982" xr:uid="{00000000-0005-0000-0000-0000C1520000}"/>
    <cellStyle name="Normal 21 2 4" xfId="1693" xr:uid="{00000000-0005-0000-0000-0000C2520000}"/>
    <cellStyle name="Normal 21 2 4 2" xfId="3120" xr:uid="{00000000-0005-0000-0000-0000C3520000}"/>
    <cellStyle name="Normal 21 2 4 2 2" xfId="4739" xr:uid="{00000000-0005-0000-0000-0000C4520000}"/>
    <cellStyle name="Normal 21 2 4 2 2 2" xfId="6606" xr:uid="{00000000-0005-0000-0000-0000C5520000}"/>
    <cellStyle name="Normal 21 2 4 2 3" xfId="5704" xr:uid="{00000000-0005-0000-0000-0000C6520000}"/>
    <cellStyle name="Normal 21 2 4 2 4" xfId="19382" xr:uid="{00000000-0005-0000-0000-0000C7520000}"/>
    <cellStyle name="Normal 21 2 4 3" xfId="4212" xr:uid="{00000000-0005-0000-0000-0000C8520000}"/>
    <cellStyle name="Normal 21 2 4 3 2" xfId="6160" xr:uid="{00000000-0005-0000-0000-0000C9520000}"/>
    <cellStyle name="Normal 21 2 4 4" xfId="5246" xr:uid="{00000000-0005-0000-0000-0000CA520000}"/>
    <cellStyle name="Normal 21 2 4 5" xfId="14422" xr:uid="{00000000-0005-0000-0000-0000CB520000}"/>
    <cellStyle name="Normal 21 2 5" xfId="2410" xr:uid="{00000000-0005-0000-0000-0000CC520000}"/>
    <cellStyle name="Normal 21 2 5 2" xfId="19383" xr:uid="{00000000-0005-0000-0000-0000CD520000}"/>
    <cellStyle name="Normal 21 2 5 3" xfId="14423" xr:uid="{00000000-0005-0000-0000-0000CE520000}"/>
    <cellStyle name="Normal 21 2 6" xfId="2795" xr:uid="{00000000-0005-0000-0000-0000CF520000}"/>
    <cellStyle name="Normal 21 2 6 2" xfId="4417" xr:uid="{00000000-0005-0000-0000-0000D0520000}"/>
    <cellStyle name="Normal 21 2 6 2 2" xfId="6285" xr:uid="{00000000-0005-0000-0000-0000D1520000}"/>
    <cellStyle name="Normal 21 2 6 2 3" xfId="19384" xr:uid="{00000000-0005-0000-0000-0000D2520000}"/>
    <cellStyle name="Normal 21 2 6 3" xfId="5383" xr:uid="{00000000-0005-0000-0000-0000D3520000}"/>
    <cellStyle name="Normal 21 2 6 4" xfId="14424" xr:uid="{00000000-0005-0000-0000-0000D4520000}"/>
    <cellStyle name="Normal 21 2 7" xfId="4925" xr:uid="{00000000-0005-0000-0000-0000D5520000}"/>
    <cellStyle name="Normal 21 2 7 2" xfId="14418" xr:uid="{00000000-0005-0000-0000-0000D6520000}"/>
    <cellStyle name="Normal 21 2 8" xfId="19378" xr:uid="{00000000-0005-0000-0000-0000D7520000}"/>
    <cellStyle name="Normal 21 20" xfId="27966" xr:uid="{00000000-0005-0000-0000-0000D8520000}"/>
    <cellStyle name="Normal 21 21" xfId="28470" xr:uid="{00000000-0005-0000-0000-0000D9520000}"/>
    <cellStyle name="Normal 21 22" xfId="28974" xr:uid="{00000000-0005-0000-0000-0000DA520000}"/>
    <cellStyle name="Normal 21 23" xfId="29478" xr:uid="{00000000-0005-0000-0000-0000DB520000}"/>
    <cellStyle name="Normal 21 24" xfId="29982" xr:uid="{00000000-0005-0000-0000-0000DC520000}"/>
    <cellStyle name="Normal 21 25" xfId="30486" xr:uid="{00000000-0005-0000-0000-0000DD520000}"/>
    <cellStyle name="Normal 21 26" xfId="30991" xr:uid="{00000000-0005-0000-0000-0000DE520000}"/>
    <cellStyle name="Normal 21 3" xfId="703" xr:uid="{00000000-0005-0000-0000-0000DF520000}"/>
    <cellStyle name="Normal 21 3 10" xfId="7229" xr:uid="{00000000-0005-0000-0000-0000E0520000}"/>
    <cellStyle name="Normal 21 3 11" xfId="24173" xr:uid="{00000000-0005-0000-0000-0000E1520000}"/>
    <cellStyle name="Normal 21 3 12" xfId="24946" xr:uid="{00000000-0005-0000-0000-0000E2520000}"/>
    <cellStyle name="Normal 21 3 13" xfId="25450" xr:uid="{00000000-0005-0000-0000-0000E3520000}"/>
    <cellStyle name="Normal 21 3 14" xfId="25954" xr:uid="{00000000-0005-0000-0000-0000E4520000}"/>
    <cellStyle name="Normal 21 3 15" xfId="26458" xr:uid="{00000000-0005-0000-0000-0000E5520000}"/>
    <cellStyle name="Normal 21 3 16" xfId="26962" xr:uid="{00000000-0005-0000-0000-0000E6520000}"/>
    <cellStyle name="Normal 21 3 17" xfId="27466" xr:uid="{00000000-0005-0000-0000-0000E7520000}"/>
    <cellStyle name="Normal 21 3 18" xfId="27970" xr:uid="{00000000-0005-0000-0000-0000E8520000}"/>
    <cellStyle name="Normal 21 3 19" xfId="28474" xr:uid="{00000000-0005-0000-0000-0000E9520000}"/>
    <cellStyle name="Normal 21 3 2" xfId="1429" xr:uid="{00000000-0005-0000-0000-0000EA520000}"/>
    <cellStyle name="Normal 21 3 2 10" xfId="25955" xr:uid="{00000000-0005-0000-0000-0000EB520000}"/>
    <cellStyle name="Normal 21 3 2 11" xfId="26459" xr:uid="{00000000-0005-0000-0000-0000EC520000}"/>
    <cellStyle name="Normal 21 3 2 12" xfId="26963" xr:uid="{00000000-0005-0000-0000-0000ED520000}"/>
    <cellStyle name="Normal 21 3 2 13" xfId="27467" xr:uid="{00000000-0005-0000-0000-0000EE520000}"/>
    <cellStyle name="Normal 21 3 2 14" xfId="27971" xr:uid="{00000000-0005-0000-0000-0000EF520000}"/>
    <cellStyle name="Normal 21 3 2 15" xfId="28475" xr:uid="{00000000-0005-0000-0000-0000F0520000}"/>
    <cellStyle name="Normal 21 3 2 16" xfId="28979" xr:uid="{00000000-0005-0000-0000-0000F1520000}"/>
    <cellStyle name="Normal 21 3 2 17" xfId="29483" xr:uid="{00000000-0005-0000-0000-0000F2520000}"/>
    <cellStyle name="Normal 21 3 2 18" xfId="29987" xr:uid="{00000000-0005-0000-0000-0000F3520000}"/>
    <cellStyle name="Normal 21 3 2 19" xfId="30491" xr:uid="{00000000-0005-0000-0000-0000F4520000}"/>
    <cellStyle name="Normal 21 3 2 2" xfId="1694" xr:uid="{00000000-0005-0000-0000-0000F5520000}"/>
    <cellStyle name="Normal 21 3 2 2 2" xfId="3121" xr:uid="{00000000-0005-0000-0000-0000F6520000}"/>
    <cellStyle name="Normal 21 3 2 2 2 2" xfId="4740" xr:uid="{00000000-0005-0000-0000-0000F7520000}"/>
    <cellStyle name="Normal 21 3 2 2 2 2 2" xfId="6607" xr:uid="{00000000-0005-0000-0000-0000F8520000}"/>
    <cellStyle name="Normal 21 3 2 2 2 3" xfId="5705" xr:uid="{00000000-0005-0000-0000-0000F9520000}"/>
    <cellStyle name="Normal 21 3 2 2 3" xfId="4213" xr:uid="{00000000-0005-0000-0000-0000FA520000}"/>
    <cellStyle name="Normal 21 3 2 2 3 2" xfId="6161" xr:uid="{00000000-0005-0000-0000-0000FB520000}"/>
    <cellStyle name="Normal 21 3 2 2 4" xfId="5247" xr:uid="{00000000-0005-0000-0000-0000FC520000}"/>
    <cellStyle name="Normal 21 3 2 20" xfId="30996" xr:uid="{00000000-0005-0000-0000-0000FD520000}"/>
    <cellStyle name="Normal 21 3 2 3" xfId="2863" xr:uid="{00000000-0005-0000-0000-0000FE520000}"/>
    <cellStyle name="Normal 21 3 2 3 2" xfId="4482" xr:uid="{00000000-0005-0000-0000-0000FF520000}"/>
    <cellStyle name="Normal 21 3 2 3 2 2" xfId="6349" xr:uid="{00000000-0005-0000-0000-000000530000}"/>
    <cellStyle name="Normal 21 3 2 3 3" xfId="5447" xr:uid="{00000000-0005-0000-0000-000001530000}"/>
    <cellStyle name="Normal 21 3 2 4" xfId="3950" xr:uid="{00000000-0005-0000-0000-000002530000}"/>
    <cellStyle name="Normal 21 3 2 4 2" xfId="5904" xr:uid="{00000000-0005-0000-0000-000003530000}"/>
    <cellStyle name="Normal 21 3 2 5" xfId="4989" xr:uid="{00000000-0005-0000-0000-000004530000}"/>
    <cellStyle name="Normal 21 3 2 6" xfId="14425" xr:uid="{00000000-0005-0000-0000-000005530000}"/>
    <cellStyle name="Normal 21 3 2 7" xfId="24174" xr:uid="{00000000-0005-0000-0000-000006530000}"/>
    <cellStyle name="Normal 21 3 2 8" xfId="24947" xr:uid="{00000000-0005-0000-0000-000007530000}"/>
    <cellStyle name="Normal 21 3 2 9" xfId="25451" xr:uid="{00000000-0005-0000-0000-000008530000}"/>
    <cellStyle name="Normal 21 3 20" xfId="28978" xr:uid="{00000000-0005-0000-0000-000009530000}"/>
    <cellStyle name="Normal 21 3 21" xfId="29482" xr:uid="{00000000-0005-0000-0000-00000A530000}"/>
    <cellStyle name="Normal 21 3 22" xfId="29986" xr:uid="{00000000-0005-0000-0000-00000B530000}"/>
    <cellStyle name="Normal 21 3 23" xfId="30490" xr:uid="{00000000-0005-0000-0000-00000C530000}"/>
    <cellStyle name="Normal 21 3 24" xfId="30995" xr:uid="{00000000-0005-0000-0000-00000D530000}"/>
    <cellStyle name="Normal 21 3 3" xfId="1695" xr:uid="{00000000-0005-0000-0000-00000E530000}"/>
    <cellStyle name="Normal 21 3 3 2" xfId="3122" xr:uid="{00000000-0005-0000-0000-00000F530000}"/>
    <cellStyle name="Normal 21 3 3 2 2" xfId="4741" xr:uid="{00000000-0005-0000-0000-000010530000}"/>
    <cellStyle name="Normal 21 3 3 2 2 2" xfId="6608" xr:uid="{00000000-0005-0000-0000-000011530000}"/>
    <cellStyle name="Normal 21 3 3 2 3" xfId="5706" xr:uid="{00000000-0005-0000-0000-000012530000}"/>
    <cellStyle name="Normal 21 3 3 3" xfId="4214" xr:uid="{00000000-0005-0000-0000-000013530000}"/>
    <cellStyle name="Normal 21 3 3 3 2" xfId="6162" xr:uid="{00000000-0005-0000-0000-000014530000}"/>
    <cellStyle name="Normal 21 3 3 4" xfId="5248" xr:uid="{00000000-0005-0000-0000-000015530000}"/>
    <cellStyle name="Normal 21 3 3 5" xfId="19385" xr:uid="{00000000-0005-0000-0000-000016530000}"/>
    <cellStyle name="Normal 21 3 4" xfId="2413" xr:uid="{00000000-0005-0000-0000-000017530000}"/>
    <cellStyle name="Normal 21 3 4 2" xfId="4336" xr:uid="{00000000-0005-0000-0000-000018530000}"/>
    <cellStyle name="Normal 21 3 4 2 2" xfId="6208" xr:uid="{00000000-0005-0000-0000-000019530000}"/>
    <cellStyle name="Normal 21 3 4 3" xfId="5298" xr:uid="{00000000-0005-0000-0000-00001A530000}"/>
    <cellStyle name="Normal 21 3 5" xfId="2698" xr:uid="{00000000-0005-0000-0000-00001B530000}"/>
    <cellStyle name="Normal 21 3 5 2" xfId="4379" xr:uid="{00000000-0005-0000-0000-00001C530000}"/>
    <cellStyle name="Normal 21 3 5 2 2" xfId="6249" xr:uid="{00000000-0005-0000-0000-00001D530000}"/>
    <cellStyle name="Normal 21 3 5 3" xfId="5346" xr:uid="{00000000-0005-0000-0000-00001E530000}"/>
    <cellStyle name="Normal 21 3 6" xfId="2802" xr:uid="{00000000-0005-0000-0000-00001F530000}"/>
    <cellStyle name="Normal 21 3 6 2" xfId="4424" xr:uid="{00000000-0005-0000-0000-000020530000}"/>
    <cellStyle name="Normal 21 3 6 2 2" xfId="6292" xr:uid="{00000000-0005-0000-0000-000021530000}"/>
    <cellStyle name="Normal 21 3 6 3" xfId="5390" xr:uid="{00000000-0005-0000-0000-000022530000}"/>
    <cellStyle name="Normal 21 3 7" xfId="3490" xr:uid="{00000000-0005-0000-0000-000023530000}"/>
    <cellStyle name="Normal 21 3 7 2" xfId="5779" xr:uid="{00000000-0005-0000-0000-000024530000}"/>
    <cellStyle name="Normal 21 3 8" xfId="4932" xr:uid="{00000000-0005-0000-0000-000025530000}"/>
    <cellStyle name="Normal 21 3 9" xfId="7020" xr:uid="{00000000-0005-0000-0000-000026530000}"/>
    <cellStyle name="Normal 21 4" xfId="1418" xr:uid="{00000000-0005-0000-0000-000027530000}"/>
    <cellStyle name="Normal 21 4 10" xfId="25956" xr:uid="{00000000-0005-0000-0000-000028530000}"/>
    <cellStyle name="Normal 21 4 11" xfId="26460" xr:uid="{00000000-0005-0000-0000-000029530000}"/>
    <cellStyle name="Normal 21 4 12" xfId="26964" xr:uid="{00000000-0005-0000-0000-00002A530000}"/>
    <cellStyle name="Normal 21 4 13" xfId="27468" xr:uid="{00000000-0005-0000-0000-00002B530000}"/>
    <cellStyle name="Normal 21 4 14" xfId="27972" xr:uid="{00000000-0005-0000-0000-00002C530000}"/>
    <cellStyle name="Normal 21 4 15" xfId="28476" xr:uid="{00000000-0005-0000-0000-00002D530000}"/>
    <cellStyle name="Normal 21 4 16" xfId="28980" xr:uid="{00000000-0005-0000-0000-00002E530000}"/>
    <cellStyle name="Normal 21 4 17" xfId="29484" xr:uid="{00000000-0005-0000-0000-00002F530000}"/>
    <cellStyle name="Normal 21 4 18" xfId="29988" xr:uid="{00000000-0005-0000-0000-000030530000}"/>
    <cellStyle name="Normal 21 4 19" xfId="30492" xr:uid="{00000000-0005-0000-0000-000031530000}"/>
    <cellStyle name="Normal 21 4 2" xfId="1696" xr:uid="{00000000-0005-0000-0000-000032530000}"/>
    <cellStyle name="Normal 21 4 2 2" xfId="3123" xr:uid="{00000000-0005-0000-0000-000033530000}"/>
    <cellStyle name="Normal 21 4 2 2 2" xfId="4742" xr:uid="{00000000-0005-0000-0000-000034530000}"/>
    <cellStyle name="Normal 21 4 2 2 2 2" xfId="6609" xr:uid="{00000000-0005-0000-0000-000035530000}"/>
    <cellStyle name="Normal 21 4 2 2 3" xfId="5707" xr:uid="{00000000-0005-0000-0000-000036530000}"/>
    <cellStyle name="Normal 21 4 2 3" xfId="4215" xr:uid="{00000000-0005-0000-0000-000037530000}"/>
    <cellStyle name="Normal 21 4 2 3 2" xfId="6163" xr:uid="{00000000-0005-0000-0000-000038530000}"/>
    <cellStyle name="Normal 21 4 2 4" xfId="5249" xr:uid="{00000000-0005-0000-0000-000039530000}"/>
    <cellStyle name="Normal 21 4 20" xfId="30997" xr:uid="{00000000-0005-0000-0000-00003A530000}"/>
    <cellStyle name="Normal 21 4 3" xfId="2852" xr:uid="{00000000-0005-0000-0000-00003B530000}"/>
    <cellStyle name="Normal 21 4 3 2" xfId="4471" xr:uid="{00000000-0005-0000-0000-00003C530000}"/>
    <cellStyle name="Normal 21 4 3 2 2" xfId="6338" xr:uid="{00000000-0005-0000-0000-00003D530000}"/>
    <cellStyle name="Normal 21 4 3 3" xfId="5436" xr:uid="{00000000-0005-0000-0000-00003E530000}"/>
    <cellStyle name="Normal 21 4 4" xfId="3939" xr:uid="{00000000-0005-0000-0000-00003F530000}"/>
    <cellStyle name="Normal 21 4 4 2" xfId="5893" xr:uid="{00000000-0005-0000-0000-000040530000}"/>
    <cellStyle name="Normal 21 4 5" xfId="4978" xr:uid="{00000000-0005-0000-0000-000041530000}"/>
    <cellStyle name="Normal 21 4 6" xfId="7335" xr:uid="{00000000-0005-0000-0000-000042530000}"/>
    <cellStyle name="Normal 21 4 7" xfId="24175" xr:uid="{00000000-0005-0000-0000-000043530000}"/>
    <cellStyle name="Normal 21 4 8" xfId="24948" xr:uid="{00000000-0005-0000-0000-000044530000}"/>
    <cellStyle name="Normal 21 4 9" xfId="25452" xr:uid="{00000000-0005-0000-0000-000045530000}"/>
    <cellStyle name="Normal 21 5" xfId="1697" xr:uid="{00000000-0005-0000-0000-000046530000}"/>
    <cellStyle name="Normal 21 5 2" xfId="3124" xr:uid="{00000000-0005-0000-0000-000047530000}"/>
    <cellStyle name="Normal 21 5 2 2" xfId="4743" xr:uid="{00000000-0005-0000-0000-000048530000}"/>
    <cellStyle name="Normal 21 5 2 2 2" xfId="6610" xr:uid="{00000000-0005-0000-0000-000049530000}"/>
    <cellStyle name="Normal 21 5 2 3" xfId="5708" xr:uid="{00000000-0005-0000-0000-00004A530000}"/>
    <cellStyle name="Normal 21 5 3" xfId="4216" xr:uid="{00000000-0005-0000-0000-00004B530000}"/>
    <cellStyle name="Normal 21 5 3 2" xfId="6164" xr:uid="{00000000-0005-0000-0000-00004C530000}"/>
    <cellStyle name="Normal 21 5 4" xfId="5250" xr:uid="{00000000-0005-0000-0000-00004D530000}"/>
    <cellStyle name="Normal 21 5 5" xfId="14417" xr:uid="{00000000-0005-0000-0000-00004E530000}"/>
    <cellStyle name="Normal 21 6" xfId="2409" xr:uid="{00000000-0005-0000-0000-00004F530000}"/>
    <cellStyle name="Normal 21 6 2" xfId="4334" xr:uid="{00000000-0005-0000-0000-000050530000}"/>
    <cellStyle name="Normal 21 6 2 2" xfId="6206" xr:uid="{00000000-0005-0000-0000-000051530000}"/>
    <cellStyle name="Normal 21 6 3" xfId="5296" xr:uid="{00000000-0005-0000-0000-000052530000}"/>
    <cellStyle name="Normal 21 6 4" xfId="19377" xr:uid="{00000000-0005-0000-0000-000053530000}"/>
    <cellStyle name="Normal 21 7" xfId="2696" xr:uid="{00000000-0005-0000-0000-000054530000}"/>
    <cellStyle name="Normal 21 7 2" xfId="4377" xr:uid="{00000000-0005-0000-0000-000055530000}"/>
    <cellStyle name="Normal 21 7 2 2" xfId="6247" xr:uid="{00000000-0005-0000-0000-000056530000}"/>
    <cellStyle name="Normal 21 7 3" xfId="5344" xr:uid="{00000000-0005-0000-0000-000057530000}"/>
    <cellStyle name="Normal 21 8" xfId="2791" xr:uid="{00000000-0005-0000-0000-000058530000}"/>
    <cellStyle name="Normal 21 8 2" xfId="4413" xr:uid="{00000000-0005-0000-0000-000059530000}"/>
    <cellStyle name="Normal 21 8 2 2" xfId="6281" xr:uid="{00000000-0005-0000-0000-00005A530000}"/>
    <cellStyle name="Normal 21 8 3" xfId="5379" xr:uid="{00000000-0005-0000-0000-00005B530000}"/>
    <cellStyle name="Normal 21 9" xfId="3488" xr:uid="{00000000-0005-0000-0000-00005C530000}"/>
    <cellStyle name="Normal 21 9 2" xfId="5777" xr:uid="{00000000-0005-0000-0000-00005D530000}"/>
    <cellStyle name="Normal 22" xfId="286" xr:uid="{00000000-0005-0000-0000-00005E530000}"/>
    <cellStyle name="Normal 22 10" xfId="19386" xr:uid="{00000000-0005-0000-0000-00005F530000}"/>
    <cellStyle name="Normal 22 2" xfId="287" xr:uid="{00000000-0005-0000-0000-000060530000}"/>
    <cellStyle name="Normal 22 2 2" xfId="2414" xr:uid="{00000000-0005-0000-0000-000061530000}"/>
    <cellStyle name="Normal 22 2 2 2" xfId="14429" xr:uid="{00000000-0005-0000-0000-000062530000}"/>
    <cellStyle name="Normal 22 2 2 2 2" xfId="19389" xr:uid="{00000000-0005-0000-0000-000063530000}"/>
    <cellStyle name="Normal 22 2 2 3" xfId="14428" xr:uid="{00000000-0005-0000-0000-000064530000}"/>
    <cellStyle name="Normal 22 2 2 4" xfId="19388" xr:uid="{00000000-0005-0000-0000-000065530000}"/>
    <cellStyle name="Normal 22 2 3" xfId="2415" xr:uid="{00000000-0005-0000-0000-000066530000}"/>
    <cellStyle name="Normal 22 2 3 2" xfId="14431" xr:uid="{00000000-0005-0000-0000-000067530000}"/>
    <cellStyle name="Normal 22 2 3 2 2" xfId="19391" xr:uid="{00000000-0005-0000-0000-000068530000}"/>
    <cellStyle name="Normal 22 2 3 3" xfId="14430" xr:uid="{00000000-0005-0000-0000-000069530000}"/>
    <cellStyle name="Normal 22 2 3 4" xfId="19390" xr:uid="{00000000-0005-0000-0000-00006A530000}"/>
    <cellStyle name="Normal 22 2 4" xfId="14432" xr:uid="{00000000-0005-0000-0000-00006B530000}"/>
    <cellStyle name="Normal 22 2 4 2" xfId="19392" xr:uid="{00000000-0005-0000-0000-00006C530000}"/>
    <cellStyle name="Normal 22 2 5" xfId="14433" xr:uid="{00000000-0005-0000-0000-00006D530000}"/>
    <cellStyle name="Normal 22 2 5 2" xfId="19393" xr:uid="{00000000-0005-0000-0000-00006E530000}"/>
    <cellStyle name="Normal 22 2 6" xfId="14434" xr:uid="{00000000-0005-0000-0000-00006F530000}"/>
    <cellStyle name="Normal 22 2 6 2" xfId="19394" xr:uid="{00000000-0005-0000-0000-000070530000}"/>
    <cellStyle name="Normal 22 2 7" xfId="14435" xr:uid="{00000000-0005-0000-0000-000071530000}"/>
    <cellStyle name="Normal 22 2 7 2" xfId="19395" xr:uid="{00000000-0005-0000-0000-000072530000}"/>
    <cellStyle name="Normal 22 2 8" xfId="14427" xr:uid="{00000000-0005-0000-0000-000073530000}"/>
    <cellStyle name="Normal 22 2 9" xfId="19387" xr:uid="{00000000-0005-0000-0000-000074530000}"/>
    <cellStyle name="Normal 22 3" xfId="2416" xr:uid="{00000000-0005-0000-0000-000075530000}"/>
    <cellStyle name="Normal 22 3 2" xfId="14437" xr:uid="{00000000-0005-0000-0000-000076530000}"/>
    <cellStyle name="Normal 22 3 2 2" xfId="19397" xr:uid="{00000000-0005-0000-0000-000077530000}"/>
    <cellStyle name="Normal 22 3 3" xfId="14436" xr:uid="{00000000-0005-0000-0000-000078530000}"/>
    <cellStyle name="Normal 22 3 4" xfId="19396" xr:uid="{00000000-0005-0000-0000-000079530000}"/>
    <cellStyle name="Normal 22 4" xfId="2417" xr:uid="{00000000-0005-0000-0000-00007A530000}"/>
    <cellStyle name="Normal 22 4 2" xfId="14439" xr:uid="{00000000-0005-0000-0000-00007B530000}"/>
    <cellStyle name="Normal 22 4 2 2" xfId="19399" xr:uid="{00000000-0005-0000-0000-00007C530000}"/>
    <cellStyle name="Normal 22 4 3" xfId="14438" xr:uid="{00000000-0005-0000-0000-00007D530000}"/>
    <cellStyle name="Normal 22 4 4" xfId="19398" xr:uid="{00000000-0005-0000-0000-00007E530000}"/>
    <cellStyle name="Normal 22 5" xfId="14440" xr:uid="{00000000-0005-0000-0000-00007F530000}"/>
    <cellStyle name="Normal 22 5 2" xfId="19400" xr:uid="{00000000-0005-0000-0000-000080530000}"/>
    <cellStyle name="Normal 22 6" xfId="14441" xr:uid="{00000000-0005-0000-0000-000081530000}"/>
    <cellStyle name="Normal 22 6 2" xfId="19401" xr:uid="{00000000-0005-0000-0000-000082530000}"/>
    <cellStyle name="Normal 22 7" xfId="14442" xr:uid="{00000000-0005-0000-0000-000083530000}"/>
    <cellStyle name="Normal 22 7 2" xfId="19402" xr:uid="{00000000-0005-0000-0000-000084530000}"/>
    <cellStyle name="Normal 22 8" xfId="14443" xr:uid="{00000000-0005-0000-0000-000085530000}"/>
    <cellStyle name="Normal 22 8 2" xfId="19403" xr:uid="{00000000-0005-0000-0000-000086530000}"/>
    <cellStyle name="Normal 22 9" xfId="14426" xr:uid="{00000000-0005-0000-0000-000087530000}"/>
    <cellStyle name="Normal 22_Xl0000150" xfId="454" xr:uid="{00000000-0005-0000-0000-000088530000}"/>
    <cellStyle name="Normal 23" xfId="469" xr:uid="{00000000-0005-0000-0000-000089530000}"/>
    <cellStyle name="Normal 23 2" xfId="706" xr:uid="{00000000-0005-0000-0000-00008A530000}"/>
    <cellStyle name="Normal 23 2 10" xfId="25453" xr:uid="{00000000-0005-0000-0000-00008B530000}"/>
    <cellStyle name="Normal 23 2 11" xfId="25957" xr:uid="{00000000-0005-0000-0000-00008C530000}"/>
    <cellStyle name="Normal 23 2 12" xfId="26461" xr:uid="{00000000-0005-0000-0000-00008D530000}"/>
    <cellStyle name="Normal 23 2 13" xfId="26965" xr:uid="{00000000-0005-0000-0000-00008E530000}"/>
    <cellStyle name="Normal 23 2 14" xfId="27469" xr:uid="{00000000-0005-0000-0000-00008F530000}"/>
    <cellStyle name="Normal 23 2 15" xfId="27973" xr:uid="{00000000-0005-0000-0000-000090530000}"/>
    <cellStyle name="Normal 23 2 16" xfId="28477" xr:uid="{00000000-0005-0000-0000-000091530000}"/>
    <cellStyle name="Normal 23 2 17" xfId="28981" xr:uid="{00000000-0005-0000-0000-000092530000}"/>
    <cellStyle name="Normal 23 2 18" xfId="29485" xr:uid="{00000000-0005-0000-0000-000093530000}"/>
    <cellStyle name="Normal 23 2 19" xfId="29989" xr:uid="{00000000-0005-0000-0000-000094530000}"/>
    <cellStyle name="Normal 23 2 2" xfId="2418" xr:uid="{00000000-0005-0000-0000-000095530000}"/>
    <cellStyle name="Normal 23 2 2 2" xfId="4337" xr:uid="{00000000-0005-0000-0000-000096530000}"/>
    <cellStyle name="Normal 23 2 2 2 2" xfId="6209" xr:uid="{00000000-0005-0000-0000-000097530000}"/>
    <cellStyle name="Normal 23 2 2 2 3" xfId="14446" xr:uid="{00000000-0005-0000-0000-000098530000}"/>
    <cellStyle name="Normal 23 2 2 3" xfId="5299" xr:uid="{00000000-0005-0000-0000-000099530000}"/>
    <cellStyle name="Normal 23 2 2 3 2" xfId="19406" xr:uid="{00000000-0005-0000-0000-00009A530000}"/>
    <cellStyle name="Normal 23 2 2 4" xfId="7337" xr:uid="{00000000-0005-0000-0000-00009B530000}"/>
    <cellStyle name="Normal 23 2 2 5" xfId="24177" xr:uid="{00000000-0005-0000-0000-00009C530000}"/>
    <cellStyle name="Normal 23 2 20" xfId="30493" xr:uid="{00000000-0005-0000-0000-00009D530000}"/>
    <cellStyle name="Normal 23 2 21" xfId="30998" xr:uid="{00000000-0005-0000-0000-00009E530000}"/>
    <cellStyle name="Normal 23 2 3" xfId="2699" xr:uid="{00000000-0005-0000-0000-00009F530000}"/>
    <cellStyle name="Normal 23 2 3 2" xfId="4380" xr:uid="{00000000-0005-0000-0000-0000A0530000}"/>
    <cellStyle name="Normal 23 2 3 2 2" xfId="6250" xr:uid="{00000000-0005-0000-0000-0000A1530000}"/>
    <cellStyle name="Normal 23 2 3 3" xfId="5347" xr:uid="{00000000-0005-0000-0000-0000A2530000}"/>
    <cellStyle name="Normal 23 2 3 4" xfId="14445" xr:uid="{00000000-0005-0000-0000-0000A3530000}"/>
    <cellStyle name="Normal 23 2 4" xfId="3692" xr:uid="{00000000-0005-0000-0000-0000A4530000}"/>
    <cellStyle name="Normal 23 2 4 2" xfId="19405" xr:uid="{00000000-0005-0000-0000-0000A5530000}"/>
    <cellStyle name="Normal 23 2 5" xfId="3491" xr:uid="{00000000-0005-0000-0000-0000A6530000}"/>
    <cellStyle name="Normal 23 2 5 2" xfId="5780" xr:uid="{00000000-0005-0000-0000-0000A7530000}"/>
    <cellStyle name="Normal 23 2 6" xfId="7021" xr:uid="{00000000-0005-0000-0000-0000A8530000}"/>
    <cellStyle name="Normal 23 2 7" xfId="7230" xr:uid="{00000000-0005-0000-0000-0000A9530000}"/>
    <cellStyle name="Normal 23 2 8" xfId="24176" xr:uid="{00000000-0005-0000-0000-0000AA530000}"/>
    <cellStyle name="Normal 23 2 9" xfId="24949" xr:uid="{00000000-0005-0000-0000-0000AB530000}"/>
    <cellStyle name="Normal 23 3" xfId="705" xr:uid="{00000000-0005-0000-0000-0000AC530000}"/>
    <cellStyle name="Normal 23 3 2" xfId="19407" xr:uid="{00000000-0005-0000-0000-0000AD530000}"/>
    <cellStyle name="Normal 23 3 2 2" xfId="24179" xr:uid="{00000000-0005-0000-0000-0000AE530000}"/>
    <cellStyle name="Normal 23 3 3" xfId="14447" xr:uid="{00000000-0005-0000-0000-0000AF530000}"/>
    <cellStyle name="Normal 23 3 4" xfId="24178" xr:uid="{00000000-0005-0000-0000-0000B0530000}"/>
    <cellStyle name="Normal 23 4" xfId="3648" xr:uid="{00000000-0005-0000-0000-0000B1530000}"/>
    <cellStyle name="Normal 23 4 2" xfId="19408" xr:uid="{00000000-0005-0000-0000-0000B2530000}"/>
    <cellStyle name="Normal 23 4 3" xfId="14448" xr:uid="{00000000-0005-0000-0000-0000B3530000}"/>
    <cellStyle name="Normal 23 5" xfId="14449" xr:uid="{00000000-0005-0000-0000-0000B4530000}"/>
    <cellStyle name="Normal 23 5 2" xfId="19409" xr:uid="{00000000-0005-0000-0000-0000B5530000}"/>
    <cellStyle name="Normal 23 6" xfId="14444" xr:uid="{00000000-0005-0000-0000-0000B6530000}"/>
    <cellStyle name="Normal 23 7" xfId="19404" xr:uid="{00000000-0005-0000-0000-0000B7530000}"/>
    <cellStyle name="Normal 24" xfId="707" xr:uid="{00000000-0005-0000-0000-0000B8530000}"/>
    <cellStyle name="Normal 24 2" xfId="14451" xr:uid="{00000000-0005-0000-0000-0000B9530000}"/>
    <cellStyle name="Normal 24 2 2" xfId="19411" xr:uid="{00000000-0005-0000-0000-0000BA530000}"/>
    <cellStyle name="Normal 24 2 3" xfId="24180" xr:uid="{00000000-0005-0000-0000-0000BB530000}"/>
    <cellStyle name="Normal 24 3" xfId="14452" xr:uid="{00000000-0005-0000-0000-0000BC530000}"/>
    <cellStyle name="Normal 24 3 10" xfId="27974" xr:uid="{00000000-0005-0000-0000-0000BD530000}"/>
    <cellStyle name="Normal 24 3 11" xfId="28478" xr:uid="{00000000-0005-0000-0000-0000BE530000}"/>
    <cellStyle name="Normal 24 3 12" xfId="28982" xr:uid="{00000000-0005-0000-0000-0000BF530000}"/>
    <cellStyle name="Normal 24 3 13" xfId="29486" xr:uid="{00000000-0005-0000-0000-0000C0530000}"/>
    <cellStyle name="Normal 24 3 14" xfId="29990" xr:uid="{00000000-0005-0000-0000-0000C1530000}"/>
    <cellStyle name="Normal 24 3 15" xfId="30494" xr:uid="{00000000-0005-0000-0000-0000C2530000}"/>
    <cellStyle name="Normal 24 3 16" xfId="30999" xr:uid="{00000000-0005-0000-0000-0000C3530000}"/>
    <cellStyle name="Normal 24 3 2" xfId="19412" xr:uid="{00000000-0005-0000-0000-0000C4530000}"/>
    <cellStyle name="Normal 24 3 3" xfId="24181" xr:uid="{00000000-0005-0000-0000-0000C5530000}"/>
    <cellStyle name="Normal 24 3 4" xfId="24950" xr:uid="{00000000-0005-0000-0000-0000C6530000}"/>
    <cellStyle name="Normal 24 3 5" xfId="25454" xr:uid="{00000000-0005-0000-0000-0000C7530000}"/>
    <cellStyle name="Normal 24 3 6" xfId="25958" xr:uid="{00000000-0005-0000-0000-0000C8530000}"/>
    <cellStyle name="Normal 24 3 7" xfId="26462" xr:uid="{00000000-0005-0000-0000-0000C9530000}"/>
    <cellStyle name="Normal 24 3 8" xfId="26966" xr:uid="{00000000-0005-0000-0000-0000CA530000}"/>
    <cellStyle name="Normal 24 3 9" xfId="27470" xr:uid="{00000000-0005-0000-0000-0000CB530000}"/>
    <cellStyle name="Normal 24 4" xfId="14453" xr:uid="{00000000-0005-0000-0000-0000CC530000}"/>
    <cellStyle name="Normal 24 4 2" xfId="19413" xr:uid="{00000000-0005-0000-0000-0000CD530000}"/>
    <cellStyle name="Normal 24 5" xfId="14454" xr:uid="{00000000-0005-0000-0000-0000CE530000}"/>
    <cellStyle name="Normal 24 5 2" xfId="19414" xr:uid="{00000000-0005-0000-0000-0000CF530000}"/>
    <cellStyle name="Normal 24 6" xfId="14450" xr:uid="{00000000-0005-0000-0000-0000D0530000}"/>
    <cellStyle name="Normal 24 7" xfId="19410" xr:uid="{00000000-0005-0000-0000-0000D1530000}"/>
    <cellStyle name="Normal 25" xfId="708" xr:uid="{00000000-0005-0000-0000-0000D2530000}"/>
    <cellStyle name="Normal 25 2" xfId="14456" xr:uid="{00000000-0005-0000-0000-0000D3530000}"/>
    <cellStyle name="Normal 25 2 2" xfId="19416" xr:uid="{00000000-0005-0000-0000-0000D4530000}"/>
    <cellStyle name="Normal 25 3" xfId="14457" xr:uid="{00000000-0005-0000-0000-0000D5530000}"/>
    <cellStyle name="Normal 25 3 2" xfId="19417" xr:uid="{00000000-0005-0000-0000-0000D6530000}"/>
    <cellStyle name="Normal 25 4" xfId="14458" xr:uid="{00000000-0005-0000-0000-0000D7530000}"/>
    <cellStyle name="Normal 25 4 2" xfId="19418" xr:uid="{00000000-0005-0000-0000-0000D8530000}"/>
    <cellStyle name="Normal 25 5" xfId="14459" xr:uid="{00000000-0005-0000-0000-0000D9530000}"/>
    <cellStyle name="Normal 25 5 2" xfId="19419" xr:uid="{00000000-0005-0000-0000-0000DA530000}"/>
    <cellStyle name="Normal 25 6" xfId="14455" xr:uid="{00000000-0005-0000-0000-0000DB530000}"/>
    <cellStyle name="Normal 25 7" xfId="19415" xr:uid="{00000000-0005-0000-0000-0000DC530000}"/>
    <cellStyle name="Normal 26" xfId="709" xr:uid="{00000000-0005-0000-0000-0000DD530000}"/>
    <cellStyle name="Normal 26 2" xfId="14461" xr:uid="{00000000-0005-0000-0000-0000DE530000}"/>
    <cellStyle name="Normal 26 2 2" xfId="19421" xr:uid="{00000000-0005-0000-0000-0000DF530000}"/>
    <cellStyle name="Normal 26 3" xfId="14462" xr:uid="{00000000-0005-0000-0000-0000E0530000}"/>
    <cellStyle name="Normal 26 3 2" xfId="19422" xr:uid="{00000000-0005-0000-0000-0000E1530000}"/>
    <cellStyle name="Normal 26 4" xfId="14463" xr:uid="{00000000-0005-0000-0000-0000E2530000}"/>
    <cellStyle name="Normal 26 4 2" xfId="19423" xr:uid="{00000000-0005-0000-0000-0000E3530000}"/>
    <cellStyle name="Normal 26 5" xfId="14464" xr:uid="{00000000-0005-0000-0000-0000E4530000}"/>
    <cellStyle name="Normal 26 5 2" xfId="19424" xr:uid="{00000000-0005-0000-0000-0000E5530000}"/>
    <cellStyle name="Normal 26 6" xfId="14460" xr:uid="{00000000-0005-0000-0000-0000E6530000}"/>
    <cellStyle name="Normal 26 7" xfId="19420" xr:uid="{00000000-0005-0000-0000-0000E7530000}"/>
    <cellStyle name="Normal 27" xfId="710" xr:uid="{00000000-0005-0000-0000-0000E8530000}"/>
    <cellStyle name="Normal 27 2" xfId="3492" xr:uid="{00000000-0005-0000-0000-0000E9530000}"/>
    <cellStyle name="Normal 27 2 10" xfId="26967" xr:uid="{00000000-0005-0000-0000-0000EA530000}"/>
    <cellStyle name="Normal 27 2 11" xfId="27471" xr:uid="{00000000-0005-0000-0000-0000EB530000}"/>
    <cellStyle name="Normal 27 2 12" xfId="27975" xr:uid="{00000000-0005-0000-0000-0000EC530000}"/>
    <cellStyle name="Normal 27 2 13" xfId="28479" xr:uid="{00000000-0005-0000-0000-0000ED530000}"/>
    <cellStyle name="Normal 27 2 14" xfId="28983" xr:uid="{00000000-0005-0000-0000-0000EE530000}"/>
    <cellStyle name="Normal 27 2 15" xfId="29487" xr:uid="{00000000-0005-0000-0000-0000EF530000}"/>
    <cellStyle name="Normal 27 2 16" xfId="29991" xr:uid="{00000000-0005-0000-0000-0000F0530000}"/>
    <cellStyle name="Normal 27 2 17" xfId="30495" xr:uid="{00000000-0005-0000-0000-0000F1530000}"/>
    <cellStyle name="Normal 27 2 18" xfId="31000" xr:uid="{00000000-0005-0000-0000-0000F2530000}"/>
    <cellStyle name="Normal 27 2 2" xfId="5781" xr:uid="{00000000-0005-0000-0000-0000F3530000}"/>
    <cellStyle name="Normal 27 2 2 2" xfId="19426" xr:uid="{00000000-0005-0000-0000-0000F4530000}"/>
    <cellStyle name="Normal 27 2 3" xfId="7022" xr:uid="{00000000-0005-0000-0000-0000F5530000}"/>
    <cellStyle name="Normal 27 2 4" xfId="14466" xr:uid="{00000000-0005-0000-0000-0000F6530000}"/>
    <cellStyle name="Normal 27 2 5" xfId="24182" xr:uid="{00000000-0005-0000-0000-0000F7530000}"/>
    <cellStyle name="Normal 27 2 6" xfId="24951" xr:uid="{00000000-0005-0000-0000-0000F8530000}"/>
    <cellStyle name="Normal 27 2 7" xfId="25455" xr:uid="{00000000-0005-0000-0000-0000F9530000}"/>
    <cellStyle name="Normal 27 2 8" xfId="25959" xr:uid="{00000000-0005-0000-0000-0000FA530000}"/>
    <cellStyle name="Normal 27 2 9" xfId="26463" xr:uid="{00000000-0005-0000-0000-0000FB530000}"/>
    <cellStyle name="Normal 27 3" xfId="14467" xr:uid="{00000000-0005-0000-0000-0000FC530000}"/>
    <cellStyle name="Normal 27 3 2" xfId="19427" xr:uid="{00000000-0005-0000-0000-0000FD530000}"/>
    <cellStyle name="Normal 27 4" xfId="14468" xr:uid="{00000000-0005-0000-0000-0000FE530000}"/>
    <cellStyle name="Normal 27 4 2" xfId="19428" xr:uid="{00000000-0005-0000-0000-0000FF530000}"/>
    <cellStyle name="Normal 27 5" xfId="14465" xr:uid="{00000000-0005-0000-0000-000000540000}"/>
    <cellStyle name="Normal 27 6" xfId="19425" xr:uid="{00000000-0005-0000-0000-000001540000}"/>
    <cellStyle name="Normal 28" xfId="711" xr:uid="{00000000-0005-0000-0000-000002540000}"/>
    <cellStyle name="Normal 28 10" xfId="25456" xr:uid="{00000000-0005-0000-0000-000003540000}"/>
    <cellStyle name="Normal 28 11" xfId="25960" xr:uid="{00000000-0005-0000-0000-000004540000}"/>
    <cellStyle name="Normal 28 12" xfId="26464" xr:uid="{00000000-0005-0000-0000-000005540000}"/>
    <cellStyle name="Normal 28 13" xfId="26968" xr:uid="{00000000-0005-0000-0000-000006540000}"/>
    <cellStyle name="Normal 28 14" xfId="27472" xr:uid="{00000000-0005-0000-0000-000007540000}"/>
    <cellStyle name="Normal 28 15" xfId="27976" xr:uid="{00000000-0005-0000-0000-000008540000}"/>
    <cellStyle name="Normal 28 16" xfId="28480" xr:uid="{00000000-0005-0000-0000-000009540000}"/>
    <cellStyle name="Normal 28 17" xfId="28984" xr:uid="{00000000-0005-0000-0000-00000A540000}"/>
    <cellStyle name="Normal 28 18" xfId="29488" xr:uid="{00000000-0005-0000-0000-00000B540000}"/>
    <cellStyle name="Normal 28 19" xfId="29992" xr:uid="{00000000-0005-0000-0000-00000C540000}"/>
    <cellStyle name="Normal 28 2" xfId="2419" xr:uid="{00000000-0005-0000-0000-00000D540000}"/>
    <cellStyle name="Normal 28 2 2" xfId="4338" xr:uid="{00000000-0005-0000-0000-00000E540000}"/>
    <cellStyle name="Normal 28 2 2 2" xfId="6210" xr:uid="{00000000-0005-0000-0000-00000F540000}"/>
    <cellStyle name="Normal 28 2 3" xfId="5300" xr:uid="{00000000-0005-0000-0000-000010540000}"/>
    <cellStyle name="Normal 28 2 4" xfId="7338" xr:uid="{00000000-0005-0000-0000-000011540000}"/>
    <cellStyle name="Normal 28 2 5" xfId="24184" xr:uid="{00000000-0005-0000-0000-000012540000}"/>
    <cellStyle name="Normal 28 20" xfId="30496" xr:uid="{00000000-0005-0000-0000-000013540000}"/>
    <cellStyle name="Normal 28 21" xfId="31001" xr:uid="{00000000-0005-0000-0000-000014540000}"/>
    <cellStyle name="Normal 28 3" xfId="2700" xr:uid="{00000000-0005-0000-0000-000015540000}"/>
    <cellStyle name="Normal 28 3 2" xfId="4381" xr:uid="{00000000-0005-0000-0000-000016540000}"/>
    <cellStyle name="Normal 28 3 2 2" xfId="6251" xr:uid="{00000000-0005-0000-0000-000017540000}"/>
    <cellStyle name="Normal 28 3 3" xfId="5348" xr:uid="{00000000-0005-0000-0000-000018540000}"/>
    <cellStyle name="Normal 28 3 4" xfId="14469" xr:uid="{00000000-0005-0000-0000-000019540000}"/>
    <cellStyle name="Normal 28 4" xfId="3693" xr:uid="{00000000-0005-0000-0000-00001A540000}"/>
    <cellStyle name="Normal 28 4 2" xfId="19429" xr:uid="{00000000-0005-0000-0000-00001B540000}"/>
    <cellStyle name="Normal 28 5" xfId="3493" xr:uid="{00000000-0005-0000-0000-00001C540000}"/>
    <cellStyle name="Normal 28 5 2" xfId="5782" xr:uid="{00000000-0005-0000-0000-00001D540000}"/>
    <cellStyle name="Normal 28 6" xfId="7023" xr:uid="{00000000-0005-0000-0000-00001E540000}"/>
    <cellStyle name="Normal 28 7" xfId="7231" xr:uid="{00000000-0005-0000-0000-00001F540000}"/>
    <cellStyle name="Normal 28 8" xfId="24183" xr:uid="{00000000-0005-0000-0000-000020540000}"/>
    <cellStyle name="Normal 28 9" xfId="24952" xr:uid="{00000000-0005-0000-0000-000021540000}"/>
    <cellStyle name="Normal 29" xfId="712" xr:uid="{00000000-0005-0000-0000-000022540000}"/>
    <cellStyle name="Normal 29 2" xfId="2420" xr:uid="{00000000-0005-0000-0000-000023540000}"/>
    <cellStyle name="Normal 29 2 2" xfId="14472" xr:uid="{00000000-0005-0000-0000-000024540000}"/>
    <cellStyle name="Normal 29 2 2 2" xfId="19432" xr:uid="{00000000-0005-0000-0000-000025540000}"/>
    <cellStyle name="Normal 29 2 3" xfId="14471" xr:uid="{00000000-0005-0000-0000-000026540000}"/>
    <cellStyle name="Normal 29 2 4" xfId="19431" xr:uid="{00000000-0005-0000-0000-000027540000}"/>
    <cellStyle name="Normal 29 3" xfId="3494" xr:uid="{00000000-0005-0000-0000-000028540000}"/>
    <cellStyle name="Normal 29 3 10" xfId="26969" xr:uid="{00000000-0005-0000-0000-000029540000}"/>
    <cellStyle name="Normal 29 3 11" xfId="27473" xr:uid="{00000000-0005-0000-0000-00002A540000}"/>
    <cellStyle name="Normal 29 3 12" xfId="27977" xr:uid="{00000000-0005-0000-0000-00002B540000}"/>
    <cellStyle name="Normal 29 3 13" xfId="28481" xr:uid="{00000000-0005-0000-0000-00002C540000}"/>
    <cellStyle name="Normal 29 3 14" xfId="28985" xr:uid="{00000000-0005-0000-0000-00002D540000}"/>
    <cellStyle name="Normal 29 3 15" xfId="29489" xr:uid="{00000000-0005-0000-0000-00002E540000}"/>
    <cellStyle name="Normal 29 3 16" xfId="29993" xr:uid="{00000000-0005-0000-0000-00002F540000}"/>
    <cellStyle name="Normal 29 3 17" xfId="30497" xr:uid="{00000000-0005-0000-0000-000030540000}"/>
    <cellStyle name="Normal 29 3 18" xfId="31002" xr:uid="{00000000-0005-0000-0000-000031540000}"/>
    <cellStyle name="Normal 29 3 2" xfId="5783" xr:uid="{00000000-0005-0000-0000-000032540000}"/>
    <cellStyle name="Normal 29 3 2 2" xfId="19433" xr:uid="{00000000-0005-0000-0000-000033540000}"/>
    <cellStyle name="Normal 29 3 3" xfId="7024" xr:uid="{00000000-0005-0000-0000-000034540000}"/>
    <cellStyle name="Normal 29 3 4" xfId="14473" xr:uid="{00000000-0005-0000-0000-000035540000}"/>
    <cellStyle name="Normal 29 3 5" xfId="24185" xr:uid="{00000000-0005-0000-0000-000036540000}"/>
    <cellStyle name="Normal 29 3 6" xfId="24953" xr:uid="{00000000-0005-0000-0000-000037540000}"/>
    <cellStyle name="Normal 29 3 7" xfId="25457" xr:uid="{00000000-0005-0000-0000-000038540000}"/>
    <cellStyle name="Normal 29 3 8" xfId="25961" xr:uid="{00000000-0005-0000-0000-000039540000}"/>
    <cellStyle name="Normal 29 3 9" xfId="26465" xr:uid="{00000000-0005-0000-0000-00003A540000}"/>
    <cellStyle name="Normal 29 4" xfId="14474" xr:uid="{00000000-0005-0000-0000-00003B540000}"/>
    <cellStyle name="Normal 29 4 2" xfId="19434" xr:uid="{00000000-0005-0000-0000-00003C540000}"/>
    <cellStyle name="Normal 29 5" xfId="14475" xr:uid="{00000000-0005-0000-0000-00003D540000}"/>
    <cellStyle name="Normal 29 5 2" xfId="19435" xr:uid="{00000000-0005-0000-0000-00003E540000}"/>
    <cellStyle name="Normal 29 6" xfId="14470" xr:uid="{00000000-0005-0000-0000-00003F540000}"/>
    <cellStyle name="Normal 29 7" xfId="19430" xr:uid="{00000000-0005-0000-0000-000040540000}"/>
    <cellStyle name="Normal 3" xfId="288" xr:uid="{00000000-0005-0000-0000-000041540000}"/>
    <cellStyle name="Normal 3 10" xfId="2727" xr:uid="{00000000-0005-0000-0000-000042540000}"/>
    <cellStyle name="Normal 3 10 2" xfId="4405" xr:uid="{00000000-0005-0000-0000-000043540000}"/>
    <cellStyle name="Normal 3 10 2 2" xfId="6275" xr:uid="{00000000-0005-0000-0000-000044540000}"/>
    <cellStyle name="Normal 3 10 2 3" xfId="14477" xr:uid="{00000000-0005-0000-0000-000045540000}"/>
    <cellStyle name="Normal 3 10 3" xfId="5373" xr:uid="{00000000-0005-0000-0000-000046540000}"/>
    <cellStyle name="Normal 3 10 3 2" xfId="19437" xr:uid="{00000000-0005-0000-0000-000047540000}"/>
    <cellStyle name="Normal 3 10 4" xfId="7232" xr:uid="{00000000-0005-0000-0000-000048540000}"/>
    <cellStyle name="Normal 3 11" xfId="14476" xr:uid="{00000000-0005-0000-0000-000049540000}"/>
    <cellStyle name="Normal 3 12" xfId="19436" xr:uid="{00000000-0005-0000-0000-00004A540000}"/>
    <cellStyle name="Normal 3 13" xfId="7097" xr:uid="{00000000-0005-0000-0000-00004B540000}"/>
    <cellStyle name="Normal 3 14" xfId="24186" xr:uid="{00000000-0005-0000-0000-00004C540000}"/>
    <cellStyle name="Normal 3 15" xfId="24954" xr:uid="{00000000-0005-0000-0000-00004D540000}"/>
    <cellStyle name="Normal 3 16" xfId="25458" xr:uid="{00000000-0005-0000-0000-00004E540000}"/>
    <cellStyle name="Normal 3 17" xfId="25962" xr:uid="{00000000-0005-0000-0000-00004F540000}"/>
    <cellStyle name="Normal 3 18" xfId="26466" xr:uid="{00000000-0005-0000-0000-000050540000}"/>
    <cellStyle name="Normal 3 19" xfId="26970" xr:uid="{00000000-0005-0000-0000-000051540000}"/>
    <cellStyle name="Normal 3 2" xfId="289" xr:uid="{00000000-0005-0000-0000-000052540000}"/>
    <cellStyle name="Normal 3 2 10" xfId="14479" xr:uid="{00000000-0005-0000-0000-000053540000}"/>
    <cellStyle name="Normal 3 2 10 2" xfId="19439" xr:uid="{00000000-0005-0000-0000-000054540000}"/>
    <cellStyle name="Normal 3 2 11" xfId="14478" xr:uid="{00000000-0005-0000-0000-000055540000}"/>
    <cellStyle name="Normal 3 2 12" xfId="19438" xr:uid="{00000000-0005-0000-0000-000056540000}"/>
    <cellStyle name="Normal 3 2 13" xfId="7098" xr:uid="{00000000-0005-0000-0000-000057540000}"/>
    <cellStyle name="Normal 3 2 14" xfId="31239" xr:uid="{BAE39E12-54A9-458C-9696-989F7A590C1D}"/>
    <cellStyle name="Normal 3 2 2" xfId="1278" xr:uid="{00000000-0005-0000-0000-000058540000}"/>
    <cellStyle name="Normal 3 2 2 2" xfId="2424" xr:uid="{00000000-0005-0000-0000-000059540000}"/>
    <cellStyle name="Normal 3 2 2 2 2" xfId="14482" xr:uid="{00000000-0005-0000-0000-00005A540000}"/>
    <cellStyle name="Normal 3 2 2 2 2 2" xfId="19442" xr:uid="{00000000-0005-0000-0000-00005B540000}"/>
    <cellStyle name="Normal 3 2 2 2 3" xfId="14483" xr:uid="{00000000-0005-0000-0000-00005C540000}"/>
    <cellStyle name="Normal 3 2 2 2 3 2" xfId="19443" xr:uid="{00000000-0005-0000-0000-00005D540000}"/>
    <cellStyle name="Normal 3 2 2 2 4" xfId="14484" xr:uid="{00000000-0005-0000-0000-00005E540000}"/>
    <cellStyle name="Normal 3 2 2 2 4 2" xfId="19444" xr:uid="{00000000-0005-0000-0000-00005F540000}"/>
    <cellStyle name="Normal 3 2 2 2 5" xfId="14481" xr:uid="{00000000-0005-0000-0000-000060540000}"/>
    <cellStyle name="Normal 3 2 2 2 6" xfId="19441" xr:uid="{00000000-0005-0000-0000-000061540000}"/>
    <cellStyle name="Normal 3 2 2 3" xfId="2425" xr:uid="{00000000-0005-0000-0000-000062540000}"/>
    <cellStyle name="Normal 3 2 2 3 2" xfId="14486" xr:uid="{00000000-0005-0000-0000-000063540000}"/>
    <cellStyle name="Normal 3 2 2 3 2 2" xfId="19446" xr:uid="{00000000-0005-0000-0000-000064540000}"/>
    <cellStyle name="Normal 3 2 2 3 2 3" xfId="24187" xr:uid="{00000000-0005-0000-0000-000065540000}"/>
    <cellStyle name="Normal 3 2 2 3 3" xfId="14487" xr:uid="{00000000-0005-0000-0000-000066540000}"/>
    <cellStyle name="Normal 3 2 2 3 3 2" xfId="19447" xr:uid="{00000000-0005-0000-0000-000067540000}"/>
    <cellStyle name="Normal 3 2 2 3 4" xfId="14488" xr:uid="{00000000-0005-0000-0000-000068540000}"/>
    <cellStyle name="Normal 3 2 2 3 4 2" xfId="19448" xr:uid="{00000000-0005-0000-0000-000069540000}"/>
    <cellStyle name="Normal 3 2 2 3 5" xfId="14485" xr:uid="{00000000-0005-0000-0000-00006A540000}"/>
    <cellStyle name="Normal 3 2 2 3 6" xfId="19445" xr:uid="{00000000-0005-0000-0000-00006B540000}"/>
    <cellStyle name="Normal 3 2 2 4" xfId="2423" xr:uid="{00000000-0005-0000-0000-00006C540000}"/>
    <cellStyle name="Normal 3 2 2 4 2" xfId="19449" xr:uid="{00000000-0005-0000-0000-00006D540000}"/>
    <cellStyle name="Normal 3 2 2 4 3" xfId="14489" xr:uid="{00000000-0005-0000-0000-00006E540000}"/>
    <cellStyle name="Normal 3 2 2 5" xfId="3902" xr:uid="{00000000-0005-0000-0000-00006F540000}"/>
    <cellStyle name="Normal 3 2 2 5 2" xfId="19450" xr:uid="{00000000-0005-0000-0000-000070540000}"/>
    <cellStyle name="Normal 3 2 2 5 3" xfId="14490" xr:uid="{00000000-0005-0000-0000-000071540000}"/>
    <cellStyle name="Normal 3 2 2 6" xfId="14491" xr:uid="{00000000-0005-0000-0000-000072540000}"/>
    <cellStyle name="Normal 3 2 2 6 2" xfId="19451" xr:uid="{00000000-0005-0000-0000-000073540000}"/>
    <cellStyle name="Normal 3 2 2 7" xfId="14480" xr:uid="{00000000-0005-0000-0000-000074540000}"/>
    <cellStyle name="Normal 3 2 2 8" xfId="19440" xr:uid="{00000000-0005-0000-0000-000075540000}"/>
    <cellStyle name="Normal 3 2 3" xfId="1277" xr:uid="{00000000-0005-0000-0000-000076540000}"/>
    <cellStyle name="Normal 3 2 3 2" xfId="2426" xr:uid="{00000000-0005-0000-0000-000077540000}"/>
    <cellStyle name="Normal 3 2 3 2 2" xfId="19453" xr:uid="{00000000-0005-0000-0000-000078540000}"/>
    <cellStyle name="Normal 3 2 3 2 2 2" xfId="24188" xr:uid="{00000000-0005-0000-0000-000079540000}"/>
    <cellStyle name="Normal 3 2 3 2 3" xfId="14493" xr:uid="{00000000-0005-0000-0000-00007A540000}"/>
    <cellStyle name="Normal 3 2 3 3" xfId="3901" xr:uid="{00000000-0005-0000-0000-00007B540000}"/>
    <cellStyle name="Normal 3 2 3 3 2" xfId="19454" xr:uid="{00000000-0005-0000-0000-00007C540000}"/>
    <cellStyle name="Normal 3 2 3 3 3" xfId="14494" xr:uid="{00000000-0005-0000-0000-00007D540000}"/>
    <cellStyle name="Normal 3 2 3 3 4" xfId="24189" xr:uid="{00000000-0005-0000-0000-00007E540000}"/>
    <cellStyle name="Normal 3 2 3 4" xfId="14495" xr:uid="{00000000-0005-0000-0000-00007F540000}"/>
    <cellStyle name="Normal 3 2 3 4 2" xfId="19455" xr:uid="{00000000-0005-0000-0000-000080540000}"/>
    <cellStyle name="Normal 3 2 3 5" xfId="14492" xr:uid="{00000000-0005-0000-0000-000081540000}"/>
    <cellStyle name="Normal 3 2 3 6" xfId="19452" xr:uid="{00000000-0005-0000-0000-000082540000}"/>
    <cellStyle name="Normal 3 2 4" xfId="2427" xr:uid="{00000000-0005-0000-0000-000083540000}"/>
    <cellStyle name="Normal 3 2 4 2" xfId="2758" xr:uid="{00000000-0005-0000-0000-000084540000}"/>
    <cellStyle name="Normal 3 2 4 2 2" xfId="19457" xr:uid="{00000000-0005-0000-0000-000085540000}"/>
    <cellStyle name="Normal 3 2 4 2 3" xfId="14497" xr:uid="{00000000-0005-0000-0000-000086540000}"/>
    <cellStyle name="Normal 3 2 4 3" xfId="14498" xr:uid="{00000000-0005-0000-0000-000087540000}"/>
    <cellStyle name="Normal 3 2 4 3 2" xfId="19458" xr:uid="{00000000-0005-0000-0000-000088540000}"/>
    <cellStyle name="Normal 3 2 4 4" xfId="14499" xr:uid="{00000000-0005-0000-0000-000089540000}"/>
    <cellStyle name="Normal 3 2 4 4 2" xfId="19459" xr:uid="{00000000-0005-0000-0000-00008A540000}"/>
    <cellStyle name="Normal 3 2 4 5" xfId="14496" xr:uid="{00000000-0005-0000-0000-00008B540000}"/>
    <cellStyle name="Normal 3 2 4 6" xfId="19456" xr:uid="{00000000-0005-0000-0000-00008C540000}"/>
    <cellStyle name="Normal 3 2 5" xfId="2428" xr:uid="{00000000-0005-0000-0000-00008D540000}"/>
    <cellStyle name="Normal 3 2 5 2" xfId="3495" xr:uid="{00000000-0005-0000-0000-00008E540000}"/>
    <cellStyle name="Normal 3 2 5 2 10" xfId="26971" xr:uid="{00000000-0005-0000-0000-00008F540000}"/>
    <cellStyle name="Normal 3 2 5 2 11" xfId="27475" xr:uid="{00000000-0005-0000-0000-000090540000}"/>
    <cellStyle name="Normal 3 2 5 2 12" xfId="27979" xr:uid="{00000000-0005-0000-0000-000091540000}"/>
    <cellStyle name="Normal 3 2 5 2 13" xfId="28483" xr:uid="{00000000-0005-0000-0000-000092540000}"/>
    <cellStyle name="Normal 3 2 5 2 14" xfId="28987" xr:uid="{00000000-0005-0000-0000-000093540000}"/>
    <cellStyle name="Normal 3 2 5 2 15" xfId="29491" xr:uid="{00000000-0005-0000-0000-000094540000}"/>
    <cellStyle name="Normal 3 2 5 2 16" xfId="29995" xr:uid="{00000000-0005-0000-0000-000095540000}"/>
    <cellStyle name="Normal 3 2 5 2 17" xfId="30499" xr:uid="{00000000-0005-0000-0000-000096540000}"/>
    <cellStyle name="Normal 3 2 5 2 18" xfId="31004" xr:uid="{00000000-0005-0000-0000-000097540000}"/>
    <cellStyle name="Normal 3 2 5 2 2" xfId="5784" xr:uid="{00000000-0005-0000-0000-000098540000}"/>
    <cellStyle name="Normal 3 2 5 2 2 2" xfId="19461" xr:uid="{00000000-0005-0000-0000-000099540000}"/>
    <cellStyle name="Normal 3 2 5 2 3" xfId="7025" xr:uid="{00000000-0005-0000-0000-00009A540000}"/>
    <cellStyle name="Normal 3 2 5 2 4" xfId="14501" xr:uid="{00000000-0005-0000-0000-00009B540000}"/>
    <cellStyle name="Normal 3 2 5 2 5" xfId="24190" xr:uid="{00000000-0005-0000-0000-00009C540000}"/>
    <cellStyle name="Normal 3 2 5 2 6" xfId="24955" xr:uid="{00000000-0005-0000-0000-00009D540000}"/>
    <cellStyle name="Normal 3 2 5 2 7" xfId="25459" xr:uid="{00000000-0005-0000-0000-00009E540000}"/>
    <cellStyle name="Normal 3 2 5 2 8" xfId="25963" xr:uid="{00000000-0005-0000-0000-00009F540000}"/>
    <cellStyle name="Normal 3 2 5 2 9" xfId="26467" xr:uid="{00000000-0005-0000-0000-0000A0540000}"/>
    <cellStyle name="Normal 3 2 5 3" xfId="14502" xr:uid="{00000000-0005-0000-0000-0000A1540000}"/>
    <cellStyle name="Normal 3 2 5 3 2" xfId="19462" xr:uid="{00000000-0005-0000-0000-0000A2540000}"/>
    <cellStyle name="Normal 3 2 5 4" xfId="14503" xr:uid="{00000000-0005-0000-0000-0000A3540000}"/>
    <cellStyle name="Normal 3 2 5 4 2" xfId="19463" xr:uid="{00000000-0005-0000-0000-0000A4540000}"/>
    <cellStyle name="Normal 3 2 5 5" xfId="14500" xr:uid="{00000000-0005-0000-0000-0000A5540000}"/>
    <cellStyle name="Normal 3 2 5 6" xfId="19460" xr:uid="{00000000-0005-0000-0000-0000A6540000}"/>
    <cellStyle name="Normal 3 2 6" xfId="2429" xr:uid="{00000000-0005-0000-0000-0000A7540000}"/>
    <cellStyle name="Normal 3 2 6 2" xfId="14504" xr:uid="{00000000-0005-0000-0000-0000A8540000}"/>
    <cellStyle name="Normal 3 2 6 3" xfId="19464" xr:uid="{00000000-0005-0000-0000-0000A9540000}"/>
    <cellStyle name="Normal 3 2 7" xfId="2422" xr:uid="{00000000-0005-0000-0000-0000AA540000}"/>
    <cellStyle name="Normal 3 2 7 2" xfId="14505" xr:uid="{00000000-0005-0000-0000-0000AB540000}"/>
    <cellStyle name="Normal 3 2 7 3" xfId="19465" xr:uid="{00000000-0005-0000-0000-0000AC540000}"/>
    <cellStyle name="Normal 3 2 8" xfId="14506" xr:uid="{00000000-0005-0000-0000-0000AD540000}"/>
    <cellStyle name="Normal 3 2 8 2" xfId="19466" xr:uid="{00000000-0005-0000-0000-0000AE540000}"/>
    <cellStyle name="Normal 3 2 9" xfId="14507" xr:uid="{00000000-0005-0000-0000-0000AF540000}"/>
    <cellStyle name="Normal 3 2 9 2" xfId="19467" xr:uid="{00000000-0005-0000-0000-0000B0540000}"/>
    <cellStyle name="Normal 3 20" xfId="27474" xr:uid="{00000000-0005-0000-0000-0000B1540000}"/>
    <cellStyle name="Normal 3 21" xfId="27978" xr:uid="{00000000-0005-0000-0000-0000B2540000}"/>
    <cellStyle name="Normal 3 22" xfId="28482" xr:uid="{00000000-0005-0000-0000-0000B3540000}"/>
    <cellStyle name="Normal 3 23" xfId="28986" xr:uid="{00000000-0005-0000-0000-0000B4540000}"/>
    <cellStyle name="Normal 3 24" xfId="29490" xr:uid="{00000000-0005-0000-0000-0000B5540000}"/>
    <cellStyle name="Normal 3 25" xfId="29994" xr:uid="{00000000-0005-0000-0000-0000B6540000}"/>
    <cellStyle name="Normal 3 26" xfId="30498" xr:uid="{00000000-0005-0000-0000-0000B7540000}"/>
    <cellStyle name="Normal 3 27" xfId="31003" xr:uid="{00000000-0005-0000-0000-0000B8540000}"/>
    <cellStyle name="Normal 3 28" xfId="31160" xr:uid="{60EE31B5-1FC8-4F62-B197-AAA9517E199A}"/>
    <cellStyle name="Normal 3 29" xfId="32001" xr:uid="{D90B6783-DA8F-4558-A1D8-9441530B7DC2}"/>
    <cellStyle name="Normal 3 3" xfId="1276" xr:uid="{00000000-0005-0000-0000-0000B9540000}"/>
    <cellStyle name="Normal 3 3 2" xfId="2431" xr:uid="{00000000-0005-0000-0000-0000BA540000}"/>
    <cellStyle name="Normal 3 3 2 2" xfId="2432" xr:uid="{00000000-0005-0000-0000-0000BB540000}"/>
    <cellStyle name="Normal 3 3 2 2 2" xfId="14511" xr:uid="{00000000-0005-0000-0000-0000BC540000}"/>
    <cellStyle name="Normal 3 3 2 2 2 2" xfId="19471" xr:uid="{00000000-0005-0000-0000-0000BD540000}"/>
    <cellStyle name="Normal 3 3 2 2 3" xfId="14510" xr:uid="{00000000-0005-0000-0000-0000BE540000}"/>
    <cellStyle name="Normal 3 3 2 2 4" xfId="19470" xr:uid="{00000000-0005-0000-0000-0000BF540000}"/>
    <cellStyle name="Normal 3 3 2 3" xfId="3496" xr:uid="{00000000-0005-0000-0000-0000C0540000}"/>
    <cellStyle name="Normal 3 3 2 3 2" xfId="14513" xr:uid="{00000000-0005-0000-0000-0000C1540000}"/>
    <cellStyle name="Normal 3 3 2 3 2 2" xfId="19473" xr:uid="{00000000-0005-0000-0000-0000C2540000}"/>
    <cellStyle name="Normal 3 3 2 3 3" xfId="19472" xr:uid="{00000000-0005-0000-0000-0000C3540000}"/>
    <cellStyle name="Normal 3 3 2 3 4" xfId="14512" xr:uid="{00000000-0005-0000-0000-0000C4540000}"/>
    <cellStyle name="Normal 3 3 2 4" xfId="14514" xr:uid="{00000000-0005-0000-0000-0000C5540000}"/>
    <cellStyle name="Normal 3 3 2 4 2" xfId="19474" xr:uid="{00000000-0005-0000-0000-0000C6540000}"/>
    <cellStyle name="Normal 3 3 2 5" xfId="14515" xr:uid="{00000000-0005-0000-0000-0000C7540000}"/>
    <cellStyle name="Normal 3 3 2 5 2" xfId="19475" xr:uid="{00000000-0005-0000-0000-0000C8540000}"/>
    <cellStyle name="Normal 3 3 2 6" xfId="14509" xr:uid="{00000000-0005-0000-0000-0000C9540000}"/>
    <cellStyle name="Normal 3 3 2 7" xfId="19469" xr:uid="{00000000-0005-0000-0000-0000CA540000}"/>
    <cellStyle name="Normal 3 3 3" xfId="2433" xr:uid="{00000000-0005-0000-0000-0000CB540000}"/>
    <cellStyle name="Normal 3 3 3 2" xfId="3497" xr:uid="{00000000-0005-0000-0000-0000CC540000}"/>
    <cellStyle name="Normal 3 3 3 2 2" xfId="19477" xr:uid="{00000000-0005-0000-0000-0000CD540000}"/>
    <cellStyle name="Normal 3 3 3 2 3" xfId="14517" xr:uid="{00000000-0005-0000-0000-0000CE540000}"/>
    <cellStyle name="Normal 3 3 3 3" xfId="14518" xr:uid="{00000000-0005-0000-0000-0000CF540000}"/>
    <cellStyle name="Normal 3 3 3 3 2" xfId="19478" xr:uid="{00000000-0005-0000-0000-0000D0540000}"/>
    <cellStyle name="Normal 3 3 3 4" xfId="14516" xr:uid="{00000000-0005-0000-0000-0000D1540000}"/>
    <cellStyle name="Normal 3 3 3 5" xfId="19476" xr:uid="{00000000-0005-0000-0000-0000D2540000}"/>
    <cellStyle name="Normal 3 3 4" xfId="2434" xr:uid="{00000000-0005-0000-0000-0000D3540000}"/>
    <cellStyle name="Normal 3 3 4 2" xfId="14520" xr:uid="{00000000-0005-0000-0000-0000D4540000}"/>
    <cellStyle name="Normal 3 3 4 2 2" xfId="19480" xr:uid="{00000000-0005-0000-0000-0000D5540000}"/>
    <cellStyle name="Normal 3 3 4 3" xfId="14519" xr:uid="{00000000-0005-0000-0000-0000D6540000}"/>
    <cellStyle name="Normal 3 3 4 4" xfId="19479" xr:uid="{00000000-0005-0000-0000-0000D7540000}"/>
    <cellStyle name="Normal 3 3 5" xfId="2435" xr:uid="{00000000-0005-0000-0000-0000D8540000}"/>
    <cellStyle name="Normal 3 3 5 2" xfId="14521" xr:uid="{00000000-0005-0000-0000-0000D9540000}"/>
    <cellStyle name="Normal 3 3 5 2 2" xfId="24191" xr:uid="{00000000-0005-0000-0000-0000DA540000}"/>
    <cellStyle name="Normal 3 3 5 3" xfId="19481" xr:uid="{00000000-0005-0000-0000-0000DB540000}"/>
    <cellStyle name="Normal 3 3 6" xfId="2430" xr:uid="{00000000-0005-0000-0000-0000DC540000}"/>
    <cellStyle name="Normal 3 3 6 2" xfId="14522" xr:uid="{00000000-0005-0000-0000-0000DD540000}"/>
    <cellStyle name="Normal 3 3 6 3" xfId="19482" xr:uid="{00000000-0005-0000-0000-0000DE540000}"/>
    <cellStyle name="Normal 3 3 7" xfId="3900" xr:uid="{00000000-0005-0000-0000-0000DF540000}"/>
    <cellStyle name="Normal 3 3 7 2" xfId="19483" xr:uid="{00000000-0005-0000-0000-0000E0540000}"/>
    <cellStyle name="Normal 3 3 7 3" xfId="14523" xr:uid="{00000000-0005-0000-0000-0000E1540000}"/>
    <cellStyle name="Normal 3 3 8" xfId="14508" xr:uid="{00000000-0005-0000-0000-0000E2540000}"/>
    <cellStyle name="Normal 3 3 9" xfId="19468" xr:uid="{00000000-0005-0000-0000-0000E3540000}"/>
    <cellStyle name="Normal 3 4" xfId="2436" xr:uid="{00000000-0005-0000-0000-0000E4540000}"/>
    <cellStyle name="Normal 3 4 2" xfId="2437" xr:uid="{00000000-0005-0000-0000-0000E5540000}"/>
    <cellStyle name="Normal 3 4 2 10" xfId="25964" xr:uid="{00000000-0005-0000-0000-0000E6540000}"/>
    <cellStyle name="Normal 3 4 2 11" xfId="26468" xr:uid="{00000000-0005-0000-0000-0000E7540000}"/>
    <cellStyle name="Normal 3 4 2 12" xfId="26972" xr:uid="{00000000-0005-0000-0000-0000E8540000}"/>
    <cellStyle name="Normal 3 4 2 13" xfId="27476" xr:uid="{00000000-0005-0000-0000-0000E9540000}"/>
    <cellStyle name="Normal 3 4 2 14" xfId="27980" xr:uid="{00000000-0005-0000-0000-0000EA540000}"/>
    <cellStyle name="Normal 3 4 2 15" xfId="28484" xr:uid="{00000000-0005-0000-0000-0000EB540000}"/>
    <cellStyle name="Normal 3 4 2 16" xfId="28988" xr:uid="{00000000-0005-0000-0000-0000EC540000}"/>
    <cellStyle name="Normal 3 4 2 17" xfId="29492" xr:uid="{00000000-0005-0000-0000-0000ED540000}"/>
    <cellStyle name="Normal 3 4 2 18" xfId="29996" xr:uid="{00000000-0005-0000-0000-0000EE540000}"/>
    <cellStyle name="Normal 3 4 2 19" xfId="30500" xr:uid="{00000000-0005-0000-0000-0000EF540000}"/>
    <cellStyle name="Normal 3 4 2 2" xfId="2701" xr:uid="{00000000-0005-0000-0000-0000F0540000}"/>
    <cellStyle name="Normal 3 4 2 2 10" xfId="26973" xr:uid="{00000000-0005-0000-0000-0000F1540000}"/>
    <cellStyle name="Normal 3 4 2 2 11" xfId="27477" xr:uid="{00000000-0005-0000-0000-0000F2540000}"/>
    <cellStyle name="Normal 3 4 2 2 12" xfId="27981" xr:uid="{00000000-0005-0000-0000-0000F3540000}"/>
    <cellStyle name="Normal 3 4 2 2 13" xfId="28485" xr:uid="{00000000-0005-0000-0000-0000F4540000}"/>
    <cellStyle name="Normal 3 4 2 2 14" xfId="28989" xr:uid="{00000000-0005-0000-0000-0000F5540000}"/>
    <cellStyle name="Normal 3 4 2 2 15" xfId="29493" xr:uid="{00000000-0005-0000-0000-0000F6540000}"/>
    <cellStyle name="Normal 3 4 2 2 16" xfId="29997" xr:uid="{00000000-0005-0000-0000-0000F7540000}"/>
    <cellStyle name="Normal 3 4 2 2 17" xfId="30501" xr:uid="{00000000-0005-0000-0000-0000F8540000}"/>
    <cellStyle name="Normal 3 4 2 2 18" xfId="31006" xr:uid="{00000000-0005-0000-0000-0000F9540000}"/>
    <cellStyle name="Normal 3 4 2 2 2" xfId="4382" xr:uid="{00000000-0005-0000-0000-0000FA540000}"/>
    <cellStyle name="Normal 3 4 2 2 2 2" xfId="6252" xr:uid="{00000000-0005-0000-0000-0000FB540000}"/>
    <cellStyle name="Normal 3 4 2 2 3" xfId="5349" xr:uid="{00000000-0005-0000-0000-0000FC540000}"/>
    <cellStyle name="Normal 3 4 2 2 4" xfId="7339" xr:uid="{00000000-0005-0000-0000-0000FD540000}"/>
    <cellStyle name="Normal 3 4 2 2 5" xfId="24193" xr:uid="{00000000-0005-0000-0000-0000FE540000}"/>
    <cellStyle name="Normal 3 4 2 2 6" xfId="24957" xr:uid="{00000000-0005-0000-0000-0000FF540000}"/>
    <cellStyle name="Normal 3 4 2 2 7" xfId="25461" xr:uid="{00000000-0005-0000-0000-000000550000}"/>
    <cellStyle name="Normal 3 4 2 2 8" xfId="25965" xr:uid="{00000000-0005-0000-0000-000001550000}"/>
    <cellStyle name="Normal 3 4 2 2 9" xfId="26469" xr:uid="{00000000-0005-0000-0000-000002550000}"/>
    <cellStyle name="Normal 3 4 2 20" xfId="31005" xr:uid="{00000000-0005-0000-0000-000003550000}"/>
    <cellStyle name="Normal 3 4 2 3" xfId="3498" xr:uid="{00000000-0005-0000-0000-000004550000}"/>
    <cellStyle name="Normal 3 4 2 3 2" xfId="5785" xr:uid="{00000000-0005-0000-0000-000005550000}"/>
    <cellStyle name="Normal 3 4 2 3 3" xfId="14525" xr:uid="{00000000-0005-0000-0000-000006550000}"/>
    <cellStyle name="Normal 3 4 2 3 4" xfId="24194" xr:uid="{00000000-0005-0000-0000-000007550000}"/>
    <cellStyle name="Normal 3 4 2 4" xfId="5301" xr:uid="{00000000-0005-0000-0000-000008550000}"/>
    <cellStyle name="Normal 3 4 2 4 2" xfId="19485" xr:uid="{00000000-0005-0000-0000-000009550000}"/>
    <cellStyle name="Normal 3 4 2 5" xfId="7026" xr:uid="{00000000-0005-0000-0000-00000A550000}"/>
    <cellStyle name="Normal 3 4 2 6" xfId="7233" xr:uid="{00000000-0005-0000-0000-00000B550000}"/>
    <cellStyle name="Normal 3 4 2 7" xfId="24192" xr:uid="{00000000-0005-0000-0000-00000C550000}"/>
    <cellStyle name="Normal 3 4 2 8" xfId="24956" xr:uid="{00000000-0005-0000-0000-00000D550000}"/>
    <cellStyle name="Normal 3 4 2 9" xfId="25460" xr:uid="{00000000-0005-0000-0000-00000E550000}"/>
    <cellStyle name="Normal 3 4 3" xfId="2438" xr:uid="{00000000-0005-0000-0000-00000F550000}"/>
    <cellStyle name="Normal 3 4 3 2" xfId="14527" xr:uid="{00000000-0005-0000-0000-000010550000}"/>
    <cellStyle name="Normal 3 4 3 2 2" xfId="19487" xr:uid="{00000000-0005-0000-0000-000011550000}"/>
    <cellStyle name="Normal 3 4 3 3" xfId="14528" xr:uid="{00000000-0005-0000-0000-000012550000}"/>
    <cellStyle name="Normal 3 4 3 3 2" xfId="19488" xr:uid="{00000000-0005-0000-0000-000013550000}"/>
    <cellStyle name="Normal 3 4 3 4" xfId="14529" xr:uid="{00000000-0005-0000-0000-000014550000}"/>
    <cellStyle name="Normal 3 4 3 4 2" xfId="19489" xr:uid="{00000000-0005-0000-0000-000015550000}"/>
    <cellStyle name="Normal 3 4 3 5" xfId="14526" xr:uid="{00000000-0005-0000-0000-000016550000}"/>
    <cellStyle name="Normal 3 4 3 6" xfId="19486" xr:uid="{00000000-0005-0000-0000-000017550000}"/>
    <cellStyle name="Normal 3 4 4" xfId="3499" xr:uid="{00000000-0005-0000-0000-000018550000}"/>
    <cellStyle name="Normal 3 4 4 2" xfId="14531" xr:uid="{00000000-0005-0000-0000-000019550000}"/>
    <cellStyle name="Normal 3 4 4 2 2" xfId="19491" xr:uid="{00000000-0005-0000-0000-00001A550000}"/>
    <cellStyle name="Normal 3 4 4 3" xfId="14532" xr:uid="{00000000-0005-0000-0000-00001B550000}"/>
    <cellStyle name="Normal 3 4 4 3 2" xfId="19492" xr:uid="{00000000-0005-0000-0000-00001C550000}"/>
    <cellStyle name="Normal 3 4 4 4" xfId="14533" xr:uid="{00000000-0005-0000-0000-00001D550000}"/>
    <cellStyle name="Normal 3 4 4 4 2" xfId="19493" xr:uid="{00000000-0005-0000-0000-00001E550000}"/>
    <cellStyle name="Normal 3 4 4 5" xfId="19490" xr:uid="{00000000-0005-0000-0000-00001F550000}"/>
    <cellStyle name="Normal 3 4 4 6" xfId="14530" xr:uid="{00000000-0005-0000-0000-000020550000}"/>
    <cellStyle name="Normal 3 4 5" xfId="14534" xr:uid="{00000000-0005-0000-0000-000021550000}"/>
    <cellStyle name="Normal 3 4 5 2" xfId="19494" xr:uid="{00000000-0005-0000-0000-000022550000}"/>
    <cellStyle name="Normal 3 4 6" xfId="14535" xr:uid="{00000000-0005-0000-0000-000023550000}"/>
    <cellStyle name="Normal 3 4 6 2" xfId="19495" xr:uid="{00000000-0005-0000-0000-000024550000}"/>
    <cellStyle name="Normal 3 4 7" xfId="14536" xr:uid="{00000000-0005-0000-0000-000025550000}"/>
    <cellStyle name="Normal 3 4 7 2" xfId="19496" xr:uid="{00000000-0005-0000-0000-000026550000}"/>
    <cellStyle name="Normal 3 4 8" xfId="14524" xr:uid="{00000000-0005-0000-0000-000027550000}"/>
    <cellStyle name="Normal 3 4 9" xfId="19484" xr:uid="{00000000-0005-0000-0000-000028550000}"/>
    <cellStyle name="Normal 3 5" xfId="2439" xr:uid="{00000000-0005-0000-0000-000029550000}"/>
    <cellStyle name="Normal 3 5 10" xfId="25966" xr:uid="{00000000-0005-0000-0000-00002A550000}"/>
    <cellStyle name="Normal 3 5 11" xfId="26470" xr:uid="{00000000-0005-0000-0000-00002B550000}"/>
    <cellStyle name="Normal 3 5 12" xfId="26974" xr:uid="{00000000-0005-0000-0000-00002C550000}"/>
    <cellStyle name="Normal 3 5 13" xfId="27478" xr:uid="{00000000-0005-0000-0000-00002D550000}"/>
    <cellStyle name="Normal 3 5 14" xfId="27982" xr:uid="{00000000-0005-0000-0000-00002E550000}"/>
    <cellStyle name="Normal 3 5 15" xfId="28486" xr:uid="{00000000-0005-0000-0000-00002F550000}"/>
    <cellStyle name="Normal 3 5 16" xfId="28990" xr:uid="{00000000-0005-0000-0000-000030550000}"/>
    <cellStyle name="Normal 3 5 17" xfId="29494" xr:uid="{00000000-0005-0000-0000-000031550000}"/>
    <cellStyle name="Normal 3 5 18" xfId="29998" xr:uid="{00000000-0005-0000-0000-000032550000}"/>
    <cellStyle name="Normal 3 5 19" xfId="30502" xr:uid="{00000000-0005-0000-0000-000033550000}"/>
    <cellStyle name="Normal 3 5 2" xfId="2702" xr:uid="{00000000-0005-0000-0000-000034550000}"/>
    <cellStyle name="Normal 3 5 2 10" xfId="26975" xr:uid="{00000000-0005-0000-0000-000035550000}"/>
    <cellStyle name="Normal 3 5 2 11" xfId="27479" xr:uid="{00000000-0005-0000-0000-000036550000}"/>
    <cellStyle name="Normal 3 5 2 12" xfId="27983" xr:uid="{00000000-0005-0000-0000-000037550000}"/>
    <cellStyle name="Normal 3 5 2 13" xfId="28487" xr:uid="{00000000-0005-0000-0000-000038550000}"/>
    <cellStyle name="Normal 3 5 2 14" xfId="28991" xr:uid="{00000000-0005-0000-0000-000039550000}"/>
    <cellStyle name="Normal 3 5 2 15" xfId="29495" xr:uid="{00000000-0005-0000-0000-00003A550000}"/>
    <cellStyle name="Normal 3 5 2 16" xfId="29999" xr:uid="{00000000-0005-0000-0000-00003B550000}"/>
    <cellStyle name="Normal 3 5 2 17" xfId="30503" xr:uid="{00000000-0005-0000-0000-00003C550000}"/>
    <cellStyle name="Normal 3 5 2 18" xfId="31008" xr:uid="{00000000-0005-0000-0000-00003D550000}"/>
    <cellStyle name="Normal 3 5 2 2" xfId="4383" xr:uid="{00000000-0005-0000-0000-00003E550000}"/>
    <cellStyle name="Normal 3 5 2 2 2" xfId="6253" xr:uid="{00000000-0005-0000-0000-00003F550000}"/>
    <cellStyle name="Normal 3 5 2 3" xfId="5350" xr:uid="{00000000-0005-0000-0000-000040550000}"/>
    <cellStyle name="Normal 3 5 2 4" xfId="7340" xr:uid="{00000000-0005-0000-0000-000041550000}"/>
    <cellStyle name="Normal 3 5 2 5" xfId="24196" xr:uid="{00000000-0005-0000-0000-000042550000}"/>
    <cellStyle name="Normal 3 5 2 6" xfId="24959" xr:uid="{00000000-0005-0000-0000-000043550000}"/>
    <cellStyle name="Normal 3 5 2 7" xfId="25463" xr:uid="{00000000-0005-0000-0000-000044550000}"/>
    <cellStyle name="Normal 3 5 2 8" xfId="25967" xr:uid="{00000000-0005-0000-0000-000045550000}"/>
    <cellStyle name="Normal 3 5 2 9" xfId="26471" xr:uid="{00000000-0005-0000-0000-000046550000}"/>
    <cellStyle name="Normal 3 5 20" xfId="31007" xr:uid="{00000000-0005-0000-0000-000047550000}"/>
    <cellStyle name="Normal 3 5 3" xfId="3500" xr:uid="{00000000-0005-0000-0000-000048550000}"/>
    <cellStyle name="Normal 3 5 3 2" xfId="5786" xr:uid="{00000000-0005-0000-0000-000049550000}"/>
    <cellStyle name="Normal 3 5 3 3" xfId="14537" xr:uid="{00000000-0005-0000-0000-00004A550000}"/>
    <cellStyle name="Normal 3 5 3 4" xfId="24197" xr:uid="{00000000-0005-0000-0000-00004B550000}"/>
    <cellStyle name="Normal 3 5 4" xfId="5302" xr:uid="{00000000-0005-0000-0000-00004C550000}"/>
    <cellStyle name="Normal 3 5 4 2" xfId="19497" xr:uid="{00000000-0005-0000-0000-00004D550000}"/>
    <cellStyle name="Normal 3 5 5" xfId="7027" xr:uid="{00000000-0005-0000-0000-00004E550000}"/>
    <cellStyle name="Normal 3 5 6" xfId="7234" xr:uid="{00000000-0005-0000-0000-00004F550000}"/>
    <cellStyle name="Normal 3 5 7" xfId="24195" xr:uid="{00000000-0005-0000-0000-000050550000}"/>
    <cellStyle name="Normal 3 5 8" xfId="24958" xr:uid="{00000000-0005-0000-0000-000051550000}"/>
    <cellStyle name="Normal 3 5 9" xfId="25462" xr:uid="{00000000-0005-0000-0000-000052550000}"/>
    <cellStyle name="Normal 3 6" xfId="2440" xr:uid="{00000000-0005-0000-0000-000053550000}"/>
    <cellStyle name="Normal 3 6 2" xfId="14539" xr:uid="{00000000-0005-0000-0000-000054550000}"/>
    <cellStyle name="Normal 3 6 2 2" xfId="19499" xr:uid="{00000000-0005-0000-0000-000055550000}"/>
    <cellStyle name="Normal 3 6 2 3" xfId="24198" xr:uid="{00000000-0005-0000-0000-000056550000}"/>
    <cellStyle name="Normal 3 6 3" xfId="14540" xr:uid="{00000000-0005-0000-0000-000057550000}"/>
    <cellStyle name="Normal 3 6 3 2" xfId="19500" xr:uid="{00000000-0005-0000-0000-000058550000}"/>
    <cellStyle name="Normal 3 6 3 3" xfId="24199" xr:uid="{00000000-0005-0000-0000-000059550000}"/>
    <cellStyle name="Normal 3 6 4" xfId="14541" xr:uid="{00000000-0005-0000-0000-00005A550000}"/>
    <cellStyle name="Normal 3 6 4 2" xfId="19501" xr:uid="{00000000-0005-0000-0000-00005B550000}"/>
    <cellStyle name="Normal 3 6 5" xfId="14538" xr:uid="{00000000-0005-0000-0000-00005C550000}"/>
    <cellStyle name="Normal 3 6 6" xfId="19498" xr:uid="{00000000-0005-0000-0000-00005D550000}"/>
    <cellStyle name="Normal 3 7" xfId="2441" xr:uid="{00000000-0005-0000-0000-00005E550000}"/>
    <cellStyle name="Normal 3 7 2" xfId="14543" xr:uid="{00000000-0005-0000-0000-00005F550000}"/>
    <cellStyle name="Normal 3 7 2 10" xfId="27984" xr:uid="{00000000-0005-0000-0000-000060550000}"/>
    <cellStyle name="Normal 3 7 2 11" xfId="28488" xr:uid="{00000000-0005-0000-0000-000061550000}"/>
    <cellStyle name="Normal 3 7 2 12" xfId="28992" xr:uid="{00000000-0005-0000-0000-000062550000}"/>
    <cellStyle name="Normal 3 7 2 13" xfId="29496" xr:uid="{00000000-0005-0000-0000-000063550000}"/>
    <cellStyle name="Normal 3 7 2 14" xfId="30000" xr:uid="{00000000-0005-0000-0000-000064550000}"/>
    <cellStyle name="Normal 3 7 2 15" xfId="30504" xr:uid="{00000000-0005-0000-0000-000065550000}"/>
    <cellStyle name="Normal 3 7 2 16" xfId="31009" xr:uid="{00000000-0005-0000-0000-000066550000}"/>
    <cellStyle name="Normal 3 7 2 2" xfId="19503" xr:uid="{00000000-0005-0000-0000-000067550000}"/>
    <cellStyle name="Normal 3 7 2 3" xfId="24200" xr:uid="{00000000-0005-0000-0000-000068550000}"/>
    <cellStyle name="Normal 3 7 2 4" xfId="24960" xr:uid="{00000000-0005-0000-0000-000069550000}"/>
    <cellStyle name="Normal 3 7 2 5" xfId="25464" xr:uid="{00000000-0005-0000-0000-00006A550000}"/>
    <cellStyle name="Normal 3 7 2 6" xfId="25968" xr:uid="{00000000-0005-0000-0000-00006B550000}"/>
    <cellStyle name="Normal 3 7 2 7" xfId="26472" xr:uid="{00000000-0005-0000-0000-00006C550000}"/>
    <cellStyle name="Normal 3 7 2 8" xfId="26976" xr:uid="{00000000-0005-0000-0000-00006D550000}"/>
    <cellStyle name="Normal 3 7 2 9" xfId="27480" xr:uid="{00000000-0005-0000-0000-00006E550000}"/>
    <cellStyle name="Normal 3 7 3" xfId="14544" xr:uid="{00000000-0005-0000-0000-00006F550000}"/>
    <cellStyle name="Normal 3 7 3 2" xfId="19504" xr:uid="{00000000-0005-0000-0000-000070550000}"/>
    <cellStyle name="Normal 3 7 4" xfId="14545" xr:uid="{00000000-0005-0000-0000-000071550000}"/>
    <cellStyle name="Normal 3 7 4 2" xfId="19505" xr:uid="{00000000-0005-0000-0000-000072550000}"/>
    <cellStyle name="Normal 3 7 5" xfId="14542" xr:uid="{00000000-0005-0000-0000-000073550000}"/>
    <cellStyle name="Normal 3 7 6" xfId="19502" xr:uid="{00000000-0005-0000-0000-000074550000}"/>
    <cellStyle name="Normal 3 8" xfId="2442" xr:uid="{00000000-0005-0000-0000-000075550000}"/>
    <cellStyle name="Normal 3 8 2" xfId="14546" xr:uid="{00000000-0005-0000-0000-000076550000}"/>
    <cellStyle name="Normal 3 8 2 2" xfId="24201" xr:uid="{00000000-0005-0000-0000-000077550000}"/>
    <cellStyle name="Normal 3 8 3" xfId="19506" xr:uid="{00000000-0005-0000-0000-000078550000}"/>
    <cellStyle name="Normal 3 8 3 2" xfId="24202" xr:uid="{00000000-0005-0000-0000-000079550000}"/>
    <cellStyle name="Normal 3 9" xfId="2421" xr:uid="{00000000-0005-0000-0000-00007A550000}"/>
    <cellStyle name="Normal 3 9 2" xfId="14547" xr:uid="{00000000-0005-0000-0000-00007B550000}"/>
    <cellStyle name="Normal 3 9 2 2" xfId="24203" xr:uid="{00000000-0005-0000-0000-00007C550000}"/>
    <cellStyle name="Normal 3 9 3" xfId="19507" xr:uid="{00000000-0005-0000-0000-00007D550000}"/>
    <cellStyle name="Normal 3_AP" xfId="2443" xr:uid="{00000000-0005-0000-0000-00007E550000}"/>
    <cellStyle name="Normal 30" xfId="713" xr:uid="{00000000-0005-0000-0000-00007F550000}"/>
    <cellStyle name="Normal 30 10" xfId="25465" xr:uid="{00000000-0005-0000-0000-000080550000}"/>
    <cellStyle name="Normal 30 11" xfId="25969" xr:uid="{00000000-0005-0000-0000-000081550000}"/>
    <cellStyle name="Normal 30 12" xfId="26473" xr:uid="{00000000-0005-0000-0000-000082550000}"/>
    <cellStyle name="Normal 30 13" xfId="26977" xr:uid="{00000000-0005-0000-0000-000083550000}"/>
    <cellStyle name="Normal 30 14" xfId="27481" xr:uid="{00000000-0005-0000-0000-000084550000}"/>
    <cellStyle name="Normal 30 15" xfId="27985" xr:uid="{00000000-0005-0000-0000-000085550000}"/>
    <cellStyle name="Normal 30 16" xfId="28489" xr:uid="{00000000-0005-0000-0000-000086550000}"/>
    <cellStyle name="Normal 30 17" xfId="28993" xr:uid="{00000000-0005-0000-0000-000087550000}"/>
    <cellStyle name="Normal 30 18" xfId="29497" xr:uid="{00000000-0005-0000-0000-000088550000}"/>
    <cellStyle name="Normal 30 19" xfId="30001" xr:uid="{00000000-0005-0000-0000-000089550000}"/>
    <cellStyle name="Normal 30 2" xfId="2444" xr:uid="{00000000-0005-0000-0000-00008A550000}"/>
    <cellStyle name="Normal 30 2 2" xfId="4339" xr:uid="{00000000-0005-0000-0000-00008B550000}"/>
    <cellStyle name="Normal 30 2 2 2" xfId="6211" xr:uid="{00000000-0005-0000-0000-00008C550000}"/>
    <cellStyle name="Normal 30 2 3" xfId="5303" xr:uid="{00000000-0005-0000-0000-00008D550000}"/>
    <cellStyle name="Normal 30 2 4" xfId="7341" xr:uid="{00000000-0005-0000-0000-00008E550000}"/>
    <cellStyle name="Normal 30 2 5" xfId="24205" xr:uid="{00000000-0005-0000-0000-00008F550000}"/>
    <cellStyle name="Normal 30 20" xfId="30505" xr:uid="{00000000-0005-0000-0000-000090550000}"/>
    <cellStyle name="Normal 30 21" xfId="31010" xr:uid="{00000000-0005-0000-0000-000091550000}"/>
    <cellStyle name="Normal 30 3" xfId="2703" xr:uid="{00000000-0005-0000-0000-000092550000}"/>
    <cellStyle name="Normal 30 3 2" xfId="4384" xr:uid="{00000000-0005-0000-0000-000093550000}"/>
    <cellStyle name="Normal 30 3 2 2" xfId="6254" xr:uid="{00000000-0005-0000-0000-000094550000}"/>
    <cellStyle name="Normal 30 3 3" xfId="5351" xr:uid="{00000000-0005-0000-0000-000095550000}"/>
    <cellStyle name="Normal 30 3 4" xfId="14548" xr:uid="{00000000-0005-0000-0000-000096550000}"/>
    <cellStyle name="Normal 30 4" xfId="3694" xr:uid="{00000000-0005-0000-0000-000097550000}"/>
    <cellStyle name="Normal 30 4 2" xfId="19508" xr:uid="{00000000-0005-0000-0000-000098550000}"/>
    <cellStyle name="Normal 30 5" xfId="3501" xr:uid="{00000000-0005-0000-0000-000099550000}"/>
    <cellStyle name="Normal 30 5 2" xfId="5787" xr:uid="{00000000-0005-0000-0000-00009A550000}"/>
    <cellStyle name="Normal 30 6" xfId="7028" xr:uid="{00000000-0005-0000-0000-00009B550000}"/>
    <cellStyle name="Normal 30 7" xfId="7235" xr:uid="{00000000-0005-0000-0000-00009C550000}"/>
    <cellStyle name="Normal 30 8" xfId="24204" xr:uid="{00000000-0005-0000-0000-00009D550000}"/>
    <cellStyle name="Normal 30 9" xfId="24961" xr:uid="{00000000-0005-0000-0000-00009E550000}"/>
    <cellStyle name="Normal 31" xfId="714" xr:uid="{00000000-0005-0000-0000-00009F550000}"/>
    <cellStyle name="Normal 31 2" xfId="14550" xr:uid="{00000000-0005-0000-0000-0000A0550000}"/>
    <cellStyle name="Normal 31 2 2" xfId="19510" xr:uid="{00000000-0005-0000-0000-0000A1550000}"/>
    <cellStyle name="Normal 31 3" xfId="14551" xr:uid="{00000000-0005-0000-0000-0000A2550000}"/>
    <cellStyle name="Normal 31 3 2" xfId="19511" xr:uid="{00000000-0005-0000-0000-0000A3550000}"/>
    <cellStyle name="Normal 31 4" xfId="14552" xr:uid="{00000000-0005-0000-0000-0000A4550000}"/>
    <cellStyle name="Normal 31 4 2" xfId="19512" xr:uid="{00000000-0005-0000-0000-0000A5550000}"/>
    <cellStyle name="Normal 31 5" xfId="14549" xr:uid="{00000000-0005-0000-0000-0000A6550000}"/>
    <cellStyle name="Normal 31 6" xfId="19509" xr:uid="{00000000-0005-0000-0000-0000A7550000}"/>
    <cellStyle name="Normal 32 2" xfId="3502" xr:uid="{00000000-0005-0000-0000-0000A9550000}"/>
    <cellStyle name="Normal 32 2 10" xfId="26978" xr:uid="{00000000-0005-0000-0000-0000AA550000}"/>
    <cellStyle name="Normal 32 2 11" xfId="27482" xr:uid="{00000000-0005-0000-0000-0000AB550000}"/>
    <cellStyle name="Normal 32 2 12" xfId="27986" xr:uid="{00000000-0005-0000-0000-0000AC550000}"/>
    <cellStyle name="Normal 32 2 13" xfId="28490" xr:uid="{00000000-0005-0000-0000-0000AD550000}"/>
    <cellStyle name="Normal 32 2 14" xfId="28994" xr:uid="{00000000-0005-0000-0000-0000AE550000}"/>
    <cellStyle name="Normal 32 2 15" xfId="29498" xr:uid="{00000000-0005-0000-0000-0000AF550000}"/>
    <cellStyle name="Normal 32 2 16" xfId="30002" xr:uid="{00000000-0005-0000-0000-0000B0550000}"/>
    <cellStyle name="Normal 32 2 17" xfId="30506" xr:uid="{00000000-0005-0000-0000-0000B1550000}"/>
    <cellStyle name="Normal 32 2 18" xfId="31011" xr:uid="{00000000-0005-0000-0000-0000B2550000}"/>
    <cellStyle name="Normal 32 2 2" xfId="5788" xr:uid="{00000000-0005-0000-0000-0000B3550000}"/>
    <cellStyle name="Normal 32 2 2 2" xfId="19514" xr:uid="{00000000-0005-0000-0000-0000B4550000}"/>
    <cellStyle name="Normal 32 2 3" xfId="7029" xr:uid="{00000000-0005-0000-0000-0000B5550000}"/>
    <cellStyle name="Normal 32 2 4" xfId="14554" xr:uid="{00000000-0005-0000-0000-0000B6550000}"/>
    <cellStyle name="Normal 32 2 5" xfId="24206" xr:uid="{00000000-0005-0000-0000-0000B7550000}"/>
    <cellStyle name="Normal 32 2 6" xfId="24962" xr:uid="{00000000-0005-0000-0000-0000B8550000}"/>
    <cellStyle name="Normal 32 2 7" xfId="25466" xr:uid="{00000000-0005-0000-0000-0000B9550000}"/>
    <cellStyle name="Normal 32 2 8" xfId="25970" xr:uid="{00000000-0005-0000-0000-0000BA550000}"/>
    <cellStyle name="Normal 32 2 9" xfId="26474" xr:uid="{00000000-0005-0000-0000-0000BB550000}"/>
    <cellStyle name="Normal 32 3" xfId="14555" xr:uid="{00000000-0005-0000-0000-0000BC550000}"/>
    <cellStyle name="Normal 32 3 2" xfId="19515" xr:uid="{00000000-0005-0000-0000-0000BD550000}"/>
    <cellStyle name="Normal 32 4" xfId="14556" xr:uid="{00000000-0005-0000-0000-0000BE550000}"/>
    <cellStyle name="Normal 32 4 2" xfId="19516" xr:uid="{00000000-0005-0000-0000-0000BF550000}"/>
    <cellStyle name="Normal 32 5" xfId="14553" xr:uid="{00000000-0005-0000-0000-0000C0550000}"/>
    <cellStyle name="Normal 32 6" xfId="19513" xr:uid="{00000000-0005-0000-0000-0000C1550000}"/>
    <cellStyle name="Normal 33" xfId="715" xr:uid="{00000000-0005-0000-0000-0000C2550000}"/>
    <cellStyle name="Normal 33 10" xfId="25467" xr:uid="{00000000-0005-0000-0000-0000C3550000}"/>
    <cellStyle name="Normal 33 11" xfId="25971" xr:uid="{00000000-0005-0000-0000-0000C4550000}"/>
    <cellStyle name="Normal 33 12" xfId="26475" xr:uid="{00000000-0005-0000-0000-0000C5550000}"/>
    <cellStyle name="Normal 33 13" xfId="26979" xr:uid="{00000000-0005-0000-0000-0000C6550000}"/>
    <cellStyle name="Normal 33 14" xfId="27483" xr:uid="{00000000-0005-0000-0000-0000C7550000}"/>
    <cellStyle name="Normal 33 15" xfId="27987" xr:uid="{00000000-0005-0000-0000-0000C8550000}"/>
    <cellStyle name="Normal 33 16" xfId="28491" xr:uid="{00000000-0005-0000-0000-0000C9550000}"/>
    <cellStyle name="Normal 33 17" xfId="28995" xr:uid="{00000000-0005-0000-0000-0000CA550000}"/>
    <cellStyle name="Normal 33 18" xfId="29499" xr:uid="{00000000-0005-0000-0000-0000CB550000}"/>
    <cellStyle name="Normal 33 19" xfId="30003" xr:uid="{00000000-0005-0000-0000-0000CC550000}"/>
    <cellStyle name="Normal 33 2" xfId="2445" xr:uid="{00000000-0005-0000-0000-0000CD550000}"/>
    <cellStyle name="Normal 33 2 10" xfId="26980" xr:uid="{00000000-0005-0000-0000-0000CE550000}"/>
    <cellStyle name="Normal 33 2 11" xfId="27484" xr:uid="{00000000-0005-0000-0000-0000CF550000}"/>
    <cellStyle name="Normal 33 2 12" xfId="27988" xr:uid="{00000000-0005-0000-0000-0000D0550000}"/>
    <cellStyle name="Normal 33 2 13" xfId="28492" xr:uid="{00000000-0005-0000-0000-0000D1550000}"/>
    <cellStyle name="Normal 33 2 14" xfId="28996" xr:uid="{00000000-0005-0000-0000-0000D2550000}"/>
    <cellStyle name="Normal 33 2 15" xfId="29500" xr:uid="{00000000-0005-0000-0000-0000D3550000}"/>
    <cellStyle name="Normal 33 2 16" xfId="30004" xr:uid="{00000000-0005-0000-0000-0000D4550000}"/>
    <cellStyle name="Normal 33 2 17" xfId="30508" xr:uid="{00000000-0005-0000-0000-0000D5550000}"/>
    <cellStyle name="Normal 33 2 18" xfId="31013" xr:uid="{00000000-0005-0000-0000-0000D6550000}"/>
    <cellStyle name="Normal 33 2 2" xfId="4340" xr:uid="{00000000-0005-0000-0000-0000D7550000}"/>
    <cellStyle name="Normal 33 2 2 2" xfId="6212" xr:uid="{00000000-0005-0000-0000-0000D8550000}"/>
    <cellStyle name="Normal 33 2 2 3" xfId="24209" xr:uid="{00000000-0005-0000-0000-0000D9550000}"/>
    <cellStyle name="Normal 33 2 3" xfId="5304" xr:uid="{00000000-0005-0000-0000-0000DA550000}"/>
    <cellStyle name="Normal 33 2 4" xfId="14557" xr:uid="{00000000-0005-0000-0000-0000DB550000}"/>
    <cellStyle name="Normal 33 2 5" xfId="24208" xr:uid="{00000000-0005-0000-0000-0000DC550000}"/>
    <cellStyle name="Normal 33 2 6" xfId="24964" xr:uid="{00000000-0005-0000-0000-0000DD550000}"/>
    <cellStyle name="Normal 33 2 7" xfId="25468" xr:uid="{00000000-0005-0000-0000-0000DE550000}"/>
    <cellStyle name="Normal 33 2 8" xfId="25972" xr:uid="{00000000-0005-0000-0000-0000DF550000}"/>
    <cellStyle name="Normal 33 2 9" xfId="26476" xr:uid="{00000000-0005-0000-0000-0000E0550000}"/>
    <cellStyle name="Normal 33 20" xfId="30507" xr:uid="{00000000-0005-0000-0000-0000E1550000}"/>
    <cellStyle name="Normal 33 21" xfId="31012" xr:uid="{00000000-0005-0000-0000-0000E2550000}"/>
    <cellStyle name="Normal 33 3" xfId="2704" xr:uid="{00000000-0005-0000-0000-0000E3550000}"/>
    <cellStyle name="Normal 33 3 2" xfId="4385" xr:uid="{00000000-0005-0000-0000-0000E4550000}"/>
    <cellStyle name="Normal 33 3 2 2" xfId="6255" xr:uid="{00000000-0005-0000-0000-0000E5550000}"/>
    <cellStyle name="Normal 33 3 3" xfId="5352" xr:uid="{00000000-0005-0000-0000-0000E6550000}"/>
    <cellStyle name="Normal 33 3 4" xfId="19517" xr:uid="{00000000-0005-0000-0000-0000E7550000}"/>
    <cellStyle name="Normal 33 3 5" xfId="24210" xr:uid="{00000000-0005-0000-0000-0000E8550000}"/>
    <cellStyle name="Normal 33 4" xfId="3695" xr:uid="{00000000-0005-0000-0000-0000E9550000}"/>
    <cellStyle name="Normal 33 5" xfId="3503" xr:uid="{00000000-0005-0000-0000-0000EA550000}"/>
    <cellStyle name="Normal 33 5 2" xfId="5789" xr:uid="{00000000-0005-0000-0000-0000EB550000}"/>
    <cellStyle name="Normal 33 6" xfId="7030" xr:uid="{00000000-0005-0000-0000-0000EC550000}"/>
    <cellStyle name="Normal 33 7" xfId="7236" xr:uid="{00000000-0005-0000-0000-0000ED550000}"/>
    <cellStyle name="Normal 33 8" xfId="24207" xr:uid="{00000000-0005-0000-0000-0000EE550000}"/>
    <cellStyle name="Normal 33 9" xfId="24963" xr:uid="{00000000-0005-0000-0000-0000EF550000}"/>
    <cellStyle name="Normal 34" xfId="716" xr:uid="{00000000-0005-0000-0000-0000F0550000}"/>
    <cellStyle name="Normal 34 2" xfId="14559" xr:uid="{00000000-0005-0000-0000-0000F1550000}"/>
    <cellStyle name="Normal 34 2 2" xfId="19519" xr:uid="{00000000-0005-0000-0000-0000F2550000}"/>
    <cellStyle name="Normal 34 3" xfId="14560" xr:uid="{00000000-0005-0000-0000-0000F3550000}"/>
    <cellStyle name="Normal 34 3 2" xfId="19520" xr:uid="{00000000-0005-0000-0000-0000F4550000}"/>
    <cellStyle name="Normal 34 4" xfId="14561" xr:uid="{00000000-0005-0000-0000-0000F5550000}"/>
    <cellStyle name="Normal 34 4 2" xfId="19521" xr:uid="{00000000-0005-0000-0000-0000F6550000}"/>
    <cellStyle name="Normal 34 5" xfId="14558" xr:uid="{00000000-0005-0000-0000-0000F7550000}"/>
    <cellStyle name="Normal 34 6" xfId="19518" xr:uid="{00000000-0005-0000-0000-0000F8550000}"/>
    <cellStyle name="Normal 35" xfId="717" xr:uid="{00000000-0005-0000-0000-0000F9550000}"/>
    <cellStyle name="Normal 35 10" xfId="25469" xr:uid="{00000000-0005-0000-0000-0000FA550000}"/>
    <cellStyle name="Normal 35 11" xfId="25973" xr:uid="{00000000-0005-0000-0000-0000FB550000}"/>
    <cellStyle name="Normal 35 12" xfId="26477" xr:uid="{00000000-0005-0000-0000-0000FC550000}"/>
    <cellStyle name="Normal 35 13" xfId="26981" xr:uid="{00000000-0005-0000-0000-0000FD550000}"/>
    <cellStyle name="Normal 35 14" xfId="27485" xr:uid="{00000000-0005-0000-0000-0000FE550000}"/>
    <cellStyle name="Normal 35 15" xfId="27989" xr:uid="{00000000-0005-0000-0000-0000FF550000}"/>
    <cellStyle name="Normal 35 16" xfId="28493" xr:uid="{00000000-0005-0000-0000-000000560000}"/>
    <cellStyle name="Normal 35 17" xfId="28997" xr:uid="{00000000-0005-0000-0000-000001560000}"/>
    <cellStyle name="Normal 35 18" xfId="29501" xr:uid="{00000000-0005-0000-0000-000002560000}"/>
    <cellStyle name="Normal 35 19" xfId="30005" xr:uid="{00000000-0005-0000-0000-000003560000}"/>
    <cellStyle name="Normal 35 2" xfId="2446" xr:uid="{00000000-0005-0000-0000-000004560000}"/>
    <cellStyle name="Normal 35 2 2" xfId="4341" xr:uid="{00000000-0005-0000-0000-000005560000}"/>
    <cellStyle name="Normal 35 2 2 2" xfId="6213" xr:uid="{00000000-0005-0000-0000-000006560000}"/>
    <cellStyle name="Normal 35 2 3" xfId="5305" xr:uid="{00000000-0005-0000-0000-000007560000}"/>
    <cellStyle name="Normal 35 2 4" xfId="14562" xr:uid="{00000000-0005-0000-0000-000008560000}"/>
    <cellStyle name="Normal 35 2 5" xfId="24212" xr:uid="{00000000-0005-0000-0000-000009560000}"/>
    <cellStyle name="Normal 35 20" xfId="30509" xr:uid="{00000000-0005-0000-0000-00000A560000}"/>
    <cellStyle name="Normal 35 21" xfId="31014" xr:uid="{00000000-0005-0000-0000-00000B560000}"/>
    <cellStyle name="Normal 35 3" xfId="2705" xr:uid="{00000000-0005-0000-0000-00000C560000}"/>
    <cellStyle name="Normal 35 3 10" xfId="26982" xr:uid="{00000000-0005-0000-0000-00000D560000}"/>
    <cellStyle name="Normal 35 3 11" xfId="27486" xr:uid="{00000000-0005-0000-0000-00000E560000}"/>
    <cellStyle name="Normal 35 3 12" xfId="27990" xr:uid="{00000000-0005-0000-0000-00000F560000}"/>
    <cellStyle name="Normal 35 3 13" xfId="28494" xr:uid="{00000000-0005-0000-0000-000010560000}"/>
    <cellStyle name="Normal 35 3 14" xfId="28998" xr:uid="{00000000-0005-0000-0000-000011560000}"/>
    <cellStyle name="Normal 35 3 15" xfId="29502" xr:uid="{00000000-0005-0000-0000-000012560000}"/>
    <cellStyle name="Normal 35 3 16" xfId="30006" xr:uid="{00000000-0005-0000-0000-000013560000}"/>
    <cellStyle name="Normal 35 3 17" xfId="30510" xr:uid="{00000000-0005-0000-0000-000014560000}"/>
    <cellStyle name="Normal 35 3 18" xfId="31015" xr:uid="{00000000-0005-0000-0000-000015560000}"/>
    <cellStyle name="Normal 35 3 2" xfId="4386" xr:uid="{00000000-0005-0000-0000-000016560000}"/>
    <cellStyle name="Normal 35 3 2 2" xfId="6256" xr:uid="{00000000-0005-0000-0000-000017560000}"/>
    <cellStyle name="Normal 35 3 3" xfId="5353" xr:uid="{00000000-0005-0000-0000-000018560000}"/>
    <cellStyle name="Normal 35 3 4" xfId="19522" xr:uid="{00000000-0005-0000-0000-000019560000}"/>
    <cellStyle name="Normal 35 3 5" xfId="24213" xr:uid="{00000000-0005-0000-0000-00001A560000}"/>
    <cellStyle name="Normal 35 3 6" xfId="24966" xr:uid="{00000000-0005-0000-0000-00001B560000}"/>
    <cellStyle name="Normal 35 3 7" xfId="25470" xr:uid="{00000000-0005-0000-0000-00001C560000}"/>
    <cellStyle name="Normal 35 3 8" xfId="25974" xr:uid="{00000000-0005-0000-0000-00001D560000}"/>
    <cellStyle name="Normal 35 3 9" xfId="26478" xr:uid="{00000000-0005-0000-0000-00001E560000}"/>
    <cellStyle name="Normal 35 4" xfId="3696" xr:uid="{00000000-0005-0000-0000-00001F560000}"/>
    <cellStyle name="Normal 35 5" xfId="3504" xr:uid="{00000000-0005-0000-0000-000020560000}"/>
    <cellStyle name="Normal 35 5 2" xfId="5790" xr:uid="{00000000-0005-0000-0000-000021560000}"/>
    <cellStyle name="Normal 35 6" xfId="7031" xr:uid="{00000000-0005-0000-0000-000022560000}"/>
    <cellStyle name="Normal 35 7" xfId="7237" xr:uid="{00000000-0005-0000-0000-000023560000}"/>
    <cellStyle name="Normal 35 8" xfId="24211" xr:uid="{00000000-0005-0000-0000-000024560000}"/>
    <cellStyle name="Normal 35 9" xfId="24965" xr:uid="{00000000-0005-0000-0000-000025560000}"/>
    <cellStyle name="Normal 36" xfId="718" xr:uid="{00000000-0005-0000-0000-000026560000}"/>
    <cellStyle name="Normal 36 2" xfId="14564" xr:uid="{00000000-0005-0000-0000-000027560000}"/>
    <cellStyle name="Normal 36 2 2" xfId="19524" xr:uid="{00000000-0005-0000-0000-000028560000}"/>
    <cellStyle name="Normal 36 3" xfId="14565" xr:uid="{00000000-0005-0000-0000-000029560000}"/>
    <cellStyle name="Normal 36 3 2" xfId="19525" xr:uid="{00000000-0005-0000-0000-00002A560000}"/>
    <cellStyle name="Normal 36 4" xfId="14566" xr:uid="{00000000-0005-0000-0000-00002B560000}"/>
    <cellStyle name="Normal 36 4 2" xfId="19526" xr:uid="{00000000-0005-0000-0000-00002C560000}"/>
    <cellStyle name="Normal 36 5" xfId="14563" xr:uid="{00000000-0005-0000-0000-00002D560000}"/>
    <cellStyle name="Normal 36 6" xfId="19523" xr:uid="{00000000-0005-0000-0000-00002E560000}"/>
    <cellStyle name="Normal 37" xfId="719" xr:uid="{00000000-0005-0000-0000-00002F560000}"/>
    <cellStyle name="Normal 37 2" xfId="14568" xr:uid="{00000000-0005-0000-0000-000030560000}"/>
    <cellStyle name="Normal 37 2 2" xfId="19528" xr:uid="{00000000-0005-0000-0000-000031560000}"/>
    <cellStyle name="Normal 37 3" xfId="14569" xr:uid="{00000000-0005-0000-0000-000032560000}"/>
    <cellStyle name="Normal 37 3 2" xfId="19529" xr:uid="{00000000-0005-0000-0000-000033560000}"/>
    <cellStyle name="Normal 37 4" xfId="14570" xr:uid="{00000000-0005-0000-0000-000034560000}"/>
    <cellStyle name="Normal 37 4 2" xfId="19530" xr:uid="{00000000-0005-0000-0000-000035560000}"/>
    <cellStyle name="Normal 37 5" xfId="14567" xr:uid="{00000000-0005-0000-0000-000036560000}"/>
    <cellStyle name="Normal 37 6" xfId="19527" xr:uid="{00000000-0005-0000-0000-000037560000}"/>
    <cellStyle name="Normal 38" xfId="720" xr:uid="{00000000-0005-0000-0000-000038560000}"/>
    <cellStyle name="Normal 38 2" xfId="14572" xr:uid="{00000000-0005-0000-0000-000039560000}"/>
    <cellStyle name="Normal 38 2 2" xfId="19532" xr:uid="{00000000-0005-0000-0000-00003A560000}"/>
    <cellStyle name="Normal 38 3" xfId="14573" xr:uid="{00000000-0005-0000-0000-00003B560000}"/>
    <cellStyle name="Normal 38 3 2" xfId="19533" xr:uid="{00000000-0005-0000-0000-00003C560000}"/>
    <cellStyle name="Normal 38 4" xfId="14574" xr:uid="{00000000-0005-0000-0000-00003D560000}"/>
    <cellStyle name="Normal 38 4 2" xfId="19534" xr:uid="{00000000-0005-0000-0000-00003E560000}"/>
    <cellStyle name="Normal 38 5" xfId="14571" xr:uid="{00000000-0005-0000-0000-00003F560000}"/>
    <cellStyle name="Normal 38 6" xfId="19531" xr:uid="{00000000-0005-0000-0000-000040560000}"/>
    <cellStyle name="Normal 39" xfId="721" xr:uid="{00000000-0005-0000-0000-000041560000}"/>
    <cellStyle name="Normal 39 2" xfId="14576" xr:uid="{00000000-0005-0000-0000-000042560000}"/>
    <cellStyle name="Normal 39 2 2" xfId="19536" xr:uid="{00000000-0005-0000-0000-000043560000}"/>
    <cellStyle name="Normal 39 3" xfId="14577" xr:uid="{00000000-0005-0000-0000-000044560000}"/>
    <cellStyle name="Normal 39 3 2" xfId="19537" xr:uid="{00000000-0005-0000-0000-000045560000}"/>
    <cellStyle name="Normal 39 4" xfId="14578" xr:uid="{00000000-0005-0000-0000-000046560000}"/>
    <cellStyle name="Normal 39 4 2" xfId="19538" xr:uid="{00000000-0005-0000-0000-000047560000}"/>
    <cellStyle name="Normal 39 5" xfId="14575" xr:uid="{00000000-0005-0000-0000-000048560000}"/>
    <cellStyle name="Normal 39 6" xfId="19535" xr:uid="{00000000-0005-0000-0000-000049560000}"/>
    <cellStyle name="Normal 4" xfId="290" xr:uid="{00000000-0005-0000-0000-00004A560000}"/>
    <cellStyle name="Normal 4 10" xfId="14580" xr:uid="{00000000-0005-0000-0000-00004B560000}"/>
    <cellStyle name="Normal 4 10 2" xfId="19540" xr:uid="{00000000-0005-0000-0000-00004C560000}"/>
    <cellStyle name="Normal 4 11" xfId="14579" xr:uid="{00000000-0005-0000-0000-00004D560000}"/>
    <cellStyle name="Normal 4 12" xfId="19539" xr:uid="{00000000-0005-0000-0000-00004E560000}"/>
    <cellStyle name="Normal 4 13" xfId="32004" xr:uid="{1A65F81B-2FF5-4FC2-8F8E-E867347617C1}"/>
    <cellStyle name="Normal 4 2" xfId="291" xr:uid="{00000000-0005-0000-0000-00004F560000}"/>
    <cellStyle name="Normal 4 2 10" xfId="14581" xr:uid="{00000000-0005-0000-0000-000050560000}"/>
    <cellStyle name="Normal 4 2 11" xfId="19541" xr:uid="{00000000-0005-0000-0000-000051560000}"/>
    <cellStyle name="Normal 4 2 12" xfId="23117" xr:uid="{00000000-0005-0000-0000-000052560000}"/>
    <cellStyle name="Normal 4 2 2" xfId="2448" xr:uid="{00000000-0005-0000-0000-000053560000}"/>
    <cellStyle name="Normal 4 2 2 2" xfId="14583" xr:uid="{00000000-0005-0000-0000-000054560000}"/>
    <cellStyle name="Normal 4 2 2 2 2" xfId="19543" xr:uid="{00000000-0005-0000-0000-000055560000}"/>
    <cellStyle name="Normal 4 2 2 2 3" xfId="24214" xr:uid="{00000000-0005-0000-0000-000056560000}"/>
    <cellStyle name="Normal 4 2 2 3" xfId="14584" xr:uid="{00000000-0005-0000-0000-000057560000}"/>
    <cellStyle name="Normal 4 2 2 3 2" xfId="19544" xr:uid="{00000000-0005-0000-0000-000058560000}"/>
    <cellStyle name="Normal 4 2 2 3 3" xfId="24215" xr:uid="{00000000-0005-0000-0000-000059560000}"/>
    <cellStyle name="Normal 4 2 2 4" xfId="14582" xr:uid="{00000000-0005-0000-0000-00005A560000}"/>
    <cellStyle name="Normal 4 2 2 5" xfId="19542" xr:uid="{00000000-0005-0000-0000-00005B560000}"/>
    <cellStyle name="Normal 4 2 3" xfId="2449" xr:uid="{00000000-0005-0000-0000-00005C560000}"/>
    <cellStyle name="Normal 4 2 3 2" xfId="14586" xr:uid="{00000000-0005-0000-0000-00005D560000}"/>
    <cellStyle name="Normal 4 2 3 2 2" xfId="19546" xr:uid="{00000000-0005-0000-0000-00005E560000}"/>
    <cellStyle name="Normal 4 2 3 3" xfId="14585" xr:uid="{00000000-0005-0000-0000-00005F560000}"/>
    <cellStyle name="Normal 4 2 3 4" xfId="19545" xr:uid="{00000000-0005-0000-0000-000060560000}"/>
    <cellStyle name="Normal 4 2 4" xfId="14587" xr:uid="{00000000-0005-0000-0000-000061560000}"/>
    <cellStyle name="Normal 4 2 4 10" xfId="27991" xr:uid="{00000000-0005-0000-0000-000062560000}"/>
    <cellStyle name="Normal 4 2 4 11" xfId="28495" xr:uid="{00000000-0005-0000-0000-000063560000}"/>
    <cellStyle name="Normal 4 2 4 12" xfId="28999" xr:uid="{00000000-0005-0000-0000-000064560000}"/>
    <cellStyle name="Normal 4 2 4 13" xfId="29503" xr:uid="{00000000-0005-0000-0000-000065560000}"/>
    <cellStyle name="Normal 4 2 4 14" xfId="30007" xr:uid="{00000000-0005-0000-0000-000066560000}"/>
    <cellStyle name="Normal 4 2 4 15" xfId="30511" xr:uid="{00000000-0005-0000-0000-000067560000}"/>
    <cellStyle name="Normal 4 2 4 16" xfId="31016" xr:uid="{00000000-0005-0000-0000-000068560000}"/>
    <cellStyle name="Normal 4 2 4 2" xfId="19547" xr:uid="{00000000-0005-0000-0000-000069560000}"/>
    <cellStyle name="Normal 4 2 4 3" xfId="24216" xr:uid="{00000000-0005-0000-0000-00006A560000}"/>
    <cellStyle name="Normal 4 2 4 4" xfId="24967" xr:uid="{00000000-0005-0000-0000-00006B560000}"/>
    <cellStyle name="Normal 4 2 4 5" xfId="25471" xr:uid="{00000000-0005-0000-0000-00006C560000}"/>
    <cellStyle name="Normal 4 2 4 6" xfId="25975" xr:uid="{00000000-0005-0000-0000-00006D560000}"/>
    <cellStyle name="Normal 4 2 4 7" xfId="26479" xr:uid="{00000000-0005-0000-0000-00006E560000}"/>
    <cellStyle name="Normal 4 2 4 8" xfId="26983" xr:uid="{00000000-0005-0000-0000-00006F560000}"/>
    <cellStyle name="Normal 4 2 4 9" xfId="27487" xr:uid="{00000000-0005-0000-0000-000070560000}"/>
    <cellStyle name="Normal 4 2 5" xfId="14588" xr:uid="{00000000-0005-0000-0000-000071560000}"/>
    <cellStyle name="Normal 4 2 5 2" xfId="19548" xr:uid="{00000000-0005-0000-0000-000072560000}"/>
    <cellStyle name="Normal 4 2 6" xfId="14589" xr:uid="{00000000-0005-0000-0000-000073560000}"/>
    <cellStyle name="Normal 4 2 6 2" xfId="19549" xr:uid="{00000000-0005-0000-0000-000074560000}"/>
    <cellStyle name="Normal 4 2 7" xfId="14590" xr:uid="{00000000-0005-0000-0000-000075560000}"/>
    <cellStyle name="Normal 4 2 7 2" xfId="19550" xr:uid="{00000000-0005-0000-0000-000076560000}"/>
    <cellStyle name="Normal 4 2 8" xfId="14591" xr:uid="{00000000-0005-0000-0000-000077560000}"/>
    <cellStyle name="Normal 4 2 8 2" xfId="19551" xr:uid="{00000000-0005-0000-0000-000078560000}"/>
    <cellStyle name="Normal 4 2 9" xfId="14592" xr:uid="{00000000-0005-0000-0000-000079560000}"/>
    <cellStyle name="Normal 4 2 9 2" xfId="19552" xr:uid="{00000000-0005-0000-0000-00007A560000}"/>
    <cellStyle name="Normal 4 3" xfId="1279" xr:uid="{00000000-0005-0000-0000-00007B560000}"/>
    <cellStyle name="Normal 4 3 10" xfId="23118" xr:uid="{00000000-0005-0000-0000-00007C560000}"/>
    <cellStyle name="Normal 4 3 2" xfId="2450" xr:uid="{00000000-0005-0000-0000-00007D560000}"/>
    <cellStyle name="Normal 4 3 2 2" xfId="2451" xr:uid="{00000000-0005-0000-0000-00007E560000}"/>
    <cellStyle name="Normal 4 3 2 2 2" xfId="14596" xr:uid="{00000000-0005-0000-0000-00007F560000}"/>
    <cellStyle name="Normal 4 3 2 2 2 2" xfId="19556" xr:uid="{00000000-0005-0000-0000-000080560000}"/>
    <cellStyle name="Normal 4 3 2 2 3" xfId="14595" xr:uid="{00000000-0005-0000-0000-000081560000}"/>
    <cellStyle name="Normal 4 3 2 2 4" xfId="19555" xr:uid="{00000000-0005-0000-0000-000082560000}"/>
    <cellStyle name="Normal 4 3 2 3" xfId="14597" xr:uid="{00000000-0005-0000-0000-000083560000}"/>
    <cellStyle name="Normal 4 3 2 3 2" xfId="19557" xr:uid="{00000000-0005-0000-0000-000084560000}"/>
    <cellStyle name="Normal 4 3 2 3 3" xfId="24217" xr:uid="{00000000-0005-0000-0000-000085560000}"/>
    <cellStyle name="Normal 4 3 2 4" xfId="14598" xr:uid="{00000000-0005-0000-0000-000086560000}"/>
    <cellStyle name="Normal 4 3 2 4 2" xfId="19558" xr:uid="{00000000-0005-0000-0000-000087560000}"/>
    <cellStyle name="Normal 4 3 2 5" xfId="14599" xr:uid="{00000000-0005-0000-0000-000088560000}"/>
    <cellStyle name="Normal 4 3 2 5 2" xfId="19559" xr:uid="{00000000-0005-0000-0000-000089560000}"/>
    <cellStyle name="Normal 4 3 2 6" xfId="14594" xr:uid="{00000000-0005-0000-0000-00008A560000}"/>
    <cellStyle name="Normal 4 3 2 7" xfId="19554" xr:uid="{00000000-0005-0000-0000-00008B560000}"/>
    <cellStyle name="Normal 4 3 3" xfId="3505" xr:uid="{00000000-0005-0000-0000-00008C560000}"/>
    <cellStyle name="Normal 4 3 3 2" xfId="14601" xr:uid="{00000000-0005-0000-0000-00008D560000}"/>
    <cellStyle name="Normal 4 3 3 2 2" xfId="19561" xr:uid="{00000000-0005-0000-0000-00008E560000}"/>
    <cellStyle name="Normal 4 3 3 3" xfId="14602" xr:uid="{00000000-0005-0000-0000-00008F560000}"/>
    <cellStyle name="Normal 4 3 3 3 2" xfId="19562" xr:uid="{00000000-0005-0000-0000-000090560000}"/>
    <cellStyle name="Normal 4 3 3 4" xfId="14603" xr:uid="{00000000-0005-0000-0000-000091560000}"/>
    <cellStyle name="Normal 4 3 3 4 2" xfId="19563" xr:uid="{00000000-0005-0000-0000-000092560000}"/>
    <cellStyle name="Normal 4 3 3 5" xfId="19560" xr:uid="{00000000-0005-0000-0000-000093560000}"/>
    <cellStyle name="Normal 4 3 3 6" xfId="14600" xr:uid="{00000000-0005-0000-0000-000094560000}"/>
    <cellStyle name="Normal 4 3 4" xfId="14604" xr:uid="{00000000-0005-0000-0000-000095560000}"/>
    <cellStyle name="Normal 4 3 4 2" xfId="19564" xr:uid="{00000000-0005-0000-0000-000096560000}"/>
    <cellStyle name="Normal 4 3 4 3" xfId="24218" xr:uid="{00000000-0005-0000-0000-000097560000}"/>
    <cellStyle name="Normal 4 3 5" xfId="14605" xr:uid="{00000000-0005-0000-0000-000098560000}"/>
    <cellStyle name="Normal 4 3 5 2" xfId="19565" xr:uid="{00000000-0005-0000-0000-000099560000}"/>
    <cellStyle name="Normal 4 3 6" xfId="14606" xr:uid="{00000000-0005-0000-0000-00009A560000}"/>
    <cellStyle name="Normal 4 3 6 2" xfId="19566" xr:uid="{00000000-0005-0000-0000-00009B560000}"/>
    <cellStyle name="Normal 4 3 7" xfId="14607" xr:uid="{00000000-0005-0000-0000-00009C560000}"/>
    <cellStyle name="Normal 4 3 7 2" xfId="19567" xr:uid="{00000000-0005-0000-0000-00009D560000}"/>
    <cellStyle name="Normal 4 3 8" xfId="14593" xr:uid="{00000000-0005-0000-0000-00009E560000}"/>
    <cellStyle name="Normal 4 3 9" xfId="19553" xr:uid="{00000000-0005-0000-0000-00009F560000}"/>
    <cellStyle name="Normal 4 4" xfId="2452" xr:uid="{00000000-0005-0000-0000-0000A0560000}"/>
    <cellStyle name="Normal 4 4 2" xfId="3506" xr:uid="{00000000-0005-0000-0000-0000A1560000}"/>
    <cellStyle name="Normal 4 4 2 2" xfId="5791" xr:uid="{00000000-0005-0000-0000-0000A2560000}"/>
    <cellStyle name="Normal 4 4 2 2 10" xfId="27992" xr:uid="{00000000-0005-0000-0000-0000A3560000}"/>
    <cellStyle name="Normal 4 4 2 2 11" xfId="28496" xr:uid="{00000000-0005-0000-0000-0000A4560000}"/>
    <cellStyle name="Normal 4 4 2 2 12" xfId="29000" xr:uid="{00000000-0005-0000-0000-0000A5560000}"/>
    <cellStyle name="Normal 4 4 2 2 13" xfId="29504" xr:uid="{00000000-0005-0000-0000-0000A6560000}"/>
    <cellStyle name="Normal 4 4 2 2 14" xfId="30008" xr:uid="{00000000-0005-0000-0000-0000A7560000}"/>
    <cellStyle name="Normal 4 4 2 2 15" xfId="30512" xr:uid="{00000000-0005-0000-0000-0000A8560000}"/>
    <cellStyle name="Normal 4 4 2 2 16" xfId="31017" xr:uid="{00000000-0005-0000-0000-0000A9560000}"/>
    <cellStyle name="Normal 4 4 2 2 2" xfId="19569" xr:uid="{00000000-0005-0000-0000-0000AA560000}"/>
    <cellStyle name="Normal 4 4 2 2 3" xfId="24220" xr:uid="{00000000-0005-0000-0000-0000AB560000}"/>
    <cellStyle name="Normal 4 4 2 2 4" xfId="24968" xr:uid="{00000000-0005-0000-0000-0000AC560000}"/>
    <cellStyle name="Normal 4 4 2 2 5" xfId="25472" xr:uid="{00000000-0005-0000-0000-0000AD560000}"/>
    <cellStyle name="Normal 4 4 2 2 6" xfId="25976" xr:uid="{00000000-0005-0000-0000-0000AE560000}"/>
    <cellStyle name="Normal 4 4 2 2 7" xfId="26480" xr:uid="{00000000-0005-0000-0000-0000AF560000}"/>
    <cellStyle name="Normal 4 4 2 2 8" xfId="26984" xr:uid="{00000000-0005-0000-0000-0000B0560000}"/>
    <cellStyle name="Normal 4 4 2 2 9" xfId="27488" xr:uid="{00000000-0005-0000-0000-0000B1560000}"/>
    <cellStyle name="Normal 4 4 2 3" xfId="7032" xr:uid="{00000000-0005-0000-0000-0000B2560000}"/>
    <cellStyle name="Normal 4 4 2 4" xfId="14609" xr:uid="{00000000-0005-0000-0000-0000B3560000}"/>
    <cellStyle name="Normal 4 4 2 5" xfId="24219" xr:uid="{00000000-0005-0000-0000-0000B4560000}"/>
    <cellStyle name="Normal 4 4 3" xfId="14610" xr:uid="{00000000-0005-0000-0000-0000B5560000}"/>
    <cellStyle name="Normal 4 4 3 2" xfId="19570" xr:uid="{00000000-0005-0000-0000-0000B6560000}"/>
    <cellStyle name="Normal 4 4 3 3" xfId="24221" xr:uid="{00000000-0005-0000-0000-0000B7560000}"/>
    <cellStyle name="Normal 4 4 4" xfId="14611" xr:uid="{00000000-0005-0000-0000-0000B8560000}"/>
    <cellStyle name="Normal 4 4 4 2" xfId="19571" xr:uid="{00000000-0005-0000-0000-0000B9560000}"/>
    <cellStyle name="Normal 4 4 5" xfId="14612" xr:uid="{00000000-0005-0000-0000-0000BA560000}"/>
    <cellStyle name="Normal 4 4 5 2" xfId="19572" xr:uid="{00000000-0005-0000-0000-0000BB560000}"/>
    <cellStyle name="Normal 4 4 6" xfId="14608" xr:uid="{00000000-0005-0000-0000-0000BC560000}"/>
    <cellStyle name="Normal 4 4 7" xfId="19568" xr:uid="{00000000-0005-0000-0000-0000BD560000}"/>
    <cellStyle name="Normal 4 5" xfId="2453" xr:uid="{00000000-0005-0000-0000-0000BE560000}"/>
    <cellStyle name="Normal 4 5 10" xfId="25977" xr:uid="{00000000-0005-0000-0000-0000BF560000}"/>
    <cellStyle name="Normal 4 5 11" xfId="26481" xr:uid="{00000000-0005-0000-0000-0000C0560000}"/>
    <cellStyle name="Normal 4 5 12" xfId="26985" xr:uid="{00000000-0005-0000-0000-0000C1560000}"/>
    <cellStyle name="Normal 4 5 13" xfId="27489" xr:uid="{00000000-0005-0000-0000-0000C2560000}"/>
    <cellStyle name="Normal 4 5 14" xfId="27993" xr:uid="{00000000-0005-0000-0000-0000C3560000}"/>
    <cellStyle name="Normal 4 5 15" xfId="28497" xr:uid="{00000000-0005-0000-0000-0000C4560000}"/>
    <cellStyle name="Normal 4 5 16" xfId="29001" xr:uid="{00000000-0005-0000-0000-0000C5560000}"/>
    <cellStyle name="Normal 4 5 17" xfId="29505" xr:uid="{00000000-0005-0000-0000-0000C6560000}"/>
    <cellStyle name="Normal 4 5 18" xfId="30009" xr:uid="{00000000-0005-0000-0000-0000C7560000}"/>
    <cellStyle name="Normal 4 5 19" xfId="30513" xr:uid="{00000000-0005-0000-0000-0000C8560000}"/>
    <cellStyle name="Normal 4 5 2" xfId="2707" xr:uid="{00000000-0005-0000-0000-0000C9560000}"/>
    <cellStyle name="Normal 4 5 2 2" xfId="4388" xr:uid="{00000000-0005-0000-0000-0000CA560000}"/>
    <cellStyle name="Normal 4 5 2 2 2" xfId="6258" xr:uid="{00000000-0005-0000-0000-0000CB560000}"/>
    <cellStyle name="Normal 4 5 2 2 3" xfId="14614" xr:uid="{00000000-0005-0000-0000-0000CC560000}"/>
    <cellStyle name="Normal 4 5 2 3" xfId="5355" xr:uid="{00000000-0005-0000-0000-0000CD560000}"/>
    <cellStyle name="Normal 4 5 2 3 2" xfId="19574" xr:uid="{00000000-0005-0000-0000-0000CE560000}"/>
    <cellStyle name="Normal 4 5 2 4" xfId="7342" xr:uid="{00000000-0005-0000-0000-0000CF560000}"/>
    <cellStyle name="Normal 4 5 2 5" xfId="24223" xr:uid="{00000000-0005-0000-0000-0000D0560000}"/>
    <cellStyle name="Normal 4 5 20" xfId="31018" xr:uid="{00000000-0005-0000-0000-0000D1560000}"/>
    <cellStyle name="Normal 4 5 3" xfId="3507" xr:uid="{00000000-0005-0000-0000-0000D2560000}"/>
    <cellStyle name="Normal 4 5 3 10" xfId="27490" xr:uid="{00000000-0005-0000-0000-0000D3560000}"/>
    <cellStyle name="Normal 4 5 3 11" xfId="27994" xr:uid="{00000000-0005-0000-0000-0000D4560000}"/>
    <cellStyle name="Normal 4 5 3 12" xfId="28498" xr:uid="{00000000-0005-0000-0000-0000D5560000}"/>
    <cellStyle name="Normal 4 5 3 13" xfId="29002" xr:uid="{00000000-0005-0000-0000-0000D6560000}"/>
    <cellStyle name="Normal 4 5 3 14" xfId="29506" xr:uid="{00000000-0005-0000-0000-0000D7560000}"/>
    <cellStyle name="Normal 4 5 3 15" xfId="30010" xr:uid="{00000000-0005-0000-0000-0000D8560000}"/>
    <cellStyle name="Normal 4 5 3 16" xfId="30514" xr:uid="{00000000-0005-0000-0000-0000D9560000}"/>
    <cellStyle name="Normal 4 5 3 17" xfId="31019" xr:uid="{00000000-0005-0000-0000-0000DA560000}"/>
    <cellStyle name="Normal 4 5 3 2" xfId="5792" xr:uid="{00000000-0005-0000-0000-0000DB560000}"/>
    <cellStyle name="Normal 4 5 3 2 2" xfId="19575" xr:uid="{00000000-0005-0000-0000-0000DC560000}"/>
    <cellStyle name="Normal 4 5 3 3" xfId="14615" xr:uid="{00000000-0005-0000-0000-0000DD560000}"/>
    <cellStyle name="Normal 4 5 3 4" xfId="24224" xr:uid="{00000000-0005-0000-0000-0000DE560000}"/>
    <cellStyle name="Normal 4 5 3 5" xfId="24970" xr:uid="{00000000-0005-0000-0000-0000DF560000}"/>
    <cellStyle name="Normal 4 5 3 6" xfId="25474" xr:uid="{00000000-0005-0000-0000-0000E0560000}"/>
    <cellStyle name="Normal 4 5 3 7" xfId="25978" xr:uid="{00000000-0005-0000-0000-0000E1560000}"/>
    <cellStyle name="Normal 4 5 3 8" xfId="26482" xr:uid="{00000000-0005-0000-0000-0000E2560000}"/>
    <cellStyle name="Normal 4 5 3 9" xfId="26986" xr:uid="{00000000-0005-0000-0000-0000E3560000}"/>
    <cellStyle name="Normal 4 5 4" xfId="5307" xr:uid="{00000000-0005-0000-0000-0000E4560000}"/>
    <cellStyle name="Normal 4 5 4 2" xfId="14613" xr:uid="{00000000-0005-0000-0000-0000E5560000}"/>
    <cellStyle name="Normal 4 5 4 3" xfId="24225" xr:uid="{00000000-0005-0000-0000-0000E6560000}"/>
    <cellStyle name="Normal 4 5 5" xfId="7033" xr:uid="{00000000-0005-0000-0000-0000E7560000}"/>
    <cellStyle name="Normal 4 5 5 2" xfId="19573" xr:uid="{00000000-0005-0000-0000-0000E8560000}"/>
    <cellStyle name="Normal 4 5 6" xfId="7239" xr:uid="{00000000-0005-0000-0000-0000E9560000}"/>
    <cellStyle name="Normal 4 5 7" xfId="24222" xr:uid="{00000000-0005-0000-0000-0000EA560000}"/>
    <cellStyle name="Normal 4 5 8" xfId="24969" xr:uid="{00000000-0005-0000-0000-0000EB560000}"/>
    <cellStyle name="Normal 4 5 9" xfId="25473" xr:uid="{00000000-0005-0000-0000-0000EC560000}"/>
    <cellStyle name="Normal 4 6" xfId="2454" xr:uid="{00000000-0005-0000-0000-0000ED560000}"/>
    <cellStyle name="Normal 4 6 2" xfId="14617" xr:uid="{00000000-0005-0000-0000-0000EE560000}"/>
    <cellStyle name="Normal 4 6 2 2" xfId="19577" xr:uid="{00000000-0005-0000-0000-0000EF560000}"/>
    <cellStyle name="Normal 4 6 2 3" xfId="24226" xr:uid="{00000000-0005-0000-0000-0000F0560000}"/>
    <cellStyle name="Normal 4 6 3" xfId="14616" xr:uid="{00000000-0005-0000-0000-0000F1560000}"/>
    <cellStyle name="Normal 4 6 3 2" xfId="24227" xr:uid="{00000000-0005-0000-0000-0000F2560000}"/>
    <cellStyle name="Normal 4 6 4" xfId="19576" xr:uid="{00000000-0005-0000-0000-0000F3560000}"/>
    <cellStyle name="Normal 4 6 4 2" xfId="24228" xr:uid="{00000000-0005-0000-0000-0000F4560000}"/>
    <cellStyle name="Normal 4 7" xfId="2455" xr:uid="{00000000-0005-0000-0000-0000F5560000}"/>
    <cellStyle name="Normal 4 7 2" xfId="14618" xr:uid="{00000000-0005-0000-0000-0000F6560000}"/>
    <cellStyle name="Normal 4 7 3" xfId="19578" xr:uid="{00000000-0005-0000-0000-0000F7560000}"/>
    <cellStyle name="Normal 4 8" xfId="2447" xr:uid="{00000000-0005-0000-0000-0000F8560000}"/>
    <cellStyle name="Normal 4 8 2" xfId="4342" xr:uid="{00000000-0005-0000-0000-0000F9560000}"/>
    <cellStyle name="Normal 4 8 2 2" xfId="6214" xr:uid="{00000000-0005-0000-0000-0000FA560000}"/>
    <cellStyle name="Normal 4 8 2 3" xfId="14619" xr:uid="{00000000-0005-0000-0000-0000FB560000}"/>
    <cellStyle name="Normal 4 8 3" xfId="5306" xr:uid="{00000000-0005-0000-0000-0000FC560000}"/>
    <cellStyle name="Normal 4 8 3 2" xfId="19579" xr:uid="{00000000-0005-0000-0000-0000FD560000}"/>
    <cellStyle name="Normal 4 8 4" xfId="7238" xr:uid="{00000000-0005-0000-0000-0000FE560000}"/>
    <cellStyle name="Normal 4 8 5" xfId="24229" xr:uid="{00000000-0005-0000-0000-0000FF560000}"/>
    <cellStyle name="Normal 4 9" xfId="2706" xr:uid="{00000000-0005-0000-0000-000000570000}"/>
    <cellStyle name="Normal 4 9 10" xfId="26987" xr:uid="{00000000-0005-0000-0000-000001570000}"/>
    <cellStyle name="Normal 4 9 11" xfId="27491" xr:uid="{00000000-0005-0000-0000-000002570000}"/>
    <cellStyle name="Normal 4 9 12" xfId="27995" xr:uid="{00000000-0005-0000-0000-000003570000}"/>
    <cellStyle name="Normal 4 9 13" xfId="28499" xr:uid="{00000000-0005-0000-0000-000004570000}"/>
    <cellStyle name="Normal 4 9 14" xfId="29003" xr:uid="{00000000-0005-0000-0000-000005570000}"/>
    <cellStyle name="Normal 4 9 15" xfId="29507" xr:uid="{00000000-0005-0000-0000-000006570000}"/>
    <cellStyle name="Normal 4 9 16" xfId="30011" xr:uid="{00000000-0005-0000-0000-000007570000}"/>
    <cellStyle name="Normal 4 9 17" xfId="30515" xr:uid="{00000000-0005-0000-0000-000008570000}"/>
    <cellStyle name="Normal 4 9 18" xfId="31020" xr:uid="{00000000-0005-0000-0000-000009570000}"/>
    <cellStyle name="Normal 4 9 2" xfId="4387" xr:uid="{00000000-0005-0000-0000-00000A570000}"/>
    <cellStyle name="Normal 4 9 2 2" xfId="6257" xr:uid="{00000000-0005-0000-0000-00000B570000}"/>
    <cellStyle name="Normal 4 9 2 3" xfId="19580" xr:uid="{00000000-0005-0000-0000-00000C570000}"/>
    <cellStyle name="Normal 4 9 3" xfId="5354" xr:uid="{00000000-0005-0000-0000-00000D570000}"/>
    <cellStyle name="Normal 4 9 4" xfId="14620" xr:uid="{00000000-0005-0000-0000-00000E570000}"/>
    <cellStyle name="Normal 4 9 5" xfId="24230" xr:uid="{00000000-0005-0000-0000-00000F570000}"/>
    <cellStyle name="Normal 4 9 6" xfId="24971" xr:uid="{00000000-0005-0000-0000-000010570000}"/>
    <cellStyle name="Normal 4 9 7" xfId="25475" xr:uid="{00000000-0005-0000-0000-000011570000}"/>
    <cellStyle name="Normal 4 9 8" xfId="25979" xr:uid="{00000000-0005-0000-0000-000012570000}"/>
    <cellStyle name="Normal 4 9 9" xfId="26483" xr:uid="{00000000-0005-0000-0000-000013570000}"/>
    <cellStyle name="Normal 4_CBase" xfId="3508" xr:uid="{00000000-0005-0000-0000-000014570000}"/>
    <cellStyle name="Normal 40" xfId="722" xr:uid="{00000000-0005-0000-0000-000015570000}"/>
    <cellStyle name="Normal 40 2" xfId="14622" xr:uid="{00000000-0005-0000-0000-000016570000}"/>
    <cellStyle name="Normal 40 2 2" xfId="19582" xr:uid="{00000000-0005-0000-0000-000017570000}"/>
    <cellStyle name="Normal 40 3" xfId="14623" xr:uid="{00000000-0005-0000-0000-000018570000}"/>
    <cellStyle name="Normal 40 3 2" xfId="19583" xr:uid="{00000000-0005-0000-0000-000019570000}"/>
    <cellStyle name="Normal 40 4" xfId="14624" xr:uid="{00000000-0005-0000-0000-00001A570000}"/>
    <cellStyle name="Normal 40 4 2" xfId="19584" xr:uid="{00000000-0005-0000-0000-00001B570000}"/>
    <cellStyle name="Normal 40 5" xfId="14621" xr:uid="{00000000-0005-0000-0000-00001C570000}"/>
    <cellStyle name="Normal 40 6" xfId="19581" xr:uid="{00000000-0005-0000-0000-00001D570000}"/>
    <cellStyle name="Normal 41" xfId="723" xr:uid="{00000000-0005-0000-0000-00001E570000}"/>
    <cellStyle name="Normal 41 2" xfId="14626" xr:uid="{00000000-0005-0000-0000-00001F570000}"/>
    <cellStyle name="Normal 41 2 2" xfId="19586" xr:uid="{00000000-0005-0000-0000-000020570000}"/>
    <cellStyle name="Normal 41 3" xfId="14627" xr:uid="{00000000-0005-0000-0000-000021570000}"/>
    <cellStyle name="Normal 41 3 2" xfId="19587" xr:uid="{00000000-0005-0000-0000-000022570000}"/>
    <cellStyle name="Normal 41 4" xfId="14628" xr:uid="{00000000-0005-0000-0000-000023570000}"/>
    <cellStyle name="Normal 41 4 2" xfId="19588" xr:uid="{00000000-0005-0000-0000-000024570000}"/>
    <cellStyle name="Normal 41 5" xfId="14625" xr:uid="{00000000-0005-0000-0000-000025570000}"/>
    <cellStyle name="Normal 41 6" xfId="19585" xr:uid="{00000000-0005-0000-0000-000026570000}"/>
    <cellStyle name="Normal 42" xfId="724" xr:uid="{00000000-0005-0000-0000-000027570000}"/>
    <cellStyle name="Normal 42 2" xfId="14630" xr:uid="{00000000-0005-0000-0000-000028570000}"/>
    <cellStyle name="Normal 42 2 2" xfId="19590" xr:uid="{00000000-0005-0000-0000-000029570000}"/>
    <cellStyle name="Normal 42 3" xfId="14631" xr:uid="{00000000-0005-0000-0000-00002A570000}"/>
    <cellStyle name="Normal 42 3 2" xfId="19591" xr:uid="{00000000-0005-0000-0000-00002B570000}"/>
    <cellStyle name="Normal 42 4" xfId="14632" xr:uid="{00000000-0005-0000-0000-00002C570000}"/>
    <cellStyle name="Normal 42 4 2" xfId="19592" xr:uid="{00000000-0005-0000-0000-00002D570000}"/>
    <cellStyle name="Normal 42 5" xfId="14629" xr:uid="{00000000-0005-0000-0000-00002E570000}"/>
    <cellStyle name="Normal 42 6" xfId="19589" xr:uid="{00000000-0005-0000-0000-00002F570000}"/>
    <cellStyle name="Normal 43" xfId="725" xr:uid="{00000000-0005-0000-0000-000030570000}"/>
    <cellStyle name="Normal 43 2" xfId="14634" xr:uid="{00000000-0005-0000-0000-000031570000}"/>
    <cellStyle name="Normal 43 2 2" xfId="19594" xr:uid="{00000000-0005-0000-0000-000032570000}"/>
    <cellStyle name="Normal 43 3" xfId="14635" xr:uid="{00000000-0005-0000-0000-000033570000}"/>
    <cellStyle name="Normal 43 3 2" xfId="19595" xr:uid="{00000000-0005-0000-0000-000034570000}"/>
    <cellStyle name="Normal 43 4" xfId="14636" xr:uid="{00000000-0005-0000-0000-000035570000}"/>
    <cellStyle name="Normal 43 4 2" xfId="19596" xr:uid="{00000000-0005-0000-0000-000036570000}"/>
    <cellStyle name="Normal 43 5" xfId="14633" xr:uid="{00000000-0005-0000-0000-000037570000}"/>
    <cellStyle name="Normal 43 6" xfId="19593" xr:uid="{00000000-0005-0000-0000-000038570000}"/>
    <cellStyle name="Normal 44" xfId="726" xr:uid="{00000000-0005-0000-0000-000039570000}"/>
    <cellStyle name="Normal 44 10" xfId="25476" xr:uid="{00000000-0005-0000-0000-00003A570000}"/>
    <cellStyle name="Normal 44 11" xfId="25980" xr:uid="{00000000-0005-0000-0000-00003B570000}"/>
    <cellStyle name="Normal 44 12" xfId="26484" xr:uid="{00000000-0005-0000-0000-00003C570000}"/>
    <cellStyle name="Normal 44 13" xfId="26988" xr:uid="{00000000-0005-0000-0000-00003D570000}"/>
    <cellStyle name="Normal 44 14" xfId="27492" xr:uid="{00000000-0005-0000-0000-00003E570000}"/>
    <cellStyle name="Normal 44 15" xfId="27996" xr:uid="{00000000-0005-0000-0000-00003F570000}"/>
    <cellStyle name="Normal 44 16" xfId="28500" xr:uid="{00000000-0005-0000-0000-000040570000}"/>
    <cellStyle name="Normal 44 17" xfId="29004" xr:uid="{00000000-0005-0000-0000-000041570000}"/>
    <cellStyle name="Normal 44 18" xfId="29508" xr:uid="{00000000-0005-0000-0000-000042570000}"/>
    <cellStyle name="Normal 44 19" xfId="30012" xr:uid="{00000000-0005-0000-0000-000043570000}"/>
    <cellStyle name="Normal 44 2" xfId="2456" xr:uid="{00000000-0005-0000-0000-000044570000}"/>
    <cellStyle name="Normal 44 2 2" xfId="4343" xr:uid="{00000000-0005-0000-0000-000045570000}"/>
    <cellStyle name="Normal 44 2 2 2" xfId="6215" xr:uid="{00000000-0005-0000-0000-000046570000}"/>
    <cellStyle name="Normal 44 2 3" xfId="5308" xr:uid="{00000000-0005-0000-0000-000047570000}"/>
    <cellStyle name="Normal 44 2 4" xfId="14637" xr:uid="{00000000-0005-0000-0000-000048570000}"/>
    <cellStyle name="Normal 44 2 5" xfId="24232" xr:uid="{00000000-0005-0000-0000-000049570000}"/>
    <cellStyle name="Normal 44 20" xfId="30516" xr:uid="{00000000-0005-0000-0000-00004A570000}"/>
    <cellStyle name="Normal 44 21" xfId="31021" xr:uid="{00000000-0005-0000-0000-00004B570000}"/>
    <cellStyle name="Normal 44 3" xfId="2708" xr:uid="{00000000-0005-0000-0000-00004C570000}"/>
    <cellStyle name="Normal 44 3 2" xfId="4389" xr:uid="{00000000-0005-0000-0000-00004D570000}"/>
    <cellStyle name="Normal 44 3 2 2" xfId="6259" xr:uid="{00000000-0005-0000-0000-00004E570000}"/>
    <cellStyle name="Normal 44 3 3" xfId="5356" xr:uid="{00000000-0005-0000-0000-00004F570000}"/>
    <cellStyle name="Normal 44 3 4" xfId="19597" xr:uid="{00000000-0005-0000-0000-000050570000}"/>
    <cellStyle name="Normal 44 4" xfId="3697" xr:uid="{00000000-0005-0000-0000-000051570000}"/>
    <cellStyle name="Normal 44 5" xfId="3509" xr:uid="{00000000-0005-0000-0000-000052570000}"/>
    <cellStyle name="Normal 44 5 2" xfId="5793" xr:uid="{00000000-0005-0000-0000-000053570000}"/>
    <cellStyle name="Normal 44 6" xfId="7034" xr:uid="{00000000-0005-0000-0000-000054570000}"/>
    <cellStyle name="Normal 44 7" xfId="7240" xr:uid="{00000000-0005-0000-0000-000055570000}"/>
    <cellStyle name="Normal 44 8" xfId="24231" xr:uid="{00000000-0005-0000-0000-000056570000}"/>
    <cellStyle name="Normal 44 9" xfId="24972" xr:uid="{00000000-0005-0000-0000-000057570000}"/>
    <cellStyle name="Normal 45" xfId="727" xr:uid="{00000000-0005-0000-0000-000058570000}"/>
    <cellStyle name="Normal 45 2" xfId="14639" xr:uid="{00000000-0005-0000-0000-000059570000}"/>
    <cellStyle name="Normal 45 2 2" xfId="19599" xr:uid="{00000000-0005-0000-0000-00005A570000}"/>
    <cellStyle name="Normal 45 3" xfId="14640" xr:uid="{00000000-0005-0000-0000-00005B570000}"/>
    <cellStyle name="Normal 45 3 2" xfId="19600" xr:uid="{00000000-0005-0000-0000-00005C570000}"/>
    <cellStyle name="Normal 45 4" xfId="14641" xr:uid="{00000000-0005-0000-0000-00005D570000}"/>
    <cellStyle name="Normal 45 4 2" xfId="19601" xr:uid="{00000000-0005-0000-0000-00005E570000}"/>
    <cellStyle name="Normal 45 5" xfId="14638" xr:uid="{00000000-0005-0000-0000-00005F570000}"/>
    <cellStyle name="Normal 45 6" xfId="19598" xr:uid="{00000000-0005-0000-0000-000060570000}"/>
    <cellStyle name="Normal 46" xfId="728" xr:uid="{00000000-0005-0000-0000-000061570000}"/>
    <cellStyle name="Normal 46 10" xfId="25477" xr:uid="{00000000-0005-0000-0000-000062570000}"/>
    <cellStyle name="Normal 46 11" xfId="25981" xr:uid="{00000000-0005-0000-0000-000063570000}"/>
    <cellStyle name="Normal 46 12" xfId="26485" xr:uid="{00000000-0005-0000-0000-000064570000}"/>
    <cellStyle name="Normal 46 13" xfId="26989" xr:uid="{00000000-0005-0000-0000-000065570000}"/>
    <cellStyle name="Normal 46 14" xfId="27493" xr:uid="{00000000-0005-0000-0000-000066570000}"/>
    <cellStyle name="Normal 46 15" xfId="27997" xr:uid="{00000000-0005-0000-0000-000067570000}"/>
    <cellStyle name="Normal 46 16" xfId="28501" xr:uid="{00000000-0005-0000-0000-000068570000}"/>
    <cellStyle name="Normal 46 17" xfId="29005" xr:uid="{00000000-0005-0000-0000-000069570000}"/>
    <cellStyle name="Normal 46 18" xfId="29509" xr:uid="{00000000-0005-0000-0000-00006A570000}"/>
    <cellStyle name="Normal 46 19" xfId="30013" xr:uid="{00000000-0005-0000-0000-00006B570000}"/>
    <cellStyle name="Normal 46 2" xfId="2457" xr:uid="{00000000-0005-0000-0000-00006C570000}"/>
    <cellStyle name="Normal 46 2 2" xfId="4344" xr:uid="{00000000-0005-0000-0000-00006D570000}"/>
    <cellStyle name="Normal 46 2 2 2" xfId="6216" xr:uid="{00000000-0005-0000-0000-00006E570000}"/>
    <cellStyle name="Normal 46 2 3" xfId="5309" xr:uid="{00000000-0005-0000-0000-00006F570000}"/>
    <cellStyle name="Normal 46 2 4" xfId="14642" xr:uid="{00000000-0005-0000-0000-000070570000}"/>
    <cellStyle name="Normal 46 2 5" xfId="24234" xr:uid="{00000000-0005-0000-0000-000071570000}"/>
    <cellStyle name="Normal 46 20" xfId="30517" xr:uid="{00000000-0005-0000-0000-000072570000}"/>
    <cellStyle name="Normal 46 21" xfId="31022" xr:uid="{00000000-0005-0000-0000-000073570000}"/>
    <cellStyle name="Normal 46 3" xfId="2709" xr:uid="{00000000-0005-0000-0000-000074570000}"/>
    <cellStyle name="Normal 46 3 2" xfId="4390" xr:uid="{00000000-0005-0000-0000-000075570000}"/>
    <cellStyle name="Normal 46 3 2 2" xfId="6260" xr:uid="{00000000-0005-0000-0000-000076570000}"/>
    <cellStyle name="Normal 46 3 3" xfId="5357" xr:uid="{00000000-0005-0000-0000-000077570000}"/>
    <cellStyle name="Normal 46 3 4" xfId="19602" xr:uid="{00000000-0005-0000-0000-000078570000}"/>
    <cellStyle name="Normal 46 4" xfId="3698" xr:uid="{00000000-0005-0000-0000-000079570000}"/>
    <cellStyle name="Normal 46 5" xfId="3510" xr:uid="{00000000-0005-0000-0000-00007A570000}"/>
    <cellStyle name="Normal 46 5 2" xfId="5794" xr:uid="{00000000-0005-0000-0000-00007B570000}"/>
    <cellStyle name="Normal 46 6" xfId="7035" xr:uid="{00000000-0005-0000-0000-00007C570000}"/>
    <cellStyle name="Normal 46 7" xfId="7241" xr:uid="{00000000-0005-0000-0000-00007D570000}"/>
    <cellStyle name="Normal 46 8" xfId="24233" xr:uid="{00000000-0005-0000-0000-00007E570000}"/>
    <cellStyle name="Normal 46 9" xfId="24973" xr:uid="{00000000-0005-0000-0000-00007F570000}"/>
    <cellStyle name="Normal 47" xfId="729" xr:uid="{00000000-0005-0000-0000-000080570000}"/>
    <cellStyle name="Normal 47 2" xfId="14644" xr:uid="{00000000-0005-0000-0000-000081570000}"/>
    <cellStyle name="Normal 47 2 2" xfId="19604" xr:uid="{00000000-0005-0000-0000-000082570000}"/>
    <cellStyle name="Normal 47 3" xfId="14645" xr:uid="{00000000-0005-0000-0000-000083570000}"/>
    <cellStyle name="Normal 47 3 2" xfId="19605" xr:uid="{00000000-0005-0000-0000-000084570000}"/>
    <cellStyle name="Normal 47 4" xfId="14646" xr:uid="{00000000-0005-0000-0000-000085570000}"/>
    <cellStyle name="Normal 47 4 2" xfId="19606" xr:uid="{00000000-0005-0000-0000-000086570000}"/>
    <cellStyle name="Normal 47 5" xfId="14643" xr:uid="{00000000-0005-0000-0000-000087570000}"/>
    <cellStyle name="Normal 47 6" xfId="19603" xr:uid="{00000000-0005-0000-0000-000088570000}"/>
    <cellStyle name="Normal 48" xfId="470" xr:uid="{00000000-0005-0000-0000-000089570000}"/>
    <cellStyle name="Normal 48 10" xfId="25478" xr:uid="{00000000-0005-0000-0000-00008A570000}"/>
    <cellStyle name="Normal 48 11" xfId="25982" xr:uid="{00000000-0005-0000-0000-00008B570000}"/>
    <cellStyle name="Normal 48 12" xfId="26486" xr:uid="{00000000-0005-0000-0000-00008C570000}"/>
    <cellStyle name="Normal 48 13" xfId="26990" xr:uid="{00000000-0005-0000-0000-00008D570000}"/>
    <cellStyle name="Normal 48 14" xfId="27494" xr:uid="{00000000-0005-0000-0000-00008E570000}"/>
    <cellStyle name="Normal 48 15" xfId="27998" xr:uid="{00000000-0005-0000-0000-00008F570000}"/>
    <cellStyle name="Normal 48 16" xfId="28502" xr:uid="{00000000-0005-0000-0000-000090570000}"/>
    <cellStyle name="Normal 48 17" xfId="29006" xr:uid="{00000000-0005-0000-0000-000091570000}"/>
    <cellStyle name="Normal 48 18" xfId="29510" xr:uid="{00000000-0005-0000-0000-000092570000}"/>
    <cellStyle name="Normal 48 19" xfId="30014" xr:uid="{00000000-0005-0000-0000-000093570000}"/>
    <cellStyle name="Normal 48 2" xfId="2458" xr:uid="{00000000-0005-0000-0000-000094570000}"/>
    <cellStyle name="Normal 48 2 2" xfId="4345" xr:uid="{00000000-0005-0000-0000-000095570000}"/>
    <cellStyle name="Normal 48 2 2 2" xfId="6217" xr:uid="{00000000-0005-0000-0000-000096570000}"/>
    <cellStyle name="Normal 48 2 3" xfId="5310" xr:uid="{00000000-0005-0000-0000-000097570000}"/>
    <cellStyle name="Normal 48 2 4" xfId="14647" xr:uid="{00000000-0005-0000-0000-000098570000}"/>
    <cellStyle name="Normal 48 2 5" xfId="24236" xr:uid="{00000000-0005-0000-0000-000099570000}"/>
    <cellStyle name="Normal 48 20" xfId="30518" xr:uid="{00000000-0005-0000-0000-00009A570000}"/>
    <cellStyle name="Normal 48 21" xfId="31023" xr:uid="{00000000-0005-0000-0000-00009B570000}"/>
    <cellStyle name="Normal 48 3" xfId="2710" xr:uid="{00000000-0005-0000-0000-00009C570000}"/>
    <cellStyle name="Normal 48 3 2" xfId="4391" xr:uid="{00000000-0005-0000-0000-00009D570000}"/>
    <cellStyle name="Normal 48 3 2 2" xfId="6261" xr:uid="{00000000-0005-0000-0000-00009E570000}"/>
    <cellStyle name="Normal 48 3 3" xfId="5358" xr:uid="{00000000-0005-0000-0000-00009F570000}"/>
    <cellStyle name="Normal 48 3 4" xfId="19607" xr:uid="{00000000-0005-0000-0000-0000A0570000}"/>
    <cellStyle name="Normal 48 4" xfId="3649" xr:uid="{00000000-0005-0000-0000-0000A1570000}"/>
    <cellStyle name="Normal 48 5" xfId="3511" xr:uid="{00000000-0005-0000-0000-0000A2570000}"/>
    <cellStyle name="Normal 48 5 2" xfId="5795" xr:uid="{00000000-0005-0000-0000-0000A3570000}"/>
    <cellStyle name="Normal 48 6" xfId="7036" xr:uid="{00000000-0005-0000-0000-0000A4570000}"/>
    <cellStyle name="Normal 48 7" xfId="7242" xr:uid="{00000000-0005-0000-0000-0000A5570000}"/>
    <cellStyle name="Normal 48 8" xfId="24235" xr:uid="{00000000-0005-0000-0000-0000A6570000}"/>
    <cellStyle name="Normal 48 9" xfId="24974" xr:uid="{00000000-0005-0000-0000-0000A7570000}"/>
    <cellStyle name="Normal 49" xfId="810" xr:uid="{00000000-0005-0000-0000-0000A8570000}"/>
    <cellStyle name="Normal 49 2" xfId="3721" xr:uid="{00000000-0005-0000-0000-0000A9570000}"/>
    <cellStyle name="Normal 49 2 2" xfId="19609" xr:uid="{00000000-0005-0000-0000-0000AA570000}"/>
    <cellStyle name="Normal 49 2 3" xfId="14649" xr:uid="{00000000-0005-0000-0000-0000AB570000}"/>
    <cellStyle name="Normal 49 3" xfId="3512" xr:uid="{00000000-0005-0000-0000-0000AC570000}"/>
    <cellStyle name="Normal 49 3 10" xfId="27495" xr:uid="{00000000-0005-0000-0000-0000AD570000}"/>
    <cellStyle name="Normal 49 3 11" xfId="27999" xr:uid="{00000000-0005-0000-0000-0000AE570000}"/>
    <cellStyle name="Normal 49 3 12" xfId="28503" xr:uid="{00000000-0005-0000-0000-0000AF570000}"/>
    <cellStyle name="Normal 49 3 13" xfId="29007" xr:uid="{00000000-0005-0000-0000-0000B0570000}"/>
    <cellStyle name="Normal 49 3 14" xfId="29511" xr:uid="{00000000-0005-0000-0000-0000B1570000}"/>
    <cellStyle name="Normal 49 3 15" xfId="30015" xr:uid="{00000000-0005-0000-0000-0000B2570000}"/>
    <cellStyle name="Normal 49 3 16" xfId="30519" xr:uid="{00000000-0005-0000-0000-0000B3570000}"/>
    <cellStyle name="Normal 49 3 17" xfId="31024" xr:uid="{00000000-0005-0000-0000-0000B4570000}"/>
    <cellStyle name="Normal 49 3 2" xfId="5796" xr:uid="{00000000-0005-0000-0000-0000B5570000}"/>
    <cellStyle name="Normal 49 3 2 2" xfId="19610" xr:uid="{00000000-0005-0000-0000-0000B6570000}"/>
    <cellStyle name="Normal 49 3 3" xfId="14650" xr:uid="{00000000-0005-0000-0000-0000B7570000}"/>
    <cellStyle name="Normal 49 3 4" xfId="24237" xr:uid="{00000000-0005-0000-0000-0000B8570000}"/>
    <cellStyle name="Normal 49 3 5" xfId="24975" xr:uid="{00000000-0005-0000-0000-0000B9570000}"/>
    <cellStyle name="Normal 49 3 6" xfId="25479" xr:uid="{00000000-0005-0000-0000-0000BA570000}"/>
    <cellStyle name="Normal 49 3 7" xfId="25983" xr:uid="{00000000-0005-0000-0000-0000BB570000}"/>
    <cellStyle name="Normal 49 3 8" xfId="26487" xr:uid="{00000000-0005-0000-0000-0000BC570000}"/>
    <cellStyle name="Normal 49 3 9" xfId="26991" xr:uid="{00000000-0005-0000-0000-0000BD570000}"/>
    <cellStyle name="Normal 49 4" xfId="7037" xr:uid="{00000000-0005-0000-0000-0000BE570000}"/>
    <cellStyle name="Normal 49 4 2" xfId="14648" xr:uid="{00000000-0005-0000-0000-0000BF570000}"/>
    <cellStyle name="Normal 49 5" xfId="19608" xr:uid="{00000000-0005-0000-0000-0000C0570000}"/>
    <cellStyle name="Normal 49 6" xfId="7243" xr:uid="{00000000-0005-0000-0000-0000C1570000}"/>
    <cellStyle name="Normal 5" xfId="292" xr:uid="{00000000-0005-0000-0000-0000C2570000}"/>
    <cellStyle name="Normal 5 10" xfId="14651" xr:uid="{00000000-0005-0000-0000-0000C3570000}"/>
    <cellStyle name="Normal 5 11" xfId="19611" xr:uid="{00000000-0005-0000-0000-0000C4570000}"/>
    <cellStyle name="Normal 5 2" xfId="293" xr:uid="{00000000-0005-0000-0000-0000C5570000}"/>
    <cellStyle name="Normal 5 2 10" xfId="23119" xr:uid="{00000000-0005-0000-0000-0000C6570000}"/>
    <cellStyle name="Normal 5 2 2" xfId="2459" xr:uid="{00000000-0005-0000-0000-0000C7570000}"/>
    <cellStyle name="Normal 5 2 2 2" xfId="14654" xr:uid="{00000000-0005-0000-0000-0000C8570000}"/>
    <cellStyle name="Normal 5 2 2 2 2" xfId="19614" xr:uid="{00000000-0005-0000-0000-0000C9570000}"/>
    <cellStyle name="Normal 5 2 2 3" xfId="14653" xr:uid="{00000000-0005-0000-0000-0000CA570000}"/>
    <cellStyle name="Normal 5 2 2 4" xfId="19613" xr:uid="{00000000-0005-0000-0000-0000CB570000}"/>
    <cellStyle name="Normal 5 2 3" xfId="2460" xr:uid="{00000000-0005-0000-0000-0000CC570000}"/>
    <cellStyle name="Normal 5 2 3 2" xfId="14656" xr:uid="{00000000-0005-0000-0000-0000CD570000}"/>
    <cellStyle name="Normal 5 2 3 2 2" xfId="19616" xr:uid="{00000000-0005-0000-0000-0000CE570000}"/>
    <cellStyle name="Normal 5 2 3 3" xfId="14655" xr:uid="{00000000-0005-0000-0000-0000CF570000}"/>
    <cellStyle name="Normal 5 2 3 4" xfId="19615" xr:uid="{00000000-0005-0000-0000-0000D0570000}"/>
    <cellStyle name="Normal 5 2 4" xfId="14657" xr:uid="{00000000-0005-0000-0000-0000D1570000}"/>
    <cellStyle name="Normal 5 2 4 2" xfId="19617" xr:uid="{00000000-0005-0000-0000-0000D2570000}"/>
    <cellStyle name="Normal 5 2 4 3" xfId="24238" xr:uid="{00000000-0005-0000-0000-0000D3570000}"/>
    <cellStyle name="Normal 5 2 5" xfId="14658" xr:uid="{00000000-0005-0000-0000-0000D4570000}"/>
    <cellStyle name="Normal 5 2 5 2" xfId="19618" xr:uid="{00000000-0005-0000-0000-0000D5570000}"/>
    <cellStyle name="Normal 5 2 6" xfId="14659" xr:uid="{00000000-0005-0000-0000-0000D6570000}"/>
    <cellStyle name="Normal 5 2 6 2" xfId="19619" xr:uid="{00000000-0005-0000-0000-0000D7570000}"/>
    <cellStyle name="Normal 5 2 7" xfId="14660" xr:uid="{00000000-0005-0000-0000-0000D8570000}"/>
    <cellStyle name="Normal 5 2 7 2" xfId="19620" xr:uid="{00000000-0005-0000-0000-0000D9570000}"/>
    <cellStyle name="Normal 5 2 8" xfId="14652" xr:uid="{00000000-0005-0000-0000-0000DA570000}"/>
    <cellStyle name="Normal 5 2 9" xfId="19612" xr:uid="{00000000-0005-0000-0000-0000DB570000}"/>
    <cellStyle name="Normal 5 3" xfId="1280" xr:uid="{00000000-0005-0000-0000-0000DC570000}"/>
    <cellStyle name="Normal 5 3 2" xfId="2461" xr:uid="{00000000-0005-0000-0000-0000DD570000}"/>
    <cellStyle name="Normal 5 3 2 2" xfId="2462" xr:uid="{00000000-0005-0000-0000-0000DE570000}"/>
    <cellStyle name="Normal 5 3 2 2 2" xfId="14664" xr:uid="{00000000-0005-0000-0000-0000DF570000}"/>
    <cellStyle name="Normal 5 3 2 2 2 2" xfId="19624" xr:uid="{00000000-0005-0000-0000-0000E0570000}"/>
    <cellStyle name="Normal 5 3 2 2 3" xfId="14663" xr:uid="{00000000-0005-0000-0000-0000E1570000}"/>
    <cellStyle name="Normal 5 3 2 2 4" xfId="19623" xr:uid="{00000000-0005-0000-0000-0000E2570000}"/>
    <cellStyle name="Normal 5 3 2 3" xfId="14665" xr:uid="{00000000-0005-0000-0000-0000E3570000}"/>
    <cellStyle name="Normal 5 3 2 3 2" xfId="19625" xr:uid="{00000000-0005-0000-0000-0000E4570000}"/>
    <cellStyle name="Normal 5 3 2 4" xfId="14666" xr:uid="{00000000-0005-0000-0000-0000E5570000}"/>
    <cellStyle name="Normal 5 3 2 4 2" xfId="19626" xr:uid="{00000000-0005-0000-0000-0000E6570000}"/>
    <cellStyle name="Normal 5 3 2 5" xfId="14667" xr:uid="{00000000-0005-0000-0000-0000E7570000}"/>
    <cellStyle name="Normal 5 3 2 5 2" xfId="19627" xr:uid="{00000000-0005-0000-0000-0000E8570000}"/>
    <cellStyle name="Normal 5 3 2 6" xfId="14662" xr:uid="{00000000-0005-0000-0000-0000E9570000}"/>
    <cellStyle name="Normal 5 3 2 7" xfId="19622" xr:uid="{00000000-0005-0000-0000-0000EA570000}"/>
    <cellStyle name="Normal 5 3 3" xfId="3513" xr:uid="{00000000-0005-0000-0000-0000EB570000}"/>
    <cellStyle name="Normal 5 3 3 2" xfId="14669" xr:uid="{00000000-0005-0000-0000-0000EC570000}"/>
    <cellStyle name="Normal 5 3 3 2 2" xfId="19629" xr:uid="{00000000-0005-0000-0000-0000ED570000}"/>
    <cellStyle name="Normal 5 3 3 3" xfId="19628" xr:uid="{00000000-0005-0000-0000-0000EE570000}"/>
    <cellStyle name="Normal 5 3 3 4" xfId="14668" xr:uid="{00000000-0005-0000-0000-0000EF570000}"/>
    <cellStyle name="Normal 5 3 4" xfId="14670" xr:uid="{00000000-0005-0000-0000-0000F0570000}"/>
    <cellStyle name="Normal 5 3 4 2" xfId="19630" xr:uid="{00000000-0005-0000-0000-0000F1570000}"/>
    <cellStyle name="Normal 5 3 4 3" xfId="24239" xr:uid="{00000000-0005-0000-0000-0000F2570000}"/>
    <cellStyle name="Normal 5 3 5" xfId="14671" xr:uid="{00000000-0005-0000-0000-0000F3570000}"/>
    <cellStyle name="Normal 5 3 5 2" xfId="19631" xr:uid="{00000000-0005-0000-0000-0000F4570000}"/>
    <cellStyle name="Normal 5 3 6" xfId="14672" xr:uid="{00000000-0005-0000-0000-0000F5570000}"/>
    <cellStyle name="Normal 5 3 6 2" xfId="19632" xr:uid="{00000000-0005-0000-0000-0000F6570000}"/>
    <cellStyle name="Normal 5 3 7" xfId="14661" xr:uid="{00000000-0005-0000-0000-0000F7570000}"/>
    <cellStyle name="Normal 5 3 8" xfId="19621" xr:uid="{00000000-0005-0000-0000-0000F8570000}"/>
    <cellStyle name="Normal 5 3 9" xfId="23120" xr:uid="{00000000-0005-0000-0000-0000F9570000}"/>
    <cellStyle name="Normal 5 4" xfId="2463" xr:uid="{00000000-0005-0000-0000-0000FA570000}"/>
    <cellStyle name="Normal 5 4 2" xfId="3514" xr:uid="{00000000-0005-0000-0000-0000FB570000}"/>
    <cellStyle name="Normal 5 4 2 2" xfId="14675" xr:uid="{00000000-0005-0000-0000-0000FC570000}"/>
    <cellStyle name="Normal 5 4 2 2 2" xfId="19635" xr:uid="{00000000-0005-0000-0000-0000FD570000}"/>
    <cellStyle name="Normal 5 4 2 3" xfId="19634" xr:uid="{00000000-0005-0000-0000-0000FE570000}"/>
    <cellStyle name="Normal 5 4 2 4" xfId="14674" xr:uid="{00000000-0005-0000-0000-0000FF570000}"/>
    <cellStyle name="Normal 5 4 3" xfId="14676" xr:uid="{00000000-0005-0000-0000-000000580000}"/>
    <cellStyle name="Normal 5 4 3 2" xfId="19636" xr:uid="{00000000-0005-0000-0000-000001580000}"/>
    <cellStyle name="Normal 5 4 4" xfId="14677" xr:uid="{00000000-0005-0000-0000-000002580000}"/>
    <cellStyle name="Normal 5 4 4 2" xfId="19637" xr:uid="{00000000-0005-0000-0000-000003580000}"/>
    <cellStyle name="Normal 5 4 5" xfId="14678" xr:uid="{00000000-0005-0000-0000-000004580000}"/>
    <cellStyle name="Normal 5 4 5 2" xfId="19638" xr:uid="{00000000-0005-0000-0000-000005580000}"/>
    <cellStyle name="Normal 5 4 6" xfId="14673" xr:uid="{00000000-0005-0000-0000-000006580000}"/>
    <cellStyle name="Normal 5 4 7" xfId="19633" xr:uid="{00000000-0005-0000-0000-000007580000}"/>
    <cellStyle name="Normal 5 5" xfId="2464" xr:uid="{00000000-0005-0000-0000-000008580000}"/>
    <cellStyle name="Normal 5 5 2" xfId="14680" xr:uid="{00000000-0005-0000-0000-000009580000}"/>
    <cellStyle name="Normal 5 5 2 2" xfId="19640" xr:uid="{00000000-0005-0000-0000-00000A580000}"/>
    <cellStyle name="Normal 5 5 3" xfId="14679" xr:uid="{00000000-0005-0000-0000-00000B580000}"/>
    <cellStyle name="Normal 5 5 4" xfId="19639" xr:uid="{00000000-0005-0000-0000-00000C580000}"/>
    <cellStyle name="Normal 5 6" xfId="2465" xr:uid="{00000000-0005-0000-0000-00000D580000}"/>
    <cellStyle name="Normal 5 6 2" xfId="14682" xr:uid="{00000000-0005-0000-0000-00000E580000}"/>
    <cellStyle name="Normal 5 6 2 2" xfId="19642" xr:uid="{00000000-0005-0000-0000-00000F580000}"/>
    <cellStyle name="Normal 5 6 3" xfId="14681" xr:uid="{00000000-0005-0000-0000-000010580000}"/>
    <cellStyle name="Normal 5 6 4" xfId="19641" xr:uid="{00000000-0005-0000-0000-000011580000}"/>
    <cellStyle name="Normal 5 7" xfId="14683" xr:uid="{00000000-0005-0000-0000-000012580000}"/>
    <cellStyle name="Normal 5 7 2" xfId="19643" xr:uid="{00000000-0005-0000-0000-000013580000}"/>
    <cellStyle name="Normal 5 7 3" xfId="24240" xr:uid="{00000000-0005-0000-0000-000014580000}"/>
    <cellStyle name="Normal 5 8" xfId="14684" xr:uid="{00000000-0005-0000-0000-000015580000}"/>
    <cellStyle name="Normal 5 8 2" xfId="19644" xr:uid="{00000000-0005-0000-0000-000016580000}"/>
    <cellStyle name="Normal 5 9" xfId="14685" xr:uid="{00000000-0005-0000-0000-000017580000}"/>
    <cellStyle name="Normal 5 9 2" xfId="19645" xr:uid="{00000000-0005-0000-0000-000018580000}"/>
    <cellStyle name="Normal 5_CBase" xfId="3515" xr:uid="{00000000-0005-0000-0000-000019580000}"/>
    <cellStyle name="Normal 50" xfId="829" xr:uid="{00000000-0005-0000-0000-00001A580000}"/>
    <cellStyle name="Normal 50 2" xfId="3731" xr:uid="{00000000-0005-0000-0000-00001B580000}"/>
    <cellStyle name="Normal 50 2 2" xfId="19647" xr:uid="{00000000-0005-0000-0000-00001C580000}"/>
    <cellStyle name="Normal 50 2 3" xfId="14687" xr:uid="{00000000-0005-0000-0000-00001D580000}"/>
    <cellStyle name="Normal 50 3" xfId="3516" xr:uid="{00000000-0005-0000-0000-00001E580000}"/>
    <cellStyle name="Normal 50 3 10" xfId="27496" xr:uid="{00000000-0005-0000-0000-00001F580000}"/>
    <cellStyle name="Normal 50 3 11" xfId="28000" xr:uid="{00000000-0005-0000-0000-000020580000}"/>
    <cellStyle name="Normal 50 3 12" xfId="28504" xr:uid="{00000000-0005-0000-0000-000021580000}"/>
    <cellStyle name="Normal 50 3 13" xfId="29008" xr:uid="{00000000-0005-0000-0000-000022580000}"/>
    <cellStyle name="Normal 50 3 14" xfId="29512" xr:uid="{00000000-0005-0000-0000-000023580000}"/>
    <cellStyle name="Normal 50 3 15" xfId="30016" xr:uid="{00000000-0005-0000-0000-000024580000}"/>
    <cellStyle name="Normal 50 3 16" xfId="30520" xr:uid="{00000000-0005-0000-0000-000025580000}"/>
    <cellStyle name="Normal 50 3 17" xfId="31025" xr:uid="{00000000-0005-0000-0000-000026580000}"/>
    <cellStyle name="Normal 50 3 2" xfId="5797" xr:uid="{00000000-0005-0000-0000-000027580000}"/>
    <cellStyle name="Normal 50 3 2 2" xfId="19648" xr:uid="{00000000-0005-0000-0000-000028580000}"/>
    <cellStyle name="Normal 50 3 3" xfId="14688" xr:uid="{00000000-0005-0000-0000-000029580000}"/>
    <cellStyle name="Normal 50 3 4" xfId="24241" xr:uid="{00000000-0005-0000-0000-00002A580000}"/>
    <cellStyle name="Normal 50 3 5" xfId="24976" xr:uid="{00000000-0005-0000-0000-00002B580000}"/>
    <cellStyle name="Normal 50 3 6" xfId="25480" xr:uid="{00000000-0005-0000-0000-00002C580000}"/>
    <cellStyle name="Normal 50 3 7" xfId="25984" xr:uid="{00000000-0005-0000-0000-00002D580000}"/>
    <cellStyle name="Normal 50 3 8" xfId="26488" xr:uid="{00000000-0005-0000-0000-00002E580000}"/>
    <cellStyle name="Normal 50 3 9" xfId="26992" xr:uid="{00000000-0005-0000-0000-00002F580000}"/>
    <cellStyle name="Normal 50 4" xfId="7038" xr:uid="{00000000-0005-0000-0000-000030580000}"/>
    <cellStyle name="Normal 50 4 2" xfId="14686" xr:uid="{00000000-0005-0000-0000-000031580000}"/>
    <cellStyle name="Normal 50 5" xfId="19646" xr:uid="{00000000-0005-0000-0000-000032580000}"/>
    <cellStyle name="Normal 50 6" xfId="7244" xr:uid="{00000000-0005-0000-0000-000033580000}"/>
    <cellStyle name="Normal 51" xfId="762" xr:uid="{00000000-0005-0000-0000-000034580000}"/>
    <cellStyle name="Normal 51 2" xfId="3706" xr:uid="{00000000-0005-0000-0000-000035580000}"/>
    <cellStyle name="Normal 51 2 2" xfId="19650" xr:uid="{00000000-0005-0000-0000-000036580000}"/>
    <cellStyle name="Normal 51 2 3" xfId="14690" xr:uid="{00000000-0005-0000-0000-000037580000}"/>
    <cellStyle name="Normal 51 3" xfId="3517" xr:uid="{00000000-0005-0000-0000-000038580000}"/>
    <cellStyle name="Normal 51 3 10" xfId="27497" xr:uid="{00000000-0005-0000-0000-000039580000}"/>
    <cellStyle name="Normal 51 3 11" xfId="28001" xr:uid="{00000000-0005-0000-0000-00003A580000}"/>
    <cellStyle name="Normal 51 3 12" xfId="28505" xr:uid="{00000000-0005-0000-0000-00003B580000}"/>
    <cellStyle name="Normal 51 3 13" xfId="29009" xr:uid="{00000000-0005-0000-0000-00003C580000}"/>
    <cellStyle name="Normal 51 3 14" xfId="29513" xr:uid="{00000000-0005-0000-0000-00003D580000}"/>
    <cellStyle name="Normal 51 3 15" xfId="30017" xr:uid="{00000000-0005-0000-0000-00003E580000}"/>
    <cellStyle name="Normal 51 3 16" xfId="30521" xr:uid="{00000000-0005-0000-0000-00003F580000}"/>
    <cellStyle name="Normal 51 3 17" xfId="31026" xr:uid="{00000000-0005-0000-0000-000040580000}"/>
    <cellStyle name="Normal 51 3 2" xfId="5798" xr:uid="{00000000-0005-0000-0000-000041580000}"/>
    <cellStyle name="Normal 51 3 2 2" xfId="19651" xr:uid="{00000000-0005-0000-0000-000042580000}"/>
    <cellStyle name="Normal 51 3 3" xfId="14691" xr:uid="{00000000-0005-0000-0000-000043580000}"/>
    <cellStyle name="Normal 51 3 4" xfId="24242" xr:uid="{00000000-0005-0000-0000-000044580000}"/>
    <cellStyle name="Normal 51 3 5" xfId="24977" xr:uid="{00000000-0005-0000-0000-000045580000}"/>
    <cellStyle name="Normal 51 3 6" xfId="25481" xr:uid="{00000000-0005-0000-0000-000046580000}"/>
    <cellStyle name="Normal 51 3 7" xfId="25985" xr:uid="{00000000-0005-0000-0000-000047580000}"/>
    <cellStyle name="Normal 51 3 8" xfId="26489" xr:uid="{00000000-0005-0000-0000-000048580000}"/>
    <cellStyle name="Normal 51 3 9" xfId="26993" xr:uid="{00000000-0005-0000-0000-000049580000}"/>
    <cellStyle name="Normal 51 4" xfId="7039" xr:uid="{00000000-0005-0000-0000-00004A580000}"/>
    <cellStyle name="Normal 51 4 2" xfId="14689" xr:uid="{00000000-0005-0000-0000-00004B580000}"/>
    <cellStyle name="Normal 51 5" xfId="19649" xr:uid="{00000000-0005-0000-0000-00004C580000}"/>
    <cellStyle name="Normal 51 6" xfId="7245" xr:uid="{00000000-0005-0000-0000-00004D580000}"/>
    <cellStyle name="Normal 52" xfId="830" xr:uid="{00000000-0005-0000-0000-00004E580000}"/>
    <cellStyle name="Normal 52 2" xfId="1431" xr:uid="{00000000-0005-0000-0000-00004F580000}"/>
    <cellStyle name="Normal 52 2 10" xfId="25986" xr:uid="{00000000-0005-0000-0000-000050580000}"/>
    <cellStyle name="Normal 52 2 11" xfId="26490" xr:uid="{00000000-0005-0000-0000-000051580000}"/>
    <cellStyle name="Normal 52 2 12" xfId="26994" xr:uid="{00000000-0005-0000-0000-000052580000}"/>
    <cellStyle name="Normal 52 2 13" xfId="27498" xr:uid="{00000000-0005-0000-0000-000053580000}"/>
    <cellStyle name="Normal 52 2 14" xfId="28002" xr:uid="{00000000-0005-0000-0000-000054580000}"/>
    <cellStyle name="Normal 52 2 15" xfId="28506" xr:uid="{00000000-0005-0000-0000-000055580000}"/>
    <cellStyle name="Normal 52 2 16" xfId="29010" xr:uid="{00000000-0005-0000-0000-000056580000}"/>
    <cellStyle name="Normal 52 2 17" xfId="29514" xr:uid="{00000000-0005-0000-0000-000057580000}"/>
    <cellStyle name="Normal 52 2 18" xfId="30018" xr:uid="{00000000-0005-0000-0000-000058580000}"/>
    <cellStyle name="Normal 52 2 19" xfId="30522" xr:uid="{00000000-0005-0000-0000-000059580000}"/>
    <cellStyle name="Normal 52 2 2" xfId="1698" xr:uid="{00000000-0005-0000-0000-00005A580000}"/>
    <cellStyle name="Normal 52 2 2 2" xfId="3125" xr:uid="{00000000-0005-0000-0000-00005B580000}"/>
    <cellStyle name="Normal 52 2 2 2 2" xfId="4744" xr:uid="{00000000-0005-0000-0000-00005C580000}"/>
    <cellStyle name="Normal 52 2 2 2 2 2" xfId="6611" xr:uid="{00000000-0005-0000-0000-00005D580000}"/>
    <cellStyle name="Normal 52 2 2 2 3" xfId="5709" xr:uid="{00000000-0005-0000-0000-00005E580000}"/>
    <cellStyle name="Normal 52 2 2 3" xfId="4217" xr:uid="{00000000-0005-0000-0000-00005F580000}"/>
    <cellStyle name="Normal 52 2 2 3 2" xfId="6165" xr:uid="{00000000-0005-0000-0000-000060580000}"/>
    <cellStyle name="Normal 52 2 2 4" xfId="5251" xr:uid="{00000000-0005-0000-0000-000061580000}"/>
    <cellStyle name="Normal 52 2 2 5" xfId="19653" xr:uid="{00000000-0005-0000-0000-000062580000}"/>
    <cellStyle name="Normal 52 2 20" xfId="31027" xr:uid="{00000000-0005-0000-0000-000063580000}"/>
    <cellStyle name="Normal 52 2 3" xfId="2865" xr:uid="{00000000-0005-0000-0000-000064580000}"/>
    <cellStyle name="Normal 52 2 3 2" xfId="4484" xr:uid="{00000000-0005-0000-0000-000065580000}"/>
    <cellStyle name="Normal 52 2 3 2 2" xfId="6351" xr:uid="{00000000-0005-0000-0000-000066580000}"/>
    <cellStyle name="Normal 52 2 3 3" xfId="5449" xr:uid="{00000000-0005-0000-0000-000067580000}"/>
    <cellStyle name="Normal 52 2 4" xfId="3952" xr:uid="{00000000-0005-0000-0000-000068580000}"/>
    <cellStyle name="Normal 52 2 4 2" xfId="5906" xr:uid="{00000000-0005-0000-0000-000069580000}"/>
    <cellStyle name="Normal 52 2 5" xfId="4991" xr:uid="{00000000-0005-0000-0000-00006A580000}"/>
    <cellStyle name="Normal 52 2 6" xfId="14693" xr:uid="{00000000-0005-0000-0000-00006B580000}"/>
    <cellStyle name="Normal 52 2 7" xfId="24243" xr:uid="{00000000-0005-0000-0000-00006C580000}"/>
    <cellStyle name="Normal 52 2 8" xfId="24978" xr:uid="{00000000-0005-0000-0000-00006D580000}"/>
    <cellStyle name="Normal 52 2 9" xfId="25482" xr:uid="{00000000-0005-0000-0000-00006E580000}"/>
    <cellStyle name="Normal 52 3" xfId="1699" xr:uid="{00000000-0005-0000-0000-00006F580000}"/>
    <cellStyle name="Normal 52 3 10" xfId="26491" xr:uid="{00000000-0005-0000-0000-000070580000}"/>
    <cellStyle name="Normal 52 3 11" xfId="26995" xr:uid="{00000000-0005-0000-0000-000071580000}"/>
    <cellStyle name="Normal 52 3 12" xfId="27499" xr:uid="{00000000-0005-0000-0000-000072580000}"/>
    <cellStyle name="Normal 52 3 13" xfId="28003" xr:uid="{00000000-0005-0000-0000-000073580000}"/>
    <cellStyle name="Normal 52 3 14" xfId="28507" xr:uid="{00000000-0005-0000-0000-000074580000}"/>
    <cellStyle name="Normal 52 3 15" xfId="29011" xr:uid="{00000000-0005-0000-0000-000075580000}"/>
    <cellStyle name="Normal 52 3 16" xfId="29515" xr:uid="{00000000-0005-0000-0000-000076580000}"/>
    <cellStyle name="Normal 52 3 17" xfId="30019" xr:uid="{00000000-0005-0000-0000-000077580000}"/>
    <cellStyle name="Normal 52 3 18" xfId="30523" xr:uid="{00000000-0005-0000-0000-000078580000}"/>
    <cellStyle name="Normal 52 3 19" xfId="31028" xr:uid="{00000000-0005-0000-0000-000079580000}"/>
    <cellStyle name="Normal 52 3 2" xfId="3126" xr:uid="{00000000-0005-0000-0000-00007A580000}"/>
    <cellStyle name="Normal 52 3 2 2" xfId="4745" xr:uid="{00000000-0005-0000-0000-00007B580000}"/>
    <cellStyle name="Normal 52 3 2 2 2" xfId="6612" xr:uid="{00000000-0005-0000-0000-00007C580000}"/>
    <cellStyle name="Normal 52 3 2 3" xfId="5710" xr:uid="{00000000-0005-0000-0000-00007D580000}"/>
    <cellStyle name="Normal 52 3 2 4" xfId="19654" xr:uid="{00000000-0005-0000-0000-00007E580000}"/>
    <cellStyle name="Normal 52 3 3" xfId="4218" xr:uid="{00000000-0005-0000-0000-00007F580000}"/>
    <cellStyle name="Normal 52 3 3 2" xfId="6166" xr:uid="{00000000-0005-0000-0000-000080580000}"/>
    <cellStyle name="Normal 52 3 4" xfId="5252" xr:uid="{00000000-0005-0000-0000-000081580000}"/>
    <cellStyle name="Normal 52 3 5" xfId="14694" xr:uid="{00000000-0005-0000-0000-000082580000}"/>
    <cellStyle name="Normal 52 3 6" xfId="24244" xr:uid="{00000000-0005-0000-0000-000083580000}"/>
    <cellStyle name="Normal 52 3 7" xfId="24979" xr:uid="{00000000-0005-0000-0000-000084580000}"/>
    <cellStyle name="Normal 52 3 8" xfId="25483" xr:uid="{00000000-0005-0000-0000-000085580000}"/>
    <cellStyle name="Normal 52 3 9" xfId="25987" xr:uid="{00000000-0005-0000-0000-000086580000}"/>
    <cellStyle name="Normal 52 4" xfId="2806" xr:uid="{00000000-0005-0000-0000-000087580000}"/>
    <cellStyle name="Normal 52 4 2" xfId="4426" xr:uid="{00000000-0005-0000-0000-000088580000}"/>
    <cellStyle name="Normal 52 4 2 2" xfId="6294" xr:uid="{00000000-0005-0000-0000-000089580000}"/>
    <cellStyle name="Normal 52 4 3" xfId="5392" xr:uid="{00000000-0005-0000-0000-00008A580000}"/>
    <cellStyle name="Normal 52 4 4" xfId="14692" xr:uid="{00000000-0005-0000-0000-00008B580000}"/>
    <cellStyle name="Normal 52 5" xfId="3518" xr:uid="{00000000-0005-0000-0000-00008C580000}"/>
    <cellStyle name="Normal 52 5 2" xfId="5799" xr:uid="{00000000-0005-0000-0000-00008D580000}"/>
    <cellStyle name="Normal 52 5 3" xfId="19652" xr:uid="{00000000-0005-0000-0000-00008E580000}"/>
    <cellStyle name="Normal 52 6" xfId="4934" xr:uid="{00000000-0005-0000-0000-00008F580000}"/>
    <cellStyle name="Normal 52 7" xfId="7040" xr:uid="{00000000-0005-0000-0000-000090580000}"/>
    <cellStyle name="Normal 52 8" xfId="7246" xr:uid="{00000000-0005-0000-0000-000091580000}"/>
    <cellStyle name="Normal 53" xfId="1371" xr:uid="{00000000-0005-0000-0000-000092580000}"/>
    <cellStyle name="Normal 53 2" xfId="3934" xr:uid="{00000000-0005-0000-0000-000093580000}"/>
    <cellStyle name="Normal 53 2 2" xfId="19656" xr:uid="{00000000-0005-0000-0000-000094580000}"/>
    <cellStyle name="Normal 53 2 3" xfId="14696" xr:uid="{00000000-0005-0000-0000-000095580000}"/>
    <cellStyle name="Normal 53 3" xfId="3519" xr:uid="{00000000-0005-0000-0000-000096580000}"/>
    <cellStyle name="Normal 53 3 10" xfId="27500" xr:uid="{00000000-0005-0000-0000-000097580000}"/>
    <cellStyle name="Normal 53 3 11" xfId="28004" xr:uid="{00000000-0005-0000-0000-000098580000}"/>
    <cellStyle name="Normal 53 3 12" xfId="28508" xr:uid="{00000000-0005-0000-0000-000099580000}"/>
    <cellStyle name="Normal 53 3 13" xfId="29012" xr:uid="{00000000-0005-0000-0000-00009A580000}"/>
    <cellStyle name="Normal 53 3 14" xfId="29516" xr:uid="{00000000-0005-0000-0000-00009B580000}"/>
    <cellStyle name="Normal 53 3 15" xfId="30020" xr:uid="{00000000-0005-0000-0000-00009C580000}"/>
    <cellStyle name="Normal 53 3 16" xfId="30524" xr:uid="{00000000-0005-0000-0000-00009D580000}"/>
    <cellStyle name="Normal 53 3 17" xfId="31029" xr:uid="{00000000-0005-0000-0000-00009E580000}"/>
    <cellStyle name="Normal 53 3 2" xfId="5800" xr:uid="{00000000-0005-0000-0000-00009F580000}"/>
    <cellStyle name="Normal 53 3 2 2" xfId="19657" xr:uid="{00000000-0005-0000-0000-0000A0580000}"/>
    <cellStyle name="Normal 53 3 3" xfId="14697" xr:uid="{00000000-0005-0000-0000-0000A1580000}"/>
    <cellStyle name="Normal 53 3 4" xfId="24245" xr:uid="{00000000-0005-0000-0000-0000A2580000}"/>
    <cellStyle name="Normal 53 3 5" xfId="24980" xr:uid="{00000000-0005-0000-0000-0000A3580000}"/>
    <cellStyle name="Normal 53 3 6" xfId="25484" xr:uid="{00000000-0005-0000-0000-0000A4580000}"/>
    <cellStyle name="Normal 53 3 7" xfId="25988" xr:uid="{00000000-0005-0000-0000-0000A5580000}"/>
    <cellStyle name="Normal 53 3 8" xfId="26492" xr:uid="{00000000-0005-0000-0000-0000A6580000}"/>
    <cellStyle name="Normal 53 3 9" xfId="26996" xr:uid="{00000000-0005-0000-0000-0000A7580000}"/>
    <cellStyle name="Normal 53 4" xfId="7041" xr:uid="{00000000-0005-0000-0000-0000A8580000}"/>
    <cellStyle name="Normal 53 4 2" xfId="14695" xr:uid="{00000000-0005-0000-0000-0000A9580000}"/>
    <cellStyle name="Normal 53 5" xfId="19655" xr:uid="{00000000-0005-0000-0000-0000AA580000}"/>
    <cellStyle name="Normal 53 6" xfId="7247" xr:uid="{00000000-0005-0000-0000-0000AB580000}"/>
    <cellStyle name="Normal 54" xfId="1370" xr:uid="{00000000-0005-0000-0000-0000AC580000}"/>
    <cellStyle name="Normal 54 2" xfId="1700" xr:uid="{00000000-0005-0000-0000-0000AD580000}"/>
    <cellStyle name="Normal 54 2 10" xfId="26493" xr:uid="{00000000-0005-0000-0000-0000AE580000}"/>
    <cellStyle name="Normal 54 2 11" xfId="26997" xr:uid="{00000000-0005-0000-0000-0000AF580000}"/>
    <cellStyle name="Normal 54 2 12" xfId="27501" xr:uid="{00000000-0005-0000-0000-0000B0580000}"/>
    <cellStyle name="Normal 54 2 13" xfId="28005" xr:uid="{00000000-0005-0000-0000-0000B1580000}"/>
    <cellStyle name="Normal 54 2 14" xfId="28509" xr:uid="{00000000-0005-0000-0000-0000B2580000}"/>
    <cellStyle name="Normal 54 2 15" xfId="29013" xr:uid="{00000000-0005-0000-0000-0000B3580000}"/>
    <cellStyle name="Normal 54 2 16" xfId="29517" xr:uid="{00000000-0005-0000-0000-0000B4580000}"/>
    <cellStyle name="Normal 54 2 17" xfId="30021" xr:uid="{00000000-0005-0000-0000-0000B5580000}"/>
    <cellStyle name="Normal 54 2 18" xfId="30525" xr:uid="{00000000-0005-0000-0000-0000B6580000}"/>
    <cellStyle name="Normal 54 2 19" xfId="31030" xr:uid="{00000000-0005-0000-0000-0000B7580000}"/>
    <cellStyle name="Normal 54 2 2" xfId="3127" xr:uid="{00000000-0005-0000-0000-0000B8580000}"/>
    <cellStyle name="Normal 54 2 2 2" xfId="4746" xr:uid="{00000000-0005-0000-0000-0000B9580000}"/>
    <cellStyle name="Normal 54 2 2 2 2" xfId="6613" xr:uid="{00000000-0005-0000-0000-0000BA580000}"/>
    <cellStyle name="Normal 54 2 2 3" xfId="5711" xr:uid="{00000000-0005-0000-0000-0000BB580000}"/>
    <cellStyle name="Normal 54 2 2 4" xfId="19659" xr:uid="{00000000-0005-0000-0000-0000BC580000}"/>
    <cellStyle name="Normal 54 2 3" xfId="4219" xr:uid="{00000000-0005-0000-0000-0000BD580000}"/>
    <cellStyle name="Normal 54 2 3 2" xfId="6167" xr:uid="{00000000-0005-0000-0000-0000BE580000}"/>
    <cellStyle name="Normal 54 2 4" xfId="5253" xr:uid="{00000000-0005-0000-0000-0000BF580000}"/>
    <cellStyle name="Normal 54 2 5" xfId="14699" xr:uid="{00000000-0005-0000-0000-0000C0580000}"/>
    <cellStyle name="Normal 54 2 6" xfId="24246" xr:uid="{00000000-0005-0000-0000-0000C1580000}"/>
    <cellStyle name="Normal 54 2 7" xfId="24981" xr:uid="{00000000-0005-0000-0000-0000C2580000}"/>
    <cellStyle name="Normal 54 2 8" xfId="25485" xr:uid="{00000000-0005-0000-0000-0000C3580000}"/>
    <cellStyle name="Normal 54 2 9" xfId="25989" xr:uid="{00000000-0005-0000-0000-0000C4580000}"/>
    <cellStyle name="Normal 54 3" xfId="2848" xr:uid="{00000000-0005-0000-0000-0000C5580000}"/>
    <cellStyle name="Normal 54 3 2" xfId="4467" xr:uid="{00000000-0005-0000-0000-0000C6580000}"/>
    <cellStyle name="Normal 54 3 2 2" xfId="6334" xr:uid="{00000000-0005-0000-0000-0000C7580000}"/>
    <cellStyle name="Normal 54 3 2 3" xfId="19660" xr:uid="{00000000-0005-0000-0000-0000C8580000}"/>
    <cellStyle name="Normal 54 3 3" xfId="5432" xr:uid="{00000000-0005-0000-0000-0000C9580000}"/>
    <cellStyle name="Normal 54 3 4" xfId="14700" xr:uid="{00000000-0005-0000-0000-0000CA580000}"/>
    <cellStyle name="Normal 54 4" xfId="3520" xr:uid="{00000000-0005-0000-0000-0000CB580000}"/>
    <cellStyle name="Normal 54 4 2" xfId="5801" xr:uid="{00000000-0005-0000-0000-0000CC580000}"/>
    <cellStyle name="Normal 54 4 3" xfId="14698" xr:uid="{00000000-0005-0000-0000-0000CD580000}"/>
    <cellStyle name="Normal 54 5" xfId="4974" xr:uid="{00000000-0005-0000-0000-0000CE580000}"/>
    <cellStyle name="Normal 54 5 2" xfId="19658" xr:uid="{00000000-0005-0000-0000-0000CF580000}"/>
    <cellStyle name="Normal 54 6" xfId="7042" xr:uid="{00000000-0005-0000-0000-0000D0580000}"/>
    <cellStyle name="Normal 54 7" xfId="7248" xr:uid="{00000000-0005-0000-0000-0000D1580000}"/>
    <cellStyle name="Normal 55" xfId="1514" xr:uid="{00000000-0005-0000-0000-0000D2580000}"/>
    <cellStyle name="Normal 55 2" xfId="1701" xr:uid="{00000000-0005-0000-0000-0000D3580000}"/>
    <cellStyle name="Normal 55 2 10" xfId="26494" xr:uid="{00000000-0005-0000-0000-0000D4580000}"/>
    <cellStyle name="Normal 55 2 11" xfId="26998" xr:uid="{00000000-0005-0000-0000-0000D5580000}"/>
    <cellStyle name="Normal 55 2 12" xfId="27502" xr:uid="{00000000-0005-0000-0000-0000D6580000}"/>
    <cellStyle name="Normal 55 2 13" xfId="28006" xr:uid="{00000000-0005-0000-0000-0000D7580000}"/>
    <cellStyle name="Normal 55 2 14" xfId="28510" xr:uid="{00000000-0005-0000-0000-0000D8580000}"/>
    <cellStyle name="Normal 55 2 15" xfId="29014" xr:uid="{00000000-0005-0000-0000-0000D9580000}"/>
    <cellStyle name="Normal 55 2 16" xfId="29518" xr:uid="{00000000-0005-0000-0000-0000DA580000}"/>
    <cellStyle name="Normal 55 2 17" xfId="30022" xr:uid="{00000000-0005-0000-0000-0000DB580000}"/>
    <cellStyle name="Normal 55 2 18" xfId="30526" xr:uid="{00000000-0005-0000-0000-0000DC580000}"/>
    <cellStyle name="Normal 55 2 19" xfId="31031" xr:uid="{00000000-0005-0000-0000-0000DD580000}"/>
    <cellStyle name="Normal 55 2 2" xfId="3128" xr:uid="{00000000-0005-0000-0000-0000DE580000}"/>
    <cellStyle name="Normal 55 2 2 2" xfId="4747" xr:uid="{00000000-0005-0000-0000-0000DF580000}"/>
    <cellStyle name="Normal 55 2 2 2 2" xfId="6614" xr:uid="{00000000-0005-0000-0000-0000E0580000}"/>
    <cellStyle name="Normal 55 2 2 3" xfId="5712" xr:uid="{00000000-0005-0000-0000-0000E1580000}"/>
    <cellStyle name="Normal 55 2 2 4" xfId="19662" xr:uid="{00000000-0005-0000-0000-0000E2580000}"/>
    <cellStyle name="Normal 55 2 3" xfId="4220" xr:uid="{00000000-0005-0000-0000-0000E3580000}"/>
    <cellStyle name="Normal 55 2 3 2" xfId="6168" xr:uid="{00000000-0005-0000-0000-0000E4580000}"/>
    <cellStyle name="Normal 55 2 4" xfId="5254" xr:uid="{00000000-0005-0000-0000-0000E5580000}"/>
    <cellStyle name="Normal 55 2 5" xfId="14702" xr:uid="{00000000-0005-0000-0000-0000E6580000}"/>
    <cellStyle name="Normal 55 2 6" xfId="24247" xr:uid="{00000000-0005-0000-0000-0000E7580000}"/>
    <cellStyle name="Normal 55 2 7" xfId="24982" xr:uid="{00000000-0005-0000-0000-0000E8580000}"/>
    <cellStyle name="Normal 55 2 8" xfId="25486" xr:uid="{00000000-0005-0000-0000-0000E9580000}"/>
    <cellStyle name="Normal 55 2 9" xfId="25990" xr:uid="{00000000-0005-0000-0000-0000EA580000}"/>
    <cellStyle name="Normal 55 3" xfId="2942" xr:uid="{00000000-0005-0000-0000-0000EB580000}"/>
    <cellStyle name="Normal 55 3 2" xfId="4561" xr:uid="{00000000-0005-0000-0000-0000EC580000}"/>
    <cellStyle name="Normal 55 3 2 2" xfId="6428" xr:uid="{00000000-0005-0000-0000-0000ED580000}"/>
    <cellStyle name="Normal 55 3 2 3" xfId="19663" xr:uid="{00000000-0005-0000-0000-0000EE580000}"/>
    <cellStyle name="Normal 55 3 3" xfId="5526" xr:uid="{00000000-0005-0000-0000-0000EF580000}"/>
    <cellStyle name="Normal 55 3 4" xfId="14703" xr:uid="{00000000-0005-0000-0000-0000F0580000}"/>
    <cellStyle name="Normal 55 4" xfId="3521" xr:uid="{00000000-0005-0000-0000-0000F1580000}"/>
    <cellStyle name="Normal 55 4 2" xfId="5802" xr:uid="{00000000-0005-0000-0000-0000F2580000}"/>
    <cellStyle name="Normal 55 4 3" xfId="14701" xr:uid="{00000000-0005-0000-0000-0000F3580000}"/>
    <cellStyle name="Normal 55 5" xfId="5068" xr:uid="{00000000-0005-0000-0000-0000F4580000}"/>
    <cellStyle name="Normal 55 5 2" xfId="19661" xr:uid="{00000000-0005-0000-0000-0000F5580000}"/>
    <cellStyle name="Normal 55 6" xfId="7043" xr:uid="{00000000-0005-0000-0000-0000F6580000}"/>
    <cellStyle name="Normal 55 7" xfId="7249" xr:uid="{00000000-0005-0000-0000-0000F7580000}"/>
    <cellStyle name="Normal 56" xfId="1702" xr:uid="{00000000-0005-0000-0000-0000F8580000}"/>
    <cellStyle name="Normal 56 2" xfId="3129" xr:uid="{00000000-0005-0000-0000-0000F9580000}"/>
    <cellStyle name="Normal 56 2 10" xfId="26999" xr:uid="{00000000-0005-0000-0000-0000FA580000}"/>
    <cellStyle name="Normal 56 2 11" xfId="27503" xr:uid="{00000000-0005-0000-0000-0000FB580000}"/>
    <cellStyle name="Normal 56 2 12" xfId="28007" xr:uid="{00000000-0005-0000-0000-0000FC580000}"/>
    <cellStyle name="Normal 56 2 13" xfId="28511" xr:uid="{00000000-0005-0000-0000-0000FD580000}"/>
    <cellStyle name="Normal 56 2 14" xfId="29015" xr:uid="{00000000-0005-0000-0000-0000FE580000}"/>
    <cellStyle name="Normal 56 2 15" xfId="29519" xr:uid="{00000000-0005-0000-0000-0000FF580000}"/>
    <cellStyle name="Normal 56 2 16" xfId="30023" xr:uid="{00000000-0005-0000-0000-000000590000}"/>
    <cellStyle name="Normal 56 2 17" xfId="30527" xr:uid="{00000000-0005-0000-0000-000001590000}"/>
    <cellStyle name="Normal 56 2 18" xfId="31032" xr:uid="{00000000-0005-0000-0000-000002590000}"/>
    <cellStyle name="Normal 56 2 2" xfId="4748" xr:uid="{00000000-0005-0000-0000-000003590000}"/>
    <cellStyle name="Normal 56 2 2 2" xfId="6615" xr:uid="{00000000-0005-0000-0000-000004590000}"/>
    <cellStyle name="Normal 56 2 2 3" xfId="19665" xr:uid="{00000000-0005-0000-0000-000005590000}"/>
    <cellStyle name="Normal 56 2 3" xfId="5713" xr:uid="{00000000-0005-0000-0000-000006590000}"/>
    <cellStyle name="Normal 56 2 4" xfId="14705" xr:uid="{00000000-0005-0000-0000-000007590000}"/>
    <cellStyle name="Normal 56 2 5" xfId="24249" xr:uid="{00000000-0005-0000-0000-000008590000}"/>
    <cellStyle name="Normal 56 2 6" xfId="24983" xr:uid="{00000000-0005-0000-0000-000009590000}"/>
    <cellStyle name="Normal 56 2 7" xfId="25487" xr:uid="{00000000-0005-0000-0000-00000A590000}"/>
    <cellStyle name="Normal 56 2 8" xfId="25991" xr:uid="{00000000-0005-0000-0000-00000B590000}"/>
    <cellStyle name="Normal 56 2 9" xfId="26495" xr:uid="{00000000-0005-0000-0000-00000C590000}"/>
    <cellStyle name="Normal 56 3" xfId="3522" xr:uid="{00000000-0005-0000-0000-00000D590000}"/>
    <cellStyle name="Normal 56 3 2" xfId="5803" xr:uid="{00000000-0005-0000-0000-00000E590000}"/>
    <cellStyle name="Normal 56 3 2 2" xfId="19666" xr:uid="{00000000-0005-0000-0000-00000F590000}"/>
    <cellStyle name="Normal 56 3 3" xfId="14706" xr:uid="{00000000-0005-0000-0000-000010590000}"/>
    <cellStyle name="Normal 56 4" xfId="5255" xr:uid="{00000000-0005-0000-0000-000011590000}"/>
    <cellStyle name="Normal 56 4 2" xfId="14704" xr:uid="{00000000-0005-0000-0000-000012590000}"/>
    <cellStyle name="Normal 56 5" xfId="7044" xr:uid="{00000000-0005-0000-0000-000013590000}"/>
    <cellStyle name="Normal 56 5 2" xfId="19664" xr:uid="{00000000-0005-0000-0000-000014590000}"/>
    <cellStyle name="Normal 56 6" xfId="7101" xr:uid="{00000000-0005-0000-0000-000015590000}"/>
    <cellStyle name="Normal 56 7" xfId="24248" xr:uid="{00000000-0005-0000-0000-000016590000}"/>
    <cellStyle name="Normal 57" xfId="1703" xr:uid="{00000000-0005-0000-0000-000017590000}"/>
    <cellStyle name="Normal 57 10" xfId="25992" xr:uid="{00000000-0005-0000-0000-000018590000}"/>
    <cellStyle name="Normal 57 11" xfId="26496" xr:uid="{00000000-0005-0000-0000-000019590000}"/>
    <cellStyle name="Normal 57 12" xfId="27000" xr:uid="{00000000-0005-0000-0000-00001A590000}"/>
    <cellStyle name="Normal 57 13" xfId="27504" xr:uid="{00000000-0005-0000-0000-00001B590000}"/>
    <cellStyle name="Normal 57 14" xfId="28008" xr:uid="{00000000-0005-0000-0000-00001C590000}"/>
    <cellStyle name="Normal 57 15" xfId="28512" xr:uid="{00000000-0005-0000-0000-00001D590000}"/>
    <cellStyle name="Normal 57 16" xfId="29016" xr:uid="{00000000-0005-0000-0000-00001E590000}"/>
    <cellStyle name="Normal 57 17" xfId="29520" xr:uid="{00000000-0005-0000-0000-00001F590000}"/>
    <cellStyle name="Normal 57 18" xfId="30024" xr:uid="{00000000-0005-0000-0000-000020590000}"/>
    <cellStyle name="Normal 57 19" xfId="30528" xr:uid="{00000000-0005-0000-0000-000021590000}"/>
    <cellStyle name="Normal 57 2" xfId="3130" xr:uid="{00000000-0005-0000-0000-000022590000}"/>
    <cellStyle name="Normal 57 2 2" xfId="4749" xr:uid="{00000000-0005-0000-0000-000023590000}"/>
    <cellStyle name="Normal 57 2 2 2" xfId="6616" xr:uid="{00000000-0005-0000-0000-000024590000}"/>
    <cellStyle name="Normal 57 2 2 3" xfId="19668" xr:uid="{00000000-0005-0000-0000-000025590000}"/>
    <cellStyle name="Normal 57 2 3" xfId="5714" xr:uid="{00000000-0005-0000-0000-000026590000}"/>
    <cellStyle name="Normal 57 2 4" xfId="14708" xr:uid="{00000000-0005-0000-0000-000027590000}"/>
    <cellStyle name="Normal 57 20" xfId="31033" xr:uid="{00000000-0005-0000-0000-000028590000}"/>
    <cellStyle name="Normal 57 3" xfId="3523" xr:uid="{00000000-0005-0000-0000-000029590000}"/>
    <cellStyle name="Normal 57 3 2" xfId="5804" xr:uid="{00000000-0005-0000-0000-00002A590000}"/>
    <cellStyle name="Normal 57 3 2 2" xfId="19669" xr:uid="{00000000-0005-0000-0000-00002B590000}"/>
    <cellStyle name="Normal 57 3 3" xfId="14709" xr:uid="{00000000-0005-0000-0000-00002C590000}"/>
    <cellStyle name="Normal 57 4" xfId="5256" xr:uid="{00000000-0005-0000-0000-00002D590000}"/>
    <cellStyle name="Normal 57 4 2" xfId="14707" xr:uid="{00000000-0005-0000-0000-00002E590000}"/>
    <cellStyle name="Normal 57 5" xfId="7045" xr:uid="{00000000-0005-0000-0000-00002F590000}"/>
    <cellStyle name="Normal 57 5 2" xfId="19667" xr:uid="{00000000-0005-0000-0000-000030590000}"/>
    <cellStyle name="Normal 57 6" xfId="7253" xr:uid="{00000000-0005-0000-0000-000031590000}"/>
    <cellStyle name="Normal 57 7" xfId="24250" xr:uid="{00000000-0005-0000-0000-000032590000}"/>
    <cellStyle name="Normal 57 8" xfId="24984" xr:uid="{00000000-0005-0000-0000-000033590000}"/>
    <cellStyle name="Normal 57 9" xfId="25488" xr:uid="{00000000-0005-0000-0000-000034590000}"/>
    <cellStyle name="Normal 58" xfId="1713" xr:uid="{00000000-0005-0000-0000-000035590000}"/>
    <cellStyle name="Normal 58 10" xfId="25993" xr:uid="{00000000-0005-0000-0000-000036590000}"/>
    <cellStyle name="Normal 58 11" xfId="26497" xr:uid="{00000000-0005-0000-0000-000037590000}"/>
    <cellStyle name="Normal 58 12" xfId="27001" xr:uid="{00000000-0005-0000-0000-000038590000}"/>
    <cellStyle name="Normal 58 13" xfId="27505" xr:uid="{00000000-0005-0000-0000-000039590000}"/>
    <cellStyle name="Normal 58 14" xfId="28009" xr:uid="{00000000-0005-0000-0000-00003A590000}"/>
    <cellStyle name="Normal 58 15" xfId="28513" xr:uid="{00000000-0005-0000-0000-00003B590000}"/>
    <cellStyle name="Normal 58 16" xfId="29017" xr:uid="{00000000-0005-0000-0000-00003C590000}"/>
    <cellStyle name="Normal 58 17" xfId="29521" xr:uid="{00000000-0005-0000-0000-00003D590000}"/>
    <cellStyle name="Normal 58 18" xfId="30025" xr:uid="{00000000-0005-0000-0000-00003E590000}"/>
    <cellStyle name="Normal 58 19" xfId="30529" xr:uid="{00000000-0005-0000-0000-00003F590000}"/>
    <cellStyle name="Normal 58 2" xfId="3139" xr:uid="{00000000-0005-0000-0000-000040590000}"/>
    <cellStyle name="Normal 58 2 2" xfId="19671" xr:uid="{00000000-0005-0000-0000-000041590000}"/>
    <cellStyle name="Normal 58 2 3" xfId="14711" xr:uid="{00000000-0005-0000-0000-000042590000}"/>
    <cellStyle name="Normal 58 20" xfId="31034" xr:uid="{00000000-0005-0000-0000-000043590000}"/>
    <cellStyle name="Normal 58 3" xfId="4229" xr:uid="{00000000-0005-0000-0000-000044590000}"/>
    <cellStyle name="Normal 58 3 2" xfId="19672" xr:uid="{00000000-0005-0000-0000-000045590000}"/>
    <cellStyle name="Normal 58 3 3" xfId="14712" xr:uid="{00000000-0005-0000-0000-000046590000}"/>
    <cellStyle name="Normal 58 4" xfId="3524" xr:uid="{00000000-0005-0000-0000-000047590000}"/>
    <cellStyle name="Normal 58 4 2" xfId="5805" xr:uid="{00000000-0005-0000-0000-000048590000}"/>
    <cellStyle name="Normal 58 4 3" xfId="14710" xr:uid="{00000000-0005-0000-0000-000049590000}"/>
    <cellStyle name="Normal 58 5" xfId="7046" xr:uid="{00000000-0005-0000-0000-00004A590000}"/>
    <cellStyle name="Normal 58 5 2" xfId="19670" xr:uid="{00000000-0005-0000-0000-00004B590000}"/>
    <cellStyle name="Normal 58 6" xfId="7277" xr:uid="{00000000-0005-0000-0000-00004C590000}"/>
    <cellStyle name="Normal 58 7" xfId="24251" xr:uid="{00000000-0005-0000-0000-00004D590000}"/>
    <cellStyle name="Normal 58 8" xfId="24985" xr:uid="{00000000-0005-0000-0000-00004E590000}"/>
    <cellStyle name="Normal 58 9" xfId="25489" xr:uid="{00000000-0005-0000-0000-00004F590000}"/>
    <cellStyle name="Normal 59" xfId="1718" xr:uid="{00000000-0005-0000-0000-000050590000}"/>
    <cellStyle name="Normal 59 10" xfId="25994" xr:uid="{00000000-0005-0000-0000-000051590000}"/>
    <cellStyle name="Normal 59 11" xfId="26498" xr:uid="{00000000-0005-0000-0000-000052590000}"/>
    <cellStyle name="Normal 59 12" xfId="27002" xr:uid="{00000000-0005-0000-0000-000053590000}"/>
    <cellStyle name="Normal 59 13" xfId="27506" xr:uid="{00000000-0005-0000-0000-000054590000}"/>
    <cellStyle name="Normal 59 14" xfId="28010" xr:uid="{00000000-0005-0000-0000-000055590000}"/>
    <cellStyle name="Normal 59 15" xfId="28514" xr:uid="{00000000-0005-0000-0000-000056590000}"/>
    <cellStyle name="Normal 59 16" xfId="29018" xr:uid="{00000000-0005-0000-0000-000057590000}"/>
    <cellStyle name="Normal 59 17" xfId="29522" xr:uid="{00000000-0005-0000-0000-000058590000}"/>
    <cellStyle name="Normal 59 18" xfId="30026" xr:uid="{00000000-0005-0000-0000-000059590000}"/>
    <cellStyle name="Normal 59 19" xfId="30530" xr:uid="{00000000-0005-0000-0000-00005A590000}"/>
    <cellStyle name="Normal 59 2" xfId="3141" xr:uid="{00000000-0005-0000-0000-00005B590000}"/>
    <cellStyle name="Normal 59 2 2" xfId="4758" xr:uid="{00000000-0005-0000-0000-00005C590000}"/>
    <cellStyle name="Normal 59 2 2 2" xfId="6625" xr:uid="{00000000-0005-0000-0000-00005D590000}"/>
    <cellStyle name="Normal 59 2 2 3" xfId="19674" xr:uid="{00000000-0005-0000-0000-00005E590000}"/>
    <cellStyle name="Normal 59 2 3" xfId="5723" xr:uid="{00000000-0005-0000-0000-00005F590000}"/>
    <cellStyle name="Normal 59 2 4" xfId="14714" xr:uid="{00000000-0005-0000-0000-000060590000}"/>
    <cellStyle name="Normal 59 20" xfId="31035" xr:uid="{00000000-0005-0000-0000-000061590000}"/>
    <cellStyle name="Normal 59 3" xfId="3525" xr:uid="{00000000-0005-0000-0000-000062590000}"/>
    <cellStyle name="Normal 59 3 2" xfId="5806" xr:uid="{00000000-0005-0000-0000-000063590000}"/>
    <cellStyle name="Normal 59 3 2 2" xfId="19675" xr:uid="{00000000-0005-0000-0000-000064590000}"/>
    <cellStyle name="Normal 59 3 3" xfId="14715" xr:uid="{00000000-0005-0000-0000-000065590000}"/>
    <cellStyle name="Normal 59 4" xfId="5265" xr:uid="{00000000-0005-0000-0000-000066590000}"/>
    <cellStyle name="Normal 59 4 2" xfId="14713" xr:uid="{00000000-0005-0000-0000-000067590000}"/>
    <cellStyle name="Normal 59 5" xfId="7047" xr:uid="{00000000-0005-0000-0000-000068590000}"/>
    <cellStyle name="Normal 59 5 2" xfId="19673" xr:uid="{00000000-0005-0000-0000-000069590000}"/>
    <cellStyle name="Normal 59 6" xfId="7343" xr:uid="{00000000-0005-0000-0000-00006A590000}"/>
    <cellStyle name="Normal 59 7" xfId="24252" xr:uid="{00000000-0005-0000-0000-00006B590000}"/>
    <cellStyle name="Normal 59 8" xfId="24986" xr:uid="{00000000-0005-0000-0000-00006C590000}"/>
    <cellStyle name="Normal 59 9" xfId="25490" xr:uid="{00000000-0005-0000-0000-00006D590000}"/>
    <cellStyle name="Normal 6" xfId="294" xr:uid="{00000000-0005-0000-0000-00006E590000}"/>
    <cellStyle name="Normal 6 10" xfId="19676" xr:uid="{00000000-0005-0000-0000-00006F590000}"/>
    <cellStyle name="Normal 6 2" xfId="295" xr:uid="{00000000-0005-0000-0000-000070590000}"/>
    <cellStyle name="Normal 6 2 2" xfId="2466" xr:uid="{00000000-0005-0000-0000-000071590000}"/>
    <cellStyle name="Normal 6 2 2 2" xfId="14719" xr:uid="{00000000-0005-0000-0000-000072590000}"/>
    <cellStyle name="Normal 6 2 2 2 2" xfId="19679" xr:uid="{00000000-0005-0000-0000-000073590000}"/>
    <cellStyle name="Normal 6 2 2 3" xfId="14718" xr:uid="{00000000-0005-0000-0000-000074590000}"/>
    <cellStyle name="Normal 6 2 2 4" xfId="19678" xr:uid="{00000000-0005-0000-0000-000075590000}"/>
    <cellStyle name="Normal 6 2 3" xfId="2467" xr:uid="{00000000-0005-0000-0000-000076590000}"/>
    <cellStyle name="Normal 6 2 3 2" xfId="14721" xr:uid="{00000000-0005-0000-0000-000077590000}"/>
    <cellStyle name="Normal 6 2 3 2 2" xfId="19681" xr:uid="{00000000-0005-0000-0000-000078590000}"/>
    <cellStyle name="Normal 6 2 3 3" xfId="14720" xr:uid="{00000000-0005-0000-0000-000079590000}"/>
    <cellStyle name="Normal 6 2 3 4" xfId="19680" xr:uid="{00000000-0005-0000-0000-00007A590000}"/>
    <cellStyle name="Normal 6 2 4" xfId="14722" xr:uid="{00000000-0005-0000-0000-00007B590000}"/>
    <cellStyle name="Normal 6 2 4 2" xfId="19682" xr:uid="{00000000-0005-0000-0000-00007C590000}"/>
    <cellStyle name="Normal 6 2 4 3" xfId="24253" xr:uid="{00000000-0005-0000-0000-00007D590000}"/>
    <cellStyle name="Normal 6 2 5" xfId="14723" xr:uid="{00000000-0005-0000-0000-00007E590000}"/>
    <cellStyle name="Normal 6 2 5 2" xfId="19683" xr:uid="{00000000-0005-0000-0000-00007F590000}"/>
    <cellStyle name="Normal 6 2 6" xfId="14724" xr:uid="{00000000-0005-0000-0000-000080590000}"/>
    <cellStyle name="Normal 6 2 6 2" xfId="19684" xr:uid="{00000000-0005-0000-0000-000081590000}"/>
    <cellStyle name="Normal 6 2 7" xfId="14725" xr:uid="{00000000-0005-0000-0000-000082590000}"/>
    <cellStyle name="Normal 6 2 7 2" xfId="19685" xr:uid="{00000000-0005-0000-0000-000083590000}"/>
    <cellStyle name="Normal 6 2 8" xfId="14717" xr:uid="{00000000-0005-0000-0000-000084590000}"/>
    <cellStyle name="Normal 6 2 9" xfId="19677" xr:uid="{00000000-0005-0000-0000-000085590000}"/>
    <cellStyle name="Normal 6 3" xfId="1281" xr:uid="{00000000-0005-0000-0000-000086590000}"/>
    <cellStyle name="Normal 6 3 2" xfId="2468" xr:uid="{00000000-0005-0000-0000-000087590000}"/>
    <cellStyle name="Normal 6 3 2 2" xfId="2469" xr:uid="{00000000-0005-0000-0000-000088590000}"/>
    <cellStyle name="Normal 6 3 2 2 2" xfId="14729" xr:uid="{00000000-0005-0000-0000-000089590000}"/>
    <cellStyle name="Normal 6 3 2 2 2 2" xfId="19689" xr:uid="{00000000-0005-0000-0000-00008A590000}"/>
    <cellStyle name="Normal 6 3 2 2 3" xfId="14728" xr:uid="{00000000-0005-0000-0000-00008B590000}"/>
    <cellStyle name="Normal 6 3 2 2 4" xfId="19688" xr:uid="{00000000-0005-0000-0000-00008C590000}"/>
    <cellStyle name="Normal 6 3 2 3" xfId="14730" xr:uid="{00000000-0005-0000-0000-00008D590000}"/>
    <cellStyle name="Normal 6 3 2 3 2" xfId="19690" xr:uid="{00000000-0005-0000-0000-00008E590000}"/>
    <cellStyle name="Normal 6 3 2 4" xfId="14727" xr:uid="{00000000-0005-0000-0000-00008F590000}"/>
    <cellStyle name="Normal 6 3 2 5" xfId="19687" xr:uid="{00000000-0005-0000-0000-000090590000}"/>
    <cellStyle name="Normal 6 3 3" xfId="14731" xr:uid="{00000000-0005-0000-0000-000091590000}"/>
    <cellStyle name="Normal 6 3 3 2" xfId="19691" xr:uid="{00000000-0005-0000-0000-000092590000}"/>
    <cellStyle name="Normal 6 3 3 3" xfId="24254" xr:uid="{00000000-0005-0000-0000-000093590000}"/>
    <cellStyle name="Normal 6 3 4" xfId="14732" xr:uid="{00000000-0005-0000-0000-000094590000}"/>
    <cellStyle name="Normal 6 3 4 10" xfId="28011" xr:uid="{00000000-0005-0000-0000-000095590000}"/>
    <cellStyle name="Normal 6 3 4 11" xfId="28515" xr:uid="{00000000-0005-0000-0000-000096590000}"/>
    <cellStyle name="Normal 6 3 4 12" xfId="29019" xr:uid="{00000000-0005-0000-0000-000097590000}"/>
    <cellStyle name="Normal 6 3 4 13" xfId="29523" xr:uid="{00000000-0005-0000-0000-000098590000}"/>
    <cellStyle name="Normal 6 3 4 14" xfId="30027" xr:uid="{00000000-0005-0000-0000-000099590000}"/>
    <cellStyle name="Normal 6 3 4 15" xfId="30531" xr:uid="{00000000-0005-0000-0000-00009A590000}"/>
    <cellStyle name="Normal 6 3 4 16" xfId="31036" xr:uid="{00000000-0005-0000-0000-00009B590000}"/>
    <cellStyle name="Normal 6 3 4 2" xfId="19692" xr:uid="{00000000-0005-0000-0000-00009C590000}"/>
    <cellStyle name="Normal 6 3 4 3" xfId="24255" xr:uid="{00000000-0005-0000-0000-00009D590000}"/>
    <cellStyle name="Normal 6 3 4 4" xfId="24987" xr:uid="{00000000-0005-0000-0000-00009E590000}"/>
    <cellStyle name="Normal 6 3 4 5" xfId="25491" xr:uid="{00000000-0005-0000-0000-00009F590000}"/>
    <cellStyle name="Normal 6 3 4 6" xfId="25995" xr:uid="{00000000-0005-0000-0000-0000A0590000}"/>
    <cellStyle name="Normal 6 3 4 7" xfId="26499" xr:uid="{00000000-0005-0000-0000-0000A1590000}"/>
    <cellStyle name="Normal 6 3 4 8" xfId="27003" xr:uid="{00000000-0005-0000-0000-0000A2590000}"/>
    <cellStyle name="Normal 6 3 4 9" xfId="27507" xr:uid="{00000000-0005-0000-0000-0000A3590000}"/>
    <cellStyle name="Normal 6 3 5" xfId="14733" xr:uid="{00000000-0005-0000-0000-0000A4590000}"/>
    <cellStyle name="Normal 6 3 5 2" xfId="19693" xr:uid="{00000000-0005-0000-0000-0000A5590000}"/>
    <cellStyle name="Normal 6 3 6" xfId="14734" xr:uid="{00000000-0005-0000-0000-0000A6590000}"/>
    <cellStyle name="Normal 6 3 6 2" xfId="19694" xr:uid="{00000000-0005-0000-0000-0000A7590000}"/>
    <cellStyle name="Normal 6 3 7" xfId="14735" xr:uid="{00000000-0005-0000-0000-0000A8590000}"/>
    <cellStyle name="Normal 6 3 7 2" xfId="19695" xr:uid="{00000000-0005-0000-0000-0000A9590000}"/>
    <cellStyle name="Normal 6 3 8" xfId="14726" xr:uid="{00000000-0005-0000-0000-0000AA590000}"/>
    <cellStyle name="Normal 6 3 9" xfId="19686" xr:uid="{00000000-0005-0000-0000-0000AB590000}"/>
    <cellStyle name="Normal 6 4" xfId="2470" xr:uid="{00000000-0005-0000-0000-0000AC590000}"/>
    <cellStyle name="Normal 6 4 2" xfId="14737" xr:uid="{00000000-0005-0000-0000-0000AD590000}"/>
    <cellStyle name="Normal 6 4 2 2" xfId="19697" xr:uid="{00000000-0005-0000-0000-0000AE590000}"/>
    <cellStyle name="Normal 6 4 2 3" xfId="24256" xr:uid="{00000000-0005-0000-0000-0000AF590000}"/>
    <cellStyle name="Normal 6 4 3" xfId="14738" xr:uid="{00000000-0005-0000-0000-0000B0590000}"/>
    <cellStyle name="Normal 6 4 3 2" xfId="19698" xr:uid="{00000000-0005-0000-0000-0000B1590000}"/>
    <cellStyle name="Normal 6 4 3 3" xfId="24257" xr:uid="{00000000-0005-0000-0000-0000B2590000}"/>
    <cellStyle name="Normal 6 4 4" xfId="14736" xr:uid="{00000000-0005-0000-0000-0000B3590000}"/>
    <cellStyle name="Normal 6 4 5" xfId="19696" xr:uid="{00000000-0005-0000-0000-0000B4590000}"/>
    <cellStyle name="Normal 6 5" xfId="2471" xr:uid="{00000000-0005-0000-0000-0000B5590000}"/>
    <cellStyle name="Normal 6 5 2" xfId="14740" xr:uid="{00000000-0005-0000-0000-0000B6590000}"/>
    <cellStyle name="Normal 6 5 2 2" xfId="19700" xr:uid="{00000000-0005-0000-0000-0000B7590000}"/>
    <cellStyle name="Normal 6 5 3" xfId="14741" xr:uid="{00000000-0005-0000-0000-0000B8590000}"/>
    <cellStyle name="Normal 6 5 3 2" xfId="19701" xr:uid="{00000000-0005-0000-0000-0000B9590000}"/>
    <cellStyle name="Normal 6 5 4" xfId="14739" xr:uid="{00000000-0005-0000-0000-0000BA590000}"/>
    <cellStyle name="Normal 6 5 5" xfId="19699" xr:uid="{00000000-0005-0000-0000-0000BB590000}"/>
    <cellStyle name="Normal 6 6" xfId="14742" xr:uid="{00000000-0005-0000-0000-0000BC590000}"/>
    <cellStyle name="Normal 6 6 10" xfId="28012" xr:uid="{00000000-0005-0000-0000-0000BD590000}"/>
    <cellStyle name="Normal 6 6 11" xfId="28516" xr:uid="{00000000-0005-0000-0000-0000BE590000}"/>
    <cellStyle name="Normal 6 6 12" xfId="29020" xr:uid="{00000000-0005-0000-0000-0000BF590000}"/>
    <cellStyle name="Normal 6 6 13" xfId="29524" xr:uid="{00000000-0005-0000-0000-0000C0590000}"/>
    <cellStyle name="Normal 6 6 14" xfId="30028" xr:uid="{00000000-0005-0000-0000-0000C1590000}"/>
    <cellStyle name="Normal 6 6 15" xfId="30532" xr:uid="{00000000-0005-0000-0000-0000C2590000}"/>
    <cellStyle name="Normal 6 6 16" xfId="31037" xr:uid="{00000000-0005-0000-0000-0000C3590000}"/>
    <cellStyle name="Normal 6 6 2" xfId="19702" xr:uid="{00000000-0005-0000-0000-0000C4590000}"/>
    <cellStyle name="Normal 6 6 3" xfId="24258" xr:uid="{00000000-0005-0000-0000-0000C5590000}"/>
    <cellStyle name="Normal 6 6 4" xfId="24988" xr:uid="{00000000-0005-0000-0000-0000C6590000}"/>
    <cellStyle name="Normal 6 6 5" xfId="25492" xr:uid="{00000000-0005-0000-0000-0000C7590000}"/>
    <cellStyle name="Normal 6 6 6" xfId="25996" xr:uid="{00000000-0005-0000-0000-0000C8590000}"/>
    <cellStyle name="Normal 6 6 7" xfId="26500" xr:uid="{00000000-0005-0000-0000-0000C9590000}"/>
    <cellStyle name="Normal 6 6 8" xfId="27004" xr:uid="{00000000-0005-0000-0000-0000CA590000}"/>
    <cellStyle name="Normal 6 6 9" xfId="27508" xr:uid="{00000000-0005-0000-0000-0000CB590000}"/>
    <cellStyle name="Normal 6 7" xfId="14743" xr:uid="{00000000-0005-0000-0000-0000CC590000}"/>
    <cellStyle name="Normal 6 7 2" xfId="19703" xr:uid="{00000000-0005-0000-0000-0000CD590000}"/>
    <cellStyle name="Normal 6 7 3" xfId="24259" xr:uid="{00000000-0005-0000-0000-0000CE590000}"/>
    <cellStyle name="Normal 6 8" xfId="14744" xr:uid="{00000000-0005-0000-0000-0000CF590000}"/>
    <cellStyle name="Normal 6 8 2" xfId="19704" xr:uid="{00000000-0005-0000-0000-0000D0590000}"/>
    <cellStyle name="Normal 6 9" xfId="14716" xr:uid="{00000000-0005-0000-0000-0000D1590000}"/>
    <cellStyle name="Normal 6_Xl0000150" xfId="455" xr:uid="{00000000-0005-0000-0000-0000D2590000}"/>
    <cellStyle name="Normal 60" xfId="1717" xr:uid="{00000000-0005-0000-0000-0000D3590000}"/>
    <cellStyle name="Normal 60 10" xfId="26501" xr:uid="{00000000-0005-0000-0000-0000D4590000}"/>
    <cellStyle name="Normal 60 11" xfId="27005" xr:uid="{00000000-0005-0000-0000-0000D5590000}"/>
    <cellStyle name="Normal 60 12" xfId="27509" xr:uid="{00000000-0005-0000-0000-0000D6590000}"/>
    <cellStyle name="Normal 60 13" xfId="28013" xr:uid="{00000000-0005-0000-0000-0000D7590000}"/>
    <cellStyle name="Normal 60 14" xfId="28517" xr:uid="{00000000-0005-0000-0000-0000D8590000}"/>
    <cellStyle name="Normal 60 15" xfId="29021" xr:uid="{00000000-0005-0000-0000-0000D9590000}"/>
    <cellStyle name="Normal 60 16" xfId="29525" xr:uid="{00000000-0005-0000-0000-0000DA590000}"/>
    <cellStyle name="Normal 60 17" xfId="30029" xr:uid="{00000000-0005-0000-0000-0000DB590000}"/>
    <cellStyle name="Normal 60 18" xfId="30533" xr:uid="{00000000-0005-0000-0000-0000DC590000}"/>
    <cellStyle name="Normal 60 19" xfId="31038" xr:uid="{00000000-0005-0000-0000-0000DD590000}"/>
    <cellStyle name="Normal 60 2" xfId="4231" xr:uid="{00000000-0005-0000-0000-0000DE590000}"/>
    <cellStyle name="Normal 60 2 2" xfId="19706" xr:uid="{00000000-0005-0000-0000-0000DF590000}"/>
    <cellStyle name="Normal 60 2 3" xfId="14746" xr:uid="{00000000-0005-0000-0000-0000E0590000}"/>
    <cellStyle name="Normal 60 3" xfId="3526" xr:uid="{00000000-0005-0000-0000-0000E1590000}"/>
    <cellStyle name="Normal 60 3 2" xfId="5807" xr:uid="{00000000-0005-0000-0000-0000E2590000}"/>
    <cellStyle name="Normal 60 3 2 2" xfId="19707" xr:uid="{00000000-0005-0000-0000-0000E3590000}"/>
    <cellStyle name="Normal 60 3 3" xfId="14747" xr:uid="{00000000-0005-0000-0000-0000E4590000}"/>
    <cellStyle name="Normal 60 4" xfId="7048" xr:uid="{00000000-0005-0000-0000-0000E5590000}"/>
    <cellStyle name="Normal 60 4 2" xfId="19705" xr:uid="{00000000-0005-0000-0000-0000E6590000}"/>
    <cellStyle name="Normal 60 5" xfId="14745" xr:uid="{00000000-0005-0000-0000-0000E7590000}"/>
    <cellStyle name="Normal 60 6" xfId="24260" xr:uid="{00000000-0005-0000-0000-0000E8590000}"/>
    <cellStyle name="Normal 60 7" xfId="24989" xr:uid="{00000000-0005-0000-0000-0000E9590000}"/>
    <cellStyle name="Normal 60 8" xfId="25493" xr:uid="{00000000-0005-0000-0000-0000EA590000}"/>
    <cellStyle name="Normal 60 9" xfId="25997" xr:uid="{00000000-0005-0000-0000-0000EB590000}"/>
    <cellStyle name="Normal 61" xfId="1720" xr:uid="{00000000-0005-0000-0000-0000EC590000}"/>
    <cellStyle name="Normal 61 10" xfId="26502" xr:uid="{00000000-0005-0000-0000-0000ED590000}"/>
    <cellStyle name="Normal 61 11" xfId="27006" xr:uid="{00000000-0005-0000-0000-0000EE590000}"/>
    <cellStyle name="Normal 61 12" xfId="27510" xr:uid="{00000000-0005-0000-0000-0000EF590000}"/>
    <cellStyle name="Normal 61 13" xfId="28014" xr:uid="{00000000-0005-0000-0000-0000F0590000}"/>
    <cellStyle name="Normal 61 14" xfId="28518" xr:uid="{00000000-0005-0000-0000-0000F1590000}"/>
    <cellStyle name="Normal 61 15" xfId="29022" xr:uid="{00000000-0005-0000-0000-0000F2590000}"/>
    <cellStyle name="Normal 61 16" xfId="29526" xr:uid="{00000000-0005-0000-0000-0000F3590000}"/>
    <cellStyle name="Normal 61 17" xfId="30030" xr:uid="{00000000-0005-0000-0000-0000F4590000}"/>
    <cellStyle name="Normal 61 18" xfId="30534" xr:uid="{00000000-0005-0000-0000-0000F5590000}"/>
    <cellStyle name="Normal 61 19" xfId="31039" xr:uid="{00000000-0005-0000-0000-0000F6590000}"/>
    <cellStyle name="Normal 61 2" xfId="3527" xr:uid="{00000000-0005-0000-0000-0000F7590000}"/>
    <cellStyle name="Normal 61 2 2" xfId="5808" xr:uid="{00000000-0005-0000-0000-0000F8590000}"/>
    <cellStyle name="Normal 61 2 2 2" xfId="19709" xr:uid="{00000000-0005-0000-0000-0000F9590000}"/>
    <cellStyle name="Normal 61 2 3" xfId="14749" xr:uid="{00000000-0005-0000-0000-0000FA590000}"/>
    <cellStyle name="Normal 61 3" xfId="5266" xr:uid="{00000000-0005-0000-0000-0000FB590000}"/>
    <cellStyle name="Normal 61 3 2" xfId="19710" xr:uid="{00000000-0005-0000-0000-0000FC590000}"/>
    <cellStyle name="Normal 61 3 3" xfId="14750" xr:uid="{00000000-0005-0000-0000-0000FD590000}"/>
    <cellStyle name="Normal 61 4" xfId="7049" xr:uid="{00000000-0005-0000-0000-0000FE590000}"/>
    <cellStyle name="Normal 61 4 2" xfId="19708" xr:uid="{00000000-0005-0000-0000-0000FF590000}"/>
    <cellStyle name="Normal 61 5" xfId="14748" xr:uid="{00000000-0005-0000-0000-0000005A0000}"/>
    <cellStyle name="Normal 61 6" xfId="24261" xr:uid="{00000000-0005-0000-0000-0000015A0000}"/>
    <cellStyle name="Normal 61 7" xfId="24990" xr:uid="{00000000-0005-0000-0000-0000025A0000}"/>
    <cellStyle name="Normal 61 8" xfId="25494" xr:uid="{00000000-0005-0000-0000-0000035A0000}"/>
    <cellStyle name="Normal 61 9" xfId="25998" xr:uid="{00000000-0005-0000-0000-0000045A0000}"/>
    <cellStyle name="Normal 62" xfId="2660" xr:uid="{00000000-0005-0000-0000-0000055A0000}"/>
    <cellStyle name="Normal 62 10" xfId="26503" xr:uid="{00000000-0005-0000-0000-0000065A0000}"/>
    <cellStyle name="Normal 62 11" xfId="27007" xr:uid="{00000000-0005-0000-0000-0000075A0000}"/>
    <cellStyle name="Normal 62 12" xfId="27511" xr:uid="{00000000-0005-0000-0000-0000085A0000}"/>
    <cellStyle name="Normal 62 13" xfId="28015" xr:uid="{00000000-0005-0000-0000-0000095A0000}"/>
    <cellStyle name="Normal 62 14" xfId="28519" xr:uid="{00000000-0005-0000-0000-00000A5A0000}"/>
    <cellStyle name="Normal 62 15" xfId="29023" xr:uid="{00000000-0005-0000-0000-00000B5A0000}"/>
    <cellStyle name="Normal 62 16" xfId="29527" xr:uid="{00000000-0005-0000-0000-00000C5A0000}"/>
    <cellStyle name="Normal 62 17" xfId="30031" xr:uid="{00000000-0005-0000-0000-00000D5A0000}"/>
    <cellStyle name="Normal 62 18" xfId="30535" xr:uid="{00000000-0005-0000-0000-00000E5A0000}"/>
    <cellStyle name="Normal 62 19" xfId="31040" xr:uid="{00000000-0005-0000-0000-00000F5A0000}"/>
    <cellStyle name="Normal 62 2" xfId="3528" xr:uid="{00000000-0005-0000-0000-0000105A0000}"/>
    <cellStyle name="Normal 62 2 2" xfId="5809" xr:uid="{00000000-0005-0000-0000-0000115A0000}"/>
    <cellStyle name="Normal 62 2 2 2" xfId="19712" xr:uid="{00000000-0005-0000-0000-0000125A0000}"/>
    <cellStyle name="Normal 62 2 3" xfId="14752" xr:uid="{00000000-0005-0000-0000-0000135A0000}"/>
    <cellStyle name="Normal 62 3" xfId="5311" xr:uid="{00000000-0005-0000-0000-0000145A0000}"/>
    <cellStyle name="Normal 62 3 2" xfId="19713" xr:uid="{00000000-0005-0000-0000-0000155A0000}"/>
    <cellStyle name="Normal 62 3 3" xfId="14753" xr:uid="{00000000-0005-0000-0000-0000165A0000}"/>
    <cellStyle name="Normal 62 4" xfId="7050" xr:uid="{00000000-0005-0000-0000-0000175A0000}"/>
    <cellStyle name="Normal 62 4 2" xfId="19711" xr:uid="{00000000-0005-0000-0000-0000185A0000}"/>
    <cellStyle name="Normal 62 5" xfId="14751" xr:uid="{00000000-0005-0000-0000-0000195A0000}"/>
    <cellStyle name="Normal 62 6" xfId="24262" xr:uid="{00000000-0005-0000-0000-00001A5A0000}"/>
    <cellStyle name="Normal 62 7" xfId="24991" xr:uid="{00000000-0005-0000-0000-00001B5A0000}"/>
    <cellStyle name="Normal 62 8" xfId="25495" xr:uid="{00000000-0005-0000-0000-00001C5A0000}"/>
    <cellStyle name="Normal 62 9" xfId="25999" xr:uid="{00000000-0005-0000-0000-00001D5A0000}"/>
    <cellStyle name="Normal 63" xfId="2665" xr:uid="{00000000-0005-0000-0000-00001E5A0000}"/>
    <cellStyle name="Normal 63 10" xfId="26504" xr:uid="{00000000-0005-0000-0000-00001F5A0000}"/>
    <cellStyle name="Normal 63 11" xfId="27008" xr:uid="{00000000-0005-0000-0000-0000205A0000}"/>
    <cellStyle name="Normal 63 12" xfId="27512" xr:uid="{00000000-0005-0000-0000-0000215A0000}"/>
    <cellStyle name="Normal 63 13" xfId="28016" xr:uid="{00000000-0005-0000-0000-0000225A0000}"/>
    <cellStyle name="Normal 63 14" xfId="28520" xr:uid="{00000000-0005-0000-0000-0000235A0000}"/>
    <cellStyle name="Normal 63 15" xfId="29024" xr:uid="{00000000-0005-0000-0000-0000245A0000}"/>
    <cellStyle name="Normal 63 16" xfId="29528" xr:uid="{00000000-0005-0000-0000-0000255A0000}"/>
    <cellStyle name="Normal 63 17" xfId="30032" xr:uid="{00000000-0005-0000-0000-0000265A0000}"/>
    <cellStyle name="Normal 63 18" xfId="30536" xr:uid="{00000000-0005-0000-0000-0000275A0000}"/>
    <cellStyle name="Normal 63 19" xfId="31041" xr:uid="{00000000-0005-0000-0000-0000285A0000}"/>
    <cellStyle name="Normal 63 2" xfId="3529" xr:uid="{00000000-0005-0000-0000-0000295A0000}"/>
    <cellStyle name="Normal 63 2 2" xfId="5810" xr:uid="{00000000-0005-0000-0000-00002A5A0000}"/>
    <cellStyle name="Normal 63 2 2 2" xfId="19715" xr:uid="{00000000-0005-0000-0000-00002B5A0000}"/>
    <cellStyle name="Normal 63 2 3" xfId="14755" xr:uid="{00000000-0005-0000-0000-00002C5A0000}"/>
    <cellStyle name="Normal 63 3" xfId="5313" xr:uid="{00000000-0005-0000-0000-00002D5A0000}"/>
    <cellStyle name="Normal 63 3 2" xfId="19716" xr:uid="{00000000-0005-0000-0000-00002E5A0000}"/>
    <cellStyle name="Normal 63 3 3" xfId="14756" xr:uid="{00000000-0005-0000-0000-00002F5A0000}"/>
    <cellStyle name="Normal 63 4" xfId="7051" xr:uid="{00000000-0005-0000-0000-0000305A0000}"/>
    <cellStyle name="Normal 63 4 2" xfId="19714" xr:uid="{00000000-0005-0000-0000-0000315A0000}"/>
    <cellStyle name="Normal 63 5" xfId="14754" xr:uid="{00000000-0005-0000-0000-0000325A0000}"/>
    <cellStyle name="Normal 63 6" xfId="24263" xr:uid="{00000000-0005-0000-0000-0000335A0000}"/>
    <cellStyle name="Normal 63 7" xfId="24992" xr:uid="{00000000-0005-0000-0000-0000345A0000}"/>
    <cellStyle name="Normal 63 8" xfId="25496" xr:uid="{00000000-0005-0000-0000-0000355A0000}"/>
    <cellStyle name="Normal 63 9" xfId="26000" xr:uid="{00000000-0005-0000-0000-0000365A0000}"/>
    <cellStyle name="Normal 64" xfId="2664" xr:uid="{00000000-0005-0000-0000-0000375A0000}"/>
    <cellStyle name="Normal 64 10" xfId="26505" xr:uid="{00000000-0005-0000-0000-0000385A0000}"/>
    <cellStyle name="Normal 64 11" xfId="27009" xr:uid="{00000000-0005-0000-0000-0000395A0000}"/>
    <cellStyle name="Normal 64 12" xfId="27513" xr:uid="{00000000-0005-0000-0000-00003A5A0000}"/>
    <cellStyle name="Normal 64 13" xfId="28017" xr:uid="{00000000-0005-0000-0000-00003B5A0000}"/>
    <cellStyle name="Normal 64 14" xfId="28521" xr:uid="{00000000-0005-0000-0000-00003C5A0000}"/>
    <cellStyle name="Normal 64 15" xfId="29025" xr:uid="{00000000-0005-0000-0000-00003D5A0000}"/>
    <cellStyle name="Normal 64 16" xfId="29529" xr:uid="{00000000-0005-0000-0000-00003E5A0000}"/>
    <cellStyle name="Normal 64 17" xfId="30033" xr:uid="{00000000-0005-0000-0000-00003F5A0000}"/>
    <cellStyle name="Normal 64 18" xfId="30537" xr:uid="{00000000-0005-0000-0000-0000405A0000}"/>
    <cellStyle name="Normal 64 19" xfId="31042" xr:uid="{00000000-0005-0000-0000-0000415A0000}"/>
    <cellStyle name="Normal 64 2" xfId="3530" xr:uid="{00000000-0005-0000-0000-0000425A0000}"/>
    <cellStyle name="Normal 64 2 2" xfId="5811" xr:uid="{00000000-0005-0000-0000-0000435A0000}"/>
    <cellStyle name="Normal 64 2 2 2" xfId="19718" xr:uid="{00000000-0005-0000-0000-0000445A0000}"/>
    <cellStyle name="Normal 64 2 3" xfId="14758" xr:uid="{00000000-0005-0000-0000-0000455A0000}"/>
    <cellStyle name="Normal 64 3" xfId="5312" xr:uid="{00000000-0005-0000-0000-0000465A0000}"/>
    <cellStyle name="Normal 64 3 2" xfId="19719" xr:uid="{00000000-0005-0000-0000-0000475A0000}"/>
    <cellStyle name="Normal 64 3 3" xfId="14759" xr:uid="{00000000-0005-0000-0000-0000485A0000}"/>
    <cellStyle name="Normal 64 4" xfId="7052" xr:uid="{00000000-0005-0000-0000-0000495A0000}"/>
    <cellStyle name="Normal 64 4 2" xfId="19717" xr:uid="{00000000-0005-0000-0000-00004A5A0000}"/>
    <cellStyle name="Normal 64 5" xfId="14757" xr:uid="{00000000-0005-0000-0000-00004B5A0000}"/>
    <cellStyle name="Normal 64 6" xfId="24264" xr:uid="{00000000-0005-0000-0000-00004C5A0000}"/>
    <cellStyle name="Normal 64 7" xfId="24993" xr:uid="{00000000-0005-0000-0000-00004D5A0000}"/>
    <cellStyle name="Normal 64 8" xfId="25497" xr:uid="{00000000-0005-0000-0000-00004E5A0000}"/>
    <cellStyle name="Normal 64 9" xfId="26001" xr:uid="{00000000-0005-0000-0000-00004F5A0000}"/>
    <cellStyle name="Normal 65" xfId="2666" xr:uid="{00000000-0005-0000-0000-0000505A0000}"/>
    <cellStyle name="Normal 65 10" xfId="26002" xr:uid="{00000000-0005-0000-0000-0000515A0000}"/>
    <cellStyle name="Normal 65 11" xfId="26506" xr:uid="{00000000-0005-0000-0000-0000525A0000}"/>
    <cellStyle name="Normal 65 12" xfId="27010" xr:uid="{00000000-0005-0000-0000-0000535A0000}"/>
    <cellStyle name="Normal 65 13" xfId="27514" xr:uid="{00000000-0005-0000-0000-0000545A0000}"/>
    <cellStyle name="Normal 65 14" xfId="28018" xr:uid="{00000000-0005-0000-0000-0000555A0000}"/>
    <cellStyle name="Normal 65 15" xfId="28522" xr:uid="{00000000-0005-0000-0000-0000565A0000}"/>
    <cellStyle name="Normal 65 16" xfId="29026" xr:uid="{00000000-0005-0000-0000-0000575A0000}"/>
    <cellStyle name="Normal 65 17" xfId="29530" xr:uid="{00000000-0005-0000-0000-0000585A0000}"/>
    <cellStyle name="Normal 65 18" xfId="30034" xr:uid="{00000000-0005-0000-0000-0000595A0000}"/>
    <cellStyle name="Normal 65 19" xfId="30538" xr:uid="{00000000-0005-0000-0000-00005A5A0000}"/>
    <cellStyle name="Normal 65 2" xfId="3158" xr:uid="{00000000-0005-0000-0000-00005B5A0000}"/>
    <cellStyle name="Normal 65 2 2" xfId="4773" xr:uid="{00000000-0005-0000-0000-00005C5A0000}"/>
    <cellStyle name="Normal 65 2 2 2" xfId="6629" xr:uid="{00000000-0005-0000-0000-00005D5A0000}"/>
    <cellStyle name="Normal 65 2 2 3" xfId="19721" xr:uid="{00000000-0005-0000-0000-00005E5A0000}"/>
    <cellStyle name="Normal 65 2 3" xfId="5727" xr:uid="{00000000-0005-0000-0000-00005F5A0000}"/>
    <cellStyle name="Normal 65 2 4" xfId="14761" xr:uid="{00000000-0005-0000-0000-0000605A0000}"/>
    <cellStyle name="Normal 65 20" xfId="31043" xr:uid="{00000000-0005-0000-0000-0000615A0000}"/>
    <cellStyle name="Normal 65 3" xfId="3531" xr:uid="{00000000-0005-0000-0000-0000625A0000}"/>
    <cellStyle name="Normal 65 3 2" xfId="5812" xr:uid="{00000000-0005-0000-0000-0000635A0000}"/>
    <cellStyle name="Normal 65 3 2 2" xfId="19722" xr:uid="{00000000-0005-0000-0000-0000645A0000}"/>
    <cellStyle name="Normal 65 3 3" xfId="14762" xr:uid="{00000000-0005-0000-0000-0000655A0000}"/>
    <cellStyle name="Normal 65 4" xfId="5314" xr:uid="{00000000-0005-0000-0000-0000665A0000}"/>
    <cellStyle name="Normal 65 4 2" xfId="19720" xr:uid="{00000000-0005-0000-0000-0000675A0000}"/>
    <cellStyle name="Normal 65 5" xfId="7053" xr:uid="{00000000-0005-0000-0000-0000685A0000}"/>
    <cellStyle name="Normal 65 6" xfId="14760" xr:uid="{00000000-0005-0000-0000-0000695A0000}"/>
    <cellStyle name="Normal 65 7" xfId="24265" xr:uid="{00000000-0005-0000-0000-00006A5A0000}"/>
    <cellStyle name="Normal 65 8" xfId="24994" xr:uid="{00000000-0005-0000-0000-00006B5A0000}"/>
    <cellStyle name="Normal 65 9" xfId="25498" xr:uid="{00000000-0005-0000-0000-00006C5A0000}"/>
    <cellStyle name="Normal 66" xfId="2712" xr:uid="{00000000-0005-0000-0000-00006D5A0000}"/>
    <cellStyle name="Normal 66 10" xfId="26507" xr:uid="{00000000-0005-0000-0000-00006E5A0000}"/>
    <cellStyle name="Normal 66 11" xfId="27011" xr:uid="{00000000-0005-0000-0000-00006F5A0000}"/>
    <cellStyle name="Normal 66 12" xfId="27515" xr:uid="{00000000-0005-0000-0000-0000705A0000}"/>
    <cellStyle name="Normal 66 13" xfId="28019" xr:uid="{00000000-0005-0000-0000-0000715A0000}"/>
    <cellStyle name="Normal 66 14" xfId="28523" xr:uid="{00000000-0005-0000-0000-0000725A0000}"/>
    <cellStyle name="Normal 66 15" xfId="29027" xr:uid="{00000000-0005-0000-0000-0000735A0000}"/>
    <cellStyle name="Normal 66 16" xfId="29531" xr:uid="{00000000-0005-0000-0000-0000745A0000}"/>
    <cellStyle name="Normal 66 17" xfId="30035" xr:uid="{00000000-0005-0000-0000-0000755A0000}"/>
    <cellStyle name="Normal 66 18" xfId="30539" xr:uid="{00000000-0005-0000-0000-0000765A0000}"/>
    <cellStyle name="Normal 66 19" xfId="31044" xr:uid="{00000000-0005-0000-0000-0000775A0000}"/>
    <cellStyle name="Normal 66 2" xfId="3532" xr:uid="{00000000-0005-0000-0000-0000785A0000}"/>
    <cellStyle name="Normal 66 2 2" xfId="5813" xr:uid="{00000000-0005-0000-0000-0000795A0000}"/>
    <cellStyle name="Normal 66 2 2 2" xfId="19724" xr:uid="{00000000-0005-0000-0000-00007A5A0000}"/>
    <cellStyle name="Normal 66 2 3" xfId="14764" xr:uid="{00000000-0005-0000-0000-00007B5A0000}"/>
    <cellStyle name="Normal 66 3" xfId="5359" xr:uid="{00000000-0005-0000-0000-00007C5A0000}"/>
    <cellStyle name="Normal 66 3 2" xfId="19725" xr:uid="{00000000-0005-0000-0000-00007D5A0000}"/>
    <cellStyle name="Normal 66 3 3" xfId="14765" xr:uid="{00000000-0005-0000-0000-00007E5A0000}"/>
    <cellStyle name="Normal 66 4" xfId="7054" xr:uid="{00000000-0005-0000-0000-00007F5A0000}"/>
    <cellStyle name="Normal 66 4 2" xfId="19723" xr:uid="{00000000-0005-0000-0000-0000805A0000}"/>
    <cellStyle name="Normal 66 5" xfId="14763" xr:uid="{00000000-0005-0000-0000-0000815A0000}"/>
    <cellStyle name="Normal 66 6" xfId="24266" xr:uid="{00000000-0005-0000-0000-0000825A0000}"/>
    <cellStyle name="Normal 66 7" xfId="24995" xr:uid="{00000000-0005-0000-0000-0000835A0000}"/>
    <cellStyle name="Normal 66 8" xfId="25499" xr:uid="{00000000-0005-0000-0000-0000845A0000}"/>
    <cellStyle name="Normal 66 9" xfId="26003" xr:uid="{00000000-0005-0000-0000-0000855A0000}"/>
    <cellStyle name="Normal 67" xfId="3533" xr:uid="{00000000-0005-0000-0000-0000865A0000}"/>
    <cellStyle name="Normal 67 10" xfId="26508" xr:uid="{00000000-0005-0000-0000-0000875A0000}"/>
    <cellStyle name="Normal 67 11" xfId="27012" xr:uid="{00000000-0005-0000-0000-0000885A0000}"/>
    <cellStyle name="Normal 67 12" xfId="27516" xr:uid="{00000000-0005-0000-0000-0000895A0000}"/>
    <cellStyle name="Normal 67 13" xfId="28020" xr:uid="{00000000-0005-0000-0000-00008A5A0000}"/>
    <cellStyle name="Normal 67 14" xfId="28524" xr:uid="{00000000-0005-0000-0000-00008B5A0000}"/>
    <cellStyle name="Normal 67 15" xfId="29028" xr:uid="{00000000-0005-0000-0000-00008C5A0000}"/>
    <cellStyle name="Normal 67 16" xfId="29532" xr:uid="{00000000-0005-0000-0000-00008D5A0000}"/>
    <cellStyle name="Normal 67 17" xfId="30036" xr:uid="{00000000-0005-0000-0000-00008E5A0000}"/>
    <cellStyle name="Normal 67 18" xfId="30540" xr:uid="{00000000-0005-0000-0000-00008F5A0000}"/>
    <cellStyle name="Normal 67 19" xfId="31045" xr:uid="{00000000-0005-0000-0000-0000905A0000}"/>
    <cellStyle name="Normal 67 2" xfId="5814" xr:uid="{00000000-0005-0000-0000-0000915A0000}"/>
    <cellStyle name="Normal 67 2 2" xfId="19727" xr:uid="{00000000-0005-0000-0000-0000925A0000}"/>
    <cellStyle name="Normal 67 2 3" xfId="14767" xr:uid="{00000000-0005-0000-0000-0000935A0000}"/>
    <cellStyle name="Normal 67 3" xfId="7055" xr:uid="{00000000-0005-0000-0000-0000945A0000}"/>
    <cellStyle name="Normal 67 3 2" xfId="19728" xr:uid="{00000000-0005-0000-0000-0000955A0000}"/>
    <cellStyle name="Normal 67 3 3" xfId="14768" xr:uid="{00000000-0005-0000-0000-0000965A0000}"/>
    <cellStyle name="Normal 67 4" xfId="19726" xr:uid="{00000000-0005-0000-0000-0000975A0000}"/>
    <cellStyle name="Normal 67 5" xfId="14766" xr:uid="{00000000-0005-0000-0000-0000985A0000}"/>
    <cellStyle name="Normal 67 6" xfId="24267" xr:uid="{00000000-0005-0000-0000-0000995A0000}"/>
    <cellStyle name="Normal 67 7" xfId="24996" xr:uid="{00000000-0005-0000-0000-00009A5A0000}"/>
    <cellStyle name="Normal 67 8" xfId="25500" xr:uid="{00000000-0005-0000-0000-00009B5A0000}"/>
    <cellStyle name="Normal 67 9" xfId="26004" xr:uid="{00000000-0005-0000-0000-00009C5A0000}"/>
    <cellStyle name="Normal 68" xfId="3534" xr:uid="{00000000-0005-0000-0000-00009D5A0000}"/>
    <cellStyle name="Normal 68 10" xfId="26509" xr:uid="{00000000-0005-0000-0000-00009E5A0000}"/>
    <cellStyle name="Normal 68 11" xfId="27013" xr:uid="{00000000-0005-0000-0000-00009F5A0000}"/>
    <cellStyle name="Normal 68 12" xfId="27517" xr:uid="{00000000-0005-0000-0000-0000A05A0000}"/>
    <cellStyle name="Normal 68 13" xfId="28021" xr:uid="{00000000-0005-0000-0000-0000A15A0000}"/>
    <cellStyle name="Normal 68 14" xfId="28525" xr:uid="{00000000-0005-0000-0000-0000A25A0000}"/>
    <cellStyle name="Normal 68 15" xfId="29029" xr:uid="{00000000-0005-0000-0000-0000A35A0000}"/>
    <cellStyle name="Normal 68 16" xfId="29533" xr:uid="{00000000-0005-0000-0000-0000A45A0000}"/>
    <cellStyle name="Normal 68 17" xfId="30037" xr:uid="{00000000-0005-0000-0000-0000A55A0000}"/>
    <cellStyle name="Normal 68 18" xfId="30541" xr:uid="{00000000-0005-0000-0000-0000A65A0000}"/>
    <cellStyle name="Normal 68 19" xfId="31046" xr:uid="{00000000-0005-0000-0000-0000A75A0000}"/>
    <cellStyle name="Normal 68 2" xfId="5815" xr:uid="{00000000-0005-0000-0000-0000A85A0000}"/>
    <cellStyle name="Normal 68 2 2" xfId="19730" xr:uid="{00000000-0005-0000-0000-0000A95A0000}"/>
    <cellStyle name="Normal 68 2 3" xfId="14770" xr:uid="{00000000-0005-0000-0000-0000AA5A0000}"/>
    <cellStyle name="Normal 68 3" xfId="7056" xr:uid="{00000000-0005-0000-0000-0000AB5A0000}"/>
    <cellStyle name="Normal 68 3 2" xfId="19731" xr:uid="{00000000-0005-0000-0000-0000AC5A0000}"/>
    <cellStyle name="Normal 68 3 3" xfId="14771" xr:uid="{00000000-0005-0000-0000-0000AD5A0000}"/>
    <cellStyle name="Normal 68 4" xfId="19729" xr:uid="{00000000-0005-0000-0000-0000AE5A0000}"/>
    <cellStyle name="Normal 68 5" xfId="14769" xr:uid="{00000000-0005-0000-0000-0000AF5A0000}"/>
    <cellStyle name="Normal 68 6" xfId="24268" xr:uid="{00000000-0005-0000-0000-0000B05A0000}"/>
    <cellStyle name="Normal 68 7" xfId="24997" xr:uid="{00000000-0005-0000-0000-0000B15A0000}"/>
    <cellStyle name="Normal 68 8" xfId="25501" xr:uid="{00000000-0005-0000-0000-0000B25A0000}"/>
    <cellStyle name="Normal 68 9" xfId="26005" xr:uid="{00000000-0005-0000-0000-0000B35A0000}"/>
    <cellStyle name="Normal 69" xfId="3535" xr:uid="{00000000-0005-0000-0000-0000B45A0000}"/>
    <cellStyle name="Normal 69 10" xfId="26510" xr:uid="{00000000-0005-0000-0000-0000B55A0000}"/>
    <cellStyle name="Normal 69 11" xfId="27014" xr:uid="{00000000-0005-0000-0000-0000B65A0000}"/>
    <cellStyle name="Normal 69 12" xfId="27518" xr:uid="{00000000-0005-0000-0000-0000B75A0000}"/>
    <cellStyle name="Normal 69 13" xfId="28022" xr:uid="{00000000-0005-0000-0000-0000B85A0000}"/>
    <cellStyle name="Normal 69 14" xfId="28526" xr:uid="{00000000-0005-0000-0000-0000B95A0000}"/>
    <cellStyle name="Normal 69 15" xfId="29030" xr:uid="{00000000-0005-0000-0000-0000BA5A0000}"/>
    <cellStyle name="Normal 69 16" xfId="29534" xr:uid="{00000000-0005-0000-0000-0000BB5A0000}"/>
    <cellStyle name="Normal 69 17" xfId="30038" xr:uid="{00000000-0005-0000-0000-0000BC5A0000}"/>
    <cellStyle name="Normal 69 18" xfId="30542" xr:uid="{00000000-0005-0000-0000-0000BD5A0000}"/>
    <cellStyle name="Normal 69 19" xfId="31047" xr:uid="{00000000-0005-0000-0000-0000BE5A0000}"/>
    <cellStyle name="Normal 69 2" xfId="5816" xr:uid="{00000000-0005-0000-0000-0000BF5A0000}"/>
    <cellStyle name="Normal 69 2 2" xfId="19733" xr:uid="{00000000-0005-0000-0000-0000C05A0000}"/>
    <cellStyle name="Normal 69 2 3" xfId="14773" xr:uid="{00000000-0005-0000-0000-0000C15A0000}"/>
    <cellStyle name="Normal 69 3" xfId="7057" xr:uid="{00000000-0005-0000-0000-0000C25A0000}"/>
    <cellStyle name="Normal 69 3 2" xfId="19734" xr:uid="{00000000-0005-0000-0000-0000C35A0000}"/>
    <cellStyle name="Normal 69 3 3" xfId="14774" xr:uid="{00000000-0005-0000-0000-0000C45A0000}"/>
    <cellStyle name="Normal 69 4" xfId="19732" xr:uid="{00000000-0005-0000-0000-0000C55A0000}"/>
    <cellStyle name="Normal 69 5" xfId="14772" xr:uid="{00000000-0005-0000-0000-0000C65A0000}"/>
    <cellStyle name="Normal 69 6" xfId="24269" xr:uid="{00000000-0005-0000-0000-0000C75A0000}"/>
    <cellStyle name="Normal 69 7" xfId="24998" xr:uid="{00000000-0005-0000-0000-0000C85A0000}"/>
    <cellStyle name="Normal 69 8" xfId="25502" xr:uid="{00000000-0005-0000-0000-0000C95A0000}"/>
    <cellStyle name="Normal 69 9" xfId="26006" xr:uid="{00000000-0005-0000-0000-0000CA5A0000}"/>
    <cellStyle name="Normal 7" xfId="296" xr:uid="{00000000-0005-0000-0000-0000CB5A0000}"/>
    <cellStyle name="Normal 7 10" xfId="14776" xr:uid="{00000000-0005-0000-0000-0000CC5A0000}"/>
    <cellStyle name="Normal 7 10 2" xfId="19736" xr:uid="{00000000-0005-0000-0000-0000CD5A0000}"/>
    <cellStyle name="Normal 7 11" xfId="14775" xr:uid="{00000000-0005-0000-0000-0000CE5A0000}"/>
    <cellStyle name="Normal 7 12" xfId="19735" xr:uid="{00000000-0005-0000-0000-0000CF5A0000}"/>
    <cellStyle name="Normal 7 2" xfId="297" xr:uid="{00000000-0005-0000-0000-0000D05A0000}"/>
    <cellStyle name="Normal 7 2 10" xfId="23121" xr:uid="{00000000-0005-0000-0000-0000D15A0000}"/>
    <cellStyle name="Normal 7 2 2" xfId="2472" xr:uid="{00000000-0005-0000-0000-0000D25A0000}"/>
    <cellStyle name="Normal 7 2 2 2" xfId="14779" xr:uid="{00000000-0005-0000-0000-0000D35A0000}"/>
    <cellStyle name="Normal 7 2 2 2 2" xfId="19739" xr:uid="{00000000-0005-0000-0000-0000D45A0000}"/>
    <cellStyle name="Normal 7 2 2 3" xfId="14778" xr:uid="{00000000-0005-0000-0000-0000D55A0000}"/>
    <cellStyle name="Normal 7 2 2 4" xfId="19738" xr:uid="{00000000-0005-0000-0000-0000D65A0000}"/>
    <cellStyle name="Normal 7 2 3" xfId="2473" xr:uid="{00000000-0005-0000-0000-0000D75A0000}"/>
    <cellStyle name="Normal 7 2 3 2" xfId="14781" xr:uid="{00000000-0005-0000-0000-0000D85A0000}"/>
    <cellStyle name="Normal 7 2 3 2 2" xfId="19741" xr:uid="{00000000-0005-0000-0000-0000D95A0000}"/>
    <cellStyle name="Normal 7 2 3 3" xfId="14780" xr:uid="{00000000-0005-0000-0000-0000DA5A0000}"/>
    <cellStyle name="Normal 7 2 3 4" xfId="19740" xr:uid="{00000000-0005-0000-0000-0000DB5A0000}"/>
    <cellStyle name="Normal 7 2 4" xfId="14782" xr:uid="{00000000-0005-0000-0000-0000DC5A0000}"/>
    <cellStyle name="Normal 7 2 4 2" xfId="19742" xr:uid="{00000000-0005-0000-0000-0000DD5A0000}"/>
    <cellStyle name="Normal 7 2 4 3" xfId="24270" xr:uid="{00000000-0005-0000-0000-0000DE5A0000}"/>
    <cellStyle name="Normal 7 2 5" xfId="14783" xr:uid="{00000000-0005-0000-0000-0000DF5A0000}"/>
    <cellStyle name="Normal 7 2 5 2" xfId="19743" xr:uid="{00000000-0005-0000-0000-0000E05A0000}"/>
    <cellStyle name="Normal 7 2 6" xfId="14784" xr:uid="{00000000-0005-0000-0000-0000E15A0000}"/>
    <cellStyle name="Normal 7 2 6 2" xfId="19744" xr:uid="{00000000-0005-0000-0000-0000E25A0000}"/>
    <cellStyle name="Normal 7 2 7" xfId="14785" xr:uid="{00000000-0005-0000-0000-0000E35A0000}"/>
    <cellStyle name="Normal 7 2 7 2" xfId="19745" xr:uid="{00000000-0005-0000-0000-0000E45A0000}"/>
    <cellStyle name="Normal 7 2 8" xfId="14777" xr:uid="{00000000-0005-0000-0000-0000E55A0000}"/>
    <cellStyle name="Normal 7 2 9" xfId="19737" xr:uid="{00000000-0005-0000-0000-0000E65A0000}"/>
    <cellStyle name="Normal 7 3" xfId="1282" xr:uid="{00000000-0005-0000-0000-0000E75A0000}"/>
    <cellStyle name="Normal 7 3 2" xfId="2474" xr:uid="{00000000-0005-0000-0000-0000E85A0000}"/>
    <cellStyle name="Normal 7 3 2 2" xfId="2475" xr:uid="{00000000-0005-0000-0000-0000E95A0000}"/>
    <cellStyle name="Normal 7 3 2 2 2" xfId="14789" xr:uid="{00000000-0005-0000-0000-0000EA5A0000}"/>
    <cellStyle name="Normal 7 3 2 2 2 2" xfId="19749" xr:uid="{00000000-0005-0000-0000-0000EB5A0000}"/>
    <cellStyle name="Normal 7 3 2 2 3" xfId="14788" xr:uid="{00000000-0005-0000-0000-0000EC5A0000}"/>
    <cellStyle name="Normal 7 3 2 2 4" xfId="19748" xr:uid="{00000000-0005-0000-0000-0000ED5A0000}"/>
    <cellStyle name="Normal 7 3 2 3" xfId="14790" xr:uid="{00000000-0005-0000-0000-0000EE5A0000}"/>
    <cellStyle name="Normal 7 3 2 3 2" xfId="19750" xr:uid="{00000000-0005-0000-0000-0000EF5A0000}"/>
    <cellStyle name="Normal 7 3 2 4" xfId="14787" xr:uid="{00000000-0005-0000-0000-0000F05A0000}"/>
    <cellStyle name="Normal 7 3 2 5" xfId="19747" xr:uid="{00000000-0005-0000-0000-0000F15A0000}"/>
    <cellStyle name="Normal 7 3 3" xfId="14791" xr:uid="{00000000-0005-0000-0000-0000F25A0000}"/>
    <cellStyle name="Normal 7 3 3 2" xfId="19751" xr:uid="{00000000-0005-0000-0000-0000F35A0000}"/>
    <cellStyle name="Normal 7 3 4" xfId="14792" xr:uid="{00000000-0005-0000-0000-0000F45A0000}"/>
    <cellStyle name="Normal 7 3 4 2" xfId="19752" xr:uid="{00000000-0005-0000-0000-0000F55A0000}"/>
    <cellStyle name="Normal 7 3 5" xfId="14793" xr:uid="{00000000-0005-0000-0000-0000F65A0000}"/>
    <cellStyle name="Normal 7 3 5 2" xfId="19753" xr:uid="{00000000-0005-0000-0000-0000F75A0000}"/>
    <cellStyle name="Normal 7 3 6" xfId="14786" xr:uid="{00000000-0005-0000-0000-0000F85A0000}"/>
    <cellStyle name="Normal 7 3 7" xfId="19746" xr:uid="{00000000-0005-0000-0000-0000F95A0000}"/>
    <cellStyle name="Normal 7 3 8" xfId="23122" xr:uid="{00000000-0005-0000-0000-0000FA5A0000}"/>
    <cellStyle name="Normal 7 4" xfId="2476" xr:uid="{00000000-0005-0000-0000-0000FB5A0000}"/>
    <cellStyle name="Normal 7 4 2" xfId="14795" xr:uid="{00000000-0005-0000-0000-0000FC5A0000}"/>
    <cellStyle name="Normal 7 4 2 2" xfId="19755" xr:uid="{00000000-0005-0000-0000-0000FD5A0000}"/>
    <cellStyle name="Normal 7 4 3" xfId="14794" xr:uid="{00000000-0005-0000-0000-0000FE5A0000}"/>
    <cellStyle name="Normal 7 4 4" xfId="19754" xr:uid="{00000000-0005-0000-0000-0000FF5A0000}"/>
    <cellStyle name="Normal 7 5" xfId="2477" xr:uid="{00000000-0005-0000-0000-0000005B0000}"/>
    <cellStyle name="Normal 7 5 2" xfId="14797" xr:uid="{00000000-0005-0000-0000-0000015B0000}"/>
    <cellStyle name="Normal 7 5 2 2" xfId="19757" xr:uid="{00000000-0005-0000-0000-0000025B0000}"/>
    <cellStyle name="Normal 7 5 3" xfId="14796" xr:uid="{00000000-0005-0000-0000-0000035B0000}"/>
    <cellStyle name="Normal 7 5 4" xfId="19756" xr:uid="{00000000-0005-0000-0000-0000045B0000}"/>
    <cellStyle name="Normal 7 6" xfId="14798" xr:uid="{00000000-0005-0000-0000-0000055B0000}"/>
    <cellStyle name="Normal 7 6 2" xfId="19758" xr:uid="{00000000-0005-0000-0000-0000065B0000}"/>
    <cellStyle name="Normal 7 6 3" xfId="24271" xr:uid="{00000000-0005-0000-0000-0000075B0000}"/>
    <cellStyle name="Normal 7 7" xfId="14799" xr:uid="{00000000-0005-0000-0000-0000085B0000}"/>
    <cellStyle name="Normal 7 7 2" xfId="19759" xr:uid="{00000000-0005-0000-0000-0000095B0000}"/>
    <cellStyle name="Normal 7 8" xfId="14800" xr:uid="{00000000-0005-0000-0000-00000A5B0000}"/>
    <cellStyle name="Normal 7 8 2" xfId="19760" xr:uid="{00000000-0005-0000-0000-00000B5B0000}"/>
    <cellStyle name="Normal 7 9" xfId="14801" xr:uid="{00000000-0005-0000-0000-00000C5B0000}"/>
    <cellStyle name="Normal 7 9 2" xfId="19761" xr:uid="{00000000-0005-0000-0000-00000D5B0000}"/>
    <cellStyle name="Normal 7_Xl0000150" xfId="456" xr:uid="{00000000-0005-0000-0000-00000E5B0000}"/>
    <cellStyle name="Normal 70" xfId="3536" xr:uid="{00000000-0005-0000-0000-00000F5B0000}"/>
    <cellStyle name="Normal 70 10" xfId="26511" xr:uid="{00000000-0005-0000-0000-0000105B0000}"/>
    <cellStyle name="Normal 70 11" xfId="27015" xr:uid="{00000000-0005-0000-0000-0000115B0000}"/>
    <cellStyle name="Normal 70 12" xfId="27519" xr:uid="{00000000-0005-0000-0000-0000125B0000}"/>
    <cellStyle name="Normal 70 13" xfId="28023" xr:uid="{00000000-0005-0000-0000-0000135B0000}"/>
    <cellStyle name="Normal 70 14" xfId="28527" xr:uid="{00000000-0005-0000-0000-0000145B0000}"/>
    <cellStyle name="Normal 70 15" xfId="29031" xr:uid="{00000000-0005-0000-0000-0000155B0000}"/>
    <cellStyle name="Normal 70 16" xfId="29535" xr:uid="{00000000-0005-0000-0000-0000165B0000}"/>
    <cellStyle name="Normal 70 17" xfId="30039" xr:uid="{00000000-0005-0000-0000-0000175B0000}"/>
    <cellStyle name="Normal 70 18" xfId="30543" xr:uid="{00000000-0005-0000-0000-0000185B0000}"/>
    <cellStyle name="Normal 70 19" xfId="31048" xr:uid="{00000000-0005-0000-0000-0000195B0000}"/>
    <cellStyle name="Normal 70 2" xfId="5817" xr:uid="{00000000-0005-0000-0000-00001A5B0000}"/>
    <cellStyle name="Normal 70 2 2" xfId="19763" xr:uid="{00000000-0005-0000-0000-00001B5B0000}"/>
    <cellStyle name="Normal 70 2 3" xfId="14803" xr:uid="{00000000-0005-0000-0000-00001C5B0000}"/>
    <cellStyle name="Normal 70 3" xfId="7058" xr:uid="{00000000-0005-0000-0000-00001D5B0000}"/>
    <cellStyle name="Normal 70 3 2" xfId="19764" xr:uid="{00000000-0005-0000-0000-00001E5B0000}"/>
    <cellStyle name="Normal 70 3 3" xfId="14804" xr:uid="{00000000-0005-0000-0000-00001F5B0000}"/>
    <cellStyle name="Normal 70 4" xfId="19762" xr:uid="{00000000-0005-0000-0000-0000205B0000}"/>
    <cellStyle name="Normal 70 5" xfId="14802" xr:uid="{00000000-0005-0000-0000-0000215B0000}"/>
    <cellStyle name="Normal 70 6" xfId="24272" xr:uid="{00000000-0005-0000-0000-0000225B0000}"/>
    <cellStyle name="Normal 70 7" xfId="24999" xr:uid="{00000000-0005-0000-0000-0000235B0000}"/>
    <cellStyle name="Normal 70 8" xfId="25503" xr:uid="{00000000-0005-0000-0000-0000245B0000}"/>
    <cellStyle name="Normal 70 9" xfId="26007" xr:uid="{00000000-0005-0000-0000-0000255B0000}"/>
    <cellStyle name="Normal 71" xfId="3537" xr:uid="{00000000-0005-0000-0000-0000265B0000}"/>
    <cellStyle name="Normal 71 10" xfId="26512" xr:uid="{00000000-0005-0000-0000-0000275B0000}"/>
    <cellStyle name="Normal 71 11" xfId="27016" xr:uid="{00000000-0005-0000-0000-0000285B0000}"/>
    <cellStyle name="Normal 71 12" xfId="27520" xr:uid="{00000000-0005-0000-0000-0000295B0000}"/>
    <cellStyle name="Normal 71 13" xfId="28024" xr:uid="{00000000-0005-0000-0000-00002A5B0000}"/>
    <cellStyle name="Normal 71 14" xfId="28528" xr:uid="{00000000-0005-0000-0000-00002B5B0000}"/>
    <cellStyle name="Normal 71 15" xfId="29032" xr:uid="{00000000-0005-0000-0000-00002C5B0000}"/>
    <cellStyle name="Normal 71 16" xfId="29536" xr:uid="{00000000-0005-0000-0000-00002D5B0000}"/>
    <cellStyle name="Normal 71 17" xfId="30040" xr:uid="{00000000-0005-0000-0000-00002E5B0000}"/>
    <cellStyle name="Normal 71 18" xfId="30544" xr:uid="{00000000-0005-0000-0000-00002F5B0000}"/>
    <cellStyle name="Normal 71 19" xfId="31049" xr:uid="{00000000-0005-0000-0000-0000305B0000}"/>
    <cellStyle name="Normal 71 2" xfId="5818" xr:uid="{00000000-0005-0000-0000-0000315B0000}"/>
    <cellStyle name="Normal 71 2 2" xfId="19766" xr:uid="{00000000-0005-0000-0000-0000325B0000}"/>
    <cellStyle name="Normal 71 2 3" xfId="14806" xr:uid="{00000000-0005-0000-0000-0000335B0000}"/>
    <cellStyle name="Normal 71 3" xfId="7059" xr:uid="{00000000-0005-0000-0000-0000345B0000}"/>
    <cellStyle name="Normal 71 3 2" xfId="19767" xr:uid="{00000000-0005-0000-0000-0000355B0000}"/>
    <cellStyle name="Normal 71 3 3" xfId="14807" xr:uid="{00000000-0005-0000-0000-0000365B0000}"/>
    <cellStyle name="Normal 71 4" xfId="19765" xr:uid="{00000000-0005-0000-0000-0000375B0000}"/>
    <cellStyle name="Normal 71 5" xfId="14805" xr:uid="{00000000-0005-0000-0000-0000385B0000}"/>
    <cellStyle name="Normal 71 6" xfId="24273" xr:uid="{00000000-0005-0000-0000-0000395B0000}"/>
    <cellStyle name="Normal 71 7" xfId="25000" xr:uid="{00000000-0005-0000-0000-00003A5B0000}"/>
    <cellStyle name="Normal 71 8" xfId="25504" xr:uid="{00000000-0005-0000-0000-00003B5B0000}"/>
    <cellStyle name="Normal 71 9" xfId="26008" xr:uid="{00000000-0005-0000-0000-00003C5B0000}"/>
    <cellStyle name="Normal 72" xfId="3538" xr:uid="{00000000-0005-0000-0000-00003D5B0000}"/>
    <cellStyle name="Normal 72 10" xfId="26513" xr:uid="{00000000-0005-0000-0000-00003E5B0000}"/>
    <cellStyle name="Normal 72 11" xfId="27017" xr:uid="{00000000-0005-0000-0000-00003F5B0000}"/>
    <cellStyle name="Normal 72 12" xfId="27521" xr:uid="{00000000-0005-0000-0000-0000405B0000}"/>
    <cellStyle name="Normal 72 13" xfId="28025" xr:uid="{00000000-0005-0000-0000-0000415B0000}"/>
    <cellStyle name="Normal 72 14" xfId="28529" xr:uid="{00000000-0005-0000-0000-0000425B0000}"/>
    <cellStyle name="Normal 72 15" xfId="29033" xr:uid="{00000000-0005-0000-0000-0000435B0000}"/>
    <cellStyle name="Normal 72 16" xfId="29537" xr:uid="{00000000-0005-0000-0000-0000445B0000}"/>
    <cellStyle name="Normal 72 17" xfId="30041" xr:uid="{00000000-0005-0000-0000-0000455B0000}"/>
    <cellStyle name="Normal 72 18" xfId="30545" xr:uid="{00000000-0005-0000-0000-0000465B0000}"/>
    <cellStyle name="Normal 72 19" xfId="31050" xr:uid="{00000000-0005-0000-0000-0000475B0000}"/>
    <cellStyle name="Normal 72 2" xfId="5819" xr:uid="{00000000-0005-0000-0000-0000485B0000}"/>
    <cellStyle name="Normal 72 2 2" xfId="19769" xr:uid="{00000000-0005-0000-0000-0000495B0000}"/>
    <cellStyle name="Normal 72 2 3" xfId="14809" xr:uid="{00000000-0005-0000-0000-00004A5B0000}"/>
    <cellStyle name="Normal 72 3" xfId="7060" xr:uid="{00000000-0005-0000-0000-00004B5B0000}"/>
    <cellStyle name="Normal 72 3 2" xfId="19770" xr:uid="{00000000-0005-0000-0000-00004C5B0000}"/>
    <cellStyle name="Normal 72 3 3" xfId="14810" xr:uid="{00000000-0005-0000-0000-00004D5B0000}"/>
    <cellStyle name="Normal 72 4" xfId="19768" xr:uid="{00000000-0005-0000-0000-00004E5B0000}"/>
    <cellStyle name="Normal 72 5" xfId="14808" xr:uid="{00000000-0005-0000-0000-00004F5B0000}"/>
    <cellStyle name="Normal 72 6" xfId="24274" xr:uid="{00000000-0005-0000-0000-0000505B0000}"/>
    <cellStyle name="Normal 72 7" xfId="25001" xr:uid="{00000000-0005-0000-0000-0000515B0000}"/>
    <cellStyle name="Normal 72 8" xfId="25505" xr:uid="{00000000-0005-0000-0000-0000525B0000}"/>
    <cellStyle name="Normal 72 9" xfId="26009" xr:uid="{00000000-0005-0000-0000-0000535B0000}"/>
    <cellStyle name="Normal 73" xfId="3539" xr:uid="{00000000-0005-0000-0000-0000545B0000}"/>
    <cellStyle name="Normal 73 10" xfId="26514" xr:uid="{00000000-0005-0000-0000-0000555B0000}"/>
    <cellStyle name="Normal 73 11" xfId="27018" xr:uid="{00000000-0005-0000-0000-0000565B0000}"/>
    <cellStyle name="Normal 73 12" xfId="27522" xr:uid="{00000000-0005-0000-0000-0000575B0000}"/>
    <cellStyle name="Normal 73 13" xfId="28026" xr:uid="{00000000-0005-0000-0000-0000585B0000}"/>
    <cellStyle name="Normal 73 14" xfId="28530" xr:uid="{00000000-0005-0000-0000-0000595B0000}"/>
    <cellStyle name="Normal 73 15" xfId="29034" xr:uid="{00000000-0005-0000-0000-00005A5B0000}"/>
    <cellStyle name="Normal 73 16" xfId="29538" xr:uid="{00000000-0005-0000-0000-00005B5B0000}"/>
    <cellStyle name="Normal 73 17" xfId="30042" xr:uid="{00000000-0005-0000-0000-00005C5B0000}"/>
    <cellStyle name="Normal 73 18" xfId="30546" xr:uid="{00000000-0005-0000-0000-00005D5B0000}"/>
    <cellStyle name="Normal 73 19" xfId="31051" xr:uid="{00000000-0005-0000-0000-00005E5B0000}"/>
    <cellStyle name="Normal 73 2" xfId="5820" xr:uid="{00000000-0005-0000-0000-00005F5B0000}"/>
    <cellStyle name="Normal 73 2 2" xfId="19772" xr:uid="{00000000-0005-0000-0000-0000605B0000}"/>
    <cellStyle name="Normal 73 2 3" xfId="14812" xr:uid="{00000000-0005-0000-0000-0000615B0000}"/>
    <cellStyle name="Normal 73 3" xfId="7061" xr:uid="{00000000-0005-0000-0000-0000625B0000}"/>
    <cellStyle name="Normal 73 3 2" xfId="19773" xr:uid="{00000000-0005-0000-0000-0000635B0000}"/>
    <cellStyle name="Normal 73 3 3" xfId="14813" xr:uid="{00000000-0005-0000-0000-0000645B0000}"/>
    <cellStyle name="Normal 73 4" xfId="19771" xr:uid="{00000000-0005-0000-0000-0000655B0000}"/>
    <cellStyle name="Normal 73 5" xfId="14811" xr:uid="{00000000-0005-0000-0000-0000665B0000}"/>
    <cellStyle name="Normal 73 6" xfId="24275" xr:uid="{00000000-0005-0000-0000-0000675B0000}"/>
    <cellStyle name="Normal 73 7" xfId="25002" xr:uid="{00000000-0005-0000-0000-0000685B0000}"/>
    <cellStyle name="Normal 73 8" xfId="25506" xr:uid="{00000000-0005-0000-0000-0000695B0000}"/>
    <cellStyle name="Normal 73 9" xfId="26010" xr:uid="{00000000-0005-0000-0000-00006A5B0000}"/>
    <cellStyle name="Normal 74" xfId="3540" xr:uid="{00000000-0005-0000-0000-00006B5B0000}"/>
    <cellStyle name="Normal 74 10" xfId="26515" xr:uid="{00000000-0005-0000-0000-00006C5B0000}"/>
    <cellStyle name="Normal 74 11" xfId="27019" xr:uid="{00000000-0005-0000-0000-00006D5B0000}"/>
    <cellStyle name="Normal 74 12" xfId="27523" xr:uid="{00000000-0005-0000-0000-00006E5B0000}"/>
    <cellStyle name="Normal 74 13" xfId="28027" xr:uid="{00000000-0005-0000-0000-00006F5B0000}"/>
    <cellStyle name="Normal 74 14" xfId="28531" xr:uid="{00000000-0005-0000-0000-0000705B0000}"/>
    <cellStyle name="Normal 74 15" xfId="29035" xr:uid="{00000000-0005-0000-0000-0000715B0000}"/>
    <cellStyle name="Normal 74 16" xfId="29539" xr:uid="{00000000-0005-0000-0000-0000725B0000}"/>
    <cellStyle name="Normal 74 17" xfId="30043" xr:uid="{00000000-0005-0000-0000-0000735B0000}"/>
    <cellStyle name="Normal 74 18" xfId="30547" xr:uid="{00000000-0005-0000-0000-0000745B0000}"/>
    <cellStyle name="Normal 74 19" xfId="31052" xr:uid="{00000000-0005-0000-0000-0000755B0000}"/>
    <cellStyle name="Normal 74 2" xfId="5821" xr:uid="{00000000-0005-0000-0000-0000765B0000}"/>
    <cellStyle name="Normal 74 2 2" xfId="19775" xr:uid="{00000000-0005-0000-0000-0000775B0000}"/>
    <cellStyle name="Normal 74 2 3" xfId="14815" xr:uid="{00000000-0005-0000-0000-0000785B0000}"/>
    <cellStyle name="Normal 74 3" xfId="7062" xr:uid="{00000000-0005-0000-0000-0000795B0000}"/>
    <cellStyle name="Normal 74 3 2" xfId="19776" xr:uid="{00000000-0005-0000-0000-00007A5B0000}"/>
    <cellStyle name="Normal 74 3 3" xfId="14816" xr:uid="{00000000-0005-0000-0000-00007B5B0000}"/>
    <cellStyle name="Normal 74 4" xfId="19774" xr:uid="{00000000-0005-0000-0000-00007C5B0000}"/>
    <cellStyle name="Normal 74 5" xfId="14814" xr:uid="{00000000-0005-0000-0000-00007D5B0000}"/>
    <cellStyle name="Normal 74 6" xfId="24276" xr:uid="{00000000-0005-0000-0000-00007E5B0000}"/>
    <cellStyle name="Normal 74 7" xfId="25003" xr:uid="{00000000-0005-0000-0000-00007F5B0000}"/>
    <cellStyle name="Normal 74 8" xfId="25507" xr:uid="{00000000-0005-0000-0000-0000805B0000}"/>
    <cellStyle name="Normal 74 9" xfId="26011" xr:uid="{00000000-0005-0000-0000-0000815B0000}"/>
    <cellStyle name="Normal 75" xfId="3541" xr:uid="{00000000-0005-0000-0000-0000825B0000}"/>
    <cellStyle name="Normal 75 10" xfId="26516" xr:uid="{00000000-0005-0000-0000-0000835B0000}"/>
    <cellStyle name="Normal 75 11" xfId="27020" xr:uid="{00000000-0005-0000-0000-0000845B0000}"/>
    <cellStyle name="Normal 75 12" xfId="27524" xr:uid="{00000000-0005-0000-0000-0000855B0000}"/>
    <cellStyle name="Normal 75 13" xfId="28028" xr:uid="{00000000-0005-0000-0000-0000865B0000}"/>
    <cellStyle name="Normal 75 14" xfId="28532" xr:uid="{00000000-0005-0000-0000-0000875B0000}"/>
    <cellStyle name="Normal 75 15" xfId="29036" xr:uid="{00000000-0005-0000-0000-0000885B0000}"/>
    <cellStyle name="Normal 75 16" xfId="29540" xr:uid="{00000000-0005-0000-0000-0000895B0000}"/>
    <cellStyle name="Normal 75 17" xfId="30044" xr:uid="{00000000-0005-0000-0000-00008A5B0000}"/>
    <cellStyle name="Normal 75 18" xfId="30548" xr:uid="{00000000-0005-0000-0000-00008B5B0000}"/>
    <cellStyle name="Normal 75 19" xfId="31053" xr:uid="{00000000-0005-0000-0000-00008C5B0000}"/>
    <cellStyle name="Normal 75 2" xfId="5822" xr:uid="{00000000-0005-0000-0000-00008D5B0000}"/>
    <cellStyle name="Normal 75 2 2" xfId="19778" xr:uid="{00000000-0005-0000-0000-00008E5B0000}"/>
    <cellStyle name="Normal 75 2 3" xfId="14818" xr:uid="{00000000-0005-0000-0000-00008F5B0000}"/>
    <cellStyle name="Normal 75 3" xfId="7063" xr:uid="{00000000-0005-0000-0000-0000905B0000}"/>
    <cellStyle name="Normal 75 3 2" xfId="19779" xr:uid="{00000000-0005-0000-0000-0000915B0000}"/>
    <cellStyle name="Normal 75 3 3" xfId="14819" xr:uid="{00000000-0005-0000-0000-0000925B0000}"/>
    <cellStyle name="Normal 75 4" xfId="19777" xr:uid="{00000000-0005-0000-0000-0000935B0000}"/>
    <cellStyle name="Normal 75 5" xfId="14817" xr:uid="{00000000-0005-0000-0000-0000945B0000}"/>
    <cellStyle name="Normal 75 6" xfId="24277" xr:uid="{00000000-0005-0000-0000-0000955B0000}"/>
    <cellStyle name="Normal 75 7" xfId="25004" xr:uid="{00000000-0005-0000-0000-0000965B0000}"/>
    <cellStyle name="Normal 75 8" xfId="25508" xr:uid="{00000000-0005-0000-0000-0000975B0000}"/>
    <cellStyle name="Normal 75 9" xfId="26012" xr:uid="{00000000-0005-0000-0000-0000985B0000}"/>
    <cellStyle name="Normal 76" xfId="3542" xr:uid="{00000000-0005-0000-0000-0000995B0000}"/>
    <cellStyle name="Normal 76 10" xfId="26517" xr:uid="{00000000-0005-0000-0000-00009A5B0000}"/>
    <cellStyle name="Normal 76 11" xfId="27021" xr:uid="{00000000-0005-0000-0000-00009B5B0000}"/>
    <cellStyle name="Normal 76 12" xfId="27525" xr:uid="{00000000-0005-0000-0000-00009C5B0000}"/>
    <cellStyle name="Normal 76 13" xfId="28029" xr:uid="{00000000-0005-0000-0000-00009D5B0000}"/>
    <cellStyle name="Normal 76 14" xfId="28533" xr:uid="{00000000-0005-0000-0000-00009E5B0000}"/>
    <cellStyle name="Normal 76 15" xfId="29037" xr:uid="{00000000-0005-0000-0000-00009F5B0000}"/>
    <cellStyle name="Normal 76 16" xfId="29541" xr:uid="{00000000-0005-0000-0000-0000A05B0000}"/>
    <cellStyle name="Normal 76 17" xfId="30045" xr:uid="{00000000-0005-0000-0000-0000A15B0000}"/>
    <cellStyle name="Normal 76 18" xfId="30549" xr:uid="{00000000-0005-0000-0000-0000A25B0000}"/>
    <cellStyle name="Normal 76 19" xfId="31054" xr:uid="{00000000-0005-0000-0000-0000A35B0000}"/>
    <cellStyle name="Normal 76 2" xfId="5823" xr:uid="{00000000-0005-0000-0000-0000A45B0000}"/>
    <cellStyle name="Normal 76 2 2" xfId="19781" xr:uid="{00000000-0005-0000-0000-0000A55B0000}"/>
    <cellStyle name="Normal 76 2 3" xfId="14821" xr:uid="{00000000-0005-0000-0000-0000A65B0000}"/>
    <cellStyle name="Normal 76 3" xfId="7064" xr:uid="{00000000-0005-0000-0000-0000A75B0000}"/>
    <cellStyle name="Normal 76 3 2" xfId="19782" xr:uid="{00000000-0005-0000-0000-0000A85B0000}"/>
    <cellStyle name="Normal 76 3 3" xfId="14822" xr:uid="{00000000-0005-0000-0000-0000A95B0000}"/>
    <cellStyle name="Normal 76 4" xfId="19780" xr:uid="{00000000-0005-0000-0000-0000AA5B0000}"/>
    <cellStyle name="Normal 76 5" xfId="14820" xr:uid="{00000000-0005-0000-0000-0000AB5B0000}"/>
    <cellStyle name="Normal 76 6" xfId="24278" xr:uid="{00000000-0005-0000-0000-0000AC5B0000}"/>
    <cellStyle name="Normal 76 7" xfId="25005" xr:uid="{00000000-0005-0000-0000-0000AD5B0000}"/>
    <cellStyle name="Normal 76 8" xfId="25509" xr:uid="{00000000-0005-0000-0000-0000AE5B0000}"/>
    <cellStyle name="Normal 76 9" xfId="26013" xr:uid="{00000000-0005-0000-0000-0000AF5B0000}"/>
    <cellStyle name="Normal 77" xfId="3543" xr:uid="{00000000-0005-0000-0000-0000B05B0000}"/>
    <cellStyle name="Normal 77 10" xfId="26518" xr:uid="{00000000-0005-0000-0000-0000B15B0000}"/>
    <cellStyle name="Normal 77 11" xfId="27022" xr:uid="{00000000-0005-0000-0000-0000B25B0000}"/>
    <cellStyle name="Normal 77 12" xfId="27526" xr:uid="{00000000-0005-0000-0000-0000B35B0000}"/>
    <cellStyle name="Normal 77 13" xfId="28030" xr:uid="{00000000-0005-0000-0000-0000B45B0000}"/>
    <cellStyle name="Normal 77 14" xfId="28534" xr:uid="{00000000-0005-0000-0000-0000B55B0000}"/>
    <cellStyle name="Normal 77 15" xfId="29038" xr:uid="{00000000-0005-0000-0000-0000B65B0000}"/>
    <cellStyle name="Normal 77 16" xfId="29542" xr:uid="{00000000-0005-0000-0000-0000B75B0000}"/>
    <cellStyle name="Normal 77 17" xfId="30046" xr:uid="{00000000-0005-0000-0000-0000B85B0000}"/>
    <cellStyle name="Normal 77 18" xfId="30550" xr:uid="{00000000-0005-0000-0000-0000B95B0000}"/>
    <cellStyle name="Normal 77 19" xfId="31055" xr:uid="{00000000-0005-0000-0000-0000BA5B0000}"/>
    <cellStyle name="Normal 77 2" xfId="5824" xr:uid="{00000000-0005-0000-0000-0000BB5B0000}"/>
    <cellStyle name="Normal 77 2 2" xfId="19784" xr:uid="{00000000-0005-0000-0000-0000BC5B0000}"/>
    <cellStyle name="Normal 77 2 3" xfId="14824" xr:uid="{00000000-0005-0000-0000-0000BD5B0000}"/>
    <cellStyle name="Normal 77 3" xfId="7065" xr:uid="{00000000-0005-0000-0000-0000BE5B0000}"/>
    <cellStyle name="Normal 77 3 2" xfId="19785" xr:uid="{00000000-0005-0000-0000-0000BF5B0000}"/>
    <cellStyle name="Normal 77 3 3" xfId="14825" xr:uid="{00000000-0005-0000-0000-0000C05B0000}"/>
    <cellStyle name="Normal 77 4" xfId="19783" xr:uid="{00000000-0005-0000-0000-0000C15B0000}"/>
    <cellStyle name="Normal 77 5" xfId="14823" xr:uid="{00000000-0005-0000-0000-0000C25B0000}"/>
    <cellStyle name="Normal 77 6" xfId="24279" xr:uid="{00000000-0005-0000-0000-0000C35B0000}"/>
    <cellStyle name="Normal 77 7" xfId="25006" xr:uid="{00000000-0005-0000-0000-0000C45B0000}"/>
    <cellStyle name="Normal 77 8" xfId="25510" xr:uid="{00000000-0005-0000-0000-0000C55B0000}"/>
    <cellStyle name="Normal 77 9" xfId="26014" xr:uid="{00000000-0005-0000-0000-0000C65B0000}"/>
    <cellStyle name="Normal 78" xfId="3544" xr:uid="{00000000-0005-0000-0000-0000C75B0000}"/>
    <cellStyle name="Normal 78 10" xfId="26519" xr:uid="{00000000-0005-0000-0000-0000C85B0000}"/>
    <cellStyle name="Normal 78 11" xfId="27023" xr:uid="{00000000-0005-0000-0000-0000C95B0000}"/>
    <cellStyle name="Normal 78 12" xfId="27527" xr:uid="{00000000-0005-0000-0000-0000CA5B0000}"/>
    <cellStyle name="Normal 78 13" xfId="28031" xr:uid="{00000000-0005-0000-0000-0000CB5B0000}"/>
    <cellStyle name="Normal 78 14" xfId="28535" xr:uid="{00000000-0005-0000-0000-0000CC5B0000}"/>
    <cellStyle name="Normal 78 15" xfId="29039" xr:uid="{00000000-0005-0000-0000-0000CD5B0000}"/>
    <cellStyle name="Normal 78 16" xfId="29543" xr:uid="{00000000-0005-0000-0000-0000CE5B0000}"/>
    <cellStyle name="Normal 78 17" xfId="30047" xr:uid="{00000000-0005-0000-0000-0000CF5B0000}"/>
    <cellStyle name="Normal 78 18" xfId="30551" xr:uid="{00000000-0005-0000-0000-0000D05B0000}"/>
    <cellStyle name="Normal 78 19" xfId="31056" xr:uid="{00000000-0005-0000-0000-0000D15B0000}"/>
    <cellStyle name="Normal 78 2" xfId="5825" xr:uid="{00000000-0005-0000-0000-0000D25B0000}"/>
    <cellStyle name="Normal 78 2 2" xfId="19787" xr:uid="{00000000-0005-0000-0000-0000D35B0000}"/>
    <cellStyle name="Normal 78 2 3" xfId="14827" xr:uid="{00000000-0005-0000-0000-0000D45B0000}"/>
    <cellStyle name="Normal 78 3" xfId="7066" xr:uid="{00000000-0005-0000-0000-0000D55B0000}"/>
    <cellStyle name="Normal 78 3 2" xfId="19788" xr:uid="{00000000-0005-0000-0000-0000D65B0000}"/>
    <cellStyle name="Normal 78 3 3" xfId="14828" xr:uid="{00000000-0005-0000-0000-0000D75B0000}"/>
    <cellStyle name="Normal 78 4" xfId="19786" xr:uid="{00000000-0005-0000-0000-0000D85B0000}"/>
    <cellStyle name="Normal 78 5" xfId="14826" xr:uid="{00000000-0005-0000-0000-0000D95B0000}"/>
    <cellStyle name="Normal 78 6" xfId="24280" xr:uid="{00000000-0005-0000-0000-0000DA5B0000}"/>
    <cellStyle name="Normal 78 7" xfId="25007" xr:uid="{00000000-0005-0000-0000-0000DB5B0000}"/>
    <cellStyle name="Normal 78 8" xfId="25511" xr:uid="{00000000-0005-0000-0000-0000DC5B0000}"/>
    <cellStyle name="Normal 78 9" xfId="26015" xr:uid="{00000000-0005-0000-0000-0000DD5B0000}"/>
    <cellStyle name="Normal 79" xfId="3545" xr:uid="{00000000-0005-0000-0000-0000DE5B0000}"/>
    <cellStyle name="Normal 79 10" xfId="26520" xr:uid="{00000000-0005-0000-0000-0000DF5B0000}"/>
    <cellStyle name="Normal 79 11" xfId="27024" xr:uid="{00000000-0005-0000-0000-0000E05B0000}"/>
    <cellStyle name="Normal 79 12" xfId="27528" xr:uid="{00000000-0005-0000-0000-0000E15B0000}"/>
    <cellStyle name="Normal 79 13" xfId="28032" xr:uid="{00000000-0005-0000-0000-0000E25B0000}"/>
    <cellStyle name="Normal 79 14" xfId="28536" xr:uid="{00000000-0005-0000-0000-0000E35B0000}"/>
    <cellStyle name="Normal 79 15" xfId="29040" xr:uid="{00000000-0005-0000-0000-0000E45B0000}"/>
    <cellStyle name="Normal 79 16" xfId="29544" xr:uid="{00000000-0005-0000-0000-0000E55B0000}"/>
    <cellStyle name="Normal 79 17" xfId="30048" xr:uid="{00000000-0005-0000-0000-0000E65B0000}"/>
    <cellStyle name="Normal 79 18" xfId="30552" xr:uid="{00000000-0005-0000-0000-0000E75B0000}"/>
    <cellStyle name="Normal 79 19" xfId="31057" xr:uid="{00000000-0005-0000-0000-0000E85B0000}"/>
    <cellStyle name="Normal 79 2" xfId="5826" xr:uid="{00000000-0005-0000-0000-0000E95B0000}"/>
    <cellStyle name="Normal 79 2 2" xfId="19790" xr:uid="{00000000-0005-0000-0000-0000EA5B0000}"/>
    <cellStyle name="Normal 79 2 3" xfId="14830" xr:uid="{00000000-0005-0000-0000-0000EB5B0000}"/>
    <cellStyle name="Normal 79 3" xfId="7067" xr:uid="{00000000-0005-0000-0000-0000EC5B0000}"/>
    <cellStyle name="Normal 79 3 2" xfId="19791" xr:uid="{00000000-0005-0000-0000-0000ED5B0000}"/>
    <cellStyle name="Normal 79 3 3" xfId="14831" xr:uid="{00000000-0005-0000-0000-0000EE5B0000}"/>
    <cellStyle name="Normal 79 4" xfId="19789" xr:uid="{00000000-0005-0000-0000-0000EF5B0000}"/>
    <cellStyle name="Normal 79 5" xfId="14829" xr:uid="{00000000-0005-0000-0000-0000F05B0000}"/>
    <cellStyle name="Normal 79 6" xfId="24281" xr:uid="{00000000-0005-0000-0000-0000F15B0000}"/>
    <cellStyle name="Normal 79 7" xfId="25008" xr:uid="{00000000-0005-0000-0000-0000F25B0000}"/>
    <cellStyle name="Normal 79 8" xfId="25512" xr:uid="{00000000-0005-0000-0000-0000F35B0000}"/>
    <cellStyle name="Normal 79 9" xfId="26016" xr:uid="{00000000-0005-0000-0000-0000F45B0000}"/>
    <cellStyle name="Normal 8" xfId="298" xr:uid="{00000000-0005-0000-0000-0000F55B0000}"/>
    <cellStyle name="Normal 8 10" xfId="14832" xr:uid="{00000000-0005-0000-0000-0000F65B0000}"/>
    <cellStyle name="Normal 8 11" xfId="19792" xr:uid="{00000000-0005-0000-0000-0000F75B0000}"/>
    <cellStyle name="Normal 8 2" xfId="299" xr:uid="{00000000-0005-0000-0000-0000F85B0000}"/>
    <cellStyle name="Normal 8 2 2" xfId="2478" xr:uid="{00000000-0005-0000-0000-0000F95B0000}"/>
    <cellStyle name="Normal 8 2 2 2" xfId="14835" xr:uid="{00000000-0005-0000-0000-0000FA5B0000}"/>
    <cellStyle name="Normal 8 2 2 2 2" xfId="19795" xr:uid="{00000000-0005-0000-0000-0000FB5B0000}"/>
    <cellStyle name="Normal 8 2 2 3" xfId="14834" xr:uid="{00000000-0005-0000-0000-0000FC5B0000}"/>
    <cellStyle name="Normal 8 2 2 4" xfId="19794" xr:uid="{00000000-0005-0000-0000-0000FD5B0000}"/>
    <cellStyle name="Normal 8 2 3" xfId="2479" xr:uid="{00000000-0005-0000-0000-0000FE5B0000}"/>
    <cellStyle name="Normal 8 2 3 2" xfId="14837" xr:uid="{00000000-0005-0000-0000-0000FF5B0000}"/>
    <cellStyle name="Normal 8 2 3 2 2" xfId="19797" xr:uid="{00000000-0005-0000-0000-0000005C0000}"/>
    <cellStyle name="Normal 8 2 3 3" xfId="14836" xr:uid="{00000000-0005-0000-0000-0000015C0000}"/>
    <cellStyle name="Normal 8 2 3 4" xfId="19796" xr:uid="{00000000-0005-0000-0000-0000025C0000}"/>
    <cellStyle name="Normal 8 2 4" xfId="14838" xr:uid="{00000000-0005-0000-0000-0000035C0000}"/>
    <cellStyle name="Normal 8 2 4 10" xfId="28033" xr:uid="{00000000-0005-0000-0000-0000045C0000}"/>
    <cellStyle name="Normal 8 2 4 11" xfId="28537" xr:uid="{00000000-0005-0000-0000-0000055C0000}"/>
    <cellStyle name="Normal 8 2 4 12" xfId="29041" xr:uid="{00000000-0005-0000-0000-0000065C0000}"/>
    <cellStyle name="Normal 8 2 4 13" xfId="29545" xr:uid="{00000000-0005-0000-0000-0000075C0000}"/>
    <cellStyle name="Normal 8 2 4 14" xfId="30049" xr:uid="{00000000-0005-0000-0000-0000085C0000}"/>
    <cellStyle name="Normal 8 2 4 15" xfId="30553" xr:uid="{00000000-0005-0000-0000-0000095C0000}"/>
    <cellStyle name="Normal 8 2 4 16" xfId="31058" xr:uid="{00000000-0005-0000-0000-00000A5C0000}"/>
    <cellStyle name="Normal 8 2 4 2" xfId="19798" xr:uid="{00000000-0005-0000-0000-00000B5C0000}"/>
    <cellStyle name="Normal 8 2 4 3" xfId="24282" xr:uid="{00000000-0005-0000-0000-00000C5C0000}"/>
    <cellStyle name="Normal 8 2 4 4" xfId="25009" xr:uid="{00000000-0005-0000-0000-00000D5C0000}"/>
    <cellStyle name="Normal 8 2 4 5" xfId="25513" xr:uid="{00000000-0005-0000-0000-00000E5C0000}"/>
    <cellStyle name="Normal 8 2 4 6" xfId="26017" xr:uid="{00000000-0005-0000-0000-00000F5C0000}"/>
    <cellStyle name="Normal 8 2 4 7" xfId="26521" xr:uid="{00000000-0005-0000-0000-0000105C0000}"/>
    <cellStyle name="Normal 8 2 4 8" xfId="27025" xr:uid="{00000000-0005-0000-0000-0000115C0000}"/>
    <cellStyle name="Normal 8 2 4 9" xfId="27529" xr:uid="{00000000-0005-0000-0000-0000125C0000}"/>
    <cellStyle name="Normal 8 2 5" xfId="14839" xr:uid="{00000000-0005-0000-0000-0000135C0000}"/>
    <cellStyle name="Normal 8 2 5 2" xfId="19799" xr:uid="{00000000-0005-0000-0000-0000145C0000}"/>
    <cellStyle name="Normal 8 2 6" xfId="14840" xr:uid="{00000000-0005-0000-0000-0000155C0000}"/>
    <cellStyle name="Normal 8 2 6 2" xfId="19800" xr:uid="{00000000-0005-0000-0000-0000165C0000}"/>
    <cellStyle name="Normal 8 2 7" xfId="14841" xr:uid="{00000000-0005-0000-0000-0000175C0000}"/>
    <cellStyle name="Normal 8 2 7 2" xfId="19801" xr:uid="{00000000-0005-0000-0000-0000185C0000}"/>
    <cellStyle name="Normal 8 2 8" xfId="14833" xr:uid="{00000000-0005-0000-0000-0000195C0000}"/>
    <cellStyle name="Normal 8 2 9" xfId="19793" xr:uid="{00000000-0005-0000-0000-00001A5C0000}"/>
    <cellStyle name="Normal 8 3" xfId="1283" xr:uid="{00000000-0005-0000-0000-00001B5C0000}"/>
    <cellStyle name="Normal 8 3 2" xfId="14843" xr:uid="{00000000-0005-0000-0000-00001C5C0000}"/>
    <cellStyle name="Normal 8 3 2 2" xfId="19803" xr:uid="{00000000-0005-0000-0000-00001D5C0000}"/>
    <cellStyle name="Normal 8 3 3" xfId="14844" xr:uid="{00000000-0005-0000-0000-00001E5C0000}"/>
    <cellStyle name="Normal 8 3 3 2" xfId="19804" xr:uid="{00000000-0005-0000-0000-00001F5C0000}"/>
    <cellStyle name="Normal 8 3 4" xfId="14845" xr:uid="{00000000-0005-0000-0000-0000205C0000}"/>
    <cellStyle name="Normal 8 3 4 2" xfId="19805" xr:uid="{00000000-0005-0000-0000-0000215C0000}"/>
    <cellStyle name="Normal 8 3 5" xfId="14842" xr:uid="{00000000-0005-0000-0000-0000225C0000}"/>
    <cellStyle name="Normal 8 3 6" xfId="19802" xr:uid="{00000000-0005-0000-0000-0000235C0000}"/>
    <cellStyle name="Normal 8 4" xfId="2480" xr:uid="{00000000-0005-0000-0000-0000245C0000}"/>
    <cellStyle name="Normal 8 4 2" xfId="14847" xr:uid="{00000000-0005-0000-0000-0000255C0000}"/>
    <cellStyle name="Normal 8 4 2 2" xfId="19807" xr:uid="{00000000-0005-0000-0000-0000265C0000}"/>
    <cellStyle name="Normal 8 4 3" xfId="14846" xr:uid="{00000000-0005-0000-0000-0000275C0000}"/>
    <cellStyle name="Normal 8 4 4" xfId="19806" xr:uid="{00000000-0005-0000-0000-0000285C0000}"/>
    <cellStyle name="Normal 8 5" xfId="2481" xr:uid="{00000000-0005-0000-0000-0000295C0000}"/>
    <cellStyle name="Normal 8 5 2" xfId="14849" xr:uid="{00000000-0005-0000-0000-00002A5C0000}"/>
    <cellStyle name="Normal 8 5 2 2" xfId="19809" xr:uid="{00000000-0005-0000-0000-00002B5C0000}"/>
    <cellStyle name="Normal 8 5 3" xfId="14848" xr:uid="{00000000-0005-0000-0000-00002C5C0000}"/>
    <cellStyle name="Normal 8 5 4" xfId="19808" xr:uid="{00000000-0005-0000-0000-00002D5C0000}"/>
    <cellStyle name="Normal 8 6" xfId="14850" xr:uid="{00000000-0005-0000-0000-00002E5C0000}"/>
    <cellStyle name="Normal 8 6 2" xfId="19810" xr:uid="{00000000-0005-0000-0000-00002F5C0000}"/>
    <cellStyle name="Normal 8 7" xfId="14851" xr:uid="{00000000-0005-0000-0000-0000305C0000}"/>
    <cellStyle name="Normal 8 7 2" xfId="19811" xr:uid="{00000000-0005-0000-0000-0000315C0000}"/>
    <cellStyle name="Normal 8 8" xfId="14852" xr:uid="{00000000-0005-0000-0000-0000325C0000}"/>
    <cellStyle name="Normal 8 8 2" xfId="19812" xr:uid="{00000000-0005-0000-0000-0000335C0000}"/>
    <cellStyle name="Normal 8 9" xfId="14853" xr:uid="{00000000-0005-0000-0000-0000345C0000}"/>
    <cellStyle name="Normal 8 9 2" xfId="19813" xr:uid="{00000000-0005-0000-0000-0000355C0000}"/>
    <cellStyle name="Normal 8_Xl0000150" xfId="457" xr:uid="{00000000-0005-0000-0000-0000365C0000}"/>
    <cellStyle name="Normal 80" xfId="3546" xr:uid="{00000000-0005-0000-0000-0000375C0000}"/>
    <cellStyle name="Normal 80 10" xfId="26522" xr:uid="{00000000-0005-0000-0000-0000385C0000}"/>
    <cellStyle name="Normal 80 11" xfId="27026" xr:uid="{00000000-0005-0000-0000-0000395C0000}"/>
    <cellStyle name="Normal 80 12" xfId="27530" xr:uid="{00000000-0005-0000-0000-00003A5C0000}"/>
    <cellStyle name="Normal 80 13" xfId="28034" xr:uid="{00000000-0005-0000-0000-00003B5C0000}"/>
    <cellStyle name="Normal 80 14" xfId="28538" xr:uid="{00000000-0005-0000-0000-00003C5C0000}"/>
    <cellStyle name="Normal 80 15" xfId="29042" xr:uid="{00000000-0005-0000-0000-00003D5C0000}"/>
    <cellStyle name="Normal 80 16" xfId="29546" xr:uid="{00000000-0005-0000-0000-00003E5C0000}"/>
    <cellStyle name="Normal 80 17" xfId="30050" xr:uid="{00000000-0005-0000-0000-00003F5C0000}"/>
    <cellStyle name="Normal 80 18" xfId="30554" xr:uid="{00000000-0005-0000-0000-0000405C0000}"/>
    <cellStyle name="Normal 80 19" xfId="31059" xr:uid="{00000000-0005-0000-0000-0000415C0000}"/>
    <cellStyle name="Normal 80 2" xfId="5827" xr:uid="{00000000-0005-0000-0000-0000425C0000}"/>
    <cellStyle name="Normal 80 2 2" xfId="19815" xr:uid="{00000000-0005-0000-0000-0000435C0000}"/>
    <cellStyle name="Normal 80 2 3" xfId="14855" xr:uid="{00000000-0005-0000-0000-0000445C0000}"/>
    <cellStyle name="Normal 80 3" xfId="7068" xr:uid="{00000000-0005-0000-0000-0000455C0000}"/>
    <cellStyle name="Normal 80 3 2" xfId="19816" xr:uid="{00000000-0005-0000-0000-0000465C0000}"/>
    <cellStyle name="Normal 80 3 3" xfId="14856" xr:uid="{00000000-0005-0000-0000-0000475C0000}"/>
    <cellStyle name="Normal 80 4" xfId="19814" xr:uid="{00000000-0005-0000-0000-0000485C0000}"/>
    <cellStyle name="Normal 80 5" xfId="14854" xr:uid="{00000000-0005-0000-0000-0000495C0000}"/>
    <cellStyle name="Normal 80 6" xfId="24283" xr:uid="{00000000-0005-0000-0000-00004A5C0000}"/>
    <cellStyle name="Normal 80 7" xfId="25010" xr:uid="{00000000-0005-0000-0000-00004B5C0000}"/>
    <cellStyle name="Normal 80 8" xfId="25514" xr:uid="{00000000-0005-0000-0000-00004C5C0000}"/>
    <cellStyle name="Normal 80 9" xfId="26018" xr:uid="{00000000-0005-0000-0000-00004D5C0000}"/>
    <cellStyle name="Normal 81" xfId="3547" xr:uid="{00000000-0005-0000-0000-00004E5C0000}"/>
    <cellStyle name="Normal 81 10" xfId="26523" xr:uid="{00000000-0005-0000-0000-00004F5C0000}"/>
    <cellStyle name="Normal 81 11" xfId="27027" xr:uid="{00000000-0005-0000-0000-0000505C0000}"/>
    <cellStyle name="Normal 81 12" xfId="27531" xr:uid="{00000000-0005-0000-0000-0000515C0000}"/>
    <cellStyle name="Normal 81 13" xfId="28035" xr:uid="{00000000-0005-0000-0000-0000525C0000}"/>
    <cellStyle name="Normal 81 14" xfId="28539" xr:uid="{00000000-0005-0000-0000-0000535C0000}"/>
    <cellStyle name="Normal 81 15" xfId="29043" xr:uid="{00000000-0005-0000-0000-0000545C0000}"/>
    <cellStyle name="Normal 81 16" xfId="29547" xr:uid="{00000000-0005-0000-0000-0000555C0000}"/>
    <cellStyle name="Normal 81 17" xfId="30051" xr:uid="{00000000-0005-0000-0000-0000565C0000}"/>
    <cellStyle name="Normal 81 18" xfId="30555" xr:uid="{00000000-0005-0000-0000-0000575C0000}"/>
    <cellStyle name="Normal 81 19" xfId="31060" xr:uid="{00000000-0005-0000-0000-0000585C0000}"/>
    <cellStyle name="Normal 81 2" xfId="5828" xr:uid="{00000000-0005-0000-0000-0000595C0000}"/>
    <cellStyle name="Normal 81 2 2" xfId="19818" xr:uid="{00000000-0005-0000-0000-00005A5C0000}"/>
    <cellStyle name="Normal 81 2 3" xfId="14858" xr:uid="{00000000-0005-0000-0000-00005B5C0000}"/>
    <cellStyle name="Normal 81 3" xfId="7069" xr:uid="{00000000-0005-0000-0000-00005C5C0000}"/>
    <cellStyle name="Normal 81 3 2" xfId="19819" xr:uid="{00000000-0005-0000-0000-00005D5C0000}"/>
    <cellStyle name="Normal 81 3 3" xfId="14859" xr:uid="{00000000-0005-0000-0000-00005E5C0000}"/>
    <cellStyle name="Normal 81 4" xfId="19817" xr:uid="{00000000-0005-0000-0000-00005F5C0000}"/>
    <cellStyle name="Normal 81 5" xfId="14857" xr:uid="{00000000-0005-0000-0000-0000605C0000}"/>
    <cellStyle name="Normal 81 6" xfId="24284" xr:uid="{00000000-0005-0000-0000-0000615C0000}"/>
    <cellStyle name="Normal 81 7" xfId="25011" xr:uid="{00000000-0005-0000-0000-0000625C0000}"/>
    <cellStyle name="Normal 81 8" xfId="25515" xr:uid="{00000000-0005-0000-0000-0000635C0000}"/>
    <cellStyle name="Normal 81 9" xfId="26019" xr:uid="{00000000-0005-0000-0000-0000645C0000}"/>
    <cellStyle name="Normal 82" xfId="3548" xr:uid="{00000000-0005-0000-0000-0000655C0000}"/>
    <cellStyle name="Normal 82 10" xfId="26524" xr:uid="{00000000-0005-0000-0000-0000665C0000}"/>
    <cellStyle name="Normal 82 11" xfId="27028" xr:uid="{00000000-0005-0000-0000-0000675C0000}"/>
    <cellStyle name="Normal 82 12" xfId="27532" xr:uid="{00000000-0005-0000-0000-0000685C0000}"/>
    <cellStyle name="Normal 82 13" xfId="28036" xr:uid="{00000000-0005-0000-0000-0000695C0000}"/>
    <cellStyle name="Normal 82 14" xfId="28540" xr:uid="{00000000-0005-0000-0000-00006A5C0000}"/>
    <cellStyle name="Normal 82 15" xfId="29044" xr:uid="{00000000-0005-0000-0000-00006B5C0000}"/>
    <cellStyle name="Normal 82 16" xfId="29548" xr:uid="{00000000-0005-0000-0000-00006C5C0000}"/>
    <cellStyle name="Normal 82 17" xfId="30052" xr:uid="{00000000-0005-0000-0000-00006D5C0000}"/>
    <cellStyle name="Normal 82 18" xfId="30556" xr:uid="{00000000-0005-0000-0000-00006E5C0000}"/>
    <cellStyle name="Normal 82 19" xfId="31061" xr:uid="{00000000-0005-0000-0000-00006F5C0000}"/>
    <cellStyle name="Normal 82 2" xfId="5829" xr:uid="{00000000-0005-0000-0000-0000705C0000}"/>
    <cellStyle name="Normal 82 2 2" xfId="19821" xr:uid="{00000000-0005-0000-0000-0000715C0000}"/>
    <cellStyle name="Normal 82 2 3" xfId="14861" xr:uid="{00000000-0005-0000-0000-0000725C0000}"/>
    <cellStyle name="Normal 82 3" xfId="7070" xr:uid="{00000000-0005-0000-0000-0000735C0000}"/>
    <cellStyle name="Normal 82 3 2" xfId="19822" xr:uid="{00000000-0005-0000-0000-0000745C0000}"/>
    <cellStyle name="Normal 82 3 3" xfId="14862" xr:uid="{00000000-0005-0000-0000-0000755C0000}"/>
    <cellStyle name="Normal 82 4" xfId="19820" xr:uid="{00000000-0005-0000-0000-0000765C0000}"/>
    <cellStyle name="Normal 82 5" xfId="14860" xr:uid="{00000000-0005-0000-0000-0000775C0000}"/>
    <cellStyle name="Normal 82 6" xfId="24285" xr:uid="{00000000-0005-0000-0000-0000785C0000}"/>
    <cellStyle name="Normal 82 7" xfId="25012" xr:uid="{00000000-0005-0000-0000-0000795C0000}"/>
    <cellStyle name="Normal 82 8" xfId="25516" xr:uid="{00000000-0005-0000-0000-00007A5C0000}"/>
    <cellStyle name="Normal 82 9" xfId="26020" xr:uid="{00000000-0005-0000-0000-00007B5C0000}"/>
    <cellStyle name="Normal 83" xfId="3549" xr:uid="{00000000-0005-0000-0000-00007C5C0000}"/>
    <cellStyle name="Normal 83 10" xfId="26525" xr:uid="{00000000-0005-0000-0000-00007D5C0000}"/>
    <cellStyle name="Normal 83 11" xfId="27029" xr:uid="{00000000-0005-0000-0000-00007E5C0000}"/>
    <cellStyle name="Normal 83 12" xfId="27533" xr:uid="{00000000-0005-0000-0000-00007F5C0000}"/>
    <cellStyle name="Normal 83 13" xfId="28037" xr:uid="{00000000-0005-0000-0000-0000805C0000}"/>
    <cellStyle name="Normal 83 14" xfId="28541" xr:uid="{00000000-0005-0000-0000-0000815C0000}"/>
    <cellStyle name="Normal 83 15" xfId="29045" xr:uid="{00000000-0005-0000-0000-0000825C0000}"/>
    <cellStyle name="Normal 83 16" xfId="29549" xr:uid="{00000000-0005-0000-0000-0000835C0000}"/>
    <cellStyle name="Normal 83 17" xfId="30053" xr:uid="{00000000-0005-0000-0000-0000845C0000}"/>
    <cellStyle name="Normal 83 18" xfId="30557" xr:uid="{00000000-0005-0000-0000-0000855C0000}"/>
    <cellStyle name="Normal 83 19" xfId="31062" xr:uid="{00000000-0005-0000-0000-0000865C0000}"/>
    <cellStyle name="Normal 83 2" xfId="5830" xr:uid="{00000000-0005-0000-0000-0000875C0000}"/>
    <cellStyle name="Normal 83 2 2" xfId="19824" xr:uid="{00000000-0005-0000-0000-0000885C0000}"/>
    <cellStyle name="Normal 83 2 3" xfId="14864" xr:uid="{00000000-0005-0000-0000-0000895C0000}"/>
    <cellStyle name="Normal 83 3" xfId="7071" xr:uid="{00000000-0005-0000-0000-00008A5C0000}"/>
    <cellStyle name="Normal 83 3 2" xfId="19825" xr:uid="{00000000-0005-0000-0000-00008B5C0000}"/>
    <cellStyle name="Normal 83 3 3" xfId="14865" xr:uid="{00000000-0005-0000-0000-00008C5C0000}"/>
    <cellStyle name="Normal 83 4" xfId="19823" xr:uid="{00000000-0005-0000-0000-00008D5C0000}"/>
    <cellStyle name="Normal 83 5" xfId="14863" xr:uid="{00000000-0005-0000-0000-00008E5C0000}"/>
    <cellStyle name="Normal 83 6" xfId="24286" xr:uid="{00000000-0005-0000-0000-00008F5C0000}"/>
    <cellStyle name="Normal 83 7" xfId="25013" xr:uid="{00000000-0005-0000-0000-0000905C0000}"/>
    <cellStyle name="Normal 83 8" xfId="25517" xr:uid="{00000000-0005-0000-0000-0000915C0000}"/>
    <cellStyle name="Normal 83 9" xfId="26021" xr:uid="{00000000-0005-0000-0000-0000925C0000}"/>
    <cellStyle name="Normal 84" xfId="3550" xr:uid="{00000000-0005-0000-0000-0000935C0000}"/>
    <cellStyle name="Normal 84 10" xfId="26526" xr:uid="{00000000-0005-0000-0000-0000945C0000}"/>
    <cellStyle name="Normal 84 11" xfId="27030" xr:uid="{00000000-0005-0000-0000-0000955C0000}"/>
    <cellStyle name="Normal 84 12" xfId="27534" xr:uid="{00000000-0005-0000-0000-0000965C0000}"/>
    <cellStyle name="Normal 84 13" xfId="28038" xr:uid="{00000000-0005-0000-0000-0000975C0000}"/>
    <cellStyle name="Normal 84 14" xfId="28542" xr:uid="{00000000-0005-0000-0000-0000985C0000}"/>
    <cellStyle name="Normal 84 15" xfId="29046" xr:uid="{00000000-0005-0000-0000-0000995C0000}"/>
    <cellStyle name="Normal 84 16" xfId="29550" xr:uid="{00000000-0005-0000-0000-00009A5C0000}"/>
    <cellStyle name="Normal 84 17" xfId="30054" xr:uid="{00000000-0005-0000-0000-00009B5C0000}"/>
    <cellStyle name="Normal 84 18" xfId="30558" xr:uid="{00000000-0005-0000-0000-00009C5C0000}"/>
    <cellStyle name="Normal 84 19" xfId="31063" xr:uid="{00000000-0005-0000-0000-00009D5C0000}"/>
    <cellStyle name="Normal 84 2" xfId="5831" xr:uid="{00000000-0005-0000-0000-00009E5C0000}"/>
    <cellStyle name="Normal 84 2 2" xfId="19827" xr:uid="{00000000-0005-0000-0000-00009F5C0000}"/>
    <cellStyle name="Normal 84 2 3" xfId="14867" xr:uid="{00000000-0005-0000-0000-0000A05C0000}"/>
    <cellStyle name="Normal 84 3" xfId="7072" xr:uid="{00000000-0005-0000-0000-0000A15C0000}"/>
    <cellStyle name="Normal 84 3 2" xfId="19828" xr:uid="{00000000-0005-0000-0000-0000A25C0000}"/>
    <cellStyle name="Normal 84 3 3" xfId="14868" xr:uid="{00000000-0005-0000-0000-0000A35C0000}"/>
    <cellStyle name="Normal 84 4" xfId="19826" xr:uid="{00000000-0005-0000-0000-0000A45C0000}"/>
    <cellStyle name="Normal 84 5" xfId="14866" xr:uid="{00000000-0005-0000-0000-0000A55C0000}"/>
    <cellStyle name="Normal 84 6" xfId="24287" xr:uid="{00000000-0005-0000-0000-0000A65C0000}"/>
    <cellStyle name="Normal 84 7" xfId="25014" xr:uid="{00000000-0005-0000-0000-0000A75C0000}"/>
    <cellStyle name="Normal 84 8" xfId="25518" xr:uid="{00000000-0005-0000-0000-0000A85C0000}"/>
    <cellStyle name="Normal 84 9" xfId="26022" xr:uid="{00000000-0005-0000-0000-0000A95C0000}"/>
    <cellStyle name="Normal 85" xfId="3551" xr:uid="{00000000-0005-0000-0000-0000AA5C0000}"/>
    <cellStyle name="Normal 85 10" xfId="26527" xr:uid="{00000000-0005-0000-0000-0000AB5C0000}"/>
    <cellStyle name="Normal 85 11" xfId="27031" xr:uid="{00000000-0005-0000-0000-0000AC5C0000}"/>
    <cellStyle name="Normal 85 12" xfId="27535" xr:uid="{00000000-0005-0000-0000-0000AD5C0000}"/>
    <cellStyle name="Normal 85 13" xfId="28039" xr:uid="{00000000-0005-0000-0000-0000AE5C0000}"/>
    <cellStyle name="Normal 85 14" xfId="28543" xr:uid="{00000000-0005-0000-0000-0000AF5C0000}"/>
    <cellStyle name="Normal 85 15" xfId="29047" xr:uid="{00000000-0005-0000-0000-0000B05C0000}"/>
    <cellStyle name="Normal 85 16" xfId="29551" xr:uid="{00000000-0005-0000-0000-0000B15C0000}"/>
    <cellStyle name="Normal 85 17" xfId="30055" xr:uid="{00000000-0005-0000-0000-0000B25C0000}"/>
    <cellStyle name="Normal 85 18" xfId="30559" xr:uid="{00000000-0005-0000-0000-0000B35C0000}"/>
    <cellStyle name="Normal 85 19" xfId="31064" xr:uid="{00000000-0005-0000-0000-0000B45C0000}"/>
    <cellStyle name="Normal 85 2" xfId="5832" xr:uid="{00000000-0005-0000-0000-0000B55C0000}"/>
    <cellStyle name="Normal 85 2 2" xfId="19830" xr:uid="{00000000-0005-0000-0000-0000B65C0000}"/>
    <cellStyle name="Normal 85 2 3" xfId="14870" xr:uid="{00000000-0005-0000-0000-0000B75C0000}"/>
    <cellStyle name="Normal 85 3" xfId="7073" xr:uid="{00000000-0005-0000-0000-0000B85C0000}"/>
    <cellStyle name="Normal 85 3 2" xfId="19831" xr:uid="{00000000-0005-0000-0000-0000B95C0000}"/>
    <cellStyle name="Normal 85 3 3" xfId="14871" xr:uid="{00000000-0005-0000-0000-0000BA5C0000}"/>
    <cellStyle name="Normal 85 4" xfId="19829" xr:uid="{00000000-0005-0000-0000-0000BB5C0000}"/>
    <cellStyle name="Normal 85 5" xfId="14869" xr:uid="{00000000-0005-0000-0000-0000BC5C0000}"/>
    <cellStyle name="Normal 85 6" xfId="24288" xr:uid="{00000000-0005-0000-0000-0000BD5C0000}"/>
    <cellStyle name="Normal 85 7" xfId="25015" xr:uid="{00000000-0005-0000-0000-0000BE5C0000}"/>
    <cellStyle name="Normal 85 8" xfId="25519" xr:uid="{00000000-0005-0000-0000-0000BF5C0000}"/>
    <cellStyle name="Normal 85 9" xfId="26023" xr:uid="{00000000-0005-0000-0000-0000C05C0000}"/>
    <cellStyle name="Normal 86" xfId="3552" xr:uid="{00000000-0005-0000-0000-0000C15C0000}"/>
    <cellStyle name="Normal 86 10" xfId="26528" xr:uid="{00000000-0005-0000-0000-0000C25C0000}"/>
    <cellStyle name="Normal 86 11" xfId="27032" xr:uid="{00000000-0005-0000-0000-0000C35C0000}"/>
    <cellStyle name="Normal 86 12" xfId="27536" xr:uid="{00000000-0005-0000-0000-0000C45C0000}"/>
    <cellStyle name="Normal 86 13" xfId="28040" xr:uid="{00000000-0005-0000-0000-0000C55C0000}"/>
    <cellStyle name="Normal 86 14" xfId="28544" xr:uid="{00000000-0005-0000-0000-0000C65C0000}"/>
    <cellStyle name="Normal 86 15" xfId="29048" xr:uid="{00000000-0005-0000-0000-0000C75C0000}"/>
    <cellStyle name="Normal 86 16" xfId="29552" xr:uid="{00000000-0005-0000-0000-0000C85C0000}"/>
    <cellStyle name="Normal 86 17" xfId="30056" xr:uid="{00000000-0005-0000-0000-0000C95C0000}"/>
    <cellStyle name="Normal 86 18" xfId="30560" xr:uid="{00000000-0005-0000-0000-0000CA5C0000}"/>
    <cellStyle name="Normal 86 19" xfId="31065" xr:uid="{00000000-0005-0000-0000-0000CB5C0000}"/>
    <cellStyle name="Normal 86 2" xfId="5833" xr:uid="{00000000-0005-0000-0000-0000CC5C0000}"/>
    <cellStyle name="Normal 86 2 2" xfId="19833" xr:uid="{00000000-0005-0000-0000-0000CD5C0000}"/>
    <cellStyle name="Normal 86 2 3" xfId="14873" xr:uid="{00000000-0005-0000-0000-0000CE5C0000}"/>
    <cellStyle name="Normal 86 3" xfId="7074" xr:uid="{00000000-0005-0000-0000-0000CF5C0000}"/>
    <cellStyle name="Normal 86 3 2" xfId="19834" xr:uid="{00000000-0005-0000-0000-0000D05C0000}"/>
    <cellStyle name="Normal 86 3 3" xfId="14874" xr:uid="{00000000-0005-0000-0000-0000D15C0000}"/>
    <cellStyle name="Normal 86 4" xfId="19832" xr:uid="{00000000-0005-0000-0000-0000D25C0000}"/>
    <cellStyle name="Normal 86 5" xfId="14872" xr:uid="{00000000-0005-0000-0000-0000D35C0000}"/>
    <cellStyle name="Normal 86 6" xfId="24289" xr:uid="{00000000-0005-0000-0000-0000D45C0000}"/>
    <cellStyle name="Normal 86 7" xfId="25016" xr:uid="{00000000-0005-0000-0000-0000D55C0000}"/>
    <cellStyle name="Normal 86 8" xfId="25520" xr:uid="{00000000-0005-0000-0000-0000D65C0000}"/>
    <cellStyle name="Normal 86 9" xfId="26024" xr:uid="{00000000-0005-0000-0000-0000D75C0000}"/>
    <cellStyle name="Normal 87" xfId="3553" xr:uid="{00000000-0005-0000-0000-0000D85C0000}"/>
    <cellStyle name="Normal 87 10" xfId="26529" xr:uid="{00000000-0005-0000-0000-0000D95C0000}"/>
    <cellStyle name="Normal 87 11" xfId="27033" xr:uid="{00000000-0005-0000-0000-0000DA5C0000}"/>
    <cellStyle name="Normal 87 12" xfId="27537" xr:uid="{00000000-0005-0000-0000-0000DB5C0000}"/>
    <cellStyle name="Normal 87 13" xfId="28041" xr:uid="{00000000-0005-0000-0000-0000DC5C0000}"/>
    <cellStyle name="Normal 87 14" xfId="28545" xr:uid="{00000000-0005-0000-0000-0000DD5C0000}"/>
    <cellStyle name="Normal 87 15" xfId="29049" xr:uid="{00000000-0005-0000-0000-0000DE5C0000}"/>
    <cellStyle name="Normal 87 16" xfId="29553" xr:uid="{00000000-0005-0000-0000-0000DF5C0000}"/>
    <cellStyle name="Normal 87 17" xfId="30057" xr:uid="{00000000-0005-0000-0000-0000E05C0000}"/>
    <cellStyle name="Normal 87 18" xfId="30561" xr:uid="{00000000-0005-0000-0000-0000E15C0000}"/>
    <cellStyle name="Normal 87 19" xfId="31066" xr:uid="{00000000-0005-0000-0000-0000E25C0000}"/>
    <cellStyle name="Normal 87 2" xfId="5834" xr:uid="{00000000-0005-0000-0000-0000E35C0000}"/>
    <cellStyle name="Normal 87 2 2" xfId="19836" xr:uid="{00000000-0005-0000-0000-0000E45C0000}"/>
    <cellStyle name="Normal 87 2 3" xfId="14876" xr:uid="{00000000-0005-0000-0000-0000E55C0000}"/>
    <cellStyle name="Normal 87 3" xfId="7075" xr:uid="{00000000-0005-0000-0000-0000E65C0000}"/>
    <cellStyle name="Normal 87 3 2" xfId="19837" xr:uid="{00000000-0005-0000-0000-0000E75C0000}"/>
    <cellStyle name="Normal 87 3 3" xfId="14877" xr:uid="{00000000-0005-0000-0000-0000E85C0000}"/>
    <cellStyle name="Normal 87 4" xfId="19835" xr:uid="{00000000-0005-0000-0000-0000E95C0000}"/>
    <cellStyle name="Normal 87 5" xfId="14875" xr:uid="{00000000-0005-0000-0000-0000EA5C0000}"/>
    <cellStyle name="Normal 87 6" xfId="24290" xr:uid="{00000000-0005-0000-0000-0000EB5C0000}"/>
    <cellStyle name="Normal 87 7" xfId="25017" xr:uid="{00000000-0005-0000-0000-0000EC5C0000}"/>
    <cellStyle name="Normal 87 8" xfId="25521" xr:uid="{00000000-0005-0000-0000-0000ED5C0000}"/>
    <cellStyle name="Normal 87 9" xfId="26025" xr:uid="{00000000-0005-0000-0000-0000EE5C0000}"/>
    <cellStyle name="Normal 88" xfId="3554" xr:uid="{00000000-0005-0000-0000-0000EF5C0000}"/>
    <cellStyle name="Normal 88 10" xfId="26530" xr:uid="{00000000-0005-0000-0000-0000F05C0000}"/>
    <cellStyle name="Normal 88 11" xfId="27034" xr:uid="{00000000-0005-0000-0000-0000F15C0000}"/>
    <cellStyle name="Normal 88 12" xfId="27538" xr:uid="{00000000-0005-0000-0000-0000F25C0000}"/>
    <cellStyle name="Normal 88 13" xfId="28042" xr:uid="{00000000-0005-0000-0000-0000F35C0000}"/>
    <cellStyle name="Normal 88 14" xfId="28546" xr:uid="{00000000-0005-0000-0000-0000F45C0000}"/>
    <cellStyle name="Normal 88 15" xfId="29050" xr:uid="{00000000-0005-0000-0000-0000F55C0000}"/>
    <cellStyle name="Normal 88 16" xfId="29554" xr:uid="{00000000-0005-0000-0000-0000F65C0000}"/>
    <cellStyle name="Normal 88 17" xfId="30058" xr:uid="{00000000-0005-0000-0000-0000F75C0000}"/>
    <cellStyle name="Normal 88 18" xfId="30562" xr:uid="{00000000-0005-0000-0000-0000F85C0000}"/>
    <cellStyle name="Normal 88 19" xfId="31067" xr:uid="{00000000-0005-0000-0000-0000F95C0000}"/>
    <cellStyle name="Normal 88 2" xfId="5835" xr:uid="{00000000-0005-0000-0000-0000FA5C0000}"/>
    <cellStyle name="Normal 88 2 2" xfId="19839" xr:uid="{00000000-0005-0000-0000-0000FB5C0000}"/>
    <cellStyle name="Normal 88 2 3" xfId="14879" xr:uid="{00000000-0005-0000-0000-0000FC5C0000}"/>
    <cellStyle name="Normal 88 3" xfId="7076" xr:uid="{00000000-0005-0000-0000-0000FD5C0000}"/>
    <cellStyle name="Normal 88 3 2" xfId="19840" xr:uid="{00000000-0005-0000-0000-0000FE5C0000}"/>
    <cellStyle name="Normal 88 3 3" xfId="14880" xr:uid="{00000000-0005-0000-0000-0000FF5C0000}"/>
    <cellStyle name="Normal 88 4" xfId="19838" xr:uid="{00000000-0005-0000-0000-0000005D0000}"/>
    <cellStyle name="Normal 88 5" xfId="14878" xr:uid="{00000000-0005-0000-0000-0000015D0000}"/>
    <cellStyle name="Normal 88 6" xfId="24291" xr:uid="{00000000-0005-0000-0000-0000025D0000}"/>
    <cellStyle name="Normal 88 7" xfId="25018" xr:uid="{00000000-0005-0000-0000-0000035D0000}"/>
    <cellStyle name="Normal 88 8" xfId="25522" xr:uid="{00000000-0005-0000-0000-0000045D0000}"/>
    <cellStyle name="Normal 88 9" xfId="26026" xr:uid="{00000000-0005-0000-0000-0000055D0000}"/>
    <cellStyle name="Normal 89" xfId="3555" xr:uid="{00000000-0005-0000-0000-0000065D0000}"/>
    <cellStyle name="Normal 89 10" xfId="26531" xr:uid="{00000000-0005-0000-0000-0000075D0000}"/>
    <cellStyle name="Normal 89 11" xfId="27035" xr:uid="{00000000-0005-0000-0000-0000085D0000}"/>
    <cellStyle name="Normal 89 12" xfId="27539" xr:uid="{00000000-0005-0000-0000-0000095D0000}"/>
    <cellStyle name="Normal 89 13" xfId="28043" xr:uid="{00000000-0005-0000-0000-00000A5D0000}"/>
    <cellStyle name="Normal 89 14" xfId="28547" xr:uid="{00000000-0005-0000-0000-00000B5D0000}"/>
    <cellStyle name="Normal 89 15" xfId="29051" xr:uid="{00000000-0005-0000-0000-00000C5D0000}"/>
    <cellStyle name="Normal 89 16" xfId="29555" xr:uid="{00000000-0005-0000-0000-00000D5D0000}"/>
    <cellStyle name="Normal 89 17" xfId="30059" xr:uid="{00000000-0005-0000-0000-00000E5D0000}"/>
    <cellStyle name="Normal 89 18" xfId="30563" xr:uid="{00000000-0005-0000-0000-00000F5D0000}"/>
    <cellStyle name="Normal 89 19" xfId="31068" xr:uid="{00000000-0005-0000-0000-0000105D0000}"/>
    <cellStyle name="Normal 89 2" xfId="5836" xr:uid="{00000000-0005-0000-0000-0000115D0000}"/>
    <cellStyle name="Normal 89 2 2" xfId="19842" xr:uid="{00000000-0005-0000-0000-0000125D0000}"/>
    <cellStyle name="Normal 89 2 3" xfId="14882" xr:uid="{00000000-0005-0000-0000-0000135D0000}"/>
    <cellStyle name="Normal 89 3" xfId="7077" xr:uid="{00000000-0005-0000-0000-0000145D0000}"/>
    <cellStyle name="Normal 89 3 2" xfId="19843" xr:uid="{00000000-0005-0000-0000-0000155D0000}"/>
    <cellStyle name="Normal 89 3 3" xfId="14883" xr:uid="{00000000-0005-0000-0000-0000165D0000}"/>
    <cellStyle name="Normal 89 4" xfId="19841" xr:uid="{00000000-0005-0000-0000-0000175D0000}"/>
    <cellStyle name="Normal 89 5" xfId="14881" xr:uid="{00000000-0005-0000-0000-0000185D0000}"/>
    <cellStyle name="Normal 89 6" xfId="24292" xr:uid="{00000000-0005-0000-0000-0000195D0000}"/>
    <cellStyle name="Normal 89 7" xfId="25019" xr:uid="{00000000-0005-0000-0000-00001A5D0000}"/>
    <cellStyle name="Normal 89 8" xfId="25523" xr:uid="{00000000-0005-0000-0000-00001B5D0000}"/>
    <cellStyle name="Normal 89 9" xfId="26027" xr:uid="{00000000-0005-0000-0000-00001C5D0000}"/>
    <cellStyle name="Normal 9" xfId="300" xr:uid="{00000000-0005-0000-0000-00001D5D0000}"/>
    <cellStyle name="Normal 9 10" xfId="14884" xr:uid="{00000000-0005-0000-0000-00001E5D0000}"/>
    <cellStyle name="Normal 9 11" xfId="19844" xr:uid="{00000000-0005-0000-0000-00001F5D0000}"/>
    <cellStyle name="Normal 9 12" xfId="23123" xr:uid="{00000000-0005-0000-0000-0000205D0000}"/>
    <cellStyle name="Normal 9 2" xfId="301" xr:uid="{00000000-0005-0000-0000-0000215D0000}"/>
    <cellStyle name="Normal 9 2 2" xfId="2482" xr:uid="{00000000-0005-0000-0000-0000225D0000}"/>
    <cellStyle name="Normal 9 2 2 2" xfId="14887" xr:uid="{00000000-0005-0000-0000-0000235D0000}"/>
    <cellStyle name="Normal 9 2 2 2 2" xfId="19847" xr:uid="{00000000-0005-0000-0000-0000245D0000}"/>
    <cellStyle name="Normal 9 2 2 3" xfId="14886" xr:uid="{00000000-0005-0000-0000-0000255D0000}"/>
    <cellStyle name="Normal 9 2 2 4" xfId="19846" xr:uid="{00000000-0005-0000-0000-0000265D0000}"/>
    <cellStyle name="Normal 9 2 3" xfId="2483" xr:uid="{00000000-0005-0000-0000-0000275D0000}"/>
    <cellStyle name="Normal 9 2 3 2" xfId="14889" xr:uid="{00000000-0005-0000-0000-0000285D0000}"/>
    <cellStyle name="Normal 9 2 3 2 2" xfId="19849" xr:uid="{00000000-0005-0000-0000-0000295D0000}"/>
    <cellStyle name="Normal 9 2 3 3" xfId="14888" xr:uid="{00000000-0005-0000-0000-00002A5D0000}"/>
    <cellStyle name="Normal 9 2 3 4" xfId="19848" xr:uid="{00000000-0005-0000-0000-00002B5D0000}"/>
    <cellStyle name="Normal 9 2 4" xfId="14890" xr:uid="{00000000-0005-0000-0000-00002C5D0000}"/>
    <cellStyle name="Normal 9 2 4 2" xfId="19850" xr:uid="{00000000-0005-0000-0000-00002D5D0000}"/>
    <cellStyle name="Normal 9 2 4 3" xfId="24293" xr:uid="{00000000-0005-0000-0000-00002E5D0000}"/>
    <cellStyle name="Normal 9 2 5" xfId="14891" xr:uid="{00000000-0005-0000-0000-00002F5D0000}"/>
    <cellStyle name="Normal 9 2 5 2" xfId="19851" xr:uid="{00000000-0005-0000-0000-0000305D0000}"/>
    <cellStyle name="Normal 9 2 6" xfId="14892" xr:uid="{00000000-0005-0000-0000-0000315D0000}"/>
    <cellStyle name="Normal 9 2 6 2" xfId="19852" xr:uid="{00000000-0005-0000-0000-0000325D0000}"/>
    <cellStyle name="Normal 9 2 7" xfId="14893" xr:uid="{00000000-0005-0000-0000-0000335D0000}"/>
    <cellStyle name="Normal 9 2 7 2" xfId="19853" xr:uid="{00000000-0005-0000-0000-0000345D0000}"/>
    <cellStyle name="Normal 9 2 8" xfId="14885" xr:uid="{00000000-0005-0000-0000-0000355D0000}"/>
    <cellStyle name="Normal 9 2 9" xfId="19845" xr:uid="{00000000-0005-0000-0000-0000365D0000}"/>
    <cellStyle name="Normal 9 3" xfId="1284" xr:uid="{00000000-0005-0000-0000-0000375D0000}"/>
    <cellStyle name="Normal 9 3 2" xfId="1469" xr:uid="{00000000-0005-0000-0000-0000385D0000}"/>
    <cellStyle name="Normal 9 3 2 10" xfId="26028" xr:uid="{00000000-0005-0000-0000-0000395D0000}"/>
    <cellStyle name="Normal 9 3 2 11" xfId="26532" xr:uid="{00000000-0005-0000-0000-00003A5D0000}"/>
    <cellStyle name="Normal 9 3 2 12" xfId="27036" xr:uid="{00000000-0005-0000-0000-00003B5D0000}"/>
    <cellStyle name="Normal 9 3 2 13" xfId="27540" xr:uid="{00000000-0005-0000-0000-00003C5D0000}"/>
    <cellStyle name="Normal 9 3 2 14" xfId="28044" xr:uid="{00000000-0005-0000-0000-00003D5D0000}"/>
    <cellStyle name="Normal 9 3 2 15" xfId="28548" xr:uid="{00000000-0005-0000-0000-00003E5D0000}"/>
    <cellStyle name="Normal 9 3 2 16" xfId="29052" xr:uid="{00000000-0005-0000-0000-00003F5D0000}"/>
    <cellStyle name="Normal 9 3 2 17" xfId="29556" xr:uid="{00000000-0005-0000-0000-0000405D0000}"/>
    <cellStyle name="Normal 9 3 2 18" xfId="30060" xr:uid="{00000000-0005-0000-0000-0000415D0000}"/>
    <cellStyle name="Normal 9 3 2 19" xfId="30564" xr:uid="{00000000-0005-0000-0000-0000425D0000}"/>
    <cellStyle name="Normal 9 3 2 2" xfId="1704" xr:uid="{00000000-0005-0000-0000-0000435D0000}"/>
    <cellStyle name="Normal 9 3 2 2 2" xfId="3131" xr:uid="{00000000-0005-0000-0000-0000445D0000}"/>
    <cellStyle name="Normal 9 3 2 2 2 2" xfId="4750" xr:uid="{00000000-0005-0000-0000-0000455D0000}"/>
    <cellStyle name="Normal 9 3 2 2 2 2 2" xfId="6617" xr:uid="{00000000-0005-0000-0000-0000465D0000}"/>
    <cellStyle name="Normal 9 3 2 2 2 3" xfId="5715" xr:uid="{00000000-0005-0000-0000-0000475D0000}"/>
    <cellStyle name="Normal 9 3 2 2 3" xfId="4221" xr:uid="{00000000-0005-0000-0000-0000485D0000}"/>
    <cellStyle name="Normal 9 3 2 2 3 2" xfId="6169" xr:uid="{00000000-0005-0000-0000-0000495D0000}"/>
    <cellStyle name="Normal 9 3 2 2 4" xfId="5257" xr:uid="{00000000-0005-0000-0000-00004A5D0000}"/>
    <cellStyle name="Normal 9 3 2 2 5" xfId="19855" xr:uid="{00000000-0005-0000-0000-00004B5D0000}"/>
    <cellStyle name="Normal 9 3 2 20" xfId="31069" xr:uid="{00000000-0005-0000-0000-00004C5D0000}"/>
    <cellStyle name="Normal 9 3 2 3" xfId="2903" xr:uid="{00000000-0005-0000-0000-00004D5D0000}"/>
    <cellStyle name="Normal 9 3 2 3 2" xfId="4522" xr:uid="{00000000-0005-0000-0000-00004E5D0000}"/>
    <cellStyle name="Normal 9 3 2 3 2 2" xfId="6389" xr:uid="{00000000-0005-0000-0000-00004F5D0000}"/>
    <cellStyle name="Normal 9 3 2 3 3" xfId="5487" xr:uid="{00000000-0005-0000-0000-0000505D0000}"/>
    <cellStyle name="Normal 9 3 2 4" xfId="3990" xr:uid="{00000000-0005-0000-0000-0000515D0000}"/>
    <cellStyle name="Normal 9 3 2 4 2" xfId="5944" xr:uid="{00000000-0005-0000-0000-0000525D0000}"/>
    <cellStyle name="Normal 9 3 2 5" xfId="5029" xr:uid="{00000000-0005-0000-0000-0000535D0000}"/>
    <cellStyle name="Normal 9 3 2 6" xfId="14895" xr:uid="{00000000-0005-0000-0000-0000545D0000}"/>
    <cellStyle name="Normal 9 3 2 7" xfId="24294" xr:uid="{00000000-0005-0000-0000-0000555D0000}"/>
    <cellStyle name="Normal 9 3 2 8" xfId="25020" xr:uid="{00000000-0005-0000-0000-0000565D0000}"/>
    <cellStyle name="Normal 9 3 2 9" xfId="25524" xr:uid="{00000000-0005-0000-0000-0000575D0000}"/>
    <cellStyle name="Normal 9 3 3" xfId="1705" xr:uid="{00000000-0005-0000-0000-0000585D0000}"/>
    <cellStyle name="Normal 9 3 3 10" xfId="26533" xr:uid="{00000000-0005-0000-0000-0000595D0000}"/>
    <cellStyle name="Normal 9 3 3 11" xfId="27037" xr:uid="{00000000-0005-0000-0000-00005A5D0000}"/>
    <cellStyle name="Normal 9 3 3 12" xfId="27541" xr:uid="{00000000-0005-0000-0000-00005B5D0000}"/>
    <cellStyle name="Normal 9 3 3 13" xfId="28045" xr:uid="{00000000-0005-0000-0000-00005C5D0000}"/>
    <cellStyle name="Normal 9 3 3 14" xfId="28549" xr:uid="{00000000-0005-0000-0000-00005D5D0000}"/>
    <cellStyle name="Normal 9 3 3 15" xfId="29053" xr:uid="{00000000-0005-0000-0000-00005E5D0000}"/>
    <cellStyle name="Normal 9 3 3 16" xfId="29557" xr:uid="{00000000-0005-0000-0000-00005F5D0000}"/>
    <cellStyle name="Normal 9 3 3 17" xfId="30061" xr:uid="{00000000-0005-0000-0000-0000605D0000}"/>
    <cellStyle name="Normal 9 3 3 18" xfId="30565" xr:uid="{00000000-0005-0000-0000-0000615D0000}"/>
    <cellStyle name="Normal 9 3 3 19" xfId="31070" xr:uid="{00000000-0005-0000-0000-0000625D0000}"/>
    <cellStyle name="Normal 9 3 3 2" xfId="3132" xr:uid="{00000000-0005-0000-0000-0000635D0000}"/>
    <cellStyle name="Normal 9 3 3 2 2" xfId="4751" xr:uid="{00000000-0005-0000-0000-0000645D0000}"/>
    <cellStyle name="Normal 9 3 3 2 2 2" xfId="6618" xr:uid="{00000000-0005-0000-0000-0000655D0000}"/>
    <cellStyle name="Normal 9 3 3 2 3" xfId="5716" xr:uid="{00000000-0005-0000-0000-0000665D0000}"/>
    <cellStyle name="Normal 9 3 3 2 4" xfId="19856" xr:uid="{00000000-0005-0000-0000-0000675D0000}"/>
    <cellStyle name="Normal 9 3 3 3" xfId="4222" xr:uid="{00000000-0005-0000-0000-0000685D0000}"/>
    <cellStyle name="Normal 9 3 3 3 2" xfId="6170" xr:uid="{00000000-0005-0000-0000-0000695D0000}"/>
    <cellStyle name="Normal 9 3 3 4" xfId="5258" xr:uid="{00000000-0005-0000-0000-00006A5D0000}"/>
    <cellStyle name="Normal 9 3 3 5" xfId="14896" xr:uid="{00000000-0005-0000-0000-00006B5D0000}"/>
    <cellStyle name="Normal 9 3 3 6" xfId="24295" xr:uid="{00000000-0005-0000-0000-00006C5D0000}"/>
    <cellStyle name="Normal 9 3 3 7" xfId="25021" xr:uid="{00000000-0005-0000-0000-00006D5D0000}"/>
    <cellStyle name="Normal 9 3 3 8" xfId="25525" xr:uid="{00000000-0005-0000-0000-00006E5D0000}"/>
    <cellStyle name="Normal 9 3 3 9" xfId="26029" xr:uid="{00000000-0005-0000-0000-00006F5D0000}"/>
    <cellStyle name="Normal 9 3 4" xfId="2484" xr:uid="{00000000-0005-0000-0000-0000705D0000}"/>
    <cellStyle name="Normal 9 3 4 2" xfId="19857" xr:uid="{00000000-0005-0000-0000-0000715D0000}"/>
    <cellStyle name="Normal 9 3 4 3" xfId="14897" xr:uid="{00000000-0005-0000-0000-0000725D0000}"/>
    <cellStyle name="Normal 9 3 5" xfId="2845" xr:uid="{00000000-0005-0000-0000-0000735D0000}"/>
    <cellStyle name="Normal 9 3 5 2" xfId="4465" xr:uid="{00000000-0005-0000-0000-0000745D0000}"/>
    <cellStyle name="Normal 9 3 5 2 2" xfId="6332" xr:uid="{00000000-0005-0000-0000-0000755D0000}"/>
    <cellStyle name="Normal 9 3 5 3" xfId="5430" xr:uid="{00000000-0005-0000-0000-0000765D0000}"/>
    <cellStyle name="Normal 9 3 5 4" xfId="14894" xr:uid="{00000000-0005-0000-0000-0000775D0000}"/>
    <cellStyle name="Normal 9 3 6" xfId="3903" xr:uid="{00000000-0005-0000-0000-0000785D0000}"/>
    <cellStyle name="Normal 9 3 6 2" xfId="5888" xr:uid="{00000000-0005-0000-0000-0000795D0000}"/>
    <cellStyle name="Normal 9 3 6 3" xfId="19854" xr:uid="{00000000-0005-0000-0000-00007A5D0000}"/>
    <cellStyle name="Normal 9 3 7" xfId="4972" xr:uid="{00000000-0005-0000-0000-00007B5D0000}"/>
    <cellStyle name="Normal 9 4" xfId="1515" xr:uid="{00000000-0005-0000-0000-00007C5D0000}"/>
    <cellStyle name="Normal 9 4 2" xfId="1706" xr:uid="{00000000-0005-0000-0000-00007D5D0000}"/>
    <cellStyle name="Normal 9 4 2 2" xfId="3133" xr:uid="{00000000-0005-0000-0000-00007E5D0000}"/>
    <cellStyle name="Normal 9 4 2 2 2" xfId="4752" xr:uid="{00000000-0005-0000-0000-00007F5D0000}"/>
    <cellStyle name="Normal 9 4 2 2 2 2" xfId="6619" xr:uid="{00000000-0005-0000-0000-0000805D0000}"/>
    <cellStyle name="Normal 9 4 2 2 3" xfId="5717" xr:uid="{00000000-0005-0000-0000-0000815D0000}"/>
    <cellStyle name="Normal 9 4 2 2 4" xfId="19859" xr:uid="{00000000-0005-0000-0000-0000825D0000}"/>
    <cellStyle name="Normal 9 4 2 3" xfId="4223" xr:uid="{00000000-0005-0000-0000-0000835D0000}"/>
    <cellStyle name="Normal 9 4 2 3 2" xfId="6171" xr:uid="{00000000-0005-0000-0000-0000845D0000}"/>
    <cellStyle name="Normal 9 4 2 4" xfId="5259" xr:uid="{00000000-0005-0000-0000-0000855D0000}"/>
    <cellStyle name="Normal 9 4 2 5" xfId="14899" xr:uid="{00000000-0005-0000-0000-0000865D0000}"/>
    <cellStyle name="Normal 9 4 3" xfId="2485" xr:uid="{00000000-0005-0000-0000-0000875D0000}"/>
    <cellStyle name="Normal 9 4 3 2" xfId="14898" xr:uid="{00000000-0005-0000-0000-0000885D0000}"/>
    <cellStyle name="Normal 9 4 4" xfId="2943" xr:uid="{00000000-0005-0000-0000-0000895D0000}"/>
    <cellStyle name="Normal 9 4 4 2" xfId="4562" xr:uid="{00000000-0005-0000-0000-00008A5D0000}"/>
    <cellStyle name="Normal 9 4 4 2 2" xfId="6429" xr:uid="{00000000-0005-0000-0000-00008B5D0000}"/>
    <cellStyle name="Normal 9 4 4 3" xfId="5527" xr:uid="{00000000-0005-0000-0000-00008C5D0000}"/>
    <cellStyle name="Normal 9 4 4 4" xfId="19858" xr:uid="{00000000-0005-0000-0000-00008D5D0000}"/>
    <cellStyle name="Normal 9 4 5" xfId="4034" xr:uid="{00000000-0005-0000-0000-00008E5D0000}"/>
    <cellStyle name="Normal 9 4 5 2" xfId="5983" xr:uid="{00000000-0005-0000-0000-00008F5D0000}"/>
    <cellStyle name="Normal 9 4 6" xfId="5069" xr:uid="{00000000-0005-0000-0000-0000905D0000}"/>
    <cellStyle name="Normal 9 5" xfId="1707" xr:uid="{00000000-0005-0000-0000-0000915D0000}"/>
    <cellStyle name="Normal 9 5 2" xfId="2486" xr:uid="{00000000-0005-0000-0000-0000925D0000}"/>
    <cellStyle name="Normal 9 5 2 2" xfId="19861" xr:uid="{00000000-0005-0000-0000-0000935D0000}"/>
    <cellStyle name="Normal 9 5 2 3" xfId="14901" xr:uid="{00000000-0005-0000-0000-0000945D0000}"/>
    <cellStyle name="Normal 9 5 3" xfId="3134" xr:uid="{00000000-0005-0000-0000-0000955D0000}"/>
    <cellStyle name="Normal 9 5 3 2" xfId="4753" xr:uid="{00000000-0005-0000-0000-0000965D0000}"/>
    <cellStyle name="Normal 9 5 3 2 2" xfId="6620" xr:uid="{00000000-0005-0000-0000-0000975D0000}"/>
    <cellStyle name="Normal 9 5 3 3" xfId="5718" xr:uid="{00000000-0005-0000-0000-0000985D0000}"/>
    <cellStyle name="Normal 9 5 3 4" xfId="14900" xr:uid="{00000000-0005-0000-0000-0000995D0000}"/>
    <cellStyle name="Normal 9 5 4" xfId="4224" xr:uid="{00000000-0005-0000-0000-00009A5D0000}"/>
    <cellStyle name="Normal 9 5 4 2" xfId="6172" xr:uid="{00000000-0005-0000-0000-00009B5D0000}"/>
    <cellStyle name="Normal 9 5 4 3" xfId="19860" xr:uid="{00000000-0005-0000-0000-00009C5D0000}"/>
    <cellStyle name="Normal 9 5 5" xfId="5260" xr:uid="{00000000-0005-0000-0000-00009D5D0000}"/>
    <cellStyle name="Normal 9 6" xfId="4825" xr:uid="{00000000-0005-0000-0000-00009E5D0000}"/>
    <cellStyle name="Normal 9 6 10" xfId="27542" xr:uid="{00000000-0005-0000-0000-00009F5D0000}"/>
    <cellStyle name="Normal 9 6 11" xfId="28046" xr:uid="{00000000-0005-0000-0000-0000A05D0000}"/>
    <cellStyle name="Normal 9 6 12" xfId="28550" xr:uid="{00000000-0005-0000-0000-0000A15D0000}"/>
    <cellStyle name="Normal 9 6 13" xfId="29054" xr:uid="{00000000-0005-0000-0000-0000A25D0000}"/>
    <cellStyle name="Normal 9 6 14" xfId="29558" xr:uid="{00000000-0005-0000-0000-0000A35D0000}"/>
    <cellStyle name="Normal 9 6 15" xfId="30062" xr:uid="{00000000-0005-0000-0000-0000A45D0000}"/>
    <cellStyle name="Normal 9 6 16" xfId="30566" xr:uid="{00000000-0005-0000-0000-0000A55D0000}"/>
    <cellStyle name="Normal 9 6 17" xfId="31071" xr:uid="{00000000-0005-0000-0000-0000A65D0000}"/>
    <cellStyle name="Normal 9 6 2" xfId="6669" xr:uid="{00000000-0005-0000-0000-0000A75D0000}"/>
    <cellStyle name="Normal 9 6 2 2" xfId="19862" xr:uid="{00000000-0005-0000-0000-0000A85D0000}"/>
    <cellStyle name="Normal 9 6 3" xfId="14902" xr:uid="{00000000-0005-0000-0000-0000A95D0000}"/>
    <cellStyle name="Normal 9 6 4" xfId="24296" xr:uid="{00000000-0005-0000-0000-0000AA5D0000}"/>
    <cellStyle name="Normal 9 6 5" xfId="25022" xr:uid="{00000000-0005-0000-0000-0000AB5D0000}"/>
    <cellStyle name="Normal 9 6 6" xfId="25526" xr:uid="{00000000-0005-0000-0000-0000AC5D0000}"/>
    <cellStyle name="Normal 9 6 7" xfId="26030" xr:uid="{00000000-0005-0000-0000-0000AD5D0000}"/>
    <cellStyle name="Normal 9 6 8" xfId="26534" xr:uid="{00000000-0005-0000-0000-0000AE5D0000}"/>
    <cellStyle name="Normal 9 6 9" xfId="27038" xr:uid="{00000000-0005-0000-0000-0000AF5D0000}"/>
    <cellStyle name="Normal 9 7" xfId="4871" xr:uid="{00000000-0005-0000-0000-0000B05D0000}"/>
    <cellStyle name="Normal 9 7 2" xfId="6711" xr:uid="{00000000-0005-0000-0000-0000B15D0000}"/>
    <cellStyle name="Normal 9 7 2 2" xfId="19863" xr:uid="{00000000-0005-0000-0000-0000B25D0000}"/>
    <cellStyle name="Normal 9 7 3" xfId="14903" xr:uid="{00000000-0005-0000-0000-0000B35D0000}"/>
    <cellStyle name="Normal 9 8" xfId="6756" xr:uid="{00000000-0005-0000-0000-0000B45D0000}"/>
    <cellStyle name="Normal 9 8 2" xfId="19864" xr:uid="{00000000-0005-0000-0000-0000B55D0000}"/>
    <cellStyle name="Normal 9 8 3" xfId="14904" xr:uid="{00000000-0005-0000-0000-0000B65D0000}"/>
    <cellStyle name="Normal 9 9" xfId="14905" xr:uid="{00000000-0005-0000-0000-0000B75D0000}"/>
    <cellStyle name="Normal 9 9 2" xfId="19865" xr:uid="{00000000-0005-0000-0000-0000B85D0000}"/>
    <cellStyle name="Normal 9_Xl0000150" xfId="458" xr:uid="{00000000-0005-0000-0000-0000B95D0000}"/>
    <cellStyle name="Normal 90" xfId="3556" xr:uid="{00000000-0005-0000-0000-0000BA5D0000}"/>
    <cellStyle name="Normal 90 10" xfId="26535" xr:uid="{00000000-0005-0000-0000-0000BB5D0000}"/>
    <cellStyle name="Normal 90 11" xfId="27039" xr:uid="{00000000-0005-0000-0000-0000BC5D0000}"/>
    <cellStyle name="Normal 90 12" xfId="27543" xr:uid="{00000000-0005-0000-0000-0000BD5D0000}"/>
    <cellStyle name="Normal 90 13" xfId="28047" xr:uid="{00000000-0005-0000-0000-0000BE5D0000}"/>
    <cellStyle name="Normal 90 14" xfId="28551" xr:uid="{00000000-0005-0000-0000-0000BF5D0000}"/>
    <cellStyle name="Normal 90 15" xfId="29055" xr:uid="{00000000-0005-0000-0000-0000C05D0000}"/>
    <cellStyle name="Normal 90 16" xfId="29559" xr:uid="{00000000-0005-0000-0000-0000C15D0000}"/>
    <cellStyle name="Normal 90 17" xfId="30063" xr:uid="{00000000-0005-0000-0000-0000C25D0000}"/>
    <cellStyle name="Normal 90 18" xfId="30567" xr:uid="{00000000-0005-0000-0000-0000C35D0000}"/>
    <cellStyle name="Normal 90 19" xfId="31072" xr:uid="{00000000-0005-0000-0000-0000C45D0000}"/>
    <cellStyle name="Normal 90 2" xfId="5837" xr:uid="{00000000-0005-0000-0000-0000C55D0000}"/>
    <cellStyle name="Normal 90 2 2" xfId="19867" xr:uid="{00000000-0005-0000-0000-0000C65D0000}"/>
    <cellStyle name="Normal 90 2 3" xfId="14907" xr:uid="{00000000-0005-0000-0000-0000C75D0000}"/>
    <cellStyle name="Normal 90 3" xfId="7078" xr:uid="{00000000-0005-0000-0000-0000C85D0000}"/>
    <cellStyle name="Normal 90 3 2" xfId="19868" xr:uid="{00000000-0005-0000-0000-0000C95D0000}"/>
    <cellStyle name="Normal 90 3 3" xfId="14908" xr:uid="{00000000-0005-0000-0000-0000CA5D0000}"/>
    <cellStyle name="Normal 90 4" xfId="19866" xr:uid="{00000000-0005-0000-0000-0000CB5D0000}"/>
    <cellStyle name="Normal 90 5" xfId="14906" xr:uid="{00000000-0005-0000-0000-0000CC5D0000}"/>
    <cellStyle name="Normal 90 6" xfId="24297" xr:uid="{00000000-0005-0000-0000-0000CD5D0000}"/>
    <cellStyle name="Normal 90 7" xfId="25023" xr:uid="{00000000-0005-0000-0000-0000CE5D0000}"/>
    <cellStyle name="Normal 90 8" xfId="25527" xr:uid="{00000000-0005-0000-0000-0000CF5D0000}"/>
    <cellStyle name="Normal 90 9" xfId="26031" xr:uid="{00000000-0005-0000-0000-0000D05D0000}"/>
    <cellStyle name="Normal 91" xfId="3557" xr:uid="{00000000-0005-0000-0000-0000D15D0000}"/>
    <cellStyle name="Normal 91 10" xfId="26536" xr:uid="{00000000-0005-0000-0000-0000D25D0000}"/>
    <cellStyle name="Normal 91 11" xfId="27040" xr:uid="{00000000-0005-0000-0000-0000D35D0000}"/>
    <cellStyle name="Normal 91 12" xfId="27544" xr:uid="{00000000-0005-0000-0000-0000D45D0000}"/>
    <cellStyle name="Normal 91 13" xfId="28048" xr:uid="{00000000-0005-0000-0000-0000D55D0000}"/>
    <cellStyle name="Normal 91 14" xfId="28552" xr:uid="{00000000-0005-0000-0000-0000D65D0000}"/>
    <cellStyle name="Normal 91 15" xfId="29056" xr:uid="{00000000-0005-0000-0000-0000D75D0000}"/>
    <cellStyle name="Normal 91 16" xfId="29560" xr:uid="{00000000-0005-0000-0000-0000D85D0000}"/>
    <cellStyle name="Normal 91 17" xfId="30064" xr:uid="{00000000-0005-0000-0000-0000D95D0000}"/>
    <cellStyle name="Normal 91 18" xfId="30568" xr:uid="{00000000-0005-0000-0000-0000DA5D0000}"/>
    <cellStyle name="Normal 91 19" xfId="31073" xr:uid="{00000000-0005-0000-0000-0000DB5D0000}"/>
    <cellStyle name="Normal 91 2" xfId="5838" xr:uid="{00000000-0005-0000-0000-0000DC5D0000}"/>
    <cellStyle name="Normal 91 2 2" xfId="19870" xr:uid="{00000000-0005-0000-0000-0000DD5D0000}"/>
    <cellStyle name="Normal 91 2 3" xfId="14910" xr:uid="{00000000-0005-0000-0000-0000DE5D0000}"/>
    <cellStyle name="Normal 91 3" xfId="7079" xr:uid="{00000000-0005-0000-0000-0000DF5D0000}"/>
    <cellStyle name="Normal 91 3 2" xfId="19871" xr:uid="{00000000-0005-0000-0000-0000E05D0000}"/>
    <cellStyle name="Normal 91 3 3" xfId="14911" xr:uid="{00000000-0005-0000-0000-0000E15D0000}"/>
    <cellStyle name="Normal 91 4" xfId="19869" xr:uid="{00000000-0005-0000-0000-0000E25D0000}"/>
    <cellStyle name="Normal 91 5" xfId="14909" xr:uid="{00000000-0005-0000-0000-0000E35D0000}"/>
    <cellStyle name="Normal 91 6" xfId="24298" xr:uid="{00000000-0005-0000-0000-0000E45D0000}"/>
    <cellStyle name="Normal 91 7" xfId="25024" xr:uid="{00000000-0005-0000-0000-0000E55D0000}"/>
    <cellStyle name="Normal 91 8" xfId="25528" xr:uid="{00000000-0005-0000-0000-0000E65D0000}"/>
    <cellStyle name="Normal 91 9" xfId="26032" xr:uid="{00000000-0005-0000-0000-0000E75D0000}"/>
    <cellStyle name="Normal 92" xfId="3558" xr:uid="{00000000-0005-0000-0000-0000E85D0000}"/>
    <cellStyle name="Normal 92 10" xfId="26537" xr:uid="{00000000-0005-0000-0000-0000E95D0000}"/>
    <cellStyle name="Normal 92 11" xfId="27041" xr:uid="{00000000-0005-0000-0000-0000EA5D0000}"/>
    <cellStyle name="Normal 92 12" xfId="27545" xr:uid="{00000000-0005-0000-0000-0000EB5D0000}"/>
    <cellStyle name="Normal 92 13" xfId="28049" xr:uid="{00000000-0005-0000-0000-0000EC5D0000}"/>
    <cellStyle name="Normal 92 14" xfId="28553" xr:uid="{00000000-0005-0000-0000-0000ED5D0000}"/>
    <cellStyle name="Normal 92 15" xfId="29057" xr:uid="{00000000-0005-0000-0000-0000EE5D0000}"/>
    <cellStyle name="Normal 92 16" xfId="29561" xr:uid="{00000000-0005-0000-0000-0000EF5D0000}"/>
    <cellStyle name="Normal 92 17" xfId="30065" xr:uid="{00000000-0005-0000-0000-0000F05D0000}"/>
    <cellStyle name="Normal 92 18" xfId="30569" xr:uid="{00000000-0005-0000-0000-0000F15D0000}"/>
    <cellStyle name="Normal 92 19" xfId="31074" xr:uid="{00000000-0005-0000-0000-0000F25D0000}"/>
    <cellStyle name="Normal 92 2" xfId="5839" xr:uid="{00000000-0005-0000-0000-0000F35D0000}"/>
    <cellStyle name="Normal 92 2 2" xfId="19873" xr:uid="{00000000-0005-0000-0000-0000F45D0000}"/>
    <cellStyle name="Normal 92 2 3" xfId="14913" xr:uid="{00000000-0005-0000-0000-0000F55D0000}"/>
    <cellStyle name="Normal 92 3" xfId="7080" xr:uid="{00000000-0005-0000-0000-0000F65D0000}"/>
    <cellStyle name="Normal 92 3 2" xfId="19874" xr:uid="{00000000-0005-0000-0000-0000F75D0000}"/>
    <cellStyle name="Normal 92 3 3" xfId="14914" xr:uid="{00000000-0005-0000-0000-0000F85D0000}"/>
    <cellStyle name="Normal 92 4" xfId="19872" xr:uid="{00000000-0005-0000-0000-0000F95D0000}"/>
    <cellStyle name="Normal 92 5" xfId="14912" xr:uid="{00000000-0005-0000-0000-0000FA5D0000}"/>
    <cellStyle name="Normal 92 6" xfId="24299" xr:uid="{00000000-0005-0000-0000-0000FB5D0000}"/>
    <cellStyle name="Normal 92 7" xfId="25025" xr:uid="{00000000-0005-0000-0000-0000FC5D0000}"/>
    <cellStyle name="Normal 92 8" xfId="25529" xr:uid="{00000000-0005-0000-0000-0000FD5D0000}"/>
    <cellStyle name="Normal 92 9" xfId="26033" xr:uid="{00000000-0005-0000-0000-0000FE5D0000}"/>
    <cellStyle name="Normal 93" xfId="3559" xr:uid="{00000000-0005-0000-0000-0000FF5D0000}"/>
    <cellStyle name="Normal 93 10" xfId="26538" xr:uid="{00000000-0005-0000-0000-0000005E0000}"/>
    <cellStyle name="Normal 93 11" xfId="27042" xr:uid="{00000000-0005-0000-0000-0000015E0000}"/>
    <cellStyle name="Normal 93 12" xfId="27546" xr:uid="{00000000-0005-0000-0000-0000025E0000}"/>
    <cellStyle name="Normal 93 13" xfId="28050" xr:uid="{00000000-0005-0000-0000-0000035E0000}"/>
    <cellStyle name="Normal 93 14" xfId="28554" xr:uid="{00000000-0005-0000-0000-0000045E0000}"/>
    <cellStyle name="Normal 93 15" xfId="29058" xr:uid="{00000000-0005-0000-0000-0000055E0000}"/>
    <cellStyle name="Normal 93 16" xfId="29562" xr:uid="{00000000-0005-0000-0000-0000065E0000}"/>
    <cellStyle name="Normal 93 17" xfId="30066" xr:uid="{00000000-0005-0000-0000-0000075E0000}"/>
    <cellStyle name="Normal 93 18" xfId="30570" xr:uid="{00000000-0005-0000-0000-0000085E0000}"/>
    <cellStyle name="Normal 93 19" xfId="31075" xr:uid="{00000000-0005-0000-0000-0000095E0000}"/>
    <cellStyle name="Normal 93 2" xfId="5840" xr:uid="{00000000-0005-0000-0000-00000A5E0000}"/>
    <cellStyle name="Normal 93 2 2" xfId="19876" xr:uid="{00000000-0005-0000-0000-00000B5E0000}"/>
    <cellStyle name="Normal 93 2 3" xfId="14916" xr:uid="{00000000-0005-0000-0000-00000C5E0000}"/>
    <cellStyle name="Normal 93 3" xfId="7081" xr:uid="{00000000-0005-0000-0000-00000D5E0000}"/>
    <cellStyle name="Normal 93 3 2" xfId="19877" xr:uid="{00000000-0005-0000-0000-00000E5E0000}"/>
    <cellStyle name="Normal 93 3 3" xfId="14917" xr:uid="{00000000-0005-0000-0000-00000F5E0000}"/>
    <cellStyle name="Normal 93 4" xfId="19875" xr:uid="{00000000-0005-0000-0000-0000105E0000}"/>
    <cellStyle name="Normal 93 5" xfId="14915" xr:uid="{00000000-0005-0000-0000-0000115E0000}"/>
    <cellStyle name="Normal 93 6" xfId="24300" xr:uid="{00000000-0005-0000-0000-0000125E0000}"/>
    <cellStyle name="Normal 93 7" xfId="25026" xr:uid="{00000000-0005-0000-0000-0000135E0000}"/>
    <cellStyle name="Normal 93 8" xfId="25530" xr:uid="{00000000-0005-0000-0000-0000145E0000}"/>
    <cellStyle name="Normal 93 9" xfId="26034" xr:uid="{00000000-0005-0000-0000-0000155E0000}"/>
    <cellStyle name="Normal 94" xfId="3560" xr:uid="{00000000-0005-0000-0000-0000165E0000}"/>
    <cellStyle name="Normal 94 10" xfId="26539" xr:uid="{00000000-0005-0000-0000-0000175E0000}"/>
    <cellStyle name="Normal 94 11" xfId="27043" xr:uid="{00000000-0005-0000-0000-0000185E0000}"/>
    <cellStyle name="Normal 94 12" xfId="27547" xr:uid="{00000000-0005-0000-0000-0000195E0000}"/>
    <cellStyle name="Normal 94 13" xfId="28051" xr:uid="{00000000-0005-0000-0000-00001A5E0000}"/>
    <cellStyle name="Normal 94 14" xfId="28555" xr:uid="{00000000-0005-0000-0000-00001B5E0000}"/>
    <cellStyle name="Normal 94 15" xfId="29059" xr:uid="{00000000-0005-0000-0000-00001C5E0000}"/>
    <cellStyle name="Normal 94 16" xfId="29563" xr:uid="{00000000-0005-0000-0000-00001D5E0000}"/>
    <cellStyle name="Normal 94 17" xfId="30067" xr:uid="{00000000-0005-0000-0000-00001E5E0000}"/>
    <cellStyle name="Normal 94 18" xfId="30571" xr:uid="{00000000-0005-0000-0000-00001F5E0000}"/>
    <cellStyle name="Normal 94 19" xfId="31076" xr:uid="{00000000-0005-0000-0000-0000205E0000}"/>
    <cellStyle name="Normal 94 2" xfId="5841" xr:uid="{00000000-0005-0000-0000-0000215E0000}"/>
    <cellStyle name="Normal 94 2 2" xfId="19879" xr:uid="{00000000-0005-0000-0000-0000225E0000}"/>
    <cellStyle name="Normal 94 2 3" xfId="14919" xr:uid="{00000000-0005-0000-0000-0000235E0000}"/>
    <cellStyle name="Normal 94 3" xfId="7082" xr:uid="{00000000-0005-0000-0000-0000245E0000}"/>
    <cellStyle name="Normal 94 3 2" xfId="19880" xr:uid="{00000000-0005-0000-0000-0000255E0000}"/>
    <cellStyle name="Normal 94 3 3" xfId="14920" xr:uid="{00000000-0005-0000-0000-0000265E0000}"/>
    <cellStyle name="Normal 94 4" xfId="19878" xr:uid="{00000000-0005-0000-0000-0000275E0000}"/>
    <cellStyle name="Normal 94 5" xfId="14918" xr:uid="{00000000-0005-0000-0000-0000285E0000}"/>
    <cellStyle name="Normal 94 6" xfId="24301" xr:uid="{00000000-0005-0000-0000-0000295E0000}"/>
    <cellStyle name="Normal 94 7" xfId="25027" xr:uid="{00000000-0005-0000-0000-00002A5E0000}"/>
    <cellStyle name="Normal 94 8" xfId="25531" xr:uid="{00000000-0005-0000-0000-00002B5E0000}"/>
    <cellStyle name="Normal 94 9" xfId="26035" xr:uid="{00000000-0005-0000-0000-00002C5E0000}"/>
    <cellStyle name="Normal 95" xfId="3561" xr:uid="{00000000-0005-0000-0000-00002D5E0000}"/>
    <cellStyle name="Normal 95 10" xfId="26540" xr:uid="{00000000-0005-0000-0000-00002E5E0000}"/>
    <cellStyle name="Normal 95 11" xfId="27044" xr:uid="{00000000-0005-0000-0000-00002F5E0000}"/>
    <cellStyle name="Normal 95 12" xfId="27548" xr:uid="{00000000-0005-0000-0000-0000305E0000}"/>
    <cellStyle name="Normal 95 13" xfId="28052" xr:uid="{00000000-0005-0000-0000-0000315E0000}"/>
    <cellStyle name="Normal 95 14" xfId="28556" xr:uid="{00000000-0005-0000-0000-0000325E0000}"/>
    <cellStyle name="Normal 95 15" xfId="29060" xr:uid="{00000000-0005-0000-0000-0000335E0000}"/>
    <cellStyle name="Normal 95 16" xfId="29564" xr:uid="{00000000-0005-0000-0000-0000345E0000}"/>
    <cellStyle name="Normal 95 17" xfId="30068" xr:uid="{00000000-0005-0000-0000-0000355E0000}"/>
    <cellStyle name="Normal 95 18" xfId="30572" xr:uid="{00000000-0005-0000-0000-0000365E0000}"/>
    <cellStyle name="Normal 95 19" xfId="31077" xr:uid="{00000000-0005-0000-0000-0000375E0000}"/>
    <cellStyle name="Normal 95 2" xfId="5842" xr:uid="{00000000-0005-0000-0000-0000385E0000}"/>
    <cellStyle name="Normal 95 2 2" xfId="19882" xr:uid="{00000000-0005-0000-0000-0000395E0000}"/>
    <cellStyle name="Normal 95 2 3" xfId="14922" xr:uid="{00000000-0005-0000-0000-00003A5E0000}"/>
    <cellStyle name="Normal 95 3" xfId="7083" xr:uid="{00000000-0005-0000-0000-00003B5E0000}"/>
    <cellStyle name="Normal 95 3 2" xfId="19883" xr:uid="{00000000-0005-0000-0000-00003C5E0000}"/>
    <cellStyle name="Normal 95 3 3" xfId="14923" xr:uid="{00000000-0005-0000-0000-00003D5E0000}"/>
    <cellStyle name="Normal 95 4" xfId="19881" xr:uid="{00000000-0005-0000-0000-00003E5E0000}"/>
    <cellStyle name="Normal 95 5" xfId="14921" xr:uid="{00000000-0005-0000-0000-00003F5E0000}"/>
    <cellStyle name="Normal 95 6" xfId="24302" xr:uid="{00000000-0005-0000-0000-0000405E0000}"/>
    <cellStyle name="Normal 95 7" xfId="25028" xr:uid="{00000000-0005-0000-0000-0000415E0000}"/>
    <cellStyle name="Normal 95 8" xfId="25532" xr:uid="{00000000-0005-0000-0000-0000425E0000}"/>
    <cellStyle name="Normal 95 9" xfId="26036" xr:uid="{00000000-0005-0000-0000-0000435E0000}"/>
    <cellStyle name="Normal 96" xfId="3562" xr:uid="{00000000-0005-0000-0000-0000445E0000}"/>
    <cellStyle name="Normal 96 10" xfId="26541" xr:uid="{00000000-0005-0000-0000-0000455E0000}"/>
    <cellStyle name="Normal 96 11" xfId="27045" xr:uid="{00000000-0005-0000-0000-0000465E0000}"/>
    <cellStyle name="Normal 96 12" xfId="27549" xr:uid="{00000000-0005-0000-0000-0000475E0000}"/>
    <cellStyle name="Normal 96 13" xfId="28053" xr:uid="{00000000-0005-0000-0000-0000485E0000}"/>
    <cellStyle name="Normal 96 14" xfId="28557" xr:uid="{00000000-0005-0000-0000-0000495E0000}"/>
    <cellStyle name="Normal 96 15" xfId="29061" xr:uid="{00000000-0005-0000-0000-00004A5E0000}"/>
    <cellStyle name="Normal 96 16" xfId="29565" xr:uid="{00000000-0005-0000-0000-00004B5E0000}"/>
    <cellStyle name="Normal 96 17" xfId="30069" xr:uid="{00000000-0005-0000-0000-00004C5E0000}"/>
    <cellStyle name="Normal 96 18" xfId="30573" xr:uid="{00000000-0005-0000-0000-00004D5E0000}"/>
    <cellStyle name="Normal 96 19" xfId="31078" xr:uid="{00000000-0005-0000-0000-00004E5E0000}"/>
    <cellStyle name="Normal 96 2" xfId="5843" xr:uid="{00000000-0005-0000-0000-00004F5E0000}"/>
    <cellStyle name="Normal 96 2 2" xfId="19885" xr:uid="{00000000-0005-0000-0000-0000505E0000}"/>
    <cellStyle name="Normal 96 2 3" xfId="14925" xr:uid="{00000000-0005-0000-0000-0000515E0000}"/>
    <cellStyle name="Normal 96 3" xfId="7084" xr:uid="{00000000-0005-0000-0000-0000525E0000}"/>
    <cellStyle name="Normal 96 3 2" xfId="19886" xr:uid="{00000000-0005-0000-0000-0000535E0000}"/>
    <cellStyle name="Normal 96 3 3" xfId="14926" xr:uid="{00000000-0005-0000-0000-0000545E0000}"/>
    <cellStyle name="Normal 96 4" xfId="19884" xr:uid="{00000000-0005-0000-0000-0000555E0000}"/>
    <cellStyle name="Normal 96 5" xfId="14924" xr:uid="{00000000-0005-0000-0000-0000565E0000}"/>
    <cellStyle name="Normal 96 6" xfId="24303" xr:uid="{00000000-0005-0000-0000-0000575E0000}"/>
    <cellStyle name="Normal 96 7" xfId="25029" xr:uid="{00000000-0005-0000-0000-0000585E0000}"/>
    <cellStyle name="Normal 96 8" xfId="25533" xr:uid="{00000000-0005-0000-0000-0000595E0000}"/>
    <cellStyle name="Normal 96 9" xfId="26037" xr:uid="{00000000-0005-0000-0000-00005A5E0000}"/>
    <cellStyle name="Normal 97" xfId="3563" xr:uid="{00000000-0005-0000-0000-00005B5E0000}"/>
    <cellStyle name="Normal 97 10" xfId="26542" xr:uid="{00000000-0005-0000-0000-00005C5E0000}"/>
    <cellStyle name="Normal 97 11" xfId="27046" xr:uid="{00000000-0005-0000-0000-00005D5E0000}"/>
    <cellStyle name="Normal 97 12" xfId="27550" xr:uid="{00000000-0005-0000-0000-00005E5E0000}"/>
    <cellStyle name="Normal 97 13" xfId="28054" xr:uid="{00000000-0005-0000-0000-00005F5E0000}"/>
    <cellStyle name="Normal 97 14" xfId="28558" xr:uid="{00000000-0005-0000-0000-0000605E0000}"/>
    <cellStyle name="Normal 97 15" xfId="29062" xr:uid="{00000000-0005-0000-0000-0000615E0000}"/>
    <cellStyle name="Normal 97 16" xfId="29566" xr:uid="{00000000-0005-0000-0000-0000625E0000}"/>
    <cellStyle name="Normal 97 17" xfId="30070" xr:uid="{00000000-0005-0000-0000-0000635E0000}"/>
    <cellStyle name="Normal 97 18" xfId="30574" xr:uid="{00000000-0005-0000-0000-0000645E0000}"/>
    <cellStyle name="Normal 97 19" xfId="31079" xr:uid="{00000000-0005-0000-0000-0000655E0000}"/>
    <cellStyle name="Normal 97 2" xfId="5844" xr:uid="{00000000-0005-0000-0000-0000665E0000}"/>
    <cellStyle name="Normal 97 2 2" xfId="19888" xr:uid="{00000000-0005-0000-0000-0000675E0000}"/>
    <cellStyle name="Normal 97 2 3" xfId="14928" xr:uid="{00000000-0005-0000-0000-0000685E0000}"/>
    <cellStyle name="Normal 97 3" xfId="7085" xr:uid="{00000000-0005-0000-0000-0000695E0000}"/>
    <cellStyle name="Normal 97 3 2" xfId="19889" xr:uid="{00000000-0005-0000-0000-00006A5E0000}"/>
    <cellStyle name="Normal 97 3 3" xfId="14929" xr:uid="{00000000-0005-0000-0000-00006B5E0000}"/>
    <cellStyle name="Normal 97 4" xfId="19887" xr:uid="{00000000-0005-0000-0000-00006C5E0000}"/>
    <cellStyle name="Normal 97 5" xfId="14927" xr:uid="{00000000-0005-0000-0000-00006D5E0000}"/>
    <cellStyle name="Normal 97 6" xfId="24304" xr:uid="{00000000-0005-0000-0000-00006E5E0000}"/>
    <cellStyle name="Normal 97 7" xfId="25030" xr:uid="{00000000-0005-0000-0000-00006F5E0000}"/>
    <cellStyle name="Normal 97 8" xfId="25534" xr:uid="{00000000-0005-0000-0000-0000705E0000}"/>
    <cellStyle name="Normal 97 9" xfId="26038" xr:uid="{00000000-0005-0000-0000-0000715E0000}"/>
    <cellStyle name="Normal 98" xfId="3564" xr:uid="{00000000-0005-0000-0000-0000725E0000}"/>
    <cellStyle name="Normal 98 10" xfId="26543" xr:uid="{00000000-0005-0000-0000-0000735E0000}"/>
    <cellStyle name="Normal 98 11" xfId="27047" xr:uid="{00000000-0005-0000-0000-0000745E0000}"/>
    <cellStyle name="Normal 98 12" xfId="27551" xr:uid="{00000000-0005-0000-0000-0000755E0000}"/>
    <cellStyle name="Normal 98 13" xfId="28055" xr:uid="{00000000-0005-0000-0000-0000765E0000}"/>
    <cellStyle name="Normal 98 14" xfId="28559" xr:uid="{00000000-0005-0000-0000-0000775E0000}"/>
    <cellStyle name="Normal 98 15" xfId="29063" xr:uid="{00000000-0005-0000-0000-0000785E0000}"/>
    <cellStyle name="Normal 98 16" xfId="29567" xr:uid="{00000000-0005-0000-0000-0000795E0000}"/>
    <cellStyle name="Normal 98 17" xfId="30071" xr:uid="{00000000-0005-0000-0000-00007A5E0000}"/>
    <cellStyle name="Normal 98 18" xfId="30575" xr:uid="{00000000-0005-0000-0000-00007B5E0000}"/>
    <cellStyle name="Normal 98 19" xfId="31080" xr:uid="{00000000-0005-0000-0000-00007C5E0000}"/>
    <cellStyle name="Normal 98 2" xfId="5845" xr:uid="{00000000-0005-0000-0000-00007D5E0000}"/>
    <cellStyle name="Normal 98 2 2" xfId="19891" xr:uid="{00000000-0005-0000-0000-00007E5E0000}"/>
    <cellStyle name="Normal 98 2 3" xfId="14931" xr:uid="{00000000-0005-0000-0000-00007F5E0000}"/>
    <cellStyle name="Normal 98 3" xfId="7086" xr:uid="{00000000-0005-0000-0000-0000805E0000}"/>
    <cellStyle name="Normal 98 3 2" xfId="19892" xr:uid="{00000000-0005-0000-0000-0000815E0000}"/>
    <cellStyle name="Normal 98 3 3" xfId="14932" xr:uid="{00000000-0005-0000-0000-0000825E0000}"/>
    <cellStyle name="Normal 98 4" xfId="19890" xr:uid="{00000000-0005-0000-0000-0000835E0000}"/>
    <cellStyle name="Normal 98 5" xfId="14930" xr:uid="{00000000-0005-0000-0000-0000845E0000}"/>
    <cellStyle name="Normal 98 6" xfId="24305" xr:uid="{00000000-0005-0000-0000-0000855E0000}"/>
    <cellStyle name="Normal 98 7" xfId="25031" xr:uid="{00000000-0005-0000-0000-0000865E0000}"/>
    <cellStyle name="Normal 98 8" xfId="25535" xr:uid="{00000000-0005-0000-0000-0000875E0000}"/>
    <cellStyle name="Normal 98 9" xfId="26039" xr:uid="{00000000-0005-0000-0000-0000885E0000}"/>
    <cellStyle name="Normal 99" xfId="3565" xr:uid="{00000000-0005-0000-0000-0000895E0000}"/>
    <cellStyle name="Normal 99 10" xfId="26544" xr:uid="{00000000-0005-0000-0000-00008A5E0000}"/>
    <cellStyle name="Normal 99 11" xfId="27048" xr:uid="{00000000-0005-0000-0000-00008B5E0000}"/>
    <cellStyle name="Normal 99 12" xfId="27552" xr:uid="{00000000-0005-0000-0000-00008C5E0000}"/>
    <cellStyle name="Normal 99 13" xfId="28056" xr:uid="{00000000-0005-0000-0000-00008D5E0000}"/>
    <cellStyle name="Normal 99 14" xfId="28560" xr:uid="{00000000-0005-0000-0000-00008E5E0000}"/>
    <cellStyle name="Normal 99 15" xfId="29064" xr:uid="{00000000-0005-0000-0000-00008F5E0000}"/>
    <cellStyle name="Normal 99 16" xfId="29568" xr:uid="{00000000-0005-0000-0000-0000905E0000}"/>
    <cellStyle name="Normal 99 17" xfId="30072" xr:uid="{00000000-0005-0000-0000-0000915E0000}"/>
    <cellStyle name="Normal 99 18" xfId="30576" xr:uid="{00000000-0005-0000-0000-0000925E0000}"/>
    <cellStyle name="Normal 99 19" xfId="31081" xr:uid="{00000000-0005-0000-0000-0000935E0000}"/>
    <cellStyle name="Normal 99 2" xfId="5846" xr:uid="{00000000-0005-0000-0000-0000945E0000}"/>
    <cellStyle name="Normal 99 2 2" xfId="19894" xr:uid="{00000000-0005-0000-0000-0000955E0000}"/>
    <cellStyle name="Normal 99 2 3" xfId="14934" xr:uid="{00000000-0005-0000-0000-0000965E0000}"/>
    <cellStyle name="Normal 99 3" xfId="7087" xr:uid="{00000000-0005-0000-0000-0000975E0000}"/>
    <cellStyle name="Normal 99 3 2" xfId="19895" xr:uid="{00000000-0005-0000-0000-0000985E0000}"/>
    <cellStyle name="Normal 99 3 3" xfId="14935" xr:uid="{00000000-0005-0000-0000-0000995E0000}"/>
    <cellStyle name="Normal 99 4" xfId="19893" xr:uid="{00000000-0005-0000-0000-00009A5E0000}"/>
    <cellStyle name="Normal 99 5" xfId="14933" xr:uid="{00000000-0005-0000-0000-00009B5E0000}"/>
    <cellStyle name="Normal 99 6" xfId="24306" xr:uid="{00000000-0005-0000-0000-00009C5E0000}"/>
    <cellStyle name="Normal 99 7" xfId="25032" xr:uid="{00000000-0005-0000-0000-00009D5E0000}"/>
    <cellStyle name="Normal 99 8" xfId="25536" xr:uid="{00000000-0005-0000-0000-00009E5E0000}"/>
    <cellStyle name="Normal 99 9" xfId="26040" xr:uid="{00000000-0005-0000-0000-00009F5E0000}"/>
    <cellStyle name="Normal_Costos Presentac. Forecast MARZO" xfId="302" xr:uid="{00000000-0005-0000-0000-0000A05E0000}"/>
    <cellStyle name="Normal_Cueq Julio" xfId="303" xr:uid="{00000000-0005-0000-0000-0000A15E0000}"/>
    <cellStyle name="Normal_Final Junio y Julio" xfId="304" xr:uid="{00000000-0005-0000-0000-0000A25E0000}"/>
    <cellStyle name="Normal_Plan de Produccion 175 Optimizado" xfId="305" xr:uid="{00000000-0005-0000-0000-0000A35E0000}"/>
    <cellStyle name="Normal_Programa producción 2009_12_Enero_2009" xfId="306" xr:uid="{00000000-0005-0000-0000-0000A45E0000}"/>
    <cellStyle name="Notas" xfId="307" builtinId="10" customBuiltin="1"/>
    <cellStyle name="Notas 10" xfId="1285" xr:uid="{00000000-0005-0000-0000-0000A65E0000}"/>
    <cellStyle name="Notas 10 2" xfId="1286" xr:uid="{00000000-0005-0000-0000-0000A75E0000}"/>
    <cellStyle name="Notas 10 2 2" xfId="19897" xr:uid="{00000000-0005-0000-0000-0000A85E0000}"/>
    <cellStyle name="Notas 10 3" xfId="14937" xr:uid="{00000000-0005-0000-0000-0000A95E0000}"/>
    <cellStyle name="Notas 11" xfId="1287" xr:uid="{00000000-0005-0000-0000-0000AA5E0000}"/>
    <cellStyle name="Notas 11 2" xfId="14939" xr:uid="{00000000-0005-0000-0000-0000AB5E0000}"/>
    <cellStyle name="Notas 11 2 2" xfId="19899" xr:uid="{00000000-0005-0000-0000-0000AC5E0000}"/>
    <cellStyle name="Notas 11 3" xfId="14940" xr:uid="{00000000-0005-0000-0000-0000AD5E0000}"/>
    <cellStyle name="Notas 11 3 2" xfId="19900" xr:uid="{00000000-0005-0000-0000-0000AE5E0000}"/>
    <cellStyle name="Notas 11 4" xfId="14941" xr:uid="{00000000-0005-0000-0000-0000AF5E0000}"/>
    <cellStyle name="Notas 11 4 2" xfId="19901" xr:uid="{00000000-0005-0000-0000-0000B05E0000}"/>
    <cellStyle name="Notas 11 5" xfId="14942" xr:uid="{00000000-0005-0000-0000-0000B15E0000}"/>
    <cellStyle name="Notas 11 5 2" xfId="19902" xr:uid="{00000000-0005-0000-0000-0000B25E0000}"/>
    <cellStyle name="Notas 11 6" xfId="19898" xr:uid="{00000000-0005-0000-0000-0000B35E0000}"/>
    <cellStyle name="Notas 11 7" xfId="14938" xr:uid="{00000000-0005-0000-0000-0000B45E0000}"/>
    <cellStyle name="Notas 12" xfId="1288" xr:uid="{00000000-0005-0000-0000-0000B55E0000}"/>
    <cellStyle name="Notas 12 10" xfId="4973" xr:uid="{00000000-0005-0000-0000-0000B65E0000}"/>
    <cellStyle name="Notas 12 11" xfId="6757" xr:uid="{00000000-0005-0000-0000-0000B75E0000}"/>
    <cellStyle name="Notas 12 12" xfId="14936" xr:uid="{00000000-0005-0000-0000-0000B85E0000}"/>
    <cellStyle name="Notas 12 13" xfId="23124" xr:uid="{00000000-0005-0000-0000-0000B95E0000}"/>
    <cellStyle name="Notas 12 2" xfId="1470" xr:uid="{00000000-0005-0000-0000-0000BA5E0000}"/>
    <cellStyle name="Notas 12 2 2" xfId="1708" xr:uid="{00000000-0005-0000-0000-0000BB5E0000}"/>
    <cellStyle name="Notas 12 2 2 2" xfId="3135" xr:uid="{00000000-0005-0000-0000-0000BC5E0000}"/>
    <cellStyle name="Notas 12 2 2 2 2" xfId="4754" xr:uid="{00000000-0005-0000-0000-0000BD5E0000}"/>
    <cellStyle name="Notas 12 2 2 2 2 2" xfId="6621" xr:uid="{00000000-0005-0000-0000-0000BE5E0000}"/>
    <cellStyle name="Notas 12 2 2 2 3" xfId="5719" xr:uid="{00000000-0005-0000-0000-0000BF5E0000}"/>
    <cellStyle name="Notas 12 2 2 3" xfId="4225" xr:uid="{00000000-0005-0000-0000-0000C05E0000}"/>
    <cellStyle name="Notas 12 2 2 3 2" xfId="6173" xr:uid="{00000000-0005-0000-0000-0000C15E0000}"/>
    <cellStyle name="Notas 12 2 2 4" xfId="5261" xr:uid="{00000000-0005-0000-0000-0000C25E0000}"/>
    <cellStyle name="Notas 12 2 2 5" xfId="24307" xr:uid="{00000000-0005-0000-0000-0000C35E0000}"/>
    <cellStyle name="Notas 12 2 3" xfId="2904" xr:uid="{00000000-0005-0000-0000-0000C45E0000}"/>
    <cellStyle name="Notas 12 2 3 2" xfId="4523" xr:uid="{00000000-0005-0000-0000-0000C55E0000}"/>
    <cellStyle name="Notas 12 2 3 2 2" xfId="6390" xr:uid="{00000000-0005-0000-0000-0000C65E0000}"/>
    <cellStyle name="Notas 12 2 3 3" xfId="5488" xr:uid="{00000000-0005-0000-0000-0000C75E0000}"/>
    <cellStyle name="Notas 12 2 4" xfId="3991" xr:uid="{00000000-0005-0000-0000-0000C85E0000}"/>
    <cellStyle name="Notas 12 2 4 2" xfId="5945" xr:uid="{00000000-0005-0000-0000-0000C95E0000}"/>
    <cellStyle name="Notas 12 2 5" xfId="5030" xr:uid="{00000000-0005-0000-0000-0000CA5E0000}"/>
    <cellStyle name="Notas 12 2 6" xfId="23125" xr:uid="{00000000-0005-0000-0000-0000CB5E0000}"/>
    <cellStyle name="Notas 12 3" xfId="1516" xr:uid="{00000000-0005-0000-0000-0000CC5E0000}"/>
    <cellStyle name="Notas 12 3 2" xfId="1709" xr:uid="{00000000-0005-0000-0000-0000CD5E0000}"/>
    <cellStyle name="Notas 12 3 2 2" xfId="3136" xr:uid="{00000000-0005-0000-0000-0000CE5E0000}"/>
    <cellStyle name="Notas 12 3 2 2 2" xfId="4755" xr:uid="{00000000-0005-0000-0000-0000CF5E0000}"/>
    <cellStyle name="Notas 12 3 2 2 2 2" xfId="6622" xr:uid="{00000000-0005-0000-0000-0000D05E0000}"/>
    <cellStyle name="Notas 12 3 2 2 3" xfId="5720" xr:uid="{00000000-0005-0000-0000-0000D15E0000}"/>
    <cellStyle name="Notas 12 3 2 3" xfId="4226" xr:uid="{00000000-0005-0000-0000-0000D25E0000}"/>
    <cellStyle name="Notas 12 3 2 3 2" xfId="6174" xr:uid="{00000000-0005-0000-0000-0000D35E0000}"/>
    <cellStyle name="Notas 12 3 2 4" xfId="5262" xr:uid="{00000000-0005-0000-0000-0000D45E0000}"/>
    <cellStyle name="Notas 12 3 3" xfId="2944" xr:uid="{00000000-0005-0000-0000-0000D55E0000}"/>
    <cellStyle name="Notas 12 3 3 2" xfId="4563" xr:uid="{00000000-0005-0000-0000-0000D65E0000}"/>
    <cellStyle name="Notas 12 3 3 2 2" xfId="6430" xr:uid="{00000000-0005-0000-0000-0000D75E0000}"/>
    <cellStyle name="Notas 12 3 3 3" xfId="5528" xr:uid="{00000000-0005-0000-0000-0000D85E0000}"/>
    <cellStyle name="Notas 12 3 4" xfId="4035" xr:uid="{00000000-0005-0000-0000-0000D95E0000}"/>
    <cellStyle name="Notas 12 3 4 2" xfId="5984" xr:uid="{00000000-0005-0000-0000-0000DA5E0000}"/>
    <cellStyle name="Notas 12 3 5" xfId="5070" xr:uid="{00000000-0005-0000-0000-0000DB5E0000}"/>
    <cellStyle name="Notas 12 3 6" xfId="23126" xr:uid="{00000000-0005-0000-0000-0000DC5E0000}"/>
    <cellStyle name="Notas 12 4" xfId="1710" xr:uid="{00000000-0005-0000-0000-0000DD5E0000}"/>
    <cellStyle name="Notas 12 4 10" xfId="27057" xr:uid="{00000000-0005-0000-0000-0000DE5E0000}"/>
    <cellStyle name="Notas 12 4 11" xfId="27561" xr:uid="{00000000-0005-0000-0000-0000DF5E0000}"/>
    <cellStyle name="Notas 12 4 12" xfId="28065" xr:uid="{00000000-0005-0000-0000-0000E05E0000}"/>
    <cellStyle name="Notas 12 4 13" xfId="28569" xr:uid="{00000000-0005-0000-0000-0000E15E0000}"/>
    <cellStyle name="Notas 12 4 14" xfId="29073" xr:uid="{00000000-0005-0000-0000-0000E25E0000}"/>
    <cellStyle name="Notas 12 4 15" xfId="29577" xr:uid="{00000000-0005-0000-0000-0000E35E0000}"/>
    <cellStyle name="Notas 12 4 16" xfId="30081" xr:uid="{00000000-0005-0000-0000-0000E45E0000}"/>
    <cellStyle name="Notas 12 4 17" xfId="30585" xr:uid="{00000000-0005-0000-0000-0000E55E0000}"/>
    <cellStyle name="Notas 12 4 18" xfId="31090" xr:uid="{00000000-0005-0000-0000-0000E65E0000}"/>
    <cellStyle name="Notas 12 4 2" xfId="3137" xr:uid="{00000000-0005-0000-0000-0000E75E0000}"/>
    <cellStyle name="Notas 12 4 2 2" xfId="4756" xr:uid="{00000000-0005-0000-0000-0000E85E0000}"/>
    <cellStyle name="Notas 12 4 2 2 2" xfId="6623" xr:uid="{00000000-0005-0000-0000-0000E95E0000}"/>
    <cellStyle name="Notas 12 4 2 3" xfId="5721" xr:uid="{00000000-0005-0000-0000-0000EA5E0000}"/>
    <cellStyle name="Notas 12 4 3" xfId="4227" xr:uid="{00000000-0005-0000-0000-0000EB5E0000}"/>
    <cellStyle name="Notas 12 4 3 2" xfId="6175" xr:uid="{00000000-0005-0000-0000-0000EC5E0000}"/>
    <cellStyle name="Notas 12 4 4" xfId="5263" xr:uid="{00000000-0005-0000-0000-0000ED5E0000}"/>
    <cellStyle name="Notas 12 4 5" xfId="24533" xr:uid="{00000000-0005-0000-0000-0000EE5E0000}"/>
    <cellStyle name="Notas 12 4 6" xfId="25041" xr:uid="{00000000-0005-0000-0000-0000EF5E0000}"/>
    <cellStyle name="Notas 12 4 7" xfId="25545" xr:uid="{00000000-0005-0000-0000-0000F05E0000}"/>
    <cellStyle name="Notas 12 4 8" xfId="26049" xr:uid="{00000000-0005-0000-0000-0000F15E0000}"/>
    <cellStyle name="Notas 12 4 9" xfId="26553" xr:uid="{00000000-0005-0000-0000-0000F25E0000}"/>
    <cellStyle name="Notas 12 5" xfId="1711" xr:uid="{00000000-0005-0000-0000-0000F35E0000}"/>
    <cellStyle name="Notas 12 5 2" xfId="3138" xr:uid="{00000000-0005-0000-0000-0000F45E0000}"/>
    <cellStyle name="Notas 12 5 2 2" xfId="4757" xr:uid="{00000000-0005-0000-0000-0000F55E0000}"/>
    <cellStyle name="Notas 12 5 2 2 2" xfId="6624" xr:uid="{00000000-0005-0000-0000-0000F65E0000}"/>
    <cellStyle name="Notas 12 5 2 3" xfId="5722" xr:uid="{00000000-0005-0000-0000-0000F75E0000}"/>
    <cellStyle name="Notas 12 5 3" xfId="4228" xr:uid="{00000000-0005-0000-0000-0000F85E0000}"/>
    <cellStyle name="Notas 12 5 3 2" xfId="6176" xr:uid="{00000000-0005-0000-0000-0000F95E0000}"/>
    <cellStyle name="Notas 12 5 4" xfId="5264" xr:uid="{00000000-0005-0000-0000-0000FA5E0000}"/>
    <cellStyle name="Notas 12 6" xfId="2846" xr:uid="{00000000-0005-0000-0000-0000FB5E0000}"/>
    <cellStyle name="Notas 12 6 2" xfId="4466" xr:uid="{00000000-0005-0000-0000-0000FC5E0000}"/>
    <cellStyle name="Notas 12 6 2 2" xfId="6333" xr:uid="{00000000-0005-0000-0000-0000FD5E0000}"/>
    <cellStyle name="Notas 12 6 3" xfId="5431" xr:uid="{00000000-0005-0000-0000-0000FE5E0000}"/>
    <cellStyle name="Notas 12 7" xfId="3904" xr:uid="{00000000-0005-0000-0000-0000FF5E0000}"/>
    <cellStyle name="Notas 12 7 2" xfId="5889" xr:uid="{00000000-0005-0000-0000-0000005F0000}"/>
    <cellStyle name="Notas 12 8" xfId="4827" xr:uid="{00000000-0005-0000-0000-0000015F0000}"/>
    <cellStyle name="Notas 12 8 2" xfId="6671" xr:uid="{00000000-0005-0000-0000-0000025F0000}"/>
    <cellStyle name="Notas 12 9" xfId="4873" xr:uid="{00000000-0005-0000-0000-0000035F0000}"/>
    <cellStyle name="Notas 12 9 2" xfId="6713" xr:uid="{00000000-0005-0000-0000-0000045F0000}"/>
    <cellStyle name="Notas 13" xfId="1405" xr:uid="{00000000-0005-0000-0000-0000055F0000}"/>
    <cellStyle name="Notas 13 2" xfId="19896" xr:uid="{00000000-0005-0000-0000-0000065F0000}"/>
    <cellStyle name="Notas 13 3" xfId="23127" xr:uid="{00000000-0005-0000-0000-0000075F0000}"/>
    <cellStyle name="Notas 14" xfId="3142" xr:uid="{00000000-0005-0000-0000-0000085F0000}"/>
    <cellStyle name="Notas 14 2" xfId="4759" xr:uid="{00000000-0005-0000-0000-0000095F0000}"/>
    <cellStyle name="Notas 14 2 2" xfId="6626" xr:uid="{00000000-0005-0000-0000-00000A5F0000}"/>
    <cellStyle name="Notas 14 3" xfId="5724" xr:uid="{00000000-0005-0000-0000-00000B5F0000}"/>
    <cellStyle name="Notas 15" xfId="4826" xr:uid="{00000000-0005-0000-0000-00000C5F0000}"/>
    <cellStyle name="Notas 15 2" xfId="6670" xr:uid="{00000000-0005-0000-0000-00000D5F0000}"/>
    <cellStyle name="Notas 16" xfId="4872" xr:uid="{00000000-0005-0000-0000-00000E5F0000}"/>
    <cellStyle name="Notas 16 2" xfId="6712" xr:uid="{00000000-0005-0000-0000-00000F5F0000}"/>
    <cellStyle name="Notas 17" xfId="4908" xr:uid="{00000000-0005-0000-0000-0000105F0000}"/>
    <cellStyle name="Notas 18" xfId="6761" xr:uid="{00000000-0005-0000-0000-0000115F0000}"/>
    <cellStyle name="Notas 19" xfId="23154" xr:uid="{00000000-0005-0000-0000-0000125F0000}"/>
    <cellStyle name="Notas 2" xfId="308" xr:uid="{00000000-0005-0000-0000-0000135F0000}"/>
    <cellStyle name="Notas 2 10" xfId="14944" xr:uid="{00000000-0005-0000-0000-0000145F0000}"/>
    <cellStyle name="Notas 2 10 2" xfId="19904" xr:uid="{00000000-0005-0000-0000-0000155F0000}"/>
    <cellStyle name="Notas 2 11" xfId="14945" xr:uid="{00000000-0005-0000-0000-0000165F0000}"/>
    <cellStyle name="Notas 2 11 2" xfId="19905" xr:uid="{00000000-0005-0000-0000-0000175F0000}"/>
    <cellStyle name="Notas 2 12" xfId="14946" xr:uid="{00000000-0005-0000-0000-0000185F0000}"/>
    <cellStyle name="Notas 2 12 2" xfId="19906" xr:uid="{00000000-0005-0000-0000-0000195F0000}"/>
    <cellStyle name="Notas 2 13" xfId="14947" xr:uid="{00000000-0005-0000-0000-00001A5F0000}"/>
    <cellStyle name="Notas 2 13 2" xfId="19907" xr:uid="{00000000-0005-0000-0000-00001B5F0000}"/>
    <cellStyle name="Notas 2 14" xfId="14948" xr:uid="{00000000-0005-0000-0000-00001C5F0000}"/>
    <cellStyle name="Notas 2 14 2" xfId="19908" xr:uid="{00000000-0005-0000-0000-00001D5F0000}"/>
    <cellStyle name="Notas 2 15" xfId="14949" xr:uid="{00000000-0005-0000-0000-00001E5F0000}"/>
    <cellStyle name="Notas 2 15 2" xfId="14950" xr:uid="{00000000-0005-0000-0000-00001F5F0000}"/>
    <cellStyle name="Notas 2 15 2 2" xfId="19910" xr:uid="{00000000-0005-0000-0000-0000205F0000}"/>
    <cellStyle name="Notas 2 15 3" xfId="14951" xr:uid="{00000000-0005-0000-0000-0000215F0000}"/>
    <cellStyle name="Notas 2 15 3 2" xfId="19911" xr:uid="{00000000-0005-0000-0000-0000225F0000}"/>
    <cellStyle name="Notas 2 15 4" xfId="14952" xr:uid="{00000000-0005-0000-0000-0000235F0000}"/>
    <cellStyle name="Notas 2 15 4 2" xfId="19912" xr:uid="{00000000-0005-0000-0000-0000245F0000}"/>
    <cellStyle name="Notas 2 15 5" xfId="14953" xr:uid="{00000000-0005-0000-0000-0000255F0000}"/>
    <cellStyle name="Notas 2 15 5 2" xfId="19913" xr:uid="{00000000-0005-0000-0000-0000265F0000}"/>
    <cellStyle name="Notas 2 15 6" xfId="19909" xr:uid="{00000000-0005-0000-0000-0000275F0000}"/>
    <cellStyle name="Notas 2 16" xfId="14954" xr:uid="{00000000-0005-0000-0000-0000285F0000}"/>
    <cellStyle name="Notas 2 16 2" xfId="19914" xr:uid="{00000000-0005-0000-0000-0000295F0000}"/>
    <cellStyle name="Notas 2 17" xfId="14943" xr:uid="{00000000-0005-0000-0000-00002A5F0000}"/>
    <cellStyle name="Notas 2 18" xfId="19903" xr:uid="{00000000-0005-0000-0000-00002B5F0000}"/>
    <cellStyle name="Notas 2 19" xfId="31161" xr:uid="{BD1D786C-ED82-44A3-A8BC-18C2CE13474F}"/>
    <cellStyle name="Notas 2 2" xfId="1289" xr:uid="{00000000-0005-0000-0000-00002C5F0000}"/>
    <cellStyle name="Notas 2 2 10" xfId="14956" xr:uid="{00000000-0005-0000-0000-00002D5F0000}"/>
    <cellStyle name="Notas 2 2 10 2" xfId="19916" xr:uid="{00000000-0005-0000-0000-00002E5F0000}"/>
    <cellStyle name="Notas 2 2 11" xfId="14957" xr:uid="{00000000-0005-0000-0000-00002F5F0000}"/>
    <cellStyle name="Notas 2 2 11 2" xfId="19917" xr:uid="{00000000-0005-0000-0000-0000305F0000}"/>
    <cellStyle name="Notas 2 2 12" xfId="14958" xr:uid="{00000000-0005-0000-0000-0000315F0000}"/>
    <cellStyle name="Notas 2 2 12 2" xfId="19918" xr:uid="{00000000-0005-0000-0000-0000325F0000}"/>
    <cellStyle name="Notas 2 2 13" xfId="14959" xr:uid="{00000000-0005-0000-0000-0000335F0000}"/>
    <cellStyle name="Notas 2 2 13 2" xfId="14960" xr:uid="{00000000-0005-0000-0000-0000345F0000}"/>
    <cellStyle name="Notas 2 2 13 2 2" xfId="19920" xr:uid="{00000000-0005-0000-0000-0000355F0000}"/>
    <cellStyle name="Notas 2 2 13 3" xfId="14961" xr:uid="{00000000-0005-0000-0000-0000365F0000}"/>
    <cellStyle name="Notas 2 2 13 3 2" xfId="19921" xr:uid="{00000000-0005-0000-0000-0000375F0000}"/>
    <cellStyle name="Notas 2 2 13 4" xfId="14962" xr:uid="{00000000-0005-0000-0000-0000385F0000}"/>
    <cellStyle name="Notas 2 2 13 4 2" xfId="19922" xr:uid="{00000000-0005-0000-0000-0000395F0000}"/>
    <cellStyle name="Notas 2 2 13 5" xfId="14963" xr:uid="{00000000-0005-0000-0000-00003A5F0000}"/>
    <cellStyle name="Notas 2 2 13 5 2" xfId="19923" xr:uid="{00000000-0005-0000-0000-00003B5F0000}"/>
    <cellStyle name="Notas 2 2 13 6" xfId="19919" xr:uid="{00000000-0005-0000-0000-00003C5F0000}"/>
    <cellStyle name="Notas 2 2 14" xfId="14964" xr:uid="{00000000-0005-0000-0000-00003D5F0000}"/>
    <cellStyle name="Notas 2 2 14 2" xfId="19924" xr:uid="{00000000-0005-0000-0000-00003E5F0000}"/>
    <cellStyle name="Notas 2 2 15" xfId="14965" xr:uid="{00000000-0005-0000-0000-00003F5F0000}"/>
    <cellStyle name="Notas 2 2 15 2" xfId="19925" xr:uid="{00000000-0005-0000-0000-0000405F0000}"/>
    <cellStyle name="Notas 2 2 16" xfId="14955" xr:uid="{00000000-0005-0000-0000-0000415F0000}"/>
    <cellStyle name="Notas 2 2 17" xfId="19915" xr:uid="{00000000-0005-0000-0000-0000425F0000}"/>
    <cellStyle name="Notas 2 2 18" xfId="31240" xr:uid="{0E53D718-DDF6-42D2-8EBF-6C1FACFF5C4F}"/>
    <cellStyle name="Notas 2 2 2" xfId="14966" xr:uid="{00000000-0005-0000-0000-0000435F0000}"/>
    <cellStyle name="Notas 2 2 2 10" xfId="14967" xr:uid="{00000000-0005-0000-0000-0000445F0000}"/>
    <cellStyle name="Notas 2 2 2 10 2" xfId="19927" xr:uid="{00000000-0005-0000-0000-0000455F0000}"/>
    <cellStyle name="Notas 2 2 2 11" xfId="14968" xr:uid="{00000000-0005-0000-0000-0000465F0000}"/>
    <cellStyle name="Notas 2 2 2 11 2" xfId="19928" xr:uid="{00000000-0005-0000-0000-0000475F0000}"/>
    <cellStyle name="Notas 2 2 2 12" xfId="14969" xr:uid="{00000000-0005-0000-0000-0000485F0000}"/>
    <cellStyle name="Notas 2 2 2 12 2" xfId="19929" xr:uid="{00000000-0005-0000-0000-0000495F0000}"/>
    <cellStyle name="Notas 2 2 2 13" xfId="19926" xr:uid="{00000000-0005-0000-0000-00004A5F0000}"/>
    <cellStyle name="Notas 2 2 2 14" xfId="24308" xr:uid="{00000000-0005-0000-0000-00004B5F0000}"/>
    <cellStyle name="Notas 2 2 2 2" xfId="14970" xr:uid="{00000000-0005-0000-0000-00004C5F0000}"/>
    <cellStyle name="Notas 2 2 2 2 2" xfId="19930" xr:uid="{00000000-0005-0000-0000-00004D5F0000}"/>
    <cellStyle name="Notas 2 2 2 3" xfId="14971" xr:uid="{00000000-0005-0000-0000-00004E5F0000}"/>
    <cellStyle name="Notas 2 2 2 3 2" xfId="19931" xr:uid="{00000000-0005-0000-0000-00004F5F0000}"/>
    <cellStyle name="Notas 2 2 2 4" xfId="14972" xr:uid="{00000000-0005-0000-0000-0000505F0000}"/>
    <cellStyle name="Notas 2 2 2 4 2" xfId="19932" xr:uid="{00000000-0005-0000-0000-0000515F0000}"/>
    <cellStyle name="Notas 2 2 2 5" xfId="14973" xr:uid="{00000000-0005-0000-0000-0000525F0000}"/>
    <cellStyle name="Notas 2 2 2 5 2" xfId="19933" xr:uid="{00000000-0005-0000-0000-0000535F0000}"/>
    <cellStyle name="Notas 2 2 2 6" xfId="14974" xr:uid="{00000000-0005-0000-0000-0000545F0000}"/>
    <cellStyle name="Notas 2 2 2 6 2" xfId="19934" xr:uid="{00000000-0005-0000-0000-0000555F0000}"/>
    <cellStyle name="Notas 2 2 2 7" xfId="14975" xr:uid="{00000000-0005-0000-0000-0000565F0000}"/>
    <cellStyle name="Notas 2 2 2 7 2" xfId="19935" xr:uid="{00000000-0005-0000-0000-0000575F0000}"/>
    <cellStyle name="Notas 2 2 2 8" xfId="14976" xr:uid="{00000000-0005-0000-0000-0000585F0000}"/>
    <cellStyle name="Notas 2 2 2 8 2" xfId="19936" xr:uid="{00000000-0005-0000-0000-0000595F0000}"/>
    <cellStyle name="Notas 2 2 2 9" xfId="14977" xr:uid="{00000000-0005-0000-0000-00005A5F0000}"/>
    <cellStyle name="Notas 2 2 2 9 2" xfId="19937" xr:uid="{00000000-0005-0000-0000-00005B5F0000}"/>
    <cellStyle name="Notas 2 2 3" xfId="14978" xr:uid="{00000000-0005-0000-0000-00005C5F0000}"/>
    <cellStyle name="Notas 2 2 3 10" xfId="14979" xr:uid="{00000000-0005-0000-0000-00005D5F0000}"/>
    <cellStyle name="Notas 2 2 3 10 2" xfId="19939" xr:uid="{00000000-0005-0000-0000-00005E5F0000}"/>
    <cellStyle name="Notas 2 2 3 11" xfId="14980" xr:uid="{00000000-0005-0000-0000-00005F5F0000}"/>
    <cellStyle name="Notas 2 2 3 11 2" xfId="19940" xr:uid="{00000000-0005-0000-0000-0000605F0000}"/>
    <cellStyle name="Notas 2 2 3 12" xfId="14981" xr:uid="{00000000-0005-0000-0000-0000615F0000}"/>
    <cellStyle name="Notas 2 2 3 12 2" xfId="19941" xr:uid="{00000000-0005-0000-0000-0000625F0000}"/>
    <cellStyle name="Notas 2 2 3 13" xfId="19938" xr:uid="{00000000-0005-0000-0000-0000635F0000}"/>
    <cellStyle name="Notas 2 2 3 14" xfId="24309" xr:uid="{00000000-0005-0000-0000-0000645F0000}"/>
    <cellStyle name="Notas 2 2 3 2" xfId="14982" xr:uid="{00000000-0005-0000-0000-0000655F0000}"/>
    <cellStyle name="Notas 2 2 3 2 2" xfId="19942" xr:uid="{00000000-0005-0000-0000-0000665F0000}"/>
    <cellStyle name="Notas 2 2 3 3" xfId="14983" xr:uid="{00000000-0005-0000-0000-0000675F0000}"/>
    <cellStyle name="Notas 2 2 3 3 2" xfId="19943" xr:uid="{00000000-0005-0000-0000-0000685F0000}"/>
    <cellStyle name="Notas 2 2 3 4" xfId="14984" xr:uid="{00000000-0005-0000-0000-0000695F0000}"/>
    <cellStyle name="Notas 2 2 3 4 2" xfId="19944" xr:uid="{00000000-0005-0000-0000-00006A5F0000}"/>
    <cellStyle name="Notas 2 2 3 5" xfId="14985" xr:uid="{00000000-0005-0000-0000-00006B5F0000}"/>
    <cellStyle name="Notas 2 2 3 5 2" xfId="19945" xr:uid="{00000000-0005-0000-0000-00006C5F0000}"/>
    <cellStyle name="Notas 2 2 3 6" xfId="14986" xr:uid="{00000000-0005-0000-0000-00006D5F0000}"/>
    <cellStyle name="Notas 2 2 3 6 2" xfId="19946" xr:uid="{00000000-0005-0000-0000-00006E5F0000}"/>
    <cellStyle name="Notas 2 2 3 7" xfId="14987" xr:uid="{00000000-0005-0000-0000-00006F5F0000}"/>
    <cellStyle name="Notas 2 2 3 7 2" xfId="19947" xr:uid="{00000000-0005-0000-0000-0000705F0000}"/>
    <cellStyle name="Notas 2 2 3 8" xfId="14988" xr:uid="{00000000-0005-0000-0000-0000715F0000}"/>
    <cellStyle name="Notas 2 2 3 8 2" xfId="19948" xr:uid="{00000000-0005-0000-0000-0000725F0000}"/>
    <cellStyle name="Notas 2 2 3 9" xfId="14989" xr:uid="{00000000-0005-0000-0000-0000735F0000}"/>
    <cellStyle name="Notas 2 2 3 9 2" xfId="19949" xr:uid="{00000000-0005-0000-0000-0000745F0000}"/>
    <cellStyle name="Notas 2 2 4" xfId="14990" xr:uid="{00000000-0005-0000-0000-0000755F0000}"/>
    <cellStyle name="Notas 2 2 4 10" xfId="14991" xr:uid="{00000000-0005-0000-0000-0000765F0000}"/>
    <cellStyle name="Notas 2 2 4 10 2" xfId="19951" xr:uid="{00000000-0005-0000-0000-0000775F0000}"/>
    <cellStyle name="Notas 2 2 4 11" xfId="14992" xr:uid="{00000000-0005-0000-0000-0000785F0000}"/>
    <cellStyle name="Notas 2 2 4 11 2" xfId="19952" xr:uid="{00000000-0005-0000-0000-0000795F0000}"/>
    <cellStyle name="Notas 2 2 4 12" xfId="19950" xr:uid="{00000000-0005-0000-0000-00007A5F0000}"/>
    <cellStyle name="Notas 2 2 4 13" xfId="24310" xr:uid="{00000000-0005-0000-0000-00007B5F0000}"/>
    <cellStyle name="Notas 2 2 4 2" xfId="14993" xr:uid="{00000000-0005-0000-0000-00007C5F0000}"/>
    <cellStyle name="Notas 2 2 4 2 2" xfId="19953" xr:uid="{00000000-0005-0000-0000-00007D5F0000}"/>
    <cellStyle name="Notas 2 2 4 3" xfId="14994" xr:uid="{00000000-0005-0000-0000-00007E5F0000}"/>
    <cellStyle name="Notas 2 2 4 3 2" xfId="19954" xr:uid="{00000000-0005-0000-0000-00007F5F0000}"/>
    <cellStyle name="Notas 2 2 4 4" xfId="14995" xr:uid="{00000000-0005-0000-0000-0000805F0000}"/>
    <cellStyle name="Notas 2 2 4 4 2" xfId="19955" xr:uid="{00000000-0005-0000-0000-0000815F0000}"/>
    <cellStyle name="Notas 2 2 4 5" xfId="14996" xr:uid="{00000000-0005-0000-0000-0000825F0000}"/>
    <cellStyle name="Notas 2 2 4 5 2" xfId="19956" xr:uid="{00000000-0005-0000-0000-0000835F0000}"/>
    <cellStyle name="Notas 2 2 4 6" xfId="14997" xr:uid="{00000000-0005-0000-0000-0000845F0000}"/>
    <cellStyle name="Notas 2 2 4 6 2" xfId="19957" xr:uid="{00000000-0005-0000-0000-0000855F0000}"/>
    <cellStyle name="Notas 2 2 4 7" xfId="14998" xr:uid="{00000000-0005-0000-0000-0000865F0000}"/>
    <cellStyle name="Notas 2 2 4 7 2" xfId="19958" xr:uid="{00000000-0005-0000-0000-0000875F0000}"/>
    <cellStyle name="Notas 2 2 4 8" xfId="14999" xr:uid="{00000000-0005-0000-0000-0000885F0000}"/>
    <cellStyle name="Notas 2 2 4 8 2" xfId="19959" xr:uid="{00000000-0005-0000-0000-0000895F0000}"/>
    <cellStyle name="Notas 2 2 4 9" xfId="15000" xr:uid="{00000000-0005-0000-0000-00008A5F0000}"/>
    <cellStyle name="Notas 2 2 4 9 2" xfId="19960" xr:uid="{00000000-0005-0000-0000-00008B5F0000}"/>
    <cellStyle name="Notas 2 2 5" xfId="15001" xr:uid="{00000000-0005-0000-0000-00008C5F0000}"/>
    <cellStyle name="Notas 2 2 5 10" xfId="15002" xr:uid="{00000000-0005-0000-0000-00008D5F0000}"/>
    <cellStyle name="Notas 2 2 5 10 2" xfId="19962" xr:uid="{00000000-0005-0000-0000-00008E5F0000}"/>
    <cellStyle name="Notas 2 2 5 11" xfId="15003" xr:uid="{00000000-0005-0000-0000-00008F5F0000}"/>
    <cellStyle name="Notas 2 2 5 11 2" xfId="19963" xr:uid="{00000000-0005-0000-0000-0000905F0000}"/>
    <cellStyle name="Notas 2 2 5 12" xfId="19961" xr:uid="{00000000-0005-0000-0000-0000915F0000}"/>
    <cellStyle name="Notas 2 2 5 2" xfId="15004" xr:uid="{00000000-0005-0000-0000-0000925F0000}"/>
    <cellStyle name="Notas 2 2 5 2 2" xfId="19964" xr:uid="{00000000-0005-0000-0000-0000935F0000}"/>
    <cellStyle name="Notas 2 2 5 3" xfId="15005" xr:uid="{00000000-0005-0000-0000-0000945F0000}"/>
    <cellStyle name="Notas 2 2 5 3 2" xfId="19965" xr:uid="{00000000-0005-0000-0000-0000955F0000}"/>
    <cellStyle name="Notas 2 2 5 4" xfId="15006" xr:uid="{00000000-0005-0000-0000-0000965F0000}"/>
    <cellStyle name="Notas 2 2 5 4 2" xfId="19966" xr:uid="{00000000-0005-0000-0000-0000975F0000}"/>
    <cellStyle name="Notas 2 2 5 5" xfId="15007" xr:uid="{00000000-0005-0000-0000-0000985F0000}"/>
    <cellStyle name="Notas 2 2 5 5 2" xfId="19967" xr:uid="{00000000-0005-0000-0000-0000995F0000}"/>
    <cellStyle name="Notas 2 2 5 6" xfId="15008" xr:uid="{00000000-0005-0000-0000-00009A5F0000}"/>
    <cellStyle name="Notas 2 2 5 6 2" xfId="19968" xr:uid="{00000000-0005-0000-0000-00009B5F0000}"/>
    <cellStyle name="Notas 2 2 5 7" xfId="15009" xr:uid="{00000000-0005-0000-0000-00009C5F0000}"/>
    <cellStyle name="Notas 2 2 5 7 2" xfId="19969" xr:uid="{00000000-0005-0000-0000-00009D5F0000}"/>
    <cellStyle name="Notas 2 2 5 8" xfId="15010" xr:uid="{00000000-0005-0000-0000-00009E5F0000}"/>
    <cellStyle name="Notas 2 2 5 8 2" xfId="19970" xr:uid="{00000000-0005-0000-0000-00009F5F0000}"/>
    <cellStyle name="Notas 2 2 5 9" xfId="15011" xr:uid="{00000000-0005-0000-0000-0000A05F0000}"/>
    <cellStyle name="Notas 2 2 5 9 2" xfId="19971" xr:uid="{00000000-0005-0000-0000-0000A15F0000}"/>
    <cellStyle name="Notas 2 2 6" xfId="15012" xr:uid="{00000000-0005-0000-0000-0000A25F0000}"/>
    <cellStyle name="Notas 2 2 6 10" xfId="15013" xr:uid="{00000000-0005-0000-0000-0000A35F0000}"/>
    <cellStyle name="Notas 2 2 6 10 2" xfId="19973" xr:uid="{00000000-0005-0000-0000-0000A45F0000}"/>
    <cellStyle name="Notas 2 2 6 11" xfId="15014" xr:uid="{00000000-0005-0000-0000-0000A55F0000}"/>
    <cellStyle name="Notas 2 2 6 11 2" xfId="19974" xr:uid="{00000000-0005-0000-0000-0000A65F0000}"/>
    <cellStyle name="Notas 2 2 6 12" xfId="19972" xr:uid="{00000000-0005-0000-0000-0000A75F0000}"/>
    <cellStyle name="Notas 2 2 6 2" xfId="15015" xr:uid="{00000000-0005-0000-0000-0000A85F0000}"/>
    <cellStyle name="Notas 2 2 6 2 2" xfId="19975" xr:uid="{00000000-0005-0000-0000-0000A95F0000}"/>
    <cellStyle name="Notas 2 2 6 3" xfId="15016" xr:uid="{00000000-0005-0000-0000-0000AA5F0000}"/>
    <cellStyle name="Notas 2 2 6 3 2" xfId="19976" xr:uid="{00000000-0005-0000-0000-0000AB5F0000}"/>
    <cellStyle name="Notas 2 2 6 4" xfId="15017" xr:uid="{00000000-0005-0000-0000-0000AC5F0000}"/>
    <cellStyle name="Notas 2 2 6 4 2" xfId="19977" xr:uid="{00000000-0005-0000-0000-0000AD5F0000}"/>
    <cellStyle name="Notas 2 2 6 5" xfId="15018" xr:uid="{00000000-0005-0000-0000-0000AE5F0000}"/>
    <cellStyle name="Notas 2 2 6 5 2" xfId="19978" xr:uid="{00000000-0005-0000-0000-0000AF5F0000}"/>
    <cellStyle name="Notas 2 2 6 6" xfId="15019" xr:uid="{00000000-0005-0000-0000-0000B05F0000}"/>
    <cellStyle name="Notas 2 2 6 6 2" xfId="19979" xr:uid="{00000000-0005-0000-0000-0000B15F0000}"/>
    <cellStyle name="Notas 2 2 6 7" xfId="15020" xr:uid="{00000000-0005-0000-0000-0000B25F0000}"/>
    <cellStyle name="Notas 2 2 6 7 2" xfId="19980" xr:uid="{00000000-0005-0000-0000-0000B35F0000}"/>
    <cellStyle name="Notas 2 2 6 8" xfId="15021" xr:uid="{00000000-0005-0000-0000-0000B45F0000}"/>
    <cellStyle name="Notas 2 2 6 8 2" xfId="19981" xr:uid="{00000000-0005-0000-0000-0000B55F0000}"/>
    <cellStyle name="Notas 2 2 6 9" xfId="15022" xr:uid="{00000000-0005-0000-0000-0000B65F0000}"/>
    <cellStyle name="Notas 2 2 6 9 2" xfId="19982" xr:uid="{00000000-0005-0000-0000-0000B75F0000}"/>
    <cellStyle name="Notas 2 2 7" xfId="15023" xr:uid="{00000000-0005-0000-0000-0000B85F0000}"/>
    <cellStyle name="Notas 2 2 7 10" xfId="15024" xr:uid="{00000000-0005-0000-0000-0000B95F0000}"/>
    <cellStyle name="Notas 2 2 7 10 2" xfId="19984" xr:uid="{00000000-0005-0000-0000-0000BA5F0000}"/>
    <cellStyle name="Notas 2 2 7 11" xfId="15025" xr:uid="{00000000-0005-0000-0000-0000BB5F0000}"/>
    <cellStyle name="Notas 2 2 7 11 2" xfId="19985" xr:uid="{00000000-0005-0000-0000-0000BC5F0000}"/>
    <cellStyle name="Notas 2 2 7 12" xfId="19983" xr:uid="{00000000-0005-0000-0000-0000BD5F0000}"/>
    <cellStyle name="Notas 2 2 7 2" xfId="15026" xr:uid="{00000000-0005-0000-0000-0000BE5F0000}"/>
    <cellStyle name="Notas 2 2 7 2 2" xfId="19986" xr:uid="{00000000-0005-0000-0000-0000BF5F0000}"/>
    <cellStyle name="Notas 2 2 7 3" xfId="15027" xr:uid="{00000000-0005-0000-0000-0000C05F0000}"/>
    <cellStyle name="Notas 2 2 7 3 2" xfId="19987" xr:uid="{00000000-0005-0000-0000-0000C15F0000}"/>
    <cellStyle name="Notas 2 2 7 4" xfId="15028" xr:uid="{00000000-0005-0000-0000-0000C25F0000}"/>
    <cellStyle name="Notas 2 2 7 4 2" xfId="19988" xr:uid="{00000000-0005-0000-0000-0000C35F0000}"/>
    <cellStyle name="Notas 2 2 7 5" xfId="15029" xr:uid="{00000000-0005-0000-0000-0000C45F0000}"/>
    <cellStyle name="Notas 2 2 7 5 2" xfId="19989" xr:uid="{00000000-0005-0000-0000-0000C55F0000}"/>
    <cellStyle name="Notas 2 2 7 6" xfId="15030" xr:uid="{00000000-0005-0000-0000-0000C65F0000}"/>
    <cellStyle name="Notas 2 2 7 6 2" xfId="19990" xr:uid="{00000000-0005-0000-0000-0000C75F0000}"/>
    <cellStyle name="Notas 2 2 7 7" xfId="15031" xr:uid="{00000000-0005-0000-0000-0000C85F0000}"/>
    <cellStyle name="Notas 2 2 7 7 2" xfId="19991" xr:uid="{00000000-0005-0000-0000-0000C95F0000}"/>
    <cellStyle name="Notas 2 2 7 8" xfId="15032" xr:uid="{00000000-0005-0000-0000-0000CA5F0000}"/>
    <cellStyle name="Notas 2 2 7 8 2" xfId="19992" xr:uid="{00000000-0005-0000-0000-0000CB5F0000}"/>
    <cellStyle name="Notas 2 2 7 9" xfId="15033" xr:uid="{00000000-0005-0000-0000-0000CC5F0000}"/>
    <cellStyle name="Notas 2 2 7 9 2" xfId="19993" xr:uid="{00000000-0005-0000-0000-0000CD5F0000}"/>
    <cellStyle name="Notas 2 2 8" xfId="15034" xr:uid="{00000000-0005-0000-0000-0000CE5F0000}"/>
    <cellStyle name="Notas 2 2 8 2" xfId="19994" xr:uid="{00000000-0005-0000-0000-0000CF5F0000}"/>
    <cellStyle name="Notas 2 2 9" xfId="15035" xr:uid="{00000000-0005-0000-0000-0000D05F0000}"/>
    <cellStyle name="Notas 2 2 9 2" xfId="19995" xr:uid="{00000000-0005-0000-0000-0000D15F0000}"/>
    <cellStyle name="Notas 2 3" xfId="2487" xr:uid="{00000000-0005-0000-0000-0000D25F0000}"/>
    <cellStyle name="Notas 2 3 10" xfId="15037" xr:uid="{00000000-0005-0000-0000-0000D35F0000}"/>
    <cellStyle name="Notas 2 3 10 2" xfId="19997" xr:uid="{00000000-0005-0000-0000-0000D45F0000}"/>
    <cellStyle name="Notas 2 3 11" xfId="15038" xr:uid="{00000000-0005-0000-0000-0000D55F0000}"/>
    <cellStyle name="Notas 2 3 11 2" xfId="19998" xr:uid="{00000000-0005-0000-0000-0000D65F0000}"/>
    <cellStyle name="Notas 2 3 12" xfId="15039" xr:uid="{00000000-0005-0000-0000-0000D75F0000}"/>
    <cellStyle name="Notas 2 3 12 2" xfId="19999" xr:uid="{00000000-0005-0000-0000-0000D85F0000}"/>
    <cellStyle name="Notas 2 3 13" xfId="15040" xr:uid="{00000000-0005-0000-0000-0000D95F0000}"/>
    <cellStyle name="Notas 2 3 13 2" xfId="20000" xr:uid="{00000000-0005-0000-0000-0000DA5F0000}"/>
    <cellStyle name="Notas 2 3 14" xfId="15041" xr:uid="{00000000-0005-0000-0000-0000DB5F0000}"/>
    <cellStyle name="Notas 2 3 14 2" xfId="15042" xr:uid="{00000000-0005-0000-0000-0000DC5F0000}"/>
    <cellStyle name="Notas 2 3 14 2 2" xfId="20002" xr:uid="{00000000-0005-0000-0000-0000DD5F0000}"/>
    <cellStyle name="Notas 2 3 14 3" xfId="15043" xr:uid="{00000000-0005-0000-0000-0000DE5F0000}"/>
    <cellStyle name="Notas 2 3 14 3 2" xfId="20003" xr:uid="{00000000-0005-0000-0000-0000DF5F0000}"/>
    <cellStyle name="Notas 2 3 14 4" xfId="15044" xr:uid="{00000000-0005-0000-0000-0000E05F0000}"/>
    <cellStyle name="Notas 2 3 14 4 2" xfId="20004" xr:uid="{00000000-0005-0000-0000-0000E15F0000}"/>
    <cellStyle name="Notas 2 3 14 5" xfId="15045" xr:uid="{00000000-0005-0000-0000-0000E25F0000}"/>
    <cellStyle name="Notas 2 3 14 5 2" xfId="20005" xr:uid="{00000000-0005-0000-0000-0000E35F0000}"/>
    <cellStyle name="Notas 2 3 14 6" xfId="20001" xr:uid="{00000000-0005-0000-0000-0000E45F0000}"/>
    <cellStyle name="Notas 2 3 15" xfId="15046" xr:uid="{00000000-0005-0000-0000-0000E55F0000}"/>
    <cellStyle name="Notas 2 3 15 2" xfId="20006" xr:uid="{00000000-0005-0000-0000-0000E65F0000}"/>
    <cellStyle name="Notas 2 3 16" xfId="15047" xr:uid="{00000000-0005-0000-0000-0000E75F0000}"/>
    <cellStyle name="Notas 2 3 16 2" xfId="20007" xr:uid="{00000000-0005-0000-0000-0000E85F0000}"/>
    <cellStyle name="Notas 2 3 17" xfId="15036" xr:uid="{00000000-0005-0000-0000-0000E95F0000}"/>
    <cellStyle name="Notas 2 3 18" xfId="19996" xr:uid="{00000000-0005-0000-0000-0000EA5F0000}"/>
    <cellStyle name="Notas 2 3 19" xfId="23128" xr:uid="{00000000-0005-0000-0000-0000EB5F0000}"/>
    <cellStyle name="Notas 2 3 2" xfId="15048" xr:uid="{00000000-0005-0000-0000-0000EC5F0000}"/>
    <cellStyle name="Notas 2 3 2 2" xfId="20008" xr:uid="{00000000-0005-0000-0000-0000ED5F0000}"/>
    <cellStyle name="Notas 2 3 2 3" xfId="23129" xr:uid="{00000000-0005-0000-0000-0000EE5F0000}"/>
    <cellStyle name="Notas 2 3 2 4" xfId="24311" xr:uid="{00000000-0005-0000-0000-0000EF5F0000}"/>
    <cellStyle name="Notas 2 3 3" xfId="15049" xr:uid="{00000000-0005-0000-0000-0000F05F0000}"/>
    <cellStyle name="Notas 2 3 3 2" xfId="20009" xr:uid="{00000000-0005-0000-0000-0000F15F0000}"/>
    <cellStyle name="Notas 2 3 3 3" xfId="23130" xr:uid="{00000000-0005-0000-0000-0000F25F0000}"/>
    <cellStyle name="Notas 2 3 3 4" xfId="24312" xr:uid="{00000000-0005-0000-0000-0000F35F0000}"/>
    <cellStyle name="Notas 2 3 4" xfId="15050" xr:uid="{00000000-0005-0000-0000-0000F45F0000}"/>
    <cellStyle name="Notas 2 3 4 2" xfId="20010" xr:uid="{00000000-0005-0000-0000-0000F55F0000}"/>
    <cellStyle name="Notas 2 3 4 3" xfId="24313" xr:uid="{00000000-0005-0000-0000-0000F65F0000}"/>
    <cellStyle name="Notas 2 3 5" xfId="15051" xr:uid="{00000000-0005-0000-0000-0000F75F0000}"/>
    <cellStyle name="Notas 2 3 5 2" xfId="20011" xr:uid="{00000000-0005-0000-0000-0000F85F0000}"/>
    <cellStyle name="Notas 2 3 5 3" xfId="24314" xr:uid="{00000000-0005-0000-0000-0000F95F0000}"/>
    <cellStyle name="Notas 2 3 6" xfId="15052" xr:uid="{00000000-0005-0000-0000-0000FA5F0000}"/>
    <cellStyle name="Notas 2 3 6 2" xfId="20012" xr:uid="{00000000-0005-0000-0000-0000FB5F0000}"/>
    <cellStyle name="Notas 2 3 7" xfId="15053" xr:uid="{00000000-0005-0000-0000-0000FC5F0000}"/>
    <cellStyle name="Notas 2 3 7 2" xfId="20013" xr:uid="{00000000-0005-0000-0000-0000FD5F0000}"/>
    <cellStyle name="Notas 2 3 8" xfId="15054" xr:uid="{00000000-0005-0000-0000-0000FE5F0000}"/>
    <cellStyle name="Notas 2 3 8 2" xfId="20014" xr:uid="{00000000-0005-0000-0000-0000FF5F0000}"/>
    <cellStyle name="Notas 2 3 9" xfId="15055" xr:uid="{00000000-0005-0000-0000-000000600000}"/>
    <cellStyle name="Notas 2 3 9 2" xfId="20015" xr:uid="{00000000-0005-0000-0000-000001600000}"/>
    <cellStyle name="Notas 2 4" xfId="2488" xr:uid="{00000000-0005-0000-0000-000002600000}"/>
    <cellStyle name="Notas 2 4 10" xfId="15057" xr:uid="{00000000-0005-0000-0000-000003600000}"/>
    <cellStyle name="Notas 2 4 10 2" xfId="20017" xr:uid="{00000000-0005-0000-0000-000004600000}"/>
    <cellStyle name="Notas 2 4 11" xfId="15058" xr:uid="{00000000-0005-0000-0000-000005600000}"/>
    <cellStyle name="Notas 2 4 11 2" xfId="20018" xr:uid="{00000000-0005-0000-0000-000006600000}"/>
    <cellStyle name="Notas 2 4 12" xfId="15059" xr:uid="{00000000-0005-0000-0000-000007600000}"/>
    <cellStyle name="Notas 2 4 12 2" xfId="20019" xr:uid="{00000000-0005-0000-0000-000008600000}"/>
    <cellStyle name="Notas 2 4 13" xfId="15060" xr:uid="{00000000-0005-0000-0000-000009600000}"/>
    <cellStyle name="Notas 2 4 13 2" xfId="20020" xr:uid="{00000000-0005-0000-0000-00000A600000}"/>
    <cellStyle name="Notas 2 4 14" xfId="15061" xr:uid="{00000000-0005-0000-0000-00000B600000}"/>
    <cellStyle name="Notas 2 4 14 2" xfId="20021" xr:uid="{00000000-0005-0000-0000-00000C600000}"/>
    <cellStyle name="Notas 2 4 15" xfId="15062" xr:uid="{00000000-0005-0000-0000-00000D600000}"/>
    <cellStyle name="Notas 2 4 15 2" xfId="20022" xr:uid="{00000000-0005-0000-0000-00000E600000}"/>
    <cellStyle name="Notas 2 4 16" xfId="15056" xr:uid="{00000000-0005-0000-0000-00000F600000}"/>
    <cellStyle name="Notas 2 4 17" xfId="20016" xr:uid="{00000000-0005-0000-0000-000010600000}"/>
    <cellStyle name="Notas 2 4 2" xfId="2733" xr:uid="{00000000-0005-0000-0000-000011600000}"/>
    <cellStyle name="Notas 2 4 2 2" xfId="4408" xr:uid="{00000000-0005-0000-0000-000012600000}"/>
    <cellStyle name="Notas 2 4 2 2 2" xfId="20024" xr:uid="{00000000-0005-0000-0000-000013600000}"/>
    <cellStyle name="Notas 2 4 2 2 3" xfId="15064" xr:uid="{00000000-0005-0000-0000-000014600000}"/>
    <cellStyle name="Notas 2 4 2 2 4" xfId="24316" xr:uid="{00000000-0005-0000-0000-000015600000}"/>
    <cellStyle name="Notas 2 4 2 3" xfId="3566" xr:uid="{00000000-0005-0000-0000-000016600000}"/>
    <cellStyle name="Notas 2 4 2 3 2" xfId="20023" xr:uid="{00000000-0005-0000-0000-000017600000}"/>
    <cellStyle name="Notas 2 4 2 4" xfId="15063" xr:uid="{00000000-0005-0000-0000-000018600000}"/>
    <cellStyle name="Notas 2 4 2 5" xfId="24315" xr:uid="{00000000-0005-0000-0000-000019600000}"/>
    <cellStyle name="Notas 2 4 3" xfId="15065" xr:uid="{00000000-0005-0000-0000-00001A600000}"/>
    <cellStyle name="Notas 2 4 3 2" xfId="20025" xr:uid="{00000000-0005-0000-0000-00001B600000}"/>
    <cellStyle name="Notas 2 4 3 3" xfId="24317" xr:uid="{00000000-0005-0000-0000-00001C600000}"/>
    <cellStyle name="Notas 2 4 4" xfId="15066" xr:uid="{00000000-0005-0000-0000-00001D600000}"/>
    <cellStyle name="Notas 2 4 4 2" xfId="20026" xr:uid="{00000000-0005-0000-0000-00001E600000}"/>
    <cellStyle name="Notas 2 4 4 3" xfId="24318" xr:uid="{00000000-0005-0000-0000-00001F600000}"/>
    <cellStyle name="Notas 2 4 5" xfId="15067" xr:uid="{00000000-0005-0000-0000-000020600000}"/>
    <cellStyle name="Notas 2 4 5 2" xfId="20027" xr:uid="{00000000-0005-0000-0000-000021600000}"/>
    <cellStyle name="Notas 2 4 6" xfId="15068" xr:uid="{00000000-0005-0000-0000-000022600000}"/>
    <cellStyle name="Notas 2 4 6 2" xfId="20028" xr:uid="{00000000-0005-0000-0000-000023600000}"/>
    <cellStyle name="Notas 2 4 7" xfId="15069" xr:uid="{00000000-0005-0000-0000-000024600000}"/>
    <cellStyle name="Notas 2 4 7 2" xfId="20029" xr:uid="{00000000-0005-0000-0000-000025600000}"/>
    <cellStyle name="Notas 2 4 8" xfId="15070" xr:uid="{00000000-0005-0000-0000-000026600000}"/>
    <cellStyle name="Notas 2 4 8 2" xfId="20030" xr:uid="{00000000-0005-0000-0000-000027600000}"/>
    <cellStyle name="Notas 2 4 9" xfId="15071" xr:uid="{00000000-0005-0000-0000-000028600000}"/>
    <cellStyle name="Notas 2 4 9 2" xfId="20031" xr:uid="{00000000-0005-0000-0000-000029600000}"/>
    <cellStyle name="Notas 2 5" xfId="2489" xr:uid="{00000000-0005-0000-0000-00002A600000}"/>
    <cellStyle name="Notas 2 5 10" xfId="15073" xr:uid="{00000000-0005-0000-0000-00002B600000}"/>
    <cellStyle name="Notas 2 5 10 2" xfId="20033" xr:uid="{00000000-0005-0000-0000-00002C600000}"/>
    <cellStyle name="Notas 2 5 11" xfId="15074" xr:uid="{00000000-0005-0000-0000-00002D600000}"/>
    <cellStyle name="Notas 2 5 11 2" xfId="20034" xr:uid="{00000000-0005-0000-0000-00002E600000}"/>
    <cellStyle name="Notas 2 5 12" xfId="15075" xr:uid="{00000000-0005-0000-0000-00002F600000}"/>
    <cellStyle name="Notas 2 5 12 2" xfId="20035" xr:uid="{00000000-0005-0000-0000-000030600000}"/>
    <cellStyle name="Notas 2 5 13" xfId="15076" xr:uid="{00000000-0005-0000-0000-000031600000}"/>
    <cellStyle name="Notas 2 5 13 2" xfId="20036" xr:uid="{00000000-0005-0000-0000-000032600000}"/>
    <cellStyle name="Notas 2 5 14" xfId="15077" xr:uid="{00000000-0005-0000-0000-000033600000}"/>
    <cellStyle name="Notas 2 5 14 2" xfId="20037" xr:uid="{00000000-0005-0000-0000-000034600000}"/>
    <cellStyle name="Notas 2 5 15" xfId="15078" xr:uid="{00000000-0005-0000-0000-000035600000}"/>
    <cellStyle name="Notas 2 5 15 2" xfId="20038" xr:uid="{00000000-0005-0000-0000-000036600000}"/>
    <cellStyle name="Notas 2 5 16" xfId="15072" xr:uid="{00000000-0005-0000-0000-000037600000}"/>
    <cellStyle name="Notas 2 5 17" xfId="20032" xr:uid="{00000000-0005-0000-0000-000038600000}"/>
    <cellStyle name="Notas 2 5 2" xfId="4346" xr:uid="{00000000-0005-0000-0000-000039600000}"/>
    <cellStyle name="Notas 2 5 2 2" xfId="20039" xr:uid="{00000000-0005-0000-0000-00003A600000}"/>
    <cellStyle name="Notas 2 5 2 3" xfId="15079" xr:uid="{00000000-0005-0000-0000-00003B600000}"/>
    <cellStyle name="Notas 2 5 2 4" xfId="24319" xr:uid="{00000000-0005-0000-0000-00003C600000}"/>
    <cellStyle name="Notas 2 5 3" xfId="3567" xr:uid="{00000000-0005-0000-0000-00003D600000}"/>
    <cellStyle name="Notas 2 5 3 2" xfId="20040" xr:uid="{00000000-0005-0000-0000-00003E600000}"/>
    <cellStyle name="Notas 2 5 3 3" xfId="15080" xr:uid="{00000000-0005-0000-0000-00003F600000}"/>
    <cellStyle name="Notas 2 5 3 4" xfId="24320" xr:uid="{00000000-0005-0000-0000-000040600000}"/>
    <cellStyle name="Notas 2 5 4" xfId="15081" xr:uid="{00000000-0005-0000-0000-000041600000}"/>
    <cellStyle name="Notas 2 5 4 2" xfId="20041" xr:uid="{00000000-0005-0000-0000-000042600000}"/>
    <cellStyle name="Notas 2 5 4 3" xfId="24321" xr:uid="{00000000-0005-0000-0000-000043600000}"/>
    <cellStyle name="Notas 2 5 5" xfId="15082" xr:uid="{00000000-0005-0000-0000-000044600000}"/>
    <cellStyle name="Notas 2 5 5 2" xfId="20042" xr:uid="{00000000-0005-0000-0000-000045600000}"/>
    <cellStyle name="Notas 2 5 6" xfId="15083" xr:uid="{00000000-0005-0000-0000-000046600000}"/>
    <cellStyle name="Notas 2 5 6 2" xfId="20043" xr:uid="{00000000-0005-0000-0000-000047600000}"/>
    <cellStyle name="Notas 2 5 7" xfId="15084" xr:uid="{00000000-0005-0000-0000-000048600000}"/>
    <cellStyle name="Notas 2 5 7 2" xfId="20044" xr:uid="{00000000-0005-0000-0000-000049600000}"/>
    <cellStyle name="Notas 2 5 8" xfId="15085" xr:uid="{00000000-0005-0000-0000-00004A600000}"/>
    <cellStyle name="Notas 2 5 8 2" xfId="20045" xr:uid="{00000000-0005-0000-0000-00004B600000}"/>
    <cellStyle name="Notas 2 5 9" xfId="15086" xr:uid="{00000000-0005-0000-0000-00004C600000}"/>
    <cellStyle name="Notas 2 5 9 2" xfId="20046" xr:uid="{00000000-0005-0000-0000-00004D600000}"/>
    <cellStyle name="Notas 2 6" xfId="2728" xr:uid="{00000000-0005-0000-0000-00004E600000}"/>
    <cellStyle name="Notas 2 6 10" xfId="15088" xr:uid="{00000000-0005-0000-0000-00004F600000}"/>
    <cellStyle name="Notas 2 6 10 2" xfId="20048" xr:uid="{00000000-0005-0000-0000-000050600000}"/>
    <cellStyle name="Notas 2 6 11" xfId="15089" xr:uid="{00000000-0005-0000-0000-000051600000}"/>
    <cellStyle name="Notas 2 6 11 2" xfId="20049" xr:uid="{00000000-0005-0000-0000-000052600000}"/>
    <cellStyle name="Notas 2 6 12" xfId="15090" xr:uid="{00000000-0005-0000-0000-000053600000}"/>
    <cellStyle name="Notas 2 6 12 2" xfId="20050" xr:uid="{00000000-0005-0000-0000-000054600000}"/>
    <cellStyle name="Notas 2 6 13" xfId="15087" xr:uid="{00000000-0005-0000-0000-000055600000}"/>
    <cellStyle name="Notas 2 6 14" xfId="20047" xr:uid="{00000000-0005-0000-0000-000056600000}"/>
    <cellStyle name="Notas 2 6 15" xfId="7250" xr:uid="{00000000-0005-0000-0000-000057600000}"/>
    <cellStyle name="Notas 2 6 16" xfId="24322" xr:uid="{00000000-0005-0000-0000-000058600000}"/>
    <cellStyle name="Notas 2 6 2" xfId="4406" xr:uid="{00000000-0005-0000-0000-000059600000}"/>
    <cellStyle name="Notas 2 6 2 2" xfId="6276" xr:uid="{00000000-0005-0000-0000-00005A600000}"/>
    <cellStyle name="Notas 2 6 2 2 2" xfId="20051" xr:uid="{00000000-0005-0000-0000-00005B600000}"/>
    <cellStyle name="Notas 2 6 2 3" xfId="15091" xr:uid="{00000000-0005-0000-0000-00005C600000}"/>
    <cellStyle name="Notas 2 6 3" xfId="5374" xr:uid="{00000000-0005-0000-0000-00005D600000}"/>
    <cellStyle name="Notas 2 6 3 2" xfId="20052" xr:uid="{00000000-0005-0000-0000-00005E600000}"/>
    <cellStyle name="Notas 2 6 3 3" xfId="15092" xr:uid="{00000000-0005-0000-0000-00005F600000}"/>
    <cellStyle name="Notas 2 6 4" xfId="15093" xr:uid="{00000000-0005-0000-0000-000060600000}"/>
    <cellStyle name="Notas 2 6 4 2" xfId="20053" xr:uid="{00000000-0005-0000-0000-000061600000}"/>
    <cellStyle name="Notas 2 6 5" xfId="15094" xr:uid="{00000000-0005-0000-0000-000062600000}"/>
    <cellStyle name="Notas 2 6 5 2" xfId="20054" xr:uid="{00000000-0005-0000-0000-000063600000}"/>
    <cellStyle name="Notas 2 6 6" xfId="15095" xr:uid="{00000000-0005-0000-0000-000064600000}"/>
    <cellStyle name="Notas 2 6 6 2" xfId="20055" xr:uid="{00000000-0005-0000-0000-000065600000}"/>
    <cellStyle name="Notas 2 6 7" xfId="15096" xr:uid="{00000000-0005-0000-0000-000066600000}"/>
    <cellStyle name="Notas 2 6 7 2" xfId="20056" xr:uid="{00000000-0005-0000-0000-000067600000}"/>
    <cellStyle name="Notas 2 6 8" xfId="15097" xr:uid="{00000000-0005-0000-0000-000068600000}"/>
    <cellStyle name="Notas 2 6 8 2" xfId="20057" xr:uid="{00000000-0005-0000-0000-000069600000}"/>
    <cellStyle name="Notas 2 6 9" xfId="15098" xr:uid="{00000000-0005-0000-0000-00006A600000}"/>
    <cellStyle name="Notas 2 6 9 2" xfId="20058" xr:uid="{00000000-0005-0000-0000-00006B600000}"/>
    <cellStyle name="Notas 2 7" xfId="15099" xr:uid="{00000000-0005-0000-0000-00006C600000}"/>
    <cellStyle name="Notas 2 7 10" xfId="15100" xr:uid="{00000000-0005-0000-0000-00006D600000}"/>
    <cellStyle name="Notas 2 7 10 2" xfId="20060" xr:uid="{00000000-0005-0000-0000-00006E600000}"/>
    <cellStyle name="Notas 2 7 11" xfId="15101" xr:uid="{00000000-0005-0000-0000-00006F600000}"/>
    <cellStyle name="Notas 2 7 11 2" xfId="20061" xr:uid="{00000000-0005-0000-0000-000070600000}"/>
    <cellStyle name="Notas 2 7 12" xfId="20059" xr:uid="{00000000-0005-0000-0000-000071600000}"/>
    <cellStyle name="Notas 2 7 13" xfId="24323" xr:uid="{00000000-0005-0000-0000-000072600000}"/>
    <cellStyle name="Notas 2 7 2" xfId="15102" xr:uid="{00000000-0005-0000-0000-000073600000}"/>
    <cellStyle name="Notas 2 7 2 2" xfId="20062" xr:uid="{00000000-0005-0000-0000-000074600000}"/>
    <cellStyle name="Notas 2 7 3" xfId="15103" xr:uid="{00000000-0005-0000-0000-000075600000}"/>
    <cellStyle name="Notas 2 7 3 2" xfId="20063" xr:uid="{00000000-0005-0000-0000-000076600000}"/>
    <cellStyle name="Notas 2 7 4" xfId="15104" xr:uid="{00000000-0005-0000-0000-000077600000}"/>
    <cellStyle name="Notas 2 7 4 2" xfId="20064" xr:uid="{00000000-0005-0000-0000-000078600000}"/>
    <cellStyle name="Notas 2 7 5" xfId="15105" xr:uid="{00000000-0005-0000-0000-000079600000}"/>
    <cellStyle name="Notas 2 7 5 2" xfId="20065" xr:uid="{00000000-0005-0000-0000-00007A600000}"/>
    <cellStyle name="Notas 2 7 6" xfId="15106" xr:uid="{00000000-0005-0000-0000-00007B600000}"/>
    <cellStyle name="Notas 2 7 6 2" xfId="20066" xr:uid="{00000000-0005-0000-0000-00007C600000}"/>
    <cellStyle name="Notas 2 7 7" xfId="15107" xr:uid="{00000000-0005-0000-0000-00007D600000}"/>
    <cellStyle name="Notas 2 7 7 2" xfId="20067" xr:uid="{00000000-0005-0000-0000-00007E600000}"/>
    <cellStyle name="Notas 2 7 8" xfId="15108" xr:uid="{00000000-0005-0000-0000-00007F600000}"/>
    <cellStyle name="Notas 2 7 8 2" xfId="20068" xr:uid="{00000000-0005-0000-0000-000080600000}"/>
    <cellStyle name="Notas 2 7 9" xfId="15109" xr:uid="{00000000-0005-0000-0000-000081600000}"/>
    <cellStyle name="Notas 2 7 9 2" xfId="20069" xr:uid="{00000000-0005-0000-0000-000082600000}"/>
    <cellStyle name="Notas 2 8" xfId="15110" xr:uid="{00000000-0005-0000-0000-000083600000}"/>
    <cellStyle name="Notas 2 8 10" xfId="15111" xr:uid="{00000000-0005-0000-0000-000084600000}"/>
    <cellStyle name="Notas 2 8 10 2" xfId="20071" xr:uid="{00000000-0005-0000-0000-000085600000}"/>
    <cellStyle name="Notas 2 8 11" xfId="15112" xr:uid="{00000000-0005-0000-0000-000086600000}"/>
    <cellStyle name="Notas 2 8 11 2" xfId="20072" xr:uid="{00000000-0005-0000-0000-000087600000}"/>
    <cellStyle name="Notas 2 8 12" xfId="20070" xr:uid="{00000000-0005-0000-0000-000088600000}"/>
    <cellStyle name="Notas 2 8 13" xfId="24324" xr:uid="{00000000-0005-0000-0000-000089600000}"/>
    <cellStyle name="Notas 2 8 2" xfId="15113" xr:uid="{00000000-0005-0000-0000-00008A600000}"/>
    <cellStyle name="Notas 2 8 2 2" xfId="20073" xr:uid="{00000000-0005-0000-0000-00008B600000}"/>
    <cellStyle name="Notas 2 8 3" xfId="15114" xr:uid="{00000000-0005-0000-0000-00008C600000}"/>
    <cellStyle name="Notas 2 8 3 2" xfId="20074" xr:uid="{00000000-0005-0000-0000-00008D600000}"/>
    <cellStyle name="Notas 2 8 4" xfId="15115" xr:uid="{00000000-0005-0000-0000-00008E600000}"/>
    <cellStyle name="Notas 2 8 4 2" xfId="20075" xr:uid="{00000000-0005-0000-0000-00008F600000}"/>
    <cellStyle name="Notas 2 8 5" xfId="15116" xr:uid="{00000000-0005-0000-0000-000090600000}"/>
    <cellStyle name="Notas 2 8 5 2" xfId="20076" xr:uid="{00000000-0005-0000-0000-000091600000}"/>
    <cellStyle name="Notas 2 8 6" xfId="15117" xr:uid="{00000000-0005-0000-0000-000092600000}"/>
    <cellStyle name="Notas 2 8 6 2" xfId="20077" xr:uid="{00000000-0005-0000-0000-000093600000}"/>
    <cellStyle name="Notas 2 8 7" xfId="15118" xr:uid="{00000000-0005-0000-0000-000094600000}"/>
    <cellStyle name="Notas 2 8 7 2" xfId="20078" xr:uid="{00000000-0005-0000-0000-000095600000}"/>
    <cellStyle name="Notas 2 8 8" xfId="15119" xr:uid="{00000000-0005-0000-0000-000096600000}"/>
    <cellStyle name="Notas 2 8 8 2" xfId="20079" xr:uid="{00000000-0005-0000-0000-000097600000}"/>
    <cellStyle name="Notas 2 8 9" xfId="15120" xr:uid="{00000000-0005-0000-0000-000098600000}"/>
    <cellStyle name="Notas 2 8 9 2" xfId="20080" xr:uid="{00000000-0005-0000-0000-000099600000}"/>
    <cellStyle name="Notas 2 9" xfId="15121" xr:uid="{00000000-0005-0000-0000-00009A600000}"/>
    <cellStyle name="Notas 2 9 10" xfId="28068" xr:uid="{00000000-0005-0000-0000-00009B600000}"/>
    <cellStyle name="Notas 2 9 11" xfId="28572" xr:uid="{00000000-0005-0000-0000-00009C600000}"/>
    <cellStyle name="Notas 2 9 12" xfId="29076" xr:uid="{00000000-0005-0000-0000-00009D600000}"/>
    <cellStyle name="Notas 2 9 13" xfId="29580" xr:uid="{00000000-0005-0000-0000-00009E600000}"/>
    <cellStyle name="Notas 2 9 14" xfId="30084" xr:uid="{00000000-0005-0000-0000-00009F600000}"/>
    <cellStyle name="Notas 2 9 15" xfId="30588" xr:uid="{00000000-0005-0000-0000-0000A0600000}"/>
    <cellStyle name="Notas 2 9 16" xfId="31093" xr:uid="{00000000-0005-0000-0000-0000A1600000}"/>
    <cellStyle name="Notas 2 9 2" xfId="20081" xr:uid="{00000000-0005-0000-0000-0000A2600000}"/>
    <cellStyle name="Notas 2 9 3" xfId="24538" xr:uid="{00000000-0005-0000-0000-0000A3600000}"/>
    <cellStyle name="Notas 2 9 4" xfId="25044" xr:uid="{00000000-0005-0000-0000-0000A4600000}"/>
    <cellStyle name="Notas 2 9 5" xfId="25548" xr:uid="{00000000-0005-0000-0000-0000A5600000}"/>
    <cellStyle name="Notas 2 9 6" xfId="26052" xr:uid="{00000000-0005-0000-0000-0000A6600000}"/>
    <cellStyle name="Notas 2 9 7" xfId="26556" xr:uid="{00000000-0005-0000-0000-0000A7600000}"/>
    <cellStyle name="Notas 2 9 8" xfId="27060" xr:uid="{00000000-0005-0000-0000-0000A8600000}"/>
    <cellStyle name="Notas 2 9 9" xfId="27564" xr:uid="{00000000-0005-0000-0000-0000A9600000}"/>
    <cellStyle name="Notas 20" xfId="24544" xr:uid="{00000000-0005-0000-0000-0000AA600000}"/>
    <cellStyle name="Notas 21" xfId="25048" xr:uid="{00000000-0005-0000-0000-0000AB600000}"/>
    <cellStyle name="Notas 22" xfId="25552" xr:uid="{00000000-0005-0000-0000-0000AC600000}"/>
    <cellStyle name="Notas 23" xfId="26056" xr:uid="{00000000-0005-0000-0000-0000AD600000}"/>
    <cellStyle name="Notas 24" xfId="26560" xr:uid="{00000000-0005-0000-0000-0000AE600000}"/>
    <cellStyle name="Notas 25" xfId="27064" xr:uid="{00000000-0005-0000-0000-0000AF600000}"/>
    <cellStyle name="Notas 26" xfId="27568" xr:uid="{00000000-0005-0000-0000-0000B0600000}"/>
    <cellStyle name="Notas 27" xfId="28072" xr:uid="{00000000-0005-0000-0000-0000B1600000}"/>
    <cellStyle name="Notas 28" xfId="28576" xr:uid="{00000000-0005-0000-0000-0000B2600000}"/>
    <cellStyle name="Notas 29" xfId="29080" xr:uid="{00000000-0005-0000-0000-0000B3600000}"/>
    <cellStyle name="Notas 3" xfId="427" xr:uid="{00000000-0005-0000-0000-0000B4600000}"/>
    <cellStyle name="Notas 3 10" xfId="15123" xr:uid="{00000000-0005-0000-0000-0000B5600000}"/>
    <cellStyle name="Notas 3 10 2" xfId="20083" xr:uid="{00000000-0005-0000-0000-0000B6600000}"/>
    <cellStyle name="Notas 3 11" xfId="15124" xr:uid="{00000000-0005-0000-0000-0000B7600000}"/>
    <cellStyle name="Notas 3 11 2" xfId="20084" xr:uid="{00000000-0005-0000-0000-0000B8600000}"/>
    <cellStyle name="Notas 3 12" xfId="15125" xr:uid="{00000000-0005-0000-0000-0000B9600000}"/>
    <cellStyle name="Notas 3 12 2" xfId="20085" xr:uid="{00000000-0005-0000-0000-0000BA600000}"/>
    <cellStyle name="Notas 3 13" xfId="15126" xr:uid="{00000000-0005-0000-0000-0000BB600000}"/>
    <cellStyle name="Notas 3 13 2" xfId="15127" xr:uid="{00000000-0005-0000-0000-0000BC600000}"/>
    <cellStyle name="Notas 3 13 2 2" xfId="20087" xr:uid="{00000000-0005-0000-0000-0000BD600000}"/>
    <cellStyle name="Notas 3 13 3" xfId="15128" xr:uid="{00000000-0005-0000-0000-0000BE600000}"/>
    <cellStyle name="Notas 3 13 3 2" xfId="20088" xr:uid="{00000000-0005-0000-0000-0000BF600000}"/>
    <cellStyle name="Notas 3 13 4" xfId="15129" xr:uid="{00000000-0005-0000-0000-0000C0600000}"/>
    <cellStyle name="Notas 3 13 4 2" xfId="20089" xr:uid="{00000000-0005-0000-0000-0000C1600000}"/>
    <cellStyle name="Notas 3 13 5" xfId="15130" xr:uid="{00000000-0005-0000-0000-0000C2600000}"/>
    <cellStyle name="Notas 3 13 5 2" xfId="20090" xr:uid="{00000000-0005-0000-0000-0000C3600000}"/>
    <cellStyle name="Notas 3 13 6" xfId="20086" xr:uid="{00000000-0005-0000-0000-0000C4600000}"/>
    <cellStyle name="Notas 3 14" xfId="15131" xr:uid="{00000000-0005-0000-0000-0000C5600000}"/>
    <cellStyle name="Notas 3 14 2" xfId="20091" xr:uid="{00000000-0005-0000-0000-0000C6600000}"/>
    <cellStyle name="Notas 3 15" xfId="15132" xr:uid="{00000000-0005-0000-0000-0000C7600000}"/>
    <cellStyle name="Notas 3 15 2" xfId="20092" xr:uid="{00000000-0005-0000-0000-0000C8600000}"/>
    <cellStyle name="Notas 3 16" xfId="15122" xr:uid="{00000000-0005-0000-0000-0000C9600000}"/>
    <cellStyle name="Notas 3 17" xfId="20082" xr:uid="{00000000-0005-0000-0000-0000CA600000}"/>
    <cellStyle name="Notas 3 2" xfId="730" xr:uid="{00000000-0005-0000-0000-0000CB600000}"/>
    <cellStyle name="Notas 3 2 10" xfId="15134" xr:uid="{00000000-0005-0000-0000-0000CC600000}"/>
    <cellStyle name="Notas 3 2 10 2" xfId="20094" xr:uid="{00000000-0005-0000-0000-0000CD600000}"/>
    <cellStyle name="Notas 3 2 11" xfId="15135" xr:uid="{00000000-0005-0000-0000-0000CE600000}"/>
    <cellStyle name="Notas 3 2 11 2" xfId="20095" xr:uid="{00000000-0005-0000-0000-0000CF600000}"/>
    <cellStyle name="Notas 3 2 12" xfId="15136" xr:uid="{00000000-0005-0000-0000-0000D0600000}"/>
    <cellStyle name="Notas 3 2 12 2" xfId="20096" xr:uid="{00000000-0005-0000-0000-0000D1600000}"/>
    <cellStyle name="Notas 3 2 13" xfId="15137" xr:uid="{00000000-0005-0000-0000-0000D2600000}"/>
    <cellStyle name="Notas 3 2 13 2" xfId="20097" xr:uid="{00000000-0005-0000-0000-0000D3600000}"/>
    <cellStyle name="Notas 3 2 14" xfId="15138" xr:uid="{00000000-0005-0000-0000-0000D4600000}"/>
    <cellStyle name="Notas 3 2 14 2" xfId="15139" xr:uid="{00000000-0005-0000-0000-0000D5600000}"/>
    <cellStyle name="Notas 3 2 14 2 2" xfId="20099" xr:uid="{00000000-0005-0000-0000-0000D6600000}"/>
    <cellStyle name="Notas 3 2 14 3" xfId="15140" xr:uid="{00000000-0005-0000-0000-0000D7600000}"/>
    <cellStyle name="Notas 3 2 14 3 2" xfId="20100" xr:uid="{00000000-0005-0000-0000-0000D8600000}"/>
    <cellStyle name="Notas 3 2 14 4" xfId="15141" xr:uid="{00000000-0005-0000-0000-0000D9600000}"/>
    <cellStyle name="Notas 3 2 14 4 2" xfId="20101" xr:uid="{00000000-0005-0000-0000-0000DA600000}"/>
    <cellStyle name="Notas 3 2 14 5" xfId="15142" xr:uid="{00000000-0005-0000-0000-0000DB600000}"/>
    <cellStyle name="Notas 3 2 14 5 2" xfId="20102" xr:uid="{00000000-0005-0000-0000-0000DC600000}"/>
    <cellStyle name="Notas 3 2 14 6" xfId="20098" xr:uid="{00000000-0005-0000-0000-0000DD600000}"/>
    <cellStyle name="Notas 3 2 15" xfId="15143" xr:uid="{00000000-0005-0000-0000-0000DE600000}"/>
    <cellStyle name="Notas 3 2 15 2" xfId="20103" xr:uid="{00000000-0005-0000-0000-0000DF600000}"/>
    <cellStyle name="Notas 3 2 16" xfId="15144" xr:uid="{00000000-0005-0000-0000-0000E0600000}"/>
    <cellStyle name="Notas 3 2 16 2" xfId="20104" xr:uid="{00000000-0005-0000-0000-0000E1600000}"/>
    <cellStyle name="Notas 3 2 17" xfId="15133" xr:uid="{00000000-0005-0000-0000-0000E2600000}"/>
    <cellStyle name="Notas 3 2 18" xfId="20093" xr:uid="{00000000-0005-0000-0000-0000E3600000}"/>
    <cellStyle name="Notas 3 2 2" xfId="1291" xr:uid="{00000000-0005-0000-0000-0000E4600000}"/>
    <cellStyle name="Notas 3 2 2 2" xfId="20105" xr:uid="{00000000-0005-0000-0000-0000E5600000}"/>
    <cellStyle name="Notas 3 2 2 2 2" xfId="24325" xr:uid="{00000000-0005-0000-0000-0000E6600000}"/>
    <cellStyle name="Notas 3 2 2 3" xfId="15145" xr:uid="{00000000-0005-0000-0000-0000E7600000}"/>
    <cellStyle name="Notas 3 2 2 3 2" xfId="24326" xr:uid="{00000000-0005-0000-0000-0000E8600000}"/>
    <cellStyle name="Notas 3 2 3" xfId="3699" xr:uid="{00000000-0005-0000-0000-0000E9600000}"/>
    <cellStyle name="Notas 3 2 3 2" xfId="20106" xr:uid="{00000000-0005-0000-0000-0000EA600000}"/>
    <cellStyle name="Notas 3 2 3 3" xfId="15146" xr:uid="{00000000-0005-0000-0000-0000EB600000}"/>
    <cellStyle name="Notas 3 2 3 4" xfId="24327" xr:uid="{00000000-0005-0000-0000-0000EC600000}"/>
    <cellStyle name="Notas 3 2 4" xfId="15147" xr:uid="{00000000-0005-0000-0000-0000ED600000}"/>
    <cellStyle name="Notas 3 2 4 2" xfId="20107" xr:uid="{00000000-0005-0000-0000-0000EE600000}"/>
    <cellStyle name="Notas 3 2 4 3" xfId="24328" xr:uid="{00000000-0005-0000-0000-0000EF600000}"/>
    <cellStyle name="Notas 3 2 5" xfId="15148" xr:uid="{00000000-0005-0000-0000-0000F0600000}"/>
    <cellStyle name="Notas 3 2 5 2" xfId="20108" xr:uid="{00000000-0005-0000-0000-0000F1600000}"/>
    <cellStyle name="Notas 3 2 5 3" xfId="24329" xr:uid="{00000000-0005-0000-0000-0000F2600000}"/>
    <cellStyle name="Notas 3 2 6" xfId="15149" xr:uid="{00000000-0005-0000-0000-0000F3600000}"/>
    <cellStyle name="Notas 3 2 6 2" xfId="20109" xr:uid="{00000000-0005-0000-0000-0000F4600000}"/>
    <cellStyle name="Notas 3 2 7" xfId="15150" xr:uid="{00000000-0005-0000-0000-0000F5600000}"/>
    <cellStyle name="Notas 3 2 7 2" xfId="20110" xr:uid="{00000000-0005-0000-0000-0000F6600000}"/>
    <cellStyle name="Notas 3 2 8" xfId="15151" xr:uid="{00000000-0005-0000-0000-0000F7600000}"/>
    <cellStyle name="Notas 3 2 8 2" xfId="20111" xr:uid="{00000000-0005-0000-0000-0000F8600000}"/>
    <cellStyle name="Notas 3 2 9" xfId="15152" xr:uid="{00000000-0005-0000-0000-0000F9600000}"/>
    <cellStyle name="Notas 3 2 9 2" xfId="20112" xr:uid="{00000000-0005-0000-0000-0000FA600000}"/>
    <cellStyle name="Notas 3 3" xfId="1290" xr:uid="{00000000-0005-0000-0000-0000FB600000}"/>
    <cellStyle name="Notas 3 3 10" xfId="15154" xr:uid="{00000000-0005-0000-0000-0000FC600000}"/>
    <cellStyle name="Notas 3 3 10 2" xfId="20114" xr:uid="{00000000-0005-0000-0000-0000FD600000}"/>
    <cellStyle name="Notas 3 3 11" xfId="15155" xr:uid="{00000000-0005-0000-0000-0000FE600000}"/>
    <cellStyle name="Notas 3 3 11 2" xfId="20115" xr:uid="{00000000-0005-0000-0000-0000FF600000}"/>
    <cellStyle name="Notas 3 3 12" xfId="15156" xr:uid="{00000000-0005-0000-0000-000000610000}"/>
    <cellStyle name="Notas 3 3 12 2" xfId="20116" xr:uid="{00000000-0005-0000-0000-000001610000}"/>
    <cellStyle name="Notas 3 3 13" xfId="15157" xr:uid="{00000000-0005-0000-0000-000002610000}"/>
    <cellStyle name="Notas 3 3 13 2" xfId="15158" xr:uid="{00000000-0005-0000-0000-000003610000}"/>
    <cellStyle name="Notas 3 3 13 2 2" xfId="20118" xr:uid="{00000000-0005-0000-0000-000004610000}"/>
    <cellStyle name="Notas 3 3 13 3" xfId="15159" xr:uid="{00000000-0005-0000-0000-000005610000}"/>
    <cellStyle name="Notas 3 3 13 3 2" xfId="20119" xr:uid="{00000000-0005-0000-0000-000006610000}"/>
    <cellStyle name="Notas 3 3 13 4" xfId="15160" xr:uid="{00000000-0005-0000-0000-000007610000}"/>
    <cellStyle name="Notas 3 3 13 4 2" xfId="20120" xr:uid="{00000000-0005-0000-0000-000008610000}"/>
    <cellStyle name="Notas 3 3 13 5" xfId="15161" xr:uid="{00000000-0005-0000-0000-000009610000}"/>
    <cellStyle name="Notas 3 3 13 5 2" xfId="20121" xr:uid="{00000000-0005-0000-0000-00000A610000}"/>
    <cellStyle name="Notas 3 3 13 6" xfId="20117" xr:uid="{00000000-0005-0000-0000-00000B610000}"/>
    <cellStyle name="Notas 3 3 14" xfId="15162" xr:uid="{00000000-0005-0000-0000-00000C610000}"/>
    <cellStyle name="Notas 3 3 14 2" xfId="20122" xr:uid="{00000000-0005-0000-0000-00000D610000}"/>
    <cellStyle name="Notas 3 3 15" xfId="15163" xr:uid="{00000000-0005-0000-0000-00000E610000}"/>
    <cellStyle name="Notas 3 3 15 2" xfId="20123" xr:uid="{00000000-0005-0000-0000-00000F610000}"/>
    <cellStyle name="Notas 3 3 16" xfId="15153" xr:uid="{00000000-0005-0000-0000-000010610000}"/>
    <cellStyle name="Notas 3 3 17" xfId="20113" xr:uid="{00000000-0005-0000-0000-000011610000}"/>
    <cellStyle name="Notas 3 3 2" xfId="2490" xr:uid="{00000000-0005-0000-0000-000012610000}"/>
    <cellStyle name="Notas 3 3 2 2" xfId="20124" xr:uid="{00000000-0005-0000-0000-000013610000}"/>
    <cellStyle name="Notas 3 3 2 3" xfId="15164" xr:uid="{00000000-0005-0000-0000-000014610000}"/>
    <cellStyle name="Notas 3 3 2 4" xfId="24330" xr:uid="{00000000-0005-0000-0000-000015610000}"/>
    <cellStyle name="Notas 3 3 3" xfId="3905" xr:uid="{00000000-0005-0000-0000-000016610000}"/>
    <cellStyle name="Notas 3 3 3 2" xfId="20125" xr:uid="{00000000-0005-0000-0000-000017610000}"/>
    <cellStyle name="Notas 3 3 3 3" xfId="15165" xr:uid="{00000000-0005-0000-0000-000018610000}"/>
    <cellStyle name="Notas 3 3 3 4" xfId="24331" xr:uid="{00000000-0005-0000-0000-000019610000}"/>
    <cellStyle name="Notas 3 3 4" xfId="15166" xr:uid="{00000000-0005-0000-0000-00001A610000}"/>
    <cellStyle name="Notas 3 3 4 2" xfId="20126" xr:uid="{00000000-0005-0000-0000-00001B610000}"/>
    <cellStyle name="Notas 3 3 4 3" xfId="24332" xr:uid="{00000000-0005-0000-0000-00001C610000}"/>
    <cellStyle name="Notas 3 3 5" xfId="15167" xr:uid="{00000000-0005-0000-0000-00001D610000}"/>
    <cellStyle name="Notas 3 3 5 2" xfId="20127" xr:uid="{00000000-0005-0000-0000-00001E610000}"/>
    <cellStyle name="Notas 3 3 5 3" xfId="24333" xr:uid="{00000000-0005-0000-0000-00001F610000}"/>
    <cellStyle name="Notas 3 3 6" xfId="15168" xr:uid="{00000000-0005-0000-0000-000020610000}"/>
    <cellStyle name="Notas 3 3 6 2" xfId="20128" xr:uid="{00000000-0005-0000-0000-000021610000}"/>
    <cellStyle name="Notas 3 3 6 3" xfId="24334" xr:uid="{00000000-0005-0000-0000-000022610000}"/>
    <cellStyle name="Notas 3 3 7" xfId="15169" xr:uid="{00000000-0005-0000-0000-000023610000}"/>
    <cellStyle name="Notas 3 3 7 2" xfId="20129" xr:uid="{00000000-0005-0000-0000-000024610000}"/>
    <cellStyle name="Notas 3 3 8" xfId="15170" xr:uid="{00000000-0005-0000-0000-000025610000}"/>
    <cellStyle name="Notas 3 3 8 2" xfId="20130" xr:uid="{00000000-0005-0000-0000-000026610000}"/>
    <cellStyle name="Notas 3 3 9" xfId="15171" xr:uid="{00000000-0005-0000-0000-000027610000}"/>
    <cellStyle name="Notas 3 3 9 2" xfId="20131" xr:uid="{00000000-0005-0000-0000-000028610000}"/>
    <cellStyle name="Notas 3 4" xfId="2491" xr:uid="{00000000-0005-0000-0000-000029610000}"/>
    <cellStyle name="Notas 3 4 10" xfId="15173" xr:uid="{00000000-0005-0000-0000-00002A610000}"/>
    <cellStyle name="Notas 3 4 10 2" xfId="20133" xr:uid="{00000000-0005-0000-0000-00002B610000}"/>
    <cellStyle name="Notas 3 4 11" xfId="15174" xr:uid="{00000000-0005-0000-0000-00002C610000}"/>
    <cellStyle name="Notas 3 4 11 2" xfId="20134" xr:uid="{00000000-0005-0000-0000-00002D610000}"/>
    <cellStyle name="Notas 3 4 12" xfId="15175" xr:uid="{00000000-0005-0000-0000-00002E610000}"/>
    <cellStyle name="Notas 3 4 12 2" xfId="20135" xr:uid="{00000000-0005-0000-0000-00002F610000}"/>
    <cellStyle name="Notas 3 4 13" xfId="15176" xr:uid="{00000000-0005-0000-0000-000030610000}"/>
    <cellStyle name="Notas 3 4 13 2" xfId="15177" xr:uid="{00000000-0005-0000-0000-000031610000}"/>
    <cellStyle name="Notas 3 4 13 2 2" xfId="20137" xr:uid="{00000000-0005-0000-0000-000032610000}"/>
    <cellStyle name="Notas 3 4 13 3" xfId="15178" xr:uid="{00000000-0005-0000-0000-000033610000}"/>
    <cellStyle name="Notas 3 4 13 3 2" xfId="20138" xr:uid="{00000000-0005-0000-0000-000034610000}"/>
    <cellStyle name="Notas 3 4 13 4" xfId="15179" xr:uid="{00000000-0005-0000-0000-000035610000}"/>
    <cellStyle name="Notas 3 4 13 4 2" xfId="20139" xr:uid="{00000000-0005-0000-0000-000036610000}"/>
    <cellStyle name="Notas 3 4 13 5" xfId="15180" xr:uid="{00000000-0005-0000-0000-000037610000}"/>
    <cellStyle name="Notas 3 4 13 5 2" xfId="20140" xr:uid="{00000000-0005-0000-0000-000038610000}"/>
    <cellStyle name="Notas 3 4 13 6" xfId="20136" xr:uid="{00000000-0005-0000-0000-000039610000}"/>
    <cellStyle name="Notas 3 4 14" xfId="15181" xr:uid="{00000000-0005-0000-0000-00003A610000}"/>
    <cellStyle name="Notas 3 4 14 2" xfId="20141" xr:uid="{00000000-0005-0000-0000-00003B610000}"/>
    <cellStyle name="Notas 3 4 15" xfId="15182" xr:uid="{00000000-0005-0000-0000-00003C610000}"/>
    <cellStyle name="Notas 3 4 15 2" xfId="20142" xr:uid="{00000000-0005-0000-0000-00003D610000}"/>
    <cellStyle name="Notas 3 4 16" xfId="15172" xr:uid="{00000000-0005-0000-0000-00003E610000}"/>
    <cellStyle name="Notas 3 4 17" xfId="20132" xr:uid="{00000000-0005-0000-0000-00003F610000}"/>
    <cellStyle name="Notas 3 4 2" xfId="2785" xr:uid="{00000000-0005-0000-0000-000040610000}"/>
    <cellStyle name="Notas 3 4 2 2" xfId="20143" xr:uid="{00000000-0005-0000-0000-000041610000}"/>
    <cellStyle name="Notas 3 4 2 3" xfId="15183" xr:uid="{00000000-0005-0000-0000-000042610000}"/>
    <cellStyle name="Notas 3 4 2 4" xfId="24335" xr:uid="{00000000-0005-0000-0000-000043610000}"/>
    <cellStyle name="Notas 3 4 3" xfId="15184" xr:uid="{00000000-0005-0000-0000-000044610000}"/>
    <cellStyle name="Notas 3 4 3 2" xfId="20144" xr:uid="{00000000-0005-0000-0000-000045610000}"/>
    <cellStyle name="Notas 3 4 3 3" xfId="24336" xr:uid="{00000000-0005-0000-0000-000046610000}"/>
    <cellStyle name="Notas 3 4 4" xfId="15185" xr:uid="{00000000-0005-0000-0000-000047610000}"/>
    <cellStyle name="Notas 3 4 4 2" xfId="20145" xr:uid="{00000000-0005-0000-0000-000048610000}"/>
    <cellStyle name="Notas 3 4 4 3" xfId="24337" xr:uid="{00000000-0005-0000-0000-000049610000}"/>
    <cellStyle name="Notas 3 4 5" xfId="15186" xr:uid="{00000000-0005-0000-0000-00004A610000}"/>
    <cellStyle name="Notas 3 4 5 2" xfId="20146" xr:uid="{00000000-0005-0000-0000-00004B610000}"/>
    <cellStyle name="Notas 3 4 5 3" xfId="24338" xr:uid="{00000000-0005-0000-0000-00004C610000}"/>
    <cellStyle name="Notas 3 4 6" xfId="15187" xr:uid="{00000000-0005-0000-0000-00004D610000}"/>
    <cellStyle name="Notas 3 4 6 2" xfId="20147" xr:uid="{00000000-0005-0000-0000-00004E610000}"/>
    <cellStyle name="Notas 3 4 7" xfId="15188" xr:uid="{00000000-0005-0000-0000-00004F610000}"/>
    <cellStyle name="Notas 3 4 7 2" xfId="20148" xr:uid="{00000000-0005-0000-0000-000050610000}"/>
    <cellStyle name="Notas 3 4 8" xfId="15189" xr:uid="{00000000-0005-0000-0000-000051610000}"/>
    <cellStyle name="Notas 3 4 8 2" xfId="20149" xr:uid="{00000000-0005-0000-0000-000052610000}"/>
    <cellStyle name="Notas 3 4 9" xfId="15190" xr:uid="{00000000-0005-0000-0000-000053610000}"/>
    <cellStyle name="Notas 3 4 9 2" xfId="20150" xr:uid="{00000000-0005-0000-0000-000054610000}"/>
    <cellStyle name="Notas 3 5" xfId="2492" xr:uid="{00000000-0005-0000-0000-000055610000}"/>
    <cellStyle name="Notas 3 5 10" xfId="15192" xr:uid="{00000000-0005-0000-0000-000056610000}"/>
    <cellStyle name="Notas 3 5 10 2" xfId="20152" xr:uid="{00000000-0005-0000-0000-000057610000}"/>
    <cellStyle name="Notas 3 5 11" xfId="15193" xr:uid="{00000000-0005-0000-0000-000058610000}"/>
    <cellStyle name="Notas 3 5 11 2" xfId="20153" xr:uid="{00000000-0005-0000-0000-000059610000}"/>
    <cellStyle name="Notas 3 5 12" xfId="15194" xr:uid="{00000000-0005-0000-0000-00005A610000}"/>
    <cellStyle name="Notas 3 5 12 2" xfId="20154" xr:uid="{00000000-0005-0000-0000-00005B610000}"/>
    <cellStyle name="Notas 3 5 13" xfId="15191" xr:uid="{00000000-0005-0000-0000-00005C610000}"/>
    <cellStyle name="Notas 3 5 14" xfId="20151" xr:uid="{00000000-0005-0000-0000-00005D610000}"/>
    <cellStyle name="Notas 3 5 2" xfId="15195" xr:uid="{00000000-0005-0000-0000-00005E610000}"/>
    <cellStyle name="Notas 3 5 2 2" xfId="20155" xr:uid="{00000000-0005-0000-0000-00005F610000}"/>
    <cellStyle name="Notas 3 5 2 3" xfId="24339" xr:uid="{00000000-0005-0000-0000-000060610000}"/>
    <cellStyle name="Notas 3 5 3" xfId="15196" xr:uid="{00000000-0005-0000-0000-000061610000}"/>
    <cellStyle name="Notas 3 5 3 2" xfId="20156" xr:uid="{00000000-0005-0000-0000-000062610000}"/>
    <cellStyle name="Notas 3 5 3 3" xfId="24340" xr:uid="{00000000-0005-0000-0000-000063610000}"/>
    <cellStyle name="Notas 3 5 4" xfId="15197" xr:uid="{00000000-0005-0000-0000-000064610000}"/>
    <cellStyle name="Notas 3 5 4 2" xfId="20157" xr:uid="{00000000-0005-0000-0000-000065610000}"/>
    <cellStyle name="Notas 3 5 4 3" xfId="24341" xr:uid="{00000000-0005-0000-0000-000066610000}"/>
    <cellStyle name="Notas 3 5 5" xfId="15198" xr:uid="{00000000-0005-0000-0000-000067610000}"/>
    <cellStyle name="Notas 3 5 5 2" xfId="20158" xr:uid="{00000000-0005-0000-0000-000068610000}"/>
    <cellStyle name="Notas 3 5 5 3" xfId="24342" xr:uid="{00000000-0005-0000-0000-000069610000}"/>
    <cellStyle name="Notas 3 5 6" xfId="15199" xr:uid="{00000000-0005-0000-0000-00006A610000}"/>
    <cellStyle name="Notas 3 5 6 2" xfId="20159" xr:uid="{00000000-0005-0000-0000-00006B610000}"/>
    <cellStyle name="Notas 3 5 7" xfId="15200" xr:uid="{00000000-0005-0000-0000-00006C610000}"/>
    <cellStyle name="Notas 3 5 7 2" xfId="20160" xr:uid="{00000000-0005-0000-0000-00006D610000}"/>
    <cellStyle name="Notas 3 5 8" xfId="15201" xr:uid="{00000000-0005-0000-0000-00006E610000}"/>
    <cellStyle name="Notas 3 5 8 2" xfId="20161" xr:uid="{00000000-0005-0000-0000-00006F610000}"/>
    <cellStyle name="Notas 3 5 9" xfId="15202" xr:uid="{00000000-0005-0000-0000-000070610000}"/>
    <cellStyle name="Notas 3 5 9 2" xfId="20162" xr:uid="{00000000-0005-0000-0000-000071610000}"/>
    <cellStyle name="Notas 3 6" xfId="15203" xr:uid="{00000000-0005-0000-0000-000072610000}"/>
    <cellStyle name="Notas 3 6 10" xfId="15204" xr:uid="{00000000-0005-0000-0000-000073610000}"/>
    <cellStyle name="Notas 3 6 10 2" xfId="20164" xr:uid="{00000000-0005-0000-0000-000074610000}"/>
    <cellStyle name="Notas 3 6 11" xfId="15205" xr:uid="{00000000-0005-0000-0000-000075610000}"/>
    <cellStyle name="Notas 3 6 11 2" xfId="20165" xr:uid="{00000000-0005-0000-0000-000076610000}"/>
    <cellStyle name="Notas 3 6 12" xfId="15206" xr:uid="{00000000-0005-0000-0000-000077610000}"/>
    <cellStyle name="Notas 3 6 12 2" xfId="20166" xr:uid="{00000000-0005-0000-0000-000078610000}"/>
    <cellStyle name="Notas 3 6 13" xfId="20163" xr:uid="{00000000-0005-0000-0000-000079610000}"/>
    <cellStyle name="Notas 3 6 14" xfId="24343" xr:uid="{00000000-0005-0000-0000-00007A610000}"/>
    <cellStyle name="Notas 3 6 2" xfId="15207" xr:uid="{00000000-0005-0000-0000-00007B610000}"/>
    <cellStyle name="Notas 3 6 2 2" xfId="20167" xr:uid="{00000000-0005-0000-0000-00007C610000}"/>
    <cellStyle name="Notas 3 6 3" xfId="15208" xr:uid="{00000000-0005-0000-0000-00007D610000}"/>
    <cellStyle name="Notas 3 6 3 2" xfId="20168" xr:uid="{00000000-0005-0000-0000-00007E610000}"/>
    <cellStyle name="Notas 3 6 4" xfId="15209" xr:uid="{00000000-0005-0000-0000-00007F610000}"/>
    <cellStyle name="Notas 3 6 4 2" xfId="20169" xr:uid="{00000000-0005-0000-0000-000080610000}"/>
    <cellStyle name="Notas 3 6 5" xfId="15210" xr:uid="{00000000-0005-0000-0000-000081610000}"/>
    <cellStyle name="Notas 3 6 5 2" xfId="20170" xr:uid="{00000000-0005-0000-0000-000082610000}"/>
    <cellStyle name="Notas 3 6 6" xfId="15211" xr:uid="{00000000-0005-0000-0000-000083610000}"/>
    <cellStyle name="Notas 3 6 6 2" xfId="20171" xr:uid="{00000000-0005-0000-0000-000084610000}"/>
    <cellStyle name="Notas 3 6 7" xfId="15212" xr:uid="{00000000-0005-0000-0000-000085610000}"/>
    <cellStyle name="Notas 3 6 7 2" xfId="20172" xr:uid="{00000000-0005-0000-0000-000086610000}"/>
    <cellStyle name="Notas 3 6 8" xfId="15213" xr:uid="{00000000-0005-0000-0000-000087610000}"/>
    <cellStyle name="Notas 3 6 8 2" xfId="20173" xr:uid="{00000000-0005-0000-0000-000088610000}"/>
    <cellStyle name="Notas 3 6 9" xfId="15214" xr:uid="{00000000-0005-0000-0000-000089610000}"/>
    <cellStyle name="Notas 3 6 9 2" xfId="20174" xr:uid="{00000000-0005-0000-0000-00008A610000}"/>
    <cellStyle name="Notas 3 7" xfId="15215" xr:uid="{00000000-0005-0000-0000-00008B610000}"/>
    <cellStyle name="Notas 3 7 10" xfId="15216" xr:uid="{00000000-0005-0000-0000-00008C610000}"/>
    <cellStyle name="Notas 3 7 10 2" xfId="20176" xr:uid="{00000000-0005-0000-0000-00008D610000}"/>
    <cellStyle name="Notas 3 7 11" xfId="15217" xr:uid="{00000000-0005-0000-0000-00008E610000}"/>
    <cellStyle name="Notas 3 7 11 2" xfId="20177" xr:uid="{00000000-0005-0000-0000-00008F610000}"/>
    <cellStyle name="Notas 3 7 12" xfId="20175" xr:uid="{00000000-0005-0000-0000-000090610000}"/>
    <cellStyle name="Notas 3 7 13" xfId="24344" xr:uid="{00000000-0005-0000-0000-000091610000}"/>
    <cellStyle name="Notas 3 7 2" xfId="15218" xr:uid="{00000000-0005-0000-0000-000092610000}"/>
    <cellStyle name="Notas 3 7 2 2" xfId="20178" xr:uid="{00000000-0005-0000-0000-000093610000}"/>
    <cellStyle name="Notas 3 7 3" xfId="15219" xr:uid="{00000000-0005-0000-0000-000094610000}"/>
    <cellStyle name="Notas 3 7 3 2" xfId="20179" xr:uid="{00000000-0005-0000-0000-000095610000}"/>
    <cellStyle name="Notas 3 7 4" xfId="15220" xr:uid="{00000000-0005-0000-0000-000096610000}"/>
    <cellStyle name="Notas 3 7 4 2" xfId="20180" xr:uid="{00000000-0005-0000-0000-000097610000}"/>
    <cellStyle name="Notas 3 7 5" xfId="15221" xr:uid="{00000000-0005-0000-0000-000098610000}"/>
    <cellStyle name="Notas 3 7 5 2" xfId="20181" xr:uid="{00000000-0005-0000-0000-000099610000}"/>
    <cellStyle name="Notas 3 7 6" xfId="15222" xr:uid="{00000000-0005-0000-0000-00009A610000}"/>
    <cellStyle name="Notas 3 7 6 2" xfId="20182" xr:uid="{00000000-0005-0000-0000-00009B610000}"/>
    <cellStyle name="Notas 3 7 7" xfId="15223" xr:uid="{00000000-0005-0000-0000-00009C610000}"/>
    <cellStyle name="Notas 3 7 7 2" xfId="20183" xr:uid="{00000000-0005-0000-0000-00009D610000}"/>
    <cellStyle name="Notas 3 7 8" xfId="15224" xr:uid="{00000000-0005-0000-0000-00009E610000}"/>
    <cellStyle name="Notas 3 7 8 2" xfId="20184" xr:uid="{00000000-0005-0000-0000-00009F610000}"/>
    <cellStyle name="Notas 3 7 9" xfId="15225" xr:uid="{00000000-0005-0000-0000-0000A0610000}"/>
    <cellStyle name="Notas 3 7 9 2" xfId="20185" xr:uid="{00000000-0005-0000-0000-0000A1610000}"/>
    <cellStyle name="Notas 3 8" xfId="15226" xr:uid="{00000000-0005-0000-0000-0000A2610000}"/>
    <cellStyle name="Notas 3 8 2" xfId="20186" xr:uid="{00000000-0005-0000-0000-0000A3610000}"/>
    <cellStyle name="Notas 3 8 3" xfId="24345" xr:uid="{00000000-0005-0000-0000-0000A4610000}"/>
    <cellStyle name="Notas 3 9" xfId="15227" xr:uid="{00000000-0005-0000-0000-0000A5610000}"/>
    <cellStyle name="Notas 3 9 2" xfId="20187" xr:uid="{00000000-0005-0000-0000-0000A6610000}"/>
    <cellStyle name="Notas 30" xfId="29584" xr:uid="{00000000-0005-0000-0000-0000A7610000}"/>
    <cellStyle name="Notas 31" xfId="30088" xr:uid="{00000000-0005-0000-0000-0000A8610000}"/>
    <cellStyle name="Notas 32" xfId="30593" xr:uid="{00000000-0005-0000-0000-0000A9610000}"/>
    <cellStyle name="Notas 33" xfId="31102" xr:uid="{937DD18D-FF73-405B-B2CE-0F8FB6CEE9BD}"/>
    <cellStyle name="Notas 34" xfId="31111" xr:uid="{727FB639-7E41-4532-AD52-5C7D95DCB9D7}"/>
    <cellStyle name="Notas 35" xfId="32012" xr:uid="{CB67B021-E9A8-4965-B0FF-B2F257EBA454}"/>
    <cellStyle name="Notas 4" xfId="731" xr:uid="{00000000-0005-0000-0000-0000AA610000}"/>
    <cellStyle name="Notas 4 10" xfId="15229" xr:uid="{00000000-0005-0000-0000-0000AB610000}"/>
    <cellStyle name="Notas 4 10 2" xfId="20189" xr:uid="{00000000-0005-0000-0000-0000AC610000}"/>
    <cellStyle name="Notas 4 11" xfId="15230" xr:uid="{00000000-0005-0000-0000-0000AD610000}"/>
    <cellStyle name="Notas 4 11 2" xfId="20190" xr:uid="{00000000-0005-0000-0000-0000AE610000}"/>
    <cellStyle name="Notas 4 12" xfId="15231" xr:uid="{00000000-0005-0000-0000-0000AF610000}"/>
    <cellStyle name="Notas 4 12 2" xfId="20191" xr:uid="{00000000-0005-0000-0000-0000B0610000}"/>
    <cellStyle name="Notas 4 13" xfId="15232" xr:uid="{00000000-0005-0000-0000-0000B1610000}"/>
    <cellStyle name="Notas 4 13 2" xfId="15233" xr:uid="{00000000-0005-0000-0000-0000B2610000}"/>
    <cellStyle name="Notas 4 13 2 2" xfId="20193" xr:uid="{00000000-0005-0000-0000-0000B3610000}"/>
    <cellStyle name="Notas 4 13 3" xfId="15234" xr:uid="{00000000-0005-0000-0000-0000B4610000}"/>
    <cellStyle name="Notas 4 13 3 2" xfId="20194" xr:uid="{00000000-0005-0000-0000-0000B5610000}"/>
    <cellStyle name="Notas 4 13 4" xfId="15235" xr:uid="{00000000-0005-0000-0000-0000B6610000}"/>
    <cellStyle name="Notas 4 13 4 2" xfId="20195" xr:uid="{00000000-0005-0000-0000-0000B7610000}"/>
    <cellStyle name="Notas 4 13 5" xfId="15236" xr:uid="{00000000-0005-0000-0000-0000B8610000}"/>
    <cellStyle name="Notas 4 13 5 2" xfId="20196" xr:uid="{00000000-0005-0000-0000-0000B9610000}"/>
    <cellStyle name="Notas 4 13 6" xfId="20192" xr:uid="{00000000-0005-0000-0000-0000BA610000}"/>
    <cellStyle name="Notas 4 14" xfId="15237" xr:uid="{00000000-0005-0000-0000-0000BB610000}"/>
    <cellStyle name="Notas 4 14 2" xfId="20197" xr:uid="{00000000-0005-0000-0000-0000BC610000}"/>
    <cellStyle name="Notas 4 15" xfId="15238" xr:uid="{00000000-0005-0000-0000-0000BD610000}"/>
    <cellStyle name="Notas 4 15 2" xfId="20198" xr:uid="{00000000-0005-0000-0000-0000BE610000}"/>
    <cellStyle name="Notas 4 16" xfId="15228" xr:uid="{00000000-0005-0000-0000-0000BF610000}"/>
    <cellStyle name="Notas 4 17" xfId="20188" xr:uid="{00000000-0005-0000-0000-0000C0610000}"/>
    <cellStyle name="Notas 4 2" xfId="15239" xr:uid="{00000000-0005-0000-0000-0000C1610000}"/>
    <cellStyle name="Notas 4 2 10" xfId="15240" xr:uid="{00000000-0005-0000-0000-0000C2610000}"/>
    <cellStyle name="Notas 4 2 10 2" xfId="20200" xr:uid="{00000000-0005-0000-0000-0000C3610000}"/>
    <cellStyle name="Notas 4 2 11" xfId="15241" xr:uid="{00000000-0005-0000-0000-0000C4610000}"/>
    <cellStyle name="Notas 4 2 11 2" xfId="20201" xr:uid="{00000000-0005-0000-0000-0000C5610000}"/>
    <cellStyle name="Notas 4 2 12" xfId="20199" xr:uid="{00000000-0005-0000-0000-0000C6610000}"/>
    <cellStyle name="Notas 4 2 13" xfId="24346" xr:uid="{00000000-0005-0000-0000-0000C7610000}"/>
    <cellStyle name="Notas 4 2 2" xfId="15242" xr:uid="{00000000-0005-0000-0000-0000C8610000}"/>
    <cellStyle name="Notas 4 2 2 2" xfId="20202" xr:uid="{00000000-0005-0000-0000-0000C9610000}"/>
    <cellStyle name="Notas 4 2 3" xfId="15243" xr:uid="{00000000-0005-0000-0000-0000CA610000}"/>
    <cellStyle name="Notas 4 2 3 2" xfId="20203" xr:uid="{00000000-0005-0000-0000-0000CB610000}"/>
    <cellStyle name="Notas 4 2 4" xfId="15244" xr:uid="{00000000-0005-0000-0000-0000CC610000}"/>
    <cellStyle name="Notas 4 2 4 2" xfId="20204" xr:uid="{00000000-0005-0000-0000-0000CD610000}"/>
    <cellStyle name="Notas 4 2 5" xfId="15245" xr:uid="{00000000-0005-0000-0000-0000CE610000}"/>
    <cellStyle name="Notas 4 2 5 2" xfId="20205" xr:uid="{00000000-0005-0000-0000-0000CF610000}"/>
    <cellStyle name="Notas 4 2 6" xfId="15246" xr:uid="{00000000-0005-0000-0000-0000D0610000}"/>
    <cellStyle name="Notas 4 2 6 2" xfId="20206" xr:uid="{00000000-0005-0000-0000-0000D1610000}"/>
    <cellStyle name="Notas 4 2 7" xfId="15247" xr:uid="{00000000-0005-0000-0000-0000D2610000}"/>
    <cellStyle name="Notas 4 2 7 2" xfId="20207" xr:uid="{00000000-0005-0000-0000-0000D3610000}"/>
    <cellStyle name="Notas 4 2 8" xfId="15248" xr:uid="{00000000-0005-0000-0000-0000D4610000}"/>
    <cellStyle name="Notas 4 2 8 2" xfId="20208" xr:uid="{00000000-0005-0000-0000-0000D5610000}"/>
    <cellStyle name="Notas 4 2 9" xfId="15249" xr:uid="{00000000-0005-0000-0000-0000D6610000}"/>
    <cellStyle name="Notas 4 2 9 2" xfId="20209" xr:uid="{00000000-0005-0000-0000-0000D7610000}"/>
    <cellStyle name="Notas 4 3" xfId="15250" xr:uid="{00000000-0005-0000-0000-0000D8610000}"/>
    <cellStyle name="Notas 4 3 10" xfId="15251" xr:uid="{00000000-0005-0000-0000-0000D9610000}"/>
    <cellStyle name="Notas 4 3 10 2" xfId="20211" xr:uid="{00000000-0005-0000-0000-0000DA610000}"/>
    <cellStyle name="Notas 4 3 11" xfId="15252" xr:uid="{00000000-0005-0000-0000-0000DB610000}"/>
    <cellStyle name="Notas 4 3 11 2" xfId="20212" xr:uid="{00000000-0005-0000-0000-0000DC610000}"/>
    <cellStyle name="Notas 4 3 12" xfId="20210" xr:uid="{00000000-0005-0000-0000-0000DD610000}"/>
    <cellStyle name="Notas 4 3 13" xfId="24347" xr:uid="{00000000-0005-0000-0000-0000DE610000}"/>
    <cellStyle name="Notas 4 3 2" xfId="15253" xr:uid="{00000000-0005-0000-0000-0000DF610000}"/>
    <cellStyle name="Notas 4 3 2 2" xfId="20213" xr:uid="{00000000-0005-0000-0000-0000E0610000}"/>
    <cellStyle name="Notas 4 3 3" xfId="15254" xr:uid="{00000000-0005-0000-0000-0000E1610000}"/>
    <cellStyle name="Notas 4 3 3 2" xfId="20214" xr:uid="{00000000-0005-0000-0000-0000E2610000}"/>
    <cellStyle name="Notas 4 3 4" xfId="15255" xr:uid="{00000000-0005-0000-0000-0000E3610000}"/>
    <cellStyle name="Notas 4 3 4 2" xfId="20215" xr:uid="{00000000-0005-0000-0000-0000E4610000}"/>
    <cellStyle name="Notas 4 3 5" xfId="15256" xr:uid="{00000000-0005-0000-0000-0000E5610000}"/>
    <cellStyle name="Notas 4 3 5 2" xfId="20216" xr:uid="{00000000-0005-0000-0000-0000E6610000}"/>
    <cellStyle name="Notas 4 3 6" xfId="15257" xr:uid="{00000000-0005-0000-0000-0000E7610000}"/>
    <cellStyle name="Notas 4 3 6 2" xfId="20217" xr:uid="{00000000-0005-0000-0000-0000E8610000}"/>
    <cellStyle name="Notas 4 3 7" xfId="15258" xr:uid="{00000000-0005-0000-0000-0000E9610000}"/>
    <cellStyle name="Notas 4 3 7 2" xfId="20218" xr:uid="{00000000-0005-0000-0000-0000EA610000}"/>
    <cellStyle name="Notas 4 3 8" xfId="15259" xr:uid="{00000000-0005-0000-0000-0000EB610000}"/>
    <cellStyle name="Notas 4 3 8 2" xfId="20219" xr:uid="{00000000-0005-0000-0000-0000EC610000}"/>
    <cellStyle name="Notas 4 3 9" xfId="15260" xr:uid="{00000000-0005-0000-0000-0000ED610000}"/>
    <cellStyle name="Notas 4 3 9 2" xfId="20220" xr:uid="{00000000-0005-0000-0000-0000EE610000}"/>
    <cellStyle name="Notas 4 4" xfId="15261" xr:uid="{00000000-0005-0000-0000-0000EF610000}"/>
    <cellStyle name="Notas 4 4 10" xfId="15262" xr:uid="{00000000-0005-0000-0000-0000F0610000}"/>
    <cellStyle name="Notas 4 4 10 2" xfId="20222" xr:uid="{00000000-0005-0000-0000-0000F1610000}"/>
    <cellStyle name="Notas 4 4 11" xfId="15263" xr:uid="{00000000-0005-0000-0000-0000F2610000}"/>
    <cellStyle name="Notas 4 4 11 2" xfId="20223" xr:uid="{00000000-0005-0000-0000-0000F3610000}"/>
    <cellStyle name="Notas 4 4 12" xfId="20221" xr:uid="{00000000-0005-0000-0000-0000F4610000}"/>
    <cellStyle name="Notas 4 4 2" xfId="15264" xr:uid="{00000000-0005-0000-0000-0000F5610000}"/>
    <cellStyle name="Notas 4 4 2 2" xfId="20224" xr:uid="{00000000-0005-0000-0000-0000F6610000}"/>
    <cellStyle name="Notas 4 4 3" xfId="15265" xr:uid="{00000000-0005-0000-0000-0000F7610000}"/>
    <cellStyle name="Notas 4 4 3 2" xfId="20225" xr:uid="{00000000-0005-0000-0000-0000F8610000}"/>
    <cellStyle name="Notas 4 4 4" xfId="15266" xr:uid="{00000000-0005-0000-0000-0000F9610000}"/>
    <cellStyle name="Notas 4 4 4 2" xfId="20226" xr:uid="{00000000-0005-0000-0000-0000FA610000}"/>
    <cellStyle name="Notas 4 4 5" xfId="15267" xr:uid="{00000000-0005-0000-0000-0000FB610000}"/>
    <cellStyle name="Notas 4 4 5 2" xfId="20227" xr:uid="{00000000-0005-0000-0000-0000FC610000}"/>
    <cellStyle name="Notas 4 4 6" xfId="15268" xr:uid="{00000000-0005-0000-0000-0000FD610000}"/>
    <cellStyle name="Notas 4 4 6 2" xfId="20228" xr:uid="{00000000-0005-0000-0000-0000FE610000}"/>
    <cellStyle name="Notas 4 4 7" xfId="15269" xr:uid="{00000000-0005-0000-0000-0000FF610000}"/>
    <cellStyle name="Notas 4 4 7 2" xfId="20229" xr:uid="{00000000-0005-0000-0000-000000620000}"/>
    <cellStyle name="Notas 4 4 8" xfId="15270" xr:uid="{00000000-0005-0000-0000-000001620000}"/>
    <cellStyle name="Notas 4 4 8 2" xfId="20230" xr:uid="{00000000-0005-0000-0000-000002620000}"/>
    <cellStyle name="Notas 4 4 9" xfId="15271" xr:uid="{00000000-0005-0000-0000-000003620000}"/>
    <cellStyle name="Notas 4 4 9 2" xfId="20231" xr:uid="{00000000-0005-0000-0000-000004620000}"/>
    <cellStyle name="Notas 4 5" xfId="15272" xr:uid="{00000000-0005-0000-0000-000005620000}"/>
    <cellStyle name="Notas 4 5 10" xfId="15273" xr:uid="{00000000-0005-0000-0000-000006620000}"/>
    <cellStyle name="Notas 4 5 10 2" xfId="20233" xr:uid="{00000000-0005-0000-0000-000007620000}"/>
    <cellStyle name="Notas 4 5 11" xfId="15274" xr:uid="{00000000-0005-0000-0000-000008620000}"/>
    <cellStyle name="Notas 4 5 11 2" xfId="20234" xr:uid="{00000000-0005-0000-0000-000009620000}"/>
    <cellStyle name="Notas 4 5 12" xfId="20232" xr:uid="{00000000-0005-0000-0000-00000A620000}"/>
    <cellStyle name="Notas 4 5 2" xfId="15275" xr:uid="{00000000-0005-0000-0000-00000B620000}"/>
    <cellStyle name="Notas 4 5 2 2" xfId="20235" xr:uid="{00000000-0005-0000-0000-00000C620000}"/>
    <cellStyle name="Notas 4 5 3" xfId="15276" xr:uid="{00000000-0005-0000-0000-00000D620000}"/>
    <cellStyle name="Notas 4 5 3 2" xfId="20236" xr:uid="{00000000-0005-0000-0000-00000E620000}"/>
    <cellStyle name="Notas 4 5 4" xfId="15277" xr:uid="{00000000-0005-0000-0000-00000F620000}"/>
    <cellStyle name="Notas 4 5 4 2" xfId="20237" xr:uid="{00000000-0005-0000-0000-000010620000}"/>
    <cellStyle name="Notas 4 5 5" xfId="15278" xr:uid="{00000000-0005-0000-0000-000011620000}"/>
    <cellStyle name="Notas 4 5 5 2" xfId="20238" xr:uid="{00000000-0005-0000-0000-000012620000}"/>
    <cellStyle name="Notas 4 5 6" xfId="15279" xr:uid="{00000000-0005-0000-0000-000013620000}"/>
    <cellStyle name="Notas 4 5 6 2" xfId="20239" xr:uid="{00000000-0005-0000-0000-000014620000}"/>
    <cellStyle name="Notas 4 5 7" xfId="15280" xr:uid="{00000000-0005-0000-0000-000015620000}"/>
    <cellStyle name="Notas 4 5 7 2" xfId="20240" xr:uid="{00000000-0005-0000-0000-000016620000}"/>
    <cellStyle name="Notas 4 5 8" xfId="15281" xr:uid="{00000000-0005-0000-0000-000017620000}"/>
    <cellStyle name="Notas 4 5 8 2" xfId="20241" xr:uid="{00000000-0005-0000-0000-000018620000}"/>
    <cellStyle name="Notas 4 5 9" xfId="15282" xr:uid="{00000000-0005-0000-0000-000019620000}"/>
    <cellStyle name="Notas 4 5 9 2" xfId="20242" xr:uid="{00000000-0005-0000-0000-00001A620000}"/>
    <cellStyle name="Notas 4 6" xfId="15283" xr:uid="{00000000-0005-0000-0000-00001B620000}"/>
    <cellStyle name="Notas 4 6 10" xfId="15284" xr:uid="{00000000-0005-0000-0000-00001C620000}"/>
    <cellStyle name="Notas 4 6 10 2" xfId="20244" xr:uid="{00000000-0005-0000-0000-00001D620000}"/>
    <cellStyle name="Notas 4 6 11" xfId="15285" xr:uid="{00000000-0005-0000-0000-00001E620000}"/>
    <cellStyle name="Notas 4 6 11 2" xfId="20245" xr:uid="{00000000-0005-0000-0000-00001F620000}"/>
    <cellStyle name="Notas 4 6 12" xfId="20243" xr:uid="{00000000-0005-0000-0000-000020620000}"/>
    <cellStyle name="Notas 4 6 2" xfId="15286" xr:uid="{00000000-0005-0000-0000-000021620000}"/>
    <cellStyle name="Notas 4 6 2 2" xfId="20246" xr:uid="{00000000-0005-0000-0000-000022620000}"/>
    <cellStyle name="Notas 4 6 3" xfId="15287" xr:uid="{00000000-0005-0000-0000-000023620000}"/>
    <cellStyle name="Notas 4 6 3 2" xfId="20247" xr:uid="{00000000-0005-0000-0000-000024620000}"/>
    <cellStyle name="Notas 4 6 4" xfId="15288" xr:uid="{00000000-0005-0000-0000-000025620000}"/>
    <cellStyle name="Notas 4 6 4 2" xfId="20248" xr:uid="{00000000-0005-0000-0000-000026620000}"/>
    <cellStyle name="Notas 4 6 5" xfId="15289" xr:uid="{00000000-0005-0000-0000-000027620000}"/>
    <cellStyle name="Notas 4 6 5 2" xfId="20249" xr:uid="{00000000-0005-0000-0000-000028620000}"/>
    <cellStyle name="Notas 4 6 6" xfId="15290" xr:uid="{00000000-0005-0000-0000-000029620000}"/>
    <cellStyle name="Notas 4 6 6 2" xfId="20250" xr:uid="{00000000-0005-0000-0000-00002A620000}"/>
    <cellStyle name="Notas 4 6 7" xfId="15291" xr:uid="{00000000-0005-0000-0000-00002B620000}"/>
    <cellStyle name="Notas 4 6 7 2" xfId="20251" xr:uid="{00000000-0005-0000-0000-00002C620000}"/>
    <cellStyle name="Notas 4 6 8" xfId="15292" xr:uid="{00000000-0005-0000-0000-00002D620000}"/>
    <cellStyle name="Notas 4 6 8 2" xfId="20252" xr:uid="{00000000-0005-0000-0000-00002E620000}"/>
    <cellStyle name="Notas 4 6 9" xfId="15293" xr:uid="{00000000-0005-0000-0000-00002F620000}"/>
    <cellStyle name="Notas 4 6 9 2" xfId="20253" xr:uid="{00000000-0005-0000-0000-000030620000}"/>
    <cellStyle name="Notas 4 7" xfId="15294" xr:uid="{00000000-0005-0000-0000-000031620000}"/>
    <cellStyle name="Notas 4 7 10" xfId="15295" xr:uid="{00000000-0005-0000-0000-000032620000}"/>
    <cellStyle name="Notas 4 7 10 2" xfId="20255" xr:uid="{00000000-0005-0000-0000-000033620000}"/>
    <cellStyle name="Notas 4 7 11" xfId="15296" xr:uid="{00000000-0005-0000-0000-000034620000}"/>
    <cellStyle name="Notas 4 7 11 2" xfId="20256" xr:uid="{00000000-0005-0000-0000-000035620000}"/>
    <cellStyle name="Notas 4 7 12" xfId="20254" xr:uid="{00000000-0005-0000-0000-000036620000}"/>
    <cellStyle name="Notas 4 7 2" xfId="15297" xr:uid="{00000000-0005-0000-0000-000037620000}"/>
    <cellStyle name="Notas 4 7 2 2" xfId="20257" xr:uid="{00000000-0005-0000-0000-000038620000}"/>
    <cellStyle name="Notas 4 7 3" xfId="15298" xr:uid="{00000000-0005-0000-0000-000039620000}"/>
    <cellStyle name="Notas 4 7 3 2" xfId="20258" xr:uid="{00000000-0005-0000-0000-00003A620000}"/>
    <cellStyle name="Notas 4 7 4" xfId="15299" xr:uid="{00000000-0005-0000-0000-00003B620000}"/>
    <cellStyle name="Notas 4 7 4 2" xfId="20259" xr:uid="{00000000-0005-0000-0000-00003C620000}"/>
    <cellStyle name="Notas 4 7 5" xfId="15300" xr:uid="{00000000-0005-0000-0000-00003D620000}"/>
    <cellStyle name="Notas 4 7 5 2" xfId="20260" xr:uid="{00000000-0005-0000-0000-00003E620000}"/>
    <cellStyle name="Notas 4 7 6" xfId="15301" xr:uid="{00000000-0005-0000-0000-00003F620000}"/>
    <cellStyle name="Notas 4 7 6 2" xfId="20261" xr:uid="{00000000-0005-0000-0000-000040620000}"/>
    <cellStyle name="Notas 4 7 7" xfId="15302" xr:uid="{00000000-0005-0000-0000-000041620000}"/>
    <cellStyle name="Notas 4 7 7 2" xfId="20262" xr:uid="{00000000-0005-0000-0000-000042620000}"/>
    <cellStyle name="Notas 4 7 8" xfId="15303" xr:uid="{00000000-0005-0000-0000-000043620000}"/>
    <cellStyle name="Notas 4 7 8 2" xfId="20263" xr:uid="{00000000-0005-0000-0000-000044620000}"/>
    <cellStyle name="Notas 4 7 9" xfId="15304" xr:uid="{00000000-0005-0000-0000-000045620000}"/>
    <cellStyle name="Notas 4 7 9 2" xfId="20264" xr:uid="{00000000-0005-0000-0000-000046620000}"/>
    <cellStyle name="Notas 4 8" xfId="15305" xr:uid="{00000000-0005-0000-0000-000047620000}"/>
    <cellStyle name="Notas 4 8 2" xfId="20265" xr:uid="{00000000-0005-0000-0000-000048620000}"/>
    <cellStyle name="Notas 4 9" xfId="15306" xr:uid="{00000000-0005-0000-0000-000049620000}"/>
    <cellStyle name="Notas 4 9 2" xfId="20266" xr:uid="{00000000-0005-0000-0000-00004A620000}"/>
    <cellStyle name="Notas 5" xfId="1292" xr:uid="{00000000-0005-0000-0000-00004B620000}"/>
    <cellStyle name="Notas 5 10" xfId="15308" xr:uid="{00000000-0005-0000-0000-00004C620000}"/>
    <cellStyle name="Notas 5 10 2" xfId="20268" xr:uid="{00000000-0005-0000-0000-00004D620000}"/>
    <cellStyle name="Notas 5 11" xfId="15309" xr:uid="{00000000-0005-0000-0000-00004E620000}"/>
    <cellStyle name="Notas 5 11 2" xfId="20269" xr:uid="{00000000-0005-0000-0000-00004F620000}"/>
    <cellStyle name="Notas 5 12" xfId="15310" xr:uid="{00000000-0005-0000-0000-000050620000}"/>
    <cellStyle name="Notas 5 12 2" xfId="20270" xr:uid="{00000000-0005-0000-0000-000051620000}"/>
    <cellStyle name="Notas 5 13" xfId="15311" xr:uid="{00000000-0005-0000-0000-000052620000}"/>
    <cellStyle name="Notas 5 13 2" xfId="20271" xr:uid="{00000000-0005-0000-0000-000053620000}"/>
    <cellStyle name="Notas 5 14" xfId="15312" xr:uid="{00000000-0005-0000-0000-000054620000}"/>
    <cellStyle name="Notas 5 14 2" xfId="20272" xr:uid="{00000000-0005-0000-0000-000055620000}"/>
    <cellStyle name="Notas 5 15" xfId="15313" xr:uid="{00000000-0005-0000-0000-000056620000}"/>
    <cellStyle name="Notas 5 15 2" xfId="20273" xr:uid="{00000000-0005-0000-0000-000057620000}"/>
    <cellStyle name="Notas 5 16" xfId="15307" xr:uid="{00000000-0005-0000-0000-000058620000}"/>
    <cellStyle name="Notas 5 17" xfId="20267" xr:uid="{00000000-0005-0000-0000-000059620000}"/>
    <cellStyle name="Notas 5 2" xfId="2494" xr:uid="{00000000-0005-0000-0000-00005A620000}"/>
    <cellStyle name="Notas 5 2 10" xfId="15315" xr:uid="{00000000-0005-0000-0000-00005B620000}"/>
    <cellStyle name="Notas 5 2 10 2" xfId="20275" xr:uid="{00000000-0005-0000-0000-00005C620000}"/>
    <cellStyle name="Notas 5 2 11" xfId="15316" xr:uid="{00000000-0005-0000-0000-00005D620000}"/>
    <cellStyle name="Notas 5 2 11 2" xfId="20276" xr:uid="{00000000-0005-0000-0000-00005E620000}"/>
    <cellStyle name="Notas 5 2 12" xfId="15317" xr:uid="{00000000-0005-0000-0000-00005F620000}"/>
    <cellStyle name="Notas 5 2 12 2" xfId="20277" xr:uid="{00000000-0005-0000-0000-000060620000}"/>
    <cellStyle name="Notas 5 2 13" xfId="15318" xr:uid="{00000000-0005-0000-0000-000061620000}"/>
    <cellStyle name="Notas 5 2 13 2" xfId="20278" xr:uid="{00000000-0005-0000-0000-000062620000}"/>
    <cellStyle name="Notas 5 2 14" xfId="15314" xr:uid="{00000000-0005-0000-0000-000063620000}"/>
    <cellStyle name="Notas 5 2 15" xfId="20274" xr:uid="{00000000-0005-0000-0000-000064620000}"/>
    <cellStyle name="Notas 5 2 2" xfId="15319" xr:uid="{00000000-0005-0000-0000-000065620000}"/>
    <cellStyle name="Notas 5 2 2 2" xfId="20279" xr:uid="{00000000-0005-0000-0000-000066620000}"/>
    <cellStyle name="Notas 5 2 3" xfId="15320" xr:uid="{00000000-0005-0000-0000-000067620000}"/>
    <cellStyle name="Notas 5 2 3 2" xfId="20280" xr:uid="{00000000-0005-0000-0000-000068620000}"/>
    <cellStyle name="Notas 5 2 4" xfId="15321" xr:uid="{00000000-0005-0000-0000-000069620000}"/>
    <cellStyle name="Notas 5 2 4 2" xfId="20281" xr:uid="{00000000-0005-0000-0000-00006A620000}"/>
    <cellStyle name="Notas 5 2 5" xfId="15322" xr:uid="{00000000-0005-0000-0000-00006B620000}"/>
    <cellStyle name="Notas 5 2 5 2" xfId="20282" xr:uid="{00000000-0005-0000-0000-00006C620000}"/>
    <cellStyle name="Notas 5 2 6" xfId="15323" xr:uid="{00000000-0005-0000-0000-00006D620000}"/>
    <cellStyle name="Notas 5 2 6 2" xfId="20283" xr:uid="{00000000-0005-0000-0000-00006E620000}"/>
    <cellStyle name="Notas 5 2 7" xfId="15324" xr:uid="{00000000-0005-0000-0000-00006F620000}"/>
    <cellStyle name="Notas 5 2 7 2" xfId="20284" xr:uid="{00000000-0005-0000-0000-000070620000}"/>
    <cellStyle name="Notas 5 2 8" xfId="15325" xr:uid="{00000000-0005-0000-0000-000071620000}"/>
    <cellStyle name="Notas 5 2 8 2" xfId="20285" xr:uid="{00000000-0005-0000-0000-000072620000}"/>
    <cellStyle name="Notas 5 2 9" xfId="15326" xr:uid="{00000000-0005-0000-0000-000073620000}"/>
    <cellStyle name="Notas 5 2 9 2" xfId="20286" xr:uid="{00000000-0005-0000-0000-000074620000}"/>
    <cellStyle name="Notas 5 3" xfId="2493" xr:uid="{00000000-0005-0000-0000-000075620000}"/>
    <cellStyle name="Notas 5 3 10" xfId="15328" xr:uid="{00000000-0005-0000-0000-000076620000}"/>
    <cellStyle name="Notas 5 3 10 2" xfId="20288" xr:uid="{00000000-0005-0000-0000-000077620000}"/>
    <cellStyle name="Notas 5 3 11" xfId="15329" xr:uid="{00000000-0005-0000-0000-000078620000}"/>
    <cellStyle name="Notas 5 3 11 2" xfId="20289" xr:uid="{00000000-0005-0000-0000-000079620000}"/>
    <cellStyle name="Notas 5 3 12" xfId="15330" xr:uid="{00000000-0005-0000-0000-00007A620000}"/>
    <cellStyle name="Notas 5 3 12 2" xfId="20290" xr:uid="{00000000-0005-0000-0000-00007B620000}"/>
    <cellStyle name="Notas 5 3 13" xfId="20287" xr:uid="{00000000-0005-0000-0000-00007C620000}"/>
    <cellStyle name="Notas 5 3 14" xfId="15327" xr:uid="{00000000-0005-0000-0000-00007D620000}"/>
    <cellStyle name="Notas 5 3 15" xfId="24348" xr:uid="{00000000-0005-0000-0000-00007E620000}"/>
    <cellStyle name="Notas 5 3 2" xfId="15331" xr:uid="{00000000-0005-0000-0000-00007F620000}"/>
    <cellStyle name="Notas 5 3 2 2" xfId="20291" xr:uid="{00000000-0005-0000-0000-000080620000}"/>
    <cellStyle name="Notas 5 3 3" xfId="15332" xr:uid="{00000000-0005-0000-0000-000081620000}"/>
    <cellStyle name="Notas 5 3 3 2" xfId="20292" xr:uid="{00000000-0005-0000-0000-000082620000}"/>
    <cellStyle name="Notas 5 3 4" xfId="15333" xr:uid="{00000000-0005-0000-0000-000083620000}"/>
    <cellStyle name="Notas 5 3 4 2" xfId="20293" xr:uid="{00000000-0005-0000-0000-000084620000}"/>
    <cellStyle name="Notas 5 3 5" xfId="15334" xr:uid="{00000000-0005-0000-0000-000085620000}"/>
    <cellStyle name="Notas 5 3 5 2" xfId="20294" xr:uid="{00000000-0005-0000-0000-000086620000}"/>
    <cellStyle name="Notas 5 3 6" xfId="15335" xr:uid="{00000000-0005-0000-0000-000087620000}"/>
    <cellStyle name="Notas 5 3 6 2" xfId="20295" xr:uid="{00000000-0005-0000-0000-000088620000}"/>
    <cellStyle name="Notas 5 3 7" xfId="15336" xr:uid="{00000000-0005-0000-0000-000089620000}"/>
    <cellStyle name="Notas 5 3 7 2" xfId="20296" xr:uid="{00000000-0005-0000-0000-00008A620000}"/>
    <cellStyle name="Notas 5 3 8" xfId="15337" xr:uid="{00000000-0005-0000-0000-00008B620000}"/>
    <cellStyle name="Notas 5 3 8 2" xfId="20297" xr:uid="{00000000-0005-0000-0000-00008C620000}"/>
    <cellStyle name="Notas 5 3 9" xfId="15338" xr:uid="{00000000-0005-0000-0000-00008D620000}"/>
    <cellStyle name="Notas 5 3 9 2" xfId="20298" xr:uid="{00000000-0005-0000-0000-00008E620000}"/>
    <cellStyle name="Notas 5 4" xfId="3906" xr:uid="{00000000-0005-0000-0000-00008F620000}"/>
    <cellStyle name="Notas 5 4 10" xfId="15340" xr:uid="{00000000-0005-0000-0000-000090620000}"/>
    <cellStyle name="Notas 5 4 10 2" xfId="20300" xr:uid="{00000000-0005-0000-0000-000091620000}"/>
    <cellStyle name="Notas 5 4 11" xfId="15341" xr:uid="{00000000-0005-0000-0000-000092620000}"/>
    <cellStyle name="Notas 5 4 11 2" xfId="20301" xr:uid="{00000000-0005-0000-0000-000093620000}"/>
    <cellStyle name="Notas 5 4 12" xfId="20299" xr:uid="{00000000-0005-0000-0000-000094620000}"/>
    <cellStyle name="Notas 5 4 13" xfId="15339" xr:uid="{00000000-0005-0000-0000-000095620000}"/>
    <cellStyle name="Notas 5 4 2" xfId="15342" xr:uid="{00000000-0005-0000-0000-000096620000}"/>
    <cellStyle name="Notas 5 4 2 2" xfId="20302" xr:uid="{00000000-0005-0000-0000-000097620000}"/>
    <cellStyle name="Notas 5 4 3" xfId="15343" xr:uid="{00000000-0005-0000-0000-000098620000}"/>
    <cellStyle name="Notas 5 4 3 2" xfId="20303" xr:uid="{00000000-0005-0000-0000-000099620000}"/>
    <cellStyle name="Notas 5 4 4" xfId="15344" xr:uid="{00000000-0005-0000-0000-00009A620000}"/>
    <cellStyle name="Notas 5 4 4 2" xfId="20304" xr:uid="{00000000-0005-0000-0000-00009B620000}"/>
    <cellStyle name="Notas 5 4 5" xfId="15345" xr:uid="{00000000-0005-0000-0000-00009C620000}"/>
    <cellStyle name="Notas 5 4 5 2" xfId="20305" xr:uid="{00000000-0005-0000-0000-00009D620000}"/>
    <cellStyle name="Notas 5 4 6" xfId="15346" xr:uid="{00000000-0005-0000-0000-00009E620000}"/>
    <cellStyle name="Notas 5 4 6 2" xfId="20306" xr:uid="{00000000-0005-0000-0000-00009F620000}"/>
    <cellStyle name="Notas 5 4 7" xfId="15347" xr:uid="{00000000-0005-0000-0000-0000A0620000}"/>
    <cellStyle name="Notas 5 4 7 2" xfId="20307" xr:uid="{00000000-0005-0000-0000-0000A1620000}"/>
    <cellStyle name="Notas 5 4 8" xfId="15348" xr:uid="{00000000-0005-0000-0000-0000A2620000}"/>
    <cellStyle name="Notas 5 4 8 2" xfId="20308" xr:uid="{00000000-0005-0000-0000-0000A3620000}"/>
    <cellStyle name="Notas 5 4 9" xfId="15349" xr:uid="{00000000-0005-0000-0000-0000A4620000}"/>
    <cellStyle name="Notas 5 4 9 2" xfId="20309" xr:uid="{00000000-0005-0000-0000-0000A5620000}"/>
    <cellStyle name="Notas 5 5" xfId="15350" xr:uid="{00000000-0005-0000-0000-0000A6620000}"/>
    <cellStyle name="Notas 5 5 10" xfId="15351" xr:uid="{00000000-0005-0000-0000-0000A7620000}"/>
    <cellStyle name="Notas 5 5 10 2" xfId="20311" xr:uid="{00000000-0005-0000-0000-0000A8620000}"/>
    <cellStyle name="Notas 5 5 11" xfId="15352" xr:uid="{00000000-0005-0000-0000-0000A9620000}"/>
    <cellStyle name="Notas 5 5 11 2" xfId="20312" xr:uid="{00000000-0005-0000-0000-0000AA620000}"/>
    <cellStyle name="Notas 5 5 12" xfId="20310" xr:uid="{00000000-0005-0000-0000-0000AB620000}"/>
    <cellStyle name="Notas 5 5 2" xfId="15353" xr:uid="{00000000-0005-0000-0000-0000AC620000}"/>
    <cellStyle name="Notas 5 5 2 2" xfId="20313" xr:uid="{00000000-0005-0000-0000-0000AD620000}"/>
    <cellStyle name="Notas 5 5 3" xfId="15354" xr:uid="{00000000-0005-0000-0000-0000AE620000}"/>
    <cellStyle name="Notas 5 5 3 2" xfId="20314" xr:uid="{00000000-0005-0000-0000-0000AF620000}"/>
    <cellStyle name="Notas 5 5 4" xfId="15355" xr:uid="{00000000-0005-0000-0000-0000B0620000}"/>
    <cellStyle name="Notas 5 5 4 2" xfId="20315" xr:uid="{00000000-0005-0000-0000-0000B1620000}"/>
    <cellStyle name="Notas 5 5 5" xfId="15356" xr:uid="{00000000-0005-0000-0000-0000B2620000}"/>
    <cellStyle name="Notas 5 5 5 2" xfId="20316" xr:uid="{00000000-0005-0000-0000-0000B3620000}"/>
    <cellStyle name="Notas 5 5 6" xfId="15357" xr:uid="{00000000-0005-0000-0000-0000B4620000}"/>
    <cellStyle name="Notas 5 5 6 2" xfId="20317" xr:uid="{00000000-0005-0000-0000-0000B5620000}"/>
    <cellStyle name="Notas 5 5 7" xfId="15358" xr:uid="{00000000-0005-0000-0000-0000B6620000}"/>
    <cellStyle name="Notas 5 5 7 2" xfId="20318" xr:uid="{00000000-0005-0000-0000-0000B7620000}"/>
    <cellStyle name="Notas 5 5 8" xfId="15359" xr:uid="{00000000-0005-0000-0000-0000B8620000}"/>
    <cellStyle name="Notas 5 5 8 2" xfId="20319" xr:uid="{00000000-0005-0000-0000-0000B9620000}"/>
    <cellStyle name="Notas 5 5 9" xfId="15360" xr:uid="{00000000-0005-0000-0000-0000BA620000}"/>
    <cellStyle name="Notas 5 5 9 2" xfId="20320" xr:uid="{00000000-0005-0000-0000-0000BB620000}"/>
    <cellStyle name="Notas 5 6" xfId="15361" xr:uid="{00000000-0005-0000-0000-0000BC620000}"/>
    <cellStyle name="Notas 5 6 10" xfId="15362" xr:uid="{00000000-0005-0000-0000-0000BD620000}"/>
    <cellStyle name="Notas 5 6 10 2" xfId="20322" xr:uid="{00000000-0005-0000-0000-0000BE620000}"/>
    <cellStyle name="Notas 5 6 11" xfId="15363" xr:uid="{00000000-0005-0000-0000-0000BF620000}"/>
    <cellStyle name="Notas 5 6 11 2" xfId="20323" xr:uid="{00000000-0005-0000-0000-0000C0620000}"/>
    <cellStyle name="Notas 5 6 12" xfId="20321" xr:uid="{00000000-0005-0000-0000-0000C1620000}"/>
    <cellStyle name="Notas 5 6 2" xfId="15364" xr:uid="{00000000-0005-0000-0000-0000C2620000}"/>
    <cellStyle name="Notas 5 6 2 2" xfId="20324" xr:uid="{00000000-0005-0000-0000-0000C3620000}"/>
    <cellStyle name="Notas 5 6 3" xfId="15365" xr:uid="{00000000-0005-0000-0000-0000C4620000}"/>
    <cellStyle name="Notas 5 6 3 2" xfId="20325" xr:uid="{00000000-0005-0000-0000-0000C5620000}"/>
    <cellStyle name="Notas 5 6 4" xfId="15366" xr:uid="{00000000-0005-0000-0000-0000C6620000}"/>
    <cellStyle name="Notas 5 6 4 2" xfId="20326" xr:uid="{00000000-0005-0000-0000-0000C7620000}"/>
    <cellStyle name="Notas 5 6 5" xfId="15367" xr:uid="{00000000-0005-0000-0000-0000C8620000}"/>
    <cellStyle name="Notas 5 6 5 2" xfId="20327" xr:uid="{00000000-0005-0000-0000-0000C9620000}"/>
    <cellStyle name="Notas 5 6 6" xfId="15368" xr:uid="{00000000-0005-0000-0000-0000CA620000}"/>
    <cellStyle name="Notas 5 6 6 2" xfId="20328" xr:uid="{00000000-0005-0000-0000-0000CB620000}"/>
    <cellStyle name="Notas 5 6 7" xfId="15369" xr:uid="{00000000-0005-0000-0000-0000CC620000}"/>
    <cellStyle name="Notas 5 6 7 2" xfId="20329" xr:uid="{00000000-0005-0000-0000-0000CD620000}"/>
    <cellStyle name="Notas 5 6 8" xfId="15370" xr:uid="{00000000-0005-0000-0000-0000CE620000}"/>
    <cellStyle name="Notas 5 6 8 2" xfId="20330" xr:uid="{00000000-0005-0000-0000-0000CF620000}"/>
    <cellStyle name="Notas 5 6 9" xfId="15371" xr:uid="{00000000-0005-0000-0000-0000D0620000}"/>
    <cellStyle name="Notas 5 6 9 2" xfId="20331" xr:uid="{00000000-0005-0000-0000-0000D1620000}"/>
    <cellStyle name="Notas 5 7" xfId="15372" xr:uid="{00000000-0005-0000-0000-0000D2620000}"/>
    <cellStyle name="Notas 5 7 10" xfId="15373" xr:uid="{00000000-0005-0000-0000-0000D3620000}"/>
    <cellStyle name="Notas 5 7 10 2" xfId="20333" xr:uid="{00000000-0005-0000-0000-0000D4620000}"/>
    <cellStyle name="Notas 5 7 11" xfId="15374" xr:uid="{00000000-0005-0000-0000-0000D5620000}"/>
    <cellStyle name="Notas 5 7 11 2" xfId="20334" xr:uid="{00000000-0005-0000-0000-0000D6620000}"/>
    <cellStyle name="Notas 5 7 12" xfId="20332" xr:uid="{00000000-0005-0000-0000-0000D7620000}"/>
    <cellStyle name="Notas 5 7 2" xfId="15375" xr:uid="{00000000-0005-0000-0000-0000D8620000}"/>
    <cellStyle name="Notas 5 7 2 2" xfId="20335" xr:uid="{00000000-0005-0000-0000-0000D9620000}"/>
    <cellStyle name="Notas 5 7 3" xfId="15376" xr:uid="{00000000-0005-0000-0000-0000DA620000}"/>
    <cellStyle name="Notas 5 7 3 2" xfId="20336" xr:uid="{00000000-0005-0000-0000-0000DB620000}"/>
    <cellStyle name="Notas 5 7 4" xfId="15377" xr:uid="{00000000-0005-0000-0000-0000DC620000}"/>
    <cellStyle name="Notas 5 7 4 2" xfId="20337" xr:uid="{00000000-0005-0000-0000-0000DD620000}"/>
    <cellStyle name="Notas 5 7 5" xfId="15378" xr:uid="{00000000-0005-0000-0000-0000DE620000}"/>
    <cellStyle name="Notas 5 7 5 2" xfId="20338" xr:uid="{00000000-0005-0000-0000-0000DF620000}"/>
    <cellStyle name="Notas 5 7 6" xfId="15379" xr:uid="{00000000-0005-0000-0000-0000E0620000}"/>
    <cellStyle name="Notas 5 7 6 2" xfId="20339" xr:uid="{00000000-0005-0000-0000-0000E1620000}"/>
    <cellStyle name="Notas 5 7 7" xfId="15380" xr:uid="{00000000-0005-0000-0000-0000E2620000}"/>
    <cellStyle name="Notas 5 7 7 2" xfId="20340" xr:uid="{00000000-0005-0000-0000-0000E3620000}"/>
    <cellStyle name="Notas 5 7 8" xfId="15381" xr:uid="{00000000-0005-0000-0000-0000E4620000}"/>
    <cellStyle name="Notas 5 7 8 2" xfId="20341" xr:uid="{00000000-0005-0000-0000-0000E5620000}"/>
    <cellStyle name="Notas 5 7 9" xfId="15382" xr:uid="{00000000-0005-0000-0000-0000E6620000}"/>
    <cellStyle name="Notas 5 7 9 2" xfId="20342" xr:uid="{00000000-0005-0000-0000-0000E7620000}"/>
    <cellStyle name="Notas 5 8" xfId="15383" xr:uid="{00000000-0005-0000-0000-0000E8620000}"/>
    <cellStyle name="Notas 5 8 2" xfId="20343" xr:uid="{00000000-0005-0000-0000-0000E9620000}"/>
    <cellStyle name="Notas 5 9" xfId="15384" xr:uid="{00000000-0005-0000-0000-0000EA620000}"/>
    <cellStyle name="Notas 5 9 2" xfId="20344" xr:uid="{00000000-0005-0000-0000-0000EB620000}"/>
    <cellStyle name="Notas 6" xfId="1293" xr:uid="{00000000-0005-0000-0000-0000EC620000}"/>
    <cellStyle name="Notas 6 10" xfId="15386" xr:uid="{00000000-0005-0000-0000-0000ED620000}"/>
    <cellStyle name="Notas 6 10 2" xfId="20346" xr:uid="{00000000-0005-0000-0000-0000EE620000}"/>
    <cellStyle name="Notas 6 11" xfId="15387" xr:uid="{00000000-0005-0000-0000-0000EF620000}"/>
    <cellStyle name="Notas 6 11 2" xfId="20347" xr:uid="{00000000-0005-0000-0000-0000F0620000}"/>
    <cellStyle name="Notas 6 12" xfId="15388" xr:uid="{00000000-0005-0000-0000-0000F1620000}"/>
    <cellStyle name="Notas 6 12 2" xfId="20348" xr:uid="{00000000-0005-0000-0000-0000F2620000}"/>
    <cellStyle name="Notas 6 13" xfId="15389" xr:uid="{00000000-0005-0000-0000-0000F3620000}"/>
    <cellStyle name="Notas 6 13 2" xfId="20349" xr:uid="{00000000-0005-0000-0000-0000F4620000}"/>
    <cellStyle name="Notas 6 14" xfId="15390" xr:uid="{00000000-0005-0000-0000-0000F5620000}"/>
    <cellStyle name="Notas 6 14 2" xfId="20350" xr:uid="{00000000-0005-0000-0000-0000F6620000}"/>
    <cellStyle name="Notas 6 15" xfId="15391" xr:uid="{00000000-0005-0000-0000-0000F7620000}"/>
    <cellStyle name="Notas 6 15 2" xfId="20351" xr:uid="{00000000-0005-0000-0000-0000F8620000}"/>
    <cellStyle name="Notas 6 16" xfId="15392" xr:uid="{00000000-0005-0000-0000-0000F9620000}"/>
    <cellStyle name="Notas 6 16 2" xfId="20352" xr:uid="{00000000-0005-0000-0000-0000FA620000}"/>
    <cellStyle name="Notas 6 17" xfId="15385" xr:uid="{00000000-0005-0000-0000-0000FB620000}"/>
    <cellStyle name="Notas 6 18" xfId="20345" xr:uid="{00000000-0005-0000-0000-0000FC620000}"/>
    <cellStyle name="Notas 6 2" xfId="2496" xr:uid="{00000000-0005-0000-0000-0000FD620000}"/>
    <cellStyle name="Notas 6 2 10" xfId="15394" xr:uid="{00000000-0005-0000-0000-0000FE620000}"/>
    <cellStyle name="Notas 6 2 10 2" xfId="20354" xr:uid="{00000000-0005-0000-0000-0000FF620000}"/>
    <cellStyle name="Notas 6 2 11" xfId="15395" xr:uid="{00000000-0005-0000-0000-000000630000}"/>
    <cellStyle name="Notas 6 2 11 2" xfId="20355" xr:uid="{00000000-0005-0000-0000-000001630000}"/>
    <cellStyle name="Notas 6 2 12" xfId="15396" xr:uid="{00000000-0005-0000-0000-000002630000}"/>
    <cellStyle name="Notas 6 2 12 2" xfId="20356" xr:uid="{00000000-0005-0000-0000-000003630000}"/>
    <cellStyle name="Notas 6 2 13" xfId="15397" xr:uid="{00000000-0005-0000-0000-000004630000}"/>
    <cellStyle name="Notas 6 2 13 2" xfId="20357" xr:uid="{00000000-0005-0000-0000-000005630000}"/>
    <cellStyle name="Notas 6 2 14" xfId="15393" xr:uid="{00000000-0005-0000-0000-000006630000}"/>
    <cellStyle name="Notas 6 2 15" xfId="20353" xr:uid="{00000000-0005-0000-0000-000007630000}"/>
    <cellStyle name="Notas 6 2 2" xfId="15398" xr:uid="{00000000-0005-0000-0000-000008630000}"/>
    <cellStyle name="Notas 6 2 2 10" xfId="15399" xr:uid="{00000000-0005-0000-0000-000009630000}"/>
    <cellStyle name="Notas 6 2 2 10 2" xfId="20359" xr:uid="{00000000-0005-0000-0000-00000A630000}"/>
    <cellStyle name="Notas 6 2 2 11" xfId="15400" xr:uid="{00000000-0005-0000-0000-00000B630000}"/>
    <cellStyle name="Notas 6 2 2 11 2" xfId="20360" xr:uid="{00000000-0005-0000-0000-00000C630000}"/>
    <cellStyle name="Notas 6 2 2 12" xfId="15401" xr:uid="{00000000-0005-0000-0000-00000D630000}"/>
    <cellStyle name="Notas 6 2 2 12 2" xfId="20361" xr:uid="{00000000-0005-0000-0000-00000E630000}"/>
    <cellStyle name="Notas 6 2 2 13" xfId="20358" xr:uid="{00000000-0005-0000-0000-00000F630000}"/>
    <cellStyle name="Notas 6 2 2 2" xfId="15402" xr:uid="{00000000-0005-0000-0000-000010630000}"/>
    <cellStyle name="Notas 6 2 2 2 2" xfId="20362" xr:uid="{00000000-0005-0000-0000-000011630000}"/>
    <cellStyle name="Notas 6 2 2 3" xfId="15403" xr:uid="{00000000-0005-0000-0000-000012630000}"/>
    <cellStyle name="Notas 6 2 2 3 2" xfId="20363" xr:uid="{00000000-0005-0000-0000-000013630000}"/>
    <cellStyle name="Notas 6 2 2 4" xfId="15404" xr:uid="{00000000-0005-0000-0000-000014630000}"/>
    <cellStyle name="Notas 6 2 2 4 2" xfId="20364" xr:uid="{00000000-0005-0000-0000-000015630000}"/>
    <cellStyle name="Notas 6 2 2 5" xfId="15405" xr:uid="{00000000-0005-0000-0000-000016630000}"/>
    <cellStyle name="Notas 6 2 2 5 2" xfId="20365" xr:uid="{00000000-0005-0000-0000-000017630000}"/>
    <cellStyle name="Notas 6 2 2 6" xfId="15406" xr:uid="{00000000-0005-0000-0000-000018630000}"/>
    <cellStyle name="Notas 6 2 2 6 2" xfId="20366" xr:uid="{00000000-0005-0000-0000-000019630000}"/>
    <cellStyle name="Notas 6 2 2 7" xfId="15407" xr:uid="{00000000-0005-0000-0000-00001A630000}"/>
    <cellStyle name="Notas 6 2 2 7 2" xfId="20367" xr:uid="{00000000-0005-0000-0000-00001B630000}"/>
    <cellStyle name="Notas 6 2 2 8" xfId="15408" xr:uid="{00000000-0005-0000-0000-00001C630000}"/>
    <cellStyle name="Notas 6 2 2 8 2" xfId="20368" xr:uid="{00000000-0005-0000-0000-00001D630000}"/>
    <cellStyle name="Notas 6 2 2 9" xfId="15409" xr:uid="{00000000-0005-0000-0000-00001E630000}"/>
    <cellStyle name="Notas 6 2 2 9 2" xfId="20369" xr:uid="{00000000-0005-0000-0000-00001F630000}"/>
    <cellStyle name="Notas 6 2 3" xfId="15410" xr:uid="{00000000-0005-0000-0000-000020630000}"/>
    <cellStyle name="Notas 6 2 3 10" xfId="15411" xr:uid="{00000000-0005-0000-0000-000021630000}"/>
    <cellStyle name="Notas 6 2 3 10 2" xfId="20371" xr:uid="{00000000-0005-0000-0000-000022630000}"/>
    <cellStyle name="Notas 6 2 3 11" xfId="15412" xr:uid="{00000000-0005-0000-0000-000023630000}"/>
    <cellStyle name="Notas 6 2 3 11 2" xfId="20372" xr:uid="{00000000-0005-0000-0000-000024630000}"/>
    <cellStyle name="Notas 6 2 3 12" xfId="20370" xr:uid="{00000000-0005-0000-0000-000025630000}"/>
    <cellStyle name="Notas 6 2 3 2" xfId="15413" xr:uid="{00000000-0005-0000-0000-000026630000}"/>
    <cellStyle name="Notas 6 2 3 2 2" xfId="20373" xr:uid="{00000000-0005-0000-0000-000027630000}"/>
    <cellStyle name="Notas 6 2 3 3" xfId="15414" xr:uid="{00000000-0005-0000-0000-000028630000}"/>
    <cellStyle name="Notas 6 2 3 3 2" xfId="20374" xr:uid="{00000000-0005-0000-0000-000029630000}"/>
    <cellStyle name="Notas 6 2 3 4" xfId="15415" xr:uid="{00000000-0005-0000-0000-00002A630000}"/>
    <cellStyle name="Notas 6 2 3 4 2" xfId="20375" xr:uid="{00000000-0005-0000-0000-00002B630000}"/>
    <cellStyle name="Notas 6 2 3 5" xfId="15416" xr:uid="{00000000-0005-0000-0000-00002C630000}"/>
    <cellStyle name="Notas 6 2 3 5 2" xfId="20376" xr:uid="{00000000-0005-0000-0000-00002D630000}"/>
    <cellStyle name="Notas 6 2 3 6" xfId="15417" xr:uid="{00000000-0005-0000-0000-00002E630000}"/>
    <cellStyle name="Notas 6 2 3 6 2" xfId="20377" xr:uid="{00000000-0005-0000-0000-00002F630000}"/>
    <cellStyle name="Notas 6 2 3 7" xfId="15418" xr:uid="{00000000-0005-0000-0000-000030630000}"/>
    <cellStyle name="Notas 6 2 3 7 2" xfId="20378" xr:uid="{00000000-0005-0000-0000-000031630000}"/>
    <cellStyle name="Notas 6 2 3 8" xfId="15419" xr:uid="{00000000-0005-0000-0000-000032630000}"/>
    <cellStyle name="Notas 6 2 3 8 2" xfId="20379" xr:uid="{00000000-0005-0000-0000-000033630000}"/>
    <cellStyle name="Notas 6 2 3 9" xfId="15420" xr:uid="{00000000-0005-0000-0000-000034630000}"/>
    <cellStyle name="Notas 6 2 3 9 2" xfId="20380" xr:uid="{00000000-0005-0000-0000-000035630000}"/>
    <cellStyle name="Notas 6 2 4" xfId="15421" xr:uid="{00000000-0005-0000-0000-000036630000}"/>
    <cellStyle name="Notas 6 2 4 10" xfId="15422" xr:uid="{00000000-0005-0000-0000-000037630000}"/>
    <cellStyle name="Notas 6 2 4 10 2" xfId="20382" xr:uid="{00000000-0005-0000-0000-000038630000}"/>
    <cellStyle name="Notas 6 2 4 11" xfId="15423" xr:uid="{00000000-0005-0000-0000-000039630000}"/>
    <cellStyle name="Notas 6 2 4 11 2" xfId="20383" xr:uid="{00000000-0005-0000-0000-00003A630000}"/>
    <cellStyle name="Notas 6 2 4 12" xfId="20381" xr:uid="{00000000-0005-0000-0000-00003B630000}"/>
    <cellStyle name="Notas 6 2 4 2" xfId="15424" xr:uid="{00000000-0005-0000-0000-00003C630000}"/>
    <cellStyle name="Notas 6 2 4 2 2" xfId="20384" xr:uid="{00000000-0005-0000-0000-00003D630000}"/>
    <cellStyle name="Notas 6 2 4 3" xfId="15425" xr:uid="{00000000-0005-0000-0000-00003E630000}"/>
    <cellStyle name="Notas 6 2 4 3 2" xfId="20385" xr:uid="{00000000-0005-0000-0000-00003F630000}"/>
    <cellStyle name="Notas 6 2 4 4" xfId="15426" xr:uid="{00000000-0005-0000-0000-000040630000}"/>
    <cellStyle name="Notas 6 2 4 4 2" xfId="20386" xr:uid="{00000000-0005-0000-0000-000041630000}"/>
    <cellStyle name="Notas 6 2 4 5" xfId="15427" xr:uid="{00000000-0005-0000-0000-000042630000}"/>
    <cellStyle name="Notas 6 2 4 5 2" xfId="20387" xr:uid="{00000000-0005-0000-0000-000043630000}"/>
    <cellStyle name="Notas 6 2 4 6" xfId="15428" xr:uid="{00000000-0005-0000-0000-000044630000}"/>
    <cellStyle name="Notas 6 2 4 6 2" xfId="20388" xr:uid="{00000000-0005-0000-0000-000045630000}"/>
    <cellStyle name="Notas 6 2 4 7" xfId="15429" xr:uid="{00000000-0005-0000-0000-000046630000}"/>
    <cellStyle name="Notas 6 2 4 7 2" xfId="20389" xr:uid="{00000000-0005-0000-0000-000047630000}"/>
    <cellStyle name="Notas 6 2 4 8" xfId="15430" xr:uid="{00000000-0005-0000-0000-000048630000}"/>
    <cellStyle name="Notas 6 2 4 8 2" xfId="20390" xr:uid="{00000000-0005-0000-0000-000049630000}"/>
    <cellStyle name="Notas 6 2 4 9" xfId="15431" xr:uid="{00000000-0005-0000-0000-00004A630000}"/>
    <cellStyle name="Notas 6 2 4 9 2" xfId="20391" xr:uid="{00000000-0005-0000-0000-00004B630000}"/>
    <cellStyle name="Notas 6 2 5" xfId="15432" xr:uid="{00000000-0005-0000-0000-00004C630000}"/>
    <cellStyle name="Notas 6 2 5 10" xfId="15433" xr:uid="{00000000-0005-0000-0000-00004D630000}"/>
    <cellStyle name="Notas 6 2 5 10 2" xfId="20393" xr:uid="{00000000-0005-0000-0000-00004E630000}"/>
    <cellStyle name="Notas 6 2 5 11" xfId="15434" xr:uid="{00000000-0005-0000-0000-00004F630000}"/>
    <cellStyle name="Notas 6 2 5 11 2" xfId="20394" xr:uid="{00000000-0005-0000-0000-000050630000}"/>
    <cellStyle name="Notas 6 2 5 12" xfId="20392" xr:uid="{00000000-0005-0000-0000-000051630000}"/>
    <cellStyle name="Notas 6 2 5 2" xfId="15435" xr:uid="{00000000-0005-0000-0000-000052630000}"/>
    <cellStyle name="Notas 6 2 5 2 2" xfId="20395" xr:uid="{00000000-0005-0000-0000-000053630000}"/>
    <cellStyle name="Notas 6 2 5 3" xfId="15436" xr:uid="{00000000-0005-0000-0000-000054630000}"/>
    <cellStyle name="Notas 6 2 5 3 2" xfId="20396" xr:uid="{00000000-0005-0000-0000-000055630000}"/>
    <cellStyle name="Notas 6 2 5 4" xfId="15437" xr:uid="{00000000-0005-0000-0000-000056630000}"/>
    <cellStyle name="Notas 6 2 5 4 2" xfId="20397" xr:uid="{00000000-0005-0000-0000-000057630000}"/>
    <cellStyle name="Notas 6 2 5 5" xfId="15438" xr:uid="{00000000-0005-0000-0000-000058630000}"/>
    <cellStyle name="Notas 6 2 5 5 2" xfId="20398" xr:uid="{00000000-0005-0000-0000-000059630000}"/>
    <cellStyle name="Notas 6 2 5 6" xfId="15439" xr:uid="{00000000-0005-0000-0000-00005A630000}"/>
    <cellStyle name="Notas 6 2 5 6 2" xfId="20399" xr:uid="{00000000-0005-0000-0000-00005B630000}"/>
    <cellStyle name="Notas 6 2 5 7" xfId="15440" xr:uid="{00000000-0005-0000-0000-00005C630000}"/>
    <cellStyle name="Notas 6 2 5 7 2" xfId="20400" xr:uid="{00000000-0005-0000-0000-00005D630000}"/>
    <cellStyle name="Notas 6 2 5 8" xfId="15441" xr:uid="{00000000-0005-0000-0000-00005E630000}"/>
    <cellStyle name="Notas 6 2 5 8 2" xfId="20401" xr:uid="{00000000-0005-0000-0000-00005F630000}"/>
    <cellStyle name="Notas 6 2 5 9" xfId="15442" xr:uid="{00000000-0005-0000-0000-000060630000}"/>
    <cellStyle name="Notas 6 2 5 9 2" xfId="20402" xr:uid="{00000000-0005-0000-0000-000061630000}"/>
    <cellStyle name="Notas 6 2 6" xfId="15443" xr:uid="{00000000-0005-0000-0000-000062630000}"/>
    <cellStyle name="Notas 6 2 6 10" xfId="15444" xr:uid="{00000000-0005-0000-0000-000063630000}"/>
    <cellStyle name="Notas 6 2 6 10 2" xfId="20404" xr:uid="{00000000-0005-0000-0000-000064630000}"/>
    <cellStyle name="Notas 6 2 6 11" xfId="15445" xr:uid="{00000000-0005-0000-0000-000065630000}"/>
    <cellStyle name="Notas 6 2 6 11 2" xfId="20405" xr:uid="{00000000-0005-0000-0000-000066630000}"/>
    <cellStyle name="Notas 6 2 6 12" xfId="20403" xr:uid="{00000000-0005-0000-0000-000067630000}"/>
    <cellStyle name="Notas 6 2 6 2" xfId="15446" xr:uid="{00000000-0005-0000-0000-000068630000}"/>
    <cellStyle name="Notas 6 2 6 2 2" xfId="20406" xr:uid="{00000000-0005-0000-0000-000069630000}"/>
    <cellStyle name="Notas 6 2 6 3" xfId="15447" xr:uid="{00000000-0005-0000-0000-00006A630000}"/>
    <cellStyle name="Notas 6 2 6 3 2" xfId="20407" xr:uid="{00000000-0005-0000-0000-00006B630000}"/>
    <cellStyle name="Notas 6 2 6 4" xfId="15448" xr:uid="{00000000-0005-0000-0000-00006C630000}"/>
    <cellStyle name="Notas 6 2 6 4 2" xfId="20408" xr:uid="{00000000-0005-0000-0000-00006D630000}"/>
    <cellStyle name="Notas 6 2 6 5" xfId="15449" xr:uid="{00000000-0005-0000-0000-00006E630000}"/>
    <cellStyle name="Notas 6 2 6 5 2" xfId="20409" xr:uid="{00000000-0005-0000-0000-00006F630000}"/>
    <cellStyle name="Notas 6 2 6 6" xfId="15450" xr:uid="{00000000-0005-0000-0000-000070630000}"/>
    <cellStyle name="Notas 6 2 6 6 2" xfId="20410" xr:uid="{00000000-0005-0000-0000-000071630000}"/>
    <cellStyle name="Notas 6 2 6 7" xfId="15451" xr:uid="{00000000-0005-0000-0000-000072630000}"/>
    <cellStyle name="Notas 6 2 6 7 2" xfId="20411" xr:uid="{00000000-0005-0000-0000-000073630000}"/>
    <cellStyle name="Notas 6 2 6 8" xfId="15452" xr:uid="{00000000-0005-0000-0000-000074630000}"/>
    <cellStyle name="Notas 6 2 6 8 2" xfId="20412" xr:uid="{00000000-0005-0000-0000-000075630000}"/>
    <cellStyle name="Notas 6 2 6 9" xfId="15453" xr:uid="{00000000-0005-0000-0000-000076630000}"/>
    <cellStyle name="Notas 6 2 6 9 2" xfId="20413" xr:uid="{00000000-0005-0000-0000-000077630000}"/>
    <cellStyle name="Notas 6 2 7" xfId="15454" xr:uid="{00000000-0005-0000-0000-000078630000}"/>
    <cellStyle name="Notas 6 2 7 10" xfId="15455" xr:uid="{00000000-0005-0000-0000-000079630000}"/>
    <cellStyle name="Notas 6 2 7 10 2" xfId="20415" xr:uid="{00000000-0005-0000-0000-00007A630000}"/>
    <cellStyle name="Notas 6 2 7 11" xfId="15456" xr:uid="{00000000-0005-0000-0000-00007B630000}"/>
    <cellStyle name="Notas 6 2 7 11 2" xfId="20416" xr:uid="{00000000-0005-0000-0000-00007C630000}"/>
    <cellStyle name="Notas 6 2 7 12" xfId="20414" xr:uid="{00000000-0005-0000-0000-00007D630000}"/>
    <cellStyle name="Notas 6 2 7 2" xfId="15457" xr:uid="{00000000-0005-0000-0000-00007E630000}"/>
    <cellStyle name="Notas 6 2 7 2 2" xfId="20417" xr:uid="{00000000-0005-0000-0000-00007F630000}"/>
    <cellStyle name="Notas 6 2 7 3" xfId="15458" xr:uid="{00000000-0005-0000-0000-000080630000}"/>
    <cellStyle name="Notas 6 2 7 3 2" xfId="20418" xr:uid="{00000000-0005-0000-0000-000081630000}"/>
    <cellStyle name="Notas 6 2 7 4" xfId="15459" xr:uid="{00000000-0005-0000-0000-000082630000}"/>
    <cellStyle name="Notas 6 2 7 4 2" xfId="20419" xr:uid="{00000000-0005-0000-0000-000083630000}"/>
    <cellStyle name="Notas 6 2 7 5" xfId="15460" xr:uid="{00000000-0005-0000-0000-000084630000}"/>
    <cellStyle name="Notas 6 2 7 5 2" xfId="20420" xr:uid="{00000000-0005-0000-0000-000085630000}"/>
    <cellStyle name="Notas 6 2 7 6" xfId="15461" xr:uid="{00000000-0005-0000-0000-000086630000}"/>
    <cellStyle name="Notas 6 2 7 6 2" xfId="20421" xr:uid="{00000000-0005-0000-0000-000087630000}"/>
    <cellStyle name="Notas 6 2 7 7" xfId="15462" xr:uid="{00000000-0005-0000-0000-000088630000}"/>
    <cellStyle name="Notas 6 2 7 7 2" xfId="20422" xr:uid="{00000000-0005-0000-0000-000089630000}"/>
    <cellStyle name="Notas 6 2 7 8" xfId="15463" xr:uid="{00000000-0005-0000-0000-00008A630000}"/>
    <cellStyle name="Notas 6 2 7 8 2" xfId="20423" xr:uid="{00000000-0005-0000-0000-00008B630000}"/>
    <cellStyle name="Notas 6 2 7 9" xfId="15464" xr:uid="{00000000-0005-0000-0000-00008C630000}"/>
    <cellStyle name="Notas 6 2 7 9 2" xfId="20424" xr:uid="{00000000-0005-0000-0000-00008D630000}"/>
    <cellStyle name="Notas 6 2 8" xfId="15465" xr:uid="{00000000-0005-0000-0000-00008E630000}"/>
    <cellStyle name="Notas 6 2 8 2" xfId="20425" xr:uid="{00000000-0005-0000-0000-00008F630000}"/>
    <cellStyle name="Notas 6 2 9" xfId="15466" xr:uid="{00000000-0005-0000-0000-000090630000}"/>
    <cellStyle name="Notas 6 2 9 2" xfId="20426" xr:uid="{00000000-0005-0000-0000-000091630000}"/>
    <cellStyle name="Notas 6 3" xfId="2495" xr:uid="{00000000-0005-0000-0000-000092630000}"/>
    <cellStyle name="Notas 6 3 10" xfId="15468" xr:uid="{00000000-0005-0000-0000-000093630000}"/>
    <cellStyle name="Notas 6 3 10 2" xfId="20428" xr:uid="{00000000-0005-0000-0000-000094630000}"/>
    <cellStyle name="Notas 6 3 11" xfId="15469" xr:uid="{00000000-0005-0000-0000-000095630000}"/>
    <cellStyle name="Notas 6 3 11 2" xfId="20429" xr:uid="{00000000-0005-0000-0000-000096630000}"/>
    <cellStyle name="Notas 6 3 12" xfId="15470" xr:uid="{00000000-0005-0000-0000-000097630000}"/>
    <cellStyle name="Notas 6 3 12 2" xfId="20430" xr:uid="{00000000-0005-0000-0000-000098630000}"/>
    <cellStyle name="Notas 6 3 13" xfId="20427" xr:uid="{00000000-0005-0000-0000-000099630000}"/>
    <cellStyle name="Notas 6 3 14" xfId="15467" xr:uid="{00000000-0005-0000-0000-00009A630000}"/>
    <cellStyle name="Notas 6 3 15" xfId="24349" xr:uid="{00000000-0005-0000-0000-00009B630000}"/>
    <cellStyle name="Notas 6 3 2" xfId="15471" xr:uid="{00000000-0005-0000-0000-00009C630000}"/>
    <cellStyle name="Notas 6 3 2 2" xfId="20431" xr:uid="{00000000-0005-0000-0000-00009D630000}"/>
    <cellStyle name="Notas 6 3 3" xfId="15472" xr:uid="{00000000-0005-0000-0000-00009E630000}"/>
    <cellStyle name="Notas 6 3 3 2" xfId="20432" xr:uid="{00000000-0005-0000-0000-00009F630000}"/>
    <cellStyle name="Notas 6 3 4" xfId="15473" xr:uid="{00000000-0005-0000-0000-0000A0630000}"/>
    <cellStyle name="Notas 6 3 4 2" xfId="20433" xr:uid="{00000000-0005-0000-0000-0000A1630000}"/>
    <cellStyle name="Notas 6 3 5" xfId="15474" xr:uid="{00000000-0005-0000-0000-0000A2630000}"/>
    <cellStyle name="Notas 6 3 5 2" xfId="20434" xr:uid="{00000000-0005-0000-0000-0000A3630000}"/>
    <cellStyle name="Notas 6 3 6" xfId="15475" xr:uid="{00000000-0005-0000-0000-0000A4630000}"/>
    <cellStyle name="Notas 6 3 6 2" xfId="20435" xr:uid="{00000000-0005-0000-0000-0000A5630000}"/>
    <cellStyle name="Notas 6 3 7" xfId="15476" xr:uid="{00000000-0005-0000-0000-0000A6630000}"/>
    <cellStyle name="Notas 6 3 7 2" xfId="20436" xr:uid="{00000000-0005-0000-0000-0000A7630000}"/>
    <cellStyle name="Notas 6 3 8" xfId="15477" xr:uid="{00000000-0005-0000-0000-0000A8630000}"/>
    <cellStyle name="Notas 6 3 8 2" xfId="20437" xr:uid="{00000000-0005-0000-0000-0000A9630000}"/>
    <cellStyle name="Notas 6 3 9" xfId="15478" xr:uid="{00000000-0005-0000-0000-0000AA630000}"/>
    <cellStyle name="Notas 6 3 9 2" xfId="20438" xr:uid="{00000000-0005-0000-0000-0000AB630000}"/>
    <cellStyle name="Notas 6 4" xfId="3907" xr:uid="{00000000-0005-0000-0000-0000AC630000}"/>
    <cellStyle name="Notas 6 4 10" xfId="15480" xr:uid="{00000000-0005-0000-0000-0000AD630000}"/>
    <cellStyle name="Notas 6 4 10 2" xfId="20440" xr:uid="{00000000-0005-0000-0000-0000AE630000}"/>
    <cellStyle name="Notas 6 4 11" xfId="15481" xr:uid="{00000000-0005-0000-0000-0000AF630000}"/>
    <cellStyle name="Notas 6 4 11 2" xfId="20441" xr:uid="{00000000-0005-0000-0000-0000B0630000}"/>
    <cellStyle name="Notas 6 4 12" xfId="20439" xr:uid="{00000000-0005-0000-0000-0000B1630000}"/>
    <cellStyle name="Notas 6 4 13" xfId="15479" xr:uid="{00000000-0005-0000-0000-0000B2630000}"/>
    <cellStyle name="Notas 6 4 2" xfId="15482" xr:uid="{00000000-0005-0000-0000-0000B3630000}"/>
    <cellStyle name="Notas 6 4 2 2" xfId="20442" xr:uid="{00000000-0005-0000-0000-0000B4630000}"/>
    <cellStyle name="Notas 6 4 3" xfId="15483" xr:uid="{00000000-0005-0000-0000-0000B5630000}"/>
    <cellStyle name="Notas 6 4 3 2" xfId="20443" xr:uid="{00000000-0005-0000-0000-0000B6630000}"/>
    <cellStyle name="Notas 6 4 4" xfId="15484" xr:uid="{00000000-0005-0000-0000-0000B7630000}"/>
    <cellStyle name="Notas 6 4 4 2" xfId="20444" xr:uid="{00000000-0005-0000-0000-0000B8630000}"/>
    <cellStyle name="Notas 6 4 5" xfId="15485" xr:uid="{00000000-0005-0000-0000-0000B9630000}"/>
    <cellStyle name="Notas 6 4 5 2" xfId="20445" xr:uid="{00000000-0005-0000-0000-0000BA630000}"/>
    <cellStyle name="Notas 6 4 6" xfId="15486" xr:uid="{00000000-0005-0000-0000-0000BB630000}"/>
    <cellStyle name="Notas 6 4 6 2" xfId="20446" xr:uid="{00000000-0005-0000-0000-0000BC630000}"/>
    <cellStyle name="Notas 6 4 7" xfId="15487" xr:uid="{00000000-0005-0000-0000-0000BD630000}"/>
    <cellStyle name="Notas 6 4 7 2" xfId="20447" xr:uid="{00000000-0005-0000-0000-0000BE630000}"/>
    <cellStyle name="Notas 6 4 8" xfId="15488" xr:uid="{00000000-0005-0000-0000-0000BF630000}"/>
    <cellStyle name="Notas 6 4 8 2" xfId="20448" xr:uid="{00000000-0005-0000-0000-0000C0630000}"/>
    <cellStyle name="Notas 6 4 9" xfId="15489" xr:uid="{00000000-0005-0000-0000-0000C1630000}"/>
    <cellStyle name="Notas 6 4 9 2" xfId="20449" xr:uid="{00000000-0005-0000-0000-0000C2630000}"/>
    <cellStyle name="Notas 6 5" xfId="15490" xr:uid="{00000000-0005-0000-0000-0000C3630000}"/>
    <cellStyle name="Notas 6 5 10" xfId="15491" xr:uid="{00000000-0005-0000-0000-0000C4630000}"/>
    <cellStyle name="Notas 6 5 10 2" xfId="20451" xr:uid="{00000000-0005-0000-0000-0000C5630000}"/>
    <cellStyle name="Notas 6 5 11" xfId="15492" xr:uid="{00000000-0005-0000-0000-0000C6630000}"/>
    <cellStyle name="Notas 6 5 11 2" xfId="20452" xr:uid="{00000000-0005-0000-0000-0000C7630000}"/>
    <cellStyle name="Notas 6 5 12" xfId="20450" xr:uid="{00000000-0005-0000-0000-0000C8630000}"/>
    <cellStyle name="Notas 6 5 2" xfId="15493" xr:uid="{00000000-0005-0000-0000-0000C9630000}"/>
    <cellStyle name="Notas 6 5 2 2" xfId="20453" xr:uid="{00000000-0005-0000-0000-0000CA630000}"/>
    <cellStyle name="Notas 6 5 3" xfId="15494" xr:uid="{00000000-0005-0000-0000-0000CB630000}"/>
    <cellStyle name="Notas 6 5 3 2" xfId="20454" xr:uid="{00000000-0005-0000-0000-0000CC630000}"/>
    <cellStyle name="Notas 6 5 4" xfId="15495" xr:uid="{00000000-0005-0000-0000-0000CD630000}"/>
    <cellStyle name="Notas 6 5 4 2" xfId="20455" xr:uid="{00000000-0005-0000-0000-0000CE630000}"/>
    <cellStyle name="Notas 6 5 5" xfId="15496" xr:uid="{00000000-0005-0000-0000-0000CF630000}"/>
    <cellStyle name="Notas 6 5 5 2" xfId="20456" xr:uid="{00000000-0005-0000-0000-0000D0630000}"/>
    <cellStyle name="Notas 6 5 6" xfId="15497" xr:uid="{00000000-0005-0000-0000-0000D1630000}"/>
    <cellStyle name="Notas 6 5 6 2" xfId="20457" xr:uid="{00000000-0005-0000-0000-0000D2630000}"/>
    <cellStyle name="Notas 6 5 7" xfId="15498" xr:uid="{00000000-0005-0000-0000-0000D3630000}"/>
    <cellStyle name="Notas 6 5 7 2" xfId="20458" xr:uid="{00000000-0005-0000-0000-0000D4630000}"/>
    <cellStyle name="Notas 6 5 8" xfId="15499" xr:uid="{00000000-0005-0000-0000-0000D5630000}"/>
    <cellStyle name="Notas 6 5 8 2" xfId="20459" xr:uid="{00000000-0005-0000-0000-0000D6630000}"/>
    <cellStyle name="Notas 6 5 9" xfId="15500" xr:uid="{00000000-0005-0000-0000-0000D7630000}"/>
    <cellStyle name="Notas 6 5 9 2" xfId="20460" xr:uid="{00000000-0005-0000-0000-0000D8630000}"/>
    <cellStyle name="Notas 6 6" xfId="15501" xr:uid="{00000000-0005-0000-0000-0000D9630000}"/>
    <cellStyle name="Notas 6 6 10" xfId="15502" xr:uid="{00000000-0005-0000-0000-0000DA630000}"/>
    <cellStyle name="Notas 6 6 10 2" xfId="20462" xr:uid="{00000000-0005-0000-0000-0000DB630000}"/>
    <cellStyle name="Notas 6 6 11" xfId="15503" xr:uid="{00000000-0005-0000-0000-0000DC630000}"/>
    <cellStyle name="Notas 6 6 11 2" xfId="20463" xr:uid="{00000000-0005-0000-0000-0000DD630000}"/>
    <cellStyle name="Notas 6 6 12" xfId="20461" xr:uid="{00000000-0005-0000-0000-0000DE630000}"/>
    <cellStyle name="Notas 6 6 2" xfId="15504" xr:uid="{00000000-0005-0000-0000-0000DF630000}"/>
    <cellStyle name="Notas 6 6 2 2" xfId="20464" xr:uid="{00000000-0005-0000-0000-0000E0630000}"/>
    <cellStyle name="Notas 6 6 3" xfId="15505" xr:uid="{00000000-0005-0000-0000-0000E1630000}"/>
    <cellStyle name="Notas 6 6 3 2" xfId="20465" xr:uid="{00000000-0005-0000-0000-0000E2630000}"/>
    <cellStyle name="Notas 6 6 4" xfId="15506" xr:uid="{00000000-0005-0000-0000-0000E3630000}"/>
    <cellStyle name="Notas 6 6 4 2" xfId="20466" xr:uid="{00000000-0005-0000-0000-0000E4630000}"/>
    <cellStyle name="Notas 6 6 5" xfId="15507" xr:uid="{00000000-0005-0000-0000-0000E5630000}"/>
    <cellStyle name="Notas 6 6 5 2" xfId="20467" xr:uid="{00000000-0005-0000-0000-0000E6630000}"/>
    <cellStyle name="Notas 6 6 6" xfId="15508" xr:uid="{00000000-0005-0000-0000-0000E7630000}"/>
    <cellStyle name="Notas 6 6 6 2" xfId="20468" xr:uid="{00000000-0005-0000-0000-0000E8630000}"/>
    <cellStyle name="Notas 6 6 7" xfId="15509" xr:uid="{00000000-0005-0000-0000-0000E9630000}"/>
    <cellStyle name="Notas 6 6 7 2" xfId="20469" xr:uid="{00000000-0005-0000-0000-0000EA630000}"/>
    <cellStyle name="Notas 6 6 8" xfId="15510" xr:uid="{00000000-0005-0000-0000-0000EB630000}"/>
    <cellStyle name="Notas 6 6 8 2" xfId="20470" xr:uid="{00000000-0005-0000-0000-0000EC630000}"/>
    <cellStyle name="Notas 6 6 9" xfId="15511" xr:uid="{00000000-0005-0000-0000-0000ED630000}"/>
    <cellStyle name="Notas 6 6 9 2" xfId="20471" xr:uid="{00000000-0005-0000-0000-0000EE630000}"/>
    <cellStyle name="Notas 6 7" xfId="15512" xr:uid="{00000000-0005-0000-0000-0000EF630000}"/>
    <cellStyle name="Notas 6 7 10" xfId="15513" xr:uid="{00000000-0005-0000-0000-0000F0630000}"/>
    <cellStyle name="Notas 6 7 10 2" xfId="20473" xr:uid="{00000000-0005-0000-0000-0000F1630000}"/>
    <cellStyle name="Notas 6 7 11" xfId="15514" xr:uid="{00000000-0005-0000-0000-0000F2630000}"/>
    <cellStyle name="Notas 6 7 11 2" xfId="20474" xr:uid="{00000000-0005-0000-0000-0000F3630000}"/>
    <cellStyle name="Notas 6 7 12" xfId="20472" xr:uid="{00000000-0005-0000-0000-0000F4630000}"/>
    <cellStyle name="Notas 6 7 2" xfId="15515" xr:uid="{00000000-0005-0000-0000-0000F5630000}"/>
    <cellStyle name="Notas 6 7 2 2" xfId="20475" xr:uid="{00000000-0005-0000-0000-0000F6630000}"/>
    <cellStyle name="Notas 6 7 3" xfId="15516" xr:uid="{00000000-0005-0000-0000-0000F7630000}"/>
    <cellStyle name="Notas 6 7 3 2" xfId="20476" xr:uid="{00000000-0005-0000-0000-0000F8630000}"/>
    <cellStyle name="Notas 6 7 4" xfId="15517" xr:uid="{00000000-0005-0000-0000-0000F9630000}"/>
    <cellStyle name="Notas 6 7 4 2" xfId="20477" xr:uid="{00000000-0005-0000-0000-0000FA630000}"/>
    <cellStyle name="Notas 6 7 5" xfId="15518" xr:uid="{00000000-0005-0000-0000-0000FB630000}"/>
    <cellStyle name="Notas 6 7 5 2" xfId="20478" xr:uid="{00000000-0005-0000-0000-0000FC630000}"/>
    <cellStyle name="Notas 6 7 6" xfId="15519" xr:uid="{00000000-0005-0000-0000-0000FD630000}"/>
    <cellStyle name="Notas 6 7 6 2" xfId="20479" xr:uid="{00000000-0005-0000-0000-0000FE630000}"/>
    <cellStyle name="Notas 6 7 7" xfId="15520" xr:uid="{00000000-0005-0000-0000-0000FF630000}"/>
    <cellStyle name="Notas 6 7 7 2" xfId="20480" xr:uid="{00000000-0005-0000-0000-000000640000}"/>
    <cellStyle name="Notas 6 7 8" xfId="15521" xr:uid="{00000000-0005-0000-0000-000001640000}"/>
    <cellStyle name="Notas 6 7 8 2" xfId="20481" xr:uid="{00000000-0005-0000-0000-000002640000}"/>
    <cellStyle name="Notas 6 7 9" xfId="15522" xr:uid="{00000000-0005-0000-0000-000003640000}"/>
    <cellStyle name="Notas 6 7 9 2" xfId="20482" xr:uid="{00000000-0005-0000-0000-000004640000}"/>
    <cellStyle name="Notas 6 8" xfId="15523" xr:uid="{00000000-0005-0000-0000-000005640000}"/>
    <cellStyle name="Notas 6 8 10" xfId="15524" xr:uid="{00000000-0005-0000-0000-000006640000}"/>
    <cellStyle name="Notas 6 8 10 2" xfId="20484" xr:uid="{00000000-0005-0000-0000-000007640000}"/>
    <cellStyle name="Notas 6 8 11" xfId="15525" xr:uid="{00000000-0005-0000-0000-000008640000}"/>
    <cellStyle name="Notas 6 8 11 2" xfId="20485" xr:uid="{00000000-0005-0000-0000-000009640000}"/>
    <cellStyle name="Notas 6 8 12" xfId="20483" xr:uid="{00000000-0005-0000-0000-00000A640000}"/>
    <cellStyle name="Notas 6 8 2" xfId="15526" xr:uid="{00000000-0005-0000-0000-00000B640000}"/>
    <cellStyle name="Notas 6 8 2 2" xfId="20486" xr:uid="{00000000-0005-0000-0000-00000C640000}"/>
    <cellStyle name="Notas 6 8 3" xfId="15527" xr:uid="{00000000-0005-0000-0000-00000D640000}"/>
    <cellStyle name="Notas 6 8 3 2" xfId="20487" xr:uid="{00000000-0005-0000-0000-00000E640000}"/>
    <cellStyle name="Notas 6 8 4" xfId="15528" xr:uid="{00000000-0005-0000-0000-00000F640000}"/>
    <cellStyle name="Notas 6 8 4 2" xfId="20488" xr:uid="{00000000-0005-0000-0000-000010640000}"/>
    <cellStyle name="Notas 6 8 5" xfId="15529" xr:uid="{00000000-0005-0000-0000-000011640000}"/>
    <cellStyle name="Notas 6 8 5 2" xfId="20489" xr:uid="{00000000-0005-0000-0000-000012640000}"/>
    <cellStyle name="Notas 6 8 6" xfId="15530" xr:uid="{00000000-0005-0000-0000-000013640000}"/>
    <cellStyle name="Notas 6 8 6 2" xfId="20490" xr:uid="{00000000-0005-0000-0000-000014640000}"/>
    <cellStyle name="Notas 6 8 7" xfId="15531" xr:uid="{00000000-0005-0000-0000-000015640000}"/>
    <cellStyle name="Notas 6 8 7 2" xfId="20491" xr:uid="{00000000-0005-0000-0000-000016640000}"/>
    <cellStyle name="Notas 6 8 8" xfId="15532" xr:uid="{00000000-0005-0000-0000-000017640000}"/>
    <cellStyle name="Notas 6 8 8 2" xfId="20492" xr:uid="{00000000-0005-0000-0000-000018640000}"/>
    <cellStyle name="Notas 6 8 9" xfId="15533" xr:uid="{00000000-0005-0000-0000-000019640000}"/>
    <cellStyle name="Notas 6 8 9 2" xfId="20493" xr:uid="{00000000-0005-0000-0000-00001A640000}"/>
    <cellStyle name="Notas 6 9" xfId="15534" xr:uid="{00000000-0005-0000-0000-00001B640000}"/>
    <cellStyle name="Notas 6 9 2" xfId="20494" xr:uid="{00000000-0005-0000-0000-00001C640000}"/>
    <cellStyle name="Notas 7" xfId="1294" xr:uid="{00000000-0005-0000-0000-00001D640000}"/>
    <cellStyle name="Notas 7 10" xfId="15536" xr:uid="{00000000-0005-0000-0000-00001E640000}"/>
    <cellStyle name="Notas 7 10 2" xfId="20496" xr:uid="{00000000-0005-0000-0000-00001F640000}"/>
    <cellStyle name="Notas 7 11" xfId="15537" xr:uid="{00000000-0005-0000-0000-000020640000}"/>
    <cellStyle name="Notas 7 11 2" xfId="20497" xr:uid="{00000000-0005-0000-0000-000021640000}"/>
    <cellStyle name="Notas 7 12" xfId="15538" xr:uid="{00000000-0005-0000-0000-000022640000}"/>
    <cellStyle name="Notas 7 12 2" xfId="20498" xr:uid="{00000000-0005-0000-0000-000023640000}"/>
    <cellStyle name="Notas 7 13" xfId="15539" xr:uid="{00000000-0005-0000-0000-000024640000}"/>
    <cellStyle name="Notas 7 13 2" xfId="20499" xr:uid="{00000000-0005-0000-0000-000025640000}"/>
    <cellStyle name="Notas 7 14" xfId="15540" xr:uid="{00000000-0005-0000-0000-000026640000}"/>
    <cellStyle name="Notas 7 14 2" xfId="20500" xr:uid="{00000000-0005-0000-0000-000027640000}"/>
    <cellStyle name="Notas 7 15" xfId="15541" xr:uid="{00000000-0005-0000-0000-000028640000}"/>
    <cellStyle name="Notas 7 15 2" xfId="20501" xr:uid="{00000000-0005-0000-0000-000029640000}"/>
    <cellStyle name="Notas 7 16" xfId="15542" xr:uid="{00000000-0005-0000-0000-00002A640000}"/>
    <cellStyle name="Notas 7 16 2" xfId="20502" xr:uid="{00000000-0005-0000-0000-00002B640000}"/>
    <cellStyle name="Notas 7 17" xfId="15535" xr:uid="{00000000-0005-0000-0000-00002C640000}"/>
    <cellStyle name="Notas 7 18" xfId="20495" xr:uid="{00000000-0005-0000-0000-00002D640000}"/>
    <cellStyle name="Notas 7 2" xfId="2498" xr:uid="{00000000-0005-0000-0000-00002E640000}"/>
    <cellStyle name="Notas 7 2 10" xfId="15544" xr:uid="{00000000-0005-0000-0000-00002F640000}"/>
    <cellStyle name="Notas 7 2 10 2" xfId="20504" xr:uid="{00000000-0005-0000-0000-000030640000}"/>
    <cellStyle name="Notas 7 2 11" xfId="15545" xr:uid="{00000000-0005-0000-0000-000031640000}"/>
    <cellStyle name="Notas 7 2 11 2" xfId="20505" xr:uid="{00000000-0005-0000-0000-000032640000}"/>
    <cellStyle name="Notas 7 2 12" xfId="15546" xr:uid="{00000000-0005-0000-0000-000033640000}"/>
    <cellStyle name="Notas 7 2 12 2" xfId="20506" xr:uid="{00000000-0005-0000-0000-000034640000}"/>
    <cellStyle name="Notas 7 2 13" xfId="15547" xr:uid="{00000000-0005-0000-0000-000035640000}"/>
    <cellStyle name="Notas 7 2 13 2" xfId="20507" xr:uid="{00000000-0005-0000-0000-000036640000}"/>
    <cellStyle name="Notas 7 2 14" xfId="15543" xr:uid="{00000000-0005-0000-0000-000037640000}"/>
    <cellStyle name="Notas 7 2 15" xfId="20503" xr:uid="{00000000-0005-0000-0000-000038640000}"/>
    <cellStyle name="Notas 7 2 2" xfId="15548" xr:uid="{00000000-0005-0000-0000-000039640000}"/>
    <cellStyle name="Notas 7 2 2 10" xfId="15549" xr:uid="{00000000-0005-0000-0000-00003A640000}"/>
    <cellStyle name="Notas 7 2 2 10 2" xfId="20509" xr:uid="{00000000-0005-0000-0000-00003B640000}"/>
    <cellStyle name="Notas 7 2 2 11" xfId="15550" xr:uid="{00000000-0005-0000-0000-00003C640000}"/>
    <cellStyle name="Notas 7 2 2 11 2" xfId="20510" xr:uid="{00000000-0005-0000-0000-00003D640000}"/>
    <cellStyle name="Notas 7 2 2 12" xfId="15551" xr:uid="{00000000-0005-0000-0000-00003E640000}"/>
    <cellStyle name="Notas 7 2 2 12 2" xfId="20511" xr:uid="{00000000-0005-0000-0000-00003F640000}"/>
    <cellStyle name="Notas 7 2 2 13" xfId="20508" xr:uid="{00000000-0005-0000-0000-000040640000}"/>
    <cellStyle name="Notas 7 2 2 2" xfId="15552" xr:uid="{00000000-0005-0000-0000-000041640000}"/>
    <cellStyle name="Notas 7 2 2 2 2" xfId="20512" xr:uid="{00000000-0005-0000-0000-000042640000}"/>
    <cellStyle name="Notas 7 2 2 3" xfId="15553" xr:uid="{00000000-0005-0000-0000-000043640000}"/>
    <cellStyle name="Notas 7 2 2 3 2" xfId="20513" xr:uid="{00000000-0005-0000-0000-000044640000}"/>
    <cellStyle name="Notas 7 2 2 4" xfId="15554" xr:uid="{00000000-0005-0000-0000-000045640000}"/>
    <cellStyle name="Notas 7 2 2 4 2" xfId="20514" xr:uid="{00000000-0005-0000-0000-000046640000}"/>
    <cellStyle name="Notas 7 2 2 5" xfId="15555" xr:uid="{00000000-0005-0000-0000-000047640000}"/>
    <cellStyle name="Notas 7 2 2 5 2" xfId="20515" xr:uid="{00000000-0005-0000-0000-000048640000}"/>
    <cellStyle name="Notas 7 2 2 6" xfId="15556" xr:uid="{00000000-0005-0000-0000-000049640000}"/>
    <cellStyle name="Notas 7 2 2 6 2" xfId="20516" xr:uid="{00000000-0005-0000-0000-00004A640000}"/>
    <cellStyle name="Notas 7 2 2 7" xfId="15557" xr:uid="{00000000-0005-0000-0000-00004B640000}"/>
    <cellStyle name="Notas 7 2 2 7 2" xfId="20517" xr:uid="{00000000-0005-0000-0000-00004C640000}"/>
    <cellStyle name="Notas 7 2 2 8" xfId="15558" xr:uid="{00000000-0005-0000-0000-00004D640000}"/>
    <cellStyle name="Notas 7 2 2 8 2" xfId="20518" xr:uid="{00000000-0005-0000-0000-00004E640000}"/>
    <cellStyle name="Notas 7 2 2 9" xfId="15559" xr:uid="{00000000-0005-0000-0000-00004F640000}"/>
    <cellStyle name="Notas 7 2 2 9 2" xfId="20519" xr:uid="{00000000-0005-0000-0000-000050640000}"/>
    <cellStyle name="Notas 7 2 3" xfId="15560" xr:uid="{00000000-0005-0000-0000-000051640000}"/>
    <cellStyle name="Notas 7 2 3 10" xfId="15561" xr:uid="{00000000-0005-0000-0000-000052640000}"/>
    <cellStyle name="Notas 7 2 3 10 2" xfId="20521" xr:uid="{00000000-0005-0000-0000-000053640000}"/>
    <cellStyle name="Notas 7 2 3 11" xfId="15562" xr:uid="{00000000-0005-0000-0000-000054640000}"/>
    <cellStyle name="Notas 7 2 3 11 2" xfId="20522" xr:uid="{00000000-0005-0000-0000-000055640000}"/>
    <cellStyle name="Notas 7 2 3 12" xfId="20520" xr:uid="{00000000-0005-0000-0000-000056640000}"/>
    <cellStyle name="Notas 7 2 3 2" xfId="15563" xr:uid="{00000000-0005-0000-0000-000057640000}"/>
    <cellStyle name="Notas 7 2 3 2 2" xfId="20523" xr:uid="{00000000-0005-0000-0000-000058640000}"/>
    <cellStyle name="Notas 7 2 3 3" xfId="15564" xr:uid="{00000000-0005-0000-0000-000059640000}"/>
    <cellStyle name="Notas 7 2 3 3 2" xfId="20524" xr:uid="{00000000-0005-0000-0000-00005A640000}"/>
    <cellStyle name="Notas 7 2 3 4" xfId="15565" xr:uid="{00000000-0005-0000-0000-00005B640000}"/>
    <cellStyle name="Notas 7 2 3 4 2" xfId="20525" xr:uid="{00000000-0005-0000-0000-00005C640000}"/>
    <cellStyle name="Notas 7 2 3 5" xfId="15566" xr:uid="{00000000-0005-0000-0000-00005D640000}"/>
    <cellStyle name="Notas 7 2 3 5 2" xfId="20526" xr:uid="{00000000-0005-0000-0000-00005E640000}"/>
    <cellStyle name="Notas 7 2 3 6" xfId="15567" xr:uid="{00000000-0005-0000-0000-00005F640000}"/>
    <cellStyle name="Notas 7 2 3 6 2" xfId="20527" xr:uid="{00000000-0005-0000-0000-000060640000}"/>
    <cellStyle name="Notas 7 2 3 7" xfId="15568" xr:uid="{00000000-0005-0000-0000-000061640000}"/>
    <cellStyle name="Notas 7 2 3 7 2" xfId="20528" xr:uid="{00000000-0005-0000-0000-000062640000}"/>
    <cellStyle name="Notas 7 2 3 8" xfId="15569" xr:uid="{00000000-0005-0000-0000-000063640000}"/>
    <cellStyle name="Notas 7 2 3 8 2" xfId="20529" xr:uid="{00000000-0005-0000-0000-000064640000}"/>
    <cellStyle name="Notas 7 2 3 9" xfId="15570" xr:uid="{00000000-0005-0000-0000-000065640000}"/>
    <cellStyle name="Notas 7 2 3 9 2" xfId="20530" xr:uid="{00000000-0005-0000-0000-000066640000}"/>
    <cellStyle name="Notas 7 2 4" xfId="15571" xr:uid="{00000000-0005-0000-0000-000067640000}"/>
    <cellStyle name="Notas 7 2 4 10" xfId="15572" xr:uid="{00000000-0005-0000-0000-000068640000}"/>
    <cellStyle name="Notas 7 2 4 10 2" xfId="20532" xr:uid="{00000000-0005-0000-0000-000069640000}"/>
    <cellStyle name="Notas 7 2 4 11" xfId="15573" xr:uid="{00000000-0005-0000-0000-00006A640000}"/>
    <cellStyle name="Notas 7 2 4 11 2" xfId="20533" xr:uid="{00000000-0005-0000-0000-00006B640000}"/>
    <cellStyle name="Notas 7 2 4 12" xfId="20531" xr:uid="{00000000-0005-0000-0000-00006C640000}"/>
    <cellStyle name="Notas 7 2 4 2" xfId="15574" xr:uid="{00000000-0005-0000-0000-00006D640000}"/>
    <cellStyle name="Notas 7 2 4 2 2" xfId="20534" xr:uid="{00000000-0005-0000-0000-00006E640000}"/>
    <cellStyle name="Notas 7 2 4 3" xfId="15575" xr:uid="{00000000-0005-0000-0000-00006F640000}"/>
    <cellStyle name="Notas 7 2 4 3 2" xfId="20535" xr:uid="{00000000-0005-0000-0000-000070640000}"/>
    <cellStyle name="Notas 7 2 4 4" xfId="15576" xr:uid="{00000000-0005-0000-0000-000071640000}"/>
    <cellStyle name="Notas 7 2 4 4 2" xfId="20536" xr:uid="{00000000-0005-0000-0000-000072640000}"/>
    <cellStyle name="Notas 7 2 4 5" xfId="15577" xr:uid="{00000000-0005-0000-0000-000073640000}"/>
    <cellStyle name="Notas 7 2 4 5 2" xfId="20537" xr:uid="{00000000-0005-0000-0000-000074640000}"/>
    <cellStyle name="Notas 7 2 4 6" xfId="15578" xr:uid="{00000000-0005-0000-0000-000075640000}"/>
    <cellStyle name="Notas 7 2 4 6 2" xfId="20538" xr:uid="{00000000-0005-0000-0000-000076640000}"/>
    <cellStyle name="Notas 7 2 4 7" xfId="15579" xr:uid="{00000000-0005-0000-0000-000077640000}"/>
    <cellStyle name="Notas 7 2 4 7 2" xfId="20539" xr:uid="{00000000-0005-0000-0000-000078640000}"/>
    <cellStyle name="Notas 7 2 4 8" xfId="15580" xr:uid="{00000000-0005-0000-0000-000079640000}"/>
    <cellStyle name="Notas 7 2 4 8 2" xfId="20540" xr:uid="{00000000-0005-0000-0000-00007A640000}"/>
    <cellStyle name="Notas 7 2 4 9" xfId="15581" xr:uid="{00000000-0005-0000-0000-00007B640000}"/>
    <cellStyle name="Notas 7 2 4 9 2" xfId="20541" xr:uid="{00000000-0005-0000-0000-00007C640000}"/>
    <cellStyle name="Notas 7 2 5" xfId="15582" xr:uid="{00000000-0005-0000-0000-00007D640000}"/>
    <cellStyle name="Notas 7 2 5 10" xfId="15583" xr:uid="{00000000-0005-0000-0000-00007E640000}"/>
    <cellStyle name="Notas 7 2 5 10 2" xfId="20543" xr:uid="{00000000-0005-0000-0000-00007F640000}"/>
    <cellStyle name="Notas 7 2 5 11" xfId="15584" xr:uid="{00000000-0005-0000-0000-000080640000}"/>
    <cellStyle name="Notas 7 2 5 11 2" xfId="20544" xr:uid="{00000000-0005-0000-0000-000081640000}"/>
    <cellStyle name="Notas 7 2 5 12" xfId="20542" xr:uid="{00000000-0005-0000-0000-000082640000}"/>
    <cellStyle name="Notas 7 2 5 2" xfId="15585" xr:uid="{00000000-0005-0000-0000-000083640000}"/>
    <cellStyle name="Notas 7 2 5 2 2" xfId="20545" xr:uid="{00000000-0005-0000-0000-000084640000}"/>
    <cellStyle name="Notas 7 2 5 3" xfId="15586" xr:uid="{00000000-0005-0000-0000-000085640000}"/>
    <cellStyle name="Notas 7 2 5 3 2" xfId="20546" xr:uid="{00000000-0005-0000-0000-000086640000}"/>
    <cellStyle name="Notas 7 2 5 4" xfId="15587" xr:uid="{00000000-0005-0000-0000-000087640000}"/>
    <cellStyle name="Notas 7 2 5 4 2" xfId="20547" xr:uid="{00000000-0005-0000-0000-000088640000}"/>
    <cellStyle name="Notas 7 2 5 5" xfId="15588" xr:uid="{00000000-0005-0000-0000-000089640000}"/>
    <cellStyle name="Notas 7 2 5 5 2" xfId="20548" xr:uid="{00000000-0005-0000-0000-00008A640000}"/>
    <cellStyle name="Notas 7 2 5 6" xfId="15589" xr:uid="{00000000-0005-0000-0000-00008B640000}"/>
    <cellStyle name="Notas 7 2 5 6 2" xfId="20549" xr:uid="{00000000-0005-0000-0000-00008C640000}"/>
    <cellStyle name="Notas 7 2 5 7" xfId="15590" xr:uid="{00000000-0005-0000-0000-00008D640000}"/>
    <cellStyle name="Notas 7 2 5 7 2" xfId="20550" xr:uid="{00000000-0005-0000-0000-00008E640000}"/>
    <cellStyle name="Notas 7 2 5 8" xfId="15591" xr:uid="{00000000-0005-0000-0000-00008F640000}"/>
    <cellStyle name="Notas 7 2 5 8 2" xfId="20551" xr:uid="{00000000-0005-0000-0000-000090640000}"/>
    <cellStyle name="Notas 7 2 5 9" xfId="15592" xr:uid="{00000000-0005-0000-0000-000091640000}"/>
    <cellStyle name="Notas 7 2 5 9 2" xfId="20552" xr:uid="{00000000-0005-0000-0000-000092640000}"/>
    <cellStyle name="Notas 7 2 6" xfId="15593" xr:uid="{00000000-0005-0000-0000-000093640000}"/>
    <cellStyle name="Notas 7 2 6 10" xfId="15594" xr:uid="{00000000-0005-0000-0000-000094640000}"/>
    <cellStyle name="Notas 7 2 6 10 2" xfId="20554" xr:uid="{00000000-0005-0000-0000-000095640000}"/>
    <cellStyle name="Notas 7 2 6 11" xfId="15595" xr:uid="{00000000-0005-0000-0000-000096640000}"/>
    <cellStyle name="Notas 7 2 6 11 2" xfId="20555" xr:uid="{00000000-0005-0000-0000-000097640000}"/>
    <cellStyle name="Notas 7 2 6 12" xfId="20553" xr:uid="{00000000-0005-0000-0000-000098640000}"/>
    <cellStyle name="Notas 7 2 6 2" xfId="15596" xr:uid="{00000000-0005-0000-0000-000099640000}"/>
    <cellStyle name="Notas 7 2 6 2 2" xfId="20556" xr:uid="{00000000-0005-0000-0000-00009A640000}"/>
    <cellStyle name="Notas 7 2 6 3" xfId="15597" xr:uid="{00000000-0005-0000-0000-00009B640000}"/>
    <cellStyle name="Notas 7 2 6 3 2" xfId="20557" xr:uid="{00000000-0005-0000-0000-00009C640000}"/>
    <cellStyle name="Notas 7 2 6 4" xfId="15598" xr:uid="{00000000-0005-0000-0000-00009D640000}"/>
    <cellStyle name="Notas 7 2 6 4 2" xfId="20558" xr:uid="{00000000-0005-0000-0000-00009E640000}"/>
    <cellStyle name="Notas 7 2 6 5" xfId="15599" xr:uid="{00000000-0005-0000-0000-00009F640000}"/>
    <cellStyle name="Notas 7 2 6 5 2" xfId="20559" xr:uid="{00000000-0005-0000-0000-0000A0640000}"/>
    <cellStyle name="Notas 7 2 6 6" xfId="15600" xr:uid="{00000000-0005-0000-0000-0000A1640000}"/>
    <cellStyle name="Notas 7 2 6 6 2" xfId="20560" xr:uid="{00000000-0005-0000-0000-0000A2640000}"/>
    <cellStyle name="Notas 7 2 6 7" xfId="15601" xr:uid="{00000000-0005-0000-0000-0000A3640000}"/>
    <cellStyle name="Notas 7 2 6 7 2" xfId="20561" xr:uid="{00000000-0005-0000-0000-0000A4640000}"/>
    <cellStyle name="Notas 7 2 6 8" xfId="15602" xr:uid="{00000000-0005-0000-0000-0000A5640000}"/>
    <cellStyle name="Notas 7 2 6 8 2" xfId="20562" xr:uid="{00000000-0005-0000-0000-0000A6640000}"/>
    <cellStyle name="Notas 7 2 6 9" xfId="15603" xr:uid="{00000000-0005-0000-0000-0000A7640000}"/>
    <cellStyle name="Notas 7 2 6 9 2" xfId="20563" xr:uid="{00000000-0005-0000-0000-0000A8640000}"/>
    <cellStyle name="Notas 7 2 7" xfId="15604" xr:uid="{00000000-0005-0000-0000-0000A9640000}"/>
    <cellStyle name="Notas 7 2 7 10" xfId="15605" xr:uid="{00000000-0005-0000-0000-0000AA640000}"/>
    <cellStyle name="Notas 7 2 7 10 2" xfId="20565" xr:uid="{00000000-0005-0000-0000-0000AB640000}"/>
    <cellStyle name="Notas 7 2 7 11" xfId="15606" xr:uid="{00000000-0005-0000-0000-0000AC640000}"/>
    <cellStyle name="Notas 7 2 7 11 2" xfId="20566" xr:uid="{00000000-0005-0000-0000-0000AD640000}"/>
    <cellStyle name="Notas 7 2 7 12" xfId="20564" xr:uid="{00000000-0005-0000-0000-0000AE640000}"/>
    <cellStyle name="Notas 7 2 7 2" xfId="15607" xr:uid="{00000000-0005-0000-0000-0000AF640000}"/>
    <cellStyle name="Notas 7 2 7 2 2" xfId="20567" xr:uid="{00000000-0005-0000-0000-0000B0640000}"/>
    <cellStyle name="Notas 7 2 7 3" xfId="15608" xr:uid="{00000000-0005-0000-0000-0000B1640000}"/>
    <cellStyle name="Notas 7 2 7 3 2" xfId="20568" xr:uid="{00000000-0005-0000-0000-0000B2640000}"/>
    <cellStyle name="Notas 7 2 7 4" xfId="15609" xr:uid="{00000000-0005-0000-0000-0000B3640000}"/>
    <cellStyle name="Notas 7 2 7 4 2" xfId="20569" xr:uid="{00000000-0005-0000-0000-0000B4640000}"/>
    <cellStyle name="Notas 7 2 7 5" xfId="15610" xr:uid="{00000000-0005-0000-0000-0000B5640000}"/>
    <cellStyle name="Notas 7 2 7 5 2" xfId="20570" xr:uid="{00000000-0005-0000-0000-0000B6640000}"/>
    <cellStyle name="Notas 7 2 7 6" xfId="15611" xr:uid="{00000000-0005-0000-0000-0000B7640000}"/>
    <cellStyle name="Notas 7 2 7 6 2" xfId="20571" xr:uid="{00000000-0005-0000-0000-0000B8640000}"/>
    <cellStyle name="Notas 7 2 7 7" xfId="15612" xr:uid="{00000000-0005-0000-0000-0000B9640000}"/>
    <cellStyle name="Notas 7 2 7 7 2" xfId="20572" xr:uid="{00000000-0005-0000-0000-0000BA640000}"/>
    <cellStyle name="Notas 7 2 7 8" xfId="15613" xr:uid="{00000000-0005-0000-0000-0000BB640000}"/>
    <cellStyle name="Notas 7 2 7 8 2" xfId="20573" xr:uid="{00000000-0005-0000-0000-0000BC640000}"/>
    <cellStyle name="Notas 7 2 7 9" xfId="15614" xr:uid="{00000000-0005-0000-0000-0000BD640000}"/>
    <cellStyle name="Notas 7 2 7 9 2" xfId="20574" xr:uid="{00000000-0005-0000-0000-0000BE640000}"/>
    <cellStyle name="Notas 7 2 8" xfId="15615" xr:uid="{00000000-0005-0000-0000-0000BF640000}"/>
    <cellStyle name="Notas 7 2 8 2" xfId="20575" xr:uid="{00000000-0005-0000-0000-0000C0640000}"/>
    <cellStyle name="Notas 7 2 9" xfId="15616" xr:uid="{00000000-0005-0000-0000-0000C1640000}"/>
    <cellStyle name="Notas 7 2 9 2" xfId="20576" xr:uid="{00000000-0005-0000-0000-0000C2640000}"/>
    <cellStyle name="Notas 7 3" xfId="2497" xr:uid="{00000000-0005-0000-0000-0000C3640000}"/>
    <cellStyle name="Notas 7 3 10" xfId="15618" xr:uid="{00000000-0005-0000-0000-0000C4640000}"/>
    <cellStyle name="Notas 7 3 10 2" xfId="20578" xr:uid="{00000000-0005-0000-0000-0000C5640000}"/>
    <cellStyle name="Notas 7 3 11" xfId="15619" xr:uid="{00000000-0005-0000-0000-0000C6640000}"/>
    <cellStyle name="Notas 7 3 11 2" xfId="20579" xr:uid="{00000000-0005-0000-0000-0000C7640000}"/>
    <cellStyle name="Notas 7 3 12" xfId="15620" xr:uid="{00000000-0005-0000-0000-0000C8640000}"/>
    <cellStyle name="Notas 7 3 12 2" xfId="20580" xr:uid="{00000000-0005-0000-0000-0000C9640000}"/>
    <cellStyle name="Notas 7 3 13" xfId="20577" xr:uid="{00000000-0005-0000-0000-0000CA640000}"/>
    <cellStyle name="Notas 7 3 14" xfId="15617" xr:uid="{00000000-0005-0000-0000-0000CB640000}"/>
    <cellStyle name="Notas 7 3 15" xfId="24350" xr:uid="{00000000-0005-0000-0000-0000CC640000}"/>
    <cellStyle name="Notas 7 3 2" xfId="15621" xr:uid="{00000000-0005-0000-0000-0000CD640000}"/>
    <cellStyle name="Notas 7 3 2 2" xfId="20581" xr:uid="{00000000-0005-0000-0000-0000CE640000}"/>
    <cellStyle name="Notas 7 3 3" xfId="15622" xr:uid="{00000000-0005-0000-0000-0000CF640000}"/>
    <cellStyle name="Notas 7 3 3 2" xfId="20582" xr:uid="{00000000-0005-0000-0000-0000D0640000}"/>
    <cellStyle name="Notas 7 3 4" xfId="15623" xr:uid="{00000000-0005-0000-0000-0000D1640000}"/>
    <cellStyle name="Notas 7 3 4 2" xfId="20583" xr:uid="{00000000-0005-0000-0000-0000D2640000}"/>
    <cellStyle name="Notas 7 3 5" xfId="15624" xr:uid="{00000000-0005-0000-0000-0000D3640000}"/>
    <cellStyle name="Notas 7 3 5 2" xfId="20584" xr:uid="{00000000-0005-0000-0000-0000D4640000}"/>
    <cellStyle name="Notas 7 3 6" xfId="15625" xr:uid="{00000000-0005-0000-0000-0000D5640000}"/>
    <cellStyle name="Notas 7 3 6 2" xfId="20585" xr:uid="{00000000-0005-0000-0000-0000D6640000}"/>
    <cellStyle name="Notas 7 3 7" xfId="15626" xr:uid="{00000000-0005-0000-0000-0000D7640000}"/>
    <cellStyle name="Notas 7 3 7 2" xfId="20586" xr:uid="{00000000-0005-0000-0000-0000D8640000}"/>
    <cellStyle name="Notas 7 3 8" xfId="15627" xr:uid="{00000000-0005-0000-0000-0000D9640000}"/>
    <cellStyle name="Notas 7 3 8 2" xfId="20587" xr:uid="{00000000-0005-0000-0000-0000DA640000}"/>
    <cellStyle name="Notas 7 3 9" xfId="15628" xr:uid="{00000000-0005-0000-0000-0000DB640000}"/>
    <cellStyle name="Notas 7 3 9 2" xfId="20588" xr:uid="{00000000-0005-0000-0000-0000DC640000}"/>
    <cellStyle name="Notas 7 4" xfId="3908" xr:uid="{00000000-0005-0000-0000-0000DD640000}"/>
    <cellStyle name="Notas 7 4 10" xfId="15630" xr:uid="{00000000-0005-0000-0000-0000DE640000}"/>
    <cellStyle name="Notas 7 4 10 2" xfId="20590" xr:uid="{00000000-0005-0000-0000-0000DF640000}"/>
    <cellStyle name="Notas 7 4 11" xfId="15631" xr:uid="{00000000-0005-0000-0000-0000E0640000}"/>
    <cellStyle name="Notas 7 4 11 2" xfId="20591" xr:uid="{00000000-0005-0000-0000-0000E1640000}"/>
    <cellStyle name="Notas 7 4 12" xfId="20589" xr:uid="{00000000-0005-0000-0000-0000E2640000}"/>
    <cellStyle name="Notas 7 4 13" xfId="15629" xr:uid="{00000000-0005-0000-0000-0000E3640000}"/>
    <cellStyle name="Notas 7 4 2" xfId="15632" xr:uid="{00000000-0005-0000-0000-0000E4640000}"/>
    <cellStyle name="Notas 7 4 2 2" xfId="20592" xr:uid="{00000000-0005-0000-0000-0000E5640000}"/>
    <cellStyle name="Notas 7 4 3" xfId="15633" xr:uid="{00000000-0005-0000-0000-0000E6640000}"/>
    <cellStyle name="Notas 7 4 3 2" xfId="20593" xr:uid="{00000000-0005-0000-0000-0000E7640000}"/>
    <cellStyle name="Notas 7 4 4" xfId="15634" xr:uid="{00000000-0005-0000-0000-0000E8640000}"/>
    <cellStyle name="Notas 7 4 4 2" xfId="20594" xr:uid="{00000000-0005-0000-0000-0000E9640000}"/>
    <cellStyle name="Notas 7 4 5" xfId="15635" xr:uid="{00000000-0005-0000-0000-0000EA640000}"/>
    <cellStyle name="Notas 7 4 5 2" xfId="20595" xr:uid="{00000000-0005-0000-0000-0000EB640000}"/>
    <cellStyle name="Notas 7 4 6" xfId="15636" xr:uid="{00000000-0005-0000-0000-0000EC640000}"/>
    <cellStyle name="Notas 7 4 6 2" xfId="20596" xr:uid="{00000000-0005-0000-0000-0000ED640000}"/>
    <cellStyle name="Notas 7 4 7" xfId="15637" xr:uid="{00000000-0005-0000-0000-0000EE640000}"/>
    <cellStyle name="Notas 7 4 7 2" xfId="20597" xr:uid="{00000000-0005-0000-0000-0000EF640000}"/>
    <cellStyle name="Notas 7 4 8" xfId="15638" xr:uid="{00000000-0005-0000-0000-0000F0640000}"/>
    <cellStyle name="Notas 7 4 8 2" xfId="20598" xr:uid="{00000000-0005-0000-0000-0000F1640000}"/>
    <cellStyle name="Notas 7 4 9" xfId="15639" xr:uid="{00000000-0005-0000-0000-0000F2640000}"/>
    <cellStyle name="Notas 7 4 9 2" xfId="20599" xr:uid="{00000000-0005-0000-0000-0000F3640000}"/>
    <cellStyle name="Notas 7 5" xfId="15640" xr:uid="{00000000-0005-0000-0000-0000F4640000}"/>
    <cellStyle name="Notas 7 5 10" xfId="15641" xr:uid="{00000000-0005-0000-0000-0000F5640000}"/>
    <cellStyle name="Notas 7 5 10 2" xfId="20601" xr:uid="{00000000-0005-0000-0000-0000F6640000}"/>
    <cellStyle name="Notas 7 5 11" xfId="15642" xr:uid="{00000000-0005-0000-0000-0000F7640000}"/>
    <cellStyle name="Notas 7 5 11 2" xfId="20602" xr:uid="{00000000-0005-0000-0000-0000F8640000}"/>
    <cellStyle name="Notas 7 5 12" xfId="20600" xr:uid="{00000000-0005-0000-0000-0000F9640000}"/>
    <cellStyle name="Notas 7 5 2" xfId="15643" xr:uid="{00000000-0005-0000-0000-0000FA640000}"/>
    <cellStyle name="Notas 7 5 2 2" xfId="20603" xr:uid="{00000000-0005-0000-0000-0000FB640000}"/>
    <cellStyle name="Notas 7 5 3" xfId="15644" xr:uid="{00000000-0005-0000-0000-0000FC640000}"/>
    <cellStyle name="Notas 7 5 3 2" xfId="20604" xr:uid="{00000000-0005-0000-0000-0000FD640000}"/>
    <cellStyle name="Notas 7 5 4" xfId="15645" xr:uid="{00000000-0005-0000-0000-0000FE640000}"/>
    <cellStyle name="Notas 7 5 4 2" xfId="20605" xr:uid="{00000000-0005-0000-0000-0000FF640000}"/>
    <cellStyle name="Notas 7 5 5" xfId="15646" xr:uid="{00000000-0005-0000-0000-000000650000}"/>
    <cellStyle name="Notas 7 5 5 2" xfId="20606" xr:uid="{00000000-0005-0000-0000-000001650000}"/>
    <cellStyle name="Notas 7 5 6" xfId="15647" xr:uid="{00000000-0005-0000-0000-000002650000}"/>
    <cellStyle name="Notas 7 5 6 2" xfId="20607" xr:uid="{00000000-0005-0000-0000-000003650000}"/>
    <cellStyle name="Notas 7 5 7" xfId="15648" xr:uid="{00000000-0005-0000-0000-000004650000}"/>
    <cellStyle name="Notas 7 5 7 2" xfId="20608" xr:uid="{00000000-0005-0000-0000-000005650000}"/>
    <cellStyle name="Notas 7 5 8" xfId="15649" xr:uid="{00000000-0005-0000-0000-000006650000}"/>
    <cellStyle name="Notas 7 5 8 2" xfId="20609" xr:uid="{00000000-0005-0000-0000-000007650000}"/>
    <cellStyle name="Notas 7 5 9" xfId="15650" xr:uid="{00000000-0005-0000-0000-000008650000}"/>
    <cellStyle name="Notas 7 5 9 2" xfId="20610" xr:uid="{00000000-0005-0000-0000-000009650000}"/>
    <cellStyle name="Notas 7 6" xfId="15651" xr:uid="{00000000-0005-0000-0000-00000A650000}"/>
    <cellStyle name="Notas 7 6 10" xfId="15652" xr:uid="{00000000-0005-0000-0000-00000B650000}"/>
    <cellStyle name="Notas 7 6 10 2" xfId="20612" xr:uid="{00000000-0005-0000-0000-00000C650000}"/>
    <cellStyle name="Notas 7 6 11" xfId="15653" xr:uid="{00000000-0005-0000-0000-00000D650000}"/>
    <cellStyle name="Notas 7 6 11 2" xfId="20613" xr:uid="{00000000-0005-0000-0000-00000E650000}"/>
    <cellStyle name="Notas 7 6 12" xfId="20611" xr:uid="{00000000-0005-0000-0000-00000F650000}"/>
    <cellStyle name="Notas 7 6 2" xfId="15654" xr:uid="{00000000-0005-0000-0000-000010650000}"/>
    <cellStyle name="Notas 7 6 2 2" xfId="20614" xr:uid="{00000000-0005-0000-0000-000011650000}"/>
    <cellStyle name="Notas 7 6 3" xfId="15655" xr:uid="{00000000-0005-0000-0000-000012650000}"/>
    <cellStyle name="Notas 7 6 3 2" xfId="20615" xr:uid="{00000000-0005-0000-0000-000013650000}"/>
    <cellStyle name="Notas 7 6 4" xfId="15656" xr:uid="{00000000-0005-0000-0000-000014650000}"/>
    <cellStyle name="Notas 7 6 4 2" xfId="20616" xr:uid="{00000000-0005-0000-0000-000015650000}"/>
    <cellStyle name="Notas 7 6 5" xfId="15657" xr:uid="{00000000-0005-0000-0000-000016650000}"/>
    <cellStyle name="Notas 7 6 5 2" xfId="20617" xr:uid="{00000000-0005-0000-0000-000017650000}"/>
    <cellStyle name="Notas 7 6 6" xfId="15658" xr:uid="{00000000-0005-0000-0000-000018650000}"/>
    <cellStyle name="Notas 7 6 6 2" xfId="20618" xr:uid="{00000000-0005-0000-0000-000019650000}"/>
    <cellStyle name="Notas 7 6 7" xfId="15659" xr:uid="{00000000-0005-0000-0000-00001A650000}"/>
    <cellStyle name="Notas 7 6 7 2" xfId="20619" xr:uid="{00000000-0005-0000-0000-00001B650000}"/>
    <cellStyle name="Notas 7 6 8" xfId="15660" xr:uid="{00000000-0005-0000-0000-00001C650000}"/>
    <cellStyle name="Notas 7 6 8 2" xfId="20620" xr:uid="{00000000-0005-0000-0000-00001D650000}"/>
    <cellStyle name="Notas 7 6 9" xfId="15661" xr:uid="{00000000-0005-0000-0000-00001E650000}"/>
    <cellStyle name="Notas 7 6 9 2" xfId="20621" xr:uid="{00000000-0005-0000-0000-00001F650000}"/>
    <cellStyle name="Notas 7 7" xfId="15662" xr:uid="{00000000-0005-0000-0000-000020650000}"/>
    <cellStyle name="Notas 7 7 10" xfId="15663" xr:uid="{00000000-0005-0000-0000-000021650000}"/>
    <cellStyle name="Notas 7 7 10 2" xfId="20623" xr:uid="{00000000-0005-0000-0000-000022650000}"/>
    <cellStyle name="Notas 7 7 11" xfId="15664" xr:uid="{00000000-0005-0000-0000-000023650000}"/>
    <cellStyle name="Notas 7 7 11 2" xfId="20624" xr:uid="{00000000-0005-0000-0000-000024650000}"/>
    <cellStyle name="Notas 7 7 12" xfId="20622" xr:uid="{00000000-0005-0000-0000-000025650000}"/>
    <cellStyle name="Notas 7 7 2" xfId="15665" xr:uid="{00000000-0005-0000-0000-000026650000}"/>
    <cellStyle name="Notas 7 7 2 2" xfId="20625" xr:uid="{00000000-0005-0000-0000-000027650000}"/>
    <cellStyle name="Notas 7 7 3" xfId="15666" xr:uid="{00000000-0005-0000-0000-000028650000}"/>
    <cellStyle name="Notas 7 7 3 2" xfId="20626" xr:uid="{00000000-0005-0000-0000-000029650000}"/>
    <cellStyle name="Notas 7 7 4" xfId="15667" xr:uid="{00000000-0005-0000-0000-00002A650000}"/>
    <cellStyle name="Notas 7 7 4 2" xfId="20627" xr:uid="{00000000-0005-0000-0000-00002B650000}"/>
    <cellStyle name="Notas 7 7 5" xfId="15668" xr:uid="{00000000-0005-0000-0000-00002C650000}"/>
    <cellStyle name="Notas 7 7 5 2" xfId="20628" xr:uid="{00000000-0005-0000-0000-00002D650000}"/>
    <cellStyle name="Notas 7 7 6" xfId="15669" xr:uid="{00000000-0005-0000-0000-00002E650000}"/>
    <cellStyle name="Notas 7 7 6 2" xfId="20629" xr:uid="{00000000-0005-0000-0000-00002F650000}"/>
    <cellStyle name="Notas 7 7 7" xfId="15670" xr:uid="{00000000-0005-0000-0000-000030650000}"/>
    <cellStyle name="Notas 7 7 7 2" xfId="20630" xr:uid="{00000000-0005-0000-0000-000031650000}"/>
    <cellStyle name="Notas 7 7 8" xfId="15671" xr:uid="{00000000-0005-0000-0000-000032650000}"/>
    <cellStyle name="Notas 7 7 8 2" xfId="20631" xr:uid="{00000000-0005-0000-0000-000033650000}"/>
    <cellStyle name="Notas 7 7 9" xfId="15672" xr:uid="{00000000-0005-0000-0000-000034650000}"/>
    <cellStyle name="Notas 7 7 9 2" xfId="20632" xr:uid="{00000000-0005-0000-0000-000035650000}"/>
    <cellStyle name="Notas 7 8" xfId="15673" xr:uid="{00000000-0005-0000-0000-000036650000}"/>
    <cellStyle name="Notas 7 8 10" xfId="15674" xr:uid="{00000000-0005-0000-0000-000037650000}"/>
    <cellStyle name="Notas 7 8 10 2" xfId="20634" xr:uid="{00000000-0005-0000-0000-000038650000}"/>
    <cellStyle name="Notas 7 8 11" xfId="15675" xr:uid="{00000000-0005-0000-0000-000039650000}"/>
    <cellStyle name="Notas 7 8 11 2" xfId="20635" xr:uid="{00000000-0005-0000-0000-00003A650000}"/>
    <cellStyle name="Notas 7 8 12" xfId="20633" xr:uid="{00000000-0005-0000-0000-00003B650000}"/>
    <cellStyle name="Notas 7 8 2" xfId="15676" xr:uid="{00000000-0005-0000-0000-00003C650000}"/>
    <cellStyle name="Notas 7 8 2 2" xfId="20636" xr:uid="{00000000-0005-0000-0000-00003D650000}"/>
    <cellStyle name="Notas 7 8 3" xfId="15677" xr:uid="{00000000-0005-0000-0000-00003E650000}"/>
    <cellStyle name="Notas 7 8 3 2" xfId="20637" xr:uid="{00000000-0005-0000-0000-00003F650000}"/>
    <cellStyle name="Notas 7 8 4" xfId="15678" xr:uid="{00000000-0005-0000-0000-000040650000}"/>
    <cellStyle name="Notas 7 8 4 2" xfId="20638" xr:uid="{00000000-0005-0000-0000-000041650000}"/>
    <cellStyle name="Notas 7 8 5" xfId="15679" xr:uid="{00000000-0005-0000-0000-000042650000}"/>
    <cellStyle name="Notas 7 8 5 2" xfId="20639" xr:uid="{00000000-0005-0000-0000-000043650000}"/>
    <cellStyle name="Notas 7 8 6" xfId="15680" xr:uid="{00000000-0005-0000-0000-000044650000}"/>
    <cellStyle name="Notas 7 8 6 2" xfId="20640" xr:uid="{00000000-0005-0000-0000-000045650000}"/>
    <cellStyle name="Notas 7 8 7" xfId="15681" xr:uid="{00000000-0005-0000-0000-000046650000}"/>
    <cellStyle name="Notas 7 8 7 2" xfId="20641" xr:uid="{00000000-0005-0000-0000-000047650000}"/>
    <cellStyle name="Notas 7 8 8" xfId="15682" xr:uid="{00000000-0005-0000-0000-000048650000}"/>
    <cellStyle name="Notas 7 8 8 2" xfId="20642" xr:uid="{00000000-0005-0000-0000-000049650000}"/>
    <cellStyle name="Notas 7 8 9" xfId="15683" xr:uid="{00000000-0005-0000-0000-00004A650000}"/>
    <cellStyle name="Notas 7 8 9 2" xfId="20643" xr:uid="{00000000-0005-0000-0000-00004B650000}"/>
    <cellStyle name="Notas 7 9" xfId="15684" xr:uid="{00000000-0005-0000-0000-00004C650000}"/>
    <cellStyle name="Notas 7 9 2" xfId="20644" xr:uid="{00000000-0005-0000-0000-00004D650000}"/>
    <cellStyle name="Notas 8" xfId="1295" xr:uid="{00000000-0005-0000-0000-00004E650000}"/>
    <cellStyle name="Notas 8 2" xfId="2499" xr:uid="{00000000-0005-0000-0000-00004F650000}"/>
    <cellStyle name="Notas 8 2 2" xfId="20646" xr:uid="{00000000-0005-0000-0000-000050650000}"/>
    <cellStyle name="Notas 8 2 3" xfId="15686" xr:uid="{00000000-0005-0000-0000-000051650000}"/>
    <cellStyle name="Notas 8 2 4" xfId="24351" xr:uid="{00000000-0005-0000-0000-000052650000}"/>
    <cellStyle name="Notas 8 3" xfId="3909" xr:uid="{00000000-0005-0000-0000-000053650000}"/>
    <cellStyle name="Notas 8 3 2" xfId="20647" xr:uid="{00000000-0005-0000-0000-000054650000}"/>
    <cellStyle name="Notas 8 3 3" xfId="15687" xr:uid="{00000000-0005-0000-0000-000055650000}"/>
    <cellStyle name="Notas 8 4" xfId="15688" xr:uid="{00000000-0005-0000-0000-000056650000}"/>
    <cellStyle name="Notas 8 4 2" xfId="20648" xr:uid="{00000000-0005-0000-0000-000057650000}"/>
    <cellStyle name="Notas 8 5" xfId="15685" xr:uid="{00000000-0005-0000-0000-000058650000}"/>
    <cellStyle name="Notas 8 6" xfId="20645" xr:uid="{00000000-0005-0000-0000-000059650000}"/>
    <cellStyle name="Notas 9" xfId="1296" xr:uid="{00000000-0005-0000-0000-00005A650000}"/>
    <cellStyle name="Notas 9 2" xfId="1297" xr:uid="{00000000-0005-0000-0000-00005B650000}"/>
    <cellStyle name="Notas 9 2 2" xfId="15691" xr:uid="{00000000-0005-0000-0000-00005C650000}"/>
    <cellStyle name="Notas 9 2 2 2" xfId="20651" xr:uid="{00000000-0005-0000-0000-00005D650000}"/>
    <cellStyle name="Notas 9 2 3" xfId="15692" xr:uid="{00000000-0005-0000-0000-00005E650000}"/>
    <cellStyle name="Notas 9 2 3 2" xfId="20652" xr:uid="{00000000-0005-0000-0000-00005F650000}"/>
    <cellStyle name="Notas 9 2 4" xfId="15693" xr:uid="{00000000-0005-0000-0000-000060650000}"/>
    <cellStyle name="Notas 9 2 4 2" xfId="20653" xr:uid="{00000000-0005-0000-0000-000061650000}"/>
    <cellStyle name="Notas 9 2 5" xfId="15694" xr:uid="{00000000-0005-0000-0000-000062650000}"/>
    <cellStyle name="Notas 9 2 5 2" xfId="20654" xr:uid="{00000000-0005-0000-0000-000063650000}"/>
    <cellStyle name="Notas 9 2 6" xfId="20650" xr:uid="{00000000-0005-0000-0000-000064650000}"/>
    <cellStyle name="Notas 9 2 7" xfId="15690" xr:uid="{00000000-0005-0000-0000-000065650000}"/>
    <cellStyle name="Notas 9 3" xfId="15695" xr:uid="{00000000-0005-0000-0000-000066650000}"/>
    <cellStyle name="Notas 9 3 2" xfId="20655" xr:uid="{00000000-0005-0000-0000-000067650000}"/>
    <cellStyle name="Notas 9 4" xfId="15696" xr:uid="{00000000-0005-0000-0000-000068650000}"/>
    <cellStyle name="Notas 9 4 2" xfId="20656" xr:uid="{00000000-0005-0000-0000-000069650000}"/>
    <cellStyle name="Notas 9 5" xfId="15689" xr:uid="{00000000-0005-0000-0000-00006A650000}"/>
    <cellStyle name="Notas 9 6" xfId="20649" xr:uid="{00000000-0005-0000-0000-00006B650000}"/>
    <cellStyle name="Note" xfId="309" xr:uid="{00000000-0005-0000-0000-00006C650000}"/>
    <cellStyle name="Note 10" xfId="15698" xr:uid="{00000000-0005-0000-0000-00006D650000}"/>
    <cellStyle name="Note 10 2" xfId="20658" xr:uid="{00000000-0005-0000-0000-00006E650000}"/>
    <cellStyle name="Note 11" xfId="15699" xr:uid="{00000000-0005-0000-0000-00006F650000}"/>
    <cellStyle name="Note 11 2" xfId="20659" xr:uid="{00000000-0005-0000-0000-000070650000}"/>
    <cellStyle name="Note 12" xfId="15700" xr:uid="{00000000-0005-0000-0000-000071650000}"/>
    <cellStyle name="Note 12 2" xfId="20660" xr:uid="{00000000-0005-0000-0000-000072650000}"/>
    <cellStyle name="Note 13" xfId="15701" xr:uid="{00000000-0005-0000-0000-000073650000}"/>
    <cellStyle name="Note 13 2" xfId="20661" xr:uid="{00000000-0005-0000-0000-000074650000}"/>
    <cellStyle name="Note 14" xfId="15702" xr:uid="{00000000-0005-0000-0000-000075650000}"/>
    <cellStyle name="Note 14 2" xfId="15703" xr:uid="{00000000-0005-0000-0000-000076650000}"/>
    <cellStyle name="Note 14 2 2" xfId="20663" xr:uid="{00000000-0005-0000-0000-000077650000}"/>
    <cellStyle name="Note 14 3" xfId="15704" xr:uid="{00000000-0005-0000-0000-000078650000}"/>
    <cellStyle name="Note 14 3 2" xfId="20664" xr:uid="{00000000-0005-0000-0000-000079650000}"/>
    <cellStyle name="Note 14 4" xfId="15705" xr:uid="{00000000-0005-0000-0000-00007A650000}"/>
    <cellStyle name="Note 14 4 2" xfId="20665" xr:uid="{00000000-0005-0000-0000-00007B650000}"/>
    <cellStyle name="Note 14 5" xfId="15706" xr:uid="{00000000-0005-0000-0000-00007C650000}"/>
    <cellStyle name="Note 14 5 2" xfId="20666" xr:uid="{00000000-0005-0000-0000-00007D650000}"/>
    <cellStyle name="Note 14 6" xfId="20662" xr:uid="{00000000-0005-0000-0000-00007E650000}"/>
    <cellStyle name="Note 15" xfId="15707" xr:uid="{00000000-0005-0000-0000-00007F650000}"/>
    <cellStyle name="Note 15 2" xfId="20667" xr:uid="{00000000-0005-0000-0000-000080650000}"/>
    <cellStyle name="Note 16" xfId="15708" xr:uid="{00000000-0005-0000-0000-000081650000}"/>
    <cellStyle name="Note 16 2" xfId="20668" xr:uid="{00000000-0005-0000-0000-000082650000}"/>
    <cellStyle name="Note 17" xfId="15697" xr:uid="{00000000-0005-0000-0000-000083650000}"/>
    <cellStyle name="Note 18" xfId="20657" xr:uid="{00000000-0005-0000-0000-000084650000}"/>
    <cellStyle name="Note 2" xfId="310" xr:uid="{00000000-0005-0000-0000-000085650000}"/>
    <cellStyle name="Note 2 10" xfId="15710" xr:uid="{00000000-0005-0000-0000-000086650000}"/>
    <cellStyle name="Note 2 10 2" xfId="20670" xr:uid="{00000000-0005-0000-0000-000087650000}"/>
    <cellStyle name="Note 2 11" xfId="15711" xr:uid="{00000000-0005-0000-0000-000088650000}"/>
    <cellStyle name="Note 2 11 2" xfId="20671" xr:uid="{00000000-0005-0000-0000-000089650000}"/>
    <cellStyle name="Note 2 12" xfId="15712" xr:uid="{00000000-0005-0000-0000-00008A650000}"/>
    <cellStyle name="Note 2 12 2" xfId="20672" xr:uid="{00000000-0005-0000-0000-00008B650000}"/>
    <cellStyle name="Note 2 13" xfId="15713" xr:uid="{00000000-0005-0000-0000-00008C650000}"/>
    <cellStyle name="Note 2 13 2" xfId="15714" xr:uid="{00000000-0005-0000-0000-00008D650000}"/>
    <cellStyle name="Note 2 13 2 2" xfId="20674" xr:uid="{00000000-0005-0000-0000-00008E650000}"/>
    <cellStyle name="Note 2 13 3" xfId="15715" xr:uid="{00000000-0005-0000-0000-00008F650000}"/>
    <cellStyle name="Note 2 13 3 2" xfId="20675" xr:uid="{00000000-0005-0000-0000-000090650000}"/>
    <cellStyle name="Note 2 13 4" xfId="15716" xr:uid="{00000000-0005-0000-0000-000091650000}"/>
    <cellStyle name="Note 2 13 4 2" xfId="20676" xr:uid="{00000000-0005-0000-0000-000092650000}"/>
    <cellStyle name="Note 2 13 5" xfId="15717" xr:uid="{00000000-0005-0000-0000-000093650000}"/>
    <cellStyle name="Note 2 13 5 2" xfId="20677" xr:uid="{00000000-0005-0000-0000-000094650000}"/>
    <cellStyle name="Note 2 13 6" xfId="20673" xr:uid="{00000000-0005-0000-0000-000095650000}"/>
    <cellStyle name="Note 2 14" xfId="15718" xr:uid="{00000000-0005-0000-0000-000096650000}"/>
    <cellStyle name="Note 2 14 2" xfId="20678" xr:uid="{00000000-0005-0000-0000-000097650000}"/>
    <cellStyle name="Note 2 15" xfId="15719" xr:uid="{00000000-0005-0000-0000-000098650000}"/>
    <cellStyle name="Note 2 15 2" xfId="20679" xr:uid="{00000000-0005-0000-0000-000099650000}"/>
    <cellStyle name="Note 2 16" xfId="15709" xr:uid="{00000000-0005-0000-0000-00009A650000}"/>
    <cellStyle name="Note 2 17" xfId="20669" xr:uid="{00000000-0005-0000-0000-00009B650000}"/>
    <cellStyle name="Note 2 2" xfId="1298" xr:uid="{00000000-0005-0000-0000-00009C650000}"/>
    <cellStyle name="Note 2 2 10" xfId="15721" xr:uid="{00000000-0005-0000-0000-00009D650000}"/>
    <cellStyle name="Note 2 2 10 2" xfId="20681" xr:uid="{00000000-0005-0000-0000-00009E650000}"/>
    <cellStyle name="Note 2 2 11" xfId="15722" xr:uid="{00000000-0005-0000-0000-00009F650000}"/>
    <cellStyle name="Note 2 2 11 2" xfId="20682" xr:uid="{00000000-0005-0000-0000-0000A0650000}"/>
    <cellStyle name="Note 2 2 12" xfId="15723" xr:uid="{00000000-0005-0000-0000-0000A1650000}"/>
    <cellStyle name="Note 2 2 12 2" xfId="20683" xr:uid="{00000000-0005-0000-0000-0000A2650000}"/>
    <cellStyle name="Note 2 2 13" xfId="15724" xr:uid="{00000000-0005-0000-0000-0000A3650000}"/>
    <cellStyle name="Note 2 2 13 2" xfId="15725" xr:uid="{00000000-0005-0000-0000-0000A4650000}"/>
    <cellStyle name="Note 2 2 13 2 2" xfId="20685" xr:uid="{00000000-0005-0000-0000-0000A5650000}"/>
    <cellStyle name="Note 2 2 13 3" xfId="15726" xr:uid="{00000000-0005-0000-0000-0000A6650000}"/>
    <cellStyle name="Note 2 2 13 3 2" xfId="20686" xr:uid="{00000000-0005-0000-0000-0000A7650000}"/>
    <cellStyle name="Note 2 2 13 4" xfId="15727" xr:uid="{00000000-0005-0000-0000-0000A8650000}"/>
    <cellStyle name="Note 2 2 13 4 2" xfId="20687" xr:uid="{00000000-0005-0000-0000-0000A9650000}"/>
    <cellStyle name="Note 2 2 13 5" xfId="15728" xr:uid="{00000000-0005-0000-0000-0000AA650000}"/>
    <cellStyle name="Note 2 2 13 5 2" xfId="20688" xr:uid="{00000000-0005-0000-0000-0000AB650000}"/>
    <cellStyle name="Note 2 2 13 6" xfId="20684" xr:uid="{00000000-0005-0000-0000-0000AC650000}"/>
    <cellStyle name="Note 2 2 14" xfId="15729" xr:uid="{00000000-0005-0000-0000-0000AD650000}"/>
    <cellStyle name="Note 2 2 14 2" xfId="20689" xr:uid="{00000000-0005-0000-0000-0000AE650000}"/>
    <cellStyle name="Note 2 2 15" xfId="15730" xr:uid="{00000000-0005-0000-0000-0000AF650000}"/>
    <cellStyle name="Note 2 2 15 2" xfId="20690" xr:uid="{00000000-0005-0000-0000-0000B0650000}"/>
    <cellStyle name="Note 2 2 16" xfId="15720" xr:uid="{00000000-0005-0000-0000-0000B1650000}"/>
    <cellStyle name="Note 2 2 17" xfId="20680" xr:uid="{00000000-0005-0000-0000-0000B2650000}"/>
    <cellStyle name="Note 2 2 2" xfId="2500" xr:uid="{00000000-0005-0000-0000-0000B3650000}"/>
    <cellStyle name="Note 2 2 2 2" xfId="20691" xr:uid="{00000000-0005-0000-0000-0000B4650000}"/>
    <cellStyle name="Note 2 2 2 2 2" xfId="24352" xr:uid="{00000000-0005-0000-0000-0000B5650000}"/>
    <cellStyle name="Note 2 2 2 3" xfId="15731" xr:uid="{00000000-0005-0000-0000-0000B6650000}"/>
    <cellStyle name="Note 2 2 3" xfId="3910" xr:uid="{00000000-0005-0000-0000-0000B7650000}"/>
    <cellStyle name="Note 2 2 3 2" xfId="20692" xr:uid="{00000000-0005-0000-0000-0000B8650000}"/>
    <cellStyle name="Note 2 2 3 3" xfId="15732" xr:uid="{00000000-0005-0000-0000-0000B9650000}"/>
    <cellStyle name="Note 2 2 4" xfId="15733" xr:uid="{00000000-0005-0000-0000-0000BA650000}"/>
    <cellStyle name="Note 2 2 4 2" xfId="20693" xr:uid="{00000000-0005-0000-0000-0000BB650000}"/>
    <cellStyle name="Note 2 2 4 3" xfId="24353" xr:uid="{00000000-0005-0000-0000-0000BC650000}"/>
    <cellStyle name="Note 2 2 5" xfId="15734" xr:uid="{00000000-0005-0000-0000-0000BD650000}"/>
    <cellStyle name="Note 2 2 5 2" xfId="20694" xr:uid="{00000000-0005-0000-0000-0000BE650000}"/>
    <cellStyle name="Note 2 2 5 3" xfId="24354" xr:uid="{00000000-0005-0000-0000-0000BF650000}"/>
    <cellStyle name="Note 2 2 6" xfId="15735" xr:uid="{00000000-0005-0000-0000-0000C0650000}"/>
    <cellStyle name="Note 2 2 6 2" xfId="20695" xr:uid="{00000000-0005-0000-0000-0000C1650000}"/>
    <cellStyle name="Note 2 2 7" xfId="15736" xr:uid="{00000000-0005-0000-0000-0000C2650000}"/>
    <cellStyle name="Note 2 2 7 2" xfId="20696" xr:uid="{00000000-0005-0000-0000-0000C3650000}"/>
    <cellStyle name="Note 2 2 8" xfId="15737" xr:uid="{00000000-0005-0000-0000-0000C4650000}"/>
    <cellStyle name="Note 2 2 8 2" xfId="20697" xr:uid="{00000000-0005-0000-0000-0000C5650000}"/>
    <cellStyle name="Note 2 2 9" xfId="15738" xr:uid="{00000000-0005-0000-0000-0000C6650000}"/>
    <cellStyle name="Note 2 2 9 2" xfId="20698" xr:uid="{00000000-0005-0000-0000-0000C7650000}"/>
    <cellStyle name="Note 2 3" xfId="2501" xr:uid="{00000000-0005-0000-0000-0000C8650000}"/>
    <cellStyle name="Note 2 3 10" xfId="15740" xr:uid="{00000000-0005-0000-0000-0000C9650000}"/>
    <cellStyle name="Note 2 3 10 2" xfId="20700" xr:uid="{00000000-0005-0000-0000-0000CA650000}"/>
    <cellStyle name="Note 2 3 11" xfId="15741" xr:uid="{00000000-0005-0000-0000-0000CB650000}"/>
    <cellStyle name="Note 2 3 11 2" xfId="20701" xr:uid="{00000000-0005-0000-0000-0000CC650000}"/>
    <cellStyle name="Note 2 3 12" xfId="15742" xr:uid="{00000000-0005-0000-0000-0000CD650000}"/>
    <cellStyle name="Note 2 3 12 2" xfId="20702" xr:uid="{00000000-0005-0000-0000-0000CE650000}"/>
    <cellStyle name="Note 2 3 13" xfId="15743" xr:uid="{00000000-0005-0000-0000-0000CF650000}"/>
    <cellStyle name="Note 2 3 13 2" xfId="15744" xr:uid="{00000000-0005-0000-0000-0000D0650000}"/>
    <cellStyle name="Note 2 3 13 2 2" xfId="20704" xr:uid="{00000000-0005-0000-0000-0000D1650000}"/>
    <cellStyle name="Note 2 3 13 3" xfId="15745" xr:uid="{00000000-0005-0000-0000-0000D2650000}"/>
    <cellStyle name="Note 2 3 13 3 2" xfId="20705" xr:uid="{00000000-0005-0000-0000-0000D3650000}"/>
    <cellStyle name="Note 2 3 13 4" xfId="15746" xr:uid="{00000000-0005-0000-0000-0000D4650000}"/>
    <cellStyle name="Note 2 3 13 4 2" xfId="20706" xr:uid="{00000000-0005-0000-0000-0000D5650000}"/>
    <cellStyle name="Note 2 3 13 5" xfId="15747" xr:uid="{00000000-0005-0000-0000-0000D6650000}"/>
    <cellStyle name="Note 2 3 13 5 2" xfId="20707" xr:uid="{00000000-0005-0000-0000-0000D7650000}"/>
    <cellStyle name="Note 2 3 13 6" xfId="20703" xr:uid="{00000000-0005-0000-0000-0000D8650000}"/>
    <cellStyle name="Note 2 3 14" xfId="15748" xr:uid="{00000000-0005-0000-0000-0000D9650000}"/>
    <cellStyle name="Note 2 3 14 2" xfId="20708" xr:uid="{00000000-0005-0000-0000-0000DA650000}"/>
    <cellStyle name="Note 2 3 15" xfId="15749" xr:uid="{00000000-0005-0000-0000-0000DB650000}"/>
    <cellStyle name="Note 2 3 15 2" xfId="20709" xr:uid="{00000000-0005-0000-0000-0000DC650000}"/>
    <cellStyle name="Note 2 3 16" xfId="15739" xr:uid="{00000000-0005-0000-0000-0000DD650000}"/>
    <cellStyle name="Note 2 3 17" xfId="20699" xr:uid="{00000000-0005-0000-0000-0000DE650000}"/>
    <cellStyle name="Note 2 3 2" xfId="15750" xr:uid="{00000000-0005-0000-0000-0000DF650000}"/>
    <cellStyle name="Note 2 3 2 2" xfId="20710" xr:uid="{00000000-0005-0000-0000-0000E0650000}"/>
    <cellStyle name="Note 2 3 2 3" xfId="24355" xr:uid="{00000000-0005-0000-0000-0000E1650000}"/>
    <cellStyle name="Note 2 3 3" xfId="15751" xr:uid="{00000000-0005-0000-0000-0000E2650000}"/>
    <cellStyle name="Note 2 3 3 2" xfId="20711" xr:uid="{00000000-0005-0000-0000-0000E3650000}"/>
    <cellStyle name="Note 2 3 3 3" xfId="24356" xr:uid="{00000000-0005-0000-0000-0000E4650000}"/>
    <cellStyle name="Note 2 3 4" xfId="15752" xr:uid="{00000000-0005-0000-0000-0000E5650000}"/>
    <cellStyle name="Note 2 3 4 2" xfId="20712" xr:uid="{00000000-0005-0000-0000-0000E6650000}"/>
    <cellStyle name="Note 2 3 5" xfId="15753" xr:uid="{00000000-0005-0000-0000-0000E7650000}"/>
    <cellStyle name="Note 2 3 5 2" xfId="20713" xr:uid="{00000000-0005-0000-0000-0000E8650000}"/>
    <cellStyle name="Note 2 3 6" xfId="15754" xr:uid="{00000000-0005-0000-0000-0000E9650000}"/>
    <cellStyle name="Note 2 3 6 2" xfId="20714" xr:uid="{00000000-0005-0000-0000-0000EA650000}"/>
    <cellStyle name="Note 2 3 7" xfId="15755" xr:uid="{00000000-0005-0000-0000-0000EB650000}"/>
    <cellStyle name="Note 2 3 7 2" xfId="20715" xr:uid="{00000000-0005-0000-0000-0000EC650000}"/>
    <cellStyle name="Note 2 3 8" xfId="15756" xr:uid="{00000000-0005-0000-0000-0000ED650000}"/>
    <cellStyle name="Note 2 3 8 2" xfId="20716" xr:uid="{00000000-0005-0000-0000-0000EE650000}"/>
    <cellStyle name="Note 2 3 9" xfId="15757" xr:uid="{00000000-0005-0000-0000-0000EF650000}"/>
    <cellStyle name="Note 2 3 9 2" xfId="20717" xr:uid="{00000000-0005-0000-0000-0000F0650000}"/>
    <cellStyle name="Note 2 4" xfId="2502" xr:uid="{00000000-0005-0000-0000-0000F1650000}"/>
    <cellStyle name="Note 2 4 10" xfId="15759" xr:uid="{00000000-0005-0000-0000-0000F2650000}"/>
    <cellStyle name="Note 2 4 10 2" xfId="20719" xr:uid="{00000000-0005-0000-0000-0000F3650000}"/>
    <cellStyle name="Note 2 4 11" xfId="15760" xr:uid="{00000000-0005-0000-0000-0000F4650000}"/>
    <cellStyle name="Note 2 4 11 2" xfId="20720" xr:uid="{00000000-0005-0000-0000-0000F5650000}"/>
    <cellStyle name="Note 2 4 12" xfId="15761" xr:uid="{00000000-0005-0000-0000-0000F6650000}"/>
    <cellStyle name="Note 2 4 12 2" xfId="20721" xr:uid="{00000000-0005-0000-0000-0000F7650000}"/>
    <cellStyle name="Note 2 4 13" xfId="15762" xr:uid="{00000000-0005-0000-0000-0000F8650000}"/>
    <cellStyle name="Note 2 4 13 2" xfId="20722" xr:uid="{00000000-0005-0000-0000-0000F9650000}"/>
    <cellStyle name="Note 2 4 14" xfId="15758" xr:uid="{00000000-0005-0000-0000-0000FA650000}"/>
    <cellStyle name="Note 2 4 15" xfId="20718" xr:uid="{00000000-0005-0000-0000-0000FB650000}"/>
    <cellStyle name="Note 2 4 2" xfId="15763" xr:uid="{00000000-0005-0000-0000-0000FC650000}"/>
    <cellStyle name="Note 2 4 2 2" xfId="20723" xr:uid="{00000000-0005-0000-0000-0000FD650000}"/>
    <cellStyle name="Note 2 4 2 3" xfId="24357" xr:uid="{00000000-0005-0000-0000-0000FE650000}"/>
    <cellStyle name="Note 2 4 3" xfId="15764" xr:uid="{00000000-0005-0000-0000-0000FF650000}"/>
    <cellStyle name="Note 2 4 3 2" xfId="20724" xr:uid="{00000000-0005-0000-0000-000000660000}"/>
    <cellStyle name="Note 2 4 3 3" xfId="24358" xr:uid="{00000000-0005-0000-0000-000001660000}"/>
    <cellStyle name="Note 2 4 4" xfId="15765" xr:uid="{00000000-0005-0000-0000-000002660000}"/>
    <cellStyle name="Note 2 4 4 2" xfId="20725" xr:uid="{00000000-0005-0000-0000-000003660000}"/>
    <cellStyle name="Note 2 4 5" xfId="15766" xr:uid="{00000000-0005-0000-0000-000004660000}"/>
    <cellStyle name="Note 2 4 5 2" xfId="20726" xr:uid="{00000000-0005-0000-0000-000005660000}"/>
    <cellStyle name="Note 2 4 6" xfId="15767" xr:uid="{00000000-0005-0000-0000-000006660000}"/>
    <cellStyle name="Note 2 4 6 2" xfId="20727" xr:uid="{00000000-0005-0000-0000-000007660000}"/>
    <cellStyle name="Note 2 4 7" xfId="15768" xr:uid="{00000000-0005-0000-0000-000008660000}"/>
    <cellStyle name="Note 2 4 7 2" xfId="20728" xr:uid="{00000000-0005-0000-0000-000009660000}"/>
    <cellStyle name="Note 2 4 8" xfId="15769" xr:uid="{00000000-0005-0000-0000-00000A660000}"/>
    <cellStyle name="Note 2 4 8 2" xfId="20729" xr:uid="{00000000-0005-0000-0000-00000B660000}"/>
    <cellStyle name="Note 2 4 9" xfId="15770" xr:uid="{00000000-0005-0000-0000-00000C660000}"/>
    <cellStyle name="Note 2 4 9 2" xfId="20730" xr:uid="{00000000-0005-0000-0000-00000D660000}"/>
    <cellStyle name="Note 2 5" xfId="2503" xr:uid="{00000000-0005-0000-0000-00000E660000}"/>
    <cellStyle name="Note 2 5 10" xfId="15772" xr:uid="{00000000-0005-0000-0000-00000F660000}"/>
    <cellStyle name="Note 2 5 10 2" xfId="20732" xr:uid="{00000000-0005-0000-0000-000010660000}"/>
    <cellStyle name="Note 2 5 11" xfId="15773" xr:uid="{00000000-0005-0000-0000-000011660000}"/>
    <cellStyle name="Note 2 5 11 2" xfId="20733" xr:uid="{00000000-0005-0000-0000-000012660000}"/>
    <cellStyle name="Note 2 5 12" xfId="15774" xr:uid="{00000000-0005-0000-0000-000013660000}"/>
    <cellStyle name="Note 2 5 12 2" xfId="20734" xr:uid="{00000000-0005-0000-0000-000014660000}"/>
    <cellStyle name="Note 2 5 13" xfId="15771" xr:uid="{00000000-0005-0000-0000-000015660000}"/>
    <cellStyle name="Note 2 5 14" xfId="20731" xr:uid="{00000000-0005-0000-0000-000016660000}"/>
    <cellStyle name="Note 2 5 2" xfId="15775" xr:uid="{00000000-0005-0000-0000-000017660000}"/>
    <cellStyle name="Note 2 5 2 2" xfId="20735" xr:uid="{00000000-0005-0000-0000-000018660000}"/>
    <cellStyle name="Note 2 5 2 3" xfId="24359" xr:uid="{00000000-0005-0000-0000-000019660000}"/>
    <cellStyle name="Note 2 5 3" xfId="15776" xr:uid="{00000000-0005-0000-0000-00001A660000}"/>
    <cellStyle name="Note 2 5 3 2" xfId="20736" xr:uid="{00000000-0005-0000-0000-00001B660000}"/>
    <cellStyle name="Note 2 5 3 3" xfId="24360" xr:uid="{00000000-0005-0000-0000-00001C660000}"/>
    <cellStyle name="Note 2 5 4" xfId="15777" xr:uid="{00000000-0005-0000-0000-00001D660000}"/>
    <cellStyle name="Note 2 5 4 2" xfId="20737" xr:uid="{00000000-0005-0000-0000-00001E660000}"/>
    <cellStyle name="Note 2 5 5" xfId="15778" xr:uid="{00000000-0005-0000-0000-00001F660000}"/>
    <cellStyle name="Note 2 5 5 2" xfId="20738" xr:uid="{00000000-0005-0000-0000-000020660000}"/>
    <cellStyle name="Note 2 5 6" xfId="15779" xr:uid="{00000000-0005-0000-0000-000021660000}"/>
    <cellStyle name="Note 2 5 6 2" xfId="20739" xr:uid="{00000000-0005-0000-0000-000022660000}"/>
    <cellStyle name="Note 2 5 7" xfId="15780" xr:uid="{00000000-0005-0000-0000-000023660000}"/>
    <cellStyle name="Note 2 5 7 2" xfId="20740" xr:uid="{00000000-0005-0000-0000-000024660000}"/>
    <cellStyle name="Note 2 5 8" xfId="15781" xr:uid="{00000000-0005-0000-0000-000025660000}"/>
    <cellStyle name="Note 2 5 8 2" xfId="20741" xr:uid="{00000000-0005-0000-0000-000026660000}"/>
    <cellStyle name="Note 2 5 9" xfId="15782" xr:uid="{00000000-0005-0000-0000-000027660000}"/>
    <cellStyle name="Note 2 5 9 2" xfId="20742" xr:uid="{00000000-0005-0000-0000-000028660000}"/>
    <cellStyle name="Note 2 6" xfId="15783" xr:uid="{00000000-0005-0000-0000-000029660000}"/>
    <cellStyle name="Note 2 6 10" xfId="15784" xr:uid="{00000000-0005-0000-0000-00002A660000}"/>
    <cellStyle name="Note 2 6 10 2" xfId="20744" xr:uid="{00000000-0005-0000-0000-00002B660000}"/>
    <cellStyle name="Note 2 6 11" xfId="15785" xr:uid="{00000000-0005-0000-0000-00002C660000}"/>
    <cellStyle name="Note 2 6 11 2" xfId="20745" xr:uid="{00000000-0005-0000-0000-00002D660000}"/>
    <cellStyle name="Note 2 6 12" xfId="15786" xr:uid="{00000000-0005-0000-0000-00002E660000}"/>
    <cellStyle name="Note 2 6 12 2" xfId="20746" xr:uid="{00000000-0005-0000-0000-00002F660000}"/>
    <cellStyle name="Note 2 6 13" xfId="20743" xr:uid="{00000000-0005-0000-0000-000030660000}"/>
    <cellStyle name="Note 2 6 14" xfId="24361" xr:uid="{00000000-0005-0000-0000-000031660000}"/>
    <cellStyle name="Note 2 6 2" xfId="15787" xr:uid="{00000000-0005-0000-0000-000032660000}"/>
    <cellStyle name="Note 2 6 2 2" xfId="20747" xr:uid="{00000000-0005-0000-0000-000033660000}"/>
    <cellStyle name="Note 2 6 3" xfId="15788" xr:uid="{00000000-0005-0000-0000-000034660000}"/>
    <cellStyle name="Note 2 6 3 2" xfId="20748" xr:uid="{00000000-0005-0000-0000-000035660000}"/>
    <cellStyle name="Note 2 6 4" xfId="15789" xr:uid="{00000000-0005-0000-0000-000036660000}"/>
    <cellStyle name="Note 2 6 4 2" xfId="20749" xr:uid="{00000000-0005-0000-0000-000037660000}"/>
    <cellStyle name="Note 2 6 5" xfId="15790" xr:uid="{00000000-0005-0000-0000-000038660000}"/>
    <cellStyle name="Note 2 6 5 2" xfId="20750" xr:uid="{00000000-0005-0000-0000-000039660000}"/>
    <cellStyle name="Note 2 6 6" xfId="15791" xr:uid="{00000000-0005-0000-0000-00003A660000}"/>
    <cellStyle name="Note 2 6 6 2" xfId="20751" xr:uid="{00000000-0005-0000-0000-00003B660000}"/>
    <cellStyle name="Note 2 6 7" xfId="15792" xr:uid="{00000000-0005-0000-0000-00003C660000}"/>
    <cellStyle name="Note 2 6 7 2" xfId="20752" xr:uid="{00000000-0005-0000-0000-00003D660000}"/>
    <cellStyle name="Note 2 6 8" xfId="15793" xr:uid="{00000000-0005-0000-0000-00003E660000}"/>
    <cellStyle name="Note 2 6 8 2" xfId="20753" xr:uid="{00000000-0005-0000-0000-00003F660000}"/>
    <cellStyle name="Note 2 6 9" xfId="15794" xr:uid="{00000000-0005-0000-0000-000040660000}"/>
    <cellStyle name="Note 2 6 9 2" xfId="20754" xr:uid="{00000000-0005-0000-0000-000041660000}"/>
    <cellStyle name="Note 2 7" xfId="15795" xr:uid="{00000000-0005-0000-0000-000042660000}"/>
    <cellStyle name="Note 2 7 10" xfId="15796" xr:uid="{00000000-0005-0000-0000-000043660000}"/>
    <cellStyle name="Note 2 7 10 2" xfId="20756" xr:uid="{00000000-0005-0000-0000-000044660000}"/>
    <cellStyle name="Note 2 7 11" xfId="15797" xr:uid="{00000000-0005-0000-0000-000045660000}"/>
    <cellStyle name="Note 2 7 11 2" xfId="20757" xr:uid="{00000000-0005-0000-0000-000046660000}"/>
    <cellStyle name="Note 2 7 12" xfId="20755" xr:uid="{00000000-0005-0000-0000-000047660000}"/>
    <cellStyle name="Note 2 7 13" xfId="24362" xr:uid="{00000000-0005-0000-0000-000048660000}"/>
    <cellStyle name="Note 2 7 2" xfId="15798" xr:uid="{00000000-0005-0000-0000-000049660000}"/>
    <cellStyle name="Note 2 7 2 2" xfId="20758" xr:uid="{00000000-0005-0000-0000-00004A660000}"/>
    <cellStyle name="Note 2 7 3" xfId="15799" xr:uid="{00000000-0005-0000-0000-00004B660000}"/>
    <cellStyle name="Note 2 7 3 2" xfId="20759" xr:uid="{00000000-0005-0000-0000-00004C660000}"/>
    <cellStyle name="Note 2 7 4" xfId="15800" xr:uid="{00000000-0005-0000-0000-00004D660000}"/>
    <cellStyle name="Note 2 7 4 2" xfId="20760" xr:uid="{00000000-0005-0000-0000-00004E660000}"/>
    <cellStyle name="Note 2 7 5" xfId="15801" xr:uid="{00000000-0005-0000-0000-00004F660000}"/>
    <cellStyle name="Note 2 7 5 2" xfId="20761" xr:uid="{00000000-0005-0000-0000-000050660000}"/>
    <cellStyle name="Note 2 7 6" xfId="15802" xr:uid="{00000000-0005-0000-0000-000051660000}"/>
    <cellStyle name="Note 2 7 6 2" xfId="20762" xr:uid="{00000000-0005-0000-0000-000052660000}"/>
    <cellStyle name="Note 2 7 7" xfId="15803" xr:uid="{00000000-0005-0000-0000-000053660000}"/>
    <cellStyle name="Note 2 7 7 2" xfId="20763" xr:uid="{00000000-0005-0000-0000-000054660000}"/>
    <cellStyle name="Note 2 7 8" xfId="15804" xr:uid="{00000000-0005-0000-0000-000055660000}"/>
    <cellStyle name="Note 2 7 8 2" xfId="20764" xr:uid="{00000000-0005-0000-0000-000056660000}"/>
    <cellStyle name="Note 2 7 9" xfId="15805" xr:uid="{00000000-0005-0000-0000-000057660000}"/>
    <cellStyle name="Note 2 7 9 2" xfId="20765" xr:uid="{00000000-0005-0000-0000-000058660000}"/>
    <cellStyle name="Note 2 8" xfId="15806" xr:uid="{00000000-0005-0000-0000-000059660000}"/>
    <cellStyle name="Note 2 8 2" xfId="20766" xr:uid="{00000000-0005-0000-0000-00005A660000}"/>
    <cellStyle name="Note 2 9" xfId="15807" xr:uid="{00000000-0005-0000-0000-00005B660000}"/>
    <cellStyle name="Note 2 9 2" xfId="20767" xr:uid="{00000000-0005-0000-0000-00005C660000}"/>
    <cellStyle name="Note 3" xfId="417" xr:uid="{00000000-0005-0000-0000-00005D660000}"/>
    <cellStyle name="Note 3 10" xfId="15809" xr:uid="{00000000-0005-0000-0000-00005E660000}"/>
    <cellStyle name="Note 3 10 2" xfId="20769" xr:uid="{00000000-0005-0000-0000-00005F660000}"/>
    <cellStyle name="Note 3 11" xfId="15810" xr:uid="{00000000-0005-0000-0000-000060660000}"/>
    <cellStyle name="Note 3 11 2" xfId="20770" xr:uid="{00000000-0005-0000-0000-000061660000}"/>
    <cellStyle name="Note 3 12" xfId="15811" xr:uid="{00000000-0005-0000-0000-000062660000}"/>
    <cellStyle name="Note 3 12 2" xfId="20771" xr:uid="{00000000-0005-0000-0000-000063660000}"/>
    <cellStyle name="Note 3 13" xfId="15812" xr:uid="{00000000-0005-0000-0000-000064660000}"/>
    <cellStyle name="Note 3 13 2" xfId="15813" xr:uid="{00000000-0005-0000-0000-000065660000}"/>
    <cellStyle name="Note 3 13 2 2" xfId="20773" xr:uid="{00000000-0005-0000-0000-000066660000}"/>
    <cellStyle name="Note 3 13 3" xfId="15814" xr:uid="{00000000-0005-0000-0000-000067660000}"/>
    <cellStyle name="Note 3 13 3 2" xfId="20774" xr:uid="{00000000-0005-0000-0000-000068660000}"/>
    <cellStyle name="Note 3 13 4" xfId="15815" xr:uid="{00000000-0005-0000-0000-000069660000}"/>
    <cellStyle name="Note 3 13 4 2" xfId="20775" xr:uid="{00000000-0005-0000-0000-00006A660000}"/>
    <cellStyle name="Note 3 13 5" xfId="15816" xr:uid="{00000000-0005-0000-0000-00006B660000}"/>
    <cellStyle name="Note 3 13 5 2" xfId="20776" xr:uid="{00000000-0005-0000-0000-00006C660000}"/>
    <cellStyle name="Note 3 13 6" xfId="20772" xr:uid="{00000000-0005-0000-0000-00006D660000}"/>
    <cellStyle name="Note 3 14" xfId="15817" xr:uid="{00000000-0005-0000-0000-00006E660000}"/>
    <cellStyle name="Note 3 14 2" xfId="20777" xr:uid="{00000000-0005-0000-0000-00006F660000}"/>
    <cellStyle name="Note 3 15" xfId="15818" xr:uid="{00000000-0005-0000-0000-000070660000}"/>
    <cellStyle name="Note 3 15 2" xfId="20778" xr:uid="{00000000-0005-0000-0000-000071660000}"/>
    <cellStyle name="Note 3 16" xfId="15808" xr:uid="{00000000-0005-0000-0000-000072660000}"/>
    <cellStyle name="Note 3 17" xfId="20768" xr:uid="{00000000-0005-0000-0000-000073660000}"/>
    <cellStyle name="Note 3 2" xfId="732" xr:uid="{00000000-0005-0000-0000-000074660000}"/>
    <cellStyle name="Note 3 2 2" xfId="20779" xr:uid="{00000000-0005-0000-0000-000075660000}"/>
    <cellStyle name="Note 3 2 3" xfId="15819" xr:uid="{00000000-0005-0000-0000-000076660000}"/>
    <cellStyle name="Note 3 3" xfId="15820" xr:uid="{00000000-0005-0000-0000-000077660000}"/>
    <cellStyle name="Note 3 3 2" xfId="20780" xr:uid="{00000000-0005-0000-0000-000078660000}"/>
    <cellStyle name="Note 3 3 3" xfId="24363" xr:uid="{00000000-0005-0000-0000-000079660000}"/>
    <cellStyle name="Note 3 4" xfId="15821" xr:uid="{00000000-0005-0000-0000-00007A660000}"/>
    <cellStyle name="Note 3 4 2" xfId="20781" xr:uid="{00000000-0005-0000-0000-00007B660000}"/>
    <cellStyle name="Note 3 4 3" xfId="24364" xr:uid="{00000000-0005-0000-0000-00007C660000}"/>
    <cellStyle name="Note 3 5" xfId="15822" xr:uid="{00000000-0005-0000-0000-00007D660000}"/>
    <cellStyle name="Note 3 5 2" xfId="20782" xr:uid="{00000000-0005-0000-0000-00007E660000}"/>
    <cellStyle name="Note 3 6" xfId="15823" xr:uid="{00000000-0005-0000-0000-00007F660000}"/>
    <cellStyle name="Note 3 6 2" xfId="20783" xr:uid="{00000000-0005-0000-0000-000080660000}"/>
    <cellStyle name="Note 3 7" xfId="15824" xr:uid="{00000000-0005-0000-0000-000081660000}"/>
    <cellStyle name="Note 3 7 2" xfId="20784" xr:uid="{00000000-0005-0000-0000-000082660000}"/>
    <cellStyle name="Note 3 8" xfId="15825" xr:uid="{00000000-0005-0000-0000-000083660000}"/>
    <cellStyle name="Note 3 8 2" xfId="20785" xr:uid="{00000000-0005-0000-0000-000084660000}"/>
    <cellStyle name="Note 3 9" xfId="15826" xr:uid="{00000000-0005-0000-0000-000085660000}"/>
    <cellStyle name="Note 3 9 2" xfId="20786" xr:uid="{00000000-0005-0000-0000-000086660000}"/>
    <cellStyle name="Note 4" xfId="733" xr:uid="{00000000-0005-0000-0000-000087660000}"/>
    <cellStyle name="Note 4 10" xfId="15828" xr:uid="{00000000-0005-0000-0000-000088660000}"/>
    <cellStyle name="Note 4 10 2" xfId="20788" xr:uid="{00000000-0005-0000-0000-000089660000}"/>
    <cellStyle name="Note 4 11" xfId="15829" xr:uid="{00000000-0005-0000-0000-00008A660000}"/>
    <cellStyle name="Note 4 11 2" xfId="20789" xr:uid="{00000000-0005-0000-0000-00008B660000}"/>
    <cellStyle name="Note 4 12" xfId="15827" xr:uid="{00000000-0005-0000-0000-00008C660000}"/>
    <cellStyle name="Note 4 13" xfId="20787" xr:uid="{00000000-0005-0000-0000-00008D660000}"/>
    <cellStyle name="Note 4 2" xfId="15830" xr:uid="{00000000-0005-0000-0000-00008E660000}"/>
    <cellStyle name="Note 4 2 2" xfId="20790" xr:uid="{00000000-0005-0000-0000-00008F660000}"/>
    <cellStyle name="Note 4 3" xfId="15831" xr:uid="{00000000-0005-0000-0000-000090660000}"/>
    <cellStyle name="Note 4 3 2" xfId="20791" xr:uid="{00000000-0005-0000-0000-000091660000}"/>
    <cellStyle name="Note 4 4" xfId="15832" xr:uid="{00000000-0005-0000-0000-000092660000}"/>
    <cellStyle name="Note 4 4 2" xfId="20792" xr:uid="{00000000-0005-0000-0000-000093660000}"/>
    <cellStyle name="Note 4 5" xfId="15833" xr:uid="{00000000-0005-0000-0000-000094660000}"/>
    <cellStyle name="Note 4 5 2" xfId="20793" xr:uid="{00000000-0005-0000-0000-000095660000}"/>
    <cellStyle name="Note 4 6" xfId="15834" xr:uid="{00000000-0005-0000-0000-000096660000}"/>
    <cellStyle name="Note 4 6 2" xfId="20794" xr:uid="{00000000-0005-0000-0000-000097660000}"/>
    <cellStyle name="Note 4 7" xfId="15835" xr:uid="{00000000-0005-0000-0000-000098660000}"/>
    <cellStyle name="Note 4 7 2" xfId="20795" xr:uid="{00000000-0005-0000-0000-000099660000}"/>
    <cellStyle name="Note 4 8" xfId="15836" xr:uid="{00000000-0005-0000-0000-00009A660000}"/>
    <cellStyle name="Note 4 8 2" xfId="20796" xr:uid="{00000000-0005-0000-0000-00009B660000}"/>
    <cellStyle name="Note 4 9" xfId="15837" xr:uid="{00000000-0005-0000-0000-00009C660000}"/>
    <cellStyle name="Note 4 9 2" xfId="20797" xr:uid="{00000000-0005-0000-0000-00009D660000}"/>
    <cellStyle name="Note 5" xfId="15838" xr:uid="{00000000-0005-0000-0000-00009E660000}"/>
    <cellStyle name="Note 5 10" xfId="15839" xr:uid="{00000000-0005-0000-0000-00009F660000}"/>
    <cellStyle name="Note 5 10 2" xfId="20799" xr:uid="{00000000-0005-0000-0000-0000A0660000}"/>
    <cellStyle name="Note 5 11" xfId="15840" xr:uid="{00000000-0005-0000-0000-0000A1660000}"/>
    <cellStyle name="Note 5 11 2" xfId="20800" xr:uid="{00000000-0005-0000-0000-0000A2660000}"/>
    <cellStyle name="Note 5 12" xfId="20798" xr:uid="{00000000-0005-0000-0000-0000A3660000}"/>
    <cellStyle name="Note 5 13" xfId="24365" xr:uid="{00000000-0005-0000-0000-0000A4660000}"/>
    <cellStyle name="Note 5 2" xfId="15841" xr:uid="{00000000-0005-0000-0000-0000A5660000}"/>
    <cellStyle name="Note 5 2 2" xfId="20801" xr:uid="{00000000-0005-0000-0000-0000A6660000}"/>
    <cellStyle name="Note 5 3" xfId="15842" xr:uid="{00000000-0005-0000-0000-0000A7660000}"/>
    <cellStyle name="Note 5 3 2" xfId="20802" xr:uid="{00000000-0005-0000-0000-0000A8660000}"/>
    <cellStyle name="Note 5 4" xfId="15843" xr:uid="{00000000-0005-0000-0000-0000A9660000}"/>
    <cellStyle name="Note 5 4 2" xfId="20803" xr:uid="{00000000-0005-0000-0000-0000AA660000}"/>
    <cellStyle name="Note 5 5" xfId="15844" xr:uid="{00000000-0005-0000-0000-0000AB660000}"/>
    <cellStyle name="Note 5 5 2" xfId="20804" xr:uid="{00000000-0005-0000-0000-0000AC660000}"/>
    <cellStyle name="Note 5 6" xfId="15845" xr:uid="{00000000-0005-0000-0000-0000AD660000}"/>
    <cellStyle name="Note 5 6 2" xfId="20805" xr:uid="{00000000-0005-0000-0000-0000AE660000}"/>
    <cellStyle name="Note 5 7" xfId="15846" xr:uid="{00000000-0005-0000-0000-0000AF660000}"/>
    <cellStyle name="Note 5 7 2" xfId="20806" xr:uid="{00000000-0005-0000-0000-0000B0660000}"/>
    <cellStyle name="Note 5 8" xfId="15847" xr:uid="{00000000-0005-0000-0000-0000B1660000}"/>
    <cellStyle name="Note 5 8 2" xfId="20807" xr:uid="{00000000-0005-0000-0000-0000B2660000}"/>
    <cellStyle name="Note 5 9" xfId="15848" xr:uid="{00000000-0005-0000-0000-0000B3660000}"/>
    <cellStyle name="Note 5 9 2" xfId="20808" xr:uid="{00000000-0005-0000-0000-0000B4660000}"/>
    <cellStyle name="Note 6" xfId="15849" xr:uid="{00000000-0005-0000-0000-0000B5660000}"/>
    <cellStyle name="Note 6 10" xfId="15850" xr:uid="{00000000-0005-0000-0000-0000B6660000}"/>
    <cellStyle name="Note 6 10 2" xfId="20810" xr:uid="{00000000-0005-0000-0000-0000B7660000}"/>
    <cellStyle name="Note 6 11" xfId="15851" xr:uid="{00000000-0005-0000-0000-0000B8660000}"/>
    <cellStyle name="Note 6 11 2" xfId="20811" xr:uid="{00000000-0005-0000-0000-0000B9660000}"/>
    <cellStyle name="Note 6 12" xfId="20809" xr:uid="{00000000-0005-0000-0000-0000BA660000}"/>
    <cellStyle name="Note 6 13" xfId="24366" xr:uid="{00000000-0005-0000-0000-0000BB660000}"/>
    <cellStyle name="Note 6 2" xfId="15852" xr:uid="{00000000-0005-0000-0000-0000BC660000}"/>
    <cellStyle name="Note 6 2 2" xfId="20812" xr:uid="{00000000-0005-0000-0000-0000BD660000}"/>
    <cellStyle name="Note 6 3" xfId="15853" xr:uid="{00000000-0005-0000-0000-0000BE660000}"/>
    <cellStyle name="Note 6 3 2" xfId="20813" xr:uid="{00000000-0005-0000-0000-0000BF660000}"/>
    <cellStyle name="Note 6 4" xfId="15854" xr:uid="{00000000-0005-0000-0000-0000C0660000}"/>
    <cellStyle name="Note 6 4 2" xfId="20814" xr:uid="{00000000-0005-0000-0000-0000C1660000}"/>
    <cellStyle name="Note 6 5" xfId="15855" xr:uid="{00000000-0005-0000-0000-0000C2660000}"/>
    <cellStyle name="Note 6 5 2" xfId="20815" xr:uid="{00000000-0005-0000-0000-0000C3660000}"/>
    <cellStyle name="Note 6 6" xfId="15856" xr:uid="{00000000-0005-0000-0000-0000C4660000}"/>
    <cellStyle name="Note 6 6 2" xfId="20816" xr:uid="{00000000-0005-0000-0000-0000C5660000}"/>
    <cellStyle name="Note 6 7" xfId="15857" xr:uid="{00000000-0005-0000-0000-0000C6660000}"/>
    <cellStyle name="Note 6 7 2" xfId="20817" xr:uid="{00000000-0005-0000-0000-0000C7660000}"/>
    <cellStyle name="Note 6 8" xfId="15858" xr:uid="{00000000-0005-0000-0000-0000C8660000}"/>
    <cellStyle name="Note 6 8 2" xfId="20818" xr:uid="{00000000-0005-0000-0000-0000C9660000}"/>
    <cellStyle name="Note 6 9" xfId="15859" xr:uid="{00000000-0005-0000-0000-0000CA660000}"/>
    <cellStyle name="Note 6 9 2" xfId="20819" xr:uid="{00000000-0005-0000-0000-0000CB660000}"/>
    <cellStyle name="Note 7" xfId="15860" xr:uid="{00000000-0005-0000-0000-0000CC660000}"/>
    <cellStyle name="Note 7 10" xfId="15861" xr:uid="{00000000-0005-0000-0000-0000CD660000}"/>
    <cellStyle name="Note 7 10 2" xfId="20821" xr:uid="{00000000-0005-0000-0000-0000CE660000}"/>
    <cellStyle name="Note 7 11" xfId="15862" xr:uid="{00000000-0005-0000-0000-0000CF660000}"/>
    <cellStyle name="Note 7 11 2" xfId="20822" xr:uid="{00000000-0005-0000-0000-0000D0660000}"/>
    <cellStyle name="Note 7 12" xfId="20820" xr:uid="{00000000-0005-0000-0000-0000D1660000}"/>
    <cellStyle name="Note 7 2" xfId="15863" xr:uid="{00000000-0005-0000-0000-0000D2660000}"/>
    <cellStyle name="Note 7 2 2" xfId="20823" xr:uid="{00000000-0005-0000-0000-0000D3660000}"/>
    <cellStyle name="Note 7 3" xfId="15864" xr:uid="{00000000-0005-0000-0000-0000D4660000}"/>
    <cellStyle name="Note 7 3 2" xfId="20824" xr:uid="{00000000-0005-0000-0000-0000D5660000}"/>
    <cellStyle name="Note 7 4" xfId="15865" xr:uid="{00000000-0005-0000-0000-0000D6660000}"/>
    <cellStyle name="Note 7 4 2" xfId="20825" xr:uid="{00000000-0005-0000-0000-0000D7660000}"/>
    <cellStyle name="Note 7 5" xfId="15866" xr:uid="{00000000-0005-0000-0000-0000D8660000}"/>
    <cellStyle name="Note 7 5 2" xfId="20826" xr:uid="{00000000-0005-0000-0000-0000D9660000}"/>
    <cellStyle name="Note 7 6" xfId="15867" xr:uid="{00000000-0005-0000-0000-0000DA660000}"/>
    <cellStyle name="Note 7 6 2" xfId="20827" xr:uid="{00000000-0005-0000-0000-0000DB660000}"/>
    <cellStyle name="Note 7 7" xfId="15868" xr:uid="{00000000-0005-0000-0000-0000DC660000}"/>
    <cellStyle name="Note 7 7 2" xfId="20828" xr:uid="{00000000-0005-0000-0000-0000DD660000}"/>
    <cellStyle name="Note 7 8" xfId="15869" xr:uid="{00000000-0005-0000-0000-0000DE660000}"/>
    <cellStyle name="Note 7 8 2" xfId="20829" xr:uid="{00000000-0005-0000-0000-0000DF660000}"/>
    <cellStyle name="Note 7 9" xfId="15870" xr:uid="{00000000-0005-0000-0000-0000E0660000}"/>
    <cellStyle name="Note 7 9 2" xfId="20830" xr:uid="{00000000-0005-0000-0000-0000E1660000}"/>
    <cellStyle name="Note 8" xfId="15871" xr:uid="{00000000-0005-0000-0000-0000E2660000}"/>
    <cellStyle name="Note 8 10" xfId="15872" xr:uid="{00000000-0005-0000-0000-0000E3660000}"/>
    <cellStyle name="Note 8 10 2" xfId="20832" xr:uid="{00000000-0005-0000-0000-0000E4660000}"/>
    <cellStyle name="Note 8 11" xfId="15873" xr:uid="{00000000-0005-0000-0000-0000E5660000}"/>
    <cellStyle name="Note 8 11 2" xfId="20833" xr:uid="{00000000-0005-0000-0000-0000E6660000}"/>
    <cellStyle name="Note 8 12" xfId="20831" xr:uid="{00000000-0005-0000-0000-0000E7660000}"/>
    <cellStyle name="Note 8 2" xfId="15874" xr:uid="{00000000-0005-0000-0000-0000E8660000}"/>
    <cellStyle name="Note 8 2 2" xfId="20834" xr:uid="{00000000-0005-0000-0000-0000E9660000}"/>
    <cellStyle name="Note 8 3" xfId="15875" xr:uid="{00000000-0005-0000-0000-0000EA660000}"/>
    <cellStyle name="Note 8 3 2" xfId="20835" xr:uid="{00000000-0005-0000-0000-0000EB660000}"/>
    <cellStyle name="Note 8 4" xfId="15876" xr:uid="{00000000-0005-0000-0000-0000EC660000}"/>
    <cellStyle name="Note 8 4 2" xfId="20836" xr:uid="{00000000-0005-0000-0000-0000ED660000}"/>
    <cellStyle name="Note 8 5" xfId="15877" xr:uid="{00000000-0005-0000-0000-0000EE660000}"/>
    <cellStyle name="Note 8 5 2" xfId="20837" xr:uid="{00000000-0005-0000-0000-0000EF660000}"/>
    <cellStyle name="Note 8 6" xfId="15878" xr:uid="{00000000-0005-0000-0000-0000F0660000}"/>
    <cellStyle name="Note 8 6 2" xfId="20838" xr:uid="{00000000-0005-0000-0000-0000F1660000}"/>
    <cellStyle name="Note 8 7" xfId="15879" xr:uid="{00000000-0005-0000-0000-0000F2660000}"/>
    <cellStyle name="Note 8 7 2" xfId="20839" xr:uid="{00000000-0005-0000-0000-0000F3660000}"/>
    <cellStyle name="Note 8 8" xfId="15880" xr:uid="{00000000-0005-0000-0000-0000F4660000}"/>
    <cellStyle name="Note 8 8 2" xfId="20840" xr:uid="{00000000-0005-0000-0000-0000F5660000}"/>
    <cellStyle name="Note 8 9" xfId="15881" xr:uid="{00000000-0005-0000-0000-0000F6660000}"/>
    <cellStyle name="Note 8 9 2" xfId="20841" xr:uid="{00000000-0005-0000-0000-0000F7660000}"/>
    <cellStyle name="Note 9" xfId="15882" xr:uid="{00000000-0005-0000-0000-0000F8660000}"/>
    <cellStyle name="Note 9 2" xfId="20842" xr:uid="{00000000-0005-0000-0000-0000F9660000}"/>
    <cellStyle name="Output" xfId="311" xr:uid="{00000000-0005-0000-0000-0000FA660000}"/>
    <cellStyle name="Output 10" xfId="15884" xr:uid="{00000000-0005-0000-0000-0000FB660000}"/>
    <cellStyle name="Output 10 2" xfId="20844" xr:uid="{00000000-0005-0000-0000-0000FC660000}"/>
    <cellStyle name="Output 11" xfId="15885" xr:uid="{00000000-0005-0000-0000-0000FD660000}"/>
    <cellStyle name="Output 11 2" xfId="20845" xr:uid="{00000000-0005-0000-0000-0000FE660000}"/>
    <cellStyle name="Output 12" xfId="15886" xr:uid="{00000000-0005-0000-0000-0000FF660000}"/>
    <cellStyle name="Output 12 2" xfId="20846" xr:uid="{00000000-0005-0000-0000-000000670000}"/>
    <cellStyle name="Output 13" xfId="15887" xr:uid="{00000000-0005-0000-0000-000001670000}"/>
    <cellStyle name="Output 13 2" xfId="20847" xr:uid="{00000000-0005-0000-0000-000002670000}"/>
    <cellStyle name="Output 14" xfId="15888" xr:uid="{00000000-0005-0000-0000-000003670000}"/>
    <cellStyle name="Output 14 2" xfId="20848" xr:uid="{00000000-0005-0000-0000-000004670000}"/>
    <cellStyle name="Output 15" xfId="15889" xr:uid="{00000000-0005-0000-0000-000005670000}"/>
    <cellStyle name="Output 15 2" xfId="20849" xr:uid="{00000000-0005-0000-0000-000006670000}"/>
    <cellStyle name="Output 16" xfId="15890" xr:uid="{00000000-0005-0000-0000-000007670000}"/>
    <cellStyle name="Output 16 2" xfId="20850" xr:uid="{00000000-0005-0000-0000-000008670000}"/>
    <cellStyle name="Output 17" xfId="15891" xr:uid="{00000000-0005-0000-0000-000009670000}"/>
    <cellStyle name="Output 17 2" xfId="20851" xr:uid="{00000000-0005-0000-0000-00000A670000}"/>
    <cellStyle name="Output 18" xfId="15892" xr:uid="{00000000-0005-0000-0000-00000B670000}"/>
    <cellStyle name="Output 18 2" xfId="20852" xr:uid="{00000000-0005-0000-0000-00000C670000}"/>
    <cellStyle name="Output 19" xfId="15893" xr:uid="{00000000-0005-0000-0000-00000D670000}"/>
    <cellStyle name="Output 19 2" xfId="15894" xr:uid="{00000000-0005-0000-0000-00000E670000}"/>
    <cellStyle name="Output 19 2 2" xfId="20854" xr:uid="{00000000-0005-0000-0000-00000F670000}"/>
    <cellStyle name="Output 19 3" xfId="15895" xr:uid="{00000000-0005-0000-0000-000010670000}"/>
    <cellStyle name="Output 19 3 2" xfId="20855" xr:uid="{00000000-0005-0000-0000-000011670000}"/>
    <cellStyle name="Output 19 4" xfId="15896" xr:uid="{00000000-0005-0000-0000-000012670000}"/>
    <cellStyle name="Output 19 4 2" xfId="20856" xr:uid="{00000000-0005-0000-0000-000013670000}"/>
    <cellStyle name="Output 19 5" xfId="15897" xr:uid="{00000000-0005-0000-0000-000014670000}"/>
    <cellStyle name="Output 19 5 2" xfId="20857" xr:uid="{00000000-0005-0000-0000-000015670000}"/>
    <cellStyle name="Output 19 6" xfId="20853" xr:uid="{00000000-0005-0000-0000-000016670000}"/>
    <cellStyle name="Output 2" xfId="312" xr:uid="{00000000-0005-0000-0000-000017670000}"/>
    <cellStyle name="Output 2 10" xfId="15899" xr:uid="{00000000-0005-0000-0000-000018670000}"/>
    <cellStyle name="Output 2 10 2" xfId="20859" xr:uid="{00000000-0005-0000-0000-000019670000}"/>
    <cellStyle name="Output 2 11" xfId="15900" xr:uid="{00000000-0005-0000-0000-00001A670000}"/>
    <cellStyle name="Output 2 11 2" xfId="20860" xr:uid="{00000000-0005-0000-0000-00001B670000}"/>
    <cellStyle name="Output 2 12" xfId="15901" xr:uid="{00000000-0005-0000-0000-00001C670000}"/>
    <cellStyle name="Output 2 12 2" xfId="20861" xr:uid="{00000000-0005-0000-0000-00001D670000}"/>
    <cellStyle name="Output 2 13" xfId="15902" xr:uid="{00000000-0005-0000-0000-00001E670000}"/>
    <cellStyle name="Output 2 13 2" xfId="20862" xr:uid="{00000000-0005-0000-0000-00001F670000}"/>
    <cellStyle name="Output 2 14" xfId="15903" xr:uid="{00000000-0005-0000-0000-000020670000}"/>
    <cellStyle name="Output 2 14 2" xfId="20863" xr:uid="{00000000-0005-0000-0000-000021670000}"/>
    <cellStyle name="Output 2 15" xfId="15904" xr:uid="{00000000-0005-0000-0000-000022670000}"/>
    <cellStyle name="Output 2 15 2" xfId="20864" xr:uid="{00000000-0005-0000-0000-000023670000}"/>
    <cellStyle name="Output 2 16" xfId="15905" xr:uid="{00000000-0005-0000-0000-000024670000}"/>
    <cellStyle name="Output 2 16 2" xfId="20865" xr:uid="{00000000-0005-0000-0000-000025670000}"/>
    <cellStyle name="Output 2 17" xfId="15906" xr:uid="{00000000-0005-0000-0000-000026670000}"/>
    <cellStyle name="Output 2 17 2" xfId="20866" xr:uid="{00000000-0005-0000-0000-000027670000}"/>
    <cellStyle name="Output 2 18" xfId="15907" xr:uid="{00000000-0005-0000-0000-000028670000}"/>
    <cellStyle name="Output 2 18 2" xfId="15908" xr:uid="{00000000-0005-0000-0000-000029670000}"/>
    <cellStyle name="Output 2 18 2 2" xfId="20868" xr:uid="{00000000-0005-0000-0000-00002A670000}"/>
    <cellStyle name="Output 2 18 3" xfId="15909" xr:uid="{00000000-0005-0000-0000-00002B670000}"/>
    <cellStyle name="Output 2 18 3 2" xfId="20869" xr:uid="{00000000-0005-0000-0000-00002C670000}"/>
    <cellStyle name="Output 2 18 4" xfId="15910" xr:uid="{00000000-0005-0000-0000-00002D670000}"/>
    <cellStyle name="Output 2 18 4 2" xfId="20870" xr:uid="{00000000-0005-0000-0000-00002E670000}"/>
    <cellStyle name="Output 2 18 5" xfId="15911" xr:uid="{00000000-0005-0000-0000-00002F670000}"/>
    <cellStyle name="Output 2 18 5 2" xfId="20871" xr:uid="{00000000-0005-0000-0000-000030670000}"/>
    <cellStyle name="Output 2 18 6" xfId="20867" xr:uid="{00000000-0005-0000-0000-000031670000}"/>
    <cellStyle name="Output 2 19" xfId="15912" xr:uid="{00000000-0005-0000-0000-000032670000}"/>
    <cellStyle name="Output 2 19 2" xfId="20872" xr:uid="{00000000-0005-0000-0000-000033670000}"/>
    <cellStyle name="Output 2 2" xfId="1300" xr:uid="{00000000-0005-0000-0000-000034670000}"/>
    <cellStyle name="Output 2 2 10" xfId="15914" xr:uid="{00000000-0005-0000-0000-000035670000}"/>
    <cellStyle name="Output 2 2 10 2" xfId="20874" xr:uid="{00000000-0005-0000-0000-000036670000}"/>
    <cellStyle name="Output 2 2 11" xfId="15915" xr:uid="{00000000-0005-0000-0000-000037670000}"/>
    <cellStyle name="Output 2 2 11 2" xfId="20875" xr:uid="{00000000-0005-0000-0000-000038670000}"/>
    <cellStyle name="Output 2 2 12" xfId="15916" xr:uid="{00000000-0005-0000-0000-000039670000}"/>
    <cellStyle name="Output 2 2 12 2" xfId="20876" xr:uid="{00000000-0005-0000-0000-00003A670000}"/>
    <cellStyle name="Output 2 2 13" xfId="15917" xr:uid="{00000000-0005-0000-0000-00003B670000}"/>
    <cellStyle name="Output 2 2 13 2" xfId="20877" xr:uid="{00000000-0005-0000-0000-00003C670000}"/>
    <cellStyle name="Output 2 2 14" xfId="15913" xr:uid="{00000000-0005-0000-0000-00003D670000}"/>
    <cellStyle name="Output 2 2 15" xfId="20873" xr:uid="{00000000-0005-0000-0000-00003E670000}"/>
    <cellStyle name="Output 2 2 2" xfId="2504" xr:uid="{00000000-0005-0000-0000-00003F670000}"/>
    <cellStyle name="Output 2 2 2 2" xfId="20878" xr:uid="{00000000-0005-0000-0000-000040670000}"/>
    <cellStyle name="Output 2 2 2 3" xfId="15918" xr:uid="{00000000-0005-0000-0000-000041670000}"/>
    <cellStyle name="Output 2 2 2 4" xfId="24367" xr:uid="{00000000-0005-0000-0000-000042670000}"/>
    <cellStyle name="Output 2 2 3" xfId="3912" xr:uid="{00000000-0005-0000-0000-000043670000}"/>
    <cellStyle name="Output 2 2 3 2" xfId="20879" xr:uid="{00000000-0005-0000-0000-000044670000}"/>
    <cellStyle name="Output 2 2 3 3" xfId="15919" xr:uid="{00000000-0005-0000-0000-000045670000}"/>
    <cellStyle name="Output 2 2 3 4" xfId="24368" xr:uid="{00000000-0005-0000-0000-000046670000}"/>
    <cellStyle name="Output 2 2 4" xfId="15920" xr:uid="{00000000-0005-0000-0000-000047670000}"/>
    <cellStyle name="Output 2 2 4 2" xfId="20880" xr:uid="{00000000-0005-0000-0000-000048670000}"/>
    <cellStyle name="Output 2 2 4 3" xfId="24369" xr:uid="{00000000-0005-0000-0000-000049670000}"/>
    <cellStyle name="Output 2 2 5" xfId="15921" xr:uid="{00000000-0005-0000-0000-00004A670000}"/>
    <cellStyle name="Output 2 2 5 2" xfId="20881" xr:uid="{00000000-0005-0000-0000-00004B670000}"/>
    <cellStyle name="Output 2 2 6" xfId="15922" xr:uid="{00000000-0005-0000-0000-00004C670000}"/>
    <cellStyle name="Output 2 2 6 2" xfId="20882" xr:uid="{00000000-0005-0000-0000-00004D670000}"/>
    <cellStyle name="Output 2 2 7" xfId="15923" xr:uid="{00000000-0005-0000-0000-00004E670000}"/>
    <cellStyle name="Output 2 2 7 2" xfId="20883" xr:uid="{00000000-0005-0000-0000-00004F670000}"/>
    <cellStyle name="Output 2 2 8" xfId="15924" xr:uid="{00000000-0005-0000-0000-000050670000}"/>
    <cellStyle name="Output 2 2 8 2" xfId="20884" xr:uid="{00000000-0005-0000-0000-000051670000}"/>
    <cellStyle name="Output 2 2 9" xfId="15925" xr:uid="{00000000-0005-0000-0000-000052670000}"/>
    <cellStyle name="Output 2 2 9 2" xfId="20885" xr:uid="{00000000-0005-0000-0000-000053670000}"/>
    <cellStyle name="Output 2 20" xfId="15926" xr:uid="{00000000-0005-0000-0000-000054670000}"/>
    <cellStyle name="Output 2 20 2" xfId="20886" xr:uid="{00000000-0005-0000-0000-000055670000}"/>
    <cellStyle name="Output 2 21" xfId="15898" xr:uid="{00000000-0005-0000-0000-000056670000}"/>
    <cellStyle name="Output 2 22" xfId="20858" xr:uid="{00000000-0005-0000-0000-000057670000}"/>
    <cellStyle name="Output 2 3" xfId="15927" xr:uid="{00000000-0005-0000-0000-000058670000}"/>
    <cellStyle name="Output 2 3 10" xfId="15928" xr:uid="{00000000-0005-0000-0000-000059670000}"/>
    <cellStyle name="Output 2 3 10 2" xfId="20888" xr:uid="{00000000-0005-0000-0000-00005A670000}"/>
    <cellStyle name="Output 2 3 11" xfId="15929" xr:uid="{00000000-0005-0000-0000-00005B670000}"/>
    <cellStyle name="Output 2 3 11 2" xfId="20889" xr:uid="{00000000-0005-0000-0000-00005C670000}"/>
    <cellStyle name="Output 2 3 12" xfId="15930" xr:uid="{00000000-0005-0000-0000-00005D670000}"/>
    <cellStyle name="Output 2 3 12 2" xfId="20890" xr:uid="{00000000-0005-0000-0000-00005E670000}"/>
    <cellStyle name="Output 2 3 13" xfId="20887" xr:uid="{00000000-0005-0000-0000-00005F670000}"/>
    <cellStyle name="Output 2 3 14" xfId="24370" xr:uid="{00000000-0005-0000-0000-000060670000}"/>
    <cellStyle name="Output 2 3 2" xfId="15931" xr:uid="{00000000-0005-0000-0000-000061670000}"/>
    <cellStyle name="Output 2 3 2 2" xfId="20891" xr:uid="{00000000-0005-0000-0000-000062670000}"/>
    <cellStyle name="Output 2 3 3" xfId="15932" xr:uid="{00000000-0005-0000-0000-000063670000}"/>
    <cellStyle name="Output 2 3 3 2" xfId="20892" xr:uid="{00000000-0005-0000-0000-000064670000}"/>
    <cellStyle name="Output 2 3 4" xfId="15933" xr:uid="{00000000-0005-0000-0000-000065670000}"/>
    <cellStyle name="Output 2 3 4 2" xfId="20893" xr:uid="{00000000-0005-0000-0000-000066670000}"/>
    <cellStyle name="Output 2 3 5" xfId="15934" xr:uid="{00000000-0005-0000-0000-000067670000}"/>
    <cellStyle name="Output 2 3 5 2" xfId="20894" xr:uid="{00000000-0005-0000-0000-000068670000}"/>
    <cellStyle name="Output 2 3 6" xfId="15935" xr:uid="{00000000-0005-0000-0000-000069670000}"/>
    <cellStyle name="Output 2 3 6 2" xfId="20895" xr:uid="{00000000-0005-0000-0000-00006A670000}"/>
    <cellStyle name="Output 2 3 7" xfId="15936" xr:uid="{00000000-0005-0000-0000-00006B670000}"/>
    <cellStyle name="Output 2 3 7 2" xfId="20896" xr:uid="{00000000-0005-0000-0000-00006C670000}"/>
    <cellStyle name="Output 2 3 8" xfId="15937" xr:uid="{00000000-0005-0000-0000-00006D670000}"/>
    <cellStyle name="Output 2 3 8 2" xfId="20897" xr:uid="{00000000-0005-0000-0000-00006E670000}"/>
    <cellStyle name="Output 2 3 9" xfId="15938" xr:uid="{00000000-0005-0000-0000-00006F670000}"/>
    <cellStyle name="Output 2 3 9 2" xfId="20898" xr:uid="{00000000-0005-0000-0000-000070670000}"/>
    <cellStyle name="Output 2 4" xfId="15939" xr:uid="{00000000-0005-0000-0000-000071670000}"/>
    <cellStyle name="Output 2 4 10" xfId="15940" xr:uid="{00000000-0005-0000-0000-000072670000}"/>
    <cellStyle name="Output 2 4 10 2" xfId="20900" xr:uid="{00000000-0005-0000-0000-000073670000}"/>
    <cellStyle name="Output 2 4 11" xfId="15941" xr:uid="{00000000-0005-0000-0000-000074670000}"/>
    <cellStyle name="Output 2 4 11 2" xfId="20901" xr:uid="{00000000-0005-0000-0000-000075670000}"/>
    <cellStyle name="Output 2 4 12" xfId="20899" xr:uid="{00000000-0005-0000-0000-000076670000}"/>
    <cellStyle name="Output 2 4 13" xfId="24371" xr:uid="{00000000-0005-0000-0000-000077670000}"/>
    <cellStyle name="Output 2 4 2" xfId="15942" xr:uid="{00000000-0005-0000-0000-000078670000}"/>
    <cellStyle name="Output 2 4 2 2" xfId="20902" xr:uid="{00000000-0005-0000-0000-000079670000}"/>
    <cellStyle name="Output 2 4 3" xfId="15943" xr:uid="{00000000-0005-0000-0000-00007A670000}"/>
    <cellStyle name="Output 2 4 3 2" xfId="20903" xr:uid="{00000000-0005-0000-0000-00007B670000}"/>
    <cellStyle name="Output 2 4 4" xfId="15944" xr:uid="{00000000-0005-0000-0000-00007C670000}"/>
    <cellStyle name="Output 2 4 4 2" xfId="20904" xr:uid="{00000000-0005-0000-0000-00007D670000}"/>
    <cellStyle name="Output 2 4 5" xfId="15945" xr:uid="{00000000-0005-0000-0000-00007E670000}"/>
    <cellStyle name="Output 2 4 5 2" xfId="20905" xr:uid="{00000000-0005-0000-0000-00007F670000}"/>
    <cellStyle name="Output 2 4 6" xfId="15946" xr:uid="{00000000-0005-0000-0000-000080670000}"/>
    <cellStyle name="Output 2 4 6 2" xfId="20906" xr:uid="{00000000-0005-0000-0000-000081670000}"/>
    <cellStyle name="Output 2 4 7" xfId="15947" xr:uid="{00000000-0005-0000-0000-000082670000}"/>
    <cellStyle name="Output 2 4 7 2" xfId="20907" xr:uid="{00000000-0005-0000-0000-000083670000}"/>
    <cellStyle name="Output 2 4 8" xfId="15948" xr:uid="{00000000-0005-0000-0000-000084670000}"/>
    <cellStyle name="Output 2 4 8 2" xfId="20908" xr:uid="{00000000-0005-0000-0000-000085670000}"/>
    <cellStyle name="Output 2 4 9" xfId="15949" xr:uid="{00000000-0005-0000-0000-000086670000}"/>
    <cellStyle name="Output 2 4 9 2" xfId="20909" xr:uid="{00000000-0005-0000-0000-000087670000}"/>
    <cellStyle name="Output 2 5" xfId="15950" xr:uid="{00000000-0005-0000-0000-000088670000}"/>
    <cellStyle name="Output 2 5 10" xfId="15951" xr:uid="{00000000-0005-0000-0000-000089670000}"/>
    <cellStyle name="Output 2 5 10 2" xfId="20911" xr:uid="{00000000-0005-0000-0000-00008A670000}"/>
    <cellStyle name="Output 2 5 11" xfId="15952" xr:uid="{00000000-0005-0000-0000-00008B670000}"/>
    <cellStyle name="Output 2 5 11 2" xfId="20912" xr:uid="{00000000-0005-0000-0000-00008C670000}"/>
    <cellStyle name="Output 2 5 12" xfId="20910" xr:uid="{00000000-0005-0000-0000-00008D670000}"/>
    <cellStyle name="Output 2 5 2" xfId="15953" xr:uid="{00000000-0005-0000-0000-00008E670000}"/>
    <cellStyle name="Output 2 5 2 2" xfId="20913" xr:uid="{00000000-0005-0000-0000-00008F670000}"/>
    <cellStyle name="Output 2 5 3" xfId="15954" xr:uid="{00000000-0005-0000-0000-000090670000}"/>
    <cellStyle name="Output 2 5 3 2" xfId="20914" xr:uid="{00000000-0005-0000-0000-000091670000}"/>
    <cellStyle name="Output 2 5 4" xfId="15955" xr:uid="{00000000-0005-0000-0000-000092670000}"/>
    <cellStyle name="Output 2 5 4 2" xfId="20915" xr:uid="{00000000-0005-0000-0000-000093670000}"/>
    <cellStyle name="Output 2 5 5" xfId="15956" xr:uid="{00000000-0005-0000-0000-000094670000}"/>
    <cellStyle name="Output 2 5 5 2" xfId="20916" xr:uid="{00000000-0005-0000-0000-000095670000}"/>
    <cellStyle name="Output 2 5 6" xfId="15957" xr:uid="{00000000-0005-0000-0000-000096670000}"/>
    <cellStyle name="Output 2 5 6 2" xfId="20917" xr:uid="{00000000-0005-0000-0000-000097670000}"/>
    <cellStyle name="Output 2 5 7" xfId="15958" xr:uid="{00000000-0005-0000-0000-000098670000}"/>
    <cellStyle name="Output 2 5 7 2" xfId="20918" xr:uid="{00000000-0005-0000-0000-000099670000}"/>
    <cellStyle name="Output 2 5 8" xfId="15959" xr:uid="{00000000-0005-0000-0000-00009A670000}"/>
    <cellStyle name="Output 2 5 8 2" xfId="20919" xr:uid="{00000000-0005-0000-0000-00009B670000}"/>
    <cellStyle name="Output 2 5 9" xfId="15960" xr:uid="{00000000-0005-0000-0000-00009C670000}"/>
    <cellStyle name="Output 2 5 9 2" xfId="20920" xr:uid="{00000000-0005-0000-0000-00009D670000}"/>
    <cellStyle name="Output 2 6" xfId="15961" xr:uid="{00000000-0005-0000-0000-00009E670000}"/>
    <cellStyle name="Output 2 6 10" xfId="15962" xr:uid="{00000000-0005-0000-0000-00009F670000}"/>
    <cellStyle name="Output 2 6 10 2" xfId="20922" xr:uid="{00000000-0005-0000-0000-0000A0670000}"/>
    <cellStyle name="Output 2 6 11" xfId="15963" xr:uid="{00000000-0005-0000-0000-0000A1670000}"/>
    <cellStyle name="Output 2 6 11 2" xfId="20923" xr:uid="{00000000-0005-0000-0000-0000A2670000}"/>
    <cellStyle name="Output 2 6 12" xfId="20921" xr:uid="{00000000-0005-0000-0000-0000A3670000}"/>
    <cellStyle name="Output 2 6 2" xfId="15964" xr:uid="{00000000-0005-0000-0000-0000A4670000}"/>
    <cellStyle name="Output 2 6 2 2" xfId="20924" xr:uid="{00000000-0005-0000-0000-0000A5670000}"/>
    <cellStyle name="Output 2 6 3" xfId="15965" xr:uid="{00000000-0005-0000-0000-0000A6670000}"/>
    <cellStyle name="Output 2 6 3 2" xfId="20925" xr:uid="{00000000-0005-0000-0000-0000A7670000}"/>
    <cellStyle name="Output 2 6 4" xfId="15966" xr:uid="{00000000-0005-0000-0000-0000A8670000}"/>
    <cellStyle name="Output 2 6 4 2" xfId="20926" xr:uid="{00000000-0005-0000-0000-0000A9670000}"/>
    <cellStyle name="Output 2 6 5" xfId="15967" xr:uid="{00000000-0005-0000-0000-0000AA670000}"/>
    <cellStyle name="Output 2 6 5 2" xfId="20927" xr:uid="{00000000-0005-0000-0000-0000AB670000}"/>
    <cellStyle name="Output 2 6 6" xfId="15968" xr:uid="{00000000-0005-0000-0000-0000AC670000}"/>
    <cellStyle name="Output 2 6 6 2" xfId="20928" xr:uid="{00000000-0005-0000-0000-0000AD670000}"/>
    <cellStyle name="Output 2 6 7" xfId="15969" xr:uid="{00000000-0005-0000-0000-0000AE670000}"/>
    <cellStyle name="Output 2 6 7 2" xfId="20929" xr:uid="{00000000-0005-0000-0000-0000AF670000}"/>
    <cellStyle name="Output 2 6 8" xfId="15970" xr:uid="{00000000-0005-0000-0000-0000B0670000}"/>
    <cellStyle name="Output 2 6 8 2" xfId="20930" xr:uid="{00000000-0005-0000-0000-0000B1670000}"/>
    <cellStyle name="Output 2 6 9" xfId="15971" xr:uid="{00000000-0005-0000-0000-0000B2670000}"/>
    <cellStyle name="Output 2 6 9 2" xfId="20931" xr:uid="{00000000-0005-0000-0000-0000B3670000}"/>
    <cellStyle name="Output 2 7" xfId="15972" xr:uid="{00000000-0005-0000-0000-0000B4670000}"/>
    <cellStyle name="Output 2 7 10" xfId="15973" xr:uid="{00000000-0005-0000-0000-0000B5670000}"/>
    <cellStyle name="Output 2 7 10 2" xfId="20933" xr:uid="{00000000-0005-0000-0000-0000B6670000}"/>
    <cellStyle name="Output 2 7 11" xfId="15974" xr:uid="{00000000-0005-0000-0000-0000B7670000}"/>
    <cellStyle name="Output 2 7 11 2" xfId="20934" xr:uid="{00000000-0005-0000-0000-0000B8670000}"/>
    <cellStyle name="Output 2 7 12" xfId="20932" xr:uid="{00000000-0005-0000-0000-0000B9670000}"/>
    <cellStyle name="Output 2 7 2" xfId="15975" xr:uid="{00000000-0005-0000-0000-0000BA670000}"/>
    <cellStyle name="Output 2 7 2 2" xfId="20935" xr:uid="{00000000-0005-0000-0000-0000BB670000}"/>
    <cellStyle name="Output 2 7 3" xfId="15976" xr:uid="{00000000-0005-0000-0000-0000BC670000}"/>
    <cellStyle name="Output 2 7 3 2" xfId="20936" xr:uid="{00000000-0005-0000-0000-0000BD670000}"/>
    <cellStyle name="Output 2 7 4" xfId="15977" xr:uid="{00000000-0005-0000-0000-0000BE670000}"/>
    <cellStyle name="Output 2 7 4 2" xfId="20937" xr:uid="{00000000-0005-0000-0000-0000BF670000}"/>
    <cellStyle name="Output 2 7 5" xfId="15978" xr:uid="{00000000-0005-0000-0000-0000C0670000}"/>
    <cellStyle name="Output 2 7 5 2" xfId="20938" xr:uid="{00000000-0005-0000-0000-0000C1670000}"/>
    <cellStyle name="Output 2 7 6" xfId="15979" xr:uid="{00000000-0005-0000-0000-0000C2670000}"/>
    <cellStyle name="Output 2 7 6 2" xfId="20939" xr:uid="{00000000-0005-0000-0000-0000C3670000}"/>
    <cellStyle name="Output 2 7 7" xfId="15980" xr:uid="{00000000-0005-0000-0000-0000C4670000}"/>
    <cellStyle name="Output 2 7 7 2" xfId="20940" xr:uid="{00000000-0005-0000-0000-0000C5670000}"/>
    <cellStyle name="Output 2 7 8" xfId="15981" xr:uid="{00000000-0005-0000-0000-0000C6670000}"/>
    <cellStyle name="Output 2 7 8 2" xfId="20941" xr:uid="{00000000-0005-0000-0000-0000C7670000}"/>
    <cellStyle name="Output 2 7 9" xfId="15982" xr:uid="{00000000-0005-0000-0000-0000C8670000}"/>
    <cellStyle name="Output 2 7 9 2" xfId="20942" xr:uid="{00000000-0005-0000-0000-0000C9670000}"/>
    <cellStyle name="Output 2 8" xfId="15983" xr:uid="{00000000-0005-0000-0000-0000CA670000}"/>
    <cellStyle name="Output 2 8 2" xfId="20943" xr:uid="{00000000-0005-0000-0000-0000CB670000}"/>
    <cellStyle name="Output 2 9" xfId="15984" xr:uid="{00000000-0005-0000-0000-0000CC670000}"/>
    <cellStyle name="Output 2 9 2" xfId="20944" xr:uid="{00000000-0005-0000-0000-0000CD670000}"/>
    <cellStyle name="Output 20" xfId="15985" xr:uid="{00000000-0005-0000-0000-0000CE670000}"/>
    <cellStyle name="Output 20 2" xfId="20945" xr:uid="{00000000-0005-0000-0000-0000CF670000}"/>
    <cellStyle name="Output 21" xfId="15986" xr:uid="{00000000-0005-0000-0000-0000D0670000}"/>
    <cellStyle name="Output 21 2" xfId="20946" xr:uid="{00000000-0005-0000-0000-0000D1670000}"/>
    <cellStyle name="Output 22" xfId="15883" xr:uid="{00000000-0005-0000-0000-0000D2670000}"/>
    <cellStyle name="Output 23" xfId="20843" xr:uid="{00000000-0005-0000-0000-0000D3670000}"/>
    <cellStyle name="Output 3" xfId="1299" xr:uid="{00000000-0005-0000-0000-0000D4670000}"/>
    <cellStyle name="Output 3 10" xfId="15988" xr:uid="{00000000-0005-0000-0000-0000D5670000}"/>
    <cellStyle name="Output 3 10 2" xfId="20948" xr:uid="{00000000-0005-0000-0000-0000D6670000}"/>
    <cellStyle name="Output 3 11" xfId="15989" xr:uid="{00000000-0005-0000-0000-0000D7670000}"/>
    <cellStyle name="Output 3 11 2" xfId="20949" xr:uid="{00000000-0005-0000-0000-0000D8670000}"/>
    <cellStyle name="Output 3 12" xfId="15990" xr:uid="{00000000-0005-0000-0000-0000D9670000}"/>
    <cellStyle name="Output 3 12 2" xfId="20950" xr:uid="{00000000-0005-0000-0000-0000DA670000}"/>
    <cellStyle name="Output 3 13" xfId="15991" xr:uid="{00000000-0005-0000-0000-0000DB670000}"/>
    <cellStyle name="Output 3 13 2" xfId="20951" xr:uid="{00000000-0005-0000-0000-0000DC670000}"/>
    <cellStyle name="Output 3 14" xfId="15987" xr:uid="{00000000-0005-0000-0000-0000DD670000}"/>
    <cellStyle name="Output 3 15" xfId="20947" xr:uid="{00000000-0005-0000-0000-0000DE670000}"/>
    <cellStyle name="Output 3 2" xfId="2505" xr:uid="{00000000-0005-0000-0000-0000DF670000}"/>
    <cellStyle name="Output 3 2 2" xfId="20952" xr:uid="{00000000-0005-0000-0000-0000E0670000}"/>
    <cellStyle name="Output 3 2 3" xfId="15992" xr:uid="{00000000-0005-0000-0000-0000E1670000}"/>
    <cellStyle name="Output 3 2 4" xfId="24372" xr:uid="{00000000-0005-0000-0000-0000E2670000}"/>
    <cellStyle name="Output 3 3" xfId="3911" xr:uid="{00000000-0005-0000-0000-0000E3670000}"/>
    <cellStyle name="Output 3 3 2" xfId="20953" xr:uid="{00000000-0005-0000-0000-0000E4670000}"/>
    <cellStyle name="Output 3 3 3" xfId="15993" xr:uid="{00000000-0005-0000-0000-0000E5670000}"/>
    <cellStyle name="Output 3 3 4" xfId="24373" xr:uid="{00000000-0005-0000-0000-0000E6670000}"/>
    <cellStyle name="Output 3 4" xfId="15994" xr:uid="{00000000-0005-0000-0000-0000E7670000}"/>
    <cellStyle name="Output 3 4 2" xfId="20954" xr:uid="{00000000-0005-0000-0000-0000E8670000}"/>
    <cellStyle name="Output 3 4 3" xfId="24374" xr:uid="{00000000-0005-0000-0000-0000E9670000}"/>
    <cellStyle name="Output 3 5" xfId="15995" xr:uid="{00000000-0005-0000-0000-0000EA670000}"/>
    <cellStyle name="Output 3 5 2" xfId="20955" xr:uid="{00000000-0005-0000-0000-0000EB670000}"/>
    <cellStyle name="Output 3 6" xfId="15996" xr:uid="{00000000-0005-0000-0000-0000EC670000}"/>
    <cellStyle name="Output 3 6 2" xfId="20956" xr:uid="{00000000-0005-0000-0000-0000ED670000}"/>
    <cellStyle name="Output 3 7" xfId="15997" xr:uid="{00000000-0005-0000-0000-0000EE670000}"/>
    <cellStyle name="Output 3 7 2" xfId="20957" xr:uid="{00000000-0005-0000-0000-0000EF670000}"/>
    <cellStyle name="Output 3 8" xfId="15998" xr:uid="{00000000-0005-0000-0000-0000F0670000}"/>
    <cellStyle name="Output 3 8 2" xfId="20958" xr:uid="{00000000-0005-0000-0000-0000F1670000}"/>
    <cellStyle name="Output 3 9" xfId="15999" xr:uid="{00000000-0005-0000-0000-0000F2670000}"/>
    <cellStyle name="Output 3 9 2" xfId="20959" xr:uid="{00000000-0005-0000-0000-0000F3670000}"/>
    <cellStyle name="Output 4" xfId="16000" xr:uid="{00000000-0005-0000-0000-0000F4670000}"/>
    <cellStyle name="Output 4 10" xfId="16001" xr:uid="{00000000-0005-0000-0000-0000F5670000}"/>
    <cellStyle name="Output 4 10 2" xfId="20961" xr:uid="{00000000-0005-0000-0000-0000F6670000}"/>
    <cellStyle name="Output 4 11" xfId="16002" xr:uid="{00000000-0005-0000-0000-0000F7670000}"/>
    <cellStyle name="Output 4 11 2" xfId="20962" xr:uid="{00000000-0005-0000-0000-0000F8670000}"/>
    <cellStyle name="Output 4 12" xfId="16003" xr:uid="{00000000-0005-0000-0000-0000F9670000}"/>
    <cellStyle name="Output 4 12 2" xfId="20963" xr:uid="{00000000-0005-0000-0000-0000FA670000}"/>
    <cellStyle name="Output 4 13" xfId="20960" xr:uid="{00000000-0005-0000-0000-0000FB670000}"/>
    <cellStyle name="Output 4 14" xfId="24375" xr:uid="{00000000-0005-0000-0000-0000FC670000}"/>
    <cellStyle name="Output 4 2" xfId="16004" xr:uid="{00000000-0005-0000-0000-0000FD670000}"/>
    <cellStyle name="Output 4 2 2" xfId="20964" xr:uid="{00000000-0005-0000-0000-0000FE670000}"/>
    <cellStyle name="Output 4 3" xfId="16005" xr:uid="{00000000-0005-0000-0000-0000FF670000}"/>
    <cellStyle name="Output 4 3 2" xfId="20965" xr:uid="{00000000-0005-0000-0000-000000680000}"/>
    <cellStyle name="Output 4 4" xfId="16006" xr:uid="{00000000-0005-0000-0000-000001680000}"/>
    <cellStyle name="Output 4 4 2" xfId="20966" xr:uid="{00000000-0005-0000-0000-000002680000}"/>
    <cellStyle name="Output 4 5" xfId="16007" xr:uid="{00000000-0005-0000-0000-000003680000}"/>
    <cellStyle name="Output 4 5 2" xfId="20967" xr:uid="{00000000-0005-0000-0000-000004680000}"/>
    <cellStyle name="Output 4 6" xfId="16008" xr:uid="{00000000-0005-0000-0000-000005680000}"/>
    <cellStyle name="Output 4 6 2" xfId="20968" xr:uid="{00000000-0005-0000-0000-000006680000}"/>
    <cellStyle name="Output 4 7" xfId="16009" xr:uid="{00000000-0005-0000-0000-000007680000}"/>
    <cellStyle name="Output 4 7 2" xfId="20969" xr:uid="{00000000-0005-0000-0000-000008680000}"/>
    <cellStyle name="Output 4 8" xfId="16010" xr:uid="{00000000-0005-0000-0000-000009680000}"/>
    <cellStyle name="Output 4 8 2" xfId="20970" xr:uid="{00000000-0005-0000-0000-00000A680000}"/>
    <cellStyle name="Output 4 9" xfId="16011" xr:uid="{00000000-0005-0000-0000-00000B680000}"/>
    <cellStyle name="Output 4 9 2" xfId="20971" xr:uid="{00000000-0005-0000-0000-00000C680000}"/>
    <cellStyle name="Output 5" xfId="16012" xr:uid="{00000000-0005-0000-0000-00000D680000}"/>
    <cellStyle name="Output 5 10" xfId="16013" xr:uid="{00000000-0005-0000-0000-00000E680000}"/>
    <cellStyle name="Output 5 10 2" xfId="20973" xr:uid="{00000000-0005-0000-0000-00000F680000}"/>
    <cellStyle name="Output 5 11" xfId="16014" xr:uid="{00000000-0005-0000-0000-000010680000}"/>
    <cellStyle name="Output 5 11 2" xfId="20974" xr:uid="{00000000-0005-0000-0000-000011680000}"/>
    <cellStyle name="Output 5 12" xfId="20972" xr:uid="{00000000-0005-0000-0000-000012680000}"/>
    <cellStyle name="Output 5 13" xfId="24376" xr:uid="{00000000-0005-0000-0000-000013680000}"/>
    <cellStyle name="Output 5 2" xfId="16015" xr:uid="{00000000-0005-0000-0000-000014680000}"/>
    <cellStyle name="Output 5 2 2" xfId="20975" xr:uid="{00000000-0005-0000-0000-000015680000}"/>
    <cellStyle name="Output 5 3" xfId="16016" xr:uid="{00000000-0005-0000-0000-000016680000}"/>
    <cellStyle name="Output 5 3 2" xfId="20976" xr:uid="{00000000-0005-0000-0000-000017680000}"/>
    <cellStyle name="Output 5 4" xfId="16017" xr:uid="{00000000-0005-0000-0000-000018680000}"/>
    <cellStyle name="Output 5 4 2" xfId="20977" xr:uid="{00000000-0005-0000-0000-000019680000}"/>
    <cellStyle name="Output 5 5" xfId="16018" xr:uid="{00000000-0005-0000-0000-00001A680000}"/>
    <cellStyle name="Output 5 5 2" xfId="20978" xr:uid="{00000000-0005-0000-0000-00001B680000}"/>
    <cellStyle name="Output 5 6" xfId="16019" xr:uid="{00000000-0005-0000-0000-00001C680000}"/>
    <cellStyle name="Output 5 6 2" xfId="20979" xr:uid="{00000000-0005-0000-0000-00001D680000}"/>
    <cellStyle name="Output 5 7" xfId="16020" xr:uid="{00000000-0005-0000-0000-00001E680000}"/>
    <cellStyle name="Output 5 7 2" xfId="20980" xr:uid="{00000000-0005-0000-0000-00001F680000}"/>
    <cellStyle name="Output 5 8" xfId="16021" xr:uid="{00000000-0005-0000-0000-000020680000}"/>
    <cellStyle name="Output 5 8 2" xfId="20981" xr:uid="{00000000-0005-0000-0000-000021680000}"/>
    <cellStyle name="Output 5 9" xfId="16022" xr:uid="{00000000-0005-0000-0000-000022680000}"/>
    <cellStyle name="Output 5 9 2" xfId="20982" xr:uid="{00000000-0005-0000-0000-000023680000}"/>
    <cellStyle name="Output 6" xfId="16023" xr:uid="{00000000-0005-0000-0000-000024680000}"/>
    <cellStyle name="Output 6 10" xfId="16024" xr:uid="{00000000-0005-0000-0000-000025680000}"/>
    <cellStyle name="Output 6 10 2" xfId="20984" xr:uid="{00000000-0005-0000-0000-000026680000}"/>
    <cellStyle name="Output 6 11" xfId="16025" xr:uid="{00000000-0005-0000-0000-000027680000}"/>
    <cellStyle name="Output 6 11 2" xfId="20985" xr:uid="{00000000-0005-0000-0000-000028680000}"/>
    <cellStyle name="Output 6 12" xfId="20983" xr:uid="{00000000-0005-0000-0000-000029680000}"/>
    <cellStyle name="Output 6 2" xfId="16026" xr:uid="{00000000-0005-0000-0000-00002A680000}"/>
    <cellStyle name="Output 6 2 2" xfId="20986" xr:uid="{00000000-0005-0000-0000-00002B680000}"/>
    <cellStyle name="Output 6 3" xfId="16027" xr:uid="{00000000-0005-0000-0000-00002C680000}"/>
    <cellStyle name="Output 6 3 2" xfId="20987" xr:uid="{00000000-0005-0000-0000-00002D680000}"/>
    <cellStyle name="Output 6 4" xfId="16028" xr:uid="{00000000-0005-0000-0000-00002E680000}"/>
    <cellStyle name="Output 6 4 2" xfId="20988" xr:uid="{00000000-0005-0000-0000-00002F680000}"/>
    <cellStyle name="Output 6 5" xfId="16029" xr:uid="{00000000-0005-0000-0000-000030680000}"/>
    <cellStyle name="Output 6 5 2" xfId="20989" xr:uid="{00000000-0005-0000-0000-000031680000}"/>
    <cellStyle name="Output 6 6" xfId="16030" xr:uid="{00000000-0005-0000-0000-000032680000}"/>
    <cellStyle name="Output 6 6 2" xfId="20990" xr:uid="{00000000-0005-0000-0000-000033680000}"/>
    <cellStyle name="Output 6 7" xfId="16031" xr:uid="{00000000-0005-0000-0000-000034680000}"/>
    <cellStyle name="Output 6 7 2" xfId="20991" xr:uid="{00000000-0005-0000-0000-000035680000}"/>
    <cellStyle name="Output 6 8" xfId="16032" xr:uid="{00000000-0005-0000-0000-000036680000}"/>
    <cellStyle name="Output 6 8 2" xfId="20992" xr:uid="{00000000-0005-0000-0000-000037680000}"/>
    <cellStyle name="Output 6 9" xfId="16033" xr:uid="{00000000-0005-0000-0000-000038680000}"/>
    <cellStyle name="Output 6 9 2" xfId="20993" xr:uid="{00000000-0005-0000-0000-000039680000}"/>
    <cellStyle name="Output 7" xfId="16034" xr:uid="{00000000-0005-0000-0000-00003A680000}"/>
    <cellStyle name="Output 7 10" xfId="16035" xr:uid="{00000000-0005-0000-0000-00003B680000}"/>
    <cellStyle name="Output 7 10 2" xfId="20995" xr:uid="{00000000-0005-0000-0000-00003C680000}"/>
    <cellStyle name="Output 7 11" xfId="16036" xr:uid="{00000000-0005-0000-0000-00003D680000}"/>
    <cellStyle name="Output 7 11 2" xfId="20996" xr:uid="{00000000-0005-0000-0000-00003E680000}"/>
    <cellStyle name="Output 7 12" xfId="20994" xr:uid="{00000000-0005-0000-0000-00003F680000}"/>
    <cellStyle name="Output 7 2" xfId="16037" xr:uid="{00000000-0005-0000-0000-000040680000}"/>
    <cellStyle name="Output 7 2 2" xfId="20997" xr:uid="{00000000-0005-0000-0000-000041680000}"/>
    <cellStyle name="Output 7 3" xfId="16038" xr:uid="{00000000-0005-0000-0000-000042680000}"/>
    <cellStyle name="Output 7 3 2" xfId="20998" xr:uid="{00000000-0005-0000-0000-000043680000}"/>
    <cellStyle name="Output 7 4" xfId="16039" xr:uid="{00000000-0005-0000-0000-000044680000}"/>
    <cellStyle name="Output 7 4 2" xfId="20999" xr:uid="{00000000-0005-0000-0000-000045680000}"/>
    <cellStyle name="Output 7 5" xfId="16040" xr:uid="{00000000-0005-0000-0000-000046680000}"/>
    <cellStyle name="Output 7 5 2" xfId="21000" xr:uid="{00000000-0005-0000-0000-000047680000}"/>
    <cellStyle name="Output 7 6" xfId="16041" xr:uid="{00000000-0005-0000-0000-000048680000}"/>
    <cellStyle name="Output 7 6 2" xfId="21001" xr:uid="{00000000-0005-0000-0000-000049680000}"/>
    <cellStyle name="Output 7 7" xfId="16042" xr:uid="{00000000-0005-0000-0000-00004A680000}"/>
    <cellStyle name="Output 7 7 2" xfId="21002" xr:uid="{00000000-0005-0000-0000-00004B680000}"/>
    <cellStyle name="Output 7 8" xfId="16043" xr:uid="{00000000-0005-0000-0000-00004C680000}"/>
    <cellStyle name="Output 7 8 2" xfId="21003" xr:uid="{00000000-0005-0000-0000-00004D680000}"/>
    <cellStyle name="Output 7 9" xfId="16044" xr:uid="{00000000-0005-0000-0000-00004E680000}"/>
    <cellStyle name="Output 7 9 2" xfId="21004" xr:uid="{00000000-0005-0000-0000-00004F680000}"/>
    <cellStyle name="Output 8" xfId="16045" xr:uid="{00000000-0005-0000-0000-000050680000}"/>
    <cellStyle name="Output 8 10" xfId="16046" xr:uid="{00000000-0005-0000-0000-000051680000}"/>
    <cellStyle name="Output 8 10 2" xfId="21006" xr:uid="{00000000-0005-0000-0000-000052680000}"/>
    <cellStyle name="Output 8 11" xfId="16047" xr:uid="{00000000-0005-0000-0000-000053680000}"/>
    <cellStyle name="Output 8 11 2" xfId="21007" xr:uid="{00000000-0005-0000-0000-000054680000}"/>
    <cellStyle name="Output 8 12" xfId="21005" xr:uid="{00000000-0005-0000-0000-000055680000}"/>
    <cellStyle name="Output 8 2" xfId="16048" xr:uid="{00000000-0005-0000-0000-000056680000}"/>
    <cellStyle name="Output 8 2 2" xfId="21008" xr:uid="{00000000-0005-0000-0000-000057680000}"/>
    <cellStyle name="Output 8 3" xfId="16049" xr:uid="{00000000-0005-0000-0000-000058680000}"/>
    <cellStyle name="Output 8 3 2" xfId="21009" xr:uid="{00000000-0005-0000-0000-000059680000}"/>
    <cellStyle name="Output 8 4" xfId="16050" xr:uid="{00000000-0005-0000-0000-00005A680000}"/>
    <cellStyle name="Output 8 4 2" xfId="21010" xr:uid="{00000000-0005-0000-0000-00005B680000}"/>
    <cellStyle name="Output 8 5" xfId="16051" xr:uid="{00000000-0005-0000-0000-00005C680000}"/>
    <cellStyle name="Output 8 5 2" xfId="21011" xr:uid="{00000000-0005-0000-0000-00005D680000}"/>
    <cellStyle name="Output 8 6" xfId="16052" xr:uid="{00000000-0005-0000-0000-00005E680000}"/>
    <cellStyle name="Output 8 6 2" xfId="21012" xr:uid="{00000000-0005-0000-0000-00005F680000}"/>
    <cellStyle name="Output 8 7" xfId="16053" xr:uid="{00000000-0005-0000-0000-000060680000}"/>
    <cellStyle name="Output 8 7 2" xfId="21013" xr:uid="{00000000-0005-0000-0000-000061680000}"/>
    <cellStyle name="Output 8 8" xfId="16054" xr:uid="{00000000-0005-0000-0000-000062680000}"/>
    <cellStyle name="Output 8 8 2" xfId="21014" xr:uid="{00000000-0005-0000-0000-000063680000}"/>
    <cellStyle name="Output 8 9" xfId="16055" xr:uid="{00000000-0005-0000-0000-000064680000}"/>
    <cellStyle name="Output 8 9 2" xfId="21015" xr:uid="{00000000-0005-0000-0000-000065680000}"/>
    <cellStyle name="Output 9" xfId="16056" xr:uid="{00000000-0005-0000-0000-000066680000}"/>
    <cellStyle name="Output 9 2" xfId="21016" xr:uid="{00000000-0005-0000-0000-000067680000}"/>
    <cellStyle name="Percent 2" xfId="313" xr:uid="{00000000-0005-0000-0000-000068680000}"/>
    <cellStyle name="Percent 2 2" xfId="418" xr:uid="{00000000-0005-0000-0000-000069680000}"/>
    <cellStyle name="Percent 2 2 2" xfId="734" xr:uid="{00000000-0005-0000-0000-00006A680000}"/>
    <cellStyle name="Percent 2 2 2 2" xfId="21019" xr:uid="{00000000-0005-0000-0000-00006B680000}"/>
    <cellStyle name="Percent 2 2 2 3" xfId="16059" xr:uid="{00000000-0005-0000-0000-00006C680000}"/>
    <cellStyle name="Percent 2 2 3" xfId="16060" xr:uid="{00000000-0005-0000-0000-00006D680000}"/>
    <cellStyle name="Percent 2 2 3 2" xfId="21020" xr:uid="{00000000-0005-0000-0000-00006E680000}"/>
    <cellStyle name="Percent 2 2 3 3" xfId="24377" xr:uid="{00000000-0005-0000-0000-00006F680000}"/>
    <cellStyle name="Percent 2 2 4" xfId="16061" xr:uid="{00000000-0005-0000-0000-000070680000}"/>
    <cellStyle name="Percent 2 2 4 2" xfId="21021" xr:uid="{00000000-0005-0000-0000-000071680000}"/>
    <cellStyle name="Percent 2 2 5" xfId="16058" xr:uid="{00000000-0005-0000-0000-000072680000}"/>
    <cellStyle name="Percent 2 2 6" xfId="21018" xr:uid="{00000000-0005-0000-0000-000073680000}"/>
    <cellStyle name="Percent 2 3" xfId="735" xr:uid="{00000000-0005-0000-0000-000074680000}"/>
    <cellStyle name="Percent 2 3 2" xfId="21022" xr:uid="{00000000-0005-0000-0000-000075680000}"/>
    <cellStyle name="Percent 2 3 3" xfId="16062" xr:uid="{00000000-0005-0000-0000-000076680000}"/>
    <cellStyle name="Percent 2 4" xfId="16063" xr:uid="{00000000-0005-0000-0000-000077680000}"/>
    <cellStyle name="Percent 2 4 2" xfId="21023" xr:uid="{00000000-0005-0000-0000-000078680000}"/>
    <cellStyle name="Percent 2 5" xfId="16064" xr:uid="{00000000-0005-0000-0000-000079680000}"/>
    <cellStyle name="Percent 2 5 2" xfId="21024" xr:uid="{00000000-0005-0000-0000-00007A680000}"/>
    <cellStyle name="Percent 2 6" xfId="16057" xr:uid="{00000000-0005-0000-0000-00007B680000}"/>
    <cellStyle name="Percent 2 7" xfId="21017" xr:uid="{00000000-0005-0000-0000-00007C680000}"/>
    <cellStyle name="Percent 3" xfId="314" xr:uid="{00000000-0005-0000-0000-00007D680000}"/>
    <cellStyle name="Percent 3 10" xfId="16066" xr:uid="{00000000-0005-0000-0000-00007E680000}"/>
    <cellStyle name="Percent 3 10 2" xfId="21026" xr:uid="{00000000-0005-0000-0000-00007F680000}"/>
    <cellStyle name="Percent 3 11" xfId="16065" xr:uid="{00000000-0005-0000-0000-000080680000}"/>
    <cellStyle name="Percent 3 12" xfId="21025" xr:uid="{00000000-0005-0000-0000-000081680000}"/>
    <cellStyle name="Percent 3 2" xfId="315" xr:uid="{00000000-0005-0000-0000-000082680000}"/>
    <cellStyle name="Percent 3 2 10" xfId="21027" xr:uid="{00000000-0005-0000-0000-000083680000}"/>
    <cellStyle name="Percent 3 2 2" xfId="316" xr:uid="{00000000-0005-0000-0000-000084680000}"/>
    <cellStyle name="Percent 3 2 2 2" xfId="2506" xr:uid="{00000000-0005-0000-0000-000085680000}"/>
    <cellStyle name="Percent 3 2 2 2 2" xfId="16070" xr:uid="{00000000-0005-0000-0000-000086680000}"/>
    <cellStyle name="Percent 3 2 2 2 2 2" xfId="21030" xr:uid="{00000000-0005-0000-0000-000087680000}"/>
    <cellStyle name="Percent 3 2 2 2 3" xfId="16069" xr:uid="{00000000-0005-0000-0000-000088680000}"/>
    <cellStyle name="Percent 3 2 2 2 4" xfId="21029" xr:uid="{00000000-0005-0000-0000-000089680000}"/>
    <cellStyle name="Percent 3 2 2 3" xfId="2507" xr:uid="{00000000-0005-0000-0000-00008A680000}"/>
    <cellStyle name="Percent 3 2 2 3 2" xfId="16072" xr:uid="{00000000-0005-0000-0000-00008B680000}"/>
    <cellStyle name="Percent 3 2 2 3 2 2" xfId="21032" xr:uid="{00000000-0005-0000-0000-00008C680000}"/>
    <cellStyle name="Percent 3 2 2 3 3" xfId="16071" xr:uid="{00000000-0005-0000-0000-00008D680000}"/>
    <cellStyle name="Percent 3 2 2 3 4" xfId="21031" xr:uid="{00000000-0005-0000-0000-00008E680000}"/>
    <cellStyle name="Percent 3 2 2 4" xfId="16073" xr:uid="{00000000-0005-0000-0000-00008F680000}"/>
    <cellStyle name="Percent 3 2 2 4 2" xfId="21033" xr:uid="{00000000-0005-0000-0000-000090680000}"/>
    <cellStyle name="Percent 3 2 2 5" xfId="16074" xr:uid="{00000000-0005-0000-0000-000091680000}"/>
    <cellStyle name="Percent 3 2 2 5 2" xfId="21034" xr:uid="{00000000-0005-0000-0000-000092680000}"/>
    <cellStyle name="Percent 3 2 2 6" xfId="16075" xr:uid="{00000000-0005-0000-0000-000093680000}"/>
    <cellStyle name="Percent 3 2 2 6 2" xfId="21035" xr:uid="{00000000-0005-0000-0000-000094680000}"/>
    <cellStyle name="Percent 3 2 2 7" xfId="16076" xr:uid="{00000000-0005-0000-0000-000095680000}"/>
    <cellStyle name="Percent 3 2 2 7 2" xfId="21036" xr:uid="{00000000-0005-0000-0000-000096680000}"/>
    <cellStyle name="Percent 3 2 2 8" xfId="16068" xr:uid="{00000000-0005-0000-0000-000097680000}"/>
    <cellStyle name="Percent 3 2 2 9" xfId="21028" xr:uid="{00000000-0005-0000-0000-000098680000}"/>
    <cellStyle name="Percent 3 2 3" xfId="2508" xr:uid="{00000000-0005-0000-0000-000099680000}"/>
    <cellStyle name="Percent 3 2 3 2" xfId="16078" xr:uid="{00000000-0005-0000-0000-00009A680000}"/>
    <cellStyle name="Percent 3 2 3 2 2" xfId="21038" xr:uid="{00000000-0005-0000-0000-00009B680000}"/>
    <cellStyle name="Percent 3 2 3 3" xfId="16077" xr:uid="{00000000-0005-0000-0000-00009C680000}"/>
    <cellStyle name="Percent 3 2 3 4" xfId="21037" xr:uid="{00000000-0005-0000-0000-00009D680000}"/>
    <cellStyle name="Percent 3 2 4" xfId="2509" xr:uid="{00000000-0005-0000-0000-00009E680000}"/>
    <cellStyle name="Percent 3 2 4 2" xfId="16080" xr:uid="{00000000-0005-0000-0000-00009F680000}"/>
    <cellStyle name="Percent 3 2 4 2 2" xfId="21040" xr:uid="{00000000-0005-0000-0000-0000A0680000}"/>
    <cellStyle name="Percent 3 2 4 3" xfId="16079" xr:uid="{00000000-0005-0000-0000-0000A1680000}"/>
    <cellStyle name="Percent 3 2 4 4" xfId="21039" xr:uid="{00000000-0005-0000-0000-0000A2680000}"/>
    <cellStyle name="Percent 3 2 5" xfId="16081" xr:uid="{00000000-0005-0000-0000-0000A3680000}"/>
    <cellStyle name="Percent 3 2 5 2" xfId="21041" xr:uid="{00000000-0005-0000-0000-0000A4680000}"/>
    <cellStyle name="Percent 3 2 6" xfId="16082" xr:uid="{00000000-0005-0000-0000-0000A5680000}"/>
    <cellStyle name="Percent 3 2 6 2" xfId="21042" xr:uid="{00000000-0005-0000-0000-0000A6680000}"/>
    <cellStyle name="Percent 3 2 7" xfId="16083" xr:uid="{00000000-0005-0000-0000-0000A7680000}"/>
    <cellStyle name="Percent 3 2 7 2" xfId="21043" xr:uid="{00000000-0005-0000-0000-0000A8680000}"/>
    <cellStyle name="Percent 3 2 8" xfId="16084" xr:uid="{00000000-0005-0000-0000-0000A9680000}"/>
    <cellStyle name="Percent 3 2 8 2" xfId="21044" xr:uid="{00000000-0005-0000-0000-0000AA680000}"/>
    <cellStyle name="Percent 3 2 9" xfId="16067" xr:uid="{00000000-0005-0000-0000-0000AB680000}"/>
    <cellStyle name="Percent 3 3" xfId="317" xr:uid="{00000000-0005-0000-0000-0000AC680000}"/>
    <cellStyle name="Percent 3 3 10" xfId="21045" xr:uid="{00000000-0005-0000-0000-0000AD680000}"/>
    <cellStyle name="Percent 3 3 2" xfId="318" xr:uid="{00000000-0005-0000-0000-0000AE680000}"/>
    <cellStyle name="Percent 3 3 2 2" xfId="2510" xr:uid="{00000000-0005-0000-0000-0000AF680000}"/>
    <cellStyle name="Percent 3 3 2 2 2" xfId="16088" xr:uid="{00000000-0005-0000-0000-0000B0680000}"/>
    <cellStyle name="Percent 3 3 2 2 2 2" xfId="21048" xr:uid="{00000000-0005-0000-0000-0000B1680000}"/>
    <cellStyle name="Percent 3 3 2 2 3" xfId="16087" xr:uid="{00000000-0005-0000-0000-0000B2680000}"/>
    <cellStyle name="Percent 3 3 2 2 4" xfId="21047" xr:uid="{00000000-0005-0000-0000-0000B3680000}"/>
    <cellStyle name="Percent 3 3 2 3" xfId="2511" xr:uid="{00000000-0005-0000-0000-0000B4680000}"/>
    <cellStyle name="Percent 3 3 2 3 2" xfId="16090" xr:uid="{00000000-0005-0000-0000-0000B5680000}"/>
    <cellStyle name="Percent 3 3 2 3 2 2" xfId="21050" xr:uid="{00000000-0005-0000-0000-0000B6680000}"/>
    <cellStyle name="Percent 3 3 2 3 3" xfId="16089" xr:uid="{00000000-0005-0000-0000-0000B7680000}"/>
    <cellStyle name="Percent 3 3 2 3 4" xfId="21049" xr:uid="{00000000-0005-0000-0000-0000B8680000}"/>
    <cellStyle name="Percent 3 3 2 4" xfId="16091" xr:uid="{00000000-0005-0000-0000-0000B9680000}"/>
    <cellStyle name="Percent 3 3 2 4 2" xfId="21051" xr:uid="{00000000-0005-0000-0000-0000BA680000}"/>
    <cellStyle name="Percent 3 3 2 5" xfId="16092" xr:uid="{00000000-0005-0000-0000-0000BB680000}"/>
    <cellStyle name="Percent 3 3 2 5 2" xfId="21052" xr:uid="{00000000-0005-0000-0000-0000BC680000}"/>
    <cellStyle name="Percent 3 3 2 6" xfId="16093" xr:uid="{00000000-0005-0000-0000-0000BD680000}"/>
    <cellStyle name="Percent 3 3 2 6 2" xfId="21053" xr:uid="{00000000-0005-0000-0000-0000BE680000}"/>
    <cellStyle name="Percent 3 3 2 7" xfId="16094" xr:uid="{00000000-0005-0000-0000-0000BF680000}"/>
    <cellStyle name="Percent 3 3 2 7 2" xfId="21054" xr:uid="{00000000-0005-0000-0000-0000C0680000}"/>
    <cellStyle name="Percent 3 3 2 8" xfId="16086" xr:uid="{00000000-0005-0000-0000-0000C1680000}"/>
    <cellStyle name="Percent 3 3 2 9" xfId="21046" xr:uid="{00000000-0005-0000-0000-0000C2680000}"/>
    <cellStyle name="Percent 3 3 3" xfId="2512" xr:uid="{00000000-0005-0000-0000-0000C3680000}"/>
    <cellStyle name="Percent 3 3 3 2" xfId="16096" xr:uid="{00000000-0005-0000-0000-0000C4680000}"/>
    <cellStyle name="Percent 3 3 3 2 2" xfId="21056" xr:uid="{00000000-0005-0000-0000-0000C5680000}"/>
    <cellStyle name="Percent 3 3 3 3" xfId="16095" xr:uid="{00000000-0005-0000-0000-0000C6680000}"/>
    <cellStyle name="Percent 3 3 3 4" xfId="21055" xr:uid="{00000000-0005-0000-0000-0000C7680000}"/>
    <cellStyle name="Percent 3 3 4" xfId="2513" xr:uid="{00000000-0005-0000-0000-0000C8680000}"/>
    <cellStyle name="Percent 3 3 4 2" xfId="16098" xr:uid="{00000000-0005-0000-0000-0000C9680000}"/>
    <cellStyle name="Percent 3 3 4 2 2" xfId="21058" xr:uid="{00000000-0005-0000-0000-0000CA680000}"/>
    <cellStyle name="Percent 3 3 4 3" xfId="16097" xr:uid="{00000000-0005-0000-0000-0000CB680000}"/>
    <cellStyle name="Percent 3 3 4 4" xfId="21057" xr:uid="{00000000-0005-0000-0000-0000CC680000}"/>
    <cellStyle name="Percent 3 3 5" xfId="16099" xr:uid="{00000000-0005-0000-0000-0000CD680000}"/>
    <cellStyle name="Percent 3 3 5 2" xfId="21059" xr:uid="{00000000-0005-0000-0000-0000CE680000}"/>
    <cellStyle name="Percent 3 3 6" xfId="16100" xr:uid="{00000000-0005-0000-0000-0000CF680000}"/>
    <cellStyle name="Percent 3 3 6 2" xfId="21060" xr:uid="{00000000-0005-0000-0000-0000D0680000}"/>
    <cellStyle name="Percent 3 3 7" xfId="16101" xr:uid="{00000000-0005-0000-0000-0000D1680000}"/>
    <cellStyle name="Percent 3 3 7 2" xfId="21061" xr:uid="{00000000-0005-0000-0000-0000D2680000}"/>
    <cellStyle name="Percent 3 3 8" xfId="16102" xr:uid="{00000000-0005-0000-0000-0000D3680000}"/>
    <cellStyle name="Percent 3 3 8 2" xfId="21062" xr:uid="{00000000-0005-0000-0000-0000D4680000}"/>
    <cellStyle name="Percent 3 3 9" xfId="16085" xr:uid="{00000000-0005-0000-0000-0000D5680000}"/>
    <cellStyle name="Percent 3 4" xfId="319" xr:uid="{00000000-0005-0000-0000-0000D6680000}"/>
    <cellStyle name="Percent 3 4 2" xfId="2514" xr:uid="{00000000-0005-0000-0000-0000D7680000}"/>
    <cellStyle name="Percent 3 4 2 2" xfId="16105" xr:uid="{00000000-0005-0000-0000-0000D8680000}"/>
    <cellStyle name="Percent 3 4 2 2 2" xfId="21065" xr:uid="{00000000-0005-0000-0000-0000D9680000}"/>
    <cellStyle name="Percent 3 4 2 3" xfId="16104" xr:uid="{00000000-0005-0000-0000-0000DA680000}"/>
    <cellStyle name="Percent 3 4 2 4" xfId="21064" xr:uid="{00000000-0005-0000-0000-0000DB680000}"/>
    <cellStyle name="Percent 3 4 3" xfId="2515" xr:uid="{00000000-0005-0000-0000-0000DC680000}"/>
    <cellStyle name="Percent 3 4 3 2" xfId="16107" xr:uid="{00000000-0005-0000-0000-0000DD680000}"/>
    <cellStyle name="Percent 3 4 3 2 2" xfId="21067" xr:uid="{00000000-0005-0000-0000-0000DE680000}"/>
    <cellStyle name="Percent 3 4 3 3" xfId="16106" xr:uid="{00000000-0005-0000-0000-0000DF680000}"/>
    <cellStyle name="Percent 3 4 3 4" xfId="21066" xr:uid="{00000000-0005-0000-0000-0000E0680000}"/>
    <cellStyle name="Percent 3 4 4" xfId="16108" xr:uid="{00000000-0005-0000-0000-0000E1680000}"/>
    <cellStyle name="Percent 3 4 4 2" xfId="21068" xr:uid="{00000000-0005-0000-0000-0000E2680000}"/>
    <cellStyle name="Percent 3 4 5" xfId="16109" xr:uid="{00000000-0005-0000-0000-0000E3680000}"/>
    <cellStyle name="Percent 3 4 5 2" xfId="21069" xr:uid="{00000000-0005-0000-0000-0000E4680000}"/>
    <cellStyle name="Percent 3 4 6" xfId="16110" xr:uid="{00000000-0005-0000-0000-0000E5680000}"/>
    <cellStyle name="Percent 3 4 6 2" xfId="21070" xr:uid="{00000000-0005-0000-0000-0000E6680000}"/>
    <cellStyle name="Percent 3 4 7" xfId="16111" xr:uid="{00000000-0005-0000-0000-0000E7680000}"/>
    <cellStyle name="Percent 3 4 7 2" xfId="21071" xr:uid="{00000000-0005-0000-0000-0000E8680000}"/>
    <cellStyle name="Percent 3 4 8" xfId="16103" xr:uid="{00000000-0005-0000-0000-0000E9680000}"/>
    <cellStyle name="Percent 3 4 9" xfId="21063" xr:uid="{00000000-0005-0000-0000-0000EA680000}"/>
    <cellStyle name="Percent 3 5" xfId="2516" xr:uid="{00000000-0005-0000-0000-0000EB680000}"/>
    <cellStyle name="Percent 3 5 2" xfId="16113" xr:uid="{00000000-0005-0000-0000-0000EC680000}"/>
    <cellStyle name="Percent 3 5 2 2" xfId="21073" xr:uid="{00000000-0005-0000-0000-0000ED680000}"/>
    <cellStyle name="Percent 3 5 3" xfId="16112" xr:uid="{00000000-0005-0000-0000-0000EE680000}"/>
    <cellStyle name="Percent 3 5 4" xfId="21072" xr:uid="{00000000-0005-0000-0000-0000EF680000}"/>
    <cellStyle name="Percent 3 6" xfId="2517" xr:uid="{00000000-0005-0000-0000-0000F0680000}"/>
    <cellStyle name="Percent 3 6 2" xfId="16115" xr:uid="{00000000-0005-0000-0000-0000F1680000}"/>
    <cellStyle name="Percent 3 6 2 2" xfId="21075" xr:uid="{00000000-0005-0000-0000-0000F2680000}"/>
    <cellStyle name="Percent 3 6 3" xfId="16114" xr:uid="{00000000-0005-0000-0000-0000F3680000}"/>
    <cellStyle name="Percent 3 6 4" xfId="21074" xr:uid="{00000000-0005-0000-0000-0000F4680000}"/>
    <cellStyle name="Percent 3 7" xfId="16116" xr:uid="{00000000-0005-0000-0000-0000F5680000}"/>
    <cellStyle name="Percent 3 7 2" xfId="21076" xr:uid="{00000000-0005-0000-0000-0000F6680000}"/>
    <cellStyle name="Percent 3 8" xfId="16117" xr:uid="{00000000-0005-0000-0000-0000F7680000}"/>
    <cellStyle name="Percent 3 8 2" xfId="21077" xr:uid="{00000000-0005-0000-0000-0000F8680000}"/>
    <cellStyle name="Percent 3 9" xfId="16118" xr:uid="{00000000-0005-0000-0000-0000F9680000}"/>
    <cellStyle name="Percent 3 9 2" xfId="21078" xr:uid="{00000000-0005-0000-0000-0000FA680000}"/>
    <cellStyle name="Percent 4" xfId="3568" xr:uid="{00000000-0005-0000-0000-0000FB680000}"/>
    <cellStyle name="Percent 4 2" xfId="16120" xr:uid="{00000000-0005-0000-0000-0000FC680000}"/>
    <cellStyle name="Percent 4 2 2" xfId="21080" xr:uid="{00000000-0005-0000-0000-0000FD680000}"/>
    <cellStyle name="Percent 4 3" xfId="16121" xr:uid="{00000000-0005-0000-0000-0000FE680000}"/>
    <cellStyle name="Percent 4 3 2" xfId="21081" xr:uid="{00000000-0005-0000-0000-0000FF680000}"/>
    <cellStyle name="Percent 4 4" xfId="16122" xr:uid="{00000000-0005-0000-0000-000000690000}"/>
    <cellStyle name="Percent 4 4 2" xfId="21082" xr:uid="{00000000-0005-0000-0000-000001690000}"/>
    <cellStyle name="Percent 4 5" xfId="16123" xr:uid="{00000000-0005-0000-0000-000002690000}"/>
    <cellStyle name="Percent 4 5 2" xfId="21083" xr:uid="{00000000-0005-0000-0000-000003690000}"/>
    <cellStyle name="Percent 4 6" xfId="21079" xr:uid="{00000000-0005-0000-0000-000004690000}"/>
    <cellStyle name="Percent 4 7" xfId="16119" xr:uid="{00000000-0005-0000-0000-000005690000}"/>
    <cellStyle name="Percent 5" xfId="3569" xr:uid="{00000000-0005-0000-0000-000006690000}"/>
    <cellStyle name="Percent 5 2" xfId="16125" xr:uid="{00000000-0005-0000-0000-000007690000}"/>
    <cellStyle name="Percent 5 2 2" xfId="21085" xr:uid="{00000000-0005-0000-0000-000008690000}"/>
    <cellStyle name="Percent 5 3" xfId="16126" xr:uid="{00000000-0005-0000-0000-000009690000}"/>
    <cellStyle name="Percent 5 3 2" xfId="21086" xr:uid="{00000000-0005-0000-0000-00000A690000}"/>
    <cellStyle name="Percent 5 4" xfId="16127" xr:uid="{00000000-0005-0000-0000-00000B690000}"/>
    <cellStyle name="Percent 5 4 2" xfId="21087" xr:uid="{00000000-0005-0000-0000-00000C690000}"/>
    <cellStyle name="Percent 5 5" xfId="21084" xr:uid="{00000000-0005-0000-0000-00000D690000}"/>
    <cellStyle name="Percent 5 6" xfId="16124" xr:uid="{00000000-0005-0000-0000-00000E690000}"/>
    <cellStyle name="Percent_Budget 1999" xfId="320" xr:uid="{00000000-0005-0000-0000-00000F690000}"/>
    <cellStyle name="Porcentaje" xfId="322" builtinId="5"/>
    <cellStyle name="Porcentaje 10" xfId="6760" xr:uid="{00000000-0005-0000-0000-000011690000}"/>
    <cellStyle name="Porcentaje 10 2" xfId="21088" xr:uid="{00000000-0005-0000-0000-000012690000}"/>
    <cellStyle name="Porcentaje 10 3" xfId="16128" xr:uid="{00000000-0005-0000-0000-000013690000}"/>
    <cellStyle name="Porcentaje 11" xfId="16129" xr:uid="{00000000-0005-0000-0000-000014690000}"/>
    <cellStyle name="Porcentaje 11 2" xfId="21089" xr:uid="{00000000-0005-0000-0000-000015690000}"/>
    <cellStyle name="Porcentaje 12" xfId="16130" xr:uid="{00000000-0005-0000-0000-000016690000}"/>
    <cellStyle name="Porcentaje 12 2" xfId="21090" xr:uid="{00000000-0005-0000-0000-000017690000}"/>
    <cellStyle name="Porcentaje 13" xfId="31098" xr:uid="{00000000-0005-0000-0000-000018690000}"/>
    <cellStyle name="Porcentaje 14" xfId="31100" xr:uid="{995E9ADF-FBD0-4EB6-8600-2A0C4970C2D2}"/>
    <cellStyle name="Porcentaje 15" xfId="31110" xr:uid="{F112B912-5FCB-4A2C-A9F8-841BAFBA89FA}"/>
    <cellStyle name="Porcentaje 16" xfId="31992" xr:uid="{6305262D-0EFE-40AE-B0A1-91AD351EE955}"/>
    <cellStyle name="Porcentaje 17" xfId="32009" xr:uid="{B0C29328-E1BA-46F2-9FE5-B636101B256E}"/>
    <cellStyle name="Porcentaje 18" xfId="32011" xr:uid="{96D68FA6-E634-439D-9F3F-D4C0A968D6BD}"/>
    <cellStyle name="Porcentaje 19" xfId="32027" xr:uid="{4F5D31CA-074F-439B-B117-730711909F3C}"/>
    <cellStyle name="Porcentaje 2" xfId="321" xr:uid="{00000000-0005-0000-0000-000019690000}"/>
    <cellStyle name="Porcentaje 2 10" xfId="16131" xr:uid="{00000000-0005-0000-0000-00001A690000}"/>
    <cellStyle name="Porcentaje 2 11" xfId="21091" xr:uid="{00000000-0005-0000-0000-00001B690000}"/>
    <cellStyle name="Porcentaje 2 2" xfId="1301" xr:uid="{00000000-0005-0000-0000-00001C690000}"/>
    <cellStyle name="Porcentaje 2 2 10" xfId="21092" xr:uid="{00000000-0005-0000-0000-00001D690000}"/>
    <cellStyle name="Porcentaje 2 2 2" xfId="2520" xr:uid="{00000000-0005-0000-0000-00001E690000}"/>
    <cellStyle name="Porcentaje 2 2 2 2" xfId="2847" xr:uid="{00000000-0005-0000-0000-00001F690000}"/>
    <cellStyle name="Porcentaje 2 2 2 2 2" xfId="21094" xr:uid="{00000000-0005-0000-0000-000020690000}"/>
    <cellStyle name="Porcentaje 2 2 2 2 3" xfId="16134" xr:uid="{00000000-0005-0000-0000-000021690000}"/>
    <cellStyle name="Porcentaje 2 2 2 3" xfId="16135" xr:uid="{00000000-0005-0000-0000-000022690000}"/>
    <cellStyle name="Porcentaje 2 2 2 3 2" xfId="21095" xr:uid="{00000000-0005-0000-0000-000023690000}"/>
    <cellStyle name="Porcentaje 2 2 2 4" xfId="16136" xr:uid="{00000000-0005-0000-0000-000024690000}"/>
    <cellStyle name="Porcentaje 2 2 2 4 2" xfId="21096" xr:uid="{00000000-0005-0000-0000-000025690000}"/>
    <cellStyle name="Porcentaje 2 2 2 5" xfId="16133" xr:uid="{00000000-0005-0000-0000-000026690000}"/>
    <cellStyle name="Porcentaje 2 2 2 6" xfId="21093" xr:uid="{00000000-0005-0000-0000-000027690000}"/>
    <cellStyle name="Porcentaje 2 2 3" xfId="2521" xr:uid="{00000000-0005-0000-0000-000028690000}"/>
    <cellStyle name="Porcentaje 2 2 3 2" xfId="16138" xr:uid="{00000000-0005-0000-0000-000029690000}"/>
    <cellStyle name="Porcentaje 2 2 3 2 2" xfId="21098" xr:uid="{00000000-0005-0000-0000-00002A690000}"/>
    <cellStyle name="Porcentaje 2 2 3 3" xfId="16139" xr:uid="{00000000-0005-0000-0000-00002B690000}"/>
    <cellStyle name="Porcentaje 2 2 3 3 2" xfId="21099" xr:uid="{00000000-0005-0000-0000-00002C690000}"/>
    <cellStyle name="Porcentaje 2 2 3 4" xfId="16140" xr:uid="{00000000-0005-0000-0000-00002D690000}"/>
    <cellStyle name="Porcentaje 2 2 3 4 2" xfId="21100" xr:uid="{00000000-0005-0000-0000-00002E690000}"/>
    <cellStyle name="Porcentaje 2 2 3 5" xfId="16137" xr:uid="{00000000-0005-0000-0000-00002F690000}"/>
    <cellStyle name="Porcentaje 2 2 3 6" xfId="21097" xr:uid="{00000000-0005-0000-0000-000030690000}"/>
    <cellStyle name="Porcentaje 2 2 4" xfId="2522" xr:uid="{00000000-0005-0000-0000-000031690000}"/>
    <cellStyle name="Porcentaje 2 2 4 2" xfId="16141" xr:uid="{00000000-0005-0000-0000-000032690000}"/>
    <cellStyle name="Porcentaje 2 2 4 2 2" xfId="24378" xr:uid="{00000000-0005-0000-0000-000033690000}"/>
    <cellStyle name="Porcentaje 2 2 4 3" xfId="21101" xr:uid="{00000000-0005-0000-0000-000034690000}"/>
    <cellStyle name="Porcentaje 2 2 5" xfId="2519" xr:uid="{00000000-0005-0000-0000-000035690000}"/>
    <cellStyle name="Porcentaje 2 2 5 2" xfId="16142" xr:uid="{00000000-0005-0000-0000-000036690000}"/>
    <cellStyle name="Porcentaje 2 2 5 3" xfId="21102" xr:uid="{00000000-0005-0000-0000-000037690000}"/>
    <cellStyle name="Porcentaje 2 2 6" xfId="2732" xr:uid="{00000000-0005-0000-0000-000038690000}"/>
    <cellStyle name="Porcentaje 2 2 6 2" xfId="4407" xr:uid="{00000000-0005-0000-0000-000039690000}"/>
    <cellStyle name="Porcentaje 2 2 6 2 2" xfId="6277" xr:uid="{00000000-0005-0000-0000-00003A690000}"/>
    <cellStyle name="Porcentaje 2 2 6 2 3" xfId="21103" xr:uid="{00000000-0005-0000-0000-00003B690000}"/>
    <cellStyle name="Porcentaje 2 2 6 3" xfId="5375" xr:uid="{00000000-0005-0000-0000-00003C690000}"/>
    <cellStyle name="Porcentaje 2 2 6 4" xfId="16143" xr:uid="{00000000-0005-0000-0000-00003D690000}"/>
    <cellStyle name="Porcentaje 2 2 7" xfId="3913" xr:uid="{00000000-0005-0000-0000-00003E690000}"/>
    <cellStyle name="Porcentaje 2 2 7 2" xfId="21104" xr:uid="{00000000-0005-0000-0000-00003F690000}"/>
    <cellStyle name="Porcentaje 2 2 7 3" xfId="16144" xr:uid="{00000000-0005-0000-0000-000040690000}"/>
    <cellStyle name="Porcentaje 2 2 8" xfId="16145" xr:uid="{00000000-0005-0000-0000-000041690000}"/>
    <cellStyle name="Porcentaje 2 2 8 2" xfId="21105" xr:uid="{00000000-0005-0000-0000-000042690000}"/>
    <cellStyle name="Porcentaje 2 2 9" xfId="16132" xr:uid="{00000000-0005-0000-0000-000043690000}"/>
    <cellStyle name="Porcentaje 2 3" xfId="2523" xr:uid="{00000000-0005-0000-0000-000044690000}"/>
    <cellStyle name="Porcentaje 2 3 2" xfId="2524" xr:uid="{00000000-0005-0000-0000-000045690000}"/>
    <cellStyle name="Porcentaje 2 3 2 2" xfId="16148" xr:uid="{00000000-0005-0000-0000-000046690000}"/>
    <cellStyle name="Porcentaje 2 3 2 2 2" xfId="21108" xr:uid="{00000000-0005-0000-0000-000047690000}"/>
    <cellStyle name="Porcentaje 2 3 2 3" xfId="16147" xr:uid="{00000000-0005-0000-0000-000048690000}"/>
    <cellStyle name="Porcentaje 2 3 2 4" xfId="21107" xr:uid="{00000000-0005-0000-0000-000049690000}"/>
    <cellStyle name="Porcentaje 2 3 3" xfId="16149" xr:uid="{00000000-0005-0000-0000-00004A690000}"/>
    <cellStyle name="Porcentaje 2 3 3 2" xfId="21109" xr:uid="{00000000-0005-0000-0000-00004B690000}"/>
    <cellStyle name="Porcentaje 2 3 3 3" xfId="24379" xr:uid="{00000000-0005-0000-0000-00004C690000}"/>
    <cellStyle name="Porcentaje 2 3 4" xfId="16150" xr:uid="{00000000-0005-0000-0000-00004D690000}"/>
    <cellStyle name="Porcentaje 2 3 4 2" xfId="21110" xr:uid="{00000000-0005-0000-0000-00004E690000}"/>
    <cellStyle name="Porcentaje 2 3 5" xfId="16151" xr:uid="{00000000-0005-0000-0000-00004F690000}"/>
    <cellStyle name="Porcentaje 2 3 5 2" xfId="21111" xr:uid="{00000000-0005-0000-0000-000050690000}"/>
    <cellStyle name="Porcentaje 2 3 6" xfId="16152" xr:uid="{00000000-0005-0000-0000-000051690000}"/>
    <cellStyle name="Porcentaje 2 3 6 2" xfId="21112" xr:uid="{00000000-0005-0000-0000-000052690000}"/>
    <cellStyle name="Porcentaje 2 3 7" xfId="16146" xr:uid="{00000000-0005-0000-0000-000053690000}"/>
    <cellStyle name="Porcentaje 2 3 8" xfId="21106" xr:uid="{00000000-0005-0000-0000-000054690000}"/>
    <cellStyle name="Porcentaje 2 4" xfId="2525" xr:uid="{00000000-0005-0000-0000-000055690000}"/>
    <cellStyle name="Porcentaje 2 4 2" xfId="3570" xr:uid="{00000000-0005-0000-0000-000056690000}"/>
    <cellStyle name="Porcentaje 2 4 2 2" xfId="16155" xr:uid="{00000000-0005-0000-0000-000057690000}"/>
    <cellStyle name="Porcentaje 2 4 2 2 2" xfId="21115" xr:uid="{00000000-0005-0000-0000-000058690000}"/>
    <cellStyle name="Porcentaje 2 4 2 3" xfId="21114" xr:uid="{00000000-0005-0000-0000-000059690000}"/>
    <cellStyle name="Porcentaje 2 4 2 4" xfId="16154" xr:uid="{00000000-0005-0000-0000-00005A690000}"/>
    <cellStyle name="Porcentaje 2 4 3" xfId="16156" xr:uid="{00000000-0005-0000-0000-00005B690000}"/>
    <cellStyle name="Porcentaje 2 4 3 2" xfId="21116" xr:uid="{00000000-0005-0000-0000-00005C690000}"/>
    <cellStyle name="Porcentaje 2 4 4" xfId="16157" xr:uid="{00000000-0005-0000-0000-00005D690000}"/>
    <cellStyle name="Porcentaje 2 4 4 2" xfId="21117" xr:uid="{00000000-0005-0000-0000-00005E690000}"/>
    <cellStyle name="Porcentaje 2 4 5" xfId="16158" xr:uid="{00000000-0005-0000-0000-00005F690000}"/>
    <cellStyle name="Porcentaje 2 4 5 2" xfId="21118" xr:uid="{00000000-0005-0000-0000-000060690000}"/>
    <cellStyle name="Porcentaje 2 4 6" xfId="16159" xr:uid="{00000000-0005-0000-0000-000061690000}"/>
    <cellStyle name="Porcentaje 2 4 6 2" xfId="21119" xr:uid="{00000000-0005-0000-0000-000062690000}"/>
    <cellStyle name="Porcentaje 2 4 7" xfId="16153" xr:uid="{00000000-0005-0000-0000-000063690000}"/>
    <cellStyle name="Porcentaje 2 4 8" xfId="21113" xr:uid="{00000000-0005-0000-0000-000064690000}"/>
    <cellStyle name="Porcentaje 2 5" xfId="2526" xr:uid="{00000000-0005-0000-0000-000065690000}"/>
    <cellStyle name="Porcentaje 2 5 2" xfId="16161" xr:uid="{00000000-0005-0000-0000-000066690000}"/>
    <cellStyle name="Porcentaje 2 5 2 2" xfId="21121" xr:uid="{00000000-0005-0000-0000-000067690000}"/>
    <cellStyle name="Porcentaje 2 5 2 3" xfId="24380" xr:uid="{00000000-0005-0000-0000-000068690000}"/>
    <cellStyle name="Porcentaje 2 5 3" xfId="16160" xr:uid="{00000000-0005-0000-0000-000069690000}"/>
    <cellStyle name="Porcentaje 2 5 4" xfId="21120" xr:uid="{00000000-0005-0000-0000-00006A690000}"/>
    <cellStyle name="Porcentaje 2 6" xfId="2518" xr:uid="{00000000-0005-0000-0000-00006B690000}"/>
    <cellStyle name="Porcentaje 2 6 2" xfId="16162" xr:uid="{00000000-0005-0000-0000-00006C690000}"/>
    <cellStyle name="Porcentaje 2 6 3" xfId="21122" xr:uid="{00000000-0005-0000-0000-00006D690000}"/>
    <cellStyle name="Porcentaje 2 7" xfId="16163" xr:uid="{00000000-0005-0000-0000-00006E690000}"/>
    <cellStyle name="Porcentaje 2 7 2" xfId="21123" xr:uid="{00000000-0005-0000-0000-00006F690000}"/>
    <cellStyle name="Porcentaje 2 8" xfId="16164" xr:uid="{00000000-0005-0000-0000-000070690000}"/>
    <cellStyle name="Porcentaje 2 8 2" xfId="21124" xr:uid="{00000000-0005-0000-0000-000071690000}"/>
    <cellStyle name="Porcentaje 2 9" xfId="16165" xr:uid="{00000000-0005-0000-0000-000072690000}"/>
    <cellStyle name="Porcentaje 2 9 2" xfId="21125" xr:uid="{00000000-0005-0000-0000-000073690000}"/>
    <cellStyle name="Porcentaje 3" xfId="428" xr:uid="{00000000-0005-0000-0000-000074690000}"/>
    <cellStyle name="Porcentaje 3 10" xfId="31997" xr:uid="{37243DB7-34BD-4689-9AA8-CFBEA2F501B1}"/>
    <cellStyle name="Porcentaje 3 2" xfId="736" xr:uid="{00000000-0005-0000-0000-000075690000}"/>
    <cellStyle name="Porcentaje 3 2 2" xfId="3571" xr:uid="{00000000-0005-0000-0000-000076690000}"/>
    <cellStyle name="Porcentaje 3 2 2 2" xfId="16169" xr:uid="{00000000-0005-0000-0000-000077690000}"/>
    <cellStyle name="Porcentaje 3 2 2 2 2" xfId="21129" xr:uid="{00000000-0005-0000-0000-000078690000}"/>
    <cellStyle name="Porcentaje 3 2 2 2 3" xfId="24382" xr:uid="{00000000-0005-0000-0000-000079690000}"/>
    <cellStyle name="Porcentaje 3 2 2 3" xfId="21128" xr:uid="{00000000-0005-0000-0000-00007A690000}"/>
    <cellStyle name="Porcentaje 3 2 2 4" xfId="16168" xr:uid="{00000000-0005-0000-0000-00007B690000}"/>
    <cellStyle name="Porcentaje 3 2 2 5" xfId="24381" xr:uid="{00000000-0005-0000-0000-00007C690000}"/>
    <cellStyle name="Porcentaje 3 2 3" xfId="3572" xr:uid="{00000000-0005-0000-0000-00007D690000}"/>
    <cellStyle name="Porcentaje 3 2 3 2" xfId="16171" xr:uid="{00000000-0005-0000-0000-00007E690000}"/>
    <cellStyle name="Porcentaje 3 2 3 2 2" xfId="21131" xr:uid="{00000000-0005-0000-0000-00007F690000}"/>
    <cellStyle name="Porcentaje 3 2 3 3" xfId="21130" xr:uid="{00000000-0005-0000-0000-000080690000}"/>
    <cellStyle name="Porcentaje 3 2 3 4" xfId="16170" xr:uid="{00000000-0005-0000-0000-000081690000}"/>
    <cellStyle name="Porcentaje 3 2 4" xfId="16172" xr:uid="{00000000-0005-0000-0000-000082690000}"/>
    <cellStyle name="Porcentaje 3 2 4 2" xfId="21132" xr:uid="{00000000-0005-0000-0000-000083690000}"/>
    <cellStyle name="Porcentaje 3 2 5" xfId="16173" xr:uid="{00000000-0005-0000-0000-000084690000}"/>
    <cellStyle name="Porcentaje 3 2 5 2" xfId="21133" xr:uid="{00000000-0005-0000-0000-000085690000}"/>
    <cellStyle name="Porcentaje 3 2 6" xfId="16174" xr:uid="{00000000-0005-0000-0000-000086690000}"/>
    <cellStyle name="Porcentaje 3 2 6 2" xfId="21134" xr:uid="{00000000-0005-0000-0000-000087690000}"/>
    <cellStyle name="Porcentaje 3 2 7" xfId="16167" xr:uid="{00000000-0005-0000-0000-000088690000}"/>
    <cellStyle name="Porcentaje 3 2 8" xfId="21127" xr:uid="{00000000-0005-0000-0000-000089690000}"/>
    <cellStyle name="Porcentaje 3 3" xfId="2527" xr:uid="{00000000-0005-0000-0000-00008A690000}"/>
    <cellStyle name="Porcentaje 3 3 2" xfId="16176" xr:uid="{00000000-0005-0000-0000-00008B690000}"/>
    <cellStyle name="Porcentaje 3 3 2 2" xfId="21136" xr:uid="{00000000-0005-0000-0000-00008C690000}"/>
    <cellStyle name="Porcentaje 3 3 2 3" xfId="24383" xr:uid="{00000000-0005-0000-0000-00008D690000}"/>
    <cellStyle name="Porcentaje 3 3 3" xfId="16177" xr:uid="{00000000-0005-0000-0000-00008E690000}"/>
    <cellStyle name="Porcentaje 3 3 3 2" xfId="21137" xr:uid="{00000000-0005-0000-0000-00008F690000}"/>
    <cellStyle name="Porcentaje 3 3 4" xfId="16178" xr:uid="{00000000-0005-0000-0000-000090690000}"/>
    <cellStyle name="Porcentaje 3 3 4 2" xfId="21138" xr:uid="{00000000-0005-0000-0000-000091690000}"/>
    <cellStyle name="Porcentaje 3 3 5" xfId="16175" xr:uid="{00000000-0005-0000-0000-000092690000}"/>
    <cellStyle name="Porcentaje 3 3 6" xfId="21135" xr:uid="{00000000-0005-0000-0000-000093690000}"/>
    <cellStyle name="Porcentaje 3 4" xfId="3573" xr:uid="{00000000-0005-0000-0000-000094690000}"/>
    <cellStyle name="Porcentaje 3 4 2" xfId="16180" xr:uid="{00000000-0005-0000-0000-000095690000}"/>
    <cellStyle name="Porcentaje 3 4 2 2" xfId="21140" xr:uid="{00000000-0005-0000-0000-000096690000}"/>
    <cellStyle name="Porcentaje 3 4 3" xfId="16181" xr:uid="{00000000-0005-0000-0000-000097690000}"/>
    <cellStyle name="Porcentaje 3 4 3 2" xfId="21141" xr:uid="{00000000-0005-0000-0000-000098690000}"/>
    <cellStyle name="Porcentaje 3 4 4" xfId="16182" xr:uid="{00000000-0005-0000-0000-000099690000}"/>
    <cellStyle name="Porcentaje 3 4 4 2" xfId="21142" xr:uid="{00000000-0005-0000-0000-00009A690000}"/>
    <cellStyle name="Porcentaje 3 4 5" xfId="21139" xr:uid="{00000000-0005-0000-0000-00009B690000}"/>
    <cellStyle name="Porcentaje 3 4 6" xfId="16179" xr:uid="{00000000-0005-0000-0000-00009C690000}"/>
    <cellStyle name="Porcentaje 3 5" xfId="16183" xr:uid="{00000000-0005-0000-0000-00009D690000}"/>
    <cellStyle name="Porcentaje 3 5 2" xfId="21143" xr:uid="{00000000-0005-0000-0000-00009E690000}"/>
    <cellStyle name="Porcentaje 3 5 3" xfId="24384" xr:uid="{00000000-0005-0000-0000-00009F690000}"/>
    <cellStyle name="Porcentaje 3 6" xfId="16184" xr:uid="{00000000-0005-0000-0000-0000A0690000}"/>
    <cellStyle name="Porcentaje 3 6 2" xfId="21144" xr:uid="{00000000-0005-0000-0000-0000A1690000}"/>
    <cellStyle name="Porcentaje 3 7" xfId="16185" xr:uid="{00000000-0005-0000-0000-0000A2690000}"/>
    <cellStyle name="Porcentaje 3 7 2" xfId="21145" xr:uid="{00000000-0005-0000-0000-0000A3690000}"/>
    <cellStyle name="Porcentaje 3 8" xfId="16166" xr:uid="{00000000-0005-0000-0000-0000A4690000}"/>
    <cellStyle name="Porcentaje 3 9" xfId="21126" xr:uid="{00000000-0005-0000-0000-0000A5690000}"/>
    <cellStyle name="Porcentaje 4" xfId="737" xr:uid="{00000000-0005-0000-0000-0000A6690000}"/>
    <cellStyle name="Porcentaje 4 2" xfId="1302" xr:uid="{00000000-0005-0000-0000-0000A7690000}"/>
    <cellStyle name="Porcentaje 4 2 2" xfId="2528" xr:uid="{00000000-0005-0000-0000-0000A8690000}"/>
    <cellStyle name="Porcentaje 4 2 2 2" xfId="21148" xr:uid="{00000000-0005-0000-0000-0000A9690000}"/>
    <cellStyle name="Porcentaje 4 2 2 3" xfId="16188" xr:uid="{00000000-0005-0000-0000-0000AA690000}"/>
    <cellStyle name="Porcentaje 4 2 2 4" xfId="24385" xr:uid="{00000000-0005-0000-0000-0000AB690000}"/>
    <cellStyle name="Porcentaje 4 2 3" xfId="3914" xr:uid="{00000000-0005-0000-0000-0000AC690000}"/>
    <cellStyle name="Porcentaje 4 2 3 2" xfId="21149" xr:uid="{00000000-0005-0000-0000-0000AD690000}"/>
    <cellStyle name="Porcentaje 4 2 3 3" xfId="16189" xr:uid="{00000000-0005-0000-0000-0000AE690000}"/>
    <cellStyle name="Porcentaje 4 2 3 4" xfId="24386" xr:uid="{00000000-0005-0000-0000-0000AF690000}"/>
    <cellStyle name="Porcentaje 4 2 4" xfId="16190" xr:uid="{00000000-0005-0000-0000-0000B0690000}"/>
    <cellStyle name="Porcentaje 4 2 4 2" xfId="21150" xr:uid="{00000000-0005-0000-0000-0000B1690000}"/>
    <cellStyle name="Porcentaje 4 2 4 3" xfId="24387" xr:uid="{00000000-0005-0000-0000-0000B2690000}"/>
    <cellStyle name="Porcentaje 4 2 5" xfId="16187" xr:uid="{00000000-0005-0000-0000-0000B3690000}"/>
    <cellStyle name="Porcentaje 4 2 6" xfId="21147" xr:uid="{00000000-0005-0000-0000-0000B4690000}"/>
    <cellStyle name="Porcentaje 4 3" xfId="16191" xr:uid="{00000000-0005-0000-0000-0000B5690000}"/>
    <cellStyle name="Porcentaje 4 3 2" xfId="21151" xr:uid="{00000000-0005-0000-0000-0000B6690000}"/>
    <cellStyle name="Porcentaje 4 3 3" xfId="24388" xr:uid="{00000000-0005-0000-0000-0000B7690000}"/>
    <cellStyle name="Porcentaje 4 4" xfId="16192" xr:uid="{00000000-0005-0000-0000-0000B8690000}"/>
    <cellStyle name="Porcentaje 4 4 2" xfId="21152" xr:uid="{00000000-0005-0000-0000-0000B9690000}"/>
    <cellStyle name="Porcentaje 4 4 2 2" xfId="24390" xr:uid="{00000000-0005-0000-0000-0000BA690000}"/>
    <cellStyle name="Porcentaje 4 4 3" xfId="24389" xr:uid="{00000000-0005-0000-0000-0000BB690000}"/>
    <cellStyle name="Porcentaje 4 5" xfId="16193" xr:uid="{00000000-0005-0000-0000-0000BC690000}"/>
    <cellStyle name="Porcentaje 4 5 2" xfId="21153" xr:uid="{00000000-0005-0000-0000-0000BD690000}"/>
    <cellStyle name="Porcentaje 4 6" xfId="16186" xr:uid="{00000000-0005-0000-0000-0000BE690000}"/>
    <cellStyle name="Porcentaje 4 7" xfId="21146" xr:uid="{00000000-0005-0000-0000-0000BF690000}"/>
    <cellStyle name="Porcentaje 4 8" xfId="32002" xr:uid="{77D546FA-1AB0-457E-BEF5-818B02BB922F}"/>
    <cellStyle name="Porcentaje 5" xfId="738" xr:uid="{00000000-0005-0000-0000-0000C0690000}"/>
    <cellStyle name="Porcentaje 5 2" xfId="1517" xr:uid="{00000000-0005-0000-0000-0000C1690000}"/>
    <cellStyle name="Porcentaje 5 2 2" xfId="2530" xr:uid="{00000000-0005-0000-0000-0000C2690000}"/>
    <cellStyle name="Porcentaje 5 2 2 2" xfId="21156" xr:uid="{00000000-0005-0000-0000-0000C3690000}"/>
    <cellStyle name="Porcentaje 5 2 2 3" xfId="16196" xr:uid="{00000000-0005-0000-0000-0000C4690000}"/>
    <cellStyle name="Porcentaje 5 2 3" xfId="4036" xr:uid="{00000000-0005-0000-0000-0000C5690000}"/>
    <cellStyle name="Porcentaje 5 2 3 2" xfId="21157" xr:uid="{00000000-0005-0000-0000-0000C6690000}"/>
    <cellStyle name="Porcentaje 5 2 3 3" xfId="16197" xr:uid="{00000000-0005-0000-0000-0000C7690000}"/>
    <cellStyle name="Porcentaje 5 2 4" xfId="16198" xr:uid="{00000000-0005-0000-0000-0000C8690000}"/>
    <cellStyle name="Porcentaje 5 2 4 2" xfId="21158" xr:uid="{00000000-0005-0000-0000-0000C9690000}"/>
    <cellStyle name="Porcentaje 5 2 5" xfId="16195" xr:uid="{00000000-0005-0000-0000-0000CA690000}"/>
    <cellStyle name="Porcentaje 5 2 6" xfId="21155" xr:uid="{00000000-0005-0000-0000-0000CB690000}"/>
    <cellStyle name="Porcentaje 5 3" xfId="2529" xr:uid="{00000000-0005-0000-0000-0000CC690000}"/>
    <cellStyle name="Porcentaje 5 3 2" xfId="21159" xr:uid="{00000000-0005-0000-0000-0000CD690000}"/>
    <cellStyle name="Porcentaje 5 3 2 2" xfId="23132" xr:uid="{00000000-0005-0000-0000-0000CE690000}"/>
    <cellStyle name="Porcentaje 5 3 3" xfId="16199" xr:uid="{00000000-0005-0000-0000-0000CF690000}"/>
    <cellStyle name="Porcentaje 5 3 3 2" xfId="23133" xr:uid="{00000000-0005-0000-0000-0000D0690000}"/>
    <cellStyle name="Porcentaje 5 3 4" xfId="23131" xr:uid="{00000000-0005-0000-0000-0000D1690000}"/>
    <cellStyle name="Porcentaje 5 3 5" xfId="24391" xr:uid="{00000000-0005-0000-0000-0000D2690000}"/>
    <cellStyle name="Porcentaje 5 4" xfId="3700" xr:uid="{00000000-0005-0000-0000-0000D3690000}"/>
    <cellStyle name="Porcentaje 5 4 2" xfId="21160" xr:uid="{00000000-0005-0000-0000-0000D4690000}"/>
    <cellStyle name="Porcentaje 5 4 3" xfId="16200" xr:uid="{00000000-0005-0000-0000-0000D5690000}"/>
    <cellStyle name="Porcentaje 5 4 4" xfId="24534" xr:uid="{00000000-0005-0000-0000-0000D6690000}"/>
    <cellStyle name="Porcentaje 5 5" xfId="16201" xr:uid="{00000000-0005-0000-0000-0000D7690000}"/>
    <cellStyle name="Porcentaje 5 5 2" xfId="21161" xr:uid="{00000000-0005-0000-0000-0000D8690000}"/>
    <cellStyle name="Porcentaje 5 6" xfId="16194" xr:uid="{00000000-0005-0000-0000-0000D9690000}"/>
    <cellStyle name="Porcentaje 5 7" xfId="21154" xr:uid="{00000000-0005-0000-0000-0000DA690000}"/>
    <cellStyle name="Porcentaje 5 8" xfId="32005" xr:uid="{E78E06F7-4677-4482-8C36-D5E445B5B12D}"/>
    <cellStyle name="Porcentaje 6" xfId="1406" xr:uid="{00000000-0005-0000-0000-0000DB690000}"/>
    <cellStyle name="Porcentaje 6 2" xfId="1712" xr:uid="{00000000-0005-0000-0000-0000DC690000}"/>
    <cellStyle name="Porcentaje 6 2 2" xfId="21163" xr:uid="{00000000-0005-0000-0000-0000DD690000}"/>
    <cellStyle name="Porcentaje 6 2 3" xfId="16203" xr:uid="{00000000-0005-0000-0000-0000DE690000}"/>
    <cellStyle name="Porcentaje 6 2 4" xfId="23134" xr:uid="{00000000-0005-0000-0000-0000DF690000}"/>
    <cellStyle name="Porcentaje 6 3" xfId="6758" xr:uid="{00000000-0005-0000-0000-0000E0690000}"/>
    <cellStyle name="Porcentaje 6 3 2" xfId="21164" xr:uid="{00000000-0005-0000-0000-0000E1690000}"/>
    <cellStyle name="Porcentaje 6 3 3" xfId="16204" xr:uid="{00000000-0005-0000-0000-0000E2690000}"/>
    <cellStyle name="Porcentaje 6 3 4" xfId="23135" xr:uid="{00000000-0005-0000-0000-0000E3690000}"/>
    <cellStyle name="Porcentaje 6 4" xfId="16205" xr:uid="{00000000-0005-0000-0000-0000E4690000}"/>
    <cellStyle name="Porcentaje 6 4 2" xfId="21165" xr:uid="{00000000-0005-0000-0000-0000E5690000}"/>
    <cellStyle name="Porcentaje 6 4 3" xfId="23136" xr:uid="{00000000-0005-0000-0000-0000E6690000}"/>
    <cellStyle name="Porcentaje 6 5" xfId="16206" xr:uid="{00000000-0005-0000-0000-0000E7690000}"/>
    <cellStyle name="Porcentaje 6 5 2" xfId="21166" xr:uid="{00000000-0005-0000-0000-0000E8690000}"/>
    <cellStyle name="Porcentaje 6 6" xfId="16207" xr:uid="{00000000-0005-0000-0000-0000E9690000}"/>
    <cellStyle name="Porcentaje 6 6 2" xfId="21167" xr:uid="{00000000-0005-0000-0000-0000EA690000}"/>
    <cellStyle name="Porcentaje 6 7" xfId="16202" xr:uid="{00000000-0005-0000-0000-0000EB690000}"/>
    <cellStyle name="Porcentaje 6 8" xfId="21162" xr:uid="{00000000-0005-0000-0000-0000EC690000}"/>
    <cellStyle name="Porcentaje 7" xfId="1716" xr:uid="{00000000-0005-0000-0000-0000ED690000}"/>
    <cellStyle name="Porcentaje 7 2" xfId="2531" xr:uid="{00000000-0005-0000-0000-0000EE690000}"/>
    <cellStyle name="Porcentaje 7 2 2" xfId="3156" xr:uid="{00000000-0005-0000-0000-0000EF690000}"/>
    <cellStyle name="Porcentaje 7 2 2 2" xfId="21170" xr:uid="{00000000-0005-0000-0000-0000F0690000}"/>
    <cellStyle name="Porcentaje 7 2 2 3" xfId="16210" xr:uid="{00000000-0005-0000-0000-0000F1690000}"/>
    <cellStyle name="Porcentaje 7 2 3" xfId="21169" xr:uid="{00000000-0005-0000-0000-0000F2690000}"/>
    <cellStyle name="Porcentaje 7 2 4" xfId="16209" xr:uid="{00000000-0005-0000-0000-0000F3690000}"/>
    <cellStyle name="Porcentaje 7 3" xfId="16211" xr:uid="{00000000-0005-0000-0000-0000F4690000}"/>
    <cellStyle name="Porcentaje 7 3 2" xfId="21171" xr:uid="{00000000-0005-0000-0000-0000F5690000}"/>
    <cellStyle name="Porcentaje 7 4" xfId="16212" xr:uid="{00000000-0005-0000-0000-0000F6690000}"/>
    <cellStyle name="Porcentaje 7 4 2" xfId="21172" xr:uid="{00000000-0005-0000-0000-0000F7690000}"/>
    <cellStyle name="Porcentaje 7 5" xfId="16213" xr:uid="{00000000-0005-0000-0000-0000F8690000}"/>
    <cellStyle name="Porcentaje 7 5 2" xfId="21173" xr:uid="{00000000-0005-0000-0000-0000F9690000}"/>
    <cellStyle name="Porcentaje 7 6" xfId="16214" xr:uid="{00000000-0005-0000-0000-0000FA690000}"/>
    <cellStyle name="Porcentaje 7 6 2" xfId="21174" xr:uid="{00000000-0005-0000-0000-0000FB690000}"/>
    <cellStyle name="Porcentaje 7 7" xfId="16215" xr:uid="{00000000-0005-0000-0000-0000FC690000}"/>
    <cellStyle name="Porcentaje 7 7 2" xfId="21175" xr:uid="{00000000-0005-0000-0000-0000FD690000}"/>
    <cellStyle name="Porcentaje 7 8" xfId="16208" xr:uid="{00000000-0005-0000-0000-0000FE690000}"/>
    <cellStyle name="Porcentaje 7 9" xfId="21168" xr:uid="{00000000-0005-0000-0000-0000FF690000}"/>
    <cellStyle name="Porcentaje 8" xfId="2532" xr:uid="{00000000-0005-0000-0000-0000006A0000}"/>
    <cellStyle name="Porcentaje 8 2" xfId="2533" xr:uid="{00000000-0005-0000-0000-0000016A0000}"/>
    <cellStyle name="Porcentaje 8 2 2" xfId="16218" xr:uid="{00000000-0005-0000-0000-0000026A0000}"/>
    <cellStyle name="Porcentaje 8 2 2 2" xfId="21178" xr:uid="{00000000-0005-0000-0000-0000036A0000}"/>
    <cellStyle name="Porcentaje 8 2 3" xfId="16217" xr:uid="{00000000-0005-0000-0000-0000046A0000}"/>
    <cellStyle name="Porcentaje 8 2 4" xfId="21177" xr:uid="{00000000-0005-0000-0000-0000056A0000}"/>
    <cellStyle name="Porcentaje 8 3" xfId="3574" xr:uid="{00000000-0005-0000-0000-0000066A0000}"/>
    <cellStyle name="Porcentaje 8 3 2" xfId="16220" xr:uid="{00000000-0005-0000-0000-0000076A0000}"/>
    <cellStyle name="Porcentaje 8 3 2 2" xfId="21180" xr:uid="{00000000-0005-0000-0000-0000086A0000}"/>
    <cellStyle name="Porcentaje 8 3 3" xfId="21179" xr:uid="{00000000-0005-0000-0000-0000096A0000}"/>
    <cellStyle name="Porcentaje 8 3 4" xfId="16219" xr:uid="{00000000-0005-0000-0000-00000A6A0000}"/>
    <cellStyle name="Porcentaje 8 4" xfId="16221" xr:uid="{00000000-0005-0000-0000-00000B6A0000}"/>
    <cellStyle name="Porcentaje 8 4 2" xfId="21181" xr:uid="{00000000-0005-0000-0000-00000C6A0000}"/>
    <cellStyle name="Porcentaje 8 5" xfId="16222" xr:uid="{00000000-0005-0000-0000-00000D6A0000}"/>
    <cellStyle name="Porcentaje 8 5 2" xfId="21182" xr:uid="{00000000-0005-0000-0000-00000E6A0000}"/>
    <cellStyle name="Porcentaje 8 6" xfId="16216" xr:uid="{00000000-0005-0000-0000-00000F6A0000}"/>
    <cellStyle name="Porcentaje 8 7" xfId="21176" xr:uid="{00000000-0005-0000-0000-0000106A0000}"/>
    <cellStyle name="Porcentaje 9" xfId="4909" xr:uid="{00000000-0005-0000-0000-0000116A0000}"/>
    <cellStyle name="Porcentaje 9 10" xfId="7251" xr:uid="{00000000-0005-0000-0000-0000126A0000}"/>
    <cellStyle name="Porcentaje 9 2" xfId="16224" xr:uid="{00000000-0005-0000-0000-0000136A0000}"/>
    <cellStyle name="Porcentaje 9 2 2" xfId="21184" xr:uid="{00000000-0005-0000-0000-0000146A0000}"/>
    <cellStyle name="Porcentaje 9 2 3" xfId="24392" xr:uid="{00000000-0005-0000-0000-0000156A0000}"/>
    <cellStyle name="Porcentaje 9 3" xfId="16225" xr:uid="{00000000-0005-0000-0000-0000166A0000}"/>
    <cellStyle name="Porcentaje 9 3 2" xfId="21185" xr:uid="{00000000-0005-0000-0000-0000176A0000}"/>
    <cellStyle name="Porcentaje 9 4" xfId="16226" xr:uid="{00000000-0005-0000-0000-0000186A0000}"/>
    <cellStyle name="Porcentaje 9 4 2" xfId="21186" xr:uid="{00000000-0005-0000-0000-0000196A0000}"/>
    <cellStyle name="Porcentaje 9 5" xfId="16227" xr:uid="{00000000-0005-0000-0000-00001A6A0000}"/>
    <cellStyle name="Porcentaje 9 5 2" xfId="21187" xr:uid="{00000000-0005-0000-0000-00001B6A0000}"/>
    <cellStyle name="Porcentaje 9 6" xfId="16228" xr:uid="{00000000-0005-0000-0000-00001C6A0000}"/>
    <cellStyle name="Porcentaje 9 6 2" xfId="21188" xr:uid="{00000000-0005-0000-0000-00001D6A0000}"/>
    <cellStyle name="Porcentaje 9 7" xfId="16229" xr:uid="{00000000-0005-0000-0000-00001E6A0000}"/>
    <cellStyle name="Porcentaje 9 7 2" xfId="21189" xr:uid="{00000000-0005-0000-0000-00001F6A0000}"/>
    <cellStyle name="Porcentaje 9 8" xfId="16223" xr:uid="{00000000-0005-0000-0000-0000206A0000}"/>
    <cellStyle name="Porcentaje 9 9" xfId="21183" xr:uid="{00000000-0005-0000-0000-0000216A0000}"/>
    <cellStyle name="Porcentaje completado" xfId="32025" xr:uid="{46F3DF74-63CD-4925-BF4A-D57905E3E6DD}"/>
    <cellStyle name="Porcentual 2" xfId="323" xr:uid="{00000000-0005-0000-0000-0000226A0000}"/>
    <cellStyle name="Porcentual 2 2" xfId="739" xr:uid="{00000000-0005-0000-0000-0000236A0000}"/>
    <cellStyle name="Porcentual 2 2 2" xfId="2536" xr:uid="{00000000-0005-0000-0000-0000246A0000}"/>
    <cellStyle name="Porcentual 2 2 2 2" xfId="16233" xr:uid="{00000000-0005-0000-0000-0000256A0000}"/>
    <cellStyle name="Porcentual 2 2 2 2 2" xfId="21193" xr:uid="{00000000-0005-0000-0000-0000266A0000}"/>
    <cellStyle name="Porcentual 2 2 2 3" xfId="16234" xr:uid="{00000000-0005-0000-0000-0000276A0000}"/>
    <cellStyle name="Porcentual 2 2 2 3 2" xfId="21194" xr:uid="{00000000-0005-0000-0000-0000286A0000}"/>
    <cellStyle name="Porcentual 2 2 2 4" xfId="16235" xr:uid="{00000000-0005-0000-0000-0000296A0000}"/>
    <cellStyle name="Porcentual 2 2 2 4 2" xfId="21195" xr:uid="{00000000-0005-0000-0000-00002A6A0000}"/>
    <cellStyle name="Porcentual 2 2 2 5" xfId="16232" xr:uid="{00000000-0005-0000-0000-00002B6A0000}"/>
    <cellStyle name="Porcentual 2 2 2 6" xfId="21192" xr:uid="{00000000-0005-0000-0000-00002C6A0000}"/>
    <cellStyle name="Porcentual 2 2 3" xfId="2535" xr:uid="{00000000-0005-0000-0000-00002D6A0000}"/>
    <cellStyle name="Porcentual 2 2 3 2" xfId="16237" xr:uid="{00000000-0005-0000-0000-00002E6A0000}"/>
    <cellStyle name="Porcentual 2 2 3 2 2" xfId="21197" xr:uid="{00000000-0005-0000-0000-00002F6A0000}"/>
    <cellStyle name="Porcentual 2 2 3 3" xfId="21196" xr:uid="{00000000-0005-0000-0000-0000306A0000}"/>
    <cellStyle name="Porcentual 2 2 3 4" xfId="16236" xr:uid="{00000000-0005-0000-0000-0000316A0000}"/>
    <cellStyle name="Porcentual 2 2 4" xfId="16238" xr:uid="{00000000-0005-0000-0000-0000326A0000}"/>
    <cellStyle name="Porcentual 2 2 4 2" xfId="21198" xr:uid="{00000000-0005-0000-0000-0000336A0000}"/>
    <cellStyle name="Porcentual 2 2 5" xfId="16239" xr:uid="{00000000-0005-0000-0000-0000346A0000}"/>
    <cellStyle name="Porcentual 2 2 5 2" xfId="21199" xr:uid="{00000000-0005-0000-0000-0000356A0000}"/>
    <cellStyle name="Porcentual 2 2 6" xfId="16240" xr:uid="{00000000-0005-0000-0000-0000366A0000}"/>
    <cellStyle name="Porcentual 2 2 6 2" xfId="21200" xr:uid="{00000000-0005-0000-0000-0000376A0000}"/>
    <cellStyle name="Porcentual 2 2 7" xfId="16231" xr:uid="{00000000-0005-0000-0000-0000386A0000}"/>
    <cellStyle name="Porcentual 2 2 8" xfId="21191" xr:uid="{00000000-0005-0000-0000-0000396A0000}"/>
    <cellStyle name="Porcentual 2 3" xfId="2537" xr:uid="{00000000-0005-0000-0000-00003A6A0000}"/>
    <cellStyle name="Porcentual 2 3 2" xfId="16241" xr:uid="{00000000-0005-0000-0000-00003B6A0000}"/>
    <cellStyle name="Porcentual 2 3 3" xfId="21201" xr:uid="{00000000-0005-0000-0000-00003C6A0000}"/>
    <cellStyle name="Porcentual 2 4" xfId="2534" xr:uid="{00000000-0005-0000-0000-00003D6A0000}"/>
    <cellStyle name="Porcentual 2 4 2" xfId="21202" xr:uid="{00000000-0005-0000-0000-00003E6A0000}"/>
    <cellStyle name="Porcentual 2 4 3" xfId="16242" xr:uid="{00000000-0005-0000-0000-00003F6A0000}"/>
    <cellStyle name="Porcentual 2 5" xfId="16243" xr:uid="{00000000-0005-0000-0000-0000406A0000}"/>
    <cellStyle name="Porcentual 2 5 2" xfId="21203" xr:uid="{00000000-0005-0000-0000-0000416A0000}"/>
    <cellStyle name="Porcentual 2 6" xfId="16230" xr:uid="{00000000-0005-0000-0000-0000426A0000}"/>
    <cellStyle name="Porcentual 2 7" xfId="21190" xr:uid="{00000000-0005-0000-0000-0000436A0000}"/>
    <cellStyle name="Porcentual 3" xfId="324" xr:uid="{00000000-0005-0000-0000-0000446A0000}"/>
    <cellStyle name="Porcentual 3 2" xfId="419" xr:uid="{00000000-0005-0000-0000-0000456A0000}"/>
    <cellStyle name="Porcentual 3 2 2" xfId="740" xr:uid="{00000000-0005-0000-0000-0000466A0000}"/>
    <cellStyle name="Porcentual 3 2 2 2" xfId="21206" xr:uid="{00000000-0005-0000-0000-0000476A0000}"/>
    <cellStyle name="Porcentual 3 2 2 3" xfId="16246" xr:uid="{00000000-0005-0000-0000-0000486A0000}"/>
    <cellStyle name="Porcentual 3 2 3" xfId="16247" xr:uid="{00000000-0005-0000-0000-0000496A0000}"/>
    <cellStyle name="Porcentual 3 2 3 2" xfId="21207" xr:uid="{00000000-0005-0000-0000-00004A6A0000}"/>
    <cellStyle name="Porcentual 3 2 4" xfId="16248" xr:uid="{00000000-0005-0000-0000-00004B6A0000}"/>
    <cellStyle name="Porcentual 3 2 4 2" xfId="21208" xr:uid="{00000000-0005-0000-0000-00004C6A0000}"/>
    <cellStyle name="Porcentual 3 2 5" xfId="16245" xr:uid="{00000000-0005-0000-0000-00004D6A0000}"/>
    <cellStyle name="Porcentual 3 2 6" xfId="21205" xr:uid="{00000000-0005-0000-0000-00004E6A0000}"/>
    <cellStyle name="Porcentual 3 3" xfId="741" xr:uid="{00000000-0005-0000-0000-00004F6A0000}"/>
    <cellStyle name="Porcentual 3 3 2" xfId="21209" xr:uid="{00000000-0005-0000-0000-0000506A0000}"/>
    <cellStyle name="Porcentual 3 3 3" xfId="16249" xr:uid="{00000000-0005-0000-0000-0000516A0000}"/>
    <cellStyle name="Porcentual 3 4" xfId="16250" xr:uid="{00000000-0005-0000-0000-0000526A0000}"/>
    <cellStyle name="Porcentual 3 4 2" xfId="21210" xr:uid="{00000000-0005-0000-0000-0000536A0000}"/>
    <cellStyle name="Porcentual 3 5" xfId="16251" xr:uid="{00000000-0005-0000-0000-0000546A0000}"/>
    <cellStyle name="Porcentual 3 5 2" xfId="21211" xr:uid="{00000000-0005-0000-0000-0000556A0000}"/>
    <cellStyle name="Porcentual 3 6" xfId="16244" xr:uid="{00000000-0005-0000-0000-0000566A0000}"/>
    <cellStyle name="Porcentual 3 7" xfId="21204" xr:uid="{00000000-0005-0000-0000-0000576A0000}"/>
    <cellStyle name="Porcentual 4" xfId="2538" xr:uid="{00000000-0005-0000-0000-0000586A0000}"/>
    <cellStyle name="Porcentual 4 2" xfId="16253" xr:uid="{00000000-0005-0000-0000-0000596A0000}"/>
    <cellStyle name="Porcentual 4 2 2" xfId="21213" xr:uid="{00000000-0005-0000-0000-00005A6A0000}"/>
    <cellStyle name="Porcentual 4 3" xfId="16254" xr:uid="{00000000-0005-0000-0000-00005B6A0000}"/>
    <cellStyle name="Porcentual 4 3 2" xfId="21214" xr:uid="{00000000-0005-0000-0000-00005C6A0000}"/>
    <cellStyle name="Porcentual 4 4" xfId="16255" xr:uid="{00000000-0005-0000-0000-00005D6A0000}"/>
    <cellStyle name="Porcentual 4 4 2" xfId="21215" xr:uid="{00000000-0005-0000-0000-00005E6A0000}"/>
    <cellStyle name="Porcentual 4 5" xfId="16252" xr:uid="{00000000-0005-0000-0000-00005F6A0000}"/>
    <cellStyle name="Porcentual 4 6" xfId="21212" xr:uid="{00000000-0005-0000-0000-0000606A0000}"/>
    <cellStyle name="Porcentual 5" xfId="2539" xr:uid="{00000000-0005-0000-0000-0000616A0000}"/>
    <cellStyle name="Porcentual 5 2" xfId="16257" xr:uid="{00000000-0005-0000-0000-0000626A0000}"/>
    <cellStyle name="Porcentual 5 2 2" xfId="21217" xr:uid="{00000000-0005-0000-0000-0000636A0000}"/>
    <cellStyle name="Porcentual 5 3" xfId="16258" xr:uid="{00000000-0005-0000-0000-0000646A0000}"/>
    <cellStyle name="Porcentual 5 3 2" xfId="21218" xr:uid="{00000000-0005-0000-0000-0000656A0000}"/>
    <cellStyle name="Porcentual 5 4" xfId="16259" xr:uid="{00000000-0005-0000-0000-0000666A0000}"/>
    <cellStyle name="Porcentual 5 4 2" xfId="21219" xr:uid="{00000000-0005-0000-0000-0000676A0000}"/>
    <cellStyle name="Porcentual 5 5" xfId="16256" xr:uid="{00000000-0005-0000-0000-0000686A0000}"/>
    <cellStyle name="Porcentual 5 6" xfId="21216" xr:uid="{00000000-0005-0000-0000-0000696A0000}"/>
    <cellStyle name="Porcentual 6" xfId="2540" xr:uid="{00000000-0005-0000-0000-00006A6A0000}"/>
    <cellStyle name="Porcentual 6 2" xfId="16261" xr:uid="{00000000-0005-0000-0000-00006B6A0000}"/>
    <cellStyle name="Porcentual 6 2 2" xfId="21221" xr:uid="{00000000-0005-0000-0000-00006C6A0000}"/>
    <cellStyle name="Porcentual 6 3" xfId="16262" xr:uid="{00000000-0005-0000-0000-00006D6A0000}"/>
    <cellStyle name="Porcentual 6 3 2" xfId="21222" xr:uid="{00000000-0005-0000-0000-00006E6A0000}"/>
    <cellStyle name="Porcentual 6 4" xfId="16263" xr:uid="{00000000-0005-0000-0000-00006F6A0000}"/>
    <cellStyle name="Porcentual 6 4 2" xfId="21223" xr:uid="{00000000-0005-0000-0000-0000706A0000}"/>
    <cellStyle name="Porcentual 6 5" xfId="16260" xr:uid="{00000000-0005-0000-0000-0000716A0000}"/>
    <cellStyle name="Porcentual 6 6" xfId="21220" xr:uid="{00000000-0005-0000-0000-0000726A0000}"/>
    <cellStyle name="Punto" xfId="325" xr:uid="{00000000-0005-0000-0000-0000736A0000}"/>
    <cellStyle name="Punto 2" xfId="16265" xr:uid="{00000000-0005-0000-0000-0000746A0000}"/>
    <cellStyle name="Punto 2 2" xfId="21225" xr:uid="{00000000-0005-0000-0000-0000756A0000}"/>
    <cellStyle name="Punto 3" xfId="16266" xr:uid="{00000000-0005-0000-0000-0000766A0000}"/>
    <cellStyle name="Punto 3 2" xfId="21226" xr:uid="{00000000-0005-0000-0000-0000776A0000}"/>
    <cellStyle name="Punto 4" xfId="16267" xr:uid="{00000000-0005-0000-0000-0000786A0000}"/>
    <cellStyle name="Punto 4 2" xfId="21227" xr:uid="{00000000-0005-0000-0000-0000796A0000}"/>
    <cellStyle name="Punto 5" xfId="16264" xr:uid="{00000000-0005-0000-0000-00007A6A0000}"/>
    <cellStyle name="Punto 6" xfId="21224" xr:uid="{00000000-0005-0000-0000-00007B6A0000}"/>
    <cellStyle name="Punto0" xfId="326" xr:uid="{00000000-0005-0000-0000-00007C6A0000}"/>
    <cellStyle name="Punto0 2" xfId="16269" xr:uid="{00000000-0005-0000-0000-00007D6A0000}"/>
    <cellStyle name="Punto0 2 2" xfId="21229" xr:uid="{00000000-0005-0000-0000-00007E6A0000}"/>
    <cellStyle name="Punto0 3" xfId="16270" xr:uid="{00000000-0005-0000-0000-00007F6A0000}"/>
    <cellStyle name="Punto0 3 2" xfId="21230" xr:uid="{00000000-0005-0000-0000-0000806A0000}"/>
    <cellStyle name="Punto0 4" xfId="16271" xr:uid="{00000000-0005-0000-0000-0000816A0000}"/>
    <cellStyle name="Punto0 4 2" xfId="21231" xr:uid="{00000000-0005-0000-0000-0000826A0000}"/>
    <cellStyle name="Punto0 5" xfId="16268" xr:uid="{00000000-0005-0000-0000-0000836A0000}"/>
    <cellStyle name="Punto0 6" xfId="21228" xr:uid="{00000000-0005-0000-0000-0000846A0000}"/>
    <cellStyle name="Punto1 - Modelo1" xfId="327" xr:uid="{00000000-0005-0000-0000-0000856A0000}"/>
    <cellStyle name="Punto1 - Modelo1 10" xfId="16273" xr:uid="{00000000-0005-0000-0000-0000866A0000}"/>
    <cellStyle name="Punto1 - Modelo1 10 2" xfId="21233" xr:uid="{00000000-0005-0000-0000-0000876A0000}"/>
    <cellStyle name="Punto1 - Modelo1 11" xfId="16272" xr:uid="{00000000-0005-0000-0000-0000886A0000}"/>
    <cellStyle name="Punto1 - Modelo1 12" xfId="21232" xr:uid="{00000000-0005-0000-0000-0000896A0000}"/>
    <cellStyle name="Punto1 - Modelo1 2" xfId="328" xr:uid="{00000000-0005-0000-0000-00008A6A0000}"/>
    <cellStyle name="Punto1 - Modelo1 2 2" xfId="744" xr:uid="{00000000-0005-0000-0000-00008B6A0000}"/>
    <cellStyle name="Punto1 - Modelo1 2 2 2" xfId="3702" xr:uid="{00000000-0005-0000-0000-00008C6A0000}"/>
    <cellStyle name="Punto1 - Modelo1 2 2 2 2" xfId="21236" xr:uid="{00000000-0005-0000-0000-00008D6A0000}"/>
    <cellStyle name="Punto1 - Modelo1 2 2 2 3" xfId="16276" xr:uid="{00000000-0005-0000-0000-00008E6A0000}"/>
    <cellStyle name="Punto1 - Modelo1 2 2 3" xfId="3575" xr:uid="{00000000-0005-0000-0000-00008F6A0000}"/>
    <cellStyle name="Punto1 - Modelo1 2 2 3 2" xfId="21237" xr:uid="{00000000-0005-0000-0000-0000906A0000}"/>
    <cellStyle name="Punto1 - Modelo1 2 2 3 3" xfId="16277" xr:uid="{00000000-0005-0000-0000-0000916A0000}"/>
    <cellStyle name="Punto1 - Modelo1 2 2 4" xfId="16278" xr:uid="{00000000-0005-0000-0000-0000926A0000}"/>
    <cellStyle name="Punto1 - Modelo1 2 2 4 2" xfId="21238" xr:uid="{00000000-0005-0000-0000-0000936A0000}"/>
    <cellStyle name="Punto1 - Modelo1 2 2 5" xfId="21235" xr:uid="{00000000-0005-0000-0000-0000946A0000}"/>
    <cellStyle name="Punto1 - Modelo1 2 2 6" xfId="16275" xr:uid="{00000000-0005-0000-0000-0000956A0000}"/>
    <cellStyle name="Punto1 - Modelo1 2 3" xfId="743" xr:uid="{00000000-0005-0000-0000-0000966A0000}"/>
    <cellStyle name="Punto1 - Modelo1 2 3 2" xfId="21239" xr:uid="{00000000-0005-0000-0000-0000976A0000}"/>
    <cellStyle name="Punto1 - Modelo1 2 3 3" xfId="16279" xr:uid="{00000000-0005-0000-0000-0000986A0000}"/>
    <cellStyle name="Punto1 - Modelo1 2 4" xfId="16280" xr:uid="{00000000-0005-0000-0000-0000996A0000}"/>
    <cellStyle name="Punto1 - Modelo1 2 4 2" xfId="21240" xr:uid="{00000000-0005-0000-0000-00009A6A0000}"/>
    <cellStyle name="Punto1 - Modelo1 2 5" xfId="16281" xr:uid="{00000000-0005-0000-0000-00009B6A0000}"/>
    <cellStyle name="Punto1 - Modelo1 2 5 2" xfId="21241" xr:uid="{00000000-0005-0000-0000-00009C6A0000}"/>
    <cellStyle name="Punto1 - Modelo1 2 6" xfId="16274" xr:uid="{00000000-0005-0000-0000-00009D6A0000}"/>
    <cellStyle name="Punto1 - Modelo1 2 7" xfId="21234" xr:uid="{00000000-0005-0000-0000-00009E6A0000}"/>
    <cellStyle name="Punto1 - Modelo1 3" xfId="329" xr:uid="{00000000-0005-0000-0000-00009F6A0000}"/>
    <cellStyle name="Punto1 - Modelo1 3 2" xfId="746" xr:uid="{00000000-0005-0000-0000-0000A06A0000}"/>
    <cellStyle name="Punto1 - Modelo1 3 2 2" xfId="3703" xr:uid="{00000000-0005-0000-0000-0000A16A0000}"/>
    <cellStyle name="Punto1 - Modelo1 3 2 2 2" xfId="21244" xr:uid="{00000000-0005-0000-0000-0000A26A0000}"/>
    <cellStyle name="Punto1 - Modelo1 3 2 2 3" xfId="16284" xr:uid="{00000000-0005-0000-0000-0000A36A0000}"/>
    <cellStyle name="Punto1 - Modelo1 3 2 3" xfId="3576" xr:uid="{00000000-0005-0000-0000-0000A46A0000}"/>
    <cellStyle name="Punto1 - Modelo1 3 2 3 2" xfId="21245" xr:uid="{00000000-0005-0000-0000-0000A56A0000}"/>
    <cellStyle name="Punto1 - Modelo1 3 2 3 3" xfId="16285" xr:uid="{00000000-0005-0000-0000-0000A66A0000}"/>
    <cellStyle name="Punto1 - Modelo1 3 2 4" xfId="16286" xr:uid="{00000000-0005-0000-0000-0000A76A0000}"/>
    <cellStyle name="Punto1 - Modelo1 3 2 4 2" xfId="21246" xr:uid="{00000000-0005-0000-0000-0000A86A0000}"/>
    <cellStyle name="Punto1 - Modelo1 3 2 5" xfId="21243" xr:uid="{00000000-0005-0000-0000-0000A96A0000}"/>
    <cellStyle name="Punto1 - Modelo1 3 2 6" xfId="16283" xr:uid="{00000000-0005-0000-0000-0000AA6A0000}"/>
    <cellStyle name="Punto1 - Modelo1 3 3" xfId="745" xr:uid="{00000000-0005-0000-0000-0000AB6A0000}"/>
    <cellStyle name="Punto1 - Modelo1 3 3 2" xfId="21247" xr:uid="{00000000-0005-0000-0000-0000AC6A0000}"/>
    <cellStyle name="Punto1 - Modelo1 3 3 3" xfId="16287" xr:uid="{00000000-0005-0000-0000-0000AD6A0000}"/>
    <cellStyle name="Punto1 - Modelo1 3 4" xfId="16288" xr:uid="{00000000-0005-0000-0000-0000AE6A0000}"/>
    <cellStyle name="Punto1 - Modelo1 3 4 2" xfId="21248" xr:uid="{00000000-0005-0000-0000-0000AF6A0000}"/>
    <cellStyle name="Punto1 - Modelo1 3 5" xfId="16289" xr:uid="{00000000-0005-0000-0000-0000B06A0000}"/>
    <cellStyle name="Punto1 - Modelo1 3 5 2" xfId="21249" xr:uid="{00000000-0005-0000-0000-0000B16A0000}"/>
    <cellStyle name="Punto1 - Modelo1 3 6" xfId="16282" xr:uid="{00000000-0005-0000-0000-0000B26A0000}"/>
    <cellStyle name="Punto1 - Modelo1 3 7" xfId="21242" xr:uid="{00000000-0005-0000-0000-0000B36A0000}"/>
    <cellStyle name="Punto1 - Modelo1 4" xfId="330" xr:uid="{00000000-0005-0000-0000-0000B46A0000}"/>
    <cellStyle name="Punto1 - Modelo1 4 2" xfId="748" xr:uid="{00000000-0005-0000-0000-0000B56A0000}"/>
    <cellStyle name="Punto1 - Modelo1 4 2 2" xfId="3704" xr:uid="{00000000-0005-0000-0000-0000B66A0000}"/>
    <cellStyle name="Punto1 - Modelo1 4 2 2 2" xfId="21252" xr:uid="{00000000-0005-0000-0000-0000B76A0000}"/>
    <cellStyle name="Punto1 - Modelo1 4 2 2 3" xfId="16292" xr:uid="{00000000-0005-0000-0000-0000B86A0000}"/>
    <cellStyle name="Punto1 - Modelo1 4 2 3" xfId="3577" xr:uid="{00000000-0005-0000-0000-0000B96A0000}"/>
    <cellStyle name="Punto1 - Modelo1 4 2 3 2" xfId="21253" xr:uid="{00000000-0005-0000-0000-0000BA6A0000}"/>
    <cellStyle name="Punto1 - Modelo1 4 2 3 3" xfId="16293" xr:uid="{00000000-0005-0000-0000-0000BB6A0000}"/>
    <cellStyle name="Punto1 - Modelo1 4 2 4" xfId="16294" xr:uid="{00000000-0005-0000-0000-0000BC6A0000}"/>
    <cellStyle name="Punto1 - Modelo1 4 2 4 2" xfId="21254" xr:uid="{00000000-0005-0000-0000-0000BD6A0000}"/>
    <cellStyle name="Punto1 - Modelo1 4 2 5" xfId="21251" xr:uid="{00000000-0005-0000-0000-0000BE6A0000}"/>
    <cellStyle name="Punto1 - Modelo1 4 2 6" xfId="16291" xr:uid="{00000000-0005-0000-0000-0000BF6A0000}"/>
    <cellStyle name="Punto1 - Modelo1 4 3" xfId="747" xr:uid="{00000000-0005-0000-0000-0000C06A0000}"/>
    <cellStyle name="Punto1 - Modelo1 4 3 2" xfId="21255" xr:uid="{00000000-0005-0000-0000-0000C16A0000}"/>
    <cellStyle name="Punto1 - Modelo1 4 3 3" xfId="16295" xr:uid="{00000000-0005-0000-0000-0000C26A0000}"/>
    <cellStyle name="Punto1 - Modelo1 4 4" xfId="16296" xr:uid="{00000000-0005-0000-0000-0000C36A0000}"/>
    <cellStyle name="Punto1 - Modelo1 4 4 2" xfId="21256" xr:uid="{00000000-0005-0000-0000-0000C46A0000}"/>
    <cellStyle name="Punto1 - Modelo1 4 5" xfId="16297" xr:uid="{00000000-0005-0000-0000-0000C56A0000}"/>
    <cellStyle name="Punto1 - Modelo1 4 5 2" xfId="21257" xr:uid="{00000000-0005-0000-0000-0000C66A0000}"/>
    <cellStyle name="Punto1 - Modelo1 4 6" xfId="16290" xr:uid="{00000000-0005-0000-0000-0000C76A0000}"/>
    <cellStyle name="Punto1 - Modelo1 4 7" xfId="21250" xr:uid="{00000000-0005-0000-0000-0000C86A0000}"/>
    <cellStyle name="Punto1 - Modelo1 5" xfId="331" xr:uid="{00000000-0005-0000-0000-0000C96A0000}"/>
    <cellStyle name="Punto1 - Modelo1 5 2" xfId="750" xr:uid="{00000000-0005-0000-0000-0000CA6A0000}"/>
    <cellStyle name="Punto1 - Modelo1 5 2 2" xfId="3705" xr:uid="{00000000-0005-0000-0000-0000CB6A0000}"/>
    <cellStyle name="Punto1 - Modelo1 5 2 2 2" xfId="21260" xr:uid="{00000000-0005-0000-0000-0000CC6A0000}"/>
    <cellStyle name="Punto1 - Modelo1 5 2 2 3" xfId="16300" xr:uid="{00000000-0005-0000-0000-0000CD6A0000}"/>
    <cellStyle name="Punto1 - Modelo1 5 2 3" xfId="3578" xr:uid="{00000000-0005-0000-0000-0000CE6A0000}"/>
    <cellStyle name="Punto1 - Modelo1 5 2 3 2" xfId="21261" xr:uid="{00000000-0005-0000-0000-0000CF6A0000}"/>
    <cellStyle name="Punto1 - Modelo1 5 2 3 3" xfId="16301" xr:uid="{00000000-0005-0000-0000-0000D06A0000}"/>
    <cellStyle name="Punto1 - Modelo1 5 2 4" xfId="16302" xr:uid="{00000000-0005-0000-0000-0000D16A0000}"/>
    <cellStyle name="Punto1 - Modelo1 5 2 4 2" xfId="21262" xr:uid="{00000000-0005-0000-0000-0000D26A0000}"/>
    <cellStyle name="Punto1 - Modelo1 5 2 5" xfId="21259" xr:uid="{00000000-0005-0000-0000-0000D36A0000}"/>
    <cellStyle name="Punto1 - Modelo1 5 2 6" xfId="16299" xr:uid="{00000000-0005-0000-0000-0000D46A0000}"/>
    <cellStyle name="Punto1 - Modelo1 5 3" xfId="749" xr:uid="{00000000-0005-0000-0000-0000D56A0000}"/>
    <cellStyle name="Punto1 - Modelo1 5 3 2" xfId="21263" xr:uid="{00000000-0005-0000-0000-0000D66A0000}"/>
    <cellStyle name="Punto1 - Modelo1 5 3 3" xfId="16303" xr:uid="{00000000-0005-0000-0000-0000D76A0000}"/>
    <cellStyle name="Punto1 - Modelo1 5 4" xfId="16304" xr:uid="{00000000-0005-0000-0000-0000D86A0000}"/>
    <cellStyle name="Punto1 - Modelo1 5 4 2" xfId="21264" xr:uid="{00000000-0005-0000-0000-0000D96A0000}"/>
    <cellStyle name="Punto1 - Modelo1 5 5" xfId="16305" xr:uid="{00000000-0005-0000-0000-0000DA6A0000}"/>
    <cellStyle name="Punto1 - Modelo1 5 5 2" xfId="21265" xr:uid="{00000000-0005-0000-0000-0000DB6A0000}"/>
    <cellStyle name="Punto1 - Modelo1 5 6" xfId="16298" xr:uid="{00000000-0005-0000-0000-0000DC6A0000}"/>
    <cellStyle name="Punto1 - Modelo1 5 7" xfId="21258" xr:uid="{00000000-0005-0000-0000-0000DD6A0000}"/>
    <cellStyle name="Punto1 - Modelo1 6" xfId="751" xr:uid="{00000000-0005-0000-0000-0000DE6A0000}"/>
    <cellStyle name="Punto1 - Modelo1 6 2" xfId="2542" xr:uid="{00000000-0005-0000-0000-0000DF6A0000}"/>
    <cellStyle name="Punto1 - Modelo1 6 2 2" xfId="16308" xr:uid="{00000000-0005-0000-0000-0000E06A0000}"/>
    <cellStyle name="Punto1 - Modelo1 6 2 2 2" xfId="21268" xr:uid="{00000000-0005-0000-0000-0000E16A0000}"/>
    <cellStyle name="Punto1 - Modelo1 6 2 3" xfId="16309" xr:uid="{00000000-0005-0000-0000-0000E26A0000}"/>
    <cellStyle name="Punto1 - Modelo1 6 2 3 2" xfId="21269" xr:uid="{00000000-0005-0000-0000-0000E36A0000}"/>
    <cellStyle name="Punto1 - Modelo1 6 2 4" xfId="16310" xr:uid="{00000000-0005-0000-0000-0000E46A0000}"/>
    <cellStyle name="Punto1 - Modelo1 6 2 4 2" xfId="21270" xr:uid="{00000000-0005-0000-0000-0000E56A0000}"/>
    <cellStyle name="Punto1 - Modelo1 6 2 5" xfId="16307" xr:uid="{00000000-0005-0000-0000-0000E66A0000}"/>
    <cellStyle name="Punto1 - Modelo1 6 2 6" xfId="21267" xr:uid="{00000000-0005-0000-0000-0000E76A0000}"/>
    <cellStyle name="Punto1 - Modelo1 6 3" xfId="2541" xr:uid="{00000000-0005-0000-0000-0000E86A0000}"/>
    <cellStyle name="Punto1 - Modelo1 6 3 2" xfId="16312" xr:uid="{00000000-0005-0000-0000-0000E96A0000}"/>
    <cellStyle name="Punto1 - Modelo1 6 3 2 2" xfId="21272" xr:uid="{00000000-0005-0000-0000-0000EA6A0000}"/>
    <cellStyle name="Punto1 - Modelo1 6 3 3" xfId="21271" xr:uid="{00000000-0005-0000-0000-0000EB6A0000}"/>
    <cellStyle name="Punto1 - Modelo1 6 3 4" xfId="16311" xr:uid="{00000000-0005-0000-0000-0000EC6A0000}"/>
    <cellStyle name="Punto1 - Modelo1 6 4" xfId="16313" xr:uid="{00000000-0005-0000-0000-0000ED6A0000}"/>
    <cellStyle name="Punto1 - Modelo1 6 4 2" xfId="21273" xr:uid="{00000000-0005-0000-0000-0000EE6A0000}"/>
    <cellStyle name="Punto1 - Modelo1 6 5" xfId="16314" xr:uid="{00000000-0005-0000-0000-0000EF6A0000}"/>
    <cellStyle name="Punto1 - Modelo1 6 5 2" xfId="21274" xr:uid="{00000000-0005-0000-0000-0000F06A0000}"/>
    <cellStyle name="Punto1 - Modelo1 6 6" xfId="16315" xr:uid="{00000000-0005-0000-0000-0000F16A0000}"/>
    <cellStyle name="Punto1 - Modelo1 6 6 2" xfId="21275" xr:uid="{00000000-0005-0000-0000-0000F26A0000}"/>
    <cellStyle name="Punto1 - Modelo1 6 7" xfId="16306" xr:uid="{00000000-0005-0000-0000-0000F36A0000}"/>
    <cellStyle name="Punto1 - Modelo1 6 8" xfId="21266" xr:uid="{00000000-0005-0000-0000-0000F46A0000}"/>
    <cellStyle name="Punto1 - Modelo1 7" xfId="742" xr:uid="{00000000-0005-0000-0000-0000F56A0000}"/>
    <cellStyle name="Punto1 - Modelo1 7 2" xfId="2543" xr:uid="{00000000-0005-0000-0000-0000F66A0000}"/>
    <cellStyle name="Punto1 - Modelo1 7 2 2" xfId="21277" xr:uid="{00000000-0005-0000-0000-0000F76A0000}"/>
    <cellStyle name="Punto1 - Modelo1 7 2 3" xfId="16317" xr:uid="{00000000-0005-0000-0000-0000F86A0000}"/>
    <cellStyle name="Punto1 - Modelo1 7 2 4" xfId="24393" xr:uid="{00000000-0005-0000-0000-0000F96A0000}"/>
    <cellStyle name="Punto1 - Modelo1 7 3" xfId="3701" xr:uid="{00000000-0005-0000-0000-0000FA6A0000}"/>
    <cellStyle name="Punto1 - Modelo1 7 3 2" xfId="16316" xr:uid="{00000000-0005-0000-0000-0000FB6A0000}"/>
    <cellStyle name="Punto1 - Modelo1 7 4" xfId="21276" xr:uid="{00000000-0005-0000-0000-0000FC6A0000}"/>
    <cellStyle name="Punto1 - Modelo1 8" xfId="2759" xr:uid="{00000000-0005-0000-0000-0000FD6A0000}"/>
    <cellStyle name="Punto1 - Modelo1 8 2" xfId="21278" xr:uid="{00000000-0005-0000-0000-0000FE6A0000}"/>
    <cellStyle name="Punto1 - Modelo1 8 3" xfId="16318" xr:uid="{00000000-0005-0000-0000-0000FF6A0000}"/>
    <cellStyle name="Punto1 - Modelo1 8 4" xfId="24394" xr:uid="{00000000-0005-0000-0000-0000006B0000}"/>
    <cellStyle name="Punto1 - Modelo1 9" xfId="16319" xr:uid="{00000000-0005-0000-0000-0000016B0000}"/>
    <cellStyle name="Punto1 - Modelo1 9 2" xfId="21279" xr:uid="{00000000-0005-0000-0000-0000026B0000}"/>
    <cellStyle name="Punto1 - Modelo1_CBase" xfId="3579" xr:uid="{00000000-0005-0000-0000-0000036B0000}"/>
    <cellStyle name="Salida" xfId="332" builtinId="21" customBuiltin="1"/>
    <cellStyle name="Salida 10" xfId="1304" xr:uid="{00000000-0005-0000-0000-0000056B0000}"/>
    <cellStyle name="Salida 10 2" xfId="16320" xr:uid="{00000000-0005-0000-0000-0000066B0000}"/>
    <cellStyle name="Salida 11" xfId="1303" xr:uid="{00000000-0005-0000-0000-0000076B0000}"/>
    <cellStyle name="Salida 11 2" xfId="21280" xr:uid="{00000000-0005-0000-0000-0000086B0000}"/>
    <cellStyle name="Salida 12" xfId="1407" xr:uid="{00000000-0005-0000-0000-0000096B0000}"/>
    <cellStyle name="Salida 13" xfId="4910" xr:uid="{00000000-0005-0000-0000-00000A6B0000}"/>
    <cellStyle name="Salida 2" xfId="753" xr:uid="{00000000-0005-0000-0000-00000B6B0000}"/>
    <cellStyle name="Salida 2 10" xfId="16322" xr:uid="{00000000-0005-0000-0000-00000C6B0000}"/>
    <cellStyle name="Salida 2 10 2" xfId="21282" xr:uid="{00000000-0005-0000-0000-00000D6B0000}"/>
    <cellStyle name="Salida 2 11" xfId="16323" xr:uid="{00000000-0005-0000-0000-00000E6B0000}"/>
    <cellStyle name="Salida 2 11 2" xfId="21283" xr:uid="{00000000-0005-0000-0000-00000F6B0000}"/>
    <cellStyle name="Salida 2 12" xfId="16324" xr:uid="{00000000-0005-0000-0000-0000106B0000}"/>
    <cellStyle name="Salida 2 12 2" xfId="21284" xr:uid="{00000000-0005-0000-0000-0000116B0000}"/>
    <cellStyle name="Salida 2 13" xfId="16325" xr:uid="{00000000-0005-0000-0000-0000126B0000}"/>
    <cellStyle name="Salida 2 13 2" xfId="21285" xr:uid="{00000000-0005-0000-0000-0000136B0000}"/>
    <cellStyle name="Salida 2 14" xfId="16326" xr:uid="{00000000-0005-0000-0000-0000146B0000}"/>
    <cellStyle name="Salida 2 14 2" xfId="21286" xr:uid="{00000000-0005-0000-0000-0000156B0000}"/>
    <cellStyle name="Salida 2 15" xfId="16327" xr:uid="{00000000-0005-0000-0000-0000166B0000}"/>
    <cellStyle name="Salida 2 15 2" xfId="21287" xr:uid="{00000000-0005-0000-0000-0000176B0000}"/>
    <cellStyle name="Salida 2 16" xfId="16328" xr:uid="{00000000-0005-0000-0000-0000186B0000}"/>
    <cellStyle name="Salida 2 16 2" xfId="21288" xr:uid="{00000000-0005-0000-0000-0000196B0000}"/>
    <cellStyle name="Salida 2 17" xfId="16329" xr:uid="{00000000-0005-0000-0000-00001A6B0000}"/>
    <cellStyle name="Salida 2 17 2" xfId="21289" xr:uid="{00000000-0005-0000-0000-00001B6B0000}"/>
    <cellStyle name="Salida 2 18" xfId="16330" xr:uid="{00000000-0005-0000-0000-00001C6B0000}"/>
    <cellStyle name="Salida 2 18 2" xfId="16331" xr:uid="{00000000-0005-0000-0000-00001D6B0000}"/>
    <cellStyle name="Salida 2 18 2 2" xfId="21291" xr:uid="{00000000-0005-0000-0000-00001E6B0000}"/>
    <cellStyle name="Salida 2 18 3" xfId="16332" xr:uid="{00000000-0005-0000-0000-00001F6B0000}"/>
    <cellStyle name="Salida 2 18 3 2" xfId="21292" xr:uid="{00000000-0005-0000-0000-0000206B0000}"/>
    <cellStyle name="Salida 2 18 4" xfId="16333" xr:uid="{00000000-0005-0000-0000-0000216B0000}"/>
    <cellStyle name="Salida 2 18 4 2" xfId="21293" xr:uid="{00000000-0005-0000-0000-0000226B0000}"/>
    <cellStyle name="Salida 2 18 5" xfId="16334" xr:uid="{00000000-0005-0000-0000-0000236B0000}"/>
    <cellStyle name="Salida 2 18 5 2" xfId="21294" xr:uid="{00000000-0005-0000-0000-0000246B0000}"/>
    <cellStyle name="Salida 2 18 6" xfId="21290" xr:uid="{00000000-0005-0000-0000-0000256B0000}"/>
    <cellStyle name="Salida 2 19" xfId="16335" xr:uid="{00000000-0005-0000-0000-0000266B0000}"/>
    <cellStyle name="Salida 2 19 2" xfId="21295" xr:uid="{00000000-0005-0000-0000-0000276B0000}"/>
    <cellStyle name="Salida 2 2" xfId="2544" xr:uid="{00000000-0005-0000-0000-0000286B0000}"/>
    <cellStyle name="Salida 2 2 10" xfId="16337" xr:uid="{00000000-0005-0000-0000-0000296B0000}"/>
    <cellStyle name="Salida 2 2 10 2" xfId="21297" xr:uid="{00000000-0005-0000-0000-00002A6B0000}"/>
    <cellStyle name="Salida 2 2 11" xfId="16338" xr:uid="{00000000-0005-0000-0000-00002B6B0000}"/>
    <cellStyle name="Salida 2 2 11 2" xfId="21298" xr:uid="{00000000-0005-0000-0000-00002C6B0000}"/>
    <cellStyle name="Salida 2 2 12" xfId="16339" xr:uid="{00000000-0005-0000-0000-00002D6B0000}"/>
    <cellStyle name="Salida 2 2 12 2" xfId="21299" xr:uid="{00000000-0005-0000-0000-00002E6B0000}"/>
    <cellStyle name="Salida 2 2 13" xfId="16340" xr:uid="{00000000-0005-0000-0000-00002F6B0000}"/>
    <cellStyle name="Salida 2 2 13 2" xfId="21300" xr:uid="{00000000-0005-0000-0000-0000306B0000}"/>
    <cellStyle name="Salida 2 2 14" xfId="16341" xr:uid="{00000000-0005-0000-0000-0000316B0000}"/>
    <cellStyle name="Salida 2 2 14 2" xfId="21301" xr:uid="{00000000-0005-0000-0000-0000326B0000}"/>
    <cellStyle name="Salida 2 2 15" xfId="16342" xr:uid="{00000000-0005-0000-0000-0000336B0000}"/>
    <cellStyle name="Salida 2 2 15 2" xfId="21302" xr:uid="{00000000-0005-0000-0000-0000346B0000}"/>
    <cellStyle name="Salida 2 2 16" xfId="16336" xr:uid="{00000000-0005-0000-0000-0000356B0000}"/>
    <cellStyle name="Salida 2 2 17" xfId="21296" xr:uid="{00000000-0005-0000-0000-0000366B0000}"/>
    <cellStyle name="Salida 2 2 2" xfId="3580" xr:uid="{00000000-0005-0000-0000-0000376B0000}"/>
    <cellStyle name="Salida 2 2 2 2" xfId="16344" xr:uid="{00000000-0005-0000-0000-0000386B0000}"/>
    <cellStyle name="Salida 2 2 2 2 2" xfId="21304" xr:uid="{00000000-0005-0000-0000-0000396B0000}"/>
    <cellStyle name="Salida 2 2 2 3" xfId="21303" xr:uid="{00000000-0005-0000-0000-00003A6B0000}"/>
    <cellStyle name="Salida 2 2 2 4" xfId="16343" xr:uid="{00000000-0005-0000-0000-00003B6B0000}"/>
    <cellStyle name="Salida 2 2 3" xfId="16345" xr:uid="{00000000-0005-0000-0000-00003C6B0000}"/>
    <cellStyle name="Salida 2 2 3 2" xfId="21305" xr:uid="{00000000-0005-0000-0000-00003D6B0000}"/>
    <cellStyle name="Salida 2 2 3 3" xfId="24395" xr:uid="{00000000-0005-0000-0000-00003E6B0000}"/>
    <cellStyle name="Salida 2 2 4" xfId="16346" xr:uid="{00000000-0005-0000-0000-00003F6B0000}"/>
    <cellStyle name="Salida 2 2 4 2" xfId="21306" xr:uid="{00000000-0005-0000-0000-0000406B0000}"/>
    <cellStyle name="Salida 2 2 4 3" xfId="24396" xr:uid="{00000000-0005-0000-0000-0000416B0000}"/>
    <cellStyle name="Salida 2 2 5" xfId="16347" xr:uid="{00000000-0005-0000-0000-0000426B0000}"/>
    <cellStyle name="Salida 2 2 5 2" xfId="21307" xr:uid="{00000000-0005-0000-0000-0000436B0000}"/>
    <cellStyle name="Salida 2 2 6" xfId="16348" xr:uid="{00000000-0005-0000-0000-0000446B0000}"/>
    <cellStyle name="Salida 2 2 6 2" xfId="21308" xr:uid="{00000000-0005-0000-0000-0000456B0000}"/>
    <cellStyle name="Salida 2 2 7" xfId="16349" xr:uid="{00000000-0005-0000-0000-0000466B0000}"/>
    <cellStyle name="Salida 2 2 7 2" xfId="21309" xr:uid="{00000000-0005-0000-0000-0000476B0000}"/>
    <cellStyle name="Salida 2 2 8" xfId="16350" xr:uid="{00000000-0005-0000-0000-0000486B0000}"/>
    <cellStyle name="Salida 2 2 8 2" xfId="21310" xr:uid="{00000000-0005-0000-0000-0000496B0000}"/>
    <cellStyle name="Salida 2 2 9" xfId="16351" xr:uid="{00000000-0005-0000-0000-00004A6B0000}"/>
    <cellStyle name="Salida 2 2 9 2" xfId="21311" xr:uid="{00000000-0005-0000-0000-00004B6B0000}"/>
    <cellStyle name="Salida 2 20" xfId="16352" xr:uid="{00000000-0005-0000-0000-00004C6B0000}"/>
    <cellStyle name="Salida 2 20 2" xfId="21312" xr:uid="{00000000-0005-0000-0000-00004D6B0000}"/>
    <cellStyle name="Salida 2 21" xfId="16321" xr:uid="{00000000-0005-0000-0000-00004E6B0000}"/>
    <cellStyle name="Salida 2 22" xfId="21281" xr:uid="{00000000-0005-0000-0000-00004F6B0000}"/>
    <cellStyle name="Salida 2 3" xfId="16353" xr:uid="{00000000-0005-0000-0000-0000506B0000}"/>
    <cellStyle name="Salida 2 3 10" xfId="16354" xr:uid="{00000000-0005-0000-0000-0000516B0000}"/>
    <cellStyle name="Salida 2 3 10 2" xfId="21314" xr:uid="{00000000-0005-0000-0000-0000526B0000}"/>
    <cellStyle name="Salida 2 3 11" xfId="16355" xr:uid="{00000000-0005-0000-0000-0000536B0000}"/>
    <cellStyle name="Salida 2 3 11 2" xfId="21315" xr:uid="{00000000-0005-0000-0000-0000546B0000}"/>
    <cellStyle name="Salida 2 3 12" xfId="16356" xr:uid="{00000000-0005-0000-0000-0000556B0000}"/>
    <cellStyle name="Salida 2 3 12 2" xfId="21316" xr:uid="{00000000-0005-0000-0000-0000566B0000}"/>
    <cellStyle name="Salida 2 3 13" xfId="21313" xr:uid="{00000000-0005-0000-0000-0000576B0000}"/>
    <cellStyle name="Salida 2 3 14" xfId="23137" xr:uid="{00000000-0005-0000-0000-0000586B0000}"/>
    <cellStyle name="Salida 2 3 15" xfId="24397" xr:uid="{00000000-0005-0000-0000-0000596B0000}"/>
    <cellStyle name="Salida 2 3 2" xfId="16357" xr:uid="{00000000-0005-0000-0000-00005A6B0000}"/>
    <cellStyle name="Salida 2 3 2 2" xfId="21317" xr:uid="{00000000-0005-0000-0000-00005B6B0000}"/>
    <cellStyle name="Salida 2 3 3" xfId="16358" xr:uid="{00000000-0005-0000-0000-00005C6B0000}"/>
    <cellStyle name="Salida 2 3 3 2" xfId="21318" xr:uid="{00000000-0005-0000-0000-00005D6B0000}"/>
    <cellStyle name="Salida 2 3 4" xfId="16359" xr:uid="{00000000-0005-0000-0000-00005E6B0000}"/>
    <cellStyle name="Salida 2 3 4 2" xfId="21319" xr:uid="{00000000-0005-0000-0000-00005F6B0000}"/>
    <cellStyle name="Salida 2 3 5" xfId="16360" xr:uid="{00000000-0005-0000-0000-0000606B0000}"/>
    <cellStyle name="Salida 2 3 5 2" xfId="21320" xr:uid="{00000000-0005-0000-0000-0000616B0000}"/>
    <cellStyle name="Salida 2 3 6" xfId="16361" xr:uid="{00000000-0005-0000-0000-0000626B0000}"/>
    <cellStyle name="Salida 2 3 6 2" xfId="21321" xr:uid="{00000000-0005-0000-0000-0000636B0000}"/>
    <cellStyle name="Salida 2 3 7" xfId="16362" xr:uid="{00000000-0005-0000-0000-0000646B0000}"/>
    <cellStyle name="Salida 2 3 7 2" xfId="21322" xr:uid="{00000000-0005-0000-0000-0000656B0000}"/>
    <cellStyle name="Salida 2 3 8" xfId="16363" xr:uid="{00000000-0005-0000-0000-0000666B0000}"/>
    <cellStyle name="Salida 2 3 8 2" xfId="21323" xr:uid="{00000000-0005-0000-0000-0000676B0000}"/>
    <cellStyle name="Salida 2 3 9" xfId="16364" xr:uid="{00000000-0005-0000-0000-0000686B0000}"/>
    <cellStyle name="Salida 2 3 9 2" xfId="21324" xr:uid="{00000000-0005-0000-0000-0000696B0000}"/>
    <cellStyle name="Salida 2 4" xfId="16365" xr:uid="{00000000-0005-0000-0000-00006A6B0000}"/>
    <cellStyle name="Salida 2 4 10" xfId="16366" xr:uid="{00000000-0005-0000-0000-00006B6B0000}"/>
    <cellStyle name="Salida 2 4 10 2" xfId="21326" xr:uid="{00000000-0005-0000-0000-00006C6B0000}"/>
    <cellStyle name="Salida 2 4 11" xfId="16367" xr:uid="{00000000-0005-0000-0000-00006D6B0000}"/>
    <cellStyle name="Salida 2 4 11 2" xfId="21327" xr:uid="{00000000-0005-0000-0000-00006E6B0000}"/>
    <cellStyle name="Salida 2 4 12" xfId="21325" xr:uid="{00000000-0005-0000-0000-00006F6B0000}"/>
    <cellStyle name="Salida 2 4 13" xfId="24398" xr:uid="{00000000-0005-0000-0000-0000706B0000}"/>
    <cellStyle name="Salida 2 4 2" xfId="16368" xr:uid="{00000000-0005-0000-0000-0000716B0000}"/>
    <cellStyle name="Salida 2 4 2 2" xfId="21328" xr:uid="{00000000-0005-0000-0000-0000726B0000}"/>
    <cellStyle name="Salida 2 4 3" xfId="16369" xr:uid="{00000000-0005-0000-0000-0000736B0000}"/>
    <cellStyle name="Salida 2 4 3 2" xfId="21329" xr:uid="{00000000-0005-0000-0000-0000746B0000}"/>
    <cellStyle name="Salida 2 4 4" xfId="16370" xr:uid="{00000000-0005-0000-0000-0000756B0000}"/>
    <cellStyle name="Salida 2 4 4 2" xfId="21330" xr:uid="{00000000-0005-0000-0000-0000766B0000}"/>
    <cellStyle name="Salida 2 4 5" xfId="16371" xr:uid="{00000000-0005-0000-0000-0000776B0000}"/>
    <cellStyle name="Salida 2 4 5 2" xfId="21331" xr:uid="{00000000-0005-0000-0000-0000786B0000}"/>
    <cellStyle name="Salida 2 4 6" xfId="16372" xr:uid="{00000000-0005-0000-0000-0000796B0000}"/>
    <cellStyle name="Salida 2 4 6 2" xfId="21332" xr:uid="{00000000-0005-0000-0000-00007A6B0000}"/>
    <cellStyle name="Salida 2 4 7" xfId="16373" xr:uid="{00000000-0005-0000-0000-00007B6B0000}"/>
    <cellStyle name="Salida 2 4 7 2" xfId="21333" xr:uid="{00000000-0005-0000-0000-00007C6B0000}"/>
    <cellStyle name="Salida 2 4 8" xfId="16374" xr:uid="{00000000-0005-0000-0000-00007D6B0000}"/>
    <cellStyle name="Salida 2 4 8 2" xfId="21334" xr:uid="{00000000-0005-0000-0000-00007E6B0000}"/>
    <cellStyle name="Salida 2 4 9" xfId="16375" xr:uid="{00000000-0005-0000-0000-00007F6B0000}"/>
    <cellStyle name="Salida 2 4 9 2" xfId="21335" xr:uid="{00000000-0005-0000-0000-0000806B0000}"/>
    <cellStyle name="Salida 2 5" xfId="16376" xr:uid="{00000000-0005-0000-0000-0000816B0000}"/>
    <cellStyle name="Salida 2 5 10" xfId="16377" xr:uid="{00000000-0005-0000-0000-0000826B0000}"/>
    <cellStyle name="Salida 2 5 10 2" xfId="21337" xr:uid="{00000000-0005-0000-0000-0000836B0000}"/>
    <cellStyle name="Salida 2 5 11" xfId="16378" xr:uid="{00000000-0005-0000-0000-0000846B0000}"/>
    <cellStyle name="Salida 2 5 11 2" xfId="21338" xr:uid="{00000000-0005-0000-0000-0000856B0000}"/>
    <cellStyle name="Salida 2 5 12" xfId="21336" xr:uid="{00000000-0005-0000-0000-0000866B0000}"/>
    <cellStyle name="Salida 2 5 2" xfId="16379" xr:uid="{00000000-0005-0000-0000-0000876B0000}"/>
    <cellStyle name="Salida 2 5 2 2" xfId="21339" xr:uid="{00000000-0005-0000-0000-0000886B0000}"/>
    <cellStyle name="Salida 2 5 3" xfId="16380" xr:uid="{00000000-0005-0000-0000-0000896B0000}"/>
    <cellStyle name="Salida 2 5 3 2" xfId="21340" xr:uid="{00000000-0005-0000-0000-00008A6B0000}"/>
    <cellStyle name="Salida 2 5 4" xfId="16381" xr:uid="{00000000-0005-0000-0000-00008B6B0000}"/>
    <cellStyle name="Salida 2 5 4 2" xfId="21341" xr:uid="{00000000-0005-0000-0000-00008C6B0000}"/>
    <cellStyle name="Salida 2 5 5" xfId="16382" xr:uid="{00000000-0005-0000-0000-00008D6B0000}"/>
    <cellStyle name="Salida 2 5 5 2" xfId="21342" xr:uid="{00000000-0005-0000-0000-00008E6B0000}"/>
    <cellStyle name="Salida 2 5 6" xfId="16383" xr:uid="{00000000-0005-0000-0000-00008F6B0000}"/>
    <cellStyle name="Salida 2 5 6 2" xfId="21343" xr:uid="{00000000-0005-0000-0000-0000906B0000}"/>
    <cellStyle name="Salida 2 5 7" xfId="16384" xr:uid="{00000000-0005-0000-0000-0000916B0000}"/>
    <cellStyle name="Salida 2 5 7 2" xfId="21344" xr:uid="{00000000-0005-0000-0000-0000926B0000}"/>
    <cellStyle name="Salida 2 5 8" xfId="16385" xr:uid="{00000000-0005-0000-0000-0000936B0000}"/>
    <cellStyle name="Salida 2 5 8 2" xfId="21345" xr:uid="{00000000-0005-0000-0000-0000946B0000}"/>
    <cellStyle name="Salida 2 5 9" xfId="16386" xr:uid="{00000000-0005-0000-0000-0000956B0000}"/>
    <cellStyle name="Salida 2 5 9 2" xfId="21346" xr:uid="{00000000-0005-0000-0000-0000966B0000}"/>
    <cellStyle name="Salida 2 6" xfId="16387" xr:uid="{00000000-0005-0000-0000-0000976B0000}"/>
    <cellStyle name="Salida 2 6 10" xfId="16388" xr:uid="{00000000-0005-0000-0000-0000986B0000}"/>
    <cellStyle name="Salida 2 6 10 2" xfId="21348" xr:uid="{00000000-0005-0000-0000-0000996B0000}"/>
    <cellStyle name="Salida 2 6 11" xfId="16389" xr:uid="{00000000-0005-0000-0000-00009A6B0000}"/>
    <cellStyle name="Salida 2 6 11 2" xfId="21349" xr:uid="{00000000-0005-0000-0000-00009B6B0000}"/>
    <cellStyle name="Salida 2 6 12" xfId="21347" xr:uid="{00000000-0005-0000-0000-00009C6B0000}"/>
    <cellStyle name="Salida 2 6 2" xfId="16390" xr:uid="{00000000-0005-0000-0000-00009D6B0000}"/>
    <cellStyle name="Salida 2 6 2 2" xfId="21350" xr:uid="{00000000-0005-0000-0000-00009E6B0000}"/>
    <cellStyle name="Salida 2 6 3" xfId="16391" xr:uid="{00000000-0005-0000-0000-00009F6B0000}"/>
    <cellStyle name="Salida 2 6 3 2" xfId="21351" xr:uid="{00000000-0005-0000-0000-0000A06B0000}"/>
    <cellStyle name="Salida 2 6 4" xfId="16392" xr:uid="{00000000-0005-0000-0000-0000A16B0000}"/>
    <cellStyle name="Salida 2 6 4 2" xfId="21352" xr:uid="{00000000-0005-0000-0000-0000A26B0000}"/>
    <cellStyle name="Salida 2 6 5" xfId="16393" xr:uid="{00000000-0005-0000-0000-0000A36B0000}"/>
    <cellStyle name="Salida 2 6 5 2" xfId="21353" xr:uid="{00000000-0005-0000-0000-0000A46B0000}"/>
    <cellStyle name="Salida 2 6 6" xfId="16394" xr:uid="{00000000-0005-0000-0000-0000A56B0000}"/>
    <cellStyle name="Salida 2 6 6 2" xfId="21354" xr:uid="{00000000-0005-0000-0000-0000A66B0000}"/>
    <cellStyle name="Salida 2 6 7" xfId="16395" xr:uid="{00000000-0005-0000-0000-0000A76B0000}"/>
    <cellStyle name="Salida 2 6 7 2" xfId="21355" xr:uid="{00000000-0005-0000-0000-0000A86B0000}"/>
    <cellStyle name="Salida 2 6 8" xfId="16396" xr:uid="{00000000-0005-0000-0000-0000A96B0000}"/>
    <cellStyle name="Salida 2 6 8 2" xfId="21356" xr:uid="{00000000-0005-0000-0000-0000AA6B0000}"/>
    <cellStyle name="Salida 2 6 9" xfId="16397" xr:uid="{00000000-0005-0000-0000-0000AB6B0000}"/>
    <cellStyle name="Salida 2 6 9 2" xfId="21357" xr:uid="{00000000-0005-0000-0000-0000AC6B0000}"/>
    <cellStyle name="Salida 2 7" xfId="16398" xr:uid="{00000000-0005-0000-0000-0000AD6B0000}"/>
    <cellStyle name="Salida 2 7 10" xfId="16399" xr:uid="{00000000-0005-0000-0000-0000AE6B0000}"/>
    <cellStyle name="Salida 2 7 10 2" xfId="21359" xr:uid="{00000000-0005-0000-0000-0000AF6B0000}"/>
    <cellStyle name="Salida 2 7 11" xfId="16400" xr:uid="{00000000-0005-0000-0000-0000B06B0000}"/>
    <cellStyle name="Salida 2 7 11 2" xfId="21360" xr:uid="{00000000-0005-0000-0000-0000B16B0000}"/>
    <cellStyle name="Salida 2 7 12" xfId="21358" xr:uid="{00000000-0005-0000-0000-0000B26B0000}"/>
    <cellStyle name="Salida 2 7 2" xfId="16401" xr:uid="{00000000-0005-0000-0000-0000B36B0000}"/>
    <cellStyle name="Salida 2 7 2 2" xfId="21361" xr:uid="{00000000-0005-0000-0000-0000B46B0000}"/>
    <cellStyle name="Salida 2 7 3" xfId="16402" xr:uid="{00000000-0005-0000-0000-0000B56B0000}"/>
    <cellStyle name="Salida 2 7 3 2" xfId="21362" xr:uid="{00000000-0005-0000-0000-0000B66B0000}"/>
    <cellStyle name="Salida 2 7 4" xfId="16403" xr:uid="{00000000-0005-0000-0000-0000B76B0000}"/>
    <cellStyle name="Salida 2 7 4 2" xfId="21363" xr:uid="{00000000-0005-0000-0000-0000B86B0000}"/>
    <cellStyle name="Salida 2 7 5" xfId="16404" xr:uid="{00000000-0005-0000-0000-0000B96B0000}"/>
    <cellStyle name="Salida 2 7 5 2" xfId="21364" xr:uid="{00000000-0005-0000-0000-0000BA6B0000}"/>
    <cellStyle name="Salida 2 7 6" xfId="16405" xr:uid="{00000000-0005-0000-0000-0000BB6B0000}"/>
    <cellStyle name="Salida 2 7 6 2" xfId="21365" xr:uid="{00000000-0005-0000-0000-0000BC6B0000}"/>
    <cellStyle name="Salida 2 7 7" xfId="16406" xr:uid="{00000000-0005-0000-0000-0000BD6B0000}"/>
    <cellStyle name="Salida 2 7 7 2" xfId="21366" xr:uid="{00000000-0005-0000-0000-0000BE6B0000}"/>
    <cellStyle name="Salida 2 7 8" xfId="16407" xr:uid="{00000000-0005-0000-0000-0000BF6B0000}"/>
    <cellStyle name="Salida 2 7 8 2" xfId="21367" xr:uid="{00000000-0005-0000-0000-0000C06B0000}"/>
    <cellStyle name="Salida 2 7 9" xfId="16408" xr:uid="{00000000-0005-0000-0000-0000C16B0000}"/>
    <cellStyle name="Salida 2 7 9 2" xfId="21368" xr:uid="{00000000-0005-0000-0000-0000C26B0000}"/>
    <cellStyle name="Salida 2 8" xfId="16409" xr:uid="{00000000-0005-0000-0000-0000C36B0000}"/>
    <cellStyle name="Salida 2 8 2" xfId="21369" xr:uid="{00000000-0005-0000-0000-0000C46B0000}"/>
    <cellStyle name="Salida 2 9" xfId="16410" xr:uid="{00000000-0005-0000-0000-0000C56B0000}"/>
    <cellStyle name="Salida 2 9 2" xfId="21370" xr:uid="{00000000-0005-0000-0000-0000C66B0000}"/>
    <cellStyle name="Salida 3" xfId="752" xr:uid="{00000000-0005-0000-0000-0000C76B0000}"/>
    <cellStyle name="Salida 3 10" xfId="16412" xr:uid="{00000000-0005-0000-0000-0000C86B0000}"/>
    <cellStyle name="Salida 3 10 2" xfId="21372" xr:uid="{00000000-0005-0000-0000-0000C96B0000}"/>
    <cellStyle name="Salida 3 11" xfId="16413" xr:uid="{00000000-0005-0000-0000-0000CA6B0000}"/>
    <cellStyle name="Salida 3 11 2" xfId="21373" xr:uid="{00000000-0005-0000-0000-0000CB6B0000}"/>
    <cellStyle name="Salida 3 12" xfId="16414" xr:uid="{00000000-0005-0000-0000-0000CC6B0000}"/>
    <cellStyle name="Salida 3 12 2" xfId="21374" xr:uid="{00000000-0005-0000-0000-0000CD6B0000}"/>
    <cellStyle name="Salida 3 13" xfId="16415" xr:uid="{00000000-0005-0000-0000-0000CE6B0000}"/>
    <cellStyle name="Salida 3 13 2" xfId="21375" xr:uid="{00000000-0005-0000-0000-0000CF6B0000}"/>
    <cellStyle name="Salida 3 14" xfId="16416" xr:uid="{00000000-0005-0000-0000-0000D06B0000}"/>
    <cellStyle name="Salida 3 14 2" xfId="21376" xr:uid="{00000000-0005-0000-0000-0000D16B0000}"/>
    <cellStyle name="Salida 3 15" xfId="16417" xr:uid="{00000000-0005-0000-0000-0000D26B0000}"/>
    <cellStyle name="Salida 3 15 2" xfId="21377" xr:uid="{00000000-0005-0000-0000-0000D36B0000}"/>
    <cellStyle name="Salida 3 16" xfId="16418" xr:uid="{00000000-0005-0000-0000-0000D46B0000}"/>
    <cellStyle name="Salida 3 16 2" xfId="21378" xr:uid="{00000000-0005-0000-0000-0000D56B0000}"/>
    <cellStyle name="Salida 3 17" xfId="16419" xr:uid="{00000000-0005-0000-0000-0000D66B0000}"/>
    <cellStyle name="Salida 3 17 2" xfId="21379" xr:uid="{00000000-0005-0000-0000-0000D76B0000}"/>
    <cellStyle name="Salida 3 18" xfId="16420" xr:uid="{00000000-0005-0000-0000-0000D86B0000}"/>
    <cellStyle name="Salida 3 18 2" xfId="21380" xr:uid="{00000000-0005-0000-0000-0000D96B0000}"/>
    <cellStyle name="Salida 3 19" xfId="16421" xr:uid="{00000000-0005-0000-0000-0000DA6B0000}"/>
    <cellStyle name="Salida 3 19 2" xfId="16422" xr:uid="{00000000-0005-0000-0000-0000DB6B0000}"/>
    <cellStyle name="Salida 3 19 2 2" xfId="21382" xr:uid="{00000000-0005-0000-0000-0000DC6B0000}"/>
    <cellStyle name="Salida 3 19 3" xfId="16423" xr:uid="{00000000-0005-0000-0000-0000DD6B0000}"/>
    <cellStyle name="Salida 3 19 3 2" xfId="21383" xr:uid="{00000000-0005-0000-0000-0000DE6B0000}"/>
    <cellStyle name="Salida 3 19 4" xfId="16424" xr:uid="{00000000-0005-0000-0000-0000DF6B0000}"/>
    <cellStyle name="Salida 3 19 4 2" xfId="21384" xr:uid="{00000000-0005-0000-0000-0000E06B0000}"/>
    <cellStyle name="Salida 3 19 5" xfId="16425" xr:uid="{00000000-0005-0000-0000-0000E16B0000}"/>
    <cellStyle name="Salida 3 19 5 2" xfId="21385" xr:uid="{00000000-0005-0000-0000-0000E26B0000}"/>
    <cellStyle name="Salida 3 19 6" xfId="21381" xr:uid="{00000000-0005-0000-0000-0000E36B0000}"/>
    <cellStyle name="Salida 3 2" xfId="2545" xr:uid="{00000000-0005-0000-0000-0000E46B0000}"/>
    <cellStyle name="Salida 3 2 10" xfId="16427" xr:uid="{00000000-0005-0000-0000-0000E56B0000}"/>
    <cellStyle name="Salida 3 2 10 2" xfId="21387" xr:uid="{00000000-0005-0000-0000-0000E66B0000}"/>
    <cellStyle name="Salida 3 2 11" xfId="16428" xr:uid="{00000000-0005-0000-0000-0000E76B0000}"/>
    <cellStyle name="Salida 3 2 11 2" xfId="21388" xr:uid="{00000000-0005-0000-0000-0000E86B0000}"/>
    <cellStyle name="Salida 3 2 12" xfId="16429" xr:uid="{00000000-0005-0000-0000-0000E96B0000}"/>
    <cellStyle name="Salida 3 2 12 2" xfId="21389" xr:uid="{00000000-0005-0000-0000-0000EA6B0000}"/>
    <cellStyle name="Salida 3 2 13" xfId="16430" xr:uid="{00000000-0005-0000-0000-0000EB6B0000}"/>
    <cellStyle name="Salida 3 2 13 2" xfId="16431" xr:uid="{00000000-0005-0000-0000-0000EC6B0000}"/>
    <cellStyle name="Salida 3 2 13 2 2" xfId="21391" xr:uid="{00000000-0005-0000-0000-0000ED6B0000}"/>
    <cellStyle name="Salida 3 2 13 3" xfId="16432" xr:uid="{00000000-0005-0000-0000-0000EE6B0000}"/>
    <cellStyle name="Salida 3 2 13 3 2" xfId="21392" xr:uid="{00000000-0005-0000-0000-0000EF6B0000}"/>
    <cellStyle name="Salida 3 2 13 4" xfId="16433" xr:uid="{00000000-0005-0000-0000-0000F06B0000}"/>
    <cellStyle name="Salida 3 2 13 4 2" xfId="21393" xr:uid="{00000000-0005-0000-0000-0000F16B0000}"/>
    <cellStyle name="Salida 3 2 13 5" xfId="16434" xr:uid="{00000000-0005-0000-0000-0000F26B0000}"/>
    <cellStyle name="Salida 3 2 13 5 2" xfId="21394" xr:uid="{00000000-0005-0000-0000-0000F36B0000}"/>
    <cellStyle name="Salida 3 2 13 6" xfId="21390" xr:uid="{00000000-0005-0000-0000-0000F46B0000}"/>
    <cellStyle name="Salida 3 2 14" xfId="16435" xr:uid="{00000000-0005-0000-0000-0000F56B0000}"/>
    <cellStyle name="Salida 3 2 14 2" xfId="21395" xr:uid="{00000000-0005-0000-0000-0000F66B0000}"/>
    <cellStyle name="Salida 3 2 15" xfId="16436" xr:uid="{00000000-0005-0000-0000-0000F76B0000}"/>
    <cellStyle name="Salida 3 2 15 2" xfId="21396" xr:uid="{00000000-0005-0000-0000-0000F86B0000}"/>
    <cellStyle name="Salida 3 2 16" xfId="16426" xr:uid="{00000000-0005-0000-0000-0000F96B0000}"/>
    <cellStyle name="Salida 3 2 17" xfId="21386" xr:uid="{00000000-0005-0000-0000-0000FA6B0000}"/>
    <cellStyle name="Salida 3 2 2" xfId="16437" xr:uid="{00000000-0005-0000-0000-0000FB6B0000}"/>
    <cellStyle name="Salida 3 2 2 2" xfId="21397" xr:uid="{00000000-0005-0000-0000-0000FC6B0000}"/>
    <cellStyle name="Salida 3 2 2 3" xfId="24399" xr:uid="{00000000-0005-0000-0000-0000FD6B0000}"/>
    <cellStyle name="Salida 3 2 3" xfId="16438" xr:uid="{00000000-0005-0000-0000-0000FE6B0000}"/>
    <cellStyle name="Salida 3 2 3 2" xfId="21398" xr:uid="{00000000-0005-0000-0000-0000FF6B0000}"/>
    <cellStyle name="Salida 3 2 3 3" xfId="24400" xr:uid="{00000000-0005-0000-0000-0000006C0000}"/>
    <cellStyle name="Salida 3 2 4" xfId="16439" xr:uid="{00000000-0005-0000-0000-0000016C0000}"/>
    <cellStyle name="Salida 3 2 4 2" xfId="21399" xr:uid="{00000000-0005-0000-0000-0000026C0000}"/>
    <cellStyle name="Salida 3 2 5" xfId="16440" xr:uid="{00000000-0005-0000-0000-0000036C0000}"/>
    <cellStyle name="Salida 3 2 5 2" xfId="21400" xr:uid="{00000000-0005-0000-0000-0000046C0000}"/>
    <cellStyle name="Salida 3 2 6" xfId="16441" xr:uid="{00000000-0005-0000-0000-0000056C0000}"/>
    <cellStyle name="Salida 3 2 6 2" xfId="21401" xr:uid="{00000000-0005-0000-0000-0000066C0000}"/>
    <cellStyle name="Salida 3 2 7" xfId="16442" xr:uid="{00000000-0005-0000-0000-0000076C0000}"/>
    <cellStyle name="Salida 3 2 7 2" xfId="21402" xr:uid="{00000000-0005-0000-0000-0000086C0000}"/>
    <cellStyle name="Salida 3 2 8" xfId="16443" xr:uid="{00000000-0005-0000-0000-0000096C0000}"/>
    <cellStyle name="Salida 3 2 8 2" xfId="21403" xr:uid="{00000000-0005-0000-0000-00000A6C0000}"/>
    <cellStyle name="Salida 3 2 9" xfId="16444" xr:uid="{00000000-0005-0000-0000-00000B6C0000}"/>
    <cellStyle name="Salida 3 2 9 2" xfId="21404" xr:uid="{00000000-0005-0000-0000-00000C6C0000}"/>
    <cellStyle name="Salida 3 20" xfId="16445" xr:uid="{00000000-0005-0000-0000-00000D6C0000}"/>
    <cellStyle name="Salida 3 20 2" xfId="21405" xr:uid="{00000000-0005-0000-0000-00000E6C0000}"/>
    <cellStyle name="Salida 3 21" xfId="16446" xr:uid="{00000000-0005-0000-0000-00000F6C0000}"/>
    <cellStyle name="Salida 3 21 2" xfId="21406" xr:uid="{00000000-0005-0000-0000-0000106C0000}"/>
    <cellStyle name="Salida 3 22" xfId="16411" xr:uid="{00000000-0005-0000-0000-0000116C0000}"/>
    <cellStyle name="Salida 3 23" xfId="21371" xr:uid="{00000000-0005-0000-0000-0000126C0000}"/>
    <cellStyle name="Salida 3 3" xfId="2546" xr:uid="{00000000-0005-0000-0000-0000136C0000}"/>
    <cellStyle name="Salida 3 3 10" xfId="16448" xr:uid="{00000000-0005-0000-0000-0000146C0000}"/>
    <cellStyle name="Salida 3 3 10 2" xfId="21408" xr:uid="{00000000-0005-0000-0000-0000156C0000}"/>
    <cellStyle name="Salida 3 3 11" xfId="16449" xr:uid="{00000000-0005-0000-0000-0000166C0000}"/>
    <cellStyle name="Salida 3 3 11 2" xfId="21409" xr:uid="{00000000-0005-0000-0000-0000176C0000}"/>
    <cellStyle name="Salida 3 3 12" xfId="16450" xr:uid="{00000000-0005-0000-0000-0000186C0000}"/>
    <cellStyle name="Salida 3 3 12 2" xfId="21410" xr:uid="{00000000-0005-0000-0000-0000196C0000}"/>
    <cellStyle name="Salida 3 3 13" xfId="16451" xr:uid="{00000000-0005-0000-0000-00001A6C0000}"/>
    <cellStyle name="Salida 3 3 13 2" xfId="21411" xr:uid="{00000000-0005-0000-0000-00001B6C0000}"/>
    <cellStyle name="Salida 3 3 14" xfId="16447" xr:uid="{00000000-0005-0000-0000-00001C6C0000}"/>
    <cellStyle name="Salida 3 3 15" xfId="21407" xr:uid="{00000000-0005-0000-0000-00001D6C0000}"/>
    <cellStyle name="Salida 3 3 2" xfId="16452" xr:uid="{00000000-0005-0000-0000-00001E6C0000}"/>
    <cellStyle name="Salida 3 3 2 2" xfId="21412" xr:uid="{00000000-0005-0000-0000-00001F6C0000}"/>
    <cellStyle name="Salida 3 3 2 3" xfId="24401" xr:uid="{00000000-0005-0000-0000-0000206C0000}"/>
    <cellStyle name="Salida 3 3 3" xfId="16453" xr:uid="{00000000-0005-0000-0000-0000216C0000}"/>
    <cellStyle name="Salida 3 3 3 2" xfId="21413" xr:uid="{00000000-0005-0000-0000-0000226C0000}"/>
    <cellStyle name="Salida 3 3 3 3" xfId="24402" xr:uid="{00000000-0005-0000-0000-0000236C0000}"/>
    <cellStyle name="Salida 3 3 4" xfId="16454" xr:uid="{00000000-0005-0000-0000-0000246C0000}"/>
    <cellStyle name="Salida 3 3 4 2" xfId="21414" xr:uid="{00000000-0005-0000-0000-0000256C0000}"/>
    <cellStyle name="Salida 3 3 5" xfId="16455" xr:uid="{00000000-0005-0000-0000-0000266C0000}"/>
    <cellStyle name="Salida 3 3 5 2" xfId="21415" xr:uid="{00000000-0005-0000-0000-0000276C0000}"/>
    <cellStyle name="Salida 3 3 6" xfId="16456" xr:uid="{00000000-0005-0000-0000-0000286C0000}"/>
    <cellStyle name="Salida 3 3 6 2" xfId="21416" xr:uid="{00000000-0005-0000-0000-0000296C0000}"/>
    <cellStyle name="Salida 3 3 7" xfId="16457" xr:uid="{00000000-0005-0000-0000-00002A6C0000}"/>
    <cellStyle name="Salida 3 3 7 2" xfId="21417" xr:uid="{00000000-0005-0000-0000-00002B6C0000}"/>
    <cellStyle name="Salida 3 3 8" xfId="16458" xr:uid="{00000000-0005-0000-0000-00002C6C0000}"/>
    <cellStyle name="Salida 3 3 8 2" xfId="21418" xr:uid="{00000000-0005-0000-0000-00002D6C0000}"/>
    <cellStyle name="Salida 3 3 9" xfId="16459" xr:uid="{00000000-0005-0000-0000-00002E6C0000}"/>
    <cellStyle name="Salida 3 3 9 2" xfId="21419" xr:uid="{00000000-0005-0000-0000-00002F6C0000}"/>
    <cellStyle name="Salida 3 4" xfId="16460" xr:uid="{00000000-0005-0000-0000-0000306C0000}"/>
    <cellStyle name="Salida 3 4 10" xfId="16461" xr:uid="{00000000-0005-0000-0000-0000316C0000}"/>
    <cellStyle name="Salida 3 4 10 2" xfId="21421" xr:uid="{00000000-0005-0000-0000-0000326C0000}"/>
    <cellStyle name="Salida 3 4 11" xfId="16462" xr:uid="{00000000-0005-0000-0000-0000336C0000}"/>
    <cellStyle name="Salida 3 4 11 2" xfId="21422" xr:uid="{00000000-0005-0000-0000-0000346C0000}"/>
    <cellStyle name="Salida 3 4 12" xfId="16463" xr:uid="{00000000-0005-0000-0000-0000356C0000}"/>
    <cellStyle name="Salida 3 4 12 2" xfId="21423" xr:uid="{00000000-0005-0000-0000-0000366C0000}"/>
    <cellStyle name="Salida 3 4 13" xfId="21420" xr:uid="{00000000-0005-0000-0000-0000376C0000}"/>
    <cellStyle name="Salida 3 4 14" xfId="24403" xr:uid="{00000000-0005-0000-0000-0000386C0000}"/>
    <cellStyle name="Salida 3 4 2" xfId="16464" xr:uid="{00000000-0005-0000-0000-0000396C0000}"/>
    <cellStyle name="Salida 3 4 2 2" xfId="21424" xr:uid="{00000000-0005-0000-0000-00003A6C0000}"/>
    <cellStyle name="Salida 3 4 3" xfId="16465" xr:uid="{00000000-0005-0000-0000-00003B6C0000}"/>
    <cellStyle name="Salida 3 4 3 2" xfId="21425" xr:uid="{00000000-0005-0000-0000-00003C6C0000}"/>
    <cellStyle name="Salida 3 4 4" xfId="16466" xr:uid="{00000000-0005-0000-0000-00003D6C0000}"/>
    <cellStyle name="Salida 3 4 4 2" xfId="21426" xr:uid="{00000000-0005-0000-0000-00003E6C0000}"/>
    <cellStyle name="Salida 3 4 5" xfId="16467" xr:uid="{00000000-0005-0000-0000-00003F6C0000}"/>
    <cellStyle name="Salida 3 4 5 2" xfId="21427" xr:uid="{00000000-0005-0000-0000-0000406C0000}"/>
    <cellStyle name="Salida 3 4 6" xfId="16468" xr:uid="{00000000-0005-0000-0000-0000416C0000}"/>
    <cellStyle name="Salida 3 4 6 2" xfId="21428" xr:uid="{00000000-0005-0000-0000-0000426C0000}"/>
    <cellStyle name="Salida 3 4 7" xfId="16469" xr:uid="{00000000-0005-0000-0000-0000436C0000}"/>
    <cellStyle name="Salida 3 4 7 2" xfId="21429" xr:uid="{00000000-0005-0000-0000-0000446C0000}"/>
    <cellStyle name="Salida 3 4 8" xfId="16470" xr:uid="{00000000-0005-0000-0000-0000456C0000}"/>
    <cellStyle name="Salida 3 4 8 2" xfId="21430" xr:uid="{00000000-0005-0000-0000-0000466C0000}"/>
    <cellStyle name="Salida 3 4 9" xfId="16471" xr:uid="{00000000-0005-0000-0000-0000476C0000}"/>
    <cellStyle name="Salida 3 4 9 2" xfId="21431" xr:uid="{00000000-0005-0000-0000-0000486C0000}"/>
    <cellStyle name="Salida 3 5" xfId="16472" xr:uid="{00000000-0005-0000-0000-0000496C0000}"/>
    <cellStyle name="Salida 3 5 10" xfId="16473" xr:uid="{00000000-0005-0000-0000-00004A6C0000}"/>
    <cellStyle name="Salida 3 5 10 2" xfId="21433" xr:uid="{00000000-0005-0000-0000-00004B6C0000}"/>
    <cellStyle name="Salida 3 5 11" xfId="16474" xr:uid="{00000000-0005-0000-0000-00004C6C0000}"/>
    <cellStyle name="Salida 3 5 11 2" xfId="21434" xr:uid="{00000000-0005-0000-0000-00004D6C0000}"/>
    <cellStyle name="Salida 3 5 12" xfId="16475" xr:uid="{00000000-0005-0000-0000-00004E6C0000}"/>
    <cellStyle name="Salida 3 5 12 2" xfId="21435" xr:uid="{00000000-0005-0000-0000-00004F6C0000}"/>
    <cellStyle name="Salida 3 5 13" xfId="21432" xr:uid="{00000000-0005-0000-0000-0000506C0000}"/>
    <cellStyle name="Salida 3 5 14" xfId="24404" xr:uid="{00000000-0005-0000-0000-0000516C0000}"/>
    <cellStyle name="Salida 3 5 2" xfId="16476" xr:uid="{00000000-0005-0000-0000-0000526C0000}"/>
    <cellStyle name="Salida 3 5 2 2" xfId="21436" xr:uid="{00000000-0005-0000-0000-0000536C0000}"/>
    <cellStyle name="Salida 3 5 3" xfId="16477" xr:uid="{00000000-0005-0000-0000-0000546C0000}"/>
    <cellStyle name="Salida 3 5 3 2" xfId="21437" xr:uid="{00000000-0005-0000-0000-0000556C0000}"/>
    <cellStyle name="Salida 3 5 4" xfId="16478" xr:uid="{00000000-0005-0000-0000-0000566C0000}"/>
    <cellStyle name="Salida 3 5 4 2" xfId="21438" xr:uid="{00000000-0005-0000-0000-0000576C0000}"/>
    <cellStyle name="Salida 3 5 5" xfId="16479" xr:uid="{00000000-0005-0000-0000-0000586C0000}"/>
    <cellStyle name="Salida 3 5 5 2" xfId="21439" xr:uid="{00000000-0005-0000-0000-0000596C0000}"/>
    <cellStyle name="Salida 3 5 6" xfId="16480" xr:uid="{00000000-0005-0000-0000-00005A6C0000}"/>
    <cellStyle name="Salida 3 5 6 2" xfId="21440" xr:uid="{00000000-0005-0000-0000-00005B6C0000}"/>
    <cellStyle name="Salida 3 5 7" xfId="16481" xr:uid="{00000000-0005-0000-0000-00005C6C0000}"/>
    <cellStyle name="Salida 3 5 7 2" xfId="21441" xr:uid="{00000000-0005-0000-0000-00005D6C0000}"/>
    <cellStyle name="Salida 3 5 8" xfId="16482" xr:uid="{00000000-0005-0000-0000-00005E6C0000}"/>
    <cellStyle name="Salida 3 5 8 2" xfId="21442" xr:uid="{00000000-0005-0000-0000-00005F6C0000}"/>
    <cellStyle name="Salida 3 5 9" xfId="16483" xr:uid="{00000000-0005-0000-0000-0000606C0000}"/>
    <cellStyle name="Salida 3 5 9 2" xfId="21443" xr:uid="{00000000-0005-0000-0000-0000616C0000}"/>
    <cellStyle name="Salida 3 6" xfId="16484" xr:uid="{00000000-0005-0000-0000-0000626C0000}"/>
    <cellStyle name="Salida 3 6 10" xfId="16485" xr:uid="{00000000-0005-0000-0000-0000636C0000}"/>
    <cellStyle name="Salida 3 6 10 2" xfId="21445" xr:uid="{00000000-0005-0000-0000-0000646C0000}"/>
    <cellStyle name="Salida 3 6 11" xfId="16486" xr:uid="{00000000-0005-0000-0000-0000656C0000}"/>
    <cellStyle name="Salida 3 6 11 2" xfId="21446" xr:uid="{00000000-0005-0000-0000-0000666C0000}"/>
    <cellStyle name="Salida 3 6 12" xfId="21444" xr:uid="{00000000-0005-0000-0000-0000676C0000}"/>
    <cellStyle name="Salida 3 6 13" xfId="24405" xr:uid="{00000000-0005-0000-0000-0000686C0000}"/>
    <cellStyle name="Salida 3 6 2" xfId="16487" xr:uid="{00000000-0005-0000-0000-0000696C0000}"/>
    <cellStyle name="Salida 3 6 2 2" xfId="21447" xr:uid="{00000000-0005-0000-0000-00006A6C0000}"/>
    <cellStyle name="Salida 3 6 3" xfId="16488" xr:uid="{00000000-0005-0000-0000-00006B6C0000}"/>
    <cellStyle name="Salida 3 6 3 2" xfId="21448" xr:uid="{00000000-0005-0000-0000-00006C6C0000}"/>
    <cellStyle name="Salida 3 6 4" xfId="16489" xr:uid="{00000000-0005-0000-0000-00006D6C0000}"/>
    <cellStyle name="Salida 3 6 4 2" xfId="21449" xr:uid="{00000000-0005-0000-0000-00006E6C0000}"/>
    <cellStyle name="Salida 3 6 5" xfId="16490" xr:uid="{00000000-0005-0000-0000-00006F6C0000}"/>
    <cellStyle name="Salida 3 6 5 2" xfId="21450" xr:uid="{00000000-0005-0000-0000-0000706C0000}"/>
    <cellStyle name="Salida 3 6 6" xfId="16491" xr:uid="{00000000-0005-0000-0000-0000716C0000}"/>
    <cellStyle name="Salida 3 6 6 2" xfId="21451" xr:uid="{00000000-0005-0000-0000-0000726C0000}"/>
    <cellStyle name="Salida 3 6 7" xfId="16492" xr:uid="{00000000-0005-0000-0000-0000736C0000}"/>
    <cellStyle name="Salida 3 6 7 2" xfId="21452" xr:uid="{00000000-0005-0000-0000-0000746C0000}"/>
    <cellStyle name="Salida 3 6 8" xfId="16493" xr:uid="{00000000-0005-0000-0000-0000756C0000}"/>
    <cellStyle name="Salida 3 6 8 2" xfId="21453" xr:uid="{00000000-0005-0000-0000-0000766C0000}"/>
    <cellStyle name="Salida 3 6 9" xfId="16494" xr:uid="{00000000-0005-0000-0000-0000776C0000}"/>
    <cellStyle name="Salida 3 6 9 2" xfId="21454" xr:uid="{00000000-0005-0000-0000-0000786C0000}"/>
    <cellStyle name="Salida 3 7" xfId="16495" xr:uid="{00000000-0005-0000-0000-0000796C0000}"/>
    <cellStyle name="Salida 3 7 10" xfId="16496" xr:uid="{00000000-0005-0000-0000-00007A6C0000}"/>
    <cellStyle name="Salida 3 7 10 2" xfId="21456" xr:uid="{00000000-0005-0000-0000-00007B6C0000}"/>
    <cellStyle name="Salida 3 7 11" xfId="16497" xr:uid="{00000000-0005-0000-0000-00007C6C0000}"/>
    <cellStyle name="Salida 3 7 11 2" xfId="21457" xr:uid="{00000000-0005-0000-0000-00007D6C0000}"/>
    <cellStyle name="Salida 3 7 12" xfId="21455" xr:uid="{00000000-0005-0000-0000-00007E6C0000}"/>
    <cellStyle name="Salida 3 7 13" xfId="24406" xr:uid="{00000000-0005-0000-0000-00007F6C0000}"/>
    <cellStyle name="Salida 3 7 2" xfId="16498" xr:uid="{00000000-0005-0000-0000-0000806C0000}"/>
    <cellStyle name="Salida 3 7 2 2" xfId="21458" xr:uid="{00000000-0005-0000-0000-0000816C0000}"/>
    <cellStyle name="Salida 3 7 3" xfId="16499" xr:uid="{00000000-0005-0000-0000-0000826C0000}"/>
    <cellStyle name="Salida 3 7 3 2" xfId="21459" xr:uid="{00000000-0005-0000-0000-0000836C0000}"/>
    <cellStyle name="Salida 3 7 4" xfId="16500" xr:uid="{00000000-0005-0000-0000-0000846C0000}"/>
    <cellStyle name="Salida 3 7 4 2" xfId="21460" xr:uid="{00000000-0005-0000-0000-0000856C0000}"/>
    <cellStyle name="Salida 3 7 5" xfId="16501" xr:uid="{00000000-0005-0000-0000-0000866C0000}"/>
    <cellStyle name="Salida 3 7 5 2" xfId="21461" xr:uid="{00000000-0005-0000-0000-0000876C0000}"/>
    <cellStyle name="Salida 3 7 6" xfId="16502" xr:uid="{00000000-0005-0000-0000-0000886C0000}"/>
    <cellStyle name="Salida 3 7 6 2" xfId="21462" xr:uid="{00000000-0005-0000-0000-0000896C0000}"/>
    <cellStyle name="Salida 3 7 7" xfId="16503" xr:uid="{00000000-0005-0000-0000-00008A6C0000}"/>
    <cellStyle name="Salida 3 7 7 2" xfId="21463" xr:uid="{00000000-0005-0000-0000-00008B6C0000}"/>
    <cellStyle name="Salida 3 7 8" xfId="16504" xr:uid="{00000000-0005-0000-0000-00008C6C0000}"/>
    <cellStyle name="Salida 3 7 8 2" xfId="21464" xr:uid="{00000000-0005-0000-0000-00008D6C0000}"/>
    <cellStyle name="Salida 3 7 9" xfId="16505" xr:uid="{00000000-0005-0000-0000-00008E6C0000}"/>
    <cellStyle name="Salida 3 7 9 2" xfId="21465" xr:uid="{00000000-0005-0000-0000-00008F6C0000}"/>
    <cellStyle name="Salida 3 8" xfId="16506" xr:uid="{00000000-0005-0000-0000-0000906C0000}"/>
    <cellStyle name="Salida 3 8 2" xfId="21466" xr:uid="{00000000-0005-0000-0000-0000916C0000}"/>
    <cellStyle name="Salida 3 9" xfId="16507" xr:uid="{00000000-0005-0000-0000-0000926C0000}"/>
    <cellStyle name="Salida 3 9 2" xfId="21467" xr:uid="{00000000-0005-0000-0000-0000936C0000}"/>
    <cellStyle name="Salida 4" xfId="1305" xr:uid="{00000000-0005-0000-0000-0000946C0000}"/>
    <cellStyle name="Salida 4 2" xfId="16509" xr:uid="{00000000-0005-0000-0000-0000956C0000}"/>
    <cellStyle name="Salida 4 2 2" xfId="21469" xr:uid="{00000000-0005-0000-0000-0000966C0000}"/>
    <cellStyle name="Salida 4 2 3" xfId="24407" xr:uid="{00000000-0005-0000-0000-0000976C0000}"/>
    <cellStyle name="Salida 4 3" xfId="16510" xr:uid="{00000000-0005-0000-0000-0000986C0000}"/>
    <cellStyle name="Salida 4 3 2" xfId="21470" xr:uid="{00000000-0005-0000-0000-0000996C0000}"/>
    <cellStyle name="Salida 4 3 3" xfId="24408" xr:uid="{00000000-0005-0000-0000-00009A6C0000}"/>
    <cellStyle name="Salida 4 4" xfId="16511" xr:uid="{00000000-0005-0000-0000-00009B6C0000}"/>
    <cellStyle name="Salida 4 4 2" xfId="21471" xr:uid="{00000000-0005-0000-0000-00009C6C0000}"/>
    <cellStyle name="Salida 4 5" xfId="16512" xr:uid="{00000000-0005-0000-0000-00009D6C0000}"/>
    <cellStyle name="Salida 4 5 2" xfId="21472" xr:uid="{00000000-0005-0000-0000-00009E6C0000}"/>
    <cellStyle name="Salida 4 6" xfId="16513" xr:uid="{00000000-0005-0000-0000-00009F6C0000}"/>
    <cellStyle name="Salida 4 6 2" xfId="21473" xr:uid="{00000000-0005-0000-0000-0000A06C0000}"/>
    <cellStyle name="Salida 4 7" xfId="16508" xr:uid="{00000000-0005-0000-0000-0000A16C0000}"/>
    <cellStyle name="Salida 4 8" xfId="21468" xr:uid="{00000000-0005-0000-0000-0000A26C0000}"/>
    <cellStyle name="Salida 5" xfId="1306" xr:uid="{00000000-0005-0000-0000-0000A36C0000}"/>
    <cellStyle name="Salida 5 2" xfId="2547" xr:uid="{00000000-0005-0000-0000-0000A46C0000}"/>
    <cellStyle name="Salida 5 2 2" xfId="16516" xr:uid="{00000000-0005-0000-0000-0000A56C0000}"/>
    <cellStyle name="Salida 5 2 2 2" xfId="21476" xr:uid="{00000000-0005-0000-0000-0000A66C0000}"/>
    <cellStyle name="Salida 5 2 3" xfId="16517" xr:uid="{00000000-0005-0000-0000-0000A76C0000}"/>
    <cellStyle name="Salida 5 2 3 2" xfId="21477" xr:uid="{00000000-0005-0000-0000-0000A86C0000}"/>
    <cellStyle name="Salida 5 2 4" xfId="16518" xr:uid="{00000000-0005-0000-0000-0000A96C0000}"/>
    <cellStyle name="Salida 5 2 4 2" xfId="21478" xr:uid="{00000000-0005-0000-0000-0000AA6C0000}"/>
    <cellStyle name="Salida 5 2 5" xfId="16519" xr:uid="{00000000-0005-0000-0000-0000AB6C0000}"/>
    <cellStyle name="Salida 5 2 5 2" xfId="21479" xr:uid="{00000000-0005-0000-0000-0000AC6C0000}"/>
    <cellStyle name="Salida 5 2 6" xfId="21475" xr:uid="{00000000-0005-0000-0000-0000AD6C0000}"/>
    <cellStyle name="Salida 5 2 7" xfId="16515" xr:uid="{00000000-0005-0000-0000-0000AE6C0000}"/>
    <cellStyle name="Salida 5 2 8" xfId="24409" xr:uid="{00000000-0005-0000-0000-0000AF6C0000}"/>
    <cellStyle name="Salida 5 3" xfId="3915" xr:uid="{00000000-0005-0000-0000-0000B06C0000}"/>
    <cellStyle name="Salida 5 3 2" xfId="21480" xr:uid="{00000000-0005-0000-0000-0000B16C0000}"/>
    <cellStyle name="Salida 5 3 3" xfId="16520" xr:uid="{00000000-0005-0000-0000-0000B26C0000}"/>
    <cellStyle name="Salida 5 3 4" xfId="24410" xr:uid="{00000000-0005-0000-0000-0000B36C0000}"/>
    <cellStyle name="Salida 5 4" xfId="3581" xr:uid="{00000000-0005-0000-0000-0000B46C0000}"/>
    <cellStyle name="Salida 5 4 2" xfId="21481" xr:uid="{00000000-0005-0000-0000-0000B56C0000}"/>
    <cellStyle name="Salida 5 4 3" xfId="16521" xr:uid="{00000000-0005-0000-0000-0000B66C0000}"/>
    <cellStyle name="Salida 5 5" xfId="16514" xr:uid="{00000000-0005-0000-0000-0000B76C0000}"/>
    <cellStyle name="Salida 5 6" xfId="21474" xr:uid="{00000000-0005-0000-0000-0000B86C0000}"/>
    <cellStyle name="Salida 6" xfId="1307" xr:uid="{00000000-0005-0000-0000-0000B96C0000}"/>
    <cellStyle name="Salida 6 2" xfId="2548" xr:uid="{00000000-0005-0000-0000-0000BA6C0000}"/>
    <cellStyle name="Salida 6 2 2" xfId="21483" xr:uid="{00000000-0005-0000-0000-0000BB6C0000}"/>
    <cellStyle name="Salida 6 2 3" xfId="16523" xr:uid="{00000000-0005-0000-0000-0000BC6C0000}"/>
    <cellStyle name="Salida 6 2 4" xfId="24411" xr:uid="{00000000-0005-0000-0000-0000BD6C0000}"/>
    <cellStyle name="Salida 6 3" xfId="3916" xr:uid="{00000000-0005-0000-0000-0000BE6C0000}"/>
    <cellStyle name="Salida 6 3 2" xfId="16522" xr:uid="{00000000-0005-0000-0000-0000BF6C0000}"/>
    <cellStyle name="Salida 6 3 3" xfId="24412" xr:uid="{00000000-0005-0000-0000-0000C06C0000}"/>
    <cellStyle name="Salida 6 4" xfId="3582" xr:uid="{00000000-0005-0000-0000-0000C16C0000}"/>
    <cellStyle name="Salida 6 4 2" xfId="21482" xr:uid="{00000000-0005-0000-0000-0000C26C0000}"/>
    <cellStyle name="Salida 7" xfId="1308" xr:uid="{00000000-0005-0000-0000-0000C36C0000}"/>
    <cellStyle name="Salida 7 2" xfId="21484" xr:uid="{00000000-0005-0000-0000-0000C46C0000}"/>
    <cellStyle name="Salida 7 3" xfId="16524" xr:uid="{00000000-0005-0000-0000-0000C56C0000}"/>
    <cellStyle name="Salida 8" xfId="1309" xr:uid="{00000000-0005-0000-0000-0000C66C0000}"/>
    <cellStyle name="Salida 8 2" xfId="16526" xr:uid="{00000000-0005-0000-0000-0000C76C0000}"/>
    <cellStyle name="Salida 8 2 2" xfId="21486" xr:uid="{00000000-0005-0000-0000-0000C86C0000}"/>
    <cellStyle name="Salida 8 3" xfId="16527" xr:uid="{00000000-0005-0000-0000-0000C96C0000}"/>
    <cellStyle name="Salida 8 3 2" xfId="21487" xr:uid="{00000000-0005-0000-0000-0000CA6C0000}"/>
    <cellStyle name="Salida 8 4" xfId="16528" xr:uid="{00000000-0005-0000-0000-0000CB6C0000}"/>
    <cellStyle name="Salida 8 4 2" xfId="21488" xr:uid="{00000000-0005-0000-0000-0000CC6C0000}"/>
    <cellStyle name="Salida 8 5" xfId="16529" xr:uid="{00000000-0005-0000-0000-0000CD6C0000}"/>
    <cellStyle name="Salida 8 5 2" xfId="21489" xr:uid="{00000000-0005-0000-0000-0000CE6C0000}"/>
    <cellStyle name="Salida 8 6" xfId="21485" xr:uid="{00000000-0005-0000-0000-0000CF6C0000}"/>
    <cellStyle name="Salida 8 7" xfId="16525" xr:uid="{00000000-0005-0000-0000-0000D06C0000}"/>
    <cellStyle name="Salida 9" xfId="1310" xr:uid="{00000000-0005-0000-0000-0000D16C0000}"/>
    <cellStyle name="Salida 9 2" xfId="21490" xr:uid="{00000000-0005-0000-0000-0000D26C0000}"/>
    <cellStyle name="Salida 9 3" xfId="16530" xr:uid="{00000000-0005-0000-0000-0000D36C0000}"/>
    <cellStyle name="Style 1" xfId="333" xr:uid="{00000000-0005-0000-0000-0000D46C0000}"/>
    <cellStyle name="Style 1 10" xfId="16532" xr:uid="{00000000-0005-0000-0000-0000D56C0000}"/>
    <cellStyle name="Style 1 10 2" xfId="21492" xr:uid="{00000000-0005-0000-0000-0000D66C0000}"/>
    <cellStyle name="Style 1 11" xfId="16533" xr:uid="{00000000-0005-0000-0000-0000D76C0000}"/>
    <cellStyle name="Style 1 11 2" xfId="21493" xr:uid="{00000000-0005-0000-0000-0000D86C0000}"/>
    <cellStyle name="Style 1 12" xfId="16531" xr:uid="{00000000-0005-0000-0000-0000D96C0000}"/>
    <cellStyle name="Style 1 13" xfId="21491" xr:uid="{00000000-0005-0000-0000-0000DA6C0000}"/>
    <cellStyle name="Style 1 2" xfId="334" xr:uid="{00000000-0005-0000-0000-0000DB6C0000}"/>
    <cellStyle name="Style 1 2 2" xfId="420" xr:uid="{00000000-0005-0000-0000-0000DC6C0000}"/>
    <cellStyle name="Style 1 2 2 2" xfId="754" xr:uid="{00000000-0005-0000-0000-0000DD6C0000}"/>
    <cellStyle name="Style 1 2 2 2 2" xfId="21496" xr:uid="{00000000-0005-0000-0000-0000DE6C0000}"/>
    <cellStyle name="Style 1 2 2 2 3" xfId="16536" xr:uid="{00000000-0005-0000-0000-0000DF6C0000}"/>
    <cellStyle name="Style 1 2 2 3" xfId="16537" xr:uid="{00000000-0005-0000-0000-0000E06C0000}"/>
    <cellStyle name="Style 1 2 2 3 2" xfId="21497" xr:uid="{00000000-0005-0000-0000-0000E16C0000}"/>
    <cellStyle name="Style 1 2 2 4" xfId="16538" xr:uid="{00000000-0005-0000-0000-0000E26C0000}"/>
    <cellStyle name="Style 1 2 2 4 2" xfId="21498" xr:uid="{00000000-0005-0000-0000-0000E36C0000}"/>
    <cellStyle name="Style 1 2 2 5" xfId="16535" xr:uid="{00000000-0005-0000-0000-0000E46C0000}"/>
    <cellStyle name="Style 1 2 2 6" xfId="21495" xr:uid="{00000000-0005-0000-0000-0000E56C0000}"/>
    <cellStyle name="Style 1 2 3" xfId="755" xr:uid="{00000000-0005-0000-0000-0000E66C0000}"/>
    <cellStyle name="Style 1 2 3 2" xfId="21499" xr:uid="{00000000-0005-0000-0000-0000E76C0000}"/>
    <cellStyle name="Style 1 2 3 3" xfId="16539" xr:uid="{00000000-0005-0000-0000-0000E86C0000}"/>
    <cellStyle name="Style 1 2 4" xfId="16540" xr:uid="{00000000-0005-0000-0000-0000E96C0000}"/>
    <cellStyle name="Style 1 2 4 2" xfId="21500" xr:uid="{00000000-0005-0000-0000-0000EA6C0000}"/>
    <cellStyle name="Style 1 2 5" xfId="16541" xr:uid="{00000000-0005-0000-0000-0000EB6C0000}"/>
    <cellStyle name="Style 1 2 5 2" xfId="21501" xr:uid="{00000000-0005-0000-0000-0000EC6C0000}"/>
    <cellStyle name="Style 1 2 6" xfId="16534" xr:uid="{00000000-0005-0000-0000-0000ED6C0000}"/>
    <cellStyle name="Style 1 2 7" xfId="21494" xr:uid="{00000000-0005-0000-0000-0000EE6C0000}"/>
    <cellStyle name="Style 1 2_Bdgt Anual" xfId="2549" xr:uid="{00000000-0005-0000-0000-0000EF6C0000}"/>
    <cellStyle name="Style 1 3" xfId="335" xr:uid="{00000000-0005-0000-0000-0000F06C0000}"/>
    <cellStyle name="Style 1 3 2" xfId="421" xr:uid="{00000000-0005-0000-0000-0000F16C0000}"/>
    <cellStyle name="Style 1 3 2 2" xfId="756" xr:uid="{00000000-0005-0000-0000-0000F26C0000}"/>
    <cellStyle name="Style 1 3 2 2 2" xfId="21504" xr:uid="{00000000-0005-0000-0000-0000F36C0000}"/>
    <cellStyle name="Style 1 3 2 2 3" xfId="16544" xr:uid="{00000000-0005-0000-0000-0000F46C0000}"/>
    <cellStyle name="Style 1 3 2 3" xfId="16545" xr:uid="{00000000-0005-0000-0000-0000F56C0000}"/>
    <cellStyle name="Style 1 3 2 3 2" xfId="21505" xr:uid="{00000000-0005-0000-0000-0000F66C0000}"/>
    <cellStyle name="Style 1 3 2 4" xfId="16546" xr:uid="{00000000-0005-0000-0000-0000F76C0000}"/>
    <cellStyle name="Style 1 3 2 4 2" xfId="21506" xr:uid="{00000000-0005-0000-0000-0000F86C0000}"/>
    <cellStyle name="Style 1 3 2 5" xfId="16543" xr:uid="{00000000-0005-0000-0000-0000F96C0000}"/>
    <cellStyle name="Style 1 3 2 6" xfId="21503" xr:uid="{00000000-0005-0000-0000-0000FA6C0000}"/>
    <cellStyle name="Style 1 3 3" xfId="757" xr:uid="{00000000-0005-0000-0000-0000FB6C0000}"/>
    <cellStyle name="Style 1 3 3 2" xfId="21507" xr:uid="{00000000-0005-0000-0000-0000FC6C0000}"/>
    <cellStyle name="Style 1 3 3 3" xfId="16547" xr:uid="{00000000-0005-0000-0000-0000FD6C0000}"/>
    <cellStyle name="Style 1 3 4" xfId="16548" xr:uid="{00000000-0005-0000-0000-0000FE6C0000}"/>
    <cellStyle name="Style 1 3 4 2" xfId="21508" xr:uid="{00000000-0005-0000-0000-0000FF6C0000}"/>
    <cellStyle name="Style 1 3 5" xfId="16549" xr:uid="{00000000-0005-0000-0000-0000006D0000}"/>
    <cellStyle name="Style 1 3 5 2" xfId="21509" xr:uid="{00000000-0005-0000-0000-0000016D0000}"/>
    <cellStyle name="Style 1 3 6" xfId="16542" xr:uid="{00000000-0005-0000-0000-0000026D0000}"/>
    <cellStyle name="Style 1 3 7" xfId="21502" xr:uid="{00000000-0005-0000-0000-0000036D0000}"/>
    <cellStyle name="Style 1 3_Bdgt Anual" xfId="2550" xr:uid="{00000000-0005-0000-0000-0000046D0000}"/>
    <cellStyle name="Style 1 4" xfId="336" xr:uid="{00000000-0005-0000-0000-0000056D0000}"/>
    <cellStyle name="Style 1 4 2" xfId="422" xr:uid="{00000000-0005-0000-0000-0000066D0000}"/>
    <cellStyle name="Style 1 4 2 2" xfId="758" xr:uid="{00000000-0005-0000-0000-0000076D0000}"/>
    <cellStyle name="Style 1 4 2 2 2" xfId="21512" xr:uid="{00000000-0005-0000-0000-0000086D0000}"/>
    <cellStyle name="Style 1 4 2 2 3" xfId="16552" xr:uid="{00000000-0005-0000-0000-0000096D0000}"/>
    <cellStyle name="Style 1 4 2 3" xfId="16553" xr:uid="{00000000-0005-0000-0000-00000A6D0000}"/>
    <cellStyle name="Style 1 4 2 3 2" xfId="21513" xr:uid="{00000000-0005-0000-0000-00000B6D0000}"/>
    <cellStyle name="Style 1 4 2 4" xfId="16554" xr:uid="{00000000-0005-0000-0000-00000C6D0000}"/>
    <cellStyle name="Style 1 4 2 4 2" xfId="21514" xr:uid="{00000000-0005-0000-0000-00000D6D0000}"/>
    <cellStyle name="Style 1 4 2 5" xfId="16551" xr:uid="{00000000-0005-0000-0000-00000E6D0000}"/>
    <cellStyle name="Style 1 4 2 6" xfId="21511" xr:uid="{00000000-0005-0000-0000-00000F6D0000}"/>
    <cellStyle name="Style 1 4 3" xfId="759" xr:uid="{00000000-0005-0000-0000-0000106D0000}"/>
    <cellStyle name="Style 1 4 3 2" xfId="21515" xr:uid="{00000000-0005-0000-0000-0000116D0000}"/>
    <cellStyle name="Style 1 4 3 3" xfId="16555" xr:uid="{00000000-0005-0000-0000-0000126D0000}"/>
    <cellStyle name="Style 1 4 4" xfId="16556" xr:uid="{00000000-0005-0000-0000-0000136D0000}"/>
    <cellStyle name="Style 1 4 4 2" xfId="21516" xr:uid="{00000000-0005-0000-0000-0000146D0000}"/>
    <cellStyle name="Style 1 4 5" xfId="16557" xr:uid="{00000000-0005-0000-0000-0000156D0000}"/>
    <cellStyle name="Style 1 4 5 2" xfId="21517" xr:uid="{00000000-0005-0000-0000-0000166D0000}"/>
    <cellStyle name="Style 1 4 6" xfId="16550" xr:uid="{00000000-0005-0000-0000-0000176D0000}"/>
    <cellStyle name="Style 1 4 7" xfId="21510" xr:uid="{00000000-0005-0000-0000-0000186D0000}"/>
    <cellStyle name="Style 1 4_Bdgt Anual" xfId="2551" xr:uid="{00000000-0005-0000-0000-0000196D0000}"/>
    <cellStyle name="Style 1 5" xfId="337" xr:uid="{00000000-0005-0000-0000-00001A6D0000}"/>
    <cellStyle name="Style 1 5 2" xfId="423" xr:uid="{00000000-0005-0000-0000-00001B6D0000}"/>
    <cellStyle name="Style 1 5 2 2" xfId="760" xr:uid="{00000000-0005-0000-0000-00001C6D0000}"/>
    <cellStyle name="Style 1 5 2 2 2" xfId="21520" xr:uid="{00000000-0005-0000-0000-00001D6D0000}"/>
    <cellStyle name="Style 1 5 2 2 3" xfId="16560" xr:uid="{00000000-0005-0000-0000-00001E6D0000}"/>
    <cellStyle name="Style 1 5 2 3" xfId="16561" xr:uid="{00000000-0005-0000-0000-00001F6D0000}"/>
    <cellStyle name="Style 1 5 2 3 2" xfId="21521" xr:uid="{00000000-0005-0000-0000-0000206D0000}"/>
    <cellStyle name="Style 1 5 2 4" xfId="16562" xr:uid="{00000000-0005-0000-0000-0000216D0000}"/>
    <cellStyle name="Style 1 5 2 4 2" xfId="21522" xr:uid="{00000000-0005-0000-0000-0000226D0000}"/>
    <cellStyle name="Style 1 5 2 5" xfId="16559" xr:uid="{00000000-0005-0000-0000-0000236D0000}"/>
    <cellStyle name="Style 1 5 2 6" xfId="21519" xr:uid="{00000000-0005-0000-0000-0000246D0000}"/>
    <cellStyle name="Style 1 5 3" xfId="761" xr:uid="{00000000-0005-0000-0000-0000256D0000}"/>
    <cellStyle name="Style 1 5 3 2" xfId="21523" xr:uid="{00000000-0005-0000-0000-0000266D0000}"/>
    <cellStyle name="Style 1 5 3 3" xfId="16563" xr:uid="{00000000-0005-0000-0000-0000276D0000}"/>
    <cellStyle name="Style 1 5 4" xfId="16564" xr:uid="{00000000-0005-0000-0000-0000286D0000}"/>
    <cellStyle name="Style 1 5 4 2" xfId="21524" xr:uid="{00000000-0005-0000-0000-0000296D0000}"/>
    <cellStyle name="Style 1 5 5" xfId="16565" xr:uid="{00000000-0005-0000-0000-00002A6D0000}"/>
    <cellStyle name="Style 1 5 5 2" xfId="21525" xr:uid="{00000000-0005-0000-0000-00002B6D0000}"/>
    <cellStyle name="Style 1 5 6" xfId="16558" xr:uid="{00000000-0005-0000-0000-00002C6D0000}"/>
    <cellStyle name="Style 1 5 7" xfId="21518" xr:uid="{00000000-0005-0000-0000-00002D6D0000}"/>
    <cellStyle name="Style 1 5_Bdgt Anual" xfId="2552" xr:uid="{00000000-0005-0000-0000-00002E6D0000}"/>
    <cellStyle name="Style 1 6" xfId="3583" xr:uid="{00000000-0005-0000-0000-00002F6D0000}"/>
    <cellStyle name="Style 1 6 2" xfId="16567" xr:uid="{00000000-0005-0000-0000-0000306D0000}"/>
    <cellStyle name="Style 1 6 2 2" xfId="21527" xr:uid="{00000000-0005-0000-0000-0000316D0000}"/>
    <cellStyle name="Style 1 6 3" xfId="21526" xr:uid="{00000000-0005-0000-0000-0000326D0000}"/>
    <cellStyle name="Style 1 6 4" xfId="16566" xr:uid="{00000000-0005-0000-0000-0000336D0000}"/>
    <cellStyle name="Style 1 7" xfId="3584" xr:uid="{00000000-0005-0000-0000-0000346D0000}"/>
    <cellStyle name="Style 1 7 2" xfId="16569" xr:uid="{00000000-0005-0000-0000-0000356D0000}"/>
    <cellStyle name="Style 1 7 2 2" xfId="21529" xr:uid="{00000000-0005-0000-0000-0000366D0000}"/>
    <cellStyle name="Style 1 7 3" xfId="21528" xr:uid="{00000000-0005-0000-0000-0000376D0000}"/>
    <cellStyle name="Style 1 7 4" xfId="16568" xr:uid="{00000000-0005-0000-0000-0000386D0000}"/>
    <cellStyle name="Style 1 8" xfId="3585" xr:uid="{00000000-0005-0000-0000-0000396D0000}"/>
    <cellStyle name="Style 1 8 2" xfId="16571" xr:uid="{00000000-0005-0000-0000-00003A6D0000}"/>
    <cellStyle name="Style 1 8 2 2" xfId="21531" xr:uid="{00000000-0005-0000-0000-00003B6D0000}"/>
    <cellStyle name="Style 1 8 3" xfId="21530" xr:uid="{00000000-0005-0000-0000-00003C6D0000}"/>
    <cellStyle name="Style 1 8 4" xfId="16570" xr:uid="{00000000-0005-0000-0000-00003D6D0000}"/>
    <cellStyle name="Style 1 9" xfId="16572" xr:uid="{00000000-0005-0000-0000-00003E6D0000}"/>
    <cellStyle name="Style 1 9 2" xfId="21532" xr:uid="{00000000-0005-0000-0000-00003F6D0000}"/>
    <cellStyle name="Style 1_Copia de Plan b07 con modelo de nuevas recuperaciones" xfId="338" xr:uid="{00000000-0005-0000-0000-0000406D0000}"/>
    <cellStyle name="Texto de advertencia" xfId="339" builtinId="11" customBuiltin="1"/>
    <cellStyle name="Texto de advertencia 10" xfId="1311" xr:uid="{00000000-0005-0000-0000-0000426D0000}"/>
    <cellStyle name="Texto de advertencia 10 2" xfId="16573" xr:uid="{00000000-0005-0000-0000-0000436D0000}"/>
    <cellStyle name="Texto de advertencia 11" xfId="1408" xr:uid="{00000000-0005-0000-0000-0000446D0000}"/>
    <cellStyle name="Texto de advertencia 11 2" xfId="21533" xr:uid="{00000000-0005-0000-0000-0000456D0000}"/>
    <cellStyle name="Texto de advertencia 12" xfId="4911" xr:uid="{00000000-0005-0000-0000-0000466D0000}"/>
    <cellStyle name="Texto de advertencia 2" xfId="764" xr:uid="{00000000-0005-0000-0000-0000476D0000}"/>
    <cellStyle name="Texto de advertencia 2 2" xfId="2553" xr:uid="{00000000-0005-0000-0000-0000486D0000}"/>
    <cellStyle name="Texto de advertencia 2 2 2" xfId="3586" xr:uid="{00000000-0005-0000-0000-0000496D0000}"/>
    <cellStyle name="Texto de advertencia 2 2 2 2" xfId="16577" xr:uid="{00000000-0005-0000-0000-00004A6D0000}"/>
    <cellStyle name="Texto de advertencia 2 2 2 2 2" xfId="21537" xr:uid="{00000000-0005-0000-0000-00004B6D0000}"/>
    <cellStyle name="Texto de advertencia 2 2 2 3" xfId="21536" xr:uid="{00000000-0005-0000-0000-00004C6D0000}"/>
    <cellStyle name="Texto de advertencia 2 2 2 4" xfId="16576" xr:uid="{00000000-0005-0000-0000-00004D6D0000}"/>
    <cellStyle name="Texto de advertencia 2 2 3" xfId="16578" xr:uid="{00000000-0005-0000-0000-00004E6D0000}"/>
    <cellStyle name="Texto de advertencia 2 2 3 2" xfId="21538" xr:uid="{00000000-0005-0000-0000-00004F6D0000}"/>
    <cellStyle name="Texto de advertencia 2 2 4" xfId="16579" xr:uid="{00000000-0005-0000-0000-0000506D0000}"/>
    <cellStyle name="Texto de advertencia 2 2 4 2" xfId="21539" xr:uid="{00000000-0005-0000-0000-0000516D0000}"/>
    <cellStyle name="Texto de advertencia 2 2 5" xfId="16575" xr:uid="{00000000-0005-0000-0000-0000526D0000}"/>
    <cellStyle name="Texto de advertencia 2 2 6" xfId="21535" xr:uid="{00000000-0005-0000-0000-0000536D0000}"/>
    <cellStyle name="Texto de advertencia 2 3" xfId="16580" xr:uid="{00000000-0005-0000-0000-0000546D0000}"/>
    <cellStyle name="Texto de advertencia 2 3 2" xfId="21540" xr:uid="{00000000-0005-0000-0000-0000556D0000}"/>
    <cellStyle name="Texto de advertencia 2 3 3" xfId="23138" xr:uid="{00000000-0005-0000-0000-0000566D0000}"/>
    <cellStyle name="Texto de advertencia 2 4" xfId="16581" xr:uid="{00000000-0005-0000-0000-0000576D0000}"/>
    <cellStyle name="Texto de advertencia 2 4 2" xfId="21541" xr:uid="{00000000-0005-0000-0000-0000586D0000}"/>
    <cellStyle name="Texto de advertencia 2 5" xfId="16582" xr:uid="{00000000-0005-0000-0000-0000596D0000}"/>
    <cellStyle name="Texto de advertencia 2 5 2" xfId="21542" xr:uid="{00000000-0005-0000-0000-00005A6D0000}"/>
    <cellStyle name="Texto de advertencia 2 6" xfId="16583" xr:uid="{00000000-0005-0000-0000-00005B6D0000}"/>
    <cellStyle name="Texto de advertencia 2 6 2" xfId="21543" xr:uid="{00000000-0005-0000-0000-00005C6D0000}"/>
    <cellStyle name="Texto de advertencia 2 7" xfId="16584" xr:uid="{00000000-0005-0000-0000-00005D6D0000}"/>
    <cellStyle name="Texto de advertencia 2 7 2" xfId="21544" xr:uid="{00000000-0005-0000-0000-00005E6D0000}"/>
    <cellStyle name="Texto de advertencia 2 8" xfId="16574" xr:uid="{00000000-0005-0000-0000-00005F6D0000}"/>
    <cellStyle name="Texto de advertencia 2 9" xfId="21534" xr:uid="{00000000-0005-0000-0000-0000606D0000}"/>
    <cellStyle name="Texto de advertencia 3" xfId="763" xr:uid="{00000000-0005-0000-0000-0000616D0000}"/>
    <cellStyle name="Texto de advertencia 3 10" xfId="21545" xr:uid="{00000000-0005-0000-0000-0000626D0000}"/>
    <cellStyle name="Texto de advertencia 3 2" xfId="2554" xr:uid="{00000000-0005-0000-0000-0000636D0000}"/>
    <cellStyle name="Texto de advertencia 3 2 2" xfId="16587" xr:uid="{00000000-0005-0000-0000-0000646D0000}"/>
    <cellStyle name="Texto de advertencia 3 2 2 2" xfId="21547" xr:uid="{00000000-0005-0000-0000-0000656D0000}"/>
    <cellStyle name="Texto de advertencia 3 2 3" xfId="16588" xr:uid="{00000000-0005-0000-0000-0000666D0000}"/>
    <cellStyle name="Texto de advertencia 3 2 3 2" xfId="21548" xr:uid="{00000000-0005-0000-0000-0000676D0000}"/>
    <cellStyle name="Texto de advertencia 3 2 4" xfId="16589" xr:uid="{00000000-0005-0000-0000-0000686D0000}"/>
    <cellStyle name="Texto de advertencia 3 2 4 2" xfId="21549" xr:uid="{00000000-0005-0000-0000-0000696D0000}"/>
    <cellStyle name="Texto de advertencia 3 2 5" xfId="16586" xr:uid="{00000000-0005-0000-0000-00006A6D0000}"/>
    <cellStyle name="Texto de advertencia 3 2 6" xfId="21546" xr:uid="{00000000-0005-0000-0000-00006B6D0000}"/>
    <cellStyle name="Texto de advertencia 3 3" xfId="2555" xr:uid="{00000000-0005-0000-0000-00006C6D0000}"/>
    <cellStyle name="Texto de advertencia 3 3 2" xfId="16591" xr:uid="{00000000-0005-0000-0000-00006D6D0000}"/>
    <cellStyle name="Texto de advertencia 3 3 2 2" xfId="21551" xr:uid="{00000000-0005-0000-0000-00006E6D0000}"/>
    <cellStyle name="Texto de advertencia 3 3 3" xfId="16590" xr:uid="{00000000-0005-0000-0000-00006F6D0000}"/>
    <cellStyle name="Texto de advertencia 3 3 4" xfId="21550" xr:uid="{00000000-0005-0000-0000-0000706D0000}"/>
    <cellStyle name="Texto de advertencia 3 4" xfId="16592" xr:uid="{00000000-0005-0000-0000-0000716D0000}"/>
    <cellStyle name="Texto de advertencia 3 4 2" xfId="21552" xr:uid="{00000000-0005-0000-0000-0000726D0000}"/>
    <cellStyle name="Texto de advertencia 3 5" xfId="16593" xr:uid="{00000000-0005-0000-0000-0000736D0000}"/>
    <cellStyle name="Texto de advertencia 3 5 2" xfId="21553" xr:uid="{00000000-0005-0000-0000-0000746D0000}"/>
    <cellStyle name="Texto de advertencia 3 6" xfId="16594" xr:uid="{00000000-0005-0000-0000-0000756D0000}"/>
    <cellStyle name="Texto de advertencia 3 6 2" xfId="21554" xr:uid="{00000000-0005-0000-0000-0000766D0000}"/>
    <cellStyle name="Texto de advertencia 3 7" xfId="16595" xr:uid="{00000000-0005-0000-0000-0000776D0000}"/>
    <cellStyle name="Texto de advertencia 3 7 2" xfId="21555" xr:uid="{00000000-0005-0000-0000-0000786D0000}"/>
    <cellStyle name="Texto de advertencia 3 8" xfId="16596" xr:uid="{00000000-0005-0000-0000-0000796D0000}"/>
    <cellStyle name="Texto de advertencia 3 8 2" xfId="21556" xr:uid="{00000000-0005-0000-0000-00007A6D0000}"/>
    <cellStyle name="Texto de advertencia 3 9" xfId="16585" xr:uid="{00000000-0005-0000-0000-00007B6D0000}"/>
    <cellStyle name="Texto de advertencia 4" xfId="1312" xr:uid="{00000000-0005-0000-0000-00007C6D0000}"/>
    <cellStyle name="Texto de advertencia 4 2" xfId="16598" xr:uid="{00000000-0005-0000-0000-00007D6D0000}"/>
    <cellStyle name="Texto de advertencia 4 2 2" xfId="21558" xr:uid="{00000000-0005-0000-0000-00007E6D0000}"/>
    <cellStyle name="Texto de advertencia 4 3" xfId="16599" xr:uid="{00000000-0005-0000-0000-00007F6D0000}"/>
    <cellStyle name="Texto de advertencia 4 3 2" xfId="21559" xr:uid="{00000000-0005-0000-0000-0000806D0000}"/>
    <cellStyle name="Texto de advertencia 4 4" xfId="16600" xr:uid="{00000000-0005-0000-0000-0000816D0000}"/>
    <cellStyle name="Texto de advertencia 4 4 2" xfId="21560" xr:uid="{00000000-0005-0000-0000-0000826D0000}"/>
    <cellStyle name="Texto de advertencia 4 5" xfId="16597" xr:uid="{00000000-0005-0000-0000-0000836D0000}"/>
    <cellStyle name="Texto de advertencia 4 6" xfId="21557" xr:uid="{00000000-0005-0000-0000-0000846D0000}"/>
    <cellStyle name="Texto de advertencia 5" xfId="1313" xr:uid="{00000000-0005-0000-0000-0000856D0000}"/>
    <cellStyle name="Texto de advertencia 5 2" xfId="2556" xr:uid="{00000000-0005-0000-0000-0000866D0000}"/>
    <cellStyle name="Texto de advertencia 5 2 2" xfId="21562" xr:uid="{00000000-0005-0000-0000-0000876D0000}"/>
    <cellStyle name="Texto de advertencia 5 2 3" xfId="16602" xr:uid="{00000000-0005-0000-0000-0000886D0000}"/>
    <cellStyle name="Texto de advertencia 5 2 4" xfId="24413" xr:uid="{00000000-0005-0000-0000-0000896D0000}"/>
    <cellStyle name="Texto de advertencia 5 3" xfId="3917" xr:uid="{00000000-0005-0000-0000-00008A6D0000}"/>
    <cellStyle name="Texto de advertencia 5 3 2" xfId="21563" xr:uid="{00000000-0005-0000-0000-00008B6D0000}"/>
    <cellStyle name="Texto de advertencia 5 3 3" xfId="16603" xr:uid="{00000000-0005-0000-0000-00008C6D0000}"/>
    <cellStyle name="Texto de advertencia 5 4" xfId="16604" xr:uid="{00000000-0005-0000-0000-00008D6D0000}"/>
    <cellStyle name="Texto de advertencia 5 4 2" xfId="21564" xr:uid="{00000000-0005-0000-0000-00008E6D0000}"/>
    <cellStyle name="Texto de advertencia 5 5" xfId="16601" xr:uid="{00000000-0005-0000-0000-00008F6D0000}"/>
    <cellStyle name="Texto de advertencia 5 6" xfId="21561" xr:uid="{00000000-0005-0000-0000-0000906D0000}"/>
    <cellStyle name="Texto de advertencia 6" xfId="1314" xr:uid="{00000000-0005-0000-0000-0000916D0000}"/>
    <cellStyle name="Texto de advertencia 6 2" xfId="3918" xr:uid="{00000000-0005-0000-0000-0000926D0000}"/>
    <cellStyle name="Texto de advertencia 6 2 2" xfId="21566" xr:uid="{00000000-0005-0000-0000-0000936D0000}"/>
    <cellStyle name="Texto de advertencia 6 2 3" xfId="16606" xr:uid="{00000000-0005-0000-0000-0000946D0000}"/>
    <cellStyle name="Texto de advertencia 6 2 4" xfId="24414" xr:uid="{00000000-0005-0000-0000-0000956D0000}"/>
    <cellStyle name="Texto de advertencia 6 3" xfId="3587" xr:uid="{00000000-0005-0000-0000-0000966D0000}"/>
    <cellStyle name="Texto de advertencia 6 3 2" xfId="21565" xr:uid="{00000000-0005-0000-0000-0000976D0000}"/>
    <cellStyle name="Texto de advertencia 6 4" xfId="16605" xr:uid="{00000000-0005-0000-0000-0000986D0000}"/>
    <cellStyle name="Texto de advertencia 7" xfId="1315" xr:uid="{00000000-0005-0000-0000-0000996D0000}"/>
    <cellStyle name="Texto de advertencia 7 2" xfId="21567" xr:uid="{00000000-0005-0000-0000-00009A6D0000}"/>
    <cellStyle name="Texto de advertencia 7 3" xfId="16607" xr:uid="{00000000-0005-0000-0000-00009B6D0000}"/>
    <cellStyle name="Texto de advertencia 8" xfId="1316" xr:uid="{00000000-0005-0000-0000-00009C6D0000}"/>
    <cellStyle name="Texto de advertencia 8 2" xfId="21568" xr:uid="{00000000-0005-0000-0000-00009D6D0000}"/>
    <cellStyle name="Texto de advertencia 8 3" xfId="16608" xr:uid="{00000000-0005-0000-0000-00009E6D0000}"/>
    <cellStyle name="Texto de advertencia 9" xfId="1317" xr:uid="{00000000-0005-0000-0000-00009F6D0000}"/>
    <cellStyle name="Texto de advertencia 9 2" xfId="21569" xr:uid="{00000000-0005-0000-0000-0000A06D0000}"/>
    <cellStyle name="Texto de advertencia 9 3" xfId="16609" xr:uid="{00000000-0005-0000-0000-0000A16D0000}"/>
    <cellStyle name="Texto explicativo" xfId="340" builtinId="53" customBuiltin="1"/>
    <cellStyle name="Texto explicativo 10" xfId="1319" xr:uid="{00000000-0005-0000-0000-0000A36D0000}"/>
    <cellStyle name="Texto explicativo 10 2" xfId="16610" xr:uid="{00000000-0005-0000-0000-0000A46D0000}"/>
    <cellStyle name="Texto explicativo 11" xfId="1318" xr:uid="{00000000-0005-0000-0000-0000A56D0000}"/>
    <cellStyle name="Texto explicativo 11 2" xfId="21570" xr:uid="{00000000-0005-0000-0000-0000A66D0000}"/>
    <cellStyle name="Texto explicativo 12" xfId="1409" xr:uid="{00000000-0005-0000-0000-0000A76D0000}"/>
    <cellStyle name="Texto explicativo 13" xfId="4912" xr:uid="{00000000-0005-0000-0000-0000A86D0000}"/>
    <cellStyle name="Texto explicativo 2" xfId="766" xr:uid="{00000000-0005-0000-0000-0000A96D0000}"/>
    <cellStyle name="Texto explicativo 2 2" xfId="2557" xr:uid="{00000000-0005-0000-0000-0000AA6D0000}"/>
    <cellStyle name="Texto explicativo 2 2 2" xfId="3588" xr:uid="{00000000-0005-0000-0000-0000AB6D0000}"/>
    <cellStyle name="Texto explicativo 2 2 2 2" xfId="16614" xr:uid="{00000000-0005-0000-0000-0000AC6D0000}"/>
    <cellStyle name="Texto explicativo 2 2 2 2 2" xfId="21574" xr:uid="{00000000-0005-0000-0000-0000AD6D0000}"/>
    <cellStyle name="Texto explicativo 2 2 2 3" xfId="21573" xr:uid="{00000000-0005-0000-0000-0000AE6D0000}"/>
    <cellStyle name="Texto explicativo 2 2 2 4" xfId="16613" xr:uid="{00000000-0005-0000-0000-0000AF6D0000}"/>
    <cellStyle name="Texto explicativo 2 2 3" xfId="16615" xr:uid="{00000000-0005-0000-0000-0000B06D0000}"/>
    <cellStyle name="Texto explicativo 2 2 3 2" xfId="21575" xr:uid="{00000000-0005-0000-0000-0000B16D0000}"/>
    <cellStyle name="Texto explicativo 2 2 4" xfId="16616" xr:uid="{00000000-0005-0000-0000-0000B26D0000}"/>
    <cellStyle name="Texto explicativo 2 2 4 2" xfId="21576" xr:uid="{00000000-0005-0000-0000-0000B36D0000}"/>
    <cellStyle name="Texto explicativo 2 2 5" xfId="16612" xr:uid="{00000000-0005-0000-0000-0000B46D0000}"/>
    <cellStyle name="Texto explicativo 2 2 6" xfId="21572" xr:uid="{00000000-0005-0000-0000-0000B56D0000}"/>
    <cellStyle name="Texto explicativo 2 3" xfId="16617" xr:uid="{00000000-0005-0000-0000-0000B66D0000}"/>
    <cellStyle name="Texto explicativo 2 3 2" xfId="21577" xr:uid="{00000000-0005-0000-0000-0000B76D0000}"/>
    <cellStyle name="Texto explicativo 2 3 3" xfId="23139" xr:uid="{00000000-0005-0000-0000-0000B86D0000}"/>
    <cellStyle name="Texto explicativo 2 4" xfId="16618" xr:uid="{00000000-0005-0000-0000-0000B96D0000}"/>
    <cellStyle name="Texto explicativo 2 4 2" xfId="21578" xr:uid="{00000000-0005-0000-0000-0000BA6D0000}"/>
    <cellStyle name="Texto explicativo 2 5" xfId="16619" xr:uid="{00000000-0005-0000-0000-0000BB6D0000}"/>
    <cellStyle name="Texto explicativo 2 5 2" xfId="21579" xr:uid="{00000000-0005-0000-0000-0000BC6D0000}"/>
    <cellStyle name="Texto explicativo 2 6" xfId="16620" xr:uid="{00000000-0005-0000-0000-0000BD6D0000}"/>
    <cellStyle name="Texto explicativo 2 6 2" xfId="21580" xr:uid="{00000000-0005-0000-0000-0000BE6D0000}"/>
    <cellStyle name="Texto explicativo 2 7" xfId="16621" xr:uid="{00000000-0005-0000-0000-0000BF6D0000}"/>
    <cellStyle name="Texto explicativo 2 7 2" xfId="21581" xr:uid="{00000000-0005-0000-0000-0000C06D0000}"/>
    <cellStyle name="Texto explicativo 2 8" xfId="16611" xr:uid="{00000000-0005-0000-0000-0000C16D0000}"/>
    <cellStyle name="Texto explicativo 2 9" xfId="21571" xr:uid="{00000000-0005-0000-0000-0000C26D0000}"/>
    <cellStyle name="Texto explicativo 3" xfId="765" xr:uid="{00000000-0005-0000-0000-0000C36D0000}"/>
    <cellStyle name="Texto explicativo 3 10" xfId="21582" xr:uid="{00000000-0005-0000-0000-0000C46D0000}"/>
    <cellStyle name="Texto explicativo 3 2" xfId="2558" xr:uid="{00000000-0005-0000-0000-0000C56D0000}"/>
    <cellStyle name="Texto explicativo 3 2 2" xfId="16624" xr:uid="{00000000-0005-0000-0000-0000C66D0000}"/>
    <cellStyle name="Texto explicativo 3 2 2 2" xfId="21584" xr:uid="{00000000-0005-0000-0000-0000C76D0000}"/>
    <cellStyle name="Texto explicativo 3 2 3" xfId="16625" xr:uid="{00000000-0005-0000-0000-0000C86D0000}"/>
    <cellStyle name="Texto explicativo 3 2 3 2" xfId="21585" xr:uid="{00000000-0005-0000-0000-0000C96D0000}"/>
    <cellStyle name="Texto explicativo 3 2 4" xfId="16626" xr:uid="{00000000-0005-0000-0000-0000CA6D0000}"/>
    <cellStyle name="Texto explicativo 3 2 4 2" xfId="21586" xr:uid="{00000000-0005-0000-0000-0000CB6D0000}"/>
    <cellStyle name="Texto explicativo 3 2 5" xfId="16623" xr:uid="{00000000-0005-0000-0000-0000CC6D0000}"/>
    <cellStyle name="Texto explicativo 3 2 6" xfId="21583" xr:uid="{00000000-0005-0000-0000-0000CD6D0000}"/>
    <cellStyle name="Texto explicativo 3 3" xfId="2559" xr:uid="{00000000-0005-0000-0000-0000CE6D0000}"/>
    <cellStyle name="Texto explicativo 3 3 2" xfId="16628" xr:uid="{00000000-0005-0000-0000-0000CF6D0000}"/>
    <cellStyle name="Texto explicativo 3 3 2 2" xfId="21588" xr:uid="{00000000-0005-0000-0000-0000D06D0000}"/>
    <cellStyle name="Texto explicativo 3 3 3" xfId="16627" xr:uid="{00000000-0005-0000-0000-0000D16D0000}"/>
    <cellStyle name="Texto explicativo 3 3 4" xfId="21587" xr:uid="{00000000-0005-0000-0000-0000D26D0000}"/>
    <cellStyle name="Texto explicativo 3 4" xfId="16629" xr:uid="{00000000-0005-0000-0000-0000D36D0000}"/>
    <cellStyle name="Texto explicativo 3 4 2" xfId="21589" xr:uid="{00000000-0005-0000-0000-0000D46D0000}"/>
    <cellStyle name="Texto explicativo 3 5" xfId="16630" xr:uid="{00000000-0005-0000-0000-0000D56D0000}"/>
    <cellStyle name="Texto explicativo 3 5 2" xfId="21590" xr:uid="{00000000-0005-0000-0000-0000D66D0000}"/>
    <cellStyle name="Texto explicativo 3 6" xfId="16631" xr:uid="{00000000-0005-0000-0000-0000D76D0000}"/>
    <cellStyle name="Texto explicativo 3 6 2" xfId="21591" xr:uid="{00000000-0005-0000-0000-0000D86D0000}"/>
    <cellStyle name="Texto explicativo 3 7" xfId="16632" xr:uid="{00000000-0005-0000-0000-0000D96D0000}"/>
    <cellStyle name="Texto explicativo 3 7 2" xfId="21592" xr:uid="{00000000-0005-0000-0000-0000DA6D0000}"/>
    <cellStyle name="Texto explicativo 3 8" xfId="16633" xr:uid="{00000000-0005-0000-0000-0000DB6D0000}"/>
    <cellStyle name="Texto explicativo 3 8 2" xfId="21593" xr:uid="{00000000-0005-0000-0000-0000DC6D0000}"/>
    <cellStyle name="Texto explicativo 3 9" xfId="16622" xr:uid="{00000000-0005-0000-0000-0000DD6D0000}"/>
    <cellStyle name="Texto explicativo 4" xfId="1320" xr:uid="{00000000-0005-0000-0000-0000DE6D0000}"/>
    <cellStyle name="Texto explicativo 4 2" xfId="16635" xr:uid="{00000000-0005-0000-0000-0000DF6D0000}"/>
    <cellStyle name="Texto explicativo 4 2 2" xfId="21595" xr:uid="{00000000-0005-0000-0000-0000E06D0000}"/>
    <cellStyle name="Texto explicativo 4 3" xfId="16636" xr:uid="{00000000-0005-0000-0000-0000E16D0000}"/>
    <cellStyle name="Texto explicativo 4 3 2" xfId="21596" xr:uid="{00000000-0005-0000-0000-0000E26D0000}"/>
    <cellStyle name="Texto explicativo 4 4" xfId="16637" xr:uid="{00000000-0005-0000-0000-0000E36D0000}"/>
    <cellStyle name="Texto explicativo 4 4 2" xfId="21597" xr:uid="{00000000-0005-0000-0000-0000E46D0000}"/>
    <cellStyle name="Texto explicativo 4 5" xfId="16634" xr:uid="{00000000-0005-0000-0000-0000E56D0000}"/>
    <cellStyle name="Texto explicativo 4 6" xfId="21594" xr:uid="{00000000-0005-0000-0000-0000E66D0000}"/>
    <cellStyle name="Texto explicativo 5" xfId="1321" xr:uid="{00000000-0005-0000-0000-0000E76D0000}"/>
    <cellStyle name="Texto explicativo 5 2" xfId="2560" xr:uid="{00000000-0005-0000-0000-0000E86D0000}"/>
    <cellStyle name="Texto explicativo 5 2 2" xfId="21599" xr:uid="{00000000-0005-0000-0000-0000E96D0000}"/>
    <cellStyle name="Texto explicativo 5 2 3" xfId="16639" xr:uid="{00000000-0005-0000-0000-0000EA6D0000}"/>
    <cellStyle name="Texto explicativo 5 2 4" xfId="24415" xr:uid="{00000000-0005-0000-0000-0000EB6D0000}"/>
    <cellStyle name="Texto explicativo 5 3" xfId="3919" xr:uid="{00000000-0005-0000-0000-0000EC6D0000}"/>
    <cellStyle name="Texto explicativo 5 3 2" xfId="21600" xr:uid="{00000000-0005-0000-0000-0000ED6D0000}"/>
    <cellStyle name="Texto explicativo 5 3 3" xfId="16640" xr:uid="{00000000-0005-0000-0000-0000EE6D0000}"/>
    <cellStyle name="Texto explicativo 5 4" xfId="16641" xr:uid="{00000000-0005-0000-0000-0000EF6D0000}"/>
    <cellStyle name="Texto explicativo 5 4 2" xfId="21601" xr:uid="{00000000-0005-0000-0000-0000F06D0000}"/>
    <cellStyle name="Texto explicativo 5 5" xfId="16638" xr:uid="{00000000-0005-0000-0000-0000F16D0000}"/>
    <cellStyle name="Texto explicativo 5 6" xfId="21598" xr:uid="{00000000-0005-0000-0000-0000F26D0000}"/>
    <cellStyle name="Texto explicativo 6" xfId="1322" xr:uid="{00000000-0005-0000-0000-0000F36D0000}"/>
    <cellStyle name="Texto explicativo 6 2" xfId="3920" xr:uid="{00000000-0005-0000-0000-0000F46D0000}"/>
    <cellStyle name="Texto explicativo 6 2 2" xfId="21603" xr:uid="{00000000-0005-0000-0000-0000F56D0000}"/>
    <cellStyle name="Texto explicativo 6 2 3" xfId="16643" xr:uid="{00000000-0005-0000-0000-0000F66D0000}"/>
    <cellStyle name="Texto explicativo 6 2 4" xfId="24416" xr:uid="{00000000-0005-0000-0000-0000F76D0000}"/>
    <cellStyle name="Texto explicativo 6 3" xfId="3589" xr:uid="{00000000-0005-0000-0000-0000F86D0000}"/>
    <cellStyle name="Texto explicativo 6 3 2" xfId="21602" xr:uid="{00000000-0005-0000-0000-0000F96D0000}"/>
    <cellStyle name="Texto explicativo 6 4" xfId="16642" xr:uid="{00000000-0005-0000-0000-0000FA6D0000}"/>
    <cellStyle name="Texto explicativo 7" xfId="1323" xr:uid="{00000000-0005-0000-0000-0000FB6D0000}"/>
    <cellStyle name="Texto explicativo 7 2" xfId="21604" xr:uid="{00000000-0005-0000-0000-0000FC6D0000}"/>
    <cellStyle name="Texto explicativo 7 3" xfId="16644" xr:uid="{00000000-0005-0000-0000-0000FD6D0000}"/>
    <cellStyle name="Texto explicativo 8" xfId="1324" xr:uid="{00000000-0005-0000-0000-0000FE6D0000}"/>
    <cellStyle name="Texto explicativo 8 2" xfId="21605" xr:uid="{00000000-0005-0000-0000-0000FF6D0000}"/>
    <cellStyle name="Texto explicativo 8 3" xfId="16645" xr:uid="{00000000-0005-0000-0000-0000006E0000}"/>
    <cellStyle name="Texto explicativo 9" xfId="1325" xr:uid="{00000000-0005-0000-0000-0000016E0000}"/>
    <cellStyle name="Texto explicativo 9 2" xfId="21606" xr:uid="{00000000-0005-0000-0000-0000026E0000}"/>
    <cellStyle name="Texto explicativo 9 3" xfId="16646" xr:uid="{00000000-0005-0000-0000-0000036E0000}"/>
    <cellStyle name="Title" xfId="341" xr:uid="{00000000-0005-0000-0000-0000046E0000}"/>
    <cellStyle name="Title 10" xfId="16647" xr:uid="{00000000-0005-0000-0000-0000056E0000}"/>
    <cellStyle name="Title 11" xfId="21607" xr:uid="{00000000-0005-0000-0000-0000066E0000}"/>
    <cellStyle name="Title 2" xfId="342" xr:uid="{00000000-0005-0000-0000-0000076E0000}"/>
    <cellStyle name="Title 2 2" xfId="769" xr:uid="{00000000-0005-0000-0000-0000086E0000}"/>
    <cellStyle name="Title 2 2 2" xfId="3707" xr:uid="{00000000-0005-0000-0000-0000096E0000}"/>
    <cellStyle name="Title 2 2 2 2" xfId="21610" xr:uid="{00000000-0005-0000-0000-00000A6E0000}"/>
    <cellStyle name="Title 2 2 2 3" xfId="16650" xr:uid="{00000000-0005-0000-0000-00000B6E0000}"/>
    <cellStyle name="Title 2 2 3" xfId="3590" xr:uid="{00000000-0005-0000-0000-00000C6E0000}"/>
    <cellStyle name="Title 2 2 3 2" xfId="21611" xr:uid="{00000000-0005-0000-0000-00000D6E0000}"/>
    <cellStyle name="Title 2 2 3 3" xfId="16651" xr:uid="{00000000-0005-0000-0000-00000E6E0000}"/>
    <cellStyle name="Title 2 2 4" xfId="16652" xr:uid="{00000000-0005-0000-0000-00000F6E0000}"/>
    <cellStyle name="Title 2 2 4 2" xfId="21612" xr:uid="{00000000-0005-0000-0000-0000106E0000}"/>
    <cellStyle name="Title 2 2 5" xfId="21609" xr:uid="{00000000-0005-0000-0000-0000116E0000}"/>
    <cellStyle name="Title 2 2 6" xfId="16649" xr:uid="{00000000-0005-0000-0000-0000126E0000}"/>
    <cellStyle name="Title 2 3" xfId="768" xr:uid="{00000000-0005-0000-0000-0000136E0000}"/>
    <cellStyle name="Title 2 3 2" xfId="21613" xr:uid="{00000000-0005-0000-0000-0000146E0000}"/>
    <cellStyle name="Title 2 3 3" xfId="16653" xr:uid="{00000000-0005-0000-0000-0000156E0000}"/>
    <cellStyle name="Title 2 4" xfId="16654" xr:uid="{00000000-0005-0000-0000-0000166E0000}"/>
    <cellStyle name="Title 2 4 2" xfId="21614" xr:uid="{00000000-0005-0000-0000-0000176E0000}"/>
    <cellStyle name="Title 2 5" xfId="16655" xr:uid="{00000000-0005-0000-0000-0000186E0000}"/>
    <cellStyle name="Title 2 5 2" xfId="21615" xr:uid="{00000000-0005-0000-0000-0000196E0000}"/>
    <cellStyle name="Title 2 6" xfId="16656" xr:uid="{00000000-0005-0000-0000-00001A6E0000}"/>
    <cellStyle name="Title 2 6 2" xfId="21616" xr:uid="{00000000-0005-0000-0000-00001B6E0000}"/>
    <cellStyle name="Title 2 7" xfId="16648" xr:uid="{00000000-0005-0000-0000-00001C6E0000}"/>
    <cellStyle name="Title 2 8" xfId="21608" xr:uid="{00000000-0005-0000-0000-00001D6E0000}"/>
    <cellStyle name="Title 3" xfId="770" xr:uid="{00000000-0005-0000-0000-00001E6E0000}"/>
    <cellStyle name="Title 3 2" xfId="2562" xr:uid="{00000000-0005-0000-0000-00001F6E0000}"/>
    <cellStyle name="Title 3 2 2" xfId="16659" xr:uid="{00000000-0005-0000-0000-0000206E0000}"/>
    <cellStyle name="Title 3 2 2 2" xfId="21619" xr:uid="{00000000-0005-0000-0000-0000216E0000}"/>
    <cellStyle name="Title 3 2 3" xfId="16658" xr:uid="{00000000-0005-0000-0000-0000226E0000}"/>
    <cellStyle name="Title 3 2 4" xfId="21618" xr:uid="{00000000-0005-0000-0000-0000236E0000}"/>
    <cellStyle name="Title 3 3" xfId="2563" xr:uid="{00000000-0005-0000-0000-0000246E0000}"/>
    <cellStyle name="Title 3 3 2" xfId="16661" xr:uid="{00000000-0005-0000-0000-0000256E0000}"/>
    <cellStyle name="Title 3 3 2 2" xfId="21621" xr:uid="{00000000-0005-0000-0000-0000266E0000}"/>
    <cellStyle name="Title 3 3 3" xfId="16660" xr:uid="{00000000-0005-0000-0000-0000276E0000}"/>
    <cellStyle name="Title 3 3 4" xfId="21620" xr:uid="{00000000-0005-0000-0000-0000286E0000}"/>
    <cellStyle name="Title 3 4" xfId="2561" xr:uid="{00000000-0005-0000-0000-0000296E0000}"/>
    <cellStyle name="Title 3 4 2" xfId="21622" xr:uid="{00000000-0005-0000-0000-00002A6E0000}"/>
    <cellStyle name="Title 3 4 3" xfId="16662" xr:uid="{00000000-0005-0000-0000-00002B6E0000}"/>
    <cellStyle name="Title 3 5" xfId="16663" xr:uid="{00000000-0005-0000-0000-00002C6E0000}"/>
    <cellStyle name="Title 3 5 2" xfId="21623" xr:uid="{00000000-0005-0000-0000-00002D6E0000}"/>
    <cellStyle name="Title 3 6" xfId="16664" xr:uid="{00000000-0005-0000-0000-00002E6E0000}"/>
    <cellStyle name="Title 3 6 2" xfId="21624" xr:uid="{00000000-0005-0000-0000-00002F6E0000}"/>
    <cellStyle name="Title 3 7" xfId="16657" xr:uid="{00000000-0005-0000-0000-0000306E0000}"/>
    <cellStyle name="Title 3 8" xfId="21617" xr:uid="{00000000-0005-0000-0000-0000316E0000}"/>
    <cellStyle name="Title 4" xfId="767" xr:uid="{00000000-0005-0000-0000-0000326E0000}"/>
    <cellStyle name="Title 4 2" xfId="16666" xr:uid="{00000000-0005-0000-0000-0000336E0000}"/>
    <cellStyle name="Title 4 2 2" xfId="21626" xr:uid="{00000000-0005-0000-0000-0000346E0000}"/>
    <cellStyle name="Title 4 2 3" xfId="24417" xr:uid="{00000000-0005-0000-0000-0000356E0000}"/>
    <cellStyle name="Title 4 3" xfId="16665" xr:uid="{00000000-0005-0000-0000-0000366E0000}"/>
    <cellStyle name="Title 4 3 2" xfId="24418" xr:uid="{00000000-0005-0000-0000-0000376E0000}"/>
    <cellStyle name="Title 4 4" xfId="21625" xr:uid="{00000000-0005-0000-0000-0000386E0000}"/>
    <cellStyle name="Title 5" xfId="2564" xr:uid="{00000000-0005-0000-0000-0000396E0000}"/>
    <cellStyle name="Title 5 2" xfId="16668" xr:uid="{00000000-0005-0000-0000-00003A6E0000}"/>
    <cellStyle name="Title 5 2 2" xfId="21628" xr:uid="{00000000-0005-0000-0000-00003B6E0000}"/>
    <cellStyle name="Title 5 3" xfId="16667" xr:uid="{00000000-0005-0000-0000-00003C6E0000}"/>
    <cellStyle name="Title 5 4" xfId="21627" xr:uid="{00000000-0005-0000-0000-00003D6E0000}"/>
    <cellStyle name="Title 6" xfId="16669" xr:uid="{00000000-0005-0000-0000-00003E6E0000}"/>
    <cellStyle name="Title 6 2" xfId="21629" xr:uid="{00000000-0005-0000-0000-00003F6E0000}"/>
    <cellStyle name="Title 7" xfId="16670" xr:uid="{00000000-0005-0000-0000-0000406E0000}"/>
    <cellStyle name="Title 7 2" xfId="21630" xr:uid="{00000000-0005-0000-0000-0000416E0000}"/>
    <cellStyle name="Title 8" xfId="16671" xr:uid="{00000000-0005-0000-0000-0000426E0000}"/>
    <cellStyle name="Title 8 2" xfId="21631" xr:uid="{00000000-0005-0000-0000-0000436E0000}"/>
    <cellStyle name="Title 9" xfId="16672" xr:uid="{00000000-0005-0000-0000-0000446E0000}"/>
    <cellStyle name="Title 9 2" xfId="21632" xr:uid="{00000000-0005-0000-0000-0000456E0000}"/>
    <cellStyle name="Title_Proy. Mes" xfId="343" xr:uid="{00000000-0005-0000-0000-0000466E0000}"/>
    <cellStyle name="Título" xfId="344" builtinId="15" customBuiltin="1"/>
    <cellStyle name="Título 1 10" xfId="1328" xr:uid="{00000000-0005-0000-0000-0000486E0000}"/>
    <cellStyle name="Título 1 10 2" xfId="16674" xr:uid="{00000000-0005-0000-0000-0000496E0000}"/>
    <cellStyle name="Título 1 11" xfId="1327" xr:uid="{00000000-0005-0000-0000-00004A6E0000}"/>
    <cellStyle name="Título 1 11 2" xfId="21634" xr:uid="{00000000-0005-0000-0000-00004B6E0000}"/>
    <cellStyle name="Título 1 12" xfId="1411" xr:uid="{00000000-0005-0000-0000-00004C6E0000}"/>
    <cellStyle name="Título 1 13" xfId="4914" xr:uid="{00000000-0005-0000-0000-00004D6E0000}"/>
    <cellStyle name="Título 1 2" xfId="773" xr:uid="{00000000-0005-0000-0000-00004E6E0000}"/>
    <cellStyle name="Título 1 2 2" xfId="2565" xr:uid="{00000000-0005-0000-0000-00004F6E0000}"/>
    <cellStyle name="Título 1 2 2 2" xfId="3591" xr:uid="{00000000-0005-0000-0000-0000506E0000}"/>
    <cellStyle name="Título 1 2 2 2 2" xfId="16678" xr:uid="{00000000-0005-0000-0000-0000516E0000}"/>
    <cellStyle name="Título 1 2 2 2 2 2" xfId="21638" xr:uid="{00000000-0005-0000-0000-0000526E0000}"/>
    <cellStyle name="Título 1 2 2 2 3" xfId="21637" xr:uid="{00000000-0005-0000-0000-0000536E0000}"/>
    <cellStyle name="Título 1 2 2 2 4" xfId="16677" xr:uid="{00000000-0005-0000-0000-0000546E0000}"/>
    <cellStyle name="Título 1 2 2 3" xfId="16679" xr:uid="{00000000-0005-0000-0000-0000556E0000}"/>
    <cellStyle name="Título 1 2 2 3 2" xfId="21639" xr:uid="{00000000-0005-0000-0000-0000566E0000}"/>
    <cellStyle name="Título 1 2 2 4" xfId="16680" xr:uid="{00000000-0005-0000-0000-0000576E0000}"/>
    <cellStyle name="Título 1 2 2 4 2" xfId="21640" xr:uid="{00000000-0005-0000-0000-0000586E0000}"/>
    <cellStyle name="Título 1 2 2 5" xfId="16676" xr:uid="{00000000-0005-0000-0000-0000596E0000}"/>
    <cellStyle name="Título 1 2 2 6" xfId="21636" xr:uid="{00000000-0005-0000-0000-00005A6E0000}"/>
    <cellStyle name="Título 1 2 3" xfId="16681" xr:uid="{00000000-0005-0000-0000-00005B6E0000}"/>
    <cellStyle name="Título 1 2 3 2" xfId="21641" xr:uid="{00000000-0005-0000-0000-00005C6E0000}"/>
    <cellStyle name="Título 1 2 3 3" xfId="23141" xr:uid="{00000000-0005-0000-0000-00005D6E0000}"/>
    <cellStyle name="Título 1 2 4" xfId="16682" xr:uid="{00000000-0005-0000-0000-00005E6E0000}"/>
    <cellStyle name="Título 1 2 4 2" xfId="21642" xr:uid="{00000000-0005-0000-0000-00005F6E0000}"/>
    <cellStyle name="Título 1 2 5" xfId="16683" xr:uid="{00000000-0005-0000-0000-0000606E0000}"/>
    <cellStyle name="Título 1 2 5 2" xfId="21643" xr:uid="{00000000-0005-0000-0000-0000616E0000}"/>
    <cellStyle name="Título 1 2 6" xfId="16684" xr:uid="{00000000-0005-0000-0000-0000626E0000}"/>
    <cellStyle name="Título 1 2 6 2" xfId="21644" xr:uid="{00000000-0005-0000-0000-0000636E0000}"/>
    <cellStyle name="Título 1 2 7" xfId="16685" xr:uid="{00000000-0005-0000-0000-0000646E0000}"/>
    <cellStyle name="Título 1 2 7 2" xfId="21645" xr:uid="{00000000-0005-0000-0000-0000656E0000}"/>
    <cellStyle name="Título 1 2 8" xfId="16675" xr:uid="{00000000-0005-0000-0000-0000666E0000}"/>
    <cellStyle name="Título 1 2 9" xfId="21635" xr:uid="{00000000-0005-0000-0000-0000676E0000}"/>
    <cellStyle name="Título 1 3" xfId="772" xr:uid="{00000000-0005-0000-0000-0000686E0000}"/>
    <cellStyle name="Título 1 3 10" xfId="16686" xr:uid="{00000000-0005-0000-0000-0000696E0000}"/>
    <cellStyle name="Título 1 3 11" xfId="21646" xr:uid="{00000000-0005-0000-0000-00006A6E0000}"/>
    <cellStyle name="Título 1 3 2" xfId="2566" xr:uid="{00000000-0005-0000-0000-00006B6E0000}"/>
    <cellStyle name="Título 1 3 2 2" xfId="16688" xr:uid="{00000000-0005-0000-0000-00006C6E0000}"/>
    <cellStyle name="Título 1 3 2 2 2" xfId="21648" xr:uid="{00000000-0005-0000-0000-00006D6E0000}"/>
    <cellStyle name="Título 1 3 2 3" xfId="16689" xr:uid="{00000000-0005-0000-0000-00006E6E0000}"/>
    <cellStyle name="Título 1 3 2 3 2" xfId="21649" xr:uid="{00000000-0005-0000-0000-00006F6E0000}"/>
    <cellStyle name="Título 1 3 2 4" xfId="16690" xr:uid="{00000000-0005-0000-0000-0000706E0000}"/>
    <cellStyle name="Título 1 3 2 4 2" xfId="21650" xr:uid="{00000000-0005-0000-0000-0000716E0000}"/>
    <cellStyle name="Título 1 3 2 5" xfId="16687" xr:uid="{00000000-0005-0000-0000-0000726E0000}"/>
    <cellStyle name="Título 1 3 2 6" xfId="21647" xr:uid="{00000000-0005-0000-0000-0000736E0000}"/>
    <cellStyle name="Título 1 3 3" xfId="2567" xr:uid="{00000000-0005-0000-0000-0000746E0000}"/>
    <cellStyle name="Título 1 3 3 2" xfId="16692" xr:uid="{00000000-0005-0000-0000-0000756E0000}"/>
    <cellStyle name="Título 1 3 3 2 2" xfId="21652" xr:uid="{00000000-0005-0000-0000-0000766E0000}"/>
    <cellStyle name="Título 1 3 3 3" xfId="16691" xr:uid="{00000000-0005-0000-0000-0000776E0000}"/>
    <cellStyle name="Título 1 3 3 4" xfId="21651" xr:uid="{00000000-0005-0000-0000-0000786E0000}"/>
    <cellStyle name="Título 1 3 4" xfId="16693" xr:uid="{00000000-0005-0000-0000-0000796E0000}"/>
    <cellStyle name="Título 1 3 4 2" xfId="21653" xr:uid="{00000000-0005-0000-0000-00007A6E0000}"/>
    <cellStyle name="Título 1 3 4 3" xfId="24419" xr:uid="{00000000-0005-0000-0000-00007B6E0000}"/>
    <cellStyle name="Título 1 3 5" xfId="16694" xr:uid="{00000000-0005-0000-0000-00007C6E0000}"/>
    <cellStyle name="Título 1 3 5 2" xfId="21654" xr:uid="{00000000-0005-0000-0000-00007D6E0000}"/>
    <cellStyle name="Título 1 3 5 3" xfId="24420" xr:uid="{00000000-0005-0000-0000-00007E6E0000}"/>
    <cellStyle name="Título 1 3 6" xfId="16695" xr:uid="{00000000-0005-0000-0000-00007F6E0000}"/>
    <cellStyle name="Título 1 3 6 2" xfId="21655" xr:uid="{00000000-0005-0000-0000-0000806E0000}"/>
    <cellStyle name="Título 1 3 7" xfId="16696" xr:uid="{00000000-0005-0000-0000-0000816E0000}"/>
    <cellStyle name="Título 1 3 7 2" xfId="21656" xr:uid="{00000000-0005-0000-0000-0000826E0000}"/>
    <cellStyle name="Título 1 3 8" xfId="16697" xr:uid="{00000000-0005-0000-0000-0000836E0000}"/>
    <cellStyle name="Título 1 3 8 2" xfId="21657" xr:uid="{00000000-0005-0000-0000-0000846E0000}"/>
    <cellStyle name="Título 1 3 9" xfId="16698" xr:uid="{00000000-0005-0000-0000-0000856E0000}"/>
    <cellStyle name="Título 1 3 9 2" xfId="21658" xr:uid="{00000000-0005-0000-0000-0000866E0000}"/>
    <cellStyle name="Título 1 4" xfId="1329" xr:uid="{00000000-0005-0000-0000-0000876E0000}"/>
    <cellStyle name="Título 1 4 2" xfId="2568" xr:uid="{00000000-0005-0000-0000-0000886E0000}"/>
    <cellStyle name="Título 1 4 2 2" xfId="16701" xr:uid="{00000000-0005-0000-0000-0000896E0000}"/>
    <cellStyle name="Título 1 4 2 2 2" xfId="21661" xr:uid="{00000000-0005-0000-0000-00008A6E0000}"/>
    <cellStyle name="Título 1 4 2 3" xfId="16700" xr:uid="{00000000-0005-0000-0000-00008B6E0000}"/>
    <cellStyle name="Título 1 4 2 4" xfId="21660" xr:uid="{00000000-0005-0000-0000-00008C6E0000}"/>
    <cellStyle name="Título 1 4 3" xfId="16702" xr:uid="{00000000-0005-0000-0000-00008D6E0000}"/>
    <cellStyle name="Título 1 4 3 2" xfId="21662" xr:uid="{00000000-0005-0000-0000-00008E6E0000}"/>
    <cellStyle name="Título 1 4 4" xfId="16703" xr:uid="{00000000-0005-0000-0000-00008F6E0000}"/>
    <cellStyle name="Título 1 4 4 2" xfId="21663" xr:uid="{00000000-0005-0000-0000-0000906E0000}"/>
    <cellStyle name="Título 1 4 5" xfId="16704" xr:uid="{00000000-0005-0000-0000-0000916E0000}"/>
    <cellStyle name="Título 1 4 5 2" xfId="21664" xr:uid="{00000000-0005-0000-0000-0000926E0000}"/>
    <cellStyle name="Título 1 4 6" xfId="16705" xr:uid="{00000000-0005-0000-0000-0000936E0000}"/>
    <cellStyle name="Título 1 4 6 2" xfId="21665" xr:uid="{00000000-0005-0000-0000-0000946E0000}"/>
    <cellStyle name="Título 1 4 7" xfId="16706" xr:uid="{00000000-0005-0000-0000-0000956E0000}"/>
    <cellStyle name="Título 1 4 7 2" xfId="21666" xr:uid="{00000000-0005-0000-0000-0000966E0000}"/>
    <cellStyle name="Título 1 4 8" xfId="16699" xr:uid="{00000000-0005-0000-0000-0000976E0000}"/>
    <cellStyle name="Título 1 4 9" xfId="21659" xr:uid="{00000000-0005-0000-0000-0000986E0000}"/>
    <cellStyle name="Título 1 5" xfId="1330" xr:uid="{00000000-0005-0000-0000-0000996E0000}"/>
    <cellStyle name="Título 1 5 2" xfId="16708" xr:uid="{00000000-0005-0000-0000-00009A6E0000}"/>
    <cellStyle name="Título 1 5 2 2" xfId="21668" xr:uid="{00000000-0005-0000-0000-00009B6E0000}"/>
    <cellStyle name="Título 1 5 3" xfId="16709" xr:uid="{00000000-0005-0000-0000-00009C6E0000}"/>
    <cellStyle name="Título 1 5 3 2" xfId="21669" xr:uid="{00000000-0005-0000-0000-00009D6E0000}"/>
    <cellStyle name="Título 1 5 4" xfId="16710" xr:uid="{00000000-0005-0000-0000-00009E6E0000}"/>
    <cellStyle name="Título 1 5 4 2" xfId="21670" xr:uid="{00000000-0005-0000-0000-00009F6E0000}"/>
    <cellStyle name="Título 1 5 5" xfId="16707" xr:uid="{00000000-0005-0000-0000-0000A06E0000}"/>
    <cellStyle name="Título 1 5 6" xfId="21667" xr:uid="{00000000-0005-0000-0000-0000A16E0000}"/>
    <cellStyle name="Título 1 6" xfId="1331" xr:uid="{00000000-0005-0000-0000-0000A26E0000}"/>
    <cellStyle name="Título 1 6 2" xfId="2569" xr:uid="{00000000-0005-0000-0000-0000A36E0000}"/>
    <cellStyle name="Título 1 6 2 2" xfId="21672" xr:uid="{00000000-0005-0000-0000-0000A46E0000}"/>
    <cellStyle name="Título 1 6 2 3" xfId="16712" xr:uid="{00000000-0005-0000-0000-0000A56E0000}"/>
    <cellStyle name="Título 1 6 2 4" xfId="24421" xr:uid="{00000000-0005-0000-0000-0000A66E0000}"/>
    <cellStyle name="Título 1 6 3" xfId="3921" xr:uid="{00000000-0005-0000-0000-0000A76E0000}"/>
    <cellStyle name="Título 1 6 3 2" xfId="21673" xr:uid="{00000000-0005-0000-0000-0000A86E0000}"/>
    <cellStyle name="Título 1 6 3 3" xfId="16713" xr:uid="{00000000-0005-0000-0000-0000A96E0000}"/>
    <cellStyle name="Título 1 6 3 4" xfId="24422" xr:uid="{00000000-0005-0000-0000-0000AA6E0000}"/>
    <cellStyle name="Título 1 6 4" xfId="3592" xr:uid="{00000000-0005-0000-0000-0000AB6E0000}"/>
    <cellStyle name="Título 1 6 4 2" xfId="21674" xr:uid="{00000000-0005-0000-0000-0000AC6E0000}"/>
    <cellStyle name="Título 1 6 4 3" xfId="16714" xr:uid="{00000000-0005-0000-0000-0000AD6E0000}"/>
    <cellStyle name="Título 1 6 5" xfId="16711" xr:uid="{00000000-0005-0000-0000-0000AE6E0000}"/>
    <cellStyle name="Título 1 6 6" xfId="21671" xr:uid="{00000000-0005-0000-0000-0000AF6E0000}"/>
    <cellStyle name="Título 1 7" xfId="1332" xr:uid="{00000000-0005-0000-0000-0000B06E0000}"/>
    <cellStyle name="Título 1 7 2" xfId="3922" xr:uid="{00000000-0005-0000-0000-0000B16E0000}"/>
    <cellStyle name="Título 1 7 2 2" xfId="21676" xr:uid="{00000000-0005-0000-0000-0000B26E0000}"/>
    <cellStyle name="Título 1 7 2 3" xfId="16716" xr:uid="{00000000-0005-0000-0000-0000B36E0000}"/>
    <cellStyle name="Título 1 7 2 4" xfId="24423" xr:uid="{00000000-0005-0000-0000-0000B46E0000}"/>
    <cellStyle name="Título 1 7 3" xfId="3593" xr:uid="{00000000-0005-0000-0000-0000B56E0000}"/>
    <cellStyle name="Título 1 7 3 2" xfId="21675" xr:uid="{00000000-0005-0000-0000-0000B66E0000}"/>
    <cellStyle name="Título 1 7 4" xfId="16715" xr:uid="{00000000-0005-0000-0000-0000B76E0000}"/>
    <cellStyle name="Título 1 8" xfId="1333" xr:uid="{00000000-0005-0000-0000-0000B86E0000}"/>
    <cellStyle name="Título 1 8 2" xfId="21677" xr:uid="{00000000-0005-0000-0000-0000B96E0000}"/>
    <cellStyle name="Título 1 8 3" xfId="16717" xr:uid="{00000000-0005-0000-0000-0000BA6E0000}"/>
    <cellStyle name="Título 1 9" xfId="1334" xr:uid="{00000000-0005-0000-0000-0000BB6E0000}"/>
    <cellStyle name="Título 1 9 2" xfId="21678" xr:uid="{00000000-0005-0000-0000-0000BC6E0000}"/>
    <cellStyle name="Título 1 9 3" xfId="16718" xr:uid="{00000000-0005-0000-0000-0000BD6E0000}"/>
    <cellStyle name="Título 10" xfId="1335" xr:uid="{00000000-0005-0000-0000-0000BE6E0000}"/>
    <cellStyle name="Título 10 2" xfId="2570" xr:uid="{00000000-0005-0000-0000-0000BF6E0000}"/>
    <cellStyle name="Título 10 2 2" xfId="21680" xr:uid="{00000000-0005-0000-0000-0000C06E0000}"/>
    <cellStyle name="Título 10 2 3" xfId="16720" xr:uid="{00000000-0005-0000-0000-0000C16E0000}"/>
    <cellStyle name="Título 10 2 4" xfId="24424" xr:uid="{00000000-0005-0000-0000-0000C26E0000}"/>
    <cellStyle name="Título 10 3" xfId="3923" xr:uid="{00000000-0005-0000-0000-0000C36E0000}"/>
    <cellStyle name="Título 10 3 2" xfId="16719" xr:uid="{00000000-0005-0000-0000-0000C46E0000}"/>
    <cellStyle name="Título 10 3 3" xfId="24425" xr:uid="{00000000-0005-0000-0000-0000C56E0000}"/>
    <cellStyle name="Título 10 4" xfId="3594" xr:uid="{00000000-0005-0000-0000-0000C66E0000}"/>
    <cellStyle name="Título 10 4 2" xfId="21679" xr:uid="{00000000-0005-0000-0000-0000C76E0000}"/>
    <cellStyle name="Título 11" xfId="1336" xr:uid="{00000000-0005-0000-0000-0000C86E0000}"/>
    <cellStyle name="Título 11 2" xfId="21681" xr:uid="{00000000-0005-0000-0000-0000C96E0000}"/>
    <cellStyle name="Título 11 2 2" xfId="23143" xr:uid="{00000000-0005-0000-0000-0000CA6E0000}"/>
    <cellStyle name="Título 11 3" xfId="16721" xr:uid="{00000000-0005-0000-0000-0000CB6E0000}"/>
    <cellStyle name="Título 11 3 2" xfId="23144" xr:uid="{00000000-0005-0000-0000-0000CC6E0000}"/>
    <cellStyle name="Título 11 4" xfId="23142" xr:uid="{00000000-0005-0000-0000-0000CD6E0000}"/>
    <cellStyle name="Título 12" xfId="1337" xr:uid="{00000000-0005-0000-0000-0000CE6E0000}"/>
    <cellStyle name="Título 12 2" xfId="21682" xr:uid="{00000000-0005-0000-0000-0000CF6E0000}"/>
    <cellStyle name="Título 12 3" xfId="16722" xr:uid="{00000000-0005-0000-0000-0000D06E0000}"/>
    <cellStyle name="Título 13" xfId="1326" xr:uid="{00000000-0005-0000-0000-0000D16E0000}"/>
    <cellStyle name="Título 13 2" xfId="21683" xr:uid="{00000000-0005-0000-0000-0000D26E0000}"/>
    <cellStyle name="Título 13 2 2" xfId="23146" xr:uid="{00000000-0005-0000-0000-0000D36E0000}"/>
    <cellStyle name="Título 13 3" xfId="16723" xr:uid="{00000000-0005-0000-0000-0000D46E0000}"/>
    <cellStyle name="Título 13 3 2" xfId="23147" xr:uid="{00000000-0005-0000-0000-0000D56E0000}"/>
    <cellStyle name="Título 13 4" xfId="23145" xr:uid="{00000000-0005-0000-0000-0000D66E0000}"/>
    <cellStyle name="Título 14" xfId="1410" xr:uid="{00000000-0005-0000-0000-0000D76E0000}"/>
    <cellStyle name="Título 14 2" xfId="16673" xr:uid="{00000000-0005-0000-0000-0000D86E0000}"/>
    <cellStyle name="Título 14 3" xfId="23148" xr:uid="{00000000-0005-0000-0000-0000D96E0000}"/>
    <cellStyle name="Título 15" xfId="2760" xr:uid="{00000000-0005-0000-0000-0000DA6E0000}"/>
    <cellStyle name="Título 15 2" xfId="21633" xr:uid="{00000000-0005-0000-0000-0000DB6E0000}"/>
    <cellStyle name="Título 15 3" xfId="23149" xr:uid="{00000000-0005-0000-0000-0000DC6E0000}"/>
    <cellStyle name="Título 16" xfId="4913" xr:uid="{00000000-0005-0000-0000-0000DD6E0000}"/>
    <cellStyle name="Título 17" xfId="23140" xr:uid="{00000000-0005-0000-0000-0000DE6E0000}"/>
    <cellStyle name="Título 2" xfId="346" builtinId="17" customBuiltin="1"/>
    <cellStyle name="Título 2 10" xfId="1339" xr:uid="{00000000-0005-0000-0000-0000E06E0000}"/>
    <cellStyle name="Título 2 10 2" xfId="16724" xr:uid="{00000000-0005-0000-0000-0000E16E0000}"/>
    <cellStyle name="Título 2 11" xfId="1338" xr:uid="{00000000-0005-0000-0000-0000E26E0000}"/>
    <cellStyle name="Título 2 11 2" xfId="21684" xr:uid="{00000000-0005-0000-0000-0000E36E0000}"/>
    <cellStyle name="Título 2 12" xfId="1412" xr:uid="{00000000-0005-0000-0000-0000E46E0000}"/>
    <cellStyle name="Título 2 13" xfId="4915" xr:uid="{00000000-0005-0000-0000-0000E56E0000}"/>
    <cellStyle name="Título 2 2" xfId="775" xr:uid="{00000000-0005-0000-0000-0000E66E0000}"/>
    <cellStyle name="Título 2 2 2" xfId="2571" xr:uid="{00000000-0005-0000-0000-0000E76E0000}"/>
    <cellStyle name="Título 2 2 2 2" xfId="3595" xr:uid="{00000000-0005-0000-0000-0000E86E0000}"/>
    <cellStyle name="Título 2 2 2 2 2" xfId="16728" xr:uid="{00000000-0005-0000-0000-0000E96E0000}"/>
    <cellStyle name="Título 2 2 2 2 2 2" xfId="21688" xr:uid="{00000000-0005-0000-0000-0000EA6E0000}"/>
    <cellStyle name="Título 2 2 2 2 3" xfId="21687" xr:uid="{00000000-0005-0000-0000-0000EB6E0000}"/>
    <cellStyle name="Título 2 2 2 2 4" xfId="16727" xr:uid="{00000000-0005-0000-0000-0000EC6E0000}"/>
    <cellStyle name="Título 2 2 2 3" xfId="16729" xr:uid="{00000000-0005-0000-0000-0000ED6E0000}"/>
    <cellStyle name="Título 2 2 2 3 2" xfId="21689" xr:uid="{00000000-0005-0000-0000-0000EE6E0000}"/>
    <cellStyle name="Título 2 2 2 4" xfId="16730" xr:uid="{00000000-0005-0000-0000-0000EF6E0000}"/>
    <cellStyle name="Título 2 2 2 4 2" xfId="21690" xr:uid="{00000000-0005-0000-0000-0000F06E0000}"/>
    <cellStyle name="Título 2 2 2 5" xfId="16726" xr:uid="{00000000-0005-0000-0000-0000F16E0000}"/>
    <cellStyle name="Título 2 2 2 6" xfId="21686" xr:uid="{00000000-0005-0000-0000-0000F26E0000}"/>
    <cellStyle name="Título 2 2 3" xfId="16731" xr:uid="{00000000-0005-0000-0000-0000F36E0000}"/>
    <cellStyle name="Título 2 2 3 2" xfId="21691" xr:uid="{00000000-0005-0000-0000-0000F46E0000}"/>
    <cellStyle name="Título 2 2 3 3" xfId="23150" xr:uid="{00000000-0005-0000-0000-0000F56E0000}"/>
    <cellStyle name="Título 2 2 4" xfId="16732" xr:uid="{00000000-0005-0000-0000-0000F66E0000}"/>
    <cellStyle name="Título 2 2 4 2" xfId="21692" xr:uid="{00000000-0005-0000-0000-0000F76E0000}"/>
    <cellStyle name="Título 2 2 5" xfId="16733" xr:uid="{00000000-0005-0000-0000-0000F86E0000}"/>
    <cellStyle name="Título 2 2 5 2" xfId="21693" xr:uid="{00000000-0005-0000-0000-0000F96E0000}"/>
    <cellStyle name="Título 2 2 6" xfId="16734" xr:uid="{00000000-0005-0000-0000-0000FA6E0000}"/>
    <cellStyle name="Título 2 2 6 2" xfId="21694" xr:uid="{00000000-0005-0000-0000-0000FB6E0000}"/>
    <cellStyle name="Título 2 2 7" xfId="16735" xr:uid="{00000000-0005-0000-0000-0000FC6E0000}"/>
    <cellStyle name="Título 2 2 7 2" xfId="21695" xr:uid="{00000000-0005-0000-0000-0000FD6E0000}"/>
    <cellStyle name="Título 2 2 8" xfId="16725" xr:uid="{00000000-0005-0000-0000-0000FE6E0000}"/>
    <cellStyle name="Título 2 2 9" xfId="21685" xr:uid="{00000000-0005-0000-0000-0000FF6E0000}"/>
    <cellStyle name="Título 2 3" xfId="774" xr:uid="{00000000-0005-0000-0000-0000006F0000}"/>
    <cellStyle name="Título 2 3 10" xfId="16736" xr:uid="{00000000-0005-0000-0000-0000016F0000}"/>
    <cellStyle name="Título 2 3 11" xfId="21696" xr:uid="{00000000-0005-0000-0000-0000026F0000}"/>
    <cellStyle name="Título 2 3 2" xfId="2572" xr:uid="{00000000-0005-0000-0000-0000036F0000}"/>
    <cellStyle name="Título 2 3 2 2" xfId="16738" xr:uid="{00000000-0005-0000-0000-0000046F0000}"/>
    <cellStyle name="Título 2 3 2 2 2" xfId="21698" xr:uid="{00000000-0005-0000-0000-0000056F0000}"/>
    <cellStyle name="Título 2 3 2 3" xfId="16739" xr:uid="{00000000-0005-0000-0000-0000066F0000}"/>
    <cellStyle name="Título 2 3 2 3 2" xfId="21699" xr:uid="{00000000-0005-0000-0000-0000076F0000}"/>
    <cellStyle name="Título 2 3 2 4" xfId="16740" xr:uid="{00000000-0005-0000-0000-0000086F0000}"/>
    <cellStyle name="Título 2 3 2 4 2" xfId="21700" xr:uid="{00000000-0005-0000-0000-0000096F0000}"/>
    <cellStyle name="Título 2 3 2 5" xfId="16737" xr:uid="{00000000-0005-0000-0000-00000A6F0000}"/>
    <cellStyle name="Título 2 3 2 6" xfId="21697" xr:uid="{00000000-0005-0000-0000-00000B6F0000}"/>
    <cellStyle name="Título 2 3 3" xfId="2573" xr:uid="{00000000-0005-0000-0000-00000C6F0000}"/>
    <cellStyle name="Título 2 3 3 2" xfId="16742" xr:uid="{00000000-0005-0000-0000-00000D6F0000}"/>
    <cellStyle name="Título 2 3 3 2 2" xfId="21702" xr:uid="{00000000-0005-0000-0000-00000E6F0000}"/>
    <cellStyle name="Título 2 3 3 3" xfId="16741" xr:uid="{00000000-0005-0000-0000-00000F6F0000}"/>
    <cellStyle name="Título 2 3 3 4" xfId="21701" xr:uid="{00000000-0005-0000-0000-0000106F0000}"/>
    <cellStyle name="Título 2 3 4" xfId="16743" xr:uid="{00000000-0005-0000-0000-0000116F0000}"/>
    <cellStyle name="Título 2 3 4 2" xfId="21703" xr:uid="{00000000-0005-0000-0000-0000126F0000}"/>
    <cellStyle name="Título 2 3 4 3" xfId="24426" xr:uid="{00000000-0005-0000-0000-0000136F0000}"/>
    <cellStyle name="Título 2 3 5" xfId="16744" xr:uid="{00000000-0005-0000-0000-0000146F0000}"/>
    <cellStyle name="Título 2 3 5 2" xfId="21704" xr:uid="{00000000-0005-0000-0000-0000156F0000}"/>
    <cellStyle name="Título 2 3 5 3" xfId="24427" xr:uid="{00000000-0005-0000-0000-0000166F0000}"/>
    <cellStyle name="Título 2 3 6" xfId="16745" xr:uid="{00000000-0005-0000-0000-0000176F0000}"/>
    <cellStyle name="Título 2 3 6 2" xfId="21705" xr:uid="{00000000-0005-0000-0000-0000186F0000}"/>
    <cellStyle name="Título 2 3 7" xfId="16746" xr:uid="{00000000-0005-0000-0000-0000196F0000}"/>
    <cellStyle name="Título 2 3 7 2" xfId="21706" xr:uid="{00000000-0005-0000-0000-00001A6F0000}"/>
    <cellStyle name="Título 2 3 8" xfId="16747" xr:uid="{00000000-0005-0000-0000-00001B6F0000}"/>
    <cellStyle name="Título 2 3 8 2" xfId="21707" xr:uid="{00000000-0005-0000-0000-00001C6F0000}"/>
    <cellStyle name="Título 2 3 9" xfId="16748" xr:uid="{00000000-0005-0000-0000-00001D6F0000}"/>
    <cellStyle name="Título 2 3 9 2" xfId="21708" xr:uid="{00000000-0005-0000-0000-00001E6F0000}"/>
    <cellStyle name="Título 2 4" xfId="1340" xr:uid="{00000000-0005-0000-0000-00001F6F0000}"/>
    <cellStyle name="Título 2 4 2" xfId="16750" xr:uid="{00000000-0005-0000-0000-0000206F0000}"/>
    <cellStyle name="Título 2 4 2 2" xfId="21710" xr:uid="{00000000-0005-0000-0000-0000216F0000}"/>
    <cellStyle name="Título 2 4 3" xfId="16751" xr:uid="{00000000-0005-0000-0000-0000226F0000}"/>
    <cellStyle name="Título 2 4 3 2" xfId="21711" xr:uid="{00000000-0005-0000-0000-0000236F0000}"/>
    <cellStyle name="Título 2 4 4" xfId="16752" xr:uid="{00000000-0005-0000-0000-0000246F0000}"/>
    <cellStyle name="Título 2 4 4 2" xfId="21712" xr:uid="{00000000-0005-0000-0000-0000256F0000}"/>
    <cellStyle name="Título 2 4 5" xfId="16753" xr:uid="{00000000-0005-0000-0000-0000266F0000}"/>
    <cellStyle name="Título 2 4 5 2" xfId="21713" xr:uid="{00000000-0005-0000-0000-0000276F0000}"/>
    <cellStyle name="Título 2 4 6" xfId="16754" xr:uid="{00000000-0005-0000-0000-0000286F0000}"/>
    <cellStyle name="Título 2 4 6 2" xfId="21714" xr:uid="{00000000-0005-0000-0000-0000296F0000}"/>
    <cellStyle name="Título 2 4 7" xfId="16749" xr:uid="{00000000-0005-0000-0000-00002A6F0000}"/>
    <cellStyle name="Título 2 4 8" xfId="21709" xr:uid="{00000000-0005-0000-0000-00002B6F0000}"/>
    <cellStyle name="Título 2 5" xfId="1341" xr:uid="{00000000-0005-0000-0000-00002C6F0000}"/>
    <cellStyle name="Título 2 5 2" xfId="2574" xr:uid="{00000000-0005-0000-0000-00002D6F0000}"/>
    <cellStyle name="Título 2 5 2 2" xfId="21716" xr:uid="{00000000-0005-0000-0000-00002E6F0000}"/>
    <cellStyle name="Título 2 5 2 3" xfId="16756" xr:uid="{00000000-0005-0000-0000-00002F6F0000}"/>
    <cellStyle name="Título 2 5 2 4" xfId="24428" xr:uid="{00000000-0005-0000-0000-0000306F0000}"/>
    <cellStyle name="Título 2 5 3" xfId="3924" xr:uid="{00000000-0005-0000-0000-0000316F0000}"/>
    <cellStyle name="Título 2 5 3 2" xfId="21717" xr:uid="{00000000-0005-0000-0000-0000326F0000}"/>
    <cellStyle name="Título 2 5 3 3" xfId="16757" xr:uid="{00000000-0005-0000-0000-0000336F0000}"/>
    <cellStyle name="Título 2 5 3 4" xfId="24429" xr:uid="{00000000-0005-0000-0000-0000346F0000}"/>
    <cellStyle name="Título 2 5 4" xfId="3596" xr:uid="{00000000-0005-0000-0000-0000356F0000}"/>
    <cellStyle name="Título 2 5 4 2" xfId="21718" xr:uid="{00000000-0005-0000-0000-0000366F0000}"/>
    <cellStyle name="Título 2 5 4 3" xfId="16758" xr:uid="{00000000-0005-0000-0000-0000376F0000}"/>
    <cellStyle name="Título 2 5 5" xfId="16755" xr:uid="{00000000-0005-0000-0000-0000386F0000}"/>
    <cellStyle name="Título 2 5 6" xfId="21715" xr:uid="{00000000-0005-0000-0000-0000396F0000}"/>
    <cellStyle name="Título 2 6" xfId="1342" xr:uid="{00000000-0005-0000-0000-00003A6F0000}"/>
    <cellStyle name="Título 2 6 2" xfId="2575" xr:uid="{00000000-0005-0000-0000-00003B6F0000}"/>
    <cellStyle name="Título 2 6 2 2" xfId="21720" xr:uid="{00000000-0005-0000-0000-00003C6F0000}"/>
    <cellStyle name="Título 2 6 2 3" xfId="16760" xr:uid="{00000000-0005-0000-0000-00003D6F0000}"/>
    <cellStyle name="Título 2 6 2 4" xfId="24430" xr:uid="{00000000-0005-0000-0000-00003E6F0000}"/>
    <cellStyle name="Título 2 6 3" xfId="3925" xr:uid="{00000000-0005-0000-0000-00003F6F0000}"/>
    <cellStyle name="Título 2 6 3 2" xfId="16759" xr:uid="{00000000-0005-0000-0000-0000406F0000}"/>
    <cellStyle name="Título 2 6 3 3" xfId="24431" xr:uid="{00000000-0005-0000-0000-0000416F0000}"/>
    <cellStyle name="Título 2 6 4" xfId="3597" xr:uid="{00000000-0005-0000-0000-0000426F0000}"/>
    <cellStyle name="Título 2 6 4 2" xfId="21719" xr:uid="{00000000-0005-0000-0000-0000436F0000}"/>
    <cellStyle name="Título 2 7" xfId="1343" xr:uid="{00000000-0005-0000-0000-0000446F0000}"/>
    <cellStyle name="Título 2 7 2" xfId="21721" xr:uid="{00000000-0005-0000-0000-0000456F0000}"/>
    <cellStyle name="Título 2 7 3" xfId="16761" xr:uid="{00000000-0005-0000-0000-0000466F0000}"/>
    <cellStyle name="Título 2 8" xfId="1344" xr:uid="{00000000-0005-0000-0000-0000476F0000}"/>
    <cellStyle name="Título 2 8 2" xfId="21722" xr:uid="{00000000-0005-0000-0000-0000486F0000}"/>
    <cellStyle name="Título 2 8 3" xfId="16762" xr:uid="{00000000-0005-0000-0000-0000496F0000}"/>
    <cellStyle name="Título 2 9" xfId="1345" xr:uid="{00000000-0005-0000-0000-00004A6F0000}"/>
    <cellStyle name="Título 2 9 2" xfId="21723" xr:uid="{00000000-0005-0000-0000-00004B6F0000}"/>
    <cellStyle name="Título 2 9 3" xfId="16763" xr:uid="{00000000-0005-0000-0000-00004C6F0000}"/>
    <cellStyle name="Título 3" xfId="347" builtinId="18" customBuiltin="1"/>
    <cellStyle name="Título 3 10" xfId="1347" xr:uid="{00000000-0005-0000-0000-00004E6F0000}"/>
    <cellStyle name="Título 3 10 2" xfId="21725" xr:uid="{00000000-0005-0000-0000-00004F6F0000}"/>
    <cellStyle name="Título 3 10 3" xfId="16765" xr:uid="{00000000-0005-0000-0000-0000506F0000}"/>
    <cellStyle name="Título 3 11" xfId="1346" xr:uid="{00000000-0005-0000-0000-0000516F0000}"/>
    <cellStyle name="Título 3 11 2" xfId="16764" xr:uid="{00000000-0005-0000-0000-0000526F0000}"/>
    <cellStyle name="Título 3 12" xfId="1413" xr:uid="{00000000-0005-0000-0000-0000536F0000}"/>
    <cellStyle name="Título 3 12 2" xfId="21724" xr:uid="{00000000-0005-0000-0000-0000546F0000}"/>
    <cellStyle name="Título 3 13" xfId="4916" xr:uid="{00000000-0005-0000-0000-0000556F0000}"/>
    <cellStyle name="Título 3 2" xfId="777" xr:uid="{00000000-0005-0000-0000-0000566F0000}"/>
    <cellStyle name="Título 3 2 2" xfId="2576" xr:uid="{00000000-0005-0000-0000-0000576F0000}"/>
    <cellStyle name="Título 3 2 2 2" xfId="3598" xr:uid="{00000000-0005-0000-0000-0000586F0000}"/>
    <cellStyle name="Título 3 2 2 2 2" xfId="16769" xr:uid="{00000000-0005-0000-0000-0000596F0000}"/>
    <cellStyle name="Título 3 2 2 2 2 2" xfId="21729" xr:uid="{00000000-0005-0000-0000-00005A6F0000}"/>
    <cellStyle name="Título 3 2 2 2 3" xfId="21728" xr:uid="{00000000-0005-0000-0000-00005B6F0000}"/>
    <cellStyle name="Título 3 2 2 2 4" xfId="16768" xr:uid="{00000000-0005-0000-0000-00005C6F0000}"/>
    <cellStyle name="Título 3 2 2 3" xfId="16770" xr:uid="{00000000-0005-0000-0000-00005D6F0000}"/>
    <cellStyle name="Título 3 2 2 3 2" xfId="21730" xr:uid="{00000000-0005-0000-0000-00005E6F0000}"/>
    <cellStyle name="Título 3 2 2 4" xfId="16771" xr:uid="{00000000-0005-0000-0000-00005F6F0000}"/>
    <cellStyle name="Título 3 2 2 4 2" xfId="21731" xr:uid="{00000000-0005-0000-0000-0000606F0000}"/>
    <cellStyle name="Título 3 2 2 5" xfId="16767" xr:uid="{00000000-0005-0000-0000-0000616F0000}"/>
    <cellStyle name="Título 3 2 2 6" xfId="21727" xr:uid="{00000000-0005-0000-0000-0000626F0000}"/>
    <cellStyle name="Título 3 2 3" xfId="16772" xr:uid="{00000000-0005-0000-0000-0000636F0000}"/>
    <cellStyle name="Título 3 2 3 2" xfId="21732" xr:uid="{00000000-0005-0000-0000-0000646F0000}"/>
    <cellStyle name="Título 3 2 3 3" xfId="23151" xr:uid="{00000000-0005-0000-0000-0000656F0000}"/>
    <cellStyle name="Título 3 2 4" xfId="16773" xr:uid="{00000000-0005-0000-0000-0000666F0000}"/>
    <cellStyle name="Título 3 2 4 2" xfId="21733" xr:uid="{00000000-0005-0000-0000-0000676F0000}"/>
    <cellStyle name="Título 3 2 5" xfId="16774" xr:uid="{00000000-0005-0000-0000-0000686F0000}"/>
    <cellStyle name="Título 3 2 5 2" xfId="21734" xr:uid="{00000000-0005-0000-0000-0000696F0000}"/>
    <cellStyle name="Título 3 2 6" xfId="16775" xr:uid="{00000000-0005-0000-0000-00006A6F0000}"/>
    <cellStyle name="Título 3 2 6 2" xfId="21735" xr:uid="{00000000-0005-0000-0000-00006B6F0000}"/>
    <cellStyle name="Título 3 2 7" xfId="16776" xr:uid="{00000000-0005-0000-0000-00006C6F0000}"/>
    <cellStyle name="Título 3 2 7 2" xfId="21736" xr:uid="{00000000-0005-0000-0000-00006D6F0000}"/>
    <cellStyle name="Título 3 2 8" xfId="16766" xr:uid="{00000000-0005-0000-0000-00006E6F0000}"/>
    <cellStyle name="Título 3 2 9" xfId="21726" xr:uid="{00000000-0005-0000-0000-00006F6F0000}"/>
    <cellStyle name="Título 3 3" xfId="776" xr:uid="{00000000-0005-0000-0000-0000706F0000}"/>
    <cellStyle name="Título 3 3 10" xfId="16777" xr:uid="{00000000-0005-0000-0000-0000716F0000}"/>
    <cellStyle name="Título 3 3 11" xfId="21737" xr:uid="{00000000-0005-0000-0000-0000726F0000}"/>
    <cellStyle name="Título 3 3 2" xfId="2577" xr:uid="{00000000-0005-0000-0000-0000736F0000}"/>
    <cellStyle name="Título 3 3 2 2" xfId="16779" xr:uid="{00000000-0005-0000-0000-0000746F0000}"/>
    <cellStyle name="Título 3 3 2 2 2" xfId="21739" xr:uid="{00000000-0005-0000-0000-0000756F0000}"/>
    <cellStyle name="Título 3 3 2 3" xfId="16780" xr:uid="{00000000-0005-0000-0000-0000766F0000}"/>
    <cellStyle name="Título 3 3 2 3 2" xfId="21740" xr:uid="{00000000-0005-0000-0000-0000776F0000}"/>
    <cellStyle name="Título 3 3 2 4" xfId="16781" xr:uid="{00000000-0005-0000-0000-0000786F0000}"/>
    <cellStyle name="Título 3 3 2 4 2" xfId="21741" xr:uid="{00000000-0005-0000-0000-0000796F0000}"/>
    <cellStyle name="Título 3 3 2 5" xfId="16778" xr:uid="{00000000-0005-0000-0000-00007A6F0000}"/>
    <cellStyle name="Título 3 3 2 6" xfId="21738" xr:uid="{00000000-0005-0000-0000-00007B6F0000}"/>
    <cellStyle name="Título 3 3 3" xfId="2578" xr:uid="{00000000-0005-0000-0000-00007C6F0000}"/>
    <cellStyle name="Título 3 3 3 2" xfId="16783" xr:uid="{00000000-0005-0000-0000-00007D6F0000}"/>
    <cellStyle name="Título 3 3 3 2 2" xfId="21743" xr:uid="{00000000-0005-0000-0000-00007E6F0000}"/>
    <cellStyle name="Título 3 3 3 3" xfId="16782" xr:uid="{00000000-0005-0000-0000-00007F6F0000}"/>
    <cellStyle name="Título 3 3 3 4" xfId="21742" xr:uid="{00000000-0005-0000-0000-0000806F0000}"/>
    <cellStyle name="Título 3 3 4" xfId="16784" xr:uid="{00000000-0005-0000-0000-0000816F0000}"/>
    <cellStyle name="Título 3 3 4 2" xfId="21744" xr:uid="{00000000-0005-0000-0000-0000826F0000}"/>
    <cellStyle name="Título 3 3 4 3" xfId="24432" xr:uid="{00000000-0005-0000-0000-0000836F0000}"/>
    <cellStyle name="Título 3 3 5" xfId="16785" xr:uid="{00000000-0005-0000-0000-0000846F0000}"/>
    <cellStyle name="Título 3 3 5 2" xfId="21745" xr:uid="{00000000-0005-0000-0000-0000856F0000}"/>
    <cellStyle name="Título 3 3 5 3" xfId="24433" xr:uid="{00000000-0005-0000-0000-0000866F0000}"/>
    <cellStyle name="Título 3 3 6" xfId="16786" xr:uid="{00000000-0005-0000-0000-0000876F0000}"/>
    <cellStyle name="Título 3 3 6 2" xfId="21746" xr:uid="{00000000-0005-0000-0000-0000886F0000}"/>
    <cellStyle name="Título 3 3 7" xfId="16787" xr:uid="{00000000-0005-0000-0000-0000896F0000}"/>
    <cellStyle name="Título 3 3 7 2" xfId="21747" xr:uid="{00000000-0005-0000-0000-00008A6F0000}"/>
    <cellStyle name="Título 3 3 8" xfId="16788" xr:uid="{00000000-0005-0000-0000-00008B6F0000}"/>
    <cellStyle name="Título 3 3 8 2" xfId="21748" xr:uid="{00000000-0005-0000-0000-00008C6F0000}"/>
    <cellStyle name="Título 3 3 9" xfId="16789" xr:uid="{00000000-0005-0000-0000-00008D6F0000}"/>
    <cellStyle name="Título 3 3 9 2" xfId="21749" xr:uid="{00000000-0005-0000-0000-00008E6F0000}"/>
    <cellStyle name="Título 3 4" xfId="1348" xr:uid="{00000000-0005-0000-0000-00008F6F0000}"/>
    <cellStyle name="Título 3 4 2" xfId="2579" xr:uid="{00000000-0005-0000-0000-0000906F0000}"/>
    <cellStyle name="Título 3 4 2 2" xfId="16792" xr:uid="{00000000-0005-0000-0000-0000916F0000}"/>
    <cellStyle name="Título 3 4 2 2 2" xfId="21752" xr:uid="{00000000-0005-0000-0000-0000926F0000}"/>
    <cellStyle name="Título 3 4 2 3" xfId="16791" xr:uid="{00000000-0005-0000-0000-0000936F0000}"/>
    <cellStyle name="Título 3 4 2 4" xfId="21751" xr:uid="{00000000-0005-0000-0000-0000946F0000}"/>
    <cellStyle name="Título 3 4 3" xfId="16793" xr:uid="{00000000-0005-0000-0000-0000956F0000}"/>
    <cellStyle name="Título 3 4 3 2" xfId="21753" xr:uid="{00000000-0005-0000-0000-0000966F0000}"/>
    <cellStyle name="Título 3 4 4" xfId="16794" xr:uid="{00000000-0005-0000-0000-0000976F0000}"/>
    <cellStyle name="Título 3 4 4 2" xfId="21754" xr:uid="{00000000-0005-0000-0000-0000986F0000}"/>
    <cellStyle name="Título 3 4 5" xfId="16795" xr:uid="{00000000-0005-0000-0000-0000996F0000}"/>
    <cellStyle name="Título 3 4 5 2" xfId="21755" xr:uid="{00000000-0005-0000-0000-00009A6F0000}"/>
    <cellStyle name="Título 3 4 6" xfId="16796" xr:uid="{00000000-0005-0000-0000-00009B6F0000}"/>
    <cellStyle name="Título 3 4 6 2" xfId="21756" xr:uid="{00000000-0005-0000-0000-00009C6F0000}"/>
    <cellStyle name="Título 3 4 7" xfId="16797" xr:uid="{00000000-0005-0000-0000-00009D6F0000}"/>
    <cellStyle name="Título 3 4 7 2" xfId="21757" xr:uid="{00000000-0005-0000-0000-00009E6F0000}"/>
    <cellStyle name="Título 3 4 8" xfId="16790" xr:uid="{00000000-0005-0000-0000-00009F6F0000}"/>
    <cellStyle name="Título 3 4 9" xfId="21750" xr:uid="{00000000-0005-0000-0000-0000A06F0000}"/>
    <cellStyle name="Título 3 5" xfId="1349" xr:uid="{00000000-0005-0000-0000-0000A16F0000}"/>
    <cellStyle name="Título 3 5 2" xfId="16799" xr:uid="{00000000-0005-0000-0000-0000A26F0000}"/>
    <cellStyle name="Título 3 5 2 2" xfId="21759" xr:uid="{00000000-0005-0000-0000-0000A36F0000}"/>
    <cellStyle name="Título 3 5 3" xfId="16800" xr:uid="{00000000-0005-0000-0000-0000A46F0000}"/>
    <cellStyle name="Título 3 5 3 2" xfId="21760" xr:uid="{00000000-0005-0000-0000-0000A56F0000}"/>
    <cellStyle name="Título 3 5 4" xfId="16801" xr:uid="{00000000-0005-0000-0000-0000A66F0000}"/>
    <cellStyle name="Título 3 5 4 2" xfId="21761" xr:uid="{00000000-0005-0000-0000-0000A76F0000}"/>
    <cellStyle name="Título 3 5 5" xfId="16798" xr:uid="{00000000-0005-0000-0000-0000A86F0000}"/>
    <cellStyle name="Título 3 5 6" xfId="21758" xr:uid="{00000000-0005-0000-0000-0000A96F0000}"/>
    <cellStyle name="Título 3 6" xfId="1350" xr:uid="{00000000-0005-0000-0000-0000AA6F0000}"/>
    <cellStyle name="Título 3 6 2" xfId="2580" xr:uid="{00000000-0005-0000-0000-0000AB6F0000}"/>
    <cellStyle name="Título 3 6 2 2" xfId="21763" xr:uid="{00000000-0005-0000-0000-0000AC6F0000}"/>
    <cellStyle name="Título 3 6 2 3" xfId="16803" xr:uid="{00000000-0005-0000-0000-0000AD6F0000}"/>
    <cellStyle name="Título 3 6 2 4" xfId="24434" xr:uid="{00000000-0005-0000-0000-0000AE6F0000}"/>
    <cellStyle name="Título 3 6 3" xfId="3926" xr:uid="{00000000-0005-0000-0000-0000AF6F0000}"/>
    <cellStyle name="Título 3 6 3 2" xfId="21764" xr:uid="{00000000-0005-0000-0000-0000B06F0000}"/>
    <cellStyle name="Título 3 6 3 3" xfId="16804" xr:uid="{00000000-0005-0000-0000-0000B16F0000}"/>
    <cellStyle name="Título 3 6 3 4" xfId="24435" xr:uid="{00000000-0005-0000-0000-0000B26F0000}"/>
    <cellStyle name="Título 3 6 4" xfId="3599" xr:uid="{00000000-0005-0000-0000-0000B36F0000}"/>
    <cellStyle name="Título 3 6 4 2" xfId="21765" xr:uid="{00000000-0005-0000-0000-0000B46F0000}"/>
    <cellStyle name="Título 3 6 4 3" xfId="16805" xr:uid="{00000000-0005-0000-0000-0000B56F0000}"/>
    <cellStyle name="Título 3 6 5" xfId="16802" xr:uid="{00000000-0005-0000-0000-0000B66F0000}"/>
    <cellStyle name="Título 3 6 6" xfId="21762" xr:uid="{00000000-0005-0000-0000-0000B76F0000}"/>
    <cellStyle name="Título 3 7" xfId="1351" xr:uid="{00000000-0005-0000-0000-0000B86F0000}"/>
    <cellStyle name="Título 3 7 2" xfId="2581" xr:uid="{00000000-0005-0000-0000-0000B96F0000}"/>
    <cellStyle name="Título 3 7 2 2" xfId="21767" xr:uid="{00000000-0005-0000-0000-0000BA6F0000}"/>
    <cellStyle name="Título 3 7 2 3" xfId="16807" xr:uid="{00000000-0005-0000-0000-0000BB6F0000}"/>
    <cellStyle name="Título 3 7 2 4" xfId="24436" xr:uid="{00000000-0005-0000-0000-0000BC6F0000}"/>
    <cellStyle name="Título 3 7 3" xfId="3927" xr:uid="{00000000-0005-0000-0000-0000BD6F0000}"/>
    <cellStyle name="Título 3 7 3 2" xfId="16806" xr:uid="{00000000-0005-0000-0000-0000BE6F0000}"/>
    <cellStyle name="Título 3 7 3 3" xfId="24437" xr:uid="{00000000-0005-0000-0000-0000BF6F0000}"/>
    <cellStyle name="Título 3 7 4" xfId="3600" xr:uid="{00000000-0005-0000-0000-0000C06F0000}"/>
    <cellStyle name="Título 3 7 4 2" xfId="21766" xr:uid="{00000000-0005-0000-0000-0000C16F0000}"/>
    <cellStyle name="Título 3 8" xfId="1352" xr:uid="{00000000-0005-0000-0000-0000C26F0000}"/>
    <cellStyle name="Título 3 8 2" xfId="21768" xr:uid="{00000000-0005-0000-0000-0000C36F0000}"/>
    <cellStyle name="Título 3 8 3" xfId="16808" xr:uid="{00000000-0005-0000-0000-0000C46F0000}"/>
    <cellStyle name="Título 3 9" xfId="1353" xr:uid="{00000000-0005-0000-0000-0000C56F0000}"/>
    <cellStyle name="Título 3 9 2" xfId="21769" xr:uid="{00000000-0005-0000-0000-0000C66F0000}"/>
    <cellStyle name="Título 3 9 3" xfId="16809" xr:uid="{00000000-0005-0000-0000-0000C76F0000}"/>
    <cellStyle name="Título 4" xfId="778" xr:uid="{00000000-0005-0000-0000-0000C86F0000}"/>
    <cellStyle name="Título 4 10" xfId="16810" xr:uid="{00000000-0005-0000-0000-0000C96F0000}"/>
    <cellStyle name="Título 4 11" xfId="21770" xr:uid="{00000000-0005-0000-0000-0000CA6F0000}"/>
    <cellStyle name="Título 4 12" xfId="31162" xr:uid="{C4F0A6DA-9914-4242-A7B2-DACACE96C441}"/>
    <cellStyle name="Título 4 2" xfId="1354" xr:uid="{00000000-0005-0000-0000-0000CB6F0000}"/>
    <cellStyle name="Título 4 2 2" xfId="2582" xr:uid="{00000000-0005-0000-0000-0000CC6F0000}"/>
    <cellStyle name="Título 4 2 2 2" xfId="21772" xr:uid="{00000000-0005-0000-0000-0000CD6F0000}"/>
    <cellStyle name="Título 4 2 2 3" xfId="16812" xr:uid="{00000000-0005-0000-0000-0000CE6F0000}"/>
    <cellStyle name="Título 4 2 2 4" xfId="24438" xr:uid="{00000000-0005-0000-0000-0000CF6F0000}"/>
    <cellStyle name="Título 4 2 3" xfId="3928" xr:uid="{00000000-0005-0000-0000-0000D06F0000}"/>
    <cellStyle name="Título 4 2 3 2" xfId="21773" xr:uid="{00000000-0005-0000-0000-0000D16F0000}"/>
    <cellStyle name="Título 4 2 3 3" xfId="16813" xr:uid="{00000000-0005-0000-0000-0000D26F0000}"/>
    <cellStyle name="Título 4 2 4" xfId="16814" xr:uid="{00000000-0005-0000-0000-0000D36F0000}"/>
    <cellStyle name="Título 4 2 4 2" xfId="21774" xr:uid="{00000000-0005-0000-0000-0000D46F0000}"/>
    <cellStyle name="Título 4 2 5" xfId="16811" xr:uid="{00000000-0005-0000-0000-0000D56F0000}"/>
    <cellStyle name="Título 4 2 6" xfId="21771" xr:uid="{00000000-0005-0000-0000-0000D66F0000}"/>
    <cellStyle name="Título 4 3" xfId="2583" xr:uid="{00000000-0005-0000-0000-0000D76F0000}"/>
    <cellStyle name="Título 4 3 2" xfId="2804" xr:uid="{00000000-0005-0000-0000-0000D86F0000}"/>
    <cellStyle name="Título 4 3 2 2" xfId="21776" xr:uid="{00000000-0005-0000-0000-0000D96F0000}"/>
    <cellStyle name="Título 4 3 2 3" xfId="16816" xr:uid="{00000000-0005-0000-0000-0000DA6F0000}"/>
    <cellStyle name="Título 4 3 3" xfId="16817" xr:uid="{00000000-0005-0000-0000-0000DB6F0000}"/>
    <cellStyle name="Título 4 3 3 2" xfId="21777" xr:uid="{00000000-0005-0000-0000-0000DC6F0000}"/>
    <cellStyle name="Título 4 3 4" xfId="16818" xr:uid="{00000000-0005-0000-0000-0000DD6F0000}"/>
    <cellStyle name="Título 4 3 4 2" xfId="21778" xr:uid="{00000000-0005-0000-0000-0000DE6F0000}"/>
    <cellStyle name="Título 4 3 5" xfId="16815" xr:uid="{00000000-0005-0000-0000-0000DF6F0000}"/>
    <cellStyle name="Título 4 3 6" xfId="21775" xr:uid="{00000000-0005-0000-0000-0000E06F0000}"/>
    <cellStyle name="Título 4 4" xfId="2584" xr:uid="{00000000-0005-0000-0000-0000E16F0000}"/>
    <cellStyle name="Título 4 4 2" xfId="16819" xr:uid="{00000000-0005-0000-0000-0000E26F0000}"/>
    <cellStyle name="Título 4 4 3" xfId="21779" xr:uid="{00000000-0005-0000-0000-0000E36F0000}"/>
    <cellStyle name="Título 4 5" xfId="16820" xr:uid="{00000000-0005-0000-0000-0000E46F0000}"/>
    <cellStyle name="Título 4 5 2" xfId="21780" xr:uid="{00000000-0005-0000-0000-0000E56F0000}"/>
    <cellStyle name="Título 4 5 3" xfId="24439" xr:uid="{00000000-0005-0000-0000-0000E66F0000}"/>
    <cellStyle name="Título 4 6" xfId="16821" xr:uid="{00000000-0005-0000-0000-0000E76F0000}"/>
    <cellStyle name="Título 4 6 2" xfId="21781" xr:uid="{00000000-0005-0000-0000-0000E86F0000}"/>
    <cellStyle name="Título 4 7" xfId="16822" xr:uid="{00000000-0005-0000-0000-0000E96F0000}"/>
    <cellStyle name="Título 4 7 2" xfId="21782" xr:uid="{00000000-0005-0000-0000-0000EA6F0000}"/>
    <cellStyle name="Título 4 8" xfId="16823" xr:uid="{00000000-0005-0000-0000-0000EB6F0000}"/>
    <cellStyle name="Título 4 8 2" xfId="21783" xr:uid="{00000000-0005-0000-0000-0000EC6F0000}"/>
    <cellStyle name="Título 4 9" xfId="16824" xr:uid="{00000000-0005-0000-0000-0000ED6F0000}"/>
    <cellStyle name="Título 4 9 2" xfId="21784" xr:uid="{00000000-0005-0000-0000-0000EE6F0000}"/>
    <cellStyle name="Título 5" xfId="771" xr:uid="{00000000-0005-0000-0000-0000EF6F0000}"/>
    <cellStyle name="Título 5 10" xfId="16825" xr:uid="{00000000-0005-0000-0000-0000F06F0000}"/>
    <cellStyle name="Título 5 11" xfId="21785" xr:uid="{00000000-0005-0000-0000-0000F16F0000}"/>
    <cellStyle name="Título 5 2" xfId="2585" xr:uid="{00000000-0005-0000-0000-0000F26F0000}"/>
    <cellStyle name="Título 5 2 2" xfId="16827" xr:uid="{00000000-0005-0000-0000-0000F36F0000}"/>
    <cellStyle name="Título 5 2 2 2" xfId="21787" xr:uid="{00000000-0005-0000-0000-0000F46F0000}"/>
    <cellStyle name="Título 5 2 3" xfId="16828" xr:uid="{00000000-0005-0000-0000-0000F56F0000}"/>
    <cellStyle name="Título 5 2 3 2" xfId="21788" xr:uid="{00000000-0005-0000-0000-0000F66F0000}"/>
    <cellStyle name="Título 5 2 4" xfId="16829" xr:uid="{00000000-0005-0000-0000-0000F76F0000}"/>
    <cellStyle name="Título 5 2 4 2" xfId="21789" xr:uid="{00000000-0005-0000-0000-0000F86F0000}"/>
    <cellStyle name="Título 5 2 5" xfId="16826" xr:uid="{00000000-0005-0000-0000-0000F96F0000}"/>
    <cellStyle name="Título 5 2 6" xfId="21786" xr:uid="{00000000-0005-0000-0000-0000FA6F0000}"/>
    <cellStyle name="Título 5 3" xfId="2586" xr:uid="{00000000-0005-0000-0000-0000FB6F0000}"/>
    <cellStyle name="Título 5 3 2" xfId="16831" xr:uid="{00000000-0005-0000-0000-0000FC6F0000}"/>
    <cellStyle name="Título 5 3 2 2" xfId="21791" xr:uid="{00000000-0005-0000-0000-0000FD6F0000}"/>
    <cellStyle name="Título 5 3 3" xfId="16830" xr:uid="{00000000-0005-0000-0000-0000FE6F0000}"/>
    <cellStyle name="Título 5 3 4" xfId="21790" xr:uid="{00000000-0005-0000-0000-0000FF6F0000}"/>
    <cellStyle name="Título 5 4" xfId="16832" xr:uid="{00000000-0005-0000-0000-000000700000}"/>
    <cellStyle name="Título 5 4 2" xfId="21792" xr:uid="{00000000-0005-0000-0000-000001700000}"/>
    <cellStyle name="Título 5 4 3" xfId="24440" xr:uid="{00000000-0005-0000-0000-000002700000}"/>
    <cellStyle name="Título 5 5" xfId="16833" xr:uid="{00000000-0005-0000-0000-000003700000}"/>
    <cellStyle name="Título 5 5 2" xfId="21793" xr:uid="{00000000-0005-0000-0000-000004700000}"/>
    <cellStyle name="Título 5 5 3" xfId="24441" xr:uid="{00000000-0005-0000-0000-000005700000}"/>
    <cellStyle name="Título 5 6" xfId="16834" xr:uid="{00000000-0005-0000-0000-000006700000}"/>
    <cellStyle name="Título 5 6 2" xfId="21794" xr:uid="{00000000-0005-0000-0000-000007700000}"/>
    <cellStyle name="Título 5 7" xfId="16835" xr:uid="{00000000-0005-0000-0000-000008700000}"/>
    <cellStyle name="Título 5 7 2" xfId="21795" xr:uid="{00000000-0005-0000-0000-000009700000}"/>
    <cellStyle name="Título 5 8" xfId="16836" xr:uid="{00000000-0005-0000-0000-00000A700000}"/>
    <cellStyle name="Título 5 8 2" xfId="21796" xr:uid="{00000000-0005-0000-0000-00000B700000}"/>
    <cellStyle name="Título 5 9" xfId="16837" xr:uid="{00000000-0005-0000-0000-00000C700000}"/>
    <cellStyle name="Título 5 9 2" xfId="21797" xr:uid="{00000000-0005-0000-0000-00000D700000}"/>
    <cellStyle name="Título 6" xfId="1355" xr:uid="{00000000-0005-0000-0000-00000E700000}"/>
    <cellStyle name="Título 6 2" xfId="2587" xr:uid="{00000000-0005-0000-0000-00000F700000}"/>
    <cellStyle name="Título 6 2 2" xfId="16840" xr:uid="{00000000-0005-0000-0000-000010700000}"/>
    <cellStyle name="Título 6 2 2 2" xfId="21800" xr:uid="{00000000-0005-0000-0000-000011700000}"/>
    <cellStyle name="Título 6 2 3" xfId="16839" xr:uid="{00000000-0005-0000-0000-000012700000}"/>
    <cellStyle name="Título 6 2 4" xfId="21799" xr:uid="{00000000-0005-0000-0000-000013700000}"/>
    <cellStyle name="Título 6 3" xfId="16841" xr:uid="{00000000-0005-0000-0000-000014700000}"/>
    <cellStyle name="Título 6 3 2" xfId="21801" xr:uid="{00000000-0005-0000-0000-000015700000}"/>
    <cellStyle name="Título 6 4" xfId="16842" xr:uid="{00000000-0005-0000-0000-000016700000}"/>
    <cellStyle name="Título 6 4 2" xfId="21802" xr:uid="{00000000-0005-0000-0000-000017700000}"/>
    <cellStyle name="Título 6 5" xfId="16843" xr:uid="{00000000-0005-0000-0000-000018700000}"/>
    <cellStyle name="Título 6 5 2" xfId="21803" xr:uid="{00000000-0005-0000-0000-000019700000}"/>
    <cellStyle name="Título 6 6" xfId="16844" xr:uid="{00000000-0005-0000-0000-00001A700000}"/>
    <cellStyle name="Título 6 6 2" xfId="21804" xr:uid="{00000000-0005-0000-0000-00001B700000}"/>
    <cellStyle name="Título 6 7" xfId="16845" xr:uid="{00000000-0005-0000-0000-00001C700000}"/>
    <cellStyle name="Título 6 7 2" xfId="21805" xr:uid="{00000000-0005-0000-0000-00001D700000}"/>
    <cellStyle name="Título 6 8" xfId="16838" xr:uid="{00000000-0005-0000-0000-00001E700000}"/>
    <cellStyle name="Título 6 9" xfId="21798" xr:uid="{00000000-0005-0000-0000-00001F700000}"/>
    <cellStyle name="Título 7" xfId="1356" xr:uid="{00000000-0005-0000-0000-000020700000}"/>
    <cellStyle name="Título 7 2" xfId="2588" xr:uid="{00000000-0005-0000-0000-000021700000}"/>
    <cellStyle name="Título 7 2 2" xfId="21807" xr:uid="{00000000-0005-0000-0000-000022700000}"/>
    <cellStyle name="Título 7 2 3" xfId="16847" xr:uid="{00000000-0005-0000-0000-000023700000}"/>
    <cellStyle name="Título 7 2 4" xfId="24442" xr:uid="{00000000-0005-0000-0000-000024700000}"/>
    <cellStyle name="Título 7 3" xfId="3929" xr:uid="{00000000-0005-0000-0000-000025700000}"/>
    <cellStyle name="Título 7 3 2" xfId="21808" xr:uid="{00000000-0005-0000-0000-000026700000}"/>
    <cellStyle name="Título 7 3 3" xfId="16848" xr:uid="{00000000-0005-0000-0000-000027700000}"/>
    <cellStyle name="Título 7 4" xfId="16849" xr:uid="{00000000-0005-0000-0000-000028700000}"/>
    <cellStyle name="Título 7 4 2" xfId="21809" xr:uid="{00000000-0005-0000-0000-000029700000}"/>
    <cellStyle name="Título 7 5" xfId="16846" xr:uid="{00000000-0005-0000-0000-00002A700000}"/>
    <cellStyle name="Título 7 6" xfId="21806" xr:uid="{00000000-0005-0000-0000-00002B700000}"/>
    <cellStyle name="Título 8" xfId="1357" xr:uid="{00000000-0005-0000-0000-00002C700000}"/>
    <cellStyle name="Título 8 2" xfId="16851" xr:uid="{00000000-0005-0000-0000-00002D700000}"/>
    <cellStyle name="Título 8 2 2" xfId="21811" xr:uid="{00000000-0005-0000-0000-00002E700000}"/>
    <cellStyle name="Título 8 3" xfId="16852" xr:uid="{00000000-0005-0000-0000-00002F700000}"/>
    <cellStyle name="Título 8 3 2" xfId="21812" xr:uid="{00000000-0005-0000-0000-000030700000}"/>
    <cellStyle name="Título 8 4" xfId="16853" xr:uid="{00000000-0005-0000-0000-000031700000}"/>
    <cellStyle name="Título 8 4 2" xfId="21813" xr:uid="{00000000-0005-0000-0000-000032700000}"/>
    <cellStyle name="Título 8 5" xfId="16850" xr:uid="{00000000-0005-0000-0000-000033700000}"/>
    <cellStyle name="Título 8 6" xfId="21810" xr:uid="{00000000-0005-0000-0000-000034700000}"/>
    <cellStyle name="Título 9" xfId="1358" xr:uid="{00000000-0005-0000-0000-000035700000}"/>
    <cellStyle name="Título 9 2" xfId="2589" xr:uid="{00000000-0005-0000-0000-000036700000}"/>
    <cellStyle name="Título 9 2 2" xfId="21815" xr:uid="{00000000-0005-0000-0000-000037700000}"/>
    <cellStyle name="Título 9 2 3" xfId="16855" xr:uid="{00000000-0005-0000-0000-000038700000}"/>
    <cellStyle name="Título 9 2 4" xfId="24443" xr:uid="{00000000-0005-0000-0000-000039700000}"/>
    <cellStyle name="Título 9 3" xfId="3930" xr:uid="{00000000-0005-0000-0000-00003A700000}"/>
    <cellStyle name="Título 9 3 2" xfId="21816" xr:uid="{00000000-0005-0000-0000-00003B700000}"/>
    <cellStyle name="Título 9 3 3" xfId="16856" xr:uid="{00000000-0005-0000-0000-00003C700000}"/>
    <cellStyle name="Título 9 3 4" xfId="24444" xr:uid="{00000000-0005-0000-0000-00003D700000}"/>
    <cellStyle name="Título 9 4" xfId="3601" xr:uid="{00000000-0005-0000-0000-00003E700000}"/>
    <cellStyle name="Título 9 4 2" xfId="21817" xr:uid="{00000000-0005-0000-0000-00003F700000}"/>
    <cellStyle name="Título 9 4 3" xfId="16857" xr:uid="{00000000-0005-0000-0000-000040700000}"/>
    <cellStyle name="Título 9 5" xfId="16854" xr:uid="{00000000-0005-0000-0000-000041700000}"/>
    <cellStyle name="Título 9 6" xfId="21814" xr:uid="{00000000-0005-0000-0000-000042700000}"/>
    <cellStyle name="Total" xfId="348" builtinId="25" customBuiltin="1"/>
    <cellStyle name="Total 10" xfId="1360" xr:uid="{00000000-0005-0000-0000-000044700000}"/>
    <cellStyle name="Total 10 2" xfId="21818" xr:uid="{00000000-0005-0000-0000-000045700000}"/>
    <cellStyle name="Total 11" xfId="1361" xr:uid="{00000000-0005-0000-0000-000046700000}"/>
    <cellStyle name="Total 12" xfId="1359" xr:uid="{00000000-0005-0000-0000-000047700000}"/>
    <cellStyle name="Total 13" xfId="1414" xr:uid="{00000000-0005-0000-0000-000048700000}"/>
    <cellStyle name="Total 14" xfId="2761" xr:uid="{00000000-0005-0000-0000-000049700000}"/>
    <cellStyle name="Total 14 2" xfId="24445" xr:uid="{00000000-0005-0000-0000-00004A700000}"/>
    <cellStyle name="Total 15" xfId="4917" xr:uid="{00000000-0005-0000-0000-00004B700000}"/>
    <cellStyle name="Total 15 2" xfId="24446" xr:uid="{00000000-0005-0000-0000-00004C700000}"/>
    <cellStyle name="Total 2" xfId="780" xr:uid="{00000000-0005-0000-0000-00004D700000}"/>
    <cellStyle name="Total 2 10" xfId="16860" xr:uid="{00000000-0005-0000-0000-00004E700000}"/>
    <cellStyle name="Total 2 10 2" xfId="21820" xr:uid="{00000000-0005-0000-0000-00004F700000}"/>
    <cellStyle name="Total 2 11" xfId="16861" xr:uid="{00000000-0005-0000-0000-000050700000}"/>
    <cellStyle name="Total 2 11 2" xfId="21821" xr:uid="{00000000-0005-0000-0000-000051700000}"/>
    <cellStyle name="Total 2 12" xfId="16862" xr:uid="{00000000-0005-0000-0000-000052700000}"/>
    <cellStyle name="Total 2 12 2" xfId="21822" xr:uid="{00000000-0005-0000-0000-000053700000}"/>
    <cellStyle name="Total 2 13" xfId="16863" xr:uid="{00000000-0005-0000-0000-000054700000}"/>
    <cellStyle name="Total 2 13 2" xfId="21823" xr:uid="{00000000-0005-0000-0000-000055700000}"/>
    <cellStyle name="Total 2 14" xfId="16864" xr:uid="{00000000-0005-0000-0000-000056700000}"/>
    <cellStyle name="Total 2 14 2" xfId="21824" xr:uid="{00000000-0005-0000-0000-000057700000}"/>
    <cellStyle name="Total 2 15" xfId="16865" xr:uid="{00000000-0005-0000-0000-000058700000}"/>
    <cellStyle name="Total 2 15 2" xfId="21825" xr:uid="{00000000-0005-0000-0000-000059700000}"/>
    <cellStyle name="Total 2 16" xfId="16866" xr:uid="{00000000-0005-0000-0000-00005A700000}"/>
    <cellStyle name="Total 2 16 2" xfId="21826" xr:uid="{00000000-0005-0000-0000-00005B700000}"/>
    <cellStyle name="Total 2 17" xfId="16867" xr:uid="{00000000-0005-0000-0000-00005C700000}"/>
    <cellStyle name="Total 2 17 2" xfId="21827" xr:uid="{00000000-0005-0000-0000-00005D700000}"/>
    <cellStyle name="Total 2 18" xfId="16868" xr:uid="{00000000-0005-0000-0000-00005E700000}"/>
    <cellStyle name="Total 2 18 2" xfId="21828" xr:uid="{00000000-0005-0000-0000-00005F700000}"/>
    <cellStyle name="Total 2 19" xfId="16869" xr:uid="{00000000-0005-0000-0000-000060700000}"/>
    <cellStyle name="Total 2 19 2" xfId="21829" xr:uid="{00000000-0005-0000-0000-000061700000}"/>
    <cellStyle name="Total 2 2" xfId="1362" xr:uid="{00000000-0005-0000-0000-000062700000}"/>
    <cellStyle name="Total 2 2 10" xfId="16871" xr:uid="{00000000-0005-0000-0000-000063700000}"/>
    <cellStyle name="Total 2 2 10 2" xfId="21831" xr:uid="{00000000-0005-0000-0000-000064700000}"/>
    <cellStyle name="Total 2 2 11" xfId="16872" xr:uid="{00000000-0005-0000-0000-000065700000}"/>
    <cellStyle name="Total 2 2 11 2" xfId="21832" xr:uid="{00000000-0005-0000-0000-000066700000}"/>
    <cellStyle name="Total 2 2 12" xfId="16873" xr:uid="{00000000-0005-0000-0000-000067700000}"/>
    <cellStyle name="Total 2 2 12 2" xfId="21833" xr:uid="{00000000-0005-0000-0000-000068700000}"/>
    <cellStyle name="Total 2 2 13" xfId="21830" xr:uid="{00000000-0005-0000-0000-000069700000}"/>
    <cellStyle name="Total 2 2 14" xfId="16870" xr:uid="{00000000-0005-0000-0000-00006A700000}"/>
    <cellStyle name="Total 2 2 15" xfId="24447" xr:uid="{00000000-0005-0000-0000-00006B700000}"/>
    <cellStyle name="Total 2 2 2" xfId="16874" xr:uid="{00000000-0005-0000-0000-00006C700000}"/>
    <cellStyle name="Total 2 2 2 2" xfId="21834" xr:uid="{00000000-0005-0000-0000-00006D700000}"/>
    <cellStyle name="Total 2 2 2 3" xfId="24448" xr:uid="{00000000-0005-0000-0000-00006E700000}"/>
    <cellStyle name="Total 2 2 3" xfId="16875" xr:uid="{00000000-0005-0000-0000-00006F700000}"/>
    <cellStyle name="Total 2 2 3 2" xfId="21835" xr:uid="{00000000-0005-0000-0000-000070700000}"/>
    <cellStyle name="Total 2 2 4" xfId="16876" xr:uid="{00000000-0005-0000-0000-000071700000}"/>
    <cellStyle name="Total 2 2 4 2" xfId="21836" xr:uid="{00000000-0005-0000-0000-000072700000}"/>
    <cellStyle name="Total 2 2 5" xfId="16877" xr:uid="{00000000-0005-0000-0000-000073700000}"/>
    <cellStyle name="Total 2 2 5 2" xfId="21837" xr:uid="{00000000-0005-0000-0000-000074700000}"/>
    <cellStyle name="Total 2 2 6" xfId="16878" xr:uid="{00000000-0005-0000-0000-000075700000}"/>
    <cellStyle name="Total 2 2 6 2" xfId="21838" xr:uid="{00000000-0005-0000-0000-000076700000}"/>
    <cellStyle name="Total 2 2 7" xfId="16879" xr:uid="{00000000-0005-0000-0000-000077700000}"/>
    <cellStyle name="Total 2 2 7 2" xfId="21839" xr:uid="{00000000-0005-0000-0000-000078700000}"/>
    <cellStyle name="Total 2 2 8" xfId="16880" xr:uid="{00000000-0005-0000-0000-000079700000}"/>
    <cellStyle name="Total 2 2 8 2" xfId="21840" xr:uid="{00000000-0005-0000-0000-00007A700000}"/>
    <cellStyle name="Total 2 2 9" xfId="16881" xr:uid="{00000000-0005-0000-0000-00007B700000}"/>
    <cellStyle name="Total 2 2 9 2" xfId="21841" xr:uid="{00000000-0005-0000-0000-00007C700000}"/>
    <cellStyle name="Total 2 20" xfId="16882" xr:uid="{00000000-0005-0000-0000-00007D700000}"/>
    <cellStyle name="Total 2 20 2" xfId="21842" xr:uid="{00000000-0005-0000-0000-00007E700000}"/>
    <cellStyle name="Total 2 21" xfId="16883" xr:uid="{00000000-0005-0000-0000-00007F700000}"/>
    <cellStyle name="Total 2 21 2" xfId="21843" xr:uid="{00000000-0005-0000-0000-000080700000}"/>
    <cellStyle name="Total 2 22" xfId="16859" xr:uid="{00000000-0005-0000-0000-000081700000}"/>
    <cellStyle name="Total 2 23" xfId="21819" xr:uid="{00000000-0005-0000-0000-000082700000}"/>
    <cellStyle name="Total 2 3" xfId="2805" xr:uid="{00000000-0005-0000-0000-000083700000}"/>
    <cellStyle name="Total 2 3 10" xfId="16885" xr:uid="{00000000-0005-0000-0000-000084700000}"/>
    <cellStyle name="Total 2 3 10 2" xfId="21845" xr:uid="{00000000-0005-0000-0000-000085700000}"/>
    <cellStyle name="Total 2 3 11" xfId="16886" xr:uid="{00000000-0005-0000-0000-000086700000}"/>
    <cellStyle name="Total 2 3 11 2" xfId="21846" xr:uid="{00000000-0005-0000-0000-000087700000}"/>
    <cellStyle name="Total 2 3 12" xfId="16887" xr:uid="{00000000-0005-0000-0000-000088700000}"/>
    <cellStyle name="Total 2 3 12 2" xfId="21847" xr:uid="{00000000-0005-0000-0000-000089700000}"/>
    <cellStyle name="Total 2 3 13" xfId="21844" xr:uid="{00000000-0005-0000-0000-00008A700000}"/>
    <cellStyle name="Total 2 3 14" xfId="16884" xr:uid="{00000000-0005-0000-0000-00008B700000}"/>
    <cellStyle name="Total 2 3 15" xfId="24449" xr:uid="{00000000-0005-0000-0000-00008C700000}"/>
    <cellStyle name="Total 2 3 2" xfId="16888" xr:uid="{00000000-0005-0000-0000-00008D700000}"/>
    <cellStyle name="Total 2 3 2 2" xfId="21848" xr:uid="{00000000-0005-0000-0000-00008E700000}"/>
    <cellStyle name="Total 2 3 3" xfId="16889" xr:uid="{00000000-0005-0000-0000-00008F700000}"/>
    <cellStyle name="Total 2 3 3 2" xfId="21849" xr:uid="{00000000-0005-0000-0000-000090700000}"/>
    <cellStyle name="Total 2 3 4" xfId="16890" xr:uid="{00000000-0005-0000-0000-000091700000}"/>
    <cellStyle name="Total 2 3 4 2" xfId="21850" xr:uid="{00000000-0005-0000-0000-000092700000}"/>
    <cellStyle name="Total 2 3 5" xfId="16891" xr:uid="{00000000-0005-0000-0000-000093700000}"/>
    <cellStyle name="Total 2 3 5 2" xfId="21851" xr:uid="{00000000-0005-0000-0000-000094700000}"/>
    <cellStyle name="Total 2 3 6" xfId="16892" xr:uid="{00000000-0005-0000-0000-000095700000}"/>
    <cellStyle name="Total 2 3 6 2" xfId="21852" xr:uid="{00000000-0005-0000-0000-000096700000}"/>
    <cellStyle name="Total 2 3 7" xfId="16893" xr:uid="{00000000-0005-0000-0000-000097700000}"/>
    <cellStyle name="Total 2 3 7 2" xfId="21853" xr:uid="{00000000-0005-0000-0000-000098700000}"/>
    <cellStyle name="Total 2 3 8" xfId="16894" xr:uid="{00000000-0005-0000-0000-000099700000}"/>
    <cellStyle name="Total 2 3 8 2" xfId="21854" xr:uid="{00000000-0005-0000-0000-00009A700000}"/>
    <cellStyle name="Total 2 3 9" xfId="16895" xr:uid="{00000000-0005-0000-0000-00009B700000}"/>
    <cellStyle name="Total 2 3 9 2" xfId="21855" xr:uid="{00000000-0005-0000-0000-00009C700000}"/>
    <cellStyle name="Total 2 4" xfId="16896" xr:uid="{00000000-0005-0000-0000-00009D700000}"/>
    <cellStyle name="Total 2 4 10" xfId="16897" xr:uid="{00000000-0005-0000-0000-00009E700000}"/>
    <cellStyle name="Total 2 4 10 2" xfId="21857" xr:uid="{00000000-0005-0000-0000-00009F700000}"/>
    <cellStyle name="Total 2 4 11" xfId="16898" xr:uid="{00000000-0005-0000-0000-0000A0700000}"/>
    <cellStyle name="Total 2 4 11 2" xfId="21858" xr:uid="{00000000-0005-0000-0000-0000A1700000}"/>
    <cellStyle name="Total 2 4 12" xfId="21856" xr:uid="{00000000-0005-0000-0000-0000A2700000}"/>
    <cellStyle name="Total 2 4 13" xfId="24450" xr:uid="{00000000-0005-0000-0000-0000A3700000}"/>
    <cellStyle name="Total 2 4 2" xfId="16899" xr:uid="{00000000-0005-0000-0000-0000A4700000}"/>
    <cellStyle name="Total 2 4 2 2" xfId="21859" xr:uid="{00000000-0005-0000-0000-0000A5700000}"/>
    <cellStyle name="Total 2 4 3" xfId="16900" xr:uid="{00000000-0005-0000-0000-0000A6700000}"/>
    <cellStyle name="Total 2 4 3 2" xfId="21860" xr:uid="{00000000-0005-0000-0000-0000A7700000}"/>
    <cellStyle name="Total 2 4 4" xfId="16901" xr:uid="{00000000-0005-0000-0000-0000A8700000}"/>
    <cellStyle name="Total 2 4 4 2" xfId="21861" xr:uid="{00000000-0005-0000-0000-0000A9700000}"/>
    <cellStyle name="Total 2 4 5" xfId="16902" xr:uid="{00000000-0005-0000-0000-0000AA700000}"/>
    <cellStyle name="Total 2 4 5 2" xfId="21862" xr:uid="{00000000-0005-0000-0000-0000AB700000}"/>
    <cellStyle name="Total 2 4 6" xfId="16903" xr:uid="{00000000-0005-0000-0000-0000AC700000}"/>
    <cellStyle name="Total 2 4 6 2" xfId="21863" xr:uid="{00000000-0005-0000-0000-0000AD700000}"/>
    <cellStyle name="Total 2 4 7" xfId="16904" xr:uid="{00000000-0005-0000-0000-0000AE700000}"/>
    <cellStyle name="Total 2 4 7 2" xfId="21864" xr:uid="{00000000-0005-0000-0000-0000AF700000}"/>
    <cellStyle name="Total 2 4 8" xfId="16905" xr:uid="{00000000-0005-0000-0000-0000B0700000}"/>
    <cellStyle name="Total 2 4 8 2" xfId="21865" xr:uid="{00000000-0005-0000-0000-0000B1700000}"/>
    <cellStyle name="Total 2 4 9" xfId="16906" xr:uid="{00000000-0005-0000-0000-0000B2700000}"/>
    <cellStyle name="Total 2 4 9 2" xfId="21866" xr:uid="{00000000-0005-0000-0000-0000B3700000}"/>
    <cellStyle name="Total 2 5" xfId="16907" xr:uid="{00000000-0005-0000-0000-0000B4700000}"/>
    <cellStyle name="Total 2 5 10" xfId="16908" xr:uid="{00000000-0005-0000-0000-0000B5700000}"/>
    <cellStyle name="Total 2 5 10 2" xfId="21868" xr:uid="{00000000-0005-0000-0000-0000B6700000}"/>
    <cellStyle name="Total 2 5 11" xfId="16909" xr:uid="{00000000-0005-0000-0000-0000B7700000}"/>
    <cellStyle name="Total 2 5 11 2" xfId="21869" xr:uid="{00000000-0005-0000-0000-0000B8700000}"/>
    <cellStyle name="Total 2 5 12" xfId="21867" xr:uid="{00000000-0005-0000-0000-0000B9700000}"/>
    <cellStyle name="Total 2 5 2" xfId="16910" xr:uid="{00000000-0005-0000-0000-0000BA700000}"/>
    <cellStyle name="Total 2 5 2 2" xfId="21870" xr:uid="{00000000-0005-0000-0000-0000BB700000}"/>
    <cellStyle name="Total 2 5 3" xfId="16911" xr:uid="{00000000-0005-0000-0000-0000BC700000}"/>
    <cellStyle name="Total 2 5 3 2" xfId="21871" xr:uid="{00000000-0005-0000-0000-0000BD700000}"/>
    <cellStyle name="Total 2 5 4" xfId="16912" xr:uid="{00000000-0005-0000-0000-0000BE700000}"/>
    <cellStyle name="Total 2 5 4 2" xfId="21872" xr:uid="{00000000-0005-0000-0000-0000BF700000}"/>
    <cellStyle name="Total 2 5 5" xfId="16913" xr:uid="{00000000-0005-0000-0000-0000C0700000}"/>
    <cellStyle name="Total 2 5 5 2" xfId="21873" xr:uid="{00000000-0005-0000-0000-0000C1700000}"/>
    <cellStyle name="Total 2 5 6" xfId="16914" xr:uid="{00000000-0005-0000-0000-0000C2700000}"/>
    <cellStyle name="Total 2 5 6 2" xfId="21874" xr:uid="{00000000-0005-0000-0000-0000C3700000}"/>
    <cellStyle name="Total 2 5 7" xfId="16915" xr:uid="{00000000-0005-0000-0000-0000C4700000}"/>
    <cellStyle name="Total 2 5 7 2" xfId="21875" xr:uid="{00000000-0005-0000-0000-0000C5700000}"/>
    <cellStyle name="Total 2 5 8" xfId="16916" xr:uid="{00000000-0005-0000-0000-0000C6700000}"/>
    <cellStyle name="Total 2 5 8 2" xfId="21876" xr:uid="{00000000-0005-0000-0000-0000C7700000}"/>
    <cellStyle name="Total 2 5 9" xfId="16917" xr:uid="{00000000-0005-0000-0000-0000C8700000}"/>
    <cellStyle name="Total 2 5 9 2" xfId="21877" xr:uid="{00000000-0005-0000-0000-0000C9700000}"/>
    <cellStyle name="Total 2 6" xfId="16918" xr:uid="{00000000-0005-0000-0000-0000CA700000}"/>
    <cellStyle name="Total 2 6 10" xfId="16919" xr:uid="{00000000-0005-0000-0000-0000CB700000}"/>
    <cellStyle name="Total 2 6 10 2" xfId="21879" xr:uid="{00000000-0005-0000-0000-0000CC700000}"/>
    <cellStyle name="Total 2 6 11" xfId="16920" xr:uid="{00000000-0005-0000-0000-0000CD700000}"/>
    <cellStyle name="Total 2 6 11 2" xfId="21880" xr:uid="{00000000-0005-0000-0000-0000CE700000}"/>
    <cellStyle name="Total 2 6 12" xfId="21878" xr:uid="{00000000-0005-0000-0000-0000CF700000}"/>
    <cellStyle name="Total 2 6 2" xfId="16921" xr:uid="{00000000-0005-0000-0000-0000D0700000}"/>
    <cellStyle name="Total 2 6 2 2" xfId="21881" xr:uid="{00000000-0005-0000-0000-0000D1700000}"/>
    <cellStyle name="Total 2 6 3" xfId="16922" xr:uid="{00000000-0005-0000-0000-0000D2700000}"/>
    <cellStyle name="Total 2 6 3 2" xfId="21882" xr:uid="{00000000-0005-0000-0000-0000D3700000}"/>
    <cellStyle name="Total 2 6 4" xfId="16923" xr:uid="{00000000-0005-0000-0000-0000D4700000}"/>
    <cellStyle name="Total 2 6 4 2" xfId="21883" xr:uid="{00000000-0005-0000-0000-0000D5700000}"/>
    <cellStyle name="Total 2 6 5" xfId="16924" xr:uid="{00000000-0005-0000-0000-0000D6700000}"/>
    <cellStyle name="Total 2 6 5 2" xfId="21884" xr:uid="{00000000-0005-0000-0000-0000D7700000}"/>
    <cellStyle name="Total 2 6 6" xfId="16925" xr:uid="{00000000-0005-0000-0000-0000D8700000}"/>
    <cellStyle name="Total 2 6 6 2" xfId="21885" xr:uid="{00000000-0005-0000-0000-0000D9700000}"/>
    <cellStyle name="Total 2 6 7" xfId="16926" xr:uid="{00000000-0005-0000-0000-0000DA700000}"/>
    <cellStyle name="Total 2 6 7 2" xfId="21886" xr:uid="{00000000-0005-0000-0000-0000DB700000}"/>
    <cellStyle name="Total 2 6 8" xfId="16927" xr:uid="{00000000-0005-0000-0000-0000DC700000}"/>
    <cellStyle name="Total 2 6 8 2" xfId="21887" xr:uid="{00000000-0005-0000-0000-0000DD700000}"/>
    <cellStyle name="Total 2 6 9" xfId="16928" xr:uid="{00000000-0005-0000-0000-0000DE700000}"/>
    <cellStyle name="Total 2 6 9 2" xfId="21888" xr:uid="{00000000-0005-0000-0000-0000DF700000}"/>
    <cellStyle name="Total 2 7" xfId="16929" xr:uid="{00000000-0005-0000-0000-0000E0700000}"/>
    <cellStyle name="Total 2 7 10" xfId="16930" xr:uid="{00000000-0005-0000-0000-0000E1700000}"/>
    <cellStyle name="Total 2 7 10 2" xfId="21890" xr:uid="{00000000-0005-0000-0000-0000E2700000}"/>
    <cellStyle name="Total 2 7 11" xfId="16931" xr:uid="{00000000-0005-0000-0000-0000E3700000}"/>
    <cellStyle name="Total 2 7 11 2" xfId="21891" xr:uid="{00000000-0005-0000-0000-0000E4700000}"/>
    <cellStyle name="Total 2 7 12" xfId="21889" xr:uid="{00000000-0005-0000-0000-0000E5700000}"/>
    <cellStyle name="Total 2 7 2" xfId="16932" xr:uid="{00000000-0005-0000-0000-0000E6700000}"/>
    <cellStyle name="Total 2 7 2 2" xfId="21892" xr:uid="{00000000-0005-0000-0000-0000E7700000}"/>
    <cellStyle name="Total 2 7 3" xfId="16933" xr:uid="{00000000-0005-0000-0000-0000E8700000}"/>
    <cellStyle name="Total 2 7 3 2" xfId="21893" xr:uid="{00000000-0005-0000-0000-0000E9700000}"/>
    <cellStyle name="Total 2 7 4" xfId="16934" xr:uid="{00000000-0005-0000-0000-0000EA700000}"/>
    <cellStyle name="Total 2 7 4 2" xfId="21894" xr:uid="{00000000-0005-0000-0000-0000EB700000}"/>
    <cellStyle name="Total 2 7 5" xfId="16935" xr:uid="{00000000-0005-0000-0000-0000EC700000}"/>
    <cellStyle name="Total 2 7 5 2" xfId="21895" xr:uid="{00000000-0005-0000-0000-0000ED700000}"/>
    <cellStyle name="Total 2 7 6" xfId="16936" xr:uid="{00000000-0005-0000-0000-0000EE700000}"/>
    <cellStyle name="Total 2 7 6 2" xfId="21896" xr:uid="{00000000-0005-0000-0000-0000EF700000}"/>
    <cellStyle name="Total 2 7 7" xfId="16937" xr:uid="{00000000-0005-0000-0000-0000F0700000}"/>
    <cellStyle name="Total 2 7 7 2" xfId="21897" xr:uid="{00000000-0005-0000-0000-0000F1700000}"/>
    <cellStyle name="Total 2 7 8" xfId="16938" xr:uid="{00000000-0005-0000-0000-0000F2700000}"/>
    <cellStyle name="Total 2 7 8 2" xfId="21898" xr:uid="{00000000-0005-0000-0000-0000F3700000}"/>
    <cellStyle name="Total 2 7 9" xfId="16939" xr:uid="{00000000-0005-0000-0000-0000F4700000}"/>
    <cellStyle name="Total 2 7 9 2" xfId="21899" xr:uid="{00000000-0005-0000-0000-0000F5700000}"/>
    <cellStyle name="Total 2 8" xfId="16940" xr:uid="{00000000-0005-0000-0000-0000F6700000}"/>
    <cellStyle name="Total 2 8 2" xfId="21900" xr:uid="{00000000-0005-0000-0000-0000F7700000}"/>
    <cellStyle name="Total 2 9" xfId="16941" xr:uid="{00000000-0005-0000-0000-0000F8700000}"/>
    <cellStyle name="Total 2 9 2" xfId="21901" xr:uid="{00000000-0005-0000-0000-0000F9700000}"/>
    <cellStyle name="Total 3" xfId="779" xr:uid="{00000000-0005-0000-0000-0000FA700000}"/>
    <cellStyle name="Total 3 10" xfId="16943" xr:uid="{00000000-0005-0000-0000-0000FB700000}"/>
    <cellStyle name="Total 3 10 2" xfId="21903" xr:uid="{00000000-0005-0000-0000-0000FC700000}"/>
    <cellStyle name="Total 3 11" xfId="16944" xr:uid="{00000000-0005-0000-0000-0000FD700000}"/>
    <cellStyle name="Total 3 11 2" xfId="21904" xr:uid="{00000000-0005-0000-0000-0000FE700000}"/>
    <cellStyle name="Total 3 12" xfId="16945" xr:uid="{00000000-0005-0000-0000-0000FF700000}"/>
    <cellStyle name="Total 3 12 2" xfId="21905" xr:uid="{00000000-0005-0000-0000-000000710000}"/>
    <cellStyle name="Total 3 13" xfId="16946" xr:uid="{00000000-0005-0000-0000-000001710000}"/>
    <cellStyle name="Total 3 13 2" xfId="21906" xr:uid="{00000000-0005-0000-0000-000002710000}"/>
    <cellStyle name="Total 3 14" xfId="16947" xr:uid="{00000000-0005-0000-0000-000003710000}"/>
    <cellStyle name="Total 3 14 2" xfId="16948" xr:uid="{00000000-0005-0000-0000-000004710000}"/>
    <cellStyle name="Total 3 14 2 2" xfId="21908" xr:uid="{00000000-0005-0000-0000-000005710000}"/>
    <cellStyle name="Total 3 14 3" xfId="16949" xr:uid="{00000000-0005-0000-0000-000006710000}"/>
    <cellStyle name="Total 3 14 3 2" xfId="21909" xr:uid="{00000000-0005-0000-0000-000007710000}"/>
    <cellStyle name="Total 3 14 4" xfId="16950" xr:uid="{00000000-0005-0000-0000-000008710000}"/>
    <cellStyle name="Total 3 14 4 2" xfId="21910" xr:uid="{00000000-0005-0000-0000-000009710000}"/>
    <cellStyle name="Total 3 14 5" xfId="16951" xr:uid="{00000000-0005-0000-0000-00000A710000}"/>
    <cellStyle name="Total 3 14 5 2" xfId="21911" xr:uid="{00000000-0005-0000-0000-00000B710000}"/>
    <cellStyle name="Total 3 14 6" xfId="21907" xr:uid="{00000000-0005-0000-0000-00000C710000}"/>
    <cellStyle name="Total 3 15" xfId="16952" xr:uid="{00000000-0005-0000-0000-00000D710000}"/>
    <cellStyle name="Total 3 15 2" xfId="21912" xr:uid="{00000000-0005-0000-0000-00000E710000}"/>
    <cellStyle name="Total 3 16" xfId="16953" xr:uid="{00000000-0005-0000-0000-00000F710000}"/>
    <cellStyle name="Total 3 16 2" xfId="21913" xr:uid="{00000000-0005-0000-0000-000010710000}"/>
    <cellStyle name="Total 3 17" xfId="16942" xr:uid="{00000000-0005-0000-0000-000011710000}"/>
    <cellStyle name="Total 3 18" xfId="21902" xr:uid="{00000000-0005-0000-0000-000012710000}"/>
    <cellStyle name="Total 3 2" xfId="2590" xr:uid="{00000000-0005-0000-0000-000013710000}"/>
    <cellStyle name="Total 3 2 10" xfId="16955" xr:uid="{00000000-0005-0000-0000-000014710000}"/>
    <cellStyle name="Total 3 2 10 2" xfId="21915" xr:uid="{00000000-0005-0000-0000-000015710000}"/>
    <cellStyle name="Total 3 2 11" xfId="16956" xr:uid="{00000000-0005-0000-0000-000016710000}"/>
    <cellStyle name="Total 3 2 11 2" xfId="21916" xr:uid="{00000000-0005-0000-0000-000017710000}"/>
    <cellStyle name="Total 3 2 12" xfId="16957" xr:uid="{00000000-0005-0000-0000-000018710000}"/>
    <cellStyle name="Total 3 2 12 2" xfId="21917" xr:uid="{00000000-0005-0000-0000-000019710000}"/>
    <cellStyle name="Total 3 2 13" xfId="16958" xr:uid="{00000000-0005-0000-0000-00001A710000}"/>
    <cellStyle name="Total 3 2 13 2" xfId="16959" xr:uid="{00000000-0005-0000-0000-00001B710000}"/>
    <cellStyle name="Total 3 2 13 2 2" xfId="21919" xr:uid="{00000000-0005-0000-0000-00001C710000}"/>
    <cellStyle name="Total 3 2 13 3" xfId="16960" xr:uid="{00000000-0005-0000-0000-00001D710000}"/>
    <cellStyle name="Total 3 2 13 3 2" xfId="21920" xr:uid="{00000000-0005-0000-0000-00001E710000}"/>
    <cellStyle name="Total 3 2 13 4" xfId="16961" xr:uid="{00000000-0005-0000-0000-00001F710000}"/>
    <cellStyle name="Total 3 2 13 4 2" xfId="21921" xr:uid="{00000000-0005-0000-0000-000020710000}"/>
    <cellStyle name="Total 3 2 13 5" xfId="16962" xr:uid="{00000000-0005-0000-0000-000021710000}"/>
    <cellStyle name="Total 3 2 13 5 2" xfId="21922" xr:uid="{00000000-0005-0000-0000-000022710000}"/>
    <cellStyle name="Total 3 2 13 6" xfId="21918" xr:uid="{00000000-0005-0000-0000-000023710000}"/>
    <cellStyle name="Total 3 2 14" xfId="16963" xr:uid="{00000000-0005-0000-0000-000024710000}"/>
    <cellStyle name="Total 3 2 14 2" xfId="21923" xr:uid="{00000000-0005-0000-0000-000025710000}"/>
    <cellStyle name="Total 3 2 15" xfId="16964" xr:uid="{00000000-0005-0000-0000-000026710000}"/>
    <cellStyle name="Total 3 2 15 2" xfId="21924" xr:uid="{00000000-0005-0000-0000-000027710000}"/>
    <cellStyle name="Total 3 2 16" xfId="16954" xr:uid="{00000000-0005-0000-0000-000028710000}"/>
    <cellStyle name="Total 3 2 17" xfId="21914" xr:uid="{00000000-0005-0000-0000-000029710000}"/>
    <cellStyle name="Total 3 2 2" xfId="3602" xr:uid="{00000000-0005-0000-0000-00002A710000}"/>
    <cellStyle name="Total 3 2 2 2" xfId="16966" xr:uid="{00000000-0005-0000-0000-00002B710000}"/>
    <cellStyle name="Total 3 2 2 2 2" xfId="16967" xr:uid="{00000000-0005-0000-0000-00002C710000}"/>
    <cellStyle name="Total 3 2 2 2 2 2" xfId="21927" xr:uid="{00000000-0005-0000-0000-00002D710000}"/>
    <cellStyle name="Total 3 2 2 2 3" xfId="16968" xr:uid="{00000000-0005-0000-0000-00002E710000}"/>
    <cellStyle name="Total 3 2 2 2 3 2" xfId="21928" xr:uid="{00000000-0005-0000-0000-00002F710000}"/>
    <cellStyle name="Total 3 2 2 2 4" xfId="16969" xr:uid="{00000000-0005-0000-0000-000030710000}"/>
    <cellStyle name="Total 3 2 2 2 4 2" xfId="21929" xr:uid="{00000000-0005-0000-0000-000031710000}"/>
    <cellStyle name="Total 3 2 2 2 5" xfId="16970" xr:uid="{00000000-0005-0000-0000-000032710000}"/>
    <cellStyle name="Total 3 2 2 2 5 2" xfId="21930" xr:uid="{00000000-0005-0000-0000-000033710000}"/>
    <cellStyle name="Total 3 2 2 2 6" xfId="21926" xr:uid="{00000000-0005-0000-0000-000034710000}"/>
    <cellStyle name="Total 3 2 2 3" xfId="16971" xr:uid="{00000000-0005-0000-0000-000035710000}"/>
    <cellStyle name="Total 3 2 2 3 2" xfId="21931" xr:uid="{00000000-0005-0000-0000-000036710000}"/>
    <cellStyle name="Total 3 2 2 4" xfId="16972" xr:uid="{00000000-0005-0000-0000-000037710000}"/>
    <cellStyle name="Total 3 2 2 4 2" xfId="21932" xr:uid="{00000000-0005-0000-0000-000038710000}"/>
    <cellStyle name="Total 3 2 2 5" xfId="21925" xr:uid="{00000000-0005-0000-0000-000039710000}"/>
    <cellStyle name="Total 3 2 2 6" xfId="16965" xr:uid="{00000000-0005-0000-0000-00003A710000}"/>
    <cellStyle name="Total 3 2 3" xfId="3603" xr:uid="{00000000-0005-0000-0000-00003B710000}"/>
    <cellStyle name="Total 3 2 3 2" xfId="16974" xr:uid="{00000000-0005-0000-0000-00003C710000}"/>
    <cellStyle name="Total 3 2 3 2 2" xfId="21934" xr:uid="{00000000-0005-0000-0000-00003D710000}"/>
    <cellStyle name="Total 3 2 3 3" xfId="16975" xr:uid="{00000000-0005-0000-0000-00003E710000}"/>
    <cellStyle name="Total 3 2 3 3 2" xfId="21935" xr:uid="{00000000-0005-0000-0000-00003F710000}"/>
    <cellStyle name="Total 3 2 3 4" xfId="16976" xr:uid="{00000000-0005-0000-0000-000040710000}"/>
    <cellStyle name="Total 3 2 3 4 2" xfId="21936" xr:uid="{00000000-0005-0000-0000-000041710000}"/>
    <cellStyle name="Total 3 2 3 5" xfId="21933" xr:uid="{00000000-0005-0000-0000-000042710000}"/>
    <cellStyle name="Total 3 2 3 6" xfId="16973" xr:uid="{00000000-0005-0000-0000-000043710000}"/>
    <cellStyle name="Total 3 2 4" xfId="16977" xr:uid="{00000000-0005-0000-0000-000044710000}"/>
    <cellStyle name="Total 3 2 4 2" xfId="21937" xr:uid="{00000000-0005-0000-0000-000045710000}"/>
    <cellStyle name="Total 3 2 4 3" xfId="24451" xr:uid="{00000000-0005-0000-0000-000046710000}"/>
    <cellStyle name="Total 3 2 5" xfId="16978" xr:uid="{00000000-0005-0000-0000-000047710000}"/>
    <cellStyle name="Total 3 2 5 2" xfId="21938" xr:uid="{00000000-0005-0000-0000-000048710000}"/>
    <cellStyle name="Total 3 2 5 3" xfId="24452" xr:uid="{00000000-0005-0000-0000-000049710000}"/>
    <cellStyle name="Total 3 2 6" xfId="16979" xr:uid="{00000000-0005-0000-0000-00004A710000}"/>
    <cellStyle name="Total 3 2 6 2" xfId="21939" xr:uid="{00000000-0005-0000-0000-00004B710000}"/>
    <cellStyle name="Total 3 2 7" xfId="16980" xr:uid="{00000000-0005-0000-0000-00004C710000}"/>
    <cellStyle name="Total 3 2 7 2" xfId="21940" xr:uid="{00000000-0005-0000-0000-00004D710000}"/>
    <cellStyle name="Total 3 2 8" xfId="16981" xr:uid="{00000000-0005-0000-0000-00004E710000}"/>
    <cellStyle name="Total 3 2 8 2" xfId="21941" xr:uid="{00000000-0005-0000-0000-00004F710000}"/>
    <cellStyle name="Total 3 2 9" xfId="16982" xr:uid="{00000000-0005-0000-0000-000050710000}"/>
    <cellStyle name="Total 3 2 9 2" xfId="21942" xr:uid="{00000000-0005-0000-0000-000051710000}"/>
    <cellStyle name="Total 3 3" xfId="2591" xr:uid="{00000000-0005-0000-0000-000052710000}"/>
    <cellStyle name="Total 3 3 10" xfId="16984" xr:uid="{00000000-0005-0000-0000-000053710000}"/>
    <cellStyle name="Total 3 3 10 2" xfId="21944" xr:uid="{00000000-0005-0000-0000-000054710000}"/>
    <cellStyle name="Total 3 3 11" xfId="16985" xr:uid="{00000000-0005-0000-0000-000055710000}"/>
    <cellStyle name="Total 3 3 11 2" xfId="21945" xr:uid="{00000000-0005-0000-0000-000056710000}"/>
    <cellStyle name="Total 3 3 12" xfId="16986" xr:uid="{00000000-0005-0000-0000-000057710000}"/>
    <cellStyle name="Total 3 3 12 2" xfId="21946" xr:uid="{00000000-0005-0000-0000-000058710000}"/>
    <cellStyle name="Total 3 3 13" xfId="16987" xr:uid="{00000000-0005-0000-0000-000059710000}"/>
    <cellStyle name="Total 3 3 13 2" xfId="16988" xr:uid="{00000000-0005-0000-0000-00005A710000}"/>
    <cellStyle name="Total 3 3 13 2 2" xfId="21948" xr:uid="{00000000-0005-0000-0000-00005B710000}"/>
    <cellStyle name="Total 3 3 13 3" xfId="16989" xr:uid="{00000000-0005-0000-0000-00005C710000}"/>
    <cellStyle name="Total 3 3 13 3 2" xfId="21949" xr:uid="{00000000-0005-0000-0000-00005D710000}"/>
    <cellStyle name="Total 3 3 13 4" xfId="16990" xr:uid="{00000000-0005-0000-0000-00005E710000}"/>
    <cellStyle name="Total 3 3 13 4 2" xfId="21950" xr:uid="{00000000-0005-0000-0000-00005F710000}"/>
    <cellStyle name="Total 3 3 13 5" xfId="16991" xr:uid="{00000000-0005-0000-0000-000060710000}"/>
    <cellStyle name="Total 3 3 13 5 2" xfId="21951" xr:uid="{00000000-0005-0000-0000-000061710000}"/>
    <cellStyle name="Total 3 3 13 6" xfId="21947" xr:uid="{00000000-0005-0000-0000-000062710000}"/>
    <cellStyle name="Total 3 3 14" xfId="16992" xr:uid="{00000000-0005-0000-0000-000063710000}"/>
    <cellStyle name="Total 3 3 14 2" xfId="21952" xr:uid="{00000000-0005-0000-0000-000064710000}"/>
    <cellStyle name="Total 3 3 15" xfId="16993" xr:uid="{00000000-0005-0000-0000-000065710000}"/>
    <cellStyle name="Total 3 3 15 2" xfId="21953" xr:uid="{00000000-0005-0000-0000-000066710000}"/>
    <cellStyle name="Total 3 3 16" xfId="16983" xr:uid="{00000000-0005-0000-0000-000067710000}"/>
    <cellStyle name="Total 3 3 17" xfId="21943" xr:uid="{00000000-0005-0000-0000-000068710000}"/>
    <cellStyle name="Total 3 3 18" xfId="23152" xr:uid="{00000000-0005-0000-0000-000069710000}"/>
    <cellStyle name="Total 3 3 2" xfId="16994" xr:uid="{00000000-0005-0000-0000-00006A710000}"/>
    <cellStyle name="Total 3 3 2 2" xfId="21954" xr:uid="{00000000-0005-0000-0000-00006B710000}"/>
    <cellStyle name="Total 3 3 2 3" xfId="24453" xr:uid="{00000000-0005-0000-0000-00006C710000}"/>
    <cellStyle name="Total 3 3 3" xfId="16995" xr:uid="{00000000-0005-0000-0000-00006D710000}"/>
    <cellStyle name="Total 3 3 3 2" xfId="21955" xr:uid="{00000000-0005-0000-0000-00006E710000}"/>
    <cellStyle name="Total 3 3 3 3" xfId="24454" xr:uid="{00000000-0005-0000-0000-00006F710000}"/>
    <cellStyle name="Total 3 3 4" xfId="16996" xr:uid="{00000000-0005-0000-0000-000070710000}"/>
    <cellStyle name="Total 3 3 4 2" xfId="21956" xr:uid="{00000000-0005-0000-0000-000071710000}"/>
    <cellStyle name="Total 3 3 5" xfId="16997" xr:uid="{00000000-0005-0000-0000-000072710000}"/>
    <cellStyle name="Total 3 3 5 2" xfId="21957" xr:uid="{00000000-0005-0000-0000-000073710000}"/>
    <cellStyle name="Total 3 3 6" xfId="16998" xr:uid="{00000000-0005-0000-0000-000074710000}"/>
    <cellStyle name="Total 3 3 6 2" xfId="21958" xr:uid="{00000000-0005-0000-0000-000075710000}"/>
    <cellStyle name="Total 3 3 7" xfId="16999" xr:uid="{00000000-0005-0000-0000-000076710000}"/>
    <cellStyle name="Total 3 3 7 2" xfId="21959" xr:uid="{00000000-0005-0000-0000-000077710000}"/>
    <cellStyle name="Total 3 3 8" xfId="17000" xr:uid="{00000000-0005-0000-0000-000078710000}"/>
    <cellStyle name="Total 3 3 8 2" xfId="21960" xr:uid="{00000000-0005-0000-0000-000079710000}"/>
    <cellStyle name="Total 3 3 9" xfId="17001" xr:uid="{00000000-0005-0000-0000-00007A710000}"/>
    <cellStyle name="Total 3 3 9 2" xfId="21961" xr:uid="{00000000-0005-0000-0000-00007B710000}"/>
    <cellStyle name="Total 3 4" xfId="2592" xr:uid="{00000000-0005-0000-0000-00007C710000}"/>
    <cellStyle name="Total 3 4 10" xfId="17003" xr:uid="{00000000-0005-0000-0000-00007D710000}"/>
    <cellStyle name="Total 3 4 10 2" xfId="21963" xr:uid="{00000000-0005-0000-0000-00007E710000}"/>
    <cellStyle name="Total 3 4 11" xfId="17004" xr:uid="{00000000-0005-0000-0000-00007F710000}"/>
    <cellStyle name="Total 3 4 11 2" xfId="21964" xr:uid="{00000000-0005-0000-0000-000080710000}"/>
    <cellStyle name="Total 3 4 12" xfId="17005" xr:uid="{00000000-0005-0000-0000-000081710000}"/>
    <cellStyle name="Total 3 4 12 2" xfId="21965" xr:uid="{00000000-0005-0000-0000-000082710000}"/>
    <cellStyle name="Total 3 4 13" xfId="17006" xr:uid="{00000000-0005-0000-0000-000083710000}"/>
    <cellStyle name="Total 3 4 13 2" xfId="21966" xr:uid="{00000000-0005-0000-0000-000084710000}"/>
    <cellStyle name="Total 3 4 14" xfId="17007" xr:uid="{00000000-0005-0000-0000-000085710000}"/>
    <cellStyle name="Total 3 4 14 2" xfId="21967" xr:uid="{00000000-0005-0000-0000-000086710000}"/>
    <cellStyle name="Total 3 4 15" xfId="17008" xr:uid="{00000000-0005-0000-0000-000087710000}"/>
    <cellStyle name="Total 3 4 15 2" xfId="21968" xr:uid="{00000000-0005-0000-0000-000088710000}"/>
    <cellStyle name="Total 3 4 16" xfId="17002" xr:uid="{00000000-0005-0000-0000-000089710000}"/>
    <cellStyle name="Total 3 4 17" xfId="21962" xr:uid="{00000000-0005-0000-0000-00008A710000}"/>
    <cellStyle name="Total 3 4 2" xfId="17009" xr:uid="{00000000-0005-0000-0000-00008B710000}"/>
    <cellStyle name="Total 3 4 2 2" xfId="21969" xr:uid="{00000000-0005-0000-0000-00008C710000}"/>
    <cellStyle name="Total 3 4 2 3" xfId="24455" xr:uid="{00000000-0005-0000-0000-00008D710000}"/>
    <cellStyle name="Total 3 4 3" xfId="17010" xr:uid="{00000000-0005-0000-0000-00008E710000}"/>
    <cellStyle name="Total 3 4 3 2" xfId="21970" xr:uid="{00000000-0005-0000-0000-00008F710000}"/>
    <cellStyle name="Total 3 4 4" xfId="17011" xr:uid="{00000000-0005-0000-0000-000090710000}"/>
    <cellStyle name="Total 3 4 4 2" xfId="21971" xr:uid="{00000000-0005-0000-0000-000091710000}"/>
    <cellStyle name="Total 3 4 5" xfId="17012" xr:uid="{00000000-0005-0000-0000-000092710000}"/>
    <cellStyle name="Total 3 4 5 2" xfId="21972" xr:uid="{00000000-0005-0000-0000-000093710000}"/>
    <cellStyle name="Total 3 4 6" xfId="17013" xr:uid="{00000000-0005-0000-0000-000094710000}"/>
    <cellStyle name="Total 3 4 6 2" xfId="21973" xr:uid="{00000000-0005-0000-0000-000095710000}"/>
    <cellStyle name="Total 3 4 7" xfId="17014" xr:uid="{00000000-0005-0000-0000-000096710000}"/>
    <cellStyle name="Total 3 4 7 2" xfId="21974" xr:uid="{00000000-0005-0000-0000-000097710000}"/>
    <cellStyle name="Total 3 4 8" xfId="17015" xr:uid="{00000000-0005-0000-0000-000098710000}"/>
    <cellStyle name="Total 3 4 8 2" xfId="21975" xr:uid="{00000000-0005-0000-0000-000099710000}"/>
    <cellStyle name="Total 3 4 9" xfId="17016" xr:uid="{00000000-0005-0000-0000-00009A710000}"/>
    <cellStyle name="Total 3 4 9 2" xfId="21976" xr:uid="{00000000-0005-0000-0000-00009B710000}"/>
    <cellStyle name="Total 3 5" xfId="17017" xr:uid="{00000000-0005-0000-0000-00009C710000}"/>
    <cellStyle name="Total 3 5 10" xfId="17018" xr:uid="{00000000-0005-0000-0000-00009D710000}"/>
    <cellStyle name="Total 3 5 10 2" xfId="21978" xr:uid="{00000000-0005-0000-0000-00009E710000}"/>
    <cellStyle name="Total 3 5 11" xfId="17019" xr:uid="{00000000-0005-0000-0000-00009F710000}"/>
    <cellStyle name="Total 3 5 11 2" xfId="21979" xr:uid="{00000000-0005-0000-0000-0000A0710000}"/>
    <cellStyle name="Total 3 5 12" xfId="17020" xr:uid="{00000000-0005-0000-0000-0000A1710000}"/>
    <cellStyle name="Total 3 5 12 2" xfId="21980" xr:uid="{00000000-0005-0000-0000-0000A2710000}"/>
    <cellStyle name="Total 3 5 13" xfId="21977" xr:uid="{00000000-0005-0000-0000-0000A3710000}"/>
    <cellStyle name="Total 3 5 14" xfId="24456" xr:uid="{00000000-0005-0000-0000-0000A4710000}"/>
    <cellStyle name="Total 3 5 2" xfId="17021" xr:uid="{00000000-0005-0000-0000-0000A5710000}"/>
    <cellStyle name="Total 3 5 2 2" xfId="21981" xr:uid="{00000000-0005-0000-0000-0000A6710000}"/>
    <cellStyle name="Total 3 5 3" xfId="17022" xr:uid="{00000000-0005-0000-0000-0000A7710000}"/>
    <cellStyle name="Total 3 5 3 2" xfId="21982" xr:uid="{00000000-0005-0000-0000-0000A8710000}"/>
    <cellStyle name="Total 3 5 4" xfId="17023" xr:uid="{00000000-0005-0000-0000-0000A9710000}"/>
    <cellStyle name="Total 3 5 4 2" xfId="21983" xr:uid="{00000000-0005-0000-0000-0000AA710000}"/>
    <cellStyle name="Total 3 5 5" xfId="17024" xr:uid="{00000000-0005-0000-0000-0000AB710000}"/>
    <cellStyle name="Total 3 5 5 2" xfId="21984" xr:uid="{00000000-0005-0000-0000-0000AC710000}"/>
    <cellStyle name="Total 3 5 6" xfId="17025" xr:uid="{00000000-0005-0000-0000-0000AD710000}"/>
    <cellStyle name="Total 3 5 6 2" xfId="21985" xr:uid="{00000000-0005-0000-0000-0000AE710000}"/>
    <cellStyle name="Total 3 5 7" xfId="17026" xr:uid="{00000000-0005-0000-0000-0000AF710000}"/>
    <cellStyle name="Total 3 5 7 2" xfId="21986" xr:uid="{00000000-0005-0000-0000-0000B0710000}"/>
    <cellStyle name="Total 3 5 8" xfId="17027" xr:uid="{00000000-0005-0000-0000-0000B1710000}"/>
    <cellStyle name="Total 3 5 8 2" xfId="21987" xr:uid="{00000000-0005-0000-0000-0000B2710000}"/>
    <cellStyle name="Total 3 5 9" xfId="17028" xr:uid="{00000000-0005-0000-0000-0000B3710000}"/>
    <cellStyle name="Total 3 5 9 2" xfId="21988" xr:uid="{00000000-0005-0000-0000-0000B4710000}"/>
    <cellStyle name="Total 3 6" xfId="17029" xr:uid="{00000000-0005-0000-0000-0000B5710000}"/>
    <cellStyle name="Total 3 6 10" xfId="17030" xr:uid="{00000000-0005-0000-0000-0000B6710000}"/>
    <cellStyle name="Total 3 6 10 2" xfId="21990" xr:uid="{00000000-0005-0000-0000-0000B7710000}"/>
    <cellStyle name="Total 3 6 11" xfId="17031" xr:uid="{00000000-0005-0000-0000-0000B8710000}"/>
    <cellStyle name="Total 3 6 11 2" xfId="21991" xr:uid="{00000000-0005-0000-0000-0000B9710000}"/>
    <cellStyle name="Total 3 6 12" xfId="17032" xr:uid="{00000000-0005-0000-0000-0000BA710000}"/>
    <cellStyle name="Total 3 6 12 2" xfId="21992" xr:uid="{00000000-0005-0000-0000-0000BB710000}"/>
    <cellStyle name="Total 3 6 13" xfId="21989" xr:uid="{00000000-0005-0000-0000-0000BC710000}"/>
    <cellStyle name="Total 3 6 14" xfId="24457" xr:uid="{00000000-0005-0000-0000-0000BD710000}"/>
    <cellStyle name="Total 3 6 2" xfId="17033" xr:uid="{00000000-0005-0000-0000-0000BE710000}"/>
    <cellStyle name="Total 3 6 2 2" xfId="21993" xr:uid="{00000000-0005-0000-0000-0000BF710000}"/>
    <cellStyle name="Total 3 6 3" xfId="17034" xr:uid="{00000000-0005-0000-0000-0000C0710000}"/>
    <cellStyle name="Total 3 6 3 2" xfId="21994" xr:uid="{00000000-0005-0000-0000-0000C1710000}"/>
    <cellStyle name="Total 3 6 4" xfId="17035" xr:uid="{00000000-0005-0000-0000-0000C2710000}"/>
    <cellStyle name="Total 3 6 4 2" xfId="21995" xr:uid="{00000000-0005-0000-0000-0000C3710000}"/>
    <cellStyle name="Total 3 6 5" xfId="17036" xr:uid="{00000000-0005-0000-0000-0000C4710000}"/>
    <cellStyle name="Total 3 6 5 2" xfId="21996" xr:uid="{00000000-0005-0000-0000-0000C5710000}"/>
    <cellStyle name="Total 3 6 6" xfId="17037" xr:uid="{00000000-0005-0000-0000-0000C6710000}"/>
    <cellStyle name="Total 3 6 6 2" xfId="21997" xr:uid="{00000000-0005-0000-0000-0000C7710000}"/>
    <cellStyle name="Total 3 6 7" xfId="17038" xr:uid="{00000000-0005-0000-0000-0000C8710000}"/>
    <cellStyle name="Total 3 6 7 2" xfId="21998" xr:uid="{00000000-0005-0000-0000-0000C9710000}"/>
    <cellStyle name="Total 3 6 8" xfId="17039" xr:uid="{00000000-0005-0000-0000-0000CA710000}"/>
    <cellStyle name="Total 3 6 8 2" xfId="21999" xr:uid="{00000000-0005-0000-0000-0000CB710000}"/>
    <cellStyle name="Total 3 6 9" xfId="17040" xr:uid="{00000000-0005-0000-0000-0000CC710000}"/>
    <cellStyle name="Total 3 6 9 2" xfId="22000" xr:uid="{00000000-0005-0000-0000-0000CD710000}"/>
    <cellStyle name="Total 3 7" xfId="17041" xr:uid="{00000000-0005-0000-0000-0000CE710000}"/>
    <cellStyle name="Total 3 7 10" xfId="17042" xr:uid="{00000000-0005-0000-0000-0000CF710000}"/>
    <cellStyle name="Total 3 7 10 2" xfId="22002" xr:uid="{00000000-0005-0000-0000-0000D0710000}"/>
    <cellStyle name="Total 3 7 11" xfId="17043" xr:uid="{00000000-0005-0000-0000-0000D1710000}"/>
    <cellStyle name="Total 3 7 11 2" xfId="22003" xr:uid="{00000000-0005-0000-0000-0000D2710000}"/>
    <cellStyle name="Total 3 7 12" xfId="22001" xr:uid="{00000000-0005-0000-0000-0000D3710000}"/>
    <cellStyle name="Total 3 7 13" xfId="24458" xr:uid="{00000000-0005-0000-0000-0000D4710000}"/>
    <cellStyle name="Total 3 7 2" xfId="17044" xr:uid="{00000000-0005-0000-0000-0000D5710000}"/>
    <cellStyle name="Total 3 7 2 2" xfId="22004" xr:uid="{00000000-0005-0000-0000-0000D6710000}"/>
    <cellStyle name="Total 3 7 3" xfId="17045" xr:uid="{00000000-0005-0000-0000-0000D7710000}"/>
    <cellStyle name="Total 3 7 3 2" xfId="22005" xr:uid="{00000000-0005-0000-0000-0000D8710000}"/>
    <cellStyle name="Total 3 7 4" xfId="17046" xr:uid="{00000000-0005-0000-0000-0000D9710000}"/>
    <cellStyle name="Total 3 7 4 2" xfId="22006" xr:uid="{00000000-0005-0000-0000-0000DA710000}"/>
    <cellStyle name="Total 3 7 5" xfId="17047" xr:uid="{00000000-0005-0000-0000-0000DB710000}"/>
    <cellStyle name="Total 3 7 5 2" xfId="22007" xr:uid="{00000000-0005-0000-0000-0000DC710000}"/>
    <cellStyle name="Total 3 7 6" xfId="17048" xr:uid="{00000000-0005-0000-0000-0000DD710000}"/>
    <cellStyle name="Total 3 7 6 2" xfId="22008" xr:uid="{00000000-0005-0000-0000-0000DE710000}"/>
    <cellStyle name="Total 3 7 7" xfId="17049" xr:uid="{00000000-0005-0000-0000-0000DF710000}"/>
    <cellStyle name="Total 3 7 7 2" xfId="22009" xr:uid="{00000000-0005-0000-0000-0000E0710000}"/>
    <cellStyle name="Total 3 7 8" xfId="17050" xr:uid="{00000000-0005-0000-0000-0000E1710000}"/>
    <cellStyle name="Total 3 7 8 2" xfId="22010" xr:uid="{00000000-0005-0000-0000-0000E2710000}"/>
    <cellStyle name="Total 3 7 9" xfId="17051" xr:uid="{00000000-0005-0000-0000-0000E3710000}"/>
    <cellStyle name="Total 3 7 9 2" xfId="22011" xr:uid="{00000000-0005-0000-0000-0000E4710000}"/>
    <cellStyle name="Total 3 8" xfId="17052" xr:uid="{00000000-0005-0000-0000-0000E5710000}"/>
    <cellStyle name="Total 3 8 2" xfId="22012" xr:uid="{00000000-0005-0000-0000-0000E6710000}"/>
    <cellStyle name="Total 3 8 3" xfId="24459" xr:uid="{00000000-0005-0000-0000-0000E7710000}"/>
    <cellStyle name="Total 3 9" xfId="17053" xr:uid="{00000000-0005-0000-0000-0000E8710000}"/>
    <cellStyle name="Total 3 9 2" xfId="22013" xr:uid="{00000000-0005-0000-0000-0000E9710000}"/>
    <cellStyle name="Total 4" xfId="1363" xr:uid="{00000000-0005-0000-0000-0000EA710000}"/>
    <cellStyle name="Total 4 2" xfId="2593" xr:uid="{00000000-0005-0000-0000-0000EB710000}"/>
    <cellStyle name="Total 4 2 2" xfId="22015" xr:uid="{00000000-0005-0000-0000-0000EC710000}"/>
    <cellStyle name="Total 4 2 3" xfId="17055" xr:uid="{00000000-0005-0000-0000-0000ED710000}"/>
    <cellStyle name="Total 4 2 4" xfId="24460" xr:uid="{00000000-0005-0000-0000-0000EE710000}"/>
    <cellStyle name="Total 4 3" xfId="3931" xr:uid="{00000000-0005-0000-0000-0000EF710000}"/>
    <cellStyle name="Total 4 3 2" xfId="22016" xr:uid="{00000000-0005-0000-0000-0000F0710000}"/>
    <cellStyle name="Total 4 3 3" xfId="17056" xr:uid="{00000000-0005-0000-0000-0000F1710000}"/>
    <cellStyle name="Total 4 3 4" xfId="24461" xr:uid="{00000000-0005-0000-0000-0000F2710000}"/>
    <cellStyle name="Total 4 4" xfId="3604" xr:uid="{00000000-0005-0000-0000-0000F3710000}"/>
    <cellStyle name="Total 4 4 2" xfId="22017" xr:uid="{00000000-0005-0000-0000-0000F4710000}"/>
    <cellStyle name="Total 4 4 3" xfId="17057" xr:uid="{00000000-0005-0000-0000-0000F5710000}"/>
    <cellStyle name="Total 4 4 4" xfId="24462" xr:uid="{00000000-0005-0000-0000-0000F6710000}"/>
    <cellStyle name="Total 4 5" xfId="17058" xr:uid="{00000000-0005-0000-0000-0000F7710000}"/>
    <cellStyle name="Total 4 5 2" xfId="22018" xr:uid="{00000000-0005-0000-0000-0000F8710000}"/>
    <cellStyle name="Total 4 5 3" xfId="24463" xr:uid="{00000000-0005-0000-0000-0000F9710000}"/>
    <cellStyle name="Total 4 6" xfId="17059" xr:uid="{00000000-0005-0000-0000-0000FA710000}"/>
    <cellStyle name="Total 4 6 2" xfId="22019" xr:uid="{00000000-0005-0000-0000-0000FB710000}"/>
    <cellStyle name="Total 4 7" xfId="17060" xr:uid="{00000000-0005-0000-0000-0000FC710000}"/>
    <cellStyle name="Total 4 7 2" xfId="22020" xr:uid="{00000000-0005-0000-0000-0000FD710000}"/>
    <cellStyle name="Total 4 8" xfId="17054" xr:uid="{00000000-0005-0000-0000-0000FE710000}"/>
    <cellStyle name="Total 4 9" xfId="22014" xr:uid="{00000000-0005-0000-0000-0000FF710000}"/>
    <cellStyle name="Total 5" xfId="1364" xr:uid="{00000000-0005-0000-0000-000000720000}"/>
    <cellStyle name="Total 5 2" xfId="2594" xr:uid="{00000000-0005-0000-0000-000001720000}"/>
    <cellStyle name="Total 5 2 2" xfId="17063" xr:uid="{00000000-0005-0000-0000-000002720000}"/>
    <cellStyle name="Total 5 2 2 2" xfId="22023" xr:uid="{00000000-0005-0000-0000-000003720000}"/>
    <cellStyle name="Total 5 2 3" xfId="17064" xr:uid="{00000000-0005-0000-0000-000004720000}"/>
    <cellStyle name="Total 5 2 3 2" xfId="22024" xr:uid="{00000000-0005-0000-0000-000005720000}"/>
    <cellStyle name="Total 5 2 4" xfId="17065" xr:uid="{00000000-0005-0000-0000-000006720000}"/>
    <cellStyle name="Total 5 2 4 2" xfId="22025" xr:uid="{00000000-0005-0000-0000-000007720000}"/>
    <cellStyle name="Total 5 2 5" xfId="17066" xr:uid="{00000000-0005-0000-0000-000008720000}"/>
    <cellStyle name="Total 5 2 5 2" xfId="22026" xr:uid="{00000000-0005-0000-0000-000009720000}"/>
    <cellStyle name="Total 5 2 6" xfId="22022" xr:uid="{00000000-0005-0000-0000-00000A720000}"/>
    <cellStyle name="Total 5 2 7" xfId="17062" xr:uid="{00000000-0005-0000-0000-00000B720000}"/>
    <cellStyle name="Total 5 2 8" xfId="24464" xr:uid="{00000000-0005-0000-0000-00000C720000}"/>
    <cellStyle name="Total 5 3" xfId="3932" xr:uid="{00000000-0005-0000-0000-00000D720000}"/>
    <cellStyle name="Total 5 3 2" xfId="22027" xr:uid="{00000000-0005-0000-0000-00000E720000}"/>
    <cellStyle name="Total 5 3 3" xfId="17067" xr:uid="{00000000-0005-0000-0000-00000F720000}"/>
    <cellStyle name="Total 5 3 4" xfId="24465" xr:uid="{00000000-0005-0000-0000-000010720000}"/>
    <cellStyle name="Total 5 4" xfId="3605" xr:uid="{00000000-0005-0000-0000-000011720000}"/>
    <cellStyle name="Total 5 4 2" xfId="22028" xr:uid="{00000000-0005-0000-0000-000012720000}"/>
    <cellStyle name="Total 5 4 3" xfId="17068" xr:uid="{00000000-0005-0000-0000-000013720000}"/>
    <cellStyle name="Total 5 5" xfId="17061" xr:uid="{00000000-0005-0000-0000-000014720000}"/>
    <cellStyle name="Total 5 6" xfId="22021" xr:uid="{00000000-0005-0000-0000-000015720000}"/>
    <cellStyle name="Total 6" xfId="1365" xr:uid="{00000000-0005-0000-0000-000016720000}"/>
    <cellStyle name="Total 6 2" xfId="22029" xr:uid="{00000000-0005-0000-0000-000017720000}"/>
    <cellStyle name="Total 6 3" xfId="17069" xr:uid="{00000000-0005-0000-0000-000018720000}"/>
    <cellStyle name="Total 7" xfId="1366" xr:uid="{00000000-0005-0000-0000-000019720000}"/>
    <cellStyle name="Total 7 2" xfId="17071" xr:uid="{00000000-0005-0000-0000-00001A720000}"/>
    <cellStyle name="Total 7 2 2" xfId="22031" xr:uid="{00000000-0005-0000-0000-00001B720000}"/>
    <cellStyle name="Total 7 3" xfId="17072" xr:uid="{00000000-0005-0000-0000-00001C720000}"/>
    <cellStyle name="Total 7 3 2" xfId="22032" xr:uid="{00000000-0005-0000-0000-00001D720000}"/>
    <cellStyle name="Total 7 4" xfId="17073" xr:uid="{00000000-0005-0000-0000-00001E720000}"/>
    <cellStyle name="Total 7 4 2" xfId="22033" xr:uid="{00000000-0005-0000-0000-00001F720000}"/>
    <cellStyle name="Total 7 5" xfId="17074" xr:uid="{00000000-0005-0000-0000-000020720000}"/>
    <cellStyle name="Total 7 5 2" xfId="22034" xr:uid="{00000000-0005-0000-0000-000021720000}"/>
    <cellStyle name="Total 7 6" xfId="22030" xr:uid="{00000000-0005-0000-0000-000022720000}"/>
    <cellStyle name="Total 7 7" xfId="17070" xr:uid="{00000000-0005-0000-0000-000023720000}"/>
    <cellStyle name="Total 8" xfId="1367" xr:uid="{00000000-0005-0000-0000-000024720000}"/>
    <cellStyle name="Total 8 2" xfId="22035" xr:uid="{00000000-0005-0000-0000-000025720000}"/>
    <cellStyle name="Total 8 3" xfId="17075" xr:uid="{00000000-0005-0000-0000-000026720000}"/>
    <cellStyle name="Total 9" xfId="1368" xr:uid="{00000000-0005-0000-0000-000027720000}"/>
    <cellStyle name="Total 9 2" xfId="16858" xr:uid="{00000000-0005-0000-0000-000028720000}"/>
    <cellStyle name="Warning Text" xfId="349" xr:uid="{00000000-0005-0000-0000-000029720000}"/>
    <cellStyle name="Warning Text 2" xfId="350" xr:uid="{00000000-0005-0000-0000-00002A720000}"/>
    <cellStyle name="Warning Text 2 2" xfId="1369" xr:uid="{00000000-0005-0000-0000-00002B720000}"/>
    <cellStyle name="Warning Text 2 2 2" xfId="2595" xr:uid="{00000000-0005-0000-0000-00002C720000}"/>
    <cellStyle name="Warning Text 2 2 2 2" xfId="22039" xr:uid="{00000000-0005-0000-0000-00002D720000}"/>
    <cellStyle name="Warning Text 2 2 2 3" xfId="17079" xr:uid="{00000000-0005-0000-0000-00002E720000}"/>
    <cellStyle name="Warning Text 2 2 2 4" xfId="24466" xr:uid="{00000000-0005-0000-0000-00002F720000}"/>
    <cellStyle name="Warning Text 2 2 3" xfId="3933" xr:uid="{00000000-0005-0000-0000-000030720000}"/>
    <cellStyle name="Warning Text 2 2 3 2" xfId="17078" xr:uid="{00000000-0005-0000-0000-000031720000}"/>
    <cellStyle name="Warning Text 2 2 4" xfId="22038" xr:uid="{00000000-0005-0000-0000-000032720000}"/>
    <cellStyle name="Warning Text 2 3" xfId="17080" xr:uid="{00000000-0005-0000-0000-000033720000}"/>
    <cellStyle name="Warning Text 2 3 2" xfId="22040" xr:uid="{00000000-0005-0000-0000-000034720000}"/>
    <cellStyle name="Warning Text 2 4" xfId="17081" xr:uid="{00000000-0005-0000-0000-000035720000}"/>
    <cellStyle name="Warning Text 2 4 2" xfId="22041" xr:uid="{00000000-0005-0000-0000-000036720000}"/>
    <cellStyle name="Warning Text 2 5" xfId="17082" xr:uid="{00000000-0005-0000-0000-000037720000}"/>
    <cellStyle name="Warning Text 2 5 2" xfId="22042" xr:uid="{00000000-0005-0000-0000-000038720000}"/>
    <cellStyle name="Warning Text 2 6" xfId="17083" xr:uid="{00000000-0005-0000-0000-000039720000}"/>
    <cellStyle name="Warning Text 2 6 2" xfId="22043" xr:uid="{00000000-0005-0000-0000-00003A720000}"/>
    <cellStyle name="Warning Text 2 7" xfId="17077" xr:uid="{00000000-0005-0000-0000-00003B720000}"/>
    <cellStyle name="Warning Text 2 8" xfId="22037" xr:uid="{00000000-0005-0000-0000-00003C720000}"/>
    <cellStyle name="Warning Text 3" xfId="2596" xr:uid="{00000000-0005-0000-0000-00003D720000}"/>
    <cellStyle name="Warning Text 3 2" xfId="17085" xr:uid="{00000000-0005-0000-0000-00003E720000}"/>
    <cellStyle name="Warning Text 3 2 2" xfId="22045" xr:uid="{00000000-0005-0000-0000-00003F720000}"/>
    <cellStyle name="Warning Text 3 3" xfId="17084" xr:uid="{00000000-0005-0000-0000-000040720000}"/>
    <cellStyle name="Warning Text 3 4" xfId="22044" xr:uid="{00000000-0005-0000-0000-000041720000}"/>
    <cellStyle name="Warning Text 4" xfId="17086" xr:uid="{00000000-0005-0000-0000-000042720000}"/>
    <cellStyle name="Warning Text 4 2" xfId="22046" xr:uid="{00000000-0005-0000-0000-000043720000}"/>
    <cellStyle name="Warning Text 5" xfId="17087" xr:uid="{00000000-0005-0000-0000-000044720000}"/>
    <cellStyle name="Warning Text 5 2" xfId="22047" xr:uid="{00000000-0005-0000-0000-000045720000}"/>
    <cellStyle name="Warning Text 6" xfId="17088" xr:uid="{00000000-0005-0000-0000-000046720000}"/>
    <cellStyle name="Warning Text 6 2" xfId="22048" xr:uid="{00000000-0005-0000-0000-000047720000}"/>
    <cellStyle name="Warning Text 7" xfId="17089" xr:uid="{00000000-0005-0000-0000-000048720000}"/>
    <cellStyle name="Warning Text 7 2" xfId="22049" xr:uid="{00000000-0005-0000-0000-000049720000}"/>
    <cellStyle name="Warning Text 8" xfId="17076" xr:uid="{00000000-0005-0000-0000-00004A720000}"/>
    <cellStyle name="Warning Text 9" xfId="22036" xr:uid="{00000000-0005-0000-0000-00004B720000}"/>
    <cellStyle name="アクセント 1" xfId="351" xr:uid="{00000000-0005-0000-0000-00004C720000}"/>
    <cellStyle name="アクセント 1 2" xfId="782" xr:uid="{00000000-0005-0000-0000-00004D720000}"/>
    <cellStyle name="アクセント 1 2 2" xfId="2598" xr:uid="{00000000-0005-0000-0000-00004E720000}"/>
    <cellStyle name="アクセント 1 2 2 2" xfId="17093" xr:uid="{00000000-0005-0000-0000-00004F720000}"/>
    <cellStyle name="アクセント 1 2 2 2 2" xfId="22053" xr:uid="{00000000-0005-0000-0000-000050720000}"/>
    <cellStyle name="アクセント 1 2 2 3" xfId="17094" xr:uid="{00000000-0005-0000-0000-000051720000}"/>
    <cellStyle name="アクセント 1 2 2 3 2" xfId="22054" xr:uid="{00000000-0005-0000-0000-000052720000}"/>
    <cellStyle name="アクセント 1 2 2 4" xfId="17095" xr:uid="{00000000-0005-0000-0000-000053720000}"/>
    <cellStyle name="アクセント 1 2 2 4 2" xfId="22055" xr:uid="{00000000-0005-0000-0000-000054720000}"/>
    <cellStyle name="アクセント 1 2 2 5" xfId="17092" xr:uid="{00000000-0005-0000-0000-000055720000}"/>
    <cellStyle name="アクセント 1 2 2 6" xfId="22052" xr:uid="{00000000-0005-0000-0000-000056720000}"/>
    <cellStyle name="アクセント 1 2 3" xfId="2597" xr:uid="{00000000-0005-0000-0000-000057720000}"/>
    <cellStyle name="アクセント 1 2 3 2" xfId="17097" xr:uid="{00000000-0005-0000-0000-000058720000}"/>
    <cellStyle name="アクセント 1 2 3 2 2" xfId="22057" xr:uid="{00000000-0005-0000-0000-000059720000}"/>
    <cellStyle name="アクセント 1 2 3 3" xfId="22056" xr:uid="{00000000-0005-0000-0000-00005A720000}"/>
    <cellStyle name="アクセント 1 2 3 4" xfId="17096" xr:uid="{00000000-0005-0000-0000-00005B720000}"/>
    <cellStyle name="アクセント 1 2 4" xfId="17098" xr:uid="{00000000-0005-0000-0000-00005C720000}"/>
    <cellStyle name="アクセント 1 2 4 2" xfId="22058" xr:uid="{00000000-0005-0000-0000-00005D720000}"/>
    <cellStyle name="アクセント 1 2 5" xfId="17099" xr:uid="{00000000-0005-0000-0000-00005E720000}"/>
    <cellStyle name="アクセント 1 2 5 2" xfId="22059" xr:uid="{00000000-0005-0000-0000-00005F720000}"/>
    <cellStyle name="アクセント 1 2 6" xfId="17100" xr:uid="{00000000-0005-0000-0000-000060720000}"/>
    <cellStyle name="アクセント 1 2 6 2" xfId="22060" xr:uid="{00000000-0005-0000-0000-000061720000}"/>
    <cellStyle name="アクセント 1 2 7" xfId="17091" xr:uid="{00000000-0005-0000-0000-000062720000}"/>
    <cellStyle name="アクセント 1 2 8" xfId="22051" xr:uid="{00000000-0005-0000-0000-000063720000}"/>
    <cellStyle name="アクセント 1 3" xfId="781" xr:uid="{00000000-0005-0000-0000-000064720000}"/>
    <cellStyle name="アクセント 1 3 2" xfId="2599" xr:uid="{00000000-0005-0000-0000-000065720000}"/>
    <cellStyle name="アクセント 1 3 2 2" xfId="22062" xr:uid="{00000000-0005-0000-0000-000066720000}"/>
    <cellStyle name="アクセント 1 3 2 3" xfId="17102" xr:uid="{00000000-0005-0000-0000-000067720000}"/>
    <cellStyle name="アクセント 1 3 2 4" xfId="24467" xr:uid="{00000000-0005-0000-0000-000068720000}"/>
    <cellStyle name="アクセント 1 3 3" xfId="3708" xr:uid="{00000000-0005-0000-0000-000069720000}"/>
    <cellStyle name="アクセント 1 3 3 2" xfId="17101" xr:uid="{00000000-0005-0000-0000-00006A720000}"/>
    <cellStyle name="アクセント 1 3 4" xfId="22061" xr:uid="{00000000-0005-0000-0000-00006B720000}"/>
    <cellStyle name="アクセント 1 4" xfId="2762" xr:uid="{00000000-0005-0000-0000-00006C720000}"/>
    <cellStyle name="アクセント 1 4 2" xfId="22063" xr:uid="{00000000-0005-0000-0000-00006D720000}"/>
    <cellStyle name="アクセント 1 4 3" xfId="17103" xr:uid="{00000000-0005-0000-0000-00006E720000}"/>
    <cellStyle name="アクセント 1 5" xfId="17104" xr:uid="{00000000-0005-0000-0000-00006F720000}"/>
    <cellStyle name="アクセント 1 5 2" xfId="22064" xr:uid="{00000000-0005-0000-0000-000070720000}"/>
    <cellStyle name="アクセント 1 6" xfId="17105" xr:uid="{00000000-0005-0000-0000-000071720000}"/>
    <cellStyle name="アクセント 1 6 2" xfId="22065" xr:uid="{00000000-0005-0000-0000-000072720000}"/>
    <cellStyle name="アクセント 1 7" xfId="17090" xr:uid="{00000000-0005-0000-0000-000073720000}"/>
    <cellStyle name="アクセント 1 8" xfId="22050" xr:uid="{00000000-0005-0000-0000-000074720000}"/>
    <cellStyle name="アクセント 2" xfId="352" xr:uid="{00000000-0005-0000-0000-000075720000}"/>
    <cellStyle name="アクセント 2 2" xfId="784" xr:uid="{00000000-0005-0000-0000-000076720000}"/>
    <cellStyle name="アクセント 2 2 2" xfId="2601" xr:uid="{00000000-0005-0000-0000-000077720000}"/>
    <cellStyle name="アクセント 2 2 2 2" xfId="17109" xr:uid="{00000000-0005-0000-0000-000078720000}"/>
    <cellStyle name="アクセント 2 2 2 2 2" xfId="22069" xr:uid="{00000000-0005-0000-0000-000079720000}"/>
    <cellStyle name="アクセント 2 2 2 3" xfId="17110" xr:uid="{00000000-0005-0000-0000-00007A720000}"/>
    <cellStyle name="アクセント 2 2 2 3 2" xfId="22070" xr:uid="{00000000-0005-0000-0000-00007B720000}"/>
    <cellStyle name="アクセント 2 2 2 4" xfId="17111" xr:uid="{00000000-0005-0000-0000-00007C720000}"/>
    <cellStyle name="アクセント 2 2 2 4 2" xfId="22071" xr:uid="{00000000-0005-0000-0000-00007D720000}"/>
    <cellStyle name="アクセント 2 2 2 5" xfId="17108" xr:uid="{00000000-0005-0000-0000-00007E720000}"/>
    <cellStyle name="アクセント 2 2 2 6" xfId="22068" xr:uid="{00000000-0005-0000-0000-00007F720000}"/>
    <cellStyle name="アクセント 2 2 3" xfId="2600" xr:uid="{00000000-0005-0000-0000-000080720000}"/>
    <cellStyle name="アクセント 2 2 3 2" xfId="17113" xr:uid="{00000000-0005-0000-0000-000081720000}"/>
    <cellStyle name="アクセント 2 2 3 2 2" xfId="22073" xr:uid="{00000000-0005-0000-0000-000082720000}"/>
    <cellStyle name="アクセント 2 2 3 3" xfId="22072" xr:uid="{00000000-0005-0000-0000-000083720000}"/>
    <cellStyle name="アクセント 2 2 3 4" xfId="17112" xr:uid="{00000000-0005-0000-0000-000084720000}"/>
    <cellStyle name="アクセント 2 2 4" xfId="17114" xr:uid="{00000000-0005-0000-0000-000085720000}"/>
    <cellStyle name="アクセント 2 2 4 2" xfId="22074" xr:uid="{00000000-0005-0000-0000-000086720000}"/>
    <cellStyle name="アクセント 2 2 5" xfId="17115" xr:uid="{00000000-0005-0000-0000-000087720000}"/>
    <cellStyle name="アクセント 2 2 5 2" xfId="22075" xr:uid="{00000000-0005-0000-0000-000088720000}"/>
    <cellStyle name="アクセント 2 2 6" xfId="17116" xr:uid="{00000000-0005-0000-0000-000089720000}"/>
    <cellStyle name="アクセント 2 2 6 2" xfId="22076" xr:uid="{00000000-0005-0000-0000-00008A720000}"/>
    <cellStyle name="アクセント 2 2 7" xfId="17107" xr:uid="{00000000-0005-0000-0000-00008B720000}"/>
    <cellStyle name="アクセント 2 2 8" xfId="22067" xr:uid="{00000000-0005-0000-0000-00008C720000}"/>
    <cellStyle name="アクセント 2 3" xfId="783" xr:uid="{00000000-0005-0000-0000-00008D720000}"/>
    <cellStyle name="アクセント 2 3 2" xfId="2602" xr:uid="{00000000-0005-0000-0000-00008E720000}"/>
    <cellStyle name="アクセント 2 3 2 2" xfId="22078" xr:uid="{00000000-0005-0000-0000-00008F720000}"/>
    <cellStyle name="アクセント 2 3 2 3" xfId="17118" xr:uid="{00000000-0005-0000-0000-000090720000}"/>
    <cellStyle name="アクセント 2 3 2 4" xfId="24468" xr:uid="{00000000-0005-0000-0000-000091720000}"/>
    <cellStyle name="アクセント 2 3 3" xfId="3709" xr:uid="{00000000-0005-0000-0000-000092720000}"/>
    <cellStyle name="アクセント 2 3 3 2" xfId="17117" xr:uid="{00000000-0005-0000-0000-000093720000}"/>
    <cellStyle name="アクセント 2 3 4" xfId="22077" xr:uid="{00000000-0005-0000-0000-000094720000}"/>
    <cellStyle name="アクセント 2 4" xfId="2763" xr:uid="{00000000-0005-0000-0000-000095720000}"/>
    <cellStyle name="アクセント 2 4 2" xfId="22079" xr:uid="{00000000-0005-0000-0000-000096720000}"/>
    <cellStyle name="アクセント 2 4 3" xfId="17119" xr:uid="{00000000-0005-0000-0000-000097720000}"/>
    <cellStyle name="アクセント 2 5" xfId="17120" xr:uid="{00000000-0005-0000-0000-000098720000}"/>
    <cellStyle name="アクセント 2 5 2" xfId="22080" xr:uid="{00000000-0005-0000-0000-000099720000}"/>
    <cellStyle name="アクセント 2 6" xfId="17121" xr:uid="{00000000-0005-0000-0000-00009A720000}"/>
    <cellStyle name="アクセント 2 6 2" xfId="22081" xr:uid="{00000000-0005-0000-0000-00009B720000}"/>
    <cellStyle name="アクセント 2 7" xfId="17106" xr:uid="{00000000-0005-0000-0000-00009C720000}"/>
    <cellStyle name="アクセント 2 8" xfId="22066" xr:uid="{00000000-0005-0000-0000-00009D720000}"/>
    <cellStyle name="アクセント 3" xfId="353" xr:uid="{00000000-0005-0000-0000-00009E720000}"/>
    <cellStyle name="アクセント 3 2" xfId="786" xr:uid="{00000000-0005-0000-0000-00009F720000}"/>
    <cellStyle name="アクセント 3 2 2" xfId="2604" xr:uid="{00000000-0005-0000-0000-0000A0720000}"/>
    <cellStyle name="アクセント 3 2 2 2" xfId="17125" xr:uid="{00000000-0005-0000-0000-0000A1720000}"/>
    <cellStyle name="アクセント 3 2 2 2 2" xfId="22085" xr:uid="{00000000-0005-0000-0000-0000A2720000}"/>
    <cellStyle name="アクセント 3 2 2 3" xfId="17126" xr:uid="{00000000-0005-0000-0000-0000A3720000}"/>
    <cellStyle name="アクセント 3 2 2 3 2" xfId="22086" xr:uid="{00000000-0005-0000-0000-0000A4720000}"/>
    <cellStyle name="アクセント 3 2 2 4" xfId="17127" xr:uid="{00000000-0005-0000-0000-0000A5720000}"/>
    <cellStyle name="アクセント 3 2 2 4 2" xfId="22087" xr:uid="{00000000-0005-0000-0000-0000A6720000}"/>
    <cellStyle name="アクセント 3 2 2 5" xfId="17124" xr:uid="{00000000-0005-0000-0000-0000A7720000}"/>
    <cellStyle name="アクセント 3 2 2 6" xfId="22084" xr:uid="{00000000-0005-0000-0000-0000A8720000}"/>
    <cellStyle name="アクセント 3 2 3" xfId="2603" xr:uid="{00000000-0005-0000-0000-0000A9720000}"/>
    <cellStyle name="アクセント 3 2 3 2" xfId="17129" xr:uid="{00000000-0005-0000-0000-0000AA720000}"/>
    <cellStyle name="アクセント 3 2 3 2 2" xfId="22089" xr:uid="{00000000-0005-0000-0000-0000AB720000}"/>
    <cellStyle name="アクセント 3 2 3 3" xfId="22088" xr:uid="{00000000-0005-0000-0000-0000AC720000}"/>
    <cellStyle name="アクセント 3 2 3 4" xfId="17128" xr:uid="{00000000-0005-0000-0000-0000AD720000}"/>
    <cellStyle name="アクセント 3 2 4" xfId="17130" xr:uid="{00000000-0005-0000-0000-0000AE720000}"/>
    <cellStyle name="アクセント 3 2 4 2" xfId="22090" xr:uid="{00000000-0005-0000-0000-0000AF720000}"/>
    <cellStyle name="アクセント 3 2 5" xfId="17131" xr:uid="{00000000-0005-0000-0000-0000B0720000}"/>
    <cellStyle name="アクセント 3 2 5 2" xfId="22091" xr:uid="{00000000-0005-0000-0000-0000B1720000}"/>
    <cellStyle name="アクセント 3 2 6" xfId="17132" xr:uid="{00000000-0005-0000-0000-0000B2720000}"/>
    <cellStyle name="アクセント 3 2 6 2" xfId="22092" xr:uid="{00000000-0005-0000-0000-0000B3720000}"/>
    <cellStyle name="アクセント 3 2 7" xfId="17123" xr:uid="{00000000-0005-0000-0000-0000B4720000}"/>
    <cellStyle name="アクセント 3 2 8" xfId="22083" xr:uid="{00000000-0005-0000-0000-0000B5720000}"/>
    <cellStyle name="アクセント 3 3" xfId="785" xr:uid="{00000000-0005-0000-0000-0000B6720000}"/>
    <cellStyle name="アクセント 3 3 2" xfId="2605" xr:uid="{00000000-0005-0000-0000-0000B7720000}"/>
    <cellStyle name="アクセント 3 3 2 2" xfId="22094" xr:uid="{00000000-0005-0000-0000-0000B8720000}"/>
    <cellStyle name="アクセント 3 3 2 3" xfId="17134" xr:uid="{00000000-0005-0000-0000-0000B9720000}"/>
    <cellStyle name="アクセント 3 3 2 4" xfId="24469" xr:uid="{00000000-0005-0000-0000-0000BA720000}"/>
    <cellStyle name="アクセント 3 3 3" xfId="3710" xr:uid="{00000000-0005-0000-0000-0000BB720000}"/>
    <cellStyle name="アクセント 3 3 3 2" xfId="17133" xr:uid="{00000000-0005-0000-0000-0000BC720000}"/>
    <cellStyle name="アクセント 3 3 4" xfId="22093" xr:uid="{00000000-0005-0000-0000-0000BD720000}"/>
    <cellStyle name="アクセント 3 4" xfId="2764" xr:uid="{00000000-0005-0000-0000-0000BE720000}"/>
    <cellStyle name="アクセント 3 4 2" xfId="22095" xr:uid="{00000000-0005-0000-0000-0000BF720000}"/>
    <cellStyle name="アクセント 3 4 3" xfId="17135" xr:uid="{00000000-0005-0000-0000-0000C0720000}"/>
    <cellStyle name="アクセント 3 5" xfId="17136" xr:uid="{00000000-0005-0000-0000-0000C1720000}"/>
    <cellStyle name="アクセント 3 5 2" xfId="22096" xr:uid="{00000000-0005-0000-0000-0000C2720000}"/>
    <cellStyle name="アクセント 3 6" xfId="17137" xr:uid="{00000000-0005-0000-0000-0000C3720000}"/>
    <cellStyle name="アクセント 3 6 2" xfId="22097" xr:uid="{00000000-0005-0000-0000-0000C4720000}"/>
    <cellStyle name="アクセント 3 7" xfId="17122" xr:uid="{00000000-0005-0000-0000-0000C5720000}"/>
    <cellStyle name="アクセント 3 8" xfId="22082" xr:uid="{00000000-0005-0000-0000-0000C6720000}"/>
    <cellStyle name="アクセント 4" xfId="354" xr:uid="{00000000-0005-0000-0000-0000C7720000}"/>
    <cellStyle name="アクセント 4 2" xfId="788" xr:uid="{00000000-0005-0000-0000-0000C8720000}"/>
    <cellStyle name="アクセント 4 2 2" xfId="2607" xr:uid="{00000000-0005-0000-0000-0000C9720000}"/>
    <cellStyle name="アクセント 4 2 2 2" xfId="17141" xr:uid="{00000000-0005-0000-0000-0000CA720000}"/>
    <cellStyle name="アクセント 4 2 2 2 2" xfId="22101" xr:uid="{00000000-0005-0000-0000-0000CB720000}"/>
    <cellStyle name="アクセント 4 2 2 3" xfId="17142" xr:uid="{00000000-0005-0000-0000-0000CC720000}"/>
    <cellStyle name="アクセント 4 2 2 3 2" xfId="22102" xr:uid="{00000000-0005-0000-0000-0000CD720000}"/>
    <cellStyle name="アクセント 4 2 2 4" xfId="17143" xr:uid="{00000000-0005-0000-0000-0000CE720000}"/>
    <cellStyle name="アクセント 4 2 2 4 2" xfId="22103" xr:uid="{00000000-0005-0000-0000-0000CF720000}"/>
    <cellStyle name="アクセント 4 2 2 5" xfId="17140" xr:uid="{00000000-0005-0000-0000-0000D0720000}"/>
    <cellStyle name="アクセント 4 2 2 6" xfId="22100" xr:uid="{00000000-0005-0000-0000-0000D1720000}"/>
    <cellStyle name="アクセント 4 2 3" xfId="2606" xr:uid="{00000000-0005-0000-0000-0000D2720000}"/>
    <cellStyle name="アクセント 4 2 3 2" xfId="17145" xr:uid="{00000000-0005-0000-0000-0000D3720000}"/>
    <cellStyle name="アクセント 4 2 3 2 2" xfId="22105" xr:uid="{00000000-0005-0000-0000-0000D4720000}"/>
    <cellStyle name="アクセント 4 2 3 3" xfId="22104" xr:uid="{00000000-0005-0000-0000-0000D5720000}"/>
    <cellStyle name="アクセント 4 2 3 4" xfId="17144" xr:uid="{00000000-0005-0000-0000-0000D6720000}"/>
    <cellStyle name="アクセント 4 2 4" xfId="17146" xr:uid="{00000000-0005-0000-0000-0000D7720000}"/>
    <cellStyle name="アクセント 4 2 4 2" xfId="22106" xr:uid="{00000000-0005-0000-0000-0000D8720000}"/>
    <cellStyle name="アクセント 4 2 5" xfId="17147" xr:uid="{00000000-0005-0000-0000-0000D9720000}"/>
    <cellStyle name="アクセント 4 2 5 2" xfId="22107" xr:uid="{00000000-0005-0000-0000-0000DA720000}"/>
    <cellStyle name="アクセント 4 2 6" xfId="17148" xr:uid="{00000000-0005-0000-0000-0000DB720000}"/>
    <cellStyle name="アクセント 4 2 6 2" xfId="22108" xr:uid="{00000000-0005-0000-0000-0000DC720000}"/>
    <cellStyle name="アクセント 4 2 7" xfId="17139" xr:uid="{00000000-0005-0000-0000-0000DD720000}"/>
    <cellStyle name="アクセント 4 2 8" xfId="22099" xr:uid="{00000000-0005-0000-0000-0000DE720000}"/>
    <cellStyle name="アクセント 4 3" xfId="787" xr:uid="{00000000-0005-0000-0000-0000DF720000}"/>
    <cellStyle name="アクセント 4 3 2" xfId="2608" xr:uid="{00000000-0005-0000-0000-0000E0720000}"/>
    <cellStyle name="アクセント 4 3 2 2" xfId="22110" xr:uid="{00000000-0005-0000-0000-0000E1720000}"/>
    <cellStyle name="アクセント 4 3 2 3" xfId="17150" xr:uid="{00000000-0005-0000-0000-0000E2720000}"/>
    <cellStyle name="アクセント 4 3 2 4" xfId="24470" xr:uid="{00000000-0005-0000-0000-0000E3720000}"/>
    <cellStyle name="アクセント 4 3 3" xfId="3711" xr:uid="{00000000-0005-0000-0000-0000E4720000}"/>
    <cellStyle name="アクセント 4 3 3 2" xfId="17149" xr:uid="{00000000-0005-0000-0000-0000E5720000}"/>
    <cellStyle name="アクセント 4 3 4" xfId="22109" xr:uid="{00000000-0005-0000-0000-0000E6720000}"/>
    <cellStyle name="アクセント 4 4" xfId="2765" xr:uid="{00000000-0005-0000-0000-0000E7720000}"/>
    <cellStyle name="アクセント 4 4 2" xfId="22111" xr:uid="{00000000-0005-0000-0000-0000E8720000}"/>
    <cellStyle name="アクセント 4 4 3" xfId="17151" xr:uid="{00000000-0005-0000-0000-0000E9720000}"/>
    <cellStyle name="アクセント 4 5" xfId="17152" xr:uid="{00000000-0005-0000-0000-0000EA720000}"/>
    <cellStyle name="アクセント 4 5 2" xfId="22112" xr:uid="{00000000-0005-0000-0000-0000EB720000}"/>
    <cellStyle name="アクセント 4 6" xfId="17153" xr:uid="{00000000-0005-0000-0000-0000EC720000}"/>
    <cellStyle name="アクセント 4 6 2" xfId="22113" xr:uid="{00000000-0005-0000-0000-0000ED720000}"/>
    <cellStyle name="アクセント 4 7" xfId="17138" xr:uid="{00000000-0005-0000-0000-0000EE720000}"/>
    <cellStyle name="アクセント 4 8" xfId="22098" xr:uid="{00000000-0005-0000-0000-0000EF720000}"/>
    <cellStyle name="アクセント 5" xfId="355" xr:uid="{00000000-0005-0000-0000-0000F0720000}"/>
    <cellStyle name="アクセント 5 2" xfId="790" xr:uid="{00000000-0005-0000-0000-0000F1720000}"/>
    <cellStyle name="アクセント 5 2 2" xfId="2610" xr:uid="{00000000-0005-0000-0000-0000F2720000}"/>
    <cellStyle name="アクセント 5 2 2 2" xfId="17157" xr:uid="{00000000-0005-0000-0000-0000F3720000}"/>
    <cellStyle name="アクセント 5 2 2 2 2" xfId="22117" xr:uid="{00000000-0005-0000-0000-0000F4720000}"/>
    <cellStyle name="アクセント 5 2 2 3" xfId="17158" xr:uid="{00000000-0005-0000-0000-0000F5720000}"/>
    <cellStyle name="アクセント 5 2 2 3 2" xfId="22118" xr:uid="{00000000-0005-0000-0000-0000F6720000}"/>
    <cellStyle name="アクセント 5 2 2 4" xfId="17159" xr:uid="{00000000-0005-0000-0000-0000F7720000}"/>
    <cellStyle name="アクセント 5 2 2 4 2" xfId="22119" xr:uid="{00000000-0005-0000-0000-0000F8720000}"/>
    <cellStyle name="アクセント 5 2 2 5" xfId="17156" xr:uid="{00000000-0005-0000-0000-0000F9720000}"/>
    <cellStyle name="アクセント 5 2 2 6" xfId="22116" xr:uid="{00000000-0005-0000-0000-0000FA720000}"/>
    <cellStyle name="アクセント 5 2 3" xfId="2609" xr:uid="{00000000-0005-0000-0000-0000FB720000}"/>
    <cellStyle name="アクセント 5 2 3 2" xfId="17161" xr:uid="{00000000-0005-0000-0000-0000FC720000}"/>
    <cellStyle name="アクセント 5 2 3 2 2" xfId="22121" xr:uid="{00000000-0005-0000-0000-0000FD720000}"/>
    <cellStyle name="アクセント 5 2 3 3" xfId="22120" xr:uid="{00000000-0005-0000-0000-0000FE720000}"/>
    <cellStyle name="アクセント 5 2 3 4" xfId="17160" xr:uid="{00000000-0005-0000-0000-0000FF720000}"/>
    <cellStyle name="アクセント 5 2 4" xfId="17162" xr:uid="{00000000-0005-0000-0000-000000730000}"/>
    <cellStyle name="アクセント 5 2 4 2" xfId="22122" xr:uid="{00000000-0005-0000-0000-000001730000}"/>
    <cellStyle name="アクセント 5 2 5" xfId="17163" xr:uid="{00000000-0005-0000-0000-000002730000}"/>
    <cellStyle name="アクセント 5 2 5 2" xfId="22123" xr:uid="{00000000-0005-0000-0000-000003730000}"/>
    <cellStyle name="アクセント 5 2 6" xfId="17164" xr:uid="{00000000-0005-0000-0000-000004730000}"/>
    <cellStyle name="アクセント 5 2 6 2" xfId="22124" xr:uid="{00000000-0005-0000-0000-000005730000}"/>
    <cellStyle name="アクセント 5 2 7" xfId="17155" xr:uid="{00000000-0005-0000-0000-000006730000}"/>
    <cellStyle name="アクセント 5 2 8" xfId="22115" xr:uid="{00000000-0005-0000-0000-000007730000}"/>
    <cellStyle name="アクセント 5 3" xfId="789" xr:uid="{00000000-0005-0000-0000-000008730000}"/>
    <cellStyle name="アクセント 5 3 2" xfId="2611" xr:uid="{00000000-0005-0000-0000-000009730000}"/>
    <cellStyle name="アクセント 5 3 2 2" xfId="22126" xr:uid="{00000000-0005-0000-0000-00000A730000}"/>
    <cellStyle name="アクセント 5 3 2 3" xfId="17166" xr:uid="{00000000-0005-0000-0000-00000B730000}"/>
    <cellStyle name="アクセント 5 3 2 4" xfId="24471" xr:uid="{00000000-0005-0000-0000-00000C730000}"/>
    <cellStyle name="アクセント 5 3 3" xfId="3712" xr:uid="{00000000-0005-0000-0000-00000D730000}"/>
    <cellStyle name="アクセント 5 3 3 2" xfId="17165" xr:uid="{00000000-0005-0000-0000-00000E730000}"/>
    <cellStyle name="アクセント 5 3 4" xfId="22125" xr:uid="{00000000-0005-0000-0000-00000F730000}"/>
    <cellStyle name="アクセント 5 4" xfId="2766" xr:uid="{00000000-0005-0000-0000-000010730000}"/>
    <cellStyle name="アクセント 5 4 2" xfId="22127" xr:uid="{00000000-0005-0000-0000-000011730000}"/>
    <cellStyle name="アクセント 5 4 3" xfId="17167" xr:uid="{00000000-0005-0000-0000-000012730000}"/>
    <cellStyle name="アクセント 5 5" xfId="17168" xr:uid="{00000000-0005-0000-0000-000013730000}"/>
    <cellStyle name="アクセント 5 5 2" xfId="22128" xr:uid="{00000000-0005-0000-0000-000014730000}"/>
    <cellStyle name="アクセント 5 6" xfId="17169" xr:uid="{00000000-0005-0000-0000-000015730000}"/>
    <cellStyle name="アクセント 5 6 2" xfId="22129" xr:uid="{00000000-0005-0000-0000-000016730000}"/>
    <cellStyle name="アクセント 5 7" xfId="17154" xr:uid="{00000000-0005-0000-0000-000017730000}"/>
    <cellStyle name="アクセント 5 8" xfId="22114" xr:uid="{00000000-0005-0000-0000-000018730000}"/>
    <cellStyle name="アクセント 6" xfId="356" xr:uid="{00000000-0005-0000-0000-000019730000}"/>
    <cellStyle name="アクセント 6 2" xfId="792" xr:uid="{00000000-0005-0000-0000-00001A730000}"/>
    <cellStyle name="アクセント 6 2 2" xfId="2613" xr:uid="{00000000-0005-0000-0000-00001B730000}"/>
    <cellStyle name="アクセント 6 2 2 2" xfId="17173" xr:uid="{00000000-0005-0000-0000-00001C730000}"/>
    <cellStyle name="アクセント 6 2 2 2 2" xfId="22133" xr:uid="{00000000-0005-0000-0000-00001D730000}"/>
    <cellStyle name="アクセント 6 2 2 3" xfId="17174" xr:uid="{00000000-0005-0000-0000-00001E730000}"/>
    <cellStyle name="アクセント 6 2 2 3 2" xfId="22134" xr:uid="{00000000-0005-0000-0000-00001F730000}"/>
    <cellStyle name="アクセント 6 2 2 4" xfId="17175" xr:uid="{00000000-0005-0000-0000-000020730000}"/>
    <cellStyle name="アクセント 6 2 2 4 2" xfId="22135" xr:uid="{00000000-0005-0000-0000-000021730000}"/>
    <cellStyle name="アクセント 6 2 2 5" xfId="17172" xr:uid="{00000000-0005-0000-0000-000022730000}"/>
    <cellStyle name="アクセント 6 2 2 6" xfId="22132" xr:uid="{00000000-0005-0000-0000-000023730000}"/>
    <cellStyle name="アクセント 6 2 3" xfId="2612" xr:uid="{00000000-0005-0000-0000-000024730000}"/>
    <cellStyle name="アクセント 6 2 3 2" xfId="17177" xr:uid="{00000000-0005-0000-0000-000025730000}"/>
    <cellStyle name="アクセント 6 2 3 2 2" xfId="22137" xr:uid="{00000000-0005-0000-0000-000026730000}"/>
    <cellStyle name="アクセント 6 2 3 3" xfId="22136" xr:uid="{00000000-0005-0000-0000-000027730000}"/>
    <cellStyle name="アクセント 6 2 3 4" xfId="17176" xr:uid="{00000000-0005-0000-0000-000028730000}"/>
    <cellStyle name="アクセント 6 2 4" xfId="17178" xr:uid="{00000000-0005-0000-0000-000029730000}"/>
    <cellStyle name="アクセント 6 2 4 2" xfId="22138" xr:uid="{00000000-0005-0000-0000-00002A730000}"/>
    <cellStyle name="アクセント 6 2 5" xfId="17179" xr:uid="{00000000-0005-0000-0000-00002B730000}"/>
    <cellStyle name="アクセント 6 2 5 2" xfId="22139" xr:uid="{00000000-0005-0000-0000-00002C730000}"/>
    <cellStyle name="アクセント 6 2 6" xfId="17180" xr:uid="{00000000-0005-0000-0000-00002D730000}"/>
    <cellStyle name="アクセント 6 2 6 2" xfId="22140" xr:uid="{00000000-0005-0000-0000-00002E730000}"/>
    <cellStyle name="アクセント 6 2 7" xfId="17171" xr:uid="{00000000-0005-0000-0000-00002F730000}"/>
    <cellStyle name="アクセント 6 2 8" xfId="22131" xr:uid="{00000000-0005-0000-0000-000030730000}"/>
    <cellStyle name="アクセント 6 3" xfId="791" xr:uid="{00000000-0005-0000-0000-000031730000}"/>
    <cellStyle name="アクセント 6 3 2" xfId="2614" xr:uid="{00000000-0005-0000-0000-000032730000}"/>
    <cellStyle name="アクセント 6 3 2 2" xfId="22142" xr:uid="{00000000-0005-0000-0000-000033730000}"/>
    <cellStyle name="アクセント 6 3 2 3" xfId="17182" xr:uid="{00000000-0005-0000-0000-000034730000}"/>
    <cellStyle name="アクセント 6 3 2 4" xfId="24472" xr:uid="{00000000-0005-0000-0000-000035730000}"/>
    <cellStyle name="アクセント 6 3 3" xfId="3713" xr:uid="{00000000-0005-0000-0000-000036730000}"/>
    <cellStyle name="アクセント 6 3 3 2" xfId="17181" xr:uid="{00000000-0005-0000-0000-000037730000}"/>
    <cellStyle name="アクセント 6 3 4" xfId="22141" xr:uid="{00000000-0005-0000-0000-000038730000}"/>
    <cellStyle name="アクセント 6 4" xfId="2767" xr:uid="{00000000-0005-0000-0000-000039730000}"/>
    <cellStyle name="アクセント 6 4 2" xfId="22143" xr:uid="{00000000-0005-0000-0000-00003A730000}"/>
    <cellStyle name="アクセント 6 4 3" xfId="17183" xr:uid="{00000000-0005-0000-0000-00003B730000}"/>
    <cellStyle name="アクセント 6 5" xfId="17184" xr:uid="{00000000-0005-0000-0000-00003C730000}"/>
    <cellStyle name="アクセント 6 5 2" xfId="22144" xr:uid="{00000000-0005-0000-0000-00003D730000}"/>
    <cellStyle name="アクセント 6 6" xfId="17185" xr:uid="{00000000-0005-0000-0000-00003E730000}"/>
    <cellStyle name="アクセント 6 6 2" xfId="22145" xr:uid="{00000000-0005-0000-0000-00003F730000}"/>
    <cellStyle name="アクセント 6 7" xfId="17170" xr:uid="{00000000-0005-0000-0000-000040730000}"/>
    <cellStyle name="アクセント 6 8" xfId="22130" xr:uid="{00000000-0005-0000-0000-000041730000}"/>
    <cellStyle name="タイトル" xfId="357" xr:uid="{00000000-0005-0000-0000-000042730000}"/>
    <cellStyle name="タイトル 2" xfId="794" xr:uid="{00000000-0005-0000-0000-000043730000}"/>
    <cellStyle name="タイトル 2 2" xfId="2616" xr:uid="{00000000-0005-0000-0000-000044730000}"/>
    <cellStyle name="タイトル 2 2 2" xfId="17189" xr:uid="{00000000-0005-0000-0000-000045730000}"/>
    <cellStyle name="タイトル 2 2 2 2" xfId="22149" xr:uid="{00000000-0005-0000-0000-000046730000}"/>
    <cellStyle name="タイトル 2 2 3" xfId="17190" xr:uid="{00000000-0005-0000-0000-000047730000}"/>
    <cellStyle name="タイトル 2 2 3 2" xfId="22150" xr:uid="{00000000-0005-0000-0000-000048730000}"/>
    <cellStyle name="タイトル 2 2 4" xfId="17191" xr:uid="{00000000-0005-0000-0000-000049730000}"/>
    <cellStyle name="タイトル 2 2 4 2" xfId="22151" xr:uid="{00000000-0005-0000-0000-00004A730000}"/>
    <cellStyle name="タイトル 2 2 5" xfId="17188" xr:uid="{00000000-0005-0000-0000-00004B730000}"/>
    <cellStyle name="タイトル 2 2 6" xfId="22148" xr:uid="{00000000-0005-0000-0000-00004C730000}"/>
    <cellStyle name="タイトル 2 3" xfId="2615" xr:uid="{00000000-0005-0000-0000-00004D730000}"/>
    <cellStyle name="タイトル 2 3 2" xfId="17193" xr:uid="{00000000-0005-0000-0000-00004E730000}"/>
    <cellStyle name="タイトル 2 3 2 2" xfId="22153" xr:uid="{00000000-0005-0000-0000-00004F730000}"/>
    <cellStyle name="タイトル 2 3 3" xfId="22152" xr:uid="{00000000-0005-0000-0000-000050730000}"/>
    <cellStyle name="タイトル 2 3 4" xfId="17192" xr:uid="{00000000-0005-0000-0000-000051730000}"/>
    <cellStyle name="タイトル 2 4" xfId="17194" xr:uid="{00000000-0005-0000-0000-000052730000}"/>
    <cellStyle name="タイトル 2 4 2" xfId="22154" xr:uid="{00000000-0005-0000-0000-000053730000}"/>
    <cellStyle name="タイトル 2 5" xfId="17195" xr:uid="{00000000-0005-0000-0000-000054730000}"/>
    <cellStyle name="タイトル 2 5 2" xfId="22155" xr:uid="{00000000-0005-0000-0000-000055730000}"/>
    <cellStyle name="タイトル 2 6" xfId="17196" xr:uid="{00000000-0005-0000-0000-000056730000}"/>
    <cellStyle name="タイトル 2 6 2" xfId="22156" xr:uid="{00000000-0005-0000-0000-000057730000}"/>
    <cellStyle name="タイトル 2 7" xfId="17187" xr:uid="{00000000-0005-0000-0000-000058730000}"/>
    <cellStyle name="タイトル 2 8" xfId="22147" xr:uid="{00000000-0005-0000-0000-000059730000}"/>
    <cellStyle name="タイトル 3" xfId="793" xr:uid="{00000000-0005-0000-0000-00005A730000}"/>
    <cellStyle name="タイトル 3 2" xfId="2617" xr:uid="{00000000-0005-0000-0000-00005B730000}"/>
    <cellStyle name="タイトル 3 2 2" xfId="22158" xr:uid="{00000000-0005-0000-0000-00005C730000}"/>
    <cellStyle name="タイトル 3 2 3" xfId="17198" xr:uid="{00000000-0005-0000-0000-00005D730000}"/>
    <cellStyle name="タイトル 3 2 4" xfId="24473" xr:uid="{00000000-0005-0000-0000-00005E730000}"/>
    <cellStyle name="タイトル 3 3" xfId="3714" xr:uid="{00000000-0005-0000-0000-00005F730000}"/>
    <cellStyle name="タイトル 3 3 2" xfId="17197" xr:uid="{00000000-0005-0000-0000-000060730000}"/>
    <cellStyle name="タイトル 3 4" xfId="22157" xr:uid="{00000000-0005-0000-0000-000061730000}"/>
    <cellStyle name="タイトル 4" xfId="2768" xr:uid="{00000000-0005-0000-0000-000062730000}"/>
    <cellStyle name="タイトル 4 2" xfId="22159" xr:uid="{00000000-0005-0000-0000-000063730000}"/>
    <cellStyle name="タイトル 4 3" xfId="17199" xr:uid="{00000000-0005-0000-0000-000064730000}"/>
    <cellStyle name="タイトル 5" xfId="17200" xr:uid="{00000000-0005-0000-0000-000065730000}"/>
    <cellStyle name="タイトル 5 2" xfId="22160" xr:uid="{00000000-0005-0000-0000-000066730000}"/>
    <cellStyle name="タイトル 6" xfId="17201" xr:uid="{00000000-0005-0000-0000-000067730000}"/>
    <cellStyle name="タイトル 6 2" xfId="22161" xr:uid="{00000000-0005-0000-0000-000068730000}"/>
    <cellStyle name="タイトル 7" xfId="17186" xr:uid="{00000000-0005-0000-0000-000069730000}"/>
    <cellStyle name="タイトル 8" xfId="22146" xr:uid="{00000000-0005-0000-0000-00006A730000}"/>
    <cellStyle name="チェック セル" xfId="358" xr:uid="{00000000-0005-0000-0000-00006B730000}"/>
    <cellStyle name="チェック セル 2" xfId="796" xr:uid="{00000000-0005-0000-0000-00006C730000}"/>
    <cellStyle name="チェック セル 2 2" xfId="2619" xr:uid="{00000000-0005-0000-0000-00006D730000}"/>
    <cellStyle name="チェック セル 2 2 2" xfId="17205" xr:uid="{00000000-0005-0000-0000-00006E730000}"/>
    <cellStyle name="チェック セル 2 2 2 2" xfId="22165" xr:uid="{00000000-0005-0000-0000-00006F730000}"/>
    <cellStyle name="チェック セル 2 2 3" xfId="17206" xr:uid="{00000000-0005-0000-0000-000070730000}"/>
    <cellStyle name="チェック セル 2 2 3 2" xfId="22166" xr:uid="{00000000-0005-0000-0000-000071730000}"/>
    <cellStyle name="チェック セル 2 2 4" xfId="17207" xr:uid="{00000000-0005-0000-0000-000072730000}"/>
    <cellStyle name="チェック セル 2 2 4 2" xfId="22167" xr:uid="{00000000-0005-0000-0000-000073730000}"/>
    <cellStyle name="チェック セル 2 2 5" xfId="17204" xr:uid="{00000000-0005-0000-0000-000074730000}"/>
    <cellStyle name="チェック セル 2 2 6" xfId="22164" xr:uid="{00000000-0005-0000-0000-000075730000}"/>
    <cellStyle name="チェック セル 2 3" xfId="2618" xr:uid="{00000000-0005-0000-0000-000076730000}"/>
    <cellStyle name="チェック セル 2 3 2" xfId="17209" xr:uid="{00000000-0005-0000-0000-000077730000}"/>
    <cellStyle name="チェック セル 2 3 2 2" xfId="22169" xr:uid="{00000000-0005-0000-0000-000078730000}"/>
    <cellStyle name="チェック セル 2 3 3" xfId="22168" xr:uid="{00000000-0005-0000-0000-000079730000}"/>
    <cellStyle name="チェック セル 2 3 4" xfId="17208" xr:uid="{00000000-0005-0000-0000-00007A730000}"/>
    <cellStyle name="チェック セル 2 4" xfId="17210" xr:uid="{00000000-0005-0000-0000-00007B730000}"/>
    <cellStyle name="チェック セル 2 4 2" xfId="22170" xr:uid="{00000000-0005-0000-0000-00007C730000}"/>
    <cellStyle name="チェック セル 2 5" xfId="17211" xr:uid="{00000000-0005-0000-0000-00007D730000}"/>
    <cellStyle name="チェック セル 2 5 2" xfId="22171" xr:uid="{00000000-0005-0000-0000-00007E730000}"/>
    <cellStyle name="チェック セル 2 6" xfId="17212" xr:uid="{00000000-0005-0000-0000-00007F730000}"/>
    <cellStyle name="チェック セル 2 6 2" xfId="22172" xr:uid="{00000000-0005-0000-0000-000080730000}"/>
    <cellStyle name="チェック セル 2 7" xfId="17203" xr:uid="{00000000-0005-0000-0000-000081730000}"/>
    <cellStyle name="チェック セル 2 8" xfId="22163" xr:uid="{00000000-0005-0000-0000-000082730000}"/>
    <cellStyle name="チェック セル 3" xfId="795" xr:uid="{00000000-0005-0000-0000-000083730000}"/>
    <cellStyle name="チェック セル 3 2" xfId="2620" xr:uid="{00000000-0005-0000-0000-000084730000}"/>
    <cellStyle name="チェック セル 3 2 2" xfId="22174" xr:uid="{00000000-0005-0000-0000-000085730000}"/>
    <cellStyle name="チェック セル 3 2 3" xfId="17214" xr:uid="{00000000-0005-0000-0000-000086730000}"/>
    <cellStyle name="チェック セル 3 2 4" xfId="24474" xr:uid="{00000000-0005-0000-0000-000087730000}"/>
    <cellStyle name="チェック セル 3 3" xfId="3715" xr:uid="{00000000-0005-0000-0000-000088730000}"/>
    <cellStyle name="チェック セル 3 3 2" xfId="17213" xr:uid="{00000000-0005-0000-0000-000089730000}"/>
    <cellStyle name="チェック セル 3 4" xfId="22173" xr:uid="{00000000-0005-0000-0000-00008A730000}"/>
    <cellStyle name="チェック セル 4" xfId="2769" xr:uid="{00000000-0005-0000-0000-00008B730000}"/>
    <cellStyle name="チェック セル 4 2" xfId="22175" xr:uid="{00000000-0005-0000-0000-00008C730000}"/>
    <cellStyle name="チェック セル 4 3" xfId="17215" xr:uid="{00000000-0005-0000-0000-00008D730000}"/>
    <cellStyle name="チェック セル 5" xfId="17216" xr:uid="{00000000-0005-0000-0000-00008E730000}"/>
    <cellStyle name="チェック セル 5 2" xfId="22176" xr:uid="{00000000-0005-0000-0000-00008F730000}"/>
    <cellStyle name="チェック セル 6" xfId="17217" xr:uid="{00000000-0005-0000-0000-000090730000}"/>
    <cellStyle name="チェック セル 6 2" xfId="22177" xr:uid="{00000000-0005-0000-0000-000091730000}"/>
    <cellStyle name="チェック セル 7" xfId="17202" xr:uid="{00000000-0005-0000-0000-000092730000}"/>
    <cellStyle name="チェック セル 8" xfId="22162" xr:uid="{00000000-0005-0000-0000-000093730000}"/>
    <cellStyle name="どちらでもない" xfId="359" xr:uid="{00000000-0005-0000-0000-000094730000}"/>
    <cellStyle name="どちらでもない 2" xfId="798" xr:uid="{00000000-0005-0000-0000-000095730000}"/>
    <cellStyle name="どちらでもない 2 2" xfId="2622" xr:uid="{00000000-0005-0000-0000-000096730000}"/>
    <cellStyle name="どちらでもない 2 2 2" xfId="17221" xr:uid="{00000000-0005-0000-0000-000097730000}"/>
    <cellStyle name="どちらでもない 2 2 2 2" xfId="22181" xr:uid="{00000000-0005-0000-0000-000098730000}"/>
    <cellStyle name="どちらでもない 2 2 3" xfId="17222" xr:uid="{00000000-0005-0000-0000-000099730000}"/>
    <cellStyle name="どちらでもない 2 2 3 2" xfId="22182" xr:uid="{00000000-0005-0000-0000-00009A730000}"/>
    <cellStyle name="どちらでもない 2 2 4" xfId="17223" xr:uid="{00000000-0005-0000-0000-00009B730000}"/>
    <cellStyle name="どちらでもない 2 2 4 2" xfId="22183" xr:uid="{00000000-0005-0000-0000-00009C730000}"/>
    <cellStyle name="どちらでもない 2 2 5" xfId="17220" xr:uid="{00000000-0005-0000-0000-00009D730000}"/>
    <cellStyle name="どちらでもない 2 2 6" xfId="22180" xr:uid="{00000000-0005-0000-0000-00009E730000}"/>
    <cellStyle name="どちらでもない 2 3" xfId="2621" xr:uid="{00000000-0005-0000-0000-00009F730000}"/>
    <cellStyle name="どちらでもない 2 3 2" xfId="17225" xr:uid="{00000000-0005-0000-0000-0000A0730000}"/>
    <cellStyle name="どちらでもない 2 3 2 2" xfId="22185" xr:uid="{00000000-0005-0000-0000-0000A1730000}"/>
    <cellStyle name="どちらでもない 2 3 3" xfId="22184" xr:uid="{00000000-0005-0000-0000-0000A2730000}"/>
    <cellStyle name="どちらでもない 2 3 4" xfId="17224" xr:uid="{00000000-0005-0000-0000-0000A3730000}"/>
    <cellStyle name="どちらでもない 2 4" xfId="17226" xr:uid="{00000000-0005-0000-0000-0000A4730000}"/>
    <cellStyle name="どちらでもない 2 4 2" xfId="22186" xr:uid="{00000000-0005-0000-0000-0000A5730000}"/>
    <cellStyle name="どちらでもない 2 5" xfId="17227" xr:uid="{00000000-0005-0000-0000-0000A6730000}"/>
    <cellStyle name="どちらでもない 2 5 2" xfId="22187" xr:uid="{00000000-0005-0000-0000-0000A7730000}"/>
    <cellStyle name="どちらでもない 2 6" xfId="17228" xr:uid="{00000000-0005-0000-0000-0000A8730000}"/>
    <cellStyle name="どちらでもない 2 6 2" xfId="22188" xr:uid="{00000000-0005-0000-0000-0000A9730000}"/>
    <cellStyle name="どちらでもない 2 7" xfId="17219" xr:uid="{00000000-0005-0000-0000-0000AA730000}"/>
    <cellStyle name="どちらでもない 2 8" xfId="22179" xr:uid="{00000000-0005-0000-0000-0000AB730000}"/>
    <cellStyle name="どちらでもない 3" xfId="797" xr:uid="{00000000-0005-0000-0000-0000AC730000}"/>
    <cellStyle name="どちらでもない 3 2" xfId="2623" xr:uid="{00000000-0005-0000-0000-0000AD730000}"/>
    <cellStyle name="どちらでもない 3 2 2" xfId="22190" xr:uid="{00000000-0005-0000-0000-0000AE730000}"/>
    <cellStyle name="どちらでもない 3 2 3" xfId="17230" xr:uid="{00000000-0005-0000-0000-0000AF730000}"/>
    <cellStyle name="どちらでもない 3 2 4" xfId="24475" xr:uid="{00000000-0005-0000-0000-0000B0730000}"/>
    <cellStyle name="どちらでもない 3 3" xfId="3716" xr:uid="{00000000-0005-0000-0000-0000B1730000}"/>
    <cellStyle name="どちらでもない 3 3 2" xfId="17229" xr:uid="{00000000-0005-0000-0000-0000B2730000}"/>
    <cellStyle name="どちらでもない 3 4" xfId="22189" xr:uid="{00000000-0005-0000-0000-0000B3730000}"/>
    <cellStyle name="どちらでもない 4" xfId="2770" xr:uid="{00000000-0005-0000-0000-0000B4730000}"/>
    <cellStyle name="どちらでもない 4 2" xfId="22191" xr:uid="{00000000-0005-0000-0000-0000B5730000}"/>
    <cellStyle name="どちらでもない 4 3" xfId="17231" xr:uid="{00000000-0005-0000-0000-0000B6730000}"/>
    <cellStyle name="どちらでもない 5" xfId="17232" xr:uid="{00000000-0005-0000-0000-0000B7730000}"/>
    <cellStyle name="どちらでもない 5 2" xfId="22192" xr:uid="{00000000-0005-0000-0000-0000B8730000}"/>
    <cellStyle name="どちらでもない 6" xfId="17233" xr:uid="{00000000-0005-0000-0000-0000B9730000}"/>
    <cellStyle name="どちらでもない 6 2" xfId="22193" xr:uid="{00000000-0005-0000-0000-0000BA730000}"/>
    <cellStyle name="どちらでもない 7" xfId="17218" xr:uid="{00000000-0005-0000-0000-0000BB730000}"/>
    <cellStyle name="どちらでもない 8" xfId="22178" xr:uid="{00000000-0005-0000-0000-0000BC730000}"/>
    <cellStyle name="メモ" xfId="360" xr:uid="{00000000-0005-0000-0000-0000BD730000}"/>
    <cellStyle name="メモ 10" xfId="17235" xr:uid="{00000000-0005-0000-0000-0000BE730000}"/>
    <cellStyle name="メモ 10 2" xfId="22195" xr:uid="{00000000-0005-0000-0000-0000BF730000}"/>
    <cellStyle name="メモ 11" xfId="17236" xr:uid="{00000000-0005-0000-0000-0000C0730000}"/>
    <cellStyle name="メモ 11 2" xfId="22196" xr:uid="{00000000-0005-0000-0000-0000C1730000}"/>
    <cellStyle name="メモ 12" xfId="17237" xr:uid="{00000000-0005-0000-0000-0000C2730000}"/>
    <cellStyle name="メモ 12 2" xfId="22197" xr:uid="{00000000-0005-0000-0000-0000C3730000}"/>
    <cellStyle name="メモ 13" xfId="17238" xr:uid="{00000000-0005-0000-0000-0000C4730000}"/>
    <cellStyle name="メモ 13 2" xfId="17239" xr:uid="{00000000-0005-0000-0000-0000C5730000}"/>
    <cellStyle name="メモ 13 2 2" xfId="22199" xr:uid="{00000000-0005-0000-0000-0000C6730000}"/>
    <cellStyle name="メモ 13 3" xfId="17240" xr:uid="{00000000-0005-0000-0000-0000C7730000}"/>
    <cellStyle name="メモ 13 3 2" xfId="22200" xr:uid="{00000000-0005-0000-0000-0000C8730000}"/>
    <cellStyle name="メモ 13 4" xfId="17241" xr:uid="{00000000-0005-0000-0000-0000C9730000}"/>
    <cellStyle name="メモ 13 4 2" xfId="22201" xr:uid="{00000000-0005-0000-0000-0000CA730000}"/>
    <cellStyle name="メモ 13 5" xfId="17242" xr:uid="{00000000-0005-0000-0000-0000CB730000}"/>
    <cellStyle name="メモ 13 5 2" xfId="22202" xr:uid="{00000000-0005-0000-0000-0000CC730000}"/>
    <cellStyle name="メモ 13 6" xfId="22198" xr:uid="{00000000-0005-0000-0000-0000CD730000}"/>
    <cellStyle name="メモ 14" xfId="17243" xr:uid="{00000000-0005-0000-0000-0000CE730000}"/>
    <cellStyle name="メモ 14 2" xfId="22203" xr:uid="{00000000-0005-0000-0000-0000CF730000}"/>
    <cellStyle name="メモ 15" xfId="17244" xr:uid="{00000000-0005-0000-0000-0000D0730000}"/>
    <cellStyle name="メモ 15 2" xfId="22204" xr:uid="{00000000-0005-0000-0000-0000D1730000}"/>
    <cellStyle name="メモ 16" xfId="17234" xr:uid="{00000000-0005-0000-0000-0000D2730000}"/>
    <cellStyle name="メモ 17" xfId="22194" xr:uid="{00000000-0005-0000-0000-0000D3730000}"/>
    <cellStyle name="メモ 2" xfId="424" xr:uid="{00000000-0005-0000-0000-0000D4730000}"/>
    <cellStyle name="メモ 2 10" xfId="17246" xr:uid="{00000000-0005-0000-0000-0000D5730000}"/>
    <cellStyle name="メモ 2 10 2" xfId="22206" xr:uid="{00000000-0005-0000-0000-0000D6730000}"/>
    <cellStyle name="メモ 2 11" xfId="17247" xr:uid="{00000000-0005-0000-0000-0000D7730000}"/>
    <cellStyle name="メモ 2 11 2" xfId="22207" xr:uid="{00000000-0005-0000-0000-0000D8730000}"/>
    <cellStyle name="メモ 2 12" xfId="17248" xr:uid="{00000000-0005-0000-0000-0000D9730000}"/>
    <cellStyle name="メモ 2 12 2" xfId="22208" xr:uid="{00000000-0005-0000-0000-0000DA730000}"/>
    <cellStyle name="メモ 2 13" xfId="17249" xr:uid="{00000000-0005-0000-0000-0000DB730000}"/>
    <cellStyle name="メモ 2 13 2" xfId="17250" xr:uid="{00000000-0005-0000-0000-0000DC730000}"/>
    <cellStyle name="メモ 2 13 2 2" xfId="22210" xr:uid="{00000000-0005-0000-0000-0000DD730000}"/>
    <cellStyle name="メモ 2 13 3" xfId="17251" xr:uid="{00000000-0005-0000-0000-0000DE730000}"/>
    <cellStyle name="メモ 2 13 3 2" xfId="22211" xr:uid="{00000000-0005-0000-0000-0000DF730000}"/>
    <cellStyle name="メモ 2 13 4" xfId="17252" xr:uid="{00000000-0005-0000-0000-0000E0730000}"/>
    <cellStyle name="メモ 2 13 4 2" xfId="22212" xr:uid="{00000000-0005-0000-0000-0000E1730000}"/>
    <cellStyle name="メモ 2 13 5" xfId="17253" xr:uid="{00000000-0005-0000-0000-0000E2730000}"/>
    <cellStyle name="メモ 2 13 5 2" xfId="22213" xr:uid="{00000000-0005-0000-0000-0000E3730000}"/>
    <cellStyle name="メモ 2 13 6" xfId="22209" xr:uid="{00000000-0005-0000-0000-0000E4730000}"/>
    <cellStyle name="メモ 2 14" xfId="17254" xr:uid="{00000000-0005-0000-0000-0000E5730000}"/>
    <cellStyle name="メモ 2 14 2" xfId="22214" xr:uid="{00000000-0005-0000-0000-0000E6730000}"/>
    <cellStyle name="メモ 2 15" xfId="17255" xr:uid="{00000000-0005-0000-0000-0000E7730000}"/>
    <cellStyle name="メモ 2 15 2" xfId="22215" xr:uid="{00000000-0005-0000-0000-0000E8730000}"/>
    <cellStyle name="メモ 2 16" xfId="17245" xr:uid="{00000000-0005-0000-0000-0000E9730000}"/>
    <cellStyle name="メモ 2 17" xfId="22205" xr:uid="{00000000-0005-0000-0000-0000EA730000}"/>
    <cellStyle name="メモ 2 2" xfId="799" xr:uid="{00000000-0005-0000-0000-0000EB730000}"/>
    <cellStyle name="メモ 2 2 2" xfId="22216" xr:uid="{00000000-0005-0000-0000-0000EC730000}"/>
    <cellStyle name="メモ 2 2 3" xfId="17256" xr:uid="{00000000-0005-0000-0000-0000ED730000}"/>
    <cellStyle name="メモ 2 3" xfId="17257" xr:uid="{00000000-0005-0000-0000-0000EE730000}"/>
    <cellStyle name="メモ 2 3 2" xfId="22217" xr:uid="{00000000-0005-0000-0000-0000EF730000}"/>
    <cellStyle name="メモ 2 3 3" xfId="24476" xr:uid="{00000000-0005-0000-0000-0000F0730000}"/>
    <cellStyle name="メモ 2 4" xfId="17258" xr:uid="{00000000-0005-0000-0000-0000F1730000}"/>
    <cellStyle name="メモ 2 4 2" xfId="22218" xr:uid="{00000000-0005-0000-0000-0000F2730000}"/>
    <cellStyle name="メモ 2 4 3" xfId="24477" xr:uid="{00000000-0005-0000-0000-0000F3730000}"/>
    <cellStyle name="メモ 2 5" xfId="17259" xr:uid="{00000000-0005-0000-0000-0000F4730000}"/>
    <cellStyle name="メモ 2 5 2" xfId="22219" xr:uid="{00000000-0005-0000-0000-0000F5730000}"/>
    <cellStyle name="メモ 2 6" xfId="17260" xr:uid="{00000000-0005-0000-0000-0000F6730000}"/>
    <cellStyle name="メモ 2 6 2" xfId="22220" xr:uid="{00000000-0005-0000-0000-0000F7730000}"/>
    <cellStyle name="メモ 2 7" xfId="17261" xr:uid="{00000000-0005-0000-0000-0000F8730000}"/>
    <cellStyle name="メモ 2 7 2" xfId="22221" xr:uid="{00000000-0005-0000-0000-0000F9730000}"/>
    <cellStyle name="メモ 2 8" xfId="17262" xr:uid="{00000000-0005-0000-0000-0000FA730000}"/>
    <cellStyle name="メモ 2 8 2" xfId="22222" xr:uid="{00000000-0005-0000-0000-0000FB730000}"/>
    <cellStyle name="メモ 2 9" xfId="17263" xr:uid="{00000000-0005-0000-0000-0000FC730000}"/>
    <cellStyle name="メモ 2 9 2" xfId="22223" xr:uid="{00000000-0005-0000-0000-0000FD730000}"/>
    <cellStyle name="メモ 3" xfId="800" xr:uid="{00000000-0005-0000-0000-0000FE730000}"/>
    <cellStyle name="メモ 3 10" xfId="17265" xr:uid="{00000000-0005-0000-0000-0000FF730000}"/>
    <cellStyle name="メモ 3 10 2" xfId="22225" xr:uid="{00000000-0005-0000-0000-000000740000}"/>
    <cellStyle name="メモ 3 11" xfId="17266" xr:uid="{00000000-0005-0000-0000-000001740000}"/>
    <cellStyle name="メモ 3 11 2" xfId="22226" xr:uid="{00000000-0005-0000-0000-000002740000}"/>
    <cellStyle name="メモ 3 12" xfId="17264" xr:uid="{00000000-0005-0000-0000-000003740000}"/>
    <cellStyle name="メモ 3 13" xfId="22224" xr:uid="{00000000-0005-0000-0000-000004740000}"/>
    <cellStyle name="メモ 3 2" xfId="17267" xr:uid="{00000000-0005-0000-0000-000005740000}"/>
    <cellStyle name="メモ 3 2 2" xfId="22227" xr:uid="{00000000-0005-0000-0000-000006740000}"/>
    <cellStyle name="メモ 3 3" xfId="17268" xr:uid="{00000000-0005-0000-0000-000007740000}"/>
    <cellStyle name="メモ 3 3 2" xfId="22228" xr:uid="{00000000-0005-0000-0000-000008740000}"/>
    <cellStyle name="メモ 3 4" xfId="17269" xr:uid="{00000000-0005-0000-0000-000009740000}"/>
    <cellStyle name="メモ 3 4 2" xfId="22229" xr:uid="{00000000-0005-0000-0000-00000A740000}"/>
    <cellStyle name="メモ 3 5" xfId="17270" xr:uid="{00000000-0005-0000-0000-00000B740000}"/>
    <cellStyle name="メモ 3 5 2" xfId="22230" xr:uid="{00000000-0005-0000-0000-00000C740000}"/>
    <cellStyle name="メモ 3 6" xfId="17271" xr:uid="{00000000-0005-0000-0000-00000D740000}"/>
    <cellStyle name="メモ 3 6 2" xfId="22231" xr:uid="{00000000-0005-0000-0000-00000E740000}"/>
    <cellStyle name="メモ 3 7" xfId="17272" xr:uid="{00000000-0005-0000-0000-00000F740000}"/>
    <cellStyle name="メモ 3 7 2" xfId="22232" xr:uid="{00000000-0005-0000-0000-000010740000}"/>
    <cellStyle name="メモ 3 8" xfId="17273" xr:uid="{00000000-0005-0000-0000-000011740000}"/>
    <cellStyle name="メモ 3 8 2" xfId="22233" xr:uid="{00000000-0005-0000-0000-000012740000}"/>
    <cellStyle name="メモ 3 9" xfId="17274" xr:uid="{00000000-0005-0000-0000-000013740000}"/>
    <cellStyle name="メモ 3 9 2" xfId="22234" xr:uid="{00000000-0005-0000-0000-000014740000}"/>
    <cellStyle name="メモ 4" xfId="17275" xr:uid="{00000000-0005-0000-0000-000015740000}"/>
    <cellStyle name="メモ 4 10" xfId="17276" xr:uid="{00000000-0005-0000-0000-000016740000}"/>
    <cellStyle name="メモ 4 10 2" xfId="22236" xr:uid="{00000000-0005-0000-0000-000017740000}"/>
    <cellStyle name="メモ 4 11" xfId="17277" xr:uid="{00000000-0005-0000-0000-000018740000}"/>
    <cellStyle name="メモ 4 11 2" xfId="22237" xr:uid="{00000000-0005-0000-0000-000019740000}"/>
    <cellStyle name="メモ 4 12" xfId="22235" xr:uid="{00000000-0005-0000-0000-00001A740000}"/>
    <cellStyle name="メモ 4 13" xfId="24478" xr:uid="{00000000-0005-0000-0000-00001B740000}"/>
    <cellStyle name="メモ 4 2" xfId="17278" xr:uid="{00000000-0005-0000-0000-00001C740000}"/>
    <cellStyle name="メモ 4 2 2" xfId="22238" xr:uid="{00000000-0005-0000-0000-00001D740000}"/>
    <cellStyle name="メモ 4 3" xfId="17279" xr:uid="{00000000-0005-0000-0000-00001E740000}"/>
    <cellStyle name="メモ 4 3 2" xfId="22239" xr:uid="{00000000-0005-0000-0000-00001F740000}"/>
    <cellStyle name="メモ 4 4" xfId="17280" xr:uid="{00000000-0005-0000-0000-000020740000}"/>
    <cellStyle name="メモ 4 4 2" xfId="22240" xr:uid="{00000000-0005-0000-0000-000021740000}"/>
    <cellStyle name="メモ 4 5" xfId="17281" xr:uid="{00000000-0005-0000-0000-000022740000}"/>
    <cellStyle name="メモ 4 5 2" xfId="22241" xr:uid="{00000000-0005-0000-0000-000023740000}"/>
    <cellStyle name="メモ 4 6" xfId="17282" xr:uid="{00000000-0005-0000-0000-000024740000}"/>
    <cellStyle name="メモ 4 6 2" xfId="22242" xr:uid="{00000000-0005-0000-0000-000025740000}"/>
    <cellStyle name="メモ 4 7" xfId="17283" xr:uid="{00000000-0005-0000-0000-000026740000}"/>
    <cellStyle name="メモ 4 7 2" xfId="22243" xr:uid="{00000000-0005-0000-0000-000027740000}"/>
    <cellStyle name="メモ 4 8" xfId="17284" xr:uid="{00000000-0005-0000-0000-000028740000}"/>
    <cellStyle name="メモ 4 8 2" xfId="22244" xr:uid="{00000000-0005-0000-0000-000029740000}"/>
    <cellStyle name="メモ 4 9" xfId="17285" xr:uid="{00000000-0005-0000-0000-00002A740000}"/>
    <cellStyle name="メモ 4 9 2" xfId="22245" xr:uid="{00000000-0005-0000-0000-00002B740000}"/>
    <cellStyle name="メモ 5" xfId="17286" xr:uid="{00000000-0005-0000-0000-00002C740000}"/>
    <cellStyle name="メモ 5 10" xfId="17287" xr:uid="{00000000-0005-0000-0000-00002D740000}"/>
    <cellStyle name="メモ 5 10 2" xfId="22247" xr:uid="{00000000-0005-0000-0000-00002E740000}"/>
    <cellStyle name="メモ 5 11" xfId="17288" xr:uid="{00000000-0005-0000-0000-00002F740000}"/>
    <cellStyle name="メモ 5 11 2" xfId="22248" xr:uid="{00000000-0005-0000-0000-000030740000}"/>
    <cellStyle name="メモ 5 12" xfId="22246" xr:uid="{00000000-0005-0000-0000-000031740000}"/>
    <cellStyle name="メモ 5 13" xfId="24479" xr:uid="{00000000-0005-0000-0000-000032740000}"/>
    <cellStyle name="メモ 5 2" xfId="17289" xr:uid="{00000000-0005-0000-0000-000033740000}"/>
    <cellStyle name="メモ 5 2 2" xfId="22249" xr:uid="{00000000-0005-0000-0000-000034740000}"/>
    <cellStyle name="メモ 5 3" xfId="17290" xr:uid="{00000000-0005-0000-0000-000035740000}"/>
    <cellStyle name="メモ 5 3 2" xfId="22250" xr:uid="{00000000-0005-0000-0000-000036740000}"/>
    <cellStyle name="メモ 5 4" xfId="17291" xr:uid="{00000000-0005-0000-0000-000037740000}"/>
    <cellStyle name="メモ 5 4 2" xfId="22251" xr:uid="{00000000-0005-0000-0000-000038740000}"/>
    <cellStyle name="メモ 5 5" xfId="17292" xr:uid="{00000000-0005-0000-0000-000039740000}"/>
    <cellStyle name="メモ 5 5 2" xfId="22252" xr:uid="{00000000-0005-0000-0000-00003A740000}"/>
    <cellStyle name="メモ 5 6" xfId="17293" xr:uid="{00000000-0005-0000-0000-00003B740000}"/>
    <cellStyle name="メモ 5 6 2" xfId="22253" xr:uid="{00000000-0005-0000-0000-00003C740000}"/>
    <cellStyle name="メモ 5 7" xfId="17294" xr:uid="{00000000-0005-0000-0000-00003D740000}"/>
    <cellStyle name="メモ 5 7 2" xfId="22254" xr:uid="{00000000-0005-0000-0000-00003E740000}"/>
    <cellStyle name="メモ 5 8" xfId="17295" xr:uid="{00000000-0005-0000-0000-00003F740000}"/>
    <cellStyle name="メモ 5 8 2" xfId="22255" xr:uid="{00000000-0005-0000-0000-000040740000}"/>
    <cellStyle name="メモ 5 9" xfId="17296" xr:uid="{00000000-0005-0000-0000-000041740000}"/>
    <cellStyle name="メモ 5 9 2" xfId="22256" xr:uid="{00000000-0005-0000-0000-000042740000}"/>
    <cellStyle name="メモ 6" xfId="17297" xr:uid="{00000000-0005-0000-0000-000043740000}"/>
    <cellStyle name="メモ 6 10" xfId="17298" xr:uid="{00000000-0005-0000-0000-000044740000}"/>
    <cellStyle name="メモ 6 10 2" xfId="22258" xr:uid="{00000000-0005-0000-0000-000045740000}"/>
    <cellStyle name="メモ 6 11" xfId="17299" xr:uid="{00000000-0005-0000-0000-000046740000}"/>
    <cellStyle name="メモ 6 11 2" xfId="22259" xr:uid="{00000000-0005-0000-0000-000047740000}"/>
    <cellStyle name="メモ 6 12" xfId="22257" xr:uid="{00000000-0005-0000-0000-000048740000}"/>
    <cellStyle name="メモ 6 2" xfId="17300" xr:uid="{00000000-0005-0000-0000-000049740000}"/>
    <cellStyle name="メモ 6 2 2" xfId="22260" xr:uid="{00000000-0005-0000-0000-00004A740000}"/>
    <cellStyle name="メモ 6 3" xfId="17301" xr:uid="{00000000-0005-0000-0000-00004B740000}"/>
    <cellStyle name="メモ 6 3 2" xfId="22261" xr:uid="{00000000-0005-0000-0000-00004C740000}"/>
    <cellStyle name="メモ 6 4" xfId="17302" xr:uid="{00000000-0005-0000-0000-00004D740000}"/>
    <cellStyle name="メモ 6 4 2" xfId="22262" xr:uid="{00000000-0005-0000-0000-00004E740000}"/>
    <cellStyle name="メモ 6 5" xfId="17303" xr:uid="{00000000-0005-0000-0000-00004F740000}"/>
    <cellStyle name="メモ 6 5 2" xfId="22263" xr:uid="{00000000-0005-0000-0000-000050740000}"/>
    <cellStyle name="メモ 6 6" xfId="17304" xr:uid="{00000000-0005-0000-0000-000051740000}"/>
    <cellStyle name="メモ 6 6 2" xfId="22264" xr:uid="{00000000-0005-0000-0000-000052740000}"/>
    <cellStyle name="メモ 6 7" xfId="17305" xr:uid="{00000000-0005-0000-0000-000053740000}"/>
    <cellStyle name="メモ 6 7 2" xfId="22265" xr:uid="{00000000-0005-0000-0000-000054740000}"/>
    <cellStyle name="メモ 6 8" xfId="17306" xr:uid="{00000000-0005-0000-0000-000055740000}"/>
    <cellStyle name="メモ 6 8 2" xfId="22266" xr:uid="{00000000-0005-0000-0000-000056740000}"/>
    <cellStyle name="メモ 6 9" xfId="17307" xr:uid="{00000000-0005-0000-0000-000057740000}"/>
    <cellStyle name="メモ 6 9 2" xfId="22267" xr:uid="{00000000-0005-0000-0000-000058740000}"/>
    <cellStyle name="メモ 7" xfId="17308" xr:uid="{00000000-0005-0000-0000-000059740000}"/>
    <cellStyle name="メモ 7 10" xfId="17309" xr:uid="{00000000-0005-0000-0000-00005A740000}"/>
    <cellStyle name="メモ 7 10 2" xfId="22269" xr:uid="{00000000-0005-0000-0000-00005B740000}"/>
    <cellStyle name="メモ 7 11" xfId="17310" xr:uid="{00000000-0005-0000-0000-00005C740000}"/>
    <cellStyle name="メモ 7 11 2" xfId="22270" xr:uid="{00000000-0005-0000-0000-00005D740000}"/>
    <cellStyle name="メモ 7 12" xfId="22268" xr:uid="{00000000-0005-0000-0000-00005E740000}"/>
    <cellStyle name="メモ 7 2" xfId="17311" xr:uid="{00000000-0005-0000-0000-00005F740000}"/>
    <cellStyle name="メモ 7 2 2" xfId="22271" xr:uid="{00000000-0005-0000-0000-000060740000}"/>
    <cellStyle name="メモ 7 3" xfId="17312" xr:uid="{00000000-0005-0000-0000-000061740000}"/>
    <cellStyle name="メモ 7 3 2" xfId="22272" xr:uid="{00000000-0005-0000-0000-000062740000}"/>
    <cellStyle name="メモ 7 4" xfId="17313" xr:uid="{00000000-0005-0000-0000-000063740000}"/>
    <cellStyle name="メモ 7 4 2" xfId="22273" xr:uid="{00000000-0005-0000-0000-000064740000}"/>
    <cellStyle name="メモ 7 5" xfId="17314" xr:uid="{00000000-0005-0000-0000-000065740000}"/>
    <cellStyle name="メモ 7 5 2" xfId="22274" xr:uid="{00000000-0005-0000-0000-000066740000}"/>
    <cellStyle name="メモ 7 6" xfId="17315" xr:uid="{00000000-0005-0000-0000-000067740000}"/>
    <cellStyle name="メモ 7 6 2" xfId="22275" xr:uid="{00000000-0005-0000-0000-000068740000}"/>
    <cellStyle name="メモ 7 7" xfId="17316" xr:uid="{00000000-0005-0000-0000-000069740000}"/>
    <cellStyle name="メモ 7 7 2" xfId="22276" xr:uid="{00000000-0005-0000-0000-00006A740000}"/>
    <cellStyle name="メモ 7 8" xfId="17317" xr:uid="{00000000-0005-0000-0000-00006B740000}"/>
    <cellStyle name="メモ 7 8 2" xfId="22277" xr:uid="{00000000-0005-0000-0000-00006C740000}"/>
    <cellStyle name="メモ 7 9" xfId="17318" xr:uid="{00000000-0005-0000-0000-00006D740000}"/>
    <cellStyle name="メモ 7 9 2" xfId="22278" xr:uid="{00000000-0005-0000-0000-00006E740000}"/>
    <cellStyle name="メモ 8" xfId="17319" xr:uid="{00000000-0005-0000-0000-00006F740000}"/>
    <cellStyle name="メモ 8 2" xfId="22279" xr:uid="{00000000-0005-0000-0000-000070740000}"/>
    <cellStyle name="メモ 9" xfId="17320" xr:uid="{00000000-0005-0000-0000-000071740000}"/>
    <cellStyle name="メモ 9 2" xfId="22280" xr:uid="{00000000-0005-0000-0000-000072740000}"/>
    <cellStyle name="メモ_Real 2013" xfId="801" xr:uid="{00000000-0005-0000-0000-000073740000}"/>
    <cellStyle name="リンク セル" xfId="361" xr:uid="{00000000-0005-0000-0000-000074740000}"/>
    <cellStyle name="リンク セル 2" xfId="803" xr:uid="{00000000-0005-0000-0000-000075740000}"/>
    <cellStyle name="リンク セル 2 2" xfId="2625" xr:uid="{00000000-0005-0000-0000-000076740000}"/>
    <cellStyle name="リンク セル 2 2 2" xfId="17324" xr:uid="{00000000-0005-0000-0000-000077740000}"/>
    <cellStyle name="リンク セル 2 2 2 2" xfId="22284" xr:uid="{00000000-0005-0000-0000-000078740000}"/>
    <cellStyle name="リンク セル 2 2 3" xfId="17325" xr:uid="{00000000-0005-0000-0000-000079740000}"/>
    <cellStyle name="リンク セル 2 2 3 2" xfId="22285" xr:uid="{00000000-0005-0000-0000-00007A740000}"/>
    <cellStyle name="リンク セル 2 2 4" xfId="17326" xr:uid="{00000000-0005-0000-0000-00007B740000}"/>
    <cellStyle name="リンク セル 2 2 4 2" xfId="22286" xr:uid="{00000000-0005-0000-0000-00007C740000}"/>
    <cellStyle name="リンク セル 2 2 5" xfId="17323" xr:uid="{00000000-0005-0000-0000-00007D740000}"/>
    <cellStyle name="リンク セル 2 2 6" xfId="22283" xr:uid="{00000000-0005-0000-0000-00007E740000}"/>
    <cellStyle name="リンク セル 2 3" xfId="2624" xr:uid="{00000000-0005-0000-0000-00007F740000}"/>
    <cellStyle name="リンク セル 2 3 2" xfId="17328" xr:uid="{00000000-0005-0000-0000-000080740000}"/>
    <cellStyle name="リンク セル 2 3 2 2" xfId="22288" xr:uid="{00000000-0005-0000-0000-000081740000}"/>
    <cellStyle name="リンク セル 2 3 3" xfId="22287" xr:uid="{00000000-0005-0000-0000-000082740000}"/>
    <cellStyle name="リンク セル 2 3 4" xfId="17327" xr:uid="{00000000-0005-0000-0000-000083740000}"/>
    <cellStyle name="リンク セル 2 4" xfId="17329" xr:uid="{00000000-0005-0000-0000-000084740000}"/>
    <cellStyle name="リンク セル 2 4 2" xfId="22289" xr:uid="{00000000-0005-0000-0000-000085740000}"/>
    <cellStyle name="リンク セル 2 5" xfId="17330" xr:uid="{00000000-0005-0000-0000-000086740000}"/>
    <cellStyle name="リンク セル 2 5 2" xfId="22290" xr:uid="{00000000-0005-0000-0000-000087740000}"/>
    <cellStyle name="リンク セル 2 6" xfId="17331" xr:uid="{00000000-0005-0000-0000-000088740000}"/>
    <cellStyle name="リンク セル 2 6 2" xfId="22291" xr:uid="{00000000-0005-0000-0000-000089740000}"/>
    <cellStyle name="リンク セル 2 7" xfId="17322" xr:uid="{00000000-0005-0000-0000-00008A740000}"/>
    <cellStyle name="リンク セル 2 8" xfId="22282" xr:uid="{00000000-0005-0000-0000-00008B740000}"/>
    <cellStyle name="リンク セル 3" xfId="802" xr:uid="{00000000-0005-0000-0000-00008C740000}"/>
    <cellStyle name="リンク セル 3 2" xfId="2626" xr:uid="{00000000-0005-0000-0000-00008D740000}"/>
    <cellStyle name="リンク セル 3 2 2" xfId="22293" xr:uid="{00000000-0005-0000-0000-00008E740000}"/>
    <cellStyle name="リンク セル 3 2 3" xfId="17333" xr:uid="{00000000-0005-0000-0000-00008F740000}"/>
    <cellStyle name="リンク セル 3 2 4" xfId="24480" xr:uid="{00000000-0005-0000-0000-000090740000}"/>
    <cellStyle name="リンク セル 3 3" xfId="3717" xr:uid="{00000000-0005-0000-0000-000091740000}"/>
    <cellStyle name="リンク セル 3 3 2" xfId="17332" xr:uid="{00000000-0005-0000-0000-000092740000}"/>
    <cellStyle name="リンク セル 3 4" xfId="22292" xr:uid="{00000000-0005-0000-0000-000093740000}"/>
    <cellStyle name="リンク セル 4" xfId="2771" xr:uid="{00000000-0005-0000-0000-000094740000}"/>
    <cellStyle name="リンク セル 4 2" xfId="22294" xr:uid="{00000000-0005-0000-0000-000095740000}"/>
    <cellStyle name="リンク セル 4 3" xfId="17334" xr:uid="{00000000-0005-0000-0000-000096740000}"/>
    <cellStyle name="リンク セル 5" xfId="17335" xr:uid="{00000000-0005-0000-0000-000097740000}"/>
    <cellStyle name="リンク セル 5 2" xfId="22295" xr:uid="{00000000-0005-0000-0000-000098740000}"/>
    <cellStyle name="リンク セル 6" xfId="17336" xr:uid="{00000000-0005-0000-0000-000099740000}"/>
    <cellStyle name="リンク セル 6 2" xfId="22296" xr:uid="{00000000-0005-0000-0000-00009A740000}"/>
    <cellStyle name="リンク セル 7" xfId="17321" xr:uid="{00000000-0005-0000-0000-00009B740000}"/>
    <cellStyle name="リンク セル 8" xfId="22281" xr:uid="{00000000-0005-0000-0000-00009C740000}"/>
    <cellStyle name="入力" xfId="376" xr:uid="{00000000-0005-0000-0000-00009D740000}"/>
    <cellStyle name="入力 10" xfId="17338" xr:uid="{00000000-0005-0000-0000-00009E740000}"/>
    <cellStyle name="入力 10 2" xfId="22298" xr:uid="{00000000-0005-0000-0000-00009F740000}"/>
    <cellStyle name="入力 11" xfId="17339" xr:uid="{00000000-0005-0000-0000-0000A0740000}"/>
    <cellStyle name="入力 11 2" xfId="22299" xr:uid="{00000000-0005-0000-0000-0000A1740000}"/>
    <cellStyle name="入力 12" xfId="17340" xr:uid="{00000000-0005-0000-0000-0000A2740000}"/>
    <cellStyle name="入力 12 2" xfId="17341" xr:uid="{00000000-0005-0000-0000-0000A3740000}"/>
    <cellStyle name="入力 12 2 2" xfId="22301" xr:uid="{00000000-0005-0000-0000-0000A4740000}"/>
    <cellStyle name="入力 12 3" xfId="17342" xr:uid="{00000000-0005-0000-0000-0000A5740000}"/>
    <cellStyle name="入力 12 3 2" xfId="22302" xr:uid="{00000000-0005-0000-0000-0000A6740000}"/>
    <cellStyle name="入力 12 4" xfId="17343" xr:uid="{00000000-0005-0000-0000-0000A7740000}"/>
    <cellStyle name="入力 12 4 2" xfId="22303" xr:uid="{00000000-0005-0000-0000-0000A8740000}"/>
    <cellStyle name="入力 12 5" xfId="17344" xr:uid="{00000000-0005-0000-0000-0000A9740000}"/>
    <cellStyle name="入力 12 5 2" xfId="22304" xr:uid="{00000000-0005-0000-0000-0000AA740000}"/>
    <cellStyle name="入力 12 6" xfId="22300" xr:uid="{00000000-0005-0000-0000-0000AB740000}"/>
    <cellStyle name="入力 13" xfId="17345" xr:uid="{00000000-0005-0000-0000-0000AC740000}"/>
    <cellStyle name="入力 13 2" xfId="22305" xr:uid="{00000000-0005-0000-0000-0000AD740000}"/>
    <cellStyle name="入力 14" xfId="17346" xr:uid="{00000000-0005-0000-0000-0000AE740000}"/>
    <cellStyle name="入力 14 2" xfId="22306" xr:uid="{00000000-0005-0000-0000-0000AF740000}"/>
    <cellStyle name="入力 15" xfId="17337" xr:uid="{00000000-0005-0000-0000-0000B0740000}"/>
    <cellStyle name="入力 16" xfId="22297" xr:uid="{00000000-0005-0000-0000-0000B1740000}"/>
    <cellStyle name="入力 2" xfId="805" xr:uid="{00000000-0005-0000-0000-0000B2740000}"/>
    <cellStyle name="入力 2 10" xfId="17348" xr:uid="{00000000-0005-0000-0000-0000B3740000}"/>
    <cellStyle name="入力 2 10 2" xfId="22308" xr:uid="{00000000-0005-0000-0000-0000B4740000}"/>
    <cellStyle name="入力 2 11" xfId="17349" xr:uid="{00000000-0005-0000-0000-0000B5740000}"/>
    <cellStyle name="入力 2 11 2" xfId="22309" xr:uid="{00000000-0005-0000-0000-0000B6740000}"/>
    <cellStyle name="入力 2 12" xfId="17350" xr:uid="{00000000-0005-0000-0000-0000B7740000}"/>
    <cellStyle name="入力 2 12 2" xfId="22310" xr:uid="{00000000-0005-0000-0000-0000B8740000}"/>
    <cellStyle name="入力 2 13" xfId="17351" xr:uid="{00000000-0005-0000-0000-0000B9740000}"/>
    <cellStyle name="入力 2 13 2" xfId="22311" xr:uid="{00000000-0005-0000-0000-0000BA740000}"/>
    <cellStyle name="入力 2 14" xfId="17352" xr:uid="{00000000-0005-0000-0000-0000BB740000}"/>
    <cellStyle name="入力 2 14 2" xfId="17353" xr:uid="{00000000-0005-0000-0000-0000BC740000}"/>
    <cellStyle name="入力 2 14 2 2" xfId="22313" xr:uid="{00000000-0005-0000-0000-0000BD740000}"/>
    <cellStyle name="入力 2 14 3" xfId="17354" xr:uid="{00000000-0005-0000-0000-0000BE740000}"/>
    <cellStyle name="入力 2 14 3 2" xfId="22314" xr:uid="{00000000-0005-0000-0000-0000BF740000}"/>
    <cellStyle name="入力 2 14 4" xfId="17355" xr:uid="{00000000-0005-0000-0000-0000C0740000}"/>
    <cellStyle name="入力 2 14 4 2" xfId="22315" xr:uid="{00000000-0005-0000-0000-0000C1740000}"/>
    <cellStyle name="入力 2 14 5" xfId="17356" xr:uid="{00000000-0005-0000-0000-0000C2740000}"/>
    <cellStyle name="入力 2 14 5 2" xfId="22316" xr:uid="{00000000-0005-0000-0000-0000C3740000}"/>
    <cellStyle name="入力 2 14 6" xfId="22312" xr:uid="{00000000-0005-0000-0000-0000C4740000}"/>
    <cellStyle name="入力 2 15" xfId="17357" xr:uid="{00000000-0005-0000-0000-0000C5740000}"/>
    <cellStyle name="入力 2 15 2" xfId="22317" xr:uid="{00000000-0005-0000-0000-0000C6740000}"/>
    <cellStyle name="入力 2 16" xfId="17358" xr:uid="{00000000-0005-0000-0000-0000C7740000}"/>
    <cellStyle name="入力 2 16 2" xfId="22318" xr:uid="{00000000-0005-0000-0000-0000C8740000}"/>
    <cellStyle name="入力 2 17" xfId="17347" xr:uid="{00000000-0005-0000-0000-0000C9740000}"/>
    <cellStyle name="入力 2 18" xfId="22307" xr:uid="{00000000-0005-0000-0000-0000CA740000}"/>
    <cellStyle name="入力 2 2" xfId="2628" xr:uid="{00000000-0005-0000-0000-0000CB740000}"/>
    <cellStyle name="入力 2 2 2" xfId="17360" xr:uid="{00000000-0005-0000-0000-0000CC740000}"/>
    <cellStyle name="入力 2 2 2 2" xfId="17361" xr:uid="{00000000-0005-0000-0000-0000CD740000}"/>
    <cellStyle name="入力 2 2 2 2 2" xfId="22321" xr:uid="{00000000-0005-0000-0000-0000CE740000}"/>
    <cellStyle name="入力 2 2 2 3" xfId="17362" xr:uid="{00000000-0005-0000-0000-0000CF740000}"/>
    <cellStyle name="入力 2 2 2 3 2" xfId="22322" xr:uid="{00000000-0005-0000-0000-0000D0740000}"/>
    <cellStyle name="入力 2 2 2 4" xfId="17363" xr:uid="{00000000-0005-0000-0000-0000D1740000}"/>
    <cellStyle name="入力 2 2 2 4 2" xfId="22323" xr:uid="{00000000-0005-0000-0000-0000D2740000}"/>
    <cellStyle name="入力 2 2 2 5" xfId="17364" xr:uid="{00000000-0005-0000-0000-0000D3740000}"/>
    <cellStyle name="入力 2 2 2 5 2" xfId="22324" xr:uid="{00000000-0005-0000-0000-0000D4740000}"/>
    <cellStyle name="入力 2 2 2 6" xfId="22320" xr:uid="{00000000-0005-0000-0000-0000D5740000}"/>
    <cellStyle name="入力 2 2 2 7" xfId="24481" xr:uid="{00000000-0005-0000-0000-0000D6740000}"/>
    <cellStyle name="入力 2 2 3" xfId="17365" xr:uid="{00000000-0005-0000-0000-0000D7740000}"/>
    <cellStyle name="入力 2 2 3 2" xfId="22325" xr:uid="{00000000-0005-0000-0000-0000D8740000}"/>
    <cellStyle name="入力 2 2 3 3" xfId="24482" xr:uid="{00000000-0005-0000-0000-0000D9740000}"/>
    <cellStyle name="入力 2 2 4" xfId="17366" xr:uid="{00000000-0005-0000-0000-0000DA740000}"/>
    <cellStyle name="入力 2 2 4 2" xfId="22326" xr:uid="{00000000-0005-0000-0000-0000DB740000}"/>
    <cellStyle name="入力 2 2 5" xfId="17359" xr:uid="{00000000-0005-0000-0000-0000DC740000}"/>
    <cellStyle name="入力 2 2 6" xfId="22319" xr:uid="{00000000-0005-0000-0000-0000DD740000}"/>
    <cellStyle name="入力 2 3" xfId="2627" xr:uid="{00000000-0005-0000-0000-0000DE740000}"/>
    <cellStyle name="入力 2 3 2" xfId="17368" xr:uid="{00000000-0005-0000-0000-0000DF740000}"/>
    <cellStyle name="入力 2 3 2 2" xfId="17369" xr:uid="{00000000-0005-0000-0000-0000E0740000}"/>
    <cellStyle name="入力 2 3 2 2 2" xfId="22329" xr:uid="{00000000-0005-0000-0000-0000E1740000}"/>
    <cellStyle name="入力 2 3 2 3" xfId="17370" xr:uid="{00000000-0005-0000-0000-0000E2740000}"/>
    <cellStyle name="入力 2 3 2 3 2" xfId="22330" xr:uid="{00000000-0005-0000-0000-0000E3740000}"/>
    <cellStyle name="入力 2 3 2 4" xfId="17371" xr:uid="{00000000-0005-0000-0000-0000E4740000}"/>
    <cellStyle name="入力 2 3 2 4 2" xfId="22331" xr:uid="{00000000-0005-0000-0000-0000E5740000}"/>
    <cellStyle name="入力 2 3 2 5" xfId="17372" xr:uid="{00000000-0005-0000-0000-0000E6740000}"/>
    <cellStyle name="入力 2 3 2 5 2" xfId="22332" xr:uid="{00000000-0005-0000-0000-0000E7740000}"/>
    <cellStyle name="入力 2 3 2 6" xfId="22328" xr:uid="{00000000-0005-0000-0000-0000E8740000}"/>
    <cellStyle name="入力 2 3 3" xfId="17373" xr:uid="{00000000-0005-0000-0000-0000E9740000}"/>
    <cellStyle name="入力 2 3 3 2" xfId="22333" xr:uid="{00000000-0005-0000-0000-0000EA740000}"/>
    <cellStyle name="入力 2 3 4" xfId="17374" xr:uid="{00000000-0005-0000-0000-0000EB740000}"/>
    <cellStyle name="入力 2 3 4 2" xfId="22334" xr:uid="{00000000-0005-0000-0000-0000EC740000}"/>
    <cellStyle name="入力 2 3 5" xfId="22327" xr:uid="{00000000-0005-0000-0000-0000ED740000}"/>
    <cellStyle name="入力 2 3 6" xfId="17367" xr:uid="{00000000-0005-0000-0000-0000EE740000}"/>
    <cellStyle name="入力 2 4" xfId="17375" xr:uid="{00000000-0005-0000-0000-0000EF740000}"/>
    <cellStyle name="入力 2 4 2" xfId="22335" xr:uid="{00000000-0005-0000-0000-0000F0740000}"/>
    <cellStyle name="入力 2 4 3" xfId="24483" xr:uid="{00000000-0005-0000-0000-0000F1740000}"/>
    <cellStyle name="入力 2 5" xfId="17376" xr:uid="{00000000-0005-0000-0000-0000F2740000}"/>
    <cellStyle name="入力 2 5 2" xfId="22336" xr:uid="{00000000-0005-0000-0000-0000F3740000}"/>
    <cellStyle name="入力 2 5 3" xfId="24484" xr:uid="{00000000-0005-0000-0000-0000F4740000}"/>
    <cellStyle name="入力 2 6" xfId="17377" xr:uid="{00000000-0005-0000-0000-0000F5740000}"/>
    <cellStyle name="入力 2 6 2" xfId="22337" xr:uid="{00000000-0005-0000-0000-0000F6740000}"/>
    <cellStyle name="入力 2 7" xfId="17378" xr:uid="{00000000-0005-0000-0000-0000F7740000}"/>
    <cellStyle name="入力 2 7 2" xfId="22338" xr:uid="{00000000-0005-0000-0000-0000F8740000}"/>
    <cellStyle name="入力 2 8" xfId="17379" xr:uid="{00000000-0005-0000-0000-0000F9740000}"/>
    <cellStyle name="入力 2 8 2" xfId="22339" xr:uid="{00000000-0005-0000-0000-0000FA740000}"/>
    <cellStyle name="入力 2 9" xfId="17380" xr:uid="{00000000-0005-0000-0000-0000FB740000}"/>
    <cellStyle name="入力 2 9 2" xfId="22340" xr:uid="{00000000-0005-0000-0000-0000FC740000}"/>
    <cellStyle name="入力 3" xfId="804" xr:uid="{00000000-0005-0000-0000-0000FD740000}"/>
    <cellStyle name="入力 3 10" xfId="17382" xr:uid="{00000000-0005-0000-0000-0000FE740000}"/>
    <cellStyle name="入力 3 10 2" xfId="22342" xr:uid="{00000000-0005-0000-0000-0000FF740000}"/>
    <cellStyle name="入力 3 11" xfId="17383" xr:uid="{00000000-0005-0000-0000-000000750000}"/>
    <cellStyle name="入力 3 11 2" xfId="22343" xr:uid="{00000000-0005-0000-0000-000001750000}"/>
    <cellStyle name="入力 3 12" xfId="17384" xr:uid="{00000000-0005-0000-0000-000002750000}"/>
    <cellStyle name="入力 3 12 2" xfId="22344" xr:uid="{00000000-0005-0000-0000-000003750000}"/>
    <cellStyle name="入力 3 13" xfId="17385" xr:uid="{00000000-0005-0000-0000-000004750000}"/>
    <cellStyle name="入力 3 13 2" xfId="22345" xr:uid="{00000000-0005-0000-0000-000005750000}"/>
    <cellStyle name="入力 3 14" xfId="17381" xr:uid="{00000000-0005-0000-0000-000006750000}"/>
    <cellStyle name="入力 3 15" xfId="22341" xr:uid="{00000000-0005-0000-0000-000007750000}"/>
    <cellStyle name="入力 3 2" xfId="2629" xr:uid="{00000000-0005-0000-0000-000008750000}"/>
    <cellStyle name="入力 3 2 2" xfId="22346" xr:uid="{00000000-0005-0000-0000-000009750000}"/>
    <cellStyle name="入力 3 2 3" xfId="17386" xr:uid="{00000000-0005-0000-0000-00000A750000}"/>
    <cellStyle name="入力 3 2 4" xfId="24485" xr:uid="{00000000-0005-0000-0000-00000B750000}"/>
    <cellStyle name="入力 3 3" xfId="3718" xr:uid="{00000000-0005-0000-0000-00000C750000}"/>
    <cellStyle name="入力 3 3 2" xfId="22347" xr:uid="{00000000-0005-0000-0000-00000D750000}"/>
    <cellStyle name="入力 3 3 3" xfId="17387" xr:uid="{00000000-0005-0000-0000-00000E750000}"/>
    <cellStyle name="入力 3 3 4" xfId="24486" xr:uid="{00000000-0005-0000-0000-00000F750000}"/>
    <cellStyle name="入力 3 4" xfId="17388" xr:uid="{00000000-0005-0000-0000-000010750000}"/>
    <cellStyle name="入力 3 4 2" xfId="22348" xr:uid="{00000000-0005-0000-0000-000011750000}"/>
    <cellStyle name="入力 3 4 3" xfId="24487" xr:uid="{00000000-0005-0000-0000-000012750000}"/>
    <cellStyle name="入力 3 5" xfId="17389" xr:uid="{00000000-0005-0000-0000-000013750000}"/>
    <cellStyle name="入力 3 5 2" xfId="22349" xr:uid="{00000000-0005-0000-0000-000014750000}"/>
    <cellStyle name="入力 3 6" xfId="17390" xr:uid="{00000000-0005-0000-0000-000015750000}"/>
    <cellStyle name="入力 3 6 2" xfId="22350" xr:uid="{00000000-0005-0000-0000-000016750000}"/>
    <cellStyle name="入力 3 7" xfId="17391" xr:uid="{00000000-0005-0000-0000-000017750000}"/>
    <cellStyle name="入力 3 7 2" xfId="22351" xr:uid="{00000000-0005-0000-0000-000018750000}"/>
    <cellStyle name="入力 3 8" xfId="17392" xr:uid="{00000000-0005-0000-0000-000019750000}"/>
    <cellStyle name="入力 3 8 2" xfId="22352" xr:uid="{00000000-0005-0000-0000-00001A750000}"/>
    <cellStyle name="入力 3 9" xfId="17393" xr:uid="{00000000-0005-0000-0000-00001B750000}"/>
    <cellStyle name="入力 3 9 2" xfId="22353" xr:uid="{00000000-0005-0000-0000-00001C750000}"/>
    <cellStyle name="入力 4" xfId="2782" xr:uid="{00000000-0005-0000-0000-00001D750000}"/>
    <cellStyle name="入力 4 10" xfId="17395" xr:uid="{00000000-0005-0000-0000-00001E750000}"/>
    <cellStyle name="入力 4 10 2" xfId="22355" xr:uid="{00000000-0005-0000-0000-00001F750000}"/>
    <cellStyle name="入力 4 11" xfId="17396" xr:uid="{00000000-0005-0000-0000-000020750000}"/>
    <cellStyle name="入力 4 11 2" xfId="22356" xr:uid="{00000000-0005-0000-0000-000021750000}"/>
    <cellStyle name="入力 4 12" xfId="22354" xr:uid="{00000000-0005-0000-0000-000022750000}"/>
    <cellStyle name="入力 4 13" xfId="17394" xr:uid="{00000000-0005-0000-0000-000023750000}"/>
    <cellStyle name="入力 4 14" xfId="24488" xr:uid="{00000000-0005-0000-0000-000024750000}"/>
    <cellStyle name="入力 4 2" xfId="17397" xr:uid="{00000000-0005-0000-0000-000025750000}"/>
    <cellStyle name="入力 4 2 2" xfId="22357" xr:uid="{00000000-0005-0000-0000-000026750000}"/>
    <cellStyle name="入力 4 3" xfId="17398" xr:uid="{00000000-0005-0000-0000-000027750000}"/>
    <cellStyle name="入力 4 3 2" xfId="22358" xr:uid="{00000000-0005-0000-0000-000028750000}"/>
    <cellStyle name="入力 4 4" xfId="17399" xr:uid="{00000000-0005-0000-0000-000029750000}"/>
    <cellStyle name="入力 4 4 2" xfId="22359" xr:uid="{00000000-0005-0000-0000-00002A750000}"/>
    <cellStyle name="入力 4 5" xfId="17400" xr:uid="{00000000-0005-0000-0000-00002B750000}"/>
    <cellStyle name="入力 4 5 2" xfId="22360" xr:uid="{00000000-0005-0000-0000-00002C750000}"/>
    <cellStyle name="入力 4 6" xfId="17401" xr:uid="{00000000-0005-0000-0000-00002D750000}"/>
    <cellStyle name="入力 4 6 2" xfId="22361" xr:uid="{00000000-0005-0000-0000-00002E750000}"/>
    <cellStyle name="入力 4 7" xfId="17402" xr:uid="{00000000-0005-0000-0000-00002F750000}"/>
    <cellStyle name="入力 4 7 2" xfId="22362" xr:uid="{00000000-0005-0000-0000-000030750000}"/>
    <cellStyle name="入力 4 8" xfId="17403" xr:uid="{00000000-0005-0000-0000-000031750000}"/>
    <cellStyle name="入力 4 8 2" xfId="22363" xr:uid="{00000000-0005-0000-0000-000032750000}"/>
    <cellStyle name="入力 4 9" xfId="17404" xr:uid="{00000000-0005-0000-0000-000033750000}"/>
    <cellStyle name="入力 4 9 2" xfId="22364" xr:uid="{00000000-0005-0000-0000-000034750000}"/>
    <cellStyle name="入力 5" xfId="17405" xr:uid="{00000000-0005-0000-0000-000035750000}"/>
    <cellStyle name="入力 5 10" xfId="17406" xr:uid="{00000000-0005-0000-0000-000036750000}"/>
    <cellStyle name="入力 5 10 2" xfId="22366" xr:uid="{00000000-0005-0000-0000-000037750000}"/>
    <cellStyle name="入力 5 11" xfId="17407" xr:uid="{00000000-0005-0000-0000-000038750000}"/>
    <cellStyle name="入力 5 11 2" xfId="22367" xr:uid="{00000000-0005-0000-0000-000039750000}"/>
    <cellStyle name="入力 5 12" xfId="22365" xr:uid="{00000000-0005-0000-0000-00003A750000}"/>
    <cellStyle name="入力 5 13" xfId="24489" xr:uid="{00000000-0005-0000-0000-00003B750000}"/>
    <cellStyle name="入力 5 2" xfId="17408" xr:uid="{00000000-0005-0000-0000-00003C750000}"/>
    <cellStyle name="入力 5 2 2" xfId="22368" xr:uid="{00000000-0005-0000-0000-00003D750000}"/>
    <cellStyle name="入力 5 3" xfId="17409" xr:uid="{00000000-0005-0000-0000-00003E750000}"/>
    <cellStyle name="入力 5 3 2" xfId="22369" xr:uid="{00000000-0005-0000-0000-00003F750000}"/>
    <cellStyle name="入力 5 4" xfId="17410" xr:uid="{00000000-0005-0000-0000-000040750000}"/>
    <cellStyle name="入力 5 4 2" xfId="22370" xr:uid="{00000000-0005-0000-0000-000041750000}"/>
    <cellStyle name="入力 5 5" xfId="17411" xr:uid="{00000000-0005-0000-0000-000042750000}"/>
    <cellStyle name="入力 5 5 2" xfId="22371" xr:uid="{00000000-0005-0000-0000-000043750000}"/>
    <cellStyle name="入力 5 6" xfId="17412" xr:uid="{00000000-0005-0000-0000-000044750000}"/>
    <cellStyle name="入力 5 6 2" xfId="22372" xr:uid="{00000000-0005-0000-0000-000045750000}"/>
    <cellStyle name="入力 5 7" xfId="17413" xr:uid="{00000000-0005-0000-0000-000046750000}"/>
    <cellStyle name="入力 5 7 2" xfId="22373" xr:uid="{00000000-0005-0000-0000-000047750000}"/>
    <cellStyle name="入力 5 8" xfId="17414" xr:uid="{00000000-0005-0000-0000-000048750000}"/>
    <cellStyle name="入力 5 8 2" xfId="22374" xr:uid="{00000000-0005-0000-0000-000049750000}"/>
    <cellStyle name="入力 5 9" xfId="17415" xr:uid="{00000000-0005-0000-0000-00004A750000}"/>
    <cellStyle name="入力 5 9 2" xfId="22375" xr:uid="{00000000-0005-0000-0000-00004B750000}"/>
    <cellStyle name="入力 6" xfId="17416" xr:uid="{00000000-0005-0000-0000-00004C750000}"/>
    <cellStyle name="入力 6 10" xfId="17417" xr:uid="{00000000-0005-0000-0000-00004D750000}"/>
    <cellStyle name="入力 6 10 2" xfId="22377" xr:uid="{00000000-0005-0000-0000-00004E750000}"/>
    <cellStyle name="入力 6 11" xfId="17418" xr:uid="{00000000-0005-0000-0000-00004F750000}"/>
    <cellStyle name="入力 6 11 2" xfId="22378" xr:uid="{00000000-0005-0000-0000-000050750000}"/>
    <cellStyle name="入力 6 12" xfId="22376" xr:uid="{00000000-0005-0000-0000-000051750000}"/>
    <cellStyle name="入力 6 2" xfId="17419" xr:uid="{00000000-0005-0000-0000-000052750000}"/>
    <cellStyle name="入力 6 2 2" xfId="22379" xr:uid="{00000000-0005-0000-0000-000053750000}"/>
    <cellStyle name="入力 6 3" xfId="17420" xr:uid="{00000000-0005-0000-0000-000054750000}"/>
    <cellStyle name="入力 6 3 2" xfId="22380" xr:uid="{00000000-0005-0000-0000-000055750000}"/>
    <cellStyle name="入力 6 4" xfId="17421" xr:uid="{00000000-0005-0000-0000-000056750000}"/>
    <cellStyle name="入力 6 4 2" xfId="22381" xr:uid="{00000000-0005-0000-0000-000057750000}"/>
    <cellStyle name="入力 6 5" xfId="17422" xr:uid="{00000000-0005-0000-0000-000058750000}"/>
    <cellStyle name="入力 6 5 2" xfId="22382" xr:uid="{00000000-0005-0000-0000-000059750000}"/>
    <cellStyle name="入力 6 6" xfId="17423" xr:uid="{00000000-0005-0000-0000-00005A750000}"/>
    <cellStyle name="入力 6 6 2" xfId="22383" xr:uid="{00000000-0005-0000-0000-00005B750000}"/>
    <cellStyle name="入力 6 7" xfId="17424" xr:uid="{00000000-0005-0000-0000-00005C750000}"/>
    <cellStyle name="入力 6 7 2" xfId="22384" xr:uid="{00000000-0005-0000-0000-00005D750000}"/>
    <cellStyle name="入力 6 8" xfId="17425" xr:uid="{00000000-0005-0000-0000-00005E750000}"/>
    <cellStyle name="入力 6 8 2" xfId="22385" xr:uid="{00000000-0005-0000-0000-00005F750000}"/>
    <cellStyle name="入力 6 9" xfId="17426" xr:uid="{00000000-0005-0000-0000-000060750000}"/>
    <cellStyle name="入力 6 9 2" xfId="22386" xr:uid="{00000000-0005-0000-0000-000061750000}"/>
    <cellStyle name="入力 7" xfId="17427" xr:uid="{00000000-0005-0000-0000-000062750000}"/>
    <cellStyle name="入力 7 10" xfId="17428" xr:uid="{00000000-0005-0000-0000-000063750000}"/>
    <cellStyle name="入力 7 10 2" xfId="22388" xr:uid="{00000000-0005-0000-0000-000064750000}"/>
    <cellStyle name="入力 7 11" xfId="17429" xr:uid="{00000000-0005-0000-0000-000065750000}"/>
    <cellStyle name="入力 7 11 2" xfId="22389" xr:uid="{00000000-0005-0000-0000-000066750000}"/>
    <cellStyle name="入力 7 12" xfId="22387" xr:uid="{00000000-0005-0000-0000-000067750000}"/>
    <cellStyle name="入力 7 2" xfId="17430" xr:uid="{00000000-0005-0000-0000-000068750000}"/>
    <cellStyle name="入力 7 2 2" xfId="22390" xr:uid="{00000000-0005-0000-0000-000069750000}"/>
    <cellStyle name="入力 7 3" xfId="17431" xr:uid="{00000000-0005-0000-0000-00006A750000}"/>
    <cellStyle name="入力 7 3 2" xfId="22391" xr:uid="{00000000-0005-0000-0000-00006B750000}"/>
    <cellStyle name="入力 7 4" xfId="17432" xr:uid="{00000000-0005-0000-0000-00006C750000}"/>
    <cellStyle name="入力 7 4 2" xfId="22392" xr:uid="{00000000-0005-0000-0000-00006D750000}"/>
    <cellStyle name="入力 7 5" xfId="17433" xr:uid="{00000000-0005-0000-0000-00006E750000}"/>
    <cellStyle name="入力 7 5 2" xfId="22393" xr:uid="{00000000-0005-0000-0000-00006F750000}"/>
    <cellStyle name="入力 7 6" xfId="17434" xr:uid="{00000000-0005-0000-0000-000070750000}"/>
    <cellStyle name="入力 7 6 2" xfId="22394" xr:uid="{00000000-0005-0000-0000-000071750000}"/>
    <cellStyle name="入力 7 7" xfId="17435" xr:uid="{00000000-0005-0000-0000-000072750000}"/>
    <cellStyle name="入力 7 7 2" xfId="22395" xr:uid="{00000000-0005-0000-0000-000073750000}"/>
    <cellStyle name="入力 7 8" xfId="17436" xr:uid="{00000000-0005-0000-0000-000074750000}"/>
    <cellStyle name="入力 7 8 2" xfId="22396" xr:uid="{00000000-0005-0000-0000-000075750000}"/>
    <cellStyle name="入力 7 9" xfId="17437" xr:uid="{00000000-0005-0000-0000-000076750000}"/>
    <cellStyle name="入力 7 9 2" xfId="22397" xr:uid="{00000000-0005-0000-0000-000077750000}"/>
    <cellStyle name="入力 8" xfId="17438" xr:uid="{00000000-0005-0000-0000-000078750000}"/>
    <cellStyle name="入力 8 2" xfId="22398" xr:uid="{00000000-0005-0000-0000-000079750000}"/>
    <cellStyle name="入力 9" xfId="17439" xr:uid="{00000000-0005-0000-0000-00007A750000}"/>
    <cellStyle name="入力 9 2" xfId="22399" xr:uid="{00000000-0005-0000-0000-00007B750000}"/>
    <cellStyle name="出力" xfId="372" xr:uid="{00000000-0005-0000-0000-00007C750000}"/>
    <cellStyle name="出力 10" xfId="17441" xr:uid="{00000000-0005-0000-0000-00007D750000}"/>
    <cellStyle name="出力 10 2" xfId="22401" xr:uid="{00000000-0005-0000-0000-00007E750000}"/>
    <cellStyle name="出力 11" xfId="17442" xr:uid="{00000000-0005-0000-0000-00007F750000}"/>
    <cellStyle name="出力 11 2" xfId="22402" xr:uid="{00000000-0005-0000-0000-000080750000}"/>
    <cellStyle name="出力 12" xfId="17443" xr:uid="{00000000-0005-0000-0000-000081750000}"/>
    <cellStyle name="出力 12 2" xfId="22403" xr:uid="{00000000-0005-0000-0000-000082750000}"/>
    <cellStyle name="出力 13" xfId="17444" xr:uid="{00000000-0005-0000-0000-000083750000}"/>
    <cellStyle name="出力 13 2" xfId="22404" xr:uid="{00000000-0005-0000-0000-000084750000}"/>
    <cellStyle name="出力 14" xfId="17445" xr:uid="{00000000-0005-0000-0000-000085750000}"/>
    <cellStyle name="出力 14 2" xfId="22405" xr:uid="{00000000-0005-0000-0000-000086750000}"/>
    <cellStyle name="出力 15" xfId="17446" xr:uid="{00000000-0005-0000-0000-000087750000}"/>
    <cellStyle name="出力 15 2" xfId="22406" xr:uid="{00000000-0005-0000-0000-000088750000}"/>
    <cellStyle name="出力 16" xfId="17447" xr:uid="{00000000-0005-0000-0000-000089750000}"/>
    <cellStyle name="出力 16 2" xfId="22407" xr:uid="{00000000-0005-0000-0000-00008A750000}"/>
    <cellStyle name="出力 17" xfId="17448" xr:uid="{00000000-0005-0000-0000-00008B750000}"/>
    <cellStyle name="出力 17 2" xfId="22408" xr:uid="{00000000-0005-0000-0000-00008C750000}"/>
    <cellStyle name="出力 18" xfId="17449" xr:uid="{00000000-0005-0000-0000-00008D750000}"/>
    <cellStyle name="出力 18 2" xfId="17450" xr:uid="{00000000-0005-0000-0000-00008E750000}"/>
    <cellStyle name="出力 18 2 2" xfId="22410" xr:uid="{00000000-0005-0000-0000-00008F750000}"/>
    <cellStyle name="出力 18 3" xfId="17451" xr:uid="{00000000-0005-0000-0000-000090750000}"/>
    <cellStyle name="出力 18 3 2" xfId="22411" xr:uid="{00000000-0005-0000-0000-000091750000}"/>
    <cellStyle name="出力 18 4" xfId="17452" xr:uid="{00000000-0005-0000-0000-000092750000}"/>
    <cellStyle name="出力 18 4 2" xfId="22412" xr:uid="{00000000-0005-0000-0000-000093750000}"/>
    <cellStyle name="出力 18 5" xfId="17453" xr:uid="{00000000-0005-0000-0000-000094750000}"/>
    <cellStyle name="出力 18 5 2" xfId="22413" xr:uid="{00000000-0005-0000-0000-000095750000}"/>
    <cellStyle name="出力 18 6" xfId="22409" xr:uid="{00000000-0005-0000-0000-000096750000}"/>
    <cellStyle name="出力 19" xfId="17454" xr:uid="{00000000-0005-0000-0000-000097750000}"/>
    <cellStyle name="出力 19 2" xfId="22414" xr:uid="{00000000-0005-0000-0000-000098750000}"/>
    <cellStyle name="出力 2" xfId="807" xr:uid="{00000000-0005-0000-0000-000099750000}"/>
    <cellStyle name="出力 2 10" xfId="17456" xr:uid="{00000000-0005-0000-0000-00009A750000}"/>
    <cellStyle name="出力 2 10 2" xfId="22416" xr:uid="{00000000-0005-0000-0000-00009B750000}"/>
    <cellStyle name="出力 2 11" xfId="17457" xr:uid="{00000000-0005-0000-0000-00009C750000}"/>
    <cellStyle name="出力 2 11 2" xfId="22417" xr:uid="{00000000-0005-0000-0000-00009D750000}"/>
    <cellStyle name="出力 2 12" xfId="17458" xr:uid="{00000000-0005-0000-0000-00009E750000}"/>
    <cellStyle name="出力 2 12 2" xfId="22418" xr:uid="{00000000-0005-0000-0000-00009F750000}"/>
    <cellStyle name="出力 2 13" xfId="17459" xr:uid="{00000000-0005-0000-0000-0000A0750000}"/>
    <cellStyle name="出力 2 13 2" xfId="22419" xr:uid="{00000000-0005-0000-0000-0000A1750000}"/>
    <cellStyle name="出力 2 14" xfId="17460" xr:uid="{00000000-0005-0000-0000-0000A2750000}"/>
    <cellStyle name="出力 2 14 2" xfId="17461" xr:uid="{00000000-0005-0000-0000-0000A3750000}"/>
    <cellStyle name="出力 2 14 2 2" xfId="22421" xr:uid="{00000000-0005-0000-0000-0000A4750000}"/>
    <cellStyle name="出力 2 14 3" xfId="17462" xr:uid="{00000000-0005-0000-0000-0000A5750000}"/>
    <cellStyle name="出力 2 14 3 2" xfId="22422" xr:uid="{00000000-0005-0000-0000-0000A6750000}"/>
    <cellStyle name="出力 2 14 4" xfId="17463" xr:uid="{00000000-0005-0000-0000-0000A7750000}"/>
    <cellStyle name="出力 2 14 4 2" xfId="22423" xr:uid="{00000000-0005-0000-0000-0000A8750000}"/>
    <cellStyle name="出力 2 14 5" xfId="17464" xr:uid="{00000000-0005-0000-0000-0000A9750000}"/>
    <cellStyle name="出力 2 14 5 2" xfId="22424" xr:uid="{00000000-0005-0000-0000-0000AA750000}"/>
    <cellStyle name="出力 2 14 6" xfId="22420" xr:uid="{00000000-0005-0000-0000-0000AB750000}"/>
    <cellStyle name="出力 2 15" xfId="17465" xr:uid="{00000000-0005-0000-0000-0000AC750000}"/>
    <cellStyle name="出力 2 15 2" xfId="22425" xr:uid="{00000000-0005-0000-0000-0000AD750000}"/>
    <cellStyle name="出力 2 16" xfId="17466" xr:uid="{00000000-0005-0000-0000-0000AE750000}"/>
    <cellStyle name="出力 2 16 2" xfId="22426" xr:uid="{00000000-0005-0000-0000-0000AF750000}"/>
    <cellStyle name="出力 2 17" xfId="17455" xr:uid="{00000000-0005-0000-0000-0000B0750000}"/>
    <cellStyle name="出力 2 18" xfId="22415" xr:uid="{00000000-0005-0000-0000-0000B1750000}"/>
    <cellStyle name="出力 2 2" xfId="2631" xr:uid="{00000000-0005-0000-0000-0000B2750000}"/>
    <cellStyle name="出力 2 2 2" xfId="17468" xr:uid="{00000000-0005-0000-0000-0000B3750000}"/>
    <cellStyle name="出力 2 2 2 2" xfId="17469" xr:uid="{00000000-0005-0000-0000-0000B4750000}"/>
    <cellStyle name="出力 2 2 2 2 2" xfId="22429" xr:uid="{00000000-0005-0000-0000-0000B5750000}"/>
    <cellStyle name="出力 2 2 2 3" xfId="17470" xr:uid="{00000000-0005-0000-0000-0000B6750000}"/>
    <cellStyle name="出力 2 2 2 3 2" xfId="22430" xr:uid="{00000000-0005-0000-0000-0000B7750000}"/>
    <cellStyle name="出力 2 2 2 4" xfId="17471" xr:uid="{00000000-0005-0000-0000-0000B8750000}"/>
    <cellStyle name="出力 2 2 2 4 2" xfId="22431" xr:uid="{00000000-0005-0000-0000-0000B9750000}"/>
    <cellStyle name="出力 2 2 2 5" xfId="17472" xr:uid="{00000000-0005-0000-0000-0000BA750000}"/>
    <cellStyle name="出力 2 2 2 5 2" xfId="22432" xr:uid="{00000000-0005-0000-0000-0000BB750000}"/>
    <cellStyle name="出力 2 2 2 6" xfId="22428" xr:uid="{00000000-0005-0000-0000-0000BC750000}"/>
    <cellStyle name="出力 2 2 2 7" xfId="24490" xr:uid="{00000000-0005-0000-0000-0000BD750000}"/>
    <cellStyle name="出力 2 2 3" xfId="17473" xr:uid="{00000000-0005-0000-0000-0000BE750000}"/>
    <cellStyle name="出力 2 2 3 2" xfId="22433" xr:uid="{00000000-0005-0000-0000-0000BF750000}"/>
    <cellStyle name="出力 2 2 3 3" xfId="24491" xr:uid="{00000000-0005-0000-0000-0000C0750000}"/>
    <cellStyle name="出力 2 2 4" xfId="17474" xr:uid="{00000000-0005-0000-0000-0000C1750000}"/>
    <cellStyle name="出力 2 2 4 2" xfId="22434" xr:uid="{00000000-0005-0000-0000-0000C2750000}"/>
    <cellStyle name="出力 2 2 5" xfId="17467" xr:uid="{00000000-0005-0000-0000-0000C3750000}"/>
    <cellStyle name="出力 2 2 6" xfId="22427" xr:uid="{00000000-0005-0000-0000-0000C4750000}"/>
    <cellStyle name="出力 2 3" xfId="2630" xr:uid="{00000000-0005-0000-0000-0000C5750000}"/>
    <cellStyle name="出力 2 3 2" xfId="17476" xr:uid="{00000000-0005-0000-0000-0000C6750000}"/>
    <cellStyle name="出力 2 3 2 2" xfId="17477" xr:uid="{00000000-0005-0000-0000-0000C7750000}"/>
    <cellStyle name="出力 2 3 2 2 2" xfId="22437" xr:uid="{00000000-0005-0000-0000-0000C8750000}"/>
    <cellStyle name="出力 2 3 2 3" xfId="17478" xr:uid="{00000000-0005-0000-0000-0000C9750000}"/>
    <cellStyle name="出力 2 3 2 3 2" xfId="22438" xr:uid="{00000000-0005-0000-0000-0000CA750000}"/>
    <cellStyle name="出力 2 3 2 4" xfId="17479" xr:uid="{00000000-0005-0000-0000-0000CB750000}"/>
    <cellStyle name="出力 2 3 2 4 2" xfId="22439" xr:uid="{00000000-0005-0000-0000-0000CC750000}"/>
    <cellStyle name="出力 2 3 2 5" xfId="17480" xr:uid="{00000000-0005-0000-0000-0000CD750000}"/>
    <cellStyle name="出力 2 3 2 5 2" xfId="22440" xr:uid="{00000000-0005-0000-0000-0000CE750000}"/>
    <cellStyle name="出力 2 3 2 6" xfId="22436" xr:uid="{00000000-0005-0000-0000-0000CF750000}"/>
    <cellStyle name="出力 2 3 3" xfId="17481" xr:uid="{00000000-0005-0000-0000-0000D0750000}"/>
    <cellStyle name="出力 2 3 3 2" xfId="22441" xr:uid="{00000000-0005-0000-0000-0000D1750000}"/>
    <cellStyle name="出力 2 3 4" xfId="17482" xr:uid="{00000000-0005-0000-0000-0000D2750000}"/>
    <cellStyle name="出力 2 3 4 2" xfId="22442" xr:uid="{00000000-0005-0000-0000-0000D3750000}"/>
    <cellStyle name="出力 2 3 5" xfId="22435" xr:uid="{00000000-0005-0000-0000-0000D4750000}"/>
    <cellStyle name="出力 2 3 6" xfId="17475" xr:uid="{00000000-0005-0000-0000-0000D5750000}"/>
    <cellStyle name="出力 2 4" xfId="17483" xr:uid="{00000000-0005-0000-0000-0000D6750000}"/>
    <cellStyle name="出力 2 4 2" xfId="22443" xr:uid="{00000000-0005-0000-0000-0000D7750000}"/>
    <cellStyle name="出力 2 4 3" xfId="24492" xr:uid="{00000000-0005-0000-0000-0000D8750000}"/>
    <cellStyle name="出力 2 5" xfId="17484" xr:uid="{00000000-0005-0000-0000-0000D9750000}"/>
    <cellStyle name="出力 2 5 2" xfId="22444" xr:uid="{00000000-0005-0000-0000-0000DA750000}"/>
    <cellStyle name="出力 2 5 3" xfId="24493" xr:uid="{00000000-0005-0000-0000-0000DB750000}"/>
    <cellStyle name="出力 2 6" xfId="17485" xr:uid="{00000000-0005-0000-0000-0000DC750000}"/>
    <cellStyle name="出力 2 6 2" xfId="22445" xr:uid="{00000000-0005-0000-0000-0000DD750000}"/>
    <cellStyle name="出力 2 7" xfId="17486" xr:uid="{00000000-0005-0000-0000-0000DE750000}"/>
    <cellStyle name="出力 2 7 2" xfId="22446" xr:uid="{00000000-0005-0000-0000-0000DF750000}"/>
    <cellStyle name="出力 2 8" xfId="17487" xr:uid="{00000000-0005-0000-0000-0000E0750000}"/>
    <cellStyle name="出力 2 8 2" xfId="22447" xr:uid="{00000000-0005-0000-0000-0000E1750000}"/>
    <cellStyle name="出力 2 9" xfId="17488" xr:uid="{00000000-0005-0000-0000-0000E2750000}"/>
    <cellStyle name="出力 2 9 2" xfId="22448" xr:uid="{00000000-0005-0000-0000-0000E3750000}"/>
    <cellStyle name="出力 20" xfId="17489" xr:uid="{00000000-0005-0000-0000-0000E4750000}"/>
    <cellStyle name="出力 20 2" xfId="22449" xr:uid="{00000000-0005-0000-0000-0000E5750000}"/>
    <cellStyle name="出力 21" xfId="17440" xr:uid="{00000000-0005-0000-0000-0000E6750000}"/>
    <cellStyle name="出力 22" xfId="22400" xr:uid="{00000000-0005-0000-0000-0000E7750000}"/>
    <cellStyle name="出力 3" xfId="806" xr:uid="{00000000-0005-0000-0000-0000E8750000}"/>
    <cellStyle name="出力 3 10" xfId="17491" xr:uid="{00000000-0005-0000-0000-0000E9750000}"/>
    <cellStyle name="出力 3 10 2" xfId="22451" xr:uid="{00000000-0005-0000-0000-0000EA750000}"/>
    <cellStyle name="出力 3 11" xfId="17492" xr:uid="{00000000-0005-0000-0000-0000EB750000}"/>
    <cellStyle name="出力 3 11 2" xfId="22452" xr:uid="{00000000-0005-0000-0000-0000EC750000}"/>
    <cellStyle name="出力 3 12" xfId="17493" xr:uid="{00000000-0005-0000-0000-0000ED750000}"/>
    <cellStyle name="出力 3 12 2" xfId="22453" xr:uid="{00000000-0005-0000-0000-0000EE750000}"/>
    <cellStyle name="出力 3 13" xfId="17494" xr:uid="{00000000-0005-0000-0000-0000EF750000}"/>
    <cellStyle name="出力 3 13 2" xfId="22454" xr:uid="{00000000-0005-0000-0000-0000F0750000}"/>
    <cellStyle name="出力 3 14" xfId="17490" xr:uid="{00000000-0005-0000-0000-0000F1750000}"/>
    <cellStyle name="出力 3 15" xfId="22450" xr:uid="{00000000-0005-0000-0000-0000F2750000}"/>
    <cellStyle name="出力 3 2" xfId="2632" xr:uid="{00000000-0005-0000-0000-0000F3750000}"/>
    <cellStyle name="出力 3 2 2" xfId="22455" xr:uid="{00000000-0005-0000-0000-0000F4750000}"/>
    <cellStyle name="出力 3 2 3" xfId="17495" xr:uid="{00000000-0005-0000-0000-0000F5750000}"/>
    <cellStyle name="出力 3 2 4" xfId="24494" xr:uid="{00000000-0005-0000-0000-0000F6750000}"/>
    <cellStyle name="出力 3 3" xfId="3719" xr:uid="{00000000-0005-0000-0000-0000F7750000}"/>
    <cellStyle name="出力 3 3 2" xfId="22456" xr:uid="{00000000-0005-0000-0000-0000F8750000}"/>
    <cellStyle name="出力 3 3 3" xfId="17496" xr:uid="{00000000-0005-0000-0000-0000F9750000}"/>
    <cellStyle name="出力 3 3 4" xfId="24495" xr:uid="{00000000-0005-0000-0000-0000FA750000}"/>
    <cellStyle name="出力 3 4" xfId="17497" xr:uid="{00000000-0005-0000-0000-0000FB750000}"/>
    <cellStyle name="出力 3 4 2" xfId="22457" xr:uid="{00000000-0005-0000-0000-0000FC750000}"/>
    <cellStyle name="出力 3 4 3" xfId="24496" xr:uid="{00000000-0005-0000-0000-0000FD750000}"/>
    <cellStyle name="出力 3 5" xfId="17498" xr:uid="{00000000-0005-0000-0000-0000FE750000}"/>
    <cellStyle name="出力 3 5 2" xfId="22458" xr:uid="{00000000-0005-0000-0000-0000FF750000}"/>
    <cellStyle name="出力 3 6" xfId="17499" xr:uid="{00000000-0005-0000-0000-000000760000}"/>
    <cellStyle name="出力 3 6 2" xfId="22459" xr:uid="{00000000-0005-0000-0000-000001760000}"/>
    <cellStyle name="出力 3 7" xfId="17500" xr:uid="{00000000-0005-0000-0000-000002760000}"/>
    <cellStyle name="出力 3 7 2" xfId="22460" xr:uid="{00000000-0005-0000-0000-000003760000}"/>
    <cellStyle name="出力 3 8" xfId="17501" xr:uid="{00000000-0005-0000-0000-000004760000}"/>
    <cellStyle name="出力 3 8 2" xfId="22461" xr:uid="{00000000-0005-0000-0000-000005760000}"/>
    <cellStyle name="出力 3 9" xfId="17502" xr:uid="{00000000-0005-0000-0000-000006760000}"/>
    <cellStyle name="出力 3 9 2" xfId="22462" xr:uid="{00000000-0005-0000-0000-000007760000}"/>
    <cellStyle name="出力 4" xfId="2780" xr:uid="{00000000-0005-0000-0000-000008760000}"/>
    <cellStyle name="出力 4 10" xfId="17504" xr:uid="{00000000-0005-0000-0000-000009760000}"/>
    <cellStyle name="出力 4 10 2" xfId="22464" xr:uid="{00000000-0005-0000-0000-00000A760000}"/>
    <cellStyle name="出力 4 11" xfId="17505" xr:uid="{00000000-0005-0000-0000-00000B760000}"/>
    <cellStyle name="出力 4 11 2" xfId="22465" xr:uid="{00000000-0005-0000-0000-00000C760000}"/>
    <cellStyle name="出力 4 12" xfId="22463" xr:uid="{00000000-0005-0000-0000-00000D760000}"/>
    <cellStyle name="出力 4 13" xfId="17503" xr:uid="{00000000-0005-0000-0000-00000E760000}"/>
    <cellStyle name="出力 4 14" xfId="24497" xr:uid="{00000000-0005-0000-0000-00000F760000}"/>
    <cellStyle name="出力 4 2" xfId="17506" xr:uid="{00000000-0005-0000-0000-000010760000}"/>
    <cellStyle name="出力 4 2 2" xfId="22466" xr:uid="{00000000-0005-0000-0000-000011760000}"/>
    <cellStyle name="出力 4 3" xfId="17507" xr:uid="{00000000-0005-0000-0000-000012760000}"/>
    <cellStyle name="出力 4 3 2" xfId="22467" xr:uid="{00000000-0005-0000-0000-000013760000}"/>
    <cellStyle name="出力 4 4" xfId="17508" xr:uid="{00000000-0005-0000-0000-000014760000}"/>
    <cellStyle name="出力 4 4 2" xfId="22468" xr:uid="{00000000-0005-0000-0000-000015760000}"/>
    <cellStyle name="出力 4 5" xfId="17509" xr:uid="{00000000-0005-0000-0000-000016760000}"/>
    <cellStyle name="出力 4 5 2" xfId="22469" xr:uid="{00000000-0005-0000-0000-000017760000}"/>
    <cellStyle name="出力 4 6" xfId="17510" xr:uid="{00000000-0005-0000-0000-000018760000}"/>
    <cellStyle name="出力 4 6 2" xfId="22470" xr:uid="{00000000-0005-0000-0000-000019760000}"/>
    <cellStyle name="出力 4 7" xfId="17511" xr:uid="{00000000-0005-0000-0000-00001A760000}"/>
    <cellStyle name="出力 4 7 2" xfId="22471" xr:uid="{00000000-0005-0000-0000-00001B760000}"/>
    <cellStyle name="出力 4 8" xfId="17512" xr:uid="{00000000-0005-0000-0000-00001C760000}"/>
    <cellStyle name="出力 4 8 2" xfId="22472" xr:uid="{00000000-0005-0000-0000-00001D760000}"/>
    <cellStyle name="出力 4 9" xfId="17513" xr:uid="{00000000-0005-0000-0000-00001E760000}"/>
    <cellStyle name="出力 4 9 2" xfId="22473" xr:uid="{00000000-0005-0000-0000-00001F760000}"/>
    <cellStyle name="出力 5" xfId="17514" xr:uid="{00000000-0005-0000-0000-000020760000}"/>
    <cellStyle name="出力 5 10" xfId="17515" xr:uid="{00000000-0005-0000-0000-000021760000}"/>
    <cellStyle name="出力 5 10 2" xfId="22475" xr:uid="{00000000-0005-0000-0000-000022760000}"/>
    <cellStyle name="出力 5 11" xfId="17516" xr:uid="{00000000-0005-0000-0000-000023760000}"/>
    <cellStyle name="出力 5 11 2" xfId="22476" xr:uid="{00000000-0005-0000-0000-000024760000}"/>
    <cellStyle name="出力 5 12" xfId="22474" xr:uid="{00000000-0005-0000-0000-000025760000}"/>
    <cellStyle name="出力 5 13" xfId="24498" xr:uid="{00000000-0005-0000-0000-000026760000}"/>
    <cellStyle name="出力 5 2" xfId="17517" xr:uid="{00000000-0005-0000-0000-000027760000}"/>
    <cellStyle name="出力 5 2 2" xfId="22477" xr:uid="{00000000-0005-0000-0000-000028760000}"/>
    <cellStyle name="出力 5 3" xfId="17518" xr:uid="{00000000-0005-0000-0000-000029760000}"/>
    <cellStyle name="出力 5 3 2" xfId="22478" xr:uid="{00000000-0005-0000-0000-00002A760000}"/>
    <cellStyle name="出力 5 4" xfId="17519" xr:uid="{00000000-0005-0000-0000-00002B760000}"/>
    <cellStyle name="出力 5 4 2" xfId="22479" xr:uid="{00000000-0005-0000-0000-00002C760000}"/>
    <cellStyle name="出力 5 5" xfId="17520" xr:uid="{00000000-0005-0000-0000-00002D760000}"/>
    <cellStyle name="出力 5 5 2" xfId="22480" xr:uid="{00000000-0005-0000-0000-00002E760000}"/>
    <cellStyle name="出力 5 6" xfId="17521" xr:uid="{00000000-0005-0000-0000-00002F760000}"/>
    <cellStyle name="出力 5 6 2" xfId="22481" xr:uid="{00000000-0005-0000-0000-000030760000}"/>
    <cellStyle name="出力 5 7" xfId="17522" xr:uid="{00000000-0005-0000-0000-000031760000}"/>
    <cellStyle name="出力 5 7 2" xfId="22482" xr:uid="{00000000-0005-0000-0000-000032760000}"/>
    <cellStyle name="出力 5 8" xfId="17523" xr:uid="{00000000-0005-0000-0000-000033760000}"/>
    <cellStyle name="出力 5 8 2" xfId="22483" xr:uid="{00000000-0005-0000-0000-000034760000}"/>
    <cellStyle name="出力 5 9" xfId="17524" xr:uid="{00000000-0005-0000-0000-000035760000}"/>
    <cellStyle name="出力 5 9 2" xfId="22484" xr:uid="{00000000-0005-0000-0000-000036760000}"/>
    <cellStyle name="出力 6" xfId="17525" xr:uid="{00000000-0005-0000-0000-000037760000}"/>
    <cellStyle name="出力 6 10" xfId="17526" xr:uid="{00000000-0005-0000-0000-000038760000}"/>
    <cellStyle name="出力 6 10 2" xfId="22486" xr:uid="{00000000-0005-0000-0000-000039760000}"/>
    <cellStyle name="出力 6 11" xfId="17527" xr:uid="{00000000-0005-0000-0000-00003A760000}"/>
    <cellStyle name="出力 6 11 2" xfId="22487" xr:uid="{00000000-0005-0000-0000-00003B760000}"/>
    <cellStyle name="出力 6 12" xfId="22485" xr:uid="{00000000-0005-0000-0000-00003C760000}"/>
    <cellStyle name="出力 6 2" xfId="17528" xr:uid="{00000000-0005-0000-0000-00003D760000}"/>
    <cellStyle name="出力 6 2 2" xfId="22488" xr:uid="{00000000-0005-0000-0000-00003E760000}"/>
    <cellStyle name="出力 6 3" xfId="17529" xr:uid="{00000000-0005-0000-0000-00003F760000}"/>
    <cellStyle name="出力 6 3 2" xfId="22489" xr:uid="{00000000-0005-0000-0000-000040760000}"/>
    <cellStyle name="出力 6 4" xfId="17530" xr:uid="{00000000-0005-0000-0000-000041760000}"/>
    <cellStyle name="出力 6 4 2" xfId="22490" xr:uid="{00000000-0005-0000-0000-000042760000}"/>
    <cellStyle name="出力 6 5" xfId="17531" xr:uid="{00000000-0005-0000-0000-000043760000}"/>
    <cellStyle name="出力 6 5 2" xfId="22491" xr:uid="{00000000-0005-0000-0000-000044760000}"/>
    <cellStyle name="出力 6 6" xfId="17532" xr:uid="{00000000-0005-0000-0000-000045760000}"/>
    <cellStyle name="出力 6 6 2" xfId="22492" xr:uid="{00000000-0005-0000-0000-000046760000}"/>
    <cellStyle name="出力 6 7" xfId="17533" xr:uid="{00000000-0005-0000-0000-000047760000}"/>
    <cellStyle name="出力 6 7 2" xfId="22493" xr:uid="{00000000-0005-0000-0000-000048760000}"/>
    <cellStyle name="出力 6 8" xfId="17534" xr:uid="{00000000-0005-0000-0000-000049760000}"/>
    <cellStyle name="出力 6 8 2" xfId="22494" xr:uid="{00000000-0005-0000-0000-00004A760000}"/>
    <cellStyle name="出力 6 9" xfId="17535" xr:uid="{00000000-0005-0000-0000-00004B760000}"/>
    <cellStyle name="出力 6 9 2" xfId="22495" xr:uid="{00000000-0005-0000-0000-00004C760000}"/>
    <cellStyle name="出力 7" xfId="17536" xr:uid="{00000000-0005-0000-0000-00004D760000}"/>
    <cellStyle name="出力 7 10" xfId="17537" xr:uid="{00000000-0005-0000-0000-00004E760000}"/>
    <cellStyle name="出力 7 10 2" xfId="22497" xr:uid="{00000000-0005-0000-0000-00004F760000}"/>
    <cellStyle name="出力 7 11" xfId="17538" xr:uid="{00000000-0005-0000-0000-000050760000}"/>
    <cellStyle name="出力 7 11 2" xfId="22498" xr:uid="{00000000-0005-0000-0000-000051760000}"/>
    <cellStyle name="出力 7 12" xfId="22496" xr:uid="{00000000-0005-0000-0000-000052760000}"/>
    <cellStyle name="出力 7 2" xfId="17539" xr:uid="{00000000-0005-0000-0000-000053760000}"/>
    <cellStyle name="出力 7 2 2" xfId="22499" xr:uid="{00000000-0005-0000-0000-000054760000}"/>
    <cellStyle name="出力 7 3" xfId="17540" xr:uid="{00000000-0005-0000-0000-000055760000}"/>
    <cellStyle name="出力 7 3 2" xfId="22500" xr:uid="{00000000-0005-0000-0000-000056760000}"/>
    <cellStyle name="出力 7 4" xfId="17541" xr:uid="{00000000-0005-0000-0000-000057760000}"/>
    <cellStyle name="出力 7 4 2" xfId="22501" xr:uid="{00000000-0005-0000-0000-000058760000}"/>
    <cellStyle name="出力 7 5" xfId="17542" xr:uid="{00000000-0005-0000-0000-000059760000}"/>
    <cellStyle name="出力 7 5 2" xfId="22502" xr:uid="{00000000-0005-0000-0000-00005A760000}"/>
    <cellStyle name="出力 7 6" xfId="17543" xr:uid="{00000000-0005-0000-0000-00005B760000}"/>
    <cellStyle name="出力 7 6 2" xfId="22503" xr:uid="{00000000-0005-0000-0000-00005C760000}"/>
    <cellStyle name="出力 7 7" xfId="17544" xr:uid="{00000000-0005-0000-0000-00005D760000}"/>
    <cellStyle name="出力 7 7 2" xfId="22504" xr:uid="{00000000-0005-0000-0000-00005E760000}"/>
    <cellStyle name="出力 7 8" xfId="17545" xr:uid="{00000000-0005-0000-0000-00005F760000}"/>
    <cellStyle name="出力 7 8 2" xfId="22505" xr:uid="{00000000-0005-0000-0000-000060760000}"/>
    <cellStyle name="出力 7 9" xfId="17546" xr:uid="{00000000-0005-0000-0000-000061760000}"/>
    <cellStyle name="出力 7 9 2" xfId="22506" xr:uid="{00000000-0005-0000-0000-000062760000}"/>
    <cellStyle name="出力 8" xfId="17547" xr:uid="{00000000-0005-0000-0000-000063760000}"/>
    <cellStyle name="出力 8 2" xfId="22507" xr:uid="{00000000-0005-0000-0000-000064760000}"/>
    <cellStyle name="出力 9" xfId="17548" xr:uid="{00000000-0005-0000-0000-000065760000}"/>
    <cellStyle name="出力 9 2" xfId="22508" xr:uid="{00000000-0005-0000-0000-000066760000}"/>
    <cellStyle name="悪い" xfId="362" xr:uid="{00000000-0005-0000-0000-000067760000}"/>
    <cellStyle name="悪い 2" xfId="809" xr:uid="{00000000-0005-0000-0000-000068760000}"/>
    <cellStyle name="悪い 2 2" xfId="2634" xr:uid="{00000000-0005-0000-0000-000069760000}"/>
    <cellStyle name="悪い 2 2 2" xfId="17552" xr:uid="{00000000-0005-0000-0000-00006A760000}"/>
    <cellStyle name="悪い 2 2 2 2" xfId="22512" xr:uid="{00000000-0005-0000-0000-00006B760000}"/>
    <cellStyle name="悪い 2 2 3" xfId="17553" xr:uid="{00000000-0005-0000-0000-00006C760000}"/>
    <cellStyle name="悪い 2 2 3 2" xfId="22513" xr:uid="{00000000-0005-0000-0000-00006D760000}"/>
    <cellStyle name="悪い 2 2 4" xfId="17554" xr:uid="{00000000-0005-0000-0000-00006E760000}"/>
    <cellStyle name="悪い 2 2 4 2" xfId="22514" xr:uid="{00000000-0005-0000-0000-00006F760000}"/>
    <cellStyle name="悪い 2 2 5" xfId="17551" xr:uid="{00000000-0005-0000-0000-000070760000}"/>
    <cellStyle name="悪い 2 2 6" xfId="22511" xr:uid="{00000000-0005-0000-0000-000071760000}"/>
    <cellStyle name="悪い 2 3" xfId="2633" xr:uid="{00000000-0005-0000-0000-000072760000}"/>
    <cellStyle name="悪い 2 3 2" xfId="17556" xr:uid="{00000000-0005-0000-0000-000073760000}"/>
    <cellStyle name="悪い 2 3 2 2" xfId="22516" xr:uid="{00000000-0005-0000-0000-000074760000}"/>
    <cellStyle name="悪い 2 3 3" xfId="22515" xr:uid="{00000000-0005-0000-0000-000075760000}"/>
    <cellStyle name="悪い 2 3 4" xfId="17555" xr:uid="{00000000-0005-0000-0000-000076760000}"/>
    <cellStyle name="悪い 2 4" xfId="17557" xr:uid="{00000000-0005-0000-0000-000077760000}"/>
    <cellStyle name="悪い 2 4 2" xfId="22517" xr:uid="{00000000-0005-0000-0000-000078760000}"/>
    <cellStyle name="悪い 2 5" xfId="17558" xr:uid="{00000000-0005-0000-0000-000079760000}"/>
    <cellStyle name="悪い 2 5 2" xfId="22518" xr:uid="{00000000-0005-0000-0000-00007A760000}"/>
    <cellStyle name="悪い 2 6" xfId="17559" xr:uid="{00000000-0005-0000-0000-00007B760000}"/>
    <cellStyle name="悪い 2 6 2" xfId="22519" xr:uid="{00000000-0005-0000-0000-00007C760000}"/>
    <cellStyle name="悪い 2 7" xfId="17550" xr:uid="{00000000-0005-0000-0000-00007D760000}"/>
    <cellStyle name="悪い 2 8" xfId="22510" xr:uid="{00000000-0005-0000-0000-00007E760000}"/>
    <cellStyle name="悪い 3" xfId="808" xr:uid="{00000000-0005-0000-0000-00007F760000}"/>
    <cellStyle name="悪い 3 2" xfId="2635" xr:uid="{00000000-0005-0000-0000-000080760000}"/>
    <cellStyle name="悪い 3 2 2" xfId="22521" xr:uid="{00000000-0005-0000-0000-000081760000}"/>
    <cellStyle name="悪い 3 2 3" xfId="17561" xr:uid="{00000000-0005-0000-0000-000082760000}"/>
    <cellStyle name="悪い 3 2 4" xfId="24499" xr:uid="{00000000-0005-0000-0000-000083760000}"/>
    <cellStyle name="悪い 3 3" xfId="3720" xr:uid="{00000000-0005-0000-0000-000084760000}"/>
    <cellStyle name="悪い 3 3 2" xfId="17560" xr:uid="{00000000-0005-0000-0000-000085760000}"/>
    <cellStyle name="悪い 3 4" xfId="22520" xr:uid="{00000000-0005-0000-0000-000086760000}"/>
    <cellStyle name="悪い 4" xfId="2772" xr:uid="{00000000-0005-0000-0000-000087760000}"/>
    <cellStyle name="悪い 4 2" xfId="22522" xr:uid="{00000000-0005-0000-0000-000088760000}"/>
    <cellStyle name="悪い 4 3" xfId="17562" xr:uid="{00000000-0005-0000-0000-000089760000}"/>
    <cellStyle name="悪い 5" xfId="17563" xr:uid="{00000000-0005-0000-0000-00008A760000}"/>
    <cellStyle name="悪い 5 2" xfId="22523" xr:uid="{00000000-0005-0000-0000-00008B760000}"/>
    <cellStyle name="悪い 6" xfId="17564" xr:uid="{00000000-0005-0000-0000-00008C760000}"/>
    <cellStyle name="悪い 6 2" xfId="22524" xr:uid="{00000000-0005-0000-0000-00008D760000}"/>
    <cellStyle name="悪い 7" xfId="17549" xr:uid="{00000000-0005-0000-0000-00008E760000}"/>
    <cellStyle name="悪い 8" xfId="22509" xr:uid="{00000000-0005-0000-0000-00008F760000}"/>
    <cellStyle name="桁区切り [0.00]_Book1" xfId="365" xr:uid="{00000000-0005-0000-0000-000090760000}"/>
    <cellStyle name="桁区切り_Book1" xfId="366" xr:uid="{00000000-0005-0000-0000-000091760000}"/>
    <cellStyle name="標準_Book1" xfId="377" xr:uid="{00000000-0005-0000-0000-000092760000}"/>
    <cellStyle name="良い" xfId="378" xr:uid="{00000000-0005-0000-0000-000093760000}"/>
    <cellStyle name="良い 2" xfId="812" xr:uid="{00000000-0005-0000-0000-000094760000}"/>
    <cellStyle name="良い 2 2" xfId="2637" xr:uid="{00000000-0005-0000-0000-000095760000}"/>
    <cellStyle name="良い 2 2 2" xfId="17568" xr:uid="{00000000-0005-0000-0000-000096760000}"/>
    <cellStyle name="良い 2 2 2 2" xfId="22528" xr:uid="{00000000-0005-0000-0000-000097760000}"/>
    <cellStyle name="良い 2 2 3" xfId="17569" xr:uid="{00000000-0005-0000-0000-000098760000}"/>
    <cellStyle name="良い 2 2 3 2" xfId="22529" xr:uid="{00000000-0005-0000-0000-000099760000}"/>
    <cellStyle name="良い 2 2 4" xfId="17570" xr:uid="{00000000-0005-0000-0000-00009A760000}"/>
    <cellStyle name="良い 2 2 4 2" xfId="22530" xr:uid="{00000000-0005-0000-0000-00009B760000}"/>
    <cellStyle name="良い 2 2 5" xfId="17567" xr:uid="{00000000-0005-0000-0000-00009C760000}"/>
    <cellStyle name="良い 2 2 6" xfId="22527" xr:uid="{00000000-0005-0000-0000-00009D760000}"/>
    <cellStyle name="良い 2 3" xfId="2636" xr:uid="{00000000-0005-0000-0000-00009E760000}"/>
    <cellStyle name="良い 2 3 2" xfId="17572" xr:uid="{00000000-0005-0000-0000-00009F760000}"/>
    <cellStyle name="良い 2 3 2 2" xfId="22532" xr:uid="{00000000-0005-0000-0000-0000A0760000}"/>
    <cellStyle name="良い 2 3 3" xfId="22531" xr:uid="{00000000-0005-0000-0000-0000A1760000}"/>
    <cellStyle name="良い 2 3 4" xfId="17571" xr:uid="{00000000-0005-0000-0000-0000A2760000}"/>
    <cellStyle name="良い 2 4" xfId="17573" xr:uid="{00000000-0005-0000-0000-0000A3760000}"/>
    <cellStyle name="良い 2 4 2" xfId="22533" xr:uid="{00000000-0005-0000-0000-0000A4760000}"/>
    <cellStyle name="良い 2 5" xfId="17574" xr:uid="{00000000-0005-0000-0000-0000A5760000}"/>
    <cellStyle name="良い 2 5 2" xfId="22534" xr:uid="{00000000-0005-0000-0000-0000A6760000}"/>
    <cellStyle name="良い 2 6" xfId="17575" xr:uid="{00000000-0005-0000-0000-0000A7760000}"/>
    <cellStyle name="良い 2 6 2" xfId="22535" xr:uid="{00000000-0005-0000-0000-0000A8760000}"/>
    <cellStyle name="良い 2 7" xfId="17566" xr:uid="{00000000-0005-0000-0000-0000A9760000}"/>
    <cellStyle name="良い 2 8" xfId="22526" xr:uid="{00000000-0005-0000-0000-0000AA760000}"/>
    <cellStyle name="良い 3" xfId="811" xr:uid="{00000000-0005-0000-0000-0000AB760000}"/>
    <cellStyle name="良い 3 2" xfId="2638" xr:uid="{00000000-0005-0000-0000-0000AC760000}"/>
    <cellStyle name="良い 3 2 2" xfId="22537" xr:uid="{00000000-0005-0000-0000-0000AD760000}"/>
    <cellStyle name="良い 3 2 3" xfId="17577" xr:uid="{00000000-0005-0000-0000-0000AE760000}"/>
    <cellStyle name="良い 3 2 4" xfId="24500" xr:uid="{00000000-0005-0000-0000-0000AF760000}"/>
    <cellStyle name="良い 3 3" xfId="3722" xr:uid="{00000000-0005-0000-0000-0000B0760000}"/>
    <cellStyle name="良い 3 3 2" xfId="17576" xr:uid="{00000000-0005-0000-0000-0000B1760000}"/>
    <cellStyle name="良い 3 4" xfId="22536" xr:uid="{00000000-0005-0000-0000-0000B2760000}"/>
    <cellStyle name="良い 4" xfId="2783" xr:uid="{00000000-0005-0000-0000-0000B3760000}"/>
    <cellStyle name="良い 4 2" xfId="22538" xr:uid="{00000000-0005-0000-0000-0000B4760000}"/>
    <cellStyle name="良い 4 3" xfId="17578" xr:uid="{00000000-0005-0000-0000-0000B5760000}"/>
    <cellStyle name="良い 5" xfId="17579" xr:uid="{00000000-0005-0000-0000-0000B6760000}"/>
    <cellStyle name="良い 5 2" xfId="22539" xr:uid="{00000000-0005-0000-0000-0000B7760000}"/>
    <cellStyle name="良い 6" xfId="17580" xr:uid="{00000000-0005-0000-0000-0000B8760000}"/>
    <cellStyle name="良い 6 2" xfId="22540" xr:uid="{00000000-0005-0000-0000-0000B9760000}"/>
    <cellStyle name="良い 7" xfId="17565" xr:uid="{00000000-0005-0000-0000-0000BA760000}"/>
    <cellStyle name="良い 8" xfId="22525" xr:uid="{00000000-0005-0000-0000-0000BB760000}"/>
    <cellStyle name="見出し 1" xfId="367" xr:uid="{00000000-0005-0000-0000-0000BC760000}"/>
    <cellStyle name="見出し 1 2" xfId="814" xr:uid="{00000000-0005-0000-0000-0000BD760000}"/>
    <cellStyle name="見出し 1 2 2" xfId="2640" xr:uid="{00000000-0005-0000-0000-0000BE760000}"/>
    <cellStyle name="見出し 1 2 2 2" xfId="17584" xr:uid="{00000000-0005-0000-0000-0000BF760000}"/>
    <cellStyle name="見出し 1 2 2 2 2" xfId="22544" xr:uid="{00000000-0005-0000-0000-0000C0760000}"/>
    <cellStyle name="見出し 1 2 2 3" xfId="17585" xr:uid="{00000000-0005-0000-0000-0000C1760000}"/>
    <cellStyle name="見出し 1 2 2 3 2" xfId="22545" xr:uid="{00000000-0005-0000-0000-0000C2760000}"/>
    <cellStyle name="見出し 1 2 2 4" xfId="17586" xr:uid="{00000000-0005-0000-0000-0000C3760000}"/>
    <cellStyle name="見出し 1 2 2 4 2" xfId="22546" xr:uid="{00000000-0005-0000-0000-0000C4760000}"/>
    <cellStyle name="見出し 1 2 2 5" xfId="17583" xr:uid="{00000000-0005-0000-0000-0000C5760000}"/>
    <cellStyle name="見出し 1 2 2 6" xfId="22543" xr:uid="{00000000-0005-0000-0000-0000C6760000}"/>
    <cellStyle name="見出し 1 2 3" xfId="2639" xr:uid="{00000000-0005-0000-0000-0000C7760000}"/>
    <cellStyle name="見出し 1 2 3 2" xfId="17588" xr:uid="{00000000-0005-0000-0000-0000C8760000}"/>
    <cellStyle name="見出し 1 2 3 2 2" xfId="22548" xr:uid="{00000000-0005-0000-0000-0000C9760000}"/>
    <cellStyle name="見出し 1 2 3 3" xfId="22547" xr:uid="{00000000-0005-0000-0000-0000CA760000}"/>
    <cellStyle name="見出し 1 2 3 4" xfId="17587" xr:uid="{00000000-0005-0000-0000-0000CB760000}"/>
    <cellStyle name="見出し 1 2 4" xfId="17589" xr:uid="{00000000-0005-0000-0000-0000CC760000}"/>
    <cellStyle name="見出し 1 2 4 2" xfId="22549" xr:uid="{00000000-0005-0000-0000-0000CD760000}"/>
    <cellStyle name="見出し 1 2 5" xfId="17590" xr:uid="{00000000-0005-0000-0000-0000CE760000}"/>
    <cellStyle name="見出し 1 2 5 2" xfId="22550" xr:uid="{00000000-0005-0000-0000-0000CF760000}"/>
    <cellStyle name="見出し 1 2 6" xfId="17591" xr:uid="{00000000-0005-0000-0000-0000D0760000}"/>
    <cellStyle name="見出し 1 2 6 2" xfId="22551" xr:uid="{00000000-0005-0000-0000-0000D1760000}"/>
    <cellStyle name="見出し 1 2 7" xfId="17582" xr:uid="{00000000-0005-0000-0000-0000D2760000}"/>
    <cellStyle name="見出し 1 2 8" xfId="22542" xr:uid="{00000000-0005-0000-0000-0000D3760000}"/>
    <cellStyle name="見出し 1 3" xfId="813" xr:uid="{00000000-0005-0000-0000-0000D4760000}"/>
    <cellStyle name="見出し 1 3 2" xfId="2641" xr:uid="{00000000-0005-0000-0000-0000D5760000}"/>
    <cellStyle name="見出し 1 3 2 2" xfId="22553" xr:uid="{00000000-0005-0000-0000-0000D6760000}"/>
    <cellStyle name="見出し 1 3 2 3" xfId="17593" xr:uid="{00000000-0005-0000-0000-0000D7760000}"/>
    <cellStyle name="見出し 1 3 2 4" xfId="24501" xr:uid="{00000000-0005-0000-0000-0000D8760000}"/>
    <cellStyle name="見出し 1 3 3" xfId="3723" xr:uid="{00000000-0005-0000-0000-0000D9760000}"/>
    <cellStyle name="見出し 1 3 3 2" xfId="17592" xr:uid="{00000000-0005-0000-0000-0000DA760000}"/>
    <cellStyle name="見出し 1 3 4" xfId="22552" xr:uid="{00000000-0005-0000-0000-0000DB760000}"/>
    <cellStyle name="見出し 1 4" xfId="2775" xr:uid="{00000000-0005-0000-0000-0000DC760000}"/>
    <cellStyle name="見出し 1 4 2" xfId="22554" xr:uid="{00000000-0005-0000-0000-0000DD760000}"/>
    <cellStyle name="見出し 1 4 3" xfId="17594" xr:uid="{00000000-0005-0000-0000-0000DE760000}"/>
    <cellStyle name="見出し 1 5" xfId="17595" xr:uid="{00000000-0005-0000-0000-0000DF760000}"/>
    <cellStyle name="見出し 1 5 2" xfId="22555" xr:uid="{00000000-0005-0000-0000-0000E0760000}"/>
    <cellStyle name="見出し 1 6" xfId="17596" xr:uid="{00000000-0005-0000-0000-0000E1760000}"/>
    <cellStyle name="見出し 1 6 2" xfId="22556" xr:uid="{00000000-0005-0000-0000-0000E2760000}"/>
    <cellStyle name="見出し 1 7" xfId="17581" xr:uid="{00000000-0005-0000-0000-0000E3760000}"/>
    <cellStyle name="見出し 1 8" xfId="22541" xr:uid="{00000000-0005-0000-0000-0000E4760000}"/>
    <cellStyle name="見出し 2" xfId="368" xr:uid="{00000000-0005-0000-0000-0000E5760000}"/>
    <cellStyle name="見出し 2 2" xfId="816" xr:uid="{00000000-0005-0000-0000-0000E6760000}"/>
    <cellStyle name="見出し 2 2 2" xfId="2643" xr:uid="{00000000-0005-0000-0000-0000E7760000}"/>
    <cellStyle name="見出し 2 2 2 2" xfId="17600" xr:uid="{00000000-0005-0000-0000-0000E8760000}"/>
    <cellStyle name="見出し 2 2 2 2 2" xfId="22560" xr:uid="{00000000-0005-0000-0000-0000E9760000}"/>
    <cellStyle name="見出し 2 2 2 3" xfId="17601" xr:uid="{00000000-0005-0000-0000-0000EA760000}"/>
    <cellStyle name="見出し 2 2 2 3 2" xfId="22561" xr:uid="{00000000-0005-0000-0000-0000EB760000}"/>
    <cellStyle name="見出し 2 2 2 4" xfId="17602" xr:uid="{00000000-0005-0000-0000-0000EC760000}"/>
    <cellStyle name="見出し 2 2 2 4 2" xfId="22562" xr:uid="{00000000-0005-0000-0000-0000ED760000}"/>
    <cellStyle name="見出し 2 2 2 5" xfId="17599" xr:uid="{00000000-0005-0000-0000-0000EE760000}"/>
    <cellStyle name="見出し 2 2 2 6" xfId="22559" xr:uid="{00000000-0005-0000-0000-0000EF760000}"/>
    <cellStyle name="見出し 2 2 3" xfId="2642" xr:uid="{00000000-0005-0000-0000-0000F0760000}"/>
    <cellStyle name="見出し 2 2 3 2" xfId="17604" xr:uid="{00000000-0005-0000-0000-0000F1760000}"/>
    <cellStyle name="見出し 2 2 3 2 2" xfId="22564" xr:uid="{00000000-0005-0000-0000-0000F2760000}"/>
    <cellStyle name="見出し 2 2 3 3" xfId="22563" xr:uid="{00000000-0005-0000-0000-0000F3760000}"/>
    <cellStyle name="見出し 2 2 3 4" xfId="17603" xr:uid="{00000000-0005-0000-0000-0000F4760000}"/>
    <cellStyle name="見出し 2 2 4" xfId="17605" xr:uid="{00000000-0005-0000-0000-0000F5760000}"/>
    <cellStyle name="見出し 2 2 4 2" xfId="22565" xr:uid="{00000000-0005-0000-0000-0000F6760000}"/>
    <cellStyle name="見出し 2 2 5" xfId="17606" xr:uid="{00000000-0005-0000-0000-0000F7760000}"/>
    <cellStyle name="見出し 2 2 5 2" xfId="22566" xr:uid="{00000000-0005-0000-0000-0000F8760000}"/>
    <cellStyle name="見出し 2 2 6" xfId="17607" xr:uid="{00000000-0005-0000-0000-0000F9760000}"/>
    <cellStyle name="見出し 2 2 6 2" xfId="22567" xr:uid="{00000000-0005-0000-0000-0000FA760000}"/>
    <cellStyle name="見出し 2 2 7" xfId="17598" xr:uid="{00000000-0005-0000-0000-0000FB760000}"/>
    <cellStyle name="見出し 2 2 8" xfId="22558" xr:uid="{00000000-0005-0000-0000-0000FC760000}"/>
    <cellStyle name="見出し 2 3" xfId="815" xr:uid="{00000000-0005-0000-0000-0000FD760000}"/>
    <cellStyle name="見出し 2 3 2" xfId="2644" xr:uid="{00000000-0005-0000-0000-0000FE760000}"/>
    <cellStyle name="見出し 2 3 2 2" xfId="22569" xr:uid="{00000000-0005-0000-0000-0000FF760000}"/>
    <cellStyle name="見出し 2 3 2 3" xfId="17609" xr:uid="{00000000-0005-0000-0000-000000770000}"/>
    <cellStyle name="見出し 2 3 2 4" xfId="24502" xr:uid="{00000000-0005-0000-0000-000001770000}"/>
    <cellStyle name="見出し 2 3 3" xfId="3724" xr:uid="{00000000-0005-0000-0000-000002770000}"/>
    <cellStyle name="見出し 2 3 3 2" xfId="17608" xr:uid="{00000000-0005-0000-0000-000003770000}"/>
    <cellStyle name="見出し 2 3 4" xfId="22568" xr:uid="{00000000-0005-0000-0000-000004770000}"/>
    <cellStyle name="見出し 2 4" xfId="2776" xr:uid="{00000000-0005-0000-0000-000005770000}"/>
    <cellStyle name="見出し 2 4 2" xfId="22570" xr:uid="{00000000-0005-0000-0000-000006770000}"/>
    <cellStyle name="見出し 2 4 3" xfId="17610" xr:uid="{00000000-0005-0000-0000-000007770000}"/>
    <cellStyle name="見出し 2 5" xfId="17611" xr:uid="{00000000-0005-0000-0000-000008770000}"/>
    <cellStyle name="見出し 2 5 2" xfId="22571" xr:uid="{00000000-0005-0000-0000-000009770000}"/>
    <cellStyle name="見出し 2 6" xfId="17612" xr:uid="{00000000-0005-0000-0000-00000A770000}"/>
    <cellStyle name="見出し 2 6 2" xfId="22572" xr:uid="{00000000-0005-0000-0000-00000B770000}"/>
    <cellStyle name="見出し 2 7" xfId="17597" xr:uid="{00000000-0005-0000-0000-00000C770000}"/>
    <cellStyle name="見出し 2 8" xfId="22557" xr:uid="{00000000-0005-0000-0000-00000D770000}"/>
    <cellStyle name="見出し 3" xfId="369" xr:uid="{00000000-0005-0000-0000-00000E770000}"/>
    <cellStyle name="見出し 3 2" xfId="818" xr:uid="{00000000-0005-0000-0000-00000F770000}"/>
    <cellStyle name="見出し 3 2 2" xfId="2646" xr:uid="{00000000-0005-0000-0000-000010770000}"/>
    <cellStyle name="見出し 3 2 2 2" xfId="17616" xr:uid="{00000000-0005-0000-0000-000011770000}"/>
    <cellStyle name="見出し 3 2 2 2 2" xfId="22576" xr:uid="{00000000-0005-0000-0000-000012770000}"/>
    <cellStyle name="見出し 3 2 2 3" xfId="17617" xr:uid="{00000000-0005-0000-0000-000013770000}"/>
    <cellStyle name="見出し 3 2 2 3 2" xfId="22577" xr:uid="{00000000-0005-0000-0000-000014770000}"/>
    <cellStyle name="見出し 3 2 2 4" xfId="17618" xr:uid="{00000000-0005-0000-0000-000015770000}"/>
    <cellStyle name="見出し 3 2 2 4 2" xfId="22578" xr:uid="{00000000-0005-0000-0000-000016770000}"/>
    <cellStyle name="見出し 3 2 2 5" xfId="17615" xr:uid="{00000000-0005-0000-0000-000017770000}"/>
    <cellStyle name="見出し 3 2 2 6" xfId="22575" xr:uid="{00000000-0005-0000-0000-000018770000}"/>
    <cellStyle name="見出し 3 2 3" xfId="2645" xr:uid="{00000000-0005-0000-0000-000019770000}"/>
    <cellStyle name="見出し 3 2 3 2" xfId="17620" xr:uid="{00000000-0005-0000-0000-00001A770000}"/>
    <cellStyle name="見出し 3 2 3 2 2" xfId="22580" xr:uid="{00000000-0005-0000-0000-00001B770000}"/>
    <cellStyle name="見出し 3 2 3 3" xfId="22579" xr:uid="{00000000-0005-0000-0000-00001C770000}"/>
    <cellStyle name="見出し 3 2 3 4" xfId="17619" xr:uid="{00000000-0005-0000-0000-00001D770000}"/>
    <cellStyle name="見出し 3 2 4" xfId="17621" xr:uid="{00000000-0005-0000-0000-00001E770000}"/>
    <cellStyle name="見出し 3 2 4 2" xfId="22581" xr:uid="{00000000-0005-0000-0000-00001F770000}"/>
    <cellStyle name="見出し 3 2 5" xfId="17622" xr:uid="{00000000-0005-0000-0000-000020770000}"/>
    <cellStyle name="見出し 3 2 5 2" xfId="22582" xr:uid="{00000000-0005-0000-0000-000021770000}"/>
    <cellStyle name="見出し 3 2 6" xfId="17623" xr:uid="{00000000-0005-0000-0000-000022770000}"/>
    <cellStyle name="見出し 3 2 6 2" xfId="22583" xr:uid="{00000000-0005-0000-0000-000023770000}"/>
    <cellStyle name="見出し 3 2 7" xfId="17614" xr:uid="{00000000-0005-0000-0000-000024770000}"/>
    <cellStyle name="見出し 3 2 8" xfId="22574" xr:uid="{00000000-0005-0000-0000-000025770000}"/>
    <cellStyle name="見出し 3 3" xfId="817" xr:uid="{00000000-0005-0000-0000-000026770000}"/>
    <cellStyle name="見出し 3 3 2" xfId="2647" xr:uid="{00000000-0005-0000-0000-000027770000}"/>
    <cellStyle name="見出し 3 3 2 2" xfId="22585" xr:uid="{00000000-0005-0000-0000-000028770000}"/>
    <cellStyle name="見出し 3 3 2 3" xfId="17625" xr:uid="{00000000-0005-0000-0000-000029770000}"/>
    <cellStyle name="見出し 3 3 2 4" xfId="24503" xr:uid="{00000000-0005-0000-0000-00002A770000}"/>
    <cellStyle name="見出し 3 3 3" xfId="3725" xr:uid="{00000000-0005-0000-0000-00002B770000}"/>
    <cellStyle name="見出し 3 3 3 2" xfId="17624" xr:uid="{00000000-0005-0000-0000-00002C770000}"/>
    <cellStyle name="見出し 3 3 4" xfId="22584" xr:uid="{00000000-0005-0000-0000-00002D770000}"/>
    <cellStyle name="見出し 3 4" xfId="2777" xr:uid="{00000000-0005-0000-0000-00002E770000}"/>
    <cellStyle name="見出し 3 4 2" xfId="22586" xr:uid="{00000000-0005-0000-0000-00002F770000}"/>
    <cellStyle name="見出し 3 4 3" xfId="17626" xr:uid="{00000000-0005-0000-0000-000030770000}"/>
    <cellStyle name="見出し 3 5" xfId="17627" xr:uid="{00000000-0005-0000-0000-000031770000}"/>
    <cellStyle name="見出し 3 5 2" xfId="22587" xr:uid="{00000000-0005-0000-0000-000032770000}"/>
    <cellStyle name="見出し 3 6" xfId="17628" xr:uid="{00000000-0005-0000-0000-000033770000}"/>
    <cellStyle name="見出し 3 6 2" xfId="22588" xr:uid="{00000000-0005-0000-0000-000034770000}"/>
    <cellStyle name="見出し 3 7" xfId="17613" xr:uid="{00000000-0005-0000-0000-000035770000}"/>
    <cellStyle name="見出し 3 8" xfId="22573" xr:uid="{00000000-0005-0000-0000-000036770000}"/>
    <cellStyle name="見出し 4" xfId="370" xr:uid="{00000000-0005-0000-0000-000037770000}"/>
    <cellStyle name="見出し 4 2" xfId="820" xr:uid="{00000000-0005-0000-0000-000038770000}"/>
    <cellStyle name="見出し 4 2 2" xfId="2649" xr:uid="{00000000-0005-0000-0000-000039770000}"/>
    <cellStyle name="見出し 4 2 2 2" xfId="17632" xr:uid="{00000000-0005-0000-0000-00003A770000}"/>
    <cellStyle name="見出し 4 2 2 2 2" xfId="22592" xr:uid="{00000000-0005-0000-0000-00003B770000}"/>
    <cellStyle name="見出し 4 2 2 3" xfId="17633" xr:uid="{00000000-0005-0000-0000-00003C770000}"/>
    <cellStyle name="見出し 4 2 2 3 2" xfId="22593" xr:uid="{00000000-0005-0000-0000-00003D770000}"/>
    <cellStyle name="見出し 4 2 2 4" xfId="17634" xr:uid="{00000000-0005-0000-0000-00003E770000}"/>
    <cellStyle name="見出し 4 2 2 4 2" xfId="22594" xr:uid="{00000000-0005-0000-0000-00003F770000}"/>
    <cellStyle name="見出し 4 2 2 5" xfId="17631" xr:uid="{00000000-0005-0000-0000-000040770000}"/>
    <cellStyle name="見出し 4 2 2 6" xfId="22591" xr:uid="{00000000-0005-0000-0000-000041770000}"/>
    <cellStyle name="見出し 4 2 3" xfId="2648" xr:uid="{00000000-0005-0000-0000-000042770000}"/>
    <cellStyle name="見出し 4 2 3 2" xfId="17636" xr:uid="{00000000-0005-0000-0000-000043770000}"/>
    <cellStyle name="見出し 4 2 3 2 2" xfId="22596" xr:uid="{00000000-0005-0000-0000-000044770000}"/>
    <cellStyle name="見出し 4 2 3 3" xfId="22595" xr:uid="{00000000-0005-0000-0000-000045770000}"/>
    <cellStyle name="見出し 4 2 3 4" xfId="17635" xr:uid="{00000000-0005-0000-0000-000046770000}"/>
    <cellStyle name="見出し 4 2 4" xfId="17637" xr:uid="{00000000-0005-0000-0000-000047770000}"/>
    <cellStyle name="見出し 4 2 4 2" xfId="22597" xr:uid="{00000000-0005-0000-0000-000048770000}"/>
    <cellStyle name="見出し 4 2 5" xfId="17638" xr:uid="{00000000-0005-0000-0000-000049770000}"/>
    <cellStyle name="見出し 4 2 5 2" xfId="22598" xr:uid="{00000000-0005-0000-0000-00004A770000}"/>
    <cellStyle name="見出し 4 2 6" xfId="17639" xr:uid="{00000000-0005-0000-0000-00004B770000}"/>
    <cellStyle name="見出し 4 2 6 2" xfId="22599" xr:uid="{00000000-0005-0000-0000-00004C770000}"/>
    <cellStyle name="見出し 4 2 7" xfId="17630" xr:uid="{00000000-0005-0000-0000-00004D770000}"/>
    <cellStyle name="見出し 4 2 8" xfId="22590" xr:uid="{00000000-0005-0000-0000-00004E770000}"/>
    <cellStyle name="見出し 4 3" xfId="819" xr:uid="{00000000-0005-0000-0000-00004F770000}"/>
    <cellStyle name="見出し 4 3 2" xfId="2650" xr:uid="{00000000-0005-0000-0000-000050770000}"/>
    <cellStyle name="見出し 4 3 2 2" xfId="22601" xr:uid="{00000000-0005-0000-0000-000051770000}"/>
    <cellStyle name="見出し 4 3 2 3" xfId="17641" xr:uid="{00000000-0005-0000-0000-000052770000}"/>
    <cellStyle name="見出し 4 3 2 4" xfId="24504" xr:uid="{00000000-0005-0000-0000-000053770000}"/>
    <cellStyle name="見出し 4 3 3" xfId="3726" xr:uid="{00000000-0005-0000-0000-000054770000}"/>
    <cellStyle name="見出し 4 3 3 2" xfId="17640" xr:uid="{00000000-0005-0000-0000-000055770000}"/>
    <cellStyle name="見出し 4 3 4" xfId="22600" xr:uid="{00000000-0005-0000-0000-000056770000}"/>
    <cellStyle name="見出し 4 4" xfId="2778" xr:uid="{00000000-0005-0000-0000-000057770000}"/>
    <cellStyle name="見出し 4 4 2" xfId="22602" xr:uid="{00000000-0005-0000-0000-000058770000}"/>
    <cellStyle name="見出し 4 4 3" xfId="17642" xr:uid="{00000000-0005-0000-0000-000059770000}"/>
    <cellStyle name="見出し 4 5" xfId="17643" xr:uid="{00000000-0005-0000-0000-00005A770000}"/>
    <cellStyle name="見出し 4 5 2" xfId="22603" xr:uid="{00000000-0005-0000-0000-00005B770000}"/>
    <cellStyle name="見出し 4 6" xfId="17644" xr:uid="{00000000-0005-0000-0000-00005C770000}"/>
    <cellStyle name="見出し 4 6 2" xfId="22604" xr:uid="{00000000-0005-0000-0000-00005D770000}"/>
    <cellStyle name="見出し 4 7" xfId="17629" xr:uid="{00000000-0005-0000-0000-00005E770000}"/>
    <cellStyle name="見出し 4 8" xfId="22589" xr:uid="{00000000-0005-0000-0000-00005F770000}"/>
    <cellStyle name="計算" xfId="363" xr:uid="{00000000-0005-0000-0000-000060770000}"/>
    <cellStyle name="計算 10" xfId="17646" xr:uid="{00000000-0005-0000-0000-000061770000}"/>
    <cellStyle name="計算 10 2" xfId="22606" xr:uid="{00000000-0005-0000-0000-000062770000}"/>
    <cellStyle name="計算 11" xfId="17647" xr:uid="{00000000-0005-0000-0000-000063770000}"/>
    <cellStyle name="計算 11 2" xfId="22607" xr:uid="{00000000-0005-0000-0000-000064770000}"/>
    <cellStyle name="計算 12" xfId="17648" xr:uid="{00000000-0005-0000-0000-000065770000}"/>
    <cellStyle name="計算 12 2" xfId="17649" xr:uid="{00000000-0005-0000-0000-000066770000}"/>
    <cellStyle name="計算 12 2 2" xfId="22609" xr:uid="{00000000-0005-0000-0000-000067770000}"/>
    <cellStyle name="計算 12 3" xfId="17650" xr:uid="{00000000-0005-0000-0000-000068770000}"/>
    <cellStyle name="計算 12 3 2" xfId="22610" xr:uid="{00000000-0005-0000-0000-000069770000}"/>
    <cellStyle name="計算 12 4" xfId="17651" xr:uid="{00000000-0005-0000-0000-00006A770000}"/>
    <cellStyle name="計算 12 4 2" xfId="22611" xr:uid="{00000000-0005-0000-0000-00006B770000}"/>
    <cellStyle name="計算 12 5" xfId="17652" xr:uid="{00000000-0005-0000-0000-00006C770000}"/>
    <cellStyle name="計算 12 5 2" xfId="22612" xr:uid="{00000000-0005-0000-0000-00006D770000}"/>
    <cellStyle name="計算 12 6" xfId="22608" xr:uid="{00000000-0005-0000-0000-00006E770000}"/>
    <cellStyle name="計算 13" xfId="17653" xr:uid="{00000000-0005-0000-0000-00006F770000}"/>
    <cellStyle name="計算 13 2" xfId="22613" xr:uid="{00000000-0005-0000-0000-000070770000}"/>
    <cellStyle name="計算 14" xfId="17654" xr:uid="{00000000-0005-0000-0000-000071770000}"/>
    <cellStyle name="計算 14 2" xfId="22614" xr:uid="{00000000-0005-0000-0000-000072770000}"/>
    <cellStyle name="計算 15" xfId="17645" xr:uid="{00000000-0005-0000-0000-000073770000}"/>
    <cellStyle name="計算 16" xfId="22605" xr:uid="{00000000-0005-0000-0000-000074770000}"/>
    <cellStyle name="計算 2" xfId="822" xr:uid="{00000000-0005-0000-0000-000075770000}"/>
    <cellStyle name="計算 2 10" xfId="17656" xr:uid="{00000000-0005-0000-0000-000076770000}"/>
    <cellStyle name="計算 2 10 2" xfId="22616" xr:uid="{00000000-0005-0000-0000-000077770000}"/>
    <cellStyle name="計算 2 11" xfId="17657" xr:uid="{00000000-0005-0000-0000-000078770000}"/>
    <cellStyle name="計算 2 11 2" xfId="22617" xr:uid="{00000000-0005-0000-0000-000079770000}"/>
    <cellStyle name="計算 2 12" xfId="17658" xr:uid="{00000000-0005-0000-0000-00007A770000}"/>
    <cellStyle name="計算 2 12 2" xfId="22618" xr:uid="{00000000-0005-0000-0000-00007B770000}"/>
    <cellStyle name="計算 2 13" xfId="17659" xr:uid="{00000000-0005-0000-0000-00007C770000}"/>
    <cellStyle name="計算 2 13 2" xfId="22619" xr:uid="{00000000-0005-0000-0000-00007D770000}"/>
    <cellStyle name="計算 2 14" xfId="17660" xr:uid="{00000000-0005-0000-0000-00007E770000}"/>
    <cellStyle name="計算 2 14 2" xfId="17661" xr:uid="{00000000-0005-0000-0000-00007F770000}"/>
    <cellStyle name="計算 2 14 2 2" xfId="22621" xr:uid="{00000000-0005-0000-0000-000080770000}"/>
    <cellStyle name="計算 2 14 3" xfId="17662" xr:uid="{00000000-0005-0000-0000-000081770000}"/>
    <cellStyle name="計算 2 14 3 2" xfId="22622" xr:uid="{00000000-0005-0000-0000-000082770000}"/>
    <cellStyle name="計算 2 14 4" xfId="17663" xr:uid="{00000000-0005-0000-0000-000083770000}"/>
    <cellStyle name="計算 2 14 4 2" xfId="22623" xr:uid="{00000000-0005-0000-0000-000084770000}"/>
    <cellStyle name="計算 2 14 5" xfId="17664" xr:uid="{00000000-0005-0000-0000-000085770000}"/>
    <cellStyle name="計算 2 14 5 2" xfId="22624" xr:uid="{00000000-0005-0000-0000-000086770000}"/>
    <cellStyle name="計算 2 14 6" xfId="22620" xr:uid="{00000000-0005-0000-0000-000087770000}"/>
    <cellStyle name="計算 2 15" xfId="17665" xr:uid="{00000000-0005-0000-0000-000088770000}"/>
    <cellStyle name="計算 2 15 2" xfId="22625" xr:uid="{00000000-0005-0000-0000-000089770000}"/>
    <cellStyle name="計算 2 16" xfId="17666" xr:uid="{00000000-0005-0000-0000-00008A770000}"/>
    <cellStyle name="計算 2 16 2" xfId="22626" xr:uid="{00000000-0005-0000-0000-00008B770000}"/>
    <cellStyle name="計算 2 17" xfId="17655" xr:uid="{00000000-0005-0000-0000-00008C770000}"/>
    <cellStyle name="計算 2 18" xfId="22615" xr:uid="{00000000-0005-0000-0000-00008D770000}"/>
    <cellStyle name="計算 2 2" xfId="2652" xr:uid="{00000000-0005-0000-0000-00008E770000}"/>
    <cellStyle name="計算 2 2 2" xfId="17668" xr:uid="{00000000-0005-0000-0000-00008F770000}"/>
    <cellStyle name="計算 2 2 2 2" xfId="17669" xr:uid="{00000000-0005-0000-0000-000090770000}"/>
    <cellStyle name="計算 2 2 2 2 2" xfId="22629" xr:uid="{00000000-0005-0000-0000-000091770000}"/>
    <cellStyle name="計算 2 2 2 3" xfId="17670" xr:uid="{00000000-0005-0000-0000-000092770000}"/>
    <cellStyle name="計算 2 2 2 3 2" xfId="22630" xr:uid="{00000000-0005-0000-0000-000093770000}"/>
    <cellStyle name="計算 2 2 2 4" xfId="17671" xr:uid="{00000000-0005-0000-0000-000094770000}"/>
    <cellStyle name="計算 2 2 2 4 2" xfId="22631" xr:uid="{00000000-0005-0000-0000-000095770000}"/>
    <cellStyle name="計算 2 2 2 5" xfId="17672" xr:uid="{00000000-0005-0000-0000-000096770000}"/>
    <cellStyle name="計算 2 2 2 5 2" xfId="22632" xr:uid="{00000000-0005-0000-0000-000097770000}"/>
    <cellStyle name="計算 2 2 2 6" xfId="22628" xr:uid="{00000000-0005-0000-0000-000098770000}"/>
    <cellStyle name="計算 2 2 2 7" xfId="24505" xr:uid="{00000000-0005-0000-0000-000099770000}"/>
    <cellStyle name="計算 2 2 3" xfId="17673" xr:uid="{00000000-0005-0000-0000-00009A770000}"/>
    <cellStyle name="計算 2 2 3 2" xfId="22633" xr:uid="{00000000-0005-0000-0000-00009B770000}"/>
    <cellStyle name="計算 2 2 3 3" xfId="24506" xr:uid="{00000000-0005-0000-0000-00009C770000}"/>
    <cellStyle name="計算 2 2 4" xfId="17674" xr:uid="{00000000-0005-0000-0000-00009D770000}"/>
    <cellStyle name="計算 2 2 4 2" xfId="22634" xr:uid="{00000000-0005-0000-0000-00009E770000}"/>
    <cellStyle name="計算 2 2 5" xfId="17667" xr:uid="{00000000-0005-0000-0000-00009F770000}"/>
    <cellStyle name="計算 2 2 6" xfId="22627" xr:uid="{00000000-0005-0000-0000-0000A0770000}"/>
    <cellStyle name="計算 2 3" xfId="2651" xr:uid="{00000000-0005-0000-0000-0000A1770000}"/>
    <cellStyle name="計算 2 3 2" xfId="17676" xr:uid="{00000000-0005-0000-0000-0000A2770000}"/>
    <cellStyle name="計算 2 3 2 2" xfId="17677" xr:uid="{00000000-0005-0000-0000-0000A3770000}"/>
    <cellStyle name="計算 2 3 2 2 2" xfId="22637" xr:uid="{00000000-0005-0000-0000-0000A4770000}"/>
    <cellStyle name="計算 2 3 2 3" xfId="17678" xr:uid="{00000000-0005-0000-0000-0000A5770000}"/>
    <cellStyle name="計算 2 3 2 3 2" xfId="22638" xr:uid="{00000000-0005-0000-0000-0000A6770000}"/>
    <cellStyle name="計算 2 3 2 4" xfId="17679" xr:uid="{00000000-0005-0000-0000-0000A7770000}"/>
    <cellStyle name="計算 2 3 2 4 2" xfId="22639" xr:uid="{00000000-0005-0000-0000-0000A8770000}"/>
    <cellStyle name="計算 2 3 2 5" xfId="17680" xr:uid="{00000000-0005-0000-0000-0000A9770000}"/>
    <cellStyle name="計算 2 3 2 5 2" xfId="22640" xr:uid="{00000000-0005-0000-0000-0000AA770000}"/>
    <cellStyle name="計算 2 3 2 6" xfId="22636" xr:uid="{00000000-0005-0000-0000-0000AB770000}"/>
    <cellStyle name="計算 2 3 3" xfId="17681" xr:uid="{00000000-0005-0000-0000-0000AC770000}"/>
    <cellStyle name="計算 2 3 3 2" xfId="22641" xr:uid="{00000000-0005-0000-0000-0000AD770000}"/>
    <cellStyle name="計算 2 3 4" xfId="17682" xr:uid="{00000000-0005-0000-0000-0000AE770000}"/>
    <cellStyle name="計算 2 3 4 2" xfId="22642" xr:uid="{00000000-0005-0000-0000-0000AF770000}"/>
    <cellStyle name="計算 2 3 5" xfId="22635" xr:uid="{00000000-0005-0000-0000-0000B0770000}"/>
    <cellStyle name="計算 2 3 6" xfId="17675" xr:uid="{00000000-0005-0000-0000-0000B1770000}"/>
    <cellStyle name="計算 2 4" xfId="17683" xr:uid="{00000000-0005-0000-0000-0000B2770000}"/>
    <cellStyle name="計算 2 4 2" xfId="22643" xr:uid="{00000000-0005-0000-0000-0000B3770000}"/>
    <cellStyle name="計算 2 4 3" xfId="24507" xr:uid="{00000000-0005-0000-0000-0000B4770000}"/>
    <cellStyle name="計算 2 5" xfId="17684" xr:uid="{00000000-0005-0000-0000-0000B5770000}"/>
    <cellStyle name="計算 2 5 2" xfId="22644" xr:uid="{00000000-0005-0000-0000-0000B6770000}"/>
    <cellStyle name="計算 2 5 3" xfId="24508" xr:uid="{00000000-0005-0000-0000-0000B7770000}"/>
    <cellStyle name="計算 2 6" xfId="17685" xr:uid="{00000000-0005-0000-0000-0000B8770000}"/>
    <cellStyle name="計算 2 6 2" xfId="22645" xr:uid="{00000000-0005-0000-0000-0000B9770000}"/>
    <cellStyle name="計算 2 7" xfId="17686" xr:uid="{00000000-0005-0000-0000-0000BA770000}"/>
    <cellStyle name="計算 2 7 2" xfId="22646" xr:uid="{00000000-0005-0000-0000-0000BB770000}"/>
    <cellStyle name="計算 2 8" xfId="17687" xr:uid="{00000000-0005-0000-0000-0000BC770000}"/>
    <cellStyle name="計算 2 8 2" xfId="22647" xr:uid="{00000000-0005-0000-0000-0000BD770000}"/>
    <cellStyle name="計算 2 9" xfId="17688" xr:uid="{00000000-0005-0000-0000-0000BE770000}"/>
    <cellStyle name="計算 2 9 2" xfId="22648" xr:uid="{00000000-0005-0000-0000-0000BF770000}"/>
    <cellStyle name="計算 3" xfId="821" xr:uid="{00000000-0005-0000-0000-0000C0770000}"/>
    <cellStyle name="計算 3 10" xfId="17690" xr:uid="{00000000-0005-0000-0000-0000C1770000}"/>
    <cellStyle name="計算 3 10 2" xfId="22650" xr:uid="{00000000-0005-0000-0000-0000C2770000}"/>
    <cellStyle name="計算 3 11" xfId="17691" xr:uid="{00000000-0005-0000-0000-0000C3770000}"/>
    <cellStyle name="計算 3 11 2" xfId="22651" xr:uid="{00000000-0005-0000-0000-0000C4770000}"/>
    <cellStyle name="計算 3 12" xfId="17692" xr:uid="{00000000-0005-0000-0000-0000C5770000}"/>
    <cellStyle name="計算 3 12 2" xfId="22652" xr:uid="{00000000-0005-0000-0000-0000C6770000}"/>
    <cellStyle name="計算 3 13" xfId="17693" xr:uid="{00000000-0005-0000-0000-0000C7770000}"/>
    <cellStyle name="計算 3 13 2" xfId="22653" xr:uid="{00000000-0005-0000-0000-0000C8770000}"/>
    <cellStyle name="計算 3 14" xfId="17689" xr:uid="{00000000-0005-0000-0000-0000C9770000}"/>
    <cellStyle name="計算 3 15" xfId="22649" xr:uid="{00000000-0005-0000-0000-0000CA770000}"/>
    <cellStyle name="計算 3 2" xfId="2653" xr:uid="{00000000-0005-0000-0000-0000CB770000}"/>
    <cellStyle name="計算 3 2 2" xfId="22654" xr:uid="{00000000-0005-0000-0000-0000CC770000}"/>
    <cellStyle name="計算 3 2 3" xfId="17694" xr:uid="{00000000-0005-0000-0000-0000CD770000}"/>
    <cellStyle name="計算 3 2 4" xfId="24509" xr:uid="{00000000-0005-0000-0000-0000CE770000}"/>
    <cellStyle name="計算 3 3" xfId="3727" xr:uid="{00000000-0005-0000-0000-0000CF770000}"/>
    <cellStyle name="計算 3 3 2" xfId="22655" xr:uid="{00000000-0005-0000-0000-0000D0770000}"/>
    <cellStyle name="計算 3 3 3" xfId="17695" xr:uid="{00000000-0005-0000-0000-0000D1770000}"/>
    <cellStyle name="計算 3 3 4" xfId="24510" xr:uid="{00000000-0005-0000-0000-0000D2770000}"/>
    <cellStyle name="計算 3 4" xfId="17696" xr:uid="{00000000-0005-0000-0000-0000D3770000}"/>
    <cellStyle name="計算 3 4 2" xfId="22656" xr:uid="{00000000-0005-0000-0000-0000D4770000}"/>
    <cellStyle name="計算 3 4 3" xfId="24511" xr:uid="{00000000-0005-0000-0000-0000D5770000}"/>
    <cellStyle name="計算 3 5" xfId="17697" xr:uid="{00000000-0005-0000-0000-0000D6770000}"/>
    <cellStyle name="計算 3 5 2" xfId="22657" xr:uid="{00000000-0005-0000-0000-0000D7770000}"/>
    <cellStyle name="計算 3 6" xfId="17698" xr:uid="{00000000-0005-0000-0000-0000D8770000}"/>
    <cellStyle name="計算 3 6 2" xfId="22658" xr:uid="{00000000-0005-0000-0000-0000D9770000}"/>
    <cellStyle name="計算 3 7" xfId="17699" xr:uid="{00000000-0005-0000-0000-0000DA770000}"/>
    <cellStyle name="計算 3 7 2" xfId="22659" xr:uid="{00000000-0005-0000-0000-0000DB770000}"/>
    <cellStyle name="計算 3 8" xfId="17700" xr:uid="{00000000-0005-0000-0000-0000DC770000}"/>
    <cellStyle name="計算 3 8 2" xfId="22660" xr:uid="{00000000-0005-0000-0000-0000DD770000}"/>
    <cellStyle name="計算 3 9" xfId="17701" xr:uid="{00000000-0005-0000-0000-0000DE770000}"/>
    <cellStyle name="計算 3 9 2" xfId="22661" xr:uid="{00000000-0005-0000-0000-0000DF770000}"/>
    <cellStyle name="計算 4" xfId="2773" xr:uid="{00000000-0005-0000-0000-0000E0770000}"/>
    <cellStyle name="計算 4 10" xfId="17703" xr:uid="{00000000-0005-0000-0000-0000E1770000}"/>
    <cellStyle name="計算 4 10 2" xfId="22663" xr:uid="{00000000-0005-0000-0000-0000E2770000}"/>
    <cellStyle name="計算 4 11" xfId="17704" xr:uid="{00000000-0005-0000-0000-0000E3770000}"/>
    <cellStyle name="計算 4 11 2" xfId="22664" xr:uid="{00000000-0005-0000-0000-0000E4770000}"/>
    <cellStyle name="計算 4 12" xfId="22662" xr:uid="{00000000-0005-0000-0000-0000E5770000}"/>
    <cellStyle name="計算 4 13" xfId="17702" xr:uid="{00000000-0005-0000-0000-0000E6770000}"/>
    <cellStyle name="計算 4 14" xfId="24512" xr:uid="{00000000-0005-0000-0000-0000E7770000}"/>
    <cellStyle name="計算 4 2" xfId="17705" xr:uid="{00000000-0005-0000-0000-0000E8770000}"/>
    <cellStyle name="計算 4 2 2" xfId="22665" xr:uid="{00000000-0005-0000-0000-0000E9770000}"/>
    <cellStyle name="計算 4 3" xfId="17706" xr:uid="{00000000-0005-0000-0000-0000EA770000}"/>
    <cellStyle name="計算 4 3 2" xfId="22666" xr:uid="{00000000-0005-0000-0000-0000EB770000}"/>
    <cellStyle name="計算 4 4" xfId="17707" xr:uid="{00000000-0005-0000-0000-0000EC770000}"/>
    <cellStyle name="計算 4 4 2" xfId="22667" xr:uid="{00000000-0005-0000-0000-0000ED770000}"/>
    <cellStyle name="計算 4 5" xfId="17708" xr:uid="{00000000-0005-0000-0000-0000EE770000}"/>
    <cellStyle name="計算 4 5 2" xfId="22668" xr:uid="{00000000-0005-0000-0000-0000EF770000}"/>
    <cellStyle name="計算 4 6" xfId="17709" xr:uid="{00000000-0005-0000-0000-0000F0770000}"/>
    <cellStyle name="計算 4 6 2" xfId="22669" xr:uid="{00000000-0005-0000-0000-0000F1770000}"/>
    <cellStyle name="計算 4 7" xfId="17710" xr:uid="{00000000-0005-0000-0000-0000F2770000}"/>
    <cellStyle name="計算 4 7 2" xfId="22670" xr:uid="{00000000-0005-0000-0000-0000F3770000}"/>
    <cellStyle name="計算 4 8" xfId="17711" xr:uid="{00000000-0005-0000-0000-0000F4770000}"/>
    <cellStyle name="計算 4 8 2" xfId="22671" xr:uid="{00000000-0005-0000-0000-0000F5770000}"/>
    <cellStyle name="計算 4 9" xfId="17712" xr:uid="{00000000-0005-0000-0000-0000F6770000}"/>
    <cellStyle name="計算 4 9 2" xfId="22672" xr:uid="{00000000-0005-0000-0000-0000F7770000}"/>
    <cellStyle name="計算 5" xfId="17713" xr:uid="{00000000-0005-0000-0000-0000F8770000}"/>
    <cellStyle name="計算 5 10" xfId="17714" xr:uid="{00000000-0005-0000-0000-0000F9770000}"/>
    <cellStyle name="計算 5 10 2" xfId="22674" xr:uid="{00000000-0005-0000-0000-0000FA770000}"/>
    <cellStyle name="計算 5 11" xfId="17715" xr:uid="{00000000-0005-0000-0000-0000FB770000}"/>
    <cellStyle name="計算 5 11 2" xfId="22675" xr:uid="{00000000-0005-0000-0000-0000FC770000}"/>
    <cellStyle name="計算 5 12" xfId="22673" xr:uid="{00000000-0005-0000-0000-0000FD770000}"/>
    <cellStyle name="計算 5 13" xfId="24513" xr:uid="{00000000-0005-0000-0000-0000FE770000}"/>
    <cellStyle name="計算 5 2" xfId="17716" xr:uid="{00000000-0005-0000-0000-0000FF770000}"/>
    <cellStyle name="計算 5 2 2" xfId="22676" xr:uid="{00000000-0005-0000-0000-000000780000}"/>
    <cellStyle name="計算 5 3" xfId="17717" xr:uid="{00000000-0005-0000-0000-000001780000}"/>
    <cellStyle name="計算 5 3 2" xfId="22677" xr:uid="{00000000-0005-0000-0000-000002780000}"/>
    <cellStyle name="計算 5 4" xfId="17718" xr:uid="{00000000-0005-0000-0000-000003780000}"/>
    <cellStyle name="計算 5 4 2" xfId="22678" xr:uid="{00000000-0005-0000-0000-000004780000}"/>
    <cellStyle name="計算 5 5" xfId="17719" xr:uid="{00000000-0005-0000-0000-000005780000}"/>
    <cellStyle name="計算 5 5 2" xfId="22679" xr:uid="{00000000-0005-0000-0000-000006780000}"/>
    <cellStyle name="計算 5 6" xfId="17720" xr:uid="{00000000-0005-0000-0000-000007780000}"/>
    <cellStyle name="計算 5 6 2" xfId="22680" xr:uid="{00000000-0005-0000-0000-000008780000}"/>
    <cellStyle name="計算 5 7" xfId="17721" xr:uid="{00000000-0005-0000-0000-000009780000}"/>
    <cellStyle name="計算 5 7 2" xfId="22681" xr:uid="{00000000-0005-0000-0000-00000A780000}"/>
    <cellStyle name="計算 5 8" xfId="17722" xr:uid="{00000000-0005-0000-0000-00000B780000}"/>
    <cellStyle name="計算 5 8 2" xfId="22682" xr:uid="{00000000-0005-0000-0000-00000C780000}"/>
    <cellStyle name="計算 5 9" xfId="17723" xr:uid="{00000000-0005-0000-0000-00000D780000}"/>
    <cellStyle name="計算 5 9 2" xfId="22683" xr:uid="{00000000-0005-0000-0000-00000E780000}"/>
    <cellStyle name="計算 6" xfId="17724" xr:uid="{00000000-0005-0000-0000-00000F780000}"/>
    <cellStyle name="計算 6 10" xfId="17725" xr:uid="{00000000-0005-0000-0000-000010780000}"/>
    <cellStyle name="計算 6 10 2" xfId="22685" xr:uid="{00000000-0005-0000-0000-000011780000}"/>
    <cellStyle name="計算 6 11" xfId="17726" xr:uid="{00000000-0005-0000-0000-000012780000}"/>
    <cellStyle name="計算 6 11 2" xfId="22686" xr:uid="{00000000-0005-0000-0000-000013780000}"/>
    <cellStyle name="計算 6 12" xfId="22684" xr:uid="{00000000-0005-0000-0000-000014780000}"/>
    <cellStyle name="計算 6 2" xfId="17727" xr:uid="{00000000-0005-0000-0000-000015780000}"/>
    <cellStyle name="計算 6 2 2" xfId="22687" xr:uid="{00000000-0005-0000-0000-000016780000}"/>
    <cellStyle name="計算 6 3" xfId="17728" xr:uid="{00000000-0005-0000-0000-000017780000}"/>
    <cellStyle name="計算 6 3 2" xfId="22688" xr:uid="{00000000-0005-0000-0000-000018780000}"/>
    <cellStyle name="計算 6 4" xfId="17729" xr:uid="{00000000-0005-0000-0000-000019780000}"/>
    <cellStyle name="計算 6 4 2" xfId="22689" xr:uid="{00000000-0005-0000-0000-00001A780000}"/>
    <cellStyle name="計算 6 5" xfId="17730" xr:uid="{00000000-0005-0000-0000-00001B780000}"/>
    <cellStyle name="計算 6 5 2" xfId="22690" xr:uid="{00000000-0005-0000-0000-00001C780000}"/>
    <cellStyle name="計算 6 6" xfId="17731" xr:uid="{00000000-0005-0000-0000-00001D780000}"/>
    <cellStyle name="計算 6 6 2" xfId="22691" xr:uid="{00000000-0005-0000-0000-00001E780000}"/>
    <cellStyle name="計算 6 7" xfId="17732" xr:uid="{00000000-0005-0000-0000-00001F780000}"/>
    <cellStyle name="計算 6 7 2" xfId="22692" xr:uid="{00000000-0005-0000-0000-000020780000}"/>
    <cellStyle name="計算 6 8" xfId="17733" xr:uid="{00000000-0005-0000-0000-000021780000}"/>
    <cellStyle name="計算 6 8 2" xfId="22693" xr:uid="{00000000-0005-0000-0000-000022780000}"/>
    <cellStyle name="計算 6 9" xfId="17734" xr:uid="{00000000-0005-0000-0000-000023780000}"/>
    <cellStyle name="計算 6 9 2" xfId="22694" xr:uid="{00000000-0005-0000-0000-000024780000}"/>
    <cellStyle name="計算 7" xfId="17735" xr:uid="{00000000-0005-0000-0000-000025780000}"/>
    <cellStyle name="計算 7 10" xfId="17736" xr:uid="{00000000-0005-0000-0000-000026780000}"/>
    <cellStyle name="計算 7 10 2" xfId="22696" xr:uid="{00000000-0005-0000-0000-000027780000}"/>
    <cellStyle name="計算 7 11" xfId="17737" xr:uid="{00000000-0005-0000-0000-000028780000}"/>
    <cellStyle name="計算 7 11 2" xfId="22697" xr:uid="{00000000-0005-0000-0000-000029780000}"/>
    <cellStyle name="計算 7 12" xfId="22695" xr:uid="{00000000-0005-0000-0000-00002A780000}"/>
    <cellStyle name="計算 7 2" xfId="17738" xr:uid="{00000000-0005-0000-0000-00002B780000}"/>
    <cellStyle name="計算 7 2 2" xfId="22698" xr:uid="{00000000-0005-0000-0000-00002C780000}"/>
    <cellStyle name="計算 7 3" xfId="17739" xr:uid="{00000000-0005-0000-0000-00002D780000}"/>
    <cellStyle name="計算 7 3 2" xfId="22699" xr:uid="{00000000-0005-0000-0000-00002E780000}"/>
    <cellStyle name="計算 7 4" xfId="17740" xr:uid="{00000000-0005-0000-0000-00002F780000}"/>
    <cellStyle name="計算 7 4 2" xfId="22700" xr:uid="{00000000-0005-0000-0000-000030780000}"/>
    <cellStyle name="計算 7 5" xfId="17741" xr:uid="{00000000-0005-0000-0000-000031780000}"/>
    <cellStyle name="計算 7 5 2" xfId="22701" xr:uid="{00000000-0005-0000-0000-000032780000}"/>
    <cellStyle name="計算 7 6" xfId="17742" xr:uid="{00000000-0005-0000-0000-000033780000}"/>
    <cellStyle name="計算 7 6 2" xfId="22702" xr:uid="{00000000-0005-0000-0000-000034780000}"/>
    <cellStyle name="計算 7 7" xfId="17743" xr:uid="{00000000-0005-0000-0000-000035780000}"/>
    <cellStyle name="計算 7 7 2" xfId="22703" xr:uid="{00000000-0005-0000-0000-000036780000}"/>
    <cellStyle name="計算 7 8" xfId="17744" xr:uid="{00000000-0005-0000-0000-000037780000}"/>
    <cellStyle name="計算 7 8 2" xfId="22704" xr:uid="{00000000-0005-0000-0000-000038780000}"/>
    <cellStyle name="計算 7 9" xfId="17745" xr:uid="{00000000-0005-0000-0000-000039780000}"/>
    <cellStyle name="計算 7 9 2" xfId="22705" xr:uid="{00000000-0005-0000-0000-00003A780000}"/>
    <cellStyle name="計算 8" xfId="17746" xr:uid="{00000000-0005-0000-0000-00003B780000}"/>
    <cellStyle name="計算 8 2" xfId="22706" xr:uid="{00000000-0005-0000-0000-00003C780000}"/>
    <cellStyle name="計算 9" xfId="17747" xr:uid="{00000000-0005-0000-0000-00003D780000}"/>
    <cellStyle name="計算 9 2" xfId="22707" xr:uid="{00000000-0005-0000-0000-00003E780000}"/>
    <cellStyle name="説明文" xfId="373" xr:uid="{00000000-0005-0000-0000-00003F780000}"/>
    <cellStyle name="説明文 2" xfId="824" xr:uid="{00000000-0005-0000-0000-000040780000}"/>
    <cellStyle name="説明文 2 2" xfId="2655" xr:uid="{00000000-0005-0000-0000-000041780000}"/>
    <cellStyle name="説明文 2 2 2" xfId="17751" xr:uid="{00000000-0005-0000-0000-000042780000}"/>
    <cellStyle name="説明文 2 2 2 2" xfId="22711" xr:uid="{00000000-0005-0000-0000-000043780000}"/>
    <cellStyle name="説明文 2 2 3" xfId="17752" xr:uid="{00000000-0005-0000-0000-000044780000}"/>
    <cellStyle name="説明文 2 2 3 2" xfId="22712" xr:uid="{00000000-0005-0000-0000-000045780000}"/>
    <cellStyle name="説明文 2 2 4" xfId="17753" xr:uid="{00000000-0005-0000-0000-000046780000}"/>
    <cellStyle name="説明文 2 2 4 2" xfId="22713" xr:uid="{00000000-0005-0000-0000-000047780000}"/>
    <cellStyle name="説明文 2 2 5" xfId="17750" xr:uid="{00000000-0005-0000-0000-000048780000}"/>
    <cellStyle name="説明文 2 2 6" xfId="22710" xr:uid="{00000000-0005-0000-0000-000049780000}"/>
    <cellStyle name="説明文 2 3" xfId="2654" xr:uid="{00000000-0005-0000-0000-00004A780000}"/>
    <cellStyle name="説明文 2 3 2" xfId="17755" xr:uid="{00000000-0005-0000-0000-00004B780000}"/>
    <cellStyle name="説明文 2 3 2 2" xfId="22715" xr:uid="{00000000-0005-0000-0000-00004C780000}"/>
    <cellStyle name="説明文 2 3 3" xfId="22714" xr:uid="{00000000-0005-0000-0000-00004D780000}"/>
    <cellStyle name="説明文 2 3 4" xfId="17754" xr:uid="{00000000-0005-0000-0000-00004E780000}"/>
    <cellStyle name="説明文 2 4" xfId="17756" xr:uid="{00000000-0005-0000-0000-00004F780000}"/>
    <cellStyle name="説明文 2 4 2" xfId="22716" xr:uid="{00000000-0005-0000-0000-000050780000}"/>
    <cellStyle name="説明文 2 5" xfId="17757" xr:uid="{00000000-0005-0000-0000-000051780000}"/>
    <cellStyle name="説明文 2 5 2" xfId="22717" xr:uid="{00000000-0005-0000-0000-000052780000}"/>
    <cellStyle name="説明文 2 6" xfId="17758" xr:uid="{00000000-0005-0000-0000-000053780000}"/>
    <cellStyle name="説明文 2 6 2" xfId="22718" xr:uid="{00000000-0005-0000-0000-000054780000}"/>
    <cellStyle name="説明文 2 7" xfId="17749" xr:uid="{00000000-0005-0000-0000-000055780000}"/>
    <cellStyle name="説明文 2 8" xfId="22709" xr:uid="{00000000-0005-0000-0000-000056780000}"/>
    <cellStyle name="説明文 3" xfId="823" xr:uid="{00000000-0005-0000-0000-000057780000}"/>
    <cellStyle name="説明文 3 2" xfId="2656" xr:uid="{00000000-0005-0000-0000-000058780000}"/>
    <cellStyle name="説明文 3 2 2" xfId="22720" xr:uid="{00000000-0005-0000-0000-000059780000}"/>
    <cellStyle name="説明文 3 2 3" xfId="17760" xr:uid="{00000000-0005-0000-0000-00005A780000}"/>
    <cellStyle name="説明文 3 2 4" xfId="24514" xr:uid="{00000000-0005-0000-0000-00005B780000}"/>
    <cellStyle name="説明文 3 3" xfId="3728" xr:uid="{00000000-0005-0000-0000-00005C780000}"/>
    <cellStyle name="説明文 3 3 2" xfId="17759" xr:uid="{00000000-0005-0000-0000-00005D780000}"/>
    <cellStyle name="説明文 3 4" xfId="22719" xr:uid="{00000000-0005-0000-0000-00005E780000}"/>
    <cellStyle name="説明文 4" xfId="2781" xr:uid="{00000000-0005-0000-0000-00005F780000}"/>
    <cellStyle name="説明文 4 2" xfId="22721" xr:uid="{00000000-0005-0000-0000-000060780000}"/>
    <cellStyle name="説明文 4 3" xfId="17761" xr:uid="{00000000-0005-0000-0000-000061780000}"/>
    <cellStyle name="説明文 5" xfId="17762" xr:uid="{00000000-0005-0000-0000-000062780000}"/>
    <cellStyle name="説明文 5 2" xfId="22722" xr:uid="{00000000-0005-0000-0000-000063780000}"/>
    <cellStyle name="説明文 6" xfId="17763" xr:uid="{00000000-0005-0000-0000-000064780000}"/>
    <cellStyle name="説明文 6 2" xfId="22723" xr:uid="{00000000-0005-0000-0000-000065780000}"/>
    <cellStyle name="説明文 7" xfId="17748" xr:uid="{00000000-0005-0000-0000-000066780000}"/>
    <cellStyle name="説明文 8" xfId="22708" xr:uid="{00000000-0005-0000-0000-000067780000}"/>
    <cellStyle name="警告文" xfId="364" xr:uid="{00000000-0005-0000-0000-000068780000}"/>
    <cellStyle name="警告文 2" xfId="826" xr:uid="{00000000-0005-0000-0000-000069780000}"/>
    <cellStyle name="警告文 2 2" xfId="2658" xr:uid="{00000000-0005-0000-0000-00006A780000}"/>
    <cellStyle name="警告文 2 2 2" xfId="17767" xr:uid="{00000000-0005-0000-0000-00006B780000}"/>
    <cellStyle name="警告文 2 2 2 2" xfId="22727" xr:uid="{00000000-0005-0000-0000-00006C780000}"/>
    <cellStyle name="警告文 2 2 3" xfId="17768" xr:uid="{00000000-0005-0000-0000-00006D780000}"/>
    <cellStyle name="警告文 2 2 3 2" xfId="22728" xr:uid="{00000000-0005-0000-0000-00006E780000}"/>
    <cellStyle name="警告文 2 2 4" xfId="17769" xr:uid="{00000000-0005-0000-0000-00006F780000}"/>
    <cellStyle name="警告文 2 2 4 2" xfId="22729" xr:uid="{00000000-0005-0000-0000-000070780000}"/>
    <cellStyle name="警告文 2 2 5" xfId="17766" xr:uid="{00000000-0005-0000-0000-000071780000}"/>
    <cellStyle name="警告文 2 2 6" xfId="22726" xr:uid="{00000000-0005-0000-0000-000072780000}"/>
    <cellStyle name="警告文 2 3" xfId="2657" xr:uid="{00000000-0005-0000-0000-000073780000}"/>
    <cellStyle name="警告文 2 3 2" xfId="17771" xr:uid="{00000000-0005-0000-0000-000074780000}"/>
    <cellStyle name="警告文 2 3 2 2" xfId="22731" xr:uid="{00000000-0005-0000-0000-000075780000}"/>
    <cellStyle name="警告文 2 3 3" xfId="22730" xr:uid="{00000000-0005-0000-0000-000076780000}"/>
    <cellStyle name="警告文 2 3 4" xfId="17770" xr:uid="{00000000-0005-0000-0000-000077780000}"/>
    <cellStyle name="警告文 2 4" xfId="17772" xr:uid="{00000000-0005-0000-0000-000078780000}"/>
    <cellStyle name="警告文 2 4 2" xfId="22732" xr:uid="{00000000-0005-0000-0000-000079780000}"/>
    <cellStyle name="警告文 2 5" xfId="17773" xr:uid="{00000000-0005-0000-0000-00007A780000}"/>
    <cellStyle name="警告文 2 5 2" xfId="22733" xr:uid="{00000000-0005-0000-0000-00007B780000}"/>
    <cellStyle name="警告文 2 6" xfId="17774" xr:uid="{00000000-0005-0000-0000-00007C780000}"/>
    <cellStyle name="警告文 2 6 2" xfId="22734" xr:uid="{00000000-0005-0000-0000-00007D780000}"/>
    <cellStyle name="警告文 2 7" xfId="17765" xr:uid="{00000000-0005-0000-0000-00007E780000}"/>
    <cellStyle name="警告文 2 8" xfId="22725" xr:uid="{00000000-0005-0000-0000-00007F780000}"/>
    <cellStyle name="警告文 3" xfId="825" xr:uid="{00000000-0005-0000-0000-000080780000}"/>
    <cellStyle name="警告文 3 2" xfId="2659" xr:uid="{00000000-0005-0000-0000-000081780000}"/>
    <cellStyle name="警告文 3 2 2" xfId="22736" xr:uid="{00000000-0005-0000-0000-000082780000}"/>
    <cellStyle name="警告文 3 2 3" xfId="17776" xr:uid="{00000000-0005-0000-0000-000083780000}"/>
    <cellStyle name="警告文 3 2 4" xfId="24515" xr:uid="{00000000-0005-0000-0000-000084780000}"/>
    <cellStyle name="警告文 3 3" xfId="3729" xr:uid="{00000000-0005-0000-0000-000085780000}"/>
    <cellStyle name="警告文 3 3 2" xfId="17775" xr:uid="{00000000-0005-0000-0000-000086780000}"/>
    <cellStyle name="警告文 3 4" xfId="22735" xr:uid="{00000000-0005-0000-0000-000087780000}"/>
    <cellStyle name="警告文 4" xfId="2774" xr:uid="{00000000-0005-0000-0000-000088780000}"/>
    <cellStyle name="警告文 4 2" xfId="22737" xr:uid="{00000000-0005-0000-0000-000089780000}"/>
    <cellStyle name="警告文 4 3" xfId="17777" xr:uid="{00000000-0005-0000-0000-00008A780000}"/>
    <cellStyle name="警告文 5" xfId="17778" xr:uid="{00000000-0005-0000-0000-00008B780000}"/>
    <cellStyle name="警告文 5 2" xfId="22738" xr:uid="{00000000-0005-0000-0000-00008C780000}"/>
    <cellStyle name="警告文 6" xfId="17779" xr:uid="{00000000-0005-0000-0000-00008D780000}"/>
    <cellStyle name="警告文 6 2" xfId="22739" xr:uid="{00000000-0005-0000-0000-00008E780000}"/>
    <cellStyle name="警告文 7" xfId="17764" xr:uid="{00000000-0005-0000-0000-00008F780000}"/>
    <cellStyle name="警告文 8" xfId="22724" xr:uid="{00000000-0005-0000-0000-000090780000}"/>
    <cellStyle name="通貨 [0.00]_Book1" xfId="374" xr:uid="{00000000-0005-0000-0000-000091780000}"/>
    <cellStyle name="通貨_Book1" xfId="375" xr:uid="{00000000-0005-0000-0000-000092780000}"/>
    <cellStyle name="集計" xfId="371" xr:uid="{00000000-0005-0000-0000-000093780000}"/>
    <cellStyle name="集計 10" xfId="17781" xr:uid="{00000000-0005-0000-0000-000094780000}"/>
    <cellStyle name="集計 10 2" xfId="22741" xr:uid="{00000000-0005-0000-0000-000095780000}"/>
    <cellStyle name="集計 11" xfId="17782" xr:uid="{00000000-0005-0000-0000-000096780000}"/>
    <cellStyle name="集計 11 2" xfId="22742" xr:uid="{00000000-0005-0000-0000-000097780000}"/>
    <cellStyle name="集計 12" xfId="17783" xr:uid="{00000000-0005-0000-0000-000098780000}"/>
    <cellStyle name="集計 12 2" xfId="22743" xr:uid="{00000000-0005-0000-0000-000099780000}"/>
    <cellStyle name="集計 13" xfId="17784" xr:uid="{00000000-0005-0000-0000-00009A780000}"/>
    <cellStyle name="集計 13 2" xfId="22744" xr:uid="{00000000-0005-0000-0000-00009B780000}"/>
    <cellStyle name="集計 14" xfId="17785" xr:uid="{00000000-0005-0000-0000-00009C780000}"/>
    <cellStyle name="集計 14 2" xfId="22745" xr:uid="{00000000-0005-0000-0000-00009D780000}"/>
    <cellStyle name="集計 15" xfId="17786" xr:uid="{00000000-0005-0000-0000-00009E780000}"/>
    <cellStyle name="集計 15 2" xfId="22746" xr:uid="{00000000-0005-0000-0000-00009F780000}"/>
    <cellStyle name="集計 16" xfId="17787" xr:uid="{00000000-0005-0000-0000-0000A0780000}"/>
    <cellStyle name="集計 16 2" xfId="22747" xr:uid="{00000000-0005-0000-0000-0000A1780000}"/>
    <cellStyle name="集計 17" xfId="17788" xr:uid="{00000000-0005-0000-0000-0000A2780000}"/>
    <cellStyle name="集計 17 2" xfId="22748" xr:uid="{00000000-0005-0000-0000-0000A3780000}"/>
    <cellStyle name="集計 18" xfId="17789" xr:uid="{00000000-0005-0000-0000-0000A4780000}"/>
    <cellStyle name="集計 18 2" xfId="17790" xr:uid="{00000000-0005-0000-0000-0000A5780000}"/>
    <cellStyle name="集計 18 2 2" xfId="22750" xr:uid="{00000000-0005-0000-0000-0000A6780000}"/>
    <cellStyle name="集計 18 3" xfId="17791" xr:uid="{00000000-0005-0000-0000-0000A7780000}"/>
    <cellStyle name="集計 18 3 2" xfId="22751" xr:uid="{00000000-0005-0000-0000-0000A8780000}"/>
    <cellStyle name="集計 18 4" xfId="17792" xr:uid="{00000000-0005-0000-0000-0000A9780000}"/>
    <cellStyle name="集計 18 4 2" xfId="22752" xr:uid="{00000000-0005-0000-0000-0000AA780000}"/>
    <cellStyle name="集計 18 5" xfId="17793" xr:uid="{00000000-0005-0000-0000-0000AB780000}"/>
    <cellStyle name="集計 18 5 2" xfId="22753" xr:uid="{00000000-0005-0000-0000-0000AC780000}"/>
    <cellStyle name="集計 18 6" xfId="22749" xr:uid="{00000000-0005-0000-0000-0000AD780000}"/>
    <cellStyle name="集計 19" xfId="17794" xr:uid="{00000000-0005-0000-0000-0000AE780000}"/>
    <cellStyle name="集計 19 2" xfId="22754" xr:uid="{00000000-0005-0000-0000-0000AF780000}"/>
    <cellStyle name="集計 2" xfId="828" xr:uid="{00000000-0005-0000-0000-0000B0780000}"/>
    <cellStyle name="集計 2 10" xfId="17796" xr:uid="{00000000-0005-0000-0000-0000B1780000}"/>
    <cellStyle name="集計 2 10 2" xfId="22756" xr:uid="{00000000-0005-0000-0000-0000B2780000}"/>
    <cellStyle name="集計 2 11" xfId="17797" xr:uid="{00000000-0005-0000-0000-0000B3780000}"/>
    <cellStyle name="集計 2 11 2" xfId="22757" xr:uid="{00000000-0005-0000-0000-0000B4780000}"/>
    <cellStyle name="集計 2 12" xfId="17798" xr:uid="{00000000-0005-0000-0000-0000B5780000}"/>
    <cellStyle name="集計 2 12 2" xfId="22758" xr:uid="{00000000-0005-0000-0000-0000B6780000}"/>
    <cellStyle name="集計 2 13" xfId="17799" xr:uid="{00000000-0005-0000-0000-0000B7780000}"/>
    <cellStyle name="集計 2 13 2" xfId="22759" xr:uid="{00000000-0005-0000-0000-0000B8780000}"/>
    <cellStyle name="集計 2 14" xfId="17800" xr:uid="{00000000-0005-0000-0000-0000B9780000}"/>
    <cellStyle name="集計 2 14 2" xfId="17801" xr:uid="{00000000-0005-0000-0000-0000BA780000}"/>
    <cellStyle name="集計 2 14 2 2" xfId="22761" xr:uid="{00000000-0005-0000-0000-0000BB780000}"/>
    <cellStyle name="集計 2 14 3" xfId="17802" xr:uid="{00000000-0005-0000-0000-0000BC780000}"/>
    <cellStyle name="集計 2 14 3 2" xfId="22762" xr:uid="{00000000-0005-0000-0000-0000BD780000}"/>
    <cellStyle name="集計 2 14 4" xfId="17803" xr:uid="{00000000-0005-0000-0000-0000BE780000}"/>
    <cellStyle name="集計 2 14 4 2" xfId="22763" xr:uid="{00000000-0005-0000-0000-0000BF780000}"/>
    <cellStyle name="集計 2 14 5" xfId="17804" xr:uid="{00000000-0005-0000-0000-0000C0780000}"/>
    <cellStyle name="集計 2 14 5 2" xfId="22764" xr:uid="{00000000-0005-0000-0000-0000C1780000}"/>
    <cellStyle name="集計 2 14 6" xfId="22760" xr:uid="{00000000-0005-0000-0000-0000C2780000}"/>
    <cellStyle name="集計 2 15" xfId="17805" xr:uid="{00000000-0005-0000-0000-0000C3780000}"/>
    <cellStyle name="集計 2 15 2" xfId="22765" xr:uid="{00000000-0005-0000-0000-0000C4780000}"/>
    <cellStyle name="集計 2 16" xfId="17806" xr:uid="{00000000-0005-0000-0000-0000C5780000}"/>
    <cellStyle name="集計 2 16 2" xfId="22766" xr:uid="{00000000-0005-0000-0000-0000C6780000}"/>
    <cellStyle name="集計 2 17" xfId="17795" xr:uid="{00000000-0005-0000-0000-0000C7780000}"/>
    <cellStyle name="集計 2 18" xfId="22755" xr:uid="{00000000-0005-0000-0000-0000C8780000}"/>
    <cellStyle name="集計 2 2" xfId="2662" xr:uid="{00000000-0005-0000-0000-0000C9780000}"/>
    <cellStyle name="集計 2 2 2" xfId="17808" xr:uid="{00000000-0005-0000-0000-0000CA780000}"/>
    <cellStyle name="集計 2 2 2 2" xfId="17809" xr:uid="{00000000-0005-0000-0000-0000CB780000}"/>
    <cellStyle name="集計 2 2 2 2 2" xfId="22769" xr:uid="{00000000-0005-0000-0000-0000CC780000}"/>
    <cellStyle name="集計 2 2 2 3" xfId="17810" xr:uid="{00000000-0005-0000-0000-0000CD780000}"/>
    <cellStyle name="集計 2 2 2 3 2" xfId="22770" xr:uid="{00000000-0005-0000-0000-0000CE780000}"/>
    <cellStyle name="集計 2 2 2 4" xfId="17811" xr:uid="{00000000-0005-0000-0000-0000CF780000}"/>
    <cellStyle name="集計 2 2 2 4 2" xfId="22771" xr:uid="{00000000-0005-0000-0000-0000D0780000}"/>
    <cellStyle name="集計 2 2 2 5" xfId="17812" xr:uid="{00000000-0005-0000-0000-0000D1780000}"/>
    <cellStyle name="集計 2 2 2 5 2" xfId="22772" xr:uid="{00000000-0005-0000-0000-0000D2780000}"/>
    <cellStyle name="集計 2 2 2 6" xfId="22768" xr:uid="{00000000-0005-0000-0000-0000D3780000}"/>
    <cellStyle name="集計 2 2 2 7" xfId="24516" xr:uid="{00000000-0005-0000-0000-0000D4780000}"/>
    <cellStyle name="集計 2 2 3" xfId="17813" xr:uid="{00000000-0005-0000-0000-0000D5780000}"/>
    <cellStyle name="集計 2 2 3 2" xfId="22773" xr:uid="{00000000-0005-0000-0000-0000D6780000}"/>
    <cellStyle name="集計 2 2 3 3" xfId="24517" xr:uid="{00000000-0005-0000-0000-0000D7780000}"/>
    <cellStyle name="集計 2 2 4" xfId="17814" xr:uid="{00000000-0005-0000-0000-0000D8780000}"/>
    <cellStyle name="集計 2 2 4 2" xfId="22774" xr:uid="{00000000-0005-0000-0000-0000D9780000}"/>
    <cellStyle name="集計 2 2 5" xfId="17807" xr:uid="{00000000-0005-0000-0000-0000DA780000}"/>
    <cellStyle name="集計 2 2 6" xfId="22767" xr:uid="{00000000-0005-0000-0000-0000DB780000}"/>
    <cellStyle name="集計 2 3" xfId="2661" xr:uid="{00000000-0005-0000-0000-0000DC780000}"/>
    <cellStyle name="集計 2 3 2" xfId="17816" xr:uid="{00000000-0005-0000-0000-0000DD780000}"/>
    <cellStyle name="集計 2 3 2 2" xfId="17817" xr:uid="{00000000-0005-0000-0000-0000DE780000}"/>
    <cellStyle name="集計 2 3 2 2 2" xfId="22777" xr:uid="{00000000-0005-0000-0000-0000DF780000}"/>
    <cellStyle name="集計 2 3 2 3" xfId="17818" xr:uid="{00000000-0005-0000-0000-0000E0780000}"/>
    <cellStyle name="集計 2 3 2 3 2" xfId="22778" xr:uid="{00000000-0005-0000-0000-0000E1780000}"/>
    <cellStyle name="集計 2 3 2 4" xfId="17819" xr:uid="{00000000-0005-0000-0000-0000E2780000}"/>
    <cellStyle name="集計 2 3 2 4 2" xfId="22779" xr:uid="{00000000-0005-0000-0000-0000E3780000}"/>
    <cellStyle name="集計 2 3 2 5" xfId="17820" xr:uid="{00000000-0005-0000-0000-0000E4780000}"/>
    <cellStyle name="集計 2 3 2 5 2" xfId="22780" xr:uid="{00000000-0005-0000-0000-0000E5780000}"/>
    <cellStyle name="集計 2 3 2 6" xfId="22776" xr:uid="{00000000-0005-0000-0000-0000E6780000}"/>
    <cellStyle name="集計 2 3 3" xfId="17821" xr:uid="{00000000-0005-0000-0000-0000E7780000}"/>
    <cellStyle name="集計 2 3 3 2" xfId="22781" xr:uid="{00000000-0005-0000-0000-0000E8780000}"/>
    <cellStyle name="集計 2 3 4" xfId="17822" xr:uid="{00000000-0005-0000-0000-0000E9780000}"/>
    <cellStyle name="集計 2 3 4 2" xfId="22782" xr:uid="{00000000-0005-0000-0000-0000EA780000}"/>
    <cellStyle name="集計 2 3 5" xfId="22775" xr:uid="{00000000-0005-0000-0000-0000EB780000}"/>
    <cellStyle name="集計 2 3 6" xfId="17815" xr:uid="{00000000-0005-0000-0000-0000EC780000}"/>
    <cellStyle name="集計 2 4" xfId="17823" xr:uid="{00000000-0005-0000-0000-0000ED780000}"/>
    <cellStyle name="集計 2 4 2" xfId="22783" xr:uid="{00000000-0005-0000-0000-0000EE780000}"/>
    <cellStyle name="集計 2 4 3" xfId="24518" xr:uid="{00000000-0005-0000-0000-0000EF780000}"/>
    <cellStyle name="集計 2 5" xfId="17824" xr:uid="{00000000-0005-0000-0000-0000F0780000}"/>
    <cellStyle name="集計 2 5 2" xfId="22784" xr:uid="{00000000-0005-0000-0000-0000F1780000}"/>
    <cellStyle name="集計 2 5 3" xfId="24519" xr:uid="{00000000-0005-0000-0000-0000F2780000}"/>
    <cellStyle name="集計 2 6" xfId="17825" xr:uid="{00000000-0005-0000-0000-0000F3780000}"/>
    <cellStyle name="集計 2 6 2" xfId="22785" xr:uid="{00000000-0005-0000-0000-0000F4780000}"/>
    <cellStyle name="集計 2 7" xfId="17826" xr:uid="{00000000-0005-0000-0000-0000F5780000}"/>
    <cellStyle name="集計 2 7 2" xfId="22786" xr:uid="{00000000-0005-0000-0000-0000F6780000}"/>
    <cellStyle name="集計 2 8" xfId="17827" xr:uid="{00000000-0005-0000-0000-0000F7780000}"/>
    <cellStyle name="集計 2 8 2" xfId="22787" xr:uid="{00000000-0005-0000-0000-0000F8780000}"/>
    <cellStyle name="集計 2 9" xfId="17828" xr:uid="{00000000-0005-0000-0000-0000F9780000}"/>
    <cellStyle name="集計 2 9 2" xfId="22788" xr:uid="{00000000-0005-0000-0000-0000FA780000}"/>
    <cellStyle name="集計 20" xfId="17829" xr:uid="{00000000-0005-0000-0000-0000FB780000}"/>
    <cellStyle name="集計 20 2" xfId="22789" xr:uid="{00000000-0005-0000-0000-0000FC780000}"/>
    <cellStyle name="集計 21" xfId="17780" xr:uid="{00000000-0005-0000-0000-0000FD780000}"/>
    <cellStyle name="集計 22" xfId="22740" xr:uid="{00000000-0005-0000-0000-0000FE780000}"/>
    <cellStyle name="集計 3" xfId="827" xr:uid="{00000000-0005-0000-0000-0000FF780000}"/>
    <cellStyle name="集計 3 10" xfId="17831" xr:uid="{00000000-0005-0000-0000-000000790000}"/>
    <cellStyle name="集計 3 10 2" xfId="22791" xr:uid="{00000000-0005-0000-0000-000001790000}"/>
    <cellStyle name="集計 3 11" xfId="17832" xr:uid="{00000000-0005-0000-0000-000002790000}"/>
    <cellStyle name="集計 3 11 2" xfId="22792" xr:uid="{00000000-0005-0000-0000-000003790000}"/>
    <cellStyle name="集計 3 12" xfId="17833" xr:uid="{00000000-0005-0000-0000-000004790000}"/>
    <cellStyle name="集計 3 12 2" xfId="22793" xr:uid="{00000000-0005-0000-0000-000005790000}"/>
    <cellStyle name="集計 3 13" xfId="17834" xr:uid="{00000000-0005-0000-0000-000006790000}"/>
    <cellStyle name="集計 3 13 2" xfId="22794" xr:uid="{00000000-0005-0000-0000-000007790000}"/>
    <cellStyle name="集計 3 14" xfId="17830" xr:uid="{00000000-0005-0000-0000-000008790000}"/>
    <cellStyle name="集計 3 15" xfId="22790" xr:uid="{00000000-0005-0000-0000-000009790000}"/>
    <cellStyle name="集計 3 2" xfId="2663" xr:uid="{00000000-0005-0000-0000-00000A790000}"/>
    <cellStyle name="集計 3 2 2" xfId="22795" xr:uid="{00000000-0005-0000-0000-00000B790000}"/>
    <cellStyle name="集計 3 2 3" xfId="17835" xr:uid="{00000000-0005-0000-0000-00000C790000}"/>
    <cellStyle name="集計 3 2 4" xfId="24520" xr:uid="{00000000-0005-0000-0000-00000D790000}"/>
    <cellStyle name="集計 3 3" xfId="3730" xr:uid="{00000000-0005-0000-0000-00000E790000}"/>
    <cellStyle name="集計 3 3 2" xfId="22796" xr:uid="{00000000-0005-0000-0000-00000F790000}"/>
    <cellStyle name="集計 3 3 3" xfId="17836" xr:uid="{00000000-0005-0000-0000-000010790000}"/>
    <cellStyle name="集計 3 3 4" xfId="24521" xr:uid="{00000000-0005-0000-0000-000011790000}"/>
    <cellStyle name="集計 3 4" xfId="17837" xr:uid="{00000000-0005-0000-0000-000012790000}"/>
    <cellStyle name="集計 3 4 2" xfId="22797" xr:uid="{00000000-0005-0000-0000-000013790000}"/>
    <cellStyle name="集計 3 4 3" xfId="24522" xr:uid="{00000000-0005-0000-0000-000014790000}"/>
    <cellStyle name="集計 3 5" xfId="17838" xr:uid="{00000000-0005-0000-0000-000015790000}"/>
    <cellStyle name="集計 3 5 2" xfId="22798" xr:uid="{00000000-0005-0000-0000-000016790000}"/>
    <cellStyle name="集計 3 6" xfId="17839" xr:uid="{00000000-0005-0000-0000-000017790000}"/>
    <cellStyle name="集計 3 6 2" xfId="22799" xr:uid="{00000000-0005-0000-0000-000018790000}"/>
    <cellStyle name="集計 3 7" xfId="17840" xr:uid="{00000000-0005-0000-0000-000019790000}"/>
    <cellStyle name="集計 3 7 2" xfId="22800" xr:uid="{00000000-0005-0000-0000-00001A790000}"/>
    <cellStyle name="集計 3 8" xfId="17841" xr:uid="{00000000-0005-0000-0000-00001B790000}"/>
    <cellStyle name="集計 3 8 2" xfId="22801" xr:uid="{00000000-0005-0000-0000-00001C790000}"/>
    <cellStyle name="集計 3 9" xfId="17842" xr:uid="{00000000-0005-0000-0000-00001D790000}"/>
    <cellStyle name="集計 3 9 2" xfId="22802" xr:uid="{00000000-0005-0000-0000-00001E790000}"/>
    <cellStyle name="集計 4" xfId="2779" xr:uid="{00000000-0005-0000-0000-00001F790000}"/>
    <cellStyle name="集計 4 10" xfId="17844" xr:uid="{00000000-0005-0000-0000-000020790000}"/>
    <cellStyle name="集計 4 10 2" xfId="22804" xr:uid="{00000000-0005-0000-0000-000021790000}"/>
    <cellStyle name="集計 4 11" xfId="17845" xr:uid="{00000000-0005-0000-0000-000022790000}"/>
    <cellStyle name="集計 4 11 2" xfId="22805" xr:uid="{00000000-0005-0000-0000-000023790000}"/>
    <cellStyle name="集計 4 12" xfId="22803" xr:uid="{00000000-0005-0000-0000-000024790000}"/>
    <cellStyle name="集計 4 13" xfId="17843" xr:uid="{00000000-0005-0000-0000-000025790000}"/>
    <cellStyle name="集計 4 14" xfId="24523" xr:uid="{00000000-0005-0000-0000-000026790000}"/>
    <cellStyle name="集計 4 2" xfId="17846" xr:uid="{00000000-0005-0000-0000-000027790000}"/>
    <cellStyle name="集計 4 2 2" xfId="22806" xr:uid="{00000000-0005-0000-0000-000028790000}"/>
    <cellStyle name="集計 4 3" xfId="17847" xr:uid="{00000000-0005-0000-0000-000029790000}"/>
    <cellStyle name="集計 4 3 2" xfId="22807" xr:uid="{00000000-0005-0000-0000-00002A790000}"/>
    <cellStyle name="集計 4 4" xfId="17848" xr:uid="{00000000-0005-0000-0000-00002B790000}"/>
    <cellStyle name="集計 4 4 2" xfId="22808" xr:uid="{00000000-0005-0000-0000-00002C790000}"/>
    <cellStyle name="集計 4 5" xfId="17849" xr:uid="{00000000-0005-0000-0000-00002D790000}"/>
    <cellStyle name="集計 4 5 2" xfId="22809" xr:uid="{00000000-0005-0000-0000-00002E790000}"/>
    <cellStyle name="集計 4 6" xfId="17850" xr:uid="{00000000-0005-0000-0000-00002F790000}"/>
    <cellStyle name="集計 4 6 2" xfId="22810" xr:uid="{00000000-0005-0000-0000-000030790000}"/>
    <cellStyle name="集計 4 7" xfId="17851" xr:uid="{00000000-0005-0000-0000-000031790000}"/>
    <cellStyle name="集計 4 7 2" xfId="22811" xr:uid="{00000000-0005-0000-0000-000032790000}"/>
    <cellStyle name="集計 4 8" xfId="17852" xr:uid="{00000000-0005-0000-0000-000033790000}"/>
    <cellStyle name="集計 4 8 2" xfId="22812" xr:uid="{00000000-0005-0000-0000-000034790000}"/>
    <cellStyle name="集計 4 9" xfId="17853" xr:uid="{00000000-0005-0000-0000-000035790000}"/>
    <cellStyle name="集計 4 9 2" xfId="22813" xr:uid="{00000000-0005-0000-0000-000036790000}"/>
    <cellStyle name="集計 5" xfId="17854" xr:uid="{00000000-0005-0000-0000-000037790000}"/>
    <cellStyle name="集計 5 10" xfId="17855" xr:uid="{00000000-0005-0000-0000-000038790000}"/>
    <cellStyle name="集計 5 10 2" xfId="22815" xr:uid="{00000000-0005-0000-0000-000039790000}"/>
    <cellStyle name="集計 5 11" xfId="17856" xr:uid="{00000000-0005-0000-0000-00003A790000}"/>
    <cellStyle name="集計 5 11 2" xfId="22816" xr:uid="{00000000-0005-0000-0000-00003B790000}"/>
    <cellStyle name="集計 5 12" xfId="22814" xr:uid="{00000000-0005-0000-0000-00003C790000}"/>
    <cellStyle name="集計 5 13" xfId="24524" xr:uid="{00000000-0005-0000-0000-00003D790000}"/>
    <cellStyle name="集計 5 2" xfId="17857" xr:uid="{00000000-0005-0000-0000-00003E790000}"/>
    <cellStyle name="集計 5 2 2" xfId="22817" xr:uid="{00000000-0005-0000-0000-00003F790000}"/>
    <cellStyle name="集計 5 3" xfId="17858" xr:uid="{00000000-0005-0000-0000-000040790000}"/>
    <cellStyle name="集計 5 3 2" xfId="22818" xr:uid="{00000000-0005-0000-0000-000041790000}"/>
    <cellStyle name="集計 5 4" xfId="17859" xr:uid="{00000000-0005-0000-0000-000042790000}"/>
    <cellStyle name="集計 5 4 2" xfId="22819" xr:uid="{00000000-0005-0000-0000-000043790000}"/>
    <cellStyle name="集計 5 5" xfId="17860" xr:uid="{00000000-0005-0000-0000-000044790000}"/>
    <cellStyle name="集計 5 5 2" xfId="22820" xr:uid="{00000000-0005-0000-0000-000045790000}"/>
    <cellStyle name="集計 5 6" xfId="17861" xr:uid="{00000000-0005-0000-0000-000046790000}"/>
    <cellStyle name="集計 5 6 2" xfId="22821" xr:uid="{00000000-0005-0000-0000-000047790000}"/>
    <cellStyle name="集計 5 7" xfId="17862" xr:uid="{00000000-0005-0000-0000-000048790000}"/>
    <cellStyle name="集計 5 7 2" xfId="22822" xr:uid="{00000000-0005-0000-0000-000049790000}"/>
    <cellStyle name="集計 5 8" xfId="17863" xr:uid="{00000000-0005-0000-0000-00004A790000}"/>
    <cellStyle name="集計 5 8 2" xfId="22823" xr:uid="{00000000-0005-0000-0000-00004B790000}"/>
    <cellStyle name="集計 5 9" xfId="17864" xr:uid="{00000000-0005-0000-0000-00004C790000}"/>
    <cellStyle name="集計 5 9 2" xfId="22824" xr:uid="{00000000-0005-0000-0000-00004D790000}"/>
    <cellStyle name="集計 6" xfId="17865" xr:uid="{00000000-0005-0000-0000-00004E790000}"/>
    <cellStyle name="集計 6 10" xfId="17866" xr:uid="{00000000-0005-0000-0000-00004F790000}"/>
    <cellStyle name="集計 6 10 2" xfId="22826" xr:uid="{00000000-0005-0000-0000-000050790000}"/>
    <cellStyle name="集計 6 11" xfId="17867" xr:uid="{00000000-0005-0000-0000-000051790000}"/>
    <cellStyle name="集計 6 11 2" xfId="22827" xr:uid="{00000000-0005-0000-0000-000052790000}"/>
    <cellStyle name="集計 6 12" xfId="22825" xr:uid="{00000000-0005-0000-0000-000053790000}"/>
    <cellStyle name="集計 6 2" xfId="17868" xr:uid="{00000000-0005-0000-0000-000054790000}"/>
    <cellStyle name="集計 6 2 2" xfId="22828" xr:uid="{00000000-0005-0000-0000-000055790000}"/>
    <cellStyle name="集計 6 3" xfId="17869" xr:uid="{00000000-0005-0000-0000-000056790000}"/>
    <cellStyle name="集計 6 3 2" xfId="22829" xr:uid="{00000000-0005-0000-0000-000057790000}"/>
    <cellStyle name="集計 6 4" xfId="17870" xr:uid="{00000000-0005-0000-0000-000058790000}"/>
    <cellStyle name="集計 6 4 2" xfId="22830" xr:uid="{00000000-0005-0000-0000-000059790000}"/>
    <cellStyle name="集計 6 5" xfId="17871" xr:uid="{00000000-0005-0000-0000-00005A790000}"/>
    <cellStyle name="集計 6 5 2" xfId="22831" xr:uid="{00000000-0005-0000-0000-00005B790000}"/>
    <cellStyle name="集計 6 6" xfId="17872" xr:uid="{00000000-0005-0000-0000-00005C790000}"/>
    <cellStyle name="集計 6 6 2" xfId="22832" xr:uid="{00000000-0005-0000-0000-00005D790000}"/>
    <cellStyle name="集計 6 7" xfId="17873" xr:uid="{00000000-0005-0000-0000-00005E790000}"/>
    <cellStyle name="集計 6 7 2" xfId="22833" xr:uid="{00000000-0005-0000-0000-00005F790000}"/>
    <cellStyle name="集計 6 8" xfId="17874" xr:uid="{00000000-0005-0000-0000-000060790000}"/>
    <cellStyle name="集計 6 8 2" xfId="22834" xr:uid="{00000000-0005-0000-0000-000061790000}"/>
    <cellStyle name="集計 6 9" xfId="17875" xr:uid="{00000000-0005-0000-0000-000062790000}"/>
    <cellStyle name="集計 6 9 2" xfId="22835" xr:uid="{00000000-0005-0000-0000-000063790000}"/>
    <cellStyle name="集計 7" xfId="17876" xr:uid="{00000000-0005-0000-0000-000064790000}"/>
    <cellStyle name="集計 7 10" xfId="17877" xr:uid="{00000000-0005-0000-0000-000065790000}"/>
    <cellStyle name="集計 7 10 2" xfId="22837" xr:uid="{00000000-0005-0000-0000-000066790000}"/>
    <cellStyle name="集計 7 11" xfId="17878" xr:uid="{00000000-0005-0000-0000-000067790000}"/>
    <cellStyle name="集計 7 11 2" xfId="22838" xr:uid="{00000000-0005-0000-0000-000068790000}"/>
    <cellStyle name="集計 7 12" xfId="22836" xr:uid="{00000000-0005-0000-0000-000069790000}"/>
    <cellStyle name="集計 7 2" xfId="17879" xr:uid="{00000000-0005-0000-0000-00006A790000}"/>
    <cellStyle name="集計 7 2 2" xfId="22839" xr:uid="{00000000-0005-0000-0000-00006B790000}"/>
    <cellStyle name="集計 7 3" xfId="17880" xr:uid="{00000000-0005-0000-0000-00006C790000}"/>
    <cellStyle name="集計 7 3 2" xfId="22840" xr:uid="{00000000-0005-0000-0000-00006D790000}"/>
    <cellStyle name="集計 7 4" xfId="17881" xr:uid="{00000000-0005-0000-0000-00006E790000}"/>
    <cellStyle name="集計 7 4 2" xfId="22841" xr:uid="{00000000-0005-0000-0000-00006F790000}"/>
    <cellStyle name="集計 7 5" xfId="17882" xr:uid="{00000000-0005-0000-0000-000070790000}"/>
    <cellStyle name="集計 7 5 2" xfId="22842" xr:uid="{00000000-0005-0000-0000-000071790000}"/>
    <cellStyle name="集計 7 6" xfId="17883" xr:uid="{00000000-0005-0000-0000-000072790000}"/>
    <cellStyle name="集計 7 6 2" xfId="22843" xr:uid="{00000000-0005-0000-0000-000073790000}"/>
    <cellStyle name="集計 7 7" xfId="17884" xr:uid="{00000000-0005-0000-0000-000074790000}"/>
    <cellStyle name="集計 7 7 2" xfId="22844" xr:uid="{00000000-0005-0000-0000-000075790000}"/>
    <cellStyle name="集計 7 8" xfId="17885" xr:uid="{00000000-0005-0000-0000-000076790000}"/>
    <cellStyle name="集計 7 8 2" xfId="22845" xr:uid="{00000000-0005-0000-0000-000077790000}"/>
    <cellStyle name="集計 7 9" xfId="17886" xr:uid="{00000000-0005-0000-0000-000078790000}"/>
    <cellStyle name="集計 7 9 2" xfId="22846" xr:uid="{00000000-0005-0000-0000-000079790000}"/>
    <cellStyle name="集計 8" xfId="17887" xr:uid="{00000000-0005-0000-0000-00007A790000}"/>
    <cellStyle name="集計 8 2" xfId="22847" xr:uid="{00000000-0005-0000-0000-00007B790000}"/>
    <cellStyle name="集計 9" xfId="17888" xr:uid="{00000000-0005-0000-0000-00007C790000}"/>
    <cellStyle name="集計 9 2" xfId="22848" xr:uid="{00000000-0005-0000-0000-00007D790000}"/>
  </cellStyles>
  <dxfs count="421">
    <dxf>
      <fill>
        <patternFill>
          <bgColor theme="6" tint="0.79998168889431442"/>
        </patternFill>
      </fill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ill>
        <patternFill>
          <bgColor rgb="FF66FF33"/>
        </patternFill>
      </fill>
    </dxf>
    <dxf>
      <fill>
        <patternFill>
          <bgColor theme="8" tint="0.39994506668294322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strike val="0"/>
        <condense val="0"/>
        <extend val="0"/>
        <color indexed="10"/>
      </font>
    </dxf>
    <dxf>
      <fill>
        <patternFill>
          <bgColor indexed="2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fgColor rgb="FFFF0000"/>
        </patternFill>
      </fill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D1B03"/>
      </font>
    </dxf>
    <dxf>
      <font>
        <color rgb="FFFF0000"/>
      </font>
    </dxf>
    <dxf>
      <font>
        <color rgb="FFFD1B03"/>
      </font>
    </dxf>
    <dxf>
      <font>
        <color rgb="FFFD1B03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fgColor rgb="FFFF0000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ndense val="0"/>
        <extend val="0"/>
        <color indexed="10"/>
      </font>
    </dxf>
    <dxf>
      <fill>
        <patternFill>
          <bgColor theme="4" tint="0.59996337778862885"/>
        </patternFill>
      </fill>
    </dxf>
    <dxf>
      <fill>
        <patternFill patternType="darkDown">
          <fgColor theme="4"/>
          <bgColor auto="1"/>
        </patternFill>
      </fill>
    </dxf>
    <dxf>
      <fill>
        <patternFill patternType="darkUp">
          <fgColor theme="7"/>
          <bgColor auto="1"/>
        </patternFill>
      </fill>
    </dxf>
    <dxf>
      <fill>
        <patternFill>
          <bgColor rgb="FFD22630"/>
        </patternFill>
      </fill>
    </dxf>
    <dxf>
      <fill>
        <patternFill>
          <bgColor rgb="FF00778B"/>
        </patternFill>
      </fill>
    </dxf>
    <dxf>
      <fill>
        <patternFill patternType="darkDown">
          <fgColor theme="4"/>
          <bgColor auto="1"/>
        </patternFill>
      </fill>
    </dxf>
    <dxf>
      <fill>
        <patternFill patternType="darkUp">
          <fgColor theme="7"/>
          <bgColor auto="1"/>
        </patternFill>
      </fill>
    </dxf>
    <dxf>
      <fill>
        <patternFill>
          <bgColor rgb="FFD22630"/>
        </patternFill>
      </fill>
    </dxf>
    <dxf>
      <fill>
        <patternFill>
          <bgColor rgb="FF00778B"/>
        </patternFill>
      </fill>
    </dxf>
    <dxf>
      <fill>
        <patternFill patternType="darkUp">
          <fgColor theme="7"/>
          <bgColor auto="1"/>
        </patternFill>
      </fill>
    </dxf>
    <dxf>
      <fill>
        <patternFill patternType="darkDown">
          <fgColor theme="4"/>
          <bgColor auto="1"/>
        </patternFill>
      </fill>
    </dxf>
    <dxf>
      <fill>
        <patternFill>
          <bgColor rgb="FFD22630"/>
        </patternFill>
      </fill>
    </dxf>
    <dxf>
      <fill>
        <patternFill>
          <bgColor rgb="FF00778B"/>
        </patternFill>
      </fill>
    </dxf>
    <dxf>
      <fill>
        <patternFill patternType="darkUp">
          <fgColor theme="7"/>
          <bgColor auto="1"/>
        </patternFill>
      </fill>
    </dxf>
    <dxf>
      <fill>
        <patternFill patternType="darkDown">
          <fgColor theme="4"/>
          <bgColor auto="1"/>
        </patternFill>
      </fill>
    </dxf>
    <dxf>
      <fill>
        <patternFill>
          <bgColor rgb="FFD22630"/>
        </patternFill>
      </fill>
    </dxf>
    <dxf>
      <fill>
        <patternFill>
          <bgColor rgb="FF00778B"/>
        </patternFill>
      </fill>
    </dxf>
    <dxf>
      <fill>
        <patternFill>
          <bgColor rgb="FFD22630"/>
        </patternFill>
      </fill>
    </dxf>
    <dxf>
      <fill>
        <patternFill>
          <bgColor rgb="FF00778B"/>
        </patternFill>
      </fill>
    </dxf>
    <dxf>
      <fill>
        <patternFill patternType="darkDown">
          <fgColor theme="4"/>
          <bgColor auto="1"/>
        </patternFill>
      </fill>
    </dxf>
    <dxf>
      <fill>
        <patternFill patternType="darkUp">
          <fgColor theme="7"/>
          <bgColor auto="1"/>
        </patternFill>
      </fill>
    </dxf>
    <dxf>
      <fill>
        <patternFill>
          <bgColor rgb="FFD22630"/>
        </patternFill>
      </fill>
    </dxf>
    <dxf>
      <fill>
        <patternFill>
          <bgColor rgb="FF00778B"/>
        </patternFill>
      </fill>
    </dxf>
    <dxf>
      <fill>
        <patternFill patternType="darkDown">
          <fgColor theme="4"/>
        </patternFill>
      </fill>
    </dxf>
    <dxf>
      <fill>
        <patternFill patternType="darkUp">
          <fgColor theme="7"/>
        </patternFill>
      </fill>
    </dxf>
    <dxf>
      <fill>
        <patternFill>
          <bgColor rgb="FFD22630"/>
        </patternFill>
      </fill>
    </dxf>
    <dxf>
      <fill>
        <patternFill>
          <bgColor rgb="FF00778B"/>
        </patternFill>
      </fill>
    </dxf>
    <dxf>
      <fill>
        <patternFill patternType="darkDown">
          <fgColor theme="4"/>
        </patternFill>
      </fill>
    </dxf>
    <dxf>
      <fill>
        <patternFill patternType="darkUp">
          <fgColor theme="7"/>
        </patternFill>
      </fill>
    </dxf>
    <dxf>
      <fill>
        <patternFill patternType="darkDown">
          <fgColor theme="4"/>
        </patternFill>
      </fill>
    </dxf>
    <dxf>
      <fill>
        <patternFill patternType="darkUp">
          <fgColor theme="7"/>
        </patternFill>
      </fill>
    </dxf>
    <dxf>
      <fill>
        <patternFill patternType="darkDown">
          <fgColor theme="4"/>
        </patternFill>
      </fill>
    </dxf>
    <dxf>
      <fill>
        <patternFill patternType="darkUp">
          <fgColor theme="7"/>
        </patternFill>
      </fill>
    </dxf>
    <dxf>
      <fill>
        <patternFill>
          <bgColor rgb="FFD22630"/>
        </patternFill>
      </fill>
    </dxf>
    <dxf>
      <fill>
        <patternFill>
          <bgColor rgb="FF00778B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 patternType="solid"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  <fill>
        <patternFill>
          <bgColor indexed="9"/>
        </patternFill>
      </fill>
    </dxf>
    <dxf>
      <font>
        <color rgb="FF9C0006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ill>
        <patternFill>
          <bgColor theme="6"/>
        </patternFill>
      </fill>
    </dxf>
    <dxf>
      <font>
        <b/>
        <i val="0"/>
        <condense val="0"/>
        <extend val="0"/>
        <color indexed="62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49"/>
        </patternFill>
      </fill>
      <border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color rgb="FFFF0000"/>
      </font>
    </dxf>
    <dxf>
      <font>
        <color rgb="FFFF0000"/>
      </font>
    </dxf>
    <dxf>
      <font>
        <color rgb="FFFD1B03"/>
      </font>
    </dxf>
    <dxf>
      <font>
        <color rgb="FFFF0000"/>
      </font>
      <fill>
        <patternFill>
          <fgColor rgb="FFFF0000"/>
        </patternFill>
      </fill>
    </dxf>
    <dxf>
      <font>
        <color auto="1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F0000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F0000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F0000"/>
      </font>
    </dxf>
    <dxf>
      <font>
        <color rgb="FFFD1B03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D1B03"/>
      </font>
    </dxf>
    <dxf>
      <font>
        <color rgb="FFFD1B03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D1B03"/>
      </font>
    </dxf>
    <dxf>
      <font>
        <color rgb="FFFF0000"/>
      </font>
    </dxf>
    <dxf>
      <font>
        <color rgb="FFFF0000"/>
      </font>
      <fill>
        <patternFill>
          <fgColor rgb="FFFF0000"/>
        </patternFill>
      </fill>
    </dxf>
    <dxf>
      <font>
        <color auto="1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F0000"/>
      </font>
    </dxf>
    <dxf>
      <font>
        <color rgb="FFFF0000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F0000"/>
      </font>
    </dxf>
    <dxf>
      <font>
        <color rgb="FFFF0000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FD1B03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mruColors>
      <color rgb="FF66FF33"/>
      <color rgb="FFFFFF00"/>
      <color rgb="FF00FF00"/>
      <color rgb="FFFFCCFF"/>
      <color rgb="FFFFCC00"/>
      <color rgb="FFFFFFFF"/>
      <color rgb="FFEFFEFF"/>
      <color rgb="FFE7FEFF"/>
      <color rgb="FFFFFFCC"/>
      <color rgb="FF2672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14.xml"/><Relationship Id="rId68" Type="http://schemas.openxmlformats.org/officeDocument/2006/relationships/externalLink" Target="externalLinks/externalLink1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externalLink" Target="externalLinks/externalLink4.xml"/><Relationship Id="rId58" Type="http://schemas.openxmlformats.org/officeDocument/2006/relationships/externalLink" Target="externalLinks/externalLink9.xml"/><Relationship Id="rId74" Type="http://schemas.openxmlformats.org/officeDocument/2006/relationships/styles" Target="styles.xml"/><Relationship Id="rId79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12.xml"/><Relationship Id="rId82" Type="http://schemas.openxmlformats.org/officeDocument/2006/relationships/customXml" Target="../customXml/item4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7.xml"/><Relationship Id="rId64" Type="http://schemas.openxmlformats.org/officeDocument/2006/relationships/externalLink" Target="externalLinks/externalLink15.xml"/><Relationship Id="rId69" Type="http://schemas.openxmlformats.org/officeDocument/2006/relationships/externalLink" Target="externalLinks/externalLink20.xml"/><Relationship Id="rId77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.xml"/><Relationship Id="rId72" Type="http://schemas.openxmlformats.org/officeDocument/2006/relationships/pivotCacheDefinition" Target="pivotCache/pivotCacheDefinition1.xml"/><Relationship Id="rId80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10.xml"/><Relationship Id="rId67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5.xml"/><Relationship Id="rId62" Type="http://schemas.openxmlformats.org/officeDocument/2006/relationships/externalLink" Target="externalLinks/externalLink13.xml"/><Relationship Id="rId70" Type="http://schemas.openxmlformats.org/officeDocument/2006/relationships/externalLink" Target="externalLinks/externalLink21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3.xml"/><Relationship Id="rId60" Type="http://schemas.openxmlformats.org/officeDocument/2006/relationships/externalLink" Target="externalLinks/externalLink11.xml"/><Relationship Id="rId65" Type="http://schemas.openxmlformats.org/officeDocument/2006/relationships/externalLink" Target="externalLinks/externalLink16.xml"/><Relationship Id="rId73" Type="http://schemas.openxmlformats.org/officeDocument/2006/relationships/theme" Target="theme/theme1.xml"/><Relationship Id="rId78" Type="http://schemas.openxmlformats.org/officeDocument/2006/relationships/calcChain" Target="calcChain.xml"/><Relationship Id="rId8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.xml"/><Relationship Id="rId55" Type="http://schemas.openxmlformats.org/officeDocument/2006/relationships/externalLink" Target="externalLinks/externalLink6.xml"/><Relationship Id="rId76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2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externalLink" Target="externalLinks/externalLink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27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28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29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Ex30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31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Ex32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Ex33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34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Ex35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Ex36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Ex37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Ex38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Ex39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Ex40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Ex41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Ex42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Ex43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Ex44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3382546506914269E-2"/>
          <c:y val="4.4897959183673466E-2"/>
          <c:w val="0.90573299890146686"/>
          <c:h val="0.75619668969950182"/>
        </c:manualLayout>
      </c:layout>
      <c:areaChart>
        <c:grouping val="stacked"/>
        <c:varyColors val="0"/>
        <c:ser>
          <c:idx val="2"/>
          <c:order val="2"/>
          <c:tx>
            <c:strRef>
              <c:f>graf!$F$26</c:f>
              <c:strCache>
                <c:ptCount val="1"/>
                <c:pt idx="0">
                  <c:v>Stock pile, TMS Ac.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graf!$D$29:$D$59</c:f>
              <c:numCache>
                <c:formatCode>[$-C0A]d\-mmm\-yy;@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  <c:pt idx="30">
                  <c:v>46112.791666666664</c:v>
                </c:pt>
              </c:numCache>
            </c:numRef>
          </c:cat>
          <c:val>
            <c:numRef>
              <c:f>graf!$F$29:$F$59</c:f>
              <c:numCache>
                <c:formatCode>#,##0</c:formatCode>
                <c:ptCount val="31"/>
                <c:pt idx="0">
                  <c:v>681.32142959999987</c:v>
                </c:pt>
                <c:pt idx="1">
                  <c:v>641.09303720000003</c:v>
                </c:pt>
                <c:pt idx="2">
                  <c:v>672.52956119999999</c:v>
                </c:pt>
                <c:pt idx="3">
                  <c:v>646.13538919999996</c:v>
                </c:pt>
                <c:pt idx="4">
                  <c:v>675.77679680000006</c:v>
                </c:pt>
                <c:pt idx="5">
                  <c:v>699.37617680000005</c:v>
                </c:pt>
                <c:pt idx="6">
                  <c:v>711.98205680000001</c:v>
                </c:pt>
                <c:pt idx="7">
                  <c:v>727.61627959999998</c:v>
                </c:pt>
                <c:pt idx="8">
                  <c:v>725.80845959999999</c:v>
                </c:pt>
                <c:pt idx="9">
                  <c:v>641.42626240000004</c:v>
                </c:pt>
                <c:pt idx="10">
                  <c:v>507.40132799999998</c:v>
                </c:pt>
                <c:pt idx="11">
                  <c:v>486.20879159999998</c:v>
                </c:pt>
                <c:pt idx="12">
                  <c:v>494.54919360000002</c:v>
                </c:pt>
                <c:pt idx="13">
                  <c:v>455.0077728</c:v>
                </c:pt>
                <c:pt idx="14">
                  <c:v>424.10479999999995</c:v>
                </c:pt>
                <c:pt idx="15">
                  <c:v>495.05733759999998</c:v>
                </c:pt>
                <c:pt idx="16">
                  <c:v>485.33419759999998</c:v>
                </c:pt>
                <c:pt idx="17">
                  <c:v>530.93419759999995</c:v>
                </c:pt>
                <c:pt idx="18">
                  <c:v>546.28300442479201</c:v>
                </c:pt>
                <c:pt idx="19">
                  <c:v>581.21719080530181</c:v>
                </c:pt>
                <c:pt idx="20">
                  <c:v>557.99224570321326</c:v>
                </c:pt>
                <c:pt idx="21">
                  <c:v>590.7502476254341</c:v>
                </c:pt>
                <c:pt idx="22">
                  <c:v>632.93462686944054</c:v>
                </c:pt>
                <c:pt idx="23">
                  <c:v>612.13579909895589</c:v>
                </c:pt>
                <c:pt idx="24">
                  <c:v>655.01360114647616</c:v>
                </c:pt>
                <c:pt idx="25">
                  <c:v>682.93561230351315</c:v>
                </c:pt>
                <c:pt idx="26">
                  <c:v>717.42501558636718</c:v>
                </c:pt>
                <c:pt idx="27">
                  <c:v>691.17509021232979</c:v>
                </c:pt>
                <c:pt idx="28">
                  <c:v>720.00578911096261</c:v>
                </c:pt>
                <c:pt idx="29">
                  <c:v>757.02323163522465</c:v>
                </c:pt>
                <c:pt idx="30">
                  <c:v>720.64663057864789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11-4035-AF62-F8CB3E15B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039376"/>
        <c:axId val="1978038896"/>
      </c:areaChart>
      <c:lineChart>
        <c:grouping val="standard"/>
        <c:varyColors val="0"/>
        <c:ser>
          <c:idx val="0"/>
          <c:order val="0"/>
          <c:tx>
            <c:strRef>
              <c:f>graf!$E$26</c:f>
              <c:strCache>
                <c:ptCount val="1"/>
                <c:pt idx="0">
                  <c:v>STMG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graf!$D$29:$D$59</c:f>
              <c:numCache>
                <c:formatCode>[$-C0A]d\-mmm\-yy;@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  <c:pt idx="30">
                  <c:v>46112.791666666664</c:v>
                </c:pt>
              </c:numCache>
            </c:numRef>
          </c:cat>
          <c:val>
            <c:numRef>
              <c:f>graf!$E$29:$E$59</c:f>
              <c:numCache>
                <c:formatCode>#,##0</c:formatCode>
                <c:ptCount val="31"/>
                <c:pt idx="0">
                  <c:v>178.58427719999997</c:v>
                </c:pt>
                <c:pt idx="1">
                  <c:v>131.18714559999998</c:v>
                </c:pt>
                <c:pt idx="2">
                  <c:v>217.13383999999999</c:v>
                </c:pt>
                <c:pt idx="3">
                  <c:v>132.73307600000001</c:v>
                </c:pt>
                <c:pt idx="4">
                  <c:v>194.21850000000001</c:v>
                </c:pt>
                <c:pt idx="5">
                  <c:v>176.98069199999998</c:v>
                </c:pt>
                <c:pt idx="6">
                  <c:v>159.28360000000001</c:v>
                </c:pt>
                <c:pt idx="7">
                  <c:v>184.59307999999999</c:v>
                </c:pt>
                <c:pt idx="8">
                  <c:v>206.345552</c:v>
                </c:pt>
                <c:pt idx="9">
                  <c:v>93.058755999999988</c:v>
                </c:pt>
                <c:pt idx="10">
                  <c:v>47.366838399999999</c:v>
                </c:pt>
                <c:pt idx="11">
                  <c:v>164.0239972</c:v>
                </c:pt>
                <c:pt idx="12">
                  <c:v>207.29929919999998</c:v>
                </c:pt>
                <c:pt idx="13">
                  <c:v>151.40248199999999</c:v>
                </c:pt>
                <c:pt idx="14">
                  <c:v>199.24912560000001</c:v>
                </c:pt>
                <c:pt idx="15">
                  <c:v>242.80195239999998</c:v>
                </c:pt>
                <c:pt idx="16">
                  <c:v>190.2940648</c:v>
                </c:pt>
                <c:pt idx="17">
                  <c:v>230</c:v>
                </c:pt>
                <c:pt idx="18">
                  <c:v>216.00004453185281</c:v>
                </c:pt>
                <c:pt idx="19">
                  <c:v>239.76996</c:v>
                </c:pt>
                <c:pt idx="20">
                  <c:v>179.50796</c:v>
                </c:pt>
                <c:pt idx="21">
                  <c:v>240.392</c:v>
                </c:pt>
                <c:pt idx="22">
                  <c:v>239.55208000000002</c:v>
                </c:pt>
                <c:pt idx="23">
                  <c:v>179.56956</c:v>
                </c:pt>
                <c:pt idx="24">
                  <c:v>240.17299640000002</c:v>
                </c:pt>
                <c:pt idx="25">
                  <c:v>222.11904000000001</c:v>
                </c:pt>
                <c:pt idx="26">
                  <c:v>238.00000000006926</c:v>
                </c:pt>
                <c:pt idx="27">
                  <c:v>180.00000000042226</c:v>
                </c:pt>
                <c:pt idx="28">
                  <c:v>237.99999999993707</c:v>
                </c:pt>
                <c:pt idx="29">
                  <c:v>238.00000000004738</c:v>
                </c:pt>
                <c:pt idx="30">
                  <c:v>269.99999999969492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11-4035-AF62-F8CB3E15BFC7}"/>
            </c:ext>
          </c:extLst>
        </c:ser>
        <c:ser>
          <c:idx val="1"/>
          <c:order val="1"/>
          <c:tx>
            <c:strRef>
              <c:f>graf!$G$26</c:f>
              <c:strCache>
                <c:ptCount val="1"/>
                <c:pt idx="0">
                  <c:v>TTO Planta, TMSD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graf!$D$29:$D$59</c:f>
              <c:numCache>
                <c:formatCode>[$-C0A]d\-mmm\-yy;@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  <c:pt idx="30">
                  <c:v>46112.791666666664</c:v>
                </c:pt>
              </c:numCache>
            </c:numRef>
          </c:cat>
          <c:val>
            <c:numRef>
              <c:f>graf!$G$29:$G$59</c:f>
              <c:numCache>
                <c:formatCode>#,##0</c:formatCode>
                <c:ptCount val="31"/>
                <c:pt idx="0">
                  <c:v>98.057835933685311</c:v>
                </c:pt>
                <c:pt idx="1">
                  <c:v>170.43689745330809</c:v>
                </c:pt>
                <c:pt idx="2">
                  <c:v>158.18681954193116</c:v>
                </c:pt>
                <c:pt idx="3">
                  <c:v>156.04744256210327</c:v>
                </c:pt>
                <c:pt idx="4">
                  <c:v>164.03884960937501</c:v>
                </c:pt>
                <c:pt idx="5">
                  <c:v>152.87849609374999</c:v>
                </c:pt>
                <c:pt idx="6">
                  <c:v>146.19826675415038</c:v>
                </c:pt>
                <c:pt idx="7">
                  <c:v>168.40505169918063</c:v>
                </c:pt>
                <c:pt idx="8">
                  <c:v>178.66144506835937</c:v>
                </c:pt>
                <c:pt idx="9">
                  <c:v>176.85918457031249</c:v>
                </c:pt>
                <c:pt idx="10">
                  <c:v>180.79911523437499</c:v>
                </c:pt>
                <c:pt idx="11">
                  <c:v>184.08918730926513</c:v>
                </c:pt>
                <c:pt idx="12">
                  <c:v>198.00122031784056</c:v>
                </c:pt>
                <c:pt idx="13">
                  <c:v>188.41649098777771</c:v>
                </c:pt>
                <c:pt idx="14">
                  <c:v>196.43252658081056</c:v>
                </c:pt>
                <c:pt idx="15">
                  <c:v>202.87456951904298</c:v>
                </c:pt>
                <c:pt idx="16">
                  <c:v>198.69643357086181</c:v>
                </c:pt>
                <c:pt idx="17">
                  <c:v>184.4</c:v>
                </c:pt>
                <c:pt idx="18">
                  <c:v>200.65123770706072</c:v>
                </c:pt>
                <c:pt idx="19">
                  <c:v>204.8357736194902</c:v>
                </c:pt>
                <c:pt idx="20">
                  <c:v>202.73290510208849</c:v>
                </c:pt>
                <c:pt idx="21">
                  <c:v>207.63399807777913</c:v>
                </c:pt>
                <c:pt idx="22">
                  <c:v>197.36770075599367</c:v>
                </c:pt>
                <c:pt idx="23">
                  <c:v>200.36838777048467</c:v>
                </c:pt>
                <c:pt idx="24">
                  <c:v>197.29519435247991</c:v>
                </c:pt>
                <c:pt idx="25">
                  <c:v>194.19702884296299</c:v>
                </c:pt>
                <c:pt idx="26">
                  <c:v>203.51059671721515</c:v>
                </c:pt>
                <c:pt idx="27">
                  <c:v>206.24992537445974</c:v>
                </c:pt>
                <c:pt idx="28">
                  <c:v>209.1693011013042</c:v>
                </c:pt>
                <c:pt idx="29">
                  <c:v>200.98255747578534</c:v>
                </c:pt>
                <c:pt idx="30">
                  <c:v>306.37660105627168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11-4035-AF62-F8CB3E15B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8022096"/>
        <c:axId val="1978029776"/>
      </c:lineChart>
      <c:dateAx>
        <c:axId val="1978022096"/>
        <c:scaling>
          <c:orientation val="minMax"/>
        </c:scaling>
        <c:delete val="0"/>
        <c:axPos val="b"/>
        <c:numFmt formatCode="[$-C0A]d\-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78029776"/>
        <c:crosses val="autoZero"/>
        <c:auto val="1"/>
        <c:lblOffset val="100"/>
        <c:baseTimeUnit val="days"/>
      </c:dateAx>
      <c:valAx>
        <c:axId val="1978029776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TMSD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78022096"/>
        <c:crosses val="autoZero"/>
        <c:crossBetween val="between"/>
      </c:valAx>
      <c:valAx>
        <c:axId val="1978038896"/>
        <c:scaling>
          <c:orientation val="minMax"/>
          <c:max val="1500"/>
          <c:min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Kton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78039376"/>
        <c:crosses val="max"/>
        <c:crossBetween val="between"/>
      </c:valAx>
      <c:dateAx>
        <c:axId val="1978039376"/>
        <c:scaling>
          <c:orientation val="minMax"/>
        </c:scaling>
        <c:delete val="1"/>
        <c:axPos val="b"/>
        <c:numFmt formatCode="[$-C0A]d\-mmm\-yy;@" sourceLinked="1"/>
        <c:majorTickMark val="out"/>
        <c:minorTickMark val="none"/>
        <c:tickLblPos val="nextTo"/>
        <c:crossAx val="1978038896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2685135530768623"/>
          <c:y val="2.1172746263859871E-2"/>
          <c:w val="0.41367871497717912"/>
          <c:h val="7.1940221757994527E-2"/>
        </c:manualLayout>
      </c:layout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3382546506914269E-2"/>
          <c:y val="4.4897959183673466E-2"/>
          <c:w val="0.90573299890146686"/>
          <c:h val="0.75619668969950182"/>
        </c:manualLayout>
      </c:layout>
      <c:areaChart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978039376"/>
        <c:axId val="1978038896"/>
        <c:extLst>
          <c:ext xmlns:c15="http://schemas.microsoft.com/office/drawing/2012/chart" uri="{02D57815-91ED-43cb-92C2-25804820EDAC}">
            <c15:filteredArea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graf!$J$27</c15:sqref>
                        </c15:formulaRef>
                      </c:ext>
                    </c:extLst>
                    <c:strCache>
                      <c:ptCount val="1"/>
                      <c:pt idx="0">
                        <c:v>Ley Cab.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graf!$D$29:$D$59</c15:sqref>
                        </c15:formulaRef>
                      </c:ext>
                    </c:extLst>
                    <c:numCache>
                      <c:formatCode>[$-C0A]d\-mmm\-yy;@</c:formatCode>
                      <c:ptCount val="31"/>
                      <c:pt idx="0">
                        <c:v>46082.791666666664</c:v>
                      </c:pt>
                      <c:pt idx="1">
                        <c:v>46083.791666666664</c:v>
                      </c:pt>
                      <c:pt idx="2">
                        <c:v>46084.791666666664</c:v>
                      </c:pt>
                      <c:pt idx="3">
                        <c:v>46085.791666666664</c:v>
                      </c:pt>
                      <c:pt idx="4">
                        <c:v>46086.791666666664</c:v>
                      </c:pt>
                      <c:pt idx="5">
                        <c:v>46087.791666666664</c:v>
                      </c:pt>
                      <c:pt idx="6">
                        <c:v>46088.791666666664</c:v>
                      </c:pt>
                      <c:pt idx="7">
                        <c:v>46089.791666666664</c:v>
                      </c:pt>
                      <c:pt idx="8">
                        <c:v>46090.791666666664</c:v>
                      </c:pt>
                      <c:pt idx="9">
                        <c:v>46091.791666666664</c:v>
                      </c:pt>
                      <c:pt idx="10">
                        <c:v>46092.791666666664</c:v>
                      </c:pt>
                      <c:pt idx="11">
                        <c:v>46093.791666666664</c:v>
                      </c:pt>
                      <c:pt idx="12">
                        <c:v>46094.791666666664</c:v>
                      </c:pt>
                      <c:pt idx="13">
                        <c:v>46095.791666666664</c:v>
                      </c:pt>
                      <c:pt idx="14">
                        <c:v>46096.791666666664</c:v>
                      </c:pt>
                      <c:pt idx="15">
                        <c:v>46097.791666666664</c:v>
                      </c:pt>
                      <c:pt idx="16">
                        <c:v>46098.791666666664</c:v>
                      </c:pt>
                      <c:pt idx="17">
                        <c:v>46099.791666666664</c:v>
                      </c:pt>
                      <c:pt idx="18">
                        <c:v>46100.791666666664</c:v>
                      </c:pt>
                      <c:pt idx="19">
                        <c:v>46101.791666666664</c:v>
                      </c:pt>
                      <c:pt idx="20">
                        <c:v>46102.791666666664</c:v>
                      </c:pt>
                      <c:pt idx="21">
                        <c:v>46103.791666666664</c:v>
                      </c:pt>
                      <c:pt idx="22">
                        <c:v>46104.791666666664</c:v>
                      </c:pt>
                      <c:pt idx="23">
                        <c:v>46105.791666666664</c:v>
                      </c:pt>
                      <c:pt idx="24">
                        <c:v>46106.791666666664</c:v>
                      </c:pt>
                      <c:pt idx="25">
                        <c:v>46107.791666666664</c:v>
                      </c:pt>
                      <c:pt idx="26">
                        <c:v>46108.791666666664</c:v>
                      </c:pt>
                      <c:pt idx="27">
                        <c:v>46109.791666666664</c:v>
                      </c:pt>
                      <c:pt idx="28">
                        <c:v>46110.791666666664</c:v>
                      </c:pt>
                      <c:pt idx="29">
                        <c:v>46111.791666666664</c:v>
                      </c:pt>
                      <c:pt idx="30">
                        <c:v>46112.791666666664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graf!$J$29:$J$59</c15:sqref>
                        </c15:formulaRef>
                      </c:ext>
                    </c:extLst>
                    <c:numCache>
                      <c:formatCode>#,##0.00</c:formatCode>
                      <c:ptCount val="31"/>
                      <c:pt idx="0">
                        <c:v>0.57768797734094401</c:v>
                      </c:pt>
                      <c:pt idx="1">
                        <c:v>0.55229968808243912</c:v>
                      </c:pt>
                      <c:pt idx="2">
                        <c:v>0.53249797248699349</c:v>
                      </c:pt>
                      <c:pt idx="3">
                        <c:v>0.50968564255413329</c:v>
                      </c:pt>
                      <c:pt idx="4">
                        <c:v>0.50356762584558978</c:v>
                      </c:pt>
                      <c:pt idx="5">
                        <c:v>0.48054678130049139</c:v>
                      </c:pt>
                      <c:pt idx="6">
                        <c:v>0.49060469501399878</c:v>
                      </c:pt>
                      <c:pt idx="7">
                        <c:v>0.45280785718900496</c:v>
                      </c:pt>
                      <c:pt idx="8">
                        <c:v>0.49214030023699734</c:v>
                      </c:pt>
                      <c:pt idx="9">
                        <c:v>0.46573363589994649</c:v>
                      </c:pt>
                      <c:pt idx="10">
                        <c:v>0.47658156517142597</c:v>
                      </c:pt>
                      <c:pt idx="11">
                        <c:v>0.50065835137126502</c:v>
                      </c:pt>
                      <c:pt idx="12">
                        <c:v>0.46982106798898832</c:v>
                      </c:pt>
                      <c:pt idx="13">
                        <c:v>0.44887259686871089</c:v>
                      </c:pt>
                      <c:pt idx="14">
                        <c:v>0.50152470580131181</c:v>
                      </c:pt>
                      <c:pt idx="15">
                        <c:v>0.467733572529271</c:v>
                      </c:pt>
                      <c:pt idx="16">
                        <c:v>0.47046577768558123</c:v>
                      </c:pt>
                      <c:pt idx="17">
                        <c:v>0.47</c:v>
                      </c:pt>
                      <c:pt idx="18">
                        <c:v>0.58705781676829161</c:v>
                      </c:pt>
                      <c:pt idx="19">
                        <c:v>0.54478257960254906</c:v>
                      </c:pt>
                      <c:pt idx="20">
                        <c:v>0.55017132477022201</c:v>
                      </c:pt>
                      <c:pt idx="21">
                        <c:v>0.55330404655728971</c:v>
                      </c:pt>
                      <c:pt idx="22">
                        <c:v>0.52512631140585386</c:v>
                      </c:pt>
                      <c:pt idx="23">
                        <c:v>0.50473815027446745</c:v>
                      </c:pt>
                      <c:pt idx="24">
                        <c:v>0.48892696357468995</c:v>
                      </c:pt>
                      <c:pt idx="25">
                        <c:v>0.52363529808160525</c:v>
                      </c:pt>
                      <c:pt idx="26">
                        <c:v>0.52870026226391142</c:v>
                      </c:pt>
                      <c:pt idx="27">
                        <c:v>0.60210373772341408</c:v>
                      </c:pt>
                      <c:pt idx="28">
                        <c:v>0.60253190135276002</c:v>
                      </c:pt>
                      <c:pt idx="29">
                        <c:v>0.58079430880381111</c:v>
                      </c:pt>
                      <c:pt idx="30">
                        <c:v>0.57187199432425428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01B-40E4-83D3-E16DC314A305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0"/>
          <c:order val="0"/>
          <c:tx>
            <c:strRef>
              <c:f>graf!$K$27</c:f>
              <c:strCache>
                <c:ptCount val="1"/>
                <c:pt idx="0">
                  <c:v>Recup.Cu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graf!$D$29:$D$59</c:f>
              <c:numCache>
                <c:formatCode>[$-C0A]d\-mmm\-yy;@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  <c:pt idx="30">
                  <c:v>46112.791666666664</c:v>
                </c:pt>
              </c:numCache>
            </c:numRef>
          </c:cat>
          <c:val>
            <c:numRef>
              <c:f>graf!$K$29:$K$59</c:f>
              <c:numCache>
                <c:formatCode>#,##0.00</c:formatCode>
                <c:ptCount val="31"/>
                <c:pt idx="0">
                  <c:v>91.162820073210312</c:v>
                </c:pt>
                <c:pt idx="1">
                  <c:v>92.159479170723415</c:v>
                </c:pt>
                <c:pt idx="2">
                  <c:v>91.369201831492987</c:v>
                </c:pt>
                <c:pt idx="3">
                  <c:v>89.989231510253532</c:v>
                </c:pt>
                <c:pt idx="4">
                  <c:v>89.948819597781579</c:v>
                </c:pt>
                <c:pt idx="5">
                  <c:v>90.812762789164807</c:v>
                </c:pt>
                <c:pt idx="6">
                  <c:v>91.995220066034463</c:v>
                </c:pt>
                <c:pt idx="7">
                  <c:v>89.265649751578508</c:v>
                </c:pt>
                <c:pt idx="8">
                  <c:v>90.683867345650697</c:v>
                </c:pt>
                <c:pt idx="9">
                  <c:v>90.647679773231701</c:v>
                </c:pt>
                <c:pt idx="10">
                  <c:v>90.386544993863694</c:v>
                </c:pt>
                <c:pt idx="11">
                  <c:v>89.649250320746972</c:v>
                </c:pt>
                <c:pt idx="12">
                  <c:v>91.021522591440998</c:v>
                </c:pt>
                <c:pt idx="13">
                  <c:v>91.060718516678335</c:v>
                </c:pt>
                <c:pt idx="14">
                  <c:v>89.632065303415771</c:v>
                </c:pt>
                <c:pt idx="15">
                  <c:v>90.447779795990385</c:v>
                </c:pt>
                <c:pt idx="16">
                  <c:v>90.617228026186297</c:v>
                </c:pt>
                <c:pt idx="17">
                  <c:v>92</c:v>
                </c:pt>
                <c:pt idx="18">
                  <c:v>90.033346680262596</c:v>
                </c:pt>
                <c:pt idx="19">
                  <c:v>89.850973458553213</c:v>
                </c:pt>
                <c:pt idx="20">
                  <c:v>90.224624853035252</c:v>
                </c:pt>
                <c:pt idx="21">
                  <c:v>89.406958992464013</c:v>
                </c:pt>
                <c:pt idx="22">
                  <c:v>89.808703657913071</c:v>
                </c:pt>
                <c:pt idx="23">
                  <c:v>90.300288436071995</c:v>
                </c:pt>
                <c:pt idx="24">
                  <c:v>90.184668922599528</c:v>
                </c:pt>
                <c:pt idx="25">
                  <c:v>90.579694000087017</c:v>
                </c:pt>
                <c:pt idx="26">
                  <c:v>89.465534775993731</c:v>
                </c:pt>
                <c:pt idx="27">
                  <c:v>88.872627606430385</c:v>
                </c:pt>
                <c:pt idx="28">
                  <c:v>90.12517923258855</c:v>
                </c:pt>
                <c:pt idx="29">
                  <c:v>90.917789823751221</c:v>
                </c:pt>
                <c:pt idx="30">
                  <c:v>91.042827998464162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1B-40E4-83D3-E16DC314A305}"/>
            </c:ext>
          </c:extLst>
        </c:ser>
        <c:ser>
          <c:idx val="1"/>
          <c:order val="1"/>
          <c:tx>
            <c:strRef>
              <c:f>graf!$L$27</c:f>
              <c:strCache>
                <c:ptCount val="1"/>
                <c:pt idx="0">
                  <c:v>Ley Conc.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graf!$D$29:$D$59</c:f>
              <c:numCache>
                <c:formatCode>[$-C0A]d\-mmm\-yy;@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  <c:pt idx="30">
                  <c:v>46112.791666666664</c:v>
                </c:pt>
              </c:numCache>
            </c:numRef>
          </c:cat>
          <c:val>
            <c:numRef>
              <c:f>graf!$L$29:$L$59</c:f>
              <c:numCache>
                <c:formatCode>#,##0.00</c:formatCode>
                <c:ptCount val="31"/>
                <c:pt idx="0">
                  <c:v>24.56</c:v>
                </c:pt>
                <c:pt idx="1">
                  <c:v>30.560018202104374</c:v>
                </c:pt>
                <c:pt idx="2">
                  <c:v>29.31537385710142</c:v>
                </c:pt>
                <c:pt idx="3">
                  <c:v>26.130492122859852</c:v>
                </c:pt>
                <c:pt idx="4">
                  <c:v>23.372671716380356</c:v>
                </c:pt>
                <c:pt idx="5">
                  <c:v>22.58546180713488</c:v>
                </c:pt>
                <c:pt idx="6">
                  <c:v>26.337203181109299</c:v>
                </c:pt>
                <c:pt idx="7">
                  <c:v>24.684469784139811</c:v>
                </c:pt>
                <c:pt idx="8">
                  <c:v>23.722167919491373</c:v>
                </c:pt>
                <c:pt idx="9">
                  <c:v>24.576180043199944</c:v>
                </c:pt>
                <c:pt idx="10">
                  <c:v>26.432665827081919</c:v>
                </c:pt>
                <c:pt idx="11">
                  <c:v>26.275214523599825</c:v>
                </c:pt>
                <c:pt idx="12">
                  <c:v>25.452571036761611</c:v>
                </c:pt>
                <c:pt idx="13">
                  <c:v>26.857676001075948</c:v>
                </c:pt>
                <c:pt idx="14">
                  <c:v>27.739082253931837</c:v>
                </c:pt>
                <c:pt idx="15">
                  <c:v>25.476195229938828</c:v>
                </c:pt>
                <c:pt idx="16">
                  <c:v>27.374828607405782</c:v>
                </c:pt>
                <c:pt idx="17">
                  <c:v>27.8</c:v>
                </c:pt>
                <c:pt idx="18">
                  <c:v>27.54155477405439</c:v>
                </c:pt>
                <c:pt idx="19">
                  <c:v>25.463830076813228</c:v>
                </c:pt>
                <c:pt idx="20">
                  <c:v>27.191767251601942</c:v>
                </c:pt>
                <c:pt idx="21">
                  <c:v>23.645726239500451</c:v>
                </c:pt>
                <c:pt idx="22">
                  <c:v>22.937398694023585</c:v>
                </c:pt>
                <c:pt idx="23">
                  <c:v>24.166962778076822</c:v>
                </c:pt>
                <c:pt idx="24">
                  <c:v>25.229869264557234</c:v>
                </c:pt>
                <c:pt idx="25">
                  <c:v>25.74568622905867</c:v>
                </c:pt>
                <c:pt idx="26">
                  <c:v>26.411054113784456</c:v>
                </c:pt>
                <c:pt idx="27">
                  <c:v>30.914583841702612</c:v>
                </c:pt>
                <c:pt idx="28">
                  <c:v>30.166707440864869</c:v>
                </c:pt>
                <c:pt idx="29">
                  <c:v>29.819750307075012</c:v>
                </c:pt>
                <c:pt idx="30">
                  <c:v>29.094089095777246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1B-40E4-83D3-E16DC314A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8022096"/>
        <c:axId val="1978029776"/>
      </c:lineChart>
      <c:dateAx>
        <c:axId val="1978022096"/>
        <c:scaling>
          <c:orientation val="minMax"/>
        </c:scaling>
        <c:delete val="0"/>
        <c:axPos val="b"/>
        <c:numFmt formatCode="[$-C0A]d\-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78029776"/>
        <c:crosses val="autoZero"/>
        <c:auto val="1"/>
        <c:lblOffset val="100"/>
        <c:baseTimeUnit val="days"/>
      </c:dateAx>
      <c:valAx>
        <c:axId val="197802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TMSD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78022096"/>
        <c:crosses val="autoZero"/>
        <c:crossBetween val="between"/>
      </c:valAx>
      <c:valAx>
        <c:axId val="19780388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Kton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78039376"/>
        <c:crosses val="max"/>
        <c:crossBetween val="between"/>
      </c:valAx>
      <c:catAx>
        <c:axId val="1978039376"/>
        <c:scaling>
          <c:orientation val="minMax"/>
        </c:scaling>
        <c:delete val="1"/>
        <c:axPos val="b"/>
        <c:numFmt formatCode="[$-C0A]d\-mmm\-yy;@" sourceLinked="1"/>
        <c:majorTickMark val="out"/>
        <c:minorTickMark val="none"/>
        <c:tickLblPos val="nextTo"/>
        <c:crossAx val="1978038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2685135530768623"/>
          <c:y val="2.1172746263859871E-2"/>
          <c:w val="0.41367871497717912"/>
          <c:h val="7.1940221757994527E-2"/>
        </c:manualLayout>
      </c:layout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'Recalculos ST'!$BN$8</c:f>
              <c:strCache>
                <c:ptCount val="1"/>
                <c:pt idx="0">
                  <c:v>Diferencia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'Recalculos ST'!$A$9:$A$38</c:f>
              <c:numCache>
                <c:formatCode>m/d/yyyy</c:formatCode>
                <c:ptCount val="30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</c:numCache>
            </c:numRef>
          </c:cat>
          <c:val>
            <c:numRef>
              <c:f>'Recalculos ST'!$BN$9:$BN$38</c:f>
              <c:numCache>
                <c:formatCode>0.00</c:formatCode>
                <c:ptCount val="30"/>
                <c:pt idx="0">
                  <c:v>-0.30801262255067119</c:v>
                </c:pt>
                <c:pt idx="1">
                  <c:v>-0.3224312954018238</c:v>
                </c:pt>
                <c:pt idx="2">
                  <c:v>-0.31147613704932287</c:v>
                </c:pt>
                <c:pt idx="3">
                  <c:v>-0.30508316814110437</c:v>
                </c:pt>
                <c:pt idx="4">
                  <c:v>-0.35829833227815389</c:v>
                </c:pt>
                <c:pt idx="5">
                  <c:v>-0.3727616349307854</c:v>
                </c:pt>
                <c:pt idx="6">
                  <c:v>-0.36800379431477648</c:v>
                </c:pt>
                <c:pt idx="7">
                  <c:v>-0.37938993381380337</c:v>
                </c:pt>
                <c:pt idx="8">
                  <c:v>-0.38923551197859263</c:v>
                </c:pt>
                <c:pt idx="9">
                  <c:v>-0.61058418665437486</c:v>
                </c:pt>
                <c:pt idx="10">
                  <c:v>-0.39317809851393104</c:v>
                </c:pt>
                <c:pt idx="11">
                  <c:v>-0.37711406153196192</c:v>
                </c:pt>
                <c:pt idx="12">
                  <c:v>-0.40915043877568991</c:v>
                </c:pt>
                <c:pt idx="13">
                  <c:v>-0.31466574154387761</c:v>
                </c:pt>
                <c:pt idx="14">
                  <c:v>-0.31823343759052847</c:v>
                </c:pt>
                <c:pt idx="15">
                  <c:v>-0.32907096347036724</c:v>
                </c:pt>
                <c:pt idx="16">
                  <c:v>-0.31931870083996872</c:v>
                </c:pt>
                <c:pt idx="17">
                  <c:v>-0.64950678626225988</c:v>
                </c:pt>
                <c:pt idx="18">
                  <c:v>-0.91546920396499587</c:v>
                </c:pt>
                <c:pt idx="19">
                  <c:v>-0.3976512945806765</c:v>
                </c:pt>
                <c:pt idx="20">
                  <c:v>-0.42898584439597531</c:v>
                </c:pt>
                <c:pt idx="21">
                  <c:v>-0.41717956315923477</c:v>
                </c:pt>
                <c:pt idx="22">
                  <c:v>-0.35409753739944083</c:v>
                </c:pt>
                <c:pt idx="23">
                  <c:v>-0.32676115434804265</c:v>
                </c:pt>
                <c:pt idx="24">
                  <c:v>-0.25601320868461652</c:v>
                </c:pt>
                <c:pt idx="25">
                  <c:v>-0.12791663206356585</c:v>
                </c:pt>
                <c:pt idx="26">
                  <c:v>-0.24933432434267644</c:v>
                </c:pt>
                <c:pt idx="27">
                  <c:v>-0.36979996394084669</c:v>
                </c:pt>
                <c:pt idx="28">
                  <c:v>-0.38300465153032004</c:v>
                </c:pt>
                <c:pt idx="29">
                  <c:v>-0.34991955431580823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80-4E93-B854-42B93B803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0758783"/>
        <c:axId val="1710751583"/>
      </c:barChart>
      <c:lineChart>
        <c:grouping val="standard"/>
        <c:varyColors val="0"/>
        <c:ser>
          <c:idx val="0"/>
          <c:order val="0"/>
          <c:tx>
            <c:strRef>
              <c:f>'Recalculos ST'!$BL$8</c:f>
              <c:strCache>
                <c:ptCount val="1"/>
                <c:pt idx="0">
                  <c:v>F80 Recalculado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'Recalculos ST'!$A$9:$A$38</c:f>
              <c:numCache>
                <c:formatCode>m/d/yyyy</c:formatCode>
                <c:ptCount val="30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</c:numCache>
            </c:numRef>
          </c:cat>
          <c:val>
            <c:numRef>
              <c:f>'Recalculos ST'!$BL$9:$BL$38</c:f>
              <c:numCache>
                <c:formatCode>0.00</c:formatCode>
                <c:ptCount val="30"/>
                <c:pt idx="0">
                  <c:v>4.3620638704608554</c:v>
                </c:pt>
                <c:pt idx="1">
                  <c:v>4.2904661351674251</c:v>
                </c:pt>
                <c:pt idx="2">
                  <c:v>4.382243459787448</c:v>
                </c:pt>
                <c:pt idx="3">
                  <c:v>4.3497833756289577</c:v>
                </c:pt>
                <c:pt idx="4">
                  <c:v>4.2831893945972972</c:v>
                </c:pt>
                <c:pt idx="5">
                  <c:v>4.1921385801908366</c:v>
                </c:pt>
                <c:pt idx="6">
                  <c:v>3.9116539447405976</c:v>
                </c:pt>
                <c:pt idx="7">
                  <c:v>3.9657877154601224</c:v>
                </c:pt>
                <c:pt idx="8">
                  <c:v>3.9065744520952101</c:v>
                </c:pt>
                <c:pt idx="9">
                  <c:v>4.3054566652213655</c:v>
                </c:pt>
                <c:pt idx="10">
                  <c:v>3.9881238137576656</c:v>
                </c:pt>
                <c:pt idx="11">
                  <c:v>3.8828335976657362</c:v>
                </c:pt>
                <c:pt idx="12">
                  <c:v>3.9894578588539171</c:v>
                </c:pt>
                <c:pt idx="13">
                  <c:v>4.3229710004386748</c:v>
                </c:pt>
                <c:pt idx="14">
                  <c:v>4.3634480186448128</c:v>
                </c:pt>
                <c:pt idx="15">
                  <c:v>4.3247615128562851</c:v>
                </c:pt>
                <c:pt idx="16">
                  <c:v>4.2992734589478818</c:v>
                </c:pt>
                <c:pt idx="17">
                  <c:v>4.3497652831422418</c:v>
                </c:pt>
                <c:pt idx="18">
                  <c:v>4.3674610798957367</c:v>
                </c:pt>
                <c:pt idx="19">
                  <c:v>4.3183355762180522</c:v>
                </c:pt>
                <c:pt idx="20">
                  <c:v>4.3184590964731928</c:v>
                </c:pt>
                <c:pt idx="21">
                  <c:v>4.3493738116910921</c:v>
                </c:pt>
                <c:pt idx="22">
                  <c:v>4.3775371759285386</c:v>
                </c:pt>
                <c:pt idx="23">
                  <c:v>4.2900576356295144</c:v>
                </c:pt>
                <c:pt idx="24">
                  <c:v>4.1703639949699189</c:v>
                </c:pt>
                <c:pt idx="25">
                  <c:v>3.9727736812415437</c:v>
                </c:pt>
                <c:pt idx="26">
                  <c:v>4.1634157910757033</c:v>
                </c:pt>
                <c:pt idx="27">
                  <c:v>4.0382898044277393</c:v>
                </c:pt>
                <c:pt idx="28">
                  <c:v>4.1654771605232419</c:v>
                </c:pt>
                <c:pt idx="29">
                  <c:v>4.2927391645460542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80-4E93-B854-42B93B8036E9}"/>
            </c:ext>
          </c:extLst>
        </c:ser>
        <c:ser>
          <c:idx val="1"/>
          <c:order val="1"/>
          <c:tx>
            <c:strRef>
              <c:f>'Recalculos ST'!$BM$8</c:f>
              <c:strCache>
                <c:ptCount val="1"/>
                <c:pt idx="0">
                  <c:v>F80 MCP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'Recalculos ST'!$A$9:$A$38</c:f>
              <c:numCache>
                <c:formatCode>m/d/yyyy</c:formatCode>
                <c:ptCount val="30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</c:numCache>
            </c:numRef>
          </c:cat>
          <c:val>
            <c:numRef>
              <c:f>'Recalculos ST'!$BM$9:$BM$38</c:f>
              <c:numCache>
                <c:formatCode>0.00</c:formatCode>
                <c:ptCount val="30"/>
                <c:pt idx="0">
                  <c:v>4.0540512479101842</c:v>
                </c:pt>
                <c:pt idx="1">
                  <c:v>3.9680348397656013</c:v>
                </c:pt>
                <c:pt idx="2">
                  <c:v>4.0707673227381251</c:v>
                </c:pt>
                <c:pt idx="3">
                  <c:v>4.0447002074878533</c:v>
                </c:pt>
                <c:pt idx="4">
                  <c:v>3.9248910623191433</c:v>
                </c:pt>
                <c:pt idx="5">
                  <c:v>3.8193769452600512</c:v>
                </c:pt>
                <c:pt idx="6">
                  <c:v>3.5436501504258211</c:v>
                </c:pt>
                <c:pt idx="7">
                  <c:v>3.5863977816463191</c:v>
                </c:pt>
                <c:pt idx="8">
                  <c:v>3.5173389401166175</c:v>
                </c:pt>
                <c:pt idx="9">
                  <c:v>3.6948724785669906</c:v>
                </c:pt>
                <c:pt idx="10">
                  <c:v>3.5949457152437345</c:v>
                </c:pt>
                <c:pt idx="11">
                  <c:v>3.5057195361337743</c:v>
                </c:pt>
                <c:pt idx="12">
                  <c:v>3.5803074200782272</c:v>
                </c:pt>
                <c:pt idx="13">
                  <c:v>4.0083052588947972</c:v>
                </c:pt>
                <c:pt idx="14">
                  <c:v>4.0452145810542843</c:v>
                </c:pt>
                <c:pt idx="15">
                  <c:v>3.9956905493859178</c:v>
                </c:pt>
                <c:pt idx="16">
                  <c:v>3.9799547581079131</c:v>
                </c:pt>
                <c:pt idx="17">
                  <c:v>3.7002584968799819</c:v>
                </c:pt>
                <c:pt idx="18">
                  <c:v>3.4519918759307409</c:v>
                </c:pt>
                <c:pt idx="19">
                  <c:v>3.9206842816373757</c:v>
                </c:pt>
                <c:pt idx="20">
                  <c:v>3.8894732520772175</c:v>
                </c:pt>
                <c:pt idx="21">
                  <c:v>3.9321942485318573</c:v>
                </c:pt>
                <c:pt idx="22">
                  <c:v>4.0234396385290978</c:v>
                </c:pt>
                <c:pt idx="23">
                  <c:v>3.9632964812814717</c:v>
                </c:pt>
                <c:pt idx="24">
                  <c:v>3.9143507862853024</c:v>
                </c:pt>
                <c:pt idx="25">
                  <c:v>3.8448570491779779</c:v>
                </c:pt>
                <c:pt idx="26">
                  <c:v>3.9140814667330268</c:v>
                </c:pt>
                <c:pt idx="27">
                  <c:v>3.6684898404868926</c:v>
                </c:pt>
                <c:pt idx="28">
                  <c:v>3.7824725089929219</c:v>
                </c:pt>
                <c:pt idx="29">
                  <c:v>3.942819610230246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80-4E93-B854-42B93B803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619056"/>
        <c:axId val="1907385839"/>
      </c:lineChart>
      <c:dateAx>
        <c:axId val="27961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07385839"/>
        <c:crosses val="autoZero"/>
        <c:auto val="1"/>
        <c:lblOffset val="100"/>
        <c:baseTimeUnit val="days"/>
      </c:dateAx>
      <c:valAx>
        <c:axId val="1907385839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79619056"/>
        <c:crosses val="autoZero"/>
        <c:crossBetween val="between"/>
      </c:valAx>
      <c:valAx>
        <c:axId val="1710751583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10758783"/>
        <c:crosses val="max"/>
        <c:crossBetween val="between"/>
      </c:valAx>
      <c:dateAx>
        <c:axId val="171075878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10751583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'Recalculos ST'!$BV$8</c:f>
              <c:strCache>
                <c:ptCount val="1"/>
                <c:pt idx="0">
                  <c:v>Diferencia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'Recalculos ST'!$A$9:$A$38</c:f>
              <c:numCache>
                <c:formatCode>m/d/yyyy</c:formatCode>
                <c:ptCount val="30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</c:numCache>
            </c:numRef>
          </c:cat>
          <c:val>
            <c:numRef>
              <c:f>'Recalculos ST'!$BV$9:$BV$38</c:f>
              <c:numCache>
                <c:formatCode>0.00</c:formatCode>
                <c:ptCount val="30"/>
                <c:pt idx="0">
                  <c:v>-0.95531005290072812</c:v>
                </c:pt>
                <c:pt idx="1">
                  <c:v>-0.8592220563188846</c:v>
                </c:pt>
                <c:pt idx="2">
                  <c:v>-0.8842513598091557</c:v>
                </c:pt>
                <c:pt idx="3">
                  <c:v>-0.84980619500431942</c:v>
                </c:pt>
                <c:pt idx="4">
                  <c:v>-0.79047987822583821</c:v>
                </c:pt>
                <c:pt idx="5">
                  <c:v>-0.68166390310335601</c:v>
                </c:pt>
                <c:pt idx="6">
                  <c:v>-0.60665895543809256</c:v>
                </c:pt>
                <c:pt idx="7">
                  <c:v>-0.74083822110631559</c:v>
                </c:pt>
                <c:pt idx="8">
                  <c:v>-0.80662810680122732</c:v>
                </c:pt>
                <c:pt idx="9">
                  <c:v>-1.0120629941338137</c:v>
                </c:pt>
                <c:pt idx="10">
                  <c:v>-0.67552920700788377</c:v>
                </c:pt>
                <c:pt idx="11">
                  <c:v>-0.73603986109141317</c:v>
                </c:pt>
                <c:pt idx="12">
                  <c:v>-0.92743046950221242</c:v>
                </c:pt>
                <c:pt idx="13">
                  <c:v>-0.8958491424230175</c:v>
                </c:pt>
                <c:pt idx="14">
                  <c:v>-1.0144750136805669</c:v>
                </c:pt>
                <c:pt idx="15">
                  <c:v>-0.93287393235601712</c:v>
                </c:pt>
                <c:pt idx="16">
                  <c:v>-0.7094062263458909</c:v>
                </c:pt>
                <c:pt idx="17">
                  <c:v>-0.80679835885490547</c:v>
                </c:pt>
                <c:pt idx="18">
                  <c:v>-0.76913446209258041</c:v>
                </c:pt>
                <c:pt idx="19">
                  <c:v>-0.78394570027717236</c:v>
                </c:pt>
                <c:pt idx="20">
                  <c:v>-0.96252988966742237</c:v>
                </c:pt>
                <c:pt idx="21">
                  <c:v>-0.85820907297825499</c:v>
                </c:pt>
                <c:pt idx="22">
                  <c:v>-1.0305629580158495</c:v>
                </c:pt>
                <c:pt idx="23">
                  <c:v>-1.0974289516675952</c:v>
                </c:pt>
                <c:pt idx="24">
                  <c:v>-0.12255009749232215</c:v>
                </c:pt>
                <c:pt idx="25">
                  <c:v>-0.44577883494541481</c:v>
                </c:pt>
                <c:pt idx="26">
                  <c:v>-0.88146628373736746</c:v>
                </c:pt>
                <c:pt idx="27">
                  <c:v>-0.94466318597402221</c:v>
                </c:pt>
                <c:pt idx="28">
                  <c:v>-1.1184394594088758</c:v>
                </c:pt>
                <c:pt idx="29">
                  <c:v>-0.78046923955710668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7-4488-9B4C-64D579077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0758783"/>
        <c:axId val="1710751583"/>
      </c:barChart>
      <c:lineChart>
        <c:grouping val="standard"/>
        <c:varyColors val="0"/>
        <c:ser>
          <c:idx val="0"/>
          <c:order val="0"/>
          <c:tx>
            <c:strRef>
              <c:f>'Recalculos ST'!$BT$8</c:f>
              <c:strCache>
                <c:ptCount val="1"/>
                <c:pt idx="0">
                  <c:v>RecCu Recalculado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'Recalculos ST'!$A$9:$A$38</c:f>
              <c:numCache>
                <c:formatCode>m/d/yyyy</c:formatCode>
                <c:ptCount val="30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</c:numCache>
            </c:numRef>
          </c:cat>
          <c:val>
            <c:numRef>
              <c:f>'Recalculos ST'!$BT$9:$BT$38</c:f>
              <c:numCache>
                <c:formatCode>0.00</c:formatCode>
                <c:ptCount val="30"/>
                <c:pt idx="0">
                  <c:v>90.762827037611601</c:v>
                </c:pt>
                <c:pt idx="1">
                  <c:v>90.240593071994596</c:v>
                </c:pt>
                <c:pt idx="2">
                  <c:v>90.559006569002406</c:v>
                </c:pt>
                <c:pt idx="3">
                  <c:v>90.508026236438837</c:v>
                </c:pt>
                <c:pt idx="4">
                  <c:v>89.704166198440987</c:v>
                </c:pt>
                <c:pt idx="5">
                  <c:v>89.955537453585777</c:v>
                </c:pt>
                <c:pt idx="6">
                  <c:v>89.532031455850074</c:v>
                </c:pt>
                <c:pt idx="7">
                  <c:v>89.207920876634489</c:v>
                </c:pt>
                <c:pt idx="8">
                  <c:v>89.165286058888498</c:v>
                </c:pt>
                <c:pt idx="9">
                  <c:v>90.130957181968171</c:v>
                </c:pt>
                <c:pt idx="10">
                  <c:v>89.567717301530564</c:v>
                </c:pt>
                <c:pt idx="11">
                  <c:v>89.124533892205761</c:v>
                </c:pt>
                <c:pt idx="12">
                  <c:v>89.31807597238199</c:v>
                </c:pt>
                <c:pt idx="13">
                  <c:v>90.461989942980779</c:v>
                </c:pt>
                <c:pt idx="14">
                  <c:v>90.460266518740809</c:v>
                </c:pt>
                <c:pt idx="15">
                  <c:v>91.464641420674241</c:v>
                </c:pt>
                <c:pt idx="16">
                  <c:v>90.39731411128011</c:v>
                </c:pt>
                <c:pt idx="17">
                  <c:v>90.626839648250055</c:v>
                </c:pt>
                <c:pt idx="18">
                  <c:v>90.293798824120913</c:v>
                </c:pt>
                <c:pt idx="19">
                  <c:v>90.326900611127144</c:v>
                </c:pt>
                <c:pt idx="20">
                  <c:v>90.657080408496142</c:v>
                </c:pt>
                <c:pt idx="21">
                  <c:v>90.656313421697888</c:v>
                </c:pt>
                <c:pt idx="22">
                  <c:v>90.481480861139715</c:v>
                </c:pt>
                <c:pt idx="23">
                  <c:v>90.081180349036984</c:v>
                </c:pt>
                <c:pt idx="24">
                  <c:v>87.407388126030867</c:v>
                </c:pt>
                <c:pt idx="25">
                  <c:v>90.169439382451941</c:v>
                </c:pt>
                <c:pt idx="26">
                  <c:v>89.918317494085898</c:v>
                </c:pt>
                <c:pt idx="27">
                  <c:v>89.283309455896884</c:v>
                </c:pt>
                <c:pt idx="28">
                  <c:v>89.676839205924367</c:v>
                </c:pt>
                <c:pt idx="29">
                  <c:v>89.985434666516937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57-4488-9B4C-64D579077524}"/>
            </c:ext>
          </c:extLst>
        </c:ser>
        <c:ser>
          <c:idx val="1"/>
          <c:order val="1"/>
          <c:tx>
            <c:strRef>
              <c:f>'Recalculos ST'!$BU$8</c:f>
              <c:strCache>
                <c:ptCount val="1"/>
                <c:pt idx="0">
                  <c:v>RecCu MCP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'Recalculos ST'!$A$9:$A$38</c:f>
              <c:numCache>
                <c:formatCode>m/d/yyyy</c:formatCode>
                <c:ptCount val="30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</c:numCache>
            </c:numRef>
          </c:cat>
          <c:val>
            <c:numRef>
              <c:f>'Recalculos ST'!$BU$9:$BU$38</c:f>
              <c:numCache>
                <c:formatCode>0.00</c:formatCode>
                <c:ptCount val="30"/>
                <c:pt idx="0">
                  <c:v>89.807516984710873</c:v>
                </c:pt>
                <c:pt idx="1">
                  <c:v>89.381371015675711</c:v>
                </c:pt>
                <c:pt idx="2">
                  <c:v>89.67475520919325</c:v>
                </c:pt>
                <c:pt idx="3">
                  <c:v>89.658220041434518</c:v>
                </c:pt>
                <c:pt idx="4">
                  <c:v>88.913686320215149</c:v>
                </c:pt>
                <c:pt idx="5">
                  <c:v>89.273873550482421</c:v>
                </c:pt>
                <c:pt idx="6">
                  <c:v>88.925372500411981</c:v>
                </c:pt>
                <c:pt idx="7">
                  <c:v>88.467082655528174</c:v>
                </c:pt>
                <c:pt idx="8">
                  <c:v>88.35865795208727</c:v>
                </c:pt>
                <c:pt idx="9">
                  <c:v>89.118894187834357</c:v>
                </c:pt>
                <c:pt idx="10">
                  <c:v>88.89218809452268</c:v>
                </c:pt>
                <c:pt idx="11">
                  <c:v>88.388494031114348</c:v>
                </c:pt>
                <c:pt idx="12">
                  <c:v>88.390645502879778</c:v>
                </c:pt>
                <c:pt idx="13">
                  <c:v>89.566140800557761</c:v>
                </c:pt>
                <c:pt idx="14">
                  <c:v>89.445791505060242</c:v>
                </c:pt>
                <c:pt idx="15">
                  <c:v>90.531767488318224</c:v>
                </c:pt>
                <c:pt idx="16">
                  <c:v>89.687907884934219</c:v>
                </c:pt>
                <c:pt idx="17">
                  <c:v>89.820041289395149</c:v>
                </c:pt>
                <c:pt idx="18">
                  <c:v>89.524664362028332</c:v>
                </c:pt>
                <c:pt idx="19">
                  <c:v>89.542954910849971</c:v>
                </c:pt>
                <c:pt idx="20">
                  <c:v>89.69455051882872</c:v>
                </c:pt>
                <c:pt idx="21">
                  <c:v>89.798104348719633</c:v>
                </c:pt>
                <c:pt idx="22">
                  <c:v>89.450917903123866</c:v>
                </c:pt>
                <c:pt idx="23">
                  <c:v>88.983751397369389</c:v>
                </c:pt>
                <c:pt idx="24">
                  <c:v>87.284838028538545</c:v>
                </c:pt>
                <c:pt idx="25">
                  <c:v>89.723660547506526</c:v>
                </c:pt>
                <c:pt idx="26">
                  <c:v>89.03685121034853</c:v>
                </c:pt>
                <c:pt idx="27">
                  <c:v>88.338646269922862</c:v>
                </c:pt>
                <c:pt idx="28">
                  <c:v>88.558399746515491</c:v>
                </c:pt>
                <c:pt idx="29">
                  <c:v>89.204965426959831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57-4488-9B4C-64D579077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619056"/>
        <c:axId val="1907385839"/>
      </c:lineChart>
      <c:dateAx>
        <c:axId val="27961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07385839"/>
        <c:crosses val="autoZero"/>
        <c:auto val="1"/>
        <c:lblOffset val="100"/>
        <c:baseTimeUnit val="days"/>
      </c:dateAx>
      <c:valAx>
        <c:axId val="1907385839"/>
        <c:scaling>
          <c:orientation val="minMax"/>
          <c:min val="8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79619056"/>
        <c:crosses val="autoZero"/>
        <c:crossBetween val="between"/>
      </c:valAx>
      <c:valAx>
        <c:axId val="1710751583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10758783"/>
        <c:crosses val="max"/>
        <c:crossBetween val="between"/>
      </c:valAx>
      <c:dateAx>
        <c:axId val="171075878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10751583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'Recalculos ST'!$BZ$8</c:f>
              <c:strCache>
                <c:ptCount val="1"/>
                <c:pt idx="0">
                  <c:v>Diferencia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'Recalculos ST'!$A$9:$A$38</c:f>
              <c:numCache>
                <c:formatCode>m/d/yyyy</c:formatCode>
                <c:ptCount val="30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</c:numCache>
            </c:numRef>
          </c:cat>
          <c:val>
            <c:numRef>
              <c:f>'Recalculos ST'!$BZ$9:$BZ$38</c:f>
              <c:numCache>
                <c:formatCode>0.00</c:formatCode>
                <c:ptCount val="30"/>
                <c:pt idx="0">
                  <c:v>-1.0679232833475147</c:v>
                </c:pt>
                <c:pt idx="1">
                  <c:v>-0.79516843287958849</c:v>
                </c:pt>
                <c:pt idx="2">
                  <c:v>-1.0301630547917249</c:v>
                </c:pt>
                <c:pt idx="3">
                  <c:v>-0.44331471913994491</c:v>
                </c:pt>
                <c:pt idx="4">
                  <c:v>-0.50373696460433948</c:v>
                </c:pt>
                <c:pt idx="5">
                  <c:v>0.25128507477828421</c:v>
                </c:pt>
                <c:pt idx="6">
                  <c:v>0.79913582936340433</c:v>
                </c:pt>
                <c:pt idx="7">
                  <c:v>0.67996140123555193</c:v>
                </c:pt>
                <c:pt idx="8">
                  <c:v>0.40766484131297531</c:v>
                </c:pt>
                <c:pt idx="9">
                  <c:v>1.1655911775068901</c:v>
                </c:pt>
                <c:pt idx="10">
                  <c:v>0.59548139263031885</c:v>
                </c:pt>
                <c:pt idx="11">
                  <c:v>0.53400696886368593</c:v>
                </c:pt>
                <c:pt idx="12">
                  <c:v>0.29324104420898323</c:v>
                </c:pt>
                <c:pt idx="13">
                  <c:v>0.45550213886521362</c:v>
                </c:pt>
                <c:pt idx="14">
                  <c:v>-0.47454024280973783</c:v>
                </c:pt>
                <c:pt idx="15">
                  <c:v>0.65053232068211742</c:v>
                </c:pt>
                <c:pt idx="16">
                  <c:v>-0.1958391091973084</c:v>
                </c:pt>
                <c:pt idx="17">
                  <c:v>0.42737965676755252</c:v>
                </c:pt>
                <c:pt idx="18">
                  <c:v>-0.26892281827977271</c:v>
                </c:pt>
                <c:pt idx="19">
                  <c:v>-4.8823406989313867E-2</c:v>
                </c:pt>
                <c:pt idx="20">
                  <c:v>0.4060684144963993</c:v>
                </c:pt>
                <c:pt idx="21">
                  <c:v>-2.9971585326265426E-2</c:v>
                </c:pt>
                <c:pt idx="22">
                  <c:v>0.77214551122984787</c:v>
                </c:pt>
                <c:pt idx="23">
                  <c:v>0.69023357483336056</c:v>
                </c:pt>
                <c:pt idx="24">
                  <c:v>1.0155562167544652</c:v>
                </c:pt>
                <c:pt idx="25">
                  <c:v>0.77819255700429935</c:v>
                </c:pt>
                <c:pt idx="26">
                  <c:v>0.32625864994331621</c:v>
                </c:pt>
                <c:pt idx="27">
                  <c:v>0.61186175526614406</c:v>
                </c:pt>
                <c:pt idx="28">
                  <c:v>0.20618095158374317</c:v>
                </c:pt>
                <c:pt idx="29">
                  <c:v>0.63463264942950914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D-4FE2-8246-D588456EC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0758783"/>
        <c:axId val="1710751583"/>
      </c:barChart>
      <c:lineChart>
        <c:grouping val="standard"/>
        <c:varyColors val="0"/>
        <c:ser>
          <c:idx val="0"/>
          <c:order val="0"/>
          <c:tx>
            <c:strRef>
              <c:f>'Recalculos ST'!$BX$8</c:f>
              <c:strCache>
                <c:ptCount val="1"/>
                <c:pt idx="0">
                  <c:v>Ley de Concol Recalculado M1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'Recalculos ST'!$A$9:$A$38</c:f>
              <c:numCache>
                <c:formatCode>m/d/yyyy</c:formatCode>
                <c:ptCount val="30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</c:numCache>
            </c:numRef>
          </c:cat>
          <c:val>
            <c:numRef>
              <c:f>'Recalculos ST'!$BX$9:$BX$38</c:f>
              <c:numCache>
                <c:formatCode>0.00</c:formatCode>
                <c:ptCount val="30"/>
                <c:pt idx="0">
                  <c:v>30.250432592347522</c:v>
                </c:pt>
                <c:pt idx="1">
                  <c:v>28.534132599024684</c:v>
                </c:pt>
                <c:pt idx="2">
                  <c:v>28.810557320073052</c:v>
                </c:pt>
                <c:pt idx="3">
                  <c:v>27.155568161543158</c:v>
                </c:pt>
                <c:pt idx="4">
                  <c:v>26.48178954514394</c:v>
                </c:pt>
                <c:pt idx="5">
                  <c:v>25.363682552608037</c:v>
                </c:pt>
                <c:pt idx="6">
                  <c:v>21.673176938850265</c:v>
                </c:pt>
                <c:pt idx="7">
                  <c:v>22.085636281349064</c:v>
                </c:pt>
                <c:pt idx="8">
                  <c:v>21.770136588735767</c:v>
                </c:pt>
                <c:pt idx="9">
                  <c:v>23.346767218343803</c:v>
                </c:pt>
                <c:pt idx="10">
                  <c:v>24.746686511879627</c:v>
                </c:pt>
                <c:pt idx="11">
                  <c:v>24.479636186181249</c:v>
                </c:pt>
                <c:pt idx="12">
                  <c:v>26.889493150423458</c:v>
                </c:pt>
                <c:pt idx="13">
                  <c:v>29.215510333934823</c:v>
                </c:pt>
                <c:pt idx="14">
                  <c:v>29.589318413634608</c:v>
                </c:pt>
                <c:pt idx="15">
                  <c:v>27.888910364507879</c:v>
                </c:pt>
                <c:pt idx="16">
                  <c:v>27.311463669552147</c:v>
                </c:pt>
                <c:pt idx="17">
                  <c:v>26.792396331005556</c:v>
                </c:pt>
                <c:pt idx="18">
                  <c:v>27.385188965382309</c:v>
                </c:pt>
                <c:pt idx="19">
                  <c:v>27.877234564178252</c:v>
                </c:pt>
                <c:pt idx="20">
                  <c:v>27.116210748744582</c:v>
                </c:pt>
                <c:pt idx="21">
                  <c:v>29.691011915290662</c:v>
                </c:pt>
                <c:pt idx="22">
                  <c:v>28.406374307262748</c:v>
                </c:pt>
                <c:pt idx="23">
                  <c:v>26.105241224231786</c:v>
                </c:pt>
                <c:pt idx="24">
                  <c:v>23.513319660599187</c:v>
                </c:pt>
                <c:pt idx="25">
                  <c:v>24.637979789437633</c:v>
                </c:pt>
                <c:pt idx="26">
                  <c:v>26.153175806139512</c:v>
                </c:pt>
                <c:pt idx="27">
                  <c:v>24.813895904162159</c:v>
                </c:pt>
                <c:pt idx="28">
                  <c:v>26.013948682597317</c:v>
                </c:pt>
                <c:pt idx="29">
                  <c:v>27.033995175069713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5D-4FE2-8246-D588456EC500}"/>
            </c:ext>
          </c:extLst>
        </c:ser>
        <c:ser>
          <c:idx val="1"/>
          <c:order val="1"/>
          <c:tx>
            <c:strRef>
              <c:f>'Recalculos ST'!$BY$8</c:f>
              <c:strCache>
                <c:ptCount val="1"/>
                <c:pt idx="0">
                  <c:v>Ley de ConCol MCP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'Recalculos ST'!$A$9:$A$38</c:f>
              <c:numCache>
                <c:formatCode>m/d/yyyy</c:formatCode>
                <c:ptCount val="30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</c:numCache>
            </c:numRef>
          </c:cat>
          <c:val>
            <c:numRef>
              <c:f>'Recalculos ST'!$BY$9:$BY$38</c:f>
              <c:numCache>
                <c:formatCode>0.00</c:formatCode>
                <c:ptCount val="30"/>
                <c:pt idx="0">
                  <c:v>29.182509309000007</c:v>
                </c:pt>
                <c:pt idx="1">
                  <c:v>27.738964166145095</c:v>
                </c:pt>
                <c:pt idx="2">
                  <c:v>27.780394265281327</c:v>
                </c:pt>
                <c:pt idx="3">
                  <c:v>26.712253442403213</c:v>
                </c:pt>
                <c:pt idx="4">
                  <c:v>25.9780525805396</c:v>
                </c:pt>
                <c:pt idx="5">
                  <c:v>25.614967627386321</c:v>
                </c:pt>
                <c:pt idx="6">
                  <c:v>22.472312768213669</c:v>
                </c:pt>
                <c:pt idx="7">
                  <c:v>22.765597682584616</c:v>
                </c:pt>
                <c:pt idx="8">
                  <c:v>22.177801430048742</c:v>
                </c:pt>
                <c:pt idx="9">
                  <c:v>24.512358395850693</c:v>
                </c:pt>
                <c:pt idx="10">
                  <c:v>25.342167904509946</c:v>
                </c:pt>
                <c:pt idx="11">
                  <c:v>25.013643155044935</c:v>
                </c:pt>
                <c:pt idx="12">
                  <c:v>27.182734194632442</c:v>
                </c:pt>
                <c:pt idx="13">
                  <c:v>29.671012472800037</c:v>
                </c:pt>
                <c:pt idx="14">
                  <c:v>29.11477817082487</c:v>
                </c:pt>
                <c:pt idx="15">
                  <c:v>28.539442685189996</c:v>
                </c:pt>
                <c:pt idx="16">
                  <c:v>27.115624560354838</c:v>
                </c:pt>
                <c:pt idx="17">
                  <c:v>27.219775987773108</c:v>
                </c:pt>
                <c:pt idx="18">
                  <c:v>27.116266147102536</c:v>
                </c:pt>
                <c:pt idx="19">
                  <c:v>27.828411157188938</c:v>
                </c:pt>
                <c:pt idx="20">
                  <c:v>27.522279163240981</c:v>
                </c:pt>
                <c:pt idx="21">
                  <c:v>29.661040329964397</c:v>
                </c:pt>
                <c:pt idx="22">
                  <c:v>29.178519818492596</c:v>
                </c:pt>
                <c:pt idx="23">
                  <c:v>26.795474799065147</c:v>
                </c:pt>
                <c:pt idx="24">
                  <c:v>24.528875877353652</c:v>
                </c:pt>
                <c:pt idx="25">
                  <c:v>25.416172346441932</c:v>
                </c:pt>
                <c:pt idx="26">
                  <c:v>26.479434456082828</c:v>
                </c:pt>
                <c:pt idx="27">
                  <c:v>25.425757659428303</c:v>
                </c:pt>
                <c:pt idx="28">
                  <c:v>26.22012963418106</c:v>
                </c:pt>
                <c:pt idx="29">
                  <c:v>27.668627824499222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5D-4FE2-8246-D588456EC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619056"/>
        <c:axId val="1907385839"/>
      </c:lineChart>
      <c:dateAx>
        <c:axId val="27961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07385839"/>
        <c:crosses val="autoZero"/>
        <c:auto val="1"/>
        <c:lblOffset val="100"/>
        <c:baseTimeUnit val="days"/>
      </c:dateAx>
      <c:valAx>
        <c:axId val="1907385839"/>
        <c:scaling>
          <c:orientation val="minMax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79619056"/>
        <c:crosses val="autoZero"/>
        <c:crossBetween val="between"/>
      </c:valAx>
      <c:valAx>
        <c:axId val="1710751583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10758783"/>
        <c:crosses val="max"/>
        <c:crossBetween val="between"/>
      </c:valAx>
      <c:dateAx>
        <c:axId val="171075878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10751583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'Recalculos ST'!$BR$8</c:f>
              <c:strCache>
                <c:ptCount val="1"/>
                <c:pt idx="0">
                  <c:v>Diferencia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'Recalculos ST'!$A$10:$A$39</c:f>
              <c:numCache>
                <c:formatCode>m/d/yyyy</c:formatCode>
                <c:ptCount val="30"/>
                <c:pt idx="0">
                  <c:v>46083.791666666664</c:v>
                </c:pt>
                <c:pt idx="1">
                  <c:v>46084.791666666664</c:v>
                </c:pt>
                <c:pt idx="2">
                  <c:v>46085.791666666664</c:v>
                </c:pt>
                <c:pt idx="3">
                  <c:v>46086.791666666664</c:v>
                </c:pt>
                <c:pt idx="4">
                  <c:v>46087.791666666664</c:v>
                </c:pt>
                <c:pt idx="5">
                  <c:v>46088.791666666664</c:v>
                </c:pt>
                <c:pt idx="6">
                  <c:v>46089.791666666664</c:v>
                </c:pt>
                <c:pt idx="7">
                  <c:v>46090.791666666664</c:v>
                </c:pt>
                <c:pt idx="8">
                  <c:v>46091.791666666664</c:v>
                </c:pt>
                <c:pt idx="9">
                  <c:v>46092.791666666664</c:v>
                </c:pt>
                <c:pt idx="10">
                  <c:v>46093.791666666664</c:v>
                </c:pt>
                <c:pt idx="11">
                  <c:v>46094.791666666664</c:v>
                </c:pt>
                <c:pt idx="12">
                  <c:v>46095.791666666664</c:v>
                </c:pt>
                <c:pt idx="13">
                  <c:v>46096.791666666664</c:v>
                </c:pt>
                <c:pt idx="14">
                  <c:v>46097.791666666664</c:v>
                </c:pt>
                <c:pt idx="15">
                  <c:v>46098.791666666664</c:v>
                </c:pt>
                <c:pt idx="16">
                  <c:v>46099.791666666664</c:v>
                </c:pt>
                <c:pt idx="17">
                  <c:v>46100.791666666664</c:v>
                </c:pt>
                <c:pt idx="18">
                  <c:v>46101.791666666664</c:v>
                </c:pt>
                <c:pt idx="19">
                  <c:v>46102.791666666664</c:v>
                </c:pt>
                <c:pt idx="20">
                  <c:v>46103.791666666664</c:v>
                </c:pt>
                <c:pt idx="21">
                  <c:v>46104.791666666664</c:v>
                </c:pt>
                <c:pt idx="22">
                  <c:v>46105.791666666664</c:v>
                </c:pt>
                <c:pt idx="23">
                  <c:v>46106.791666666664</c:v>
                </c:pt>
                <c:pt idx="24">
                  <c:v>46107.791666666664</c:v>
                </c:pt>
                <c:pt idx="25">
                  <c:v>46108.791666666664</c:v>
                </c:pt>
                <c:pt idx="26">
                  <c:v>46109.791666666664</c:v>
                </c:pt>
                <c:pt idx="27">
                  <c:v>46110.791666666664</c:v>
                </c:pt>
                <c:pt idx="28">
                  <c:v>46111.791666666664</c:v>
                </c:pt>
                <c:pt idx="29">
                  <c:v>46112.791666666664</c:v>
                </c:pt>
              </c:numCache>
            </c:numRef>
          </c:cat>
          <c:val>
            <c:numRef>
              <c:f>'Recalculos ST'!$BR$10:$BR$39</c:f>
              <c:numCache>
                <c:formatCode>0.00</c:formatCode>
                <c:ptCount val="30"/>
                <c:pt idx="0">
                  <c:v>18.812217993119845</c:v>
                </c:pt>
                <c:pt idx="1">
                  <c:v>19.354145036391884</c:v>
                </c:pt>
                <c:pt idx="2">
                  <c:v>19.2413599493552</c:v>
                </c:pt>
                <c:pt idx="3">
                  <c:v>15.206533227192153</c:v>
                </c:pt>
                <c:pt idx="4">
                  <c:v>14.590353121102595</c:v>
                </c:pt>
                <c:pt idx="5">
                  <c:v>12.154871906805994</c:v>
                </c:pt>
                <c:pt idx="6">
                  <c:v>11.917513342729933</c:v>
                </c:pt>
                <c:pt idx="7">
                  <c:v>11.589904375011713</c:v>
                </c:pt>
                <c:pt idx="8">
                  <c:v>20.581127953720852</c:v>
                </c:pt>
                <c:pt idx="9">
                  <c:v>14.654217096835623</c:v>
                </c:pt>
                <c:pt idx="10">
                  <c:v>15.431120471472241</c:v>
                </c:pt>
                <c:pt idx="11">
                  <c:v>16.815836990634722</c:v>
                </c:pt>
                <c:pt idx="12">
                  <c:v>19.024213081874109</c:v>
                </c:pt>
                <c:pt idx="13">
                  <c:v>19.681396620588089</c:v>
                </c:pt>
                <c:pt idx="14">
                  <c:v>20.462832537112945</c:v>
                </c:pt>
                <c:pt idx="15">
                  <c:v>19.793275820332809</c:v>
                </c:pt>
                <c:pt idx="16">
                  <c:v>20.1905929484941</c:v>
                </c:pt>
                <c:pt idx="17">
                  <c:v>20.006426651634314</c:v>
                </c:pt>
                <c:pt idx="18">
                  <c:v>18.73756636768033</c:v>
                </c:pt>
                <c:pt idx="19">
                  <c:v>19.247428518659717</c:v>
                </c:pt>
                <c:pt idx="20">
                  <c:v>19.763212177045887</c:v>
                </c:pt>
                <c:pt idx="21">
                  <c:v>19.734832579848501</c:v>
                </c:pt>
                <c:pt idx="22">
                  <c:v>18.567178333719141</c:v>
                </c:pt>
                <c:pt idx="23">
                  <c:v>18.187099018143982</c:v>
                </c:pt>
                <c:pt idx="24">
                  <c:v>14.770935520502945</c:v>
                </c:pt>
                <c:pt idx="25">
                  <c:v>14.382211809094258</c:v>
                </c:pt>
                <c:pt idx="26">
                  <c:v>16.184525156705689</c:v>
                </c:pt>
                <c:pt idx="27">
                  <c:v>16.692417148986181</c:v>
                </c:pt>
                <c:pt idx="28">
                  <c:v>18.448978240875192</c:v>
                </c:pt>
                <c:pt idx="29">
                  <c:v>17.870235065468705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B-4525-AAD7-EEE846C6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0758783"/>
        <c:axId val="1710751583"/>
      </c:barChart>
      <c:lineChart>
        <c:grouping val="standard"/>
        <c:varyColors val="0"/>
        <c:ser>
          <c:idx val="0"/>
          <c:order val="0"/>
          <c:tx>
            <c:strRef>
              <c:f>'Recalculos ST'!$BP$8</c:f>
              <c:strCache>
                <c:ptCount val="1"/>
                <c:pt idx="0">
                  <c:v>P80 Recalculado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'Recalculos ST'!$A$10:$A$39</c:f>
              <c:numCache>
                <c:formatCode>m/d/yyyy</c:formatCode>
                <c:ptCount val="30"/>
                <c:pt idx="0">
                  <c:v>46083.791666666664</c:v>
                </c:pt>
                <c:pt idx="1">
                  <c:v>46084.791666666664</c:v>
                </c:pt>
                <c:pt idx="2">
                  <c:v>46085.791666666664</c:v>
                </c:pt>
                <c:pt idx="3">
                  <c:v>46086.791666666664</c:v>
                </c:pt>
                <c:pt idx="4">
                  <c:v>46087.791666666664</c:v>
                </c:pt>
                <c:pt idx="5">
                  <c:v>46088.791666666664</c:v>
                </c:pt>
                <c:pt idx="6">
                  <c:v>46089.791666666664</c:v>
                </c:pt>
                <c:pt idx="7">
                  <c:v>46090.791666666664</c:v>
                </c:pt>
                <c:pt idx="8">
                  <c:v>46091.791666666664</c:v>
                </c:pt>
                <c:pt idx="9">
                  <c:v>46092.791666666664</c:v>
                </c:pt>
                <c:pt idx="10">
                  <c:v>46093.791666666664</c:v>
                </c:pt>
                <c:pt idx="11">
                  <c:v>46094.791666666664</c:v>
                </c:pt>
                <c:pt idx="12">
                  <c:v>46095.791666666664</c:v>
                </c:pt>
                <c:pt idx="13">
                  <c:v>46096.791666666664</c:v>
                </c:pt>
                <c:pt idx="14">
                  <c:v>46097.791666666664</c:v>
                </c:pt>
                <c:pt idx="15">
                  <c:v>46098.791666666664</c:v>
                </c:pt>
                <c:pt idx="16">
                  <c:v>46099.791666666664</c:v>
                </c:pt>
                <c:pt idx="17">
                  <c:v>46100.791666666664</c:v>
                </c:pt>
                <c:pt idx="18">
                  <c:v>46101.791666666664</c:v>
                </c:pt>
                <c:pt idx="19">
                  <c:v>46102.791666666664</c:v>
                </c:pt>
                <c:pt idx="20">
                  <c:v>46103.791666666664</c:v>
                </c:pt>
                <c:pt idx="21">
                  <c:v>46104.791666666664</c:v>
                </c:pt>
                <c:pt idx="22">
                  <c:v>46105.791666666664</c:v>
                </c:pt>
                <c:pt idx="23">
                  <c:v>46106.791666666664</c:v>
                </c:pt>
                <c:pt idx="24">
                  <c:v>46107.791666666664</c:v>
                </c:pt>
                <c:pt idx="25">
                  <c:v>46108.791666666664</c:v>
                </c:pt>
                <c:pt idx="26">
                  <c:v>46109.791666666664</c:v>
                </c:pt>
                <c:pt idx="27">
                  <c:v>46110.791666666664</c:v>
                </c:pt>
                <c:pt idx="28">
                  <c:v>46111.791666666664</c:v>
                </c:pt>
                <c:pt idx="29">
                  <c:v>46112.791666666664</c:v>
                </c:pt>
              </c:numCache>
            </c:numRef>
          </c:cat>
          <c:val>
            <c:numRef>
              <c:f>'Recalculos ST'!$BP$10:$BP$39</c:f>
              <c:numCache>
                <c:formatCode>0</c:formatCode>
                <c:ptCount val="30"/>
                <c:pt idx="0">
                  <c:v>189.0101845256458</c:v>
                </c:pt>
                <c:pt idx="1">
                  <c:v>184.5108816616511</c:v>
                </c:pt>
                <c:pt idx="2">
                  <c:v>184.18963336392423</c:v>
                </c:pt>
                <c:pt idx="3">
                  <c:v>188.49951296333694</c:v>
                </c:pt>
                <c:pt idx="4">
                  <c:v>188.81440115719769</c:v>
                </c:pt>
                <c:pt idx="5">
                  <c:v>190.93430503684758</c:v>
                </c:pt>
                <c:pt idx="6">
                  <c:v>191.16571562505712</c:v>
                </c:pt>
                <c:pt idx="7">
                  <c:v>193.22345713061694</c:v>
                </c:pt>
                <c:pt idx="8">
                  <c:v>183.1568580993503</c:v>
                </c:pt>
                <c:pt idx="9">
                  <c:v>194.03388983451023</c:v>
                </c:pt>
                <c:pt idx="10">
                  <c:v>196.42347854949477</c:v>
                </c:pt>
                <c:pt idx="11">
                  <c:v>193.0693450109496</c:v>
                </c:pt>
                <c:pt idx="12">
                  <c:v>184.96163306094965</c:v>
                </c:pt>
                <c:pt idx="13">
                  <c:v>183.7011755821872</c:v>
                </c:pt>
                <c:pt idx="14">
                  <c:v>182.45549886092749</c:v>
                </c:pt>
                <c:pt idx="15">
                  <c:v>188.05777003359086</c:v>
                </c:pt>
                <c:pt idx="16">
                  <c:v>185.32431017474977</c:v>
                </c:pt>
                <c:pt idx="17">
                  <c:v>185.97680776469983</c:v>
                </c:pt>
                <c:pt idx="18">
                  <c:v>186.9792286860106</c:v>
                </c:pt>
                <c:pt idx="19">
                  <c:v>184.90758068144279</c:v>
                </c:pt>
                <c:pt idx="20">
                  <c:v>186.24871616436286</c:v>
                </c:pt>
                <c:pt idx="21">
                  <c:v>183.77408524901566</c:v>
                </c:pt>
                <c:pt idx="22">
                  <c:v>186.61872401743344</c:v>
                </c:pt>
                <c:pt idx="23">
                  <c:v>185.13554322458796</c:v>
                </c:pt>
                <c:pt idx="24">
                  <c:v>190.10601777280255</c:v>
                </c:pt>
                <c:pt idx="25">
                  <c:v>195.98286777612435</c:v>
                </c:pt>
                <c:pt idx="26">
                  <c:v>199.64277284310384</c:v>
                </c:pt>
                <c:pt idx="27">
                  <c:v>197.04603008427083</c:v>
                </c:pt>
                <c:pt idx="28">
                  <c:v>192.81737753726057</c:v>
                </c:pt>
                <c:pt idx="29">
                  <c:v>192.24643159739196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9B-4525-AAD7-EEE846C6B17F}"/>
            </c:ext>
          </c:extLst>
        </c:ser>
        <c:ser>
          <c:idx val="1"/>
          <c:order val="1"/>
          <c:tx>
            <c:strRef>
              <c:f>'Recalculos ST'!$BQ$8</c:f>
              <c:strCache>
                <c:ptCount val="1"/>
                <c:pt idx="0">
                  <c:v>P80 MCP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'Recalculos ST'!$A$10:$A$39</c:f>
              <c:numCache>
                <c:formatCode>m/d/yyyy</c:formatCode>
                <c:ptCount val="30"/>
                <c:pt idx="0">
                  <c:v>46083.791666666664</c:v>
                </c:pt>
                <c:pt idx="1">
                  <c:v>46084.791666666664</c:v>
                </c:pt>
                <c:pt idx="2">
                  <c:v>46085.791666666664</c:v>
                </c:pt>
                <c:pt idx="3">
                  <c:v>46086.791666666664</c:v>
                </c:pt>
                <c:pt idx="4">
                  <c:v>46087.791666666664</c:v>
                </c:pt>
                <c:pt idx="5">
                  <c:v>46088.791666666664</c:v>
                </c:pt>
                <c:pt idx="6">
                  <c:v>46089.791666666664</c:v>
                </c:pt>
                <c:pt idx="7">
                  <c:v>46090.791666666664</c:v>
                </c:pt>
                <c:pt idx="8">
                  <c:v>46091.791666666664</c:v>
                </c:pt>
                <c:pt idx="9">
                  <c:v>46092.791666666664</c:v>
                </c:pt>
                <c:pt idx="10">
                  <c:v>46093.791666666664</c:v>
                </c:pt>
                <c:pt idx="11">
                  <c:v>46094.791666666664</c:v>
                </c:pt>
                <c:pt idx="12">
                  <c:v>46095.791666666664</c:v>
                </c:pt>
                <c:pt idx="13">
                  <c:v>46096.791666666664</c:v>
                </c:pt>
                <c:pt idx="14">
                  <c:v>46097.791666666664</c:v>
                </c:pt>
                <c:pt idx="15">
                  <c:v>46098.791666666664</c:v>
                </c:pt>
                <c:pt idx="16">
                  <c:v>46099.791666666664</c:v>
                </c:pt>
                <c:pt idx="17">
                  <c:v>46100.791666666664</c:v>
                </c:pt>
                <c:pt idx="18">
                  <c:v>46101.791666666664</c:v>
                </c:pt>
                <c:pt idx="19">
                  <c:v>46102.791666666664</c:v>
                </c:pt>
                <c:pt idx="20">
                  <c:v>46103.791666666664</c:v>
                </c:pt>
                <c:pt idx="21">
                  <c:v>46104.791666666664</c:v>
                </c:pt>
                <c:pt idx="22">
                  <c:v>46105.791666666664</c:v>
                </c:pt>
                <c:pt idx="23">
                  <c:v>46106.791666666664</c:v>
                </c:pt>
                <c:pt idx="24">
                  <c:v>46107.791666666664</c:v>
                </c:pt>
                <c:pt idx="25">
                  <c:v>46108.791666666664</c:v>
                </c:pt>
                <c:pt idx="26">
                  <c:v>46109.791666666664</c:v>
                </c:pt>
                <c:pt idx="27">
                  <c:v>46110.791666666664</c:v>
                </c:pt>
                <c:pt idx="28">
                  <c:v>46111.791666666664</c:v>
                </c:pt>
                <c:pt idx="29">
                  <c:v>46112.791666666664</c:v>
                </c:pt>
              </c:numCache>
            </c:numRef>
          </c:cat>
          <c:val>
            <c:numRef>
              <c:f>'Recalculos ST'!$BQ$10:$BQ$39</c:f>
              <c:numCache>
                <c:formatCode>0</c:formatCode>
                <c:ptCount val="30"/>
                <c:pt idx="0">
                  <c:v>207.82240251876564</c:v>
                </c:pt>
                <c:pt idx="1">
                  <c:v>203.86502669804298</c:v>
                </c:pt>
                <c:pt idx="2">
                  <c:v>203.43099331327943</c:v>
                </c:pt>
                <c:pt idx="3">
                  <c:v>203.70604619052909</c:v>
                </c:pt>
                <c:pt idx="4">
                  <c:v>203.40475427830029</c:v>
                </c:pt>
                <c:pt idx="5">
                  <c:v>203.08917694365357</c:v>
                </c:pt>
                <c:pt idx="6">
                  <c:v>203.08322896778705</c:v>
                </c:pt>
                <c:pt idx="7">
                  <c:v>204.81336150562865</c:v>
                </c:pt>
                <c:pt idx="8">
                  <c:v>203.73798605307115</c:v>
                </c:pt>
                <c:pt idx="9">
                  <c:v>208.68810693134586</c:v>
                </c:pt>
                <c:pt idx="10">
                  <c:v>211.85459902096702</c:v>
                </c:pt>
                <c:pt idx="11">
                  <c:v>209.88518200158433</c:v>
                </c:pt>
                <c:pt idx="12">
                  <c:v>203.98584614282376</c:v>
                </c:pt>
                <c:pt idx="13">
                  <c:v>203.38257220277529</c:v>
                </c:pt>
                <c:pt idx="14">
                  <c:v>202.91833139804044</c:v>
                </c:pt>
                <c:pt idx="15">
                  <c:v>207.85104585392367</c:v>
                </c:pt>
                <c:pt idx="16">
                  <c:v>205.51490312324387</c:v>
                </c:pt>
                <c:pt idx="17">
                  <c:v>205.98323441633414</c:v>
                </c:pt>
                <c:pt idx="18">
                  <c:v>205.71679505369093</c:v>
                </c:pt>
                <c:pt idx="19">
                  <c:v>204.15500920010251</c:v>
                </c:pt>
                <c:pt idx="20">
                  <c:v>206.01192834140875</c:v>
                </c:pt>
                <c:pt idx="21">
                  <c:v>203.50891782886416</c:v>
                </c:pt>
                <c:pt idx="22">
                  <c:v>205.18590235115258</c:v>
                </c:pt>
                <c:pt idx="23">
                  <c:v>203.32264224273194</c:v>
                </c:pt>
                <c:pt idx="24">
                  <c:v>204.87695329330549</c:v>
                </c:pt>
                <c:pt idx="25">
                  <c:v>210.36507958521861</c:v>
                </c:pt>
                <c:pt idx="26">
                  <c:v>215.82729799980953</c:v>
                </c:pt>
                <c:pt idx="27">
                  <c:v>213.73844723325701</c:v>
                </c:pt>
                <c:pt idx="28">
                  <c:v>211.26635577813576</c:v>
                </c:pt>
                <c:pt idx="29">
                  <c:v>210.11666666286067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9B-4525-AAD7-EEE846C6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619056"/>
        <c:axId val="1907385839"/>
      </c:lineChart>
      <c:dateAx>
        <c:axId val="27961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07385839"/>
        <c:crosses val="autoZero"/>
        <c:auto val="1"/>
        <c:lblOffset val="100"/>
        <c:baseTimeUnit val="days"/>
      </c:dateAx>
      <c:valAx>
        <c:axId val="1907385839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79619056"/>
        <c:crosses val="autoZero"/>
        <c:crossBetween val="between"/>
      </c:valAx>
      <c:valAx>
        <c:axId val="1710751583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10758783"/>
        <c:crosses val="max"/>
        <c:crossBetween val="between"/>
      </c:valAx>
      <c:dateAx>
        <c:axId val="171075878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10751583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/>
              <a:t>Variación KTPD PM Abril 2025</a:t>
            </a:r>
          </a:p>
        </c:rich>
      </c:tx>
      <c:layout>
        <c:manualLayout>
          <c:xMode val="edge"/>
          <c:yMode val="edge"/>
          <c:x val="0.40204326805779744"/>
          <c:y val="4.4050893112233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7.3160443032057307E-2"/>
          <c:y val="9.9902788642427437E-2"/>
          <c:w val="0.8844962549801807"/>
          <c:h val="0.755207014552494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'Recalculos ST'!$H$46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'Recalculos ST'!$F$47:$F$77</c:f>
              <c:numCache>
                <c:formatCode>General</c:formatCode>
                <c:ptCount val="31"/>
                <c:pt idx="0">
                  <c:v>7.75</c:v>
                </c:pt>
                <c:pt idx="19" formatCode="m/d/yyyy">
                  <c:v>46101.791666666664</c:v>
                </c:pt>
                <c:pt idx="20" formatCode="m/d/yyyy">
                  <c:v>46102.791666666664</c:v>
                </c:pt>
                <c:pt idx="21" formatCode="m/d/yyyy">
                  <c:v>46103.791666666664</c:v>
                </c:pt>
                <c:pt idx="22" formatCode="m/d/yyyy">
                  <c:v>46104.791666666664</c:v>
                </c:pt>
                <c:pt idx="23" formatCode="m/d/yyyy">
                  <c:v>46105.791666666664</c:v>
                </c:pt>
                <c:pt idx="24" formatCode="m/d/yyyy">
                  <c:v>46106.791666666664</c:v>
                </c:pt>
                <c:pt idx="25" formatCode="m/d/yyyy">
                  <c:v>46107.791666666664</c:v>
                </c:pt>
                <c:pt idx="26" formatCode="m/d/yyyy">
                  <c:v>46108.791666666664</c:v>
                </c:pt>
                <c:pt idx="27" formatCode="m/d/yyyy">
                  <c:v>46109.791666666664</c:v>
                </c:pt>
                <c:pt idx="28" formatCode="m/d/yyyy">
                  <c:v>46110.791666666664</c:v>
                </c:pt>
                <c:pt idx="29" formatCode="m/d/yyyy">
                  <c:v>46111.791666666664</c:v>
                </c:pt>
              </c:numCache>
            </c:numRef>
          </c:xVal>
          <c:yVal>
            <c:numRef>
              <c:f>'Recalculos ST'!$H$47:$H$77</c:f>
              <c:numCache>
                <c:formatCode>#,##0</c:formatCode>
                <c:ptCount val="31"/>
                <c:pt idx="19">
                  <c:v>205.52678826522117</c:v>
                </c:pt>
                <c:pt idx="20">
                  <c:v>199.27465769139218</c:v>
                </c:pt>
                <c:pt idx="21">
                  <c:v>200.83497363931494</c:v>
                </c:pt>
                <c:pt idx="22">
                  <c:v>197.67835268342512</c:v>
                </c:pt>
                <c:pt idx="23">
                  <c:v>203.1105444669771</c:v>
                </c:pt>
                <c:pt idx="24">
                  <c:v>205.1660335261605</c:v>
                </c:pt>
                <c:pt idx="25">
                  <c:v>213.23377200051539</c:v>
                </c:pt>
                <c:pt idx="26">
                  <c:v>213.62140298157288</c:v>
                </c:pt>
                <c:pt idx="27">
                  <c:v>219.7661877942694</c:v>
                </c:pt>
                <c:pt idx="28">
                  <c:v>214.71637875622471</c:v>
                </c:pt>
                <c:pt idx="29">
                  <c:v>209.68971018430088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D7-4902-B911-29E074E5E3FD}"/>
            </c:ext>
          </c:extLst>
        </c:ser>
        <c:ser>
          <c:idx val="1"/>
          <c:order val="1"/>
          <c:tx>
            <c:strRef>
              <c:f>'Recalculos ST'!$I$46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-2.3506174053270681E-2"/>
                  <c:y val="-1.69010089465082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FD7-4902-B911-29E074E5E3F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FD7-4902-B911-29E074E5E3F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FD7-4902-B911-29E074E5E3FD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FD7-4902-B911-29E074E5E3F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FD7-4902-B911-29E074E5E3F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FD7-4902-B911-29E074E5E3F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FD7-4902-B911-29E074E5E3FD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FD7-4902-B911-29E074E5E3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44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'Recalculos ST'!$F$47:$F$77</c:f>
              <c:numCache>
                <c:formatCode>General</c:formatCode>
                <c:ptCount val="31"/>
                <c:pt idx="0">
                  <c:v>7.75</c:v>
                </c:pt>
                <c:pt idx="19" formatCode="m/d/yyyy">
                  <c:v>46101.791666666664</c:v>
                </c:pt>
                <c:pt idx="20" formatCode="m/d/yyyy">
                  <c:v>46102.791666666664</c:v>
                </c:pt>
                <c:pt idx="21" formatCode="m/d/yyyy">
                  <c:v>46103.791666666664</c:v>
                </c:pt>
                <c:pt idx="22" formatCode="m/d/yyyy">
                  <c:v>46104.791666666664</c:v>
                </c:pt>
                <c:pt idx="23" formatCode="m/d/yyyy">
                  <c:v>46105.791666666664</c:v>
                </c:pt>
                <c:pt idx="24" formatCode="m/d/yyyy">
                  <c:v>46106.791666666664</c:v>
                </c:pt>
                <c:pt idx="25" formatCode="m/d/yyyy">
                  <c:v>46107.791666666664</c:v>
                </c:pt>
                <c:pt idx="26" formatCode="m/d/yyyy">
                  <c:v>46108.791666666664</c:v>
                </c:pt>
                <c:pt idx="27" formatCode="m/d/yyyy">
                  <c:v>46109.791666666664</c:v>
                </c:pt>
                <c:pt idx="28" formatCode="m/d/yyyy">
                  <c:v>46110.791666666664</c:v>
                </c:pt>
                <c:pt idx="29" formatCode="m/d/yyyy">
                  <c:v>46111.791666666664</c:v>
                </c:pt>
              </c:numCache>
            </c:numRef>
          </c:xVal>
          <c:yVal>
            <c:numRef>
              <c:f>'Recalculos ST'!$I$47:$I$77</c:f>
              <c:numCache>
                <c:formatCode>General</c:formatCode>
                <c:ptCount val="31"/>
                <c:pt idx="19" formatCode="0">
                  <c:v>201.18127932104437</c:v>
                </c:pt>
                <c:pt idx="20" formatCode="0">
                  <c:v>195.0613392492811</c:v>
                </c:pt>
                <c:pt idx="21" formatCode="0">
                  <c:v>196.58866501152212</c:v>
                </c:pt>
                <c:pt idx="22" formatCode="0">
                  <c:v>193.49878535350877</c:v>
                </c:pt>
                <c:pt idx="23" formatCode="0">
                  <c:v>198.81612282448594</c:v>
                </c:pt>
                <c:pt idx="24" formatCode="0">
                  <c:v>200.82815211783185</c:v>
                </c:pt>
                <c:pt idx="25" formatCode="0">
                  <c:v>208.72531219705147</c:v>
                </c:pt>
                <c:pt idx="26" formatCode="0">
                  <c:v>209.1047473905455</c:v>
                </c:pt>
                <c:pt idx="27" formatCode="0">
                  <c:v>215.11961134188371</c:v>
                </c:pt>
                <c:pt idx="28" formatCode="0">
                  <c:v>210.17657179372614</c:v>
                </c:pt>
                <c:pt idx="29" formatCode="0">
                  <c:v>205.25618344650238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D7-4902-B911-29E074E5E3FD}"/>
            </c:ext>
          </c:extLst>
        </c:ser>
        <c:ser>
          <c:idx val="2"/>
          <c:order val="2"/>
          <c:tx>
            <c:strRef>
              <c:f>'Recalculos ST'!$J$46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b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'Recalculos ST'!$F$47:$F$77</c:f>
              <c:numCache>
                <c:formatCode>General</c:formatCode>
                <c:ptCount val="31"/>
                <c:pt idx="0">
                  <c:v>7.75</c:v>
                </c:pt>
                <c:pt idx="19" formatCode="m/d/yyyy">
                  <c:v>46101.791666666664</c:v>
                </c:pt>
                <c:pt idx="20" formatCode="m/d/yyyy">
                  <c:v>46102.791666666664</c:v>
                </c:pt>
                <c:pt idx="21" formatCode="m/d/yyyy">
                  <c:v>46103.791666666664</c:v>
                </c:pt>
                <c:pt idx="22" formatCode="m/d/yyyy">
                  <c:v>46104.791666666664</c:v>
                </c:pt>
                <c:pt idx="23" formatCode="m/d/yyyy">
                  <c:v>46105.791666666664</c:v>
                </c:pt>
                <c:pt idx="24" formatCode="m/d/yyyy">
                  <c:v>46106.791666666664</c:v>
                </c:pt>
                <c:pt idx="25" formatCode="m/d/yyyy">
                  <c:v>46107.791666666664</c:v>
                </c:pt>
                <c:pt idx="26" formatCode="m/d/yyyy">
                  <c:v>46108.791666666664</c:v>
                </c:pt>
                <c:pt idx="27" formatCode="m/d/yyyy">
                  <c:v>46109.791666666664</c:v>
                </c:pt>
                <c:pt idx="28" formatCode="m/d/yyyy">
                  <c:v>46110.791666666664</c:v>
                </c:pt>
                <c:pt idx="29" formatCode="m/d/yyyy">
                  <c:v>46111.791666666664</c:v>
                </c:pt>
              </c:numCache>
            </c:numRef>
          </c:xVal>
          <c:yVal>
            <c:numRef>
              <c:f>'Recalculos ST'!$J$47:$J$77</c:f>
              <c:numCache>
                <c:formatCode>General</c:formatCode>
                <c:ptCount val="31"/>
                <c:pt idx="19" formatCode="0">
                  <c:v>189.44527932104438</c:v>
                </c:pt>
                <c:pt idx="20" formatCode="0">
                  <c:v>185.6725392492811</c:v>
                </c:pt>
                <c:pt idx="21" formatCode="0">
                  <c:v>187.19986501152212</c:v>
                </c:pt>
                <c:pt idx="22" formatCode="0">
                  <c:v>186.45718535350878</c:v>
                </c:pt>
                <c:pt idx="23" formatCode="0">
                  <c:v>194.12172282448594</c:v>
                </c:pt>
                <c:pt idx="24" formatCode="0">
                  <c:v>196.13375211783185</c:v>
                </c:pt>
                <c:pt idx="25" formatCode="0">
                  <c:v>206.37811219705148</c:v>
                </c:pt>
                <c:pt idx="26" formatCode="0">
                  <c:v>179.9994673905455</c:v>
                </c:pt>
                <c:pt idx="27" formatCode="0">
                  <c:v>198.68921134188372</c:v>
                </c:pt>
                <c:pt idx="28" formatCode="0">
                  <c:v>193.74617179372615</c:v>
                </c:pt>
                <c:pt idx="29" formatCode="0">
                  <c:v>188.82578344650238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D7-4902-B911-29E074E5E3F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06997296"/>
        <c:axId val="406997776"/>
      </c:scatterChart>
      <c:valAx>
        <c:axId val="406997296"/>
        <c:scaling>
          <c:orientation val="minMax"/>
          <c:max val="45688"/>
          <c:min val="45658"/>
        </c:scaling>
        <c:delete val="0"/>
        <c:axPos val="b"/>
        <c:numFmt formatCode="dd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6997776"/>
        <c:crosses val="autoZero"/>
        <c:crossBetween val="midCat"/>
        <c:majorUnit val="1"/>
      </c:valAx>
      <c:valAx>
        <c:axId val="406997776"/>
        <c:scaling>
          <c:orientation val="minMax"/>
          <c:min val="12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6997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147768771189499"/>
          <c:y val="0.92512352231890616"/>
          <c:w val="0.60042383881047967"/>
          <c:h val="6.09656693298623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400"/>
              <a:t>Variación KTPD BDGT y PM Abril</a:t>
            </a:r>
            <a:r>
              <a:rPr lang="es-CL" sz="1400" baseline="0"/>
              <a:t> </a:t>
            </a:r>
            <a:r>
              <a:rPr lang="es-CL" sz="1400"/>
              <a:t>2025</a:t>
            </a:r>
          </a:p>
        </c:rich>
      </c:tx>
      <c:layout>
        <c:manualLayout>
          <c:xMode val="edge"/>
          <c:yMode val="edge"/>
          <c:x val="0.40204326805779744"/>
          <c:y val="4.4050893112233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7.8732199197448949E-2"/>
          <c:y val="0.10765647125287305"/>
          <c:w val="0.8844962549801807"/>
          <c:h val="0.74486881580730757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'Recalculos ST'!$G$46</c:f>
              <c:strCache>
                <c:ptCount val="1"/>
                <c:pt idx="0">
                  <c:v>8,39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'Recalculos ST'!$F$47:$F$77</c:f>
              <c:numCache>
                <c:formatCode>General</c:formatCode>
                <c:ptCount val="31"/>
                <c:pt idx="0">
                  <c:v>7.75</c:v>
                </c:pt>
                <c:pt idx="19" formatCode="m/d/yyyy">
                  <c:v>46101.791666666664</c:v>
                </c:pt>
                <c:pt idx="20" formatCode="m/d/yyyy">
                  <c:v>46102.791666666664</c:v>
                </c:pt>
                <c:pt idx="21" formatCode="m/d/yyyy">
                  <c:v>46103.791666666664</c:v>
                </c:pt>
                <c:pt idx="22" formatCode="m/d/yyyy">
                  <c:v>46104.791666666664</c:v>
                </c:pt>
                <c:pt idx="23" formatCode="m/d/yyyy">
                  <c:v>46105.791666666664</c:v>
                </c:pt>
                <c:pt idx="24" formatCode="m/d/yyyy">
                  <c:v>46106.791666666664</c:v>
                </c:pt>
                <c:pt idx="25" formatCode="m/d/yyyy">
                  <c:v>46107.791666666664</c:v>
                </c:pt>
                <c:pt idx="26" formatCode="m/d/yyyy">
                  <c:v>46108.791666666664</c:v>
                </c:pt>
                <c:pt idx="27" formatCode="m/d/yyyy">
                  <c:v>46109.791666666664</c:v>
                </c:pt>
                <c:pt idx="28" formatCode="m/d/yyyy">
                  <c:v>46110.791666666664</c:v>
                </c:pt>
                <c:pt idx="29" formatCode="m/d/yyyy">
                  <c:v>46111.791666666664</c:v>
                </c:pt>
              </c:numCache>
            </c:numRef>
          </c:xVal>
          <c:yVal>
            <c:numRef>
              <c:f>'Recalculos ST'!$G$47:$G$77</c:f>
              <c:numCache>
                <c:formatCode>General</c:formatCode>
                <c:ptCount val="31"/>
                <c:pt idx="0">
                  <c:v>8.4049999999999994</c:v>
                </c:pt>
                <c:pt idx="19" formatCode="0">
                  <c:v>158.75366086621844</c:v>
                </c:pt>
                <c:pt idx="20" formatCode="0">
                  <c:v>158.75366086621844</c:v>
                </c:pt>
                <c:pt idx="21" formatCode="0">
                  <c:v>166.47603830465351</c:v>
                </c:pt>
                <c:pt idx="22" formatCode="0">
                  <c:v>195.82107257070658</c:v>
                </c:pt>
                <c:pt idx="23" formatCode="0">
                  <c:v>201.89353666425495</c:v>
                </c:pt>
                <c:pt idx="24" formatCode="0">
                  <c:v>196.28818519328721</c:v>
                </c:pt>
                <c:pt idx="25" formatCode="0">
                  <c:v>198.62374830619041</c:v>
                </c:pt>
                <c:pt idx="26" formatCode="0">
                  <c:v>198.62374830619041</c:v>
                </c:pt>
                <c:pt idx="27" formatCode="0">
                  <c:v>200.95931141909364</c:v>
                </c:pt>
                <c:pt idx="28" formatCode="0">
                  <c:v>203</c:v>
                </c:pt>
                <c:pt idx="29" formatCode="0">
                  <c:v>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9E-4069-A646-F10528DE2F20}"/>
            </c:ext>
          </c:extLst>
        </c:ser>
        <c:ser>
          <c:idx val="3"/>
          <c:order val="1"/>
          <c:tx>
            <c:strRef>
              <c:f>'Recalculos ST'!$J$46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22"/>
              <c:layout>
                <c:manualLayout>
                  <c:x val="-2.4881364543019049E-2"/>
                  <c:y val="4.20898135813217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F6-421D-9457-53EB228C13D3}"/>
                </c:ext>
              </c:extLst>
            </c:dLbl>
            <c:dLbl>
              <c:idx val="23"/>
              <c:layout>
                <c:manualLayout>
                  <c:x val="-2.348842754523052E-2"/>
                  <c:y val="3.69206748860042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F6-421D-9457-53EB228C13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'Recalculos ST'!$F$47:$F$77</c:f>
              <c:numCache>
                <c:formatCode>General</c:formatCode>
                <c:ptCount val="31"/>
                <c:pt idx="0">
                  <c:v>7.75</c:v>
                </c:pt>
                <c:pt idx="19" formatCode="m/d/yyyy">
                  <c:v>46101.791666666664</c:v>
                </c:pt>
                <c:pt idx="20" formatCode="m/d/yyyy">
                  <c:v>46102.791666666664</c:v>
                </c:pt>
                <c:pt idx="21" formatCode="m/d/yyyy">
                  <c:v>46103.791666666664</c:v>
                </c:pt>
                <c:pt idx="22" formatCode="m/d/yyyy">
                  <c:v>46104.791666666664</c:v>
                </c:pt>
                <c:pt idx="23" formatCode="m/d/yyyy">
                  <c:v>46105.791666666664</c:v>
                </c:pt>
                <c:pt idx="24" formatCode="m/d/yyyy">
                  <c:v>46106.791666666664</c:v>
                </c:pt>
                <c:pt idx="25" formatCode="m/d/yyyy">
                  <c:v>46107.791666666664</c:v>
                </c:pt>
                <c:pt idx="26" formatCode="m/d/yyyy">
                  <c:v>46108.791666666664</c:v>
                </c:pt>
                <c:pt idx="27" formatCode="m/d/yyyy">
                  <c:v>46109.791666666664</c:v>
                </c:pt>
                <c:pt idx="28" formatCode="m/d/yyyy">
                  <c:v>46110.791666666664</c:v>
                </c:pt>
                <c:pt idx="29" formatCode="m/d/yyyy">
                  <c:v>46111.791666666664</c:v>
                </c:pt>
              </c:numCache>
            </c:numRef>
          </c:xVal>
          <c:yVal>
            <c:numRef>
              <c:f>'Recalculos ST'!$J$47:$J$77</c:f>
              <c:numCache>
                <c:formatCode>General</c:formatCode>
                <c:ptCount val="31"/>
                <c:pt idx="19" formatCode="0">
                  <c:v>189.44527932104438</c:v>
                </c:pt>
                <c:pt idx="20" formatCode="0">
                  <c:v>185.6725392492811</c:v>
                </c:pt>
                <c:pt idx="21" formatCode="0">
                  <c:v>187.19986501152212</c:v>
                </c:pt>
                <c:pt idx="22" formatCode="0">
                  <c:v>186.45718535350878</c:v>
                </c:pt>
                <c:pt idx="23" formatCode="0">
                  <c:v>194.12172282448594</c:v>
                </c:pt>
                <c:pt idx="24" formatCode="0">
                  <c:v>196.13375211783185</c:v>
                </c:pt>
                <c:pt idx="25" formatCode="0">
                  <c:v>206.37811219705148</c:v>
                </c:pt>
                <c:pt idx="26" formatCode="0">
                  <c:v>179.9994673905455</c:v>
                </c:pt>
                <c:pt idx="27" formatCode="0">
                  <c:v>198.68921134188372</c:v>
                </c:pt>
                <c:pt idx="28" formatCode="0">
                  <c:v>193.74617179372615</c:v>
                </c:pt>
                <c:pt idx="29" formatCode="0">
                  <c:v>188.82578344650238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89E-4069-A646-F10528DE2F2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06997296"/>
        <c:axId val="406997776"/>
      </c:scatterChart>
      <c:valAx>
        <c:axId val="406997296"/>
        <c:scaling>
          <c:orientation val="minMax"/>
          <c:max val="45688"/>
          <c:min val="45658"/>
        </c:scaling>
        <c:delete val="0"/>
        <c:axPos val="b"/>
        <c:numFmt formatCode="dd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6997776"/>
        <c:crosses val="autoZero"/>
        <c:crossBetween val="midCat"/>
        <c:majorUnit val="1"/>
      </c:valAx>
      <c:valAx>
        <c:axId val="406997776"/>
        <c:scaling>
          <c:orientation val="minMax"/>
          <c:min val="12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6997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9148625938943751E-2"/>
          <c:y val="0.92512360143254335"/>
          <c:w val="0.86906326412739721"/>
          <c:h val="4.98709953929542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Tratamientos Febrero 2025, [Ktms/día]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 Original'!$B$8:$B$35</c:f>
              <c:numCache>
                <c:formatCode>[$-C0A]d\-mmm\-yy;@</c:formatCode>
                <c:ptCount val="28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</c:numCache>
            </c:numRef>
          </c:cat>
          <c:val>
            <c:numRef>
              <c:f>'ST Original'!$E$8:$E$35</c:f>
              <c:numCache>
                <c:formatCode>#,##0</c:formatCode>
                <c:ptCount val="28"/>
                <c:pt idx="0">
                  <c:v>92511.072796314038</c:v>
                </c:pt>
                <c:pt idx="1">
                  <c:v>166863.09892828096</c:v>
                </c:pt>
                <c:pt idx="2">
                  <c:v>144424.70628770083</c:v>
                </c:pt>
                <c:pt idx="3">
                  <c:v>144860.8459614426</c:v>
                </c:pt>
                <c:pt idx="4">
                  <c:v>150917.77176313917</c:v>
                </c:pt>
                <c:pt idx="5">
                  <c:v>151106.59841900799</c:v>
                </c:pt>
                <c:pt idx="6">
                  <c:v>165609.56401972804</c:v>
                </c:pt>
                <c:pt idx="7">
                  <c:v>202920.17669039228</c:v>
                </c:pt>
                <c:pt idx="8">
                  <c:v>180399.7506785398</c:v>
                </c:pt>
                <c:pt idx="9">
                  <c:v>167995.49863435666</c:v>
                </c:pt>
                <c:pt idx="10">
                  <c:v>194556.4274488097</c:v>
                </c:pt>
                <c:pt idx="11">
                  <c:v>209569.13112126503</c:v>
                </c:pt>
                <c:pt idx="12">
                  <c:v>205123.10200279354</c:v>
                </c:pt>
                <c:pt idx="13">
                  <c:v>191784.90070701367</c:v>
                </c:pt>
                <c:pt idx="14">
                  <c:v>189537.84838868357</c:v>
                </c:pt>
                <c:pt idx="15">
                  <c:v>188417.71772616252</c:v>
                </c:pt>
                <c:pt idx="16">
                  <c:v>187244.92486622711</c:v>
                </c:pt>
                <c:pt idx="17">
                  <c:v>192365.45962490924</c:v>
                </c:pt>
                <c:pt idx="18">
                  <c:v>194700.83935798128</c:v>
                </c:pt>
                <c:pt idx="19">
                  <c:v>196805.52980560993</c:v>
                </c:pt>
                <c:pt idx="20">
                  <c:v>193072.68402239218</c:v>
                </c:pt>
                <c:pt idx="21">
                  <c:v>194603.23060466634</c:v>
                </c:pt>
                <c:pt idx="22">
                  <c:v>191506.83501760333</c:v>
                </c:pt>
                <c:pt idx="23">
                  <c:v>199135.38567405319</c:v>
                </c:pt>
                <c:pt idx="24">
                  <c:v>201251.65792879966</c:v>
                </c:pt>
                <c:pt idx="25">
                  <c:v>209167.58830531855</c:v>
                </c:pt>
                <c:pt idx="26">
                  <c:v>209548.87494626042</c:v>
                </c:pt>
                <c:pt idx="27">
                  <c:v>215593.08832196021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3F-4E71-B054-34FB5440C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995087"/>
        <c:axId val="540994607"/>
      </c:lineChart>
      <c:dateAx>
        <c:axId val="540995087"/>
        <c:scaling>
          <c:orientation val="minMax"/>
        </c:scaling>
        <c:delete val="0"/>
        <c:axPos val="b"/>
        <c:numFmt formatCode="[$-C0A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40994607"/>
        <c:crosses val="autoZero"/>
        <c:auto val="1"/>
        <c:lblOffset val="100"/>
        <c:baseTimeUnit val="days"/>
      </c:dateAx>
      <c:valAx>
        <c:axId val="54099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4099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As en Concentrado, [ppm]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 Original'!$B$8:$B$35</c:f>
              <c:numCache>
                <c:formatCode>[$-C0A]d\-mmm\-yy;@</c:formatCode>
                <c:ptCount val="28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</c:numCache>
            </c:numRef>
          </c:cat>
          <c:val>
            <c:numRef>
              <c:f>'ST Original'!$BJ$8:$BJ$35</c:f>
              <c:numCache>
                <c:formatCode>#,##0</c:formatCode>
                <c:ptCount val="28"/>
                <c:pt idx="0">
                  <c:v>600.34207234819485</c:v>
                </c:pt>
                <c:pt idx="1">
                  <c:v>675.84865319304561</c:v>
                </c:pt>
                <c:pt idx="2">
                  <c:v>900.05945112142399</c:v>
                </c:pt>
                <c:pt idx="3">
                  <c:v>1112.7265679408813</c:v>
                </c:pt>
                <c:pt idx="4">
                  <c:v>831.62929094190508</c:v>
                </c:pt>
                <c:pt idx="5">
                  <c:v>1143.5978479666924</c:v>
                </c:pt>
                <c:pt idx="6">
                  <c:v>2272.6041558781694</c:v>
                </c:pt>
                <c:pt idx="7">
                  <c:v>2601.014043635545</c:v>
                </c:pt>
                <c:pt idx="8">
                  <c:v>1872.4311628687838</c:v>
                </c:pt>
                <c:pt idx="9">
                  <c:v>1522.2488650188866</c:v>
                </c:pt>
                <c:pt idx="10">
                  <c:v>1275.626527835715</c:v>
                </c:pt>
                <c:pt idx="11">
                  <c:v>892.01189025482893</c:v>
                </c:pt>
                <c:pt idx="12">
                  <c:v>1513.1430495963823</c:v>
                </c:pt>
                <c:pt idx="13">
                  <c:v>1249.1840291590972</c:v>
                </c:pt>
                <c:pt idx="14">
                  <c:v>666.79110131167454</c:v>
                </c:pt>
                <c:pt idx="15">
                  <c:v>825.38145800101165</c:v>
                </c:pt>
                <c:pt idx="16">
                  <c:v>960.38933519668933</c:v>
                </c:pt>
                <c:pt idx="17">
                  <c:v>736.7923637868106</c:v>
                </c:pt>
                <c:pt idx="18">
                  <c:v>617.31742335227557</c:v>
                </c:pt>
                <c:pt idx="19">
                  <c:v>565.55207545277312</c:v>
                </c:pt>
                <c:pt idx="20">
                  <c:v>800.37353820495218</c:v>
                </c:pt>
                <c:pt idx="21">
                  <c:v>639.95598107021215</c:v>
                </c:pt>
                <c:pt idx="22">
                  <c:v>1048.4594781946541</c:v>
                </c:pt>
                <c:pt idx="23">
                  <c:v>1472.6437459953477</c:v>
                </c:pt>
                <c:pt idx="24">
                  <c:v>1612.8577320922943</c:v>
                </c:pt>
                <c:pt idx="25">
                  <c:v>1884.4935429972481</c:v>
                </c:pt>
                <c:pt idx="26">
                  <c:v>2222.7786441673038</c:v>
                </c:pt>
                <c:pt idx="27">
                  <c:v>1331.2025893066943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2-4A43-9EF7-9FA81AC23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9522031"/>
        <c:axId val="1409522511"/>
      </c:lineChart>
      <c:dateAx>
        <c:axId val="1409522031"/>
        <c:scaling>
          <c:orientation val="minMax"/>
        </c:scaling>
        <c:delete val="0"/>
        <c:axPos val="b"/>
        <c:numFmt formatCode="[$-C0A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9522511"/>
        <c:crosses val="autoZero"/>
        <c:auto val="1"/>
        <c:lblOffset val="100"/>
        <c:baseTimeUnit val="days"/>
      </c:dateAx>
      <c:valAx>
        <c:axId val="140952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9522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Inventario</a:t>
            </a:r>
            <a:r>
              <a:rPr lang="es-CL" baseline="0"/>
              <a:t> Concentrado, [Tms]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 Original'!$B$8:$B$35</c:f>
              <c:numCache>
                <c:formatCode>[$-C0A]d\-mmm\-yy;@</c:formatCode>
                <c:ptCount val="28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</c:numCache>
            </c:numRef>
          </c:cat>
          <c:val>
            <c:numRef>
              <c:f>'ST Original'!$AS$8:$AS$38</c:f>
            </c:numRef>
          </c:val>
          <c:smooth val="0"/>
          <c:extLst>
            <c:ext xmlns:c16="http://schemas.microsoft.com/office/drawing/2014/chart" uri="{C3380CC4-5D6E-409C-BE32-E72D297353CC}">
              <c16:uniqueId val="{00000000-FE27-4FFC-BAB2-7C3974E60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5732927"/>
        <c:axId val="535734847"/>
      </c:lineChart>
      <c:catAx>
        <c:axId val="535732927"/>
        <c:scaling>
          <c:orientation val="minMax"/>
        </c:scaling>
        <c:delete val="0"/>
        <c:axPos val="b"/>
        <c:numFmt formatCode="[$-C0A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734847"/>
        <c:crosses val="autoZero"/>
        <c:auto val="1"/>
        <c:lblAlgn val="ctr"/>
        <c:lblOffset val="100"/>
        <c:noMultiLvlLbl val="1"/>
      </c:catAx>
      <c:valAx>
        <c:axId val="53573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73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Tratamiento Diario y</a:t>
            </a:r>
            <a:r>
              <a:rPr lang="es-CL" baseline="0"/>
              <a:t> F80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6.9038387902891976E-2"/>
          <c:y val="0.21935589341180317"/>
          <c:w val="0.88319540973580779"/>
          <c:h val="0.53739249979726056"/>
        </c:manualLayout>
      </c:layout>
      <c:barChart>
        <c:barDir val="col"/>
        <c:grouping val="clustered"/>
        <c:varyColors val="0"/>
        <c:ser>
          <c:idx val="0"/>
          <c:order val="0"/>
          <c:tx>
            <c:v>Kton/día</c:v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'ST Original'!$B$8:$B$38</c:f>
              <c:numCache>
                <c:formatCode>[$-C0A]d\-mmm\-yy;@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  <c:pt idx="30">
                  <c:v>46112.791666666664</c:v>
                </c:pt>
              </c:numCache>
            </c:numRef>
          </c:cat>
          <c:val>
            <c:numRef>
              <c:f>'ST Original'!$E$8:$E$38</c:f>
              <c:numCache>
                <c:formatCode>#,##0</c:formatCode>
                <c:ptCount val="31"/>
                <c:pt idx="0">
                  <c:v>92511.072796314038</c:v>
                </c:pt>
                <c:pt idx="1">
                  <c:v>166863.09892828096</c:v>
                </c:pt>
                <c:pt idx="2">
                  <c:v>144424.70628770083</c:v>
                </c:pt>
                <c:pt idx="3">
                  <c:v>144860.8459614426</c:v>
                </c:pt>
                <c:pt idx="4">
                  <c:v>150917.77176313917</c:v>
                </c:pt>
                <c:pt idx="5">
                  <c:v>151106.59841900799</c:v>
                </c:pt>
                <c:pt idx="6">
                  <c:v>165609.56401972804</c:v>
                </c:pt>
                <c:pt idx="7">
                  <c:v>202920.17669039228</c:v>
                </c:pt>
                <c:pt idx="8">
                  <c:v>180399.7506785398</c:v>
                </c:pt>
                <c:pt idx="9">
                  <c:v>167995.49863435666</c:v>
                </c:pt>
                <c:pt idx="10">
                  <c:v>194556.4274488097</c:v>
                </c:pt>
                <c:pt idx="11">
                  <c:v>209569.13112126503</c:v>
                </c:pt>
                <c:pt idx="12">
                  <c:v>205123.10200279354</c:v>
                </c:pt>
                <c:pt idx="13">
                  <c:v>191784.90070701367</c:v>
                </c:pt>
                <c:pt idx="14">
                  <c:v>189537.84838868357</c:v>
                </c:pt>
                <c:pt idx="15">
                  <c:v>188417.71772616252</c:v>
                </c:pt>
                <c:pt idx="16">
                  <c:v>187244.92486622711</c:v>
                </c:pt>
                <c:pt idx="17">
                  <c:v>192365.45962490924</c:v>
                </c:pt>
                <c:pt idx="18">
                  <c:v>194700.83935798128</c:v>
                </c:pt>
                <c:pt idx="19">
                  <c:v>196805.52980560993</c:v>
                </c:pt>
                <c:pt idx="20">
                  <c:v>193072.68402239218</c:v>
                </c:pt>
                <c:pt idx="21">
                  <c:v>194603.23060466634</c:v>
                </c:pt>
                <c:pt idx="22">
                  <c:v>191506.83501760333</c:v>
                </c:pt>
                <c:pt idx="23">
                  <c:v>199135.38567405319</c:v>
                </c:pt>
                <c:pt idx="24">
                  <c:v>201251.65792879966</c:v>
                </c:pt>
                <c:pt idx="25">
                  <c:v>209167.58830531855</c:v>
                </c:pt>
                <c:pt idx="26">
                  <c:v>209548.87494626042</c:v>
                </c:pt>
                <c:pt idx="27">
                  <c:v>215593.08832196021</c:v>
                </c:pt>
                <c:pt idx="28">
                  <c:v>210625.92929803248</c:v>
                </c:pt>
                <c:pt idx="29">
                  <c:v>205689.02707679011</c:v>
                </c:pt>
                <c:pt idx="30">
                  <c:v>309289.50925959361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7F-44B1-BA9B-D1E0F9F53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83321759"/>
        <c:axId val="1783324159"/>
      </c:barChart>
      <c:lineChart>
        <c:grouping val="standard"/>
        <c:varyColors val="0"/>
        <c:ser>
          <c:idx val="1"/>
          <c:order val="1"/>
          <c:tx>
            <c:v>F80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 Original'!$B$8:$B$38</c:f>
              <c:numCache>
                <c:formatCode>[$-C0A]d\-mmm\-yy;@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  <c:pt idx="30">
                  <c:v>46112.791666666664</c:v>
                </c:pt>
              </c:numCache>
            </c:numRef>
          </c:cat>
          <c:val>
            <c:numRef>
              <c:f>'ST Original'!$AX$8:$AX$38</c:f>
              <c:numCache>
                <c:formatCode>0.00</c:formatCode>
                <c:ptCount val="31"/>
                <c:pt idx="0">
                  <c:v>4.3620638704608554</c:v>
                </c:pt>
                <c:pt idx="1">
                  <c:v>4.2904661351674251</c:v>
                </c:pt>
                <c:pt idx="2">
                  <c:v>4.382243459787448</c:v>
                </c:pt>
                <c:pt idx="3">
                  <c:v>4.3497833756289577</c:v>
                </c:pt>
                <c:pt idx="4">
                  <c:v>4.2831893945972972</c:v>
                </c:pt>
                <c:pt idx="5">
                  <c:v>4.1921385801908366</c:v>
                </c:pt>
                <c:pt idx="6">
                  <c:v>3.9116539447405976</c:v>
                </c:pt>
                <c:pt idx="7">
                  <c:v>3.9657877154601224</c:v>
                </c:pt>
                <c:pt idx="8">
                  <c:v>3.9065744520952101</c:v>
                </c:pt>
                <c:pt idx="9">
                  <c:v>4.3054566652213655</c:v>
                </c:pt>
                <c:pt idx="10">
                  <c:v>3.9881238137576656</c:v>
                </c:pt>
                <c:pt idx="11">
                  <c:v>3.8828335976657362</c:v>
                </c:pt>
                <c:pt idx="12">
                  <c:v>3.9894578588539171</c:v>
                </c:pt>
                <c:pt idx="13">
                  <c:v>4.3229710004386748</c:v>
                </c:pt>
                <c:pt idx="14">
                  <c:v>4.3634480186448128</c:v>
                </c:pt>
                <c:pt idx="15">
                  <c:v>4.3247615128562851</c:v>
                </c:pt>
                <c:pt idx="16">
                  <c:v>4.2992734589478818</c:v>
                </c:pt>
                <c:pt idx="17">
                  <c:v>4.3497652831422418</c:v>
                </c:pt>
                <c:pt idx="18">
                  <c:v>4.3674610798957367</c:v>
                </c:pt>
                <c:pt idx="19">
                  <c:v>4.3183355762180522</c:v>
                </c:pt>
                <c:pt idx="20">
                  <c:v>4.3184590964731928</c:v>
                </c:pt>
                <c:pt idx="21">
                  <c:v>4.3493738116910921</c:v>
                </c:pt>
                <c:pt idx="22">
                  <c:v>4.3775371759285386</c:v>
                </c:pt>
                <c:pt idx="23">
                  <c:v>4.2900576356295144</c:v>
                </c:pt>
                <c:pt idx="24">
                  <c:v>4.1703639949699189</c:v>
                </c:pt>
                <c:pt idx="25">
                  <c:v>3.9727736812415437</c:v>
                </c:pt>
                <c:pt idx="26">
                  <c:v>4.1634157910757033</c:v>
                </c:pt>
                <c:pt idx="27">
                  <c:v>4.0382898044277393</c:v>
                </c:pt>
                <c:pt idx="28">
                  <c:v>4.1654771605232419</c:v>
                </c:pt>
                <c:pt idx="29">
                  <c:v>4.2927391645460542</c:v>
                </c:pt>
                <c:pt idx="30">
                  <c:v>4.2248100121044816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7F-44B1-BA9B-D1E0F9F53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3341679"/>
        <c:axId val="2013340719"/>
      </c:lineChart>
      <c:dateAx>
        <c:axId val="1783321759"/>
        <c:scaling>
          <c:orientation val="minMax"/>
        </c:scaling>
        <c:delete val="0"/>
        <c:axPos val="b"/>
        <c:numFmt formatCode="[$-C0A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83324159"/>
        <c:crosses val="autoZero"/>
        <c:auto val="1"/>
        <c:lblOffset val="100"/>
        <c:baseTimeUnit val="days"/>
      </c:dateAx>
      <c:valAx>
        <c:axId val="178332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83321759"/>
        <c:crosses val="autoZero"/>
        <c:crossBetween val="between"/>
      </c:valAx>
      <c:valAx>
        <c:axId val="2013340719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13341679"/>
        <c:crosses val="max"/>
        <c:crossBetween val="between"/>
      </c:valAx>
      <c:dateAx>
        <c:axId val="2013341679"/>
        <c:scaling>
          <c:orientation val="minMax"/>
        </c:scaling>
        <c:delete val="1"/>
        <c:axPos val="b"/>
        <c:numFmt formatCode="[$-C0A]d\-mmm\-yy;@" sourceLinked="1"/>
        <c:majorTickMark val="out"/>
        <c:minorTickMark val="none"/>
        <c:tickLblPos val="nextTo"/>
        <c:crossAx val="2013340719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Variacion Tratamiento PM</a:t>
            </a:r>
            <a:r>
              <a:rPr lang="es-CL" baseline="0"/>
              <a:t> Marzo</a:t>
            </a:r>
            <a:r>
              <a:rPr lang="es-CL"/>
              <a:t> 2026 [Kton/día]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8.3417678751809485E-2"/>
          <c:y val="0.16355555555555557"/>
          <c:w val="0.87544853487589047"/>
          <c:h val="0.60640879486023846"/>
        </c:manualLayout>
      </c:layout>
      <c:lineChart>
        <c:grouping val="standard"/>
        <c:varyColors val="0"/>
        <c:ser>
          <c:idx val="0"/>
          <c:order val="0"/>
          <c:tx>
            <c:v>Modelo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'Plan mina ST'!$L$43:$L$73</c:f>
              <c:numCache>
                <c:formatCode>[$-C0A]d\-mmm;@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  <c:pt idx="30">
                  <c:v>46112.791666666664</c:v>
                </c:pt>
              </c:numCache>
            </c:numRef>
          </c:cat>
          <c:val>
            <c:numRef>
              <c:f>'Plan mina ST'!$X$43:$X$73</c:f>
              <c:numCache>
                <c:formatCode>0</c:formatCode>
                <c:ptCount val="31"/>
                <c:pt idx="0">
                  <c:v>96.111072796314019</c:v>
                </c:pt>
                <c:pt idx="1">
                  <c:v>175.46309892828094</c:v>
                </c:pt>
                <c:pt idx="2">
                  <c:v>151.6247062877008</c:v>
                </c:pt>
                <c:pt idx="3">
                  <c:v>149.66084596144262</c:v>
                </c:pt>
                <c:pt idx="4">
                  <c:v>155.71777176313918</c:v>
                </c:pt>
                <c:pt idx="5">
                  <c:v>155.90659841900799</c:v>
                </c:pt>
                <c:pt idx="6">
                  <c:v>175.60956401972805</c:v>
                </c:pt>
                <c:pt idx="7">
                  <c:v>202.92017669039228</c:v>
                </c:pt>
                <c:pt idx="8">
                  <c:v>180.39975067853979</c:v>
                </c:pt>
                <c:pt idx="9">
                  <c:v>182.09549863435666</c:v>
                </c:pt>
                <c:pt idx="10">
                  <c:v>209.05642744880967</c:v>
                </c:pt>
                <c:pt idx="11">
                  <c:v>216.76913112126499</c:v>
                </c:pt>
                <c:pt idx="12">
                  <c:v>212.32310200279352</c:v>
                </c:pt>
                <c:pt idx="13">
                  <c:v>198.98490070701365</c:v>
                </c:pt>
                <c:pt idx="14">
                  <c:v>196.7378483886836</c:v>
                </c:pt>
                <c:pt idx="15">
                  <c:v>193.21771772616256</c:v>
                </c:pt>
                <c:pt idx="16">
                  <c:v>192.04492486622712</c:v>
                </c:pt>
                <c:pt idx="17">
                  <c:v>197.16545962490926</c:v>
                </c:pt>
                <c:pt idx="18">
                  <c:v>199.50083935798133</c:v>
                </c:pt>
                <c:pt idx="19">
                  <c:v>201.60552980560996</c:v>
                </c:pt>
                <c:pt idx="20">
                  <c:v>195.47268402239217</c:v>
                </c:pt>
                <c:pt idx="21">
                  <c:v>197.00323060466636</c:v>
                </c:pt>
                <c:pt idx="22">
                  <c:v>193.90683501760336</c:v>
                </c:pt>
                <c:pt idx="23">
                  <c:v>199.23538567405319</c:v>
                </c:pt>
                <c:pt idx="24">
                  <c:v>201.25165792879963</c:v>
                </c:pt>
                <c:pt idx="25">
                  <c:v>209.16758830531856</c:v>
                </c:pt>
                <c:pt idx="26">
                  <c:v>209.54887494626041</c:v>
                </c:pt>
                <c:pt idx="27">
                  <c:v>215.59308832196018</c:v>
                </c:pt>
                <c:pt idx="28">
                  <c:v>210.62592929803247</c:v>
                </c:pt>
                <c:pt idx="29">
                  <c:v>205.6890270767901</c:v>
                </c:pt>
                <c:pt idx="30">
                  <c:v>289.94215051999061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A-4B1F-9268-A8BB210FE4DB}"/>
            </c:ext>
          </c:extLst>
        </c:ser>
        <c:ser>
          <c:idx val="2"/>
          <c:order val="1"/>
          <c:tx>
            <c:v>Real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'Plan mina ST'!$L$43:$L$73</c:f>
              <c:numCache>
                <c:formatCode>[$-C0A]d\-mmm;@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  <c:pt idx="30">
                  <c:v>46112.791666666664</c:v>
                </c:pt>
              </c:numCache>
            </c:numRef>
          </c:cat>
          <c:val>
            <c:numRef>
              <c:f>'Plan mina ST'!$O$43:$O$73</c:f>
              <c:numCache>
                <c:formatCode>0</c:formatCode>
                <c:ptCount val="31"/>
                <c:pt idx="0">
                  <c:v>92.511072796314039</c:v>
                </c:pt>
                <c:pt idx="1">
                  <c:v>166.86309892828095</c:v>
                </c:pt>
                <c:pt idx="2">
                  <c:v>144.42470628770081</c:v>
                </c:pt>
                <c:pt idx="3">
                  <c:v>144.86084596144261</c:v>
                </c:pt>
                <c:pt idx="4">
                  <c:v>150.91777176313917</c:v>
                </c:pt>
                <c:pt idx="5">
                  <c:v>151.10659841900798</c:v>
                </c:pt>
                <c:pt idx="6">
                  <c:v>165.60956401972805</c:v>
                </c:pt>
                <c:pt idx="7">
                  <c:v>202.92017669039228</c:v>
                </c:pt>
                <c:pt idx="8">
                  <c:v>180.39975067853979</c:v>
                </c:pt>
                <c:pt idx="9">
                  <c:v>167.99549863435666</c:v>
                </c:pt>
                <c:pt idx="10">
                  <c:v>194.5564274488097</c:v>
                </c:pt>
                <c:pt idx="11">
                  <c:v>209.56913112126503</c:v>
                </c:pt>
                <c:pt idx="12">
                  <c:v>205.12310200279356</c:v>
                </c:pt>
                <c:pt idx="13">
                  <c:v>191.78490070701366</c:v>
                </c:pt>
                <c:pt idx="14">
                  <c:v>189.53784838868359</c:v>
                </c:pt>
                <c:pt idx="15">
                  <c:v>188.41771772616252</c:v>
                </c:pt>
                <c:pt idx="16">
                  <c:v>187.24492486622711</c:v>
                </c:pt>
                <c:pt idx="17">
                  <c:v>192.36545962490925</c:v>
                </c:pt>
                <c:pt idx="18">
                  <c:v>194.70083935798129</c:v>
                </c:pt>
                <c:pt idx="19">
                  <c:v>196.80552980560992</c:v>
                </c:pt>
                <c:pt idx="20">
                  <c:v>193.07268402239217</c:v>
                </c:pt>
                <c:pt idx="21">
                  <c:v>194.60323060466635</c:v>
                </c:pt>
                <c:pt idx="22">
                  <c:v>191.50683501760332</c:v>
                </c:pt>
                <c:pt idx="23">
                  <c:v>199.1353856740532</c:v>
                </c:pt>
                <c:pt idx="24">
                  <c:v>201.25165792879966</c:v>
                </c:pt>
                <c:pt idx="25">
                  <c:v>209.16758830531856</c:v>
                </c:pt>
                <c:pt idx="26">
                  <c:v>209.54887494626041</c:v>
                </c:pt>
                <c:pt idx="27">
                  <c:v>215.59308832196021</c:v>
                </c:pt>
                <c:pt idx="28">
                  <c:v>210.62592929803247</c:v>
                </c:pt>
                <c:pt idx="29">
                  <c:v>205.6890270767901</c:v>
                </c:pt>
                <c:pt idx="30">
                  <c:v>309.28950925959361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2A-4B1F-9268-A8BB210FE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08864"/>
        <c:axId val="157610784"/>
      </c:lineChart>
      <c:dateAx>
        <c:axId val="157608864"/>
        <c:scaling>
          <c:orientation val="minMax"/>
        </c:scaling>
        <c:delete val="0"/>
        <c:axPos val="b"/>
        <c:numFmt formatCode="[$-C0A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7610784"/>
        <c:crosses val="autoZero"/>
        <c:auto val="1"/>
        <c:lblOffset val="100"/>
        <c:baseTimeUnit val="days"/>
      </c:dateAx>
      <c:valAx>
        <c:axId val="157610784"/>
        <c:scaling>
          <c:orientation val="minMax"/>
          <c:max val="320"/>
          <c:min val="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760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006156818667799"/>
          <c:y val="0.91866634507370415"/>
          <c:w val="0.44770115405761812"/>
          <c:h val="5.99471336065229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691290189238508E-2"/>
          <c:y val="0.16355555555555557"/>
          <c:w val="0.89917495908401979"/>
          <c:h val="0.58802478287016968"/>
        </c:manualLayout>
      </c:layout>
      <c:barChart>
        <c:barDir val="col"/>
        <c:grouping val="clustered"/>
        <c:varyColors val="0"/>
        <c:ser>
          <c:idx val="2"/>
          <c:order val="0"/>
          <c:tx>
            <c:v>Tratamiento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'Plan mina ST'!$L$43:$L$73</c:f>
              <c:numCache>
                <c:formatCode>[$-C0A]d\-mmm;@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  <c:pt idx="30">
                  <c:v>46112.791666666664</c:v>
                </c:pt>
              </c:numCache>
            </c:numRef>
          </c:cat>
          <c:val>
            <c:numRef>
              <c:f>'Plan mina ST'!$O$43:$O$73</c:f>
              <c:numCache>
                <c:formatCode>0</c:formatCode>
                <c:ptCount val="31"/>
                <c:pt idx="0">
                  <c:v>92.511072796314039</c:v>
                </c:pt>
                <c:pt idx="1">
                  <c:v>166.86309892828095</c:v>
                </c:pt>
                <c:pt idx="2">
                  <c:v>144.42470628770081</c:v>
                </c:pt>
                <c:pt idx="3">
                  <c:v>144.86084596144261</c:v>
                </c:pt>
                <c:pt idx="4">
                  <c:v>150.91777176313917</c:v>
                </c:pt>
                <c:pt idx="5">
                  <c:v>151.10659841900798</c:v>
                </c:pt>
                <c:pt idx="6">
                  <c:v>165.60956401972805</c:v>
                </c:pt>
                <c:pt idx="7">
                  <c:v>202.92017669039228</c:v>
                </c:pt>
                <c:pt idx="8">
                  <c:v>180.39975067853979</c:v>
                </c:pt>
                <c:pt idx="9">
                  <c:v>167.99549863435666</c:v>
                </c:pt>
                <c:pt idx="10">
                  <c:v>194.5564274488097</c:v>
                </c:pt>
                <c:pt idx="11">
                  <c:v>209.56913112126503</c:v>
                </c:pt>
                <c:pt idx="12">
                  <c:v>205.12310200279356</c:v>
                </c:pt>
                <c:pt idx="13">
                  <c:v>191.78490070701366</c:v>
                </c:pt>
                <c:pt idx="14">
                  <c:v>189.53784838868359</c:v>
                </c:pt>
                <c:pt idx="15">
                  <c:v>188.41771772616252</c:v>
                </c:pt>
                <c:pt idx="16">
                  <c:v>187.24492486622711</c:v>
                </c:pt>
                <c:pt idx="17">
                  <c:v>192.36545962490925</c:v>
                </c:pt>
                <c:pt idx="18">
                  <c:v>194.70083935798129</c:v>
                </c:pt>
                <c:pt idx="19">
                  <c:v>196.80552980560992</c:v>
                </c:pt>
                <c:pt idx="20">
                  <c:v>193.07268402239217</c:v>
                </c:pt>
                <c:pt idx="21">
                  <c:v>194.60323060466635</c:v>
                </c:pt>
                <c:pt idx="22">
                  <c:v>191.50683501760332</c:v>
                </c:pt>
                <c:pt idx="23">
                  <c:v>199.1353856740532</c:v>
                </c:pt>
                <c:pt idx="24">
                  <c:v>201.25165792879966</c:v>
                </c:pt>
                <c:pt idx="25">
                  <c:v>209.16758830531856</c:v>
                </c:pt>
                <c:pt idx="26">
                  <c:v>209.54887494626041</c:v>
                </c:pt>
                <c:pt idx="27">
                  <c:v>215.59308832196021</c:v>
                </c:pt>
                <c:pt idx="28">
                  <c:v>210.62592929803247</c:v>
                </c:pt>
                <c:pt idx="29">
                  <c:v>205.6890270767901</c:v>
                </c:pt>
                <c:pt idx="30">
                  <c:v>309.28950925959361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A9-4244-8370-3EDAF65EF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57608864"/>
        <c:axId val="157610784"/>
      </c:barChart>
      <c:lineChart>
        <c:grouping val="standard"/>
        <c:varyColors val="0"/>
        <c:ser>
          <c:idx val="0"/>
          <c:order val="1"/>
          <c:tx>
            <c:v>STMG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'Plan mina ST'!$L$43:$L$73</c:f>
              <c:numCache>
                <c:formatCode>[$-C0A]d\-mmm;@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  <c:pt idx="30">
                  <c:v>46112.791666666664</c:v>
                </c:pt>
              </c:numCache>
            </c:numRef>
          </c:cat>
          <c:val>
            <c:numRef>
              <c:f>'Plan mina ST'!$N$43:$N$73</c:f>
              <c:numCache>
                <c:formatCode>0</c:formatCode>
                <c:ptCount val="31"/>
                <c:pt idx="0">
                  <c:v>180.00000000031577</c:v>
                </c:pt>
                <c:pt idx="1">
                  <c:v>180.00000000038477</c:v>
                </c:pt>
                <c:pt idx="2">
                  <c:v>190.00000000005014</c:v>
                </c:pt>
                <c:pt idx="3">
                  <c:v>175.91620114159485</c:v>
                </c:pt>
                <c:pt idx="4">
                  <c:v>180.00009726478135</c:v>
                </c:pt>
                <c:pt idx="5">
                  <c:v>159.99999999997914</c:v>
                </c:pt>
                <c:pt idx="6">
                  <c:v>170.00000000024195</c:v>
                </c:pt>
                <c:pt idx="7">
                  <c:v>190.00000000046202</c:v>
                </c:pt>
                <c:pt idx="8">
                  <c:v>170.00000000050824</c:v>
                </c:pt>
                <c:pt idx="9">
                  <c:v>64.238952773866117</c:v>
                </c:pt>
                <c:pt idx="10">
                  <c:v>150.00062475222697</c:v>
                </c:pt>
                <c:pt idx="11">
                  <c:v>220.00061924611668</c:v>
                </c:pt>
                <c:pt idx="12">
                  <c:v>220.0005090867368</c:v>
                </c:pt>
                <c:pt idx="13">
                  <c:v>165.08843244626595</c:v>
                </c:pt>
                <c:pt idx="14">
                  <c:v>197.27098487997907</c:v>
                </c:pt>
                <c:pt idx="15">
                  <c:v>219.99999999989282</c:v>
                </c:pt>
                <c:pt idx="16">
                  <c:v>220.00000000003118</c:v>
                </c:pt>
                <c:pt idx="17">
                  <c:v>184.99999999976203</c:v>
                </c:pt>
                <c:pt idx="18">
                  <c:v>219.99999999969657</c:v>
                </c:pt>
                <c:pt idx="19">
                  <c:v>220.00003021743203</c:v>
                </c:pt>
                <c:pt idx="20">
                  <c:v>185.00002086318861</c:v>
                </c:pt>
                <c:pt idx="21">
                  <c:v>199.99999999970044</c:v>
                </c:pt>
                <c:pt idx="22">
                  <c:v>200.00000000015848</c:v>
                </c:pt>
                <c:pt idx="23">
                  <c:v>184.99999999984698</c:v>
                </c:pt>
                <c:pt idx="24">
                  <c:v>220.00000000043113</c:v>
                </c:pt>
                <c:pt idx="25">
                  <c:v>220.000000000173</c:v>
                </c:pt>
                <c:pt idx="26">
                  <c:v>200.00000000007878</c:v>
                </c:pt>
                <c:pt idx="27">
                  <c:v>185.00000000020901</c:v>
                </c:pt>
                <c:pt idx="28">
                  <c:v>219.99999999977328</c:v>
                </c:pt>
                <c:pt idx="29">
                  <c:v>219.99999999988191</c:v>
                </c:pt>
                <c:pt idx="30">
                  <c:v>185.00000000012909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A9-4244-8370-3EDAF65EFB12}"/>
            </c:ext>
          </c:extLst>
        </c:ser>
        <c:ser>
          <c:idx val="1"/>
          <c:order val="2"/>
          <c:tx>
            <c:v>Stock</c:v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'Plan mina ST'!$L$43:$L$73</c:f>
              <c:numCache>
                <c:formatCode>[$-C0A]d\-mmm;@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  <c:pt idx="30">
                  <c:v>46112.791666666664</c:v>
                </c:pt>
              </c:numCache>
            </c:numRef>
          </c:cat>
          <c:val>
            <c:numRef>
              <c:f>'Plan mina ST'!$M$43:$M$73</c:f>
              <c:numCache>
                <c:formatCode>0</c:formatCode>
                <c:ptCount val="31"/>
                <c:pt idx="0">
                  <c:v>594.9778544076878</c:v>
                </c:pt>
                <c:pt idx="1">
                  <c:v>608.1147554797916</c:v>
                </c:pt>
                <c:pt idx="2">
                  <c:v>653.69004919214092</c:v>
                </c:pt>
                <c:pt idx="3">
                  <c:v>684.74540437229314</c:v>
                </c:pt>
                <c:pt idx="4">
                  <c:v>713.82772987393537</c:v>
                </c:pt>
                <c:pt idx="5">
                  <c:v>722.72113145490653</c:v>
                </c:pt>
                <c:pt idx="6">
                  <c:v>727.1115674354204</c:v>
                </c:pt>
                <c:pt idx="7">
                  <c:v>714.19139074549014</c:v>
                </c:pt>
                <c:pt idx="8">
                  <c:v>703.79164006745862</c:v>
                </c:pt>
                <c:pt idx="9">
                  <c:v>600.0350942069681</c:v>
                </c:pt>
                <c:pt idx="10">
                  <c:v>555.47929151038534</c:v>
                </c:pt>
                <c:pt idx="11">
                  <c:v>565.91077963523696</c:v>
                </c:pt>
                <c:pt idx="12">
                  <c:v>580.7881867191802</c:v>
                </c:pt>
                <c:pt idx="13">
                  <c:v>554.09171845843252</c:v>
                </c:pt>
                <c:pt idx="14">
                  <c:v>561.82485494972798</c:v>
                </c:pt>
                <c:pt idx="15">
                  <c:v>593.40713722345822</c:v>
                </c:pt>
                <c:pt idx="16">
                  <c:v>626.16221235726221</c:v>
                </c:pt>
                <c:pt idx="17">
                  <c:v>618.79675273211501</c:v>
                </c:pt>
                <c:pt idx="18">
                  <c:v>644.09591337383029</c:v>
                </c:pt>
                <c:pt idx="19">
                  <c:v>667.29041378565239</c:v>
                </c:pt>
                <c:pt idx="20">
                  <c:v>659.21775062644883</c:v>
                </c:pt>
                <c:pt idx="21">
                  <c:v>664.61452002148292</c:v>
                </c:pt>
                <c:pt idx="22">
                  <c:v>673.1076850040381</c:v>
                </c:pt>
                <c:pt idx="23">
                  <c:v>658.97229932983191</c:v>
                </c:pt>
                <c:pt idx="24">
                  <c:v>677.72064140146335</c:v>
                </c:pt>
                <c:pt idx="25">
                  <c:v>688.55305309631785</c:v>
                </c:pt>
                <c:pt idx="26">
                  <c:v>679.00417815013623</c:v>
                </c:pt>
                <c:pt idx="27">
                  <c:v>648.41108982838512</c:v>
                </c:pt>
                <c:pt idx="28">
                  <c:v>657.78516053012595</c:v>
                </c:pt>
                <c:pt idx="29">
                  <c:v>672.0961334532177</c:v>
                </c:pt>
                <c:pt idx="30">
                  <c:v>547.80662419375312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A9-4244-8370-3EDAF65EF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08864"/>
        <c:axId val="157610784"/>
      </c:lineChart>
      <c:dateAx>
        <c:axId val="157608864"/>
        <c:scaling>
          <c:orientation val="minMax"/>
        </c:scaling>
        <c:delete val="0"/>
        <c:axPos val="b"/>
        <c:numFmt formatCode="[$-C0A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7610784"/>
        <c:crosses val="autoZero"/>
        <c:auto val="1"/>
        <c:lblOffset val="100"/>
        <c:baseTimeUnit val="days"/>
      </c:dateAx>
      <c:valAx>
        <c:axId val="157610784"/>
        <c:scaling>
          <c:orientation val="minMax"/>
          <c:max val="800"/>
          <c:min val="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760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340729790297021"/>
          <c:y val="0.91135909995719921"/>
          <c:w val="0.29399753055635375"/>
          <c:h val="5.99471336065229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Envio STC Marzo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8.3997916451335947E-2"/>
          <c:y val="0.19978745863288827"/>
          <c:w val="0.82321291697836319"/>
          <c:h val="0.58731684354673053"/>
        </c:manualLayout>
      </c:layout>
      <c:barChart>
        <c:barDir val="col"/>
        <c:grouping val="clustered"/>
        <c:varyColors val="0"/>
        <c:ser>
          <c:idx val="0"/>
          <c:order val="0"/>
          <c:tx>
            <c:v>Envio STC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'Plan mina ST'!$L$43:$L$73</c:f>
              <c:numCache>
                <c:formatCode>[$-C0A]d\-mmm;@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  <c:pt idx="30">
                  <c:v>46112.791666666664</c:v>
                </c:pt>
              </c:numCache>
            </c:numRef>
          </c:cat>
          <c:val>
            <c:numRef>
              <c:f>'ST Original'!$AK$8:$AK$38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2990</c:v>
                </c:pt>
                <c:pt idx="3">
                  <c:v>2990</c:v>
                </c:pt>
                <c:pt idx="4">
                  <c:v>2990</c:v>
                </c:pt>
                <c:pt idx="5">
                  <c:v>2990</c:v>
                </c:pt>
                <c:pt idx="6">
                  <c:v>2990</c:v>
                </c:pt>
                <c:pt idx="7">
                  <c:v>2990</c:v>
                </c:pt>
                <c:pt idx="8">
                  <c:v>0</c:v>
                </c:pt>
                <c:pt idx="9">
                  <c:v>4366</c:v>
                </c:pt>
                <c:pt idx="10">
                  <c:v>4366</c:v>
                </c:pt>
                <c:pt idx="11">
                  <c:v>4366</c:v>
                </c:pt>
                <c:pt idx="12">
                  <c:v>4366</c:v>
                </c:pt>
                <c:pt idx="13">
                  <c:v>4366</c:v>
                </c:pt>
                <c:pt idx="14">
                  <c:v>2990</c:v>
                </c:pt>
                <c:pt idx="15">
                  <c:v>2990</c:v>
                </c:pt>
                <c:pt idx="16">
                  <c:v>2990</c:v>
                </c:pt>
                <c:pt idx="17">
                  <c:v>2990</c:v>
                </c:pt>
                <c:pt idx="18">
                  <c:v>2990</c:v>
                </c:pt>
                <c:pt idx="19">
                  <c:v>2990</c:v>
                </c:pt>
                <c:pt idx="20">
                  <c:v>4366</c:v>
                </c:pt>
                <c:pt idx="21">
                  <c:v>4366</c:v>
                </c:pt>
                <c:pt idx="22">
                  <c:v>4366</c:v>
                </c:pt>
                <c:pt idx="23">
                  <c:v>4366</c:v>
                </c:pt>
                <c:pt idx="24">
                  <c:v>4366</c:v>
                </c:pt>
                <c:pt idx="25">
                  <c:v>4366</c:v>
                </c:pt>
                <c:pt idx="26">
                  <c:v>4366</c:v>
                </c:pt>
                <c:pt idx="27">
                  <c:v>4366</c:v>
                </c:pt>
                <c:pt idx="28">
                  <c:v>4366</c:v>
                </c:pt>
                <c:pt idx="29">
                  <c:v>4366</c:v>
                </c:pt>
                <c:pt idx="30">
                  <c:v>4366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BD-43ED-BD50-1DAE8C8AD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57608864"/>
        <c:axId val="157610784"/>
      </c:barChart>
      <c:lineChart>
        <c:grouping val="standard"/>
        <c:varyColors val="0"/>
        <c:ser>
          <c:idx val="1"/>
          <c:order val="1"/>
          <c:tx>
            <c:v>Concentrado Producido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'ST Original'!$O$8:$O$38</c:f>
              <c:numCache>
                <c:formatCode>#,##0</c:formatCode>
                <c:ptCount val="31"/>
                <c:pt idx="0">
                  <c:v>1463.0330727479554</c:v>
                </c:pt>
                <c:pt idx="1">
                  <c:v>2672.3851878727478</c:v>
                </c:pt>
                <c:pt idx="2">
                  <c:v>2216.6115750776935</c:v>
                </c:pt>
                <c:pt idx="3">
                  <c:v>2313.8490400997584</c:v>
                </c:pt>
                <c:pt idx="4">
                  <c:v>2500.0029699779629</c:v>
                </c:pt>
                <c:pt idx="5">
                  <c:v>2791.9596992475977</c:v>
                </c:pt>
                <c:pt idx="6">
                  <c:v>3403.0292033892138</c:v>
                </c:pt>
                <c:pt idx="7">
                  <c:v>3953.8202768151364</c:v>
                </c:pt>
                <c:pt idx="8">
                  <c:v>3717.8219958657969</c:v>
                </c:pt>
                <c:pt idx="9">
                  <c:v>3538.1846492588006</c:v>
                </c:pt>
                <c:pt idx="10">
                  <c:v>3573.5840270533877</c:v>
                </c:pt>
                <c:pt idx="11">
                  <c:v>3453.8396878561921</c:v>
                </c:pt>
                <c:pt idx="12">
                  <c:v>3403.3874176114095</c:v>
                </c:pt>
                <c:pt idx="13">
                  <c:v>2855.9933074574506</c:v>
                </c:pt>
                <c:pt idx="14">
                  <c:v>2807.7294668069771</c:v>
                </c:pt>
                <c:pt idx="15">
                  <c:v>3326.5242019084485</c:v>
                </c:pt>
                <c:pt idx="16">
                  <c:v>3316.8274150967682</c:v>
                </c:pt>
                <c:pt idx="17">
                  <c:v>3632.4211664982063</c:v>
                </c:pt>
                <c:pt idx="18">
                  <c:v>3610.6050996937756</c:v>
                </c:pt>
                <c:pt idx="19">
                  <c:v>3391.9085359484216</c:v>
                </c:pt>
                <c:pt idx="20">
                  <c:v>3385.9909628403943</c:v>
                </c:pt>
                <c:pt idx="21">
                  <c:v>3503.7034300578671</c:v>
                </c:pt>
                <c:pt idx="22">
                  <c:v>3273.2138555551828</c:v>
                </c:pt>
                <c:pt idx="23">
                  <c:v>3717.5461734395567</c:v>
                </c:pt>
                <c:pt idx="24">
                  <c:v>3726.3550181943365</c:v>
                </c:pt>
                <c:pt idx="25">
                  <c:v>3996.3078155678249</c:v>
                </c:pt>
                <c:pt idx="26">
                  <c:v>4142.4073862917176</c:v>
                </c:pt>
                <c:pt idx="27">
                  <c:v>4461.1844597926402</c:v>
                </c:pt>
                <c:pt idx="28">
                  <c:v>4138.0015993722654</c:v>
                </c:pt>
                <c:pt idx="29">
                  <c:v>3776.3973426152384</c:v>
                </c:pt>
                <c:pt idx="30">
                  <c:v>5688.8408911197957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2E-4288-BF85-5386BC90A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4581168"/>
        <c:axId val="754572528"/>
      </c:lineChart>
      <c:dateAx>
        <c:axId val="157608864"/>
        <c:scaling>
          <c:orientation val="minMax"/>
        </c:scaling>
        <c:delete val="0"/>
        <c:axPos val="b"/>
        <c:numFmt formatCode="[$-C0A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7610784"/>
        <c:crosses val="autoZero"/>
        <c:auto val="1"/>
        <c:lblOffset val="100"/>
        <c:baseTimeUnit val="days"/>
      </c:dateAx>
      <c:valAx>
        <c:axId val="157610784"/>
        <c:scaling>
          <c:orientation val="minMax"/>
          <c:max val="8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Envio</a:t>
                </a:r>
                <a:r>
                  <a:rPr lang="es-CL" baseline="0"/>
                  <a:t> de concentrado STC (TMS)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7608864"/>
        <c:crosses val="autoZero"/>
        <c:crossBetween val="between"/>
      </c:valAx>
      <c:valAx>
        <c:axId val="7545725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Concentrado Producido (TMS)</a:t>
                </a:r>
              </a:p>
            </c:rich>
          </c:tx>
          <c:layout>
            <c:manualLayout>
              <c:xMode val="edge"/>
              <c:yMode val="edge"/>
              <c:x val="0.95653150548671229"/>
              <c:y val="0.215256395189407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54581168"/>
        <c:crosses val="max"/>
        <c:crossBetween val="between"/>
      </c:valAx>
      <c:catAx>
        <c:axId val="754581168"/>
        <c:scaling>
          <c:orientation val="minMax"/>
        </c:scaling>
        <c:delete val="1"/>
        <c:axPos val="b"/>
        <c:majorTickMark val="out"/>
        <c:minorTickMark val="none"/>
        <c:tickLblPos val="nextTo"/>
        <c:crossAx val="7545725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017245560946357"/>
          <c:y val="0.94064100196430656"/>
          <c:w val="0.74503851315530711"/>
          <c:h val="5.82736940491134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Ley de Concol PM Marzo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0836654886938762"/>
          <c:y val="0.19978745863288827"/>
          <c:w val="0.83620955342449688"/>
          <c:h val="0.58731684354673053"/>
        </c:manualLayout>
      </c:layout>
      <c:lineChart>
        <c:grouping val="standard"/>
        <c:varyColors val="0"/>
        <c:ser>
          <c:idx val="1"/>
          <c:order val="0"/>
          <c:tx>
            <c:v>Ley de concol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 Original'!$N$8:$N$38</c:f>
              <c:numCache>
                <c:formatCode>#,##0.0</c:formatCode>
                <c:ptCount val="31"/>
                <c:pt idx="0">
                  <c:v>30.850432592347524</c:v>
                </c:pt>
                <c:pt idx="1">
                  <c:v>29.134132599024685</c:v>
                </c:pt>
                <c:pt idx="2">
                  <c:v>29.410557320073053</c:v>
                </c:pt>
                <c:pt idx="3">
                  <c:v>27.75556816154316</c:v>
                </c:pt>
                <c:pt idx="4">
                  <c:v>27.081789545143941</c:v>
                </c:pt>
                <c:pt idx="5">
                  <c:v>25.963682552608038</c:v>
                </c:pt>
                <c:pt idx="6">
                  <c:v>22.273176938850266</c:v>
                </c:pt>
                <c:pt idx="7">
                  <c:v>22.685636281349066</c:v>
                </c:pt>
                <c:pt idx="8">
                  <c:v>22.370136588735768</c:v>
                </c:pt>
                <c:pt idx="9">
                  <c:v>23.946767218343805</c:v>
                </c:pt>
                <c:pt idx="10">
                  <c:v>25.346686511879629</c:v>
                </c:pt>
                <c:pt idx="11">
                  <c:v>25.079636186181251</c:v>
                </c:pt>
                <c:pt idx="12">
                  <c:v>27.48949315042346</c:v>
                </c:pt>
                <c:pt idx="13">
                  <c:v>29.815510333934824</c:v>
                </c:pt>
                <c:pt idx="14">
                  <c:v>30.189318413634609</c:v>
                </c:pt>
                <c:pt idx="15">
                  <c:v>28.488910364507881</c:v>
                </c:pt>
                <c:pt idx="16">
                  <c:v>27.911463669552148</c:v>
                </c:pt>
                <c:pt idx="17">
                  <c:v>27.392396331005557</c:v>
                </c:pt>
                <c:pt idx="18">
                  <c:v>27.98518896538231</c:v>
                </c:pt>
                <c:pt idx="19">
                  <c:v>28.477234564178254</c:v>
                </c:pt>
                <c:pt idx="20">
                  <c:v>27.716210748744583</c:v>
                </c:pt>
                <c:pt idx="21">
                  <c:v>30.291011915290664</c:v>
                </c:pt>
                <c:pt idx="22">
                  <c:v>29.00637430726275</c:v>
                </c:pt>
                <c:pt idx="23">
                  <c:v>26.705241224231788</c:v>
                </c:pt>
                <c:pt idx="24">
                  <c:v>24.113319660599188</c:v>
                </c:pt>
                <c:pt idx="25">
                  <c:v>25.237979789437635</c:v>
                </c:pt>
                <c:pt idx="26">
                  <c:v>26.753175806139513</c:v>
                </c:pt>
                <c:pt idx="27">
                  <c:v>25.41389590416216</c:v>
                </c:pt>
                <c:pt idx="28">
                  <c:v>26.613948682597318</c:v>
                </c:pt>
                <c:pt idx="29">
                  <c:v>27.633995175069714</c:v>
                </c:pt>
                <c:pt idx="30">
                  <c:v>27.614292362477695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CF-4B90-9330-708FB0281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08864"/>
        <c:axId val="157610784"/>
      </c:lineChart>
      <c:catAx>
        <c:axId val="157608864"/>
        <c:scaling>
          <c:orientation val="minMax"/>
        </c:scaling>
        <c:delete val="0"/>
        <c:axPos val="b"/>
        <c:numFmt formatCode="[$-C0A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7610784"/>
        <c:crosses val="autoZero"/>
        <c:auto val="1"/>
        <c:lblAlgn val="ctr"/>
        <c:lblOffset val="100"/>
        <c:noMultiLvlLbl val="0"/>
      </c:catAx>
      <c:valAx>
        <c:axId val="157610784"/>
        <c:scaling>
          <c:orientation val="minMax"/>
          <c:max val="35"/>
          <c:min val="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Ley de concol (%)</a:t>
                </a:r>
              </a:p>
            </c:rich>
          </c:tx>
          <c:layout>
            <c:manualLayout>
              <c:xMode val="edge"/>
              <c:yMode val="edge"/>
              <c:x val="1.7881764958203622E-2"/>
              <c:y val="0.199787526559180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760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479359984728137"/>
          <c:y val="0.92642631627568295"/>
          <c:w val="0.74503851315530711"/>
          <c:h val="5.82736940491134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j-ea"/>
                <a:cs typeface="Arial" panose="020B0604020202020204" pitchFamily="34" charset="0"/>
              </a:defRPr>
            </a:pPr>
            <a:r>
              <a:rPr lang="es-CL" sz="1200"/>
              <a:t>Cobre Fino Producido - Real vs ST</a:t>
            </a:r>
          </a:p>
        </c:rich>
      </c:tx>
      <c:layout>
        <c:manualLayout>
          <c:xMode val="edge"/>
          <c:yMode val="edge"/>
          <c:x val="0.31534835006561479"/>
          <c:y val="2.61404365795959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7.4381752007151219E-2"/>
          <c:y val="0.15727829342056876"/>
          <c:w val="0.90882293234350342"/>
          <c:h val="0.643989209008227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'[20]Control Producción'!$C$2:$H$2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00778B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'[20]Control Producción'!$H$4:$H$34</c:f>
              <c:numCache>
                <c:formatCode>General</c:formatCode>
                <c:ptCount val="31"/>
                <c:pt idx="0">
                  <c:v>913.00329509824667</c:v>
                </c:pt>
                <c:pt idx="1">
                  <c:v>820.78819306471894</c:v>
                </c:pt>
                <c:pt idx="2">
                  <c:v>853.21268027225494</c:v>
                </c:pt>
                <c:pt idx="3">
                  <c:v>913.03440444079251</c:v>
                </c:pt>
                <c:pt idx="4">
                  <c:v>639.07695854464612</c:v>
                </c:pt>
                <c:pt idx="5">
                  <c:v>691.93614459673108</c:v>
                </c:pt>
                <c:pt idx="6">
                  <c:v>873.69518087180063</c:v>
                </c:pt>
                <c:pt idx="7">
                  <c:v>830.47160219979753</c:v>
                </c:pt>
                <c:pt idx="8">
                  <c:v>735.53286542672674</c:v>
                </c:pt>
                <c:pt idx="9">
                  <c:v>710.82162173870279</c:v>
                </c:pt>
                <c:pt idx="10">
                  <c:v>793.54816552856573</c:v>
                </c:pt>
                <c:pt idx="11">
                  <c:v>775.69396790632265</c:v>
                </c:pt>
                <c:pt idx="12">
                  <c:v>822.11623246933573</c:v>
                </c:pt>
                <c:pt idx="13">
                  <c:v>767.09452864307764</c:v>
                </c:pt>
                <c:pt idx="14">
                  <c:v>862.50414149185133</c:v>
                </c:pt>
                <c:pt idx="15">
                  <c:v>892.95899820632974</c:v>
                </c:pt>
                <c:pt idx="16">
                  <c:v>952.88635062090282</c:v>
                </c:pt>
                <c:pt idx="17">
                  <c:v>892.36988425966854</c:v>
                </c:pt>
                <c:pt idx="18">
                  <c:v>890.94609442254898</c:v>
                </c:pt>
                <c:pt idx="19">
                  <c:v>1040.2941049953715</c:v>
                </c:pt>
                <c:pt idx="20">
                  <c:v>906.62299978367957</c:v>
                </c:pt>
                <c:pt idx="21">
                  <c:v>909.75749501808366</c:v>
                </c:pt>
                <c:pt idx="22">
                  <c:v>1047.646615195602</c:v>
                </c:pt>
                <c:pt idx="23">
                  <c:v>1092.8708008599565</c:v>
                </c:pt>
                <c:pt idx="24">
                  <c:v>1024.3866890440502</c:v>
                </c:pt>
                <c:pt idx="25">
                  <c:v>1046.4639103948352</c:v>
                </c:pt>
                <c:pt idx="26">
                  <c:v>930.42374453356297</c:v>
                </c:pt>
                <c:pt idx="27">
                  <c:v>959.19796980576962</c:v>
                </c:pt>
                <c:pt idx="28">
                  <c:v>982.55701091099547</c:v>
                </c:pt>
                <c:pt idx="29">
                  <c:v>855.52533463418536</c:v>
                </c:pt>
                <c:pt idx="30">
                  <c:v>824.37315697846816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D-4BF2-A51A-5AC9E2AC0BCA}"/>
            </c:ext>
          </c:extLst>
        </c:ser>
        <c:ser>
          <c:idx val="1"/>
          <c:order val="1"/>
          <c:tx>
            <c:strRef>
              <c:f>'[20]Control Producción'!$K$2:$P$2</c:f>
              <c:strCache>
                <c:ptCount val="1"/>
                <c:pt idx="0">
                  <c:v>ST</c:v>
                </c:pt>
              </c:strCache>
            </c:strRef>
          </c:tx>
          <c:spPr>
            <a:solidFill>
              <a:srgbClr val="64CCC9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'[20]Control Producción'!$P$4:$P$34</c:f>
              <c:numCache>
                <c:formatCode>General</c:formatCode>
                <c:ptCount val="31"/>
                <c:pt idx="0">
                  <c:v>961.6849109777462</c:v>
                </c:pt>
                <c:pt idx="1">
                  <c:v>758.1200745538282</c:v>
                </c:pt>
                <c:pt idx="2">
                  <c:v>1034.3152756681757</c:v>
                </c:pt>
                <c:pt idx="3">
                  <c:v>953.15257414548296</c:v>
                </c:pt>
                <c:pt idx="4">
                  <c:v>894.11387428584646</c:v>
                </c:pt>
                <c:pt idx="5">
                  <c:v>1079.1858101397493</c:v>
                </c:pt>
                <c:pt idx="6">
                  <c:v>976.84315991111282</c:v>
                </c:pt>
                <c:pt idx="7">
                  <c:v>926.96411563516767</c:v>
                </c:pt>
                <c:pt idx="8">
                  <c:v>948.54283650428727</c:v>
                </c:pt>
                <c:pt idx="9">
                  <c:v>1044.885466199461</c:v>
                </c:pt>
                <c:pt idx="10">
                  <c:v>941.29228148123366</c:v>
                </c:pt>
                <c:pt idx="11">
                  <c:v>992.04446115417875</c:v>
                </c:pt>
                <c:pt idx="12">
                  <c:v>888.69478277139569</c:v>
                </c:pt>
                <c:pt idx="13">
                  <c:v>1017.4103470514535</c:v>
                </c:pt>
                <c:pt idx="14">
                  <c:v>1139.7565787926878</c:v>
                </c:pt>
                <c:pt idx="15">
                  <c:v>1006.5510792820469</c:v>
                </c:pt>
                <c:pt idx="16">
                  <c:v>1066.6493631353937</c:v>
                </c:pt>
                <c:pt idx="17">
                  <c:v>1020.0582805764643</c:v>
                </c:pt>
                <c:pt idx="18">
                  <c:v>929.71208921625475</c:v>
                </c:pt>
                <c:pt idx="19">
                  <c:v>1056.9183359231856</c:v>
                </c:pt>
                <c:pt idx="20">
                  <c:v>1032.0895033404508</c:v>
                </c:pt>
                <c:pt idx="21">
                  <c:v>1226.1619201122255</c:v>
                </c:pt>
                <c:pt idx="22">
                  <c:v>1401.5514441224866</c:v>
                </c:pt>
                <c:pt idx="23">
                  <c:v>1311.3209734170775</c:v>
                </c:pt>
                <c:pt idx="24">
                  <c:v>1225.9844261268715</c:v>
                </c:pt>
                <c:pt idx="25">
                  <c:v>1132.0810471241414</c:v>
                </c:pt>
                <c:pt idx="26">
                  <c:v>1237.5775263368275</c:v>
                </c:pt>
                <c:pt idx="27">
                  <c:v>1245.7747023751556</c:v>
                </c:pt>
                <c:pt idx="28">
                  <c:v>1036.2069381280355</c:v>
                </c:pt>
                <c:pt idx="29">
                  <c:v>1038.6281691582781</c:v>
                </c:pt>
                <c:pt idx="30">
                  <c:v>1524.9569646934931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D-4BF2-A51A-5AC9E2AC0BC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5"/>
        <c:axId val="1995108064"/>
        <c:axId val="1995096064"/>
      </c:barChart>
      <c:catAx>
        <c:axId val="1995108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995096064"/>
        <c:crosses val="autoZero"/>
        <c:auto val="1"/>
        <c:lblAlgn val="ctr"/>
        <c:lblOffset val="100"/>
        <c:noMultiLvlLbl val="0"/>
      </c:catAx>
      <c:valAx>
        <c:axId val="199509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99510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08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L"/>
              <a:t>Delta CuFino Producido Octubre Real vs 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08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0673823251183807"/>
          <c:y val="0.14839823551019252"/>
          <c:w val="0.87575381505278194"/>
          <c:h val="0.59097911510400913"/>
        </c:manualLayout>
      </c:layout>
      <c:barChart>
        <c:barDir val="col"/>
        <c:grouping val="clustered"/>
        <c:varyColors val="0"/>
        <c:ser>
          <c:idx val="0"/>
          <c:order val="0"/>
          <c:tx>
            <c:v>dif.</c:v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39E-4B3C-B60B-0AA34F6DE3B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39E-4B3C-B60B-0AA34F6DE3B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39E-4B3C-B60B-0AA34F6DE3B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39E-4B3C-B60B-0AA34F6DE3B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39E-4B3C-B60B-0AA34F6DE3B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39E-4B3C-B60B-0AA34F6DE3B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39E-4B3C-B60B-0AA34F6DE3B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39E-4B3C-B60B-0AA34F6DE3B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39E-4B3C-B60B-0AA34F6DE3B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39E-4B3C-B60B-0AA34F6DE3B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D39E-4B3C-B60B-0AA34F6DE3BA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D39E-4B3C-B60B-0AA34F6DE3BA}"/>
              </c:ext>
            </c:extLst>
          </c:dPt>
          <c:dLbls>
            <c:dLbl>
              <c:idx val="2"/>
              <c:layout>
                <c:manualLayout>
                  <c:x val="0"/>
                  <c:y val="0.1515326082806561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9E-4B3C-B60B-0AA34F6DE3BA}"/>
                </c:ext>
              </c:extLst>
            </c:dLbl>
            <c:dLbl>
              <c:idx val="3"/>
              <c:layout>
                <c:manualLayout>
                  <c:x val="0"/>
                  <c:y val="0.1065958530158364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39E-4B3C-B60B-0AA34F6DE3BA}"/>
                </c:ext>
              </c:extLst>
            </c:dLbl>
            <c:dLbl>
              <c:idx val="4"/>
              <c:layout>
                <c:manualLayout>
                  <c:x val="-6.385200232608711E-17"/>
                  <c:y val="0.174679265721140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39E-4B3C-B60B-0AA34F6DE3BA}"/>
                </c:ext>
              </c:extLst>
            </c:dLbl>
            <c:dLbl>
              <c:idx val="5"/>
              <c:layout>
                <c:manualLayout>
                  <c:x val="1.7414383622690276E-3"/>
                  <c:y val="0.1878512399765786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39E-4B3C-B60B-0AA34F6DE3B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 algn="ctr"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'[20]Control Producción'!$V$4:$V$16</c:f>
              <c:numCache>
                <c:formatCode>General</c:formatCode>
                <c:ptCount val="13"/>
                <c:pt idx="0">
                  <c:v>-48.681615879499532</c:v>
                </c:pt>
                <c:pt idx="1">
                  <c:v>62.668118510890736</c:v>
                </c:pt>
                <c:pt idx="2">
                  <c:v>-181.10259539592073</c:v>
                </c:pt>
                <c:pt idx="3">
                  <c:v>-40.118169704690445</c:v>
                </c:pt>
                <c:pt idx="4">
                  <c:v>-255.03691574120035</c:v>
                </c:pt>
                <c:pt idx="5">
                  <c:v>-387.24966554301818</c:v>
                </c:pt>
                <c:pt idx="6">
                  <c:v>-103.14797903931219</c:v>
                </c:pt>
                <c:pt idx="7">
                  <c:v>-96.492513435370142</c:v>
                </c:pt>
                <c:pt idx="8">
                  <c:v>-213.00997107756052</c:v>
                </c:pt>
                <c:pt idx="9">
                  <c:v>-334.06384446075822</c:v>
                </c:pt>
                <c:pt idx="10">
                  <c:v>-147.74411595266793</c:v>
                </c:pt>
                <c:pt idx="11">
                  <c:v>-216.35049324785609</c:v>
                </c:pt>
                <c:pt idx="12">
                  <c:v>-66.578550302059966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39E-4B3C-B60B-0AA34F6DE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108064"/>
        <c:axId val="1995096064"/>
      </c:barChart>
      <c:lineChart>
        <c:grouping val="standard"/>
        <c:varyColors val="0"/>
        <c:ser>
          <c:idx val="1"/>
          <c:order val="1"/>
          <c:spPr>
            <a:ln w="19050" cap="rnd">
              <a:solidFill>
                <a:srgbClr val="64CCC9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64CCC9"/>
              </a:solidFill>
              <a:ln w="9525">
                <a:noFill/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39E-4B3C-B60B-0AA34F6DE3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 algn="ctr"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'[20]Control Producción'!$AB$4:$AB$34</c:f>
              <c:numCache>
                <c:formatCode>General</c:formatCode>
                <c:ptCount val="31"/>
                <c:pt idx="0">
                  <c:v>-48.681615879499532</c:v>
                </c:pt>
                <c:pt idx="1">
                  <c:v>13.986502631391204</c:v>
                </c:pt>
                <c:pt idx="2">
                  <c:v>-167.11609276452953</c:v>
                </c:pt>
                <c:pt idx="3">
                  <c:v>-207.23426246921997</c:v>
                </c:pt>
                <c:pt idx="4">
                  <c:v>-462.27117821042032</c:v>
                </c:pt>
                <c:pt idx="5">
                  <c:v>-849.5208437534385</c:v>
                </c:pt>
                <c:pt idx="6">
                  <c:v>-952.66882279275069</c:v>
                </c:pt>
                <c:pt idx="7">
                  <c:v>-1049.1613362281209</c:v>
                </c:pt>
                <c:pt idx="8">
                  <c:v>-1262.1713073056815</c:v>
                </c:pt>
                <c:pt idx="9">
                  <c:v>-1596.2351517664397</c:v>
                </c:pt>
                <c:pt idx="10">
                  <c:v>-1743.9792677191076</c:v>
                </c:pt>
                <c:pt idx="11">
                  <c:v>-1960.3297609669637</c:v>
                </c:pt>
                <c:pt idx="12">
                  <c:v>-2026.9083112690237</c:v>
                </c:pt>
                <c:pt idx="13">
                  <c:v>-2277.2241296773996</c:v>
                </c:pt>
                <c:pt idx="14">
                  <c:v>-2554.476566978236</c:v>
                </c:pt>
                <c:pt idx="15">
                  <c:v>-2668.068648053953</c:v>
                </c:pt>
                <c:pt idx="16">
                  <c:v>-2781.831660568444</c:v>
                </c:pt>
                <c:pt idx="17">
                  <c:v>-2909.5200568852397</c:v>
                </c:pt>
                <c:pt idx="18">
                  <c:v>-2948.2860516789456</c:v>
                </c:pt>
                <c:pt idx="19">
                  <c:v>-2964.9102826067597</c:v>
                </c:pt>
                <c:pt idx="20">
                  <c:v>-3090.3767861635311</c:v>
                </c:pt>
                <c:pt idx="21">
                  <c:v>-3406.781211257673</c:v>
                </c:pt>
                <c:pt idx="22">
                  <c:v>-3760.6860401845579</c:v>
                </c:pt>
                <c:pt idx="23">
                  <c:v>-3979.1362127416787</c:v>
                </c:pt>
                <c:pt idx="24">
                  <c:v>-4180.7339498245001</c:v>
                </c:pt>
                <c:pt idx="25">
                  <c:v>-4266.3510865538065</c:v>
                </c:pt>
                <c:pt idx="26">
                  <c:v>-4573.5048683570712</c:v>
                </c:pt>
                <c:pt idx="27">
                  <c:v>-4860.0816009264572</c:v>
                </c:pt>
                <c:pt idx="28">
                  <c:v>-4913.7315281434976</c:v>
                </c:pt>
                <c:pt idx="29">
                  <c:v>-5096.8343626675905</c:v>
                </c:pt>
                <c:pt idx="30">
                  <c:v>-5797.4181703826152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D39E-4B3C-B60B-0AA34F6DE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5108064"/>
        <c:axId val="1995096064"/>
      </c:lineChart>
      <c:catAx>
        <c:axId val="1995108064"/>
        <c:scaling>
          <c:orientation val="minMax"/>
        </c:scaling>
        <c:delete val="0"/>
        <c:axPos val="b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995096064"/>
        <c:crosses val="autoZero"/>
        <c:auto val="1"/>
        <c:lblAlgn val="ctr"/>
        <c:lblOffset val="200"/>
        <c:noMultiLvlLbl val="0"/>
      </c:catAx>
      <c:valAx>
        <c:axId val="1995096064"/>
        <c:scaling>
          <c:orientation val="minMax"/>
          <c:min val="-3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Cobre Fino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99510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5130569380496282"/>
          <c:y val="6.2586247890615926E-2"/>
          <c:w val="0.23366604226843979"/>
          <c:h val="9.44683293942731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L"/>
              <a:t>Tratamiento Real vs 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110603907126855"/>
          <c:y val="0.19610610868796213"/>
          <c:w val="0.87007810176276112"/>
          <c:h val="0.684491889401749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'[20]Control Producción'!$C$2:$H$2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00778B"/>
            </a:solidFill>
            <a:ln>
              <a:noFill/>
            </a:ln>
            <a:effectLst/>
          </c:spPr>
          <c:invertIfNegative val="0"/>
          <c:val>
            <c:numRef>
              <c:f>'[20]Control Producción'!$C$4:$C$34</c:f>
              <c:numCache>
                <c:formatCode>General</c:formatCode>
                <c:ptCount val="31"/>
                <c:pt idx="0">
                  <c:v>183371.623046875</c:v>
                </c:pt>
                <c:pt idx="1">
                  <c:v>161195.171875</c:v>
                </c:pt>
                <c:pt idx="2">
                  <c:v>174684.07486236573</c:v>
                </c:pt>
                <c:pt idx="3">
                  <c:v>207658.18358230591</c:v>
                </c:pt>
                <c:pt idx="4">
                  <c:v>159258.23183059692</c:v>
                </c:pt>
                <c:pt idx="5">
                  <c:v>170909.1096572876</c:v>
                </c:pt>
                <c:pt idx="6">
                  <c:v>202728.255859375</c:v>
                </c:pt>
                <c:pt idx="7">
                  <c:v>201132.25778961182</c:v>
                </c:pt>
                <c:pt idx="8">
                  <c:v>165655.845703125</c:v>
                </c:pt>
                <c:pt idx="9">
                  <c:v>162227.4292755127</c:v>
                </c:pt>
                <c:pt idx="10">
                  <c:v>188915.544921875</c:v>
                </c:pt>
                <c:pt idx="11">
                  <c:v>175187.43780963897</c:v>
                </c:pt>
                <c:pt idx="12">
                  <c:v>179519.14909305572</c:v>
                </c:pt>
                <c:pt idx="13">
                  <c:v>184364.24478179932</c:v>
                </c:pt>
                <c:pt idx="14">
                  <c:v>200158.06137283324</c:v>
                </c:pt>
                <c:pt idx="15">
                  <c:v>185115.32352432248</c:v>
                </c:pt>
                <c:pt idx="16">
                  <c:v>190547.20468749999</c:v>
                </c:pt>
                <c:pt idx="17">
                  <c:v>184037.94765853882</c:v>
                </c:pt>
                <c:pt idx="18">
                  <c:v>174961.50525856018</c:v>
                </c:pt>
                <c:pt idx="19">
                  <c:v>180657.5122756958</c:v>
                </c:pt>
                <c:pt idx="20">
                  <c:v>173034.3369140625</c:v>
                </c:pt>
                <c:pt idx="21">
                  <c:v>183643.91250801086</c:v>
                </c:pt>
                <c:pt idx="22">
                  <c:v>183298.83707809448</c:v>
                </c:pt>
                <c:pt idx="23">
                  <c:v>179422.685546875</c:v>
                </c:pt>
                <c:pt idx="24">
                  <c:v>177021.71875</c:v>
                </c:pt>
                <c:pt idx="25">
                  <c:v>198761.673828125</c:v>
                </c:pt>
                <c:pt idx="26">
                  <c:v>187408.65234375</c:v>
                </c:pt>
                <c:pt idx="27">
                  <c:v>182930.34368927003</c:v>
                </c:pt>
                <c:pt idx="28">
                  <c:v>182277.31640625</c:v>
                </c:pt>
                <c:pt idx="29">
                  <c:v>173062.2177734375</c:v>
                </c:pt>
                <c:pt idx="30">
                  <c:v>167476.16057445528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0-4649-BAC4-4BB9D379A83E}"/>
            </c:ext>
          </c:extLst>
        </c:ser>
        <c:ser>
          <c:idx val="1"/>
          <c:order val="1"/>
          <c:tx>
            <c:strRef>
              <c:f>'[20]Control Producción'!$K$2:$P$2</c:f>
              <c:strCache>
                <c:ptCount val="1"/>
                <c:pt idx="0">
                  <c:v>ST</c:v>
                </c:pt>
              </c:strCache>
            </c:strRef>
          </c:tx>
          <c:spPr>
            <a:solidFill>
              <a:srgbClr val="64CCC9"/>
            </a:solidFill>
            <a:ln>
              <a:noFill/>
            </a:ln>
            <a:effectLst/>
          </c:spPr>
          <c:invertIfNegative val="0"/>
          <c:val>
            <c:numRef>
              <c:f>'[20]Control Producción'!$K$4:$K$34</c:f>
              <c:numCache>
                <c:formatCode>General</c:formatCode>
                <c:ptCount val="31"/>
                <c:pt idx="0">
                  <c:v>185980</c:v>
                </c:pt>
                <c:pt idx="1">
                  <c:v>155300</c:v>
                </c:pt>
                <c:pt idx="2">
                  <c:v>207308.47245541992</c:v>
                </c:pt>
                <c:pt idx="3">
                  <c:v>206570.65694388168</c:v>
                </c:pt>
                <c:pt idx="4">
                  <c:v>203021.42880071414</c:v>
                </c:pt>
                <c:pt idx="5">
                  <c:v>205362.6603023448</c:v>
                </c:pt>
                <c:pt idx="6">
                  <c:v>202579.38972512766</c:v>
                </c:pt>
                <c:pt idx="7">
                  <c:v>202991.51979443134</c:v>
                </c:pt>
                <c:pt idx="8">
                  <c:v>203858.39292534452</c:v>
                </c:pt>
                <c:pt idx="9">
                  <c:v>201152.49323391661</c:v>
                </c:pt>
                <c:pt idx="10">
                  <c:v>211771.41798113857</c:v>
                </c:pt>
                <c:pt idx="11">
                  <c:v>219726.69733778838</c:v>
                </c:pt>
                <c:pt idx="12">
                  <c:v>210687.98591671177</c:v>
                </c:pt>
                <c:pt idx="13">
                  <c:v>207583.53053062182</c:v>
                </c:pt>
                <c:pt idx="14">
                  <c:v>208270.44669678746</c:v>
                </c:pt>
                <c:pt idx="15">
                  <c:v>192385.66190400365</c:v>
                </c:pt>
                <c:pt idx="16">
                  <c:v>193054.65124465211</c:v>
                </c:pt>
                <c:pt idx="17">
                  <c:v>213941.89359019752</c:v>
                </c:pt>
                <c:pt idx="18">
                  <c:v>198276.80736460368</c:v>
                </c:pt>
                <c:pt idx="19">
                  <c:v>201299.71906995852</c:v>
                </c:pt>
                <c:pt idx="20">
                  <c:v>205758.71636820026</c:v>
                </c:pt>
                <c:pt idx="21">
                  <c:v>216305.64340154006</c:v>
                </c:pt>
                <c:pt idx="22">
                  <c:v>219588.15216299292</c:v>
                </c:pt>
                <c:pt idx="23">
                  <c:v>214411.13929622088</c:v>
                </c:pt>
                <c:pt idx="24">
                  <c:v>219558.91395607681</c:v>
                </c:pt>
                <c:pt idx="25">
                  <c:v>213246.26853308157</c:v>
                </c:pt>
                <c:pt idx="26">
                  <c:v>210243.92381496841</c:v>
                </c:pt>
                <c:pt idx="27">
                  <c:v>209290.70412927095</c:v>
                </c:pt>
                <c:pt idx="28">
                  <c:v>199362.55535205372</c:v>
                </c:pt>
                <c:pt idx="29">
                  <c:v>199173.96402386273</c:v>
                </c:pt>
                <c:pt idx="30">
                  <c:v>295982.26946529996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D0-4649-BAC4-4BB9D379A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108064"/>
        <c:axId val="1995096064"/>
      </c:barChart>
      <c:catAx>
        <c:axId val="1995108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995096064"/>
        <c:crosses val="autoZero"/>
        <c:auto val="1"/>
        <c:lblAlgn val="ctr"/>
        <c:lblOffset val="100"/>
        <c:noMultiLvlLbl val="0"/>
      </c:catAx>
      <c:valAx>
        <c:axId val="199509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99510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371205161854768"/>
          <c:y val="0.14856481481481482"/>
          <c:w val="0.24621281714785651"/>
          <c:h val="0.1562510936132983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L"/>
              <a:t>Ley de Cu Real vs 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'[20]Control Producción'!$C$2:$H$2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00778B"/>
            </a:solidFill>
            <a:ln>
              <a:noFill/>
            </a:ln>
            <a:effectLst/>
          </c:spPr>
          <c:invertIfNegative val="0"/>
          <c:val>
            <c:numRef>
              <c:f>'[20]Control Producción'!$F$4:$F$34</c:f>
              <c:numCache>
                <c:formatCode>General</c:formatCode>
                <c:ptCount val="31"/>
                <c:pt idx="0">
                  <c:v>0.53429397644735532</c:v>
                </c:pt>
                <c:pt idx="1">
                  <c:v>0.54614532957315409</c:v>
                </c:pt>
                <c:pt idx="2">
                  <c:v>0.53517180814527598</c:v>
                </c:pt>
                <c:pt idx="3">
                  <c:v>0.50562929517658006</c:v>
                </c:pt>
                <c:pt idx="4">
                  <c:v>0.46406796728278404</c:v>
                </c:pt>
                <c:pt idx="5">
                  <c:v>0.45181596050565209</c:v>
                </c:pt>
                <c:pt idx="6">
                  <c:v>0.47357367641196618</c:v>
                </c:pt>
                <c:pt idx="7">
                  <c:v>0.46485191602565845</c:v>
                </c:pt>
                <c:pt idx="8">
                  <c:v>0.49651440861173701</c:v>
                </c:pt>
                <c:pt idx="9">
                  <c:v>0.49913610545950837</c:v>
                </c:pt>
                <c:pt idx="10">
                  <c:v>0.47848566596409942</c:v>
                </c:pt>
                <c:pt idx="11">
                  <c:v>0.4973476391436798</c:v>
                </c:pt>
                <c:pt idx="12">
                  <c:v>0.5125230100324093</c:v>
                </c:pt>
                <c:pt idx="13">
                  <c:v>0.46794999475788523</c:v>
                </c:pt>
                <c:pt idx="14">
                  <c:v>0.48283068703939258</c:v>
                </c:pt>
                <c:pt idx="15">
                  <c:v>0.53411628743251083</c:v>
                </c:pt>
                <c:pt idx="16">
                  <c:v>0.5617593643161547</c:v>
                </c:pt>
                <c:pt idx="17">
                  <c:v>0.53662023741206499</c:v>
                </c:pt>
                <c:pt idx="18">
                  <c:v>0.56399642651971493</c:v>
                </c:pt>
                <c:pt idx="19">
                  <c:v>0.63993703950105629</c:v>
                </c:pt>
                <c:pt idx="20">
                  <c:v>0.57354492006479918</c:v>
                </c:pt>
                <c:pt idx="21">
                  <c:v>0.56252862881200172</c:v>
                </c:pt>
                <c:pt idx="22">
                  <c:v>0.63016436902498751</c:v>
                </c:pt>
                <c:pt idx="23">
                  <c:v>0.67071238055142346</c:v>
                </c:pt>
                <c:pt idx="24">
                  <c:v>0.63430630311493252</c:v>
                </c:pt>
                <c:pt idx="25">
                  <c:v>0.57618311081602958</c:v>
                </c:pt>
                <c:pt idx="26">
                  <c:v>0.54826163977883635</c:v>
                </c:pt>
                <c:pt idx="27">
                  <c:v>0.56622915120535044</c:v>
                </c:pt>
                <c:pt idx="28">
                  <c:v>0.57982556937837482</c:v>
                </c:pt>
                <c:pt idx="29">
                  <c:v>0.52909202592848792</c:v>
                </c:pt>
                <c:pt idx="30">
                  <c:v>0.52988439529272957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6-44D2-BFD9-F8D20F5A638F}"/>
            </c:ext>
          </c:extLst>
        </c:ser>
        <c:ser>
          <c:idx val="1"/>
          <c:order val="1"/>
          <c:tx>
            <c:strRef>
              <c:f>'[20]Control Producción'!$K$2:$P$2</c:f>
              <c:strCache>
                <c:ptCount val="1"/>
                <c:pt idx="0">
                  <c:v>ST</c:v>
                </c:pt>
              </c:strCache>
            </c:strRef>
          </c:tx>
          <c:spPr>
            <a:solidFill>
              <a:srgbClr val="64CCC9"/>
            </a:solidFill>
            <a:ln>
              <a:noFill/>
            </a:ln>
            <a:effectLst/>
          </c:spPr>
          <c:invertIfNegative val="0"/>
          <c:val>
            <c:numRef>
              <c:f>'[20]Control Producción'!$N$4:$N$34</c:f>
              <c:numCache>
                <c:formatCode>General</c:formatCode>
                <c:ptCount val="31"/>
                <c:pt idx="0">
                  <c:v>0.57223244584677391</c:v>
                </c:pt>
                <c:pt idx="1">
                  <c:v>0.54482012762580767</c:v>
                </c:pt>
                <c:pt idx="2">
                  <c:v>0.55462475549577706</c:v>
                </c:pt>
                <c:pt idx="3">
                  <c:v>0.52012020008364479</c:v>
                </c:pt>
                <c:pt idx="4">
                  <c:v>0.49467997329624225</c:v>
                </c:pt>
                <c:pt idx="5">
                  <c:v>0.57601336017644489</c:v>
                </c:pt>
                <c:pt idx="6">
                  <c:v>0.53032223551736091</c:v>
                </c:pt>
                <c:pt idx="7">
                  <c:v>0.50516075289275064</c:v>
                </c:pt>
                <c:pt idx="8">
                  <c:v>0.51533715579200345</c:v>
                </c:pt>
                <c:pt idx="9">
                  <c:v>0.57342928165760787</c:v>
                </c:pt>
                <c:pt idx="10">
                  <c:v>0.49935831137759479</c:v>
                </c:pt>
                <c:pt idx="11">
                  <c:v>0.50754189810823369</c:v>
                </c:pt>
                <c:pt idx="12">
                  <c:v>0.47499293322242647</c:v>
                </c:pt>
                <c:pt idx="13">
                  <c:v>0.54885349072748824</c:v>
                </c:pt>
                <c:pt idx="14">
                  <c:v>0.60517217682805569</c:v>
                </c:pt>
                <c:pt idx="15">
                  <c:v>0.58234975614936624</c:v>
                </c:pt>
                <c:pt idx="16">
                  <c:v>0.60973888372457574</c:v>
                </c:pt>
                <c:pt idx="17">
                  <c:v>0.52477350271681966</c:v>
                </c:pt>
                <c:pt idx="18">
                  <c:v>0.51455790105644728</c:v>
                </c:pt>
                <c:pt idx="19">
                  <c:v>0.58693627173012108</c:v>
                </c:pt>
                <c:pt idx="20">
                  <c:v>0.56513425752536273</c:v>
                </c:pt>
                <c:pt idx="21">
                  <c:v>0.63199814559644973</c:v>
                </c:pt>
                <c:pt idx="22">
                  <c:v>0.70881319315016478</c:v>
                </c:pt>
                <c:pt idx="23">
                  <c:v>0.68744144791188044</c:v>
                </c:pt>
                <c:pt idx="24">
                  <c:v>0.62899828506745636</c:v>
                </c:pt>
                <c:pt idx="25">
                  <c:v>0.58531833275304401</c:v>
                </c:pt>
                <c:pt idx="26">
                  <c:v>0.64737376006964897</c:v>
                </c:pt>
                <c:pt idx="27">
                  <c:v>0.65361641335925669</c:v>
                </c:pt>
                <c:pt idx="28">
                  <c:v>0.57159399555756629</c:v>
                </c:pt>
                <c:pt idx="29">
                  <c:v>0.57419966586048843</c:v>
                </c:pt>
                <c:pt idx="30">
                  <c:v>0.56819247156508124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86-44D2-BFD9-F8D20F5A6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108064"/>
        <c:axId val="1995096064"/>
      </c:barChart>
      <c:catAx>
        <c:axId val="1995108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995096064"/>
        <c:crosses val="autoZero"/>
        <c:auto val="1"/>
        <c:lblAlgn val="ctr"/>
        <c:lblOffset val="100"/>
        <c:noMultiLvlLbl val="0"/>
      </c:catAx>
      <c:valAx>
        <c:axId val="1995096064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99510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371205161854768"/>
          <c:y val="0.14856481481481482"/>
          <c:w val="0.24621281714785651"/>
          <c:h val="0.1562510936132983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1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sz="11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Delta de Ley Alimentación, % Real vs 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0863676341248901"/>
          <c:y val="0.2035441890187786"/>
          <c:w val="0.87419105608551506"/>
          <c:h val="0.715397150616385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'[20]Control Producción'!$T$3</c:f>
              <c:strCache>
                <c:ptCount val="1"/>
                <c:pt idx="0">
                  <c:v>Dif.%Cu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5C-4BEA-8234-50BCAAD2D431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55C-4BEA-8234-50BCAAD2D431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5C-4BEA-8234-50BCAAD2D431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55C-4BEA-8234-50BCAAD2D431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55C-4BEA-8234-50BCAAD2D431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55C-4BEA-8234-50BCAAD2D431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55C-4BEA-8234-50BCAAD2D431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55C-4BEA-8234-50BCAAD2D431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55C-4BEA-8234-50BCAAD2D431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55C-4BEA-8234-50BCAAD2D431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655C-4BEA-8234-50BCAAD2D431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55C-4BEA-8234-50BCAAD2D431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655C-4BEA-8234-50BCAAD2D431}"/>
              </c:ext>
            </c:extLst>
          </c:dPt>
          <c:dLbls>
            <c:dLbl>
              <c:idx val="2"/>
              <c:layout>
                <c:manualLayout>
                  <c:x val="-6.8736891955889319E-3"/>
                  <c:y val="9.50617561179419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55C-4BEA-8234-50BCAAD2D431}"/>
                </c:ext>
              </c:extLst>
            </c:dLbl>
            <c:dLbl>
              <c:idx val="3"/>
              <c:layout>
                <c:manualLayout>
                  <c:x val="0"/>
                  <c:y val="9.50617561179419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55C-4BEA-8234-50BCAAD2D431}"/>
                </c:ext>
              </c:extLst>
            </c:dLbl>
            <c:dLbl>
              <c:idx val="4"/>
              <c:layout>
                <c:manualLayout>
                  <c:x val="-1.7184222988972959E-3"/>
                  <c:y val="0.103703733946845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55C-4BEA-8234-50BCAAD2D4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'[20]Control Producción'!$T$4:$T$34</c:f>
              <c:numCache>
                <c:formatCode>General</c:formatCode>
                <c:ptCount val="31"/>
                <c:pt idx="0">
                  <c:v>-65.751548745937839</c:v>
                </c:pt>
                <c:pt idx="1">
                  <c:v>1.9187763986882711</c:v>
                </c:pt>
                <c:pt idx="2">
                  <c:v>-36.805542414921632</c:v>
                </c:pt>
                <c:pt idx="3">
                  <c:v>-26.029750230102515</c:v>
                </c:pt>
                <c:pt idx="4">
                  <c:v>-53.740703580915053</c:v>
                </c:pt>
                <c:pt idx="5">
                  <c:v>-228.54578805375306</c:v>
                </c:pt>
                <c:pt idx="6">
                  <c:v>-104.61843027699891</c:v>
                </c:pt>
                <c:pt idx="7">
                  <c:v>-72.678606865632602</c:v>
                </c:pt>
                <c:pt idx="8">
                  <c:v>-34.314293853333197</c:v>
                </c:pt>
                <c:pt idx="9">
                  <c:v>-131.18727258829671</c:v>
                </c:pt>
                <c:pt idx="10">
                  <c:v>-38.804447515972775</c:v>
                </c:pt>
                <c:pt idx="11">
                  <c:v>-19.941870069480938</c:v>
                </c:pt>
                <c:pt idx="12">
                  <c:v>70.652624485187303</c:v>
                </c:pt>
                <c:pt idx="13">
                  <c:v>-149.32513714514542</c:v>
                </c:pt>
                <c:pt idx="14">
                  <c:v>-227.40219466806698</c:v>
                </c:pt>
                <c:pt idx="15">
                  <c:v>-83.8058862653901</c:v>
                </c:pt>
                <c:pt idx="16">
                  <c:v>-82.456399326959286</c:v>
                </c:pt>
                <c:pt idx="17">
                  <c:v>22.901555164574642</c:v>
                </c:pt>
                <c:pt idx="18">
                  <c:v>88.505446240606005</c:v>
                </c:pt>
                <c:pt idx="19">
                  <c:v>96.003749213915953</c:v>
                </c:pt>
                <c:pt idx="20">
                  <c:v>15.809402327795063</c:v>
                </c:pt>
                <c:pt idx="21">
                  <c:v>-132.33252639956694</c:v>
                </c:pt>
                <c:pt idx="22">
                  <c:v>-156.63990067555261</c:v>
                </c:pt>
                <c:pt idx="23">
                  <c:v>-32.574234711007229</c:v>
                </c:pt>
                <c:pt idx="24">
                  <c:v>10.632167530767648</c:v>
                </c:pt>
                <c:pt idx="25">
                  <c:v>-17.800476546985834</c:v>
                </c:pt>
                <c:pt idx="26">
                  <c:v>-188.69200841336348</c:v>
                </c:pt>
                <c:pt idx="27">
                  <c:v>-169.36682584294834</c:v>
                </c:pt>
                <c:pt idx="28">
                  <c:v>15.256476296816714</c:v>
                </c:pt>
                <c:pt idx="29">
                  <c:v>-83.942532154179943</c:v>
                </c:pt>
                <c:pt idx="30">
                  <c:v>-105.32846502138264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55C-4BEA-8234-50BCAAD2D4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5108064"/>
        <c:axId val="1995096064"/>
      </c:barChart>
      <c:lineChart>
        <c:grouping val="standard"/>
        <c:varyColors val="0"/>
        <c:ser>
          <c:idx val="1"/>
          <c:order val="1"/>
          <c:tx>
            <c:strRef>
              <c:f>'[20]Control Producción'!$Z$3</c:f>
              <c:strCache>
                <c:ptCount val="1"/>
                <c:pt idx="0">
                  <c:v>%Cu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triangle"/>
            <c:size val="7"/>
            <c:spPr>
              <a:solidFill>
                <a:srgbClr val="00778B"/>
              </a:solidFill>
              <a:ln w="9525">
                <a:noFill/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55C-4BEA-8234-50BCAAD2D4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'[20]Control Producción'!$Z$4:$Z$34</c:f>
              <c:numCache>
                <c:formatCode>General</c:formatCode>
                <c:ptCount val="31"/>
                <c:pt idx="0">
                  <c:v>-65.751548745937839</c:v>
                </c:pt>
                <c:pt idx="1">
                  <c:v>-63.832772347249566</c:v>
                </c:pt>
                <c:pt idx="2">
                  <c:v>-100.63831476217121</c:v>
                </c:pt>
                <c:pt idx="3">
                  <c:v>-126.66806499227371</c:v>
                </c:pt>
                <c:pt idx="4">
                  <c:v>-180.40876857318875</c:v>
                </c:pt>
                <c:pt idx="5">
                  <c:v>-408.95455662694178</c:v>
                </c:pt>
                <c:pt idx="6">
                  <c:v>-513.57298690394066</c:v>
                </c:pt>
                <c:pt idx="7">
                  <c:v>-586.25159376957322</c:v>
                </c:pt>
                <c:pt idx="8">
                  <c:v>-620.56588762290642</c:v>
                </c:pt>
                <c:pt idx="9">
                  <c:v>-751.75316021120307</c:v>
                </c:pt>
                <c:pt idx="10">
                  <c:v>-790.55760772717588</c:v>
                </c:pt>
                <c:pt idx="11">
                  <c:v>-810.49947779665683</c:v>
                </c:pt>
                <c:pt idx="12">
                  <c:v>-739.84685331146954</c:v>
                </c:pt>
                <c:pt idx="13">
                  <c:v>-889.17199045661494</c:v>
                </c:pt>
                <c:pt idx="14">
                  <c:v>-1116.5741851246819</c:v>
                </c:pt>
                <c:pt idx="15">
                  <c:v>-1200.3800713900721</c:v>
                </c:pt>
                <c:pt idx="16">
                  <c:v>-1282.8364707170313</c:v>
                </c:pt>
                <c:pt idx="17">
                  <c:v>-1259.9349155524567</c:v>
                </c:pt>
                <c:pt idx="18">
                  <c:v>-1171.4294693118507</c:v>
                </c:pt>
                <c:pt idx="19">
                  <c:v>-1075.4257200979348</c:v>
                </c:pt>
                <c:pt idx="20">
                  <c:v>-1059.6163177701396</c:v>
                </c:pt>
                <c:pt idx="21">
                  <c:v>-1191.9488441697065</c:v>
                </c:pt>
                <c:pt idx="22">
                  <c:v>-1348.588744845259</c:v>
                </c:pt>
                <c:pt idx="23">
                  <c:v>-1381.1629795562662</c:v>
                </c:pt>
                <c:pt idx="24">
                  <c:v>-1370.5308120254986</c:v>
                </c:pt>
                <c:pt idx="25">
                  <c:v>-1388.3312885724845</c:v>
                </c:pt>
                <c:pt idx="26">
                  <c:v>-1577.023296985848</c:v>
                </c:pt>
                <c:pt idx="27">
                  <c:v>-1746.3901228287964</c:v>
                </c:pt>
                <c:pt idx="28">
                  <c:v>-1731.1336465319796</c:v>
                </c:pt>
                <c:pt idx="29">
                  <c:v>-1815.0761786861594</c:v>
                </c:pt>
                <c:pt idx="30">
                  <c:v>-1920.4046437075422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655C-4BEA-8234-50BCAAD2D4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95108064"/>
        <c:axId val="1995096064"/>
      </c:lineChart>
      <c:catAx>
        <c:axId val="1995108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995096064"/>
        <c:crosses val="autoZero"/>
        <c:auto val="1"/>
        <c:lblAlgn val="ctr"/>
        <c:lblOffset val="0"/>
        <c:noMultiLvlLbl val="0"/>
      </c:catAx>
      <c:valAx>
        <c:axId val="1995096064"/>
        <c:scaling>
          <c:orientation val="minMax"/>
          <c:max val="200"/>
          <c:min val="-1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%, Ley de Alimentación</a:t>
                </a:r>
              </a:p>
            </c:rich>
          </c:tx>
          <c:layout>
            <c:manualLayout>
              <c:xMode val="edge"/>
              <c:yMode val="edge"/>
              <c:x val="1.8179013598538664E-2"/>
              <c:y val="0.31183043187871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995108064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376578039374857"/>
          <c:y val="7.0181812745354025E-2"/>
          <c:w val="0.2489052161558758"/>
          <c:h val="0.160434545429891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L"/>
              <a:t>Recuperación Cu Real vs 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'[20]Control Producción'!$C$2:$H$2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00778B"/>
            </a:solidFill>
            <a:ln>
              <a:noFill/>
            </a:ln>
            <a:effectLst/>
          </c:spPr>
          <c:invertIfNegative val="0"/>
          <c:val>
            <c:numRef>
              <c:f>'[20]Control Producción'!$G$4:$G$34</c:f>
              <c:numCache>
                <c:formatCode>General</c:formatCode>
                <c:ptCount val="31"/>
                <c:pt idx="0">
                  <c:v>93.187988603980472</c:v>
                </c:pt>
                <c:pt idx="1">
                  <c:v>93.233255007889198</c:v>
                </c:pt>
                <c:pt idx="2">
                  <c:v>91.266366244758117</c:v>
                </c:pt>
                <c:pt idx="3">
                  <c:v>86.957263374623835</c:v>
                </c:pt>
                <c:pt idx="4">
                  <c:v>86.470840057067932</c:v>
                </c:pt>
                <c:pt idx="5">
                  <c:v>89.606442842937639</c:v>
                </c:pt>
                <c:pt idx="6">
                  <c:v>91.00350135414584</c:v>
                </c:pt>
                <c:pt idx="7">
                  <c:v>88.823612527476797</c:v>
                </c:pt>
                <c:pt idx="8">
                  <c:v>89.425929068420146</c:v>
                </c:pt>
                <c:pt idx="9">
                  <c:v>87.784402478886292</c:v>
                </c:pt>
                <c:pt idx="10">
                  <c:v>87.788305149531695</c:v>
                </c:pt>
                <c:pt idx="11">
                  <c:v>89.028158957550602</c:v>
                </c:pt>
                <c:pt idx="12">
                  <c:v>89.352986788999289</c:v>
                </c:pt>
                <c:pt idx="13">
                  <c:v>88.914530511593796</c:v>
                </c:pt>
                <c:pt idx="14">
                  <c:v>89.246920293597114</c:v>
                </c:pt>
                <c:pt idx="15">
                  <c:v>90.313635739553007</c:v>
                </c:pt>
                <c:pt idx="16">
                  <c:v>89.020125720028503</c:v>
                </c:pt>
                <c:pt idx="17">
                  <c:v>90.358804582085881</c:v>
                </c:pt>
                <c:pt idx="18">
                  <c:v>90.28852737443006</c:v>
                </c:pt>
                <c:pt idx="19">
                  <c:v>89.983496404856567</c:v>
                </c:pt>
                <c:pt idx="20">
                  <c:v>91.353880891009581</c:v>
                </c:pt>
                <c:pt idx="21">
                  <c:v>88.06523036769552</c:v>
                </c:pt>
                <c:pt idx="22">
                  <c:v>90.698741509829077</c:v>
                </c:pt>
                <c:pt idx="23">
                  <c:v>90.814489706705672</c:v>
                </c:pt>
                <c:pt idx="24">
                  <c:v>91.230141077868211</c:v>
                </c:pt>
                <c:pt idx="25">
                  <c:v>91.375777626638452</c:v>
                </c:pt>
                <c:pt idx="26">
                  <c:v>90.553092539041259</c:v>
                </c:pt>
                <c:pt idx="27">
                  <c:v>92.60411297831709</c:v>
                </c:pt>
                <c:pt idx="28">
                  <c:v>92.966775871839076</c:v>
                </c:pt>
                <c:pt idx="29">
                  <c:v>93.432806395345494</c:v>
                </c:pt>
                <c:pt idx="30">
                  <c:v>92.894438902491387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E-49DC-A687-6FA909301F69}"/>
            </c:ext>
          </c:extLst>
        </c:ser>
        <c:ser>
          <c:idx val="1"/>
          <c:order val="1"/>
          <c:tx>
            <c:strRef>
              <c:f>'[20]Control Producción'!$K$2:$P$2</c:f>
              <c:strCache>
                <c:ptCount val="1"/>
                <c:pt idx="0">
                  <c:v>ST</c:v>
                </c:pt>
              </c:strCache>
            </c:strRef>
          </c:tx>
          <c:spPr>
            <a:solidFill>
              <a:srgbClr val="64CCC9"/>
            </a:solidFill>
            <a:ln>
              <a:noFill/>
            </a:ln>
            <a:effectLst/>
          </c:spPr>
          <c:invertIfNegative val="0"/>
          <c:val>
            <c:numRef>
              <c:f>'[20]Control Producción'!$O$4:$O$34</c:f>
              <c:numCache>
                <c:formatCode>General</c:formatCode>
                <c:ptCount val="31"/>
                <c:pt idx="0">
                  <c:v>90.363715524542641</c:v>
                </c:pt>
                <c:pt idx="1">
                  <c:v>89.60111154014362</c:v>
                </c:pt>
                <c:pt idx="2">
                  <c:v>89.957346604608546</c:v>
                </c:pt>
                <c:pt idx="3">
                  <c:v>88.713573483590835</c:v>
                </c:pt>
                <c:pt idx="4">
                  <c:v>89.028001713258021</c:v>
                </c:pt>
                <c:pt idx="5">
                  <c:v>91.230948061119989</c:v>
                </c:pt>
                <c:pt idx="6">
                  <c:v>90.926347231988245</c:v>
                </c:pt>
                <c:pt idx="7">
                  <c:v>90.39729294432972</c:v>
                </c:pt>
                <c:pt idx="8">
                  <c:v>90.289426840480758</c:v>
                </c:pt>
                <c:pt idx="9">
                  <c:v>90.586483806543413</c:v>
                </c:pt>
                <c:pt idx="10">
                  <c:v>89.011243907748451</c:v>
                </c:pt>
                <c:pt idx="11">
                  <c:v>88.956238215620999</c:v>
                </c:pt>
                <c:pt idx="12">
                  <c:v>88.802605985047379</c:v>
                </c:pt>
                <c:pt idx="13">
                  <c:v>89.299047253849551</c:v>
                </c:pt>
                <c:pt idx="14">
                  <c:v>90.428537347342598</c:v>
                </c:pt>
                <c:pt idx="15">
                  <c:v>89.841960223252428</c:v>
                </c:pt>
                <c:pt idx="16">
                  <c:v>90.614462264792152</c:v>
                </c:pt>
                <c:pt idx="17">
                  <c:v>90.856761365107204</c:v>
                </c:pt>
                <c:pt idx="18">
                  <c:v>91.126000518475848</c:v>
                </c:pt>
                <c:pt idx="19">
                  <c:v>89.455554991654793</c:v>
                </c:pt>
                <c:pt idx="20">
                  <c:v>88.757995363778249</c:v>
                </c:pt>
                <c:pt idx="21">
                  <c:v>89.694160662321949</c:v>
                </c:pt>
                <c:pt idx="22">
                  <c:v>90.046813006737878</c:v>
                </c:pt>
                <c:pt idx="23">
                  <c:v>88.966386088766299</c:v>
                </c:pt>
                <c:pt idx="24">
                  <c:v>88.773719793774305</c:v>
                </c:pt>
                <c:pt idx="25">
                  <c:v>90.699303566253974</c:v>
                </c:pt>
                <c:pt idx="26">
                  <c:v>90.92721069375898</c:v>
                </c:pt>
                <c:pt idx="27">
                  <c:v>91.068171956066635</c:v>
                </c:pt>
                <c:pt idx="28">
                  <c:v>90.931686555004632</c:v>
                </c:pt>
                <c:pt idx="29">
                  <c:v>90.816465345933395</c:v>
                </c:pt>
                <c:pt idx="30">
                  <c:v>90.6768483191494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BE-49DC-A687-6FA909301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108064"/>
        <c:axId val="1995096064"/>
      </c:barChart>
      <c:catAx>
        <c:axId val="1995108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995096064"/>
        <c:crosses val="autoZero"/>
        <c:auto val="1"/>
        <c:lblAlgn val="ctr"/>
        <c:lblOffset val="100"/>
        <c:noMultiLvlLbl val="0"/>
      </c:catAx>
      <c:valAx>
        <c:axId val="1995096064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99510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371205161854768"/>
          <c:y val="0.14856481481481482"/>
          <c:w val="0.24621281714785651"/>
          <c:h val="0.1562510936132983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sz="1400" b="1"/>
              <a:t>Recuperación de Cu</a:t>
            </a:r>
          </a:p>
        </c:rich>
      </c:tx>
      <c:layout>
        <c:manualLayout>
          <c:xMode val="edge"/>
          <c:yMode val="edge"/>
          <c:x val="0.43374069444444446"/>
          <c:y val="3.34483989501312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8.7204579082562753E-2"/>
          <c:y val="0.1756237238327473"/>
          <c:w val="0.89561398536385206"/>
          <c:h val="0.7250612970294889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5F5-4188-B59C-2678A825F988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5F5-4188-B59C-2678A825F988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5F5-4188-B59C-2678A825F988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5F5-4188-B59C-2678A825F988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5F5-4188-B59C-2678A825F988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5F5-4188-B59C-2678A825F988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5F5-4188-B59C-2678A825F988}"/>
              </c:ext>
            </c:extLst>
          </c:dPt>
          <c:dPt>
            <c:idx val="1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5F5-4188-B59C-2678A825F988}"/>
              </c:ext>
            </c:extLst>
          </c:dPt>
          <c:dLbls>
            <c:dLbl>
              <c:idx val="9"/>
              <c:layout>
                <c:manualLayout>
                  <c:x val="0"/>
                  <c:y val="0.208955254576809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5F5-4188-B59C-2678A825F9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'[20]Control Producción'!$U$4:$U$34</c15:sqref>
                  </c15:fullRef>
                </c:ext>
              </c:extLst>
              <c:f>'[20]Control Producción'!$U$4:$U$17</c:f>
              <c:numCache>
                <c:formatCode>General</c:formatCode>
                <c:ptCount val="14"/>
                <c:pt idx="0">
                  <c:v>30.056984589553942</c:v>
                </c:pt>
                <c:pt idx="1">
                  <c:v>30.731771394641612</c:v>
                </c:pt>
                <c:pt idx="2">
                  <c:v>15.050899799294406</c:v>
                </c:pt>
                <c:pt idx="3">
                  <c:v>-18.870071801011054</c:v>
                </c:pt>
                <c:pt idx="4">
                  <c:v>-25.681736887180335</c:v>
                </c:pt>
                <c:pt idx="5">
                  <c:v>-19.216537997455148</c:v>
                </c:pt>
                <c:pt idx="6">
                  <c:v>0.8288849028137133</c:v>
                </c:pt>
                <c:pt idx="7">
                  <c:v>-16.137046015291691</c:v>
                </c:pt>
                <c:pt idx="8">
                  <c:v>-9.0715453036665181</c:v>
                </c:pt>
                <c:pt idx="9">
                  <c:v>-32.321091749521301</c:v>
                </c:pt>
                <c:pt idx="10">
                  <c:v>-12.932555071657301</c:v>
                </c:pt>
                <c:pt idx="11">
                  <c:v>0.80206374622563981</c:v>
                </c:pt>
                <c:pt idx="12">
                  <c:v>5.5079526505331069</c:v>
                </c:pt>
                <c:pt idx="13">
                  <c:v>-4.380912498130348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'[20]Control Producción'!$U$18</c15:sqref>
                  <c15:spPr xmlns:c15="http://schemas.microsoft.com/office/drawing/2012/chart">
                    <a:solidFill>
                      <a:schemeClr val="accent4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'[20]Control Producción'!$U$19</c15:sqref>
                  <c15:spPr xmlns:c15="http://schemas.microsoft.com/office/drawing/2012/chart">
                    <a:solidFill>
                      <a:schemeClr val="accent4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0-F5F5-4188-B59C-2678A825F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108064"/>
        <c:axId val="1995096064"/>
      </c:barChart>
      <c:lineChart>
        <c:grouping val="standard"/>
        <c:varyColors val="0"/>
        <c:ser>
          <c:idx val="1"/>
          <c:order val="1"/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triangle"/>
            <c:size val="7"/>
            <c:spPr>
              <a:solidFill>
                <a:srgbClr val="00778B"/>
              </a:solidFill>
              <a:ln w="9525">
                <a:noFill/>
              </a:ln>
              <a:effectLst/>
            </c:spPr>
          </c:marker>
          <c:dLbls>
            <c:dLbl>
              <c:idx val="6"/>
              <c:layout>
                <c:manualLayout>
                  <c:x val="-2.607279968510922E-2"/>
                  <c:y val="-4.1333789908791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5F5-4188-B59C-2678A825F9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'[20]Control Producción'!$AA$4:$AA$34</c15:sqref>
                  </c15:fullRef>
                </c:ext>
              </c:extLst>
              <c:f>'[20]Control Producción'!$AA$4:$AA$17</c:f>
              <c:numCache>
                <c:formatCode>General</c:formatCode>
                <c:ptCount val="14"/>
                <c:pt idx="0">
                  <c:v>30.056984589553942</c:v>
                </c:pt>
                <c:pt idx="1">
                  <c:v>60.788755984195554</c:v>
                </c:pt>
                <c:pt idx="2">
                  <c:v>75.83965578348996</c:v>
                </c:pt>
                <c:pt idx="3">
                  <c:v>56.969583982478909</c:v>
                </c:pt>
                <c:pt idx="4">
                  <c:v>31.287847095298574</c:v>
                </c:pt>
                <c:pt idx="5">
                  <c:v>12.071309097843425</c:v>
                </c:pt>
                <c:pt idx="6">
                  <c:v>12.900194000657139</c:v>
                </c:pt>
                <c:pt idx="7">
                  <c:v>-3.2368520146345521</c:v>
                </c:pt>
                <c:pt idx="8">
                  <c:v>-12.30839731830107</c:v>
                </c:pt>
                <c:pt idx="9">
                  <c:v>-44.629489067822369</c:v>
                </c:pt>
                <c:pt idx="10">
                  <c:v>-57.562044139479667</c:v>
                </c:pt>
                <c:pt idx="11">
                  <c:v>-56.759980393254025</c:v>
                </c:pt>
                <c:pt idx="12">
                  <c:v>-51.252027742720919</c:v>
                </c:pt>
                <c:pt idx="13">
                  <c:v>-55.632940240851269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F5F5-4188-B59C-2678A825F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5108064"/>
        <c:axId val="1995096064"/>
      </c:lineChart>
      <c:catAx>
        <c:axId val="1995108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995096064"/>
        <c:crosses val="autoZero"/>
        <c:auto val="1"/>
        <c:lblAlgn val="ctr"/>
        <c:lblOffset val="100"/>
        <c:noMultiLvlLbl val="0"/>
      </c:catAx>
      <c:valAx>
        <c:axId val="19950960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%, Recuperación Cu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99510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1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L" sz="1100"/>
              <a:t>Delta de</a:t>
            </a:r>
            <a:r>
              <a:rPr lang="es-CL" sz="1100" baseline="0"/>
              <a:t> Tratamiento, Tms</a:t>
            </a:r>
            <a:r>
              <a:rPr lang="es-CL" sz="1100"/>
              <a:t> Real vs 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1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0673824206870811"/>
          <c:y val="0.23850885885799641"/>
          <c:w val="0.87575381505278194"/>
          <c:h val="0.636991384164469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'[20]Control Producción'!$Q$3</c:f>
              <c:strCache>
                <c:ptCount val="1"/>
                <c:pt idx="0">
                  <c:v>Dif.ton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0.1268307219701503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8CA-437E-95F8-D09D7C7C838D}"/>
                </c:ext>
              </c:extLst>
            </c:dLbl>
            <c:dLbl>
              <c:idx val="4"/>
              <c:layout>
                <c:manualLayout>
                  <c:x val="1.7414383622690276E-3"/>
                  <c:y val="0.1302398593367623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CA-437E-95F8-D09D7C7C838D}"/>
                </c:ext>
              </c:extLst>
            </c:dLbl>
            <c:dLbl>
              <c:idx val="5"/>
              <c:layout>
                <c:manualLayout>
                  <c:x val="-1.7414383622690913E-3"/>
                  <c:y val="0.1308960084711489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8CA-437E-95F8-D09D7C7C838D}"/>
                </c:ext>
              </c:extLst>
            </c:dLbl>
            <c:dLbl>
              <c:idx val="8"/>
              <c:layout>
                <c:manualLayout>
                  <c:x val="1.7414383622690913E-3"/>
                  <c:y val="0.1267746350719483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8CA-437E-95F8-D09D7C7C838D}"/>
                </c:ext>
              </c:extLst>
            </c:dLbl>
            <c:dLbl>
              <c:idx val="9"/>
              <c:layout>
                <c:manualLayout>
                  <c:x val="0"/>
                  <c:y val="0.1267547005719850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8CA-437E-95F8-D09D7C7C838D}"/>
                </c:ext>
              </c:extLst>
            </c:dLbl>
            <c:dLbl>
              <c:idx val="10"/>
              <c:layout>
                <c:manualLayout>
                  <c:x val="0"/>
                  <c:y val="0.101697371990946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8CA-437E-95F8-D09D7C7C838D}"/>
                </c:ext>
              </c:extLst>
            </c:dLbl>
            <c:dLbl>
              <c:idx val="11"/>
              <c:layout>
                <c:manualLayout>
                  <c:x val="0"/>
                  <c:y val="0.13099264011503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8CA-437E-95F8-D09D7C7C838D}"/>
                </c:ext>
              </c:extLst>
            </c:dLbl>
            <c:dLbl>
              <c:idx val="12"/>
              <c:layout>
                <c:manualLayout>
                  <c:x val="0"/>
                  <c:y val="0.1144963345860533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8CA-437E-95F8-D09D7C7C83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'[20]Control Producción'!$A$4:$A$34</c15:sqref>
                  </c15:fullRef>
                </c:ext>
              </c:extLst>
              <c:f>'[20]Control Producción'!$A$4:$A$17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'[20]Control Producción'!$Q$4:$Q$34</c15:sqref>
                  </c15:fullRef>
                </c:ext>
              </c:extLst>
              <c:f>'[20]Control Producción'!$Q$4:$Q$17</c:f>
              <c:numCache>
                <c:formatCode>General</c:formatCode>
                <c:ptCount val="14"/>
                <c:pt idx="0">
                  <c:v>-12.987051723115609</c:v>
                </c:pt>
                <c:pt idx="1">
                  <c:v>30.017570717561039</c:v>
                </c:pt>
                <c:pt idx="2">
                  <c:v>-159.3479527802931</c:v>
                </c:pt>
                <c:pt idx="3">
                  <c:v>4.7816523264232771</c:v>
                </c:pt>
                <c:pt idx="4">
                  <c:v>-175.61447527310477</c:v>
                </c:pt>
                <c:pt idx="5">
                  <c:v>-139.48733949181025</c:v>
                </c:pt>
                <c:pt idx="6">
                  <c:v>0.64156633487310266</c:v>
                </c:pt>
                <c:pt idx="7">
                  <c:v>-7.6768605544457449</c:v>
                </c:pt>
                <c:pt idx="8">
                  <c:v>-169.62413192056098</c:v>
                </c:pt>
                <c:pt idx="9">
                  <c:v>-170.55548012294034</c:v>
                </c:pt>
                <c:pt idx="10">
                  <c:v>-96.007113365037839</c:v>
                </c:pt>
                <c:pt idx="11">
                  <c:v>-197.21068692460094</c:v>
                </c:pt>
                <c:pt idx="12">
                  <c:v>-142.73912743778058</c:v>
                </c:pt>
                <c:pt idx="13">
                  <c:v>-96.609768765100085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CA-437E-95F8-D09D7C7C8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108064"/>
        <c:axId val="1995096064"/>
      </c:barChart>
      <c:lineChart>
        <c:grouping val="standard"/>
        <c:varyColors val="0"/>
        <c:ser>
          <c:idx val="1"/>
          <c:order val="1"/>
          <c:tx>
            <c:strRef>
              <c:f>'[20]Control Producción'!$W$3</c:f>
              <c:strCache>
                <c:ptCount val="1"/>
                <c:pt idx="0">
                  <c:v>Dif. Ton Acc.</c:v>
                </c:pt>
              </c:strCache>
            </c:strRef>
          </c:tx>
          <c:spPr>
            <a:ln w="38100" cap="rnd">
              <a:solidFill>
                <a:schemeClr val="accent4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rgbClr val="64CCC9"/>
              </a:solidFill>
              <a:ln w="9525">
                <a:noFill/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8CA-437E-95F8-D09D7C7C83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'[20]Control Producción'!$A$4:$A$34</c15:sqref>
                  </c15:fullRef>
                </c:ext>
              </c:extLst>
              <c:f>'[20]Control Producción'!$A$4:$A$17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'[20]Control Producción'!$W$4:$W$34</c15:sqref>
                  </c15:fullRef>
                </c:ext>
              </c:extLst>
              <c:f>'[20]Control Producción'!$W$4:$W$17</c:f>
              <c:numCache>
                <c:formatCode>General</c:formatCode>
                <c:ptCount val="14"/>
                <c:pt idx="0">
                  <c:v>-12.987051723115609</c:v>
                </c:pt>
                <c:pt idx="1">
                  <c:v>17.03051899444543</c:v>
                </c:pt>
                <c:pt idx="2">
                  <c:v>-142.31743378584767</c:v>
                </c:pt>
                <c:pt idx="3">
                  <c:v>-137.53578145942438</c:v>
                </c:pt>
                <c:pt idx="4">
                  <c:v>-313.15025673252916</c:v>
                </c:pt>
                <c:pt idx="5">
                  <c:v>-452.6375962243394</c:v>
                </c:pt>
                <c:pt idx="6">
                  <c:v>-451.99602988946629</c:v>
                </c:pt>
                <c:pt idx="7">
                  <c:v>-459.67289044391202</c:v>
                </c:pt>
                <c:pt idx="8">
                  <c:v>-629.29702236447304</c:v>
                </c:pt>
                <c:pt idx="9">
                  <c:v>-799.8525024874134</c:v>
                </c:pt>
                <c:pt idx="10">
                  <c:v>-895.85961585245127</c:v>
                </c:pt>
                <c:pt idx="11">
                  <c:v>-1093.0703027770521</c:v>
                </c:pt>
                <c:pt idx="12">
                  <c:v>-1235.8094302148327</c:v>
                </c:pt>
                <c:pt idx="13">
                  <c:v>-1332.4191989799328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68CA-437E-95F8-D09D7C7C8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5108064"/>
        <c:axId val="1995096064"/>
      </c:lineChart>
      <c:catAx>
        <c:axId val="1995108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995096064"/>
        <c:crosses val="autoZero"/>
        <c:auto val="1"/>
        <c:lblAlgn val="ctr"/>
        <c:lblOffset val="200"/>
        <c:noMultiLvlLbl val="0"/>
      </c:catAx>
      <c:valAx>
        <c:axId val="1995096064"/>
        <c:scaling>
          <c:orientation val="minMax"/>
          <c:min val="-2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L"/>
                  <a:t>Tms, Tratamiento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L"/>
          </a:p>
        </c:txPr>
        <c:crossAx val="1995108064"/>
        <c:crosses val="autoZero"/>
        <c:crossBetween val="between"/>
        <c:majorUnit val="4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677166945799583"/>
          <c:y val="0.11407804795970393"/>
          <c:w val="0.313772226992514"/>
          <c:h val="9.44683293942731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050098154937934E-2"/>
          <c:y val="0.21337617304508669"/>
          <c:w val="0.9350703218613492"/>
          <c:h val="0.6118577077497439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'ST Original'!$C$6</c:f>
              <c:strCache>
                <c:ptCount val="1"/>
                <c:pt idx="0">
                  <c:v>Transp.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xVal>
            <c:numRef>
              <c:f>'ST Original'!$B$8:$B$38</c:f>
              <c:numCache>
                <c:formatCode>[$-C0A]d\-mmm\-yy;@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  <c:pt idx="30">
                  <c:v>46112.791666666664</c:v>
                </c:pt>
              </c:numCache>
            </c:numRef>
          </c:xVal>
          <c:yVal>
            <c:numRef>
              <c:f>'R+P'!$C$8:$C$38</c:f>
              <c:numCache>
                <c:formatCode>#,##0</c:formatCode>
                <c:ptCount val="31"/>
                <c:pt idx="0">
                  <c:v>178584.27719999998</c:v>
                </c:pt>
                <c:pt idx="1">
                  <c:v>131187.14559999999</c:v>
                </c:pt>
                <c:pt idx="2">
                  <c:v>217133.84</c:v>
                </c:pt>
                <c:pt idx="3">
                  <c:v>132733.076</c:v>
                </c:pt>
                <c:pt idx="4">
                  <c:v>194218.5</c:v>
                </c:pt>
                <c:pt idx="5">
                  <c:v>176980.69199999998</c:v>
                </c:pt>
                <c:pt idx="6">
                  <c:v>159283.6</c:v>
                </c:pt>
                <c:pt idx="7">
                  <c:v>184593.08</c:v>
                </c:pt>
                <c:pt idx="8">
                  <c:v>206345.552</c:v>
                </c:pt>
                <c:pt idx="9">
                  <c:v>93058.755999999994</c:v>
                </c:pt>
                <c:pt idx="10">
                  <c:v>47366.838400000001</c:v>
                </c:pt>
                <c:pt idx="11">
                  <c:v>164023.99719999998</c:v>
                </c:pt>
                <c:pt idx="12">
                  <c:v>207299.29919999998</c:v>
                </c:pt>
                <c:pt idx="13">
                  <c:v>151402.48199999999</c:v>
                </c:pt>
                <c:pt idx="14">
                  <c:v>199249.1256</c:v>
                </c:pt>
                <c:pt idx="15">
                  <c:v>242801.95239999998</c:v>
                </c:pt>
                <c:pt idx="16">
                  <c:v>190294.06479999999</c:v>
                </c:pt>
                <c:pt idx="17">
                  <c:v>230000</c:v>
                </c:pt>
                <c:pt idx="18">
                  <c:v>216000.04453185282</c:v>
                </c:pt>
                <c:pt idx="19">
                  <c:v>239769.96</c:v>
                </c:pt>
                <c:pt idx="20">
                  <c:v>179507.96</c:v>
                </c:pt>
                <c:pt idx="21">
                  <c:v>240392</c:v>
                </c:pt>
                <c:pt idx="22">
                  <c:v>239552.08000000002</c:v>
                </c:pt>
                <c:pt idx="23">
                  <c:v>179569.56</c:v>
                </c:pt>
                <c:pt idx="24">
                  <c:v>240172.9964</c:v>
                </c:pt>
                <c:pt idx="25">
                  <c:v>222119.04000000001</c:v>
                </c:pt>
                <c:pt idx="26">
                  <c:v>238000.00000006927</c:v>
                </c:pt>
                <c:pt idx="27">
                  <c:v>180000.00000042227</c:v>
                </c:pt>
                <c:pt idx="28">
                  <c:v>237999.99999993708</c:v>
                </c:pt>
                <c:pt idx="29">
                  <c:v>238000.00000004738</c:v>
                </c:pt>
                <c:pt idx="30">
                  <c:v>269999.99999969493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BC-4EEC-9E8A-805F97D60B6D}"/>
            </c:ext>
          </c:extLst>
        </c:ser>
        <c:ser>
          <c:idx val="1"/>
          <c:order val="1"/>
          <c:tx>
            <c:strRef>
              <c:f>'ST Original'!$D$6</c:f>
              <c:strCache>
                <c:ptCount val="1"/>
                <c:pt idx="0">
                  <c:v>Acopio Pta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49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'ST Original'!$B$8:$B$38</c:f>
              <c:numCache>
                <c:formatCode>[$-C0A]d\-mmm\-yy;@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  <c:pt idx="30">
                  <c:v>46112.791666666664</c:v>
                </c:pt>
              </c:numCache>
            </c:numRef>
          </c:xVal>
          <c:yVal>
            <c:numRef>
              <c:f>'R+P'!$D$8:$D$38</c:f>
              <c:numCache>
                <c:formatCode>#,##0</c:formatCode>
                <c:ptCount val="31"/>
                <c:pt idx="0">
                  <c:v>681321.42959999992</c:v>
                </c:pt>
                <c:pt idx="1">
                  <c:v>641093.03720000002</c:v>
                </c:pt>
                <c:pt idx="2">
                  <c:v>672529.5612</c:v>
                </c:pt>
                <c:pt idx="3">
                  <c:v>646135.38919999998</c:v>
                </c:pt>
                <c:pt idx="4">
                  <c:v>675776.79680000001</c:v>
                </c:pt>
                <c:pt idx="5">
                  <c:v>699376.17680000002</c:v>
                </c:pt>
                <c:pt idx="6">
                  <c:v>711982.05680000002</c:v>
                </c:pt>
                <c:pt idx="7">
                  <c:v>727616.27960000001</c:v>
                </c:pt>
                <c:pt idx="8">
                  <c:v>725808.45959999994</c:v>
                </c:pt>
                <c:pt idx="9">
                  <c:v>641426.26240000001</c:v>
                </c:pt>
                <c:pt idx="10">
                  <c:v>507401.32799999998</c:v>
                </c:pt>
                <c:pt idx="11">
                  <c:v>486208.7916</c:v>
                </c:pt>
                <c:pt idx="12">
                  <c:v>494549.1936</c:v>
                </c:pt>
                <c:pt idx="13">
                  <c:v>455007.77279999998</c:v>
                </c:pt>
                <c:pt idx="14">
                  <c:v>424104.79999999993</c:v>
                </c:pt>
                <c:pt idx="15">
                  <c:v>495057.33759999997</c:v>
                </c:pt>
                <c:pt idx="16">
                  <c:v>485334.19759999996</c:v>
                </c:pt>
                <c:pt idx="17">
                  <c:v>530934.19759999996</c:v>
                </c:pt>
                <c:pt idx="18">
                  <c:v>546283.00442479202</c:v>
                </c:pt>
                <c:pt idx="19">
                  <c:v>581217.19080530177</c:v>
                </c:pt>
                <c:pt idx="20">
                  <c:v>557992.24570321327</c:v>
                </c:pt>
                <c:pt idx="21">
                  <c:v>590750.24762543407</c:v>
                </c:pt>
                <c:pt idx="22">
                  <c:v>632934.62686944054</c:v>
                </c:pt>
                <c:pt idx="23">
                  <c:v>612135.79909895593</c:v>
                </c:pt>
                <c:pt idx="24">
                  <c:v>655013.60114647611</c:v>
                </c:pt>
                <c:pt idx="25">
                  <c:v>682935.6123035131</c:v>
                </c:pt>
                <c:pt idx="26">
                  <c:v>717425.01558636723</c:v>
                </c:pt>
                <c:pt idx="27">
                  <c:v>691175.09021232976</c:v>
                </c:pt>
                <c:pt idx="28">
                  <c:v>720005.78911096265</c:v>
                </c:pt>
                <c:pt idx="29">
                  <c:v>757023.23163522466</c:v>
                </c:pt>
                <c:pt idx="30">
                  <c:v>720646.63057864783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BC-4EEC-9E8A-805F97D60B6D}"/>
            </c:ext>
          </c:extLst>
        </c:ser>
        <c:ser>
          <c:idx val="2"/>
          <c:order val="2"/>
          <c:tx>
            <c:strRef>
              <c:f>'ST Original'!$E$6</c:f>
              <c:strCache>
                <c:ptCount val="1"/>
                <c:pt idx="0">
                  <c:v>Molido Total L1L2L3L4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38100">
                <a:solidFill>
                  <a:schemeClr val="accent3"/>
                </a:solidFill>
              </a:ln>
              <a:effectLst/>
            </c:spPr>
          </c:marker>
          <c:xVal>
            <c:numRef>
              <c:f>'ST Original'!$B$8:$B$38</c:f>
              <c:numCache>
                <c:formatCode>[$-C0A]d\-mmm\-yy;@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  <c:pt idx="30">
                  <c:v>46112.791666666664</c:v>
                </c:pt>
              </c:numCache>
            </c:numRef>
          </c:xVal>
          <c:yVal>
            <c:numRef>
              <c:f>'R+P'!$E$8:$E$38</c:f>
              <c:numCache>
                <c:formatCode>#,##0</c:formatCode>
                <c:ptCount val="31"/>
                <c:pt idx="0">
                  <c:v>98057.835933685317</c:v>
                </c:pt>
                <c:pt idx="1">
                  <c:v>170436.89745330811</c:v>
                </c:pt>
                <c:pt idx="2">
                  <c:v>158186.81954193115</c:v>
                </c:pt>
                <c:pt idx="3">
                  <c:v>156047.44256210327</c:v>
                </c:pt>
                <c:pt idx="4">
                  <c:v>164038.849609375</c:v>
                </c:pt>
                <c:pt idx="5">
                  <c:v>152878.49609375</c:v>
                </c:pt>
                <c:pt idx="6">
                  <c:v>146198.26675415039</c:v>
                </c:pt>
                <c:pt idx="7">
                  <c:v>168405.05169918062</c:v>
                </c:pt>
                <c:pt idx="8">
                  <c:v>178661.44506835938</c:v>
                </c:pt>
                <c:pt idx="9">
                  <c:v>176859.1845703125</c:v>
                </c:pt>
                <c:pt idx="10">
                  <c:v>180799.115234375</c:v>
                </c:pt>
                <c:pt idx="11">
                  <c:v>184089.18730926514</c:v>
                </c:pt>
                <c:pt idx="12">
                  <c:v>198001.22031784058</c:v>
                </c:pt>
                <c:pt idx="13">
                  <c:v>188416.49098777771</c:v>
                </c:pt>
                <c:pt idx="14">
                  <c:v>196432.52658081055</c:v>
                </c:pt>
                <c:pt idx="15">
                  <c:v>202874.56951904297</c:v>
                </c:pt>
                <c:pt idx="16">
                  <c:v>198696.43357086182</c:v>
                </c:pt>
                <c:pt idx="17">
                  <c:v>184400</c:v>
                </c:pt>
                <c:pt idx="18">
                  <c:v>200651.2377070607</c:v>
                </c:pt>
                <c:pt idx="19">
                  <c:v>204835.77361949021</c:v>
                </c:pt>
                <c:pt idx="20">
                  <c:v>202732.90510208849</c:v>
                </c:pt>
                <c:pt idx="21">
                  <c:v>207633.99807777914</c:v>
                </c:pt>
                <c:pt idx="22">
                  <c:v>197367.70075599366</c:v>
                </c:pt>
                <c:pt idx="23">
                  <c:v>200368.38777048467</c:v>
                </c:pt>
                <c:pt idx="24">
                  <c:v>197295.19435247991</c:v>
                </c:pt>
                <c:pt idx="25">
                  <c:v>194197.02884296299</c:v>
                </c:pt>
                <c:pt idx="26">
                  <c:v>203510.59671721514</c:v>
                </c:pt>
                <c:pt idx="27">
                  <c:v>206249.92537445974</c:v>
                </c:pt>
                <c:pt idx="28">
                  <c:v>209169.30110130421</c:v>
                </c:pt>
                <c:pt idx="29">
                  <c:v>200982.55747578535</c:v>
                </c:pt>
                <c:pt idx="30">
                  <c:v>306376.6010562717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BC-4EEC-9E8A-805F97D60B6D}"/>
            </c:ext>
          </c:extLst>
        </c:ser>
        <c:ser>
          <c:idx val="3"/>
          <c:order val="3"/>
          <c:tx>
            <c:strRef>
              <c:f>'Plan mina PS'!$Q$42</c:f>
              <c:strCache>
                <c:ptCount val="1"/>
                <c:pt idx="0">
                  <c:v>Potencial Mineral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'Plan mina PS'!$K$43:$K$73</c:f>
              <c:numCache>
                <c:formatCode>[$-C0A]d\-mmm;@</c:formatCode>
                <c:ptCount val="16"/>
                <c:pt idx="0">
                  <c:v>46097.791666666664</c:v>
                </c:pt>
                <c:pt idx="1">
                  <c:v>46098.791666666664</c:v>
                </c:pt>
                <c:pt idx="2">
                  <c:v>46099.791666666664</c:v>
                </c:pt>
                <c:pt idx="3">
                  <c:v>46100.791666666664</c:v>
                </c:pt>
                <c:pt idx="4">
                  <c:v>46101.791666666664</c:v>
                </c:pt>
                <c:pt idx="5">
                  <c:v>46102.791666666664</c:v>
                </c:pt>
                <c:pt idx="6">
                  <c:v>46103.791666666664</c:v>
                </c:pt>
                <c:pt idx="7">
                  <c:v>46104.791666666664</c:v>
                </c:pt>
                <c:pt idx="8">
                  <c:v>46105.791666666664</c:v>
                </c:pt>
                <c:pt idx="9">
                  <c:v>46106.791666666664</c:v>
                </c:pt>
                <c:pt idx="10">
                  <c:v>46107.791666666664</c:v>
                </c:pt>
                <c:pt idx="11">
                  <c:v>46108.791666666664</c:v>
                </c:pt>
                <c:pt idx="12">
                  <c:v>46109.791666666664</c:v>
                </c:pt>
                <c:pt idx="13">
                  <c:v>46110.791666666664</c:v>
                </c:pt>
                <c:pt idx="14">
                  <c:v>46111.791666666664</c:v>
                </c:pt>
                <c:pt idx="15">
                  <c:v>46112.791666666664</c:v>
                </c:pt>
              </c:numCache>
            </c:numRef>
          </c:xVal>
          <c:yVal>
            <c:numRef>
              <c:f>'Plan mina PS'!$Q$43:$Q$73</c:f>
              <c:numCache>
                <c:formatCode>0</c:formatCode>
                <c:ptCount val="16"/>
                <c:pt idx="0">
                  <c:v>200.60523592060989</c:v>
                </c:pt>
                <c:pt idx="1">
                  <c:v>200.13016201606973</c:v>
                </c:pt>
                <c:pt idx="2">
                  <c:v>206.23593224494954</c:v>
                </c:pt>
                <c:pt idx="3">
                  <c:v>205.4512377070607</c:v>
                </c:pt>
                <c:pt idx="4">
                  <c:v>207.2357736194902</c:v>
                </c:pt>
                <c:pt idx="5">
                  <c:v>205.13290510208853</c:v>
                </c:pt>
                <c:pt idx="6">
                  <c:v>210.0339980777791</c:v>
                </c:pt>
                <c:pt idx="7">
                  <c:v>198.56770075599363</c:v>
                </c:pt>
                <c:pt idx="8">
                  <c:v>200.36838777048467</c:v>
                </c:pt>
                <c:pt idx="9">
                  <c:v>197.29519435247991</c:v>
                </c:pt>
                <c:pt idx="10">
                  <c:v>194.19702884296302</c:v>
                </c:pt>
                <c:pt idx="11">
                  <c:v>203.51059671721515</c:v>
                </c:pt>
                <c:pt idx="12">
                  <c:v>208.24992537445974</c:v>
                </c:pt>
                <c:pt idx="13">
                  <c:v>209.16930110130417</c:v>
                </c:pt>
                <c:pt idx="14">
                  <c:v>200.98255747578531</c:v>
                </c:pt>
                <c:pt idx="15">
                  <c:v>211.29420762501496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BC-4EEC-9E8A-805F97D60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330543"/>
        <c:axId val="253215424"/>
      </c:scatterChart>
      <c:valAx>
        <c:axId val="816330543"/>
        <c:scaling>
          <c:orientation val="minMax"/>
          <c:max val="45596"/>
          <c:min val="4556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198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53215424"/>
        <c:crosses val="autoZero"/>
        <c:crossBetween val="midCat"/>
      </c:valAx>
      <c:valAx>
        <c:axId val="253215424"/>
        <c:scaling>
          <c:orientation val="minMax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6330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702109044405329"/>
          <c:y val="3.058719470501793E-3"/>
          <c:w val="0.82297897311483748"/>
          <c:h val="8.8195265826150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48277464434738E-2"/>
          <c:y val="4.1588996431357723E-2"/>
          <c:w val="0.9137548055079997"/>
          <c:h val="0.81562753013856915"/>
        </c:manualLayout>
      </c:layout>
      <c:barChart>
        <c:barDir val="col"/>
        <c:grouping val="clustered"/>
        <c:varyColors val="0"/>
        <c:ser>
          <c:idx val="3"/>
          <c:order val="3"/>
          <c:tx>
            <c:strRef>
              <c:f>'R+P'!$F$58</c:f>
              <c:strCache>
                <c:ptCount val="1"/>
                <c:pt idx="0">
                  <c:v>POTENCIAL MINERAL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'R+P'!$B$59:$B$89</c:f>
              <c:numCache>
                <c:formatCode>[$-C0A]d\-mmm\-yy;@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</c:numCache>
            </c:numRef>
          </c:cat>
          <c:val>
            <c:numRef>
              <c:f>'R+P'!$F$59:$F$89</c:f>
              <c:numCache>
                <c:formatCode>0</c:formatCode>
                <c:ptCount val="31"/>
                <c:pt idx="6">
                  <c:v>161.74054948292999</c:v>
                </c:pt>
                <c:pt idx="7">
                  <c:v>198.87875266150903</c:v>
                </c:pt>
                <c:pt idx="8">
                  <c:v>186.4439722516924</c:v>
                </c:pt>
                <c:pt idx="9">
                  <c:v>195.74157674533353</c:v>
                </c:pt>
                <c:pt idx="10">
                  <c:v>198.33679397590674</c:v>
                </c:pt>
                <c:pt idx="11">
                  <c:v>213.53650605878059</c:v>
                </c:pt>
                <c:pt idx="12">
                  <c:v>195.28046042277933</c:v>
                </c:pt>
                <c:pt idx="13">
                  <c:v>198.11146599937516</c:v>
                </c:pt>
                <c:pt idx="14">
                  <c:v>205.91186324704699</c:v>
                </c:pt>
                <c:pt idx="15">
                  <c:v>200.60523592060989</c:v>
                </c:pt>
                <c:pt idx="16">
                  <c:v>200.13016201606973</c:v>
                </c:pt>
                <c:pt idx="17">
                  <c:v>206.23593224494954</c:v>
                </c:pt>
                <c:pt idx="18">
                  <c:v>205.4512377070607</c:v>
                </c:pt>
                <c:pt idx="19">
                  <c:v>207.2357736194902</c:v>
                </c:pt>
                <c:pt idx="20">
                  <c:v>205.13290510208853</c:v>
                </c:pt>
                <c:pt idx="21">
                  <c:v>210.0339980777791</c:v>
                </c:pt>
                <c:pt idx="22">
                  <c:v>198.56770075599363</c:v>
                </c:pt>
                <c:pt idx="23">
                  <c:v>200.36838777048467</c:v>
                </c:pt>
                <c:pt idx="24">
                  <c:v>197.29519435247991</c:v>
                </c:pt>
                <c:pt idx="25">
                  <c:v>194.19702884296302</c:v>
                </c:pt>
                <c:pt idx="26">
                  <c:v>203.51059671721515</c:v>
                </c:pt>
                <c:pt idx="27">
                  <c:v>208.24992537445974</c:v>
                </c:pt>
                <c:pt idx="28">
                  <c:v>209.16930110130417</c:v>
                </c:pt>
                <c:pt idx="29">
                  <c:v>200.98255747578531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EF-4103-B337-909454D3E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8620160"/>
        <c:axId val="1678625440"/>
      </c:barChart>
      <c:scatterChart>
        <c:scatterStyle val="smoothMarker"/>
        <c:varyColors val="0"/>
        <c:ser>
          <c:idx val="2"/>
          <c:order val="2"/>
          <c:tx>
            <c:strRef>
              <c:f>'R+P'!$E$58</c:f>
              <c:strCache>
                <c:ptCount val="1"/>
                <c:pt idx="0">
                  <c:v>Molido Total L1L2L3L4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'R+P'!$B$59:$B$89</c:f>
              <c:numCache>
                <c:formatCode>[$-C0A]d\-mmm\-yy;@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</c:numCache>
            </c:numRef>
          </c:xVal>
          <c:yVal>
            <c:numRef>
              <c:f>'R+P'!$E$59:$E$89</c:f>
              <c:numCache>
                <c:formatCode>#,##0</c:formatCode>
                <c:ptCount val="31"/>
                <c:pt idx="0">
                  <c:v>98.057835933685311</c:v>
                </c:pt>
                <c:pt idx="1">
                  <c:v>170.43689745330809</c:v>
                </c:pt>
                <c:pt idx="2">
                  <c:v>158.18681954193116</c:v>
                </c:pt>
                <c:pt idx="3">
                  <c:v>156.04744256210327</c:v>
                </c:pt>
                <c:pt idx="4">
                  <c:v>164.03884960937501</c:v>
                </c:pt>
                <c:pt idx="5">
                  <c:v>152.87849609374999</c:v>
                </c:pt>
                <c:pt idx="6">
                  <c:v>146.19826675415038</c:v>
                </c:pt>
                <c:pt idx="7">
                  <c:v>168.40505169918063</c:v>
                </c:pt>
                <c:pt idx="8">
                  <c:v>178.66144506835937</c:v>
                </c:pt>
                <c:pt idx="9">
                  <c:v>176.85918457031249</c:v>
                </c:pt>
                <c:pt idx="10">
                  <c:v>180.79911523437499</c:v>
                </c:pt>
                <c:pt idx="11">
                  <c:v>184.08918730926513</c:v>
                </c:pt>
                <c:pt idx="12">
                  <c:v>198.00122031784056</c:v>
                </c:pt>
                <c:pt idx="13">
                  <c:v>188.41649098777771</c:v>
                </c:pt>
                <c:pt idx="14">
                  <c:v>196.43252658081056</c:v>
                </c:pt>
                <c:pt idx="15">
                  <c:v>202.87456951904298</c:v>
                </c:pt>
                <c:pt idx="16">
                  <c:v>198.69643357086181</c:v>
                </c:pt>
                <c:pt idx="17">
                  <c:v>184.4</c:v>
                </c:pt>
                <c:pt idx="18">
                  <c:v>200.65123770706072</c:v>
                </c:pt>
                <c:pt idx="19">
                  <c:v>204.8357736194902</c:v>
                </c:pt>
                <c:pt idx="20">
                  <c:v>202.73290510208849</c:v>
                </c:pt>
                <c:pt idx="21">
                  <c:v>207.63399807777913</c:v>
                </c:pt>
                <c:pt idx="22">
                  <c:v>197.36770075599367</c:v>
                </c:pt>
                <c:pt idx="23">
                  <c:v>200.36838777048467</c:v>
                </c:pt>
                <c:pt idx="24">
                  <c:v>197.29519435247991</c:v>
                </c:pt>
                <c:pt idx="25">
                  <c:v>194.19702884296299</c:v>
                </c:pt>
                <c:pt idx="26">
                  <c:v>203.51059671721515</c:v>
                </c:pt>
                <c:pt idx="27">
                  <c:v>206.24992537445974</c:v>
                </c:pt>
                <c:pt idx="28">
                  <c:v>209.1693011013042</c:v>
                </c:pt>
                <c:pt idx="29">
                  <c:v>200.98255747578534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1EF-4103-B337-909454D3E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620160"/>
        <c:axId val="1678625440"/>
      </c:scatterChart>
      <c:scatterChart>
        <c:scatterStyle val="smoothMarker"/>
        <c:varyColors val="0"/>
        <c:ser>
          <c:idx val="0"/>
          <c:order val="0"/>
          <c:tx>
            <c:strRef>
              <c:f>'R+P'!$C$58</c:f>
              <c:strCache>
                <c:ptCount val="1"/>
                <c:pt idx="0">
                  <c:v>Transp.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'R+P'!$B$59:$B$89</c:f>
              <c:numCache>
                <c:formatCode>[$-C0A]d\-mmm\-yy;@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</c:numCache>
            </c:numRef>
          </c:xVal>
          <c:yVal>
            <c:numRef>
              <c:f>'R+P'!$C$59:$C$89</c:f>
              <c:numCache>
                <c:formatCode>#,##0</c:formatCode>
                <c:ptCount val="31"/>
                <c:pt idx="0">
                  <c:v>178.58427719999997</c:v>
                </c:pt>
                <c:pt idx="1">
                  <c:v>131.18714559999998</c:v>
                </c:pt>
                <c:pt idx="2">
                  <c:v>217.13383999999999</c:v>
                </c:pt>
                <c:pt idx="3">
                  <c:v>132.73307600000001</c:v>
                </c:pt>
                <c:pt idx="4">
                  <c:v>194.21850000000001</c:v>
                </c:pt>
                <c:pt idx="5">
                  <c:v>176.98069199999998</c:v>
                </c:pt>
                <c:pt idx="6">
                  <c:v>159.28360000000001</c:v>
                </c:pt>
                <c:pt idx="7">
                  <c:v>184.59307999999999</c:v>
                </c:pt>
                <c:pt idx="8">
                  <c:v>206.345552</c:v>
                </c:pt>
                <c:pt idx="9">
                  <c:v>93.058755999999988</c:v>
                </c:pt>
                <c:pt idx="10">
                  <c:v>47.366838399999999</c:v>
                </c:pt>
                <c:pt idx="11">
                  <c:v>164.0239972</c:v>
                </c:pt>
                <c:pt idx="12">
                  <c:v>207.29929919999998</c:v>
                </c:pt>
                <c:pt idx="13">
                  <c:v>151.40248199999999</c:v>
                </c:pt>
                <c:pt idx="14">
                  <c:v>199.24912560000001</c:v>
                </c:pt>
                <c:pt idx="15">
                  <c:v>242.80195239999998</c:v>
                </c:pt>
                <c:pt idx="16">
                  <c:v>190.2940648</c:v>
                </c:pt>
                <c:pt idx="17">
                  <c:v>230</c:v>
                </c:pt>
                <c:pt idx="18">
                  <c:v>216.00004453185281</c:v>
                </c:pt>
                <c:pt idx="19">
                  <c:v>239.76996</c:v>
                </c:pt>
                <c:pt idx="20">
                  <c:v>179.50796</c:v>
                </c:pt>
                <c:pt idx="21">
                  <c:v>240.392</c:v>
                </c:pt>
                <c:pt idx="22">
                  <c:v>239.55208000000002</c:v>
                </c:pt>
                <c:pt idx="23">
                  <c:v>179.56956</c:v>
                </c:pt>
                <c:pt idx="24">
                  <c:v>240.17299640000002</c:v>
                </c:pt>
                <c:pt idx="25">
                  <c:v>222.11904000000001</c:v>
                </c:pt>
                <c:pt idx="26">
                  <c:v>238.00000000006926</c:v>
                </c:pt>
                <c:pt idx="27">
                  <c:v>180.00000000042226</c:v>
                </c:pt>
                <c:pt idx="28">
                  <c:v>237.99999999993707</c:v>
                </c:pt>
                <c:pt idx="29">
                  <c:v>238.00000000004738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EF-4103-B337-909454D3E64F}"/>
            </c:ext>
          </c:extLst>
        </c:ser>
        <c:ser>
          <c:idx val="1"/>
          <c:order val="1"/>
          <c:tx>
            <c:strRef>
              <c:f>'R+P'!$D$58</c:f>
              <c:strCache>
                <c:ptCount val="1"/>
                <c:pt idx="0">
                  <c:v>Acopio Pta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'R+P'!$B$59:$B$89</c:f>
              <c:numCache>
                <c:formatCode>[$-C0A]d\-mmm\-yy;@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</c:numCache>
            </c:numRef>
          </c:xVal>
          <c:yVal>
            <c:numRef>
              <c:f>'R+P'!$D$59:$D$89</c:f>
              <c:numCache>
                <c:formatCode>#,##0</c:formatCode>
                <c:ptCount val="31"/>
                <c:pt idx="0">
                  <c:v>681.32142959999987</c:v>
                </c:pt>
                <c:pt idx="1">
                  <c:v>641.09303720000003</c:v>
                </c:pt>
                <c:pt idx="2">
                  <c:v>672.52956119999999</c:v>
                </c:pt>
                <c:pt idx="3">
                  <c:v>646.13538919999996</c:v>
                </c:pt>
                <c:pt idx="4">
                  <c:v>675.77679680000006</c:v>
                </c:pt>
                <c:pt idx="5">
                  <c:v>699.37617680000005</c:v>
                </c:pt>
                <c:pt idx="6">
                  <c:v>711.98205680000001</c:v>
                </c:pt>
                <c:pt idx="7">
                  <c:v>727.61627959999998</c:v>
                </c:pt>
                <c:pt idx="8">
                  <c:v>725.80845959999999</c:v>
                </c:pt>
                <c:pt idx="9">
                  <c:v>641.42626240000004</c:v>
                </c:pt>
                <c:pt idx="10">
                  <c:v>507.40132799999998</c:v>
                </c:pt>
                <c:pt idx="11">
                  <c:v>486.20879159999998</c:v>
                </c:pt>
                <c:pt idx="12">
                  <c:v>494.54919360000002</c:v>
                </c:pt>
                <c:pt idx="13">
                  <c:v>455.0077728</c:v>
                </c:pt>
                <c:pt idx="14">
                  <c:v>424.10479999999995</c:v>
                </c:pt>
                <c:pt idx="15">
                  <c:v>495.05733759999998</c:v>
                </c:pt>
                <c:pt idx="16">
                  <c:v>485.33419759999998</c:v>
                </c:pt>
                <c:pt idx="17">
                  <c:v>530.93419759999995</c:v>
                </c:pt>
                <c:pt idx="18">
                  <c:v>546.28300442479201</c:v>
                </c:pt>
                <c:pt idx="19">
                  <c:v>581.21719080530181</c:v>
                </c:pt>
                <c:pt idx="20">
                  <c:v>557.99224570321326</c:v>
                </c:pt>
                <c:pt idx="21">
                  <c:v>590.7502476254341</c:v>
                </c:pt>
                <c:pt idx="22">
                  <c:v>632.93462686944054</c:v>
                </c:pt>
                <c:pt idx="23">
                  <c:v>612.13579909895589</c:v>
                </c:pt>
                <c:pt idx="24">
                  <c:v>655.01360114647616</c:v>
                </c:pt>
                <c:pt idx="25">
                  <c:v>682.93561230351315</c:v>
                </c:pt>
                <c:pt idx="26">
                  <c:v>717.42501558636718</c:v>
                </c:pt>
                <c:pt idx="27">
                  <c:v>691.17509021232979</c:v>
                </c:pt>
                <c:pt idx="28">
                  <c:v>720.00578911096261</c:v>
                </c:pt>
                <c:pt idx="29">
                  <c:v>757.02323163522465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EF-4103-B337-909454D3E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677760"/>
        <c:axId val="1678691200"/>
      </c:scatterChart>
      <c:dateAx>
        <c:axId val="1678620160"/>
        <c:scaling>
          <c:orientation val="minMax"/>
        </c:scaling>
        <c:delete val="0"/>
        <c:axPos val="b"/>
        <c:numFmt formatCode="dd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78625440"/>
        <c:crosses val="autoZero"/>
        <c:auto val="1"/>
        <c:lblOffset val="100"/>
        <c:baseTimeUnit val="days"/>
      </c:dateAx>
      <c:valAx>
        <c:axId val="167862544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78620160"/>
        <c:crosses val="autoZero"/>
        <c:crossBetween val="between"/>
      </c:valAx>
      <c:valAx>
        <c:axId val="1678691200"/>
        <c:scaling>
          <c:orientation val="minMax"/>
          <c:min val="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78677760"/>
        <c:crosses val="max"/>
        <c:crossBetween val="midCat"/>
      </c:valAx>
      <c:valAx>
        <c:axId val="1678677760"/>
        <c:scaling>
          <c:orientation val="minMax"/>
        </c:scaling>
        <c:delete val="1"/>
        <c:axPos val="b"/>
        <c:numFmt formatCode="[$-C0A]d\-mmm\-yy;@" sourceLinked="1"/>
        <c:majorTickMark val="out"/>
        <c:minorTickMark val="none"/>
        <c:tickLblPos val="nextTo"/>
        <c:crossAx val="1678691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05910889047767E-2"/>
          <c:y val="0.11853459474765292"/>
          <c:w val="0.83180908618406624"/>
          <c:h val="0.67393414359696502"/>
        </c:manualLayout>
      </c:layout>
      <c:barChart>
        <c:barDir val="col"/>
        <c:grouping val="clustered"/>
        <c:varyColors val="0"/>
        <c:ser>
          <c:idx val="2"/>
          <c:order val="2"/>
          <c:tx>
            <c:v>Inventario</c:v>
          </c:tx>
          <c:spPr>
            <a:solidFill>
              <a:schemeClr val="accent3"/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CE05-48E2-8454-75944C8E014B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05-48E2-8454-75944C8E01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'Gestión Inventarios'!$B$11:$B$39</c:f>
              <c:numCache>
                <c:formatCode>d\-mmm</c:formatCode>
                <c:ptCount val="29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</c:numCache>
            </c:numRef>
          </c:cat>
          <c:val>
            <c:numRef>
              <c:f>'Gestión Inventarios'!$E$11:$E$39</c:f>
              <c:numCache>
                <c:formatCode>0</c:formatCode>
                <c:ptCount val="29"/>
                <c:pt idx="0">
                  <c:v>20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15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15</c:v>
                </c:pt>
                <c:pt idx="27">
                  <c:v>35</c:v>
                </c:pt>
                <c:pt idx="28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05-48E2-8454-75944C8E0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82693888"/>
        <c:axId val="782372224"/>
      </c:barChart>
      <c:lineChart>
        <c:grouping val="standard"/>
        <c:varyColors val="0"/>
        <c:ser>
          <c:idx val="1"/>
          <c:order val="0"/>
          <c:tx>
            <c:v>Producido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'Gestión Inventarios'!$B$11:$B$39</c:f>
              <c:numCache>
                <c:formatCode>d\-mmm</c:formatCode>
                <c:ptCount val="29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</c:numCache>
            </c:numRef>
          </c:cat>
          <c:val>
            <c:numRef>
              <c:f>'Gestión Inventarios'!$C$11:$C$39</c:f>
              <c:numCache>
                <c:formatCode>0.0</c:formatCode>
                <c:ptCount val="29"/>
                <c:pt idx="0">
                  <c:v>19.41657334540642</c:v>
                </c:pt>
                <c:pt idx="1">
                  <c:v>35.809059275552826</c:v>
                </c:pt>
                <c:pt idx="2">
                  <c:v>34.378610074977907</c:v>
                </c:pt>
                <c:pt idx="3">
                  <c:v>28.678200996667716</c:v>
                </c:pt>
                <c:pt idx="4">
                  <c:v>25.486942393920195</c:v>
                </c:pt>
                <c:pt idx="5">
                  <c:v>28.522596296736598</c:v>
                </c:pt>
                <c:pt idx="6">
                  <c:v>30.75607613795767</c:v>
                </c:pt>
                <c:pt idx="7">
                  <c:v>30.822560481352035</c:v>
                </c:pt>
                <c:pt idx="8">
                  <c:v>21.75403067930813</c:v>
                </c:pt>
                <c:pt idx="9">
                  <c:v>20.843424593632573</c:v>
                </c:pt>
                <c:pt idx="10">
                  <c:v>29.471129186241466</c:v>
                </c:pt>
                <c:pt idx="11">
                  <c:v>32.04894751168834</c:v>
                </c:pt>
                <c:pt idx="12">
                  <c:v>27.538284451200784</c:v>
                </c:pt>
                <c:pt idx="13">
                  <c:v>41.986130421167665</c:v>
                </c:pt>
                <c:pt idx="14">
                  <c:v>40.0432416183816</c:v>
                </c:pt>
                <c:pt idx="15">
                  <c:v>25.951054718872989</c:v>
                </c:pt>
                <c:pt idx="16">
                  <c:v>21.837224356252797</c:v>
                </c:pt>
                <c:pt idx="17">
                  <c:v>22.709269541937768</c:v>
                </c:pt>
                <c:pt idx="18">
                  <c:v>34.491128539672047</c:v>
                </c:pt>
                <c:pt idx="19">
                  <c:v>25.653350275240797</c:v>
                </c:pt>
                <c:pt idx="20">
                  <c:v>27.793878251348087</c:v>
                </c:pt>
                <c:pt idx="21">
                  <c:v>24.180028696785236</c:v>
                </c:pt>
                <c:pt idx="22">
                  <c:v>18.605359624679121</c:v>
                </c:pt>
                <c:pt idx="23">
                  <c:v>18.571534580811178</c:v>
                </c:pt>
                <c:pt idx="24">
                  <c:v>27.772027707158248</c:v>
                </c:pt>
                <c:pt idx="25">
                  <c:v>21.698891116392073</c:v>
                </c:pt>
                <c:pt idx="26">
                  <c:v>37.316146317532443</c:v>
                </c:pt>
                <c:pt idx="27">
                  <c:v>42.600824307283126</c:v>
                </c:pt>
                <c:pt idx="28">
                  <c:v>36.399413892996847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05-48E2-8454-75944C8E014B}"/>
            </c:ext>
          </c:extLst>
        </c:ser>
        <c:ser>
          <c:idx val="0"/>
          <c:order val="1"/>
          <c:tx>
            <c:v>Envasado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'Gestión Inventarios'!$B$11:$B$39</c:f>
              <c:numCache>
                <c:formatCode>d\-mmm</c:formatCode>
                <c:ptCount val="29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</c:numCache>
            </c:numRef>
          </c:cat>
          <c:val>
            <c:numRef>
              <c:f>'Gestión Inventarios'!$D$11:$D$39</c:f>
              <c:numCache>
                <c:formatCode>0.0</c:formatCode>
                <c:ptCount val="29"/>
                <c:pt idx="0">
                  <c:v>23.247016525000099</c:v>
                </c:pt>
                <c:pt idx="1">
                  <c:v>24.272793768749899</c:v>
                </c:pt>
                <c:pt idx="2">
                  <c:v>60.48460438893089</c:v>
                </c:pt>
                <c:pt idx="3">
                  <c:v>53.2</c:v>
                </c:pt>
                <c:pt idx="4">
                  <c:v>47.26</c:v>
                </c:pt>
                <c:pt idx="5">
                  <c:v>40.67</c:v>
                </c:pt>
                <c:pt idx="6">
                  <c:v>38.46</c:v>
                </c:pt>
                <c:pt idx="7">
                  <c:v>46.16</c:v>
                </c:pt>
                <c:pt idx="8">
                  <c:v>46.98</c:v>
                </c:pt>
                <c:pt idx="9">
                  <c:v>33.83</c:v>
                </c:pt>
                <c:pt idx="10">
                  <c:v>26.38</c:v>
                </c:pt>
                <c:pt idx="11">
                  <c:v>26.333017135184665</c:v>
                </c:pt>
                <c:pt idx="12">
                  <c:v>15.138711110207137</c:v>
                </c:pt>
                <c:pt idx="13">
                  <c:v>36.136825100000017</c:v>
                </c:pt>
                <c:pt idx="14">
                  <c:v>38.957000000000001</c:v>
                </c:pt>
                <c:pt idx="15">
                  <c:v>2.4033503206511853</c:v>
                </c:pt>
                <c:pt idx="16">
                  <c:v>8.5319142179054914</c:v>
                </c:pt>
                <c:pt idx="17">
                  <c:v>33.278728852343804</c:v>
                </c:pt>
                <c:pt idx="18">
                  <c:v>44.873185487124211</c:v>
                </c:pt>
                <c:pt idx="19">
                  <c:v>44.668231324443511</c:v>
                </c:pt>
                <c:pt idx="20">
                  <c:v>44.228357361385243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05-48E2-8454-75944C8E0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2692864"/>
        <c:axId val="782371648"/>
      </c:lineChart>
      <c:catAx>
        <c:axId val="782692864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8237164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782371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PRODUCIDO - ENVASADO,  TMF Mo</a:t>
                </a:r>
              </a:p>
            </c:rich>
          </c:tx>
          <c:layout>
            <c:manualLayout>
              <c:xMode val="edge"/>
              <c:yMode val="edge"/>
              <c:x val="1.1748136594329198E-2"/>
              <c:y val="0.119084122516712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82692864"/>
        <c:crosses val="autoZero"/>
        <c:crossBetween val="between"/>
      </c:valAx>
      <c:catAx>
        <c:axId val="782693888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one"/>
        <c:crossAx val="782372224"/>
        <c:crosses val="autoZero"/>
        <c:auto val="0"/>
        <c:lblAlgn val="ctr"/>
        <c:lblOffset val="100"/>
        <c:noMultiLvlLbl val="0"/>
      </c:catAx>
      <c:valAx>
        <c:axId val="782372224"/>
        <c:scaling>
          <c:orientation val="minMax"/>
          <c:min val="200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STOCK Mo PLANTA SELECTIVA</a:t>
                </a:r>
              </a:p>
            </c:rich>
          </c:tx>
          <c:layout>
            <c:manualLayout>
              <c:xMode val="edge"/>
              <c:yMode val="edge"/>
              <c:x val="0.96923598380157594"/>
              <c:y val="0.169832700211896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82693888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L"/>
    </a:p>
  </c:txPr>
  <c:printSettings>
    <c:headerFooter alignWithMargins="0">
      <c:oddHeader>&amp;A</c:oddHeader>
      <c:oddFooter>Page &amp;P</c:oddFooter>
    </c:headerFooter>
    <c:pageMargins b="1" l="0.75000000000000011" r="0.75000000000000011" t="1" header="0.5" footer="0.5"/>
    <c:pageSetup orientation="landscape"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05910889047767E-2"/>
          <c:y val="0.11853459474765292"/>
          <c:w val="0.83180908618406624"/>
          <c:h val="0.649131049389000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'Gestión Inventarios'!$E$55</c:f>
              <c:strCache>
                <c:ptCount val="1"/>
                <c:pt idx="0">
                  <c:v>DELTA INVENTARIO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Lbls>
            <c:dLbl>
              <c:idx val="30"/>
              <c:layout>
                <c:manualLayout>
                  <c:x val="3.8519314299195744E-2"/>
                  <c:y val="-2.3532868628826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D6-4592-A53B-DB6E2A40D0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'Gestión Inventarios'!$B$11:$B$39</c:f>
              <c:numCache>
                <c:formatCode>d\-mmm</c:formatCode>
                <c:ptCount val="29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</c:numCache>
            </c:numRef>
          </c:cat>
          <c:val>
            <c:numRef>
              <c:f>'Gestión Inventarios'!$E$57:$E$87</c:f>
              <c:numCache>
                <c:formatCode>#,##0</c:formatCode>
                <c:ptCount val="31"/>
                <c:pt idx="0">
                  <c:v>2776.975039624233</c:v>
                </c:pt>
                <c:pt idx="1">
                  <c:v>2599.6276170353804</c:v>
                </c:pt>
                <c:pt idx="2">
                  <c:v>2696.4778287721792</c:v>
                </c:pt>
                <c:pt idx="3">
                  <c:v>2373.1255462406389</c:v>
                </c:pt>
                <c:pt idx="4">
                  <c:v>2667.9178988227141</c:v>
                </c:pt>
                <c:pt idx="5">
                  <c:v>2481.2304671007792</c:v>
                </c:pt>
                <c:pt idx="6">
                  <c:v>2249.1088795450469</c:v>
                </c:pt>
                <c:pt idx="7">
                  <c:v>2011.1428395499343</c:v>
                </c:pt>
                <c:pt idx="8">
                  <c:v>2136.0693845214687</c:v>
                </c:pt>
                <c:pt idx="9">
                  <c:v>2358.1166222320517</c:v>
                </c:pt>
                <c:pt idx="10">
                  <c:v>2288.8483711480549</c:v>
                </c:pt>
                <c:pt idx="11">
                  <c:v>2633.4796796001724</c:v>
                </c:pt>
                <c:pt idx="12">
                  <c:v>2743.5162145706936</c:v>
                </c:pt>
                <c:pt idx="13">
                  <c:v>2833.296079094549</c:v>
                </c:pt>
                <c:pt idx="14">
                  <c:v>2829.2312161632981</c:v>
                </c:pt>
                <c:pt idx="15">
                  <c:v>2925.7548895379791</c:v>
                </c:pt>
                <c:pt idx="16">
                  <c:v>2675.1235430230172</c:v>
                </c:pt>
                <c:pt idx="17">
                  <c:v>2510.9963026909859</c:v>
                </c:pt>
                <c:pt idx="18">
                  <c:v>3057.2202660295716</c:v>
                </c:pt>
                <c:pt idx="19">
                  <c:v>3035.3300772608845</c:v>
                </c:pt>
                <c:pt idx="20">
                  <c:v>3094.4214940632705</c:v>
                </c:pt>
                <c:pt idx="21">
                  <c:v>3110.0371986750151</c:v>
                </c:pt>
                <c:pt idx="22">
                  <c:v>3161.2202846076066</c:v>
                </c:pt>
                <c:pt idx="23">
                  <c:v>3221.1881020801475</c:v>
                </c:pt>
                <c:pt idx="24">
                  <c:v>3192.1249201850637</c:v>
                </c:pt>
                <c:pt idx="25">
                  <c:v>3011.6794164993944</c:v>
                </c:pt>
                <c:pt idx="26">
                  <c:v>2850.2370707776304</c:v>
                </c:pt>
                <c:pt idx="27">
                  <c:v>3274.2763612987269</c:v>
                </c:pt>
                <c:pt idx="28">
                  <c:v>3060.4038696428806</c:v>
                </c:pt>
                <c:pt idx="29">
                  <c:v>2804.6044697998395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D6-4592-A53B-DB6E2A40D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36572416"/>
        <c:axId val="782374528"/>
      </c:barChart>
      <c:lineChart>
        <c:grouping val="standard"/>
        <c:varyColors val="0"/>
        <c:ser>
          <c:idx val="1"/>
          <c:order val="0"/>
          <c:tx>
            <c:strRef>
              <c:f>'Gestión Inventarios'!$D$55</c:f>
              <c:strCache>
                <c:ptCount val="1"/>
                <c:pt idx="0">
                  <c:v>FILTRADO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'Gestión Inventarios'!$B$57:$B$87</c:f>
              <c:numCache>
                <c:formatCode>d\-mmm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</c:numCache>
            </c:numRef>
          </c:cat>
          <c:val>
            <c:numRef>
              <c:f>'Gestión Inventarios'!$D$57:$D$87</c:f>
              <c:numCache>
                <c:formatCode>#,##0</c:formatCode>
                <c:ptCount val="31"/>
                <c:pt idx="0">
                  <c:v>536.31995073968528</c:v>
                </c:pt>
                <c:pt idx="1">
                  <c:v>1044.865292601796</c:v>
                </c:pt>
                <c:pt idx="2">
                  <c:v>672.79059109316586</c:v>
                </c:pt>
                <c:pt idx="3">
                  <c:v>1039.0829044772261</c:v>
                </c:pt>
                <c:pt idx="4">
                  <c:v>448.22675987412754</c:v>
                </c:pt>
                <c:pt idx="5">
                  <c:v>853.84583848557884</c:v>
                </c:pt>
                <c:pt idx="6">
                  <c:v>891.96241908052139</c:v>
                </c:pt>
                <c:pt idx="7">
                  <c:v>918.6624179825676</c:v>
                </c:pt>
                <c:pt idx="8">
                  <c:v>672.42493600532498</c:v>
                </c:pt>
                <c:pt idx="9">
                  <c:v>524.61109302043144</c:v>
                </c:pt>
                <c:pt idx="10">
                  <c:v>848.08866420967195</c:v>
                </c:pt>
                <c:pt idx="11">
                  <c:v>481.62808066586621</c:v>
                </c:pt>
                <c:pt idx="12">
                  <c:v>736.69249686293256</c:v>
                </c:pt>
                <c:pt idx="13">
                  <c:v>680.36615871196034</c:v>
                </c:pt>
                <c:pt idx="14">
                  <c:v>887.08201204629222</c:v>
                </c:pt>
                <c:pt idx="15">
                  <c:v>761.74658954383403</c:v>
                </c:pt>
                <c:pt idx="16">
                  <c:v>1097.7200355014777</c:v>
                </c:pt>
                <c:pt idx="17">
                  <c:v>961.4728403320313</c:v>
                </c:pt>
                <c:pt idx="18">
                  <c:v>514.31373800000006</c:v>
                </c:pt>
                <c:pt idx="19">
                  <c:v>1024.5458375948233</c:v>
                </c:pt>
                <c:pt idx="20">
                  <c:v>947.254478857452</c:v>
                </c:pt>
                <c:pt idx="21">
                  <c:v>1011.5337417595922</c:v>
                </c:pt>
                <c:pt idx="22">
                  <c:v>879.62101610941681</c:v>
                </c:pt>
                <c:pt idx="23">
                  <c:v>853.27123141767731</c:v>
                </c:pt>
                <c:pt idx="24">
                  <c:v>899.01101534445786</c:v>
                </c:pt>
                <c:pt idx="25">
                  <c:v>1101.5360920905689</c:v>
                </c:pt>
                <c:pt idx="26">
                  <c:v>1124.0566607607016</c:v>
                </c:pt>
                <c:pt idx="27">
                  <c:v>679.61522370571265</c:v>
                </c:pt>
                <c:pt idx="28">
                  <c:v>1349.7307305287361</c:v>
                </c:pt>
                <c:pt idx="29">
                  <c:v>1317.0784468681602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D6-4592-A53B-DB6E2A40D08F}"/>
            </c:ext>
          </c:extLst>
        </c:ser>
        <c:ser>
          <c:idx val="0"/>
          <c:order val="1"/>
          <c:tx>
            <c:strRef>
              <c:f>'Gestión Inventarios'!$C$55</c:f>
              <c:strCache>
                <c:ptCount val="1"/>
                <c:pt idx="0">
                  <c:v>PRODUCIDO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'Gestión Inventarios'!$B$57:$B$87</c:f>
              <c:numCache>
                <c:formatCode>d\-mmm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</c:numCache>
            </c:numRef>
          </c:cat>
          <c:val>
            <c:numRef>
              <c:f>'Gestión Inventarios'!$C$57:$C$87</c:f>
              <c:numCache>
                <c:formatCode>#,##0</c:formatCode>
                <c:ptCount val="31"/>
                <c:pt idx="0">
                  <c:v>516.40850356498265</c:v>
                </c:pt>
                <c:pt idx="1">
                  <c:v>867.5178700129436</c:v>
                </c:pt>
                <c:pt idx="2">
                  <c:v>769.64080282996485</c:v>
                </c:pt>
                <c:pt idx="3">
                  <c:v>715.73062194568558</c:v>
                </c:pt>
                <c:pt idx="4">
                  <c:v>743.01911245620272</c:v>
                </c:pt>
                <c:pt idx="5">
                  <c:v>667.15840676364382</c:v>
                </c:pt>
                <c:pt idx="6">
                  <c:v>659.840831524789</c:v>
                </c:pt>
                <c:pt idx="7">
                  <c:v>680.69637798745521</c:v>
                </c:pt>
                <c:pt idx="8">
                  <c:v>797.35148097685965</c:v>
                </c:pt>
                <c:pt idx="9">
                  <c:v>746.65833073101442</c:v>
                </c:pt>
                <c:pt idx="10">
                  <c:v>778.82041312567537</c:v>
                </c:pt>
                <c:pt idx="11">
                  <c:v>826.25938911798369</c:v>
                </c:pt>
                <c:pt idx="12">
                  <c:v>846.7290318334542</c:v>
                </c:pt>
                <c:pt idx="13">
                  <c:v>770.14602323581585</c:v>
                </c:pt>
                <c:pt idx="14">
                  <c:v>883.01714911504155</c:v>
                </c:pt>
                <c:pt idx="15">
                  <c:v>858.27026291851507</c:v>
                </c:pt>
                <c:pt idx="16">
                  <c:v>847.08868898651588</c:v>
                </c:pt>
                <c:pt idx="17">
                  <c:v>797.34559999999999</c:v>
                </c:pt>
                <c:pt idx="18">
                  <c:v>1060.5377013385855</c:v>
                </c:pt>
                <c:pt idx="19">
                  <c:v>1002.6556488261361</c:v>
                </c:pt>
                <c:pt idx="20">
                  <c:v>1006.345895659838</c:v>
                </c:pt>
                <c:pt idx="21">
                  <c:v>1027.149446371337</c:v>
                </c:pt>
                <c:pt idx="22">
                  <c:v>930.80410204200825</c:v>
                </c:pt>
                <c:pt idx="23">
                  <c:v>913.23904889021844</c:v>
                </c:pt>
                <c:pt idx="24">
                  <c:v>869.94783344937412</c:v>
                </c:pt>
                <c:pt idx="25">
                  <c:v>921.09058840489934</c:v>
                </c:pt>
                <c:pt idx="26">
                  <c:v>962.61431503893755</c:v>
                </c:pt>
                <c:pt idx="27">
                  <c:v>1103.6545142268092</c:v>
                </c:pt>
                <c:pt idx="28">
                  <c:v>1135.8582388728898</c:v>
                </c:pt>
                <c:pt idx="29">
                  <c:v>1061.2790470251196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D6-4592-A53B-DB6E2A40D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6571392"/>
        <c:axId val="782373952"/>
      </c:lineChart>
      <c:catAx>
        <c:axId val="736571392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8237395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782373952"/>
        <c:scaling>
          <c:orientation val="minMax"/>
          <c:max val="1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PRODUCIDO - FILTRADO,  TMF</a:t>
                </a:r>
              </a:p>
            </c:rich>
          </c:tx>
          <c:layout>
            <c:manualLayout>
              <c:xMode val="edge"/>
              <c:yMode val="edge"/>
              <c:x val="1.0678075352940434E-2"/>
              <c:y val="0.264238818176781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36571392"/>
        <c:crosses val="autoZero"/>
        <c:crossBetween val="between"/>
      </c:valAx>
      <c:catAx>
        <c:axId val="736572416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one"/>
        <c:crossAx val="782374528"/>
        <c:crosses val="autoZero"/>
        <c:auto val="0"/>
        <c:lblAlgn val="ctr"/>
        <c:lblOffset val="100"/>
        <c:noMultiLvlLbl val="0"/>
      </c:catAx>
      <c:valAx>
        <c:axId val="782374528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3657241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 alignWithMargins="0">
      <c:oddHeader>&amp;A</c:oddHeader>
      <c:oddFooter>Page &amp;P</c:oddFooter>
    </c:headerFooter>
    <c:pageMargins b="1" l="0.75000000000000011" r="0.75000000000000011" t="1" header="0.5" footer="0.5"/>
    <c:pageSetup orientation="landscape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CuFFP R+P vs ST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9.444196898331933E-2"/>
          <c:y val="7.5945283972131641E-2"/>
          <c:w val="0.82415844565564889"/>
          <c:h val="0.68033460901186238"/>
        </c:manualLayout>
      </c:layout>
      <c:barChart>
        <c:barDir val="col"/>
        <c:grouping val="clustered"/>
        <c:varyColors val="0"/>
        <c:ser>
          <c:idx val="0"/>
          <c:order val="2"/>
          <c:tx>
            <c:strRef>
              <c:f>'Gestión Inventarios'!$T$56</c:f>
              <c:strCache>
                <c:ptCount val="1"/>
                <c:pt idx="0">
                  <c:v>Delta acum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'Gestión Inventarios'!$O$57:$O$86</c:f>
              <c:numCache>
                <c:formatCode>d\-mmm</c:formatCode>
                <c:ptCount val="30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</c:numCache>
            </c:numRef>
          </c:cat>
          <c:val>
            <c:numRef>
              <c:f>'Gestión Inventarios'!$T$57:$T$87</c:f>
              <c:numCache>
                <c:formatCode>0</c:formatCode>
                <c:ptCount val="31"/>
                <c:pt idx="0">
                  <c:v>518.08507241453594</c:v>
                </c:pt>
                <c:pt idx="1">
                  <c:v>1527.4249450678708</c:v>
                </c:pt>
                <c:pt idx="2">
                  <c:v>1335.8478505531996</c:v>
                </c:pt>
                <c:pt idx="3">
                  <c:v>1490.1250449796016</c:v>
                </c:pt>
                <c:pt idx="4">
                  <c:v>1121.4369175808934</c:v>
                </c:pt>
                <c:pt idx="5">
                  <c:v>1164.0378374097518</c:v>
                </c:pt>
                <c:pt idx="6">
                  <c:v>1275.7541056015361</c:v>
                </c:pt>
                <c:pt idx="7">
                  <c:v>1519.8569225771089</c:v>
                </c:pt>
                <c:pt idx="8">
                  <c:v>2169.4194107582525</c:v>
                </c:pt>
                <c:pt idx="9">
                  <c:v>1732.720688709569</c:v>
                </c:pt>
                <c:pt idx="10">
                  <c:v>1542.0060207128199</c:v>
                </c:pt>
                <c:pt idx="11">
                  <c:v>938.24804885307731</c:v>
                </c:pt>
                <c:pt idx="12">
                  <c:v>592.14530007421126</c:v>
                </c:pt>
                <c:pt idx="13">
                  <c:v>89.994241654690995</c:v>
                </c:pt>
                <c:pt idx="14">
                  <c:v>85.742154112236676</c:v>
                </c:pt>
                <c:pt idx="15">
                  <c:v>-50.380799856793601</c:v>
                </c:pt>
                <c:pt idx="16">
                  <c:v>187.16016081540693</c:v>
                </c:pt>
                <c:pt idx="17">
                  <c:v>309.76495482300743</c:v>
                </c:pt>
                <c:pt idx="18">
                  <c:v>15.40648554404288</c:v>
                </c:pt>
                <c:pt idx="19">
                  <c:v>196.81035769791924</c:v>
                </c:pt>
                <c:pt idx="20">
                  <c:v>-89.185130721356472</c:v>
                </c:pt>
                <c:pt idx="21">
                  <c:v>-280.9902455879128</c:v>
                </c:pt>
                <c:pt idx="22">
                  <c:v>-708.81673452027462</c:v>
                </c:pt>
                <c:pt idx="23">
                  <c:v>-1107.9168049492182</c:v>
                </c:pt>
                <c:pt idx="24">
                  <c:v>-1365.7806676935361</c:v>
                </c:pt>
                <c:pt idx="25">
                  <c:v>-1318.6895628788297</c:v>
                </c:pt>
                <c:pt idx="26">
                  <c:v>-1297.2767594722063</c:v>
                </c:pt>
                <c:pt idx="27">
                  <c:v>-1769.0986247748733</c:v>
                </c:pt>
                <c:pt idx="28">
                  <c:v>-1537.104030623861</c:v>
                </c:pt>
                <c:pt idx="29">
                  <c:v>-1387.2644404490238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C4-45C4-A707-F265B13A2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axId val="736573952"/>
        <c:axId val="782426688"/>
      </c:barChart>
      <c:lineChart>
        <c:grouping val="standard"/>
        <c:varyColors val="0"/>
        <c:ser>
          <c:idx val="1"/>
          <c:order val="0"/>
          <c:tx>
            <c:strRef>
              <c:f>'Gestión Inventarios'!$Q$56</c:f>
              <c:strCache>
                <c:ptCount val="1"/>
                <c:pt idx="0">
                  <c:v>R+P Acum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30"/>
              <c:layout>
                <c:manualLayout>
                  <c:x val="-5.8103251182600797E-2"/>
                  <c:y val="-0.11005612497406055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C4-45C4-A707-F265B13A20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'Gestión Inventarios'!$O$57:$O$86</c:f>
              <c:numCache>
                <c:formatCode>d\-mmm</c:formatCode>
                <c:ptCount val="30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</c:numCache>
            </c:numRef>
          </c:cat>
          <c:val>
            <c:numRef>
              <c:f>'Gestión Inventarios'!$Q$57:$Q$87</c:f>
              <c:numCache>
                <c:formatCode>0</c:formatCode>
                <c:ptCount val="31"/>
                <c:pt idx="0">
                  <c:v>518.08507241453594</c:v>
                </c:pt>
                <c:pt idx="1">
                  <c:v>1527.4249450678708</c:v>
                </c:pt>
                <c:pt idx="2">
                  <c:v>2177.3406560638691</c:v>
                </c:pt>
                <c:pt idx="3">
                  <c:v>3181.0947417888692</c:v>
                </c:pt>
                <c:pt idx="4">
                  <c:v>3614.0817918272764</c:v>
                </c:pt>
                <c:pt idx="5">
                  <c:v>4438.8968718043452</c:v>
                </c:pt>
                <c:pt idx="6">
                  <c:v>5300.5325686361284</c:v>
                </c:pt>
                <c:pt idx="7">
                  <c:v>6187.9604644072888</c:v>
                </c:pt>
                <c:pt idx="8">
                  <c:v>6837.5229525884324</c:v>
                </c:pt>
                <c:pt idx="9">
                  <c:v>7344.2972684461693</c:v>
                </c:pt>
                <c:pt idx="10">
                  <c:v>8163.5509180727122</c:v>
                </c:pt>
                <c:pt idx="11">
                  <c:v>8628.8036439959396</c:v>
                </c:pt>
                <c:pt idx="12">
                  <c:v>9340.4485959655321</c:v>
                </c:pt>
                <c:pt idx="13">
                  <c:v>9997.6823052812852</c:v>
                </c:pt>
                <c:pt idx="14">
                  <c:v>10854.603528918004</c:v>
                </c:pt>
                <c:pt idx="15">
                  <c:v>11590.450734417347</c:v>
                </c:pt>
                <c:pt idx="16">
                  <c:v>12650.848288711775</c:v>
                </c:pt>
                <c:pt idx="17">
                  <c:v>13579.631052472518</c:v>
                </c:pt>
                <c:pt idx="18">
                  <c:v>14076.458123380518</c:v>
                </c:pt>
                <c:pt idx="19">
                  <c:v>15066.169402497118</c:v>
                </c:pt>
                <c:pt idx="20">
                  <c:v>15981.217229073416</c:v>
                </c:pt>
                <c:pt idx="21">
                  <c:v>16958.358823613184</c:v>
                </c:pt>
                <c:pt idx="22">
                  <c:v>17808.072725174879</c:v>
                </c:pt>
                <c:pt idx="23">
                  <c:v>18632.332734724354</c:v>
                </c:pt>
                <c:pt idx="24">
                  <c:v>19500.777375547099</c:v>
                </c:pt>
                <c:pt idx="25">
                  <c:v>20564.861240506587</c:v>
                </c:pt>
                <c:pt idx="26">
                  <c:v>21650.699974801424</c:v>
                </c:pt>
                <c:pt idx="27">
                  <c:v>22307.208280901141</c:v>
                </c:pt>
                <c:pt idx="28">
                  <c:v>23611.0481665919</c:v>
                </c:pt>
                <c:pt idx="29">
                  <c:v>24883.345946266541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C4-45C4-A707-F265B13A208A}"/>
            </c:ext>
          </c:extLst>
        </c:ser>
        <c:ser>
          <c:idx val="2"/>
          <c:order val="1"/>
          <c:tx>
            <c:strRef>
              <c:f>'Gestión Inventarios'!$S$56</c:f>
              <c:strCache>
                <c:ptCount val="1"/>
                <c:pt idx="0">
                  <c:v>ST acum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30"/>
              <c:layout>
                <c:manualLayout>
                  <c:x val="-5.983310877418014E-2"/>
                  <c:y val="-0.1837840652541091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C4-45C4-A707-F265B13A20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'Gestión Inventarios'!$O$57:$O$86</c:f>
              <c:numCache>
                <c:formatCode>d\-mmm</c:formatCode>
                <c:ptCount val="30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</c:numCache>
            </c:numRef>
          </c:cat>
          <c:val>
            <c:numRef>
              <c:f>'Gestión Inventarios'!$S$57:$S$87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841.49280551066954</c:v>
                </c:pt>
                <c:pt idx="3">
                  <c:v>1690.9696968092676</c:v>
                </c:pt>
                <c:pt idx="4">
                  <c:v>2492.6448742463831</c:v>
                </c:pt>
                <c:pt idx="5">
                  <c:v>3274.8590343945934</c:v>
                </c:pt>
                <c:pt idx="6">
                  <c:v>4024.7784630345923</c:v>
                </c:pt>
                <c:pt idx="7">
                  <c:v>4668.1035418301799</c:v>
                </c:pt>
                <c:pt idx="8">
                  <c:v>4668.1035418301799</c:v>
                </c:pt>
                <c:pt idx="9">
                  <c:v>5611.5765797366003</c:v>
                </c:pt>
                <c:pt idx="10">
                  <c:v>6621.5448973598923</c:v>
                </c:pt>
                <c:pt idx="11">
                  <c:v>7690.5555951428623</c:v>
                </c:pt>
                <c:pt idx="12">
                  <c:v>8748.3032958913209</c:v>
                </c:pt>
                <c:pt idx="13">
                  <c:v>9907.6880636265942</c:v>
                </c:pt>
                <c:pt idx="14">
                  <c:v>10768.861374805767</c:v>
                </c:pt>
                <c:pt idx="15">
                  <c:v>11640.831534274141</c:v>
                </c:pt>
                <c:pt idx="16">
                  <c:v>12463.688127896368</c:v>
                </c:pt>
                <c:pt idx="17">
                  <c:v>13269.86609764951</c:v>
                </c:pt>
                <c:pt idx="18">
                  <c:v>14061.051637836475</c:v>
                </c:pt>
                <c:pt idx="19">
                  <c:v>14869.359044799199</c:v>
                </c:pt>
                <c:pt idx="20">
                  <c:v>16070.402359794773</c:v>
                </c:pt>
                <c:pt idx="21">
                  <c:v>17239.349069201096</c:v>
                </c:pt>
                <c:pt idx="22">
                  <c:v>18516.889459695154</c:v>
                </c:pt>
                <c:pt idx="23">
                  <c:v>19740.249539673572</c:v>
                </c:pt>
                <c:pt idx="24">
                  <c:v>20866.558043240635</c:v>
                </c:pt>
                <c:pt idx="25">
                  <c:v>21883.550803385417</c:v>
                </c:pt>
                <c:pt idx="26">
                  <c:v>22947.97673427363</c:v>
                </c:pt>
                <c:pt idx="27">
                  <c:v>24076.306905676014</c:v>
                </c:pt>
                <c:pt idx="28">
                  <c:v>25148.152197215761</c:v>
                </c:pt>
                <c:pt idx="29">
                  <c:v>26270.610386715565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C4-45C4-A707-F265B13A2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6573440"/>
        <c:axId val="782426112"/>
      </c:lineChart>
      <c:dateAx>
        <c:axId val="73657344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82426112"/>
        <c:crosses val="autoZero"/>
        <c:auto val="1"/>
        <c:lblOffset val="100"/>
        <c:baseTimeUnit val="days"/>
      </c:dateAx>
      <c:valAx>
        <c:axId val="782426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CuFFP R+P - ST, TMF</a:t>
                </a:r>
              </a:p>
            </c:rich>
          </c:tx>
          <c:layout>
            <c:manualLayout>
              <c:xMode val="edge"/>
              <c:yMode val="edge"/>
              <c:x val="1.7295016063534933E-3"/>
              <c:y val="0.25242041672165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36573440"/>
        <c:crosses val="autoZero"/>
        <c:crossBetween val="between"/>
      </c:valAx>
      <c:valAx>
        <c:axId val="782426688"/>
        <c:scaling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Delta R+P - ST, TMF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36573952"/>
        <c:crosses val="max"/>
        <c:crossBetween val="between"/>
      </c:valAx>
      <c:dateAx>
        <c:axId val="736573952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7824266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46943765281174"/>
          <c:y val="3.5955056179775284E-2"/>
          <c:w val="0.87408312958435208"/>
          <c:h val="0.76679079528036953"/>
        </c:manualLayout>
      </c:layout>
      <c:lineChart>
        <c:grouping val="standard"/>
        <c:varyColors val="0"/>
        <c:ser>
          <c:idx val="0"/>
          <c:order val="0"/>
          <c:tx>
            <c:v>%Duro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'Grafico ktpd'!$A$4:$A$33</c:f>
              <c:numCache>
                <c:formatCode>[$-C0A]d\-mmm;@</c:formatCode>
                <c:ptCount val="30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0</c:v>
                </c:pt>
              </c:numCache>
            </c:numRef>
          </c:cat>
          <c:val>
            <c:numRef>
              <c:f>'Plan mina ST'!#REF!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01-4331-BB48-C007B20B1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5878656"/>
        <c:axId val="782433600"/>
      </c:lineChart>
      <c:catAx>
        <c:axId val="735878656"/>
        <c:scaling>
          <c:orientation val="minMax"/>
        </c:scaling>
        <c:delete val="0"/>
        <c:axPos val="b"/>
        <c:numFmt formatCode="[$-409]d\-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8243360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782433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%Duro</a:t>
                </a:r>
              </a:p>
            </c:rich>
          </c:tx>
          <c:layout>
            <c:manualLayout>
              <c:xMode val="edge"/>
              <c:yMode val="edge"/>
              <c:x val="6.1652195676029494E-3"/>
              <c:y val="0.257336282402901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358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003701661752457"/>
          <c:y val="0.71349647552594808"/>
          <c:w val="0.10136510701714342"/>
          <c:h val="6.8807843132218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80402721588042"/>
          <c:y val="9.4594802652560775E-2"/>
          <c:w val="0.79003274575426996"/>
          <c:h val="0.67659926734393294"/>
        </c:manualLayout>
      </c:layout>
      <c:areaChart>
        <c:grouping val="standard"/>
        <c:varyColors val="0"/>
        <c:ser>
          <c:idx val="2"/>
          <c:order val="1"/>
          <c:tx>
            <c:strRef>
              <c:f>'Grafico ktpd'!$D$3</c:f>
              <c:strCache>
                <c:ptCount val="1"/>
                <c:pt idx="0">
                  <c:v>Stock Planta(kTon)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'Grafico ktpd'!$A$4:$A$34</c:f>
              <c:numCache>
                <c:formatCode>[$-C0A]d\-mmm;@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'Grafico ktpd'!$D$4:$D$33</c:f>
              <c:numCache>
                <c:formatCode>0</c:formatCode>
                <c:ptCount val="30"/>
                <c:pt idx="0">
                  <c:v>594.9778544076878</c:v>
                </c:pt>
                <c:pt idx="1">
                  <c:v>608.1147554797916</c:v>
                </c:pt>
                <c:pt idx="2">
                  <c:v>653.69004919214092</c:v>
                </c:pt>
                <c:pt idx="3">
                  <c:v>684.74540437229314</c:v>
                </c:pt>
                <c:pt idx="4">
                  <c:v>713.82772987393537</c:v>
                </c:pt>
                <c:pt idx="5">
                  <c:v>722.72113145490653</c:v>
                </c:pt>
                <c:pt idx="6">
                  <c:v>727.1115674354204</c:v>
                </c:pt>
                <c:pt idx="7">
                  <c:v>714.19139074549014</c:v>
                </c:pt>
                <c:pt idx="8">
                  <c:v>703.79164006745862</c:v>
                </c:pt>
                <c:pt idx="9">
                  <c:v>600.0350942069681</c:v>
                </c:pt>
                <c:pt idx="10">
                  <c:v>555.47929151038534</c:v>
                </c:pt>
                <c:pt idx="11">
                  <c:v>565.91077963523696</c:v>
                </c:pt>
                <c:pt idx="12">
                  <c:v>580.7881867191802</c:v>
                </c:pt>
                <c:pt idx="13">
                  <c:v>554.09171845843252</c:v>
                </c:pt>
                <c:pt idx="14">
                  <c:v>561.82485494972798</c:v>
                </c:pt>
                <c:pt idx="15">
                  <c:v>593.40713722345822</c:v>
                </c:pt>
                <c:pt idx="16">
                  <c:v>626.16221235726221</c:v>
                </c:pt>
                <c:pt idx="17">
                  <c:v>618.79675273211501</c:v>
                </c:pt>
                <c:pt idx="18">
                  <c:v>644.09591337383029</c:v>
                </c:pt>
                <c:pt idx="19">
                  <c:v>667.29041378565239</c:v>
                </c:pt>
                <c:pt idx="20">
                  <c:v>659.21775062644872</c:v>
                </c:pt>
                <c:pt idx="21">
                  <c:v>664.61452002148292</c:v>
                </c:pt>
                <c:pt idx="22">
                  <c:v>673.1076850040381</c:v>
                </c:pt>
                <c:pt idx="23">
                  <c:v>658.97229932983191</c:v>
                </c:pt>
                <c:pt idx="24">
                  <c:v>677.72064140146335</c:v>
                </c:pt>
                <c:pt idx="25">
                  <c:v>688.55305309631785</c:v>
                </c:pt>
                <c:pt idx="26">
                  <c:v>679.00417815013623</c:v>
                </c:pt>
                <c:pt idx="27">
                  <c:v>648.41108982838512</c:v>
                </c:pt>
                <c:pt idx="28">
                  <c:v>657.78516053012595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1-486D-A05D-66FE92C91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3248384"/>
        <c:axId val="781774208"/>
      </c:areaChart>
      <c:lineChart>
        <c:grouping val="standard"/>
        <c:varyColors val="0"/>
        <c:ser>
          <c:idx val="0"/>
          <c:order val="0"/>
          <c:tx>
            <c:strRef>
              <c:f>'Grafico ktpd'!$B$3</c:f>
              <c:strCache>
                <c:ptCount val="1"/>
                <c:pt idx="0">
                  <c:v>Trat. Planta 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'Grafico ktpd'!$A$4:$A$33</c:f>
              <c:numCache>
                <c:formatCode>[$-C0A]d\-mmm;@</c:formatCode>
                <c:ptCount val="30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0</c:v>
                </c:pt>
              </c:numCache>
            </c:numRef>
          </c:cat>
          <c:val>
            <c:numRef>
              <c:f>'Grafico ktpd'!$B$4:$B$33</c:f>
              <c:numCache>
                <c:formatCode>0</c:formatCode>
                <c:ptCount val="30"/>
                <c:pt idx="0">
                  <c:v>92.511072796314039</c:v>
                </c:pt>
                <c:pt idx="1">
                  <c:v>166.86309892828095</c:v>
                </c:pt>
                <c:pt idx="2">
                  <c:v>144.42470628770081</c:v>
                </c:pt>
                <c:pt idx="3">
                  <c:v>144.86084596144261</c:v>
                </c:pt>
                <c:pt idx="4">
                  <c:v>150.91777176313917</c:v>
                </c:pt>
                <c:pt idx="5">
                  <c:v>151.10659841900798</c:v>
                </c:pt>
                <c:pt idx="6">
                  <c:v>165.60956401972805</c:v>
                </c:pt>
                <c:pt idx="7">
                  <c:v>202.92017669039228</c:v>
                </c:pt>
                <c:pt idx="8">
                  <c:v>180.39975067853979</c:v>
                </c:pt>
                <c:pt idx="9">
                  <c:v>167.99549863435666</c:v>
                </c:pt>
                <c:pt idx="10">
                  <c:v>194.5564274488097</c:v>
                </c:pt>
                <c:pt idx="11">
                  <c:v>209.56913112126503</c:v>
                </c:pt>
                <c:pt idx="12">
                  <c:v>205.12310200279356</c:v>
                </c:pt>
                <c:pt idx="13">
                  <c:v>191.78490070701366</c:v>
                </c:pt>
                <c:pt idx="14">
                  <c:v>189.53784838868359</c:v>
                </c:pt>
                <c:pt idx="15">
                  <c:v>188.41771772616252</c:v>
                </c:pt>
                <c:pt idx="16">
                  <c:v>187.24492486622711</c:v>
                </c:pt>
                <c:pt idx="17">
                  <c:v>192.36545962490925</c:v>
                </c:pt>
                <c:pt idx="18">
                  <c:v>194.70083935798129</c:v>
                </c:pt>
                <c:pt idx="19">
                  <c:v>196.80552980560992</c:v>
                </c:pt>
                <c:pt idx="20">
                  <c:v>193.07268402239217</c:v>
                </c:pt>
                <c:pt idx="21">
                  <c:v>194.60323060466635</c:v>
                </c:pt>
                <c:pt idx="22">
                  <c:v>191.50683501760332</c:v>
                </c:pt>
                <c:pt idx="23">
                  <c:v>199.1353856740532</c:v>
                </c:pt>
                <c:pt idx="24">
                  <c:v>201.25165792879966</c:v>
                </c:pt>
                <c:pt idx="25">
                  <c:v>209.16758830531856</c:v>
                </c:pt>
                <c:pt idx="26">
                  <c:v>209.54887494626041</c:v>
                </c:pt>
                <c:pt idx="27">
                  <c:v>215.59308832196021</c:v>
                </c:pt>
                <c:pt idx="28">
                  <c:v>210.62592929803247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E1-486D-A05D-66FE92C91727}"/>
            </c:ext>
          </c:extLst>
        </c:ser>
        <c:ser>
          <c:idx val="1"/>
          <c:order val="2"/>
          <c:tx>
            <c:strRef>
              <c:f>'Grafico ktpd'!$C$3</c:f>
              <c:strCache>
                <c:ptCount val="1"/>
                <c:pt idx="0">
                  <c:v>Envío Mina(kTon)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'Grafico ktpd'!$A$4:$A$33</c:f>
              <c:numCache>
                <c:formatCode>[$-C0A]d\-mmm;@</c:formatCode>
                <c:ptCount val="30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0</c:v>
                </c:pt>
              </c:numCache>
            </c:numRef>
          </c:cat>
          <c:val>
            <c:numRef>
              <c:f>'Grafico ktpd'!$C$4:$C$33</c:f>
              <c:numCache>
                <c:formatCode>0</c:formatCode>
                <c:ptCount val="30"/>
                <c:pt idx="0">
                  <c:v>180.00000000031577</c:v>
                </c:pt>
                <c:pt idx="1">
                  <c:v>180.00000000038477</c:v>
                </c:pt>
                <c:pt idx="2">
                  <c:v>190.00000000005014</c:v>
                </c:pt>
                <c:pt idx="3">
                  <c:v>175.91620114159485</c:v>
                </c:pt>
                <c:pt idx="4">
                  <c:v>180.00009726478135</c:v>
                </c:pt>
                <c:pt idx="5">
                  <c:v>159.99999999997914</c:v>
                </c:pt>
                <c:pt idx="6">
                  <c:v>170.00000000024195</c:v>
                </c:pt>
                <c:pt idx="7">
                  <c:v>190.00000000046202</c:v>
                </c:pt>
                <c:pt idx="8">
                  <c:v>170.00000000050824</c:v>
                </c:pt>
                <c:pt idx="9">
                  <c:v>64.238952773866117</c:v>
                </c:pt>
                <c:pt idx="10">
                  <c:v>150.00062475222697</c:v>
                </c:pt>
                <c:pt idx="11">
                  <c:v>220.00061924611668</c:v>
                </c:pt>
                <c:pt idx="12">
                  <c:v>220.0005090867368</c:v>
                </c:pt>
                <c:pt idx="13">
                  <c:v>165.08843244626595</c:v>
                </c:pt>
                <c:pt idx="14">
                  <c:v>197.27098487997907</c:v>
                </c:pt>
                <c:pt idx="15">
                  <c:v>219.99999999989282</c:v>
                </c:pt>
                <c:pt idx="16">
                  <c:v>220.00000000003118</c:v>
                </c:pt>
                <c:pt idx="17">
                  <c:v>184.99999999976203</c:v>
                </c:pt>
                <c:pt idx="18">
                  <c:v>219.99999999969657</c:v>
                </c:pt>
                <c:pt idx="19">
                  <c:v>220.00003021743203</c:v>
                </c:pt>
                <c:pt idx="20">
                  <c:v>185.00002086318861</c:v>
                </c:pt>
                <c:pt idx="21">
                  <c:v>199.99999999970044</c:v>
                </c:pt>
                <c:pt idx="22">
                  <c:v>200.00000000015848</c:v>
                </c:pt>
                <c:pt idx="23">
                  <c:v>184.99999999984698</c:v>
                </c:pt>
                <c:pt idx="24">
                  <c:v>220.00000000043113</c:v>
                </c:pt>
                <c:pt idx="25">
                  <c:v>220.000000000173</c:v>
                </c:pt>
                <c:pt idx="26">
                  <c:v>200.00000000007878</c:v>
                </c:pt>
                <c:pt idx="27">
                  <c:v>185.00000000020901</c:v>
                </c:pt>
                <c:pt idx="28">
                  <c:v>219.99999999977328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E1-486D-A05D-66FE92C91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3247360"/>
        <c:axId val="781773632"/>
      </c:lineChart>
      <c:catAx>
        <c:axId val="783247360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8177363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781773632"/>
        <c:scaling>
          <c:orientation val="minMax"/>
          <c:max val="25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Envío Mina (kTon) /Tratamiento Planta (kTon)</a:t>
                </a:r>
              </a:p>
            </c:rich>
          </c:tx>
          <c:layout>
            <c:manualLayout>
              <c:xMode val="edge"/>
              <c:yMode val="edge"/>
              <c:x val="7.7524448396856854E-3"/>
              <c:y val="0.175042862448949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83247360"/>
        <c:crosses val="autoZero"/>
        <c:crossBetween val="between"/>
        <c:majorUnit val="20"/>
        <c:minorUnit val="4"/>
      </c:valAx>
      <c:dateAx>
        <c:axId val="783248384"/>
        <c:scaling>
          <c:orientation val="minMax"/>
        </c:scaling>
        <c:delete val="1"/>
        <c:axPos val="b"/>
        <c:numFmt formatCode="[$-C0A]d\-mmm;@" sourceLinked="1"/>
        <c:majorTickMark val="out"/>
        <c:minorTickMark val="none"/>
        <c:tickLblPos val="none"/>
        <c:crossAx val="781774208"/>
        <c:crosses val="autoZero"/>
        <c:auto val="1"/>
        <c:lblOffset val="100"/>
        <c:baseTimeUnit val="days"/>
      </c:dateAx>
      <c:valAx>
        <c:axId val="781774208"/>
        <c:scaling>
          <c:orientation val="minMax"/>
          <c:max val="900"/>
          <c:min val="0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Stock Planta (kTon) </a:t>
                </a:r>
              </a:p>
            </c:rich>
          </c:tx>
          <c:layout>
            <c:manualLayout>
              <c:xMode val="edge"/>
              <c:yMode val="edge"/>
              <c:x val="0.96250297339045321"/>
              <c:y val="0.337509579381172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83248384"/>
        <c:crosses val="max"/>
        <c:crossBetween val="between"/>
        <c:majorUnit val="100"/>
        <c:min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 alignWithMargins="0"/>
    <c:pageMargins b="1" l="0.75000000000000011" r="0.75000000000000011" t="1" header="0" footer="0"/>
    <c:pageSetup orientation="landscape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347784173715844E-2"/>
          <c:y val="0.12387414633073429"/>
          <c:w val="0.80527017246704147"/>
          <c:h val="0.63036165368232722"/>
        </c:manualLayout>
      </c:layout>
      <c:areaChart>
        <c:grouping val="standard"/>
        <c:varyColors val="0"/>
        <c:ser>
          <c:idx val="2"/>
          <c:order val="1"/>
          <c:tx>
            <c:strRef>
              <c:f>'Grafico ktpd'!$D$40</c:f>
              <c:strCache>
                <c:ptCount val="1"/>
                <c:pt idx="0">
                  <c:v>Stock Planta(kTon)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'Grafico ktpd'!$A$41:$A$70</c:f>
              <c:numCache>
                <c:formatCode>[$-C0A]d\-mmm;@</c:formatCode>
                <c:ptCount val="30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0</c:v>
                </c:pt>
              </c:numCache>
            </c:numRef>
          </c:cat>
          <c:val>
            <c:numRef>
              <c:f>'Grafico ktpd'!$D$41:$D$70</c:f>
              <c:numCache>
                <c:formatCode>0</c:formatCode>
                <c:ptCount val="30"/>
                <c:pt idx="0">
                  <c:v>681.32142959999987</c:v>
                </c:pt>
                <c:pt idx="1">
                  <c:v>641.09303720000003</c:v>
                </c:pt>
                <c:pt idx="2">
                  <c:v>672.52956119999999</c:v>
                </c:pt>
                <c:pt idx="3">
                  <c:v>646.13538919999996</c:v>
                </c:pt>
                <c:pt idx="4">
                  <c:v>675.77679680000006</c:v>
                </c:pt>
                <c:pt idx="5">
                  <c:v>699.37617680000005</c:v>
                </c:pt>
                <c:pt idx="6">
                  <c:v>711.98205680000001</c:v>
                </c:pt>
                <c:pt idx="7">
                  <c:v>727.61627959999998</c:v>
                </c:pt>
                <c:pt idx="8">
                  <c:v>725.80845959999999</c:v>
                </c:pt>
                <c:pt idx="9">
                  <c:v>641.42626240000004</c:v>
                </c:pt>
                <c:pt idx="10">
                  <c:v>507.40132799999998</c:v>
                </c:pt>
                <c:pt idx="11">
                  <c:v>486.20879159999998</c:v>
                </c:pt>
                <c:pt idx="12">
                  <c:v>494.54919360000002</c:v>
                </c:pt>
                <c:pt idx="13">
                  <c:v>455.0077728</c:v>
                </c:pt>
                <c:pt idx="14">
                  <c:v>424.10479999999995</c:v>
                </c:pt>
                <c:pt idx="15">
                  <c:v>495.05733759999998</c:v>
                </c:pt>
                <c:pt idx="16">
                  <c:v>485.33419759999998</c:v>
                </c:pt>
                <c:pt idx="17">
                  <c:v>530.93419759999995</c:v>
                </c:pt>
                <c:pt idx="18">
                  <c:v>546.28300442479201</c:v>
                </c:pt>
                <c:pt idx="19">
                  <c:v>581.21719080530181</c:v>
                </c:pt>
                <c:pt idx="20">
                  <c:v>557.99224570321326</c:v>
                </c:pt>
                <c:pt idx="21">
                  <c:v>590.7502476254341</c:v>
                </c:pt>
                <c:pt idx="22">
                  <c:v>632.93462686944054</c:v>
                </c:pt>
                <c:pt idx="23">
                  <c:v>612.13579909895589</c:v>
                </c:pt>
                <c:pt idx="24">
                  <c:v>655.01360114647616</c:v>
                </c:pt>
                <c:pt idx="25">
                  <c:v>682.93561230351315</c:v>
                </c:pt>
                <c:pt idx="26">
                  <c:v>717.42501558636718</c:v>
                </c:pt>
                <c:pt idx="27">
                  <c:v>691.17509021232979</c:v>
                </c:pt>
                <c:pt idx="28">
                  <c:v>720.00578911096261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9E-4600-8A72-908DEFCFB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623872"/>
        <c:axId val="781777088"/>
      </c:areaChart>
      <c:lineChart>
        <c:grouping val="standard"/>
        <c:varyColors val="0"/>
        <c:ser>
          <c:idx val="0"/>
          <c:order val="0"/>
          <c:tx>
            <c:strRef>
              <c:f>'Grafico ktpd'!$B$40</c:f>
              <c:strCache>
                <c:ptCount val="1"/>
                <c:pt idx="0">
                  <c:v>Trat. Planta(kTon)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'Grafico ktpd'!$A$41:$A$70</c:f>
              <c:numCache>
                <c:formatCode>[$-C0A]d\-mmm;@</c:formatCode>
                <c:ptCount val="30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0</c:v>
                </c:pt>
              </c:numCache>
            </c:numRef>
          </c:cat>
          <c:val>
            <c:numRef>
              <c:f>'Grafico ktpd'!$B$41:$B$70</c:f>
              <c:numCache>
                <c:formatCode>0</c:formatCode>
                <c:ptCount val="30"/>
                <c:pt idx="0">
                  <c:v>98.057835933685311</c:v>
                </c:pt>
                <c:pt idx="1">
                  <c:v>170.43689745330809</c:v>
                </c:pt>
                <c:pt idx="2">
                  <c:v>158.18681954193116</c:v>
                </c:pt>
                <c:pt idx="3">
                  <c:v>156.04744256210327</c:v>
                </c:pt>
                <c:pt idx="4">
                  <c:v>164.03884960937501</c:v>
                </c:pt>
                <c:pt idx="5">
                  <c:v>152.87849609374999</c:v>
                </c:pt>
                <c:pt idx="6">
                  <c:v>146.19826675415038</c:v>
                </c:pt>
                <c:pt idx="7">
                  <c:v>168.40505169918063</c:v>
                </c:pt>
                <c:pt idx="8">
                  <c:v>178.66144506835937</c:v>
                </c:pt>
                <c:pt idx="9">
                  <c:v>176.85918457031249</c:v>
                </c:pt>
                <c:pt idx="10">
                  <c:v>180.79911523437499</c:v>
                </c:pt>
                <c:pt idx="11">
                  <c:v>184.08918730926513</c:v>
                </c:pt>
                <c:pt idx="12">
                  <c:v>198.00122031784056</c:v>
                </c:pt>
                <c:pt idx="13">
                  <c:v>188.41649098777771</c:v>
                </c:pt>
                <c:pt idx="14">
                  <c:v>196.43252658081056</c:v>
                </c:pt>
                <c:pt idx="15">
                  <c:v>202.87456951904298</c:v>
                </c:pt>
                <c:pt idx="16">
                  <c:v>198.69643357086181</c:v>
                </c:pt>
                <c:pt idx="17">
                  <c:v>184.4</c:v>
                </c:pt>
                <c:pt idx="18">
                  <c:v>200.65123770706072</c:v>
                </c:pt>
                <c:pt idx="19">
                  <c:v>204.8357736194902</c:v>
                </c:pt>
                <c:pt idx="20">
                  <c:v>202.73290510208849</c:v>
                </c:pt>
                <c:pt idx="21">
                  <c:v>207.63399807777913</c:v>
                </c:pt>
                <c:pt idx="22">
                  <c:v>197.36770075599367</c:v>
                </c:pt>
                <c:pt idx="23">
                  <c:v>200.36838777048467</c:v>
                </c:pt>
                <c:pt idx="24">
                  <c:v>197.29519435247991</c:v>
                </c:pt>
                <c:pt idx="25">
                  <c:v>194.19702884296299</c:v>
                </c:pt>
                <c:pt idx="26">
                  <c:v>203.51059671721515</c:v>
                </c:pt>
                <c:pt idx="27">
                  <c:v>206.24992537445974</c:v>
                </c:pt>
                <c:pt idx="28">
                  <c:v>209.1693011013042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9E-4600-8A72-908DEFCFB82E}"/>
            </c:ext>
          </c:extLst>
        </c:ser>
        <c:ser>
          <c:idx val="3"/>
          <c:order val="3"/>
          <c:tx>
            <c:strRef>
              <c:f>'Grafico ktpd'!$B$3</c:f>
              <c:strCache>
                <c:ptCount val="1"/>
                <c:pt idx="0">
                  <c:v>Trat. Planta 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'Grafico ktpd'!$A$41:$A$70</c:f>
              <c:numCache>
                <c:formatCode>[$-C0A]d\-mmm;@</c:formatCode>
                <c:ptCount val="30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0</c:v>
                </c:pt>
              </c:numCache>
            </c:numRef>
          </c:cat>
          <c:val>
            <c:numRef>
              <c:f>'Grafico ktpd'!$B$4:$B$33</c:f>
              <c:numCache>
                <c:formatCode>0</c:formatCode>
                <c:ptCount val="30"/>
                <c:pt idx="0">
                  <c:v>92.511072796314039</c:v>
                </c:pt>
                <c:pt idx="1">
                  <c:v>166.86309892828095</c:v>
                </c:pt>
                <c:pt idx="2">
                  <c:v>144.42470628770081</c:v>
                </c:pt>
                <c:pt idx="3">
                  <c:v>144.86084596144261</c:v>
                </c:pt>
                <c:pt idx="4">
                  <c:v>150.91777176313917</c:v>
                </c:pt>
                <c:pt idx="5">
                  <c:v>151.10659841900798</c:v>
                </c:pt>
                <c:pt idx="6">
                  <c:v>165.60956401972805</c:v>
                </c:pt>
                <c:pt idx="7">
                  <c:v>202.92017669039228</c:v>
                </c:pt>
                <c:pt idx="8">
                  <c:v>180.39975067853979</c:v>
                </c:pt>
                <c:pt idx="9">
                  <c:v>167.99549863435666</c:v>
                </c:pt>
                <c:pt idx="10">
                  <c:v>194.5564274488097</c:v>
                </c:pt>
                <c:pt idx="11">
                  <c:v>209.56913112126503</c:v>
                </c:pt>
                <c:pt idx="12">
                  <c:v>205.12310200279356</c:v>
                </c:pt>
                <c:pt idx="13">
                  <c:v>191.78490070701366</c:v>
                </c:pt>
                <c:pt idx="14">
                  <c:v>189.53784838868359</c:v>
                </c:pt>
                <c:pt idx="15">
                  <c:v>188.41771772616252</c:v>
                </c:pt>
                <c:pt idx="16">
                  <c:v>187.24492486622711</c:v>
                </c:pt>
                <c:pt idx="17">
                  <c:v>192.36545962490925</c:v>
                </c:pt>
                <c:pt idx="18">
                  <c:v>194.70083935798129</c:v>
                </c:pt>
                <c:pt idx="19">
                  <c:v>196.80552980560992</c:v>
                </c:pt>
                <c:pt idx="20">
                  <c:v>193.07268402239217</c:v>
                </c:pt>
                <c:pt idx="21">
                  <c:v>194.60323060466635</c:v>
                </c:pt>
                <c:pt idx="22">
                  <c:v>191.50683501760332</c:v>
                </c:pt>
                <c:pt idx="23">
                  <c:v>199.1353856740532</c:v>
                </c:pt>
                <c:pt idx="24">
                  <c:v>201.25165792879966</c:v>
                </c:pt>
                <c:pt idx="25">
                  <c:v>209.16758830531856</c:v>
                </c:pt>
                <c:pt idx="26">
                  <c:v>209.54887494626041</c:v>
                </c:pt>
                <c:pt idx="27">
                  <c:v>215.59308832196021</c:v>
                </c:pt>
                <c:pt idx="28">
                  <c:v>210.62592929803247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9E-4600-8A72-908DEFCFB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0623360"/>
        <c:axId val="781776512"/>
      </c:lineChart>
      <c:lineChart>
        <c:grouping val="stacked"/>
        <c:varyColors val="0"/>
        <c:ser>
          <c:idx val="1"/>
          <c:order val="2"/>
          <c:tx>
            <c:strRef>
              <c:f>'Grafico ktpd'!$C$40</c:f>
              <c:strCache>
                <c:ptCount val="1"/>
                <c:pt idx="0">
                  <c:v>Envío Mina(kTon)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'Grafico ktpd'!$A$41:$A$70</c:f>
              <c:numCache>
                <c:formatCode>[$-C0A]d\-mmm;@</c:formatCode>
                <c:ptCount val="30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0</c:v>
                </c:pt>
              </c:numCache>
            </c:numRef>
          </c:cat>
          <c:val>
            <c:numRef>
              <c:f>'Grafico ktpd'!$C$41:$C$70</c:f>
              <c:numCache>
                <c:formatCode>0</c:formatCode>
                <c:ptCount val="30"/>
                <c:pt idx="0">
                  <c:v>178.58427719999997</c:v>
                </c:pt>
                <c:pt idx="1">
                  <c:v>131.18714559999998</c:v>
                </c:pt>
                <c:pt idx="2">
                  <c:v>217.13383999999999</c:v>
                </c:pt>
                <c:pt idx="3">
                  <c:v>132.73307600000001</c:v>
                </c:pt>
                <c:pt idx="4">
                  <c:v>194.21850000000001</c:v>
                </c:pt>
                <c:pt idx="5">
                  <c:v>176.98069199999998</c:v>
                </c:pt>
                <c:pt idx="6">
                  <c:v>159.28360000000001</c:v>
                </c:pt>
                <c:pt idx="7">
                  <c:v>184.59307999999999</c:v>
                </c:pt>
                <c:pt idx="8">
                  <c:v>206.345552</c:v>
                </c:pt>
                <c:pt idx="9">
                  <c:v>93.058755999999988</c:v>
                </c:pt>
                <c:pt idx="10">
                  <c:v>47.366838399999999</c:v>
                </c:pt>
                <c:pt idx="11">
                  <c:v>164.0239972</c:v>
                </c:pt>
                <c:pt idx="12">
                  <c:v>207.29929919999998</c:v>
                </c:pt>
                <c:pt idx="13">
                  <c:v>151.40248199999999</c:v>
                </c:pt>
                <c:pt idx="14">
                  <c:v>199.24912560000001</c:v>
                </c:pt>
                <c:pt idx="15">
                  <c:v>242.80195239999998</c:v>
                </c:pt>
                <c:pt idx="16">
                  <c:v>190.2940648</c:v>
                </c:pt>
                <c:pt idx="17">
                  <c:v>230</c:v>
                </c:pt>
                <c:pt idx="18">
                  <c:v>216.00004453185281</c:v>
                </c:pt>
                <c:pt idx="19">
                  <c:v>239.76996</c:v>
                </c:pt>
                <c:pt idx="20">
                  <c:v>179.50796</c:v>
                </c:pt>
                <c:pt idx="21">
                  <c:v>240.392</c:v>
                </c:pt>
                <c:pt idx="22">
                  <c:v>239.55208000000002</c:v>
                </c:pt>
                <c:pt idx="23">
                  <c:v>179.56956</c:v>
                </c:pt>
                <c:pt idx="24">
                  <c:v>240.17299640000002</c:v>
                </c:pt>
                <c:pt idx="25">
                  <c:v>222.11904000000001</c:v>
                </c:pt>
                <c:pt idx="26">
                  <c:v>238.00000000006926</c:v>
                </c:pt>
                <c:pt idx="27">
                  <c:v>180.00000000042226</c:v>
                </c:pt>
                <c:pt idx="28">
                  <c:v>237.99999999993707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9E-4600-8A72-908DEFCFB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0623872"/>
        <c:axId val="781777088"/>
      </c:lineChart>
      <c:catAx>
        <c:axId val="820623360"/>
        <c:scaling>
          <c:orientation val="minMax"/>
        </c:scaling>
        <c:delete val="0"/>
        <c:axPos val="b"/>
        <c:numFmt formatCode="[$-C0A]d\-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8177651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781776512"/>
        <c:scaling>
          <c:orientation val="minMax"/>
          <c:max val="22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Tratamiento Planta (kTon)</a:t>
                </a:r>
              </a:p>
            </c:rich>
          </c:tx>
          <c:layout>
            <c:manualLayout>
              <c:xMode val="edge"/>
              <c:yMode val="edge"/>
              <c:x val="6.1199974106565594E-3"/>
              <c:y val="0.315072540121048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20623360"/>
        <c:crosses val="autoZero"/>
        <c:crossBetween val="between"/>
        <c:majorUnit val="20"/>
      </c:valAx>
      <c:dateAx>
        <c:axId val="820623872"/>
        <c:scaling>
          <c:orientation val="minMax"/>
        </c:scaling>
        <c:delete val="1"/>
        <c:axPos val="b"/>
        <c:numFmt formatCode="[$-C0A]d\-mmm;@" sourceLinked="1"/>
        <c:majorTickMark val="out"/>
        <c:minorTickMark val="none"/>
        <c:tickLblPos val="none"/>
        <c:crossAx val="781777088"/>
        <c:crosses val="autoZero"/>
        <c:auto val="1"/>
        <c:lblOffset val="100"/>
        <c:baseTimeUnit val="days"/>
      </c:dateAx>
      <c:valAx>
        <c:axId val="781777088"/>
        <c:scaling>
          <c:orientation val="minMax"/>
          <c:max val="950"/>
          <c:min val="0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Stock Planta (kTon) / Envío Mina (kTon)</a:t>
                </a:r>
              </a:p>
            </c:rich>
          </c:tx>
          <c:layout>
            <c:manualLayout>
              <c:xMode val="edge"/>
              <c:yMode val="edge"/>
              <c:x val="0.96761534552319473"/>
              <c:y val="0.218040558599621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20623872"/>
        <c:crosses val="max"/>
        <c:crossBetween val="between"/>
        <c:minorUnit val="1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 alignWithMargins="0"/>
    <c:pageMargins b="1" l="0.75000000000000011" r="0.75000000000000011" t="1" header="0" footer="0"/>
    <c:pageSetup orientation="landscape" horizontalDpi="300" verticalDpi="300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151844433020764"/>
          <c:y val="0.16187989556135771"/>
          <c:w val="0.7508262924567678"/>
          <c:h val="0.67624020887728464"/>
        </c:manualLayout>
      </c:layout>
      <c:barChart>
        <c:barDir val="col"/>
        <c:grouping val="stacked"/>
        <c:varyColors val="0"/>
        <c:ser>
          <c:idx val="0"/>
          <c:order val="0"/>
          <c:spPr>
            <a:gradFill rotWithShape="0">
              <a:gsLst>
                <a:gs pos="0">
                  <a:srgbClr val="0000FF">
                    <a:gamma/>
                    <a:shade val="46275"/>
                    <a:invGamma/>
                  </a:srgbClr>
                </a:gs>
                <a:gs pos="50000">
                  <a:srgbClr val="0000FF"/>
                </a:gs>
                <a:gs pos="100000">
                  <a:srgbClr val="0000FF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3ED5-429C-B8E0-D68D1B3C1DFD}"/>
              </c:ext>
            </c:extLst>
          </c:dPt>
          <c:dPt>
            <c:idx val="2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3ED5-429C-B8E0-D68D1B3C1DFD}"/>
              </c:ext>
            </c:extLst>
          </c:dPt>
          <c:dPt>
            <c:idx val="3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3ED5-429C-B8E0-D68D1B3C1DFD}"/>
              </c:ext>
            </c:extLst>
          </c:dPt>
          <c:dPt>
            <c:idx val="4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3ED5-429C-B8E0-D68D1B3C1DFD}"/>
              </c:ext>
            </c:extLst>
          </c:dPt>
          <c:dPt>
            <c:idx val="5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3ED5-429C-B8E0-D68D1B3C1DFD}"/>
              </c:ext>
            </c:extLst>
          </c:dPt>
          <c:dPt>
            <c:idx val="6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3ED5-429C-B8E0-D68D1B3C1DFD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D5-429C-B8E0-D68D1B3C1DF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ED5-429C-B8E0-D68D1B3C1DF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ED5-429C-B8E0-D68D1B3C1DF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ED5-429C-B8E0-D68D1B3C1DF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ED5-429C-B8E0-D68D1B3C1DF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ED5-429C-B8E0-D68D1B3C1DFD}"/>
                </c:ext>
              </c:extLst>
            </c:dLbl>
            <c:dLbl>
              <c:idx val="7"/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200" b="1" i="0" u="none" strike="noStrike" baseline="0">
                      <a:solidFill>
                        <a:srgbClr val="FFFF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C6B0-4C3F-A6F3-98C4ECF61C3D}"/>
                </c:ext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200" b="1" i="0" u="none" strike="noStrike" baseline="0">
                    <a:solidFill>
                      <a:srgbClr val="FFFF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BM)'!$O$5:$O$12</c:f>
              <c:strCache>
                <c:ptCount val="8"/>
                <c:pt idx="0">
                  <c:v>S.T.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Cu (%)</c:v>
                </c:pt>
                <c:pt idx="4">
                  <c:v>Ley Mo (ppm)</c:v>
                </c:pt>
                <c:pt idx="5">
                  <c:v>RCu (%)</c:v>
                </c:pt>
                <c:pt idx="6">
                  <c:v>RMo (%)</c:v>
                </c:pt>
                <c:pt idx="7">
                  <c:v>Real (Kton)</c:v>
                </c:pt>
              </c:strCache>
            </c:strRef>
          </c:cat>
          <c:val>
            <c:numRef>
              <c:f>'Explicacion Cueq (Con BM)'!$P$5:$P$12</c:f>
              <c:numCache>
                <c:formatCode>#,##0.00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ED5-429C-B8E0-D68D1B3C1DFD}"/>
            </c:ext>
          </c:extLst>
        </c:ser>
        <c:ser>
          <c:idx val="1"/>
          <c:order val="1"/>
          <c:spPr>
            <a:gradFill rotWithShape="0">
              <a:gsLst>
                <a:gs pos="0">
                  <a:srgbClr val="00FF00"/>
                </a:gs>
                <a:gs pos="100000">
                  <a:srgbClr val="00FF00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gradFill rotWithShape="0">
                <a:gsLst>
                  <a:gs pos="0">
                    <a:srgbClr val="FF0000">
                      <a:gamma/>
                      <a:shade val="46275"/>
                      <a:invGamma/>
                    </a:srgbClr>
                  </a:gs>
                  <a:gs pos="50000">
                    <a:srgbClr val="FF0000"/>
                  </a:gs>
                  <a:gs pos="100000">
                    <a:srgbClr val="FF00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3ED5-429C-B8E0-D68D1B3C1DFD}"/>
              </c:ext>
            </c:extLst>
          </c:dPt>
          <c:dPt>
            <c:idx val="2"/>
            <c:invertIfNegative val="0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3ED5-429C-B8E0-D68D1B3C1DFD}"/>
              </c:ext>
            </c:extLst>
          </c:dPt>
          <c:dPt>
            <c:idx val="3"/>
            <c:invertIfNegative val="0"/>
            <c:bubble3D val="0"/>
            <c:spPr>
              <a:gradFill rotWithShape="0">
                <a:gsLst>
                  <a:gs pos="0">
                    <a:srgbClr val="0076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76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3ED5-429C-B8E0-D68D1B3C1DFD}"/>
              </c:ext>
            </c:extLst>
          </c:dPt>
          <c:dPt>
            <c:idx val="4"/>
            <c:invertIfNegative val="0"/>
            <c:bubble3D val="0"/>
            <c:spPr>
              <a:gradFill rotWithShape="0">
                <a:gsLst>
                  <a:gs pos="0">
                    <a:srgbClr val="FF0000">
                      <a:gamma/>
                      <a:shade val="46275"/>
                      <a:invGamma/>
                    </a:srgbClr>
                  </a:gs>
                  <a:gs pos="50000">
                    <a:srgbClr val="FF0000"/>
                  </a:gs>
                  <a:gs pos="100000">
                    <a:srgbClr val="FF00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3ED5-429C-B8E0-D68D1B3C1DFD}"/>
              </c:ext>
            </c:extLst>
          </c:dPt>
          <c:dPt>
            <c:idx val="5"/>
            <c:invertIfNegative val="1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3ED5-429C-B8E0-D68D1B3C1DFD}"/>
              </c:ext>
            </c:extLst>
          </c:dPt>
          <c:dPt>
            <c:idx val="6"/>
            <c:invertIfNegative val="0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3ED5-429C-B8E0-D68D1B3C1DFD}"/>
              </c:ext>
            </c:extLst>
          </c:dPt>
          <c:dLbls>
            <c:dLbl>
              <c:idx val="1"/>
              <c:layout>
                <c:manualLayout>
                  <c:x val="1.0312261862001865E-3"/>
                  <c:y val="-0.1301346600604428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ED5-429C-B8E0-D68D1B3C1DFD}"/>
                </c:ext>
              </c:extLst>
            </c:dLbl>
            <c:dLbl>
              <c:idx val="2"/>
              <c:layout>
                <c:manualLayout>
                  <c:x val="3.9190233106553216E-3"/>
                  <c:y val="-7.019126525633381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ED5-429C-B8E0-D68D1B3C1DFD}"/>
                </c:ext>
              </c:extLst>
            </c:dLbl>
            <c:dLbl>
              <c:idx val="3"/>
              <c:layout>
                <c:manualLayout>
                  <c:x val="5.1566527593813367E-3"/>
                  <c:y val="-0.1451099552503717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ED5-429C-B8E0-D68D1B3C1DFD}"/>
                </c:ext>
              </c:extLst>
            </c:dLbl>
            <c:dLbl>
              <c:idx val="4"/>
              <c:layout>
                <c:manualLayout>
                  <c:x val="1.5812617853424398E-3"/>
                  <c:y val="-0.1237452629126320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ED5-429C-B8E0-D68D1B3C1DFD}"/>
                </c:ext>
              </c:extLst>
            </c:dLbl>
            <c:dLbl>
              <c:idx val="5"/>
              <c:layout>
                <c:manualLayout>
                  <c:x val="1.0312409539165541E-3"/>
                  <c:y val="-0.1084593929675239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ED5-429C-B8E0-D68D1B3C1DFD}"/>
                </c:ext>
              </c:extLst>
            </c:dLbl>
            <c:dLbl>
              <c:idx val="6"/>
              <c:layout>
                <c:manualLayout>
                  <c:x val="-1.4042989154321836E-3"/>
                  <c:y val="-6.340957756105816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ED5-429C-B8E0-D68D1B3C1DFD}"/>
                </c:ext>
              </c:extLst>
            </c:dLbl>
            <c:dLbl>
              <c:idx val="7"/>
              <c:layout>
                <c:manualLayout>
                  <c:x val="9.9987883101393328E-4"/>
                  <c:y val="0.2935016491042017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75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3ED5-429C-B8E0-D68D1B3C1DF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BM)'!$O$5:$O$12</c:f>
              <c:strCache>
                <c:ptCount val="8"/>
                <c:pt idx="0">
                  <c:v>S.T.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Cu (%)</c:v>
                </c:pt>
                <c:pt idx="4">
                  <c:v>Ley Mo (ppm)</c:v>
                </c:pt>
                <c:pt idx="5">
                  <c:v>RCu (%)</c:v>
                </c:pt>
                <c:pt idx="6">
                  <c:v>RMo (%)</c:v>
                </c:pt>
                <c:pt idx="7">
                  <c:v>Real (Kton)</c:v>
                </c:pt>
              </c:strCache>
            </c:strRef>
          </c:cat>
          <c:val>
            <c:numRef>
              <c:f>'Explicacion Cueq (Con BM)'!$Q$5:$Q$12</c:f>
              <c:numCache>
                <c:formatCode>#,##0.00</c:formatCode>
                <c:ptCount val="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ED5-429C-B8E0-D68D1B3C1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783052288"/>
        <c:axId val="820943616"/>
      </c:barChart>
      <c:catAx>
        <c:axId val="783052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20943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20943616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ja-JP"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_tradnl" altLang="en-US"/>
                  <a:t>Cu Fino Eq. Producido (ktons)</a:t>
                </a:r>
              </a:p>
            </c:rich>
          </c:tx>
          <c:layout>
            <c:manualLayout>
              <c:xMode val="edge"/>
              <c:yMode val="edge"/>
              <c:x val="8.2508250825082501E-3"/>
              <c:y val="0.107049608355091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78305228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91780821917809"/>
          <c:y val="0.15915119363395225"/>
          <c:w val="0.73630136986301353"/>
          <c:h val="0.6684350132625998"/>
        </c:manualLayout>
      </c:layout>
      <c:barChart>
        <c:barDir val="col"/>
        <c:grouping val="stacked"/>
        <c:varyColors val="0"/>
        <c:ser>
          <c:idx val="0"/>
          <c:order val="0"/>
          <c:spPr>
            <a:gradFill rotWithShape="0">
              <a:gsLst>
                <a:gs pos="0">
                  <a:srgbClr val="0000FF">
                    <a:gamma/>
                    <a:shade val="46275"/>
                    <a:invGamma/>
                  </a:srgbClr>
                </a:gs>
                <a:gs pos="50000">
                  <a:srgbClr val="0000FF"/>
                </a:gs>
                <a:gs pos="100000">
                  <a:srgbClr val="0000FF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3C3A-42B3-90AF-53BA6E12C6CA}"/>
              </c:ext>
            </c:extLst>
          </c:dPt>
          <c:dPt>
            <c:idx val="2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3C3A-42B3-90AF-53BA6E12C6CA}"/>
              </c:ext>
            </c:extLst>
          </c:dPt>
          <c:dPt>
            <c:idx val="3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3C3A-42B3-90AF-53BA6E12C6CA}"/>
              </c:ext>
            </c:extLst>
          </c:dPt>
          <c:dPt>
            <c:idx val="4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3C3A-42B3-90AF-53BA6E12C6CA}"/>
              </c:ext>
            </c:extLst>
          </c:dPt>
          <c:dPt>
            <c:idx val="5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3C3A-42B3-90AF-53BA6E12C6CA}"/>
              </c:ext>
            </c:extLst>
          </c:dPt>
          <c:dPt>
            <c:idx val="6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3C3A-42B3-90AF-53BA6E12C6CA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3A-42B3-90AF-53BA6E12C6C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C3A-42B3-90AF-53BA6E12C6C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C3A-42B3-90AF-53BA6E12C6C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C3A-42B3-90AF-53BA6E12C6C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C3A-42B3-90AF-53BA6E12C6C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C3A-42B3-90AF-53BA6E12C6CA}"/>
                </c:ext>
              </c:extLst>
            </c:dLbl>
            <c:dLbl>
              <c:idx val="7"/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200" b="1" i="0" u="none" strike="noStrike" baseline="0">
                      <a:solidFill>
                        <a:srgbClr val="FFFF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7090-42CA-B6E7-01C44B64F4FD}"/>
                </c:ext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200" b="1" i="0" u="none" strike="noStrike" baseline="0">
                    <a:solidFill>
                      <a:srgbClr val="FFFF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BM)'!$O$32:$O$39</c:f>
              <c:strCache>
                <c:ptCount val="8"/>
                <c:pt idx="0">
                  <c:v>Budget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Cu (%)</c:v>
                </c:pt>
                <c:pt idx="4">
                  <c:v>Ley Mo (ppm)</c:v>
                </c:pt>
                <c:pt idx="5">
                  <c:v>RCu (%)</c:v>
                </c:pt>
                <c:pt idx="6">
                  <c:v>RMo (%)</c:v>
                </c:pt>
                <c:pt idx="7">
                  <c:v>Real (Kton)</c:v>
                </c:pt>
              </c:strCache>
            </c:strRef>
          </c:cat>
          <c:val>
            <c:numRef>
              <c:f>'Explicacion Cueq (Con BM)'!$P$32:$P$39</c:f>
              <c:numCache>
                <c:formatCode>#,##0.00</c:formatCode>
                <c:ptCount val="8"/>
                <c:pt idx="0">
                  <c:v>22.933613081531071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C3A-42B3-90AF-53BA6E12C6CA}"/>
            </c:ext>
          </c:extLst>
        </c:ser>
        <c:ser>
          <c:idx val="1"/>
          <c:order val="1"/>
          <c:spPr>
            <a:gradFill rotWithShape="0">
              <a:gsLst>
                <a:gs pos="0">
                  <a:srgbClr val="00FF00"/>
                </a:gs>
                <a:gs pos="100000">
                  <a:srgbClr val="00FF00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gradFill rotWithShape="0">
                <a:gsLst>
                  <a:gs pos="0">
                    <a:srgbClr val="0076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76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3C3A-42B3-90AF-53BA6E12C6CA}"/>
              </c:ext>
            </c:extLst>
          </c:dPt>
          <c:dPt>
            <c:idx val="2"/>
            <c:invertIfNegative val="0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3C3A-42B3-90AF-53BA6E12C6CA}"/>
              </c:ext>
            </c:extLst>
          </c:dPt>
          <c:dPt>
            <c:idx val="3"/>
            <c:invertIfNegative val="0"/>
            <c:bubble3D val="0"/>
            <c:spPr>
              <a:gradFill rotWithShape="0">
                <a:gsLst>
                  <a:gs pos="0">
                    <a:srgbClr val="FF0000">
                      <a:gamma/>
                      <a:shade val="46275"/>
                      <a:invGamma/>
                    </a:srgbClr>
                  </a:gs>
                  <a:gs pos="50000">
                    <a:srgbClr val="FF0000"/>
                  </a:gs>
                  <a:gs pos="100000">
                    <a:srgbClr val="FF00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3C3A-42B3-90AF-53BA6E12C6CA}"/>
              </c:ext>
            </c:extLst>
          </c:dPt>
          <c:dPt>
            <c:idx val="4"/>
            <c:invertIfNegative val="0"/>
            <c:bubble3D val="0"/>
            <c:spPr>
              <a:gradFill rotWithShape="0">
                <a:gsLst>
                  <a:gs pos="0">
                    <a:srgbClr val="760000">
                      <a:gamma/>
                      <a:shade val="46275"/>
                      <a:invGamma/>
                    </a:srgbClr>
                  </a:gs>
                  <a:gs pos="50000">
                    <a:srgbClr val="FF0000"/>
                  </a:gs>
                  <a:gs pos="100000">
                    <a:srgbClr val="7600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3C3A-42B3-90AF-53BA6E12C6CA}"/>
              </c:ext>
            </c:extLst>
          </c:dPt>
          <c:dPt>
            <c:idx val="5"/>
            <c:invertIfNegative val="1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3C3A-42B3-90AF-53BA6E12C6CA}"/>
              </c:ext>
            </c:extLst>
          </c:dPt>
          <c:dPt>
            <c:idx val="6"/>
            <c:invertIfNegative val="0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3C3A-42B3-90AF-53BA6E12C6CA}"/>
              </c:ext>
            </c:extLst>
          </c:dPt>
          <c:dLbls>
            <c:dLbl>
              <c:idx val="1"/>
              <c:layout>
                <c:manualLayout>
                  <c:x val="-5.8503217919677686E-3"/>
                  <c:y val="-8.602407457688485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C3A-42B3-90AF-53BA6E12C6CA}"/>
                </c:ext>
              </c:extLst>
            </c:dLbl>
            <c:dLbl>
              <c:idx val="2"/>
              <c:layout>
                <c:manualLayout>
                  <c:x val="3.9598389242440522E-3"/>
                  <c:y val="-0.2107830155182857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C3A-42B3-90AF-53BA6E12C6CA}"/>
                </c:ext>
              </c:extLst>
            </c:dLbl>
            <c:dLbl>
              <c:idx val="3"/>
              <c:layout>
                <c:manualLayout>
                  <c:x val="-7.1333549059788756E-4"/>
                  <c:y val="-0.186625730139170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C3A-42B3-90AF-53BA6E12C6CA}"/>
                </c:ext>
              </c:extLst>
            </c:dLbl>
            <c:dLbl>
              <c:idx val="4"/>
              <c:layout>
                <c:manualLayout>
                  <c:x val="2.6755474058893659E-3"/>
                  <c:y val="-0.107091905289027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C3A-42B3-90AF-53BA6E12C6CA}"/>
                </c:ext>
              </c:extLst>
            </c:dLbl>
            <c:dLbl>
              <c:idx val="5"/>
              <c:layout>
                <c:manualLayout>
                  <c:x val="1.1773271491748131E-3"/>
                  <c:y val="-0.1247497511086976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C3A-42B3-90AF-53BA6E12C6CA}"/>
                </c:ext>
              </c:extLst>
            </c:dLbl>
            <c:dLbl>
              <c:idx val="6"/>
              <c:layout>
                <c:manualLayout>
                  <c:x val="-1.3788251470222437E-3"/>
                  <c:y val="-6.656666969806060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C3A-42B3-90AF-53BA6E12C6CA}"/>
                </c:ext>
              </c:extLst>
            </c:dLbl>
            <c:dLbl>
              <c:idx val="7"/>
              <c:layout>
                <c:manualLayout>
                  <c:x val="9.8170323399569565E-4"/>
                  <c:y val="0.448718885047085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75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3C3A-42B3-90AF-53BA6E12C6C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BM)'!$O$32:$O$39</c:f>
              <c:strCache>
                <c:ptCount val="8"/>
                <c:pt idx="0">
                  <c:v>Budget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Cu (%)</c:v>
                </c:pt>
                <c:pt idx="4">
                  <c:v>Ley Mo (ppm)</c:v>
                </c:pt>
                <c:pt idx="5">
                  <c:v>RCu (%)</c:v>
                </c:pt>
                <c:pt idx="6">
                  <c:v>RMo (%)</c:v>
                </c:pt>
                <c:pt idx="7">
                  <c:v>Real (Kton)</c:v>
                </c:pt>
              </c:strCache>
            </c:strRef>
          </c:cat>
          <c:val>
            <c:numRef>
              <c:f>'Explicacion Cueq (Con BM)'!$Q$32:$Q$39</c:f>
              <c:numCache>
                <c:formatCode>#,##0.00</c:formatCode>
                <c:ptCount val="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C3A-42B3-90AF-53BA6E12C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823185920"/>
        <c:axId val="809148992"/>
      </c:barChart>
      <c:catAx>
        <c:axId val="823185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091489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09148992"/>
        <c:scaling>
          <c:orientation val="minMax"/>
          <c:min val="34.5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ja-JP"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_tradnl" altLang="en-US"/>
                  <a:t>Cu Fino Eq. Producido (ktons)</a:t>
                </a:r>
              </a:p>
            </c:rich>
          </c:tx>
          <c:layout>
            <c:manualLayout>
              <c:xMode val="edge"/>
              <c:yMode val="edge"/>
              <c:x val="8.5616438356164379E-3"/>
              <c:y val="0.1432360742705570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2318592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193108866872357"/>
          <c:y val="0.140665137299614"/>
          <c:w val="0.66091102466320473"/>
          <c:h val="0.58567848075657469"/>
        </c:manualLayout>
      </c:layout>
      <c:barChart>
        <c:barDir val="col"/>
        <c:grouping val="stacked"/>
        <c:varyColors val="0"/>
        <c:ser>
          <c:idx val="0"/>
          <c:order val="0"/>
          <c:spPr>
            <a:gradFill rotWithShape="0">
              <a:gsLst>
                <a:gs pos="0">
                  <a:srgbClr val="0000FF">
                    <a:gamma/>
                    <a:shade val="46275"/>
                    <a:invGamma/>
                  </a:srgbClr>
                </a:gs>
                <a:gs pos="50000">
                  <a:srgbClr val="0000FF"/>
                </a:gs>
                <a:gs pos="100000">
                  <a:srgbClr val="0000FF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843E-400B-A4F3-5FD26FB8512D}"/>
              </c:ext>
            </c:extLst>
          </c:dPt>
          <c:dPt>
            <c:idx val="2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843E-400B-A4F3-5FD26FB8512D}"/>
              </c:ext>
            </c:extLst>
          </c:dPt>
          <c:dPt>
            <c:idx val="3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843E-400B-A4F3-5FD26FB8512D}"/>
              </c:ext>
            </c:extLst>
          </c:dPt>
          <c:dPt>
            <c:idx val="4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843E-400B-A4F3-5FD26FB8512D}"/>
              </c:ext>
            </c:extLst>
          </c:dPt>
          <c:dPt>
            <c:idx val="5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843E-400B-A4F3-5FD26FB8512D}"/>
              </c:ext>
            </c:extLst>
          </c:dPt>
          <c:dPt>
            <c:idx val="6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843E-400B-A4F3-5FD26FB8512D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3E-400B-A4F3-5FD26FB8512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3E-400B-A4F3-5FD26FB8512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3E-400B-A4F3-5FD26FB8512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43E-400B-A4F3-5FD26FB8512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43E-400B-A4F3-5FD26FB8512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43E-400B-A4F3-5FD26FB8512D}"/>
                </c:ext>
              </c:extLst>
            </c:dLbl>
            <c:dLbl>
              <c:idx val="7"/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200" b="1" i="0" u="none" strike="noStrike" baseline="0">
                      <a:solidFill>
                        <a:srgbClr val="FFFF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EBDD-4EDC-9F5E-34CBD8A7FD76}"/>
                </c:ext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200" b="1" i="0" u="none" strike="noStrike" baseline="0">
                    <a:solidFill>
                      <a:srgbClr val="FFFF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BM)'!$O$85:$O$92</c:f>
              <c:strCache>
                <c:ptCount val="8"/>
                <c:pt idx="0">
                  <c:v>Budget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Cu (%)</c:v>
                </c:pt>
                <c:pt idx="4">
                  <c:v>Ley Mo (ppm)</c:v>
                </c:pt>
                <c:pt idx="5">
                  <c:v>RCu (%)</c:v>
                </c:pt>
                <c:pt idx="6">
                  <c:v>RMo (%)</c:v>
                </c:pt>
                <c:pt idx="7">
                  <c:v>Real (Kton)</c:v>
                </c:pt>
              </c:strCache>
            </c:strRef>
          </c:cat>
          <c:val>
            <c:numRef>
              <c:f>'Explicacion Cueq (Con BM)'!$P$85:$P$92</c:f>
              <c:numCache>
                <c:formatCode>#,##0.00</c:formatCode>
                <c:ptCount val="8"/>
                <c:pt idx="0">
                  <c:v>78.402771219563206</c:v>
                </c:pt>
                <c:pt idx="1">
                  <c:v>78.402771219563206</c:v>
                </c:pt>
                <c:pt idx="2">
                  <c:v>77.099354248022991</c:v>
                </c:pt>
                <c:pt idx="3">
                  <c:v>76.004048959897659</c:v>
                </c:pt>
                <c:pt idx="4">
                  <c:v>75.836733580767344</c:v>
                </c:pt>
                <c:pt idx="5">
                  <c:v>75.836733580767344</c:v>
                </c:pt>
                <c:pt idx="6">
                  <c:v>75.917940675688257</c:v>
                </c:pt>
                <c:pt idx="7">
                  <c:v>75.917940675688257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43E-400B-A4F3-5FD26FB8512D}"/>
            </c:ext>
          </c:extLst>
        </c:ser>
        <c:ser>
          <c:idx val="1"/>
          <c:order val="1"/>
          <c:spPr>
            <a:gradFill rotWithShape="0">
              <a:gsLst>
                <a:gs pos="0">
                  <a:srgbClr val="00FF00"/>
                </a:gs>
                <a:gs pos="100000">
                  <a:srgbClr val="00FF00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843E-400B-A4F3-5FD26FB8512D}"/>
              </c:ext>
            </c:extLst>
          </c:dPt>
          <c:dPt>
            <c:idx val="2"/>
            <c:invertIfNegative val="0"/>
            <c:bubble3D val="0"/>
            <c:spPr>
              <a:gradFill rotWithShape="0">
                <a:gsLst>
                  <a:gs pos="0">
                    <a:srgbClr val="0076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76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843E-400B-A4F3-5FD26FB8512D}"/>
              </c:ext>
            </c:extLst>
          </c:dPt>
          <c:dPt>
            <c:idx val="3"/>
            <c:invertIfNegative val="0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843E-400B-A4F3-5FD26FB8512D}"/>
              </c:ext>
            </c:extLst>
          </c:dPt>
          <c:dPt>
            <c:idx val="4"/>
            <c:invertIfNegative val="0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843E-400B-A4F3-5FD26FB8512D}"/>
              </c:ext>
            </c:extLst>
          </c:dPt>
          <c:dPt>
            <c:idx val="5"/>
            <c:invertIfNegative val="1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843E-400B-A4F3-5FD26FB8512D}"/>
              </c:ext>
            </c:extLst>
          </c:dPt>
          <c:dPt>
            <c:idx val="6"/>
            <c:invertIfNegative val="0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843E-400B-A4F3-5FD26FB8512D}"/>
              </c:ext>
            </c:extLst>
          </c:dPt>
          <c:dLbls>
            <c:dLbl>
              <c:idx val="1"/>
              <c:layout>
                <c:manualLayout>
                  <c:x val="-5.5603856414132525E-4"/>
                  <c:y val="-8.756670794971563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43E-400B-A4F3-5FD26FB8512D}"/>
                </c:ext>
              </c:extLst>
            </c:dLbl>
            <c:dLbl>
              <c:idx val="2"/>
              <c:layout>
                <c:manualLayout>
                  <c:x val="3.336023691905029E-3"/>
                  <c:y val="-7.456920204339800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43E-400B-A4F3-5FD26FB8512D}"/>
                </c:ext>
              </c:extLst>
            </c:dLbl>
            <c:dLbl>
              <c:idx val="3"/>
              <c:layout>
                <c:manualLayout>
                  <c:x val="2.1586510278630696E-3"/>
                  <c:y val="-9.156418125688474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43E-400B-A4F3-5FD26FB8512D}"/>
                </c:ext>
              </c:extLst>
            </c:dLbl>
            <c:dLbl>
              <c:idx val="4"/>
              <c:layout>
                <c:manualLayout>
                  <c:x val="7.2607180280795346E-3"/>
                  <c:y val="-0.1003003750409512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43E-400B-A4F3-5FD26FB8512D}"/>
                </c:ext>
              </c:extLst>
            </c:dLbl>
            <c:dLbl>
              <c:idx val="5"/>
              <c:layout>
                <c:manualLayout>
                  <c:x val="9.6480978872067105E-3"/>
                  <c:y val="-7.433455104656415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43E-400B-A4F3-5FD26FB8512D}"/>
                </c:ext>
              </c:extLst>
            </c:dLbl>
            <c:dLbl>
              <c:idx val="6"/>
              <c:layout>
                <c:manualLayout>
                  <c:x val="3.3359479693679805E-3"/>
                  <c:y val="-5.937668936408014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43E-400B-A4F3-5FD26FB8512D}"/>
                </c:ext>
              </c:extLst>
            </c:dLbl>
            <c:dLbl>
              <c:idx val="7"/>
              <c:layout>
                <c:manualLayout>
                  <c:x val="7.2130680682793498E-4"/>
                  <c:y val="0.1099365750528541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75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43E-400B-A4F3-5FD26FB8512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BM)'!$O$85:$O$92</c:f>
              <c:strCache>
                <c:ptCount val="8"/>
                <c:pt idx="0">
                  <c:v>Budget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Cu (%)</c:v>
                </c:pt>
                <c:pt idx="4">
                  <c:v>Ley Mo (ppm)</c:v>
                </c:pt>
                <c:pt idx="5">
                  <c:v>RCu (%)</c:v>
                </c:pt>
                <c:pt idx="6">
                  <c:v>RMo (%)</c:v>
                </c:pt>
                <c:pt idx="7">
                  <c:v>Real (Kton)</c:v>
                </c:pt>
              </c:strCache>
            </c:strRef>
          </c:cat>
          <c:val>
            <c:numRef>
              <c:f>'Explicacion Cueq (Con BM)'!$Q$85:$Q$92</c:f>
              <c:numCache>
                <c:formatCode>#,##0.00</c:formatCode>
                <c:ptCount val="8"/>
                <c:pt idx="1">
                  <c:v>2.3939170847721085</c:v>
                </c:pt>
                <c:pt idx="2">
                  <c:v>3.6973340563123251</c:v>
                </c:pt>
                <c:pt idx="3">
                  <c:v>1.0953052881253367</c:v>
                </c:pt>
                <c:pt idx="4">
                  <c:v>0.16731537913032166</c:v>
                </c:pt>
                <c:pt idx="5">
                  <c:v>0.38918829730774279</c:v>
                </c:pt>
                <c:pt idx="6">
                  <c:v>0.30798120238682031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43E-400B-A4F3-5FD26FB85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823186944"/>
        <c:axId val="809150720"/>
      </c:barChart>
      <c:catAx>
        <c:axId val="82318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09150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09150720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ja-JP"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_tradnl" altLang="en-US"/>
                  <a:t>Cu Fino Eq. Producido (ktons)</a:t>
                </a:r>
              </a:p>
            </c:rich>
          </c:tx>
          <c:layout>
            <c:manualLayout>
              <c:xMode val="edge"/>
              <c:yMode val="edge"/>
              <c:x val="7.8492935635792772E-3"/>
              <c:y val="0.1074168797953964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2318694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630687085210971"/>
          <c:y val="8.695652173913046E-2"/>
          <c:w val="0.77969844646248854"/>
          <c:h val="0.6923076923076924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 rotWithShape="0">
                <a:gsLst>
                  <a:gs pos="0">
                    <a:srgbClr val="000076">
                      <a:gamma/>
                      <a:shade val="46275"/>
                      <a:invGamma/>
                    </a:srgbClr>
                  </a:gs>
                  <a:gs pos="50000">
                    <a:srgbClr val="0000FF"/>
                  </a:gs>
                  <a:gs pos="100000">
                    <a:srgbClr val="000076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DA6-4D72-8779-EF4BB1E240DB}"/>
              </c:ext>
            </c:extLst>
          </c:dPt>
          <c:dPt>
            <c:idx val="1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FDA6-4D72-8779-EF4BB1E240DB}"/>
              </c:ext>
            </c:extLst>
          </c:dPt>
          <c:dPt>
            <c:idx val="2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FDA6-4D72-8779-EF4BB1E240DB}"/>
              </c:ext>
            </c:extLst>
          </c:dPt>
          <c:dPt>
            <c:idx val="3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FDA6-4D72-8779-EF4BB1E240DB}"/>
              </c:ext>
            </c:extLst>
          </c:dPt>
          <c:dPt>
            <c:idx val="4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FDA6-4D72-8779-EF4BB1E240DB}"/>
              </c:ext>
            </c:extLst>
          </c:dPt>
          <c:dPt>
            <c:idx val="5"/>
            <c:invertIfNegative val="0"/>
            <c:bubble3D val="0"/>
            <c:spPr>
              <a:gradFill rotWithShape="0">
                <a:gsLst>
                  <a:gs pos="0">
                    <a:srgbClr val="000076">
                      <a:gamma/>
                      <a:shade val="46275"/>
                      <a:invGamma/>
                    </a:srgbClr>
                  </a:gs>
                  <a:gs pos="50000">
                    <a:srgbClr val="0000FF"/>
                  </a:gs>
                  <a:gs pos="100000">
                    <a:srgbClr val="000076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DA6-4D72-8779-EF4BB1E240DB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A6-4D72-8779-EF4BB1E240D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A6-4D72-8779-EF4BB1E240D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DA6-4D72-8779-EF4BB1E240D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DA6-4D72-8779-EF4BB1E240DB}"/>
                </c:ext>
              </c:extLst>
            </c:dLbl>
            <c:dLbl>
              <c:idx val="5"/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200" b="1" i="0" u="none" strike="noStrike" baseline="0">
                      <a:solidFill>
                        <a:srgbClr val="FFFF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FDA6-4D72-8779-EF4BB1E240D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DA6-4D72-8779-EF4BB1E240DB}"/>
                </c:ext>
              </c:extLst>
            </c:dLbl>
            <c:dLbl>
              <c:idx val="7"/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400" b="1" i="0" u="none" strike="noStrike" baseline="0">
                      <a:solidFill>
                        <a:srgbClr val="FFFF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1EED-48BB-B303-967EB34A67FA}"/>
                </c:ext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200" b="1" i="0" u="none" strike="noStrike" baseline="0">
                    <a:solidFill>
                      <a:srgbClr val="FFFF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BM)'!$O$139:$O$144</c:f>
              <c:strCache>
                <c:ptCount val="6"/>
                <c:pt idx="0">
                  <c:v>S.T.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Cu (%)</c:v>
                </c:pt>
                <c:pt idx="4">
                  <c:v>RCu (%)</c:v>
                </c:pt>
                <c:pt idx="5">
                  <c:v>Real (Kton)</c:v>
                </c:pt>
              </c:strCache>
            </c:strRef>
          </c:cat>
          <c:val>
            <c:numRef>
              <c:f>'Explicacion Cueq (Con BM)'!$P$139:$P$144</c:f>
              <c:numCache>
                <c:formatCode>#,##0.00</c:formatCode>
                <c:ptCount val="6"/>
                <c:pt idx="0">
                  <c:v>28.318351668204937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DA6-4D72-8779-EF4BB1E240DB}"/>
            </c:ext>
          </c:extLst>
        </c:ser>
        <c:ser>
          <c:idx val="1"/>
          <c:order val="1"/>
          <c:spPr>
            <a:gradFill rotWithShape="0">
              <a:gsLst>
                <a:gs pos="0">
                  <a:srgbClr val="00FF00"/>
                </a:gs>
                <a:gs pos="100000">
                  <a:srgbClr val="00FF00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gradFill rotWithShape="0">
                <a:gsLst>
                  <a:gs pos="0">
                    <a:srgbClr val="760000">
                      <a:gamma/>
                      <a:shade val="46275"/>
                      <a:invGamma/>
                    </a:srgbClr>
                  </a:gs>
                  <a:gs pos="50000">
                    <a:srgbClr val="FF0000"/>
                  </a:gs>
                  <a:gs pos="100000">
                    <a:srgbClr val="7600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FDA6-4D72-8779-EF4BB1E240DB}"/>
              </c:ext>
            </c:extLst>
          </c:dPt>
          <c:dPt>
            <c:idx val="2"/>
            <c:invertIfNegative val="0"/>
            <c:bubble3D val="0"/>
            <c:spPr>
              <a:gradFill rotWithShape="0">
                <a:gsLst>
                  <a:gs pos="0">
                    <a:srgbClr val="0076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76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FDA6-4D72-8779-EF4BB1E240DB}"/>
              </c:ext>
            </c:extLst>
          </c:dPt>
          <c:dPt>
            <c:idx val="3"/>
            <c:invertIfNegative val="0"/>
            <c:bubble3D val="0"/>
            <c:spPr>
              <a:gradFill rotWithShape="0">
                <a:gsLst>
                  <a:gs pos="0">
                    <a:srgbClr val="0076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76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FDA6-4D72-8779-EF4BB1E240DB}"/>
              </c:ext>
            </c:extLst>
          </c:dPt>
          <c:dPt>
            <c:idx val="4"/>
            <c:invertIfNegative val="0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FDA6-4D72-8779-EF4BB1E240DB}"/>
              </c:ext>
            </c:extLst>
          </c:dPt>
          <c:dPt>
            <c:idx val="5"/>
            <c:invertIfNegative val="1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FDA6-4D72-8779-EF4BB1E240DB}"/>
              </c:ext>
            </c:extLst>
          </c:dPt>
          <c:dLbls>
            <c:dLbl>
              <c:idx val="1"/>
              <c:layout>
                <c:manualLayout>
                  <c:x val="-2.6998437270108222E-3"/>
                  <c:y val="-0.1371743080609907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DA6-4D72-8779-EF4BB1E240DB}"/>
                </c:ext>
              </c:extLst>
            </c:dLbl>
            <c:dLbl>
              <c:idx val="2"/>
              <c:layout>
                <c:manualLayout>
                  <c:x val="-8.9996214870870315E-4"/>
                  <c:y val="-0.1061146955292795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DA6-4D72-8779-EF4BB1E240DB}"/>
                </c:ext>
              </c:extLst>
            </c:dLbl>
            <c:dLbl>
              <c:idx val="3"/>
              <c:layout>
                <c:manualLayout>
                  <c:x val="5.2195784127651882E-3"/>
                  <c:y val="-0.1848910190574004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DA6-4D72-8779-EF4BB1E240DB}"/>
                </c:ext>
              </c:extLst>
            </c:dLbl>
            <c:dLbl>
              <c:idx val="4"/>
              <c:layout>
                <c:manualLayout>
                  <c:x val="4.8596304994814217E-3"/>
                  <c:y val="-0.143851332964650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DA6-4D72-8779-EF4BB1E240DB}"/>
                </c:ext>
              </c:extLst>
            </c:dLbl>
            <c:dLbl>
              <c:idx val="5"/>
              <c:layout>
                <c:manualLayout>
                  <c:x val="1.0986232308547641E-2"/>
                  <c:y val="0.2040133779264214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4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DA6-4D72-8779-EF4BB1E240DB}"/>
                </c:ext>
              </c:extLst>
            </c:dLbl>
            <c:dLbl>
              <c:idx val="6"/>
              <c:layout>
                <c:manualLayout>
                  <c:x val="-8.1330875341544949E-4"/>
                  <c:y val="-6.376609900506624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4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DA6-4D72-8779-EF4BB1E240DB}"/>
                </c:ext>
              </c:extLst>
            </c:dLbl>
            <c:dLbl>
              <c:idx val="7"/>
              <c:layout>
                <c:manualLayout>
                  <c:x val="7.2130680682793498E-4"/>
                  <c:y val="0.1099365750528541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75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DA6-4D72-8779-EF4BB1E240DB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BM)'!$O$139:$O$144</c:f>
              <c:strCache>
                <c:ptCount val="6"/>
                <c:pt idx="0">
                  <c:v>S.T.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Cu (%)</c:v>
                </c:pt>
                <c:pt idx="4">
                  <c:v>RCu (%)</c:v>
                </c:pt>
                <c:pt idx="5">
                  <c:v>Real (Kton)</c:v>
                </c:pt>
              </c:strCache>
            </c:strRef>
          </c:cat>
          <c:val>
            <c:numRef>
              <c:f>'Explicacion Cueq (Con BM)'!$Q$139:$Q$144</c:f>
              <c:numCache>
                <c:formatCode>#,##0.00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FDA6-4D72-8779-EF4BB1E24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823187968"/>
        <c:axId val="809152448"/>
      </c:barChart>
      <c:catAx>
        <c:axId val="82318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09152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09152448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ja-JP"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 altLang="en-US"/>
                  <a:t>Cu Fino  Producido (ktons)</a:t>
                </a:r>
              </a:p>
            </c:rich>
          </c:tx>
          <c:layout>
            <c:manualLayout>
              <c:xMode val="edge"/>
              <c:yMode val="edge"/>
              <c:x val="1.079913606911447E-2"/>
              <c:y val="2.3411371237458192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2318796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694772344013495"/>
          <c:y val="9.0024544804366266E-2"/>
          <c:w val="0.77234401349072535"/>
          <c:h val="0.70316468779626617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 rotWithShape="0">
                <a:gsLst>
                  <a:gs pos="0">
                    <a:srgbClr val="000076">
                      <a:gamma/>
                      <a:shade val="46275"/>
                      <a:invGamma/>
                    </a:srgbClr>
                  </a:gs>
                  <a:gs pos="50000">
                    <a:srgbClr val="0000FF"/>
                  </a:gs>
                  <a:gs pos="100000">
                    <a:srgbClr val="000076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051-42E2-8AA9-E7437658E72A}"/>
              </c:ext>
            </c:extLst>
          </c:dPt>
          <c:dPt>
            <c:idx val="1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A051-42E2-8AA9-E7437658E72A}"/>
              </c:ext>
            </c:extLst>
          </c:dPt>
          <c:dPt>
            <c:idx val="2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A051-42E2-8AA9-E7437658E72A}"/>
              </c:ext>
            </c:extLst>
          </c:dPt>
          <c:dPt>
            <c:idx val="3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A051-42E2-8AA9-E7437658E72A}"/>
              </c:ext>
            </c:extLst>
          </c:dPt>
          <c:dPt>
            <c:idx val="4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A051-42E2-8AA9-E7437658E72A}"/>
              </c:ext>
            </c:extLst>
          </c:dPt>
          <c:dPt>
            <c:idx val="5"/>
            <c:invertIfNegative val="0"/>
            <c:bubble3D val="0"/>
            <c:spPr>
              <a:gradFill rotWithShape="0">
                <a:gsLst>
                  <a:gs pos="0">
                    <a:srgbClr val="000076">
                      <a:gamma/>
                      <a:shade val="46275"/>
                      <a:invGamma/>
                    </a:srgbClr>
                  </a:gs>
                  <a:gs pos="50000">
                    <a:srgbClr val="0000FF"/>
                  </a:gs>
                  <a:gs pos="100000">
                    <a:srgbClr val="000076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051-42E2-8AA9-E7437658E72A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51-42E2-8AA9-E7437658E72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051-42E2-8AA9-E7437658E72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051-42E2-8AA9-E7437658E72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051-42E2-8AA9-E7437658E72A}"/>
                </c:ext>
              </c:extLst>
            </c:dLbl>
            <c:dLbl>
              <c:idx val="5"/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200" b="1" i="0" u="none" strike="noStrike" baseline="0">
                      <a:solidFill>
                        <a:srgbClr val="FFFF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A051-42E2-8AA9-E7437658E72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051-42E2-8AA9-E7437658E72A}"/>
                </c:ext>
              </c:extLst>
            </c:dLbl>
            <c:dLbl>
              <c:idx val="7"/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400" b="1" i="0" u="none" strike="noStrike" baseline="0">
                      <a:solidFill>
                        <a:srgbClr val="FFFF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CEAA-4C00-96F3-F3C29AC2BB76}"/>
                </c:ext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200" b="1" i="0" u="none" strike="noStrike" baseline="0">
                    <a:solidFill>
                      <a:srgbClr val="FFFF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BM)'!$O$165:$O$170</c:f>
              <c:strCache>
                <c:ptCount val="6"/>
                <c:pt idx="0">
                  <c:v>B.D.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Cu (%)</c:v>
                </c:pt>
                <c:pt idx="4">
                  <c:v>RCu (%)</c:v>
                </c:pt>
                <c:pt idx="5">
                  <c:v>Real (Kton)</c:v>
                </c:pt>
              </c:strCache>
            </c:strRef>
          </c:cat>
          <c:val>
            <c:numRef>
              <c:f>'Explicacion Cueq (Con BM)'!$P$165:$P$170</c:f>
              <c:numCache>
                <c:formatCode>#,##0.00</c:formatCode>
                <c:ptCount val="6"/>
                <c:pt idx="0">
                  <c:v>22.933613081531071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051-42E2-8AA9-E7437658E72A}"/>
            </c:ext>
          </c:extLst>
        </c:ser>
        <c:ser>
          <c:idx val="1"/>
          <c:order val="1"/>
          <c:spPr>
            <a:gradFill rotWithShape="0">
              <a:gsLst>
                <a:gs pos="0">
                  <a:srgbClr val="00FF00"/>
                </a:gs>
                <a:gs pos="100000">
                  <a:srgbClr val="00FF00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gradFill rotWithShape="0">
                <a:gsLst>
                  <a:gs pos="0">
                    <a:srgbClr val="0076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76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A051-42E2-8AA9-E7437658E72A}"/>
              </c:ext>
            </c:extLst>
          </c:dPt>
          <c:dPt>
            <c:idx val="2"/>
            <c:invertIfNegative val="0"/>
            <c:bubble3D val="0"/>
            <c:spPr>
              <a:gradFill rotWithShape="0">
                <a:gsLst>
                  <a:gs pos="0">
                    <a:srgbClr val="0076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76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A051-42E2-8AA9-E7437658E72A}"/>
              </c:ext>
            </c:extLst>
          </c:dPt>
          <c:dPt>
            <c:idx val="3"/>
            <c:invertIfNegative val="0"/>
            <c:bubble3D val="0"/>
            <c:spPr>
              <a:gradFill rotWithShape="0">
                <a:gsLst>
                  <a:gs pos="0">
                    <a:srgbClr val="760000">
                      <a:gamma/>
                      <a:shade val="46275"/>
                      <a:invGamma/>
                    </a:srgbClr>
                  </a:gs>
                  <a:gs pos="50000">
                    <a:srgbClr val="FF0000"/>
                  </a:gs>
                  <a:gs pos="100000">
                    <a:srgbClr val="7600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A051-42E2-8AA9-E7437658E72A}"/>
              </c:ext>
            </c:extLst>
          </c:dPt>
          <c:dPt>
            <c:idx val="4"/>
            <c:invertIfNegative val="0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A051-42E2-8AA9-E7437658E72A}"/>
              </c:ext>
            </c:extLst>
          </c:dPt>
          <c:dPt>
            <c:idx val="5"/>
            <c:invertIfNegative val="1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A051-42E2-8AA9-E7437658E72A}"/>
              </c:ext>
            </c:extLst>
          </c:dPt>
          <c:dLbls>
            <c:dLbl>
              <c:idx val="1"/>
              <c:layout>
                <c:manualLayout>
                  <c:x val="-3.1932869705155386E-3"/>
                  <c:y val="1.515155998922818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051-42E2-8AA9-E7437658E72A}"/>
                </c:ext>
              </c:extLst>
            </c:dLbl>
            <c:dLbl>
              <c:idx val="2"/>
              <c:layout>
                <c:manualLayout>
                  <c:x val="1.5211602199359026E-4"/>
                  <c:y val="1.515155998922818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051-42E2-8AA9-E7437658E72A}"/>
                </c:ext>
              </c:extLst>
            </c:dLbl>
            <c:dLbl>
              <c:idx val="3"/>
              <c:layout>
                <c:manualLayout>
                  <c:x val="3.4977105963944696E-3"/>
                  <c:y val="-0.151759757914215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051-42E2-8AA9-E7437658E72A}"/>
                </c:ext>
              </c:extLst>
            </c:dLbl>
            <c:dLbl>
              <c:idx val="4"/>
              <c:layout>
                <c:manualLayout>
                  <c:x val="6.8431135889035991E-3"/>
                  <c:y val="-0.1132686335076188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051-42E2-8AA9-E7437658E72A}"/>
                </c:ext>
              </c:extLst>
            </c:dLbl>
            <c:dLbl>
              <c:idx val="5"/>
              <c:layout>
                <c:manualLayout>
                  <c:x val="1.0194838783838164E-2"/>
                  <c:y val="0.28181901579964441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4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051-42E2-8AA9-E7437658E72A}"/>
                </c:ext>
              </c:extLst>
            </c:dLbl>
            <c:dLbl>
              <c:idx val="6"/>
              <c:layout>
                <c:manualLayout>
                  <c:x val="-8.1330875341544949E-4"/>
                  <c:y val="-6.376609900506624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4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051-42E2-8AA9-E7437658E72A}"/>
                </c:ext>
              </c:extLst>
            </c:dLbl>
            <c:dLbl>
              <c:idx val="7"/>
              <c:layout>
                <c:manualLayout>
                  <c:x val="7.2130680682793498E-4"/>
                  <c:y val="0.1099365750528541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75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051-42E2-8AA9-E7437658E72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BM)'!$O$165:$O$170</c:f>
              <c:strCache>
                <c:ptCount val="6"/>
                <c:pt idx="0">
                  <c:v>B.D.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Cu (%)</c:v>
                </c:pt>
                <c:pt idx="4">
                  <c:v>RCu (%)</c:v>
                </c:pt>
                <c:pt idx="5">
                  <c:v>Real (Kton)</c:v>
                </c:pt>
              </c:strCache>
            </c:strRef>
          </c:cat>
          <c:val>
            <c:numRef>
              <c:f>'Explicacion Cueq (Con BM)'!$Q$165:$Q$170</c:f>
              <c:numCache>
                <c:formatCode>#,##0.00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051-42E2-8AA9-E7437658E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823188992"/>
        <c:axId val="809154176"/>
      </c:barChart>
      <c:catAx>
        <c:axId val="823188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091541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09154176"/>
        <c:scaling>
          <c:orientation val="minMax"/>
          <c:max val="38"/>
          <c:min val="29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ja-JP"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_tradnl" altLang="en-US"/>
                  <a:t>Cu Fino  Producido (ktons)</a:t>
                </a:r>
              </a:p>
            </c:rich>
          </c:tx>
          <c:layout>
            <c:manualLayout>
              <c:xMode val="edge"/>
              <c:yMode val="edge"/>
              <c:x val="2.1897819265003341E-2"/>
              <c:y val="5.7575978185208598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23188992"/>
        <c:crosses val="autoZero"/>
        <c:crossBetween val="between"/>
        <c:majorUnit val="1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13778705636746"/>
          <c:y val="9.4276404265323382E-2"/>
          <c:w val="0.81002087682672241"/>
          <c:h val="0.66666885873335824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 rotWithShape="0">
                <a:gsLst>
                  <a:gs pos="0">
                    <a:srgbClr val="000076">
                      <a:gamma/>
                      <a:shade val="46275"/>
                      <a:invGamma/>
                    </a:srgbClr>
                  </a:gs>
                  <a:gs pos="50000">
                    <a:srgbClr val="0000FF"/>
                  </a:gs>
                  <a:gs pos="100000">
                    <a:srgbClr val="000076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158-4A60-962F-7446F6F92412}"/>
              </c:ext>
            </c:extLst>
          </c:dPt>
          <c:dPt>
            <c:idx val="1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D158-4A60-962F-7446F6F92412}"/>
              </c:ext>
            </c:extLst>
          </c:dPt>
          <c:dPt>
            <c:idx val="2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D158-4A60-962F-7446F6F92412}"/>
              </c:ext>
            </c:extLst>
          </c:dPt>
          <c:dPt>
            <c:idx val="3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D158-4A60-962F-7446F6F92412}"/>
              </c:ext>
            </c:extLst>
          </c:dPt>
          <c:dPt>
            <c:idx val="4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D158-4A60-962F-7446F6F92412}"/>
              </c:ext>
            </c:extLst>
          </c:dPt>
          <c:dPt>
            <c:idx val="5"/>
            <c:invertIfNegative val="0"/>
            <c:bubble3D val="0"/>
            <c:spPr>
              <a:gradFill rotWithShape="0">
                <a:gsLst>
                  <a:gs pos="0">
                    <a:srgbClr val="000076">
                      <a:gamma/>
                      <a:shade val="46275"/>
                      <a:invGamma/>
                    </a:srgbClr>
                  </a:gs>
                  <a:gs pos="50000">
                    <a:srgbClr val="0000FF"/>
                  </a:gs>
                  <a:gs pos="100000">
                    <a:srgbClr val="000076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158-4A60-962F-7446F6F92412}"/>
              </c:ext>
            </c:extLst>
          </c:dPt>
          <c:dLbls>
            <c:dLbl>
              <c:idx val="0"/>
              <c:numFmt formatCode="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200" b="1" i="0" u="none" strike="noStrike" baseline="0">
                      <a:solidFill>
                        <a:srgbClr val="FFFF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158-4A60-962F-7446F6F9241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58-4A60-962F-7446F6F9241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58-4A60-962F-7446F6F9241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158-4A60-962F-7446F6F9241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158-4A60-962F-7446F6F92412}"/>
                </c:ext>
              </c:extLst>
            </c:dLbl>
            <c:dLbl>
              <c:idx val="5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200" b="1" i="0" u="none" strike="noStrike" baseline="0">
                      <a:solidFill>
                        <a:srgbClr val="FFFF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D158-4A60-962F-7446F6F9241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158-4A60-962F-7446F6F92412}"/>
                </c:ext>
              </c:extLst>
            </c:dLbl>
            <c:dLbl>
              <c:idx val="7"/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400" b="1" i="0" u="none" strike="noStrike" baseline="0">
                      <a:solidFill>
                        <a:srgbClr val="FFFF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082F-43BE-A02B-620D93A767A4}"/>
                </c:ext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200" b="1" i="0" u="none" strike="noStrike" baseline="0">
                    <a:solidFill>
                      <a:srgbClr val="FFFF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BM)'!$Y$139:$Y$144</c:f>
              <c:strCache>
                <c:ptCount val="6"/>
                <c:pt idx="0">
                  <c:v>S.T.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Mo (%)</c:v>
                </c:pt>
                <c:pt idx="4">
                  <c:v>RMo (%)</c:v>
                </c:pt>
                <c:pt idx="5">
                  <c:v>Real (Kton)</c:v>
                </c:pt>
              </c:strCache>
            </c:strRef>
          </c:cat>
          <c:val>
            <c:numRef>
              <c:f>'Explicacion Cueq (Con BM)'!$Z$139:$Z$144</c:f>
              <c:numCache>
                <c:formatCode>#,##0.00</c:formatCode>
                <c:ptCount val="6"/>
                <c:pt idx="0">
                  <c:v>0.80794675396342897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158-4A60-962F-7446F6F92412}"/>
            </c:ext>
          </c:extLst>
        </c:ser>
        <c:ser>
          <c:idx val="1"/>
          <c:order val="1"/>
          <c:spPr>
            <a:gradFill rotWithShape="0">
              <a:gsLst>
                <a:gs pos="0">
                  <a:srgbClr val="00FF00"/>
                </a:gs>
                <a:gs pos="100000">
                  <a:srgbClr val="00FF00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gradFill rotWithShape="0">
                <a:gsLst>
                  <a:gs pos="0">
                    <a:srgbClr val="760000">
                      <a:gamma/>
                      <a:shade val="46275"/>
                      <a:invGamma/>
                    </a:srgbClr>
                  </a:gs>
                  <a:gs pos="50000">
                    <a:srgbClr val="FF0000"/>
                  </a:gs>
                  <a:gs pos="100000">
                    <a:srgbClr val="7600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D158-4A60-962F-7446F6F92412}"/>
              </c:ext>
            </c:extLst>
          </c:dPt>
          <c:dPt>
            <c:idx val="2"/>
            <c:invertIfNegative val="0"/>
            <c:bubble3D val="0"/>
            <c:spPr>
              <a:gradFill rotWithShape="0">
                <a:gsLst>
                  <a:gs pos="0">
                    <a:srgbClr val="0076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76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D158-4A60-962F-7446F6F92412}"/>
              </c:ext>
            </c:extLst>
          </c:dPt>
          <c:dPt>
            <c:idx val="3"/>
            <c:invertIfNegative val="0"/>
            <c:bubble3D val="0"/>
            <c:spPr>
              <a:gradFill rotWithShape="0">
                <a:gsLst>
                  <a:gs pos="0">
                    <a:srgbClr val="760000">
                      <a:gamma/>
                      <a:shade val="46275"/>
                      <a:invGamma/>
                    </a:srgbClr>
                  </a:gs>
                  <a:gs pos="50000">
                    <a:srgbClr val="FF0000"/>
                  </a:gs>
                  <a:gs pos="100000">
                    <a:srgbClr val="7600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D158-4A60-962F-7446F6F92412}"/>
              </c:ext>
            </c:extLst>
          </c:dPt>
          <c:dPt>
            <c:idx val="4"/>
            <c:invertIfNegative val="0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D158-4A60-962F-7446F6F92412}"/>
              </c:ext>
            </c:extLst>
          </c:dPt>
          <c:dPt>
            <c:idx val="5"/>
            <c:invertIfNegative val="1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D158-4A60-962F-7446F6F92412}"/>
              </c:ext>
            </c:extLst>
          </c:dPt>
          <c:dLbls>
            <c:dLbl>
              <c:idx val="1"/>
              <c:layout>
                <c:manualLayout>
                  <c:x val="2.0876826722337929E-3"/>
                  <c:y val="-9.579075573192359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158-4A60-962F-7446F6F92412}"/>
                </c:ext>
              </c:extLst>
            </c:dLbl>
            <c:dLbl>
              <c:idx val="2"/>
              <c:layout>
                <c:manualLayout>
                  <c:x val="6.9589422407789888E-4"/>
                  <c:y val="-0.1046164029150262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158-4A60-962F-7446F6F92412}"/>
                </c:ext>
              </c:extLst>
            </c:dLbl>
            <c:dLbl>
              <c:idx val="3"/>
              <c:layout>
                <c:manualLayout>
                  <c:x val="-2.7835768963116883E-3"/>
                  <c:y val="-0.2338663177782409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158-4A60-962F-7446F6F92412}"/>
                </c:ext>
              </c:extLst>
            </c:dLbl>
            <c:dLbl>
              <c:idx val="4"/>
              <c:layout>
                <c:manualLayout>
                  <c:x val="1.2526096033402904E-2"/>
                  <c:y val="-9.765939860977401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158-4A60-962F-7446F6F92412}"/>
                </c:ext>
              </c:extLst>
            </c:dLbl>
            <c:dLbl>
              <c:idx val="5"/>
              <c:layout>
                <c:manualLayout>
                  <c:x val="1.1141321322308601E-2"/>
                  <c:y val="0.53535529564951501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4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158-4A60-962F-7446F6F92412}"/>
                </c:ext>
              </c:extLst>
            </c:dLbl>
            <c:dLbl>
              <c:idx val="6"/>
              <c:layout>
                <c:manualLayout>
                  <c:x val="-8.1330875341544949E-4"/>
                  <c:y val="-6.376609900506624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4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158-4A60-962F-7446F6F92412}"/>
                </c:ext>
              </c:extLst>
            </c:dLbl>
            <c:dLbl>
              <c:idx val="7"/>
              <c:layout>
                <c:manualLayout>
                  <c:x val="7.2130680682793498E-4"/>
                  <c:y val="0.1099365750528541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75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158-4A60-962F-7446F6F9241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BM)'!$Y$139:$Y$144</c:f>
              <c:strCache>
                <c:ptCount val="6"/>
                <c:pt idx="0">
                  <c:v>S.T.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Mo (%)</c:v>
                </c:pt>
                <c:pt idx="4">
                  <c:v>RMo (%)</c:v>
                </c:pt>
                <c:pt idx="5">
                  <c:v>Real (Kton)</c:v>
                </c:pt>
              </c:strCache>
            </c:strRef>
          </c:cat>
          <c:val>
            <c:numRef>
              <c:f>'Explicacion Cueq (Con BM)'!$AA$139:$AA$144</c:f>
              <c:numCache>
                <c:formatCode>#,##0.00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158-4A60-962F-7446F6F92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823752192"/>
        <c:axId val="809155904"/>
      </c:barChart>
      <c:catAx>
        <c:axId val="823752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091559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09155904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ja-JP"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 altLang="en-US"/>
                  <a:t>Mo Fino  Producido (ktons)</a:t>
                </a:r>
              </a:p>
            </c:rich>
          </c:tx>
          <c:layout>
            <c:manualLayout>
              <c:xMode val="edge"/>
              <c:yMode val="edge"/>
              <c:x val="1.0438413361169102E-2"/>
              <c:y val="1.6835016835016835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2375219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3611405455535"/>
          <c:y val="7.124699637950356E-2"/>
          <c:w val="0.79340412293179463"/>
          <c:h val="0.7633606754946812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 rotWithShape="0">
                <a:gsLst>
                  <a:gs pos="0">
                    <a:srgbClr val="000076">
                      <a:gamma/>
                      <a:shade val="46275"/>
                      <a:invGamma/>
                    </a:srgbClr>
                  </a:gs>
                  <a:gs pos="50000">
                    <a:srgbClr val="0000FF"/>
                  </a:gs>
                  <a:gs pos="100000">
                    <a:srgbClr val="000076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8D-4343-A99D-C01ADAA834EE}"/>
              </c:ext>
            </c:extLst>
          </c:dPt>
          <c:dPt>
            <c:idx val="1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DB8D-4343-A99D-C01ADAA834EE}"/>
              </c:ext>
            </c:extLst>
          </c:dPt>
          <c:dPt>
            <c:idx val="2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DB8D-4343-A99D-C01ADAA834EE}"/>
              </c:ext>
            </c:extLst>
          </c:dPt>
          <c:dPt>
            <c:idx val="3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DB8D-4343-A99D-C01ADAA834EE}"/>
              </c:ext>
            </c:extLst>
          </c:dPt>
          <c:dPt>
            <c:idx val="4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DB8D-4343-A99D-C01ADAA834EE}"/>
              </c:ext>
            </c:extLst>
          </c:dPt>
          <c:dPt>
            <c:idx val="5"/>
            <c:invertIfNegative val="0"/>
            <c:bubble3D val="0"/>
            <c:spPr>
              <a:gradFill rotWithShape="0">
                <a:gsLst>
                  <a:gs pos="0">
                    <a:srgbClr val="000076">
                      <a:gamma/>
                      <a:shade val="46275"/>
                      <a:invGamma/>
                    </a:srgbClr>
                  </a:gs>
                  <a:gs pos="50000">
                    <a:srgbClr val="0000FF"/>
                  </a:gs>
                  <a:gs pos="100000">
                    <a:srgbClr val="000076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B8D-4343-A99D-C01ADAA834EE}"/>
              </c:ext>
            </c:extLst>
          </c:dPt>
          <c:dLbls>
            <c:dLbl>
              <c:idx val="0"/>
              <c:numFmt formatCode="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200" b="1" i="0" u="none" strike="noStrike" baseline="0">
                      <a:solidFill>
                        <a:srgbClr val="FFFF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B8D-4343-A99D-C01ADAA834E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8D-4343-A99D-C01ADAA834E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8D-4343-A99D-C01ADAA834E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B8D-4343-A99D-C01ADAA834E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B8D-4343-A99D-C01ADAA834EE}"/>
                </c:ext>
              </c:extLst>
            </c:dLbl>
            <c:dLbl>
              <c:idx val="5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200" b="1" i="0" u="none" strike="noStrike" baseline="0">
                      <a:solidFill>
                        <a:srgbClr val="FFFF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DB8D-4343-A99D-C01ADAA834E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B8D-4343-A99D-C01ADAA834EE}"/>
                </c:ext>
              </c:extLst>
            </c:dLbl>
            <c:dLbl>
              <c:idx val="7"/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400" b="1" i="0" u="none" strike="noStrike" baseline="0">
                      <a:solidFill>
                        <a:srgbClr val="FFFF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3616-45DE-946E-411D194DE3E8}"/>
                </c:ext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200" b="1" i="0" u="none" strike="noStrike" baseline="0">
                    <a:solidFill>
                      <a:srgbClr val="FFFF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BM)'!$Y$165:$Y$170</c:f>
              <c:strCache>
                <c:ptCount val="6"/>
                <c:pt idx="0">
                  <c:v>B.D.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Mo (%)</c:v>
                </c:pt>
                <c:pt idx="4">
                  <c:v>RMo (%)</c:v>
                </c:pt>
                <c:pt idx="5">
                  <c:v>Real (Kton)</c:v>
                </c:pt>
              </c:strCache>
            </c:strRef>
          </c:cat>
          <c:val>
            <c:numRef>
              <c:f>'Explicacion Cueq (Con BM)'!$Z$165:$Z$170</c:f>
              <c:numCache>
                <c:formatCode>#,##0.00</c:formatCode>
                <c:ptCount val="6"/>
                <c:pt idx="0">
                  <c:v>0.49377313963876424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B8D-4343-A99D-C01ADAA834EE}"/>
            </c:ext>
          </c:extLst>
        </c:ser>
        <c:ser>
          <c:idx val="1"/>
          <c:order val="1"/>
          <c:spPr>
            <a:gradFill rotWithShape="0">
              <a:gsLst>
                <a:gs pos="0">
                  <a:srgbClr val="00FF00"/>
                </a:gs>
                <a:gs pos="100000">
                  <a:srgbClr val="00FF00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gradFill rotWithShape="0">
                <a:gsLst>
                  <a:gs pos="0">
                    <a:srgbClr val="0076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76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DB8D-4343-A99D-C01ADAA834EE}"/>
              </c:ext>
            </c:extLst>
          </c:dPt>
          <c:dPt>
            <c:idx val="2"/>
            <c:invertIfNegative val="0"/>
            <c:bubble3D val="0"/>
            <c:spPr>
              <a:gradFill rotWithShape="0">
                <a:gsLst>
                  <a:gs pos="0">
                    <a:srgbClr val="0076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76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DB8D-4343-A99D-C01ADAA834EE}"/>
              </c:ext>
            </c:extLst>
          </c:dPt>
          <c:dPt>
            <c:idx val="3"/>
            <c:invertIfNegative val="0"/>
            <c:bubble3D val="0"/>
            <c:spPr>
              <a:gradFill rotWithShape="0">
                <a:gsLst>
                  <a:gs pos="0">
                    <a:srgbClr val="760000">
                      <a:gamma/>
                      <a:shade val="46275"/>
                      <a:invGamma/>
                    </a:srgbClr>
                  </a:gs>
                  <a:gs pos="50000">
                    <a:srgbClr val="FF0000"/>
                  </a:gs>
                  <a:gs pos="100000">
                    <a:srgbClr val="7600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DB8D-4343-A99D-C01ADAA834EE}"/>
              </c:ext>
            </c:extLst>
          </c:dPt>
          <c:dPt>
            <c:idx val="4"/>
            <c:invertIfNegative val="0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DB8D-4343-A99D-C01ADAA834EE}"/>
              </c:ext>
            </c:extLst>
          </c:dPt>
          <c:dPt>
            <c:idx val="5"/>
            <c:invertIfNegative val="1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DB8D-4343-A99D-C01ADAA834EE}"/>
              </c:ext>
            </c:extLst>
          </c:dPt>
          <c:dLbls>
            <c:dLbl>
              <c:idx val="1"/>
              <c:layout>
                <c:manualLayout>
                  <c:x val="2.0080218334537878E-3"/>
                  <c:y val="3.463767565452045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B8D-4343-A99D-C01ADAA834EE}"/>
                </c:ext>
              </c:extLst>
            </c:dLbl>
            <c:dLbl>
              <c:idx val="2"/>
              <c:layout>
                <c:manualLayout>
                  <c:x val="1.3387307992415727E-3"/>
                  <c:y val="3.463767565452045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B8D-4343-A99D-C01ADAA834EE}"/>
                </c:ext>
              </c:extLst>
            </c:dLbl>
            <c:dLbl>
              <c:idx val="3"/>
              <c:layout>
                <c:manualLayout>
                  <c:x val="2.6774758312396682E-3"/>
                  <c:y val="-9.387515632419395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B8D-4343-A99D-C01ADAA834EE}"/>
                </c:ext>
              </c:extLst>
            </c:dLbl>
            <c:dLbl>
              <c:idx val="4"/>
              <c:layout>
                <c:manualLayout>
                  <c:x val="1.2048154311057508E-2"/>
                  <c:y val="-0.100325861267830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B8D-4343-A99D-C01ADAA834EE}"/>
                </c:ext>
              </c:extLst>
            </c:dLbl>
            <c:dLbl>
              <c:idx val="5"/>
              <c:layout>
                <c:manualLayout>
                  <c:x val="1.1385664549276224E-2"/>
                  <c:y val="0.558825312836093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4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B8D-4343-A99D-C01ADAA834EE}"/>
                </c:ext>
              </c:extLst>
            </c:dLbl>
            <c:dLbl>
              <c:idx val="6"/>
              <c:layout>
                <c:manualLayout>
                  <c:x val="-8.1330875341544949E-4"/>
                  <c:y val="-6.376609900506624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4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B8D-4343-A99D-C01ADAA834EE}"/>
                </c:ext>
              </c:extLst>
            </c:dLbl>
            <c:dLbl>
              <c:idx val="7"/>
              <c:layout>
                <c:manualLayout>
                  <c:x val="7.2130680682793498E-4"/>
                  <c:y val="0.1099365750528541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75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B8D-4343-A99D-C01ADAA834E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BM)'!$Y$165:$Y$170</c:f>
              <c:strCache>
                <c:ptCount val="6"/>
                <c:pt idx="0">
                  <c:v>B.D.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Mo (%)</c:v>
                </c:pt>
                <c:pt idx="4">
                  <c:v>RMo (%)</c:v>
                </c:pt>
                <c:pt idx="5">
                  <c:v>Real (Kton)</c:v>
                </c:pt>
              </c:strCache>
            </c:strRef>
          </c:cat>
          <c:val>
            <c:numRef>
              <c:f>'Explicacion Cueq (Con BM)'!$AA$165:$AA$170</c:f>
              <c:numCache>
                <c:formatCode>#,##0.00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B8D-4343-A99D-C01ADAA83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823753728"/>
        <c:axId val="823936128"/>
      </c:barChart>
      <c:catAx>
        <c:axId val="823753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239361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23936128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ja-JP"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_tradnl" altLang="en-US"/>
                  <a:t>Mo Fino  Producido (ktons)</a:t>
                </a:r>
              </a:p>
            </c:rich>
          </c:tx>
          <c:layout>
            <c:manualLayout>
              <c:xMode val="edge"/>
              <c:yMode val="edge"/>
              <c:x val="8.6805555555555559E-3"/>
              <c:y val="0.1145040839360728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2375372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8835049680808"/>
          <c:y val="5.4441387692019262E-2"/>
          <c:w val="0.74591526207834447"/>
          <c:h val="0.767910100076903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 rotWithShape="0">
                <a:gsLst>
                  <a:gs pos="0">
                    <a:srgbClr val="000076">
                      <a:gamma/>
                      <a:shade val="46275"/>
                      <a:invGamma/>
                    </a:srgbClr>
                  </a:gs>
                  <a:gs pos="50000">
                    <a:srgbClr val="0000FF"/>
                  </a:gs>
                  <a:gs pos="100000">
                    <a:srgbClr val="000076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CFB-42E8-9954-97AEAAEE32E3}"/>
              </c:ext>
            </c:extLst>
          </c:dPt>
          <c:dPt>
            <c:idx val="1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9CFB-42E8-9954-97AEAAEE32E3}"/>
              </c:ext>
            </c:extLst>
          </c:dPt>
          <c:dPt>
            <c:idx val="2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9CFB-42E8-9954-97AEAAEE32E3}"/>
              </c:ext>
            </c:extLst>
          </c:dPt>
          <c:dPt>
            <c:idx val="3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9CFB-42E8-9954-97AEAAEE32E3}"/>
              </c:ext>
            </c:extLst>
          </c:dPt>
          <c:dPt>
            <c:idx val="4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9CFB-42E8-9954-97AEAAEE32E3}"/>
              </c:ext>
            </c:extLst>
          </c:dPt>
          <c:dPt>
            <c:idx val="5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9CFB-42E8-9954-97AEAAEE32E3}"/>
              </c:ext>
            </c:extLst>
          </c:dPt>
          <c:dPt>
            <c:idx val="6"/>
            <c:invertIfNegative val="0"/>
            <c:bubble3D val="0"/>
            <c:spPr>
              <a:gradFill rotWithShape="0">
                <a:gsLst>
                  <a:gs pos="0">
                    <a:srgbClr val="000076">
                      <a:gamma/>
                      <a:shade val="46275"/>
                      <a:invGamma/>
                    </a:srgbClr>
                  </a:gs>
                  <a:gs pos="50000">
                    <a:srgbClr val="0000FF"/>
                  </a:gs>
                  <a:gs pos="100000">
                    <a:srgbClr val="000076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CFB-42E8-9954-97AEAAEE32E3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FB-42E8-9954-97AEAAEE32E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FB-42E8-9954-97AEAAEE32E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FB-42E8-9954-97AEAAEE32E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CFB-42E8-9954-97AEAAEE32E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CFB-42E8-9954-97AEAAEE32E3}"/>
                </c:ext>
              </c:extLst>
            </c:dLbl>
            <c:dLbl>
              <c:idx val="6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600" b="1" i="0" u="none" strike="noStrike" baseline="0">
                      <a:solidFill>
                        <a:srgbClr val="FFFF99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9CFB-42E8-9954-97AEAAEE32E3}"/>
                </c:ext>
              </c:extLst>
            </c:dLbl>
            <c:dLbl>
              <c:idx val="7"/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400" b="1" i="0" u="none" strike="noStrike" baseline="0">
                      <a:solidFill>
                        <a:srgbClr val="FFFF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633B-4D1D-A15E-9C7A8B129F64}"/>
                </c:ext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600" b="1" i="0" u="none" strike="noStrike" baseline="0">
                    <a:solidFill>
                      <a:srgbClr val="FFFF99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BM)'!$I$177:$I$183</c:f>
              <c:strCache>
                <c:ptCount val="7"/>
                <c:pt idx="0">
                  <c:v>B.D.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Cu (%)</c:v>
                </c:pt>
                <c:pt idx="4">
                  <c:v>RCu (%)</c:v>
                </c:pt>
                <c:pt idx="5">
                  <c:v>Delta Inv.</c:v>
                </c:pt>
                <c:pt idx="6">
                  <c:v>Filtrado Pagable</c:v>
                </c:pt>
              </c:strCache>
            </c:strRef>
          </c:cat>
          <c:val>
            <c:numRef>
              <c:f>'Explicacion Cueq (Con BM)'!$L$177:$L$183</c:f>
              <c:numCache>
                <c:formatCode>0.00</c:formatCode>
                <c:ptCount val="7"/>
                <c:pt idx="0">
                  <c:v>22.06213578443289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21.245925024226782</c:v>
                </c:pt>
                <c:pt idx="6">
                  <c:v>21.245925024226782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CFB-42E8-9954-97AEAAEE32E3}"/>
            </c:ext>
          </c:extLst>
        </c:ser>
        <c:ser>
          <c:idx val="1"/>
          <c:order val="1"/>
          <c:spPr>
            <a:gradFill rotWithShape="0">
              <a:gsLst>
                <a:gs pos="0">
                  <a:srgbClr val="00FF00"/>
                </a:gs>
                <a:gs pos="100000">
                  <a:srgbClr val="00FF00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gradFill rotWithShape="0">
                <a:gsLst>
                  <a:gs pos="0">
                    <a:srgbClr val="0076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76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CFB-42E8-9954-97AEAAEE32E3}"/>
              </c:ext>
            </c:extLst>
          </c:dPt>
          <c:dPt>
            <c:idx val="2"/>
            <c:invertIfNegative val="0"/>
            <c:bubble3D val="0"/>
            <c:spPr>
              <a:gradFill rotWithShape="0">
                <a:gsLst>
                  <a:gs pos="0">
                    <a:srgbClr val="760000">
                      <a:gamma/>
                      <a:shade val="46275"/>
                      <a:invGamma/>
                    </a:srgbClr>
                  </a:gs>
                  <a:gs pos="50000">
                    <a:srgbClr val="FF0000"/>
                  </a:gs>
                  <a:gs pos="100000">
                    <a:srgbClr val="7600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CFB-42E8-9954-97AEAAEE32E3}"/>
              </c:ext>
            </c:extLst>
          </c:dPt>
          <c:dPt>
            <c:idx val="3"/>
            <c:invertIfNegative val="0"/>
            <c:bubble3D val="0"/>
            <c:spPr>
              <a:gradFill rotWithShape="0">
                <a:gsLst>
                  <a:gs pos="0">
                    <a:srgbClr val="0076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76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9CFB-42E8-9954-97AEAAEE32E3}"/>
              </c:ext>
            </c:extLst>
          </c:dPt>
          <c:dPt>
            <c:idx val="4"/>
            <c:invertIfNegative val="0"/>
            <c:bubble3D val="0"/>
            <c:spPr>
              <a:gradFill rotWithShape="0">
                <a:gsLst>
                  <a:gs pos="0">
                    <a:srgbClr val="760000">
                      <a:gamma/>
                      <a:shade val="46275"/>
                      <a:invGamma/>
                    </a:srgbClr>
                  </a:gs>
                  <a:gs pos="50000">
                    <a:srgbClr val="FF0000"/>
                  </a:gs>
                  <a:gs pos="100000">
                    <a:srgbClr val="7600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9CFB-42E8-9954-97AEAAEE32E3}"/>
              </c:ext>
            </c:extLst>
          </c:dPt>
          <c:dPt>
            <c:idx val="5"/>
            <c:invertIfNegative val="0"/>
            <c:bubble3D val="0"/>
            <c:spPr>
              <a:gradFill rotWithShape="0">
                <a:gsLst>
                  <a:gs pos="0">
                    <a:srgbClr val="0076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76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9CFB-42E8-9954-97AEAAEE32E3}"/>
              </c:ext>
            </c:extLst>
          </c:dPt>
          <c:dPt>
            <c:idx val="6"/>
            <c:invertIfNegative val="0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9CFB-42E8-9954-97AEAAEE32E3}"/>
              </c:ext>
            </c:extLst>
          </c:dPt>
          <c:dLbls>
            <c:dLbl>
              <c:idx val="1"/>
              <c:layout>
                <c:manualLayout>
                  <c:x val="6.120078773692474E-3"/>
                  <c:y val="-0.1000626698791136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CFB-42E8-9954-97AEAAEE32E3}"/>
                </c:ext>
              </c:extLst>
            </c:dLbl>
            <c:dLbl>
              <c:idx val="2"/>
              <c:layout>
                <c:manualLayout>
                  <c:x val="3.7509918943564066E-3"/>
                  <c:y val="-0.1497409294160922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CFB-42E8-9954-97AEAAEE32E3}"/>
                </c:ext>
              </c:extLst>
            </c:dLbl>
            <c:dLbl>
              <c:idx val="3"/>
              <c:layout>
                <c:manualLayout>
                  <c:x val="4.6986599719330323E-3"/>
                  <c:y val="-7.630822999685342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CFB-42E8-9954-97AEAAEE32E3}"/>
                </c:ext>
              </c:extLst>
            </c:dLbl>
            <c:dLbl>
              <c:idx val="4"/>
              <c:layout>
                <c:manualLayout>
                  <c:x val="3.9879505710535062E-3"/>
                  <c:y val="-7.283029731557280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CFB-42E8-9954-97AEAAEE32E3}"/>
                </c:ext>
              </c:extLst>
            </c:dLbl>
            <c:dLbl>
              <c:idx val="5"/>
              <c:layout>
                <c:manualLayout>
                  <c:x val="4.935618648630298E-3"/>
                  <c:y val="-9.858210283585629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9CFB-42E8-9954-97AEAAEE32E3}"/>
                </c:ext>
              </c:extLst>
            </c:dLbl>
            <c:dLbl>
              <c:idx val="6"/>
              <c:layout>
                <c:manualLayout>
                  <c:x val="-8.1330875341544949E-4"/>
                  <c:y val="-6.376609900506624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9CFB-42E8-9954-97AEAAEE32E3}"/>
                </c:ext>
              </c:extLst>
            </c:dLbl>
            <c:dLbl>
              <c:idx val="7"/>
              <c:layout>
                <c:manualLayout>
                  <c:x val="7.2130680682793498E-4"/>
                  <c:y val="0.1099365750528541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75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9CFB-42E8-9954-97AEAAEE32E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4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BM)'!$I$177:$I$183</c:f>
              <c:strCache>
                <c:ptCount val="7"/>
                <c:pt idx="0">
                  <c:v>B.D.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Cu (%)</c:v>
                </c:pt>
                <c:pt idx="4">
                  <c:v>RCu (%)</c:v>
                </c:pt>
                <c:pt idx="5">
                  <c:v>Delta Inv.</c:v>
                </c:pt>
                <c:pt idx="6">
                  <c:v>Filtrado Pagable</c:v>
                </c:pt>
              </c:strCache>
            </c:strRef>
          </c:cat>
          <c:val>
            <c:numRef>
              <c:f>'Explicacion Cueq (Con BM)'!$M$177:$M$183</c:f>
              <c:numCache>
                <c:formatCode>0.00</c:formatCode>
                <c:ptCount val="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CFB-42E8-9954-97AEAAEE3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824291328"/>
        <c:axId val="823937856"/>
      </c:barChart>
      <c:catAx>
        <c:axId val="82429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239378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23937856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ja-JP"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_tradnl" altLang="en-US"/>
                  <a:t>Cu Fino Pagable (ktons)</a:t>
                </a:r>
              </a:p>
            </c:rich>
          </c:tx>
          <c:layout>
            <c:manualLayout>
              <c:xMode val="edge"/>
              <c:yMode val="edge"/>
              <c:x val="2.1897859782452567E-2"/>
              <c:y val="5.7576020388755755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2429132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396711521534887"/>
          <c:y val="5.2001668311624435E-2"/>
          <c:w val="0.7727386387276548"/>
          <c:h val="0.73957928265421424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 rotWithShape="0">
                <a:gsLst>
                  <a:gs pos="0">
                    <a:srgbClr val="000076">
                      <a:gamma/>
                      <a:shade val="46275"/>
                      <a:invGamma/>
                    </a:srgbClr>
                  </a:gs>
                  <a:gs pos="50000">
                    <a:srgbClr val="0000FF"/>
                  </a:gs>
                  <a:gs pos="100000">
                    <a:srgbClr val="000076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152-48B5-91D4-A976AED69CF2}"/>
              </c:ext>
            </c:extLst>
          </c:dPt>
          <c:dPt>
            <c:idx val="1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5152-48B5-91D4-A976AED69CF2}"/>
              </c:ext>
            </c:extLst>
          </c:dPt>
          <c:dPt>
            <c:idx val="2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5152-48B5-91D4-A976AED69CF2}"/>
              </c:ext>
            </c:extLst>
          </c:dPt>
          <c:dPt>
            <c:idx val="3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5152-48B5-91D4-A976AED69CF2}"/>
              </c:ext>
            </c:extLst>
          </c:dPt>
          <c:dPt>
            <c:idx val="4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5152-48B5-91D4-A976AED69CF2}"/>
              </c:ext>
            </c:extLst>
          </c:dPt>
          <c:dPt>
            <c:idx val="5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5152-48B5-91D4-A976AED69CF2}"/>
              </c:ext>
            </c:extLst>
          </c:dPt>
          <c:dPt>
            <c:idx val="6"/>
            <c:invertIfNegative val="0"/>
            <c:bubble3D val="0"/>
            <c:spPr>
              <a:gradFill rotWithShape="0">
                <a:gsLst>
                  <a:gs pos="0">
                    <a:srgbClr val="000082">
                      <a:gamma/>
                      <a:shade val="50980"/>
                      <a:invGamma/>
                    </a:srgbClr>
                  </a:gs>
                  <a:gs pos="50000">
                    <a:srgbClr val="0000FF"/>
                  </a:gs>
                  <a:gs pos="100000">
                    <a:srgbClr val="000082">
                      <a:gamma/>
                      <a:shade val="50980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5152-48B5-91D4-A976AED69CF2}"/>
              </c:ext>
            </c:extLst>
          </c:dPt>
          <c:dLbls>
            <c:dLbl>
              <c:idx val="0"/>
              <c:layout>
                <c:manualLayout>
                  <c:x val="4.1541031147330355E-2"/>
                  <c:y val="-4.4805070342935731E-3"/>
                </c:manualLayout>
              </c:layout>
              <c:numFmt formatCode="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600" b="1" i="0" u="none" strike="noStrike" baseline="0">
                      <a:solidFill>
                        <a:srgbClr val="FFFF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152-48B5-91D4-A976AED69CF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152-48B5-91D4-A976AED69CF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152-48B5-91D4-A976AED69CF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152-48B5-91D4-A976AED69CF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152-48B5-91D4-A976AED69CF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152-48B5-91D4-A976AED69CF2}"/>
                </c:ext>
              </c:extLst>
            </c:dLbl>
            <c:dLbl>
              <c:idx val="6"/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600" b="1" i="0" u="none" strike="noStrike" baseline="0">
                      <a:solidFill>
                        <a:srgbClr val="FFFF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5152-48B5-91D4-A976AED69CF2}"/>
                </c:ext>
              </c:extLst>
            </c:dLbl>
            <c:dLbl>
              <c:idx val="7"/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400" b="1" i="0" u="none" strike="noStrike" baseline="0">
                      <a:solidFill>
                        <a:srgbClr val="FFFF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9F15-4A51-9989-6FD85135B6E6}"/>
                </c:ext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600" b="1" i="0" u="none" strike="noStrike" baseline="0">
                    <a:solidFill>
                      <a:srgbClr val="FFFF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BM)'!$S$177:$S$183</c:f>
              <c:strCache>
                <c:ptCount val="7"/>
                <c:pt idx="0">
                  <c:v>B.D.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Mo (%)</c:v>
                </c:pt>
                <c:pt idx="4">
                  <c:v>RMo (%)</c:v>
                </c:pt>
                <c:pt idx="5">
                  <c:v>Delta Inv.</c:v>
                </c:pt>
                <c:pt idx="6">
                  <c:v>Envasado Pagable</c:v>
                </c:pt>
              </c:strCache>
            </c:strRef>
          </c:cat>
          <c:val>
            <c:numRef>
              <c:f>'Explicacion Cueq (Con BM)'!$V$177:$V$183</c:f>
              <c:numCache>
                <c:formatCode>0.000</c:formatCode>
                <c:ptCount val="7"/>
                <c:pt idx="0">
                  <c:v>0.49130427394057041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0.49130427394057041</c:v>
                </c:pt>
                <c:pt idx="6">
                  <c:v>0.49130427394057041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152-48B5-91D4-A976AED69CF2}"/>
            </c:ext>
          </c:extLst>
        </c:ser>
        <c:ser>
          <c:idx val="1"/>
          <c:order val="1"/>
          <c:spPr>
            <a:gradFill rotWithShape="0">
              <a:gsLst>
                <a:gs pos="0">
                  <a:srgbClr val="00FF00"/>
                </a:gs>
                <a:gs pos="100000">
                  <a:srgbClr val="00FF00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gradFill rotWithShape="0">
                <a:gsLst>
                  <a:gs pos="0">
                    <a:srgbClr val="760000">
                      <a:gamma/>
                      <a:shade val="46275"/>
                      <a:invGamma/>
                    </a:srgbClr>
                  </a:gs>
                  <a:gs pos="50000">
                    <a:srgbClr val="FF0000"/>
                  </a:gs>
                  <a:gs pos="100000">
                    <a:srgbClr val="7600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5152-48B5-91D4-A976AED69CF2}"/>
              </c:ext>
            </c:extLst>
          </c:dPt>
          <c:dPt>
            <c:idx val="2"/>
            <c:invertIfNegative val="0"/>
            <c:bubble3D val="0"/>
            <c:spPr>
              <a:gradFill rotWithShape="0">
                <a:gsLst>
                  <a:gs pos="0">
                    <a:srgbClr val="760000">
                      <a:gamma/>
                      <a:shade val="46275"/>
                      <a:invGamma/>
                    </a:srgbClr>
                  </a:gs>
                  <a:gs pos="50000">
                    <a:srgbClr val="FF0000"/>
                  </a:gs>
                  <a:gs pos="100000">
                    <a:srgbClr val="7600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5152-48B5-91D4-A976AED69CF2}"/>
              </c:ext>
            </c:extLst>
          </c:dPt>
          <c:dPt>
            <c:idx val="3"/>
            <c:invertIfNegative val="0"/>
            <c:bubble3D val="0"/>
            <c:spPr>
              <a:gradFill rotWithShape="0">
                <a:gsLst>
                  <a:gs pos="0">
                    <a:srgbClr val="760000">
                      <a:gamma/>
                      <a:shade val="46275"/>
                      <a:invGamma/>
                    </a:srgbClr>
                  </a:gs>
                  <a:gs pos="50000">
                    <a:srgbClr val="FF0000"/>
                  </a:gs>
                  <a:gs pos="100000">
                    <a:srgbClr val="7600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5152-48B5-91D4-A976AED69CF2}"/>
              </c:ext>
            </c:extLst>
          </c:dPt>
          <c:dPt>
            <c:idx val="4"/>
            <c:invertIfNegative val="0"/>
            <c:bubble3D val="0"/>
            <c:spPr>
              <a:gradFill rotWithShape="0">
                <a:gsLst>
                  <a:gs pos="0">
                    <a:srgbClr val="0076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76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5152-48B5-91D4-A976AED69CF2}"/>
              </c:ext>
            </c:extLst>
          </c:dPt>
          <c:dPt>
            <c:idx val="5"/>
            <c:invertIfNegative val="1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5152-48B5-91D4-A976AED69CF2}"/>
              </c:ext>
            </c:extLst>
          </c:dPt>
          <c:dPt>
            <c:idx val="6"/>
            <c:invertIfNegative val="0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5152-48B5-91D4-A976AED69CF2}"/>
              </c:ext>
            </c:extLst>
          </c:dPt>
          <c:dLbls>
            <c:dLbl>
              <c:idx val="1"/>
              <c:layout>
                <c:manualLayout>
                  <c:x val="3.5448672062845334E-2"/>
                  <c:y val="-0.1145950813535946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152-48B5-91D4-A976AED69CF2}"/>
                </c:ext>
              </c:extLst>
            </c:dLbl>
            <c:dLbl>
              <c:idx val="2"/>
              <c:layout>
                <c:manualLayout>
                  <c:x val="0.15231686948222387"/>
                  <c:y val="-4.048709511293154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152-48B5-91D4-A976AED69CF2}"/>
                </c:ext>
              </c:extLst>
            </c:dLbl>
            <c:dLbl>
              <c:idx val="3"/>
              <c:layout>
                <c:manualLayout>
                  <c:x val="-8.3961969788741389E-2"/>
                  <c:y val="-1.356195747046972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52-48B5-91D4-A976AED69CF2}"/>
                </c:ext>
              </c:extLst>
            </c:dLbl>
            <c:dLbl>
              <c:idx val="4"/>
              <c:layout>
                <c:manualLayout>
                  <c:x val="2.591303709413955E-2"/>
                  <c:y val="1.457728022685892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152-48B5-91D4-A976AED69CF2}"/>
                </c:ext>
              </c:extLst>
            </c:dLbl>
            <c:dLbl>
              <c:idx val="5"/>
              <c:layout>
                <c:manualLayout>
                  <c:x val="3.2641374373657925E-2"/>
                  <c:y val="-0.1552982314403833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152-48B5-91D4-A976AED69CF2}"/>
                </c:ext>
              </c:extLst>
            </c:dLbl>
            <c:dLbl>
              <c:idx val="6"/>
              <c:layout>
                <c:manualLayout>
                  <c:x val="-8.1330875341544949E-4"/>
                  <c:y val="-6.376609900506624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152-48B5-91D4-A976AED69CF2}"/>
                </c:ext>
              </c:extLst>
            </c:dLbl>
            <c:dLbl>
              <c:idx val="7"/>
              <c:layout>
                <c:manualLayout>
                  <c:x val="7.2130680682793498E-4"/>
                  <c:y val="0.1099365750528541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75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152-48B5-91D4-A976AED69CF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4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BM)'!$S$177:$S$183</c:f>
              <c:strCache>
                <c:ptCount val="7"/>
                <c:pt idx="0">
                  <c:v>B.D.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Mo (%)</c:v>
                </c:pt>
                <c:pt idx="4">
                  <c:v>RMo (%)</c:v>
                </c:pt>
                <c:pt idx="5">
                  <c:v>Delta Inv.</c:v>
                </c:pt>
                <c:pt idx="6">
                  <c:v>Envasado Pagable</c:v>
                </c:pt>
              </c:strCache>
            </c:strRef>
          </c:cat>
          <c:val>
            <c:numRef>
              <c:f>'Explicacion Cueq (Con BM)'!$W$177:$W$183</c:f>
              <c:numCache>
                <c:formatCode>0.00</c:formatCode>
                <c:ptCount val="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152-48B5-91D4-A976AED69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824292864"/>
        <c:axId val="823939584"/>
      </c:barChart>
      <c:catAx>
        <c:axId val="824292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239395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23939584"/>
        <c:scaling>
          <c:orientation val="minMax"/>
          <c:max val="1.2"/>
          <c:min val="0.60000000000000009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ja-JP"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_tradnl" altLang="en-US"/>
                  <a:t>Mo Fino Pagable (ktons)</a:t>
                </a:r>
              </a:p>
            </c:rich>
          </c:tx>
          <c:layout>
            <c:manualLayout>
              <c:xMode val="edge"/>
              <c:yMode val="edge"/>
              <c:x val="4.72027972027972E-2"/>
              <c:y val="0.1370265451512438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24292864"/>
        <c:crosses val="autoZero"/>
        <c:crossBetween val="between"/>
        <c:majorUnit val="0.2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930692776054731"/>
          <c:y val="0.15816326530612249"/>
          <c:w val="0.73310287341488312"/>
          <c:h val="0.62755102040816335"/>
        </c:manualLayout>
      </c:layout>
      <c:barChart>
        <c:barDir val="col"/>
        <c:grouping val="stacked"/>
        <c:varyColors val="0"/>
        <c:ser>
          <c:idx val="0"/>
          <c:order val="0"/>
          <c:spPr>
            <a:gradFill rotWithShape="0">
              <a:gsLst>
                <a:gs pos="0">
                  <a:srgbClr val="0000FF">
                    <a:gamma/>
                    <a:shade val="46275"/>
                    <a:invGamma/>
                  </a:srgbClr>
                </a:gs>
                <a:gs pos="50000">
                  <a:srgbClr val="0000FF"/>
                </a:gs>
                <a:gs pos="100000">
                  <a:srgbClr val="0000FF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175E-4945-8AFF-F3D8055371FF}"/>
              </c:ext>
            </c:extLst>
          </c:dPt>
          <c:dPt>
            <c:idx val="2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175E-4945-8AFF-F3D8055371FF}"/>
              </c:ext>
            </c:extLst>
          </c:dPt>
          <c:dPt>
            <c:idx val="3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175E-4945-8AFF-F3D8055371FF}"/>
              </c:ext>
            </c:extLst>
          </c:dPt>
          <c:dPt>
            <c:idx val="4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175E-4945-8AFF-F3D8055371FF}"/>
              </c:ext>
            </c:extLst>
          </c:dPt>
          <c:dPt>
            <c:idx val="5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175E-4945-8AFF-F3D8055371FF}"/>
              </c:ext>
            </c:extLst>
          </c:dPt>
          <c:dPt>
            <c:idx val="6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175E-4945-8AFF-F3D8055371FF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5E-4945-8AFF-F3D8055371F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5E-4945-8AFF-F3D8055371F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75E-4945-8AFF-F3D8055371F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75E-4945-8AFF-F3D8055371F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75E-4945-8AFF-F3D8055371F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75E-4945-8AFF-F3D8055371FF}"/>
                </c:ext>
              </c:extLst>
            </c:dLbl>
            <c:dLbl>
              <c:idx val="7"/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200" b="1" i="0" u="none" strike="noStrike" baseline="0">
                      <a:solidFill>
                        <a:srgbClr val="FFFF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20DD-4781-9C22-9F7BC3BD564E}"/>
                </c:ext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200" b="1" i="0" u="none" strike="noStrike" baseline="0">
                    <a:solidFill>
                      <a:srgbClr val="FFFF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BM)'!$O$58:$O$65</c:f>
              <c:strCache>
                <c:ptCount val="8"/>
                <c:pt idx="0">
                  <c:v>Frcst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Cu (%)</c:v>
                </c:pt>
                <c:pt idx="4">
                  <c:v>Ley Mo (ppm)</c:v>
                </c:pt>
                <c:pt idx="5">
                  <c:v>RCu (%)</c:v>
                </c:pt>
                <c:pt idx="6">
                  <c:v>RMo (%)</c:v>
                </c:pt>
                <c:pt idx="7">
                  <c:v>Real (Kton)</c:v>
                </c:pt>
              </c:strCache>
            </c:strRef>
          </c:cat>
          <c:val>
            <c:numRef>
              <c:f>'Explicacion Cueq (Con BM)'!$P$58:$P$65</c:f>
              <c:numCache>
                <c:formatCode>#,##0.00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75E-4945-8AFF-F3D8055371FF}"/>
            </c:ext>
          </c:extLst>
        </c:ser>
        <c:ser>
          <c:idx val="1"/>
          <c:order val="1"/>
          <c:spPr>
            <a:gradFill rotWithShape="0">
              <a:gsLst>
                <a:gs pos="0">
                  <a:srgbClr val="00FF00"/>
                </a:gs>
                <a:gs pos="100000">
                  <a:srgbClr val="00FF00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gradFill rotWithShape="0">
                <a:gsLst>
                  <a:gs pos="0">
                    <a:srgbClr val="0076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76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175E-4945-8AFF-F3D8055371FF}"/>
              </c:ext>
            </c:extLst>
          </c:dPt>
          <c:dPt>
            <c:idx val="2"/>
            <c:invertIfNegative val="0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75E-4945-8AFF-F3D8055371FF}"/>
              </c:ext>
            </c:extLst>
          </c:dPt>
          <c:dPt>
            <c:idx val="3"/>
            <c:invertIfNegative val="0"/>
            <c:bubble3D val="0"/>
            <c:spPr>
              <a:gradFill rotWithShape="0">
                <a:gsLst>
                  <a:gs pos="0">
                    <a:srgbClr val="FF0000">
                      <a:gamma/>
                      <a:shade val="46275"/>
                      <a:invGamma/>
                    </a:srgbClr>
                  </a:gs>
                  <a:gs pos="50000">
                    <a:srgbClr val="FF0000"/>
                  </a:gs>
                  <a:gs pos="100000">
                    <a:srgbClr val="FF00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175E-4945-8AFF-F3D8055371FF}"/>
              </c:ext>
            </c:extLst>
          </c:dPt>
          <c:dPt>
            <c:idx val="4"/>
            <c:invertIfNegative val="0"/>
            <c:bubble3D val="0"/>
            <c:spPr>
              <a:gradFill rotWithShape="0">
                <a:gsLst>
                  <a:gs pos="0">
                    <a:srgbClr val="760000">
                      <a:gamma/>
                      <a:shade val="46275"/>
                      <a:invGamma/>
                    </a:srgbClr>
                  </a:gs>
                  <a:gs pos="50000">
                    <a:srgbClr val="FF0000"/>
                  </a:gs>
                  <a:gs pos="100000">
                    <a:srgbClr val="7600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175E-4945-8AFF-F3D8055371FF}"/>
              </c:ext>
            </c:extLst>
          </c:dPt>
          <c:dPt>
            <c:idx val="5"/>
            <c:invertIfNegative val="1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175E-4945-8AFF-F3D8055371FF}"/>
              </c:ext>
            </c:extLst>
          </c:dPt>
          <c:dPt>
            <c:idx val="6"/>
            <c:invertIfNegative val="0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175E-4945-8AFF-F3D8055371FF}"/>
              </c:ext>
            </c:extLst>
          </c:dPt>
          <c:dLbls>
            <c:dLbl>
              <c:idx val="1"/>
              <c:layout>
                <c:manualLayout>
                  <c:x val="-5.8503217919677686E-3"/>
                  <c:y val="-8.602407457688485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75E-4945-8AFF-F3D8055371FF}"/>
                </c:ext>
              </c:extLst>
            </c:dLbl>
            <c:dLbl>
              <c:idx val="2"/>
              <c:layout>
                <c:manualLayout>
                  <c:x val="3.9598389242440522E-3"/>
                  <c:y val="-0.2107830155182857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75E-4945-8AFF-F3D8055371FF}"/>
                </c:ext>
              </c:extLst>
            </c:dLbl>
            <c:dLbl>
              <c:idx val="3"/>
              <c:layout>
                <c:manualLayout>
                  <c:x val="-7.1333549059788756E-4"/>
                  <c:y val="-0.186625730139170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75E-4945-8AFF-F3D8055371FF}"/>
                </c:ext>
              </c:extLst>
            </c:dLbl>
            <c:dLbl>
              <c:idx val="4"/>
              <c:layout>
                <c:manualLayout>
                  <c:x val="2.6755474058893659E-3"/>
                  <c:y val="-0.107091905289027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75E-4945-8AFF-F3D8055371FF}"/>
                </c:ext>
              </c:extLst>
            </c:dLbl>
            <c:dLbl>
              <c:idx val="5"/>
              <c:layout>
                <c:manualLayout>
                  <c:x val="1.1773271491748131E-3"/>
                  <c:y val="-0.1247497511086976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75E-4945-8AFF-F3D8055371FF}"/>
                </c:ext>
              </c:extLst>
            </c:dLbl>
            <c:dLbl>
              <c:idx val="6"/>
              <c:layout>
                <c:manualLayout>
                  <c:x val="-1.3788251470222437E-3"/>
                  <c:y val="-6.656666969806060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175E-4945-8AFF-F3D8055371FF}"/>
                </c:ext>
              </c:extLst>
            </c:dLbl>
            <c:dLbl>
              <c:idx val="7"/>
              <c:layout>
                <c:manualLayout>
                  <c:x val="9.8170323399569565E-4"/>
                  <c:y val="0.448718885047085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75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175E-4945-8AFF-F3D8055371FF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BM)'!$O$58:$O$65</c:f>
              <c:strCache>
                <c:ptCount val="8"/>
                <c:pt idx="0">
                  <c:v>Frcst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Cu (%)</c:v>
                </c:pt>
                <c:pt idx="4">
                  <c:v>Ley Mo (ppm)</c:v>
                </c:pt>
                <c:pt idx="5">
                  <c:v>RCu (%)</c:v>
                </c:pt>
                <c:pt idx="6">
                  <c:v>RMo (%)</c:v>
                </c:pt>
                <c:pt idx="7">
                  <c:v>Real (Kton)</c:v>
                </c:pt>
              </c:strCache>
            </c:strRef>
          </c:cat>
          <c:val>
            <c:numRef>
              <c:f>'Explicacion Cueq (Con BM)'!$Q$58:$Q$65</c:f>
              <c:numCache>
                <c:formatCode>#,##0.00</c:formatCode>
                <c:ptCount val="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75E-4945-8AFF-F3D805537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824294912"/>
        <c:axId val="823941312"/>
      </c:barChart>
      <c:catAx>
        <c:axId val="824294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239413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23941312"/>
        <c:scaling>
          <c:orientation val="minMax"/>
          <c:min val="34.5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ja-JP"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_tradnl" altLang="en-US"/>
                  <a:t>Cu Fino Eq. Producido (ktons)</a:t>
                </a:r>
              </a:p>
            </c:rich>
          </c:tx>
          <c:layout>
            <c:manualLayout>
              <c:xMode val="edge"/>
              <c:yMode val="edge"/>
              <c:x val="8.561616106478891E-3"/>
              <c:y val="0.1432361133429749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2429491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987685950288673"/>
          <c:y val="0.1417527557093112"/>
          <c:w val="0.66203803475542966"/>
          <c:h val="0.53092850320214757"/>
        </c:manualLayout>
      </c:layout>
      <c:barChart>
        <c:barDir val="col"/>
        <c:grouping val="stacked"/>
        <c:varyColors val="0"/>
        <c:ser>
          <c:idx val="0"/>
          <c:order val="0"/>
          <c:spPr>
            <a:gradFill rotWithShape="0">
              <a:gsLst>
                <a:gs pos="0">
                  <a:srgbClr val="0000FF">
                    <a:gamma/>
                    <a:shade val="46275"/>
                    <a:invGamma/>
                  </a:srgbClr>
                </a:gs>
                <a:gs pos="50000">
                  <a:srgbClr val="0000FF"/>
                </a:gs>
                <a:gs pos="100000">
                  <a:srgbClr val="0000FF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CD24-4125-97AA-B95C3EDAEF9A}"/>
              </c:ext>
            </c:extLst>
          </c:dPt>
          <c:dPt>
            <c:idx val="2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CD24-4125-97AA-B95C3EDAEF9A}"/>
              </c:ext>
            </c:extLst>
          </c:dPt>
          <c:dPt>
            <c:idx val="3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CD24-4125-97AA-B95C3EDAEF9A}"/>
              </c:ext>
            </c:extLst>
          </c:dPt>
          <c:dPt>
            <c:idx val="4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CD24-4125-97AA-B95C3EDAEF9A}"/>
              </c:ext>
            </c:extLst>
          </c:dPt>
          <c:dPt>
            <c:idx val="5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CD24-4125-97AA-B95C3EDAEF9A}"/>
              </c:ext>
            </c:extLst>
          </c:dPt>
          <c:dPt>
            <c:idx val="6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CD24-4125-97AA-B95C3EDAEF9A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24-4125-97AA-B95C3EDAEF9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24-4125-97AA-B95C3EDAEF9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24-4125-97AA-B95C3EDAEF9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D24-4125-97AA-B95C3EDAEF9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D24-4125-97AA-B95C3EDAEF9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D24-4125-97AA-B95C3EDAEF9A}"/>
                </c:ext>
              </c:extLst>
            </c:dLbl>
            <c:dLbl>
              <c:idx val="7"/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200" b="1" i="0" u="none" strike="noStrike" baseline="0">
                      <a:solidFill>
                        <a:srgbClr val="FFFF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8B27-4EF1-93FE-2A12F4656866}"/>
                </c:ext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200" b="1" i="0" u="none" strike="noStrike" baseline="0">
                    <a:solidFill>
                      <a:srgbClr val="FFFF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BM)'!$O$112:$O$119</c:f>
              <c:strCache>
                <c:ptCount val="8"/>
                <c:pt idx="0">
                  <c:v>Frcst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Cu (%)</c:v>
                </c:pt>
                <c:pt idx="4">
                  <c:v>Ley Mo (ppm)</c:v>
                </c:pt>
                <c:pt idx="5">
                  <c:v>RCu (%)</c:v>
                </c:pt>
                <c:pt idx="6">
                  <c:v>RMo (%)</c:v>
                </c:pt>
                <c:pt idx="7">
                  <c:v>Real (Kton)</c:v>
                </c:pt>
              </c:strCache>
            </c:strRef>
          </c:cat>
          <c:val>
            <c:numRef>
              <c:f>'Explicacion Cueq (Con BM)'!$P$112:$P$119</c:f>
              <c:numCache>
                <c:formatCode>#,##0.00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9.8021562064872256</c:v>
                </c:pt>
                <c:pt idx="3">
                  <c:v>17.858966279723937</c:v>
                </c:pt>
                <c:pt idx="4">
                  <c:v>27.924014688214289</c:v>
                </c:pt>
                <c:pt idx="5">
                  <c:v>39.46628588258011</c:v>
                </c:pt>
                <c:pt idx="6">
                  <c:v>52.157325474971572</c:v>
                </c:pt>
                <c:pt idx="7">
                  <c:v>63.869915911720632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D24-4125-97AA-B95C3EDAEF9A}"/>
            </c:ext>
          </c:extLst>
        </c:ser>
        <c:ser>
          <c:idx val="1"/>
          <c:order val="1"/>
          <c:spPr>
            <a:gradFill rotWithShape="0">
              <a:gsLst>
                <a:gs pos="0">
                  <a:srgbClr val="00FF00"/>
                </a:gs>
                <a:gs pos="100000">
                  <a:srgbClr val="00FF00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D24-4125-97AA-B95C3EDAEF9A}"/>
              </c:ext>
            </c:extLst>
          </c:dPt>
          <c:dPt>
            <c:idx val="2"/>
            <c:invertIfNegative val="0"/>
            <c:bubble3D val="0"/>
            <c:spPr>
              <a:gradFill rotWithShape="0">
                <a:gsLst>
                  <a:gs pos="0">
                    <a:srgbClr val="0076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76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D24-4125-97AA-B95C3EDAEF9A}"/>
              </c:ext>
            </c:extLst>
          </c:dPt>
          <c:dPt>
            <c:idx val="3"/>
            <c:invertIfNegative val="0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D24-4125-97AA-B95C3EDAEF9A}"/>
              </c:ext>
            </c:extLst>
          </c:dPt>
          <c:dPt>
            <c:idx val="4"/>
            <c:invertIfNegative val="0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D24-4125-97AA-B95C3EDAEF9A}"/>
              </c:ext>
            </c:extLst>
          </c:dPt>
          <c:dPt>
            <c:idx val="5"/>
            <c:invertIfNegative val="1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CD24-4125-97AA-B95C3EDAEF9A}"/>
              </c:ext>
            </c:extLst>
          </c:dPt>
          <c:dPt>
            <c:idx val="6"/>
            <c:invertIfNegative val="0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CD24-4125-97AA-B95C3EDAEF9A}"/>
              </c:ext>
            </c:extLst>
          </c:dPt>
          <c:dLbls>
            <c:dLbl>
              <c:idx val="1"/>
              <c:layout>
                <c:manualLayout>
                  <c:x val="-5.5603856414132525E-4"/>
                  <c:y val="-8.756670794971563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D24-4125-97AA-B95C3EDAEF9A}"/>
                </c:ext>
              </c:extLst>
            </c:dLbl>
            <c:dLbl>
              <c:idx val="2"/>
              <c:layout>
                <c:manualLayout>
                  <c:x val="3.336023691905029E-3"/>
                  <c:y val="-7.456920204339800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D24-4125-97AA-B95C3EDAEF9A}"/>
                </c:ext>
              </c:extLst>
            </c:dLbl>
            <c:dLbl>
              <c:idx val="3"/>
              <c:layout>
                <c:manualLayout>
                  <c:x val="2.1586510278630696E-3"/>
                  <c:y val="-9.156418125688474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D24-4125-97AA-B95C3EDAEF9A}"/>
                </c:ext>
              </c:extLst>
            </c:dLbl>
            <c:dLbl>
              <c:idx val="4"/>
              <c:layout>
                <c:manualLayout>
                  <c:x val="7.2607180280795346E-3"/>
                  <c:y val="-0.1003003750409512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D24-4125-97AA-B95C3EDAEF9A}"/>
                </c:ext>
              </c:extLst>
            </c:dLbl>
            <c:dLbl>
              <c:idx val="5"/>
              <c:layout>
                <c:manualLayout>
                  <c:x val="9.6480978872067105E-3"/>
                  <c:y val="-7.433455104656415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D24-4125-97AA-B95C3EDAEF9A}"/>
                </c:ext>
              </c:extLst>
            </c:dLbl>
            <c:dLbl>
              <c:idx val="6"/>
              <c:layout>
                <c:manualLayout>
                  <c:x val="3.3359479693679805E-3"/>
                  <c:y val="-5.937668936408014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D24-4125-97AA-B95C3EDAEF9A}"/>
                </c:ext>
              </c:extLst>
            </c:dLbl>
            <c:dLbl>
              <c:idx val="7"/>
              <c:layout>
                <c:manualLayout>
                  <c:x val="7.2130680682793498E-4"/>
                  <c:y val="0.1099365750528541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75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D24-4125-97AA-B95C3EDAEF9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BM)'!$O$112:$O$119</c:f>
              <c:strCache>
                <c:ptCount val="8"/>
                <c:pt idx="0">
                  <c:v>Frcst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Cu (%)</c:v>
                </c:pt>
                <c:pt idx="4">
                  <c:v>Ley Mo (ppm)</c:v>
                </c:pt>
                <c:pt idx="5">
                  <c:v>RCu (%)</c:v>
                </c:pt>
                <c:pt idx="6">
                  <c:v>RMo (%)</c:v>
                </c:pt>
                <c:pt idx="7">
                  <c:v>Real (Kton)</c:v>
                </c:pt>
              </c:strCache>
            </c:strRef>
          </c:cat>
          <c:val>
            <c:numRef>
              <c:f>'Explicacion Cueq (Con BM)'!$Q$112:$Q$119</c:f>
              <c:numCache>
                <c:formatCode>#,##0.00</c:formatCode>
                <c:ptCount val="8"/>
                <c:pt idx="1">
                  <c:v>9.8021562064872256</c:v>
                </c:pt>
                <c:pt idx="2">
                  <c:v>8.0568100732367114</c:v>
                </c:pt>
                <c:pt idx="3">
                  <c:v>10.065048408490352</c:v>
                </c:pt>
                <c:pt idx="4">
                  <c:v>11.542271194365822</c:v>
                </c:pt>
                <c:pt idx="5">
                  <c:v>12.691039592391466</c:v>
                </c:pt>
                <c:pt idx="6">
                  <c:v>11.712590436749061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D24-4125-97AA-B95C3EDAE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824721920"/>
        <c:axId val="824803328"/>
      </c:barChart>
      <c:catAx>
        <c:axId val="82472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248033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24803328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ja-JP"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 altLang="en-US"/>
                  <a:t>Cu Fino Eq. Producido (ktons)</a:t>
                </a:r>
              </a:p>
            </c:rich>
          </c:tx>
          <c:layout>
            <c:manualLayout>
              <c:xMode val="edge"/>
              <c:yMode val="edge"/>
              <c:x val="7.8492271799358408E-3"/>
              <c:y val="0.107416998132965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2472192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884955048696503E-2"/>
          <c:y val="9.658702144990497E-2"/>
          <c:w val="0.90391356347505636"/>
          <c:h val="0.7487531299966814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DA-4AB8-B3A3-8EEF4A725F64}"/>
              </c:ext>
            </c:extLst>
          </c:dPt>
          <c:dPt>
            <c:idx val="1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F4DA-4AB8-B3A3-8EEF4A725F64}"/>
              </c:ext>
            </c:extLst>
          </c:dPt>
          <c:dPt>
            <c:idx val="2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F4DA-4AB8-B3A3-8EEF4A725F64}"/>
              </c:ext>
            </c:extLst>
          </c:dPt>
          <c:dPt>
            <c:idx val="3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F4DA-4AB8-B3A3-8EEF4A725F64}"/>
              </c:ext>
            </c:extLst>
          </c:dPt>
          <c:dPt>
            <c:idx val="4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F4DA-4AB8-B3A3-8EEF4A725F64}"/>
              </c:ext>
            </c:extLst>
          </c:dPt>
          <c:dPt>
            <c:idx val="5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F4DA-4AB8-B3A3-8EEF4A725F64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F4DA-4AB8-B3A3-8EEF4A725F64}"/>
              </c:ext>
            </c:extLst>
          </c:dPt>
          <c:dLbls>
            <c:dLbl>
              <c:idx val="0"/>
              <c:numFmt formatCode="#,##0.00_);[Red]\(#,##0.00\)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400" b="1" i="0" u="none" strike="noStrike" baseline="0">
                      <a:solidFill>
                        <a:sysClr val="windowText" lastClr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4DA-4AB8-B3A3-8EEF4A725F6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4DA-4AB8-B3A3-8EEF4A725F6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4DA-4AB8-B3A3-8EEF4A725F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4DA-4AB8-B3A3-8EEF4A725F6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4DA-4AB8-B3A3-8EEF4A725F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4DA-4AB8-B3A3-8EEF4A725F64}"/>
                </c:ext>
              </c:extLst>
            </c:dLbl>
            <c:dLbl>
              <c:idx val="6"/>
              <c:numFmt formatCode="#,##0.00_);[Red]\(#,##0.00\)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400" b="1" i="0" u="none" strike="noStrike" baseline="0">
                      <a:solidFill>
                        <a:sysClr val="windowText" lastClr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F4DA-4AB8-B3A3-8EEF4A725F64}"/>
                </c:ext>
              </c:extLst>
            </c:dLbl>
            <c:numFmt formatCode="#,##0.0_);[Red]\(#,##0.0\)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400" b="1" i="0" u="none" strike="noStrike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BM)'!$I$177:$I$183</c:f>
              <c:strCache>
                <c:ptCount val="7"/>
                <c:pt idx="0">
                  <c:v>B.D.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Cu (%)</c:v>
                </c:pt>
                <c:pt idx="4">
                  <c:v>RCu (%)</c:v>
                </c:pt>
                <c:pt idx="5">
                  <c:v>Delta Inv.</c:v>
                </c:pt>
                <c:pt idx="6">
                  <c:v>Filtrado Pagable</c:v>
                </c:pt>
              </c:strCache>
            </c:strRef>
          </c:cat>
          <c:val>
            <c:numRef>
              <c:f>'Explicacion Cueq (Con BM)'!$L$177:$L$183</c:f>
              <c:numCache>
                <c:formatCode>0.00</c:formatCode>
                <c:ptCount val="7"/>
                <c:pt idx="0">
                  <c:v>22.06213578443289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21.245925024226782</c:v>
                </c:pt>
                <c:pt idx="6">
                  <c:v>21.245925024226782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4DA-4AB8-B3A3-8EEF4A725F64}"/>
            </c:ext>
          </c:extLst>
        </c:ser>
        <c:ser>
          <c:idx val="1"/>
          <c:order val="1"/>
          <c:spPr>
            <a:gradFill rotWithShape="0">
              <a:gsLst>
                <a:gs pos="0">
                  <a:srgbClr val="00FF00"/>
                </a:gs>
                <a:gs pos="100000">
                  <a:srgbClr val="00FF00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F4DA-4AB8-B3A3-8EEF4A725F64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F4DA-4AB8-B3A3-8EEF4A725F64}"/>
              </c:ext>
            </c:extLst>
          </c:dPt>
          <c:dPt>
            <c:idx val="3"/>
            <c:invertIfNegative val="0"/>
            <c:bubble3D val="0"/>
            <c:spPr>
              <a:solidFill>
                <a:srgbClr val="FD1B03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F4DA-4AB8-B3A3-8EEF4A725F64}"/>
              </c:ext>
            </c:extLst>
          </c:dPt>
          <c:dPt>
            <c:idx val="4"/>
            <c:invertIfNegative val="0"/>
            <c:bubble3D val="0"/>
            <c:spPr>
              <a:solidFill>
                <a:srgbClr val="FD1B03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F4DA-4AB8-B3A3-8EEF4A725F64}"/>
              </c:ext>
            </c:extLst>
          </c:dPt>
          <c:dPt>
            <c:idx val="5"/>
            <c:invertIfNegative val="0"/>
            <c:bubble3D val="0"/>
            <c:spPr>
              <a:solidFill>
                <a:srgbClr val="FD1B03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F4DA-4AB8-B3A3-8EEF4A725F64}"/>
              </c:ext>
            </c:extLst>
          </c:dPt>
          <c:dPt>
            <c:idx val="6"/>
            <c:invertIfNegative val="0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F4DA-4AB8-B3A3-8EEF4A725F64}"/>
              </c:ext>
            </c:extLst>
          </c:dPt>
          <c:dLbls>
            <c:dLbl>
              <c:idx val="1"/>
              <c:layout>
                <c:manualLayout>
                  <c:x val="-5.405816022061383E-4"/>
                  <c:y val="-0.1279505745221857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4DA-4AB8-B3A3-8EEF4A725F64}"/>
                </c:ext>
              </c:extLst>
            </c:dLbl>
            <c:dLbl>
              <c:idx val="2"/>
              <c:layout>
                <c:manualLayout>
                  <c:x val="3.7509918943564066E-3"/>
                  <c:y val="-0.1497409294160922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4DA-4AB8-B3A3-8EEF4A725F64}"/>
                </c:ext>
              </c:extLst>
            </c:dLbl>
            <c:dLbl>
              <c:idx val="3"/>
              <c:layout>
                <c:manualLayout>
                  <c:x val="2.4506866790443014E-3"/>
                  <c:y val="-9.260120679110381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4DA-4AB8-B3A3-8EEF4A725F64}"/>
                </c:ext>
              </c:extLst>
            </c:dLbl>
            <c:dLbl>
              <c:idx val="4"/>
              <c:layout>
                <c:manualLayout>
                  <c:x val="-2.6774349373220731E-3"/>
                  <c:y val="-8.586592298710800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4DA-4AB8-B3A3-8EEF4A725F64}"/>
                </c:ext>
              </c:extLst>
            </c:dLbl>
            <c:dLbl>
              <c:idx val="5"/>
              <c:layout>
                <c:manualLayout>
                  <c:x val="3.6074391129593976E-4"/>
                  <c:y val="-8.183576256789644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4DA-4AB8-B3A3-8EEF4A725F64}"/>
                </c:ext>
              </c:extLst>
            </c:dLbl>
            <c:dLbl>
              <c:idx val="6"/>
              <c:layout>
                <c:manualLayout>
                  <c:x val="-8.1330875341544949E-4"/>
                  <c:y val="-6.376609900506624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4DA-4AB8-B3A3-8EEF4A725F64}"/>
                </c:ext>
              </c:extLst>
            </c:dLbl>
            <c:dLbl>
              <c:idx val="7"/>
              <c:layout>
                <c:manualLayout>
                  <c:x val="7.2130680682793498E-4"/>
                  <c:y val="0.1099365750528541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4DA-4AB8-B3A3-8EEF4A725F6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4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BM)'!$I$177:$I$183</c:f>
              <c:strCache>
                <c:ptCount val="7"/>
                <c:pt idx="0">
                  <c:v>B.D.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Cu (%)</c:v>
                </c:pt>
                <c:pt idx="4">
                  <c:v>RCu (%)</c:v>
                </c:pt>
                <c:pt idx="5">
                  <c:v>Delta Inv.</c:v>
                </c:pt>
                <c:pt idx="6">
                  <c:v>Filtrado Pagable</c:v>
                </c:pt>
              </c:strCache>
            </c:strRef>
          </c:cat>
          <c:val>
            <c:numRef>
              <c:f>'Explicacion Cueq (Con BM)'!$M$177:$M$183</c:f>
              <c:numCache>
                <c:formatCode>0.00</c:formatCode>
                <c:ptCount val="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4DA-4AB8-B3A3-8EEF4A725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824723456"/>
        <c:axId val="824805056"/>
      </c:barChart>
      <c:catAx>
        <c:axId val="82472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248050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24805056"/>
        <c:scaling>
          <c:orientation val="minMax"/>
        </c:scaling>
        <c:delete val="1"/>
        <c:axPos val="l"/>
        <c:numFmt formatCode="#,##0.0_);[Red]\(#,##0.0\)" sourceLinked="0"/>
        <c:majorTickMark val="out"/>
        <c:minorTickMark val="none"/>
        <c:tickLblPos val="nextTo"/>
        <c:crossAx val="8247234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75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CAF-4185-A0F6-111FCC19E1A4}"/>
              </c:ext>
            </c:extLst>
          </c:dPt>
          <c:dPt>
            <c:idx val="1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ECAF-4185-A0F6-111FCC19E1A4}"/>
              </c:ext>
            </c:extLst>
          </c:dPt>
          <c:dPt>
            <c:idx val="2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ECAF-4185-A0F6-111FCC19E1A4}"/>
              </c:ext>
            </c:extLst>
          </c:dPt>
          <c:dPt>
            <c:idx val="3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ECAF-4185-A0F6-111FCC19E1A4}"/>
              </c:ext>
            </c:extLst>
          </c:dPt>
          <c:dPt>
            <c:idx val="4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ECAF-4185-A0F6-111FCC19E1A4}"/>
              </c:ext>
            </c:extLst>
          </c:dPt>
          <c:dPt>
            <c:idx val="5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ECAF-4185-A0F6-111FCC19E1A4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CAF-4185-A0F6-111FCC19E1A4}"/>
              </c:ext>
            </c:extLst>
          </c:dPt>
          <c:dLbls>
            <c:dLbl>
              <c:idx val="0"/>
              <c:numFmt formatCode="#,##0.00_);[Red]\(#,##0.00\)" sourceLinked="0"/>
              <c:spPr/>
              <c:txPr>
                <a:bodyPr/>
                <a:lstStyle/>
                <a:p>
                  <a:pPr>
                    <a:defRPr lang="ja-JP" sz="1400"/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AF-4185-A0F6-111FCC19E1A4}"/>
                </c:ext>
              </c:extLst>
            </c:dLbl>
            <c:dLbl>
              <c:idx val="6"/>
              <c:numFmt formatCode="#,##0.00_);[Red]\(#,##0.00\)" sourceLinked="0"/>
              <c:spPr/>
              <c:txPr>
                <a:bodyPr/>
                <a:lstStyle/>
                <a:p>
                  <a:pPr>
                    <a:defRPr lang="ja-JP" sz="1400"/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CAF-4185-A0F6-111FCC19E1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ja-JP" sz="1400"/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BM)'!$S$177:$S$183</c:f>
              <c:strCache>
                <c:ptCount val="7"/>
                <c:pt idx="0">
                  <c:v>B.D.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Mo (%)</c:v>
                </c:pt>
                <c:pt idx="4">
                  <c:v>RMo (%)</c:v>
                </c:pt>
                <c:pt idx="5">
                  <c:v>Delta Inv.</c:v>
                </c:pt>
                <c:pt idx="6">
                  <c:v>Envasado Pagable</c:v>
                </c:pt>
              </c:strCache>
            </c:strRef>
          </c:cat>
          <c:val>
            <c:numRef>
              <c:f>'Explicacion Cueq (Con BM)'!$V$177:$V$183</c:f>
              <c:numCache>
                <c:formatCode>0.000</c:formatCode>
                <c:ptCount val="7"/>
                <c:pt idx="0">
                  <c:v>0.49130427394057041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0.49130427394057041</c:v>
                </c:pt>
                <c:pt idx="6">
                  <c:v>0.49130427394057041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CAF-4185-A0F6-111FCC19E1A4}"/>
            </c:ext>
          </c:extLst>
        </c:ser>
        <c:ser>
          <c:idx val="1"/>
          <c:order val="1"/>
          <c:spPr>
            <a:gradFill rotWithShape="0">
              <a:gsLst>
                <a:gs pos="0">
                  <a:srgbClr val="00FF00"/>
                </a:gs>
                <a:gs pos="100000">
                  <a:srgbClr val="00FF00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noFill/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ECAF-4185-A0F6-111FCC19E1A4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ECAF-4185-A0F6-111FCC19E1A4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ECAF-4185-A0F6-111FCC19E1A4}"/>
              </c:ext>
            </c:extLst>
          </c:dPt>
          <c:dPt>
            <c:idx val="4"/>
            <c:invertIfNegative val="0"/>
            <c:bubble3D val="0"/>
            <c:spPr>
              <a:solidFill>
                <a:srgbClr val="92D05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ECAF-4185-A0F6-111FCC19E1A4}"/>
              </c:ext>
            </c:extLst>
          </c:dPt>
          <c:dPt>
            <c:idx val="5"/>
            <c:invertIfNegative val="0"/>
            <c:bubble3D val="0"/>
            <c:spPr>
              <a:solidFill>
                <a:srgbClr val="FD1B03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ECAF-4185-A0F6-111FCC19E1A4}"/>
              </c:ext>
            </c:extLst>
          </c:dPt>
          <c:dPt>
            <c:idx val="6"/>
            <c:invertIfNegative val="0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ECAF-4185-A0F6-111FCC19E1A4}"/>
              </c:ext>
            </c:extLst>
          </c:dPt>
          <c:dLbls>
            <c:dLbl>
              <c:idx val="1"/>
              <c:layout>
                <c:manualLayout>
                  <c:x val="2.1118309258183637E-3"/>
                  <c:y val="-0.1131312726405212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CAF-4185-A0F6-111FCC19E1A4}"/>
                </c:ext>
              </c:extLst>
            </c:dLbl>
            <c:dLbl>
              <c:idx val="2"/>
              <c:layout>
                <c:manualLayout>
                  <c:x val="-4.2236618516367655E-3"/>
                  <c:y val="-0.1095959203705049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CAF-4185-A0F6-111FCC19E1A4}"/>
                </c:ext>
              </c:extLst>
            </c:dLbl>
            <c:dLbl>
              <c:idx val="3"/>
              <c:layout>
                <c:manualLayout>
                  <c:x val="0"/>
                  <c:y val="-9.89898635604560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CAF-4185-A0F6-111FCC19E1A4}"/>
                </c:ext>
              </c:extLst>
            </c:dLbl>
            <c:dLbl>
              <c:idx val="4"/>
              <c:layout>
                <c:manualLayout>
                  <c:x val="-2.1118309258182861E-3"/>
                  <c:y val="-6.717169313030946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CAF-4185-A0F6-111FCC19E1A4}"/>
                </c:ext>
              </c:extLst>
            </c:dLbl>
            <c:dLbl>
              <c:idx val="5"/>
              <c:layout>
                <c:manualLayout>
                  <c:x val="-2.1143759294302328E-3"/>
                  <c:y val="-0.183838318040846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CAF-4185-A0F6-111FCC19E1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ja-JP" sz="1400"/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BM)'!$S$177:$S$183</c:f>
              <c:strCache>
                <c:ptCount val="7"/>
                <c:pt idx="0">
                  <c:v>B.D.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Mo (%)</c:v>
                </c:pt>
                <c:pt idx="4">
                  <c:v>RMo (%)</c:v>
                </c:pt>
                <c:pt idx="5">
                  <c:v>Delta Inv.</c:v>
                </c:pt>
                <c:pt idx="6">
                  <c:v>Envasado Pagable</c:v>
                </c:pt>
              </c:strCache>
            </c:strRef>
          </c:cat>
          <c:val>
            <c:numRef>
              <c:f>'Explicacion Cueq (Con BM)'!$W$177:$W$183</c:f>
              <c:numCache>
                <c:formatCode>0.00</c:formatCode>
                <c:ptCount val="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CAF-4185-A0F6-111FCC19E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825249792"/>
        <c:axId val="824806784"/>
      </c:barChart>
      <c:catAx>
        <c:axId val="82524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248067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24806784"/>
        <c:scaling>
          <c:orientation val="minMax"/>
          <c:max val="0.70000000000000007"/>
          <c:min val="0.30000000000000004"/>
        </c:scaling>
        <c:delete val="1"/>
        <c:axPos val="l"/>
        <c:numFmt formatCode="#,##0.00" sourceLinked="0"/>
        <c:majorTickMark val="none"/>
        <c:minorTickMark val="none"/>
        <c:tickLblPos val="nextTo"/>
        <c:crossAx val="825249792"/>
        <c:crosses val="autoZero"/>
        <c:crossBetween val="between"/>
        <c:majorUnit val="0.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75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12C-457A-9ED8-CB21E85F88DA}"/>
              </c:ext>
            </c:extLst>
          </c:dPt>
          <c:dPt>
            <c:idx val="1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A12C-457A-9ED8-CB21E85F88DA}"/>
              </c:ext>
            </c:extLst>
          </c:dPt>
          <c:dPt>
            <c:idx val="2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A12C-457A-9ED8-CB21E85F88DA}"/>
              </c:ext>
            </c:extLst>
          </c:dPt>
          <c:dPt>
            <c:idx val="3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A12C-457A-9ED8-CB21E85F88DA}"/>
              </c:ext>
            </c:extLst>
          </c:dPt>
          <c:dPt>
            <c:idx val="4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A12C-457A-9ED8-CB21E85F88DA}"/>
              </c:ext>
            </c:extLst>
          </c:dPt>
          <c:dPt>
            <c:idx val="5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A12C-457A-9ED8-CB21E85F88DA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12C-457A-9ED8-CB21E85F88DA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2C-457A-9ED8-CB21E85F88DA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12C-457A-9ED8-CB21E85F88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ja-JP" sz="1400"/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BM)'!$I$211:$I$217</c:f>
              <c:strCache>
                <c:ptCount val="7"/>
                <c:pt idx="0">
                  <c:v>B.D.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Cu (%)</c:v>
                </c:pt>
                <c:pt idx="4">
                  <c:v>RCu (%)</c:v>
                </c:pt>
                <c:pt idx="5">
                  <c:v>Delta Inv.</c:v>
                </c:pt>
                <c:pt idx="6">
                  <c:v>Filtrado Pagable</c:v>
                </c:pt>
              </c:strCache>
            </c:strRef>
          </c:cat>
          <c:val>
            <c:numRef>
              <c:f>'Explicacion Cueq (Con BM)'!$L$211:$L$217</c:f>
              <c:numCache>
                <c:formatCode>0.00</c:formatCode>
                <c:ptCount val="7"/>
                <c:pt idx="0">
                  <c:v>65.982630130641184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66.124566055788577</c:v>
                </c:pt>
                <c:pt idx="6">
                  <c:v>66.124566055788577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12C-457A-9ED8-CB21E85F88DA}"/>
            </c:ext>
          </c:extLst>
        </c:ser>
        <c:ser>
          <c:idx val="1"/>
          <c:order val="1"/>
          <c:spPr>
            <a:solidFill>
              <a:srgbClr val="92D050"/>
            </a:solidFill>
            <a:ln w="12700">
              <a:noFill/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FD1B03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A12C-457A-9ED8-CB21E85F88DA}"/>
              </c:ext>
            </c:extLst>
          </c:dPt>
          <c:dPt>
            <c:idx val="2"/>
            <c:invertIfNegative val="0"/>
            <c:bubble3D val="0"/>
            <c:spPr>
              <a:solidFill>
                <a:srgbClr val="FD1B03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A12C-457A-9ED8-CB21E85F88DA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A12C-457A-9ED8-CB21E85F88DA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A12C-457A-9ED8-CB21E85F88DA}"/>
              </c:ext>
            </c:extLst>
          </c:dPt>
          <c:dPt>
            <c:idx val="5"/>
            <c:invertIfNegative val="0"/>
            <c:bubble3D val="0"/>
            <c:spPr>
              <a:solidFill>
                <a:srgbClr val="FD1B03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A12C-457A-9ED8-CB21E85F88DA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A12C-457A-9ED8-CB21E85F88DA}"/>
              </c:ext>
            </c:extLst>
          </c:dPt>
          <c:dLbls>
            <c:dLbl>
              <c:idx val="1"/>
              <c:layout>
                <c:manualLayout>
                  <c:x val="2.4105816562707961E-3"/>
                  <c:y val="-7.349081972354727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12C-457A-9ED8-CB21E85F88DA}"/>
                </c:ext>
              </c:extLst>
            </c:dLbl>
            <c:dLbl>
              <c:idx val="2"/>
              <c:layout>
                <c:manualLayout>
                  <c:x val="2.4105816562707961E-3"/>
                  <c:y val="-9.186352465443400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12C-457A-9ED8-CB21E85F88DA}"/>
                </c:ext>
              </c:extLst>
            </c:dLbl>
            <c:dLbl>
              <c:idx val="3"/>
              <c:layout>
                <c:manualLayout>
                  <c:x val="2.4105816562707961E-3"/>
                  <c:y val="-0.2351706231153510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12C-457A-9ED8-CB21E85F88DA}"/>
                </c:ext>
              </c:extLst>
            </c:dLbl>
            <c:dLbl>
              <c:idx val="4"/>
              <c:layout>
                <c:manualLayout>
                  <c:x val="2.4105816562707961E-3"/>
                  <c:y val="-8.818898366825667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12C-457A-9ED8-CB21E85F88DA}"/>
                </c:ext>
              </c:extLst>
            </c:dLbl>
            <c:dLbl>
              <c:idx val="5"/>
              <c:layout>
                <c:manualLayout>
                  <c:x val="-2.4105816562707961E-3"/>
                  <c:y val="-7.349081972354719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12C-457A-9ED8-CB21E85F88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ja-JP" sz="1400"/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BM)'!$I$211:$I$217</c:f>
              <c:strCache>
                <c:ptCount val="7"/>
                <c:pt idx="0">
                  <c:v>B.D.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Cu (%)</c:v>
                </c:pt>
                <c:pt idx="4">
                  <c:v>RCu (%)</c:v>
                </c:pt>
                <c:pt idx="5">
                  <c:v>Delta Inv.</c:v>
                </c:pt>
                <c:pt idx="6">
                  <c:v>Filtrado Pagable</c:v>
                </c:pt>
              </c:strCache>
            </c:strRef>
          </c:cat>
          <c:val>
            <c:numRef>
              <c:f>'Explicacion Cueq (Con BM)'!$M$211:$M$217</c:f>
              <c:numCache>
                <c:formatCode>0.00</c:formatCode>
                <c:ptCount val="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12C-457A-9ED8-CB21E85F8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825251328"/>
        <c:axId val="824809664"/>
      </c:barChart>
      <c:catAx>
        <c:axId val="82525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24809664"/>
        <c:crossesAt val="250"/>
        <c:auto val="1"/>
        <c:lblAlgn val="ctr"/>
        <c:lblOffset val="100"/>
        <c:tickLblSkip val="1"/>
        <c:tickMarkSkip val="1"/>
        <c:noMultiLvlLbl val="0"/>
      </c:catAx>
      <c:valAx>
        <c:axId val="824809664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numFmt formatCode="#,##0.0" sourceLinked="0"/>
        <c:majorTickMark val="none"/>
        <c:minorTickMark val="none"/>
        <c:tickLblPos val="nextTo"/>
        <c:crossAx val="8252513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75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61C-49AE-A514-AAEC859F84E8}"/>
              </c:ext>
            </c:extLst>
          </c:dPt>
          <c:dPt>
            <c:idx val="1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461C-49AE-A514-AAEC859F84E8}"/>
              </c:ext>
            </c:extLst>
          </c:dPt>
          <c:dPt>
            <c:idx val="2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461C-49AE-A514-AAEC859F84E8}"/>
              </c:ext>
            </c:extLst>
          </c:dPt>
          <c:dPt>
            <c:idx val="3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461C-49AE-A514-AAEC859F84E8}"/>
              </c:ext>
            </c:extLst>
          </c:dPt>
          <c:dPt>
            <c:idx val="4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461C-49AE-A514-AAEC859F84E8}"/>
              </c:ext>
            </c:extLst>
          </c:dPt>
          <c:dPt>
            <c:idx val="5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461C-49AE-A514-AAEC859F84E8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61C-49AE-A514-AAEC859F84E8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1C-49AE-A514-AAEC859F84E8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61C-49AE-A514-AAEC859F84E8}"/>
                </c:ext>
              </c:extLst>
            </c:dLbl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ja-JP" sz="1400"/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BM)'!$S$211:$S$217</c:f>
              <c:strCache>
                <c:ptCount val="7"/>
                <c:pt idx="0">
                  <c:v>B.D.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Mo (%)</c:v>
                </c:pt>
                <c:pt idx="4">
                  <c:v>RMo (%)</c:v>
                </c:pt>
                <c:pt idx="5">
                  <c:v>Delta Inv.</c:v>
                </c:pt>
                <c:pt idx="6">
                  <c:v>Envasado Pagable</c:v>
                </c:pt>
              </c:strCache>
            </c:strRef>
          </c:cat>
          <c:val>
            <c:numRef>
              <c:f>'Explicacion Cueq (Con BM)'!$V$211:$V$217</c:f>
              <c:numCache>
                <c:formatCode>0.000</c:formatCode>
                <c:ptCount val="7"/>
                <c:pt idx="0">
                  <c:v>2.4963726472139096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2.1888169452353146</c:v>
                </c:pt>
                <c:pt idx="6">
                  <c:v>2.1888169452353146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61C-49AE-A514-AAEC859F84E8}"/>
            </c:ext>
          </c:extLst>
        </c:ser>
        <c:ser>
          <c:idx val="1"/>
          <c:order val="1"/>
          <c:spPr>
            <a:solidFill>
              <a:srgbClr val="92D050"/>
            </a:solidFill>
            <a:ln w="12700">
              <a:noFill/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FD1B03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461C-49AE-A514-AAEC859F84E8}"/>
              </c:ext>
            </c:extLst>
          </c:dPt>
          <c:dPt>
            <c:idx val="2"/>
            <c:invertIfNegative val="0"/>
            <c:bubble3D val="0"/>
            <c:spPr>
              <a:solidFill>
                <a:srgbClr val="FD1B03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461C-49AE-A514-AAEC859F84E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461C-49AE-A514-AAEC859F84E8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461C-49AE-A514-AAEC859F84E8}"/>
              </c:ext>
            </c:extLst>
          </c:dPt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5-461C-49AE-A514-AAEC859F84E8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461C-49AE-A514-AAEC859F84E8}"/>
              </c:ext>
            </c:extLst>
          </c:dPt>
          <c:dLbls>
            <c:dLbl>
              <c:idx val="1"/>
              <c:layout>
                <c:manualLayout>
                  <c:x val="2.3306849167248115E-3"/>
                  <c:y val="-8.270044392184296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61C-49AE-A514-AAEC859F84E8}"/>
                </c:ext>
              </c:extLst>
            </c:dLbl>
            <c:dLbl>
              <c:idx val="2"/>
              <c:layout>
                <c:manualLayout>
                  <c:x val="-2.3306849167248115E-3"/>
                  <c:y val="-9.451479305353481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61C-49AE-A514-AAEC859F84E8}"/>
                </c:ext>
              </c:extLst>
            </c:dLbl>
            <c:dLbl>
              <c:idx val="3"/>
              <c:layout>
                <c:manualLayout>
                  <c:x val="-2.3306849167248115E-3"/>
                  <c:y val="-0.118143491316918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61C-49AE-A514-AAEC859F84E8}"/>
                </c:ext>
              </c:extLst>
            </c:dLbl>
            <c:dLbl>
              <c:idx val="4"/>
              <c:layout>
                <c:manualLayout>
                  <c:x val="0"/>
                  <c:y val="-0.157524655089224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61C-49AE-A514-AAEC859F84E8}"/>
                </c:ext>
              </c:extLst>
            </c:dLbl>
            <c:dLbl>
              <c:idx val="5"/>
              <c:layout>
                <c:manualLayout>
                  <c:x val="-2.3306849167248969E-3"/>
                  <c:y val="-0.1929677024843002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61C-49AE-A514-AAEC859F84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ja-JP" sz="1400"/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BM)'!$S$211:$S$217</c:f>
              <c:strCache>
                <c:ptCount val="7"/>
                <c:pt idx="0">
                  <c:v>B.D.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Mo (%)</c:v>
                </c:pt>
                <c:pt idx="4">
                  <c:v>RMo (%)</c:v>
                </c:pt>
                <c:pt idx="5">
                  <c:v>Delta Inv.</c:v>
                </c:pt>
                <c:pt idx="6">
                  <c:v>Envasado Pagable</c:v>
                </c:pt>
              </c:strCache>
            </c:strRef>
          </c:cat>
          <c:val>
            <c:numRef>
              <c:f>'Explicacion Cueq (Con BM)'!$W$211:$W$217</c:f>
              <c:numCache>
                <c:formatCode>0.00</c:formatCode>
                <c:ptCount val="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61C-49AE-A514-AAEC859F8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825252352"/>
        <c:axId val="825155584"/>
      </c:barChart>
      <c:catAx>
        <c:axId val="82525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251555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25155584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numFmt formatCode="#,##0.00" sourceLinked="0"/>
        <c:majorTickMark val="none"/>
        <c:minorTickMark val="none"/>
        <c:tickLblPos val="nextTo"/>
        <c:crossAx val="8252523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75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205842732672345"/>
          <c:y val="6.9536423841059611E-2"/>
          <c:w val="0.74428349983300968"/>
          <c:h val="0.7582781456953642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 rotWithShape="0">
                <a:gsLst>
                  <a:gs pos="0">
                    <a:srgbClr val="000076">
                      <a:gamma/>
                      <a:shade val="46275"/>
                      <a:invGamma/>
                    </a:srgbClr>
                  </a:gs>
                  <a:gs pos="50000">
                    <a:srgbClr val="0000FF"/>
                  </a:gs>
                  <a:gs pos="100000">
                    <a:srgbClr val="000076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38D-493A-A936-0AED746DA4B6}"/>
              </c:ext>
            </c:extLst>
          </c:dPt>
          <c:dPt>
            <c:idx val="1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E38D-493A-A936-0AED746DA4B6}"/>
              </c:ext>
            </c:extLst>
          </c:dPt>
          <c:dPt>
            <c:idx val="2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E38D-493A-A936-0AED746DA4B6}"/>
              </c:ext>
            </c:extLst>
          </c:dPt>
          <c:dPt>
            <c:idx val="3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E38D-493A-A936-0AED746DA4B6}"/>
              </c:ext>
            </c:extLst>
          </c:dPt>
          <c:dPt>
            <c:idx val="4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E38D-493A-A936-0AED746DA4B6}"/>
              </c:ext>
            </c:extLst>
          </c:dPt>
          <c:dPt>
            <c:idx val="5"/>
            <c:invertIfNegative val="0"/>
            <c:bubble3D val="0"/>
            <c:spPr>
              <a:gradFill rotWithShape="0">
                <a:gsLst>
                  <a:gs pos="0">
                    <a:srgbClr val="000076">
                      <a:gamma/>
                      <a:shade val="46275"/>
                      <a:invGamma/>
                    </a:srgbClr>
                  </a:gs>
                  <a:gs pos="50000">
                    <a:srgbClr val="0000FF"/>
                  </a:gs>
                  <a:gs pos="100000">
                    <a:srgbClr val="000076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38D-493A-A936-0AED746DA4B6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8D-493A-A936-0AED746DA4B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8D-493A-A936-0AED746DA4B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8D-493A-A936-0AED746DA4B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38D-493A-A936-0AED746DA4B6}"/>
                </c:ext>
              </c:extLst>
            </c:dLbl>
            <c:dLbl>
              <c:idx val="5"/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200" b="1" i="0" u="none" strike="noStrike" baseline="0">
                      <a:solidFill>
                        <a:srgbClr val="FFFF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E38D-493A-A936-0AED746DA4B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38D-493A-A936-0AED746DA4B6}"/>
                </c:ext>
              </c:extLst>
            </c:dLbl>
            <c:dLbl>
              <c:idx val="7"/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400" b="1" i="0" u="none" strike="noStrike" baseline="0">
                      <a:solidFill>
                        <a:srgbClr val="FFFF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FDFB-4370-8736-CE28CDF51FBB}"/>
                </c:ext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200" b="1" i="0" u="none" strike="noStrike" baseline="0">
                    <a:solidFill>
                      <a:srgbClr val="FFFF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BM)'!$O$199:$O$204</c:f>
              <c:strCache>
                <c:ptCount val="6"/>
                <c:pt idx="0">
                  <c:v>B.D.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Cu (%)</c:v>
                </c:pt>
                <c:pt idx="4">
                  <c:v>RCu (%)</c:v>
                </c:pt>
                <c:pt idx="5">
                  <c:v>Real (Kton)</c:v>
                </c:pt>
              </c:strCache>
            </c:strRef>
          </c:cat>
          <c:val>
            <c:numRef>
              <c:f>'Explicacion Cueq (Con BM)'!$P$199:$P$204</c:f>
              <c:numCache>
                <c:formatCode>#,##0.00</c:formatCode>
                <c:ptCount val="6"/>
                <c:pt idx="0">
                  <c:v>68.58901260981412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38D-493A-A936-0AED746DA4B6}"/>
            </c:ext>
          </c:extLst>
        </c:ser>
        <c:ser>
          <c:idx val="1"/>
          <c:order val="1"/>
          <c:spPr>
            <a:gradFill rotWithShape="0">
              <a:gsLst>
                <a:gs pos="0">
                  <a:srgbClr val="00FF00"/>
                </a:gs>
                <a:gs pos="100000">
                  <a:srgbClr val="00FF00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gradFill rotWithShape="0">
                <a:gsLst>
                  <a:gs pos="0">
                    <a:srgbClr val="0076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76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E38D-493A-A936-0AED746DA4B6}"/>
              </c:ext>
            </c:extLst>
          </c:dPt>
          <c:dPt>
            <c:idx val="2"/>
            <c:invertIfNegative val="0"/>
            <c:bubble3D val="0"/>
            <c:spPr>
              <a:gradFill rotWithShape="0">
                <a:gsLst>
                  <a:gs pos="0">
                    <a:srgbClr val="0076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76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E38D-493A-A936-0AED746DA4B6}"/>
              </c:ext>
            </c:extLst>
          </c:dPt>
          <c:dPt>
            <c:idx val="3"/>
            <c:invertIfNegative val="0"/>
            <c:bubble3D val="0"/>
            <c:spPr>
              <a:gradFill rotWithShape="0">
                <a:gsLst>
                  <a:gs pos="0">
                    <a:srgbClr val="0076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76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E38D-493A-A936-0AED746DA4B6}"/>
              </c:ext>
            </c:extLst>
          </c:dPt>
          <c:dPt>
            <c:idx val="4"/>
            <c:invertIfNegative val="0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E38D-493A-A936-0AED746DA4B6}"/>
              </c:ext>
            </c:extLst>
          </c:dPt>
          <c:dPt>
            <c:idx val="5"/>
            <c:invertIfNegative val="1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E38D-493A-A936-0AED746DA4B6}"/>
              </c:ext>
            </c:extLst>
          </c:dPt>
          <c:dLbls>
            <c:dLbl>
              <c:idx val="1"/>
              <c:layout>
                <c:manualLayout>
                  <c:x val="-3.1184675186018552E-3"/>
                  <c:y val="1.655629139072848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38D-493A-A936-0AED746DA4B6}"/>
                </c:ext>
              </c:extLst>
            </c:dLbl>
            <c:dLbl>
              <c:idx val="2"/>
              <c:layout>
                <c:manualLayout>
                  <c:x val="-3.4633600758734643E-4"/>
                  <c:y val="1.655629139072848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38D-493A-A936-0AED746DA4B6}"/>
                </c:ext>
              </c:extLst>
            </c:dLbl>
            <c:dLbl>
              <c:idx val="3"/>
              <c:layout>
                <c:manualLayout>
                  <c:x val="-3.8114353329407069E-3"/>
                  <c:y val="1.655629139072848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38D-493A-A936-0AED746DA4B6}"/>
                </c:ext>
              </c:extLst>
            </c:dLbl>
            <c:dLbl>
              <c:idx val="4"/>
              <c:layout>
                <c:manualLayout>
                  <c:x val="3.1187045570291051E-3"/>
                  <c:y val="1.655629139072848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38D-493A-A936-0AED746DA4B6}"/>
                </c:ext>
              </c:extLst>
            </c:dLbl>
            <c:dLbl>
              <c:idx val="5"/>
              <c:layout>
                <c:manualLayout>
                  <c:x val="1.0055422031701467E-2"/>
                  <c:y val="1.655629139072848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4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38D-493A-A936-0AED746DA4B6}"/>
                </c:ext>
              </c:extLst>
            </c:dLbl>
            <c:dLbl>
              <c:idx val="6"/>
              <c:layout>
                <c:manualLayout>
                  <c:x val="-8.1330875341544949E-4"/>
                  <c:y val="-6.376609900506624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4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38D-493A-A936-0AED746DA4B6}"/>
                </c:ext>
              </c:extLst>
            </c:dLbl>
            <c:dLbl>
              <c:idx val="7"/>
              <c:layout>
                <c:manualLayout>
                  <c:x val="7.2130680682793498E-4"/>
                  <c:y val="0.1099365750528541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75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38D-493A-A936-0AED746DA4B6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BM)'!$O$199:$O$204</c:f>
              <c:strCache>
                <c:ptCount val="6"/>
                <c:pt idx="0">
                  <c:v>B.D.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Cu (%)</c:v>
                </c:pt>
                <c:pt idx="4">
                  <c:v>RCu (%)</c:v>
                </c:pt>
                <c:pt idx="5">
                  <c:v>Real (Kton)</c:v>
                </c:pt>
              </c:strCache>
            </c:strRef>
          </c:cat>
          <c:val>
            <c:numRef>
              <c:f>'Explicacion Cueq (Con BM)'!$Q$199:$Q$204</c:f>
              <c:numCache>
                <c:formatCode>#,##0.00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38D-493A-A936-0AED746DA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825253376"/>
        <c:axId val="825157888"/>
      </c:barChart>
      <c:catAx>
        <c:axId val="82525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251578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25157888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ja-JP"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_tradnl" altLang="en-US"/>
                  <a:t>Cu Fino  Producido (ktons)</a:t>
                </a:r>
              </a:p>
            </c:rich>
          </c:tx>
          <c:layout>
            <c:manualLayout>
              <c:xMode val="edge"/>
              <c:yMode val="edge"/>
              <c:x val="4.3659043659043661E-2"/>
              <c:y val="4.6357615894039736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2525337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419391421772978"/>
          <c:y val="8.387109984737251E-2"/>
          <c:w val="0.78279734290436598"/>
          <c:h val="0.6967752910397100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 rotWithShape="0">
                <a:gsLst>
                  <a:gs pos="0">
                    <a:srgbClr val="000076">
                      <a:gamma/>
                      <a:shade val="46275"/>
                      <a:invGamma/>
                    </a:srgbClr>
                  </a:gs>
                  <a:gs pos="50000">
                    <a:srgbClr val="0000FF"/>
                  </a:gs>
                  <a:gs pos="100000">
                    <a:srgbClr val="000076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3A3-481B-BBCB-77EA1BF1D7DC}"/>
              </c:ext>
            </c:extLst>
          </c:dPt>
          <c:dPt>
            <c:idx val="1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43A3-481B-BBCB-77EA1BF1D7DC}"/>
              </c:ext>
            </c:extLst>
          </c:dPt>
          <c:dPt>
            <c:idx val="2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43A3-481B-BBCB-77EA1BF1D7DC}"/>
              </c:ext>
            </c:extLst>
          </c:dPt>
          <c:dPt>
            <c:idx val="3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43A3-481B-BBCB-77EA1BF1D7DC}"/>
              </c:ext>
            </c:extLst>
          </c:dPt>
          <c:dPt>
            <c:idx val="4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43A3-481B-BBCB-77EA1BF1D7DC}"/>
              </c:ext>
            </c:extLst>
          </c:dPt>
          <c:dPt>
            <c:idx val="5"/>
            <c:invertIfNegative val="0"/>
            <c:bubble3D val="0"/>
            <c:spPr>
              <a:gradFill rotWithShape="0">
                <a:gsLst>
                  <a:gs pos="0">
                    <a:srgbClr val="000076">
                      <a:gamma/>
                      <a:shade val="46275"/>
                      <a:invGamma/>
                    </a:srgbClr>
                  </a:gs>
                  <a:gs pos="50000">
                    <a:srgbClr val="0000FF"/>
                  </a:gs>
                  <a:gs pos="100000">
                    <a:srgbClr val="000076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3A3-481B-BBCB-77EA1BF1D7DC}"/>
              </c:ext>
            </c:extLst>
          </c:dPt>
          <c:dLbls>
            <c:dLbl>
              <c:idx val="0"/>
              <c:numFmt formatCode="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200" b="1" i="0" u="none" strike="noStrike" baseline="0">
                      <a:solidFill>
                        <a:srgbClr val="FFFF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3A3-481B-BBCB-77EA1BF1D7D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A3-481B-BBCB-77EA1BF1D7D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A3-481B-BBCB-77EA1BF1D7D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3A3-481B-BBCB-77EA1BF1D7D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3A3-481B-BBCB-77EA1BF1D7DC}"/>
                </c:ext>
              </c:extLst>
            </c:dLbl>
            <c:dLbl>
              <c:idx val="5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200" b="1" i="0" u="none" strike="noStrike" baseline="0">
                      <a:solidFill>
                        <a:srgbClr val="FFFF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43A3-481B-BBCB-77EA1BF1D7D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3A3-481B-BBCB-77EA1BF1D7DC}"/>
                </c:ext>
              </c:extLst>
            </c:dLbl>
            <c:dLbl>
              <c:idx val="7"/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400" b="1" i="0" u="none" strike="noStrike" baseline="0">
                      <a:solidFill>
                        <a:srgbClr val="FFFF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1333-43EC-B7B3-040C404DEA18}"/>
                </c:ext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200" b="1" i="0" u="none" strike="noStrike" baseline="0">
                    <a:solidFill>
                      <a:srgbClr val="FFFF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BM)'!$Y$199:$Y$204</c:f>
              <c:strCache>
                <c:ptCount val="6"/>
                <c:pt idx="0">
                  <c:v>B.D.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Mo (%)</c:v>
                </c:pt>
                <c:pt idx="4">
                  <c:v>RMo (%)</c:v>
                </c:pt>
                <c:pt idx="5">
                  <c:v>Real (Kton)</c:v>
                </c:pt>
              </c:strCache>
            </c:strRef>
          </c:cat>
          <c:val>
            <c:numRef>
              <c:f>'Explicacion Cueq (Con BM)'!$Z$199:$Z$204</c:f>
              <c:numCache>
                <c:formatCode>#,##0.00</c:formatCode>
                <c:ptCount val="6"/>
                <c:pt idx="0">
                  <c:v>2.5089172333808136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3A3-481B-BBCB-77EA1BF1D7DC}"/>
            </c:ext>
          </c:extLst>
        </c:ser>
        <c:ser>
          <c:idx val="1"/>
          <c:order val="1"/>
          <c:spPr>
            <a:gradFill rotWithShape="0">
              <a:gsLst>
                <a:gs pos="0">
                  <a:srgbClr val="00FF00"/>
                </a:gs>
                <a:gs pos="100000">
                  <a:srgbClr val="00FF00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gradFill rotWithShape="0">
                <a:gsLst>
                  <a:gs pos="0">
                    <a:srgbClr val="0076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76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43A3-481B-BBCB-77EA1BF1D7DC}"/>
              </c:ext>
            </c:extLst>
          </c:dPt>
          <c:dPt>
            <c:idx val="2"/>
            <c:invertIfNegative val="0"/>
            <c:bubble3D val="0"/>
            <c:spPr>
              <a:gradFill rotWithShape="0">
                <a:gsLst>
                  <a:gs pos="0">
                    <a:srgbClr val="0076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76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43A3-481B-BBCB-77EA1BF1D7DC}"/>
              </c:ext>
            </c:extLst>
          </c:dPt>
          <c:dPt>
            <c:idx val="3"/>
            <c:invertIfNegative val="0"/>
            <c:bubble3D val="0"/>
            <c:spPr>
              <a:gradFill rotWithShape="0">
                <a:gsLst>
                  <a:gs pos="0">
                    <a:srgbClr val="0076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76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43A3-481B-BBCB-77EA1BF1D7DC}"/>
              </c:ext>
            </c:extLst>
          </c:dPt>
          <c:dPt>
            <c:idx val="4"/>
            <c:invertIfNegative val="0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43A3-481B-BBCB-77EA1BF1D7DC}"/>
              </c:ext>
            </c:extLst>
          </c:dPt>
          <c:dPt>
            <c:idx val="5"/>
            <c:invertIfNegative val="1"/>
            <c:bubble3D val="0"/>
            <c:spPr>
              <a:gradFill rotWithShape="0">
                <a:gsLst>
                  <a:gs pos="0">
                    <a:srgbClr val="00FF00">
                      <a:gamma/>
                      <a:shade val="46275"/>
                      <a:invGamma/>
                    </a:srgbClr>
                  </a:gs>
                  <a:gs pos="50000">
                    <a:srgbClr val="00FF00"/>
                  </a:gs>
                  <a:gs pos="100000">
                    <a:srgbClr val="00FF00">
                      <a:gamma/>
                      <a:shade val="46275"/>
                      <a:invGamma/>
                    </a:srgbClr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43A3-481B-BBCB-77EA1BF1D7DC}"/>
              </c:ext>
            </c:extLst>
          </c:dPt>
          <c:dLbls>
            <c:dLbl>
              <c:idx val="1"/>
              <c:layout>
                <c:manualLayout>
                  <c:x val="4.3011024968298527E-3"/>
                  <c:y val="0.4354845568998188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3A3-481B-BBCB-77EA1BF1D7DC}"/>
                </c:ext>
              </c:extLst>
            </c:dLbl>
            <c:dLbl>
              <c:idx val="2"/>
              <c:layout>
                <c:manualLayout>
                  <c:x val="7.1691379714598552E-4"/>
                  <c:y val="0.3677425147154024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3A3-481B-BBCB-77EA1BF1D7DC}"/>
                </c:ext>
              </c:extLst>
            </c:dLbl>
            <c:dLbl>
              <c:idx val="3"/>
              <c:layout>
                <c:manualLayout>
                  <c:x val="1.4335836209051493E-3"/>
                  <c:y val="0.1129034036406937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3A3-481B-BBCB-77EA1BF1D7DC}"/>
                </c:ext>
              </c:extLst>
            </c:dLbl>
            <c:dLbl>
              <c:idx val="4"/>
              <c:layout>
                <c:manualLayout>
                  <c:x val="1.2903189977074585E-2"/>
                  <c:y val="9.032272291255499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3A3-481B-BBCB-77EA1BF1D7DC}"/>
                </c:ext>
              </c:extLst>
            </c:dLbl>
            <c:dLbl>
              <c:idx val="5"/>
              <c:layout>
                <c:manualLayout>
                  <c:x val="9.3260636324860938E-3"/>
                  <c:y val="9.6774345977737528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4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3A3-481B-BBCB-77EA1BF1D7DC}"/>
                </c:ext>
              </c:extLst>
            </c:dLbl>
            <c:dLbl>
              <c:idx val="6"/>
              <c:layout>
                <c:manualLayout>
                  <c:x val="-8.1330875341544949E-4"/>
                  <c:y val="-6.376609900506624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4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3A3-481B-BBCB-77EA1BF1D7DC}"/>
                </c:ext>
              </c:extLst>
            </c:dLbl>
            <c:dLbl>
              <c:idx val="7"/>
              <c:layout>
                <c:manualLayout>
                  <c:x val="7.2130680682793498E-4"/>
                  <c:y val="0.1099365750528541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175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s-C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3A3-481B-BBCB-77EA1BF1D7D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BM)'!$Y$199:$Y$204</c:f>
              <c:strCache>
                <c:ptCount val="6"/>
                <c:pt idx="0">
                  <c:v>B.D. (Kton)</c:v>
                </c:pt>
                <c:pt idx="1">
                  <c:v>Rend. (tph)</c:v>
                </c:pt>
                <c:pt idx="2">
                  <c:v>C.M. (%)</c:v>
                </c:pt>
                <c:pt idx="3">
                  <c:v>Ley Mo (%)</c:v>
                </c:pt>
                <c:pt idx="4">
                  <c:v>RMo (%)</c:v>
                </c:pt>
                <c:pt idx="5">
                  <c:v>Real (Kton)</c:v>
                </c:pt>
              </c:strCache>
            </c:strRef>
          </c:cat>
          <c:val>
            <c:numRef>
              <c:f>'Explicacion Cueq (Con BM)'!$AA$199:$AA$204</c:f>
              <c:numCache>
                <c:formatCode>#,##0.00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43A3-481B-BBCB-77EA1BF1D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825561600"/>
        <c:axId val="825159616"/>
      </c:barChart>
      <c:catAx>
        <c:axId val="825561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25159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25159616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ja-JP"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_tradnl" altLang="en-US"/>
                  <a:t>Mo Fino  Producido (ktons)</a:t>
                </a:r>
              </a:p>
            </c:rich>
          </c:tx>
          <c:layout>
            <c:manualLayout>
              <c:xMode val="edge"/>
              <c:yMode val="edge"/>
              <c:x val="2.7956989247311829E-2"/>
              <c:y val="1.935483870967742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82556160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884955048696503E-2"/>
          <c:y val="9.658702144990497E-2"/>
          <c:w val="0.90391356347505636"/>
          <c:h val="0.7487531299966814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CB0-4B78-9622-82E3752956C4}"/>
              </c:ext>
            </c:extLst>
          </c:dPt>
          <c:dPt>
            <c:idx val="1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7CB0-4B78-9622-82E3752956C4}"/>
              </c:ext>
            </c:extLst>
          </c:dPt>
          <c:dPt>
            <c:idx val="2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7CB0-4B78-9622-82E3752956C4}"/>
              </c:ext>
            </c:extLst>
          </c:dPt>
          <c:dPt>
            <c:idx val="3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7CB0-4B78-9622-82E3752956C4}"/>
              </c:ext>
            </c:extLst>
          </c:dPt>
          <c:dPt>
            <c:idx val="4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7CB0-4B78-9622-82E3752956C4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7CB0-4B78-9622-82E3752956C4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B0-4B78-9622-82E3752956C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CB0-4B78-9622-82E3752956C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CB0-4B78-9622-82E3752956C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CB0-4B78-9622-82E3752956C4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BM)'!$I$264:$I$269</c:f>
              <c:strCache>
                <c:ptCount val="6"/>
                <c:pt idx="0">
                  <c:v>Ppto</c:v>
                </c:pt>
                <c:pt idx="1">
                  <c:v>Min.Procesado</c:v>
                </c:pt>
                <c:pt idx="2">
                  <c:v>Ley</c:v>
                </c:pt>
                <c:pt idx="3">
                  <c:v>Recuperacion</c:v>
                </c:pt>
                <c:pt idx="4">
                  <c:v>Inventario 
y otoros </c:v>
                </c:pt>
                <c:pt idx="5">
                  <c:v>Real</c:v>
                </c:pt>
              </c:strCache>
            </c:strRef>
          </c:cat>
          <c:val>
            <c:numRef>
              <c:f>'Explicacion Cueq (Con BM)'!$AC$264:$AC$269</c:f>
              <c:numCache>
                <c:formatCode>0</c:formatCode>
                <c:ptCount val="6"/>
                <c:pt idx="0">
                  <c:v>22062.135784432889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21245.925024226781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CB0-4B78-9622-82E3752956C4}"/>
            </c:ext>
          </c:extLst>
        </c:ser>
        <c:ser>
          <c:idx val="1"/>
          <c:order val="1"/>
          <c:spPr>
            <a:solidFill>
              <a:srgbClr val="92D05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7CB0-4B78-9622-82E3752956C4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7CB0-4B78-9622-82E3752956C4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7CB0-4B78-9622-82E3752956C4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7CB0-4B78-9622-82E3752956C4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7CB0-4B78-9622-82E3752956C4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BM)'!$I$264:$I$269</c:f>
              <c:strCache>
                <c:ptCount val="6"/>
                <c:pt idx="0">
                  <c:v>Ppto</c:v>
                </c:pt>
                <c:pt idx="1">
                  <c:v>Min.Procesado</c:v>
                </c:pt>
                <c:pt idx="2">
                  <c:v>Ley</c:v>
                </c:pt>
                <c:pt idx="3">
                  <c:v>Recuperacion</c:v>
                </c:pt>
                <c:pt idx="4">
                  <c:v>Inventario 
y otoros </c:v>
                </c:pt>
                <c:pt idx="5">
                  <c:v>Real</c:v>
                </c:pt>
              </c:strCache>
            </c:strRef>
          </c:cat>
          <c:val>
            <c:numRef>
              <c:f>'Explicacion Cueq (Con BM)'!$AD$264:$AD$269</c:f>
              <c:numCache>
                <c:formatCode>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CB0-4B78-9622-82E3752956C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825562624"/>
        <c:axId val="825160768"/>
      </c:barChart>
      <c:catAx>
        <c:axId val="825562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s-CL"/>
          </a:p>
        </c:txPr>
        <c:crossAx val="8251607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25160768"/>
        <c:scaling>
          <c:orientation val="minMax"/>
        </c:scaling>
        <c:delete val="0"/>
        <c:axPos val="l"/>
        <c:numFmt formatCode="#,##0.0_);[Red]\(#,##0.0\)" sourceLinked="0"/>
        <c:majorTickMark val="out"/>
        <c:minorTickMark val="none"/>
        <c:tickLblPos val="nextTo"/>
        <c:crossAx val="8255626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884955048696503E-2"/>
          <c:y val="9.658702144990497E-2"/>
          <c:w val="0.90391356347505636"/>
          <c:h val="0.7487531299966814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AF8-42EB-8D15-89531C540122}"/>
              </c:ext>
            </c:extLst>
          </c:dPt>
          <c:dPt>
            <c:idx val="1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BAF8-42EB-8D15-89531C540122}"/>
              </c:ext>
            </c:extLst>
          </c:dPt>
          <c:dPt>
            <c:idx val="2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BAF8-42EB-8D15-89531C540122}"/>
              </c:ext>
            </c:extLst>
          </c:dPt>
          <c:dPt>
            <c:idx val="3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BAF8-42EB-8D15-89531C540122}"/>
              </c:ext>
            </c:extLst>
          </c:dPt>
          <c:dPt>
            <c:idx val="4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BAF8-42EB-8D15-89531C540122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BAF8-42EB-8D15-89531C540122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F8-42EB-8D15-89531C54012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F8-42EB-8D15-89531C54012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AF8-42EB-8D15-89531C54012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AF8-42EB-8D15-89531C540122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BM)'!$I$264:$I$269</c:f>
              <c:strCache>
                <c:ptCount val="6"/>
                <c:pt idx="0">
                  <c:v>Ppto</c:v>
                </c:pt>
                <c:pt idx="1">
                  <c:v>Min.Procesado</c:v>
                </c:pt>
                <c:pt idx="2">
                  <c:v>Ley</c:v>
                </c:pt>
                <c:pt idx="3">
                  <c:v>Recuperacion</c:v>
                </c:pt>
                <c:pt idx="4">
                  <c:v>Inventario 
y otoros </c:v>
                </c:pt>
                <c:pt idx="5">
                  <c:v>Real</c:v>
                </c:pt>
              </c:strCache>
            </c:strRef>
          </c:cat>
          <c:val>
            <c:numRef>
              <c:f>'Explicacion Cueq (Con BM)'!$AI$264:$AI$269</c:f>
              <c:numCache>
                <c:formatCode>0</c:formatCode>
                <c:ptCount val="6"/>
                <c:pt idx="0">
                  <c:v>491.3042739405704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491.3042739405704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AF8-42EB-8D15-89531C540122}"/>
            </c:ext>
          </c:extLst>
        </c:ser>
        <c:ser>
          <c:idx val="1"/>
          <c:order val="1"/>
          <c:spPr>
            <a:solidFill>
              <a:srgbClr val="92D05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BAF8-42EB-8D15-89531C540122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BAF8-42EB-8D15-89531C540122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BAF8-42EB-8D15-89531C540122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BAF8-42EB-8D15-89531C540122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BAF8-42EB-8D15-89531C540122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BM)'!$I$264:$I$269</c:f>
              <c:strCache>
                <c:ptCount val="6"/>
                <c:pt idx="0">
                  <c:v>Ppto</c:v>
                </c:pt>
                <c:pt idx="1">
                  <c:v>Min.Procesado</c:v>
                </c:pt>
                <c:pt idx="2">
                  <c:v>Ley</c:v>
                </c:pt>
                <c:pt idx="3">
                  <c:v>Recuperacion</c:v>
                </c:pt>
                <c:pt idx="4">
                  <c:v>Inventario 
y otoros </c:v>
                </c:pt>
                <c:pt idx="5">
                  <c:v>Real</c:v>
                </c:pt>
              </c:strCache>
            </c:strRef>
          </c:cat>
          <c:val>
            <c:numRef>
              <c:f>'Explicacion Cueq (Con BM)'!$AJ$264:$AJ$269</c:f>
              <c:numCache>
                <c:formatCode>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AF8-42EB-8D15-89531C54012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825564672"/>
        <c:axId val="825162496"/>
      </c:barChart>
      <c:catAx>
        <c:axId val="825564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s-CL"/>
          </a:p>
        </c:txPr>
        <c:crossAx val="8251624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25162496"/>
        <c:scaling>
          <c:orientation val="minMax"/>
        </c:scaling>
        <c:delete val="0"/>
        <c:axPos val="l"/>
        <c:numFmt formatCode="#,##0.0_);[Red]\(#,##0.0\)" sourceLinked="0"/>
        <c:majorTickMark val="out"/>
        <c:minorTickMark val="none"/>
        <c:tickLblPos val="nextTo"/>
        <c:crossAx val="8255646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884955048696503E-2"/>
          <c:y val="9.658702144990497E-2"/>
          <c:w val="0.90391356347505636"/>
          <c:h val="0.7487531299966814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6B7-4C13-B9C1-58EA7106A0EE}"/>
              </c:ext>
            </c:extLst>
          </c:dPt>
          <c:dPt>
            <c:idx val="1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C6B7-4C13-B9C1-58EA7106A0EE}"/>
              </c:ext>
            </c:extLst>
          </c:dPt>
          <c:dPt>
            <c:idx val="2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C6B7-4C13-B9C1-58EA7106A0EE}"/>
              </c:ext>
            </c:extLst>
          </c:dPt>
          <c:dPt>
            <c:idx val="3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C6B7-4C13-B9C1-58EA7106A0EE}"/>
              </c:ext>
            </c:extLst>
          </c:dPt>
          <c:dPt>
            <c:idx val="4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C6B7-4C13-B9C1-58EA7106A0EE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C6B7-4C13-B9C1-58EA7106A0EE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B7-4C13-B9C1-58EA7106A0E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B7-4C13-B9C1-58EA7106A0E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B7-4C13-B9C1-58EA7106A0E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6B7-4C13-B9C1-58EA7106A0EE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BM)'!$I$296:$I$301</c:f>
              <c:strCache>
                <c:ptCount val="6"/>
                <c:pt idx="0">
                  <c:v>Ppto</c:v>
                </c:pt>
                <c:pt idx="1">
                  <c:v>Min.Procesado</c:v>
                </c:pt>
                <c:pt idx="2">
                  <c:v>Ley</c:v>
                </c:pt>
                <c:pt idx="3">
                  <c:v>Recuperacion</c:v>
                </c:pt>
                <c:pt idx="4">
                  <c:v>Inventario 
y otoros </c:v>
                </c:pt>
                <c:pt idx="5">
                  <c:v>Real</c:v>
                </c:pt>
              </c:strCache>
            </c:strRef>
          </c:cat>
          <c:val>
            <c:numRef>
              <c:f>'Explicacion Cueq (Con BM)'!$AC$296:$AC$301</c:f>
              <c:numCache>
                <c:formatCode>0</c:formatCode>
                <c:ptCount val="6"/>
                <c:pt idx="0">
                  <c:v>65982.630130641177</c:v>
                </c:pt>
                <c:pt idx="1">
                  <c:v>65448.039113165709</c:v>
                </c:pt>
                <c:pt idx="2">
                  <c:v>64977.101477401462</c:v>
                </c:pt>
                <c:pt idx="3">
                  <c:v>64977.101477401462</c:v>
                </c:pt>
                <c:pt idx="4">
                  <c:v>65989.627764200894</c:v>
                </c:pt>
                <c:pt idx="5">
                  <c:v>66124.566055788571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6B7-4C13-B9C1-58EA7106A0EE}"/>
            </c:ext>
          </c:extLst>
        </c:ser>
        <c:ser>
          <c:idx val="1"/>
          <c:order val="1"/>
          <c:spPr>
            <a:solidFill>
              <a:srgbClr val="92D05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C6B7-4C13-B9C1-58EA7106A0EE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C6B7-4C13-B9C1-58EA7106A0EE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C6B7-4C13-B9C1-58EA7106A0EE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C6B7-4C13-B9C1-58EA7106A0EE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C6B7-4C13-B9C1-58EA7106A0EE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BM)'!$I$296:$I$301</c:f>
              <c:strCache>
                <c:ptCount val="6"/>
                <c:pt idx="0">
                  <c:v>Ppto</c:v>
                </c:pt>
                <c:pt idx="1">
                  <c:v>Min.Procesado</c:v>
                </c:pt>
                <c:pt idx="2">
                  <c:v>Ley</c:v>
                </c:pt>
                <c:pt idx="3">
                  <c:v>Recuperacion</c:v>
                </c:pt>
                <c:pt idx="4">
                  <c:v>Inventario 
y otoros </c:v>
                </c:pt>
                <c:pt idx="5">
                  <c:v>Real</c:v>
                </c:pt>
              </c:strCache>
            </c:strRef>
          </c:cat>
          <c:val>
            <c:numRef>
              <c:f>'Explicacion Cueq (Con BM)'!$AD$296:$AD$301</c:f>
              <c:numCache>
                <c:formatCode>0</c:formatCode>
                <c:ptCount val="6"/>
                <c:pt idx="1">
                  <c:v>534.59101747546765</c:v>
                </c:pt>
                <c:pt idx="2">
                  <c:v>470.93763576424573</c:v>
                </c:pt>
                <c:pt idx="3">
                  <c:v>1012.5262867994334</c:v>
                </c:pt>
                <c:pt idx="4">
                  <c:v>134.93829158768733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6B7-4C13-B9C1-58EA7106A0E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826470400"/>
        <c:axId val="826155584"/>
      </c:barChart>
      <c:catAx>
        <c:axId val="8264704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s-CL"/>
          </a:p>
        </c:txPr>
        <c:crossAx val="8261555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26155584"/>
        <c:scaling>
          <c:orientation val="minMax"/>
        </c:scaling>
        <c:delete val="0"/>
        <c:axPos val="l"/>
        <c:numFmt formatCode="#,##0.0_);[Red]\(#,##0.0\)" sourceLinked="0"/>
        <c:majorTickMark val="out"/>
        <c:minorTickMark val="none"/>
        <c:tickLblPos val="nextTo"/>
        <c:crossAx val="8264704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884955048696503E-2"/>
          <c:y val="9.658702144990497E-2"/>
          <c:w val="0.90391356347505636"/>
          <c:h val="0.7487531299966814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D08-44E0-A00E-A5C87B5ACD47}"/>
              </c:ext>
            </c:extLst>
          </c:dPt>
          <c:dPt>
            <c:idx val="1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6D08-44E0-A00E-A5C87B5ACD47}"/>
              </c:ext>
            </c:extLst>
          </c:dPt>
          <c:dPt>
            <c:idx val="2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6D08-44E0-A00E-A5C87B5ACD47}"/>
              </c:ext>
            </c:extLst>
          </c:dPt>
          <c:dPt>
            <c:idx val="3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6D08-44E0-A00E-A5C87B5ACD47}"/>
              </c:ext>
            </c:extLst>
          </c:dPt>
          <c:dPt>
            <c:idx val="4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6D08-44E0-A00E-A5C87B5ACD47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6D08-44E0-A00E-A5C87B5ACD47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08-44E0-A00E-A5C87B5ACD4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08-44E0-A00E-A5C87B5ACD4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D08-44E0-A00E-A5C87B5ACD4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D08-44E0-A00E-A5C87B5ACD47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BM)'!$I$296:$I$301</c:f>
              <c:strCache>
                <c:ptCount val="6"/>
                <c:pt idx="0">
                  <c:v>Ppto</c:v>
                </c:pt>
                <c:pt idx="1">
                  <c:v>Min.Procesado</c:v>
                </c:pt>
                <c:pt idx="2">
                  <c:v>Ley</c:v>
                </c:pt>
                <c:pt idx="3">
                  <c:v>Recuperacion</c:v>
                </c:pt>
                <c:pt idx="4">
                  <c:v>Inventario 
y otoros </c:v>
                </c:pt>
                <c:pt idx="5">
                  <c:v>Real</c:v>
                </c:pt>
              </c:strCache>
            </c:strRef>
          </c:cat>
          <c:val>
            <c:numRef>
              <c:f>'Explicacion Cueq (Con BM)'!$AI$296:$AI$301</c:f>
              <c:numCache>
                <c:formatCode>0</c:formatCode>
                <c:ptCount val="6"/>
                <c:pt idx="0">
                  <c:v>2496.3726472139097</c:v>
                </c:pt>
                <c:pt idx="1">
                  <c:v>2456.4460339200027</c:v>
                </c:pt>
                <c:pt idx="2">
                  <c:v>2397.6765488858528</c:v>
                </c:pt>
                <c:pt idx="3">
                  <c:v>2290.4185313492417</c:v>
                </c:pt>
                <c:pt idx="4">
                  <c:v>2188.8169452353145</c:v>
                </c:pt>
                <c:pt idx="5">
                  <c:v>2188.8169452353145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D08-44E0-A00E-A5C87B5ACD47}"/>
            </c:ext>
          </c:extLst>
        </c:ser>
        <c:ser>
          <c:idx val="1"/>
          <c:order val="1"/>
          <c:spPr>
            <a:solidFill>
              <a:srgbClr val="92D05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6D08-44E0-A00E-A5C87B5ACD47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6D08-44E0-A00E-A5C87B5ACD47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6D08-44E0-A00E-A5C87B5ACD47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6D08-44E0-A00E-A5C87B5ACD47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6D08-44E0-A00E-A5C87B5ACD47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'Explicacion Cueq (Con BM)'!$I$296:$I$301</c:f>
              <c:strCache>
                <c:ptCount val="6"/>
                <c:pt idx="0">
                  <c:v>Ppto</c:v>
                </c:pt>
                <c:pt idx="1">
                  <c:v>Min.Procesado</c:v>
                </c:pt>
                <c:pt idx="2">
                  <c:v>Ley</c:v>
                </c:pt>
                <c:pt idx="3">
                  <c:v>Recuperacion</c:v>
                </c:pt>
                <c:pt idx="4">
                  <c:v>Inventario 
y otoros </c:v>
                </c:pt>
                <c:pt idx="5">
                  <c:v>Real</c:v>
                </c:pt>
              </c:strCache>
            </c:strRef>
          </c:cat>
          <c:val>
            <c:numRef>
              <c:f>'Explicacion Cueq (Con BM)'!$AJ$296:$AJ$301</c:f>
              <c:numCache>
                <c:formatCode>0</c:formatCode>
                <c:ptCount val="6"/>
                <c:pt idx="1">
                  <c:v>39.926613293906549</c:v>
                </c:pt>
                <c:pt idx="2">
                  <c:v>58.769485034150293</c:v>
                </c:pt>
                <c:pt idx="3">
                  <c:v>107.25801753661085</c:v>
                </c:pt>
                <c:pt idx="4">
                  <c:v>101.60158611392723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D08-44E0-A00E-A5C87B5ACD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826471424"/>
        <c:axId val="826157312"/>
      </c:barChart>
      <c:catAx>
        <c:axId val="8264714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s-CL"/>
          </a:p>
        </c:txPr>
        <c:crossAx val="8261573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26157312"/>
        <c:scaling>
          <c:orientation val="minMax"/>
        </c:scaling>
        <c:delete val="0"/>
        <c:axPos val="l"/>
        <c:numFmt formatCode="#,##0.0_);[Red]\(#,##0.0\)" sourceLinked="0"/>
        <c:majorTickMark val="out"/>
        <c:minorTickMark val="none"/>
        <c:tickLblPos val="nextTo"/>
        <c:crossAx val="8264714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s-CL"/>
    </a:p>
  </c:txPr>
  <c:printSettings>
    <c:headerFooter alignWithMargins="0"/>
    <c:pageMargins b="1" l="0.75000000000000011" r="0.75000000000000011" t="1" header="0" footer="0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Short term Agosto</a:t>
            </a:r>
          </a:p>
        </c:rich>
      </c:tx>
      <c:layout>
        <c:manualLayout>
          <c:xMode val="edge"/>
          <c:yMode val="edge"/>
          <c:x val="0.39094123808707032"/>
          <c:y val="2.930914273449942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2419698131557781"/>
          <c:y val="9.3348722129069459E-2"/>
          <c:w val="0.72048478500757474"/>
          <c:h val="0.69527822841240328"/>
        </c:manualLayout>
      </c:layout>
      <c:lineChart>
        <c:grouping val="standard"/>
        <c:varyColors val="0"/>
        <c:ser>
          <c:idx val="1"/>
          <c:order val="0"/>
          <c:tx>
            <c:strRef>
              <c:f>'As CAL'!$E$5</c:f>
              <c:strCache>
                <c:ptCount val="1"/>
                <c:pt idx="0">
                  <c:v>As Alim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'As CAL'!$B$6:$B$36</c:f>
              <c:numCache>
                <c:formatCode>m/d/yyyy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  <c:pt idx="30">
                  <c:v>46112.791666666664</c:v>
                </c:pt>
              </c:numCache>
            </c:numRef>
          </c:cat>
          <c:val>
            <c:numRef>
              <c:f>'As CAL'!$E$6:$E$35</c:f>
              <c:numCache>
                <c:formatCode>#,##0</c:formatCode>
                <c:ptCount val="30"/>
                <c:pt idx="0">
                  <c:v>17.034815264907841</c:v>
                </c:pt>
                <c:pt idx="1">
                  <c:v>17.92604013467345</c:v>
                </c:pt>
                <c:pt idx="2">
                  <c:v>15.503640437725355</c:v>
                </c:pt>
                <c:pt idx="3">
                  <c:v>29.562249012118791</c:v>
                </c:pt>
                <c:pt idx="4">
                  <c:v>27.704608070403381</c:v>
                </c:pt>
                <c:pt idx="5">
                  <c:v>19.997306590670725</c:v>
                </c:pt>
                <c:pt idx="6">
                  <c:v>10.436780522061136</c:v>
                </c:pt>
                <c:pt idx="7">
                  <c:v>15.06626195211736</c:v>
                </c:pt>
                <c:pt idx="8">
                  <c:v>10.905295760365252</c:v>
                </c:pt>
                <c:pt idx="9">
                  <c:v>6.6719571850409691</c:v>
                </c:pt>
                <c:pt idx="10">
                  <c:v>8.9223053203658296</c:v>
                </c:pt>
                <c:pt idx="11">
                  <c:v>21.273388437093605</c:v>
                </c:pt>
                <c:pt idx="12">
                  <c:v>22.070081928928818</c:v>
                </c:pt>
                <c:pt idx="13">
                  <c:v>21.400749721323734</c:v>
                </c:pt>
                <c:pt idx="14">
                  <c:v>19.068582309827722</c:v>
                </c:pt>
                <c:pt idx="15">
                  <c:v>23.478859918414088</c:v>
                </c:pt>
                <c:pt idx="16">
                  <c:v>19.184468234775274</c:v>
                </c:pt>
                <c:pt idx="17">
                  <c:v>11.652615443859117</c:v>
                </c:pt>
                <c:pt idx="18">
                  <c:v>32.497090062531356</c:v>
                </c:pt>
                <c:pt idx="19">
                  <c:v>33.838682543884985</c:v>
                </c:pt>
                <c:pt idx="20">
                  <c:v>29.038000097600129</c:v>
                </c:pt>
                <c:pt idx="21">
                  <c:v>27.923885320642949</c:v>
                </c:pt>
                <c:pt idx="22">
                  <c:v>24.100598082888698</c:v>
                </c:pt>
                <c:pt idx="23">
                  <c:v>27.104588550531616</c:v>
                </c:pt>
                <c:pt idx="24">
                  <c:v>25.698208431056358</c:v>
                </c:pt>
                <c:pt idx="25">
                  <c:v>29.118180773696842</c:v>
                </c:pt>
                <c:pt idx="26">
                  <c:v>19.13910662669452</c:v>
                </c:pt>
                <c:pt idx="27">
                  <c:v>18.29986106432866</c:v>
                </c:pt>
                <c:pt idx="28">
                  <c:v>19.387743880966898</c:v>
                </c:pt>
                <c:pt idx="29">
                  <c:v>16.388313236015385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B7-4ED0-99E9-A00D68352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3688704"/>
        <c:axId val="826159040"/>
      </c:lineChart>
      <c:lineChart>
        <c:grouping val="standard"/>
        <c:varyColors val="0"/>
        <c:ser>
          <c:idx val="0"/>
          <c:order val="1"/>
          <c:tx>
            <c:strRef>
              <c:f>'As CAL'!$F$5</c:f>
              <c:strCache>
                <c:ptCount val="1"/>
                <c:pt idx="0">
                  <c:v>As Conc</c:v>
                </c:pt>
              </c:strCache>
            </c:strRef>
          </c:tx>
          <c:spPr>
            <a:ln w="158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'As CAL'!$B$6:$B$35</c:f>
              <c:numCache>
                <c:formatCode>m/d/yyyy</c:formatCode>
                <c:ptCount val="30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</c:numCache>
            </c:numRef>
          </c:cat>
          <c:val>
            <c:numRef>
              <c:f>'As CAL'!$F$6:$F$35</c:f>
              <c:numCache>
                <c:formatCode>#,##0</c:formatCode>
                <c:ptCount val="30"/>
                <c:pt idx="0">
                  <c:v>342.5</c:v>
                </c:pt>
                <c:pt idx="1">
                  <c:v>474.75</c:v>
                </c:pt>
                <c:pt idx="2">
                  <c:v>670.75</c:v>
                </c:pt>
                <c:pt idx="3">
                  <c:v>1534.1666666666667</c:v>
                </c:pt>
                <c:pt idx="4">
                  <c:v>1680.5</c:v>
                </c:pt>
                <c:pt idx="5">
                  <c:v>1334.9166666666667</c:v>
                </c:pt>
                <c:pt idx="6">
                  <c:v>857</c:v>
                </c:pt>
                <c:pt idx="7">
                  <c:v>1167.8333333333333</c:v>
                </c:pt>
                <c:pt idx="8">
                  <c:v>1089.1666666666667</c:v>
                </c:pt>
                <c:pt idx="9">
                  <c:v>720.41666666666663</c:v>
                </c:pt>
                <c:pt idx="10">
                  <c:v>1109.1666666666667</c:v>
                </c:pt>
                <c:pt idx="11">
                  <c:v>992.08333333333337</c:v>
                </c:pt>
                <c:pt idx="12">
                  <c:v>620.91666666666663</c:v>
                </c:pt>
                <c:pt idx="13">
                  <c:v>549.16666666666663</c:v>
                </c:pt>
                <c:pt idx="14">
                  <c:v>473.16666666666669</c:v>
                </c:pt>
                <c:pt idx="15">
                  <c:v>586.25</c:v>
                </c:pt>
                <c:pt idx="16">
                  <c:v>761.25</c:v>
                </c:pt>
                <c:pt idx="17">
                  <c:v>524.36769497366026</c:v>
                </c:pt>
                <c:pt idx="18">
                  <c:v>1462.3690528139109</c:v>
                </c:pt>
                <c:pt idx="19">
                  <c:v>1522.7407144748242</c:v>
                </c:pt>
                <c:pt idx="20">
                  <c:v>1306.7100043920059</c:v>
                </c:pt>
                <c:pt idx="21">
                  <c:v>1256.5748394289326</c:v>
                </c:pt>
                <c:pt idx="22">
                  <c:v>1084.5269137299915</c:v>
                </c:pt>
                <c:pt idx="23">
                  <c:v>1219.7064847739227</c:v>
                </c:pt>
                <c:pt idx="24">
                  <c:v>1156.4193793975362</c:v>
                </c:pt>
                <c:pt idx="25">
                  <c:v>1310.318134816358</c:v>
                </c:pt>
                <c:pt idx="26">
                  <c:v>861.25979820125337</c:v>
                </c:pt>
                <c:pt idx="27">
                  <c:v>823.49374789478964</c:v>
                </c:pt>
                <c:pt idx="28">
                  <c:v>872.44847464351039</c:v>
                </c:pt>
                <c:pt idx="29">
                  <c:v>737.47409562069231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B7-4ED0-99E9-A00D68352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6472448"/>
        <c:axId val="826159616"/>
      </c:lineChart>
      <c:catAx>
        <c:axId val="783688704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2615904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8261590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As Alim</a:t>
                </a:r>
              </a:p>
            </c:rich>
          </c:tx>
          <c:layout>
            <c:manualLayout>
              <c:xMode val="edge"/>
              <c:yMode val="edge"/>
              <c:x val="3.1963665637880397E-2"/>
              <c:y val="0.37425859407083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solidFill>
              <a:srgbClr val="808080"/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83688704"/>
        <c:crosses val="autoZero"/>
        <c:crossBetween val="between"/>
      </c:valAx>
      <c:catAx>
        <c:axId val="826472448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one"/>
        <c:crossAx val="826159616"/>
        <c:crosses val="autoZero"/>
        <c:auto val="0"/>
        <c:lblAlgn val="ctr"/>
        <c:lblOffset val="100"/>
        <c:noMultiLvlLbl val="0"/>
      </c:catAx>
      <c:valAx>
        <c:axId val="826159616"/>
        <c:scaling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As Conc</a:t>
                </a:r>
              </a:p>
            </c:rich>
          </c:tx>
          <c:layout>
            <c:manualLayout>
              <c:xMode val="edge"/>
              <c:yMode val="edge"/>
              <c:x val="0.92972574473670166"/>
              <c:y val="0.386700048344085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26472448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 alignWithMargins="0">
      <c:oddHeader>&amp;A</c:oddHeader>
      <c:oddFooter>Page &amp;P</c:oddFooter>
    </c:headerFooter>
    <c:pageMargins b="1" l="0.75000000000000011" r="0.75000000000000011" t="1" header="0.5" footer="0.5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ST As  Septiembre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7.4978577549271633E-2"/>
          <c:y val="9.6605293544013843E-2"/>
          <c:w val="0.82262262425604538"/>
          <c:h val="0.69009632416637579"/>
        </c:manualLayout>
      </c:layout>
      <c:lineChart>
        <c:grouping val="standard"/>
        <c:varyColors val="0"/>
        <c:ser>
          <c:idx val="1"/>
          <c:order val="0"/>
          <c:tx>
            <c:strRef>
              <c:f>'As CAL'!$E$5</c:f>
              <c:strCache>
                <c:ptCount val="1"/>
                <c:pt idx="0">
                  <c:v>As Alim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'As CAL'!$B$42:$B$72</c:f>
              <c:numCache>
                <c:formatCode>m/d/yyyy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  <c:pt idx="30">
                  <c:v>46112.791666666664</c:v>
                </c:pt>
              </c:numCache>
            </c:numRef>
          </c:cat>
          <c:val>
            <c:numRef>
              <c:f>'As CAL'!$E$42:$E$72</c:f>
              <c:numCache>
                <c:formatCode>#,##0</c:formatCode>
                <c:ptCount val="31"/>
                <c:pt idx="0">
                  <c:v>13.340934941070996</c:v>
                </c:pt>
                <c:pt idx="1">
                  <c:v>15.018858959845458</c:v>
                </c:pt>
                <c:pt idx="2">
                  <c:v>20.001321136031645</c:v>
                </c:pt>
                <c:pt idx="3">
                  <c:v>24.727257065352916</c:v>
                </c:pt>
                <c:pt idx="4">
                  <c:v>18.480650909820113</c:v>
                </c:pt>
                <c:pt idx="5">
                  <c:v>25.413285510370944</c:v>
                </c:pt>
                <c:pt idx="6">
                  <c:v>50.502314575070429</c:v>
                </c:pt>
                <c:pt idx="7">
                  <c:v>57.800312080789894</c:v>
                </c:pt>
                <c:pt idx="8">
                  <c:v>41.609581397084085</c:v>
                </c:pt>
                <c:pt idx="9">
                  <c:v>33.827752555975259</c:v>
                </c:pt>
                <c:pt idx="10">
                  <c:v>28.347256174127001</c:v>
                </c:pt>
                <c:pt idx="11">
                  <c:v>19.822486450107309</c:v>
                </c:pt>
                <c:pt idx="12">
                  <c:v>33.625401102141829</c:v>
                </c:pt>
                <c:pt idx="13">
                  <c:v>27.759645092424382</c:v>
                </c:pt>
                <c:pt idx="14">
                  <c:v>14.817580029148322</c:v>
                </c:pt>
                <c:pt idx="15">
                  <c:v>18.341810177800259</c:v>
                </c:pt>
                <c:pt idx="16">
                  <c:v>21.341985226593096</c:v>
                </c:pt>
                <c:pt idx="17">
                  <c:v>16.373163639706902</c:v>
                </c:pt>
                <c:pt idx="18">
                  <c:v>13.718164963383902</c:v>
                </c:pt>
                <c:pt idx="19">
                  <c:v>12.567823898950513</c:v>
                </c:pt>
                <c:pt idx="20">
                  <c:v>17.786078626776714</c:v>
                </c:pt>
                <c:pt idx="21">
                  <c:v>14.221244023782493</c:v>
                </c:pt>
                <c:pt idx="22">
                  <c:v>23.299099515436758</c:v>
                </c:pt>
                <c:pt idx="23">
                  <c:v>32.725416577674395</c:v>
                </c:pt>
                <c:pt idx="24">
                  <c:v>35.841282935384321</c:v>
                </c:pt>
                <c:pt idx="25">
                  <c:v>41.877634288827736</c:v>
                </c:pt>
                <c:pt idx="26">
                  <c:v>49.395080981495639</c:v>
                </c:pt>
                <c:pt idx="27">
                  <c:v>29.582279762370987</c:v>
                </c:pt>
                <c:pt idx="28">
                  <c:v>39.292126131271907</c:v>
                </c:pt>
                <c:pt idx="29">
                  <c:v>34.676861667214887</c:v>
                </c:pt>
                <c:pt idx="30">
                  <c:v>15.826001958554642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05-4631-A151-DF9016FE3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3671296"/>
        <c:axId val="826161920"/>
      </c:lineChart>
      <c:lineChart>
        <c:grouping val="standard"/>
        <c:varyColors val="0"/>
        <c:ser>
          <c:idx val="0"/>
          <c:order val="1"/>
          <c:tx>
            <c:strRef>
              <c:f>'As CAL'!$F$5</c:f>
              <c:strCache>
                <c:ptCount val="1"/>
                <c:pt idx="0">
                  <c:v>As Conc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'As CAL'!$B$42:$B$71</c:f>
              <c:numCache>
                <c:formatCode>m/d/yyyy</c:formatCode>
                <c:ptCount val="30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</c:numCache>
            </c:numRef>
          </c:cat>
          <c:val>
            <c:numRef>
              <c:f>'As CAL'!$F$42:$F$71</c:f>
              <c:numCache>
                <c:formatCode>#,##0</c:formatCode>
                <c:ptCount val="30"/>
                <c:pt idx="0">
                  <c:v>600.34207234819485</c:v>
                </c:pt>
                <c:pt idx="1">
                  <c:v>675.84865319304561</c:v>
                </c:pt>
                <c:pt idx="2">
                  <c:v>900.05945112142399</c:v>
                </c:pt>
                <c:pt idx="3">
                  <c:v>1112.7265679408813</c:v>
                </c:pt>
                <c:pt idx="4">
                  <c:v>831.62929094190508</c:v>
                </c:pt>
                <c:pt idx="5">
                  <c:v>1143.5978479666924</c:v>
                </c:pt>
                <c:pt idx="6">
                  <c:v>2272.6041558781694</c:v>
                </c:pt>
                <c:pt idx="7">
                  <c:v>2601.014043635545</c:v>
                </c:pt>
                <c:pt idx="8">
                  <c:v>1872.4311628687838</c:v>
                </c:pt>
                <c:pt idx="9">
                  <c:v>1522.2488650188866</c:v>
                </c:pt>
                <c:pt idx="10">
                  <c:v>1275.626527835715</c:v>
                </c:pt>
                <c:pt idx="11">
                  <c:v>892.01189025482893</c:v>
                </c:pt>
                <c:pt idx="12">
                  <c:v>1513.1430495963823</c:v>
                </c:pt>
                <c:pt idx="13">
                  <c:v>1249.1840291590972</c:v>
                </c:pt>
                <c:pt idx="14">
                  <c:v>666.79110131167454</c:v>
                </c:pt>
                <c:pt idx="15">
                  <c:v>825.38145800101165</c:v>
                </c:pt>
                <c:pt idx="16">
                  <c:v>960.38933519668933</c:v>
                </c:pt>
                <c:pt idx="17">
                  <c:v>736.7923637868106</c:v>
                </c:pt>
                <c:pt idx="18">
                  <c:v>617.31742335227557</c:v>
                </c:pt>
                <c:pt idx="19">
                  <c:v>565.55207545277312</c:v>
                </c:pt>
                <c:pt idx="20">
                  <c:v>800.37353820495218</c:v>
                </c:pt>
                <c:pt idx="21">
                  <c:v>639.95598107021215</c:v>
                </c:pt>
                <c:pt idx="22">
                  <c:v>1048.4594781946541</c:v>
                </c:pt>
                <c:pt idx="23">
                  <c:v>1472.6437459953477</c:v>
                </c:pt>
                <c:pt idx="24">
                  <c:v>1612.8577320922943</c:v>
                </c:pt>
                <c:pt idx="25">
                  <c:v>1884.4935429972481</c:v>
                </c:pt>
                <c:pt idx="26">
                  <c:v>2222.7786441673038</c:v>
                </c:pt>
                <c:pt idx="27">
                  <c:v>1331.2025893066943</c:v>
                </c:pt>
                <c:pt idx="28">
                  <c:v>1768.1456759072357</c:v>
                </c:pt>
                <c:pt idx="29">
                  <c:v>1560.4587750246699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05-4631-A151-DF9016FE3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3671808"/>
        <c:axId val="826162496"/>
      </c:lineChart>
      <c:catAx>
        <c:axId val="783671296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26161920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8261619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As Alim</a:t>
                </a:r>
              </a:p>
            </c:rich>
          </c:tx>
          <c:layout>
            <c:manualLayout>
              <c:xMode val="edge"/>
              <c:yMode val="edge"/>
              <c:x val="6.4267352185089976E-3"/>
              <c:y val="0.399015295501855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83671296"/>
        <c:crosses val="autoZero"/>
        <c:crossBetween val="between"/>
      </c:valAx>
      <c:catAx>
        <c:axId val="783671808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one"/>
        <c:crossAx val="826162496"/>
        <c:crosses val="autoZero"/>
        <c:auto val="0"/>
        <c:lblAlgn val="ctr"/>
        <c:lblOffset val="100"/>
        <c:noMultiLvlLbl val="0"/>
      </c:catAx>
      <c:valAx>
        <c:axId val="826162496"/>
        <c:scaling>
          <c:orientation val="minMax"/>
          <c:min val="200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As Conc</a:t>
                </a:r>
              </a:p>
            </c:rich>
          </c:tx>
          <c:layout>
            <c:manualLayout>
              <c:xMode val="edge"/>
              <c:yMode val="edge"/>
              <c:x val="0.95758408733612665"/>
              <c:y val="0.386700024565894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83671808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 alignWithMargins="0">
      <c:oddHeader>&amp;A</c:oddHeader>
      <c:oddFooter>Page &amp;P</c:oddFooter>
    </c:headerFooter>
    <c:pageMargins b="1" l="0.75000000000000011" r="0.75000000000000011" t="1" header="0.5" footer="0.5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Short Term  vs  Real + Proyección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2125107112253641"/>
          <c:y val="9.6605293544013843E-2"/>
          <c:w val="0.82262262425604538"/>
          <c:h val="0.70980075766391271"/>
        </c:manualLayout>
      </c:layout>
      <c:lineChart>
        <c:grouping val="standard"/>
        <c:varyColors val="0"/>
        <c:ser>
          <c:idx val="0"/>
          <c:order val="0"/>
          <c:tx>
            <c:strRef>
              <c:f>'As CAL'!$B$3</c:f>
              <c:strCache>
                <c:ptCount val="1"/>
                <c:pt idx="0">
                  <c:v>R+P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'As CAL'!$B$6:$B$36</c:f>
              <c:numCache>
                <c:formatCode>m/d/yyyy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  <c:pt idx="30">
                  <c:v>46112.791666666664</c:v>
                </c:pt>
              </c:numCache>
            </c:numRef>
          </c:cat>
          <c:val>
            <c:numRef>
              <c:f>'As CAL'!$F$6:$F$36</c:f>
              <c:numCache>
                <c:formatCode>#,##0</c:formatCode>
                <c:ptCount val="31"/>
                <c:pt idx="0">
                  <c:v>342.5</c:v>
                </c:pt>
                <c:pt idx="1">
                  <c:v>474.75</c:v>
                </c:pt>
                <c:pt idx="2">
                  <c:v>670.75</c:v>
                </c:pt>
                <c:pt idx="3">
                  <c:v>1534.1666666666667</c:v>
                </c:pt>
                <c:pt idx="4">
                  <c:v>1680.5</c:v>
                </c:pt>
                <c:pt idx="5">
                  <c:v>1334.9166666666667</c:v>
                </c:pt>
                <c:pt idx="6">
                  <c:v>857</c:v>
                </c:pt>
                <c:pt idx="7">
                  <c:v>1167.8333333333333</c:v>
                </c:pt>
                <c:pt idx="8">
                  <c:v>1089.1666666666667</c:v>
                </c:pt>
                <c:pt idx="9">
                  <c:v>720.41666666666663</c:v>
                </c:pt>
                <c:pt idx="10">
                  <c:v>1109.1666666666667</c:v>
                </c:pt>
                <c:pt idx="11">
                  <c:v>992.08333333333337</c:v>
                </c:pt>
                <c:pt idx="12">
                  <c:v>620.91666666666663</c:v>
                </c:pt>
                <c:pt idx="13">
                  <c:v>549.16666666666663</c:v>
                </c:pt>
                <c:pt idx="14">
                  <c:v>473.16666666666669</c:v>
                </c:pt>
                <c:pt idx="15">
                  <c:v>586.25</c:v>
                </c:pt>
                <c:pt idx="16">
                  <c:v>761.25</c:v>
                </c:pt>
                <c:pt idx="17">
                  <c:v>524.36769497366026</c:v>
                </c:pt>
                <c:pt idx="18">
                  <c:v>1462.3690528139109</c:v>
                </c:pt>
                <c:pt idx="19">
                  <c:v>1522.7407144748242</c:v>
                </c:pt>
                <c:pt idx="20">
                  <c:v>1306.7100043920059</c:v>
                </c:pt>
                <c:pt idx="21">
                  <c:v>1256.5748394289326</c:v>
                </c:pt>
                <c:pt idx="22">
                  <c:v>1084.5269137299915</c:v>
                </c:pt>
                <c:pt idx="23">
                  <c:v>1219.7064847739227</c:v>
                </c:pt>
                <c:pt idx="24">
                  <c:v>1156.4193793975362</c:v>
                </c:pt>
                <c:pt idx="25">
                  <c:v>1310.318134816358</c:v>
                </c:pt>
                <c:pt idx="26">
                  <c:v>861.25979820125337</c:v>
                </c:pt>
                <c:pt idx="27">
                  <c:v>823.49374789478964</c:v>
                </c:pt>
                <c:pt idx="28">
                  <c:v>872.44847464351039</c:v>
                </c:pt>
                <c:pt idx="29">
                  <c:v>737.47409562069231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E5-453C-A6C7-49346DCDF187}"/>
            </c:ext>
          </c:extLst>
        </c:ser>
        <c:ser>
          <c:idx val="1"/>
          <c:order val="1"/>
          <c:tx>
            <c:strRef>
              <c:f>'As CAL'!$B$39</c:f>
              <c:strCache>
                <c:ptCount val="1"/>
                <c:pt idx="0">
                  <c:v>ST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'As CAL'!$F$42:$F$72</c:f>
              <c:numCache>
                <c:formatCode>#,##0</c:formatCode>
                <c:ptCount val="31"/>
                <c:pt idx="0">
                  <c:v>600.34207234819485</c:v>
                </c:pt>
                <c:pt idx="1">
                  <c:v>675.84865319304561</c:v>
                </c:pt>
                <c:pt idx="2">
                  <c:v>900.05945112142399</c:v>
                </c:pt>
                <c:pt idx="3">
                  <c:v>1112.7265679408813</c:v>
                </c:pt>
                <c:pt idx="4">
                  <c:v>831.62929094190508</c:v>
                </c:pt>
                <c:pt idx="5">
                  <c:v>1143.5978479666924</c:v>
                </c:pt>
                <c:pt idx="6">
                  <c:v>2272.6041558781694</c:v>
                </c:pt>
                <c:pt idx="7">
                  <c:v>2601.014043635545</c:v>
                </c:pt>
                <c:pt idx="8">
                  <c:v>1872.4311628687838</c:v>
                </c:pt>
                <c:pt idx="9">
                  <c:v>1522.2488650188866</c:v>
                </c:pt>
                <c:pt idx="10">
                  <c:v>1275.626527835715</c:v>
                </c:pt>
                <c:pt idx="11">
                  <c:v>892.01189025482893</c:v>
                </c:pt>
                <c:pt idx="12">
                  <c:v>1513.1430495963823</c:v>
                </c:pt>
                <c:pt idx="13">
                  <c:v>1249.1840291590972</c:v>
                </c:pt>
                <c:pt idx="14">
                  <c:v>666.79110131167454</c:v>
                </c:pt>
                <c:pt idx="15">
                  <c:v>825.38145800101165</c:v>
                </c:pt>
                <c:pt idx="16">
                  <c:v>960.38933519668933</c:v>
                </c:pt>
                <c:pt idx="17">
                  <c:v>736.7923637868106</c:v>
                </c:pt>
                <c:pt idx="18">
                  <c:v>617.31742335227557</c:v>
                </c:pt>
                <c:pt idx="19">
                  <c:v>565.55207545277312</c:v>
                </c:pt>
                <c:pt idx="20">
                  <c:v>800.37353820495218</c:v>
                </c:pt>
                <c:pt idx="21">
                  <c:v>639.95598107021215</c:v>
                </c:pt>
                <c:pt idx="22">
                  <c:v>1048.4594781946541</c:v>
                </c:pt>
                <c:pt idx="23">
                  <c:v>1472.6437459953477</c:v>
                </c:pt>
                <c:pt idx="24">
                  <c:v>1612.8577320922943</c:v>
                </c:pt>
                <c:pt idx="25">
                  <c:v>1884.4935429972481</c:v>
                </c:pt>
                <c:pt idx="26">
                  <c:v>2222.7786441673038</c:v>
                </c:pt>
                <c:pt idx="27">
                  <c:v>1331.2025893066943</c:v>
                </c:pt>
                <c:pt idx="28">
                  <c:v>1768.1456759072357</c:v>
                </c:pt>
                <c:pt idx="29">
                  <c:v>1560.4587750246699</c:v>
                </c:pt>
                <c:pt idx="30">
                  <c:v>712.17008813495886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E5-453C-A6C7-49346DCDF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3672832"/>
        <c:axId val="823305920"/>
      </c:lineChart>
      <c:catAx>
        <c:axId val="783672832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23305920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8233059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As Conc</a:t>
                </a:r>
              </a:p>
            </c:rich>
          </c:tx>
          <c:layout>
            <c:manualLayout>
              <c:xMode val="edge"/>
              <c:yMode val="edge"/>
              <c:x val="2.0137103684661525E-2"/>
              <c:y val="0.395758815756779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8367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 alignWithMargins="0">
      <c:oddHeader>&amp;A</c:oddHeader>
      <c:oddFooter>Page &amp;P</c:oddFooter>
    </c:headerFooter>
    <c:pageMargins b="1" l="0.75000000000000011" r="0.75000000000000011" t="1" header="0.5" footer="0.5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Consumo de Cal ST Junio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1957160446078276"/>
          <c:y val="9.6605293544013843E-2"/>
          <c:w val="0.83629862686669887"/>
          <c:h val="0.64955446833243569"/>
        </c:manualLayout>
      </c:layout>
      <c:lineChart>
        <c:grouping val="standard"/>
        <c:varyColors val="0"/>
        <c:ser>
          <c:idx val="1"/>
          <c:order val="0"/>
          <c:tx>
            <c:v>Consumo de Cal, TPH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'As CAL'!$B$77:$B$107</c:f>
              <c:numCache>
                <c:formatCode>m/d/yyyy</c:formatCode>
                <c:ptCount val="31"/>
                <c:pt idx="0">
                  <c:v>46082.791666666664</c:v>
                </c:pt>
                <c:pt idx="1">
                  <c:v>46083.791666666664</c:v>
                </c:pt>
                <c:pt idx="2">
                  <c:v>46084.791666666664</c:v>
                </c:pt>
                <c:pt idx="3">
                  <c:v>46085.791666666664</c:v>
                </c:pt>
                <c:pt idx="4">
                  <c:v>46086.791666666664</c:v>
                </c:pt>
                <c:pt idx="5">
                  <c:v>46087.791666666664</c:v>
                </c:pt>
                <c:pt idx="6">
                  <c:v>46088.791666666664</c:v>
                </c:pt>
                <c:pt idx="7">
                  <c:v>46089.791666666664</c:v>
                </c:pt>
                <c:pt idx="8">
                  <c:v>46090.791666666664</c:v>
                </c:pt>
                <c:pt idx="9">
                  <c:v>46091.791666666664</c:v>
                </c:pt>
                <c:pt idx="10">
                  <c:v>46092.791666666664</c:v>
                </c:pt>
                <c:pt idx="11">
                  <c:v>46093.791666666664</c:v>
                </c:pt>
                <c:pt idx="12">
                  <c:v>46094.791666666664</c:v>
                </c:pt>
                <c:pt idx="13">
                  <c:v>46095.791666666664</c:v>
                </c:pt>
                <c:pt idx="14">
                  <c:v>46096.791666666664</c:v>
                </c:pt>
                <c:pt idx="15">
                  <c:v>46097.791666666664</c:v>
                </c:pt>
                <c:pt idx="16">
                  <c:v>46098.791666666664</c:v>
                </c:pt>
                <c:pt idx="17">
                  <c:v>46099.791666666664</c:v>
                </c:pt>
                <c:pt idx="18">
                  <c:v>46100.791666666664</c:v>
                </c:pt>
                <c:pt idx="19">
                  <c:v>46101.791666666664</c:v>
                </c:pt>
                <c:pt idx="20">
                  <c:v>46102.791666666664</c:v>
                </c:pt>
                <c:pt idx="21">
                  <c:v>46103.791666666664</c:v>
                </c:pt>
                <c:pt idx="22">
                  <c:v>46104.791666666664</c:v>
                </c:pt>
                <c:pt idx="23">
                  <c:v>46105.791666666664</c:v>
                </c:pt>
                <c:pt idx="24">
                  <c:v>46106.791666666664</c:v>
                </c:pt>
                <c:pt idx="25">
                  <c:v>46107.791666666664</c:v>
                </c:pt>
                <c:pt idx="26">
                  <c:v>46108.791666666664</c:v>
                </c:pt>
                <c:pt idx="27">
                  <c:v>46109.791666666664</c:v>
                </c:pt>
                <c:pt idx="28">
                  <c:v>46110.791666666664</c:v>
                </c:pt>
                <c:pt idx="29">
                  <c:v>46111.791666666664</c:v>
                </c:pt>
                <c:pt idx="30">
                  <c:v>46112.791666666664</c:v>
                </c:pt>
              </c:numCache>
            </c:numRef>
          </c:cat>
          <c:val>
            <c:numRef>
              <c:f>'As CAL'!$C$77:$C$107</c:f>
              <c:numCache>
                <c:formatCode>#,##0.00</c:formatCode>
                <c:ptCount val="31"/>
                <c:pt idx="0">
                  <c:v>2.8713275046124296</c:v>
                </c:pt>
                <c:pt idx="1">
                  <c:v>3.9505742709927527</c:v>
                </c:pt>
                <c:pt idx="2">
                  <c:v>3.6059643785561017</c:v>
                </c:pt>
                <c:pt idx="3">
                  <c:v>4.4356482578532468</c:v>
                </c:pt>
                <c:pt idx="4">
                  <c:v>7.7531115650783722</c:v>
                </c:pt>
                <c:pt idx="5">
                  <c:v>8.8217794865613417</c:v>
                </c:pt>
                <c:pt idx="6">
                  <c:v>11.704749348496371</c:v>
                </c:pt>
                <c:pt idx="7">
                  <c:v>12.991030822010854</c:v>
                </c:pt>
                <c:pt idx="8">
                  <c:v>13.794263015073142</c:v>
                </c:pt>
                <c:pt idx="9">
                  <c:v>8.3309871509720423</c:v>
                </c:pt>
                <c:pt idx="10">
                  <c:v>10.709532641645659</c:v>
                </c:pt>
                <c:pt idx="11">
                  <c:v>12.745077938695724</c:v>
                </c:pt>
                <c:pt idx="12">
                  <c:v>11.203932554514701</c:v>
                </c:pt>
                <c:pt idx="13">
                  <c:v>2.581497550644456</c:v>
                </c:pt>
                <c:pt idx="14">
                  <c:v>2.742049549371794</c:v>
                </c:pt>
                <c:pt idx="15">
                  <c:v>2.0989706798454315</c:v>
                </c:pt>
                <c:pt idx="16">
                  <c:v>2.1290597474656603</c:v>
                </c:pt>
                <c:pt idx="17">
                  <c:v>2.9648085604373295</c:v>
                </c:pt>
                <c:pt idx="18">
                  <c:v>3.205671308964968</c:v>
                </c:pt>
                <c:pt idx="19">
                  <c:v>2.1863180145891046</c:v>
                </c:pt>
                <c:pt idx="20">
                  <c:v>1.8456265163704968</c:v>
                </c:pt>
                <c:pt idx="21">
                  <c:v>1.5896456690077565</c:v>
                </c:pt>
                <c:pt idx="22">
                  <c:v>4.6149948034125057</c:v>
                </c:pt>
                <c:pt idx="23">
                  <c:v>8.7129265768370967</c:v>
                </c:pt>
                <c:pt idx="24">
                  <c:v>11.510971907653703</c:v>
                </c:pt>
                <c:pt idx="25">
                  <c:v>11.190176576909705</c:v>
                </c:pt>
                <c:pt idx="26">
                  <c:v>9.0466950257680168</c:v>
                </c:pt>
                <c:pt idx="27">
                  <c:v>10.963076331604112</c:v>
                </c:pt>
                <c:pt idx="28">
                  <c:v>8.776585801060218</c:v>
                </c:pt>
                <c:pt idx="29">
                  <c:v>8.1217717553348248</c:v>
                </c:pt>
                <c:pt idx="30">
                  <c:v>4.6586779806323122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05-4631-A151-DF9016FE3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3673856"/>
        <c:axId val="823308224"/>
      </c:lineChart>
      <c:catAx>
        <c:axId val="783673856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23308224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823308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Cal,Tph</a:t>
                </a:r>
              </a:p>
            </c:rich>
          </c:tx>
          <c:layout>
            <c:manualLayout>
              <c:xMode val="edge"/>
              <c:yMode val="edge"/>
              <c:x val="9.8543273350471302E-3"/>
              <c:y val="0.3892456729268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8367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 alignWithMargins="0">
      <c:oddHeader>&amp;A</c:oddHeader>
      <c:oddFooter>Page &amp;P</c:oddFooter>
    </c:headerFooter>
    <c:pageMargins b="1" l="0.75000000000000011" r="0.75000000000000011" t="1" header="0.5" footer="0.5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title pos="t" align="ctr" overlay="0">
      <cx:tx>
        <cx:txData>
          <cx:v>Real vs ST Acumulado mes (hasta el día 09)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Real vs ST Acumulado mes (hasta el día 09)</a:t>
          </a:r>
        </a:p>
      </cx:txPr>
    </cx:title>
    <cx:plotArea>
      <cx:plotAreaRegion>
        <cx:series layoutId="waterfall" uniqueId="{0681E750-76E2-4D03-A967-4D1CFF057B2D}">
          <cx:dataLabels pos="outEnd">
            <cx:visibility seriesName="0" categoryName="0" value="1"/>
          </cx:dataLabels>
          <cx:dataId val="0"/>
          <cx:layoutPr>
            <cx:visibility connectorLines="1"/>
            <cx:subtotals>
              <cx:idx val="0"/>
              <cx:idx val="5"/>
            </cx:subtotals>
          </cx:layoutPr>
        </cx:series>
      </cx:plotAreaRegion>
      <cx:axis id="0">
        <cx:catScaling gapWidth="0.5"/>
        <cx:tickLabels/>
      </cx:axis>
      <cx:axis id="1" hidden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chemeClr val="accent4"/>
        </a:solidFill>
      </cx:spPr>
    </cx:fmtOvr>
    <cx:fmtOvr idx="1">
      <cx:spPr>
        <a:solidFill>
          <a:schemeClr val="accent1"/>
        </a:solidFill>
      </cx:spPr>
    </cx:fmtOvr>
  </cx:fmtOvr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</cx:f>
      </cx:strDim>
      <cx:numDim type="val">
        <cx:f>_xlchart.v5.3</cx:f>
      </cx:numDim>
    </cx:data>
  </cx:chartData>
  <cx:chart>
    <cx:title pos="t" align="ctr" overlay="0">
      <cx:tx>
        <cx:txData>
          <cx:v>Cu Fino Producido R+P vs 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 Fino Producido R+P vs ST</a:t>
          </a:r>
        </a:p>
      </cx:txPr>
    </cx:title>
    <cx:plotArea>
      <cx:plotAreaRegion>
        <cx:series layoutId="waterfall" uniqueId="{E7090B04-2432-4689-B204-6DE18D147B8D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5"/>
            </cx:subtotals>
          </cx:layoutPr>
        </cx:series>
      </cx:plotAreaRegion>
      <cx:axis id="0">
        <cx:catScaling gapWidth="0.5"/>
        <cx:tickLabels/>
      </cx:axis>
      <cx:axis id="1" hidden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chemeClr val="accent4"/>
        </a:solidFill>
      </cx:spPr>
    </cx:fmtOvr>
    <cx:fmtOvr idx="1">
      <cx:spPr>
        <a:solidFill>
          <a:schemeClr val="accent1"/>
        </a:solidFill>
      </cx:spPr>
    </cx:fmtOvr>
  </cx:fmtOvrs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</cx:strDim>
      <cx:numDim type="val">
        <cx:f>_xlchart.v5.5</cx:f>
      </cx:numDim>
    </cx:data>
  </cx:chartData>
  <cx:chart>
    <cx:title pos="t" align="ctr" overlay="0">
      <cx:tx>
        <cx:txData>
          <cx:v>CuFFP Real vs 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CuFFP Real vs ST</a:t>
          </a:r>
        </a:p>
      </cx:txPr>
    </cx:title>
    <cx:plotArea>
      <cx:plotAreaRegion>
        <cx:series layoutId="waterfall" uniqueId="{E53AAF20-21EC-47D0-921A-B325D9FAFF08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6"/>
              <cx:idx val="7"/>
            </cx:subtotals>
          </cx:layoutPr>
        </cx:series>
      </cx:plotAreaRegion>
      <cx:axis id="0">
        <cx:catScaling gapWidth="0.5"/>
        <cx:tickLabels/>
      </cx:axis>
      <cx:axis id="1" hidden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chemeClr val="accent4"/>
        </a:solidFill>
      </cx:spPr>
    </cx:fmtOvr>
    <cx:fmtOvr idx="1">
      <cx:spPr>
        <a:solidFill>
          <a:schemeClr val="accent1"/>
        </a:solidFill>
      </cx:spPr>
    </cx:fmtOvr>
  </cx:fmtOvrs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</cx:f>
      </cx:strDim>
      <cx:numDim type="val">
        <cx:f>_xlchart.v5.7</cx:f>
      </cx:numDim>
    </cx:data>
  </cx:chartData>
  <cx:chart>
    <cx:title pos="t" align="ctr" overlay="0">
      <cx:tx>
        <cx:txData>
          <cx:v>CuFFP R+P vs 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CuFFP R+P vs ST</a:t>
          </a:r>
        </a:p>
      </cx:txPr>
    </cx:title>
    <cx:plotArea>
      <cx:plotAreaRegion>
        <cx:series layoutId="waterfall" uniqueId="{C54F394C-E340-4D77-A3BF-78E0F833BCFD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6"/>
            </cx:subtotals>
          </cx:layoutPr>
        </cx:series>
      </cx:plotAreaRegion>
      <cx:axis id="0">
        <cx:catScaling gapWidth="0.5"/>
        <cx:tickLabels/>
      </cx:axis>
      <cx:axis id="1" hidden="1">
        <cx:valScaling max="31000" min="24000"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chemeClr val="accent4"/>
        </a:solidFill>
      </cx:spPr>
    </cx:fmtOvr>
    <cx:fmtOvr idx="1">
      <cx:spPr>
        <a:solidFill>
          <a:srgbClr val="C00000"/>
        </a:solidFill>
      </cx:spPr>
    </cx:fmtOvr>
  </cx:fmtOvrs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_xlchart.v1.9</cx:f>
      </cx:numDim>
    </cx:data>
  </cx:chartData>
  <cx:chart>
    <cx:title pos="t" align="ctr" overlay="0">
      <cx:tx>
        <cx:txData>
          <cx:v>Mo Fino Producido Real vs 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 Fino Producido Real vs ST</a:t>
          </a:r>
        </a:p>
      </cx:txPr>
    </cx:title>
    <cx:plotArea>
      <cx:plotAreaRegion>
        <cx:series layoutId="waterfall" uniqueId="{CBE78F42-5BC1-470A-BEF8-18D2C8C69196}"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subtotals>
              <cx:idx val="0"/>
              <cx:idx val="6"/>
            </cx:subtotals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val">
        <cx:f>_xlchart.v1.15</cx:f>
      </cx:numDim>
    </cx:data>
  </cx:chartData>
  <cx:chart>
    <cx:title pos="t" align="ctr" overlay="0">
      <cx:tx>
        <cx:txData>
          <cx:v>Mo Fino Envasado Real vs PM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 Fino Envasado Real vs PM</a:t>
          </a:r>
        </a:p>
      </cx:txPr>
    </cx:title>
    <cx:plotArea>
      <cx:plotAreaRegion>
        <cx:series layoutId="waterfall" uniqueId="{3F72752F-F141-4F3B-A2EE-EE1032E4DD6B}"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subtotals>
              <cx:idx val="0"/>
              <cx:idx val="7"/>
            </cx:subtotals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_xlchart.v1.13</cx:f>
      </cx:numDim>
    </cx:data>
  </cx:chartData>
  <cx:chart>
    <cx:title pos="t" align="ctr" overlay="0">
      <cx:tx>
        <cx:txData>
          <cx:v>Mo Fino Producido Real vs 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 Fino Producido Real vs ST</a:t>
          </a:r>
        </a:p>
      </cx:txPr>
    </cx:title>
    <cx:plotArea>
      <cx:plotAreaRegion>
        <cx:series layoutId="waterfall" uniqueId="{19846C5F-C3F0-411C-9285-A733E6A3CE3C}"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subtotals>
              <cx:idx val="0"/>
              <cx:idx val="6"/>
            </cx:subtotals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val">
        <cx:f>_xlchart.v1.17</cx:f>
      </cx:numDim>
    </cx:data>
  </cx:chartData>
  <cx:chart>
    <cx:title pos="t" align="ctr" overlay="0">
      <cx:tx>
        <cx:txData>
          <cx:v>Mo Fino Envasado Pagable Real vs 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 Fino Envasado Pagable Real vs ST</a:t>
          </a:r>
        </a:p>
      </cx:txPr>
    </cx:title>
    <cx:plotArea>
      <cx:plotAreaRegion>
        <cx:series layoutId="waterfall" uniqueId="{93D1DC42-C8B5-4FEB-A05C-FB0E561995E4}"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subtotals>
              <cx:idx val="0"/>
              <cx:idx val="7"/>
            </cx:subtotals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_xlchart.v5.10</cx:f>
      </cx:strDim>
      <cx:numDim type="val">
        <cx:f>_xlchart.v5.11</cx:f>
      </cx:numDim>
    </cx:data>
  </cx:chartData>
  <cx:chart>
    <cx:title pos="t" align="ctr" overlay="0">
      <cx:tx>
        <cx:txData>
          <cx:v>CuFFP [tmf] Real Vs PM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CuFFP [tmf] Real Vs PM</a:t>
          </a:r>
        </a:p>
      </cx:txPr>
    </cx:title>
    <cx:plotArea>
      <cx:plotAreaRegion>
        <cx:series layoutId="waterfall" uniqueId="{C45DDECD-1396-474D-8D80-CF662B829560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6"/>
            </cx:subtotals>
          </cx:layoutPr>
        </cx:series>
      </cx:plotAreaRegion>
      <cx:axis id="0">
        <cx:catScaling gapWidth="0.5"/>
        <cx:tickLabels/>
      </cx:axis>
      <cx:axis id="1">
        <cx:valScaling min="3000"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chemeClr val="accent4">
            <a:lumMod val="75000"/>
          </a:schemeClr>
        </a:solidFill>
      </cx:spPr>
    </cx:fmtOvr>
    <cx:fmtOvr idx="1">
      <cx:spPr>
        <a:solidFill>
          <a:srgbClr val="FF0000"/>
        </a:solidFill>
      </cx:spPr>
    </cx:fmtOvr>
    <cx:fmtOvr idx="2">
      <cx:spPr>
        <a:solidFill>
          <a:schemeClr val="accent4">
            <a:lumMod val="50000"/>
          </a:schemeClr>
        </a:solidFill>
      </cx:spPr>
    </cx:fmtOvr>
  </cx:fmtOvrs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_xlchart.v5.18</cx:f>
      </cx:strDim>
      <cx:numDim type="val">
        <cx:f>_xlchart.v5.19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 sz="1100" b="1"/>
            </a:pPr>
            <a:r>
              <a:rPr lang="es-ES" sz="1100" b="1" i="0" baseline="0">
                <a:effectLst/>
              </a:rPr>
              <a:t>CuFFP Real ENERO con BM  vs BD</a:t>
            </a:r>
            <a:endParaRPr lang="es-CL" sz="1100" b="1">
              <a:effectLst/>
            </a:endParaRPr>
          </a:p>
        </cx:rich>
      </cx:tx>
    </cx:title>
    <cx:plotArea>
      <cx:plotAreaRegion>
        <cx:series layoutId="waterfall" uniqueId="{9C6C085A-CBDE-44C4-90D9-3862AF9AF398}" formatIdx="0">
          <cx:dataPt idx="6">
            <cx:spPr>
              <a:solidFill>
                <a:srgbClr val="00778B">
                  <a:lumMod val="75000"/>
                </a:srgbClr>
              </a:solidFill>
            </cx:spPr>
          </cx:dataPt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900"/>
                </a:pPr>
                <a:endPara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6"/>
              <cx:idx val="7"/>
            </cx:subtotals>
          </cx:layoutPr>
        </cx:series>
      </cx:plotAreaRegion>
      <cx:axis id="0">
        <cx:cat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 hidden="1">
        <cx:valScaling min="15000"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900"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1">
      <cx:spPr>
        <a:solidFill>
          <a:schemeClr val="accent1"/>
        </a:solidFill>
      </cx:spPr>
    </cx:fmtOvr>
    <cx:fmtOvr idx="0">
      <cx:spPr>
        <a:solidFill>
          <a:schemeClr val="accent4"/>
        </a:solidFill>
      </cx:spPr>
    </cx:fmtOvr>
  </cx:fmtOvrs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_xlchart.v5.20</cx:f>
      </cx:strDim>
      <cx:numDim type="val">
        <cx:f>_xlchart.v5.21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 sz="1100" b="1"/>
            </a:pPr>
            <a:r>
              <a:rPr lang="es-ES" sz="1100" b="1" i="0" baseline="0">
                <a:effectLst/>
              </a:rPr>
              <a:t>CuFFP Real FEBRERO con BM  vs BD</a:t>
            </a:r>
            <a:endParaRPr lang="es-CL" sz="1100" b="1">
              <a:effectLst/>
            </a:endParaRPr>
          </a:p>
        </cx:rich>
      </cx:tx>
    </cx:title>
    <cx:plotArea>
      <cx:plotAreaRegion>
        <cx:series layoutId="waterfall" uniqueId="{9C6C085A-CBDE-44C4-90D9-3862AF9AF398}" formatIdx="0">
          <cx:dataPt idx="0">
            <cx:spPr>
              <a:solidFill>
                <a:srgbClr val="00778B"/>
              </a:solidFill>
            </cx:spPr>
          </cx:dataPt>
          <cx:dataPt idx="6">
            <cx:spPr>
              <a:solidFill>
                <a:srgbClr val="00778B">
                  <a:lumMod val="75000"/>
                </a:srgbClr>
              </a:solidFill>
            </cx:spPr>
          </cx:dataPt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900"/>
                </a:pPr>
                <a:endPara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6"/>
              <cx:idx val="7"/>
            </cx:subtotals>
          </cx:layoutPr>
        </cx:series>
      </cx:plotAreaRegion>
      <cx:axis id="0">
        <cx:cat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 hidden="1">
        <cx:valScaling min="15000"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900"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1">
      <cx:spPr>
        <a:solidFill>
          <a:schemeClr val="accent1"/>
        </a:solidFill>
      </cx:spPr>
    </cx:fmtOvr>
    <cx:fmtOvr idx="0">
      <cx:spPr>
        <a:solidFill>
          <a:schemeClr val="accent4"/>
        </a:solidFill>
      </cx:spPr>
    </cx:fmtOvr>
  </cx:fmtOvrs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_xlchart.v5.22</cx:f>
      </cx:strDim>
      <cx:numDim type="val">
        <cx:f>_xlchart.v5.23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 sz="1100" b="1"/>
            </a:pPr>
            <a:r>
              <a:rPr lang="es-ES" sz="1100" b="1" i="0" baseline="0">
                <a:effectLst/>
              </a:rPr>
              <a:t>CuFFP Real MARZO con BM  vs BD</a:t>
            </a:r>
            <a:endParaRPr lang="es-CL" sz="1100" b="1">
              <a:effectLst/>
            </a:endParaRPr>
          </a:p>
        </cx:rich>
      </cx:tx>
    </cx:title>
    <cx:plotArea>
      <cx:plotAreaRegion>
        <cx:series layoutId="waterfall" uniqueId="{9C6C085A-CBDE-44C4-90D9-3862AF9AF398}" formatIdx="0">
          <cx:dataPt idx="0">
            <cx:spPr>
              <a:solidFill>
                <a:srgbClr val="00778B"/>
              </a:solidFill>
            </cx:spPr>
          </cx:dataPt>
          <cx:dataPt idx="6">
            <cx:spPr>
              <a:solidFill>
                <a:srgbClr val="00778B">
                  <a:lumMod val="75000"/>
                </a:srgbClr>
              </a:solidFill>
            </cx:spPr>
          </cx:dataPt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900"/>
                </a:pPr>
                <a:endPara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6"/>
              <cx:idx val="7"/>
            </cx:subtotals>
          </cx:layoutPr>
        </cx:series>
      </cx:plotAreaRegion>
      <cx:axis id="0">
        <cx:cat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/>
            </a:pPr>
            <a:endParaRPr lang="es-E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 hidden="1">
        <cx:valScaling min="15000"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900"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1">
      <cx:spPr>
        <a:solidFill>
          <a:schemeClr val="accent1"/>
        </a:solidFill>
      </cx:spPr>
    </cx:fmtOvr>
    <cx:fmtOvr idx="0">
      <cx:spPr>
        <a:solidFill>
          <a:schemeClr val="accent4"/>
        </a:solidFill>
      </cx:spPr>
    </cx:fmtOvr>
  </cx:fmtOvrs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_xlchart.v5.24</cx:f>
      </cx:strDim>
      <cx:numDim type="val">
        <cx:f>_xlchart.v5.25</cx:f>
      </cx:numDim>
    </cx:data>
  </cx:chartData>
  <cx:chart>
    <cx:title pos="t" align="ctr" overlay="0">
      <cx:tx>
        <cx:txData>
          <cx:v>CuFFP H1 Acum Real versus Budget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/>
          </a:pPr>
          <a:r>
            <a: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CuFFP H1 Acum Real versus Budget</a:t>
          </a:r>
        </a:p>
      </cx:txPr>
    </cx:title>
    <cx:plotArea>
      <cx:plotAreaRegion>
        <cx:series layoutId="waterfall" uniqueId="{79062B33-7EF1-48D7-B3A6-F3D59F7F9CAD}" formatIdx="0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7"/>
            </cx:subtotals>
          </cx:layoutPr>
        </cx:series>
      </cx:plotAreaRegion>
      <cx:axis id="0">
        <cx:catScaling gapWidth="0.5"/>
        <cx:tickLabels/>
      </cx:axis>
      <cx:axis id="1" hidden="1">
        <cx:valScaling min="120000"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rgbClr val="92D050"/>
        </a:solidFill>
      </cx:spPr>
    </cx:fmtOvr>
    <cx:fmtOvr idx="1">
      <cx:spPr>
        <a:solidFill>
          <a:srgbClr val="EE0000"/>
        </a:solidFill>
      </cx:spPr>
    </cx:fmtOvr>
    <cx:fmtOvr idx="2">
      <cx:spPr>
        <a:solidFill>
          <a:schemeClr val="accent4">
            <a:lumMod val="50000"/>
          </a:schemeClr>
        </a:solidFill>
      </cx:spPr>
    </cx:fmtOvr>
  </cx:fmtOvrs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_xlchart.v5.30</cx:f>
      </cx:strDim>
      <cx:numDim type="val">
        <cx:f>_xlchart.v5.31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 sz="1200"/>
            </a:pPr>
            <a:r>
              <a:rPr lang="es-ES" sz="1200" b="0" i="0" baseline="0">
                <a:effectLst/>
              </a:rPr>
              <a:t>Waterfall CuFino - Budget  vs PM </a:t>
            </a:r>
            <a:endParaRPr lang="es-CL" sz="1200">
              <a:effectLst/>
            </a:endParaRPr>
          </a:p>
        </cx:rich>
      </cx:tx>
    </cx:title>
    <cx:plotArea>
      <cx:plotAreaRegion>
        <cx:series layoutId="waterfall" uniqueId="{47231281-98E6-4616-BA57-C345B812EB60}" formatIdx="0">
          <cx:dataLabels pos="outEnd">
            <cx:numFmt formatCode="#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s-ES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>
              <cx:idx val="0"/>
              <cx:idx val="5"/>
            </cx:subtotals>
          </cx:layoutPr>
        </cx:series>
      </cx:plotAreaRegion>
      <cx:axis id="0">
        <cx:catScaling gapWidth="0.5"/>
        <cx:tickLabels/>
      </cx:axis>
      <cx:axis id="1" hidden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chemeClr val="accent4"/>
        </a:solidFill>
      </cx:spPr>
    </cx:fmtOvr>
    <cx:fmtOvr idx="1">
      <cx:spPr>
        <a:solidFill>
          <a:schemeClr val="accent1"/>
        </a:solidFill>
      </cx:spPr>
    </cx:fmtOvr>
  </cx:fmtOvrs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_xlchart.v5.42</cx:f>
      </cx:strDim>
      <cx:numDim type="val">
        <cx:f>_xlchart.v5.43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r>
              <a:rPr lang="es-ES" sz="11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Waterfall CuFino - OL</a:t>
            </a:r>
            <a:r>
              <a:rPr lang="es-ES" sz="11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 6+6 </a:t>
            </a:r>
            <a:r>
              <a:rPr lang="es-ES" sz="11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vs </a:t>
            </a:r>
            <a:r>
              <a:rPr lang="es-ES" sz="11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PM</a:t>
            </a:r>
            <a:r>
              <a:rPr lang="es-ES" sz="11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</a:t>
            </a:r>
          </a:p>
        </cx:rich>
      </cx:tx>
    </cx:title>
    <cx:plotArea>
      <cx:plotAreaRegion>
        <cx:series layoutId="waterfall" uniqueId="{6CF0455B-63F1-499F-9567-B4C59A1D522B}" formatIdx="0">
          <cx:tx>
            <cx:txData>
              <cx:f>_xlchart.v5.42</cx:f>
              <cx:v>OL 6+6 Tratamiento  Ley Cu,% RCu, % PM</cx:v>
            </cx:txData>
          </cx:tx>
          <cx:dataPt idx="0">
            <cx:spPr>
              <a:solidFill>
                <a:srgbClr val="00778B"/>
              </a:solidFill>
            </cx:spPr>
          </cx:dataPt>
          <cx:dataLabels>
            <cx:numFmt formatCode="#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s-ES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  <cx:dataLabel idx="3">
              <cx:numFmt formatCode="#.##0" sourceLinked="0"/>
              <cx:separator>, </cx:separator>
            </cx:dataLabel>
          </cx:dataLabels>
          <cx:dataId val="0"/>
          <cx:layoutPr>
            <cx:subtotals>
              <cx:idx val="4"/>
            </cx:subtotals>
          </cx:layoutPr>
        </cx:series>
      </cx:plotAreaRegion>
      <cx:axis id="0">
        <cx:catScaling/>
        <cx:tickLabels/>
      </cx:axis>
      <cx:axis id="1" hidden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chemeClr val="accent4"/>
        </a:solidFill>
      </cx:spPr>
    </cx:fmtOvr>
    <cx:fmtOvr idx="1">
      <cx:spPr>
        <a:solidFill>
          <a:schemeClr val="accent1"/>
        </a:solidFill>
      </cx:spPr>
    </cx:fmtOvr>
  </cx:fmtOvrs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_xlchart.v5.44</cx:f>
      </cx:strDim>
      <cx:numDim type="val">
        <cx:f>_xlchart.v5.45</cx:f>
      </cx:numDim>
    </cx:data>
  </cx:chartData>
  <cx:chart>
    <cx:title pos="t" align="ctr" overlay="0">
      <cx:tx>
        <cx:txData>
          <cx:v>Waterfall Real + Proy. vs PM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Waterfall Real + Proy. vs PM</a:t>
          </a:r>
        </a:p>
      </cx:txPr>
    </cx:title>
    <cx:plotArea>
      <cx:plotAreaRegion>
        <cx:series layoutId="waterfall" uniqueId="{47231281-98E6-4616-BA57-C345B812EB60}" formatIdx="0">
          <cx:dataPt idx="0">
            <cx:spPr>
              <a:solidFill>
                <a:srgbClr val="00778B"/>
              </a:solidFill>
            </cx:spPr>
          </cx:dataPt>
          <cx:dataLabels pos="outEnd">
            <cx:numFmt formatCode="#,##0_ " sourceLinked="0"/>
            <cx:visibility seriesName="0" categoryName="0" value="1"/>
            <cx:separator>, </cx:separator>
          </cx:dataLabels>
          <cx:dataId val="0"/>
          <cx:layoutPr>
            <cx:subtotals>
              <cx:idx val="5"/>
            </cx:subtotals>
          </cx:layoutPr>
        </cx:series>
      </cx:plotAreaRegion>
      <cx:axis id="0">
        <cx:catScaling/>
        <cx:tickLabels/>
      </cx:axis>
      <cx:axis id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chemeClr val="accent4"/>
        </a:solidFill>
      </cx:spPr>
    </cx:fmtOvr>
    <cx:fmtOvr idx="1">
      <cx:spPr>
        <a:solidFill>
          <a:schemeClr val="accent1"/>
        </a:solidFill>
      </cx:spPr>
    </cx:fmtOvr>
  </cx:fmtOvrs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_xlchart.v5.34</cx:f>
      </cx:strDim>
      <cx:numDim type="val">
        <cx:f>_xlchart.v5.35</cx:f>
      </cx:numDim>
    </cx:data>
  </cx:chartData>
  <cx:chart>
    <cx:title pos="t" align="ctr" overlay="0">
      <cx:tx>
        <cx:txData>
          <cx:v>Waterfall CuFino - Real + Proy. ACUM vs BDGT ACUM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50"/>
          </a:pPr>
          <a:r>
            <a:rPr lang="es-ES" sz="105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Waterfall CuFino - Real + Proy. ACUM vs BDGT ACUM</a:t>
          </a:r>
        </a:p>
      </cx:txPr>
    </cx:title>
    <cx:plotArea>
      <cx:plotAreaRegion>
        <cx:series layoutId="waterfall" uniqueId="{6CF0455B-63F1-499F-9567-B4C59A1D522B}" formatIdx="0">
          <cx:dataPt idx="0">
            <cx:spPr>
              <a:solidFill>
                <a:srgbClr val="00778B"/>
              </a:solidFill>
            </cx:spPr>
          </cx:dataPt>
          <cx:dataLabels>
            <cx:numFmt formatCode="#" sourceLinked="0"/>
            <cx:visibility seriesName="0" categoryName="0" value="1"/>
            <cx:separator>, </cx:separator>
            <cx:dataLabel idx="3">
              <cx:numFmt formatCode="#.##0" sourceLinked="0"/>
              <cx:separator>, </cx:separator>
            </cx:dataLabel>
          </cx:dataLabels>
          <cx:dataId val="0"/>
          <cx:layoutPr>
            <cx:subtotals>
              <cx:idx val="4"/>
            </cx:subtotals>
          </cx:layoutPr>
        </cx:series>
      </cx:plotAreaRegion>
      <cx:axis id="0">
        <cx:catScaling/>
        <cx:tickLabels/>
      </cx:axis>
      <cx:axis id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chemeClr val="accent4"/>
        </a:solidFill>
      </cx:spPr>
    </cx:fmtOvr>
    <cx:fmtOvr idx="1">
      <cx:spPr>
        <a:solidFill>
          <a:schemeClr val="accent1"/>
        </a:solidFill>
      </cx:spPr>
    </cx:fmtOvr>
  </cx:fmtOvrs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_xlchart.v5.38</cx:f>
      </cx:strDim>
      <cx:numDim type="val">
        <cx:f>_xlchart.v5.39</cx:f>
      </cx:numDim>
    </cx:data>
  </cx:chartData>
  <cx:chart>
    <cx:title pos="t" align="ctr" overlay="0">
      <cx:tx>
        <cx:txData>
          <cx:v>Waterfall Real + Proy. vs BDGT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Waterfall Real + Proy. vs BDGT </a:t>
          </a:r>
        </a:p>
      </cx:txPr>
    </cx:title>
    <cx:plotArea>
      <cx:plotAreaRegion>
        <cx:series layoutId="waterfall" uniqueId="{47231281-98E6-4616-BA57-C345B812EB60}" formatIdx="0">
          <cx:dataPt idx="0">
            <cx:spPr>
              <a:solidFill>
                <a:srgbClr val="00778B"/>
              </a:solidFill>
            </cx:spPr>
          </cx:dataPt>
          <cx:dataLabels pos="outEnd">
            <cx:numFmt formatCode="#" sourceLinked="0"/>
            <cx:visibility seriesName="0" categoryName="0" value="1"/>
            <cx:separator>, </cx:separator>
          </cx:dataLabels>
          <cx:dataId val="0"/>
          <cx:layoutPr>
            <cx:subtotals>
              <cx:idx val="5"/>
            </cx:subtotals>
          </cx:layoutPr>
        </cx:series>
      </cx:plotAreaRegion>
      <cx:axis id="0">
        <cx:catScaling/>
        <cx:tickLabels/>
      </cx:axis>
      <cx:axis id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chemeClr val="accent4"/>
        </a:solidFill>
      </cx:spPr>
    </cx:fmtOvr>
    <cx:fmtOvr idx="1">
      <cx:spPr>
        <a:solidFill>
          <a:schemeClr val="accent1"/>
        </a:solidFill>
      </cx:spPr>
    </cx:fmtOvr>
  </cx:fmtOvrs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_xlchart.v5.36</cx:f>
      </cx:strDim>
      <cx:numDim type="val">
        <cx:f>_xlchart.v5.37</cx:f>
      </cx:numDim>
    </cx:data>
  </cx:chartData>
  <cx:chart>
    <cx:title pos="t" align="ctr" overlay="0">
      <cx:tx>
        <cx:txData>
          <cx:v>CuFFP OL 6+6 vs PM Junio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 b="1"/>
          </a:pPr>
          <a:r>
            <a:rPr lang="es-ES" sz="11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CuFFP OL 6+6 vs PM Junio</a:t>
          </a:r>
        </a:p>
      </cx:txPr>
    </cx:title>
    <cx:plotArea>
      <cx:plotAreaRegion>
        <cx:series layoutId="waterfall" uniqueId="{EF50C19E-09F9-4A1E-AAF1-02AC64140DC1}" formatIdx="0">
          <cx:dataPt idx="0">
            <cx:spPr>
              <a:solidFill>
                <a:srgbClr val="00778B"/>
              </a:solidFill>
            </cx:spPr>
          </cx:dataPt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s-ES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0"/>
              <cx:idx val="6"/>
            </cx:subtotals>
          </cx:layoutPr>
        </cx:series>
      </cx:plotAreaRegion>
      <cx:axis id="0">
        <cx:catScaling/>
        <cx:tickLabels/>
      </cx:axis>
      <cx:axis id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2">
      <cx:spPr>
        <a:solidFill>
          <a:schemeClr val="accent3"/>
        </a:solidFill>
      </cx:spPr>
    </cx:fmtOvr>
    <cx:fmtOvr idx="1">
      <cx:spPr>
        <a:solidFill>
          <a:schemeClr val="accent1"/>
        </a:solidFill>
      </cx:spPr>
    </cx:fmtOvr>
    <cx:fmtOvr idx="0">
      <cx:spPr>
        <a:solidFill>
          <a:schemeClr val="accent4"/>
        </a:solidFill>
      </cx:spPr>
    </cx:fmtOvr>
  </cx:fmtOvrs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_xlchart.v5.46</cx:f>
      </cx:strDim>
      <cx:numDim type="val">
        <cx:f>_xlchart.v5.47</cx:f>
      </cx:numDim>
    </cx:data>
  </cx:chartData>
  <cx:chart>
    <cx:title pos="t" align="ctr" overlay="0">
      <cx:tx>
        <cx:txData>
          <cx:v>CuFFP [tmf] R+P vs PM Julio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 b="1"/>
          </a:pPr>
          <a:r>
            <a:rPr lang="es-ES" sz="11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CuFFP [tmf] R+P vs PM Julio</a:t>
          </a:r>
        </a:p>
      </cx:txPr>
    </cx:title>
    <cx:plotArea>
      <cx:plotAreaRegion>
        <cx:series layoutId="waterfall" uniqueId="{EF50C19E-09F9-4A1E-AAF1-02AC64140DC1}" formatIdx="0">
          <cx:dataPt idx="0">
            <cx:spPr>
              <a:solidFill>
                <a:srgbClr val="00778B"/>
              </a:solidFill>
            </cx:spPr>
          </cx:dataPt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s-ES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0"/>
              <cx:idx val="6"/>
            </cx:subtotals>
          </cx:layoutPr>
        </cx:series>
      </cx:plotAreaRegion>
      <cx:axis id="0">
        <cx:catScaling/>
        <cx:tickLabels/>
      </cx:axis>
      <cx:axis id="1" hidden="1">
        <cx:valScaling min="20000"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2">
      <cx:spPr>
        <a:solidFill>
          <a:schemeClr val="accent3"/>
        </a:solidFill>
      </cx:spPr>
    </cx:fmtOvr>
    <cx:fmtOvr idx="1">
      <cx:spPr>
        <a:solidFill>
          <a:schemeClr val="accent1"/>
        </a:solidFill>
      </cx:spPr>
    </cx:fmtOvr>
    <cx:fmtOvr idx="0">
      <cx:spPr>
        <a:solidFill>
          <a:schemeClr val="accent4"/>
        </a:solidFill>
      </cx:spPr>
    </cx:fmtOvr>
  </cx:fmtOvrs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_xlchart.v5.26</cx:f>
      </cx:strDim>
      <cx:numDim type="val">
        <cx:f>_xlchart.v5.27</cx:f>
      </cx:numDim>
    </cx:data>
  </cx:chartData>
  <cx:chart>
    <cx:title pos="t" align="ctr" overlay="0">
      <cx:tx>
        <cx:txData>
          <cx:v>CuFFP Proyección vs BDGT Ajustado Shortemizado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 b="1"/>
          </a:pPr>
          <a:r>
            <a:rPr lang="es-ES" sz="11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CuFFP Proyección vs BDGT Ajustado Shortemizado</a:t>
          </a:r>
        </a:p>
      </cx:txPr>
    </cx:title>
    <cx:plotArea>
      <cx:plotAreaRegion>
        <cx:series layoutId="waterfall" uniqueId="{EF50C19E-09F9-4A1E-AAF1-02AC64140DC1}" formatIdx="0">
          <cx:dataPt idx="0">
            <cx:spPr>
              <a:solidFill>
                <a:srgbClr val="00778B"/>
              </a:solidFill>
            </cx:spPr>
          </cx:dataPt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s-ES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0"/>
              <cx:idx val="6"/>
            </cx:subtotals>
          </cx:layoutPr>
        </cx:series>
      </cx:plotAreaRegion>
      <cx:axis id="0">
        <cx:catScaling/>
        <cx:tickLabels/>
      </cx:axis>
      <cx:axis id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2">
      <cx:spPr>
        <a:solidFill>
          <a:schemeClr val="accent3"/>
        </a:solidFill>
      </cx:spPr>
    </cx:fmtOvr>
    <cx:fmtOvr idx="1">
      <cx:spPr>
        <a:solidFill>
          <a:schemeClr val="accent1"/>
        </a:solidFill>
      </cx:spPr>
    </cx:fmtOvr>
    <cx:fmtOvr idx="0">
      <cx:spPr>
        <a:solidFill>
          <a:schemeClr val="accent4"/>
        </a:solidFill>
      </cx:spPr>
    </cx:fmtOvr>
  </cx:fmtOvrs>
</cx:chartSpace>
</file>

<file path=xl/charts/chartEx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_xlchart.v5.48</cx:f>
      </cx:strDim>
      <cx:numDim type="val">
        <cx:f>_xlchart.v5.49</cx:f>
      </cx:numDim>
    </cx:data>
  </cx:chartData>
  <cx:chart>
    <cx:title pos="t" align="ctr" overlay="0">
      <cx:tx>
        <cx:txData>
          <cx:v>CuFFP R+P vs PM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 b="1"/>
          </a:pPr>
          <a:r>
            <a:rPr lang="es-ES" sz="11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CuFFP R+P vs PM</a:t>
          </a:r>
        </a:p>
      </cx:txPr>
    </cx:title>
    <cx:plotArea>
      <cx:plotAreaRegion>
        <cx:series layoutId="waterfall" uniqueId="{EF50C19E-09F9-4A1E-AAF1-02AC64140DC1}" formatIdx="0">
          <cx:dataPt idx="0">
            <cx:spPr>
              <a:solidFill>
                <a:srgbClr val="00778B"/>
              </a:solidFill>
            </cx:spPr>
          </cx:dataPt>
          <cx:dataPt idx="5">
            <cx:spPr>
              <a:solidFill>
                <a:srgbClr val="EAAA00"/>
              </a:solidFill>
            </cx:spPr>
          </cx:dataPt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s-ES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0"/>
              <cx:idx val="6"/>
            </cx:subtotals>
          </cx:layoutPr>
        </cx:series>
      </cx:plotAreaRegion>
      <cx:axis id="0">
        <cx:catScaling/>
        <cx:tickLabels/>
      </cx:axis>
      <cx:axis id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2">
      <cx:spPr>
        <a:solidFill>
          <a:schemeClr val="accent3"/>
        </a:solidFill>
      </cx:spPr>
    </cx:fmtOvr>
    <cx:fmtOvr idx="1">
      <cx:spPr>
        <a:solidFill>
          <a:schemeClr val="accent1"/>
        </a:solidFill>
      </cx:spPr>
    </cx:fmtOvr>
    <cx:fmtOvr idx="0">
      <cx:spPr>
        <a:solidFill>
          <a:schemeClr val="accent4"/>
        </a:solidFill>
      </cx:spPr>
    </cx:fmtOvr>
  </cx:fmtOvrs>
</cx:chartSpace>
</file>

<file path=xl/charts/chartEx2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_xlchart.v5.40</cx:f>
      </cx:strDim>
      <cx:numDim type="val">
        <cx:f>_xlchart.v5.41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/>
            </a:pPr>
            <a:r>
              <a:rPr lang="es-ES" sz="105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Waterfall CuFFP     /    </a:t>
            </a:r>
            <a:r>
              <a:rPr lang="es-ES" sz="105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Real + Proy. vs PM</a:t>
            </a:r>
          </a:p>
        </cx:rich>
      </cx:tx>
    </cx:title>
    <cx:plotArea>
      <cx:plotAreaRegion>
        <cx:series layoutId="waterfall" uniqueId="{F127823B-5874-4368-9EE3-E8D6B9E9316B}" formatIdx="0">
          <cx:dataPt idx="0">
            <cx:spPr>
              <a:solidFill>
                <a:srgbClr val="00778B"/>
              </a:solidFill>
            </cx:spPr>
          </cx:dataPt>
          <cx:dataLabels pos="outEnd">
            <cx:visibility seriesName="0" categoryName="0" value="1"/>
            <cx:separator>, </cx:separato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s-ES" sz="9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Calibri" panose="020F0502020204030204"/>
                    </a:rPr>
                    <a:t> 27.230 </a:t>
                  </a:r>
                </a:p>
              </cx:txPr>
            </cx:dataLabel>
            <cx:dataLabel idx="6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s-ES" sz="9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Calibri" panose="020F0502020204030204"/>
                    </a:rPr>
                    <a:t> 26.406 </a:t>
                  </a:r>
                </a:p>
              </cx:txPr>
            </cx:dataLabel>
          </cx:dataLabels>
          <cx:dataId val="0"/>
          <cx:layoutPr>
            <cx:subtotals>
              <cx:idx val="6"/>
            </cx:subtotals>
          </cx:layoutPr>
        </cx:series>
      </cx:plotAreaRegion>
      <cx:axis id="0">
        <cx:cat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CL" sz="800"/>
          </a:p>
        </cx:txPr>
      </cx:axis>
      <cx:axis id="1" hidden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CL" sz="800"/>
          </a:p>
        </cx:txPr>
      </cx:axis>
    </cx:plotArea>
  </cx:chart>
  <cx:fmtOvrs>
    <cx:fmtOvr idx="0">
      <cx:spPr>
        <a:solidFill>
          <a:schemeClr val="accent4"/>
        </a:solidFill>
      </cx:spPr>
    </cx:fmtOvr>
    <cx:fmtOvr idx="1">
      <cx:spPr>
        <a:solidFill>
          <a:schemeClr val="accent1"/>
        </a:solidFill>
      </cx:spPr>
    </cx:fmtOvr>
  </cx:fmtOvrs>
</cx:chartSpace>
</file>

<file path=xl/charts/chartEx2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_xlchart.v5.32</cx:f>
      </cx:strDim>
      <cx:numDim type="val">
        <cx:f>_xlchart.v5.33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/>
            </a:pPr>
            <a:r>
              <a:rPr lang="es-ES" sz="105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Waterfall CuFFP     /    </a:t>
            </a:r>
            <a:r>
              <a:rPr lang="es-ES" sz="105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Real + Proy. vs PM</a:t>
            </a:r>
          </a:p>
        </cx:rich>
      </cx:tx>
    </cx:title>
    <cx:plotArea>
      <cx:plotAreaRegion>
        <cx:series layoutId="waterfall" uniqueId="{F127823B-5874-4368-9EE3-E8D6B9E9316B}" formatIdx="0">
          <cx:dataPt idx="0">
            <cx:spPr>
              <a:solidFill>
                <a:srgbClr val="00778B"/>
              </a:solidFill>
            </cx:spPr>
          </cx:dataPt>
          <cx:dataLabels pos="outEnd">
            <cx:visibility seriesName="0" categoryName="0" value="1"/>
            <cx:separator>, </cx:separato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s-ES" sz="9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Calibri" panose="020F0502020204030204"/>
                    </a:rPr>
                    <a:t> 12.114 </a:t>
                  </a:r>
                </a:p>
              </cx:txPr>
            </cx:dataLabel>
            <cx:dataLabel idx="6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s-ES" sz="9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Calibri" panose="020F0502020204030204"/>
                    </a:rPr>
                    <a:t> 11.671 </a:t>
                  </a:r>
                </a:p>
              </cx:txPr>
            </cx:dataLabel>
          </cx:dataLabels>
          <cx:dataId val="0"/>
          <cx:layoutPr>
            <cx:subtotals>
              <cx:idx val="6"/>
            </cx:subtotals>
          </cx:layoutPr>
        </cx:series>
      </cx:plotAreaRegion>
      <cx:axis id="0">
        <cx:cat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CL" sz="800"/>
          </a:p>
        </cx:txPr>
      </cx:axis>
      <cx:axis id="1" hidden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CL" sz="800"/>
          </a:p>
        </cx:txPr>
      </cx:axis>
    </cx:plotArea>
  </cx:chart>
  <cx:fmtOvrs>
    <cx:fmtOvr idx="0">
      <cx:spPr>
        <a:solidFill>
          <a:schemeClr val="accent4"/>
        </a:solidFill>
      </cx:spPr>
    </cx:fmtOvr>
    <cx:fmtOvr idx="1">
      <cx:spPr>
        <a:solidFill>
          <a:schemeClr val="accent1"/>
        </a:solidFill>
      </cx:spPr>
    </cx:fmtOvr>
  </cx:fmtOvrs>
</cx:chartSpace>
</file>

<file path=xl/charts/chartEx2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_xlchart.v5.28</cx:f>
      </cx:strDim>
      <cx:numDim type="val">
        <cx:f>_xlchart.v5.29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/>
            </a:pPr>
            <a:r>
              <a:rPr lang="es-ES" sz="105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Waterfall CuFFP     /    </a:t>
            </a:r>
            <a:r>
              <a:rPr lang="es-ES" sz="105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Real + Proy. vs PM</a:t>
            </a:r>
          </a:p>
        </cx:rich>
      </cx:tx>
    </cx:title>
    <cx:plotArea>
      <cx:plotAreaRegion>
        <cx:series layoutId="waterfall" uniqueId="{F127823B-5874-4368-9EE3-E8D6B9E9316B}" formatIdx="0">
          <cx:dataPt idx="0">
            <cx:spPr>
              <a:solidFill>
                <a:srgbClr val="00778B"/>
              </a:solidFill>
            </cx:spPr>
          </cx:dataPt>
          <cx:dataLabels pos="outEnd">
            <cx:visibility seriesName="0" categoryName="0" value="1"/>
            <cx:separator>, </cx:separato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s-ES" sz="9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Calibri" panose="020F0502020204030204"/>
                    </a:rPr>
                    <a:t> 15.084 </a:t>
                  </a:r>
                </a:p>
              </cx:txPr>
            </cx:dataLabel>
            <cx:dataLabel idx="6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s-ES" sz="9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Calibri" panose="020F0502020204030204"/>
                    </a:rPr>
                    <a:t> 13.800 </a:t>
                  </a:r>
                </a:p>
              </cx:txPr>
            </cx:dataLabel>
          </cx:dataLabels>
          <cx:dataId val="0"/>
          <cx:layoutPr>
            <cx:subtotals>
              <cx:idx val="6"/>
            </cx:subtotals>
          </cx:layoutPr>
        </cx:series>
      </cx:plotAreaRegion>
      <cx:axis id="0">
        <cx:cat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CL" sz="800"/>
          </a:p>
        </cx:txPr>
      </cx:axis>
      <cx:axis id="1" hidden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CL" sz="800"/>
          </a:p>
        </cx:txPr>
      </cx:axis>
    </cx:plotArea>
  </cx:chart>
  <cx:fmtOvrs>
    <cx:fmtOvr idx="0">
      <cx:spPr>
        <a:solidFill>
          <a:schemeClr val="accent4"/>
        </a:solidFill>
      </cx:spPr>
    </cx:fmtOvr>
    <cx:fmtOvr idx="1">
      <cx:spPr>
        <a:solidFill>
          <a:schemeClr val="accent1"/>
        </a:solidFill>
      </cx:spPr>
    </cx:fmtOvr>
  </cx:fmtOvrs>
</cx:chartSpace>
</file>

<file path=xl/charts/chartEx2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_xlchart.v5.50</cx:f>
      </cx:strDim>
      <cx:numDim type="val">
        <cx:f>_xlchart.v5.51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/>
            </a:pPr>
            <a:r>
              <a:rPr lang="es-ES" sz="105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Waterfall CuFFP     /    </a:t>
            </a:r>
            <a:r>
              <a:rPr lang="es-ES" sz="105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Real + Proy. vs PM</a:t>
            </a:r>
          </a:p>
        </cx:rich>
      </cx:tx>
    </cx:title>
    <cx:plotArea>
      <cx:plotAreaRegion>
        <cx:series layoutId="waterfall" uniqueId="{F127823B-5874-4368-9EE3-E8D6B9E9316B}" formatIdx="0">
          <cx:dataPt idx="0">
            <cx:spPr>
              <a:solidFill>
                <a:srgbClr val="00778B"/>
              </a:solidFill>
            </cx:spPr>
          </cx:dataPt>
          <cx:dataLabels pos="outEnd">
            <cx:visibility seriesName="0" categoryName="0" value="1"/>
            <cx:separator>, </cx:separato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s-ES" sz="9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Calibri" panose="020F0502020204030204"/>
                    </a:rPr>
                    <a:t> 28.422 </a:t>
                  </a:r>
                </a:p>
              </cx:txPr>
            </cx:dataLabel>
            <cx:dataLabel idx="6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s-ES" sz="9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Calibri" panose="020F0502020204030204"/>
                    </a:rPr>
                    <a:t> 26.401 </a:t>
                  </a:r>
                </a:p>
              </cx:txPr>
            </cx:dataLabel>
          </cx:dataLabels>
          <cx:dataId val="0"/>
          <cx:layoutPr>
            <cx:subtotals>
              <cx:idx val="6"/>
            </cx:subtotals>
          </cx:layoutPr>
        </cx:series>
      </cx:plotAreaRegion>
      <cx:axis id="0">
        <cx:cat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CL" sz="800"/>
          </a:p>
        </cx:txPr>
      </cx:axis>
      <cx:axis id="1" hidden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CL" sz="800"/>
          </a:p>
        </cx:txPr>
      </cx:axis>
    </cx:plotArea>
  </cx:chart>
  <cx:fmtOvrs>
    <cx:fmtOvr idx="0">
      <cx:spPr>
        <a:solidFill>
          <a:schemeClr val="accent4"/>
        </a:solidFill>
      </cx:spPr>
    </cx:fmtOvr>
    <cx:fmtOvr idx="1">
      <cx:spPr>
        <a:solidFill>
          <a:schemeClr val="accent1"/>
        </a:solidFill>
      </cx:spPr>
    </cx:fmtOvr>
  </cx:fmtOvrs>
</cx:chartSpace>
</file>

<file path=xl/charts/chartEx2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_xlchart.v5.52</cx:f>
      </cx:strDim>
      <cx:numDim type="val">
        <cx:f>_xlchart.v5.53</cx:f>
      </cx:numDim>
    </cx:data>
  </cx:chartData>
  <cx:chart>
    <cx:title pos="t" align="ctr" overlay="0">
      <cx:tx>
        <cx:txData>
          <cx:v>Waterfall CuFino - Real con BM vs PM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Waterfall CuFino - Real con BM vs PM </a:t>
          </a:r>
        </a:p>
      </cx:txPr>
    </cx:title>
    <cx:plotArea>
      <cx:plotAreaRegion>
        <cx:series layoutId="waterfall" uniqueId="{6CF0455B-63F1-499F-9567-B4C59A1D522B}">
          <cx:tx>
            <cx:txData>
              <cx:f>_xlchart.v5.52</cx:f>
              <cx:v>PM Tratamiento  Ley Cu,% RCu, % Real con BM</cx:v>
            </cx:txData>
          </cx:tx>
          <cx:dataPt idx="0">
            <cx:spPr>
              <a:solidFill>
                <a:srgbClr val="00778B"/>
              </a:solidFill>
            </cx:spPr>
          </cx:dataPt>
          <cx:dataLabels>
            <cx:numFmt formatCode="#,##0_ " sourceLinked="0"/>
            <cx:visibility seriesName="0" categoryName="0" value="1"/>
            <cx:separator>, </cx:separator>
            <cx:dataLabel idx="3">
              <cx:numFmt formatCode="#,##0_);[赤](#,##0)" sourceLinked="0"/>
              <cx:separator>, </cx:separator>
            </cx:dataLabel>
          </cx:dataLabels>
          <cx:dataId val="0"/>
          <cx:layoutPr>
            <cx:visibility connectorLines="1"/>
            <cx:subtotals>
              <cx:idx val="4"/>
            </cx:subtotals>
          </cx:layoutPr>
        </cx:series>
      </cx:plotAreaRegion>
      <cx:axis id="0">
        <cx:catScaling gapWidth="0.5"/>
        <cx:tickLabels/>
      </cx:axis>
      <cx:axis id="1" hidden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chemeClr val="accent4"/>
        </a:solidFill>
      </cx:spPr>
    </cx:fmtOvr>
    <cx:fmtOvr idx="1">
      <cx:spPr>
        <a:solidFill>
          <a:schemeClr val="accent1"/>
        </a:solidFill>
      </cx:spPr>
    </cx:fmtOvr>
  </cx:fmtOvrs>
</cx:chartSpace>
</file>

<file path=xl/charts/chartEx2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_xlchart.v5.54</cx:f>
      </cx:strDim>
      <cx:numDim type="val">
        <cx:f>_xlchart.v5.55</cx:f>
      </cx:numDim>
    </cx:data>
  </cx:chartData>
  <cx:chart>
    <cx:title pos="t" align="ctr" overlay="0">
      <cx:tx>
        <cx:txData>
          <cx:v>Waterfall CuFino - Real con BM vs PM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Waterfall CuFino - Real con BM vs PM </a:t>
          </a:r>
        </a:p>
      </cx:txPr>
    </cx:title>
    <cx:plotArea>
      <cx:plotAreaRegion>
        <cx:series layoutId="waterfall" uniqueId="{6CF0455B-63F1-499F-9567-B4C59A1D522B}" formatIdx="0">
          <cx:tx>
            <cx:txData>
              <cx:f>_xlchart.v5.54</cx:f>
              <cx:v>PM Rendimiento C.M.  Ley Cu,% RCu, % Días Real con BM</cx:v>
            </cx:txData>
          </cx:tx>
          <cx:dataPt idx="0">
            <cx:spPr>
              <a:solidFill>
                <a:srgbClr val="00778B"/>
              </a:solidFill>
            </cx:spPr>
          </cx:dataPt>
          <cx:dataLabels>
            <cx:numFmt formatCode="#,##0_ " sourceLinked="0"/>
            <cx:visibility seriesName="0" categoryName="0" value="1"/>
            <cx:separator>, </cx:separator>
            <cx:dataLabel idx="3">
              <cx:numFmt formatCode="#,##0_);[赤](#,##0)" sourceLinked="0"/>
              <cx:separator>, </cx:separator>
            </cx:dataLabel>
          </cx:dataLabels>
          <cx:dataId val="0"/>
          <cx:layoutPr>
            <cx:visibility connectorLines="1"/>
            <cx:subtotals>
              <cx:idx val="6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/>
            </a:pPr>
            <a:endParaRPr lang="es-ES" altLang="ja-JP" sz="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 hidden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chemeClr val="accent4"/>
        </a:solidFill>
      </cx:spPr>
    </cx:fmtOvr>
    <cx:fmtOvr idx="1">
      <cx:spPr>
        <a:solidFill>
          <a:schemeClr val="accent1"/>
        </a:solidFill>
      </cx:spPr>
    </cx:fmtOvr>
  </cx:fmtOvrs>
</cx:chartSpace>
</file>

<file path=xl/charts/chartEx2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_xlchart.v5.56</cx:f>
      </cx:strDim>
      <cx:numDim type="val">
        <cx:f>_xlchart.v5.57</cx:f>
      </cx:numDim>
    </cx:data>
  </cx:chartData>
  <cx:chart>
    <cx:title pos="t" align="ctr" overlay="0">
      <cx:tx>
        <cx:txData>
          <cx:v>Waterfall CuFino - Real con BM vs BD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Waterfall CuFino - Real con BM vs BD</a:t>
          </a:r>
        </a:p>
      </cx:txPr>
    </cx:title>
    <cx:plotArea>
      <cx:plotAreaRegion>
        <cx:series layoutId="waterfall" uniqueId="{6CF0455B-63F1-499F-9567-B4C59A1D522B}">
          <cx:tx>
            <cx:txData>
              <cx:f>_xlchart.v5.56</cx:f>
              <cx:v>BDGT Tratamiento  Ley Cu,% RCu, % Real con BM</cx:v>
            </cx:txData>
          </cx:tx>
          <cx:dataPt idx="0">
            <cx:spPr>
              <a:solidFill>
                <a:srgbClr val="00778B"/>
              </a:solidFill>
            </cx:spPr>
          </cx:dataPt>
          <cx:dataLabels>
            <cx:numFmt formatCode="#,##0_ " sourceLinked="0"/>
            <cx:visibility seriesName="0" categoryName="0" value="1"/>
            <cx:separator>, </cx:separator>
            <cx:dataLabel idx="3">
              <cx:numFmt formatCode="#,##0_);[赤](#,##0)" sourceLinked="0"/>
              <cx:separator>, </cx:separator>
            </cx:dataLabel>
          </cx:dataLabels>
          <cx:dataId val="0"/>
          <cx:layoutPr>
            <cx:visibility connectorLines="1"/>
            <cx:subtotals>
              <cx:idx val="4"/>
            </cx:subtotals>
          </cx:layoutPr>
        </cx:series>
      </cx:plotAreaRegion>
      <cx:axis id="0">
        <cx:catScaling gapWidth="0.5"/>
        <cx:tickLabels/>
      </cx:axis>
      <cx:axis id="1" hidden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chemeClr val="accent4"/>
        </a:solidFill>
      </cx:spPr>
    </cx:fmtOvr>
    <cx:fmtOvr idx="1">
      <cx:spPr>
        <a:solidFill>
          <a:schemeClr val="accent1"/>
        </a:solidFill>
      </cx:spPr>
    </cx:fmtOvr>
  </cx:fmtOvrs>
</cx:chartSpace>
</file>

<file path=xl/charts/chartEx3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_xlchart.v5.60</cx:f>
      </cx:strDim>
      <cx:numDim type="val">
        <cx:f>_xlchart.v5.61</cx:f>
      </cx:numDim>
    </cx:data>
  </cx:chartData>
  <cx:chart>
    <cx:title pos="t" align="ctr" overlay="0">
      <cx:tx>
        <cx:txData>
          <cx:v>Waterfall CuFino - Real con BM vs BD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Waterfall CuFino - Real con BM vs BD</a:t>
          </a:r>
        </a:p>
      </cx:txPr>
    </cx:title>
    <cx:plotArea>
      <cx:plotAreaRegion>
        <cx:series layoutId="waterfall" uniqueId="{6CF0455B-63F1-499F-9567-B4C59A1D522B}" formatIdx="0">
          <cx:tx>
            <cx:txData>
              <cx:f>_xlchart.v5.60</cx:f>
              <cx:v>BDGT Rendimiento C.M.  Ley Cu,% RCu, % Dias Real con BM</cx:v>
            </cx:txData>
          </cx:tx>
          <cx:dataPt idx="0">
            <cx:spPr>
              <a:solidFill>
                <a:srgbClr val="00778B"/>
              </a:solidFill>
            </cx:spPr>
          </cx:dataPt>
          <cx:dataLabels>
            <cx:numFmt formatCode="#,##0_ " sourceLinked="0"/>
            <cx:visibility seriesName="0" categoryName="0" value="1"/>
            <cx:separator>, </cx:separator>
            <cx:dataLabel idx="3">
              <cx:numFmt formatCode="#,##0_);[赤](#,##0)" sourceLinked="0"/>
              <cx:separator>, </cx:separator>
            </cx:dataLabel>
          </cx:dataLabels>
          <cx:dataId val="0"/>
          <cx:layoutPr>
            <cx:visibility connectorLines="1"/>
            <cx:subtotals>
              <cx:idx val="6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/>
            </a:pPr>
            <a:endParaRPr lang="es-ES" altLang="ja-JP" sz="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 hidden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chemeClr val="accent4"/>
        </a:solidFill>
      </cx:spPr>
    </cx:fmtOvr>
    <cx:fmtOvr idx="1">
      <cx:spPr>
        <a:solidFill>
          <a:schemeClr val="accent1"/>
        </a:solidFill>
      </cx:spPr>
    </cx:fmtOvr>
  </cx:fmtOvrs>
</cx:chartSpace>
</file>

<file path=xl/charts/chartEx3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_xlchart.v5.58</cx:f>
      </cx:strDim>
      <cx:numDim type="val">
        <cx:f>_xlchart.v5.59</cx:f>
      </cx:numDim>
    </cx:data>
  </cx:chartData>
  <cx:chart>
    <cx:title pos="t" align="ctr" overlay="0">
      <cx:tx>
        <cx:txData>
          <cx:v>Waterfall CuFino - Real con BM vs BD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Waterfall CuFino - Real con BM vs BD</a:t>
          </a:r>
        </a:p>
      </cx:txPr>
    </cx:title>
    <cx:plotArea>
      <cx:plotAreaRegion>
        <cx:series layoutId="waterfall" uniqueId="{6CF0455B-63F1-499F-9567-B4C59A1D522B}">
          <cx:tx>
            <cx:txData>
              <cx:f>_xlchart.v5.58</cx:f>
              <cx:v>BDGT Tratamiento  Ley Cu,% RCu, % Real con BM</cx:v>
            </cx:txData>
          </cx:tx>
          <cx:dataPt idx="0">
            <cx:spPr>
              <a:solidFill>
                <a:srgbClr val="00778B"/>
              </a:solidFill>
            </cx:spPr>
          </cx:dataPt>
          <cx:dataLabels>
            <cx:numFmt formatCode="#,##0_ " sourceLinked="0"/>
            <cx:visibility seriesName="0" categoryName="0" value="1"/>
            <cx:separator>, </cx:separator>
            <cx:dataLabel idx="3">
              <cx:numFmt formatCode="#,##0_);[赤](#,##0)" sourceLinked="0"/>
              <cx:separator>, </cx:separator>
            </cx:dataLabel>
          </cx:dataLabels>
          <cx:dataId val="0"/>
          <cx:layoutPr>
            <cx:visibility connectorLines="1"/>
            <cx:subtotals>
              <cx:idx val="4"/>
            </cx:subtotals>
          </cx:layoutPr>
        </cx:series>
      </cx:plotAreaRegion>
      <cx:axis id="0">
        <cx:catScaling gapWidth="0.5"/>
        <cx:tickLabels/>
      </cx:axis>
      <cx:axis id="1" hidden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chemeClr val="accent4"/>
        </a:solidFill>
      </cx:spPr>
    </cx:fmtOvr>
    <cx:fmtOvr idx="1">
      <cx:spPr>
        <a:solidFill>
          <a:schemeClr val="accent1"/>
        </a:solidFill>
      </cx:spPr>
    </cx:fmtOvr>
  </cx:fmtOvrs>
</cx:chartSpace>
</file>

<file path=xl/charts/chartEx3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_xlchart.v5.62</cx:f>
      </cx:strDim>
      <cx:numDim type="val">
        <cx:f>_xlchart.v5.63</cx:f>
      </cx:numDim>
    </cx:data>
  </cx:chartData>
  <cx:chart>
    <cx:title pos="t" align="ctr" overlay="0">
      <cx:tx>
        <cx:txData>
          <cx:v>Waterfall CuFino - Real con BM vs BD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Waterfall CuFino - Real con BM vs BD</a:t>
          </a:r>
        </a:p>
      </cx:txPr>
    </cx:title>
    <cx:plotArea>
      <cx:plotAreaRegion>
        <cx:series layoutId="waterfall" uniqueId="{6CF0455B-63F1-499F-9567-B4C59A1D522B}" formatIdx="0">
          <cx:tx>
            <cx:txData>
              <cx:f>_xlchart.v5.62</cx:f>
              <cx:v>BDGT Rendimiento C.M.  Ley Cu,% RCu, % Real con BM</cx:v>
            </cx:txData>
          </cx:tx>
          <cx:dataPt idx="0">
            <cx:spPr>
              <a:solidFill>
                <a:srgbClr val="00778B"/>
              </a:solidFill>
            </cx:spPr>
          </cx:dataPt>
          <cx:dataLabels>
            <cx:numFmt formatCode="#,##0_ " sourceLinked="0"/>
            <cx:visibility seriesName="0" categoryName="0" value="1"/>
            <cx:separator>, </cx:separator>
            <cx:dataLabel idx="3">
              <cx:numFmt formatCode="#,##0_);[赤](#,##0)" sourceLinked="0"/>
              <cx:separator>, </cx:separator>
            </cx:dataLabel>
          </cx:dataLabels>
          <cx:dataId val="0"/>
          <cx:layoutPr>
            <cx:visibility connectorLines="1"/>
            <cx:subtotals>
              <cx:idx val="5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/>
            </a:pPr>
            <a:endParaRPr lang="es-ES" altLang="ja-JP" sz="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 hidden="1">
        <cx:valScaling min="25000"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chemeClr val="accent4"/>
        </a:solidFill>
      </cx:spPr>
    </cx:fmtOvr>
    <cx:fmtOvr idx="1">
      <cx:spPr>
        <a:solidFill>
          <a:schemeClr val="accent1"/>
        </a:solidFill>
      </cx:spPr>
    </cx:fmtOvr>
  </cx:fmtOvrs>
</cx:chartSpace>
</file>

<file path=xl/charts/chartEx3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_xlchart.v5.65</cx:f>
      </cx:strDim>
      <cx:numDim type="val">
        <cx:f>_xlchart.v5.64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 sz="1400"/>
            </a:pPr>
            <a:r>
              <a:rPr lang="es-ES" sz="1400" b="0" i="0" baseline="0">
                <a:effectLst/>
              </a:rPr>
              <a:t>CuFFP Real vs ST</a:t>
            </a:r>
            <a:endParaRPr lang="es-CL" sz="1400">
              <a:effectLst/>
            </a:endParaRPr>
          </a:p>
        </cx:rich>
      </cx:tx>
    </cx:title>
    <cx:plotArea>
      <cx:plotAreaRegion>
        <cx:series layoutId="waterfall" hidden="1" uniqueId="{C65C5B5F-DE2B-4787-B8CD-F32141F04A08}" formatIdx="0">
          <cx:dataPt idx="0">
            <cx:spPr>
              <a:solidFill>
                <a:srgbClr val="00778B"/>
              </a:solidFill>
              <a:ln>
                <a:solidFill>
                  <a:srgbClr val="00778B"/>
                </a:solidFill>
              </a:ln>
            </cx:spPr>
          </cx:dataPt>
          <cx:dataLabels pos="outEnd">
            <cx:visibility seriesName="0" categoryName="0" value="1"/>
          </cx:dataLabels>
          <cx:dataId val="0"/>
          <cx:layoutPr>
            <cx:visibility connectorLines="1"/>
            <cx:subtotals>
              <cx:idx val="6"/>
            </cx:subtotals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1">
      <cx:spPr>
        <a:solidFill>
          <a:schemeClr val="accent1"/>
        </a:solidFill>
      </cx:spPr>
    </cx:fmtOvr>
    <cx:fmtOvr idx="0">
      <cx:spPr>
        <a:solidFill>
          <a:schemeClr val="accent4"/>
        </a:solidFill>
        <a:ln>
          <a:solidFill>
            <a:schemeClr val="accent4"/>
          </a:solidFill>
        </a:ln>
      </cx:spPr>
    </cx:fmtOvr>
  </cx:fmtOvrs>
</cx:chartSpace>
</file>

<file path=xl/charts/chartEx3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_xlchart.v5.66</cx:f>
      </cx:strDim>
      <cx:numDim type="val">
        <cx:f>_xlchart.v5.67</cx:f>
      </cx:numDim>
    </cx:data>
  </cx:chartData>
  <cx:chart>
    <cx:title pos="t" align="ctr" overlay="0">
      <cx:tx>
        <cx:txData>
          <cx:v>CuFFP R+P vs BDGT Abril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 b="1"/>
          </a:pPr>
          <a:r>
            <a:rPr lang="es-ES" sz="11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CuFFP R+P vs BDGT Abril</a:t>
          </a:r>
        </a:p>
      </cx:txPr>
    </cx:title>
    <cx:plotArea>
      <cx:plotAreaRegion>
        <cx:series layoutId="waterfall" uniqueId="{EF50C19E-09F9-4A1E-AAF1-02AC64140DC1}" formatIdx="0">
          <cx:dataPt idx="0">
            <cx:spPr>
              <a:solidFill>
                <a:srgbClr val="00778B"/>
              </a:solidFill>
            </cx:spPr>
          </cx:dataPt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s-ES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0"/>
              <cx:idx val="6"/>
            </cx:subtotals>
          </cx:layoutPr>
        </cx:series>
      </cx:plotAreaRegion>
      <cx:axis id="0">
        <cx:catScaling/>
        <cx:tickLabels/>
      </cx:axis>
      <cx:axis id="1" hidden="1">
        <cx:valScaling min="20000"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2">
      <cx:spPr>
        <a:solidFill>
          <a:schemeClr val="accent3"/>
        </a:solidFill>
      </cx:spPr>
    </cx:fmtOvr>
    <cx:fmtOvr idx="1">
      <cx:spPr>
        <a:solidFill>
          <a:schemeClr val="accent1"/>
        </a:solidFill>
      </cx:spPr>
    </cx:fmtOvr>
    <cx:fmtOvr idx="0">
      <cx:spPr>
        <a:solidFill>
          <a:schemeClr val="accent4"/>
        </a:solidFill>
      </cx:spPr>
    </cx:fmtOvr>
  </cx:fmtOvrs>
</cx:chartSpace>
</file>

<file path=xl/charts/chartEx3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_xlchart.v5.68</cx:f>
      </cx:strDim>
      <cx:numDim type="val">
        <cx:f>_xlchart.v5.69</cx:f>
      </cx:numDim>
    </cx:data>
  </cx:chartData>
  <cx:chart>
    <cx:title pos="t" align="ctr" overlay="0">
      <cx:tx>
        <cx:txData>
          <cx:v>CuFFP R+P vs PM Abril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 b="1"/>
          </a:pPr>
          <a:r>
            <a:rPr lang="es-ES" sz="11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CuFFP R+P vs PM Abril</a:t>
          </a:r>
        </a:p>
      </cx:txPr>
    </cx:title>
    <cx:plotArea>
      <cx:plotAreaRegion>
        <cx:series layoutId="waterfall" uniqueId="{EF50C19E-09F9-4A1E-AAF1-02AC64140DC1}" formatIdx="0">
          <cx:dataPt idx="0">
            <cx:spPr>
              <a:solidFill>
                <a:srgbClr val="00778B"/>
              </a:solidFill>
            </cx:spPr>
          </cx:dataPt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s-ES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0"/>
              <cx:idx val="6"/>
            </cx:subtotals>
          </cx:layoutPr>
        </cx:series>
      </cx:plotAreaRegion>
      <cx:axis id="0">
        <cx:catScaling/>
        <cx:tickLabels/>
      </cx:axis>
      <cx:axis id="1" hidden="1">
        <cx:valScaling min="20000"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2">
      <cx:spPr>
        <a:solidFill>
          <a:schemeClr val="accent3"/>
        </a:solidFill>
      </cx:spPr>
    </cx:fmtOvr>
    <cx:fmtOvr idx="1">
      <cx:spPr>
        <a:solidFill>
          <a:schemeClr val="accent1"/>
        </a:solidFill>
      </cx:spPr>
    </cx:fmtOvr>
    <cx:fmtOvr idx="0">
      <cx:spPr>
        <a:solidFill>
          <a:schemeClr val="accent4"/>
        </a:solidFill>
      </cx:spPr>
    </cx:fmtOvr>
  </cx:fmtOvrs>
</cx:chartSpace>
</file>

<file path=xl/charts/chartEx3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_xlchart.v5.71</cx:f>
      </cx:strDim>
      <cx:numDim type="val">
        <cx:f>_xlchart.v5.70</cx:f>
      </cx:numDim>
    </cx:data>
  </cx:chartData>
  <cx:chart>
    <cx:title pos="t" align="ctr" overlay="0">
      <cx:tx>
        <cx:txData>
          <cx:v>CuFFP R+P + PM vs BDGT Acumulado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 b="1"/>
          </a:pPr>
          <a:r>
            <a:rPr lang="es-ES" sz="11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CuFFP R+P + PM vs BDGT Acumulado </a:t>
          </a:r>
        </a:p>
      </cx:txPr>
    </cx:title>
    <cx:plotArea>
      <cx:plotAreaRegion>
        <cx:series layoutId="waterfall" uniqueId="{EF50C19E-09F9-4A1E-AAF1-02AC64140DC1}" formatIdx="0">
          <cx:dataPt idx="0">
            <cx:spPr>
              <a:solidFill>
                <a:srgbClr val="00778B"/>
              </a:solidFill>
            </cx:spPr>
          </cx:dataPt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s-ES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0"/>
              <cx:idx val="6"/>
            </cx:subtotals>
          </cx:layoutPr>
        </cx:series>
      </cx:plotAreaRegion>
      <cx:axis id="0">
        <cx:catScaling/>
        <cx:tickLabels/>
      </cx:axis>
      <cx:axis id="1" hidden="1">
        <cx:valScaling min="150000"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2">
      <cx:spPr>
        <a:solidFill>
          <a:schemeClr val="accent3"/>
        </a:solidFill>
      </cx:spPr>
    </cx:fmtOvr>
    <cx:fmtOvr idx="1">
      <cx:spPr>
        <a:solidFill>
          <a:schemeClr val="accent1"/>
        </a:solidFill>
      </cx:spPr>
    </cx:fmtOvr>
    <cx:fmtOvr idx="0">
      <cx:spPr>
        <a:solidFill>
          <a:schemeClr val="accent4"/>
        </a:solidFill>
      </cx:spPr>
    </cx:fmtOvr>
  </cx:fmtOvrs>
</cx:chartSpace>
</file>

<file path=xl/charts/chartEx3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_xlchart.v5.77</cx:f>
      </cx:strDim>
      <cx:numDim type="val">
        <cx:f>_xlchart.v5.76</cx:f>
      </cx:numDim>
    </cx:data>
  </cx:chartData>
  <cx:chart>
    <cx:title pos="t" align="ctr" overlay="0">
      <cx:tx>
        <cx:txData>
          <cx:v>CuFFP R+P + PM vs OL 6+6 Acumulado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 b="1"/>
          </a:pPr>
          <a:r>
            <a:rPr lang="es-ES" sz="11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CuFFP R+P + PM vs OL 6+6 Acumulado </a:t>
          </a:r>
        </a:p>
      </cx:txPr>
    </cx:title>
    <cx:plotArea>
      <cx:plotAreaRegion>
        <cx:series layoutId="waterfall" uniqueId="{EF50C19E-09F9-4A1E-AAF1-02AC64140DC1}" formatIdx="0">
          <cx:dataPt idx="0">
            <cx:spPr>
              <a:solidFill>
                <a:srgbClr val="00778B"/>
              </a:solidFill>
            </cx:spPr>
          </cx:dataPt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s-ES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0"/>
              <cx:idx val="6"/>
            </cx:subtotals>
          </cx:layoutPr>
        </cx:series>
      </cx:plotAreaRegion>
      <cx:axis id="0">
        <cx:catScaling/>
        <cx:tickLabels/>
      </cx:axis>
      <cx:axis id="1" hidden="1">
        <cx:valScaling min="150000"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2">
      <cx:spPr>
        <a:solidFill>
          <a:schemeClr val="accent3"/>
        </a:solidFill>
      </cx:spPr>
    </cx:fmtOvr>
    <cx:fmtOvr idx="1">
      <cx:spPr>
        <a:solidFill>
          <a:schemeClr val="accent1"/>
        </a:solidFill>
      </cx:spPr>
    </cx:fmtOvr>
    <cx:fmtOvr idx="0">
      <cx:spPr>
        <a:solidFill>
          <a:schemeClr val="accent4"/>
        </a:solidFill>
      </cx:spPr>
    </cx:fmtOvr>
  </cx:fmtOvrs>
</cx:chartSpace>
</file>

<file path=xl/charts/chartEx3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_xlchart.v5.72</cx:f>
      </cx:strDim>
      <cx:numDim type="val">
        <cx:f>_xlchart.v5.73</cx:f>
      </cx:numDim>
    </cx:data>
  </cx:chartData>
  <cx:chart>
    <cx:title pos="t" align="ctr" overlay="0">
      <cx:tx>
        <cx:txData>
          <cx:v>CuFFP PM vs OL 0+12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 b="1"/>
          </a:pPr>
          <a:r>
            <a:rPr lang="es-ES" sz="11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CuFFP PM vs OL 0+12</a:t>
          </a:r>
        </a:p>
      </cx:txPr>
    </cx:title>
    <cx:plotArea>
      <cx:plotAreaRegion>
        <cx:series layoutId="waterfall" uniqueId="{EF50C19E-09F9-4A1E-AAF1-02AC64140DC1}" formatIdx="0">
          <cx:dataPt idx="0">
            <cx:spPr>
              <a:solidFill>
                <a:srgbClr val="00778B"/>
              </a:solidFill>
            </cx:spPr>
          </cx:dataPt>
          <cx:dataPt idx="5">
            <cx:spPr>
              <a:solidFill>
                <a:srgbClr val="64CCC9"/>
              </a:solidFill>
            </cx:spPr>
          </cx:dataPt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s-ES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visibility connectorLines="0"/>
            <cx:subtotals>
              <cx:idx val="0"/>
              <cx:idx val="6"/>
            </cx:subtotals>
          </cx:layoutPr>
        </cx:series>
      </cx:plotAreaRegion>
      <cx:axis id="0">
        <cx:catScaling/>
        <cx:tickLabels/>
      </cx:axis>
      <cx:axis id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2">
      <cx:spPr>
        <a:solidFill>
          <a:schemeClr val="accent3"/>
        </a:solidFill>
      </cx:spPr>
    </cx:fmtOvr>
    <cx:fmtOvr idx="1">
      <cx:spPr>
        <a:solidFill>
          <a:schemeClr val="accent1"/>
        </a:solidFill>
      </cx:spPr>
    </cx:fmtOvr>
    <cx:fmtOvr idx="0">
      <cx:spPr>
        <a:solidFill>
          <a:schemeClr val="accent4"/>
        </a:solidFill>
      </cx:spPr>
    </cx:fmtOvr>
  </cx:fmtOvrs>
</cx:chartSpace>
</file>

<file path=xl/charts/chartEx3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_xlchart.v5.74</cx:f>
      </cx:strDim>
      <cx:numDim type="val">
        <cx:f>_xlchart.v5.75</cx:f>
      </cx:numDim>
    </cx:data>
  </cx:chartData>
  <cx:chart>
    <cx:title pos="t" align="ctr" overlay="0">
      <cx:tx>
        <cx:txData>
          <cx:v>CuFFP PM vs BDGT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 b="1"/>
          </a:pPr>
          <a:r>
            <a:rPr lang="es-ES" sz="11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CuFFP PM vs BDGT </a:t>
          </a:r>
        </a:p>
      </cx:txPr>
    </cx:title>
    <cx:plotArea>
      <cx:plotAreaRegion>
        <cx:series layoutId="waterfall" uniqueId="{EF50C19E-09F9-4A1E-AAF1-02AC64140DC1}" formatIdx="0">
          <cx:dataPt idx="0">
            <cx:spPr>
              <a:solidFill>
                <a:srgbClr val="00778B"/>
              </a:solidFill>
            </cx:spPr>
          </cx:dataPt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s-ES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visibility connectorLines="0"/>
            <cx:subtotals>
              <cx:idx val="0"/>
              <cx:idx val="6"/>
            </cx:subtotals>
          </cx:layoutPr>
        </cx:series>
      </cx:plotAreaRegion>
      <cx:axis id="0">
        <cx:catScaling/>
        <cx:tickLabels/>
      </cx:axis>
      <cx:axis id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2">
      <cx:spPr>
        <a:solidFill>
          <a:schemeClr val="accent3"/>
        </a:solidFill>
      </cx:spPr>
    </cx:fmtOvr>
    <cx:fmtOvr idx="1">
      <cx:spPr>
        <a:solidFill>
          <a:schemeClr val="accent1"/>
        </a:solidFill>
      </cx:spPr>
    </cx:fmtOvr>
    <cx:fmtOvr idx="0">
      <cx:spPr>
        <a:solidFill>
          <a:schemeClr val="accent4"/>
        </a:solidFill>
      </cx:spPr>
    </cx:fmtOvr>
  </cx:fmtOvrs>
</cx:chartSpace>
</file>

<file path=xl/charts/chartEx4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_xlchart.v5.79</cx:f>
      </cx:strDim>
      <cx:numDim type="val">
        <cx:f dir="row">_xlchart.v5.78</cx:f>
      </cx:numDim>
    </cx:data>
  </cx:chartData>
  <cx:chart>
    <cx:title pos="t" align="ctr" overlay="0">
      <cx:tx>
        <cx:txData>
          <cx:v>CuFinoProd. Real vs 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lang="es-ES" sz="1400" b="0" i="0" u="none" strike="noStrike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CuFinoProd. Real vs ST</a:t>
          </a:r>
        </a:p>
      </cx:txPr>
    </cx:title>
    <cx:plotArea>
      <cx:plotAreaRegion>
        <cx:series layoutId="waterfall" uniqueId="{A0D32AAF-107F-4F67-8E38-0DDE58888C63}" formatIdx="0"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tx1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s-CL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1"/>
          </cx:dataLabels>
          <cx:dataId val="0"/>
          <cx:layoutPr>
            <cx:visibility connectorLines="0"/>
            <cx:subtotals>
              <cx:idx val="0"/>
              <cx:idx val="5"/>
              <cx:idx val="7"/>
            </cx:subtotals>
          </cx:layoutPr>
        </cx:series>
      </cx:plotAreaRegion>
      <cx:axis id="0">
        <cx:cat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 b="1"/>
            </a:pPr>
            <a:endParaRPr lang="es-ES" sz="105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 hidden="1">
        <cx:val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/>
            </a:pPr>
            <a:endParaRPr lang="es-ES" sz="105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  <cx:spPr>
    <a:ln>
      <a:noFill/>
    </a:ln>
  </cx:spPr>
  <cx:fmtOvrs>
    <cx:fmtOvr idx="0">
      <cx:spPr>
        <a:solidFill>
          <a:schemeClr val="accent4"/>
        </a:solidFill>
      </cx:spPr>
    </cx:fmtOvr>
    <cx:fmtOvr idx="1">
      <cx:spPr>
        <a:solidFill>
          <a:srgbClr val="C00000"/>
        </a:solidFill>
      </cx:spPr>
    </cx:fmtOvr>
    <cx:fmtOvr idx="2">
      <cx:spPr>
        <a:solidFill>
          <a:schemeClr val="accent1"/>
        </a:solidFill>
      </cx:spPr>
    </cx:fmtOvr>
  </cx:fmtOvrs>
</cx:chartSpace>
</file>

<file path=xl/charts/chartEx4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_xlchart.v5.80</cx:f>
      </cx:strDim>
      <cx:numDim type="val">
        <cx:f>_xlchart.v5.81</cx:f>
      </cx:numDim>
    </cx:data>
  </cx:chartData>
  <cx:chart>
    <cx:title pos="t" align="ctr" overlay="0">
      <cx:tx>
        <cx:txData>
          <cx:v>Proyección CuProducido 06 al 31 Octubre 2025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Proyección CuProducido 06 al 31 Octubre 2025</a:t>
          </a:r>
        </a:p>
      </cx:txPr>
    </cx:title>
    <cx:plotArea>
      <cx:plotAreaRegion>
        <cx:series layoutId="waterfall" uniqueId="{B4DBA020-71DA-4C97-BFAB-5A83769BA967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5"/>
            </cx:subtotals>
          </cx:layoutPr>
        </cx:series>
      </cx:plotAreaRegion>
      <cx:axis id="0">
        <cx:catScaling gapWidth="0.5"/>
        <cx:tickLabels/>
      </cx:axis>
      <cx:axis id="1" hidden="1">
        <cx:valScaling min="20000"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chemeClr val="accent4">
            <a:lumMod val="60000"/>
            <a:lumOff val="40000"/>
          </a:schemeClr>
        </a:solidFill>
      </cx:spPr>
    </cx:fmtOvr>
    <cx:fmtOvr idx="1">
      <cx:spPr>
        <a:solidFill>
          <a:srgbClr val="FF0000"/>
        </a:solidFill>
      </cx:spPr>
    </cx:fmtOvr>
    <cx:fmtOvr idx="2">
      <cx:spPr>
        <a:solidFill>
          <a:schemeClr val="accent4">
            <a:lumMod val="50000"/>
          </a:schemeClr>
        </a:solidFill>
      </cx:spPr>
    </cx:fmtOvr>
  </cx:fmtOvrs>
</cx:chartSpace>
</file>

<file path=xl/charts/chartEx4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_xlchart.v5.83</cx:f>
      </cx:strDim>
      <cx:numDim type="val">
        <cx:f>_xlchart.v5.82</cx:f>
      </cx:numDim>
    </cx:data>
  </cx:chartData>
  <cx:chart>
    <cx:title pos="t" align="ctr" overlay="0">
      <cx:tx>
        <cx:txData>
          <cx:v>Waterfall PM vs BDGT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/>
          </a:pPr>
          <a:r>
            <a: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rPr>
            <a:t>Waterfall PM vs BDGT </a:t>
          </a:r>
        </a:p>
      </cx:txPr>
    </cx:title>
    <cx:plotArea>
      <cx:plotAreaRegion>
        <cx:series layoutId="waterfall" uniqueId="{47231281-98E6-4616-BA57-C345B812EB60}">
          <cx:dataLabels pos="outEnd">
            <cx:numFmt formatCode="#,##0" sourceLinked="0"/>
            <cx:txPr>
              <a:bodyPr vertOverflow="overflow" horzOverflow="overflow" wrap="square" lIns="0" tIns="0" rIns="0" bIns="0"/>
              <a:lstStyle/>
              <a:p>
                <a:pPr algn="ctr" rtl="0">
                  <a:defRPr lang="es-ES" sz="11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s-E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>
              <cx:idx val="5"/>
            </cx:subtotals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lang="es-ES" sz="11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1">
        <cx:valScaling max="27000" min="22000"/>
        <cx:tickLabels/>
        <cx:txPr>
          <a:bodyPr vertOverflow="overflow" horzOverflow="overflow" wrap="square" lIns="0" tIns="0" rIns="0" bIns="0"/>
          <a:lstStyle/>
          <a:p>
            <a:pPr algn="ctr" rtl="0">
              <a:defRPr lang="es-ES" sz="11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es-ES" sz="11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  <a:ea typeface="Calibri" panose="020F0502020204030204" pitchFamily="34" charset="0"/>
            <a:cs typeface="Calibri" panose="020F0502020204030204" pitchFamily="34" charset="0"/>
          </a:endParaRPr>
        </a:p>
      </cx:txPr>
    </cx:legend>
  </cx:chart>
  <cx:fmtOvrs>
    <cx:fmtOvr idx="0">
      <cx:spPr>
        <a:solidFill>
          <a:schemeClr val="accent4"/>
        </a:solidFill>
      </cx:spPr>
    </cx:fmtOvr>
    <cx:fmtOvr idx="1">
      <cx:spPr>
        <a:solidFill>
          <a:schemeClr val="accent1"/>
        </a:solidFill>
      </cx:spPr>
    </cx:fmtOvr>
  </cx:fmtOvrs>
</cx:chartSpace>
</file>

<file path=xl/charts/chartEx4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_xlchart.v5.84</cx:f>
      </cx:strDim>
      <cx:numDim type="val">
        <cx:f>_xlchart.v5.85</cx:f>
      </cx:numDim>
    </cx:data>
  </cx:chartData>
  <cx:chart>
    <cx:title pos="t" align="ctr" overlay="0">
      <cx:tx>
        <cx:txData>
          <cx:v>Waterfall CuFino - PM vs BDGT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Waterfall CuFino - PM vs BDGT </a:t>
          </a:r>
        </a:p>
      </cx:txPr>
    </cx:title>
    <cx:plotArea>
      <cx:plotAreaRegion>
        <cx:series layoutId="waterfall" uniqueId="{6CF0455B-63F1-499F-9567-B4C59A1D522B}">
          <cx:tx>
            <cx:txData>
              <cx:f>_xlchart.v5.84</cx:f>
              <cx:v>BDGT Tratamiento  Ley Cab. Cu,% RCu, % PM</cx:v>
            </cx:txData>
          </cx:tx>
          <cx:dataLabels>
            <cx:numFmt formatCode="#,##0" sourceLinked="0"/>
            <cx:visibility seriesName="0" categoryName="0" value="1"/>
            <cx:separator>, </cx:separator>
          </cx:dataLabels>
          <cx:dataId val="0"/>
          <cx:layoutPr>
            <cx:subtotals>
              <cx:idx val="4"/>
            </cx:subtotals>
          </cx:layoutPr>
        </cx:series>
      </cx:plotAreaRegion>
      <cx:axis id="0">
        <cx:catScaling gapWidth="0.5"/>
        <cx:tickLabels/>
      </cx:axis>
      <cx:axis id="1">
        <cx:valScaling max="27000" min="23000"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chemeClr val="accent4"/>
        </a:solidFill>
      </cx:spPr>
    </cx:fmtOvr>
    <cx:fmtOvr idx="1">
      <cx:spPr>
        <a:solidFill>
          <a:schemeClr val="accent1"/>
        </a:solidFill>
      </cx:spPr>
    </cx:fmtOvr>
  </cx:fmtOvrs>
</cx:chartSpace>
</file>

<file path=xl/charts/chartEx4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_xlchart.v5.86</cx:f>
      </cx:strDim>
      <cx:numDim type="val">
        <cx:f>_xlchart.v5.87</cx:f>
      </cx:numDim>
    </cx:data>
  </cx:chartData>
  <cx:chart>
    <cx:title pos="t" align="ctr" overlay="0">
      <cx:tx>
        <cx:txData>
          <cx:v>Waterfall PM vs Semanal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Waterfall PM vs Semanal</a:t>
          </a:r>
        </a:p>
      </cx:txPr>
    </cx:title>
    <cx:plotArea>
      <cx:plotAreaRegion>
        <cx:series layoutId="waterfall" uniqueId="{A77D6E88-90B5-4CAC-863C-D04E9793CC2E}">
          <cx:dataPt idx="0">
            <cx:spPr>
              <a:solidFill>
                <a:srgbClr val="00778B"/>
              </a:solidFill>
            </cx:spPr>
          </cx:dataPt>
          <cx:dataPt idx="3">
            <cx:spPr>
              <a:solidFill>
                <a:srgbClr val="64CCC9"/>
              </a:solidFill>
            </cx:spPr>
          </cx:dataPt>
          <cx:dataPt idx="5">
            <cx:spPr>
              <a:solidFill>
                <a:srgbClr val="00778B"/>
              </a:solidFill>
            </cx:spPr>
          </cx:dataPt>
          <cx:dataLabels pos="outEnd">
            <cx:numFmt formatCode="#.##0" sourceLinked="0"/>
            <cx:visibility seriesName="0" categoryName="0" value="1"/>
            <cx:separator>, </cx:separator>
            <cx:dataLabel idx="3">
              <cx:numFmt formatCode="#.##0" sourceLinked="0"/>
              <cx:separator>, </cx:separator>
            </cx:dataLabel>
          </cx:dataLabels>
          <cx:dataId val="0"/>
          <cx:layoutPr>
            <cx:subtotals>
              <cx:idx val="5"/>
            </cx:subtotals>
          </cx:layoutPr>
        </cx:series>
      </cx:plotAreaRegion>
      <cx:axis id="0">
        <cx:catScaling gapWidth="0.5"/>
        <cx:tickLabels/>
      </cx:axis>
      <cx:axis id="1">
        <cx:valScaling min="6000"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chemeClr val="accent4"/>
        </a:solidFill>
      </cx:spPr>
    </cx:fmtOvr>
    <cx:fmtOvr idx="1">
      <cx:spPr>
        <a:solidFill>
          <a:schemeClr val="accent1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7.xml"/><Relationship Id="rId3" Type="http://schemas.microsoft.com/office/2014/relationships/chartEx" Target="../charts/chartEx2.xml"/><Relationship Id="rId7" Type="http://schemas.microsoft.com/office/2014/relationships/chartEx" Target="../charts/chartEx6.xml"/><Relationship Id="rId2" Type="http://schemas.microsoft.com/office/2014/relationships/chartEx" Target="../charts/chartEx1.xml"/><Relationship Id="rId1" Type="http://schemas.openxmlformats.org/officeDocument/2006/relationships/image" Target="../media/image1.png"/><Relationship Id="rId6" Type="http://schemas.microsoft.com/office/2014/relationships/chartEx" Target="../charts/chartEx5.xml"/><Relationship Id="rId5" Type="http://schemas.microsoft.com/office/2014/relationships/chartEx" Target="../charts/chartEx4.xml"/><Relationship Id="rId10" Type="http://schemas.microsoft.com/office/2014/relationships/chartEx" Target="../charts/chartEx9.xml"/><Relationship Id="rId4" Type="http://schemas.microsoft.com/office/2014/relationships/chartEx" Target="../charts/chartEx3.xml"/><Relationship Id="rId9" Type="http://schemas.microsoft.com/office/2014/relationships/chartEx" Target="../charts/chartEx8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12.xml"/><Relationship Id="rId2" Type="http://schemas.microsoft.com/office/2014/relationships/chartEx" Target="../charts/chartEx11.xml"/><Relationship Id="rId1" Type="http://schemas.microsoft.com/office/2014/relationships/chartEx" Target="../charts/chartEx10.xml"/><Relationship Id="rId4" Type="http://schemas.microsoft.com/office/2014/relationships/chartEx" Target="../charts/chartEx13.xml"/></Relationships>
</file>

<file path=xl/drawings/_rels/drawing4.xml.rels><?xml version="1.0" encoding="UTF-8" standalone="yes"?>
<Relationships xmlns="http://schemas.openxmlformats.org/package/2006/relationships"><Relationship Id="rId8" Type="http://schemas.microsoft.com/office/2014/relationships/chartEx" Target="../charts/chartEx21.xml"/><Relationship Id="rId13" Type="http://schemas.microsoft.com/office/2014/relationships/chartEx" Target="../charts/chartEx26.xml"/><Relationship Id="rId3" Type="http://schemas.microsoft.com/office/2014/relationships/chartEx" Target="../charts/chartEx16.xml"/><Relationship Id="rId7" Type="http://schemas.microsoft.com/office/2014/relationships/chartEx" Target="../charts/chartEx20.xml"/><Relationship Id="rId12" Type="http://schemas.microsoft.com/office/2014/relationships/chartEx" Target="../charts/chartEx25.xml"/><Relationship Id="rId2" Type="http://schemas.microsoft.com/office/2014/relationships/chartEx" Target="../charts/chartEx15.xml"/><Relationship Id="rId1" Type="http://schemas.microsoft.com/office/2014/relationships/chartEx" Target="../charts/chartEx14.xml"/><Relationship Id="rId6" Type="http://schemas.microsoft.com/office/2014/relationships/chartEx" Target="../charts/chartEx19.xml"/><Relationship Id="rId11" Type="http://schemas.microsoft.com/office/2014/relationships/chartEx" Target="../charts/chartEx24.xml"/><Relationship Id="rId5" Type="http://schemas.microsoft.com/office/2014/relationships/chartEx" Target="../charts/chartEx18.xml"/><Relationship Id="rId10" Type="http://schemas.microsoft.com/office/2014/relationships/chartEx" Target="../charts/chartEx23.xml"/><Relationship Id="rId4" Type="http://schemas.microsoft.com/office/2014/relationships/chartEx" Target="../charts/chartEx17.xml"/><Relationship Id="rId9" Type="http://schemas.microsoft.com/office/2014/relationships/chartEx" Target="../charts/chartEx2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14/relationships/chartEx" Target="../charts/chartEx29.xml"/><Relationship Id="rId7" Type="http://schemas.microsoft.com/office/2014/relationships/chartEx" Target="../charts/chartEx33.xml"/><Relationship Id="rId2" Type="http://schemas.microsoft.com/office/2014/relationships/chartEx" Target="../charts/chartEx28.xml"/><Relationship Id="rId1" Type="http://schemas.microsoft.com/office/2014/relationships/chartEx" Target="../charts/chartEx27.xml"/><Relationship Id="rId6" Type="http://schemas.microsoft.com/office/2014/relationships/chartEx" Target="../charts/chartEx32.xml"/><Relationship Id="rId5" Type="http://schemas.microsoft.com/office/2014/relationships/chartEx" Target="../charts/chartEx31.xml"/><Relationship Id="rId4" Type="http://schemas.microsoft.com/office/2014/relationships/chartEx" Target="../charts/chartEx30.xml"/></Relationships>
</file>

<file path=xl/drawings/_rels/drawing7.xml.rels><?xml version="1.0" encoding="UTF-8" standalone="yes"?>
<Relationships xmlns="http://schemas.openxmlformats.org/package/2006/relationships"><Relationship Id="rId3" Type="http://schemas.microsoft.com/office/2014/relationships/chartEx" Target="../charts/chartEx36.xml"/><Relationship Id="rId2" Type="http://schemas.microsoft.com/office/2014/relationships/chartEx" Target="../charts/chartEx35.xml"/><Relationship Id="rId1" Type="http://schemas.microsoft.com/office/2014/relationships/chartEx" Target="../charts/chartEx34.xml"/><Relationship Id="rId6" Type="http://schemas.microsoft.com/office/2014/relationships/chartEx" Target="../charts/chartEx39.xml"/><Relationship Id="rId5" Type="http://schemas.microsoft.com/office/2014/relationships/chartEx" Target="../charts/chartEx38.xml"/><Relationship Id="rId4" Type="http://schemas.microsoft.com/office/2014/relationships/chartEx" Target="../charts/chartEx3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Procedimiento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image" Target="../media/image3.png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8" Type="http://schemas.microsoft.com/office/2014/relationships/chartEx" Target="../charts/chartEx40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Relationship Id="rId9" Type="http://schemas.openxmlformats.org/officeDocument/2006/relationships/chart" Target="../charts/chart24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image" Target="../media/image1.png"/><Relationship Id="rId4" Type="http://schemas.microsoft.com/office/2014/relationships/chartEx" Target="../charts/chartEx4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microsoft.com/office/2014/relationships/chartEx" Target="../charts/chartEx43.xml"/><Relationship Id="rId1" Type="http://schemas.microsoft.com/office/2014/relationships/chartEx" Target="../charts/chartEx42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Procedimiento!A1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13" Type="http://schemas.openxmlformats.org/officeDocument/2006/relationships/chart" Target="../charts/chart45.xml"/><Relationship Id="rId18" Type="http://schemas.openxmlformats.org/officeDocument/2006/relationships/chart" Target="../charts/chart50.xml"/><Relationship Id="rId3" Type="http://schemas.openxmlformats.org/officeDocument/2006/relationships/chart" Target="../charts/chart35.xml"/><Relationship Id="rId21" Type="http://schemas.openxmlformats.org/officeDocument/2006/relationships/chart" Target="../charts/chart53.xml"/><Relationship Id="rId7" Type="http://schemas.openxmlformats.org/officeDocument/2006/relationships/chart" Target="../charts/chart39.xml"/><Relationship Id="rId12" Type="http://schemas.openxmlformats.org/officeDocument/2006/relationships/chart" Target="../charts/chart44.xml"/><Relationship Id="rId17" Type="http://schemas.openxmlformats.org/officeDocument/2006/relationships/chart" Target="../charts/chart49.xml"/><Relationship Id="rId2" Type="http://schemas.openxmlformats.org/officeDocument/2006/relationships/chart" Target="../charts/chart34.xml"/><Relationship Id="rId16" Type="http://schemas.openxmlformats.org/officeDocument/2006/relationships/chart" Target="../charts/chart48.xml"/><Relationship Id="rId20" Type="http://schemas.openxmlformats.org/officeDocument/2006/relationships/chart" Target="../charts/chart52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11" Type="http://schemas.openxmlformats.org/officeDocument/2006/relationships/chart" Target="../charts/chart43.xml"/><Relationship Id="rId5" Type="http://schemas.openxmlformats.org/officeDocument/2006/relationships/chart" Target="../charts/chart37.xml"/><Relationship Id="rId15" Type="http://schemas.openxmlformats.org/officeDocument/2006/relationships/chart" Target="../charts/chart47.xml"/><Relationship Id="rId10" Type="http://schemas.openxmlformats.org/officeDocument/2006/relationships/chart" Target="../charts/chart42.xml"/><Relationship Id="rId19" Type="http://schemas.openxmlformats.org/officeDocument/2006/relationships/chart" Target="../charts/chart51.xml"/><Relationship Id="rId4" Type="http://schemas.openxmlformats.org/officeDocument/2006/relationships/chart" Target="../charts/chart36.xml"/><Relationship Id="rId9" Type="http://schemas.openxmlformats.org/officeDocument/2006/relationships/chart" Target="../charts/chart41.xml"/><Relationship Id="rId14" Type="http://schemas.openxmlformats.org/officeDocument/2006/relationships/chart" Target="../charts/chart46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microsoft.com/office/2014/relationships/chartEx" Target="../charts/chartEx44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.xml"/><Relationship Id="rId2" Type="http://schemas.openxmlformats.org/officeDocument/2006/relationships/chart" Target="../charts/chart55.xml"/><Relationship Id="rId1" Type="http://schemas.openxmlformats.org/officeDocument/2006/relationships/chart" Target="../charts/chart54.xml"/><Relationship Id="rId4" Type="http://schemas.openxmlformats.org/officeDocument/2006/relationships/chart" Target="../charts/char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280147</xdr:colOff>
      <xdr:row>16</xdr:row>
      <xdr:rowOff>33618</xdr:rowOff>
    </xdr:from>
    <xdr:to>
      <xdr:col>11</xdr:col>
      <xdr:colOff>694764</xdr:colOff>
      <xdr:row>27</xdr:row>
      <xdr:rowOff>100852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95783C-68FA-D90D-44AA-A1F4D998CBCF}"/>
            </a:ext>
          </a:extLst>
        </xdr:cNvPr>
        <xdr:cNvSpPr/>
      </xdr:nvSpPr>
      <xdr:spPr>
        <a:xfrm>
          <a:off x="7283823" y="4179794"/>
          <a:ext cx="10186147" cy="25325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/>
            <a:t>PAGABILIDAD PARA ST FEBRERO FUE DE 0,9699</a:t>
          </a:r>
        </a:p>
        <a:p>
          <a:pPr algn="l"/>
          <a:endParaRPr lang="es-C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38100</xdr:rowOff>
    </xdr:from>
    <xdr:to>
      <xdr:col>0</xdr:col>
      <xdr:colOff>2225675</xdr:colOff>
      <xdr:row>3</xdr:row>
      <xdr:rowOff>20179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38100"/>
          <a:ext cx="2209800" cy="553579"/>
        </a:xfrm>
        <a:prstGeom prst="rect">
          <a:avLst/>
        </a:prstGeom>
      </xdr:spPr>
    </xdr:pic>
    <xdr:clientData/>
  </xdr:twoCellAnchor>
  <xdr:twoCellAnchor>
    <xdr:from>
      <xdr:col>28</xdr:col>
      <xdr:colOff>103419</xdr:colOff>
      <xdr:row>14</xdr:row>
      <xdr:rowOff>22411</xdr:rowOff>
    </xdr:from>
    <xdr:to>
      <xdr:col>35</xdr:col>
      <xdr:colOff>0</xdr:colOff>
      <xdr:row>31</xdr:row>
      <xdr:rowOff>86377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59691C96-B8A1-4DD6-8922-F0F0CDC8AC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538344" y="2454461"/>
              <a:ext cx="5513156" cy="21626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28</xdr:col>
      <xdr:colOff>84044</xdr:colOff>
      <xdr:row>44</xdr:row>
      <xdr:rowOff>100853</xdr:rowOff>
    </xdr:from>
    <xdr:to>
      <xdr:col>33</xdr:col>
      <xdr:colOff>604630</xdr:colOff>
      <xdr:row>59</xdr:row>
      <xdr:rowOff>165652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E5C52A26-97AA-4CF7-8BCC-2D5B7267EC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518969" y="6781053"/>
              <a:ext cx="4810011" cy="23444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36</xdr:col>
      <xdr:colOff>56029</xdr:colOff>
      <xdr:row>12</xdr:row>
      <xdr:rowOff>118783</xdr:rowOff>
    </xdr:from>
    <xdr:to>
      <xdr:col>44</xdr:col>
      <xdr:colOff>190500</xdr:colOff>
      <xdr:row>31</xdr:row>
      <xdr:rowOff>78442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4" name="Gráfico 13">
              <a:extLst>
                <a:ext uri="{FF2B5EF4-FFF2-40B4-BE49-F238E27FC236}">
                  <a16:creationId xmlns:a16="http://schemas.microsoft.com/office/drawing/2014/main" id="{BB56AD4D-D843-42B6-AF29-2D54719DCB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31579" y="2226983"/>
              <a:ext cx="6849596" cy="23853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35</xdr:col>
      <xdr:colOff>504263</xdr:colOff>
      <xdr:row>44</xdr:row>
      <xdr:rowOff>67236</xdr:rowOff>
    </xdr:from>
    <xdr:to>
      <xdr:col>44</xdr:col>
      <xdr:colOff>89646</xdr:colOff>
      <xdr:row>59</xdr:row>
      <xdr:rowOff>134471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6" name="Gráfico 15">
              <a:extLst>
                <a:ext uri="{FF2B5EF4-FFF2-40B4-BE49-F238E27FC236}">
                  <a16:creationId xmlns:a16="http://schemas.microsoft.com/office/drawing/2014/main" id="{B8AF1B76-AEA4-4488-8C74-C552D5B8C4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558938" y="6741086"/>
              <a:ext cx="8218208" cy="2356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47</xdr:col>
      <xdr:colOff>224518</xdr:colOff>
      <xdr:row>12</xdr:row>
      <xdr:rowOff>145596</xdr:rowOff>
    </xdr:from>
    <xdr:to>
      <xdr:col>53</xdr:col>
      <xdr:colOff>204108</xdr:colOff>
      <xdr:row>32</xdr:row>
      <xdr:rowOff>13606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Gráfico 17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198018" y="2247446"/>
              <a:ext cx="5104040" cy="2458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56</xdr:col>
      <xdr:colOff>238124</xdr:colOff>
      <xdr:row>14</xdr:row>
      <xdr:rowOff>23131</xdr:rowOff>
    </xdr:from>
    <xdr:to>
      <xdr:col>63</xdr:col>
      <xdr:colOff>231322</xdr:colOff>
      <xdr:row>33</xdr:row>
      <xdr:rowOff>40821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Gráfico 18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047524" y="2455181"/>
              <a:ext cx="5095423" cy="24433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47</xdr:col>
      <xdr:colOff>251730</xdr:colOff>
      <xdr:row>44</xdr:row>
      <xdr:rowOff>23130</xdr:rowOff>
    </xdr:from>
    <xdr:to>
      <xdr:col>53</xdr:col>
      <xdr:colOff>244927</xdr:colOff>
      <xdr:row>59</xdr:row>
      <xdr:rowOff>81641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Gráfico 19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231580" y="6703330"/>
              <a:ext cx="5114472" cy="23445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56</xdr:col>
      <xdr:colOff>605515</xdr:colOff>
      <xdr:row>45</xdr:row>
      <xdr:rowOff>9526</xdr:rowOff>
    </xdr:from>
    <xdr:to>
      <xdr:col>63</xdr:col>
      <xdr:colOff>585106</xdr:colOff>
      <xdr:row>60</xdr:row>
      <xdr:rowOff>68037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Gráfico 20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408565" y="6845301"/>
              <a:ext cx="5084991" cy="23445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28</xdr:col>
      <xdr:colOff>403860</xdr:colOff>
      <xdr:row>101</xdr:row>
      <xdr:rowOff>49530</xdr:rowOff>
    </xdr:from>
    <xdr:to>
      <xdr:col>34</xdr:col>
      <xdr:colOff>640080</xdr:colOff>
      <xdr:row>117</xdr:row>
      <xdr:rowOff>110490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C8F4E07-FC3A-1FB0-EB81-0BB90AD909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38785" y="15353030"/>
              <a:ext cx="5192395" cy="2651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29</xdr:col>
      <xdr:colOff>373380</xdr:colOff>
      <xdr:row>113</xdr:row>
      <xdr:rowOff>83820</xdr:rowOff>
    </xdr:from>
    <xdr:to>
      <xdr:col>33</xdr:col>
      <xdr:colOff>365760</xdr:colOff>
      <xdr:row>113</xdr:row>
      <xdr:rowOff>135250</xdr:rowOff>
    </xdr:to>
    <xdr:sp macro="" textlink="">
      <xdr:nvSpPr>
        <xdr:cNvPr id="4" name="Abrir corchete 3">
          <a:extLst>
            <a:ext uri="{FF2B5EF4-FFF2-40B4-BE49-F238E27FC236}">
              <a16:creationId xmlns:a16="http://schemas.microsoft.com/office/drawing/2014/main" id="{E8EEA71F-DC13-4A84-A072-CBF23E31075D}"/>
            </a:ext>
          </a:extLst>
        </xdr:cNvPr>
        <xdr:cNvSpPr/>
      </xdr:nvSpPr>
      <xdr:spPr>
        <a:xfrm rot="16200000">
          <a:off x="28351165" y="16187735"/>
          <a:ext cx="51430" cy="3368040"/>
        </a:xfrm>
        <a:prstGeom prst="leftBracke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30</xdr:col>
      <xdr:colOff>1059812</xdr:colOff>
      <xdr:row>113</xdr:row>
      <xdr:rowOff>31195</xdr:rowOff>
    </xdr:from>
    <xdr:ext cx="500525" cy="233205"/>
    <xdr:sp macro="" textlink="$AL$99">
      <xdr:nvSpPr>
        <xdr:cNvPr id="5" name="CuadroTexto 4">
          <a:extLst>
            <a:ext uri="{FF2B5EF4-FFF2-40B4-BE49-F238E27FC236}">
              <a16:creationId xmlns:a16="http://schemas.microsoft.com/office/drawing/2014/main" id="{26F16BC2-08D9-4468-99D8-0BE4DA0C7091}"/>
            </a:ext>
          </a:extLst>
        </xdr:cNvPr>
        <xdr:cNvSpPr txBox="1"/>
      </xdr:nvSpPr>
      <xdr:spPr>
        <a:xfrm>
          <a:off x="28442116" y="17640021"/>
          <a:ext cx="500525" cy="233205"/>
        </a:xfrm>
        <a:prstGeom prst="rect">
          <a:avLst/>
        </a:prstGeom>
        <a:solidFill>
          <a:srgbClr val="FFFFFF"/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0665BC00-F14E-4BAB-80CF-5EEF19F252D3}" type="TxLink">
            <a:rPr lang="en-US" sz="900" b="0" i="0" u="none" strike="noStrike">
              <a:solidFill>
                <a:srgbClr val="000000"/>
              </a:solidFill>
              <a:latin typeface="Arial"/>
              <a:ea typeface="Calibri"/>
              <a:cs typeface="Arial"/>
            </a:rPr>
            <a:pPr algn="ctr"/>
            <a:t>459 </a:t>
          </a:fld>
          <a:endParaRPr lang="es-CL" sz="800" b="1"/>
        </a:p>
      </xdr:txBody>
    </xdr:sp>
    <xdr:clientData/>
  </xdr:oneCellAnchor>
  <xdr:twoCellAnchor>
    <xdr:from>
      <xdr:col>29</xdr:col>
      <xdr:colOff>373380</xdr:colOff>
      <xdr:row>111</xdr:row>
      <xdr:rowOff>57700</xdr:rowOff>
    </xdr:from>
    <xdr:to>
      <xdr:col>30</xdr:col>
      <xdr:colOff>990600</xdr:colOff>
      <xdr:row>111</xdr:row>
      <xdr:rowOff>103419</xdr:rowOff>
    </xdr:to>
    <xdr:sp macro="" textlink="">
      <xdr:nvSpPr>
        <xdr:cNvPr id="6" name="Abrir corchete 5">
          <a:extLst>
            <a:ext uri="{FF2B5EF4-FFF2-40B4-BE49-F238E27FC236}">
              <a16:creationId xmlns:a16="http://schemas.microsoft.com/office/drawing/2014/main" id="{CF9D4DB5-46DD-4DAE-A575-0D279C3FA10E}"/>
            </a:ext>
          </a:extLst>
        </xdr:cNvPr>
        <xdr:cNvSpPr/>
      </xdr:nvSpPr>
      <xdr:spPr>
        <a:xfrm rot="16200000">
          <a:off x="27271980" y="16905520"/>
          <a:ext cx="45719" cy="1203960"/>
        </a:xfrm>
        <a:prstGeom prst="leftBracke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30</xdr:col>
      <xdr:colOff>73657</xdr:colOff>
      <xdr:row>110</xdr:row>
      <xdr:rowOff>142240</xdr:rowOff>
    </xdr:from>
    <xdr:ext cx="500525" cy="217560"/>
    <xdr:sp macro="" textlink="$AL$95">
      <xdr:nvSpPr>
        <xdr:cNvPr id="7" name="CuadroTexto 6">
          <a:extLst>
            <a:ext uri="{FF2B5EF4-FFF2-40B4-BE49-F238E27FC236}">
              <a16:creationId xmlns:a16="http://schemas.microsoft.com/office/drawing/2014/main" id="{ACA3637F-16FA-4E55-90C5-82F8F3EB0BDB}"/>
            </a:ext>
          </a:extLst>
        </xdr:cNvPr>
        <xdr:cNvSpPr txBox="1"/>
      </xdr:nvSpPr>
      <xdr:spPr>
        <a:xfrm>
          <a:off x="27455961" y="17254110"/>
          <a:ext cx="500525" cy="217560"/>
        </a:xfrm>
        <a:prstGeom prst="rect">
          <a:avLst/>
        </a:prstGeom>
        <a:solidFill>
          <a:srgbClr val="FFFFFF"/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7A9C0845-631F-4533-9877-DD86270650C3}" type="TxLink">
            <a:rPr lang="en-US" sz="800" b="0" i="0" u="none" strike="noStrike">
              <a:solidFill>
                <a:srgbClr val="000000"/>
              </a:solidFill>
              <a:latin typeface="Arial"/>
              <a:ea typeface="Calibri"/>
              <a:cs typeface="Arial"/>
            </a:rPr>
            <a:pPr algn="ctr"/>
            <a:t>-94 </a:t>
          </a:fld>
          <a:endParaRPr lang="es-CL" sz="600" b="1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559118</xdr:colOff>
      <xdr:row>1</xdr:row>
      <xdr:rowOff>79533</xdr:rowOff>
    </xdr:from>
    <xdr:to>
      <xdr:col>58</xdr:col>
      <xdr:colOff>581340</xdr:colOff>
      <xdr:row>12</xdr:row>
      <xdr:rowOff>43814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AF6AD296-B60F-40C7-B48F-EFB4F47DC4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956943" y="244633"/>
              <a:ext cx="5349872" cy="14978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51</xdr:col>
      <xdr:colOff>571500</xdr:colOff>
      <xdr:row>15</xdr:row>
      <xdr:rowOff>0</xdr:rowOff>
    </xdr:from>
    <xdr:to>
      <xdr:col>58</xdr:col>
      <xdr:colOff>607057</xdr:colOff>
      <xdr:row>24</xdr:row>
      <xdr:rowOff>135467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222EDED-C4DA-46C8-A43F-B0E646DE39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966150" y="2181225"/>
              <a:ext cx="5369557" cy="14499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49</xdr:col>
      <xdr:colOff>575733</xdr:colOff>
      <xdr:row>27</xdr:row>
      <xdr:rowOff>54610</xdr:rowOff>
    </xdr:from>
    <xdr:to>
      <xdr:col>56</xdr:col>
      <xdr:colOff>611290</xdr:colOff>
      <xdr:row>38</xdr:row>
      <xdr:rowOff>64293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E32589B5-78D5-4B7C-A3D2-FDED560CC5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449558" y="3981450"/>
              <a:ext cx="5366382" cy="15247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10</xdr:col>
      <xdr:colOff>301943</xdr:colOff>
      <xdr:row>33</xdr:row>
      <xdr:rowOff>147637</xdr:rowOff>
    </xdr:from>
    <xdr:to>
      <xdr:col>25</xdr:col>
      <xdr:colOff>540545</xdr:colOff>
      <xdr:row>51</xdr:row>
      <xdr:rowOff>32385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3608B1DF-1F70-03C0-0D2C-A12FF4E340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79018" y="4773612"/>
              <a:ext cx="11005027" cy="27993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16</xdr:col>
      <xdr:colOff>577219</xdr:colOff>
      <xdr:row>46</xdr:row>
      <xdr:rowOff>82984</xdr:rowOff>
    </xdr:from>
    <xdr:to>
      <xdr:col>24</xdr:col>
      <xdr:colOff>398146</xdr:colOff>
      <xdr:row>46</xdr:row>
      <xdr:rowOff>121083</xdr:rowOff>
    </xdr:to>
    <xdr:sp macro="" textlink="">
      <xdr:nvSpPr>
        <xdr:cNvPr id="6" name="Abrir corchete 3">
          <a:extLst>
            <a:ext uri="{FF2B5EF4-FFF2-40B4-BE49-F238E27FC236}">
              <a16:creationId xmlns:a16="http://schemas.microsoft.com/office/drawing/2014/main" id="{0213CF52-4123-490C-9273-7F17619C53A6}"/>
            </a:ext>
          </a:extLst>
        </xdr:cNvPr>
        <xdr:cNvSpPr/>
      </xdr:nvSpPr>
      <xdr:spPr>
        <a:xfrm rot="16200000">
          <a:off x="9074470" y="5187433"/>
          <a:ext cx="38099" cy="3888102"/>
        </a:xfrm>
        <a:prstGeom prst="leftBracke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20</xdr:col>
      <xdr:colOff>301273</xdr:colOff>
      <xdr:row>45</xdr:row>
      <xdr:rowOff>158116</xdr:rowOff>
    </xdr:from>
    <xdr:ext cx="576055" cy="233205"/>
    <xdr:sp macro="" textlink="$J$46">
      <xdr:nvSpPr>
        <xdr:cNvPr id="7" name="CuadroTexto 6">
          <a:extLst>
            <a:ext uri="{FF2B5EF4-FFF2-40B4-BE49-F238E27FC236}">
              <a16:creationId xmlns:a16="http://schemas.microsoft.com/office/drawing/2014/main" id="{3DE71D52-F5D5-4EA8-AB98-3C2ED430BDF3}"/>
            </a:ext>
          </a:extLst>
        </xdr:cNvPr>
        <xdr:cNvSpPr txBox="1"/>
      </xdr:nvSpPr>
      <xdr:spPr>
        <a:xfrm>
          <a:off x="8768998" y="7016116"/>
          <a:ext cx="576055" cy="233205"/>
        </a:xfrm>
        <a:prstGeom prst="rect">
          <a:avLst/>
        </a:prstGeom>
        <a:solidFill>
          <a:srgbClr val="FFFFFF"/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AF5C1D97-223F-4B62-822D-EA36232A2D8E}" type="TxLink">
            <a:rPr lang="en-US" sz="900" b="0" i="0" u="none" strike="noStrike">
              <a:solidFill>
                <a:srgbClr val="000000"/>
              </a:solidFill>
              <a:latin typeface="Arial"/>
              <a:ea typeface="Calibri"/>
              <a:cs typeface="Arial"/>
            </a:rPr>
            <a:pPr/>
            <a:t>-10.547</a:t>
          </a:fld>
          <a:endParaRPr lang="es-CL" sz="800" b="1"/>
        </a:p>
      </xdr:txBody>
    </xdr:sp>
    <xdr:clientData/>
  </xdr:oneCellAnchor>
  <xdr:twoCellAnchor>
    <xdr:from>
      <xdr:col>16</xdr:col>
      <xdr:colOff>581029</xdr:colOff>
      <xdr:row>44</xdr:row>
      <xdr:rowOff>142039</xdr:rowOff>
    </xdr:from>
    <xdr:to>
      <xdr:col>19</xdr:col>
      <xdr:colOff>409578</xdr:colOff>
      <xdr:row>45</xdr:row>
      <xdr:rowOff>16308</xdr:rowOff>
    </xdr:to>
    <xdr:sp macro="" textlink="">
      <xdr:nvSpPr>
        <xdr:cNvPr id="8" name="Abrir corchete 3">
          <a:extLst>
            <a:ext uri="{FF2B5EF4-FFF2-40B4-BE49-F238E27FC236}">
              <a16:creationId xmlns:a16="http://schemas.microsoft.com/office/drawing/2014/main" id="{2610B6B3-A149-4A3B-A603-B651296DE679}"/>
            </a:ext>
          </a:extLst>
        </xdr:cNvPr>
        <xdr:cNvSpPr/>
      </xdr:nvSpPr>
      <xdr:spPr>
        <a:xfrm rot="16200000">
          <a:off x="7720969" y="6260899"/>
          <a:ext cx="45719" cy="1181099"/>
        </a:xfrm>
        <a:prstGeom prst="leftBracke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19</xdr:col>
      <xdr:colOff>2764</xdr:colOff>
      <xdr:row>44</xdr:row>
      <xdr:rowOff>59056</xdr:rowOff>
    </xdr:from>
    <xdr:ext cx="581378" cy="248851"/>
    <xdr:sp macro="" textlink="$K$39">
      <xdr:nvSpPr>
        <xdr:cNvPr id="9" name="CuadroTexto 8">
          <a:extLst>
            <a:ext uri="{FF2B5EF4-FFF2-40B4-BE49-F238E27FC236}">
              <a16:creationId xmlns:a16="http://schemas.microsoft.com/office/drawing/2014/main" id="{309C4A14-C772-4071-9D91-CA70BAB2CCEB}"/>
            </a:ext>
          </a:extLst>
        </xdr:cNvPr>
        <xdr:cNvSpPr txBox="1"/>
      </xdr:nvSpPr>
      <xdr:spPr>
        <a:xfrm>
          <a:off x="11357719" y="6663056"/>
          <a:ext cx="581378" cy="248851"/>
        </a:xfrm>
        <a:prstGeom prst="rect">
          <a:avLst/>
        </a:prstGeom>
        <a:solidFill>
          <a:srgbClr val="FFFFFF"/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77A46AA-2910-4490-8FFF-96EEC5706CC4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-12.942</a:t>
          </a:fld>
          <a:endParaRPr lang="es-CL" sz="800" b="1"/>
        </a:p>
      </xdr:txBody>
    </xdr:sp>
    <xdr:clientData/>
  </xdr:oneCellAnchor>
  <xdr:twoCellAnchor>
    <xdr:from>
      <xdr:col>20</xdr:col>
      <xdr:colOff>361950</xdr:colOff>
      <xdr:row>47</xdr:row>
      <xdr:rowOff>0</xdr:rowOff>
    </xdr:from>
    <xdr:to>
      <xdr:col>21</xdr:col>
      <xdr:colOff>327658</xdr:colOff>
      <xdr:row>48</xdr:row>
      <xdr:rowOff>131445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84410D3A-8EFF-1C2E-1998-029FE9FE3F40}"/>
            </a:ext>
          </a:extLst>
        </xdr:cNvPr>
        <xdr:cNvSpPr/>
      </xdr:nvSpPr>
      <xdr:spPr>
        <a:xfrm>
          <a:off x="8829675" y="7200900"/>
          <a:ext cx="508633" cy="302895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900">
              <a:solidFill>
                <a:sysClr val="windowText" lastClr="000000"/>
              </a:solidFill>
            </a:rPr>
            <a:t>-7%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347235</xdr:colOff>
      <xdr:row>4</xdr:row>
      <xdr:rowOff>25400</xdr:rowOff>
    </xdr:from>
    <xdr:to>
      <xdr:col>44</xdr:col>
      <xdr:colOff>0</xdr:colOff>
      <xdr:row>16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7C73C5B7-2180-4033-9802-56248355CE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29035" y="638175"/>
              <a:ext cx="4202540" cy="1466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30</xdr:col>
      <xdr:colOff>2540</xdr:colOff>
      <xdr:row>4</xdr:row>
      <xdr:rowOff>19049</xdr:rowOff>
    </xdr:from>
    <xdr:to>
      <xdr:col>36</xdr:col>
      <xdr:colOff>203200</xdr:colOff>
      <xdr:row>18</xdr:row>
      <xdr:rowOff>6350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C3537F80-5B2B-4502-B5DD-6594F4A49E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56865" y="628649"/>
              <a:ext cx="4121785" cy="14859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9</xdr:col>
      <xdr:colOff>161926</xdr:colOff>
      <xdr:row>107</xdr:row>
      <xdr:rowOff>76201</xdr:rowOff>
    </xdr:from>
    <xdr:to>
      <xdr:col>15</xdr:col>
      <xdr:colOff>0</xdr:colOff>
      <xdr:row>117</xdr:row>
      <xdr:rowOff>123825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45A2B1CA-00D4-4D66-8E17-1EB8896E3B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8576" y="14639926"/>
              <a:ext cx="2955924" cy="15684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28</xdr:col>
      <xdr:colOff>0</xdr:colOff>
      <xdr:row>53</xdr:row>
      <xdr:rowOff>206216</xdr:rowOff>
    </xdr:from>
    <xdr:to>
      <xdr:col>34</xdr:col>
      <xdr:colOff>19526</xdr:colOff>
      <xdr:row>62</xdr:row>
      <xdr:rowOff>154781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D2A329A7-605A-4456-BF7B-257BA887E7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97025" y="6346666"/>
              <a:ext cx="3991451" cy="13709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35</xdr:col>
      <xdr:colOff>0</xdr:colOff>
      <xdr:row>54</xdr:row>
      <xdr:rowOff>0</xdr:rowOff>
    </xdr:from>
    <xdr:to>
      <xdr:col>42</xdr:col>
      <xdr:colOff>184</xdr:colOff>
      <xdr:row>62</xdr:row>
      <xdr:rowOff>179175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B720CB3E-0E4C-457C-8452-8AB90C58C7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07125" y="6343650"/>
              <a:ext cx="3867334" cy="137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39</xdr:col>
      <xdr:colOff>476250</xdr:colOff>
      <xdr:row>116</xdr:row>
      <xdr:rowOff>50800</xdr:rowOff>
    </xdr:from>
    <xdr:to>
      <xdr:col>49</xdr:col>
      <xdr:colOff>226380</xdr:colOff>
      <xdr:row>129</xdr:row>
      <xdr:rowOff>107950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9" name="Gráfico 18">
              <a:extLst>
                <a:ext uri="{FF2B5EF4-FFF2-40B4-BE49-F238E27FC236}">
                  <a16:creationId xmlns:a16="http://schemas.microsoft.com/office/drawing/2014/main" id="{3A86317D-A974-4378-B54E-86D6535F73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812250" y="15982950"/>
              <a:ext cx="5303205" cy="2105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41</xdr:col>
      <xdr:colOff>304800</xdr:colOff>
      <xdr:row>125</xdr:row>
      <xdr:rowOff>99060</xdr:rowOff>
    </xdr:from>
    <xdr:to>
      <xdr:col>48</xdr:col>
      <xdr:colOff>198120</xdr:colOff>
      <xdr:row>125</xdr:row>
      <xdr:rowOff>106680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3D61D773-3A37-47B3-BA26-D67979245E3A}"/>
            </a:ext>
          </a:extLst>
        </xdr:cNvPr>
        <xdr:cNvCxnSpPr/>
      </xdr:nvCxnSpPr>
      <xdr:spPr>
        <a:xfrm flipV="1">
          <a:off x="24688800" y="5410200"/>
          <a:ext cx="3048000" cy="7620"/>
        </a:xfrm>
        <a:prstGeom prst="line">
          <a:avLst/>
        </a:prstGeom>
        <a:ln w="63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314960</xdr:colOff>
      <xdr:row>125</xdr:row>
      <xdr:rowOff>38100</xdr:rowOff>
    </xdr:from>
    <xdr:to>
      <xdr:col>41</xdr:col>
      <xdr:colOff>314960</xdr:colOff>
      <xdr:row>126</xdr:row>
      <xdr:rowOff>50800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DE918166-8D66-4AF0-80DC-DE2B2873A558}"/>
            </a:ext>
          </a:extLst>
        </xdr:cNvPr>
        <xdr:cNvCxnSpPr/>
      </xdr:nvCxnSpPr>
      <xdr:spPr>
        <a:xfrm>
          <a:off x="24698960" y="5349240"/>
          <a:ext cx="0" cy="165100"/>
        </a:xfrm>
        <a:prstGeom prst="line">
          <a:avLst/>
        </a:prstGeom>
        <a:ln w="63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207010</xdr:colOff>
      <xdr:row>125</xdr:row>
      <xdr:rowOff>30480</xdr:rowOff>
    </xdr:from>
    <xdr:to>
      <xdr:col>48</xdr:col>
      <xdr:colOff>207010</xdr:colOff>
      <xdr:row>126</xdr:row>
      <xdr:rowOff>43180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97D0D2D3-43A7-45A3-B6E2-799D3A8E7B61}"/>
            </a:ext>
          </a:extLst>
        </xdr:cNvPr>
        <xdr:cNvCxnSpPr/>
      </xdr:nvCxnSpPr>
      <xdr:spPr>
        <a:xfrm>
          <a:off x="27745690" y="5341620"/>
          <a:ext cx="0" cy="165100"/>
        </a:xfrm>
        <a:prstGeom prst="line">
          <a:avLst/>
        </a:prstGeom>
        <a:ln w="63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46</xdr:col>
      <xdr:colOff>122555</xdr:colOff>
      <xdr:row>124</xdr:row>
      <xdr:rowOff>130175</xdr:rowOff>
    </xdr:from>
    <xdr:ext cx="395429" cy="233205"/>
    <xdr:sp macro="" textlink="$AM$126">
      <xdr:nvSpPr>
        <xdr:cNvPr id="23" name="CuadroTexto 22">
          <a:extLst>
            <a:ext uri="{FF2B5EF4-FFF2-40B4-BE49-F238E27FC236}">
              <a16:creationId xmlns:a16="http://schemas.microsoft.com/office/drawing/2014/main" id="{0493CD65-2EEF-4FB5-8A31-0BE9EA3545EC}"/>
            </a:ext>
          </a:extLst>
        </xdr:cNvPr>
        <xdr:cNvSpPr txBox="1"/>
      </xdr:nvSpPr>
      <xdr:spPr>
        <a:xfrm>
          <a:off x="23388403" y="17068110"/>
          <a:ext cx="395429" cy="23320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A0B27E19-593F-4FB5-86C1-241EC1C27047}" type="TxLink">
            <a:rPr lang="en-US" sz="9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-721</a:t>
          </a:fld>
          <a:endParaRPr lang="es-CL" sz="900" b="1"/>
        </a:p>
      </xdr:txBody>
    </xdr:sp>
    <xdr:clientData/>
  </xdr:oneCellAnchor>
  <xdr:twoCellAnchor>
    <xdr:from>
      <xdr:col>39</xdr:col>
      <xdr:colOff>327660</xdr:colOff>
      <xdr:row>130</xdr:row>
      <xdr:rowOff>101600</xdr:rowOff>
    </xdr:from>
    <xdr:to>
      <xdr:col>49</xdr:col>
      <xdr:colOff>207330</xdr:colOff>
      <xdr:row>145</xdr:row>
      <xdr:rowOff>146050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4" name="Gráfico 23">
              <a:extLst>
                <a:ext uri="{FF2B5EF4-FFF2-40B4-BE49-F238E27FC236}">
                  <a16:creationId xmlns:a16="http://schemas.microsoft.com/office/drawing/2014/main" id="{CC83CA5E-85D2-44E3-91DC-AF3F3AD696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685885" y="18240375"/>
              <a:ext cx="5410520" cy="2295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15</xdr:col>
      <xdr:colOff>430694</xdr:colOff>
      <xdr:row>146</xdr:row>
      <xdr:rowOff>25261</xdr:rowOff>
    </xdr:from>
    <xdr:to>
      <xdr:col>31</xdr:col>
      <xdr:colOff>380999</xdr:colOff>
      <xdr:row>160</xdr:row>
      <xdr:rowOff>107674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3" name="Gráfico 32">
              <a:extLst>
                <a:ext uri="{FF2B5EF4-FFF2-40B4-BE49-F238E27FC236}">
                  <a16:creationId xmlns:a16="http://schemas.microsoft.com/office/drawing/2014/main" id="{1C6F05B7-6062-4AE4-9915-053C0620F0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62019" y="20573861"/>
              <a:ext cx="7306780" cy="22096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182</xdr:row>
      <xdr:rowOff>31107</xdr:rowOff>
    </xdr:from>
    <xdr:to>
      <xdr:col>17</xdr:col>
      <xdr:colOff>466728</xdr:colOff>
      <xdr:row>182</xdr:row>
      <xdr:rowOff>133349</xdr:rowOff>
    </xdr:to>
    <xdr:sp macro="" textlink="">
      <xdr:nvSpPr>
        <xdr:cNvPr id="37" name="Abrir corchete 36">
          <a:extLst>
            <a:ext uri="{FF2B5EF4-FFF2-40B4-BE49-F238E27FC236}">
              <a16:creationId xmlns:a16="http://schemas.microsoft.com/office/drawing/2014/main" id="{750632F7-7D2F-48DC-9B92-AE7398EB1130}"/>
            </a:ext>
          </a:extLst>
        </xdr:cNvPr>
        <xdr:cNvSpPr/>
      </xdr:nvSpPr>
      <xdr:spPr>
        <a:xfrm rot="16200000">
          <a:off x="8345170" y="8392790"/>
          <a:ext cx="102242" cy="2809875"/>
        </a:xfrm>
        <a:prstGeom prst="leftBracket">
          <a:avLst/>
        </a:prstGeom>
        <a:ln w="63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oneCellAnchor>
    <xdr:from>
      <xdr:col>15</xdr:col>
      <xdr:colOff>0</xdr:colOff>
      <xdr:row>181</xdr:row>
      <xdr:rowOff>106045</xdr:rowOff>
    </xdr:from>
    <xdr:ext cx="585866" cy="233205"/>
    <xdr:sp macro="" textlink="$I$183">
      <xdr:nvSpPr>
        <xdr:cNvPr id="38" name="CuadroTexto 37">
          <a:extLst>
            <a:ext uri="{FF2B5EF4-FFF2-40B4-BE49-F238E27FC236}">
              <a16:creationId xmlns:a16="http://schemas.microsoft.com/office/drawing/2014/main" id="{B75FCC5B-D981-485F-ADB5-1D64BD34746E}"/>
            </a:ext>
          </a:extLst>
        </xdr:cNvPr>
        <xdr:cNvSpPr txBox="1"/>
      </xdr:nvSpPr>
      <xdr:spPr>
        <a:xfrm>
          <a:off x="8506558" y="9726295"/>
          <a:ext cx="585866" cy="23320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51D4B9E-69EF-4437-AF97-36CA9D305863}" type="TxLink">
            <a:rPr lang="en-US" sz="9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#¡DIV/0!</a:t>
          </a:fld>
          <a:endParaRPr lang="es-CL" sz="900" b="1"/>
        </a:p>
      </xdr:txBody>
    </xdr:sp>
    <xdr:clientData/>
  </xdr:oneCellAnchor>
  <xdr:twoCellAnchor>
    <xdr:from>
      <xdr:col>42</xdr:col>
      <xdr:colOff>33021</xdr:colOff>
      <xdr:row>142</xdr:row>
      <xdr:rowOff>50799</xdr:rowOff>
    </xdr:from>
    <xdr:to>
      <xdr:col>48</xdr:col>
      <xdr:colOff>120651</xdr:colOff>
      <xdr:row>142</xdr:row>
      <xdr:rowOff>96518</xdr:rowOff>
    </xdr:to>
    <xdr:sp macro="" textlink="">
      <xdr:nvSpPr>
        <xdr:cNvPr id="10" name="Abrir corchete 3">
          <a:extLst>
            <a:ext uri="{FF2B5EF4-FFF2-40B4-BE49-F238E27FC236}">
              <a16:creationId xmlns:a16="http://schemas.microsoft.com/office/drawing/2014/main" id="{0CD4608A-8ABA-4812-85C8-215DB62817BF}"/>
            </a:ext>
          </a:extLst>
        </xdr:cNvPr>
        <xdr:cNvSpPr/>
      </xdr:nvSpPr>
      <xdr:spPr>
        <a:xfrm rot="16200000">
          <a:off x="21751926" y="6430644"/>
          <a:ext cx="45719" cy="3224530"/>
        </a:xfrm>
        <a:prstGeom prst="leftBracke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45</xdr:col>
      <xdr:colOff>87630</xdr:colOff>
      <xdr:row>141</xdr:row>
      <xdr:rowOff>114300</xdr:rowOff>
    </xdr:from>
    <xdr:ext cx="395429" cy="233205"/>
    <xdr:sp macro="" textlink="$AN$140">
      <xdr:nvSpPr>
        <xdr:cNvPr id="27" name="CuadroTexto 26">
          <a:extLst>
            <a:ext uri="{FF2B5EF4-FFF2-40B4-BE49-F238E27FC236}">
              <a16:creationId xmlns:a16="http://schemas.microsoft.com/office/drawing/2014/main" id="{B9973ADE-E4F0-4D4E-8FE0-8821D4915149}"/>
            </a:ext>
          </a:extLst>
        </xdr:cNvPr>
        <xdr:cNvSpPr txBox="1"/>
      </xdr:nvSpPr>
      <xdr:spPr>
        <a:xfrm>
          <a:off x="23123476" y="20043531"/>
          <a:ext cx="395429" cy="23320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E89F32BF-3274-4706-B738-5DECFD2D805C}" type="TxLink">
            <a:rPr lang="en-US" sz="9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-315</a:t>
          </a:fld>
          <a:endParaRPr lang="es-CL" sz="900" b="1"/>
        </a:p>
      </xdr:txBody>
    </xdr:sp>
    <xdr:clientData/>
  </xdr:oneCellAnchor>
  <xdr:twoCellAnchor>
    <xdr:from>
      <xdr:col>42</xdr:col>
      <xdr:colOff>35562</xdr:colOff>
      <xdr:row>140</xdr:row>
      <xdr:rowOff>107949</xdr:rowOff>
    </xdr:from>
    <xdr:to>
      <xdr:col>43</xdr:col>
      <xdr:colOff>558804</xdr:colOff>
      <xdr:row>141</xdr:row>
      <xdr:rowOff>1268</xdr:rowOff>
    </xdr:to>
    <xdr:sp macro="" textlink="">
      <xdr:nvSpPr>
        <xdr:cNvPr id="12" name="Abrir corchete 3">
          <a:extLst>
            <a:ext uri="{FF2B5EF4-FFF2-40B4-BE49-F238E27FC236}">
              <a16:creationId xmlns:a16="http://schemas.microsoft.com/office/drawing/2014/main" id="{E304699D-DBD6-4643-8376-9A5AFBC841EF}"/>
            </a:ext>
          </a:extLst>
        </xdr:cNvPr>
        <xdr:cNvSpPr/>
      </xdr:nvSpPr>
      <xdr:spPr>
        <a:xfrm rot="16200000">
          <a:off x="20730848" y="7206613"/>
          <a:ext cx="45719" cy="1177292"/>
        </a:xfrm>
        <a:prstGeom prst="leftBracke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42</xdr:col>
      <xdr:colOff>372746</xdr:colOff>
      <xdr:row>140</xdr:row>
      <xdr:rowOff>28575</xdr:rowOff>
    </xdr:from>
    <xdr:ext cx="336952" cy="233205"/>
    <xdr:sp macro="" textlink="$AN$136">
      <xdr:nvSpPr>
        <xdr:cNvPr id="15" name="CuadroTexto 14">
          <a:extLst>
            <a:ext uri="{FF2B5EF4-FFF2-40B4-BE49-F238E27FC236}">
              <a16:creationId xmlns:a16="http://schemas.microsoft.com/office/drawing/2014/main" id="{3E36B5EF-C51A-4061-A92D-A286388871AA}"/>
            </a:ext>
          </a:extLst>
        </xdr:cNvPr>
        <xdr:cNvSpPr txBox="1"/>
      </xdr:nvSpPr>
      <xdr:spPr>
        <a:xfrm>
          <a:off x="21906573" y="19803940"/>
          <a:ext cx="336952" cy="23320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FB0995FC-A8BE-40D7-BD64-E7C03ED4BADE}" type="TxLink">
            <a:rPr lang="en-US" sz="9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-51</a:t>
          </a:fld>
          <a:endParaRPr lang="es-CL" sz="900" b="1"/>
        </a:p>
      </xdr:txBody>
    </xdr:sp>
    <xdr:clientData/>
  </xdr:oneCellAnchor>
  <xdr:twoCellAnchor>
    <xdr:from>
      <xdr:col>15</xdr:col>
      <xdr:colOff>0</xdr:colOff>
      <xdr:row>133</xdr:row>
      <xdr:rowOff>24849</xdr:rowOff>
    </xdr:from>
    <xdr:to>
      <xdr:col>28</xdr:col>
      <xdr:colOff>266700</xdr:colOff>
      <xdr:row>142</xdr:row>
      <xdr:rowOff>133351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2" name="Gráfico 31">
              <a:extLst>
                <a:ext uri="{FF2B5EF4-FFF2-40B4-BE49-F238E27FC236}">
                  <a16:creationId xmlns:a16="http://schemas.microsoft.com/office/drawing/2014/main" id="{C5A55310-EAE7-4661-B5A2-B360A0FC29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34500" y="18592249"/>
              <a:ext cx="5229225" cy="14769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10</xdr:col>
      <xdr:colOff>85725</xdr:colOff>
      <xdr:row>40</xdr:row>
      <xdr:rowOff>133350</xdr:rowOff>
    </xdr:from>
    <xdr:to>
      <xdr:col>25</xdr:col>
      <xdr:colOff>66675</xdr:colOff>
      <xdr:row>50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5" name="Gráfico 24">
              <a:extLst>
                <a:ext uri="{FF2B5EF4-FFF2-40B4-BE49-F238E27FC236}">
                  <a16:creationId xmlns:a16="http://schemas.microsoft.com/office/drawing/2014/main" id="{66B1F2ED-2BD1-4892-B34B-AC02107887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73875" y="4248150"/>
              <a:ext cx="5029200" cy="1438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10</xdr:col>
      <xdr:colOff>85725</xdr:colOff>
      <xdr:row>52</xdr:row>
      <xdr:rowOff>133350</xdr:rowOff>
    </xdr:from>
    <xdr:to>
      <xdr:col>25</xdr:col>
      <xdr:colOff>66675</xdr:colOff>
      <xdr:row>62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6" name="Gráfico 25">
              <a:extLst>
                <a:ext uri="{FF2B5EF4-FFF2-40B4-BE49-F238E27FC236}">
                  <a16:creationId xmlns:a16="http://schemas.microsoft.com/office/drawing/2014/main" id="{E3E6BF97-1F82-45AE-8CD4-3AAE4188AB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73875" y="6124575"/>
              <a:ext cx="5029200" cy="1438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10</xdr:col>
      <xdr:colOff>108857</xdr:colOff>
      <xdr:row>65</xdr:row>
      <xdr:rowOff>0</xdr:rowOff>
    </xdr:from>
    <xdr:to>
      <xdr:col>25</xdr:col>
      <xdr:colOff>89807</xdr:colOff>
      <xdr:row>74</xdr:row>
      <xdr:rowOff>16329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9" name="Gráfico 28">
              <a:extLst>
                <a:ext uri="{FF2B5EF4-FFF2-40B4-BE49-F238E27FC236}">
                  <a16:creationId xmlns:a16="http://schemas.microsoft.com/office/drawing/2014/main" id="{7476856C-4B87-4052-96DC-B18C9FD0DA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97007" y="8020050"/>
              <a:ext cx="5029200" cy="14355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10</xdr:col>
      <xdr:colOff>108857</xdr:colOff>
      <xdr:row>77</xdr:row>
      <xdr:rowOff>0</xdr:rowOff>
    </xdr:from>
    <xdr:to>
      <xdr:col>25</xdr:col>
      <xdr:colOff>89807</xdr:colOff>
      <xdr:row>86</xdr:row>
      <xdr:rowOff>16329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0" name="Gráfico 29">
              <a:extLst>
                <a:ext uri="{FF2B5EF4-FFF2-40B4-BE49-F238E27FC236}">
                  <a16:creationId xmlns:a16="http://schemas.microsoft.com/office/drawing/2014/main" id="{DCBFA99F-5432-4FD8-BFF0-993FE85483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97007" y="9896475"/>
              <a:ext cx="5029200" cy="14355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85722</xdr:colOff>
      <xdr:row>24</xdr:row>
      <xdr:rowOff>28575</xdr:rowOff>
    </xdr:from>
    <xdr:to>
      <xdr:col>31</xdr:col>
      <xdr:colOff>38099</xdr:colOff>
      <xdr:row>42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CD6DAE-D1FC-6351-EE40-6FA5D9510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82550</xdr:colOff>
      <xdr:row>42</xdr:row>
      <xdr:rowOff>95250</xdr:rowOff>
    </xdr:from>
    <xdr:to>
      <xdr:col>31</xdr:col>
      <xdr:colOff>38102</xdr:colOff>
      <xdr:row>61</xdr:row>
      <xdr:rowOff>139700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668D86C-6D9E-4535-9882-379CBC6E0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31503</xdr:colOff>
      <xdr:row>3</xdr:row>
      <xdr:rowOff>74979</xdr:rowOff>
    </xdr:from>
    <xdr:to>
      <xdr:col>33</xdr:col>
      <xdr:colOff>752228</xdr:colOff>
      <xdr:row>16</xdr:row>
      <xdr:rowOff>74979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7C0B24B6-FD62-4C31-99D7-C481B6562A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935203" y="732204"/>
              <a:ext cx="477520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35</xdr:col>
      <xdr:colOff>494079</xdr:colOff>
      <xdr:row>3</xdr:row>
      <xdr:rowOff>61791</xdr:rowOff>
    </xdr:from>
    <xdr:to>
      <xdr:col>41</xdr:col>
      <xdr:colOff>395165</xdr:colOff>
      <xdr:row>16</xdr:row>
      <xdr:rowOff>61791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28EE46CE-7A74-4158-9993-AB6DA4E9B4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68329" y="722191"/>
              <a:ext cx="4755661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28</xdr:col>
      <xdr:colOff>47764</xdr:colOff>
      <xdr:row>33</xdr:row>
      <xdr:rowOff>74543</xdr:rowOff>
    </xdr:from>
    <xdr:to>
      <xdr:col>33</xdr:col>
      <xdr:colOff>768489</xdr:colOff>
      <xdr:row>43</xdr:row>
      <xdr:rowOff>74544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7B113B86-8F0A-4846-A3AE-533F4F6ADA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951464" y="4456043"/>
              <a:ext cx="4775200" cy="21907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35</xdr:col>
      <xdr:colOff>198783</xdr:colOff>
      <xdr:row>33</xdr:row>
      <xdr:rowOff>157369</xdr:rowOff>
    </xdr:from>
    <xdr:to>
      <xdr:col>41</xdr:col>
      <xdr:colOff>99869</xdr:colOff>
      <xdr:row>43</xdr:row>
      <xdr:rowOff>157370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8659D2AA-8492-4780-9E9A-41CAF3ED76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776208" y="4542044"/>
              <a:ext cx="4758836" cy="21907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28</xdr:col>
      <xdr:colOff>100619</xdr:colOff>
      <xdr:row>59</xdr:row>
      <xdr:rowOff>74543</xdr:rowOff>
    </xdr:from>
    <xdr:to>
      <xdr:col>34</xdr:col>
      <xdr:colOff>20870</xdr:colOff>
      <xdr:row>69</xdr:row>
      <xdr:rowOff>74544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B3541AC0-C7CA-419F-B2C2-EEEEED2DD6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10669" y="10151993"/>
              <a:ext cx="4774826" cy="21907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35</xdr:col>
      <xdr:colOff>198783</xdr:colOff>
      <xdr:row>59</xdr:row>
      <xdr:rowOff>157369</xdr:rowOff>
    </xdr:from>
    <xdr:to>
      <xdr:col>41</xdr:col>
      <xdr:colOff>99869</xdr:colOff>
      <xdr:row>69</xdr:row>
      <xdr:rowOff>157370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83659A38-171E-47F9-8999-1A4303B48D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776208" y="10237994"/>
              <a:ext cx="4758836" cy="21907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9</xdr:col>
      <xdr:colOff>454025</xdr:colOff>
      <xdr:row>43</xdr:row>
      <xdr:rowOff>192768</xdr:rowOff>
    </xdr:from>
    <xdr:to>
      <xdr:col>20</xdr:col>
      <xdr:colOff>114300</xdr:colOff>
      <xdr:row>55</xdr:row>
      <xdr:rowOff>183717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501A1D27-90E9-4966-96E5-54F597F27A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50150" y="6765018"/>
              <a:ext cx="4908550" cy="26166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476250</xdr:colOff>
      <xdr:row>88</xdr:row>
      <xdr:rowOff>50800</xdr:rowOff>
    </xdr:from>
    <xdr:to>
      <xdr:col>46</xdr:col>
      <xdr:colOff>226380</xdr:colOff>
      <xdr:row>101</xdr:row>
      <xdr:rowOff>107950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F2832B26-36E8-4FEB-A8D5-60F04ECE0F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002625" y="11410950"/>
              <a:ext cx="5084130" cy="2105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38</xdr:col>
      <xdr:colOff>304800</xdr:colOff>
      <xdr:row>97</xdr:row>
      <xdr:rowOff>99060</xdr:rowOff>
    </xdr:from>
    <xdr:to>
      <xdr:col>45</xdr:col>
      <xdr:colOff>198120</xdr:colOff>
      <xdr:row>97</xdr:row>
      <xdr:rowOff>106680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9BD7CC5C-F4AD-49D9-B99C-B9D13D0660C9}"/>
            </a:ext>
          </a:extLst>
        </xdr:cNvPr>
        <xdr:cNvCxnSpPr/>
      </xdr:nvCxnSpPr>
      <xdr:spPr>
        <a:xfrm flipV="1">
          <a:off x="19994880" y="5547360"/>
          <a:ext cx="3398520" cy="7620"/>
        </a:xfrm>
        <a:prstGeom prst="line">
          <a:avLst/>
        </a:prstGeom>
        <a:ln w="63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314960</xdr:colOff>
      <xdr:row>97</xdr:row>
      <xdr:rowOff>38100</xdr:rowOff>
    </xdr:from>
    <xdr:to>
      <xdr:col>38</xdr:col>
      <xdr:colOff>314960</xdr:colOff>
      <xdr:row>98</xdr:row>
      <xdr:rowOff>50800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2514EFC8-2BEE-4201-8B98-8CA45EA3F299}"/>
            </a:ext>
          </a:extLst>
        </xdr:cNvPr>
        <xdr:cNvCxnSpPr/>
      </xdr:nvCxnSpPr>
      <xdr:spPr>
        <a:xfrm>
          <a:off x="20005040" y="5486400"/>
          <a:ext cx="0" cy="165100"/>
        </a:xfrm>
        <a:prstGeom prst="line">
          <a:avLst/>
        </a:prstGeom>
        <a:ln w="63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207010</xdr:colOff>
      <xdr:row>97</xdr:row>
      <xdr:rowOff>30480</xdr:rowOff>
    </xdr:from>
    <xdr:to>
      <xdr:col>45</xdr:col>
      <xdr:colOff>207010</xdr:colOff>
      <xdr:row>98</xdr:row>
      <xdr:rowOff>43180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63138056-5586-49CA-9D0B-FC3ED0678CC5}"/>
            </a:ext>
          </a:extLst>
        </xdr:cNvPr>
        <xdr:cNvCxnSpPr/>
      </xdr:nvCxnSpPr>
      <xdr:spPr>
        <a:xfrm>
          <a:off x="23402290" y="5478780"/>
          <a:ext cx="0" cy="165100"/>
        </a:xfrm>
        <a:prstGeom prst="line">
          <a:avLst/>
        </a:prstGeom>
        <a:ln w="63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43</xdr:col>
      <xdr:colOff>125095</xdr:colOff>
      <xdr:row>96</xdr:row>
      <xdr:rowOff>133350</xdr:rowOff>
    </xdr:from>
    <xdr:ext cx="489301" cy="233205"/>
    <xdr:sp macro="" textlink="$AM$98">
      <xdr:nvSpPr>
        <xdr:cNvPr id="14" name="CuadroTexto 13">
          <a:extLst>
            <a:ext uri="{FF2B5EF4-FFF2-40B4-BE49-F238E27FC236}">
              <a16:creationId xmlns:a16="http://schemas.microsoft.com/office/drawing/2014/main" id="{23B396D3-3B5B-4B7A-991B-D5A542027BA4}"/>
            </a:ext>
          </a:extLst>
        </xdr:cNvPr>
        <xdr:cNvSpPr txBox="1"/>
      </xdr:nvSpPr>
      <xdr:spPr>
        <a:xfrm>
          <a:off x="21887815" y="5398770"/>
          <a:ext cx="489301" cy="23320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A0B27E19-593F-4FB5-86C1-241EC1C27047}" type="TxLink">
            <a:rPr lang="en-US" sz="9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#¡REF!</a:t>
          </a:fld>
          <a:endParaRPr lang="es-CL" sz="900" b="1"/>
        </a:p>
      </xdr:txBody>
    </xdr:sp>
    <xdr:clientData/>
  </xdr:oneCellAnchor>
  <xdr:twoCellAnchor>
    <xdr:from>
      <xdr:col>39</xdr:col>
      <xdr:colOff>457200</xdr:colOff>
      <xdr:row>104</xdr:row>
      <xdr:rowOff>0</xdr:rowOff>
    </xdr:from>
    <xdr:to>
      <xdr:col>49</xdr:col>
      <xdr:colOff>207330</xdr:colOff>
      <xdr:row>117</xdr:row>
      <xdr:rowOff>146050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9B72F228-51D4-40A7-BA25-6B661EBAF6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545675" y="13868400"/>
              <a:ext cx="5179380" cy="2124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41</xdr:col>
      <xdr:colOff>297180</xdr:colOff>
      <xdr:row>113</xdr:row>
      <xdr:rowOff>144780</xdr:rowOff>
    </xdr:from>
    <xdr:to>
      <xdr:col>48</xdr:col>
      <xdr:colOff>194310</xdr:colOff>
      <xdr:row>114</xdr:row>
      <xdr:rowOff>7620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383EADA5-1350-4BB5-9DCE-523A977EB4D5}"/>
            </a:ext>
          </a:extLst>
        </xdr:cNvPr>
        <xdr:cNvCxnSpPr/>
      </xdr:nvCxnSpPr>
      <xdr:spPr>
        <a:xfrm flipV="1">
          <a:off x="19987260" y="8031480"/>
          <a:ext cx="3402330" cy="15240"/>
        </a:xfrm>
        <a:prstGeom prst="line">
          <a:avLst/>
        </a:prstGeom>
        <a:ln w="63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287020</xdr:colOff>
      <xdr:row>113</xdr:row>
      <xdr:rowOff>95250</xdr:rowOff>
    </xdr:from>
    <xdr:to>
      <xdr:col>41</xdr:col>
      <xdr:colOff>287020</xdr:colOff>
      <xdr:row>114</xdr:row>
      <xdr:rowOff>107950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6F035959-E70E-48CE-A6CA-15682186CE75}"/>
            </a:ext>
          </a:extLst>
        </xdr:cNvPr>
        <xdr:cNvCxnSpPr/>
      </xdr:nvCxnSpPr>
      <xdr:spPr>
        <a:xfrm>
          <a:off x="19977100" y="7981950"/>
          <a:ext cx="0" cy="165100"/>
        </a:xfrm>
        <a:prstGeom prst="line">
          <a:avLst/>
        </a:prstGeom>
        <a:ln w="63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46</xdr:col>
      <xdr:colOff>74930</xdr:colOff>
      <xdr:row>113</xdr:row>
      <xdr:rowOff>38100</xdr:rowOff>
    </xdr:from>
    <xdr:ext cx="489301" cy="233205"/>
    <xdr:sp macro="" textlink="$AN$112">
      <xdr:nvSpPr>
        <xdr:cNvPr id="18" name="CuadroTexto 17">
          <a:extLst>
            <a:ext uri="{FF2B5EF4-FFF2-40B4-BE49-F238E27FC236}">
              <a16:creationId xmlns:a16="http://schemas.microsoft.com/office/drawing/2014/main" id="{F034F4AD-9FF7-4B02-A185-84A727A43DD0}"/>
            </a:ext>
          </a:extLst>
        </xdr:cNvPr>
        <xdr:cNvSpPr txBox="1"/>
      </xdr:nvSpPr>
      <xdr:spPr>
        <a:xfrm>
          <a:off x="20473084" y="15644446"/>
          <a:ext cx="489301" cy="23320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E89F32BF-3274-4706-B738-5DECFD2D805C}" type="TxLink">
            <a:rPr lang="en-US" sz="9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#¡REF!</a:t>
          </a:fld>
          <a:endParaRPr lang="es-CL" sz="900" b="1"/>
        </a:p>
      </xdr:txBody>
    </xdr:sp>
    <xdr:clientData/>
  </xdr:oneCellAnchor>
  <xdr:twoCellAnchor>
    <xdr:from>
      <xdr:col>48</xdr:col>
      <xdr:colOff>194310</xdr:colOff>
      <xdr:row>113</xdr:row>
      <xdr:rowOff>90170</xdr:rowOff>
    </xdr:from>
    <xdr:to>
      <xdr:col>48</xdr:col>
      <xdr:colOff>194310</xdr:colOff>
      <xdr:row>114</xdr:row>
      <xdr:rowOff>102870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68D06973-9F55-4857-B908-79C9AC845B88}"/>
            </a:ext>
          </a:extLst>
        </xdr:cNvPr>
        <xdr:cNvCxnSpPr/>
      </xdr:nvCxnSpPr>
      <xdr:spPr>
        <a:xfrm>
          <a:off x="23389590" y="7976870"/>
          <a:ext cx="0" cy="165100"/>
        </a:xfrm>
        <a:prstGeom prst="line">
          <a:avLst/>
        </a:prstGeom>
        <a:ln w="63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223310</xdr:colOff>
      <xdr:row>66</xdr:row>
      <xdr:rowOff>46818</xdr:rowOff>
    </xdr:from>
    <xdr:to>
      <xdr:col>18</xdr:col>
      <xdr:colOff>91422</xdr:colOff>
      <xdr:row>67</xdr:row>
      <xdr:rowOff>131557</xdr:rowOff>
    </xdr:to>
    <xdr:sp macro="" textlink="$I$67">
      <xdr:nvSpPr>
        <xdr:cNvPr id="29" name="CuadroTexto 28">
          <a:extLst>
            <a:ext uri="{FF2B5EF4-FFF2-40B4-BE49-F238E27FC236}">
              <a16:creationId xmlns:a16="http://schemas.microsoft.com/office/drawing/2014/main" id="{B29CAC09-7875-480D-A447-D2DEE4E87E45}"/>
            </a:ext>
          </a:extLst>
        </xdr:cNvPr>
        <xdr:cNvSpPr txBox="1"/>
      </xdr:nvSpPr>
      <xdr:spPr>
        <a:xfrm>
          <a:off x="8621875" y="8196905"/>
          <a:ext cx="481025" cy="233826"/>
        </a:xfrm>
        <a:prstGeom prst="rect">
          <a:avLst/>
        </a:prstGeom>
        <a:solidFill>
          <a:srgbClr val="FFFFFF"/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F385ED5F-4E74-42BC-B90E-55FFD2E12885}" type="TxLink">
            <a:rPr lang="en-US" sz="9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-1003</a:t>
          </a:fld>
          <a:endParaRPr lang="es-CL" sz="800" b="1"/>
        </a:p>
      </xdr:txBody>
    </xdr:sp>
    <xdr:clientData/>
  </xdr:twoCellAnchor>
  <xdr:twoCellAnchor>
    <xdr:from>
      <xdr:col>32</xdr:col>
      <xdr:colOff>47624</xdr:colOff>
      <xdr:row>40</xdr:row>
      <xdr:rowOff>76200</xdr:rowOff>
    </xdr:from>
    <xdr:to>
      <xdr:col>40</xdr:col>
      <xdr:colOff>515936</xdr:colOff>
      <xdr:row>55</xdr:row>
      <xdr:rowOff>135255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3" name="Gráfico 32">
              <a:extLst>
                <a:ext uri="{FF2B5EF4-FFF2-40B4-BE49-F238E27FC236}">
                  <a16:creationId xmlns:a16="http://schemas.microsoft.com/office/drawing/2014/main" id="{D765E824-0E7A-48BC-9ADE-8DC2CC7987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05424" y="4124325"/>
              <a:ext cx="5227637" cy="23450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32</xdr:col>
      <xdr:colOff>104774</xdr:colOff>
      <xdr:row>58</xdr:row>
      <xdr:rowOff>76200</xdr:rowOff>
    </xdr:from>
    <xdr:to>
      <xdr:col>40</xdr:col>
      <xdr:colOff>547686</xdr:colOff>
      <xdr:row>73</xdr:row>
      <xdr:rowOff>135255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4" name="Gráfico 33">
              <a:extLst>
                <a:ext uri="{FF2B5EF4-FFF2-40B4-BE49-F238E27FC236}">
                  <a16:creationId xmlns:a16="http://schemas.microsoft.com/office/drawing/2014/main" id="{B6162ABB-7375-4132-8F19-032E613672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62574" y="6867525"/>
              <a:ext cx="5199062" cy="23450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33</xdr:col>
      <xdr:colOff>498797</xdr:colOff>
      <xdr:row>51</xdr:row>
      <xdr:rowOff>123819</xdr:rowOff>
    </xdr:from>
    <xdr:to>
      <xdr:col>39</xdr:col>
      <xdr:colOff>171453</xdr:colOff>
      <xdr:row>52</xdr:row>
      <xdr:rowOff>17138</xdr:rowOff>
    </xdr:to>
    <xdr:sp macro="" textlink="">
      <xdr:nvSpPr>
        <xdr:cNvPr id="35" name="Abrir corchete 3">
          <a:extLst>
            <a:ext uri="{FF2B5EF4-FFF2-40B4-BE49-F238E27FC236}">
              <a16:creationId xmlns:a16="http://schemas.microsoft.com/office/drawing/2014/main" id="{F50FB25F-820D-41BA-B4E3-E2F393EF37AD}"/>
            </a:ext>
          </a:extLst>
        </xdr:cNvPr>
        <xdr:cNvSpPr/>
      </xdr:nvSpPr>
      <xdr:spPr>
        <a:xfrm rot="16200000">
          <a:off x="21272028" y="4344188"/>
          <a:ext cx="45719" cy="3282631"/>
        </a:xfrm>
        <a:prstGeom prst="leftBracke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505782</xdr:colOff>
      <xdr:row>49</xdr:row>
      <xdr:rowOff>135250</xdr:rowOff>
    </xdr:from>
    <xdr:to>
      <xdr:col>35</xdr:col>
      <xdr:colOff>154309</xdr:colOff>
      <xdr:row>50</xdr:row>
      <xdr:rowOff>30474</xdr:rowOff>
    </xdr:to>
    <xdr:sp macro="" textlink="">
      <xdr:nvSpPr>
        <xdr:cNvPr id="36" name="Abrir corchete 3">
          <a:extLst>
            <a:ext uri="{FF2B5EF4-FFF2-40B4-BE49-F238E27FC236}">
              <a16:creationId xmlns:a16="http://schemas.microsoft.com/office/drawing/2014/main" id="{A9368244-A776-4F0A-B205-D7C324E768FB}"/>
            </a:ext>
          </a:extLst>
        </xdr:cNvPr>
        <xdr:cNvSpPr/>
      </xdr:nvSpPr>
      <xdr:spPr>
        <a:xfrm rot="16200000">
          <a:off x="20242059" y="5087773"/>
          <a:ext cx="47624" cy="1210627"/>
        </a:xfrm>
        <a:prstGeom prst="leftBracke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33</xdr:col>
      <xdr:colOff>810257</xdr:colOff>
      <xdr:row>49</xdr:row>
      <xdr:rowOff>65723</xdr:rowOff>
    </xdr:from>
    <xdr:ext cx="503984" cy="217560"/>
    <xdr:sp macro="" textlink="$AF$46">
      <xdr:nvSpPr>
        <xdr:cNvPr id="37" name="CuadroTexto 36">
          <a:extLst>
            <a:ext uri="{FF2B5EF4-FFF2-40B4-BE49-F238E27FC236}">
              <a16:creationId xmlns:a16="http://schemas.microsoft.com/office/drawing/2014/main" id="{01BF855A-BD50-46A3-A338-75342AF87D75}"/>
            </a:ext>
          </a:extLst>
        </xdr:cNvPr>
        <xdr:cNvSpPr txBox="1"/>
      </xdr:nvSpPr>
      <xdr:spPr>
        <a:xfrm>
          <a:off x="19252122" y="5780723"/>
          <a:ext cx="503984" cy="21756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2E1B5D0E-1A49-4B01-B807-17DC61546A21}" type="TxLink">
            <a:rPr lang="en-US" sz="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(5.082)</a:t>
          </a:fld>
          <a:endParaRPr lang="es-CL" sz="800" b="1"/>
        </a:p>
      </xdr:txBody>
    </xdr:sp>
    <xdr:clientData/>
  </xdr:oneCellAnchor>
  <xdr:oneCellAnchor>
    <xdr:from>
      <xdr:col>35</xdr:col>
      <xdr:colOff>277809</xdr:colOff>
      <xdr:row>51</xdr:row>
      <xdr:rowOff>47625</xdr:rowOff>
    </xdr:from>
    <xdr:ext cx="543803" cy="233205"/>
    <xdr:sp macro="" textlink="$AE$52">
      <xdr:nvSpPr>
        <xdr:cNvPr id="38" name="CuadroTexto 37">
          <a:extLst>
            <a:ext uri="{FF2B5EF4-FFF2-40B4-BE49-F238E27FC236}">
              <a16:creationId xmlns:a16="http://schemas.microsoft.com/office/drawing/2014/main" id="{2B853217-7ACB-468D-BB6F-89822DF1E08E}"/>
            </a:ext>
          </a:extLst>
        </xdr:cNvPr>
        <xdr:cNvSpPr txBox="1"/>
      </xdr:nvSpPr>
      <xdr:spPr>
        <a:xfrm>
          <a:off x="20309617" y="6070356"/>
          <a:ext cx="543803" cy="233205"/>
        </a:xfrm>
        <a:prstGeom prst="rect">
          <a:avLst/>
        </a:prstGeom>
        <a:solidFill>
          <a:srgbClr val="FFFFFF"/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2C0F3A20-E15C-4DB0-80D2-62BE7291849F}" type="TxLink">
            <a:rPr lang="en-US" sz="9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(8.571)</a:t>
          </a:fld>
          <a:endParaRPr lang="es-CL" sz="900" b="1"/>
        </a:p>
      </xdr:txBody>
    </xdr:sp>
    <xdr:clientData/>
  </xdr:oneCellAnchor>
  <xdr:twoCellAnchor>
    <xdr:from>
      <xdr:col>33</xdr:col>
      <xdr:colOff>589597</xdr:colOff>
      <xdr:row>70</xdr:row>
      <xdr:rowOff>14918</xdr:rowOff>
    </xdr:from>
    <xdr:to>
      <xdr:col>39</xdr:col>
      <xdr:colOff>257177</xdr:colOff>
      <xdr:row>70</xdr:row>
      <xdr:rowOff>60637</xdr:rowOff>
    </xdr:to>
    <xdr:sp macro="" textlink="">
      <xdr:nvSpPr>
        <xdr:cNvPr id="39" name="Abrir corchete 3">
          <a:extLst>
            <a:ext uri="{FF2B5EF4-FFF2-40B4-BE49-F238E27FC236}">
              <a16:creationId xmlns:a16="http://schemas.microsoft.com/office/drawing/2014/main" id="{F58CD598-48E2-46F9-A2F2-C925BB77FDD6}"/>
            </a:ext>
          </a:extLst>
        </xdr:cNvPr>
        <xdr:cNvSpPr/>
      </xdr:nvSpPr>
      <xdr:spPr>
        <a:xfrm rot="16200000">
          <a:off x="21360290" y="7133425"/>
          <a:ext cx="45719" cy="3277555"/>
        </a:xfrm>
        <a:prstGeom prst="leftBracke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587694</xdr:colOff>
      <xdr:row>67</xdr:row>
      <xdr:rowOff>107627</xdr:rowOff>
    </xdr:from>
    <xdr:to>
      <xdr:col>35</xdr:col>
      <xdr:colOff>247650</xdr:colOff>
      <xdr:row>68</xdr:row>
      <xdr:rowOff>946</xdr:rowOff>
    </xdr:to>
    <xdr:sp macro="" textlink="">
      <xdr:nvSpPr>
        <xdr:cNvPr id="40" name="Abrir corchete 3">
          <a:extLst>
            <a:ext uri="{FF2B5EF4-FFF2-40B4-BE49-F238E27FC236}">
              <a16:creationId xmlns:a16="http://schemas.microsoft.com/office/drawing/2014/main" id="{85EA5168-31DA-4F9A-BE93-25F066A2AFCF}"/>
            </a:ext>
          </a:extLst>
        </xdr:cNvPr>
        <xdr:cNvSpPr/>
      </xdr:nvSpPr>
      <xdr:spPr>
        <a:xfrm rot="16200000">
          <a:off x="20330637" y="7796684"/>
          <a:ext cx="45719" cy="1222056"/>
        </a:xfrm>
        <a:prstGeom prst="leftBracke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33</xdr:col>
      <xdr:colOff>866774</xdr:colOff>
      <xdr:row>67</xdr:row>
      <xdr:rowOff>38418</xdr:rowOff>
    </xdr:from>
    <xdr:ext cx="499880" cy="233205"/>
    <xdr:sp macro="" textlink="$AF$64">
      <xdr:nvSpPr>
        <xdr:cNvPr id="41" name="CuadroTexto 40">
          <a:extLst>
            <a:ext uri="{FF2B5EF4-FFF2-40B4-BE49-F238E27FC236}">
              <a16:creationId xmlns:a16="http://schemas.microsoft.com/office/drawing/2014/main" id="{C1B02D57-18D0-40C4-ADD8-8BB51FB67B0D}"/>
            </a:ext>
          </a:extLst>
        </xdr:cNvPr>
        <xdr:cNvSpPr txBox="1"/>
      </xdr:nvSpPr>
      <xdr:spPr>
        <a:xfrm>
          <a:off x="19308639" y="8273880"/>
          <a:ext cx="499880" cy="23320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5B07605-7EDF-42E5-801F-A890F807934A}" type="TxLink">
            <a:rPr lang="en-US" sz="9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(375)</a:t>
          </a:fld>
          <a:endParaRPr lang="es-CL" sz="900" b="1"/>
        </a:p>
      </xdr:txBody>
    </xdr:sp>
    <xdr:clientData/>
  </xdr:oneCellAnchor>
  <xdr:oneCellAnchor>
    <xdr:from>
      <xdr:col>35</xdr:col>
      <xdr:colOff>371154</xdr:colOff>
      <xdr:row>69</xdr:row>
      <xdr:rowOff>57786</xdr:rowOff>
    </xdr:from>
    <xdr:ext cx="543803" cy="233205"/>
    <xdr:sp macro="" textlink="$AE$70">
      <xdr:nvSpPr>
        <xdr:cNvPr id="42" name="CuadroTexto 41">
          <a:extLst>
            <a:ext uri="{FF2B5EF4-FFF2-40B4-BE49-F238E27FC236}">
              <a16:creationId xmlns:a16="http://schemas.microsoft.com/office/drawing/2014/main" id="{75F3A0BA-44CF-4A87-B216-728ECA8687B9}"/>
            </a:ext>
          </a:extLst>
        </xdr:cNvPr>
        <xdr:cNvSpPr txBox="1"/>
      </xdr:nvSpPr>
      <xdr:spPr>
        <a:xfrm>
          <a:off x="20402962" y="8850094"/>
          <a:ext cx="543803" cy="233205"/>
        </a:xfrm>
        <a:prstGeom prst="rect">
          <a:avLst/>
        </a:prstGeom>
        <a:solidFill>
          <a:srgbClr val="FFFFFF"/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2472ABBE-A0C4-47C4-A0E6-409F48BE119A}" type="TxLink">
            <a:rPr lang="en-US" sz="9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(8.587)</a:t>
          </a:fld>
          <a:endParaRPr lang="es-CL" sz="900" b="1"/>
        </a:p>
      </xdr:txBody>
    </xdr:sp>
    <xdr:clientData/>
  </xdr:oneCellAnchor>
  <xdr:twoCellAnchor>
    <xdr:from>
      <xdr:col>9</xdr:col>
      <xdr:colOff>475469</xdr:colOff>
      <xdr:row>55</xdr:row>
      <xdr:rowOff>135889</xdr:rowOff>
    </xdr:from>
    <xdr:to>
      <xdr:col>22</xdr:col>
      <xdr:colOff>437270</xdr:colOff>
      <xdr:row>70</xdr:row>
      <xdr:rowOff>98108</xdr:rowOff>
    </xdr:to>
    <xdr:grpSp>
      <xdr:nvGrpSpPr>
        <xdr:cNvPr id="24" name="Grupo 23">
          <a:extLst>
            <a:ext uri="{FF2B5EF4-FFF2-40B4-BE49-F238E27FC236}">
              <a16:creationId xmlns:a16="http://schemas.microsoft.com/office/drawing/2014/main" id="{07409398-12F2-5B76-7ADC-FB5A4B152D33}"/>
            </a:ext>
          </a:extLst>
        </xdr:cNvPr>
        <xdr:cNvGrpSpPr/>
      </xdr:nvGrpSpPr>
      <xdr:grpSpPr>
        <a:xfrm>
          <a:off x="5992642" y="6524966"/>
          <a:ext cx="6131070" cy="2270200"/>
          <a:chOff x="5991686" y="6646019"/>
          <a:chExt cx="5743062" cy="2198524"/>
        </a:xfrm>
      </xdr:grpSpPr>
      <mc:AlternateContent xmlns:mc="http://schemas.openxmlformats.org/markup-compatibility/2006">
        <mc:Choice xmlns:cx4="http://schemas.microsoft.com/office/drawing/2016/5/10/chartex" Requires="cx4">
          <xdr:graphicFrame macro="">
            <xdr:nvGraphicFramePr>
              <xdr:cNvPr id="20" name="Gráfico 19">
                <a:extLst>
                  <a:ext uri="{FF2B5EF4-FFF2-40B4-BE49-F238E27FC236}">
                    <a16:creationId xmlns:a16="http://schemas.microsoft.com/office/drawing/2014/main" id="{8CDAE47D-88A8-4169-ADCA-664EDBA47565}"/>
                  </a:ext>
                </a:extLst>
              </xdr:cNvPr>
              <xdr:cNvGraphicFramePr/>
            </xdr:nvGraphicFramePr>
            <xdr:xfrm>
              <a:off x="5991686" y="6646019"/>
              <a:ext cx="5743062" cy="2198524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5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991686" y="6646019"/>
                <a:ext cx="5743062" cy="219852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Este gráfico no está disponible en su versión de Excel.
Si edita esta forma o guarda el libro en un formato de archivo diferente, el gráfico no se podrá utilizar.</a:t>
                </a:r>
              </a:p>
            </xdr:txBody>
          </xdr:sp>
        </mc:Fallback>
      </mc:AlternateContent>
      <xdr:sp macro="" textlink="">
        <xdr:nvSpPr>
          <xdr:cNvPr id="22" name="Abrir corchete 21">
            <a:extLst>
              <a:ext uri="{FF2B5EF4-FFF2-40B4-BE49-F238E27FC236}">
                <a16:creationId xmlns:a16="http://schemas.microsoft.com/office/drawing/2014/main" id="{B8FA1F37-779C-43F8-8845-60B222D94B45}"/>
              </a:ext>
            </a:extLst>
          </xdr:cNvPr>
          <xdr:cNvSpPr/>
        </xdr:nvSpPr>
        <xdr:spPr>
          <a:xfrm rot="16200000">
            <a:off x="8990771" y="6401488"/>
            <a:ext cx="61154" cy="3790261"/>
          </a:xfrm>
          <a:prstGeom prst="leftBracket">
            <a:avLst/>
          </a:prstGeom>
          <a:ln w="63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$I$67">
        <xdr:nvSpPr>
          <xdr:cNvPr id="6" name="CuadroTexto 5">
            <a:extLst>
              <a:ext uri="{FF2B5EF4-FFF2-40B4-BE49-F238E27FC236}">
                <a16:creationId xmlns:a16="http://schemas.microsoft.com/office/drawing/2014/main" id="{BB6FFDB6-9BBF-713E-5E0F-2EECF50BB969}"/>
              </a:ext>
            </a:extLst>
          </xdr:cNvPr>
          <xdr:cNvSpPr txBox="1"/>
        </xdr:nvSpPr>
        <xdr:spPr>
          <a:xfrm>
            <a:off x="8643548" y="8196905"/>
            <a:ext cx="481025" cy="233826"/>
          </a:xfrm>
          <a:prstGeom prst="rect">
            <a:avLst/>
          </a:prstGeom>
          <a:solidFill>
            <a:srgbClr val="FFFFFF"/>
          </a:solidFill>
          <a:ln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fld id="{F385ED5F-4E74-42BC-B90E-55FFD2E12885}" type="TxLink">
              <a:rPr lang="en-US" sz="9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-1003</a:t>
            </a:fld>
            <a:endParaRPr lang="es-CL" sz="800" b="1"/>
          </a:p>
        </xdr:txBody>
      </xdr:sp>
    </xdr:grpSp>
    <xdr:clientData/>
  </xdr:twoCellAnchor>
  <xdr:twoCellAnchor>
    <xdr:from>
      <xdr:col>9</xdr:col>
      <xdr:colOff>438562</xdr:colOff>
      <xdr:row>40</xdr:row>
      <xdr:rowOff>132509</xdr:rowOff>
    </xdr:from>
    <xdr:to>
      <xdr:col>22</xdr:col>
      <xdr:colOff>379067</xdr:colOff>
      <xdr:row>55</xdr:row>
      <xdr:rowOff>87050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id="{0413E9A3-3404-AC23-5CE1-FEAB453FDCD6}"/>
            </a:ext>
          </a:extLst>
        </xdr:cNvPr>
        <xdr:cNvGrpSpPr/>
      </xdr:nvGrpSpPr>
      <xdr:grpSpPr>
        <a:xfrm>
          <a:off x="5955735" y="4213605"/>
          <a:ext cx="6109774" cy="2259347"/>
          <a:chOff x="5954779" y="4406335"/>
          <a:chExt cx="5721766" cy="2190845"/>
        </a:xfrm>
      </xdr:grpSpPr>
      <mc:AlternateContent xmlns:mc="http://schemas.openxmlformats.org/markup-compatibility/2006">
        <mc:Choice xmlns:cx4="http://schemas.microsoft.com/office/drawing/2016/5/10/chartex" Requires="cx4">
          <xdr:graphicFrame macro="">
            <xdr:nvGraphicFramePr>
              <xdr:cNvPr id="9" name="Gráfico 8">
                <a:extLst>
                  <a:ext uri="{FF2B5EF4-FFF2-40B4-BE49-F238E27FC236}">
                    <a16:creationId xmlns:a16="http://schemas.microsoft.com/office/drawing/2014/main" id="{3B492928-296C-4226-8952-1593915F39A5}"/>
                  </a:ext>
                </a:extLst>
              </xdr:cNvPr>
              <xdr:cNvGraphicFramePr/>
            </xdr:nvGraphicFramePr>
            <xdr:xfrm>
              <a:off x="5954779" y="4406335"/>
              <a:ext cx="5721766" cy="2190845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6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954779" y="4406335"/>
                <a:ext cx="5721766" cy="219084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Este gráfico no está disponible en su versión de Excel.
Si edita esta forma o guarda el libro en un formato de archivo diferente, el gráfico no se podrá utilizar.</a:t>
                </a:r>
              </a:p>
            </xdr:txBody>
          </xdr:sp>
        </mc:Fallback>
      </mc:AlternateContent>
      <xdr:sp macro="" textlink="">
        <xdr:nvSpPr>
          <xdr:cNvPr id="7" name="Abrir corchete 6">
            <a:extLst>
              <a:ext uri="{FF2B5EF4-FFF2-40B4-BE49-F238E27FC236}">
                <a16:creationId xmlns:a16="http://schemas.microsoft.com/office/drawing/2014/main" id="{1153FB35-D7FF-4C3D-A5DC-B811179AA6B1}"/>
              </a:ext>
            </a:extLst>
          </xdr:cNvPr>
          <xdr:cNvSpPr/>
        </xdr:nvSpPr>
        <xdr:spPr>
          <a:xfrm rot="16200000">
            <a:off x="9006923" y="4146376"/>
            <a:ext cx="67504" cy="3790261"/>
          </a:xfrm>
          <a:prstGeom prst="leftBracket">
            <a:avLst/>
          </a:prstGeom>
          <a:ln w="63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sp macro="" textlink="$I$52">
        <xdr:nvSpPr>
          <xdr:cNvPr id="8" name="CuadroTexto 7">
            <a:extLst>
              <a:ext uri="{FF2B5EF4-FFF2-40B4-BE49-F238E27FC236}">
                <a16:creationId xmlns:a16="http://schemas.microsoft.com/office/drawing/2014/main" id="{1059E3DF-739B-4233-9810-204E3D69A227}"/>
              </a:ext>
            </a:extLst>
          </xdr:cNvPr>
          <xdr:cNvSpPr txBox="1"/>
        </xdr:nvSpPr>
        <xdr:spPr>
          <a:xfrm>
            <a:off x="8753982" y="5958358"/>
            <a:ext cx="484200" cy="227476"/>
          </a:xfrm>
          <a:prstGeom prst="rect">
            <a:avLst/>
          </a:prstGeom>
          <a:solidFill>
            <a:srgbClr val="FFFFFF"/>
          </a:solidFill>
          <a:ln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fld id="{C880B452-D0F0-49C7-9149-49655AF9EE81}" type="TxLink">
              <a:rPr lang="en-US" sz="9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-1193</a:t>
            </a:fld>
            <a:endParaRPr lang="es-CL" sz="800" b="1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49</xdr:col>
      <xdr:colOff>45461</xdr:colOff>
      <xdr:row>1</xdr:row>
      <xdr:rowOff>60797</xdr:rowOff>
    </xdr:from>
    <xdr:to>
      <xdr:col>49</xdr:col>
      <xdr:colOff>615951</xdr:colOff>
      <xdr:row>2</xdr:row>
      <xdr:rowOff>141670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CD0E3ADC-5C63-4679-8899-ED6D2745D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11" y="203672"/>
          <a:ext cx="573665" cy="4650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44</xdr:col>
      <xdr:colOff>544286</xdr:colOff>
      <xdr:row>7</xdr:row>
      <xdr:rowOff>176893</xdr:rowOff>
    </xdr:from>
    <xdr:to>
      <xdr:col>48</xdr:col>
      <xdr:colOff>816429</xdr:colOff>
      <xdr:row>34</xdr:row>
      <xdr:rowOff>163286</xdr:rowOff>
    </xdr:to>
    <xdr:sp macro="" textlink="">
      <xdr:nvSpPr>
        <xdr:cNvPr id="3" name="Flecha: a la derecha 2">
          <a:extLst>
            <a:ext uri="{FF2B5EF4-FFF2-40B4-BE49-F238E27FC236}">
              <a16:creationId xmlns:a16="http://schemas.microsoft.com/office/drawing/2014/main" id="{C309E8BC-A336-AFDC-D06A-2DB8A1FB6171}"/>
            </a:ext>
          </a:extLst>
        </xdr:cNvPr>
        <xdr:cNvSpPr/>
      </xdr:nvSpPr>
      <xdr:spPr>
        <a:xfrm>
          <a:off x="44726679" y="2190750"/>
          <a:ext cx="3755571" cy="386442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400"/>
            <a:t>Esta información es el shortemizado directo del MINCO para evaluar si vamos contra BDGT iguales. Importante definir si la comparación del ejectuvio seguirá</a:t>
          </a:r>
          <a:r>
            <a:rPr lang="es-CL" sz="1400" baseline="0"/>
            <a:t> siendo shortemizada o división por día</a:t>
          </a:r>
          <a:endParaRPr lang="es-CL" sz="14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1406525</xdr:colOff>
      <xdr:row>5</xdr:row>
      <xdr:rowOff>0</xdr:rowOff>
    </xdr:from>
    <xdr:to>
      <xdr:col>27</xdr:col>
      <xdr:colOff>1406525</xdr:colOff>
      <xdr:row>5</xdr:row>
      <xdr:rowOff>0</xdr:rowOff>
    </xdr:to>
    <xdr:sp macro="" textlink="">
      <xdr:nvSpPr>
        <xdr:cNvPr id="1381378" name="AutoShape 2" descr="4f595d64-f535-4878-b566-b5db720478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2141500}"/>
            </a:ext>
          </a:extLst>
        </xdr:cNvPr>
        <xdr:cNvSpPr>
          <a:spLocks noChangeArrowheads="1"/>
        </xdr:cNvSpPr>
      </xdr:nvSpPr>
      <xdr:spPr bwMode="auto">
        <a:xfrm>
          <a:off x="17125950" y="2552700"/>
          <a:ext cx="533400" cy="352425"/>
        </a:xfrm>
        <a:prstGeom prst="leftArrow">
          <a:avLst>
            <a:gd name="adj1" fmla="val 50000"/>
            <a:gd name="adj2" fmla="val 37838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BACK</a:t>
          </a:r>
        </a:p>
      </xdr:txBody>
    </xdr:sp>
    <xdr:clientData/>
  </xdr:twoCellAnchor>
  <xdr:twoCellAnchor>
    <xdr:from>
      <xdr:col>27</xdr:col>
      <xdr:colOff>1406525</xdr:colOff>
      <xdr:row>5</xdr:row>
      <xdr:rowOff>0</xdr:rowOff>
    </xdr:from>
    <xdr:to>
      <xdr:col>27</xdr:col>
      <xdr:colOff>1406525</xdr:colOff>
      <xdr:row>5</xdr:row>
      <xdr:rowOff>0</xdr:rowOff>
    </xdr:to>
    <xdr:sp macro="" textlink="">
      <xdr:nvSpPr>
        <xdr:cNvPr id="3" name="AutoShape 2" descr="9243ff94-d2bd-4ab4-9a3a-45c6803c8d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>
          <a:spLocks noChangeArrowheads="1"/>
        </xdr:cNvSpPr>
      </xdr:nvSpPr>
      <xdr:spPr bwMode="auto">
        <a:xfrm>
          <a:off x="20227925" y="1266825"/>
          <a:ext cx="0" cy="0"/>
        </a:xfrm>
        <a:prstGeom prst="leftArrow">
          <a:avLst>
            <a:gd name="adj1" fmla="val 50000"/>
            <a:gd name="adj2" fmla="val 37838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BACK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47624</xdr:colOff>
      <xdr:row>1</xdr:row>
      <xdr:rowOff>121449</xdr:rowOff>
    </xdr:from>
    <xdr:to>
      <xdr:col>1</xdr:col>
      <xdr:colOff>1188605</xdr:colOff>
      <xdr:row>4</xdr:row>
      <xdr:rowOff>130204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260" y="346585"/>
          <a:ext cx="1147331" cy="68416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38495</xdr:colOff>
      <xdr:row>42</xdr:row>
      <xdr:rowOff>126349</xdr:rowOff>
    </xdr:from>
    <xdr:to>
      <xdr:col>67</xdr:col>
      <xdr:colOff>288924</xdr:colOff>
      <xdr:row>56</xdr:row>
      <xdr:rowOff>55985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71</xdr:col>
      <xdr:colOff>136072</xdr:colOff>
      <xdr:row>42</xdr:row>
      <xdr:rowOff>94425</xdr:rowOff>
    </xdr:from>
    <xdr:to>
      <xdr:col>76</xdr:col>
      <xdr:colOff>68434</xdr:colOff>
      <xdr:row>56</xdr:row>
      <xdr:rowOff>17657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76</xdr:col>
      <xdr:colOff>666749</xdr:colOff>
      <xdr:row>42</xdr:row>
      <xdr:rowOff>94424</xdr:rowOff>
    </xdr:from>
    <xdr:to>
      <xdr:col>78</xdr:col>
      <xdr:colOff>677580</xdr:colOff>
      <xdr:row>55</xdr:row>
      <xdr:rowOff>155489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68</xdr:col>
      <xdr:colOff>231321</xdr:colOff>
      <xdr:row>42</xdr:row>
      <xdr:rowOff>94425</xdr:rowOff>
    </xdr:from>
    <xdr:to>
      <xdr:col>70</xdr:col>
      <xdr:colOff>1211034</xdr:colOff>
      <xdr:row>56</xdr:row>
      <xdr:rowOff>31264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312324</xdr:colOff>
      <xdr:row>45</xdr:row>
      <xdr:rowOff>149678</xdr:rowOff>
    </xdr:from>
    <xdr:to>
      <xdr:col>28</xdr:col>
      <xdr:colOff>108857</xdr:colOff>
      <xdr:row>76</xdr:row>
      <xdr:rowOff>1599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6B898F6-4140-6038-3C6B-1E791D340F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</xdr:colOff>
      <xdr:row>76</xdr:row>
      <xdr:rowOff>68036</xdr:rowOff>
    </xdr:from>
    <xdr:to>
      <xdr:col>27</xdr:col>
      <xdr:colOff>1048391</xdr:colOff>
      <xdr:row>106</xdr:row>
      <xdr:rowOff>83242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2F2373D-A146-4727-952E-8732C47E6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48</xdr:col>
      <xdr:colOff>870857</xdr:colOff>
      <xdr:row>68</xdr:row>
      <xdr:rowOff>151893</xdr:rowOff>
    </xdr:from>
    <xdr:ext cx="5114774" cy="2091579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12235036"/>
          <a:ext cx="5114774" cy="2091579"/>
        </a:xfrm>
        <a:prstGeom prst="rect">
          <a:avLst/>
        </a:prstGeom>
      </xdr:spPr>
    </xdr:pic>
    <xdr:clientData/>
  </xdr:oneCellAnchor>
  <xdr:twoCellAnchor>
    <xdr:from>
      <xdr:col>13</xdr:col>
      <xdr:colOff>663046</xdr:colOff>
      <xdr:row>57</xdr:row>
      <xdr:rowOff>161925</xdr:rowOff>
    </xdr:from>
    <xdr:to>
      <xdr:col>31</xdr:col>
      <xdr:colOff>402166</xdr:colOff>
      <xdr:row>73</xdr:row>
      <xdr:rowOff>161924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CD0E76-DA14-E77D-B0E3-7E3119645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49</xdr:col>
      <xdr:colOff>214313</xdr:colOff>
      <xdr:row>41</xdr:row>
      <xdr:rowOff>38100</xdr:rowOff>
    </xdr:from>
    <xdr:to>
      <xdr:col>60</xdr:col>
      <xdr:colOff>114300</xdr:colOff>
      <xdr:row>57</xdr:row>
      <xdr:rowOff>85725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2483FA0-BABE-45A2-1402-3CE57BC332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121793</xdr:colOff>
      <xdr:row>40</xdr:row>
      <xdr:rowOff>59941</xdr:rowOff>
    </xdr:from>
    <xdr:to>
      <xdr:col>33</xdr:col>
      <xdr:colOff>479017</xdr:colOff>
      <xdr:row>56</xdr:row>
      <xdr:rowOff>59942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5931BBB-A68F-442F-629C-DD052A91F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827314</xdr:colOff>
      <xdr:row>44</xdr:row>
      <xdr:rowOff>33618</xdr:rowOff>
    </xdr:from>
    <xdr:to>
      <xdr:col>44</xdr:col>
      <xdr:colOff>347382</xdr:colOff>
      <xdr:row>63</xdr:row>
      <xdr:rowOff>52522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6D91DC3-F5A9-43FC-9695-CE48863E8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166313</xdr:colOff>
      <xdr:row>53</xdr:row>
      <xdr:rowOff>62659</xdr:rowOff>
    </xdr:from>
    <xdr:to>
      <xdr:col>34</xdr:col>
      <xdr:colOff>815133</xdr:colOff>
      <xdr:row>57</xdr:row>
      <xdr:rowOff>88246</xdr:rowOff>
    </xdr:to>
    <xdr:sp macro="" textlink="">
      <xdr:nvSpPr>
        <xdr:cNvPr id="2" name="1 Flecha derecha" descr="37cf7f6a-11d5-4715-8e95-0222695430f3">
          <a:extLst>
            <a:ext uri="{FF2B5EF4-FFF2-40B4-BE49-F238E27FC236}">
              <a16:creationId xmlns:a16="http://schemas.microsoft.com/office/drawing/2014/main" id="{4D853E34-8D02-4299-8CF9-DAF9CD9A8C07}"/>
            </a:ext>
          </a:extLst>
        </xdr:cNvPr>
        <xdr:cNvSpPr/>
      </xdr:nvSpPr>
      <xdr:spPr>
        <a:xfrm>
          <a:off x="21765838" y="8647859"/>
          <a:ext cx="639295" cy="66693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19</xdr:col>
      <xdr:colOff>1535206</xdr:colOff>
      <xdr:row>90</xdr:row>
      <xdr:rowOff>123701</xdr:rowOff>
    </xdr:from>
    <xdr:to>
      <xdr:col>22</xdr:col>
      <xdr:colOff>1762125</xdr:colOff>
      <xdr:row>108</xdr:row>
      <xdr:rowOff>106518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9321B0-BE9E-82BF-F513-2DD5D1B44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1558925</xdr:colOff>
      <xdr:row>132</xdr:row>
      <xdr:rowOff>53975</xdr:rowOff>
    </xdr:from>
    <xdr:to>
      <xdr:col>22</xdr:col>
      <xdr:colOff>1790700</xdr:colOff>
      <xdr:row>154</xdr:row>
      <xdr:rowOff>63500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D3DD28BE-99FA-43CF-B84C-DDBB757A6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1555168</xdr:colOff>
      <xdr:row>109</xdr:row>
      <xdr:rowOff>55245</xdr:rowOff>
    </xdr:from>
    <xdr:to>
      <xdr:col>22</xdr:col>
      <xdr:colOff>1762125</xdr:colOff>
      <xdr:row>131</xdr:row>
      <xdr:rowOff>63500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572AF0E-64E6-4D3E-B99D-EFAB097255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1571625</xdr:colOff>
      <xdr:row>155</xdr:row>
      <xdr:rowOff>66675</xdr:rowOff>
    </xdr:from>
    <xdr:to>
      <xdr:col>22</xdr:col>
      <xdr:colOff>1781757</xdr:colOff>
      <xdr:row>177</xdr:row>
      <xdr:rowOff>74930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9EA3498-5CD8-4316-BEE1-C51C7BA73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723898</xdr:colOff>
      <xdr:row>3</xdr:row>
      <xdr:rowOff>0</xdr:rowOff>
    </xdr:from>
    <xdr:to>
      <xdr:col>48</xdr:col>
      <xdr:colOff>705969</xdr:colOff>
      <xdr:row>18</xdr:row>
      <xdr:rowOff>46318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76A27B-31AD-4DC2-9DCE-2C8A6DD59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0</xdr:colOff>
      <xdr:row>18</xdr:row>
      <xdr:rowOff>66115</xdr:rowOff>
    </xdr:from>
    <xdr:to>
      <xdr:col>48</xdr:col>
      <xdr:colOff>630765</xdr:colOff>
      <xdr:row>35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044B77A-3660-4EE8-97CA-4144A00EE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49</xdr:col>
      <xdr:colOff>0</xdr:colOff>
      <xdr:row>3</xdr:row>
      <xdr:rowOff>0</xdr:rowOff>
    </xdr:from>
    <xdr:to>
      <xdr:col>59</xdr:col>
      <xdr:colOff>4333</xdr:colOff>
      <xdr:row>16</xdr:row>
      <xdr:rowOff>62753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321606E-B6CE-4193-8B9A-5E651C904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59</xdr:col>
      <xdr:colOff>0</xdr:colOff>
      <xdr:row>3</xdr:row>
      <xdr:rowOff>0</xdr:rowOff>
    </xdr:from>
    <xdr:to>
      <xdr:col>69</xdr:col>
      <xdr:colOff>4333</xdr:colOff>
      <xdr:row>16</xdr:row>
      <xdr:rowOff>62753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A6C27ED-9E46-4606-88E4-1062E0DF84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58</xdr:col>
      <xdr:colOff>675363</xdr:colOff>
      <xdr:row>18</xdr:row>
      <xdr:rowOff>10887</xdr:rowOff>
    </xdr:from>
    <xdr:to>
      <xdr:col>68</xdr:col>
      <xdr:colOff>663577</xdr:colOff>
      <xdr:row>34</xdr:row>
      <xdr:rowOff>152400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433FB79-CF19-483B-9E6A-9EAC6B3F8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69</xdr:col>
      <xdr:colOff>0</xdr:colOff>
      <xdr:row>3</xdr:row>
      <xdr:rowOff>0</xdr:rowOff>
    </xdr:from>
    <xdr:to>
      <xdr:col>78</xdr:col>
      <xdr:colOff>747059</xdr:colOff>
      <xdr:row>18</xdr:row>
      <xdr:rowOff>46318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769EEBF-0CAA-4383-B598-2478152627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68</xdr:col>
      <xdr:colOff>719547</xdr:colOff>
      <xdr:row>18</xdr:row>
      <xdr:rowOff>10886</xdr:rowOff>
    </xdr:from>
    <xdr:to>
      <xdr:col>78</xdr:col>
      <xdr:colOff>707761</xdr:colOff>
      <xdr:row>34</xdr:row>
      <xdr:rowOff>152400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7810B689-682E-4417-BB31-C994DF87B0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50074</xdr:colOff>
      <xdr:row>20</xdr:row>
      <xdr:rowOff>122464</xdr:rowOff>
    </xdr:from>
    <xdr:to>
      <xdr:col>37</xdr:col>
      <xdr:colOff>435429</xdr:colOff>
      <xdr:row>29</xdr:row>
      <xdr:rowOff>190500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7" name="Gráfico 16">
              <a:extLst>
                <a:ext uri="{FF2B5EF4-FFF2-40B4-BE49-F238E27FC236}">
                  <a16:creationId xmlns:a16="http://schemas.microsoft.com/office/drawing/2014/main" id="{9A92C912-0679-4FCD-B5DD-67068FBC70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10849" y="3916589"/>
              <a:ext cx="4122330" cy="17793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49</xdr:col>
      <xdr:colOff>0</xdr:colOff>
      <xdr:row>18</xdr:row>
      <xdr:rowOff>25309</xdr:rowOff>
    </xdr:from>
    <xdr:to>
      <xdr:col>58</xdr:col>
      <xdr:colOff>630765</xdr:colOff>
      <xdr:row>34</xdr:row>
      <xdr:rowOff>108857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7B456FF3-F5B3-41B1-8A8E-41C8FF746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63501</xdr:colOff>
      <xdr:row>0</xdr:row>
      <xdr:rowOff>0</xdr:rowOff>
    </xdr:from>
    <xdr:to>
      <xdr:col>3</xdr:col>
      <xdr:colOff>123275</xdr:colOff>
      <xdr:row>2</xdr:row>
      <xdr:rowOff>120740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1" y="0"/>
          <a:ext cx="1895928" cy="598714"/>
        </a:xfrm>
        <a:prstGeom prst="rect">
          <a:avLst/>
        </a:prstGeom>
      </xdr:spPr>
    </xdr:pic>
    <xdr:clientData/>
  </xdr:twoCellAnchor>
  <xdr:twoCellAnchor editAs="oneCell">
    <xdr:from>
      <xdr:col>1</xdr:col>
      <xdr:colOff>52614</xdr:colOff>
      <xdr:row>0</xdr:row>
      <xdr:rowOff>32657</xdr:rowOff>
    </xdr:from>
    <xdr:to>
      <xdr:col>4</xdr:col>
      <xdr:colOff>11281</xdr:colOff>
      <xdr:row>3</xdr:row>
      <xdr:rowOff>216523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32657"/>
          <a:ext cx="2600720" cy="779405"/>
        </a:xfrm>
        <a:prstGeom prst="rect">
          <a:avLst/>
        </a:prstGeom>
      </xdr:spPr>
    </xdr:pic>
    <xdr:clientData/>
  </xdr:twoCellAnchor>
  <xdr:twoCellAnchor>
    <xdr:from>
      <xdr:col>21</xdr:col>
      <xdr:colOff>251730</xdr:colOff>
      <xdr:row>57</xdr:row>
      <xdr:rowOff>146276</xdr:rowOff>
    </xdr:from>
    <xdr:to>
      <xdr:col>30</xdr:col>
      <xdr:colOff>410909</xdr:colOff>
      <xdr:row>80</xdr:row>
      <xdr:rowOff>38860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2C7470-BDC7-4934-9236-45B8222B2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789222</xdr:colOff>
      <xdr:row>55</xdr:row>
      <xdr:rowOff>159201</xdr:rowOff>
    </xdr:from>
    <xdr:to>
      <xdr:col>20</xdr:col>
      <xdr:colOff>312963</xdr:colOff>
      <xdr:row>88</xdr:row>
      <xdr:rowOff>149678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4F26D12-612F-69EF-480B-C98D2DBF2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541058</xdr:colOff>
      <xdr:row>1</xdr:row>
      <xdr:rowOff>208056</xdr:rowOff>
    </xdr:from>
    <xdr:to>
      <xdr:col>44</xdr:col>
      <xdr:colOff>336177</xdr:colOff>
      <xdr:row>10</xdr:row>
      <xdr:rowOff>33618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799AAFCE-F19D-D17D-0F4F-42377D149477}"/>
            </a:ext>
          </a:extLst>
        </xdr:cNvPr>
        <xdr:cNvSpPr/>
      </xdr:nvSpPr>
      <xdr:spPr>
        <a:xfrm>
          <a:off x="30785734" y="432174"/>
          <a:ext cx="1319119" cy="247015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10</xdr:col>
      <xdr:colOff>464297</xdr:colOff>
      <xdr:row>134</xdr:row>
      <xdr:rowOff>0</xdr:rowOff>
    </xdr:from>
    <xdr:to>
      <xdr:col>16</xdr:col>
      <xdr:colOff>638361</xdr:colOff>
      <xdr:row>150</xdr:row>
      <xdr:rowOff>17929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0031A990-D89D-381F-1107-D1308ED6B728}"/>
            </a:ext>
          </a:extLst>
        </xdr:cNvPr>
        <xdr:cNvGrpSpPr/>
      </xdr:nvGrpSpPr>
      <xdr:grpSpPr>
        <a:xfrm>
          <a:off x="7840943" y="26613971"/>
          <a:ext cx="4638861" cy="2528046"/>
          <a:chOff x="7714129" y="26777576"/>
          <a:chExt cx="4572000" cy="2743200"/>
        </a:xfrm>
      </xdr:grpSpPr>
      <mc:AlternateContent xmlns:mc="http://schemas.openxmlformats.org/markup-compatibility/2006">
        <mc:Choice xmlns:cx4="http://schemas.microsoft.com/office/drawing/2016/5/10/chartex" Requires="cx4">
          <xdr:graphicFrame macro="">
            <xdr:nvGraphicFramePr>
              <xdr:cNvPr id="7" name="Gráfico 6">
                <a:extLst>
                  <a:ext uri="{FF2B5EF4-FFF2-40B4-BE49-F238E27FC236}">
                    <a16:creationId xmlns:a16="http://schemas.microsoft.com/office/drawing/2014/main" id="{84531C67-A68F-233F-2FCB-2B7D33C17D3F}"/>
                  </a:ext>
                </a:extLst>
              </xdr:cNvPr>
              <xdr:cNvGraphicFramePr/>
            </xdr:nvGraphicFramePr>
            <xdr:xfrm>
              <a:off x="7714129" y="26777576"/>
              <a:ext cx="4572000" cy="274320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4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714129" y="26777576"/>
                <a:ext cx="4572000" cy="27432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Este gráfico no está disponible en su versión de Excel.
Si edita esta forma o guarda el libro en un formato de archivo diferente, el gráfico no se podrá utilizar.</a:t>
                </a:r>
              </a:p>
            </xdr:txBody>
          </xdr:sp>
        </mc:Fallback>
      </mc:AlternateContent>
      <xdr:sp macro="" textlink="">
        <xdr:nvSpPr>
          <xdr:cNvPr id="8" name="Abrir corchete 3">
            <a:extLst>
              <a:ext uri="{FF2B5EF4-FFF2-40B4-BE49-F238E27FC236}">
                <a16:creationId xmlns:a16="http://schemas.microsoft.com/office/drawing/2014/main" id="{AA5B062E-6F7E-4E9E-BB4A-4A3F04430920}"/>
              </a:ext>
            </a:extLst>
          </xdr:cNvPr>
          <xdr:cNvSpPr/>
        </xdr:nvSpPr>
        <xdr:spPr>
          <a:xfrm rot="16200000">
            <a:off x="9979591" y="27006695"/>
            <a:ext cx="91742" cy="2982116"/>
          </a:xfrm>
          <a:prstGeom prst="leftBracke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s-CL" sz="1100">
              <a:solidFill>
                <a:sysClr val="windowText" lastClr="000000"/>
              </a:solidFill>
            </a:endParaRPr>
          </a:p>
        </xdr:txBody>
      </xdr:sp>
      <xdr:sp macro="" textlink="$I$145">
        <xdr:nvSpPr>
          <xdr:cNvPr id="9" name="CuadroTexto 8">
            <a:extLst>
              <a:ext uri="{FF2B5EF4-FFF2-40B4-BE49-F238E27FC236}">
                <a16:creationId xmlns:a16="http://schemas.microsoft.com/office/drawing/2014/main" id="{6CC111C0-390E-4634-9B43-DD4CDE43326D}"/>
              </a:ext>
            </a:extLst>
          </xdr:cNvPr>
          <xdr:cNvSpPr txBox="1"/>
        </xdr:nvSpPr>
        <xdr:spPr>
          <a:xfrm>
            <a:off x="9768499" y="28400187"/>
            <a:ext cx="433797" cy="259513"/>
          </a:xfrm>
          <a:prstGeom prst="rect">
            <a:avLst/>
          </a:prstGeom>
          <a:solidFill>
            <a:srgbClr val="FFFFFF"/>
          </a:solidFill>
          <a:ln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fld id="{B3887A76-F1AC-4C89-A283-E4167BBFF66A}" type="TxLink">
              <a:rPr lang="en-US" sz="1000" b="0" i="0" u="none" strike="noStrike">
                <a:solidFill>
                  <a:srgbClr val="000000"/>
                </a:solidFill>
                <a:latin typeface="Arial"/>
                <a:ea typeface="Calibri"/>
                <a:cs typeface="Arial"/>
              </a:rPr>
              <a:pPr/>
              <a:t>-391</a:t>
            </a:fld>
            <a:endParaRPr lang="es-CL" sz="900" b="1"/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476249</xdr:colOff>
      <xdr:row>77</xdr:row>
      <xdr:rowOff>30983</xdr:rowOff>
    </xdr:from>
    <xdr:to>
      <xdr:col>14</xdr:col>
      <xdr:colOff>2619780</xdr:colOff>
      <xdr:row>84</xdr:row>
      <xdr:rowOff>57254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FDA8C0-9781-B971-6961-B5B0873FE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24849" y="13156433"/>
          <a:ext cx="4591456" cy="115974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514349</xdr:colOff>
      <xdr:row>3</xdr:row>
      <xdr:rowOff>18736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55320" cy="598714"/>
        </a:xfrm>
        <a:prstGeom prst="rect">
          <a:avLst/>
        </a:prstGeom>
      </xdr:spPr>
    </xdr:pic>
    <xdr:clientData/>
  </xdr:twoCellAnchor>
  <xdr:twoCellAnchor editAs="oneCell">
    <xdr:from>
      <xdr:col>73</xdr:col>
      <xdr:colOff>267607</xdr:colOff>
      <xdr:row>47</xdr:row>
      <xdr:rowOff>184452</xdr:rowOff>
    </xdr:from>
    <xdr:to>
      <xdr:col>81</xdr:col>
      <xdr:colOff>515359</xdr:colOff>
      <xdr:row>55</xdr:row>
      <xdr:rowOff>161294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968BA2-CA42-9D5A-EC3D-74F5ED030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062821" y="8729738"/>
          <a:ext cx="4906273" cy="145276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275</xdr:colOff>
      <xdr:row>4</xdr:row>
      <xdr:rowOff>1</xdr:rowOff>
    </xdr:from>
    <xdr:to>
      <xdr:col>31</xdr:col>
      <xdr:colOff>646043</xdr:colOff>
      <xdr:row>18</xdr:row>
      <xdr:rowOff>31061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8F6CEA17-C5CF-0A14-10A3-E1FE7E64D8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11300" y="819151"/>
              <a:ext cx="4617693" cy="2113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17</xdr:col>
      <xdr:colOff>438978</xdr:colOff>
      <xdr:row>3</xdr:row>
      <xdr:rowOff>157320</xdr:rowOff>
    </xdr:from>
    <xdr:to>
      <xdr:col>24</xdr:col>
      <xdr:colOff>161234</xdr:colOff>
      <xdr:row>18</xdr:row>
      <xdr:rowOff>24848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50D75A9D-5895-4F4D-9807-54E2B5341E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01853" y="817720"/>
              <a:ext cx="3583056" cy="21154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696492</xdr:colOff>
      <xdr:row>2</xdr:row>
      <xdr:rowOff>104028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57023" cy="45944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1</xdr:row>
      <xdr:rowOff>38100</xdr:rowOff>
    </xdr:from>
    <xdr:to>
      <xdr:col>5</xdr:col>
      <xdr:colOff>381000</xdr:colOff>
      <xdr:row>4</xdr:row>
      <xdr:rowOff>19050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0925" y="200025"/>
          <a:ext cx="1943100" cy="46672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38101</xdr:colOff>
      <xdr:row>8</xdr:row>
      <xdr:rowOff>133350</xdr:rowOff>
    </xdr:from>
    <xdr:to>
      <xdr:col>7</xdr:col>
      <xdr:colOff>1638301</xdr:colOff>
      <xdr:row>8</xdr:row>
      <xdr:rowOff>152400</xdr:rowOff>
    </xdr:to>
    <xdr:sp macro="" textlink="">
      <xdr:nvSpPr>
        <xdr:cNvPr id="10902534" name="Line 169">
          <a:extLst>
            <a:ext uri="{FF2B5EF4-FFF2-40B4-BE49-F238E27FC236}">
              <a16:creationId xmlns:a16="http://schemas.microsoft.com/office/drawing/2014/main" id="{00000000-0008-0000-1900-0000065CA600}"/>
            </a:ext>
          </a:extLst>
        </xdr:cNvPr>
        <xdr:cNvSpPr>
          <a:spLocks noChangeShapeType="1"/>
        </xdr:cNvSpPr>
      </xdr:nvSpPr>
      <xdr:spPr bwMode="auto">
        <a:xfrm flipV="1">
          <a:off x="6048376" y="1590675"/>
          <a:ext cx="3200400" cy="19050"/>
        </a:xfrm>
        <a:prstGeom prst="line">
          <a:avLst/>
        </a:prstGeom>
        <a:noFill/>
        <a:ln w="22225">
          <a:solidFill>
            <a:srgbClr val="000080"/>
          </a:solidFill>
          <a:round/>
          <a:headEnd type="triangle" w="lg" len="lg"/>
          <a:tailEnd type="triangle" w="lg" len="lg"/>
        </a:ln>
      </xdr:spPr>
    </xdr:sp>
    <xdr:clientData/>
  </xdr:twoCellAnchor>
  <xdr:twoCellAnchor>
    <xdr:from>
      <xdr:col>9</xdr:col>
      <xdr:colOff>716492</xdr:colOff>
      <xdr:row>3</xdr:row>
      <xdr:rowOff>82924</xdr:rowOff>
    </xdr:from>
    <xdr:to>
      <xdr:col>16</xdr:col>
      <xdr:colOff>175434</xdr:colOff>
      <xdr:row>27</xdr:row>
      <xdr:rowOff>24466</xdr:rowOff>
    </xdr:to>
    <xdr:graphicFrame macro="">
      <xdr:nvGraphicFramePr>
        <xdr:cNvPr id="10902535" name="Chart 170">
          <a:extLst>
            <a:ext uri="{FF2B5EF4-FFF2-40B4-BE49-F238E27FC236}">
              <a16:creationId xmlns:a16="http://schemas.microsoft.com/office/drawing/2014/main" id="{00000000-0008-0000-1900-0000075CA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486641</xdr:colOff>
      <xdr:row>55</xdr:row>
      <xdr:rowOff>19050</xdr:rowOff>
    </xdr:from>
    <xdr:to>
      <xdr:col>12</xdr:col>
      <xdr:colOff>114300</xdr:colOff>
      <xdr:row>74</xdr:row>
      <xdr:rowOff>135947</xdr:rowOff>
    </xdr:to>
    <xdr:graphicFrame macro="">
      <xdr:nvGraphicFramePr>
        <xdr:cNvPr id="7" name="Chart 170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171450</xdr:colOff>
      <xdr:row>56</xdr:row>
      <xdr:rowOff>9524</xdr:rowOff>
    </xdr:from>
    <xdr:to>
      <xdr:col>30</xdr:col>
      <xdr:colOff>714375</xdr:colOff>
      <xdr:row>77</xdr:row>
      <xdr:rowOff>85724</xdr:rowOff>
    </xdr:to>
    <xdr:graphicFrame macro="">
      <xdr:nvGraphicFramePr>
        <xdr:cNvPr id="8" name="7 Gráfico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0.0072</cdr:y>
    </cdr:from>
    <cdr:to>
      <cdr:x>0.22891</cdr:x>
      <cdr:y>0.06268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0" y="30631"/>
          <a:ext cx="2267815" cy="236067"/>
        </a:xfrm>
        <a:prstGeom xmlns:a="http://schemas.openxmlformats.org/drawingml/2006/main" prst="rect">
          <a:avLst/>
        </a:prstGeom>
        <a:solidFill xmlns:a="http://schemas.openxmlformats.org/drawingml/2006/main">
          <a:srgbClr val="C00000"/>
        </a:solidFill>
        <a:ln xmlns:a="http://schemas.openxmlformats.org/drawingml/2006/main">
          <a:solidFill>
            <a:schemeClr val="bg1">
              <a:lumMod val="75000"/>
            </a:schemeClr>
          </a:solidFill>
        </a:ln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s-CL" sz="1100" b="1">
              <a:solidFill>
                <a:schemeClr val="bg1"/>
              </a:solidFill>
            </a:rPr>
            <a:t>Inv inicial BM=</a:t>
          </a:r>
          <a:r>
            <a:rPr lang="es-CL" sz="1100" b="1" baseline="0">
              <a:solidFill>
                <a:schemeClr val="bg1"/>
              </a:solidFill>
            </a:rPr>
            <a:t> 252 TMF</a:t>
          </a:r>
          <a:endParaRPr lang="es-CL" sz="1100" b="1">
            <a:solidFill>
              <a:schemeClr val="bg1"/>
            </a:solidFill>
          </a:endParaRP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714374</xdr:colOff>
      <xdr:row>4</xdr:row>
      <xdr:rowOff>1</xdr:rowOff>
    </xdr:from>
    <xdr:to>
      <xdr:col>22</xdr:col>
      <xdr:colOff>333375</xdr:colOff>
      <xdr:row>23</xdr:row>
      <xdr:rowOff>38100</xdr:rowOff>
    </xdr:to>
    <xdr:graphicFrame macro="">
      <xdr:nvGraphicFramePr>
        <xdr:cNvPr id="19872771" name="Gráfico 170">
          <a:extLst>
            <a:ext uri="{FF2B5EF4-FFF2-40B4-BE49-F238E27FC236}">
              <a16:creationId xmlns:a16="http://schemas.microsoft.com/office/drawing/2014/main" id="{00000000-0008-0000-1B00-0000033C2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180976</xdr:colOff>
      <xdr:row>2</xdr:row>
      <xdr:rowOff>214374</xdr:rowOff>
    </xdr:from>
    <xdr:to>
      <xdr:col>11</xdr:col>
      <xdr:colOff>552451</xdr:colOff>
      <xdr:row>22</xdr:row>
      <xdr:rowOff>9525</xdr:rowOff>
    </xdr:to>
    <xdr:graphicFrame macro="">
      <xdr:nvGraphicFramePr>
        <xdr:cNvPr id="7" name="Gráfico 32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323850</xdr:colOff>
      <xdr:row>39</xdr:row>
      <xdr:rowOff>159327</xdr:rowOff>
    </xdr:from>
    <xdr:to>
      <xdr:col>12</xdr:col>
      <xdr:colOff>247650</xdr:colOff>
      <xdr:row>60</xdr:row>
      <xdr:rowOff>133350</xdr:rowOff>
    </xdr:to>
    <xdr:graphicFrame macro="">
      <xdr:nvGraphicFramePr>
        <xdr:cNvPr id="8" name="Gráfico 31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647700</xdr:colOff>
      <xdr:row>44</xdr:row>
      <xdr:rowOff>34925</xdr:rowOff>
    </xdr:from>
    <xdr:to>
      <xdr:col>27</xdr:col>
      <xdr:colOff>314325</xdr:colOff>
      <xdr:row>45</xdr:row>
      <xdr:rowOff>6350</xdr:rowOff>
    </xdr:to>
    <xdr:sp macro="" textlink="">
      <xdr:nvSpPr>
        <xdr:cNvPr id="3900418" name="AutoShape 2" descr="b6d2b7eb-7260-4324-8ce7-a9b3e4d81b3a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2843B00}"/>
            </a:ext>
          </a:extLst>
        </xdr:cNvPr>
        <xdr:cNvSpPr>
          <a:spLocks noChangeArrowheads="1"/>
        </xdr:cNvSpPr>
      </xdr:nvSpPr>
      <xdr:spPr bwMode="auto">
        <a:xfrm>
          <a:off x="25117425" y="11601450"/>
          <a:ext cx="533400" cy="352425"/>
        </a:xfrm>
        <a:prstGeom prst="leftArrow">
          <a:avLst>
            <a:gd name="adj1" fmla="val 50000"/>
            <a:gd name="adj2" fmla="val 37838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BACK</a:t>
          </a:r>
        </a:p>
      </xdr:txBody>
    </xdr:sp>
    <xdr:clientData/>
  </xdr:twoCellAnchor>
  <xdr:twoCellAnchor>
    <xdr:from>
      <xdr:col>22</xdr:col>
      <xdr:colOff>1362075</xdr:colOff>
      <xdr:row>8</xdr:row>
      <xdr:rowOff>28575</xdr:rowOff>
    </xdr:from>
    <xdr:to>
      <xdr:col>22</xdr:col>
      <xdr:colOff>1895475</xdr:colOff>
      <xdr:row>8</xdr:row>
      <xdr:rowOff>381000</xdr:rowOff>
    </xdr:to>
    <xdr:sp macro="" textlink="">
      <xdr:nvSpPr>
        <xdr:cNvPr id="3900419" name="AutoShape 3" descr="dd5ebfe8-eddf-4bbf-82a8-cfa2fd607ef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3843B00}"/>
            </a:ext>
          </a:extLst>
        </xdr:cNvPr>
        <xdr:cNvSpPr>
          <a:spLocks noChangeArrowheads="1"/>
        </xdr:cNvSpPr>
      </xdr:nvSpPr>
      <xdr:spPr bwMode="auto">
        <a:xfrm>
          <a:off x="17087850" y="2533650"/>
          <a:ext cx="533400" cy="352425"/>
        </a:xfrm>
        <a:prstGeom prst="leftArrow">
          <a:avLst>
            <a:gd name="adj1" fmla="val 50000"/>
            <a:gd name="adj2" fmla="val 37838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BACK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285750</xdr:colOff>
      <xdr:row>4</xdr:row>
      <xdr:rowOff>161925</xdr:rowOff>
    </xdr:from>
    <xdr:to>
      <xdr:col>27</xdr:col>
      <xdr:colOff>723900</xdr:colOff>
      <xdr:row>22</xdr:row>
      <xdr:rowOff>95250</xdr:rowOff>
    </xdr:to>
    <xdr:graphicFrame macro="">
      <xdr:nvGraphicFramePr>
        <xdr:cNvPr id="19878914" name="Gráfico 133">
          <a:extLst>
            <a:ext uri="{FF2B5EF4-FFF2-40B4-BE49-F238E27FC236}">
              <a16:creationId xmlns:a16="http://schemas.microsoft.com/office/drawing/2014/main" id="{00000000-0008-0000-2000-000002542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371475</xdr:colOff>
      <xdr:row>31</xdr:row>
      <xdr:rowOff>180975</xdr:rowOff>
    </xdr:from>
    <xdr:to>
      <xdr:col>27</xdr:col>
      <xdr:colOff>600075</xdr:colOff>
      <xdr:row>49</xdr:row>
      <xdr:rowOff>133350</xdr:rowOff>
    </xdr:to>
    <xdr:graphicFrame macro="">
      <xdr:nvGraphicFramePr>
        <xdr:cNvPr id="19878915" name="Gráfico 134">
          <a:extLst>
            <a:ext uri="{FF2B5EF4-FFF2-40B4-BE49-F238E27FC236}">
              <a16:creationId xmlns:a16="http://schemas.microsoft.com/office/drawing/2014/main" id="{00000000-0008-0000-2000-000003542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409575</xdr:colOff>
      <xdr:row>86</xdr:row>
      <xdr:rowOff>0</xdr:rowOff>
    </xdr:from>
    <xdr:to>
      <xdr:col>28</xdr:col>
      <xdr:colOff>381000</xdr:colOff>
      <xdr:row>104</xdr:row>
      <xdr:rowOff>85725</xdr:rowOff>
    </xdr:to>
    <xdr:graphicFrame macro="">
      <xdr:nvGraphicFramePr>
        <xdr:cNvPr id="19878916" name="Gráfico 135">
          <a:extLst>
            <a:ext uri="{FF2B5EF4-FFF2-40B4-BE49-F238E27FC236}">
              <a16:creationId xmlns:a16="http://schemas.microsoft.com/office/drawing/2014/main" id="{00000000-0008-0000-2000-000004542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329293</xdr:colOff>
      <xdr:row>146</xdr:row>
      <xdr:rowOff>10886</xdr:rowOff>
    </xdr:from>
    <xdr:to>
      <xdr:col>15</xdr:col>
      <xdr:colOff>707571</xdr:colOff>
      <xdr:row>161</xdr:row>
      <xdr:rowOff>163286</xdr:rowOff>
    </xdr:to>
    <xdr:graphicFrame macro="">
      <xdr:nvGraphicFramePr>
        <xdr:cNvPr id="19878917" name="Gráfico 152">
          <a:extLst>
            <a:ext uri="{FF2B5EF4-FFF2-40B4-BE49-F238E27FC236}">
              <a16:creationId xmlns:a16="http://schemas.microsoft.com/office/drawing/2014/main" id="{00000000-0008-0000-2000-000005542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19050</xdr:colOff>
      <xdr:row>157</xdr:row>
      <xdr:rowOff>104775</xdr:rowOff>
    </xdr:from>
    <xdr:to>
      <xdr:col>36</xdr:col>
      <xdr:colOff>190500</xdr:colOff>
      <xdr:row>177</xdr:row>
      <xdr:rowOff>47625</xdr:rowOff>
    </xdr:to>
    <xdr:graphicFrame macro="">
      <xdr:nvGraphicFramePr>
        <xdr:cNvPr id="19878918" name="Gráfico 153">
          <a:extLst>
            <a:ext uri="{FF2B5EF4-FFF2-40B4-BE49-F238E27FC236}">
              <a16:creationId xmlns:a16="http://schemas.microsoft.com/office/drawing/2014/main" id="{00000000-0008-0000-2000-000006542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628650</xdr:colOff>
      <xdr:row>145</xdr:row>
      <xdr:rowOff>152400</xdr:rowOff>
    </xdr:from>
    <xdr:to>
      <xdr:col>27</xdr:col>
      <xdr:colOff>619125</xdr:colOff>
      <xdr:row>159</xdr:row>
      <xdr:rowOff>180975</xdr:rowOff>
    </xdr:to>
    <xdr:graphicFrame macro="">
      <xdr:nvGraphicFramePr>
        <xdr:cNvPr id="19878920" name="Gráfico 155">
          <a:extLst>
            <a:ext uri="{FF2B5EF4-FFF2-40B4-BE49-F238E27FC236}">
              <a16:creationId xmlns:a16="http://schemas.microsoft.com/office/drawing/2014/main" id="{00000000-0008-0000-2000-000008542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66675</xdr:colOff>
      <xdr:row>157</xdr:row>
      <xdr:rowOff>47625</xdr:rowOff>
    </xdr:from>
    <xdr:to>
      <xdr:col>44</xdr:col>
      <xdr:colOff>142875</xdr:colOff>
      <xdr:row>176</xdr:row>
      <xdr:rowOff>19050</xdr:rowOff>
    </xdr:to>
    <xdr:graphicFrame macro="">
      <xdr:nvGraphicFramePr>
        <xdr:cNvPr id="19878921" name="Gráfico 156">
          <a:extLst>
            <a:ext uri="{FF2B5EF4-FFF2-40B4-BE49-F238E27FC236}">
              <a16:creationId xmlns:a16="http://schemas.microsoft.com/office/drawing/2014/main" id="{00000000-0008-0000-2000-000009542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47625</xdr:colOff>
      <xdr:row>178</xdr:row>
      <xdr:rowOff>66675</xdr:rowOff>
    </xdr:from>
    <xdr:to>
      <xdr:col>36</xdr:col>
      <xdr:colOff>314325</xdr:colOff>
      <xdr:row>195</xdr:row>
      <xdr:rowOff>47625</xdr:rowOff>
    </xdr:to>
    <xdr:graphicFrame macro="">
      <xdr:nvGraphicFramePr>
        <xdr:cNvPr id="19878923" name="Gráfico 1028">
          <a:extLst>
            <a:ext uri="{FF2B5EF4-FFF2-40B4-BE49-F238E27FC236}">
              <a16:creationId xmlns:a16="http://schemas.microsoft.com/office/drawing/2014/main" id="{00000000-0008-0000-2000-00000B542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37</xdr:col>
      <xdr:colOff>104775</xdr:colOff>
      <xdr:row>178</xdr:row>
      <xdr:rowOff>123825</xdr:rowOff>
    </xdr:from>
    <xdr:to>
      <xdr:col>44</xdr:col>
      <xdr:colOff>142875</xdr:colOff>
      <xdr:row>195</xdr:row>
      <xdr:rowOff>85725</xdr:rowOff>
    </xdr:to>
    <xdr:graphicFrame macro="">
      <xdr:nvGraphicFramePr>
        <xdr:cNvPr id="19878924" name="Gráfico 1029">
          <a:extLst>
            <a:ext uri="{FF2B5EF4-FFF2-40B4-BE49-F238E27FC236}">
              <a16:creationId xmlns:a16="http://schemas.microsoft.com/office/drawing/2014/main" id="{00000000-0008-0000-2000-00000C542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409575</xdr:colOff>
      <xdr:row>59</xdr:row>
      <xdr:rowOff>0</xdr:rowOff>
    </xdr:from>
    <xdr:to>
      <xdr:col>27</xdr:col>
      <xdr:colOff>571500</xdr:colOff>
      <xdr:row>77</xdr:row>
      <xdr:rowOff>95250</xdr:rowOff>
    </xdr:to>
    <xdr:graphicFrame macro="">
      <xdr:nvGraphicFramePr>
        <xdr:cNvPr id="19878925" name="Gráfico 1050">
          <a:extLst>
            <a:ext uri="{FF2B5EF4-FFF2-40B4-BE49-F238E27FC236}">
              <a16:creationId xmlns:a16="http://schemas.microsoft.com/office/drawing/2014/main" id="{00000000-0008-0000-2000-00000D542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381000</xdr:colOff>
      <xdr:row>113</xdr:row>
      <xdr:rowOff>0</xdr:rowOff>
    </xdr:from>
    <xdr:to>
      <xdr:col>28</xdr:col>
      <xdr:colOff>457200</xdr:colOff>
      <xdr:row>131</xdr:row>
      <xdr:rowOff>0</xdr:rowOff>
    </xdr:to>
    <xdr:graphicFrame macro="">
      <xdr:nvGraphicFramePr>
        <xdr:cNvPr id="19878926" name="Gráfico 1051">
          <a:extLst>
            <a:ext uri="{FF2B5EF4-FFF2-40B4-BE49-F238E27FC236}">
              <a16:creationId xmlns:a16="http://schemas.microsoft.com/office/drawing/2014/main" id="{00000000-0008-0000-2000-00000E542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46</xdr:col>
      <xdr:colOff>0</xdr:colOff>
      <xdr:row>158</xdr:row>
      <xdr:rowOff>68036</xdr:rowOff>
    </xdr:from>
    <xdr:to>
      <xdr:col>53</xdr:col>
      <xdr:colOff>138791</xdr:colOff>
      <xdr:row>177</xdr:row>
      <xdr:rowOff>81642</xdr:rowOff>
    </xdr:to>
    <xdr:graphicFrame macro="">
      <xdr:nvGraphicFramePr>
        <xdr:cNvPr id="25" name="Gráfico 1028">
          <a:extLst>
            <a:ext uri="{FF2B5EF4-FFF2-40B4-BE49-F238E27FC236}">
              <a16:creationId xmlns:a16="http://schemas.microsoft.com/office/drawing/2014/main" id="{00000000-0008-0000-2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54</xdr:col>
      <xdr:colOff>696685</xdr:colOff>
      <xdr:row>158</xdr:row>
      <xdr:rowOff>0</xdr:rowOff>
    </xdr:from>
    <xdr:to>
      <xdr:col>62</xdr:col>
      <xdr:colOff>610961</xdr:colOff>
      <xdr:row>176</xdr:row>
      <xdr:rowOff>163287</xdr:rowOff>
    </xdr:to>
    <xdr:graphicFrame macro="">
      <xdr:nvGraphicFramePr>
        <xdr:cNvPr id="26" name="Gráfico 1029">
          <a:extLst>
            <a:ext uri="{FF2B5EF4-FFF2-40B4-BE49-F238E27FC236}">
              <a16:creationId xmlns:a16="http://schemas.microsoft.com/office/drawing/2014/main" id="{00000000-0008-0000-20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176891</xdr:colOff>
      <xdr:row>176</xdr:row>
      <xdr:rowOff>27216</xdr:rowOff>
    </xdr:from>
    <xdr:to>
      <xdr:col>52</xdr:col>
      <xdr:colOff>696683</xdr:colOff>
      <xdr:row>194</xdr:row>
      <xdr:rowOff>54430</xdr:rowOff>
    </xdr:to>
    <xdr:graphicFrame macro="">
      <xdr:nvGraphicFramePr>
        <xdr:cNvPr id="27" name="Gráfico 1028">
          <a:extLst>
            <a:ext uri="{FF2B5EF4-FFF2-40B4-BE49-F238E27FC236}">
              <a16:creationId xmlns:a16="http://schemas.microsoft.com/office/drawing/2014/main" id="{00000000-0008-0000-20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55</xdr:col>
      <xdr:colOff>220434</xdr:colOff>
      <xdr:row>176</xdr:row>
      <xdr:rowOff>176894</xdr:rowOff>
    </xdr:from>
    <xdr:to>
      <xdr:col>62</xdr:col>
      <xdr:colOff>332013</xdr:colOff>
      <xdr:row>193</xdr:row>
      <xdr:rowOff>163286</xdr:rowOff>
    </xdr:to>
    <xdr:graphicFrame macro="">
      <xdr:nvGraphicFramePr>
        <xdr:cNvPr id="28" name="Gráfico 1029">
          <a:extLst>
            <a:ext uri="{FF2B5EF4-FFF2-40B4-BE49-F238E27FC236}">
              <a16:creationId xmlns:a16="http://schemas.microsoft.com/office/drawing/2014/main" id="{00000000-0008-0000-20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46</xdr:col>
      <xdr:colOff>0</xdr:colOff>
      <xdr:row>198</xdr:row>
      <xdr:rowOff>0</xdr:rowOff>
    </xdr:from>
    <xdr:to>
      <xdr:col>51</xdr:col>
      <xdr:colOff>590550</xdr:colOff>
      <xdr:row>212</xdr:row>
      <xdr:rowOff>120362</xdr:rowOff>
    </xdr:to>
    <xdr:graphicFrame macro="">
      <xdr:nvGraphicFramePr>
        <xdr:cNvPr id="29" name="Gráfico 154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54</xdr:col>
      <xdr:colOff>614362</xdr:colOff>
      <xdr:row>198</xdr:row>
      <xdr:rowOff>28575</xdr:rowOff>
    </xdr:from>
    <xdr:to>
      <xdr:col>60</xdr:col>
      <xdr:colOff>509587</xdr:colOff>
      <xdr:row>213</xdr:row>
      <xdr:rowOff>42430</xdr:rowOff>
    </xdr:to>
    <xdr:graphicFrame macro="">
      <xdr:nvGraphicFramePr>
        <xdr:cNvPr id="30" name="Gráfico 157">
          <a:extLst>
            <a:ext uri="{FF2B5EF4-FFF2-40B4-BE49-F238E27FC236}">
              <a16:creationId xmlns:a16="http://schemas.microsoft.com/office/drawing/2014/main" id="{00000000-0008-0000-20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40</xdr:col>
      <xdr:colOff>71437</xdr:colOff>
      <xdr:row>262</xdr:row>
      <xdr:rowOff>23813</xdr:rowOff>
    </xdr:from>
    <xdr:to>
      <xdr:col>47</xdr:col>
      <xdr:colOff>44096</xdr:colOff>
      <xdr:row>279</xdr:row>
      <xdr:rowOff>47316</xdr:rowOff>
    </xdr:to>
    <xdr:graphicFrame macro="">
      <xdr:nvGraphicFramePr>
        <xdr:cNvPr id="31" name="Gráfico 1028">
          <a:extLst>
            <a:ext uri="{FF2B5EF4-FFF2-40B4-BE49-F238E27FC236}">
              <a16:creationId xmlns:a16="http://schemas.microsoft.com/office/drawing/2014/main" id="{00000000-0008-0000-20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47</xdr:col>
      <xdr:colOff>0</xdr:colOff>
      <xdr:row>261</xdr:row>
      <xdr:rowOff>0</xdr:rowOff>
    </xdr:from>
    <xdr:to>
      <xdr:col>54</xdr:col>
      <xdr:colOff>315559</xdr:colOff>
      <xdr:row>278</xdr:row>
      <xdr:rowOff>23503</xdr:rowOff>
    </xdr:to>
    <xdr:graphicFrame macro="">
      <xdr:nvGraphicFramePr>
        <xdr:cNvPr id="32" name="Gráfico 1028">
          <a:extLst>
            <a:ext uri="{FF2B5EF4-FFF2-40B4-BE49-F238E27FC236}">
              <a16:creationId xmlns:a16="http://schemas.microsoft.com/office/drawing/2014/main" id="{00000000-0008-0000-20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40</xdr:col>
      <xdr:colOff>0</xdr:colOff>
      <xdr:row>293</xdr:row>
      <xdr:rowOff>0</xdr:rowOff>
    </xdr:from>
    <xdr:to>
      <xdr:col>46</xdr:col>
      <xdr:colOff>925159</xdr:colOff>
      <xdr:row>311</xdr:row>
      <xdr:rowOff>0</xdr:rowOff>
    </xdr:to>
    <xdr:graphicFrame macro="">
      <xdr:nvGraphicFramePr>
        <xdr:cNvPr id="33" name="Gráfico 1028">
          <a:extLst>
            <a:ext uri="{FF2B5EF4-FFF2-40B4-BE49-F238E27FC236}">
              <a16:creationId xmlns:a16="http://schemas.microsoft.com/office/drawing/2014/main" id="{00000000-0008-0000-20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47</xdr:col>
      <xdr:colOff>0</xdr:colOff>
      <xdr:row>293</xdr:row>
      <xdr:rowOff>0</xdr:rowOff>
    </xdr:from>
    <xdr:to>
      <xdr:col>54</xdr:col>
      <xdr:colOff>319022</xdr:colOff>
      <xdr:row>311</xdr:row>
      <xdr:rowOff>0</xdr:rowOff>
    </xdr:to>
    <xdr:graphicFrame macro="">
      <xdr:nvGraphicFramePr>
        <xdr:cNvPr id="34" name="Gráfico 1028">
          <a:extLst>
            <a:ext uri="{FF2B5EF4-FFF2-40B4-BE49-F238E27FC236}">
              <a16:creationId xmlns:a16="http://schemas.microsoft.com/office/drawing/2014/main" id="{00000000-0008-0000-20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26323</xdr:colOff>
      <xdr:row>0</xdr:row>
      <xdr:rowOff>106680</xdr:rowOff>
    </xdr:from>
    <xdr:to>
      <xdr:col>20</xdr:col>
      <xdr:colOff>694749</xdr:colOff>
      <xdr:row>20</xdr:row>
      <xdr:rowOff>35329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0000000-0008-0000-0C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923" y="103505"/>
              <a:ext cx="4126001" cy="20844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200024</xdr:colOff>
      <xdr:row>104</xdr:row>
      <xdr:rowOff>34925</xdr:rowOff>
    </xdr:from>
    <xdr:to>
      <xdr:col>21</xdr:col>
      <xdr:colOff>250824</xdr:colOff>
      <xdr:row>125</xdr:row>
      <xdr:rowOff>9525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E6160AB-A90E-8931-1AF2-BF53E1112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4" y="13541375"/>
          <a:ext cx="5994400" cy="3127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4</xdr:row>
      <xdr:rowOff>27214</xdr:rowOff>
    </xdr:from>
    <xdr:to>
      <xdr:col>14</xdr:col>
      <xdr:colOff>460374</xdr:colOff>
      <xdr:row>23</xdr:row>
      <xdr:rowOff>28575</xdr:rowOff>
    </xdr:to>
    <xdr:graphicFrame macro="">
      <xdr:nvGraphicFramePr>
        <xdr:cNvPr id="19893249" name="Gráfico 1">
          <a:extLst>
            <a:ext uri="{FF2B5EF4-FFF2-40B4-BE49-F238E27FC236}">
              <a16:creationId xmlns:a16="http://schemas.microsoft.com/office/drawing/2014/main" id="{00000000-0008-0000-2200-0000018C2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461282</xdr:colOff>
      <xdr:row>40</xdr:row>
      <xdr:rowOff>68036</xdr:rowOff>
    </xdr:from>
    <xdr:to>
      <xdr:col>14</xdr:col>
      <xdr:colOff>619125</xdr:colOff>
      <xdr:row>64</xdr:row>
      <xdr:rowOff>48986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54428</xdr:colOff>
      <xdr:row>40</xdr:row>
      <xdr:rowOff>69397</xdr:rowOff>
    </xdr:from>
    <xdr:to>
      <xdr:col>22</xdr:col>
      <xdr:colOff>190500</xdr:colOff>
      <xdr:row>64</xdr:row>
      <xdr:rowOff>50347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457199</xdr:colOff>
      <xdr:row>65</xdr:row>
      <xdr:rowOff>34925</xdr:rowOff>
    </xdr:from>
    <xdr:to>
      <xdr:col>14</xdr:col>
      <xdr:colOff>628650</xdr:colOff>
      <xdr:row>83</xdr:row>
      <xdr:rowOff>77561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311150</xdr:colOff>
      <xdr:row>68</xdr:row>
      <xdr:rowOff>149225</xdr:rowOff>
    </xdr:from>
    <xdr:to>
      <xdr:col>14</xdr:col>
      <xdr:colOff>647700</xdr:colOff>
      <xdr:row>69</xdr:row>
      <xdr:rowOff>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457BEBA-5363-C596-949F-B84DFB91DA49}"/>
            </a:ext>
          </a:extLst>
        </xdr:cNvPr>
        <xdr:cNvCxnSpPr/>
      </xdr:nvCxnSpPr>
      <xdr:spPr>
        <a:xfrm>
          <a:off x="7140575" y="11293475"/>
          <a:ext cx="5137150" cy="12700"/>
        </a:xfrm>
        <a:prstGeom prst="line">
          <a:avLst/>
        </a:prstGeom>
        <a:ln w="317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PCHAFLE02\CONSOCOS99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LPCHAFS01\Gerencia%20Planif%20&amp;%20Ing\P&amp;I%20Metalurgia\SHORT%20TERM%20SEGUIMIENTO\00Estudios\01General\Analisis%20de%20Produccion\2024\9.%20septiembre\Comparacion%20B-F-S%20T%20-R%20SEPTIEMBRE%20Con%20BM.xlsx" TargetMode="External"/><Relationship Id="rId1" Type="http://schemas.openxmlformats.org/officeDocument/2006/relationships/externalLinkPath" Target="file:///\\MLPCHAFS01\Gerencia%20Planif%20&amp;%20Ing\P&amp;I%20Metalurgia\SHORT%20TERM%20SEGUIMIENTO\00Estudios\01General\Analisis%20de%20Produccion\2024\9.%20septiembre\Comparacion%20B-F-S%20T%20-R%20SEPTIEMBRE%20Con%20B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rencia%20Planif%20&amp;%20Ing\P&amp;I%20Metalurgia\METALURGISTA%20PROCESOS-SENIOR\Trabajos%20Metalurgia\Planes%20de%20producci&#243;n\Planes%20Mensuales%20y%20Semanales\2025\12%20DICIEMBRE\Plan%20de%20producci&#243;n%20Dic_SBM_V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ificador%20de%20proyectos%20de%20Gant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PCHAFLE02\Cartera%20Inversiones%202002-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_ARCHIVOS\PUBLICO\InfDir99\Comerc.99\hedge79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_mguerrero\practic\TEMP\base%20septiembr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pel01nt01\comparte\REPORTES%20TURNO\Leyes\Leyes%20Min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PEL01NT01\Comparte\REPORTES%20TURNO\Abril\base%20abri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PEL01NT01\Comparte\REPORTES%20TURNO\Marzo\base%20marzo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PEL01NT01\Comparte\REPORTES%20TURNO\Mayo\base%20may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_ARCHIVOS\PUBLICO\InfDir99\Costos99\CONSOCOS99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PCHAFLE02\Planta,%20Estado%20TR.01.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PCHAFLE02\haulage99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PCHAFLE02\Sip-r_Seguimiento%20Diario%20de%20Producci&#243;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cPore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PCHAFLE02\ST%20Enero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Gerencia%20Planif%20&amp;%20Ing\P&amp;I%20Metalurgia\SHORT%20TERM%20SEGUIMIENTO\00Estudios\01General\Analisis%20de%20Produccion\2025\5%20MAYO\Plan%20de%20producci&#243;n%20Mayo%20con%20SBM.xlsx" TargetMode="External"/><Relationship Id="rId1" Type="http://schemas.openxmlformats.org/officeDocument/2006/relationships/externalLinkPath" Target="file:///\\MLPCHAFS01\Gerencia%20Planif%20&amp;%20Ing\Gerencia%20Planif%20&amp;%20Ing\P&amp;I%20Metalurgia\SHORT%20TERM%20SEGUIMIENTO\00Estudios\01General\Analisis%20de%20Produccion\2025\5%20MAYO\Plan%20de%20producci&#243;n%20Mayo%20con%20SBM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upuesto\02%20Gestion%20Anual\Bdimd\Libro%20de%20gesti&#243;n%20(BPC).xlsx" TargetMode="External"/><Relationship Id="rId1" Type="http://schemas.openxmlformats.org/officeDocument/2006/relationships/externalLinkPath" Target="file:///\\MLPCHAFS01\Gerencia%20Planif%20&amp;%20Ing\Presupuesto\02%20Gestion%20Anual\Bdimd\Libro%20de%20gesti&#243;n%20(BPC)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Gerencia%20Planif%20&amp;%20Ing\P&amp;I%20Metalurgia\METALURGISTA%20PROCESOS-SENIOR\Trabajos%20Metalurgia\Planes%20de%20producci&#243;n\Planes%20Mensuales%20y%20Semanales\2025\12%20DICIEMBRE\Plan%20de%20producci&#243;n%20Dic_SBM_V2.xlsx" TargetMode="External"/><Relationship Id="rId1" Type="http://schemas.openxmlformats.org/officeDocument/2006/relationships/externalLinkPath" Target="file:///\\MLPCHAFS01\Gerencia%20Planif%20&amp;%20Ing\P&amp;I%20Metalurgia\METALURGISTA%20PROCESOS-SENIOR\Trabajos%20Metalurgia\Planes%20de%20producci&#243;n\Planes%20Mensuales%20y%20Semanales\2025\12%20DICIEMBRE\Plan%20de%20producci&#243;n%20Dic_SBM_V2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utlook.office.com/Gerencia%20Planif%20&amp;%20Ing/P&amp;I%20Metalurgia/SHORT%20TERM%20SEGUIMIENTO/00Estudios/01General/Analisis%20de%20Produccion/2021/1)Enero/Comparacion%20B-F-S%20T%20-R%20Enero_OFICIAL.xlsm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Gerencia%20Planif%20&amp;%20Ing\P&amp;I%20Metalurgia\SHORT%20TERM%20SEGUIMIENTO\00Estudios\01General\Analisis%20de%20Produccion\2023\10)Octubre\Comparacion%20B-F-S%20T%20-R%20OCTUBRE_OFICIAL.xlsm" TargetMode="External"/><Relationship Id="rId1" Type="http://schemas.openxmlformats.org/officeDocument/2006/relationships/externalLinkPath" Target="https://outlook.office.com/Gerencia%20Planif%20&amp;%20Ing/P&amp;I%20Metalurgia/SHORT%20TERM%20SEGUIMIENTO/00Estudios/01General/Analisis%20de%20Produccion/2023/10)Octubre/Comparacion%20B-F-S%20T%20-R%20OCTUBRE_OFICI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COS99"/>
      <sheetName val="HS23B_EstadoProy"/>
      <sheetName val="Compara"/>
    </sheetNames>
    <sheetDataSet>
      <sheetData sheetId="0" refreshError="1">
        <row r="75">
          <cell r="C75" t="str">
            <v>Mina</v>
          </cell>
          <cell r="D75">
            <v>2108876</v>
          </cell>
        </row>
        <row r="76">
          <cell r="C76" t="str">
            <v>Planta</v>
          </cell>
          <cell r="D76">
            <v>2928050</v>
          </cell>
        </row>
        <row r="77">
          <cell r="C77" t="str">
            <v>Administración</v>
          </cell>
          <cell r="D77">
            <v>463793</v>
          </cell>
        </row>
        <row r="78">
          <cell r="C78" t="str">
            <v>Gastos de Venta</v>
          </cell>
          <cell r="D78">
            <v>313974</v>
          </cell>
        </row>
        <row r="79">
          <cell r="C79" t="str">
            <v>Serv. Admin.</v>
          </cell>
          <cell r="D79">
            <v>155155</v>
          </cell>
        </row>
        <row r="80">
          <cell r="C80" t="str">
            <v>Maquila y C. x Plata</v>
          </cell>
          <cell r="D80">
            <v>58308</v>
          </cell>
        </row>
        <row r="85">
          <cell r="C85" t="str">
            <v>Mina</v>
          </cell>
          <cell r="D85">
            <v>2108876</v>
          </cell>
        </row>
        <row r="86">
          <cell r="C86" t="str">
            <v>Planta</v>
          </cell>
          <cell r="D86">
            <v>2928050</v>
          </cell>
        </row>
        <row r="87">
          <cell r="C87" t="str">
            <v>Administración</v>
          </cell>
          <cell r="D87">
            <v>463793</v>
          </cell>
        </row>
        <row r="88">
          <cell r="C88" t="str">
            <v>Gastos de Venta</v>
          </cell>
          <cell r="D88">
            <v>313974</v>
          </cell>
        </row>
        <row r="89">
          <cell r="C89" t="str">
            <v>Serv. Admin.</v>
          </cell>
          <cell r="D89">
            <v>155155</v>
          </cell>
        </row>
        <row r="90">
          <cell r="C90" t="str">
            <v>Otros no Caja</v>
          </cell>
          <cell r="D90">
            <v>1483930.94</v>
          </cell>
        </row>
        <row r="91">
          <cell r="C91" t="str">
            <v>Maquila y C. x Plata</v>
          </cell>
          <cell r="D91">
            <v>58308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ores"/>
      <sheetName val="Comparacion (Sin BM)"/>
      <sheetName val="TP sin BM"/>
      <sheetName val="TP con BM"/>
      <sheetName val="OL 6+6"/>
      <sheetName val="FRCST 3+9"/>
      <sheetName val="Bdgt"/>
      <sheetName val="Real"/>
      <sheetName val="R+P"/>
      <sheetName val="Plan mina ST"/>
      <sheetName val="MCP ST"/>
      <sheetName val="Recalculos ST"/>
      <sheetName val="ST Original"/>
      <sheetName val="Perfil Envío ST"/>
      <sheetName val="Tablas de producción"/>
      <sheetName val="Plan mina PS"/>
      <sheetName val="MCP PS"/>
      <sheetName val="Recalculos PS"/>
      <sheetName val="Proy. Mes"/>
      <sheetName val="Real+S.T."/>
      <sheetName val="Comentarios generales"/>
      <sheetName val="Cubicadores"/>
      <sheetName val="Recalculo cubicadores"/>
      <sheetName val="ARENAS"/>
      <sheetName val="Embarques Cu"/>
      <sheetName val="Gestión Inventarios"/>
      <sheetName val="HojaSIPcfg"/>
      <sheetName val="Grafico ktpd"/>
      <sheetName val="Visualizacion PSvsST"/>
      <sheetName val="R+RP+B"/>
      <sheetName val="Visualizacion PSvsST (2)"/>
      <sheetName val="R+RS+B"/>
      <sheetName val="R+RP+OL"/>
      <sheetName val="R+RS+F(OL)"/>
      <sheetName val="Explicacion Cueq (Con BM)"/>
      <sheetName val="BM con CuF pagable"/>
      <sheetName val="As CAL"/>
      <sheetName val="Ok Datos"/>
      <sheetName val="Chequeo"/>
    </sheetNames>
    <sheetDataSet>
      <sheetData sheetId="0"/>
      <sheetData sheetId="1"/>
      <sheetData sheetId="2"/>
      <sheetData sheetId="3">
        <row r="55">
          <cell r="B55" t="str">
            <v>PM</v>
          </cell>
        </row>
        <row r="56">
          <cell r="B56" t="str">
            <v>Rendimiento</v>
          </cell>
        </row>
        <row r="57">
          <cell r="B57" t="str">
            <v>CM %</v>
          </cell>
        </row>
        <row r="58">
          <cell r="B58" t="str">
            <v>Ley Cu,%</v>
          </cell>
        </row>
        <row r="59">
          <cell r="B59" t="str">
            <v>RCu, %</v>
          </cell>
        </row>
        <row r="60">
          <cell r="B60" t="str">
            <v>Envíos-Otros</v>
          </cell>
        </row>
        <row r="61">
          <cell r="B61" t="str">
            <v>Real c/BM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roducción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ficador de proyectos"/>
    </sheetNames>
    <sheetDataSet>
      <sheetData sheetId="0">
        <row r="2">
          <cell r="H2">
            <v>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CAPEX"/>
      <sheetName val="TapaREMAN"/>
      <sheetName val="Indice"/>
      <sheetName val="TapaGRAL"/>
      <sheetName val="Glosario"/>
      <sheetName val="TapaRESUMEN"/>
      <sheetName val="Resumen proyectos"/>
      <sheetName val="TapaAPROB"/>
      <sheetName val="TapaPEND"/>
      <sheetName val="RESUMEN ver final"/>
      <sheetName val="ProyTAPAS"/>
      <sheetName val="ProyRESUMEN"/>
      <sheetName val="ProyGANTT"/>
      <sheetName val="ProyCURVAS"/>
      <sheetName val="TR.04.01 GANTT"/>
      <sheetName val="TR.04.01 tapa"/>
      <sheetName val="TR.04.01 Informe"/>
      <sheetName val="TR.04.01 CURVAS"/>
      <sheetName val="TR.04.01"/>
      <sheetName val="MI.04.01 tapa"/>
      <sheetName val="MI.04.01"/>
      <sheetName val="MI.04.01 curva"/>
      <sheetName val="SE.06.02 tapa"/>
      <sheetName val="SE.06.02"/>
      <sheetName val="SE.06.02 curva"/>
      <sheetName val="SE.06.02 Gantt"/>
      <sheetName val="CURVA TIPO"/>
      <sheetName val="RESUMEN CO0102"/>
      <sheetName val="CO.01.02 tapa"/>
      <sheetName val="CO.01.02 Gantt"/>
      <sheetName val="CO.01.02 curva"/>
      <sheetName val="MI.03.02 tapa"/>
      <sheetName val="MI.03.02 ProyRESUMEN"/>
      <sheetName val="MI.03.02 Gantt"/>
      <sheetName val="MI.03.02 curva"/>
      <sheetName val="MI.11.02 tapa"/>
      <sheetName val="MI.11.02 Gantt"/>
      <sheetName val="MI.11.02 curva"/>
      <sheetName val="MI.11.02 ProyRESUMEN"/>
      <sheetName val="MI.10.02 curva"/>
      <sheetName val="MI.10.02 tapa"/>
      <sheetName val="MI.10.02 Gantt"/>
      <sheetName val="MI.10.02 ProyRESUMEN"/>
      <sheetName val="MI.09.02 tapa"/>
      <sheetName val="MI.09.02 ProyRESUMEN"/>
      <sheetName val="MI.09.02 curva"/>
      <sheetName val="MI.09.02 Gantt"/>
      <sheetName val="MI.13.02 tapa"/>
      <sheetName val="MI.13.02 ProyRESUMEN"/>
      <sheetName val="MI.13.02 curva"/>
      <sheetName val="MI.13.02 Gantt"/>
    </sheetNames>
    <sheetDataSet>
      <sheetData sheetId="0" refreshError="1">
        <row r="1">
          <cell r="B1">
            <v>37377</v>
          </cell>
          <cell r="C1" t="str">
            <v>Capex Operacional 2002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W1">
            <v>49</v>
          </cell>
          <cell r="BC1">
            <v>55</v>
          </cell>
          <cell r="BV1">
            <v>74</v>
          </cell>
          <cell r="BX1">
            <v>76</v>
          </cell>
          <cell r="CD1">
            <v>82</v>
          </cell>
          <cell r="CW1">
            <v>101</v>
          </cell>
          <cell r="DC1">
            <v>107</v>
          </cell>
          <cell r="DV1">
            <v>126</v>
          </cell>
          <cell r="EB1">
            <v>132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F2">
            <v>6</v>
          </cell>
          <cell r="G2">
            <v>7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S2">
            <v>19</v>
          </cell>
          <cell r="V2">
            <v>22</v>
          </cell>
          <cell r="Z2">
            <v>26</v>
          </cell>
        </row>
        <row r="4">
          <cell r="A4" t="str">
            <v>MI.01.02</v>
          </cell>
          <cell r="B4" t="str">
            <v>Drenaje Geologia</v>
          </cell>
          <cell r="C4" t="str">
            <v>MINA</v>
          </cell>
          <cell r="D4" t="str">
            <v>Capex Operacional 2002</v>
          </cell>
          <cell r="E4" t="str">
            <v>Capex Operacional 2002</v>
          </cell>
          <cell r="F4" t="str">
            <v>OK</v>
          </cell>
          <cell r="G4">
            <v>36928</v>
          </cell>
          <cell r="H4">
            <v>36928</v>
          </cell>
          <cell r="I4" t="str">
            <v>MI0102</v>
          </cell>
          <cell r="V4">
            <v>0</v>
          </cell>
          <cell r="W4" t="str">
            <v>MENORES</v>
          </cell>
          <cell r="Y4" t="str">
            <v>FALTA</v>
          </cell>
          <cell r="Z4" t="str">
            <v>PENDIENTE</v>
          </cell>
          <cell r="AA4" t="str">
            <v>PENDIENTE</v>
          </cell>
          <cell r="AB4" t="str">
            <v>FALTA</v>
          </cell>
          <cell r="AC4" t="str">
            <v>FALTA</v>
          </cell>
          <cell r="AD4" t="str">
            <v>FALTA</v>
          </cell>
          <cell r="AE4" t="str">
            <v>FALTA</v>
          </cell>
          <cell r="AF4" t="str">
            <v>FALTA</v>
          </cell>
          <cell r="AG4" t="str">
            <v>NO APLICA</v>
          </cell>
          <cell r="AH4" t="str">
            <v>FALTA</v>
          </cell>
          <cell r="AI4" t="str">
            <v>NO APLICA</v>
          </cell>
          <cell r="AL4" t="str">
            <v xml:space="preserve">    Sin información</v>
          </cell>
          <cell r="AM4" t="str">
            <v xml:space="preserve">    Sin información</v>
          </cell>
          <cell r="AN4">
            <v>0</v>
          </cell>
          <cell r="AP4">
            <v>0</v>
          </cell>
          <cell r="AQ4">
            <v>0</v>
          </cell>
          <cell r="AR4" t="str">
            <v xml:space="preserve">    Sin información</v>
          </cell>
          <cell r="AS4" t="str">
            <v xml:space="preserve">    Sin información</v>
          </cell>
          <cell r="AT4">
            <v>0</v>
          </cell>
          <cell r="AU4" t="str">
            <v xml:space="preserve">    Sin información</v>
          </cell>
        </row>
        <row r="5">
          <cell r="A5" t="str">
            <v>MI.02.02</v>
          </cell>
          <cell r="B5" t="str">
            <v>Motores Cargadores L-1800 (MTU 4000)</v>
          </cell>
          <cell r="C5" t="str">
            <v>MINA</v>
          </cell>
          <cell r="D5" t="str">
            <v>Capex Operacional 2002</v>
          </cell>
          <cell r="E5" t="str">
            <v>Capex Operacional 2002</v>
          </cell>
          <cell r="F5" t="str">
            <v>OK</v>
          </cell>
          <cell r="G5">
            <v>36934</v>
          </cell>
          <cell r="H5">
            <v>36934</v>
          </cell>
          <cell r="I5" t="str">
            <v>MI0202</v>
          </cell>
          <cell r="O5">
            <v>92</v>
          </cell>
          <cell r="S5">
            <v>0</v>
          </cell>
          <cell r="T5">
            <v>92</v>
          </cell>
          <cell r="V5">
            <v>0</v>
          </cell>
          <cell r="W5" t="str">
            <v>MENORES</v>
          </cell>
          <cell r="Y5" t="str">
            <v>FALTA</v>
          </cell>
          <cell r="Z5" t="str">
            <v>PENDIENTE</v>
          </cell>
          <cell r="AA5" t="str">
            <v>PENDIENTE</v>
          </cell>
          <cell r="AB5" t="str">
            <v>FALTA</v>
          </cell>
          <cell r="AC5" t="str">
            <v>FALTA</v>
          </cell>
          <cell r="AD5" t="str">
            <v>FALTA</v>
          </cell>
          <cell r="AE5" t="str">
            <v>FALTA</v>
          </cell>
          <cell r="AF5" t="str">
            <v>FALTA</v>
          </cell>
          <cell r="AG5" t="str">
            <v>NO APLICA</v>
          </cell>
          <cell r="AH5" t="str">
            <v>FALTA</v>
          </cell>
          <cell r="AI5" t="str">
            <v>NO APLICA</v>
          </cell>
          <cell r="AL5" t="str">
            <v xml:space="preserve">    Sin información</v>
          </cell>
          <cell r="AM5" t="str">
            <v xml:space="preserve">    Sin información</v>
          </cell>
          <cell r="AN5">
            <v>0</v>
          </cell>
          <cell r="AP5">
            <v>0</v>
          </cell>
          <cell r="AQ5">
            <v>0</v>
          </cell>
          <cell r="AR5" t="str">
            <v xml:space="preserve">    Sin información</v>
          </cell>
          <cell r="AS5" t="str">
            <v xml:space="preserve">    Sin información</v>
          </cell>
          <cell r="AT5">
            <v>0</v>
          </cell>
          <cell r="AU5" t="str">
            <v xml:space="preserve">    Sin información</v>
          </cell>
        </row>
        <row r="6">
          <cell r="A6" t="str">
            <v>MI.03.02</v>
          </cell>
          <cell r="B6" t="str">
            <v>Apertura de Fase 3</v>
          </cell>
          <cell r="C6" t="str">
            <v>MINA</v>
          </cell>
          <cell r="D6" t="str">
            <v>Capex Operacional 2002</v>
          </cell>
          <cell r="E6" t="str">
            <v>Capex Operacional 2002</v>
          </cell>
          <cell r="F6" t="str">
            <v>OK</v>
          </cell>
          <cell r="G6">
            <v>36990</v>
          </cell>
          <cell r="H6">
            <v>36990</v>
          </cell>
          <cell r="I6" t="str">
            <v>MI0302</v>
          </cell>
          <cell r="J6" t="str">
            <v>Y001Y024</v>
          </cell>
          <cell r="K6" t="str">
            <v>Marcos Márquez</v>
          </cell>
          <cell r="L6" t="str">
            <v>Miguel Walker</v>
          </cell>
          <cell r="M6">
            <v>37257</v>
          </cell>
          <cell r="N6">
            <v>37330</v>
          </cell>
          <cell r="O6">
            <v>500</v>
          </cell>
          <cell r="U6">
            <v>450</v>
          </cell>
          <cell r="V6">
            <v>450</v>
          </cell>
          <cell r="W6" t="str">
            <v>MAYORES</v>
          </cell>
          <cell r="Y6" t="str">
            <v>FALTA</v>
          </cell>
          <cell r="Z6" t="str">
            <v>APROBADO</v>
          </cell>
          <cell r="AA6" t="str">
            <v>APROBADO</v>
          </cell>
          <cell r="AB6" t="str">
            <v>OK</v>
          </cell>
          <cell r="AC6" t="str">
            <v>OK</v>
          </cell>
          <cell r="AD6" t="str">
            <v>FALTA</v>
          </cell>
          <cell r="AE6" t="str">
            <v>FALTA</v>
          </cell>
          <cell r="AF6" t="str">
            <v>FALTA</v>
          </cell>
          <cell r="AG6" t="str">
            <v>NO APLICA</v>
          </cell>
          <cell r="AH6" t="str">
            <v>FALTA</v>
          </cell>
          <cell r="AI6" t="str">
            <v>NO APLICA</v>
          </cell>
          <cell r="AL6" t="str">
            <v xml:space="preserve">    Sin información</v>
          </cell>
          <cell r="AM6" t="str">
            <v xml:space="preserve">    Sin información</v>
          </cell>
          <cell r="AN6">
            <v>0</v>
          </cell>
          <cell r="AP6">
            <v>0</v>
          </cell>
          <cell r="AQ6">
            <v>240.67865</v>
          </cell>
          <cell r="AR6" t="str">
            <v xml:space="preserve">    Sin información</v>
          </cell>
          <cell r="AS6" t="str">
            <v xml:space="preserve">    Sin información</v>
          </cell>
          <cell r="AT6">
            <v>240.67865</v>
          </cell>
          <cell r="AU6">
            <v>0.53484144444444448</v>
          </cell>
          <cell r="BP6">
            <v>23.522290000000002</v>
          </cell>
          <cell r="BQ6">
            <v>217.15636000000001</v>
          </cell>
          <cell r="BR6">
            <v>0</v>
          </cell>
        </row>
        <row r="7">
          <cell r="A7" t="str">
            <v>MI.04.02</v>
          </cell>
          <cell r="B7" t="str">
            <v>Dewatering</v>
          </cell>
          <cell r="C7" t="str">
            <v>MINA</v>
          </cell>
          <cell r="D7" t="str">
            <v>Capex Operacional 2002</v>
          </cell>
          <cell r="E7" t="str">
            <v>Capex Capitalización 2002</v>
          </cell>
          <cell r="F7" t="str">
            <v>OK</v>
          </cell>
          <cell r="G7">
            <v>36977</v>
          </cell>
          <cell r="H7">
            <v>36977</v>
          </cell>
          <cell r="I7" t="str">
            <v>MI0401</v>
          </cell>
          <cell r="O7">
            <v>800</v>
          </cell>
          <cell r="S7">
            <v>0</v>
          </cell>
          <cell r="T7">
            <v>800</v>
          </cell>
          <cell r="V7">
            <v>0</v>
          </cell>
          <cell r="W7" t="str">
            <v>MENORES</v>
          </cell>
          <cell r="Y7" t="str">
            <v>FALTA</v>
          </cell>
          <cell r="Z7" t="str">
            <v>PENDIENTE</v>
          </cell>
          <cell r="AA7" t="str">
            <v>PENDIENTE</v>
          </cell>
          <cell r="AB7" t="str">
            <v>FALTA</v>
          </cell>
          <cell r="AC7" t="str">
            <v>FALTA</v>
          </cell>
          <cell r="AD7" t="str">
            <v>FALTA</v>
          </cell>
          <cell r="AE7" t="str">
            <v>FALTA</v>
          </cell>
          <cell r="AF7" t="str">
            <v>FALTA</v>
          </cell>
          <cell r="AG7" t="str">
            <v>NO APLICA</v>
          </cell>
          <cell r="AH7" t="str">
            <v>FALTA</v>
          </cell>
          <cell r="AI7" t="str">
            <v>NO APLICA</v>
          </cell>
          <cell r="AL7" t="str">
            <v xml:space="preserve">    Sin información</v>
          </cell>
          <cell r="AM7" t="str">
            <v xml:space="preserve">    Sin información</v>
          </cell>
          <cell r="AN7">
            <v>0</v>
          </cell>
          <cell r="AP7">
            <v>0</v>
          </cell>
          <cell r="AQ7">
            <v>0</v>
          </cell>
          <cell r="AR7" t="str">
            <v xml:space="preserve">    Sin información</v>
          </cell>
          <cell r="AS7" t="str">
            <v xml:space="preserve">    Sin información</v>
          </cell>
          <cell r="AT7">
            <v>0</v>
          </cell>
          <cell r="AU7" t="str">
            <v xml:space="preserve">    Sin información</v>
          </cell>
        </row>
        <row r="8">
          <cell r="A8" t="str">
            <v>MI.05.02</v>
          </cell>
          <cell r="B8" t="str">
            <v>Tolva adicional K-830</v>
          </cell>
          <cell r="C8" t="str">
            <v>MINA</v>
          </cell>
          <cell r="D8" t="str">
            <v>Capex Operacional 2002</v>
          </cell>
          <cell r="E8" t="str">
            <v>Capex Operacional 2002</v>
          </cell>
          <cell r="F8" t="str">
            <v>OK</v>
          </cell>
          <cell r="G8">
            <v>37004</v>
          </cell>
          <cell r="H8">
            <v>37004</v>
          </cell>
          <cell r="I8" t="str">
            <v>MI0701</v>
          </cell>
          <cell r="O8">
            <v>175</v>
          </cell>
          <cell r="S8">
            <v>0</v>
          </cell>
          <cell r="T8">
            <v>175</v>
          </cell>
          <cell r="V8">
            <v>0</v>
          </cell>
          <cell r="W8" t="str">
            <v>MENORES</v>
          </cell>
          <cell r="Y8" t="str">
            <v>FALTA</v>
          </cell>
          <cell r="Z8" t="str">
            <v>PENDIENTE</v>
          </cell>
          <cell r="AA8" t="str">
            <v>PENDIENTE</v>
          </cell>
          <cell r="AB8" t="str">
            <v>FALTA</v>
          </cell>
          <cell r="AC8" t="str">
            <v>FALTA</v>
          </cell>
          <cell r="AD8" t="str">
            <v>FALTA</v>
          </cell>
          <cell r="AE8" t="str">
            <v>FALTA</v>
          </cell>
          <cell r="AF8" t="str">
            <v>FALTA</v>
          </cell>
          <cell r="AG8" t="str">
            <v>NO APLICA</v>
          </cell>
          <cell r="AH8" t="str">
            <v>FALTA</v>
          </cell>
          <cell r="AI8" t="str">
            <v>NO APLICA</v>
          </cell>
          <cell r="AL8" t="str">
            <v xml:space="preserve">    Sin información</v>
          </cell>
          <cell r="AM8" t="str">
            <v xml:space="preserve">    Sin información</v>
          </cell>
          <cell r="AN8">
            <v>0</v>
          </cell>
          <cell r="AP8">
            <v>0</v>
          </cell>
          <cell r="AQ8">
            <v>0</v>
          </cell>
          <cell r="AR8" t="str">
            <v xml:space="preserve">    Sin información</v>
          </cell>
          <cell r="AS8" t="str">
            <v xml:space="preserve">    Sin información</v>
          </cell>
          <cell r="AT8">
            <v>0</v>
          </cell>
          <cell r="AU8" t="str">
            <v xml:space="preserve">    Sin información</v>
          </cell>
        </row>
        <row r="9">
          <cell r="A9" t="str">
            <v>MI.06.02</v>
          </cell>
          <cell r="B9" t="str">
            <v>Galpón mantención de Tolvas</v>
          </cell>
          <cell r="C9" t="str">
            <v>MINA</v>
          </cell>
          <cell r="D9" t="str">
            <v>Capex Operacional 2002</v>
          </cell>
          <cell r="E9" t="str">
            <v>Capex Operacional 2002</v>
          </cell>
          <cell r="F9" t="str">
            <v>OK</v>
          </cell>
          <cell r="G9">
            <v>36985</v>
          </cell>
          <cell r="H9">
            <v>36985</v>
          </cell>
          <cell r="I9" t="str">
            <v>MI0801</v>
          </cell>
          <cell r="O9">
            <v>840</v>
          </cell>
          <cell r="S9">
            <v>0</v>
          </cell>
          <cell r="T9">
            <v>840</v>
          </cell>
          <cell r="V9">
            <v>0</v>
          </cell>
          <cell r="W9" t="str">
            <v>MENORES</v>
          </cell>
          <cell r="Y9" t="str">
            <v>FALTA</v>
          </cell>
          <cell r="Z9" t="str">
            <v>PENDIENTE</v>
          </cell>
          <cell r="AA9" t="str">
            <v>PENDIENTE</v>
          </cell>
          <cell r="AB9" t="str">
            <v>FALTA</v>
          </cell>
          <cell r="AC9" t="str">
            <v>FALTA</v>
          </cell>
          <cell r="AD9" t="str">
            <v>FALTA</v>
          </cell>
          <cell r="AE9" t="str">
            <v>FALTA</v>
          </cell>
          <cell r="AF9" t="str">
            <v>FALTA</v>
          </cell>
          <cell r="AG9" t="str">
            <v>NO APLICA</v>
          </cell>
          <cell r="AH9" t="str">
            <v>FALTA</v>
          </cell>
          <cell r="AI9" t="str">
            <v>NO APLICA</v>
          </cell>
          <cell r="AL9" t="str">
            <v xml:space="preserve">    Sin información</v>
          </cell>
          <cell r="AM9" t="str">
            <v xml:space="preserve">    Sin información</v>
          </cell>
          <cell r="AN9">
            <v>0</v>
          </cell>
          <cell r="AP9">
            <v>0</v>
          </cell>
          <cell r="AQ9">
            <v>0</v>
          </cell>
          <cell r="AR9" t="str">
            <v xml:space="preserve">    Sin información</v>
          </cell>
          <cell r="AS9" t="str">
            <v xml:space="preserve">    Sin información</v>
          </cell>
          <cell r="AT9">
            <v>0</v>
          </cell>
          <cell r="AU9" t="str">
            <v xml:space="preserve">    Sin información</v>
          </cell>
        </row>
        <row r="10">
          <cell r="A10" t="str">
            <v>MI.07.02</v>
          </cell>
          <cell r="B10" t="str">
            <v>Integracón Dispach PH4100 XP B</v>
          </cell>
          <cell r="C10" t="str">
            <v>MINA</v>
          </cell>
          <cell r="D10" t="str">
            <v>Capex Operacional 2002</v>
          </cell>
          <cell r="E10" t="str">
            <v>Capex Operacional 2002</v>
          </cell>
          <cell r="F10" t="str">
            <v>OK</v>
          </cell>
          <cell r="G10">
            <v>37020</v>
          </cell>
          <cell r="H10">
            <v>37020</v>
          </cell>
          <cell r="I10" t="str">
            <v>MI0901</v>
          </cell>
          <cell r="O10">
            <v>698</v>
          </cell>
          <cell r="S10">
            <v>0</v>
          </cell>
          <cell r="T10">
            <v>450</v>
          </cell>
          <cell r="V10">
            <v>0</v>
          </cell>
          <cell r="W10" t="str">
            <v>MENORES</v>
          </cell>
          <cell r="Y10" t="str">
            <v>FALTA</v>
          </cell>
          <cell r="Z10" t="str">
            <v>PENDIENTE</v>
          </cell>
          <cell r="AA10" t="str">
            <v>PENDIENTE</v>
          </cell>
          <cell r="AB10" t="str">
            <v>FALTA</v>
          </cell>
          <cell r="AC10" t="str">
            <v>FALTA</v>
          </cell>
          <cell r="AD10" t="str">
            <v>FALTA</v>
          </cell>
          <cell r="AE10" t="str">
            <v>FALTA</v>
          </cell>
          <cell r="AF10" t="str">
            <v>FALTA</v>
          </cell>
          <cell r="AG10" t="str">
            <v>NO APLICA</v>
          </cell>
          <cell r="AH10" t="str">
            <v>FALTA</v>
          </cell>
          <cell r="AI10" t="str">
            <v>NO APLICA</v>
          </cell>
          <cell r="AJ10" t="b">
            <v>1</v>
          </cell>
          <cell r="AL10" t="str">
            <v xml:space="preserve">    Sin información</v>
          </cell>
          <cell r="AM10" t="str">
            <v xml:space="preserve">    Sin información</v>
          </cell>
          <cell r="AN10">
            <v>0</v>
          </cell>
          <cell r="AP10">
            <v>0</v>
          </cell>
          <cell r="AQ10">
            <v>0</v>
          </cell>
          <cell r="AR10" t="str">
            <v xml:space="preserve">    Sin información</v>
          </cell>
          <cell r="AS10" t="str">
            <v xml:space="preserve">    Sin información</v>
          </cell>
          <cell r="AT10">
            <v>0</v>
          </cell>
          <cell r="AU10" t="str">
            <v xml:space="preserve">    Sin información</v>
          </cell>
        </row>
        <row r="11">
          <cell r="A11" t="str">
            <v>MI.08.02</v>
          </cell>
          <cell r="B11" t="str">
            <v>Plataforma Recambio Neumáticos</v>
          </cell>
          <cell r="C11" t="str">
            <v>MINA</v>
          </cell>
          <cell r="D11" t="str">
            <v>Capex Operacional 2002</v>
          </cell>
          <cell r="E11" t="str">
            <v>Capex 2002</v>
          </cell>
          <cell r="F11" t="str">
            <v>OK</v>
          </cell>
          <cell r="I11" t="str">
            <v>MI0802</v>
          </cell>
          <cell r="M11" t="str">
            <v>------</v>
          </cell>
          <cell r="N11" t="str">
            <v>------</v>
          </cell>
          <cell r="O11">
            <v>450</v>
          </cell>
          <cell r="S11">
            <v>0</v>
          </cell>
          <cell r="T11">
            <v>0</v>
          </cell>
          <cell r="V11">
            <v>0</v>
          </cell>
          <cell r="W11" t="str">
            <v>MENORES</v>
          </cell>
          <cell r="Y11" t="str">
            <v>FALTA</v>
          </cell>
          <cell r="Z11" t="str">
            <v>PENDIENTE</v>
          </cell>
          <cell r="AA11" t="str">
            <v>PENDIENTE</v>
          </cell>
          <cell r="AB11" t="str">
            <v>FALTA</v>
          </cell>
          <cell r="AC11" t="str">
            <v>FALTA</v>
          </cell>
          <cell r="AD11" t="str">
            <v>FALTA</v>
          </cell>
          <cell r="AE11" t="str">
            <v>FALTA</v>
          </cell>
          <cell r="AF11" t="str">
            <v>FALTA</v>
          </cell>
          <cell r="AG11" t="str">
            <v>NO APLICA</v>
          </cell>
          <cell r="AH11" t="str">
            <v>FALTA</v>
          </cell>
          <cell r="AI11" t="str">
            <v>NO APLICA</v>
          </cell>
          <cell r="AL11" t="str">
            <v xml:space="preserve">    Sin información</v>
          </cell>
          <cell r="AM11" t="str">
            <v xml:space="preserve">    Sin información</v>
          </cell>
          <cell r="AP11">
            <v>0</v>
          </cell>
          <cell r="AQ11">
            <v>0</v>
          </cell>
          <cell r="AR11" t="str">
            <v xml:space="preserve">    Sin información</v>
          </cell>
          <cell r="AS11" t="str">
            <v xml:space="preserve">    Sin información</v>
          </cell>
          <cell r="AT11">
            <v>0</v>
          </cell>
          <cell r="AU11" t="str">
            <v xml:space="preserve">    Sin información</v>
          </cell>
        </row>
        <row r="12">
          <cell r="A12" t="str">
            <v>MI.09.02</v>
          </cell>
          <cell r="B12" t="str">
            <v>Habilitación Edificio Dispach</v>
          </cell>
          <cell r="C12" t="str">
            <v>MINA</v>
          </cell>
          <cell r="D12" t="str">
            <v>Capex Operacional 2002</v>
          </cell>
          <cell r="E12" t="str">
            <v>Capex 2002</v>
          </cell>
          <cell r="F12" t="str">
            <v>OK</v>
          </cell>
          <cell r="I12" t="str">
            <v>MI0902</v>
          </cell>
          <cell r="K12" t="str">
            <v>Marcos Márquez</v>
          </cell>
          <cell r="M12" t="str">
            <v>Dur: 4 meses</v>
          </cell>
          <cell r="N12" t="str">
            <v>------</v>
          </cell>
          <cell r="O12">
            <v>52.866999999999997</v>
          </cell>
          <cell r="S12">
            <v>0</v>
          </cell>
          <cell r="T12">
            <v>0</v>
          </cell>
          <cell r="U12">
            <v>52.866999999999997</v>
          </cell>
          <cell r="V12">
            <v>52.866999999999997</v>
          </cell>
          <cell r="W12" t="str">
            <v>MENORES</v>
          </cell>
          <cell r="Y12" t="str">
            <v>FALTA</v>
          </cell>
          <cell r="Z12" t="str">
            <v>APROBADO</v>
          </cell>
          <cell r="AA12" t="str">
            <v>PENDIENTE</v>
          </cell>
          <cell r="AB12" t="str">
            <v>FALTA</v>
          </cell>
          <cell r="AC12" t="str">
            <v>FALTA</v>
          </cell>
          <cell r="AD12" t="str">
            <v>FALTA</v>
          </cell>
          <cell r="AE12" t="str">
            <v>FALTA</v>
          </cell>
          <cell r="AF12" t="str">
            <v>FALTA</v>
          </cell>
          <cell r="AG12" t="str">
            <v>NO APLICA</v>
          </cell>
          <cell r="AH12" t="str">
            <v>FALTA</v>
          </cell>
          <cell r="AI12" t="str">
            <v>NO APLICA</v>
          </cell>
          <cell r="AL12" t="str">
            <v xml:space="preserve">    Sin información</v>
          </cell>
          <cell r="AM12" t="str">
            <v xml:space="preserve">    Sin información</v>
          </cell>
          <cell r="AP12">
            <v>0</v>
          </cell>
          <cell r="AQ12">
            <v>0</v>
          </cell>
          <cell r="AR12" t="str">
            <v xml:space="preserve">    Sin información</v>
          </cell>
          <cell r="AS12" t="str">
            <v xml:space="preserve">    Sin información</v>
          </cell>
          <cell r="AT12">
            <v>0</v>
          </cell>
          <cell r="AU12">
            <v>0</v>
          </cell>
        </row>
        <row r="13">
          <cell r="A13" t="str">
            <v>MI.10.02</v>
          </cell>
          <cell r="B13" t="str">
            <v>Cambio de Motores Cargadores le Tornou</v>
          </cell>
          <cell r="C13" t="str">
            <v>MINA</v>
          </cell>
          <cell r="D13" t="str">
            <v>Capex Operacional 2002</v>
          </cell>
          <cell r="E13" t="str">
            <v>Capex 2002</v>
          </cell>
          <cell r="F13" t="str">
            <v>OK</v>
          </cell>
          <cell r="I13" t="str">
            <v>MI1002</v>
          </cell>
          <cell r="J13" t="str">
            <v>Y001Y023</v>
          </cell>
          <cell r="M13" t="str">
            <v>------</v>
          </cell>
          <cell r="N13" t="str">
            <v>------</v>
          </cell>
          <cell r="O13">
            <v>612</v>
          </cell>
          <cell r="S13">
            <v>0</v>
          </cell>
          <cell r="T13">
            <v>0</v>
          </cell>
          <cell r="U13">
            <v>612</v>
          </cell>
          <cell r="V13">
            <v>612</v>
          </cell>
          <cell r="W13" t="str">
            <v>MAYORES</v>
          </cell>
          <cell r="Y13" t="str">
            <v>FALTA</v>
          </cell>
          <cell r="Z13" t="str">
            <v>APROBADO</v>
          </cell>
          <cell r="AA13" t="str">
            <v>APROBADO</v>
          </cell>
          <cell r="AB13" t="str">
            <v>FALTA</v>
          </cell>
          <cell r="AC13" t="str">
            <v>FALTA</v>
          </cell>
          <cell r="AD13" t="str">
            <v>FALTA</v>
          </cell>
          <cell r="AE13" t="str">
            <v>FALTA</v>
          </cell>
          <cell r="AF13" t="str">
            <v>FALTA</v>
          </cell>
          <cell r="AG13" t="str">
            <v>NO APLICA</v>
          </cell>
          <cell r="AH13" t="str">
            <v>FALTA</v>
          </cell>
          <cell r="AI13" t="str">
            <v>NO APLICA</v>
          </cell>
          <cell r="AL13" t="str">
            <v xml:space="preserve">    Sin información</v>
          </cell>
          <cell r="AM13" t="str">
            <v xml:space="preserve">    Sin información</v>
          </cell>
          <cell r="AP13">
            <v>0</v>
          </cell>
          <cell r="AQ13">
            <v>612</v>
          </cell>
          <cell r="AR13" t="str">
            <v xml:space="preserve">    Sin información</v>
          </cell>
          <cell r="AS13" t="str">
            <v xml:space="preserve">    Sin información</v>
          </cell>
          <cell r="AT13">
            <v>612</v>
          </cell>
          <cell r="AU13">
            <v>1</v>
          </cell>
          <cell r="BP13">
            <v>612</v>
          </cell>
          <cell r="BR13">
            <v>0</v>
          </cell>
        </row>
        <row r="14">
          <cell r="A14" t="str">
            <v>MI.11.02</v>
          </cell>
          <cell r="B14" t="str">
            <v>Sistema de Medición Aguas Limpias Hualtatas</v>
          </cell>
          <cell r="C14" t="str">
            <v>MINA</v>
          </cell>
          <cell r="D14" t="str">
            <v>Capex Operacional 2002</v>
          </cell>
          <cell r="E14" t="str">
            <v>Capex 2002</v>
          </cell>
          <cell r="F14" t="str">
            <v>OK</v>
          </cell>
          <cell r="I14" t="str">
            <v>MI1102</v>
          </cell>
          <cell r="K14" t="str">
            <v>Roberto Giglio</v>
          </cell>
          <cell r="L14" t="str">
            <v>Roberto Giglio</v>
          </cell>
          <cell r="M14">
            <v>37294</v>
          </cell>
          <cell r="N14">
            <v>37314</v>
          </cell>
          <cell r="O14">
            <v>85</v>
          </cell>
          <cell r="S14">
            <v>0</v>
          </cell>
          <cell r="T14">
            <v>0</v>
          </cell>
          <cell r="U14">
            <v>55</v>
          </cell>
          <cell r="V14">
            <v>55</v>
          </cell>
          <cell r="W14" t="str">
            <v>MENORES</v>
          </cell>
          <cell r="Y14" t="str">
            <v>FALTA</v>
          </cell>
          <cell r="Z14" t="str">
            <v>APROBADO</v>
          </cell>
          <cell r="AA14" t="str">
            <v>PENDIENTE</v>
          </cell>
          <cell r="AB14" t="str">
            <v>OK</v>
          </cell>
          <cell r="AC14" t="str">
            <v>OK</v>
          </cell>
          <cell r="AD14" t="str">
            <v>FALTA</v>
          </cell>
          <cell r="AE14" t="str">
            <v>FALTA</v>
          </cell>
          <cell r="AF14" t="str">
            <v>FALTA</v>
          </cell>
          <cell r="AG14" t="str">
            <v>NO APLICA</v>
          </cell>
          <cell r="AH14" t="str">
            <v>FALTA</v>
          </cell>
          <cell r="AI14" t="str">
            <v>NO APLICA</v>
          </cell>
          <cell r="AL14" t="str">
            <v xml:space="preserve">    Sin información</v>
          </cell>
          <cell r="AM14" t="str">
            <v xml:space="preserve">    Sin información</v>
          </cell>
          <cell r="AP14">
            <v>0</v>
          </cell>
          <cell r="AQ14">
            <v>0</v>
          </cell>
          <cell r="AR14" t="str">
            <v xml:space="preserve">    Sin información</v>
          </cell>
          <cell r="AS14" t="str">
            <v xml:space="preserve">    Sin información</v>
          </cell>
          <cell r="AT14">
            <v>0</v>
          </cell>
          <cell r="AU14">
            <v>0</v>
          </cell>
        </row>
        <row r="15">
          <cell r="A15" t="str">
            <v>MI.12.02</v>
          </cell>
          <cell r="B15" t="str">
            <v>Equipos Mantención Correa Mineral Grueso</v>
          </cell>
          <cell r="C15" t="str">
            <v>MINA</v>
          </cell>
          <cell r="D15" t="str">
            <v>Capex Operacional 2002</v>
          </cell>
          <cell r="E15" t="str">
            <v>Capex Capitalización 2002</v>
          </cell>
          <cell r="F15" t="str">
            <v>OK</v>
          </cell>
          <cell r="G15">
            <v>37158</v>
          </cell>
          <cell r="H15">
            <v>37158</v>
          </cell>
          <cell r="I15" t="str">
            <v>MI1202</v>
          </cell>
          <cell r="M15" t="str">
            <v>------</v>
          </cell>
          <cell r="N15" t="str">
            <v>------</v>
          </cell>
          <cell r="O15">
            <v>200</v>
          </cell>
          <cell r="S15">
            <v>0</v>
          </cell>
          <cell r="T15">
            <v>0</v>
          </cell>
          <cell r="V15">
            <v>0</v>
          </cell>
          <cell r="W15" t="str">
            <v>MENORES</v>
          </cell>
          <cell r="Y15" t="str">
            <v>FALTA</v>
          </cell>
          <cell r="Z15" t="str">
            <v>PENDIENTE</v>
          </cell>
          <cell r="AA15" t="str">
            <v>PENDIENTE</v>
          </cell>
          <cell r="AB15" t="str">
            <v>FALTA</v>
          </cell>
          <cell r="AC15" t="str">
            <v>FALTA</v>
          </cell>
          <cell r="AD15" t="str">
            <v>FALTA</v>
          </cell>
          <cell r="AE15" t="str">
            <v>FALTA</v>
          </cell>
          <cell r="AF15" t="str">
            <v>FALTA</v>
          </cell>
          <cell r="AG15" t="str">
            <v>NO APLICA</v>
          </cell>
          <cell r="AH15" t="str">
            <v>FALTA</v>
          </cell>
          <cell r="AI15" t="str">
            <v>NO APLICA</v>
          </cell>
          <cell r="AL15" t="str">
            <v xml:space="preserve">    Sin información</v>
          </cell>
          <cell r="AM15" t="str">
            <v xml:space="preserve">    Sin información</v>
          </cell>
          <cell r="AP15">
            <v>0</v>
          </cell>
          <cell r="AQ15">
            <v>0</v>
          </cell>
          <cell r="AR15" t="str">
            <v xml:space="preserve">    Sin información</v>
          </cell>
          <cell r="AS15" t="str">
            <v xml:space="preserve">    Sin información</v>
          </cell>
          <cell r="AT15">
            <v>0</v>
          </cell>
          <cell r="AU15" t="str">
            <v xml:space="preserve">    Sin información</v>
          </cell>
        </row>
        <row r="16">
          <cell r="A16" t="str">
            <v>MI.13.02</v>
          </cell>
          <cell r="B16" t="str">
            <v>Apertura de Fases</v>
          </cell>
          <cell r="C16" t="str">
            <v>SERVICIOS y UNIDADES DE APOYO</v>
          </cell>
          <cell r="D16" t="str">
            <v>Capex Operacional 2002</v>
          </cell>
          <cell r="E16" t="str">
            <v>Capex Capitalización 2002</v>
          </cell>
          <cell r="F16" t="str">
            <v>OK</v>
          </cell>
          <cell r="I16" t="str">
            <v>MI1302</v>
          </cell>
          <cell r="K16" t="str">
            <v>Marcos Márquez</v>
          </cell>
          <cell r="L16" t="str">
            <v>Marcelo Villafranca</v>
          </cell>
          <cell r="M16" t="str">
            <v>Dur:</v>
          </cell>
          <cell r="N16" t="str">
            <v>5 MESE</v>
          </cell>
          <cell r="O16">
            <v>440.55900000000003</v>
          </cell>
          <cell r="S16">
            <v>0</v>
          </cell>
          <cell r="U16">
            <v>440.55900000000003</v>
          </cell>
          <cell r="V16">
            <v>440.55900000000003</v>
          </cell>
          <cell r="W16" t="str">
            <v>MAYORES</v>
          </cell>
          <cell r="Y16" t="str">
            <v>FALTA</v>
          </cell>
          <cell r="Z16" t="str">
            <v>APROBADO</v>
          </cell>
          <cell r="AA16" t="str">
            <v>PENDIENTE</v>
          </cell>
          <cell r="AB16" t="str">
            <v>FALTA</v>
          </cell>
          <cell r="AC16" t="str">
            <v>FALTA</v>
          </cell>
          <cell r="AD16" t="str">
            <v>FALTA</v>
          </cell>
          <cell r="AE16" t="str">
            <v>FALTA</v>
          </cell>
          <cell r="AF16" t="str">
            <v>FALTA</v>
          </cell>
          <cell r="AG16" t="str">
            <v>NO APLICA</v>
          </cell>
          <cell r="AH16" t="str">
            <v>FALTA</v>
          </cell>
          <cell r="AI16" t="str">
            <v>NO APLICA</v>
          </cell>
          <cell r="AL16">
            <v>1</v>
          </cell>
          <cell r="AM16" t="str">
            <v xml:space="preserve">    Sin información</v>
          </cell>
          <cell r="AN16">
            <v>0</v>
          </cell>
          <cell r="AP16">
            <v>0</v>
          </cell>
          <cell r="AQ16">
            <v>0</v>
          </cell>
          <cell r="AR16" t="str">
            <v xml:space="preserve">    Sin información</v>
          </cell>
          <cell r="AS16" t="str">
            <v xml:space="preserve">    Sin información</v>
          </cell>
          <cell r="AT16">
            <v>0</v>
          </cell>
          <cell r="AU16">
            <v>0</v>
          </cell>
          <cell r="BR16">
            <v>0</v>
          </cell>
          <cell r="CP16">
            <v>1</v>
          </cell>
          <cell r="CQ16">
            <v>49</v>
          </cell>
          <cell r="CR16">
            <v>67</v>
          </cell>
          <cell r="CS16">
            <v>83</v>
          </cell>
          <cell r="CT16">
            <v>100</v>
          </cell>
          <cell r="DO16">
            <v>0.01</v>
          </cell>
          <cell r="DP16">
            <v>0.25</v>
          </cell>
          <cell r="EN16">
            <v>1.4E-2</v>
          </cell>
          <cell r="EO16">
            <v>0.51</v>
          </cell>
          <cell r="EP16">
            <v>0.67</v>
          </cell>
          <cell r="EQ16">
            <v>0.84</v>
          </cell>
          <cell r="ER16">
            <v>1</v>
          </cell>
        </row>
        <row r="17">
          <cell r="A17" t="str">
            <v>MI.04.01</v>
          </cell>
          <cell r="B17" t="str">
            <v>Red de Incendios Correas Túnel Mineral</v>
          </cell>
          <cell r="C17" t="str">
            <v>MINA</v>
          </cell>
          <cell r="D17" t="str">
            <v>Capex Operacional 2001</v>
          </cell>
          <cell r="E17" t="str">
            <v>Capex Capitalización 2001</v>
          </cell>
          <cell r="F17" t="str">
            <v>OK</v>
          </cell>
          <cell r="G17">
            <v>36977</v>
          </cell>
          <cell r="H17">
            <v>36977</v>
          </cell>
          <cell r="I17" t="str">
            <v>MI0401</v>
          </cell>
          <cell r="J17" t="str">
            <v>S00ID010 (Gerencia Servicios)</v>
          </cell>
          <cell r="K17" t="str">
            <v>Carlos Pinto E.</v>
          </cell>
          <cell r="L17" t="str">
            <v>Walter Cazenave G.</v>
          </cell>
          <cell r="M17" t="str">
            <v>Dur:</v>
          </cell>
          <cell r="N17" t="str">
            <v>11 MESES</v>
          </cell>
          <cell r="O17">
            <v>800</v>
          </cell>
          <cell r="P17">
            <v>800</v>
          </cell>
          <cell r="Q17">
            <v>800</v>
          </cell>
          <cell r="R17">
            <v>665</v>
          </cell>
          <cell r="S17">
            <v>665</v>
          </cell>
          <cell r="T17">
            <v>800</v>
          </cell>
          <cell r="U17">
            <v>800</v>
          </cell>
          <cell r="V17">
            <v>800</v>
          </cell>
          <cell r="W17" t="str">
            <v>MAYORES</v>
          </cell>
          <cell r="Y17" t="str">
            <v>OK</v>
          </cell>
          <cell r="Z17" t="str">
            <v>APROBADO</v>
          </cell>
          <cell r="AA17" t="str">
            <v>APROBADO</v>
          </cell>
          <cell r="AB17" t="str">
            <v>FALTA</v>
          </cell>
          <cell r="AC17" t="str">
            <v>FALTA</v>
          </cell>
          <cell r="AD17" t="str">
            <v>OK</v>
          </cell>
          <cell r="AE17" t="str">
            <v>OK</v>
          </cell>
          <cell r="AF17" t="str">
            <v>FALTA</v>
          </cell>
          <cell r="AG17" t="str">
            <v>FALTA</v>
          </cell>
          <cell r="AH17" t="str">
            <v>FALTA</v>
          </cell>
          <cell r="AI17" t="str">
            <v>OK</v>
          </cell>
          <cell r="AL17" t="str">
            <v xml:space="preserve">    Sin información</v>
          </cell>
          <cell r="AM17" t="str">
            <v xml:space="preserve">    Sin información</v>
          </cell>
          <cell r="AN17">
            <v>0</v>
          </cell>
          <cell r="AP17">
            <v>0</v>
          </cell>
          <cell r="AQ17">
            <v>511.94344999999998</v>
          </cell>
          <cell r="AR17" t="str">
            <v xml:space="preserve">    Sin información</v>
          </cell>
          <cell r="AS17" t="str">
            <v xml:space="preserve">    Sin información</v>
          </cell>
          <cell r="AT17">
            <v>514.58398999999997</v>
          </cell>
          <cell r="AU17">
            <v>0.64322998749999993</v>
          </cell>
          <cell r="BE17">
            <v>27.33135</v>
          </cell>
          <cell r="BH17">
            <v>1.2952399999999999</v>
          </cell>
          <cell r="BI17">
            <v>61.616619999999998</v>
          </cell>
          <cell r="BK17">
            <v>35.035499999999999</v>
          </cell>
          <cell r="BL17">
            <v>22.687799999999999</v>
          </cell>
          <cell r="BM17">
            <v>6.2611299999999996</v>
          </cell>
          <cell r="BO17">
            <v>6.3092600000000001</v>
          </cell>
          <cell r="BP17">
            <v>267.64285999999998</v>
          </cell>
          <cell r="BQ17">
            <v>58.61844</v>
          </cell>
          <cell r="BR17">
            <v>25.145250000000001</v>
          </cell>
          <cell r="BV17">
            <v>2.6405400000000001</v>
          </cell>
          <cell r="DL17">
            <v>7.3999999999999996E-2</v>
          </cell>
          <cell r="DM17">
            <v>0.1827</v>
          </cell>
          <cell r="DN17">
            <v>0.28499999999999998</v>
          </cell>
          <cell r="DO17">
            <v>0.54600000000000004</v>
          </cell>
          <cell r="EK17">
            <v>3.9699999999999999E-2</v>
          </cell>
          <cell r="EL17">
            <v>0.18740000000000001</v>
          </cell>
          <cell r="EM17">
            <v>0.37490000000000001</v>
          </cell>
          <cell r="EN17">
            <v>0.75360000000000005</v>
          </cell>
          <cell r="EO17">
            <v>0.99029999999999996</v>
          </cell>
          <cell r="EP17">
            <v>0.995</v>
          </cell>
        </row>
        <row r="18">
          <cell r="A18" t="str">
            <v>CO.01.02</v>
          </cell>
          <cell r="B18" t="str">
            <v>Refuerzo pilares Puente Piuquenes</v>
          </cell>
          <cell r="C18" t="str">
            <v>PLANTA</v>
          </cell>
          <cell r="D18" t="str">
            <v>Capex Operacional 2002</v>
          </cell>
          <cell r="E18" t="str">
            <v>Capex Operacional 2002</v>
          </cell>
          <cell r="F18" t="str">
            <v>OK</v>
          </cell>
          <cell r="G18">
            <v>36962</v>
          </cell>
          <cell r="H18">
            <v>36962</v>
          </cell>
          <cell r="I18" t="str">
            <v>CO0102</v>
          </cell>
          <cell r="J18" t="str">
            <v>C00IC045</v>
          </cell>
          <cell r="K18" t="str">
            <v>Martin Schneuer Y.</v>
          </cell>
          <cell r="L18" t="str">
            <v>Luis Godoy M.</v>
          </cell>
          <cell r="M18">
            <v>37264</v>
          </cell>
          <cell r="N18">
            <v>37376</v>
          </cell>
          <cell r="O18">
            <v>13.8</v>
          </cell>
          <cell r="P18">
            <v>13.8</v>
          </cell>
          <cell r="Q18">
            <v>13.8</v>
          </cell>
          <cell r="R18">
            <v>13.8</v>
          </cell>
          <cell r="S18">
            <v>13.8</v>
          </cell>
          <cell r="T18">
            <v>13.8</v>
          </cell>
          <cell r="U18">
            <v>13.8</v>
          </cell>
          <cell r="V18">
            <v>13.8</v>
          </cell>
          <cell r="W18" t="str">
            <v>MENORES</v>
          </cell>
          <cell r="Y18" t="str">
            <v>FALTA</v>
          </cell>
          <cell r="Z18" t="str">
            <v>APROBADO</v>
          </cell>
          <cell r="AA18" t="str">
            <v>APROBADO</v>
          </cell>
          <cell r="AB18" t="str">
            <v>OK</v>
          </cell>
          <cell r="AC18" t="str">
            <v>OK</v>
          </cell>
          <cell r="AD18" t="str">
            <v>FALTA</v>
          </cell>
          <cell r="AE18" t="str">
            <v>FALTA</v>
          </cell>
          <cell r="AF18" t="str">
            <v>FALTA</v>
          </cell>
          <cell r="AG18" t="str">
            <v>NO APLICA</v>
          </cell>
          <cell r="AH18" t="str">
            <v>FALTA</v>
          </cell>
          <cell r="AI18" t="str">
            <v>NO APLICA</v>
          </cell>
          <cell r="AL18" t="str">
            <v xml:space="preserve">    Sin información</v>
          </cell>
          <cell r="AM18" t="str">
            <v xml:space="preserve">    Sin información</v>
          </cell>
          <cell r="AP18">
            <v>0</v>
          </cell>
          <cell r="AQ18">
            <v>2.1336900000000001</v>
          </cell>
          <cell r="AR18" t="str">
            <v xml:space="preserve">    Sin información</v>
          </cell>
          <cell r="AS18" t="str">
            <v xml:space="preserve">    Sin información</v>
          </cell>
          <cell r="AT18">
            <v>2.1336900000000001</v>
          </cell>
          <cell r="AU18">
            <v>0.15461521739130435</v>
          </cell>
          <cell r="BQ18">
            <v>0.45482</v>
          </cell>
          <cell r="BR18">
            <v>1.6788700000000001</v>
          </cell>
          <cell r="CR18">
            <v>100</v>
          </cell>
        </row>
        <row r="19">
          <cell r="A19" t="str">
            <v>CO.02.02</v>
          </cell>
          <cell r="B19" t="str">
            <v>Aumento de velocidad molinos bolas</v>
          </cell>
          <cell r="C19" t="str">
            <v>PLANTA</v>
          </cell>
          <cell r="D19" t="str">
            <v>Capex Operacional 2002</v>
          </cell>
          <cell r="E19" t="str">
            <v>Capex Operacional 2002</v>
          </cell>
          <cell r="F19" t="str">
            <v>OK</v>
          </cell>
          <cell r="G19">
            <v>36962</v>
          </cell>
          <cell r="H19">
            <v>36962</v>
          </cell>
          <cell r="I19" t="str">
            <v>CO0202</v>
          </cell>
          <cell r="O19">
            <v>1200</v>
          </cell>
          <cell r="V19">
            <v>0</v>
          </cell>
          <cell r="W19" t="str">
            <v>MENORES</v>
          </cell>
          <cell r="Y19" t="str">
            <v>FALTA</v>
          </cell>
          <cell r="Z19" t="str">
            <v>PENDIENTE</v>
          </cell>
          <cell r="AA19" t="str">
            <v>PENDIENTE</v>
          </cell>
          <cell r="AB19" t="str">
            <v>FALTA</v>
          </cell>
          <cell r="AC19" t="str">
            <v>FALTA</v>
          </cell>
          <cell r="AD19" t="str">
            <v>FALTA</v>
          </cell>
          <cell r="AE19" t="str">
            <v>FALTA</v>
          </cell>
          <cell r="AF19" t="str">
            <v>FALTA</v>
          </cell>
          <cell r="AG19" t="str">
            <v>NO APLICA</v>
          </cell>
          <cell r="AH19" t="str">
            <v>FALTA</v>
          </cell>
          <cell r="AI19" t="str">
            <v>NO APLICA</v>
          </cell>
          <cell r="AL19" t="str">
            <v xml:space="preserve">    Sin información</v>
          </cell>
          <cell r="AM19" t="str">
            <v xml:space="preserve">    Sin información</v>
          </cell>
          <cell r="AP19">
            <v>0</v>
          </cell>
          <cell r="AQ19">
            <v>0</v>
          </cell>
          <cell r="AR19" t="str">
            <v xml:space="preserve">    Sin información</v>
          </cell>
          <cell r="AS19" t="str">
            <v xml:space="preserve">    Sin información</v>
          </cell>
          <cell r="AT19">
            <v>0</v>
          </cell>
          <cell r="AU19" t="str">
            <v xml:space="preserve">    Sin información</v>
          </cell>
        </row>
        <row r="20">
          <cell r="A20" t="str">
            <v>CO.03.02</v>
          </cell>
          <cell r="B20" t="str">
            <v>Puente grúa Molino Bolas</v>
          </cell>
          <cell r="C20" t="str">
            <v>PLANTA</v>
          </cell>
          <cell r="D20" t="str">
            <v>Capex Operacional 2002</v>
          </cell>
          <cell r="E20" t="str">
            <v>Capex Capitalización 2002</v>
          </cell>
          <cell r="F20" t="str">
            <v>OK</v>
          </cell>
          <cell r="G20">
            <v>37013</v>
          </cell>
          <cell r="H20">
            <v>37013</v>
          </cell>
          <cell r="I20" t="str">
            <v>CO0302</v>
          </cell>
          <cell r="O20">
            <v>350</v>
          </cell>
          <cell r="S20">
            <v>0</v>
          </cell>
          <cell r="V20">
            <v>0</v>
          </cell>
          <cell r="W20" t="str">
            <v>MENORES</v>
          </cell>
          <cell r="Y20" t="str">
            <v>FALTA</v>
          </cell>
          <cell r="Z20" t="str">
            <v>PENDIENTE</v>
          </cell>
          <cell r="AA20" t="str">
            <v>PENDIENTE</v>
          </cell>
          <cell r="AB20" t="str">
            <v>FALTA</v>
          </cell>
          <cell r="AC20" t="str">
            <v>FALTA</v>
          </cell>
          <cell r="AD20" t="str">
            <v>FALTA</v>
          </cell>
          <cell r="AE20" t="str">
            <v>FALTA</v>
          </cell>
          <cell r="AF20" t="str">
            <v>FALTA</v>
          </cell>
          <cell r="AG20" t="str">
            <v>NO APLICA</v>
          </cell>
          <cell r="AH20" t="str">
            <v>FALTA</v>
          </cell>
          <cell r="AI20" t="str">
            <v>NO APLICA</v>
          </cell>
          <cell r="AL20" t="str">
            <v xml:space="preserve">    Sin información</v>
          </cell>
          <cell r="AM20" t="str">
            <v xml:space="preserve">    Sin información</v>
          </cell>
          <cell r="AP20">
            <v>0</v>
          </cell>
          <cell r="AQ20">
            <v>0</v>
          </cell>
          <cell r="AR20" t="str">
            <v xml:space="preserve">    Sin información</v>
          </cell>
          <cell r="AS20" t="str">
            <v xml:space="preserve">    Sin información</v>
          </cell>
          <cell r="AT20">
            <v>0</v>
          </cell>
          <cell r="AU20" t="str">
            <v xml:space="preserve">    Sin información</v>
          </cell>
        </row>
        <row r="21">
          <cell r="A21" t="str">
            <v>CO.04.02</v>
          </cell>
          <cell r="B21" t="str">
            <v>Adquisición Motor Hidráulico Inch dirve Molino Bolas</v>
          </cell>
          <cell r="C21" t="str">
            <v>PLANTA</v>
          </cell>
          <cell r="D21" t="str">
            <v>Capex Operacional 2002</v>
          </cell>
          <cell r="E21" t="str">
            <v>Capex Capitalización 2002</v>
          </cell>
          <cell r="F21" t="str">
            <v>OK</v>
          </cell>
          <cell r="G21">
            <v>37013</v>
          </cell>
          <cell r="H21">
            <v>37013</v>
          </cell>
          <cell r="I21" t="str">
            <v>CO0402</v>
          </cell>
          <cell r="O21">
            <v>350</v>
          </cell>
          <cell r="S21">
            <v>0</v>
          </cell>
          <cell r="V21">
            <v>0</v>
          </cell>
          <cell r="W21" t="str">
            <v>MENORES</v>
          </cell>
          <cell r="Y21" t="str">
            <v>FALTA</v>
          </cell>
          <cell r="Z21" t="str">
            <v>PENDIENTE</v>
          </cell>
          <cell r="AA21" t="str">
            <v>PENDIENTE</v>
          </cell>
          <cell r="AB21" t="str">
            <v>FALTA</v>
          </cell>
          <cell r="AC21" t="str">
            <v>FALTA</v>
          </cell>
          <cell r="AD21" t="str">
            <v>FALTA</v>
          </cell>
          <cell r="AE21" t="str">
            <v>FALTA</v>
          </cell>
          <cell r="AF21" t="str">
            <v>FALTA</v>
          </cell>
          <cell r="AG21" t="str">
            <v>NO APLICA</v>
          </cell>
          <cell r="AH21" t="str">
            <v>FALTA</v>
          </cell>
          <cell r="AI21" t="str">
            <v>NO APLICA</v>
          </cell>
          <cell r="AL21" t="str">
            <v xml:space="preserve">    Sin información</v>
          </cell>
          <cell r="AM21" t="str">
            <v xml:space="preserve">    Sin información</v>
          </cell>
          <cell r="AP21">
            <v>0</v>
          </cell>
          <cell r="AQ21">
            <v>0</v>
          </cell>
          <cell r="AR21" t="str">
            <v xml:space="preserve">    Sin información</v>
          </cell>
          <cell r="AS21" t="str">
            <v xml:space="preserve">    Sin información</v>
          </cell>
          <cell r="AT21">
            <v>0</v>
          </cell>
          <cell r="AU21" t="str">
            <v xml:space="preserve">    Sin información</v>
          </cell>
        </row>
        <row r="22">
          <cell r="A22" t="str">
            <v>CO.05.02</v>
          </cell>
          <cell r="B22" t="str">
            <v>Ampliación Sistema de Bombeo TK-52</v>
          </cell>
          <cell r="C22" t="str">
            <v>PLANTA</v>
          </cell>
          <cell r="D22" t="str">
            <v>Capex Operacional 2002</v>
          </cell>
          <cell r="E22" t="str">
            <v>Capex Capitalización 2002</v>
          </cell>
          <cell r="F22" t="str">
            <v>OK</v>
          </cell>
          <cell r="G22">
            <v>37013</v>
          </cell>
          <cell r="H22">
            <v>37013</v>
          </cell>
          <cell r="I22" t="str">
            <v>CO0502</v>
          </cell>
          <cell r="O22">
            <v>180</v>
          </cell>
          <cell r="S22">
            <v>0</v>
          </cell>
          <cell r="V22">
            <v>0</v>
          </cell>
          <cell r="W22" t="str">
            <v>MENORES</v>
          </cell>
          <cell r="Y22" t="str">
            <v>FALTA</v>
          </cell>
          <cell r="Z22" t="str">
            <v>PENDIENTE</v>
          </cell>
          <cell r="AA22" t="str">
            <v>PENDIENTE</v>
          </cell>
          <cell r="AB22" t="str">
            <v>FALTA</v>
          </cell>
          <cell r="AC22" t="str">
            <v>FALTA</v>
          </cell>
          <cell r="AD22" t="str">
            <v>FALTA</v>
          </cell>
          <cell r="AE22" t="str">
            <v>FALTA</v>
          </cell>
          <cell r="AF22" t="str">
            <v>FALTA</v>
          </cell>
          <cell r="AG22" t="str">
            <v>NO APLICA</v>
          </cell>
          <cell r="AH22" t="str">
            <v>FALTA</v>
          </cell>
          <cell r="AI22" t="str">
            <v>NO APLICA</v>
          </cell>
          <cell r="AL22" t="str">
            <v xml:space="preserve">    Sin información</v>
          </cell>
          <cell r="AM22" t="str">
            <v xml:space="preserve">    Sin información</v>
          </cell>
          <cell r="AP22">
            <v>0</v>
          </cell>
          <cell r="AQ22">
            <v>0</v>
          </cell>
          <cell r="AR22" t="str">
            <v xml:space="preserve">    Sin información</v>
          </cell>
          <cell r="AS22" t="str">
            <v xml:space="preserve">    Sin información</v>
          </cell>
          <cell r="AT22">
            <v>0</v>
          </cell>
          <cell r="AU22" t="str">
            <v xml:space="preserve">    Sin información</v>
          </cell>
        </row>
        <row r="23">
          <cell r="A23" t="str">
            <v>CO.06.02</v>
          </cell>
          <cell r="B23" t="str">
            <v>Normalizar Funcionamiento y Capacidad de UPS's 
asociadas a Sistema Control</v>
          </cell>
          <cell r="C23" t="str">
            <v>PLANTA</v>
          </cell>
          <cell r="D23" t="str">
            <v>Capex Operacional 2002</v>
          </cell>
          <cell r="E23" t="str">
            <v>Capex Capitalización 2002</v>
          </cell>
          <cell r="F23" t="str">
            <v>OK</v>
          </cell>
          <cell r="G23">
            <v>37013</v>
          </cell>
          <cell r="H23">
            <v>37013</v>
          </cell>
          <cell r="I23" t="str">
            <v>CO0602</v>
          </cell>
          <cell r="O23">
            <v>120</v>
          </cell>
          <cell r="S23">
            <v>0</v>
          </cell>
          <cell r="V23">
            <v>0</v>
          </cell>
          <cell r="W23" t="str">
            <v>MENORES</v>
          </cell>
          <cell r="Y23" t="str">
            <v>FALTA</v>
          </cell>
          <cell r="Z23" t="str">
            <v>PENDIENTE</v>
          </cell>
          <cell r="AA23" t="str">
            <v>PENDIENTE</v>
          </cell>
          <cell r="AB23" t="str">
            <v>FALTA</v>
          </cell>
          <cell r="AC23" t="str">
            <v>FALTA</v>
          </cell>
          <cell r="AD23" t="str">
            <v>FALTA</v>
          </cell>
          <cell r="AE23" t="str">
            <v>FALTA</v>
          </cell>
          <cell r="AF23" t="str">
            <v>FALTA</v>
          </cell>
          <cell r="AG23" t="str">
            <v>NO APLICA</v>
          </cell>
          <cell r="AH23" t="str">
            <v>FALTA</v>
          </cell>
          <cell r="AI23" t="str">
            <v>NO APLICA</v>
          </cell>
          <cell r="AL23" t="str">
            <v xml:space="preserve">    Sin información</v>
          </cell>
          <cell r="AM23" t="str">
            <v xml:space="preserve">    Sin información</v>
          </cell>
          <cell r="AP23">
            <v>0</v>
          </cell>
          <cell r="AQ23">
            <v>0</v>
          </cell>
          <cell r="AR23" t="str">
            <v xml:space="preserve">    Sin información</v>
          </cell>
          <cell r="AS23" t="str">
            <v xml:space="preserve">    Sin información</v>
          </cell>
          <cell r="AT23">
            <v>0</v>
          </cell>
          <cell r="AU23" t="str">
            <v xml:space="preserve">    Sin información</v>
          </cell>
        </row>
        <row r="24">
          <cell r="A24" t="str">
            <v>CO.07.02</v>
          </cell>
          <cell r="B24" t="str">
            <v>Mejoramiento espesadores TK-10 y TK-13 y Sistema de Floculante</v>
          </cell>
          <cell r="C24" t="str">
            <v>PLANTA</v>
          </cell>
          <cell r="D24" t="str">
            <v>Capex Operacional 2002</v>
          </cell>
          <cell r="E24" t="str">
            <v>Capex Capitalización 2002</v>
          </cell>
          <cell r="F24" t="str">
            <v>OK</v>
          </cell>
          <cell r="G24">
            <v>37013</v>
          </cell>
          <cell r="H24">
            <v>37013</v>
          </cell>
          <cell r="I24" t="str">
            <v>CO0702</v>
          </cell>
          <cell r="O24">
            <v>100</v>
          </cell>
          <cell r="S24">
            <v>0</v>
          </cell>
          <cell r="V24">
            <v>0</v>
          </cell>
          <cell r="W24" t="str">
            <v>MENORES</v>
          </cell>
          <cell r="Y24" t="str">
            <v>FALTA</v>
          </cell>
          <cell r="Z24" t="str">
            <v>PENDIENTE</v>
          </cell>
          <cell r="AA24" t="str">
            <v>PENDIENTE</v>
          </cell>
          <cell r="AB24" t="str">
            <v>FALTA</v>
          </cell>
          <cell r="AC24" t="str">
            <v>FALTA</v>
          </cell>
          <cell r="AD24" t="str">
            <v>FALTA</v>
          </cell>
          <cell r="AE24" t="str">
            <v>FALTA</v>
          </cell>
          <cell r="AF24" t="str">
            <v>FALTA</v>
          </cell>
          <cell r="AG24" t="str">
            <v>NO APLICA</v>
          </cell>
          <cell r="AH24" t="str">
            <v>FALTA</v>
          </cell>
          <cell r="AI24" t="str">
            <v>NO APLICA</v>
          </cell>
          <cell r="AL24" t="str">
            <v xml:space="preserve">    Sin información</v>
          </cell>
          <cell r="AM24" t="str">
            <v xml:space="preserve">    Sin información</v>
          </cell>
          <cell r="AP24">
            <v>0</v>
          </cell>
          <cell r="AQ24">
            <v>0</v>
          </cell>
          <cell r="AR24" t="str">
            <v xml:space="preserve">    Sin información</v>
          </cell>
          <cell r="AS24" t="str">
            <v xml:space="preserve">    Sin información</v>
          </cell>
          <cell r="AT24">
            <v>0</v>
          </cell>
          <cell r="AU24" t="str">
            <v xml:space="preserve">    Sin información</v>
          </cell>
        </row>
        <row r="25">
          <cell r="A25" t="str">
            <v>CO.08.02</v>
          </cell>
          <cell r="B25" t="str">
            <v>Encapsulamiento Celdas Flotación Moly</v>
          </cell>
          <cell r="C25" t="str">
            <v>PLANTA</v>
          </cell>
          <cell r="D25" t="str">
            <v>Capex Operacional 2002</v>
          </cell>
          <cell r="E25" t="str">
            <v>Capex Capitalización 2002</v>
          </cell>
          <cell r="F25" t="str">
            <v>OK</v>
          </cell>
          <cell r="G25">
            <v>37013</v>
          </cell>
          <cell r="H25">
            <v>37013</v>
          </cell>
          <cell r="I25" t="str">
            <v>CO0802</v>
          </cell>
          <cell r="O25" t="str">
            <v>------</v>
          </cell>
          <cell r="S25">
            <v>0</v>
          </cell>
          <cell r="V25">
            <v>0</v>
          </cell>
          <cell r="W25" t="str">
            <v>MENORES</v>
          </cell>
          <cell r="Y25" t="str">
            <v>FALTA</v>
          </cell>
          <cell r="Z25" t="str">
            <v>PENDIENTE</v>
          </cell>
          <cell r="AA25" t="str">
            <v>PENDIENTE</v>
          </cell>
          <cell r="AB25" t="str">
            <v>FALTA</v>
          </cell>
          <cell r="AC25" t="str">
            <v>FALTA</v>
          </cell>
          <cell r="AD25" t="str">
            <v>FALTA</v>
          </cell>
          <cell r="AE25" t="str">
            <v>FALTA</v>
          </cell>
          <cell r="AF25" t="str">
            <v>FALTA</v>
          </cell>
          <cell r="AG25" t="str">
            <v>NO APLICA</v>
          </cell>
          <cell r="AH25" t="str">
            <v>FALTA</v>
          </cell>
          <cell r="AI25" t="str">
            <v>NO APLICA</v>
          </cell>
          <cell r="AL25" t="str">
            <v xml:space="preserve">    Sin información</v>
          </cell>
          <cell r="AM25" t="str">
            <v xml:space="preserve">    Sin información</v>
          </cell>
          <cell r="AP25">
            <v>0</v>
          </cell>
          <cell r="AQ25">
            <v>0</v>
          </cell>
          <cell r="AR25" t="str">
            <v xml:space="preserve">    Sin información</v>
          </cell>
          <cell r="AS25" t="str">
            <v xml:space="preserve">    Sin información</v>
          </cell>
          <cell r="AT25">
            <v>0</v>
          </cell>
          <cell r="AU25" t="str">
            <v xml:space="preserve">    Sin información</v>
          </cell>
        </row>
        <row r="26">
          <cell r="A26" t="str">
            <v>CO.09.02</v>
          </cell>
          <cell r="B26" t="str">
            <v>Ampliación PCU y Gabinetes</v>
          </cell>
          <cell r="C26" t="str">
            <v>PLANTA</v>
          </cell>
          <cell r="D26" t="str">
            <v>Capex Operacional 2002</v>
          </cell>
          <cell r="E26" t="str">
            <v>Capex Capitalización 2002</v>
          </cell>
          <cell r="F26" t="str">
            <v>OK</v>
          </cell>
          <cell r="G26">
            <v>37013</v>
          </cell>
          <cell r="H26">
            <v>37013</v>
          </cell>
          <cell r="I26" t="str">
            <v>CO0902</v>
          </cell>
          <cell r="O26">
            <v>225</v>
          </cell>
          <cell r="S26">
            <v>0</v>
          </cell>
          <cell r="V26">
            <v>0</v>
          </cell>
          <cell r="W26" t="str">
            <v>MENORES</v>
          </cell>
          <cell r="Y26" t="str">
            <v>FALTA</v>
          </cell>
          <cell r="Z26" t="str">
            <v>PENDIENTE</v>
          </cell>
          <cell r="AA26" t="str">
            <v>PENDIENTE</v>
          </cell>
          <cell r="AB26" t="str">
            <v>FALTA</v>
          </cell>
          <cell r="AC26" t="str">
            <v>FALTA</v>
          </cell>
          <cell r="AD26" t="str">
            <v>FALTA</v>
          </cell>
          <cell r="AE26" t="str">
            <v>FALTA</v>
          </cell>
          <cell r="AF26" t="str">
            <v>FALTA</v>
          </cell>
          <cell r="AG26" t="str">
            <v>NO APLICA</v>
          </cell>
          <cell r="AH26" t="str">
            <v>FALTA</v>
          </cell>
          <cell r="AI26" t="str">
            <v>NO APLICA</v>
          </cell>
          <cell r="AL26" t="str">
            <v xml:space="preserve">    Sin información</v>
          </cell>
          <cell r="AM26" t="str">
            <v xml:space="preserve">    Sin información</v>
          </cell>
          <cell r="AP26">
            <v>0</v>
          </cell>
          <cell r="AQ26">
            <v>0</v>
          </cell>
          <cell r="AR26" t="str">
            <v xml:space="preserve">    Sin información</v>
          </cell>
          <cell r="AS26" t="str">
            <v xml:space="preserve">    Sin información</v>
          </cell>
          <cell r="AT26">
            <v>0</v>
          </cell>
          <cell r="AU26" t="str">
            <v xml:space="preserve">    Sin información</v>
          </cell>
        </row>
        <row r="27">
          <cell r="A27" t="str">
            <v>CO.10.02</v>
          </cell>
          <cell r="B27" t="str">
            <v>Adquisición 2a Bomba molinos remolienda 9 y 10</v>
          </cell>
          <cell r="C27" t="str">
            <v>PLANTA</v>
          </cell>
          <cell r="D27" t="str">
            <v>Capex Operacional 2002</v>
          </cell>
          <cell r="E27" t="str">
            <v>Capex Capitalización 2002</v>
          </cell>
          <cell r="F27" t="str">
            <v>OK</v>
          </cell>
          <cell r="G27">
            <v>37013</v>
          </cell>
          <cell r="H27">
            <v>37013</v>
          </cell>
          <cell r="I27" t="str">
            <v>CO1002</v>
          </cell>
          <cell r="O27">
            <v>80</v>
          </cell>
          <cell r="S27">
            <v>0</v>
          </cell>
          <cell r="V27">
            <v>0</v>
          </cell>
          <cell r="W27" t="str">
            <v>MENORES</v>
          </cell>
          <cell r="Y27" t="str">
            <v>FALTA</v>
          </cell>
          <cell r="Z27" t="str">
            <v>PENDIENTE</v>
          </cell>
          <cell r="AA27" t="str">
            <v>PENDIENTE</v>
          </cell>
          <cell r="AB27" t="str">
            <v>FALTA</v>
          </cell>
          <cell r="AC27" t="str">
            <v>FALTA</v>
          </cell>
          <cell r="AD27" t="str">
            <v>FALTA</v>
          </cell>
          <cell r="AE27" t="str">
            <v>FALTA</v>
          </cell>
          <cell r="AF27" t="str">
            <v>FALTA</v>
          </cell>
          <cell r="AG27" t="str">
            <v>NO APLICA</v>
          </cell>
          <cell r="AH27" t="str">
            <v>FALTA</v>
          </cell>
          <cell r="AI27" t="str">
            <v>NO APLICA</v>
          </cell>
          <cell r="AL27" t="str">
            <v xml:space="preserve">    Sin información</v>
          </cell>
          <cell r="AM27" t="str">
            <v xml:space="preserve">    Sin información</v>
          </cell>
          <cell r="AP27">
            <v>0</v>
          </cell>
          <cell r="AQ27">
            <v>0</v>
          </cell>
          <cell r="AR27" t="str">
            <v xml:space="preserve">    Sin información</v>
          </cell>
          <cell r="AS27" t="str">
            <v xml:space="preserve">    Sin información</v>
          </cell>
          <cell r="AT27">
            <v>0</v>
          </cell>
          <cell r="AU27" t="str">
            <v xml:space="preserve">    Sin información</v>
          </cell>
        </row>
        <row r="28">
          <cell r="A28" t="str">
            <v>CO.11.02</v>
          </cell>
          <cell r="B28" t="str">
            <v>Manifold independizar bombas concentrado (PP52 y 53)</v>
          </cell>
          <cell r="C28" t="str">
            <v>PLANTA</v>
          </cell>
          <cell r="D28" t="str">
            <v>Capex Operacional 2002</v>
          </cell>
          <cell r="E28" t="str">
            <v>Capex Capitalización 2002</v>
          </cell>
          <cell r="F28" t="str">
            <v>OK</v>
          </cell>
          <cell r="G28">
            <v>37013</v>
          </cell>
          <cell r="H28">
            <v>37013</v>
          </cell>
          <cell r="I28" t="str">
            <v>CO1102</v>
          </cell>
          <cell r="O28">
            <v>60</v>
          </cell>
          <cell r="S28">
            <v>0</v>
          </cell>
          <cell r="V28">
            <v>0</v>
          </cell>
          <cell r="W28" t="str">
            <v>MENORES</v>
          </cell>
          <cell r="Y28" t="str">
            <v>FALTA</v>
          </cell>
          <cell r="Z28" t="str">
            <v>PENDIENTE</v>
          </cell>
          <cell r="AA28" t="str">
            <v>PENDIENTE</v>
          </cell>
          <cell r="AB28" t="str">
            <v>FALTA</v>
          </cell>
          <cell r="AC28" t="str">
            <v>FALTA</v>
          </cell>
          <cell r="AD28" t="str">
            <v>FALTA</v>
          </cell>
          <cell r="AE28" t="str">
            <v>FALTA</v>
          </cell>
          <cell r="AF28" t="str">
            <v>FALTA</v>
          </cell>
          <cell r="AG28" t="str">
            <v>NO APLICA</v>
          </cell>
          <cell r="AH28" t="str">
            <v>FALTA</v>
          </cell>
          <cell r="AI28" t="str">
            <v>NO APLICA</v>
          </cell>
          <cell r="AL28" t="str">
            <v xml:space="preserve">    Sin información</v>
          </cell>
          <cell r="AM28" t="str">
            <v xml:space="preserve">    Sin información</v>
          </cell>
          <cell r="AP28">
            <v>0</v>
          </cell>
          <cell r="AQ28">
            <v>0</v>
          </cell>
          <cell r="AR28" t="str">
            <v xml:space="preserve">    Sin información</v>
          </cell>
          <cell r="AS28" t="str">
            <v xml:space="preserve">    Sin información</v>
          </cell>
          <cell r="AT28">
            <v>0</v>
          </cell>
          <cell r="AU28" t="str">
            <v xml:space="preserve">    Sin información</v>
          </cell>
        </row>
        <row r="29">
          <cell r="A29" t="str">
            <v>CO.12.02</v>
          </cell>
          <cell r="B29" t="str">
            <v>Adquisición 1 reductor de respaldo correa alimentación Sag</v>
          </cell>
          <cell r="C29" t="str">
            <v>PLANTA</v>
          </cell>
          <cell r="D29" t="str">
            <v>Capex Operacional 2002</v>
          </cell>
          <cell r="E29" t="str">
            <v>Capex Capitalización 2002</v>
          </cell>
          <cell r="F29" t="str">
            <v>OK</v>
          </cell>
          <cell r="G29">
            <v>37013</v>
          </cell>
          <cell r="H29">
            <v>37013</v>
          </cell>
          <cell r="I29" t="str">
            <v>CO1202</v>
          </cell>
          <cell r="O29">
            <v>60</v>
          </cell>
          <cell r="S29">
            <v>0</v>
          </cell>
          <cell r="V29">
            <v>0</v>
          </cell>
          <cell r="W29" t="str">
            <v>MENORES</v>
          </cell>
          <cell r="Y29" t="str">
            <v>FALTA</v>
          </cell>
          <cell r="Z29" t="str">
            <v>PENDIENTE</v>
          </cell>
          <cell r="AA29" t="str">
            <v>PENDIENTE</v>
          </cell>
          <cell r="AB29" t="str">
            <v>FALTA</v>
          </cell>
          <cell r="AC29" t="str">
            <v>FALTA</v>
          </cell>
          <cell r="AD29" t="str">
            <v>FALTA</v>
          </cell>
          <cell r="AE29" t="str">
            <v>FALTA</v>
          </cell>
          <cell r="AF29" t="str">
            <v>FALTA</v>
          </cell>
          <cell r="AG29" t="str">
            <v>NO APLICA</v>
          </cell>
          <cell r="AH29" t="str">
            <v>FALTA</v>
          </cell>
          <cell r="AI29" t="str">
            <v>NO APLICA</v>
          </cell>
          <cell r="AL29" t="str">
            <v xml:space="preserve">    Sin información</v>
          </cell>
          <cell r="AM29" t="str">
            <v xml:space="preserve">    Sin información</v>
          </cell>
          <cell r="AP29">
            <v>0</v>
          </cell>
          <cell r="AQ29">
            <v>0</v>
          </cell>
          <cell r="AR29" t="str">
            <v xml:space="preserve">    Sin información</v>
          </cell>
          <cell r="AS29" t="str">
            <v xml:space="preserve">    Sin información</v>
          </cell>
          <cell r="AT29">
            <v>0</v>
          </cell>
          <cell r="AU29" t="str">
            <v xml:space="preserve">    Sin información</v>
          </cell>
        </row>
        <row r="30">
          <cell r="A30" t="str">
            <v>CO.13.02</v>
          </cell>
          <cell r="B30" t="str">
            <v>Densímetro backup concentrado</v>
          </cell>
          <cell r="C30" t="str">
            <v>PLANTA</v>
          </cell>
          <cell r="D30" t="str">
            <v>Capex Operacional 2002</v>
          </cell>
          <cell r="E30" t="str">
            <v>Capex Capitalización 2002</v>
          </cell>
          <cell r="F30" t="str">
            <v>OK</v>
          </cell>
          <cell r="G30">
            <v>37013</v>
          </cell>
          <cell r="H30">
            <v>37013</v>
          </cell>
          <cell r="I30" t="str">
            <v>CO1302</v>
          </cell>
          <cell r="O30">
            <v>20</v>
          </cell>
          <cell r="S30">
            <v>0</v>
          </cell>
          <cell r="V30">
            <v>0</v>
          </cell>
          <cell r="W30" t="str">
            <v>MENORES</v>
          </cell>
          <cell r="Y30" t="str">
            <v>FALTA</v>
          </cell>
          <cell r="Z30" t="str">
            <v>PENDIENTE</v>
          </cell>
          <cell r="AA30" t="str">
            <v>PENDIENTE</v>
          </cell>
          <cell r="AB30" t="str">
            <v>FALTA</v>
          </cell>
          <cell r="AC30" t="str">
            <v>FALTA</v>
          </cell>
          <cell r="AD30" t="str">
            <v>FALTA</v>
          </cell>
          <cell r="AE30" t="str">
            <v>FALTA</v>
          </cell>
          <cell r="AF30" t="str">
            <v>FALTA</v>
          </cell>
          <cell r="AG30" t="str">
            <v>NO APLICA</v>
          </cell>
          <cell r="AH30" t="str">
            <v>FALTA</v>
          </cell>
          <cell r="AI30" t="str">
            <v>NO APLICA</v>
          </cell>
          <cell r="AL30" t="str">
            <v xml:space="preserve">    Sin información</v>
          </cell>
          <cell r="AM30" t="str">
            <v xml:space="preserve">    Sin información</v>
          </cell>
          <cell r="AP30">
            <v>0</v>
          </cell>
          <cell r="AQ30">
            <v>0</v>
          </cell>
          <cell r="AR30" t="str">
            <v xml:space="preserve">    Sin información</v>
          </cell>
          <cell r="AS30" t="str">
            <v xml:space="preserve">    Sin información</v>
          </cell>
          <cell r="AT30">
            <v>0</v>
          </cell>
          <cell r="AU30" t="str">
            <v xml:space="preserve">    Sin información</v>
          </cell>
        </row>
        <row r="31">
          <cell r="A31" t="str">
            <v>CO.14.02</v>
          </cell>
          <cell r="B31" t="str">
            <v>Unificación Sala de Control Planta Moly</v>
          </cell>
          <cell r="C31" t="str">
            <v>PLANTA</v>
          </cell>
          <cell r="D31" t="str">
            <v>Capex Operacional 2002</v>
          </cell>
          <cell r="E31" t="str">
            <v>Capex Capitalización 2002</v>
          </cell>
          <cell r="F31" t="str">
            <v>OK</v>
          </cell>
          <cell r="G31">
            <v>37013</v>
          </cell>
          <cell r="H31">
            <v>37013</v>
          </cell>
          <cell r="I31" t="str">
            <v>CO1402</v>
          </cell>
          <cell r="O31">
            <v>80</v>
          </cell>
          <cell r="S31">
            <v>0</v>
          </cell>
          <cell r="V31">
            <v>0</v>
          </cell>
          <cell r="W31" t="str">
            <v>MENORES</v>
          </cell>
          <cell r="Y31" t="str">
            <v>FALTA</v>
          </cell>
          <cell r="Z31" t="str">
            <v>PENDIENTE</v>
          </cell>
          <cell r="AA31" t="str">
            <v>PENDIENTE</v>
          </cell>
          <cell r="AB31" t="str">
            <v>FALTA</v>
          </cell>
          <cell r="AC31" t="str">
            <v>FALTA</v>
          </cell>
          <cell r="AD31" t="str">
            <v>FALTA</v>
          </cell>
          <cell r="AE31" t="str">
            <v>FALTA</v>
          </cell>
          <cell r="AF31" t="str">
            <v>FALTA</v>
          </cell>
          <cell r="AG31" t="str">
            <v>NO APLICA</v>
          </cell>
          <cell r="AH31" t="str">
            <v>FALTA</v>
          </cell>
          <cell r="AI31" t="str">
            <v>NO APLICA</v>
          </cell>
          <cell r="AL31" t="str">
            <v xml:space="preserve">    Sin información</v>
          </cell>
          <cell r="AM31" t="str">
            <v xml:space="preserve">    Sin información</v>
          </cell>
          <cell r="AP31">
            <v>0</v>
          </cell>
          <cell r="AQ31">
            <v>0</v>
          </cell>
          <cell r="AR31" t="str">
            <v xml:space="preserve">    Sin información</v>
          </cell>
          <cell r="AS31" t="str">
            <v xml:space="preserve">    Sin información</v>
          </cell>
          <cell r="AT31">
            <v>0</v>
          </cell>
          <cell r="AU31" t="str">
            <v xml:space="preserve">    Sin información</v>
          </cell>
        </row>
        <row r="32">
          <cell r="A32" t="str">
            <v>CO.15.02</v>
          </cell>
          <cell r="B32" t="str">
            <v>Aseguramiento 114 ktpd (motores/ciclones)</v>
          </cell>
          <cell r="C32" t="str">
            <v>PLANTA</v>
          </cell>
          <cell r="D32" t="str">
            <v>Capex Operacional 2002</v>
          </cell>
          <cell r="E32" t="str">
            <v>Capex Capitalización 2002</v>
          </cell>
          <cell r="F32" t="str">
            <v>OK</v>
          </cell>
          <cell r="G32">
            <v>37013</v>
          </cell>
          <cell r="H32">
            <v>37013</v>
          </cell>
          <cell r="I32" t="str">
            <v>CO1502</v>
          </cell>
          <cell r="O32">
            <v>3300</v>
          </cell>
          <cell r="S32">
            <v>0</v>
          </cell>
          <cell r="V32">
            <v>0</v>
          </cell>
          <cell r="W32" t="str">
            <v>MENORES</v>
          </cell>
          <cell r="Y32" t="str">
            <v>FALTA</v>
          </cell>
          <cell r="Z32" t="str">
            <v>PENDIENTE</v>
          </cell>
          <cell r="AA32" t="str">
            <v>PENDIENTE</v>
          </cell>
          <cell r="AB32" t="str">
            <v>FALTA</v>
          </cell>
          <cell r="AC32" t="str">
            <v>FALTA</v>
          </cell>
          <cell r="AD32" t="str">
            <v>FALTA</v>
          </cell>
          <cell r="AE32" t="str">
            <v>FALTA</v>
          </cell>
          <cell r="AF32" t="str">
            <v>FALTA</v>
          </cell>
          <cell r="AG32" t="str">
            <v>NO APLICA</v>
          </cell>
          <cell r="AH32" t="str">
            <v>FALTA</v>
          </cell>
          <cell r="AI32" t="str">
            <v>NO APLICA</v>
          </cell>
          <cell r="AL32" t="str">
            <v xml:space="preserve">    Sin información</v>
          </cell>
          <cell r="AM32" t="str">
            <v xml:space="preserve">    Sin información</v>
          </cell>
          <cell r="AP32">
            <v>0</v>
          </cell>
          <cell r="AQ32">
            <v>0</v>
          </cell>
          <cell r="AR32" t="str">
            <v xml:space="preserve">    Sin información</v>
          </cell>
          <cell r="AS32" t="str">
            <v xml:space="preserve">    Sin información</v>
          </cell>
          <cell r="AT32">
            <v>0</v>
          </cell>
          <cell r="AU32" t="str">
            <v xml:space="preserve">    Sin información</v>
          </cell>
        </row>
        <row r="33">
          <cell r="A33" t="str">
            <v>CO.16.02</v>
          </cell>
          <cell r="B33" t="str">
            <v>Ampliación PCU y Unificación Sala de control</v>
          </cell>
          <cell r="C33" t="str">
            <v>PLANTA</v>
          </cell>
          <cell r="D33" t="str">
            <v>Capex Operacional 2002</v>
          </cell>
          <cell r="E33" t="str">
            <v>Capex Capitalización 2002</v>
          </cell>
          <cell r="F33" t="str">
            <v>OK</v>
          </cell>
          <cell r="I33" t="str">
            <v>CO1602</v>
          </cell>
          <cell r="O33">
            <v>305</v>
          </cell>
          <cell r="V33">
            <v>0</v>
          </cell>
          <cell r="W33" t="str">
            <v>MENORES</v>
          </cell>
          <cell r="Y33" t="str">
            <v>FALTA</v>
          </cell>
          <cell r="Z33" t="str">
            <v>PENDIENTE</v>
          </cell>
          <cell r="AA33" t="str">
            <v>PENDIENTE</v>
          </cell>
          <cell r="AB33" t="str">
            <v>FALTA</v>
          </cell>
          <cell r="AC33" t="str">
            <v>FALTA</v>
          </cell>
          <cell r="AD33" t="str">
            <v>FALTA</v>
          </cell>
          <cell r="AE33" t="str">
            <v>FALTA</v>
          </cell>
          <cell r="AF33" t="str">
            <v>FALTA</v>
          </cell>
          <cell r="AG33" t="str">
            <v>NO APLICA</v>
          </cell>
          <cell r="AH33" t="str">
            <v>FALTA</v>
          </cell>
          <cell r="AI33" t="str">
            <v>NO APLICA</v>
          </cell>
          <cell r="AL33" t="str">
            <v xml:space="preserve">    Sin información</v>
          </cell>
          <cell r="AM33" t="str">
            <v xml:space="preserve">    Sin información</v>
          </cell>
          <cell r="AP33">
            <v>0</v>
          </cell>
          <cell r="AQ33">
            <v>0</v>
          </cell>
          <cell r="AR33" t="str">
            <v xml:space="preserve">    Sin información</v>
          </cell>
          <cell r="AS33" t="str">
            <v xml:space="preserve">    Sin información</v>
          </cell>
          <cell r="AT33">
            <v>0</v>
          </cell>
          <cell r="AU33" t="str">
            <v xml:space="preserve">    Sin información</v>
          </cell>
        </row>
        <row r="34">
          <cell r="G34">
            <v>36966</v>
          </cell>
          <cell r="H34">
            <v>36966</v>
          </cell>
          <cell r="I34">
            <v>0</v>
          </cell>
          <cell r="M34" t="str">
            <v>------</v>
          </cell>
          <cell r="N34" t="str">
            <v>------</v>
          </cell>
          <cell r="V34">
            <v>0</v>
          </cell>
          <cell r="W34" t="str">
            <v>MENORES</v>
          </cell>
          <cell r="Y34" t="str">
            <v>FALTA</v>
          </cell>
          <cell r="Z34" t="str">
            <v>PENDIENTE</v>
          </cell>
          <cell r="AA34" t="str">
            <v>PENDIENTE</v>
          </cell>
          <cell r="AB34" t="str">
            <v>FALTA</v>
          </cell>
          <cell r="AC34" t="str">
            <v>FALTA</v>
          </cell>
          <cell r="AD34" t="str">
            <v>FALTA</v>
          </cell>
          <cell r="AE34" t="str">
            <v>FALTA</v>
          </cell>
          <cell r="AF34" t="str">
            <v>FALTA</v>
          </cell>
          <cell r="AG34" t="str">
            <v>NO APLICA</v>
          </cell>
          <cell r="AH34" t="str">
            <v>FALTA</v>
          </cell>
          <cell r="AI34" t="str">
            <v>NO APLICA</v>
          </cell>
          <cell r="AL34" t="str">
            <v xml:space="preserve">    Sin información</v>
          </cell>
          <cell r="AM34" t="str">
            <v xml:space="preserve">    Sin información</v>
          </cell>
          <cell r="AN34">
            <v>0</v>
          </cell>
          <cell r="AP34">
            <v>0</v>
          </cell>
          <cell r="AQ34">
            <v>0</v>
          </cell>
          <cell r="AR34" t="str">
            <v xml:space="preserve">    Sin información</v>
          </cell>
          <cell r="AS34" t="str">
            <v xml:space="preserve">    Sin información</v>
          </cell>
          <cell r="AT34">
            <v>0</v>
          </cell>
          <cell r="AU34" t="str">
            <v xml:space="preserve">    Sin información</v>
          </cell>
        </row>
        <row r="35">
          <cell r="A35" t="str">
            <v>TR.01.02</v>
          </cell>
          <cell r="B35" t="str">
            <v>Control de Efluentes</v>
          </cell>
          <cell r="C35" t="str">
            <v>PLANTA</v>
          </cell>
          <cell r="D35" t="str">
            <v>Capex Operacional 2002</v>
          </cell>
          <cell r="E35" t="str">
            <v>Capex Capitalización 2002</v>
          </cell>
          <cell r="F35" t="str">
            <v>OK</v>
          </cell>
          <cell r="G35">
            <v>36886</v>
          </cell>
          <cell r="H35">
            <v>36886</v>
          </cell>
          <cell r="I35" t="str">
            <v>TR0102</v>
          </cell>
          <cell r="O35">
            <v>400</v>
          </cell>
          <cell r="S35">
            <v>0</v>
          </cell>
          <cell r="V35">
            <v>0</v>
          </cell>
          <cell r="W35" t="str">
            <v>MENORES</v>
          </cell>
          <cell r="Y35" t="str">
            <v>FALTA</v>
          </cell>
          <cell r="Z35" t="str">
            <v>PENDIENTE</v>
          </cell>
          <cell r="AA35" t="str">
            <v>PENDIENTE</v>
          </cell>
          <cell r="AB35" t="str">
            <v>FALTA</v>
          </cell>
          <cell r="AC35" t="str">
            <v>FALTA</v>
          </cell>
          <cell r="AD35" t="str">
            <v>FALTA</v>
          </cell>
          <cell r="AE35" t="str">
            <v>FALTA</v>
          </cell>
          <cell r="AF35" t="str">
            <v>FALTA</v>
          </cell>
          <cell r="AG35" t="str">
            <v>NO APLICA</v>
          </cell>
          <cell r="AH35" t="str">
            <v>FALTA</v>
          </cell>
          <cell r="AI35" t="str">
            <v>NO APLICA</v>
          </cell>
          <cell r="AL35" t="str">
            <v xml:space="preserve">    Sin información</v>
          </cell>
          <cell r="AM35" t="str">
            <v xml:space="preserve">    Sin información</v>
          </cell>
          <cell r="AN35">
            <v>0</v>
          </cell>
          <cell r="AP35">
            <v>0</v>
          </cell>
          <cell r="AQ35">
            <v>0</v>
          </cell>
          <cell r="AR35" t="str">
            <v xml:space="preserve">    Sin información</v>
          </cell>
          <cell r="AS35" t="str">
            <v xml:space="preserve">    Sin información</v>
          </cell>
          <cell r="AT35">
            <v>0</v>
          </cell>
          <cell r="AU35" t="str">
            <v xml:space="preserve">    Sin información</v>
          </cell>
        </row>
        <row r="36">
          <cell r="A36" t="str">
            <v>TR.02.02</v>
          </cell>
          <cell r="B36" t="str">
            <v>Obras de saneamiento área presa</v>
          </cell>
          <cell r="C36" t="str">
            <v>PLANTA</v>
          </cell>
          <cell r="D36" t="str">
            <v>Capex Operacional 2002</v>
          </cell>
          <cell r="E36" t="str">
            <v>Capex Operacional 2002</v>
          </cell>
          <cell r="F36" t="str">
            <v>OK</v>
          </cell>
          <cell r="G36">
            <v>36936</v>
          </cell>
          <cell r="H36">
            <v>36936</v>
          </cell>
          <cell r="I36" t="str">
            <v>TR0202</v>
          </cell>
          <cell r="O36">
            <v>100</v>
          </cell>
          <cell r="S36">
            <v>0</v>
          </cell>
          <cell r="V36">
            <v>0</v>
          </cell>
          <cell r="W36" t="str">
            <v>MENORES</v>
          </cell>
          <cell r="Y36" t="str">
            <v>FALTA</v>
          </cell>
          <cell r="Z36" t="str">
            <v>PENDIENTE</v>
          </cell>
          <cell r="AA36" t="str">
            <v>PENDIENTE</v>
          </cell>
          <cell r="AB36" t="str">
            <v>FALTA</v>
          </cell>
          <cell r="AC36" t="str">
            <v>FALTA</v>
          </cell>
          <cell r="AD36" t="str">
            <v>FALTA</v>
          </cell>
          <cell r="AE36" t="str">
            <v>FALTA</v>
          </cell>
          <cell r="AF36" t="str">
            <v>FALTA</v>
          </cell>
          <cell r="AG36" t="str">
            <v>NO APLICA</v>
          </cell>
          <cell r="AH36" t="str">
            <v>FALTA</v>
          </cell>
          <cell r="AI36" t="str">
            <v>NO APLICA</v>
          </cell>
          <cell r="AL36" t="str">
            <v xml:space="preserve">    Sin información</v>
          </cell>
          <cell r="AM36" t="str">
            <v xml:space="preserve">    Sin información</v>
          </cell>
          <cell r="AN36">
            <v>0</v>
          </cell>
          <cell r="AP36">
            <v>0</v>
          </cell>
          <cell r="AQ36">
            <v>0</v>
          </cell>
          <cell r="AR36" t="str">
            <v xml:space="preserve">    Sin información</v>
          </cell>
          <cell r="AS36" t="str">
            <v xml:space="preserve">    Sin información</v>
          </cell>
          <cell r="AT36">
            <v>0</v>
          </cell>
          <cell r="AU36" t="str">
            <v xml:space="preserve">    Sin información</v>
          </cell>
        </row>
        <row r="37">
          <cell r="A37" t="str">
            <v>TR.03.02</v>
          </cell>
          <cell r="B37" t="str">
            <v>Instrumentación canales aletón, arriendo, tira larga y otros</v>
          </cell>
          <cell r="C37" t="str">
            <v>PLANTA</v>
          </cell>
          <cell r="D37" t="str">
            <v>Capex Operacional 2002</v>
          </cell>
          <cell r="E37" t="str">
            <v>Capex Capitalización 2002</v>
          </cell>
          <cell r="F37" t="str">
            <v>OK</v>
          </cell>
          <cell r="G37">
            <v>36886</v>
          </cell>
          <cell r="H37">
            <v>36886</v>
          </cell>
          <cell r="I37" t="str">
            <v>TR0302</v>
          </cell>
          <cell r="O37">
            <v>60</v>
          </cell>
          <cell r="S37">
            <v>0</v>
          </cell>
          <cell r="V37">
            <v>0</v>
          </cell>
          <cell r="W37" t="str">
            <v>MENORES</v>
          </cell>
          <cell r="Y37" t="str">
            <v>FALTA</v>
          </cell>
          <cell r="Z37" t="str">
            <v>PENDIENTE</v>
          </cell>
          <cell r="AA37" t="str">
            <v>PENDIENTE</v>
          </cell>
          <cell r="AB37" t="str">
            <v>FALTA</v>
          </cell>
          <cell r="AC37" t="str">
            <v>FALTA</v>
          </cell>
          <cell r="AD37" t="str">
            <v>FALTA</v>
          </cell>
          <cell r="AE37" t="str">
            <v>FALTA</v>
          </cell>
          <cell r="AF37" t="str">
            <v>FALTA</v>
          </cell>
          <cell r="AG37" t="str">
            <v>NO APLICA</v>
          </cell>
          <cell r="AH37" t="str">
            <v>FALTA</v>
          </cell>
          <cell r="AI37" t="str">
            <v>NO APLICA</v>
          </cell>
          <cell r="AL37" t="str">
            <v xml:space="preserve">    Sin información</v>
          </cell>
          <cell r="AM37" t="str">
            <v xml:space="preserve">    Sin información</v>
          </cell>
          <cell r="AN37">
            <v>0</v>
          </cell>
          <cell r="AP37">
            <v>0</v>
          </cell>
          <cell r="AQ37">
            <v>0</v>
          </cell>
          <cell r="AR37" t="str">
            <v xml:space="preserve">    Sin información</v>
          </cell>
          <cell r="AS37" t="str">
            <v xml:space="preserve">    Sin información</v>
          </cell>
          <cell r="AT37">
            <v>0</v>
          </cell>
          <cell r="AU37" t="str">
            <v xml:space="preserve">    Sin información</v>
          </cell>
        </row>
        <row r="38">
          <cell r="A38" t="str">
            <v>TR.04.02</v>
          </cell>
          <cell r="B38" t="str">
            <v>Control, automatización pozos Choapa (SCR 8)</v>
          </cell>
          <cell r="C38" t="str">
            <v>PLANTA</v>
          </cell>
          <cell r="D38" t="str">
            <v>Capex Operacional 2002</v>
          </cell>
          <cell r="E38" t="str">
            <v>Capex Operacional 2002</v>
          </cell>
          <cell r="F38" t="str">
            <v>OK</v>
          </cell>
          <cell r="G38">
            <v>36936</v>
          </cell>
          <cell r="H38">
            <v>36936</v>
          </cell>
          <cell r="I38" t="str">
            <v>TR0402</v>
          </cell>
          <cell r="O38">
            <v>35</v>
          </cell>
          <cell r="S38">
            <v>0</v>
          </cell>
          <cell r="V38">
            <v>0</v>
          </cell>
          <cell r="W38" t="str">
            <v>MENORES</v>
          </cell>
          <cell r="Y38" t="str">
            <v>FALTA</v>
          </cell>
          <cell r="Z38" t="str">
            <v>PENDIENTE</v>
          </cell>
          <cell r="AA38" t="str">
            <v>PENDIENTE</v>
          </cell>
          <cell r="AB38" t="str">
            <v>FALTA</v>
          </cell>
          <cell r="AC38" t="str">
            <v>FALTA</v>
          </cell>
          <cell r="AD38" t="str">
            <v>FALTA</v>
          </cell>
          <cell r="AE38" t="str">
            <v>FALTA</v>
          </cell>
          <cell r="AF38" t="str">
            <v>FALTA</v>
          </cell>
          <cell r="AG38" t="str">
            <v>NO APLICA</v>
          </cell>
          <cell r="AH38" t="str">
            <v>FALTA</v>
          </cell>
          <cell r="AI38" t="str">
            <v>NO APLICA</v>
          </cell>
          <cell r="AL38" t="str">
            <v xml:space="preserve">    Sin información</v>
          </cell>
          <cell r="AM38" t="str">
            <v xml:space="preserve">    Sin información</v>
          </cell>
          <cell r="AN38">
            <v>0</v>
          </cell>
          <cell r="AP38">
            <v>0</v>
          </cell>
          <cell r="AQ38">
            <v>0</v>
          </cell>
          <cell r="AR38" t="str">
            <v xml:space="preserve">    Sin información</v>
          </cell>
          <cell r="AS38" t="str">
            <v xml:space="preserve">    Sin información</v>
          </cell>
          <cell r="AT38">
            <v>0</v>
          </cell>
          <cell r="AU38" t="str">
            <v xml:space="preserve">    Sin información</v>
          </cell>
        </row>
        <row r="39">
          <cell r="A39" t="str">
            <v>TR.05.02</v>
          </cell>
          <cell r="B39" t="str">
            <v>Mejoramiento en sector bocatomas (pelambres, piuquenes, Choapa)</v>
          </cell>
          <cell r="C39" t="str">
            <v>PLANTA</v>
          </cell>
          <cell r="D39" t="str">
            <v>Capex Operacional 2002</v>
          </cell>
          <cell r="E39" t="str">
            <v>Capex Capitalización 2002</v>
          </cell>
          <cell r="F39" t="str">
            <v>OK</v>
          </cell>
          <cell r="G39">
            <v>36886</v>
          </cell>
          <cell r="H39">
            <v>36886</v>
          </cell>
          <cell r="I39" t="str">
            <v>TR0502</v>
          </cell>
          <cell r="O39">
            <v>30</v>
          </cell>
          <cell r="S39">
            <v>0</v>
          </cell>
          <cell r="V39">
            <v>0</v>
          </cell>
          <cell r="W39" t="str">
            <v>MENORES</v>
          </cell>
          <cell r="Y39" t="str">
            <v>FALTA</v>
          </cell>
          <cell r="Z39" t="str">
            <v>PENDIENTE</v>
          </cell>
          <cell r="AA39" t="str">
            <v>PENDIENTE</v>
          </cell>
          <cell r="AB39" t="str">
            <v>FALTA</v>
          </cell>
          <cell r="AC39" t="str">
            <v>FALTA</v>
          </cell>
          <cell r="AD39" t="str">
            <v>FALTA</v>
          </cell>
          <cell r="AE39" t="str">
            <v>FALTA</v>
          </cell>
          <cell r="AF39" t="str">
            <v>FALTA</v>
          </cell>
          <cell r="AG39" t="str">
            <v>NO APLICA</v>
          </cell>
          <cell r="AH39" t="str">
            <v>FALTA</v>
          </cell>
          <cell r="AI39" t="str">
            <v>NO APLICA</v>
          </cell>
          <cell r="AL39" t="str">
            <v xml:space="preserve">    Sin información</v>
          </cell>
          <cell r="AM39" t="str">
            <v xml:space="preserve">    Sin información</v>
          </cell>
          <cell r="AN39">
            <v>0</v>
          </cell>
          <cell r="AP39">
            <v>0</v>
          </cell>
          <cell r="AQ39">
            <v>0</v>
          </cell>
          <cell r="AR39" t="str">
            <v xml:space="preserve">    Sin información</v>
          </cell>
          <cell r="AS39" t="str">
            <v xml:space="preserve">    Sin información</v>
          </cell>
          <cell r="AT39">
            <v>0</v>
          </cell>
          <cell r="AU39" t="str">
            <v xml:space="preserve">    Sin información</v>
          </cell>
        </row>
        <row r="40">
          <cell r="A40" t="str">
            <v>TR.06.02</v>
          </cell>
          <cell r="B40" t="str">
            <v>Instrumentación y Telemetría Bocatomas</v>
          </cell>
          <cell r="C40" t="str">
            <v>PLANTA</v>
          </cell>
          <cell r="D40" t="str">
            <v>Capex Operacional 2002</v>
          </cell>
          <cell r="E40" t="str">
            <v>Capex Operacional 2002</v>
          </cell>
          <cell r="F40" t="str">
            <v>OK</v>
          </cell>
          <cell r="G40">
            <v>36936</v>
          </cell>
          <cell r="H40">
            <v>36936</v>
          </cell>
          <cell r="I40" t="str">
            <v>TR0602</v>
          </cell>
          <cell r="O40">
            <v>20</v>
          </cell>
          <cell r="S40">
            <v>0</v>
          </cell>
          <cell r="V40">
            <v>0</v>
          </cell>
          <cell r="W40" t="str">
            <v>MENORES</v>
          </cell>
          <cell r="Y40" t="str">
            <v>FALTA</v>
          </cell>
          <cell r="Z40" t="str">
            <v>PENDIENTE</v>
          </cell>
          <cell r="AA40" t="str">
            <v>PENDIENTE</v>
          </cell>
          <cell r="AB40" t="str">
            <v>FALTA</v>
          </cell>
          <cell r="AC40" t="str">
            <v>FALTA</v>
          </cell>
          <cell r="AD40" t="str">
            <v>FALTA</v>
          </cell>
          <cell r="AE40" t="str">
            <v>FALTA</v>
          </cell>
          <cell r="AF40" t="str">
            <v>FALTA</v>
          </cell>
          <cell r="AG40" t="str">
            <v>NO APLICA</v>
          </cell>
          <cell r="AH40" t="str">
            <v>FALTA</v>
          </cell>
          <cell r="AI40" t="str">
            <v>NO APLICA</v>
          </cell>
          <cell r="AL40" t="str">
            <v xml:space="preserve">    Sin información</v>
          </cell>
          <cell r="AM40" t="str">
            <v xml:space="preserve">    Sin información</v>
          </cell>
          <cell r="AN40">
            <v>0</v>
          </cell>
          <cell r="AP40">
            <v>0</v>
          </cell>
          <cell r="AQ40">
            <v>0</v>
          </cell>
          <cell r="AR40" t="str">
            <v xml:space="preserve">    Sin información</v>
          </cell>
          <cell r="AS40" t="str">
            <v xml:space="preserve">    Sin información</v>
          </cell>
          <cell r="AT40">
            <v>0</v>
          </cell>
          <cell r="AU40" t="str">
            <v xml:space="preserve">    Sin información</v>
          </cell>
        </row>
        <row r="41">
          <cell r="A41" t="str">
            <v>TR.04.01</v>
          </cell>
          <cell r="B41" t="str">
            <v>Optimización Tranque de Relaves Los Quillayes</v>
          </cell>
          <cell r="C41" t="str">
            <v>PLANTA</v>
          </cell>
          <cell r="D41" t="str">
            <v>Capex Operacional 2001</v>
          </cell>
          <cell r="E41" t="str">
            <v>Capex Operacional 2001</v>
          </cell>
          <cell r="F41" t="str">
            <v>OK</v>
          </cell>
          <cell r="G41">
            <v>36936</v>
          </cell>
          <cell r="H41">
            <v>36936</v>
          </cell>
          <cell r="I41" t="str">
            <v>TR0401</v>
          </cell>
          <cell r="J41" t="str">
            <v>C50IC018 (Superintendencia Tranque y Aguas)</v>
          </cell>
          <cell r="K41" t="str">
            <v>Daniel Guzmán T.</v>
          </cell>
          <cell r="L41" t="str">
            <v>Daniel Guzmán T.</v>
          </cell>
          <cell r="M41">
            <v>37144</v>
          </cell>
          <cell r="N41">
            <v>37264</v>
          </cell>
          <cell r="O41">
            <v>1640</v>
          </cell>
          <cell r="P41">
            <v>1640</v>
          </cell>
          <cell r="Q41">
            <v>1640</v>
          </cell>
          <cell r="R41">
            <v>1490</v>
          </cell>
          <cell r="S41">
            <v>1490</v>
          </cell>
          <cell r="T41">
            <v>1640</v>
          </cell>
          <cell r="U41">
            <v>1640</v>
          </cell>
          <cell r="V41">
            <v>1640</v>
          </cell>
          <cell r="W41" t="str">
            <v>MAYORES</v>
          </cell>
          <cell r="Y41" t="str">
            <v>OK</v>
          </cell>
          <cell r="Z41" t="str">
            <v>APROBADO</v>
          </cell>
          <cell r="AA41" t="str">
            <v>APROBADO</v>
          </cell>
          <cell r="AB41" t="str">
            <v>OK</v>
          </cell>
          <cell r="AC41" t="str">
            <v>OK</v>
          </cell>
          <cell r="AD41" t="str">
            <v>OK</v>
          </cell>
          <cell r="AE41" t="str">
            <v>OK</v>
          </cell>
          <cell r="AF41" t="str">
            <v>OK</v>
          </cell>
          <cell r="AG41" t="str">
            <v>FALTA</v>
          </cell>
          <cell r="AH41" t="str">
            <v>FALTA</v>
          </cell>
          <cell r="AI41" t="str">
            <v>OK</v>
          </cell>
          <cell r="AL41">
            <v>0.94830000000000003</v>
          </cell>
          <cell r="AM41" t="str">
            <v xml:space="preserve">    Sin información</v>
          </cell>
          <cell r="AN41">
            <v>0</v>
          </cell>
          <cell r="AP41">
            <v>0</v>
          </cell>
          <cell r="AQ41">
            <v>749.03553000000011</v>
          </cell>
          <cell r="AR41" t="str">
            <v xml:space="preserve">    Sin información</v>
          </cell>
          <cell r="AS41" t="str">
            <v xml:space="preserve">    Sin información</v>
          </cell>
          <cell r="AT41">
            <v>1489.7995600000002</v>
          </cell>
          <cell r="AU41">
            <v>0.45672898170731713</v>
          </cell>
          <cell r="BD41">
            <v>17.355370000000001</v>
          </cell>
          <cell r="BE41">
            <v>20.35022</v>
          </cell>
          <cell r="BF41">
            <v>5.79955</v>
          </cell>
          <cell r="BG41">
            <v>21.564240000000002</v>
          </cell>
          <cell r="BH41">
            <v>7.9494999999999996</v>
          </cell>
          <cell r="BI41">
            <v>4.8800699999999999</v>
          </cell>
          <cell r="BJ41">
            <v>46.025770000000001</v>
          </cell>
          <cell r="BK41">
            <v>52.114989999999999</v>
          </cell>
          <cell r="BL41">
            <v>14.00393</v>
          </cell>
          <cell r="BM41">
            <v>124.43725000000001</v>
          </cell>
          <cell r="BN41">
            <v>434.55464000000001</v>
          </cell>
          <cell r="BO41">
            <v>117.28749999999999</v>
          </cell>
          <cell r="BP41">
            <v>641.83871999999997</v>
          </cell>
          <cell r="BQ41">
            <v>155.66540000000001</v>
          </cell>
          <cell r="BR41">
            <v>-221.39350999999999</v>
          </cell>
          <cell r="BV41">
            <v>47.365920000000003</v>
          </cell>
          <cell r="DK41">
            <v>2.5499999999999998E-2</v>
          </cell>
          <cell r="DL41">
            <v>0.17810000000000001</v>
          </cell>
          <cell r="EJ41">
            <v>2.5700000000000001E-2</v>
          </cell>
          <cell r="EK41">
            <v>0.25740000000000002</v>
          </cell>
          <cell r="EL41">
            <v>0.70330000000000004</v>
          </cell>
          <cell r="EM41">
            <v>0.94830000000000003</v>
          </cell>
          <cell r="EN41">
            <v>1</v>
          </cell>
        </row>
        <row r="42">
          <cell r="G42" t="str">
            <v>POSTERGADO AL 2002</v>
          </cell>
          <cell r="H42" t="str">
            <v>POSTERGADO AL 2002</v>
          </cell>
          <cell r="I42">
            <v>0</v>
          </cell>
          <cell r="J42" t="str">
            <v>------</v>
          </cell>
          <cell r="K42" t="str">
            <v>------</v>
          </cell>
          <cell r="L42" t="str">
            <v>------</v>
          </cell>
          <cell r="M42" t="str">
            <v>------</v>
          </cell>
          <cell r="N42" t="str">
            <v>------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 t="str">
            <v>MENORES</v>
          </cell>
          <cell r="Y42" t="str">
            <v>FALTA</v>
          </cell>
          <cell r="Z42" t="str">
            <v>PENDIENTE</v>
          </cell>
          <cell r="AA42" t="str">
            <v>PENDIENTE</v>
          </cell>
          <cell r="AB42" t="str">
            <v>FALTA</v>
          </cell>
          <cell r="AC42" t="str">
            <v>FALTA</v>
          </cell>
          <cell r="AD42" t="str">
            <v>FALTA</v>
          </cell>
          <cell r="AE42" t="str">
            <v>FALTA</v>
          </cell>
          <cell r="AF42" t="str">
            <v>FALTA</v>
          </cell>
          <cell r="AG42" t="str">
            <v>NO APLICA</v>
          </cell>
          <cell r="AH42" t="str">
            <v>FALTA</v>
          </cell>
          <cell r="AI42" t="str">
            <v>NO APLICA</v>
          </cell>
          <cell r="AK42" t="str">
            <v>POSTERGADO</v>
          </cell>
          <cell r="AL42" t="str">
            <v xml:space="preserve">    Sin información</v>
          </cell>
          <cell r="AM42" t="str">
            <v xml:space="preserve">    Sin información</v>
          </cell>
          <cell r="AN42" t="str">
            <v>Proyecto postergado para el año 2002.</v>
          </cell>
          <cell r="AP42">
            <v>0</v>
          </cell>
          <cell r="AQ42">
            <v>0</v>
          </cell>
          <cell r="AR42" t="str">
            <v xml:space="preserve">    Sin información</v>
          </cell>
          <cell r="AS42" t="str">
            <v xml:space="preserve">    Sin información</v>
          </cell>
          <cell r="AT42">
            <v>0</v>
          </cell>
          <cell r="AU42" t="str">
            <v xml:space="preserve">    Sin información</v>
          </cell>
        </row>
        <row r="43">
          <cell r="A43" t="str">
            <v>PU.01.02</v>
          </cell>
          <cell r="B43" t="str">
            <v>Sistema de polvos Correa 111</v>
          </cell>
          <cell r="C43" t="str">
            <v>PUERTO</v>
          </cell>
          <cell r="D43" t="str">
            <v>Capex Operacional 2002</v>
          </cell>
          <cell r="E43" t="str">
            <v>Capex Capitalización 2002</v>
          </cell>
          <cell r="F43" t="str">
            <v>OK</v>
          </cell>
          <cell r="G43">
            <v>37007</v>
          </cell>
          <cell r="H43">
            <v>37007</v>
          </cell>
          <cell r="I43" t="str">
            <v>PU0102</v>
          </cell>
          <cell r="O43">
            <v>560</v>
          </cell>
          <cell r="V43">
            <v>0</v>
          </cell>
          <cell r="W43" t="str">
            <v>MENORES</v>
          </cell>
          <cell r="Y43" t="str">
            <v>FALTA</v>
          </cell>
          <cell r="Z43" t="str">
            <v>PENDIENTE</v>
          </cell>
          <cell r="AA43" t="str">
            <v>PENDIENTE</v>
          </cell>
          <cell r="AB43" t="str">
            <v>FALTA</v>
          </cell>
          <cell r="AC43" t="str">
            <v>FALTA</v>
          </cell>
          <cell r="AD43" t="str">
            <v>FALTA</v>
          </cell>
          <cell r="AE43" t="str">
            <v>FALTA</v>
          </cell>
          <cell r="AF43" t="str">
            <v>FALTA</v>
          </cell>
          <cell r="AG43" t="str">
            <v>NO APLICA</v>
          </cell>
          <cell r="AH43" t="str">
            <v>FALTA</v>
          </cell>
          <cell r="AI43" t="str">
            <v>NO APLICA</v>
          </cell>
          <cell r="AL43" t="str">
            <v xml:space="preserve">    Sin información</v>
          </cell>
          <cell r="AM43" t="str">
            <v xml:space="preserve">    Sin información</v>
          </cell>
          <cell r="AN43">
            <v>0</v>
          </cell>
          <cell r="AP43">
            <v>0</v>
          </cell>
          <cell r="AQ43">
            <v>0</v>
          </cell>
          <cell r="AR43" t="str">
            <v xml:space="preserve">    Sin información</v>
          </cell>
          <cell r="AS43" t="str">
            <v xml:space="preserve">    Sin información</v>
          </cell>
          <cell r="AT43">
            <v>0</v>
          </cell>
          <cell r="AU43" t="str">
            <v xml:space="preserve">    Sin información</v>
          </cell>
        </row>
        <row r="44">
          <cell r="A44" t="str">
            <v>PU.02.02</v>
          </cell>
          <cell r="B44" t="str">
            <v>Estanque Agua incendio Shiploader</v>
          </cell>
          <cell r="C44" t="str">
            <v>PUERTO</v>
          </cell>
          <cell r="D44" t="str">
            <v>Capex Operacional 2002</v>
          </cell>
          <cell r="E44" t="str">
            <v>Capex Capitalización 2002</v>
          </cell>
          <cell r="F44" t="str">
            <v>OK</v>
          </cell>
          <cell r="G44">
            <v>37007</v>
          </cell>
          <cell r="H44">
            <v>37007</v>
          </cell>
          <cell r="I44" t="str">
            <v>PU0202</v>
          </cell>
          <cell r="O44">
            <v>120</v>
          </cell>
          <cell r="V44">
            <v>0</v>
          </cell>
          <cell r="W44" t="str">
            <v>MENORES</v>
          </cell>
          <cell r="Y44" t="str">
            <v>FALTA</v>
          </cell>
          <cell r="Z44" t="str">
            <v>PENDIENTE</v>
          </cell>
          <cell r="AA44" t="str">
            <v>PENDIENTE</v>
          </cell>
          <cell r="AB44" t="str">
            <v>FALTA</v>
          </cell>
          <cell r="AC44" t="str">
            <v>FALTA</v>
          </cell>
          <cell r="AD44" t="str">
            <v>FALTA</v>
          </cell>
          <cell r="AE44" t="str">
            <v>FALTA</v>
          </cell>
          <cell r="AF44" t="str">
            <v>FALTA</v>
          </cell>
          <cell r="AG44" t="str">
            <v>NO APLICA</v>
          </cell>
          <cell r="AH44" t="str">
            <v>FALTA</v>
          </cell>
          <cell r="AI44" t="str">
            <v>NO APLICA</v>
          </cell>
          <cell r="AL44" t="str">
            <v xml:space="preserve">    Sin información</v>
          </cell>
          <cell r="AM44" t="str">
            <v xml:space="preserve">    Sin información</v>
          </cell>
          <cell r="AN44">
            <v>0</v>
          </cell>
          <cell r="AP44">
            <v>0</v>
          </cell>
          <cell r="AQ44">
            <v>0</v>
          </cell>
          <cell r="AR44" t="str">
            <v xml:space="preserve">    Sin información</v>
          </cell>
          <cell r="AS44" t="str">
            <v xml:space="preserve">    Sin información</v>
          </cell>
          <cell r="AT44">
            <v>0</v>
          </cell>
          <cell r="AU44" t="str">
            <v xml:space="preserve">    Sin información</v>
          </cell>
        </row>
        <row r="45">
          <cell r="G45">
            <v>37131</v>
          </cell>
          <cell r="H45">
            <v>37131</v>
          </cell>
          <cell r="I45">
            <v>0</v>
          </cell>
          <cell r="S45">
            <v>0</v>
          </cell>
          <cell r="V45">
            <v>0</v>
          </cell>
          <cell r="W45" t="str">
            <v>MENORES</v>
          </cell>
          <cell r="Y45" t="str">
            <v>FALTA</v>
          </cell>
          <cell r="Z45" t="str">
            <v>PENDIENTE</v>
          </cell>
          <cell r="AA45" t="str">
            <v>PENDIENTE</v>
          </cell>
          <cell r="AB45" t="str">
            <v>FALTA</v>
          </cell>
          <cell r="AC45" t="str">
            <v>FALTA</v>
          </cell>
          <cell r="AD45" t="str">
            <v>FALTA</v>
          </cell>
          <cell r="AE45" t="str">
            <v>FALTA</v>
          </cell>
          <cell r="AF45" t="str">
            <v>FALTA</v>
          </cell>
          <cell r="AG45" t="str">
            <v>NO APLICA</v>
          </cell>
          <cell r="AH45" t="str">
            <v>FALTA</v>
          </cell>
          <cell r="AI45" t="str">
            <v>NO APLICA</v>
          </cell>
          <cell r="AL45" t="str">
            <v xml:space="preserve">    Sin información</v>
          </cell>
          <cell r="AM45" t="str">
            <v xml:space="preserve">    Sin información</v>
          </cell>
          <cell r="AN45">
            <v>0</v>
          </cell>
          <cell r="AP45">
            <v>0</v>
          </cell>
          <cell r="AQ45">
            <v>0</v>
          </cell>
          <cell r="AR45" t="str">
            <v xml:space="preserve">    Sin información</v>
          </cell>
          <cell r="AS45" t="str">
            <v xml:space="preserve">    Sin información</v>
          </cell>
          <cell r="AT45">
            <v>0</v>
          </cell>
          <cell r="AU45" t="str">
            <v xml:space="preserve">    Sin información</v>
          </cell>
        </row>
        <row r="46">
          <cell r="A46" t="str">
            <v>SE.01.02</v>
          </cell>
          <cell r="B46" t="str">
            <v>Sistema información</v>
          </cell>
          <cell r="C46" t="str">
            <v>SERVICIOS y UNIDADES DE APOYO</v>
          </cell>
          <cell r="D46" t="str">
            <v>Capex Operacional 2002</v>
          </cell>
          <cell r="E46" t="str">
            <v>Capex Capitalización 2002</v>
          </cell>
          <cell r="F46" t="str">
            <v>OK</v>
          </cell>
          <cell r="G46">
            <v>36917</v>
          </cell>
          <cell r="H46">
            <v>36917</v>
          </cell>
          <cell r="I46" t="str">
            <v>SE0102</v>
          </cell>
          <cell r="O46">
            <v>150</v>
          </cell>
          <cell r="S46">
            <v>0</v>
          </cell>
          <cell r="V46">
            <v>0</v>
          </cell>
          <cell r="W46" t="str">
            <v>MENORES</v>
          </cell>
          <cell r="Y46" t="str">
            <v>FALTA</v>
          </cell>
          <cell r="Z46" t="str">
            <v>PENDIENTE</v>
          </cell>
          <cell r="AA46" t="str">
            <v>PENDIENTE</v>
          </cell>
          <cell r="AB46" t="str">
            <v>FALTA</v>
          </cell>
          <cell r="AC46" t="str">
            <v>FALTA</v>
          </cell>
          <cell r="AD46" t="str">
            <v>FALTA</v>
          </cell>
          <cell r="AE46" t="str">
            <v>FALTA</v>
          </cell>
          <cell r="AF46" t="str">
            <v>FALTA</v>
          </cell>
          <cell r="AG46" t="str">
            <v>NO APLICA</v>
          </cell>
          <cell r="AH46" t="str">
            <v>FALTA</v>
          </cell>
          <cell r="AI46" t="str">
            <v>NO APLICA</v>
          </cell>
          <cell r="AL46" t="str">
            <v xml:space="preserve">    Sin información</v>
          </cell>
          <cell r="AM46" t="str">
            <v xml:space="preserve">    Sin información</v>
          </cell>
          <cell r="AN46">
            <v>0</v>
          </cell>
          <cell r="AP46">
            <v>0</v>
          </cell>
          <cell r="AQ46">
            <v>0</v>
          </cell>
          <cell r="AR46" t="str">
            <v xml:space="preserve">    Sin información</v>
          </cell>
          <cell r="AS46" t="str">
            <v xml:space="preserve">    Sin información</v>
          </cell>
          <cell r="AT46">
            <v>0</v>
          </cell>
          <cell r="AU46" t="str">
            <v xml:space="preserve">    Sin información</v>
          </cell>
        </row>
        <row r="47">
          <cell r="A47" t="str">
            <v>SE.02.02</v>
          </cell>
          <cell r="B47" t="str">
            <v>Cierre loop Electrico Este-Oeste Mina</v>
          </cell>
          <cell r="C47" t="str">
            <v>SERVICIOS y UNIDADES DE APOYO</v>
          </cell>
          <cell r="D47" t="str">
            <v>Capex Operacional 2002</v>
          </cell>
          <cell r="E47" t="str">
            <v>Capex Capitalización 2002</v>
          </cell>
          <cell r="F47" t="str">
            <v>OK</v>
          </cell>
          <cell r="G47">
            <v>36917</v>
          </cell>
          <cell r="H47">
            <v>36917</v>
          </cell>
          <cell r="I47" t="str">
            <v>SE0202</v>
          </cell>
          <cell r="O47">
            <v>200</v>
          </cell>
          <cell r="S47">
            <v>0</v>
          </cell>
          <cell r="V47">
            <v>0</v>
          </cell>
          <cell r="W47" t="str">
            <v>MENORES</v>
          </cell>
          <cell r="Y47" t="str">
            <v>FALTA</v>
          </cell>
          <cell r="Z47" t="str">
            <v>PENDIENTE</v>
          </cell>
          <cell r="AA47" t="str">
            <v>PENDIENTE</v>
          </cell>
          <cell r="AB47" t="str">
            <v>FALTA</v>
          </cell>
          <cell r="AC47" t="str">
            <v>FALTA</v>
          </cell>
          <cell r="AD47" t="str">
            <v>FALTA</v>
          </cell>
          <cell r="AE47" t="str">
            <v>FALTA</v>
          </cell>
          <cell r="AF47" t="str">
            <v>FALTA</v>
          </cell>
          <cell r="AG47" t="str">
            <v>NO APLICA</v>
          </cell>
          <cell r="AH47" t="str">
            <v>FALTA</v>
          </cell>
          <cell r="AI47" t="str">
            <v>NO APLICA</v>
          </cell>
          <cell r="AL47" t="str">
            <v xml:space="preserve">    Sin información</v>
          </cell>
          <cell r="AM47" t="str">
            <v xml:space="preserve">    Sin información</v>
          </cell>
          <cell r="AN47">
            <v>0</v>
          </cell>
          <cell r="AP47">
            <v>0</v>
          </cell>
          <cell r="AQ47">
            <v>0</v>
          </cell>
          <cell r="AR47" t="str">
            <v xml:space="preserve">    Sin información</v>
          </cell>
          <cell r="AS47" t="str">
            <v xml:space="preserve">    Sin información</v>
          </cell>
          <cell r="AT47">
            <v>0</v>
          </cell>
          <cell r="AU47" t="str">
            <v xml:space="preserve">    Sin información</v>
          </cell>
        </row>
        <row r="48">
          <cell r="A48" t="str">
            <v>SE.03.02</v>
          </cell>
          <cell r="B48" t="str">
            <v>Sistema de lubricación a Granel/Manejo Aceites usados</v>
          </cell>
          <cell r="C48" t="str">
            <v>SERVICIOS y UNIDADES DE APOYO</v>
          </cell>
          <cell r="D48" t="str">
            <v>Capex Operacional 2002</v>
          </cell>
          <cell r="E48" t="str">
            <v>Capex Capitalización 2002</v>
          </cell>
          <cell r="F48" t="str">
            <v>OK</v>
          </cell>
          <cell r="G48">
            <v>36917</v>
          </cell>
          <cell r="H48">
            <v>36917</v>
          </cell>
          <cell r="I48" t="str">
            <v>SE0302</v>
          </cell>
          <cell r="O48">
            <v>170</v>
          </cell>
          <cell r="S48">
            <v>0</v>
          </cell>
          <cell r="V48">
            <v>0</v>
          </cell>
          <cell r="W48" t="str">
            <v>MENORES</v>
          </cell>
          <cell r="Y48" t="str">
            <v>FALTA</v>
          </cell>
          <cell r="Z48" t="str">
            <v>PENDIENTE</v>
          </cell>
          <cell r="AA48" t="str">
            <v>PENDIENTE</v>
          </cell>
          <cell r="AB48" t="str">
            <v>FALTA</v>
          </cell>
          <cell r="AC48" t="str">
            <v>FALTA</v>
          </cell>
          <cell r="AD48" t="str">
            <v>FALTA</v>
          </cell>
          <cell r="AE48" t="str">
            <v>FALTA</v>
          </cell>
          <cell r="AF48" t="str">
            <v>FALTA</v>
          </cell>
          <cell r="AG48" t="str">
            <v>NO APLICA</v>
          </cell>
          <cell r="AH48" t="str">
            <v>FALTA</v>
          </cell>
          <cell r="AI48" t="str">
            <v>NO APLICA</v>
          </cell>
          <cell r="AL48" t="str">
            <v xml:space="preserve">    Sin información</v>
          </cell>
          <cell r="AM48" t="str">
            <v xml:space="preserve">    Sin información</v>
          </cell>
          <cell r="AN48">
            <v>0</v>
          </cell>
          <cell r="AP48">
            <v>0</v>
          </cell>
          <cell r="AQ48">
            <v>0</v>
          </cell>
          <cell r="AR48" t="str">
            <v xml:space="preserve">    Sin información</v>
          </cell>
          <cell r="AS48" t="str">
            <v xml:space="preserve">    Sin información</v>
          </cell>
          <cell r="AT48">
            <v>0</v>
          </cell>
          <cell r="AU48" t="str">
            <v xml:space="preserve">    Sin información</v>
          </cell>
        </row>
        <row r="49">
          <cell r="A49" t="str">
            <v>SE.04.02</v>
          </cell>
          <cell r="B49" t="str">
            <v>Almacenamiento Sustancias peligrosas</v>
          </cell>
          <cell r="C49" t="str">
            <v>SERVICIOS y UNIDADES DE APOYO</v>
          </cell>
          <cell r="D49" t="str">
            <v>Capex Operacional 2002</v>
          </cell>
          <cell r="E49" t="str">
            <v>Capex Capitalización 2002</v>
          </cell>
          <cell r="F49" t="str">
            <v>OK</v>
          </cell>
          <cell r="G49">
            <v>36917</v>
          </cell>
          <cell r="H49">
            <v>36917</v>
          </cell>
          <cell r="I49" t="str">
            <v>SE0402</v>
          </cell>
          <cell r="O49">
            <v>80</v>
          </cell>
          <cell r="S49">
            <v>0</v>
          </cell>
          <cell r="V49">
            <v>0</v>
          </cell>
          <cell r="W49" t="str">
            <v>MENORES</v>
          </cell>
          <cell r="Y49" t="str">
            <v>FALTA</v>
          </cell>
          <cell r="Z49" t="str">
            <v>PENDIENTE</v>
          </cell>
          <cell r="AA49" t="str">
            <v>PENDIENTE</v>
          </cell>
          <cell r="AB49" t="str">
            <v>FALTA</v>
          </cell>
          <cell r="AC49" t="str">
            <v>FALTA</v>
          </cell>
          <cell r="AD49" t="str">
            <v>FALTA</v>
          </cell>
          <cell r="AE49" t="str">
            <v>FALTA</v>
          </cell>
          <cell r="AF49" t="str">
            <v>FALTA</v>
          </cell>
          <cell r="AG49" t="str">
            <v>NO APLICA</v>
          </cell>
          <cell r="AH49" t="str">
            <v>FALTA</v>
          </cell>
          <cell r="AI49" t="str">
            <v>NO APLICA</v>
          </cell>
          <cell r="AL49" t="str">
            <v xml:space="preserve">    Sin información</v>
          </cell>
          <cell r="AM49" t="str">
            <v xml:space="preserve">    Sin información</v>
          </cell>
          <cell r="AN49">
            <v>0</v>
          </cell>
          <cell r="AP49">
            <v>0</v>
          </cell>
          <cell r="AQ49">
            <v>0</v>
          </cell>
          <cell r="AR49" t="str">
            <v xml:space="preserve">    Sin información</v>
          </cell>
          <cell r="AS49" t="str">
            <v xml:space="preserve">    Sin información</v>
          </cell>
          <cell r="AT49">
            <v>0</v>
          </cell>
          <cell r="AU49" t="str">
            <v xml:space="preserve">    Sin información</v>
          </cell>
        </row>
        <row r="50">
          <cell r="A50" t="str">
            <v>SE.05.02</v>
          </cell>
          <cell r="B50" t="str">
            <v>Optimización uso aguas (camp/mineroducto)</v>
          </cell>
          <cell r="C50" t="str">
            <v>SERVICIOS y UNIDADES DE APOYO</v>
          </cell>
          <cell r="D50" t="str">
            <v>Capex Operacional 2002</v>
          </cell>
          <cell r="E50" t="str">
            <v>Capex Capitalización 2002</v>
          </cell>
          <cell r="F50" t="str">
            <v>OK</v>
          </cell>
          <cell r="G50">
            <v>36917</v>
          </cell>
          <cell r="H50">
            <v>36917</v>
          </cell>
          <cell r="I50" t="str">
            <v>SE0502</v>
          </cell>
          <cell r="O50">
            <v>40</v>
          </cell>
          <cell r="S50">
            <v>0</v>
          </cell>
          <cell r="V50">
            <v>0</v>
          </cell>
          <cell r="W50" t="str">
            <v>MENORES</v>
          </cell>
          <cell r="Y50" t="str">
            <v>FALTA</v>
          </cell>
          <cell r="Z50" t="str">
            <v>PENDIENTE</v>
          </cell>
          <cell r="AA50" t="str">
            <v>PENDIENTE</v>
          </cell>
          <cell r="AB50" t="str">
            <v>FALTA</v>
          </cell>
          <cell r="AC50" t="str">
            <v>FALTA</v>
          </cell>
          <cell r="AD50" t="str">
            <v>FALTA</v>
          </cell>
          <cell r="AE50" t="str">
            <v>FALTA</v>
          </cell>
          <cell r="AF50" t="str">
            <v>FALTA</v>
          </cell>
          <cell r="AG50" t="str">
            <v>NO APLICA</v>
          </cell>
          <cell r="AH50" t="str">
            <v>FALTA</v>
          </cell>
          <cell r="AI50" t="str">
            <v>NO APLICA</v>
          </cell>
          <cell r="AL50" t="str">
            <v xml:space="preserve">    Sin información</v>
          </cell>
          <cell r="AM50" t="str">
            <v xml:space="preserve">    Sin información</v>
          </cell>
          <cell r="AN50">
            <v>0</v>
          </cell>
          <cell r="AP50">
            <v>0</v>
          </cell>
          <cell r="AQ50">
            <v>0</v>
          </cell>
          <cell r="AR50" t="str">
            <v xml:space="preserve">    Sin información</v>
          </cell>
          <cell r="AS50" t="str">
            <v xml:space="preserve">    Sin información</v>
          </cell>
          <cell r="AT50">
            <v>0</v>
          </cell>
          <cell r="AU50" t="str">
            <v xml:space="preserve">    Sin información</v>
          </cell>
        </row>
        <row r="51">
          <cell r="A51" t="str">
            <v>SE.06.02</v>
          </cell>
          <cell r="B51" t="str">
            <v>Protección Avalancha Hotel Mina</v>
          </cell>
          <cell r="C51" t="str">
            <v>SERVICIOS y UNIDADES DE APOYO</v>
          </cell>
          <cell r="D51" t="str">
            <v>Capex Operacional 2002</v>
          </cell>
          <cell r="E51" t="str">
            <v>Capex Capitalización 2002</v>
          </cell>
          <cell r="F51" t="str">
            <v>OK</v>
          </cell>
          <cell r="I51" t="str">
            <v>SE0602</v>
          </cell>
          <cell r="J51" t="str">
            <v>S00ID010 (Gerencia Servicios)</v>
          </cell>
          <cell r="K51" t="str">
            <v>Luis Lodi Johnson</v>
          </cell>
          <cell r="L51" t="str">
            <v>Oscar Letelier</v>
          </cell>
          <cell r="M51">
            <v>37288</v>
          </cell>
          <cell r="N51">
            <v>37437</v>
          </cell>
          <cell r="O51">
            <v>313.8</v>
          </cell>
          <cell r="S51">
            <v>0</v>
          </cell>
          <cell r="U51">
            <v>313.8</v>
          </cell>
          <cell r="V51">
            <v>313.8</v>
          </cell>
          <cell r="W51" t="str">
            <v>MAYORES</v>
          </cell>
          <cell r="Y51" t="str">
            <v>OK</v>
          </cell>
          <cell r="Z51" t="str">
            <v>APROBADO</v>
          </cell>
          <cell r="AA51" t="str">
            <v>APROBADO</v>
          </cell>
          <cell r="AB51" t="str">
            <v>OK</v>
          </cell>
          <cell r="AC51" t="str">
            <v>OK</v>
          </cell>
          <cell r="AD51" t="str">
            <v>OK</v>
          </cell>
          <cell r="AE51" t="str">
            <v>OK</v>
          </cell>
          <cell r="AF51" t="str">
            <v>OK</v>
          </cell>
          <cell r="AG51" t="str">
            <v>FALTA</v>
          </cell>
          <cell r="AH51" t="str">
            <v>FALTA</v>
          </cell>
          <cell r="AI51" t="str">
            <v>OK</v>
          </cell>
          <cell r="AL51">
            <v>1</v>
          </cell>
          <cell r="AM51" t="str">
            <v xml:space="preserve">    Sin información</v>
          </cell>
          <cell r="AN51">
            <v>0</v>
          </cell>
          <cell r="AP51">
            <v>0</v>
          </cell>
          <cell r="AQ51">
            <v>200.10307</v>
          </cell>
          <cell r="AR51" t="str">
            <v xml:space="preserve">    Sin información</v>
          </cell>
          <cell r="AS51" t="str">
            <v xml:space="preserve">    Sin información</v>
          </cell>
          <cell r="AT51">
            <v>200.10307</v>
          </cell>
          <cell r="AU51">
            <v>0.6376770873167622</v>
          </cell>
          <cell r="BR51">
            <v>200.10307</v>
          </cell>
          <cell r="CP51">
            <v>1</v>
          </cell>
          <cell r="CQ51">
            <v>49</v>
          </cell>
          <cell r="CR51">
            <v>67</v>
          </cell>
          <cell r="CS51">
            <v>83</v>
          </cell>
          <cell r="CT51">
            <v>100</v>
          </cell>
          <cell r="DO51">
            <v>0.01</v>
          </cell>
          <cell r="DP51">
            <v>0.25</v>
          </cell>
          <cell r="EN51">
            <v>1.4E-2</v>
          </cell>
          <cell r="EO51">
            <v>0.51</v>
          </cell>
          <cell r="EP51">
            <v>0.67</v>
          </cell>
          <cell r="EQ51">
            <v>0.84</v>
          </cell>
          <cell r="ER51">
            <v>1</v>
          </cell>
        </row>
        <row r="52">
          <cell r="S52">
            <v>0</v>
          </cell>
          <cell r="V52">
            <v>0</v>
          </cell>
          <cell r="W52" t="str">
            <v>MENORES</v>
          </cell>
          <cell r="Y52" t="str">
            <v>FALTA</v>
          </cell>
          <cell r="Z52" t="str">
            <v>PENDIENTE</v>
          </cell>
          <cell r="AA52" t="str">
            <v>PENDIENTE</v>
          </cell>
          <cell r="AB52" t="str">
            <v>FALTA</v>
          </cell>
          <cell r="AC52" t="str">
            <v>FALTA</v>
          </cell>
          <cell r="AD52" t="str">
            <v>FALTA</v>
          </cell>
          <cell r="AE52" t="str">
            <v>FALTA</v>
          </cell>
          <cell r="AF52" t="str">
            <v>FALTA</v>
          </cell>
          <cell r="AG52" t="str">
            <v>NO APLICA</v>
          </cell>
          <cell r="AH52" t="str">
            <v>FALTA</v>
          </cell>
          <cell r="AI52" t="str">
            <v>NO APLICA</v>
          </cell>
          <cell r="AL52" t="str">
            <v xml:space="preserve">    Sin información</v>
          </cell>
          <cell r="AM52" t="str">
            <v xml:space="preserve">    Sin información</v>
          </cell>
          <cell r="AN52">
            <v>0</v>
          </cell>
          <cell r="AP52">
            <v>0</v>
          </cell>
          <cell r="AQ52">
            <v>0</v>
          </cell>
          <cell r="AR52" t="str">
            <v xml:space="preserve">    Sin información</v>
          </cell>
          <cell r="AS52" t="str">
            <v xml:space="preserve">    Sin información</v>
          </cell>
          <cell r="AT52">
            <v>0</v>
          </cell>
          <cell r="AU52" t="str">
            <v xml:space="preserve">    Sin información</v>
          </cell>
        </row>
        <row r="53">
          <cell r="J53">
            <v>0</v>
          </cell>
        </row>
        <row r="55">
          <cell r="O55" t="e">
            <v>#VALUE!</v>
          </cell>
          <cell r="P55">
            <v>2453.8000000000002</v>
          </cell>
          <cell r="Q55">
            <v>2453.8000000000002</v>
          </cell>
          <cell r="R55">
            <v>2168.8000000000002</v>
          </cell>
          <cell r="S55">
            <v>2168.8000000000002</v>
          </cell>
          <cell r="T55">
            <v>4810.8</v>
          </cell>
          <cell r="U55">
            <v>4378.0259999999998</v>
          </cell>
          <cell r="V55">
            <v>4378.0259999999998</v>
          </cell>
        </row>
        <row r="56">
          <cell r="O56" t="e">
            <v>#VALUE!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  <cell r="T56">
            <v>65189.9</v>
          </cell>
          <cell r="U56">
            <v>65189.9</v>
          </cell>
          <cell r="V56">
            <v>64804.9</v>
          </cell>
        </row>
        <row r="57">
          <cell r="P57">
            <v>2440</v>
          </cell>
          <cell r="Q57">
            <v>2440</v>
          </cell>
          <cell r="R57">
            <v>2440</v>
          </cell>
        </row>
        <row r="58">
          <cell r="P58">
            <v>13.8</v>
          </cell>
          <cell r="Q58">
            <v>13.8</v>
          </cell>
          <cell r="R58">
            <v>13.8</v>
          </cell>
        </row>
        <row r="60">
          <cell r="M60" t="str">
            <v>Capex Operacional 2001</v>
          </cell>
          <cell r="N60">
            <v>2</v>
          </cell>
          <cell r="O60" t="e">
            <v>#VALUE!</v>
          </cell>
          <cell r="P60">
            <v>2440</v>
          </cell>
        </row>
        <row r="61">
          <cell r="M61" t="str">
            <v>Capex Capitalización 2001</v>
          </cell>
          <cell r="N61">
            <v>0</v>
          </cell>
          <cell r="O61" t="e">
            <v>#VALUE!</v>
          </cell>
          <cell r="P61">
            <v>0</v>
          </cell>
        </row>
        <row r="62">
          <cell r="M62" t="str">
            <v>Capex 2001</v>
          </cell>
          <cell r="N62">
            <v>0</v>
          </cell>
          <cell r="O62" t="e">
            <v>#VALUE!</v>
          </cell>
          <cell r="P6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4">
          <cell r="I44">
            <v>0.5</v>
          </cell>
          <cell r="J44">
            <v>1</v>
          </cell>
        </row>
      </sheetData>
      <sheetData sheetId="13" refreshError="1">
        <row r="25">
          <cell r="B25">
            <v>1.1990000000000001</v>
          </cell>
        </row>
        <row r="26">
          <cell r="B26">
            <v>0.2</v>
          </cell>
        </row>
        <row r="27">
          <cell r="B27">
            <v>1.2</v>
          </cell>
        </row>
        <row r="28">
          <cell r="B28">
            <v>0.2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d99"/>
      <sheetName val="Hoja1"/>
    </sheetNames>
    <sheetDataSet>
      <sheetData sheetId="0" refreshError="1">
        <row r="237">
          <cell r="A237" t="str">
            <v>MINERA MICHILLA S.A.</v>
          </cell>
        </row>
        <row r="238">
          <cell r="A238" t="str">
            <v>Tesorería</v>
          </cell>
        </row>
        <row r="239">
          <cell r="D239" t="str">
            <v xml:space="preserve">MOVIMIENTO MENSUAL EN MERCADO FUTURO </v>
          </cell>
        </row>
        <row r="241">
          <cell r="A241" t="str">
            <v>Michilla</v>
          </cell>
          <cell r="B241" t="str">
            <v>Corredor</v>
          </cell>
          <cell r="C241" t="str">
            <v>Instrumento</v>
          </cell>
          <cell r="D241" t="str">
            <v>Tons</v>
          </cell>
          <cell r="E241" t="str">
            <v>Precio</v>
          </cell>
          <cell r="F241" t="str">
            <v>Precio</v>
          </cell>
        </row>
        <row r="242">
          <cell r="E242" t="str">
            <v>Venta</v>
          </cell>
          <cell r="F242" t="str">
            <v>Compra</v>
          </cell>
          <cell r="G242" t="str">
            <v>Total US$</v>
          </cell>
          <cell r="H242" t="str">
            <v>Ctv/Lbs</v>
          </cell>
        </row>
        <row r="243">
          <cell r="A243" t="str">
            <v>JULIO</v>
          </cell>
          <cell r="C243" t="str">
            <v>US$/Tns</v>
          </cell>
          <cell r="D243">
            <v>1640</v>
          </cell>
        </row>
        <row r="244">
          <cell r="C244" t="str">
            <v>Ctv/Lbs.</v>
          </cell>
          <cell r="D244">
            <v>74.389159539935719</v>
          </cell>
        </row>
        <row r="245">
          <cell r="A245" t="str">
            <v>19-7-99/LME</v>
          </cell>
          <cell r="B245" t="str">
            <v>Rothschild</v>
          </cell>
          <cell r="C245" t="str">
            <v>Barrier Option</v>
          </cell>
          <cell r="D245">
            <v>2500</v>
          </cell>
          <cell r="E245">
            <v>1587</v>
          </cell>
          <cell r="F245">
            <v>1640</v>
          </cell>
          <cell r="G245">
            <v>-132500</v>
          </cell>
          <cell r="H245">
            <v>71.98511962797437</v>
          </cell>
        </row>
        <row r="250">
          <cell r="D250">
            <v>2500</v>
          </cell>
          <cell r="G250">
            <v>-132500</v>
          </cell>
        </row>
        <row r="252">
          <cell r="A252" t="str">
            <v>MOVIMIENTO CONTABLE HEDGE JULIO 1999</v>
          </cell>
        </row>
        <row r="254">
          <cell r="A254" t="str">
            <v>HEDGE</v>
          </cell>
          <cell r="B254" t="str">
            <v>Enero</v>
          </cell>
          <cell r="C254" t="str">
            <v>Febrero</v>
          </cell>
          <cell r="D254" t="str">
            <v>Marzo</v>
          </cell>
          <cell r="E254" t="str">
            <v>Abril</v>
          </cell>
          <cell r="F254" t="str">
            <v>Mayo</v>
          </cell>
          <cell r="G254" t="str">
            <v>Junio</v>
          </cell>
          <cell r="H254" t="str">
            <v>Julio</v>
          </cell>
          <cell r="I254" t="str">
            <v>Agosto</v>
          </cell>
          <cell r="J254" t="str">
            <v>Sepbre</v>
          </cell>
          <cell r="K254" t="str">
            <v>Octubre</v>
          </cell>
          <cell r="L254" t="str">
            <v>Novbre</v>
          </cell>
          <cell r="M254" t="str">
            <v>Dicbre</v>
          </cell>
          <cell r="S254" t="str">
            <v>Total US$</v>
          </cell>
        </row>
        <row r="255">
          <cell r="A255" t="str">
            <v>US$</v>
          </cell>
        </row>
        <row r="256">
          <cell r="A256" t="str">
            <v xml:space="preserve"> Ingresos</v>
          </cell>
          <cell r="E256">
            <v>152750</v>
          </cell>
          <cell r="F256">
            <v>189599.9999999998</v>
          </cell>
          <cell r="G256">
            <v>411299.99999999994</v>
          </cell>
          <cell r="S256">
            <v>753649.99999999977</v>
          </cell>
        </row>
        <row r="257">
          <cell r="A257" t="str">
            <v xml:space="preserve"> Egresos</v>
          </cell>
          <cell r="S257">
            <v>0</v>
          </cell>
        </row>
        <row r="258">
          <cell r="A258" t="str">
            <v>Primas (Seguro)</v>
          </cell>
          <cell r="S258">
            <v>0</v>
          </cell>
        </row>
        <row r="259">
          <cell r="A259" t="str">
            <v>Provisión:</v>
          </cell>
        </row>
        <row r="260">
          <cell r="A260" t="str">
            <v xml:space="preserve">     Ingreso</v>
          </cell>
          <cell r="S260">
            <v>0</v>
          </cell>
        </row>
        <row r="261">
          <cell r="A261" t="str">
            <v xml:space="preserve">     Egreso</v>
          </cell>
          <cell r="H261">
            <v>-132500</v>
          </cell>
          <cell r="S261">
            <v>-132500</v>
          </cell>
        </row>
        <row r="262">
          <cell r="A262" t="str">
            <v>TOTAL US$</v>
          </cell>
          <cell r="B262">
            <v>0</v>
          </cell>
          <cell r="C262">
            <v>0</v>
          </cell>
          <cell r="D262">
            <v>0</v>
          </cell>
          <cell r="E262">
            <v>152750</v>
          </cell>
          <cell r="F262">
            <v>189599.9999999998</v>
          </cell>
          <cell r="G262">
            <v>411299.99999999994</v>
          </cell>
          <cell r="H262">
            <v>-132500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S262">
            <v>621149.99999999977</v>
          </cell>
        </row>
        <row r="266">
          <cell r="G266" t="str">
            <v>MOVIMIENTO CONTABLE ACUMULADO A  JULIO 1999</v>
          </cell>
        </row>
        <row r="268">
          <cell r="A268" t="str">
            <v>HEDGE</v>
          </cell>
          <cell r="B268" t="str">
            <v>Enero</v>
          </cell>
          <cell r="C268" t="str">
            <v>Febrero</v>
          </cell>
          <cell r="D268" t="str">
            <v>Marzo</v>
          </cell>
          <cell r="E268" t="str">
            <v>Abril</v>
          </cell>
          <cell r="F268" t="str">
            <v>Mayo</v>
          </cell>
          <cell r="G268" t="str">
            <v>Junio</v>
          </cell>
          <cell r="H268" t="str">
            <v>Julio</v>
          </cell>
          <cell r="I268" t="str">
            <v>Agosto</v>
          </cell>
          <cell r="J268" t="str">
            <v>Sepbre</v>
          </cell>
          <cell r="K268" t="str">
            <v>Octubre</v>
          </cell>
          <cell r="L268" t="str">
            <v>Novbre</v>
          </cell>
          <cell r="M268" t="str">
            <v>Dicbre</v>
          </cell>
          <cell r="S268" t="str">
            <v>Total US$</v>
          </cell>
        </row>
        <row r="269">
          <cell r="A269" t="str">
            <v>US$</v>
          </cell>
        </row>
        <row r="270">
          <cell r="A270" t="str">
            <v>Ingresos</v>
          </cell>
          <cell r="B270">
            <v>0</v>
          </cell>
          <cell r="C270">
            <v>0</v>
          </cell>
          <cell r="D270">
            <v>0</v>
          </cell>
          <cell r="E270">
            <v>152750</v>
          </cell>
          <cell r="F270">
            <v>342349.99999999977</v>
          </cell>
          <cell r="G270">
            <v>753649.99999999977</v>
          </cell>
          <cell r="H270">
            <v>753649.99999999977</v>
          </cell>
          <cell r="S270">
            <v>753649.99999999977</v>
          </cell>
        </row>
        <row r="271">
          <cell r="A271" t="str">
            <v>Egresos</v>
          </cell>
          <cell r="B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-132500</v>
          </cell>
          <cell r="S271">
            <v>-132500</v>
          </cell>
        </row>
        <row r="272">
          <cell r="A272" t="str">
            <v>Primas (Seguro)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S272">
            <v>0</v>
          </cell>
        </row>
        <row r="274">
          <cell r="A274" t="str">
            <v>TOTAL US$</v>
          </cell>
          <cell r="B274">
            <v>0</v>
          </cell>
          <cell r="C274">
            <v>0</v>
          </cell>
          <cell r="D274">
            <v>0</v>
          </cell>
          <cell r="E274">
            <v>152750</v>
          </cell>
          <cell r="F274">
            <v>342349.99999999977</v>
          </cell>
          <cell r="G274">
            <v>753649.99999999977</v>
          </cell>
          <cell r="H274">
            <v>621149.99999999977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S274">
            <v>621149.99999999977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Fase banco"/>
      <sheetName val="Hoja2"/>
      <sheetName val="Hoja4"/>
      <sheetName val="Hoja5"/>
      <sheetName val="Hoja10"/>
      <sheetName val="Hoja3"/>
      <sheetName val="base"/>
      <sheetName val="Leyes"/>
      <sheetName val="On Line (Diario)"/>
      <sheetName val="BCE"/>
      <sheetName val="Balance Sheet Consolidated"/>
      <sheetName val="Exchange Rate"/>
      <sheetName val="reel 01 vs atterge 01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2">
          <cell r="A2" t="str">
            <v>PH01</v>
          </cell>
          <cell r="D2" t="str">
            <v>P-2990</v>
          </cell>
          <cell r="V2">
            <v>36404</v>
          </cell>
          <cell r="W2" t="str">
            <v>a</v>
          </cell>
          <cell r="Y2">
            <v>26631.209409043458</v>
          </cell>
          <cell r="Z2" t="str">
            <v>F1</v>
          </cell>
          <cell r="AA2" t="str">
            <v>3230</v>
          </cell>
        </row>
        <row r="3">
          <cell r="A3" t="str">
            <v>PH01</v>
          </cell>
          <cell r="D3" t="str">
            <v>DICSA</v>
          </cell>
          <cell r="V3">
            <v>36404</v>
          </cell>
          <cell r="W3" t="str">
            <v>a</v>
          </cell>
          <cell r="Y3">
            <v>6947.2720197504677</v>
          </cell>
          <cell r="Z3" t="str">
            <v>F1</v>
          </cell>
          <cell r="AA3" t="str">
            <v>3230</v>
          </cell>
        </row>
        <row r="4">
          <cell r="A4" t="str">
            <v>PH01</v>
          </cell>
          <cell r="D4" t="str">
            <v>P-2990</v>
          </cell>
          <cell r="V4">
            <v>36404</v>
          </cell>
          <cell r="W4" t="str">
            <v>a</v>
          </cell>
          <cell r="Y4">
            <v>1621.0301379417758</v>
          </cell>
          <cell r="Z4" t="str">
            <v>F1</v>
          </cell>
          <cell r="AA4" t="str">
            <v>3230</v>
          </cell>
        </row>
        <row r="5">
          <cell r="A5" t="str">
            <v>PH01</v>
          </cell>
          <cell r="D5" t="str">
            <v>CHANCADOR</v>
          </cell>
          <cell r="V5">
            <v>36404</v>
          </cell>
          <cell r="W5" t="str">
            <v>a</v>
          </cell>
          <cell r="Y5">
            <v>694.7272019750468</v>
          </cell>
          <cell r="Z5" t="str">
            <v>F1</v>
          </cell>
          <cell r="AA5" t="str">
            <v>3230</v>
          </cell>
        </row>
        <row r="6">
          <cell r="A6" t="str">
            <v>PH02</v>
          </cell>
          <cell r="D6" t="str">
            <v>P-2990</v>
          </cell>
          <cell r="V6">
            <v>36404</v>
          </cell>
          <cell r="W6" t="str">
            <v>a</v>
          </cell>
          <cell r="Y6">
            <v>6484.1205517671033</v>
          </cell>
          <cell r="Z6" t="str">
            <v>F1</v>
          </cell>
          <cell r="AA6" t="str">
            <v>3245</v>
          </cell>
        </row>
        <row r="7">
          <cell r="A7" t="str">
            <v>PH02</v>
          </cell>
          <cell r="D7" t="str">
            <v>P-2990</v>
          </cell>
          <cell r="V7">
            <v>36404</v>
          </cell>
          <cell r="W7" t="str">
            <v>a</v>
          </cell>
          <cell r="Y7">
            <v>21073.391793243085</v>
          </cell>
          <cell r="Z7" t="str">
            <v>F1</v>
          </cell>
          <cell r="AA7" t="str">
            <v>3245</v>
          </cell>
        </row>
        <row r="8">
          <cell r="A8" t="str">
            <v>PH02</v>
          </cell>
          <cell r="D8" t="str">
            <v>CHANCADOR</v>
          </cell>
          <cell r="V8">
            <v>36404</v>
          </cell>
          <cell r="W8" t="str">
            <v>a</v>
          </cell>
          <cell r="Y8">
            <v>1852.605871933458</v>
          </cell>
          <cell r="Z8" t="str">
            <v>F1</v>
          </cell>
          <cell r="AA8" t="str">
            <v>3245</v>
          </cell>
        </row>
        <row r="9">
          <cell r="A9" t="str">
            <v>PH02</v>
          </cell>
          <cell r="D9" t="str">
            <v>DICSA</v>
          </cell>
          <cell r="V9">
            <v>36404</v>
          </cell>
          <cell r="W9" t="str">
            <v>a</v>
          </cell>
          <cell r="Y9">
            <v>231.57573399168226</v>
          </cell>
          <cell r="Z9" t="str">
            <v>F1</v>
          </cell>
          <cell r="AA9" t="str">
            <v>3245</v>
          </cell>
        </row>
        <row r="10">
          <cell r="A10" t="str">
            <v>CF02</v>
          </cell>
          <cell r="D10" t="str">
            <v>H-3470</v>
          </cell>
          <cell r="V10">
            <v>36404</v>
          </cell>
          <cell r="W10" t="str">
            <v>a</v>
          </cell>
          <cell r="Y10">
            <v>11578.786699584112</v>
          </cell>
          <cell r="Z10" t="str">
            <v>F2</v>
          </cell>
          <cell r="AA10" t="str">
            <v>3395</v>
          </cell>
        </row>
        <row r="11">
          <cell r="A11" t="str">
            <v>CF02</v>
          </cell>
          <cell r="D11" t="str">
            <v>H-3470</v>
          </cell>
          <cell r="V11">
            <v>36404</v>
          </cell>
          <cell r="W11" t="str">
            <v>a</v>
          </cell>
          <cell r="Y11">
            <v>4168.363211850281</v>
          </cell>
          <cell r="Z11" t="str">
            <v>F2</v>
          </cell>
          <cell r="AA11" t="str">
            <v>3380</v>
          </cell>
        </row>
        <row r="12">
          <cell r="A12" t="str">
            <v>PH01</v>
          </cell>
          <cell r="D12" t="str">
            <v>P-2990</v>
          </cell>
          <cell r="V12">
            <v>36404</v>
          </cell>
          <cell r="W12" t="str">
            <v>b</v>
          </cell>
          <cell r="Y12">
            <v>24134.226829037412</v>
          </cell>
          <cell r="Z12" t="str">
            <v>F1</v>
          </cell>
          <cell r="AA12" t="str">
            <v>3230</v>
          </cell>
        </row>
        <row r="13">
          <cell r="A13" t="str">
            <v>PH01</v>
          </cell>
          <cell r="D13" t="str">
            <v>P-2990</v>
          </cell>
          <cell r="V13">
            <v>36404</v>
          </cell>
          <cell r="W13" t="str">
            <v>b</v>
          </cell>
          <cell r="Y13">
            <v>2528.3475725658241</v>
          </cell>
          <cell r="Z13" t="str">
            <v>F1</v>
          </cell>
          <cell r="AA13" t="str">
            <v>3230</v>
          </cell>
        </row>
        <row r="14">
          <cell r="A14" t="str">
            <v>PH01</v>
          </cell>
          <cell r="D14" t="str">
            <v>CHANCADOR</v>
          </cell>
          <cell r="V14">
            <v>36404</v>
          </cell>
          <cell r="W14" t="str">
            <v>b</v>
          </cell>
          <cell r="Y14">
            <v>4367.1458071591505</v>
          </cell>
          <cell r="Z14" t="str">
            <v>F1</v>
          </cell>
          <cell r="AA14" t="str">
            <v>3230</v>
          </cell>
        </row>
        <row r="15">
          <cell r="A15" t="str">
            <v>PH01</v>
          </cell>
          <cell r="D15" t="str">
            <v>DICSA</v>
          </cell>
          <cell r="V15">
            <v>36404</v>
          </cell>
          <cell r="W15" t="str">
            <v>b</v>
          </cell>
          <cell r="Y15">
            <v>2068.6480139174923</v>
          </cell>
          <cell r="Z15" t="str">
            <v>F1</v>
          </cell>
          <cell r="AA15" t="str">
            <v>3230</v>
          </cell>
        </row>
        <row r="16">
          <cell r="A16" t="str">
            <v>PH02</v>
          </cell>
          <cell r="D16" t="str">
            <v>DICSA</v>
          </cell>
          <cell r="V16">
            <v>36404</v>
          </cell>
          <cell r="W16" t="str">
            <v>b</v>
          </cell>
          <cell r="Y16">
            <v>12641.737862829121</v>
          </cell>
          <cell r="Z16" t="str">
            <v>F1</v>
          </cell>
          <cell r="AA16" t="str">
            <v>3245</v>
          </cell>
        </row>
        <row r="17">
          <cell r="A17" t="str">
            <v>PH02</v>
          </cell>
          <cell r="D17" t="str">
            <v>VICTORIA</v>
          </cell>
          <cell r="V17">
            <v>36404</v>
          </cell>
          <cell r="W17" t="str">
            <v>b</v>
          </cell>
          <cell r="Y17">
            <v>5746.2444831041457</v>
          </cell>
          <cell r="Z17" t="str">
            <v>F1</v>
          </cell>
          <cell r="AA17" t="str">
            <v>3245</v>
          </cell>
        </row>
        <row r="18">
          <cell r="A18" t="str">
            <v>PH02</v>
          </cell>
          <cell r="D18" t="str">
            <v>CHANCADOR</v>
          </cell>
          <cell r="V18">
            <v>36404</v>
          </cell>
          <cell r="W18" t="str">
            <v>b</v>
          </cell>
          <cell r="Y18">
            <v>9883.5405109391304</v>
          </cell>
          <cell r="Z18" t="str">
            <v>F1</v>
          </cell>
          <cell r="AA18" t="str">
            <v>3230</v>
          </cell>
        </row>
        <row r="19">
          <cell r="A19" t="str">
            <v>CF02</v>
          </cell>
          <cell r="D19" t="str">
            <v>H-3470</v>
          </cell>
          <cell r="V19">
            <v>36404</v>
          </cell>
          <cell r="W19" t="str">
            <v>b</v>
          </cell>
          <cell r="Y19">
            <v>8504.4418349941352</v>
          </cell>
          <cell r="Z19" t="str">
            <v>F2</v>
          </cell>
          <cell r="AA19" t="str">
            <v>3395</v>
          </cell>
        </row>
        <row r="20">
          <cell r="A20" t="str">
            <v>CF02</v>
          </cell>
          <cell r="D20" t="str">
            <v>H-3470</v>
          </cell>
          <cell r="V20">
            <v>36404</v>
          </cell>
          <cell r="W20" t="str">
            <v>b</v>
          </cell>
          <cell r="Y20">
            <v>9193.9911729666328</v>
          </cell>
          <cell r="Z20" t="str">
            <v>F2</v>
          </cell>
          <cell r="AA20" t="str">
            <v>3380</v>
          </cell>
        </row>
        <row r="21">
          <cell r="A21" t="str">
            <v>CF03</v>
          </cell>
          <cell r="D21" t="str">
            <v>P-2990</v>
          </cell>
          <cell r="V21">
            <v>36404</v>
          </cell>
          <cell r="W21" t="str">
            <v>b</v>
          </cell>
          <cell r="Y21">
            <v>2528.3475725658241</v>
          </cell>
          <cell r="Z21" t="str">
            <v>F1</v>
          </cell>
          <cell r="AA21" t="str">
            <v>3245</v>
          </cell>
        </row>
        <row r="22">
          <cell r="A22" t="str">
            <v>PH01</v>
          </cell>
          <cell r="D22" t="str">
            <v>P-2990</v>
          </cell>
          <cell r="V22">
            <v>36405</v>
          </cell>
          <cell r="W22" t="str">
            <v>a</v>
          </cell>
          <cell r="Y22">
            <v>6137.9400027764559</v>
          </cell>
          <cell r="Z22" t="str">
            <v>F1</v>
          </cell>
          <cell r="AA22" t="str">
            <v>3230</v>
          </cell>
        </row>
        <row r="23">
          <cell r="A23" t="str">
            <v>PH01</v>
          </cell>
          <cell r="D23" t="str">
            <v>DICSA</v>
          </cell>
          <cell r="V23">
            <v>36405</v>
          </cell>
          <cell r="W23" t="str">
            <v>a</v>
          </cell>
          <cell r="Y23">
            <v>8638.5822261298272</v>
          </cell>
          <cell r="Z23" t="str">
            <v>F1</v>
          </cell>
          <cell r="AA23" t="str">
            <v>3230</v>
          </cell>
        </row>
        <row r="24">
          <cell r="A24" t="str">
            <v>PH01</v>
          </cell>
          <cell r="D24" t="str">
            <v>P-2990</v>
          </cell>
          <cell r="V24">
            <v>36405</v>
          </cell>
          <cell r="W24" t="str">
            <v>a</v>
          </cell>
          <cell r="Y24">
            <v>11139.224449483198</v>
          </cell>
          <cell r="Z24" t="str">
            <v>F1</v>
          </cell>
          <cell r="AA24" t="str">
            <v>3230</v>
          </cell>
        </row>
        <row r="25">
          <cell r="A25" t="str">
            <v>PH01</v>
          </cell>
          <cell r="D25" t="str">
            <v>VICTORIA</v>
          </cell>
          <cell r="V25">
            <v>36405</v>
          </cell>
          <cell r="W25" t="str">
            <v>a</v>
          </cell>
          <cell r="Y25">
            <v>454.66222242788564</v>
          </cell>
          <cell r="Z25" t="str">
            <v>F1</v>
          </cell>
          <cell r="AA25" t="str">
            <v>3230</v>
          </cell>
        </row>
        <row r="26">
          <cell r="A26" t="str">
            <v>PH01</v>
          </cell>
          <cell r="D26" t="str">
            <v>DICSA</v>
          </cell>
          <cell r="V26">
            <v>36405</v>
          </cell>
          <cell r="W26" t="str">
            <v>a</v>
          </cell>
          <cell r="Y26">
            <v>2273.3111121394281</v>
          </cell>
          <cell r="Z26" t="str">
            <v>F1</v>
          </cell>
          <cell r="AA26" t="str">
            <v>3230</v>
          </cell>
        </row>
        <row r="27">
          <cell r="A27" t="str">
            <v>PH01</v>
          </cell>
          <cell r="D27" t="str">
            <v>P-2990</v>
          </cell>
          <cell r="V27">
            <v>36405</v>
          </cell>
          <cell r="W27" t="str">
            <v>a</v>
          </cell>
          <cell r="Y27">
            <v>1363.986667283657</v>
          </cell>
          <cell r="Z27" t="str">
            <v>F1</v>
          </cell>
          <cell r="AA27" t="str">
            <v>3230</v>
          </cell>
        </row>
        <row r="28">
          <cell r="A28" t="str">
            <v>PH01</v>
          </cell>
          <cell r="D28" t="str">
            <v>B-3230</v>
          </cell>
          <cell r="V28">
            <v>36405</v>
          </cell>
          <cell r="W28" t="str">
            <v>a</v>
          </cell>
          <cell r="Y28">
            <v>3182.6355569951993</v>
          </cell>
          <cell r="Z28" t="str">
            <v>F1</v>
          </cell>
          <cell r="AA28" t="str">
            <v>3230</v>
          </cell>
        </row>
        <row r="29">
          <cell r="A29" t="str">
            <v>PH01</v>
          </cell>
          <cell r="D29" t="str">
            <v>B-3230</v>
          </cell>
          <cell r="V29">
            <v>36405</v>
          </cell>
          <cell r="W29" t="str">
            <v>a</v>
          </cell>
          <cell r="Y29">
            <v>9093.2444485577125</v>
          </cell>
          <cell r="Z29" t="str">
            <v>F1</v>
          </cell>
          <cell r="AA29" t="str">
            <v>3230</v>
          </cell>
        </row>
        <row r="30">
          <cell r="A30" t="str">
            <v>PH01</v>
          </cell>
          <cell r="D30" t="str">
            <v>P-2990</v>
          </cell>
          <cell r="V30">
            <v>36405</v>
          </cell>
          <cell r="W30" t="str">
            <v>a</v>
          </cell>
          <cell r="Y30">
            <v>454.66222242788564</v>
          </cell>
          <cell r="Z30" t="str">
            <v>F1</v>
          </cell>
          <cell r="AA30" t="str">
            <v>3230</v>
          </cell>
        </row>
        <row r="31">
          <cell r="A31" t="str">
            <v>PH02</v>
          </cell>
          <cell r="D31" t="str">
            <v>CHANCADOR</v>
          </cell>
          <cell r="V31">
            <v>36405</v>
          </cell>
          <cell r="W31" t="str">
            <v>a</v>
          </cell>
          <cell r="Y31">
            <v>12275.880005552912</v>
          </cell>
          <cell r="Z31" t="str">
            <v>F1</v>
          </cell>
          <cell r="AA31" t="str">
            <v>3245</v>
          </cell>
        </row>
        <row r="32">
          <cell r="A32" t="str">
            <v>PH02</v>
          </cell>
          <cell r="D32" t="str">
            <v>DICSA</v>
          </cell>
          <cell r="V32">
            <v>36405</v>
          </cell>
          <cell r="W32" t="str">
            <v>a</v>
          </cell>
          <cell r="Y32">
            <v>454.66222242788564</v>
          </cell>
          <cell r="Z32" t="str">
            <v>F1</v>
          </cell>
          <cell r="AA32" t="str">
            <v>3245</v>
          </cell>
        </row>
        <row r="33">
          <cell r="A33" t="str">
            <v>PH02</v>
          </cell>
          <cell r="D33" t="str">
            <v>P-2990</v>
          </cell>
          <cell r="V33">
            <v>36405</v>
          </cell>
          <cell r="W33" t="str">
            <v>a</v>
          </cell>
          <cell r="Y33">
            <v>5455.9466691346279</v>
          </cell>
          <cell r="Z33" t="str">
            <v>F1</v>
          </cell>
          <cell r="AA33" t="str">
            <v>3245</v>
          </cell>
        </row>
        <row r="34">
          <cell r="A34" t="str">
            <v>PH02</v>
          </cell>
          <cell r="D34" t="str">
            <v>B-3230</v>
          </cell>
          <cell r="V34">
            <v>36405</v>
          </cell>
          <cell r="W34" t="str">
            <v>a</v>
          </cell>
          <cell r="Y34">
            <v>3182.6355569951993</v>
          </cell>
          <cell r="Z34" t="str">
            <v>F1</v>
          </cell>
          <cell r="AA34" t="str">
            <v>3245</v>
          </cell>
        </row>
        <row r="35">
          <cell r="A35" t="str">
            <v>PH02</v>
          </cell>
          <cell r="D35" t="str">
            <v>P-2990</v>
          </cell>
          <cell r="V35">
            <v>36405</v>
          </cell>
          <cell r="W35" t="str">
            <v>a</v>
          </cell>
          <cell r="Y35">
            <v>7274.5955588461702</v>
          </cell>
          <cell r="Z35" t="str">
            <v>F1</v>
          </cell>
          <cell r="AA35" t="str">
            <v>3245</v>
          </cell>
        </row>
        <row r="36">
          <cell r="A36" t="str">
            <v>PH02</v>
          </cell>
          <cell r="D36" t="str">
            <v>CHANCADOR</v>
          </cell>
          <cell r="V36">
            <v>36405</v>
          </cell>
          <cell r="W36" t="str">
            <v>a</v>
          </cell>
          <cell r="Y36">
            <v>681.99333364182849</v>
          </cell>
          <cell r="Z36" t="str">
            <v>F1</v>
          </cell>
          <cell r="AA36" t="str">
            <v>3245</v>
          </cell>
        </row>
        <row r="37">
          <cell r="A37" t="str">
            <v>PH02</v>
          </cell>
          <cell r="D37" t="str">
            <v>P-2990</v>
          </cell>
          <cell r="V37">
            <v>36405</v>
          </cell>
          <cell r="W37" t="str">
            <v>a</v>
          </cell>
          <cell r="Y37">
            <v>5001.2844467067416</v>
          </cell>
          <cell r="Z37" t="str">
            <v>F1</v>
          </cell>
          <cell r="AA37" t="str">
            <v>3245</v>
          </cell>
        </row>
        <row r="38">
          <cell r="A38" t="str">
            <v>PH02</v>
          </cell>
          <cell r="D38" t="str">
            <v>DICSA</v>
          </cell>
          <cell r="V38">
            <v>36405</v>
          </cell>
          <cell r="W38" t="str">
            <v>a</v>
          </cell>
          <cell r="Y38">
            <v>681.99333364182849</v>
          </cell>
          <cell r="Z38" t="str">
            <v>F1</v>
          </cell>
          <cell r="AA38" t="str">
            <v>3245</v>
          </cell>
        </row>
        <row r="39">
          <cell r="A39" t="str">
            <v>PH02</v>
          </cell>
          <cell r="D39" t="str">
            <v>P-2990</v>
          </cell>
          <cell r="V39">
            <v>36405</v>
          </cell>
          <cell r="W39" t="str">
            <v>a</v>
          </cell>
          <cell r="Y39">
            <v>681.99333364182849</v>
          </cell>
          <cell r="Z39" t="str">
            <v>F1</v>
          </cell>
          <cell r="AA39" t="str">
            <v>3245</v>
          </cell>
        </row>
        <row r="40">
          <cell r="A40" t="str">
            <v>PH02</v>
          </cell>
          <cell r="D40" t="str">
            <v>P-2990</v>
          </cell>
          <cell r="V40">
            <v>36405</v>
          </cell>
          <cell r="W40" t="str">
            <v>a</v>
          </cell>
          <cell r="Y40">
            <v>3182.6355569951993</v>
          </cell>
          <cell r="Z40" t="str">
            <v>F1</v>
          </cell>
          <cell r="AA40" t="str">
            <v>3245</v>
          </cell>
        </row>
        <row r="41">
          <cell r="A41" t="str">
            <v>CF02</v>
          </cell>
          <cell r="D41" t="str">
            <v>H-3470</v>
          </cell>
          <cell r="V41">
            <v>36405</v>
          </cell>
          <cell r="W41" t="str">
            <v>a</v>
          </cell>
          <cell r="Y41">
            <v>13412.535561622626</v>
          </cell>
          <cell r="Z41" t="str">
            <v>F2</v>
          </cell>
          <cell r="AA41" t="str">
            <v>3380</v>
          </cell>
        </row>
        <row r="42">
          <cell r="A42" t="str">
            <v>PH01</v>
          </cell>
          <cell r="D42" t="str">
            <v>B-2990</v>
          </cell>
          <cell r="V42">
            <v>36405</v>
          </cell>
          <cell r="W42" t="str">
            <v>b</v>
          </cell>
          <cell r="Y42">
            <v>39637.127542100046</v>
          </cell>
          <cell r="Z42" t="str">
            <v>F1</v>
          </cell>
          <cell r="AA42" t="str">
            <v>3230</v>
          </cell>
        </row>
        <row r="43">
          <cell r="A43" t="str">
            <v>PH02</v>
          </cell>
          <cell r="D43" t="str">
            <v>CHANCADOR</v>
          </cell>
          <cell r="V43">
            <v>36405</v>
          </cell>
          <cell r="W43" t="str">
            <v>b</v>
          </cell>
          <cell r="Y43">
            <v>20509.909018877348</v>
          </cell>
          <cell r="Z43" t="str">
            <v>F1</v>
          </cell>
          <cell r="AA43" t="str">
            <v>3245</v>
          </cell>
        </row>
        <row r="44">
          <cell r="A44" t="str">
            <v>PH02</v>
          </cell>
          <cell r="D44" t="str">
            <v>B-2990</v>
          </cell>
          <cell r="V44">
            <v>36405</v>
          </cell>
          <cell r="W44" t="str">
            <v>b</v>
          </cell>
          <cell r="Y44">
            <v>11983.31762900699</v>
          </cell>
          <cell r="Z44" t="str">
            <v>F1</v>
          </cell>
          <cell r="AA44" t="str">
            <v>3245</v>
          </cell>
        </row>
        <row r="45">
          <cell r="A45" t="str">
            <v>PH02</v>
          </cell>
          <cell r="D45" t="str">
            <v>VICTORIA</v>
          </cell>
          <cell r="V45">
            <v>36405</v>
          </cell>
          <cell r="W45" t="str">
            <v>b</v>
          </cell>
          <cell r="Y45">
            <v>1382.6904956546528</v>
          </cell>
          <cell r="Z45" t="str">
            <v>F1</v>
          </cell>
          <cell r="AA45" t="str">
            <v>3245</v>
          </cell>
        </row>
        <row r="46">
          <cell r="A46" t="str">
            <v>CF02</v>
          </cell>
          <cell r="D46" t="str">
            <v>H-3470</v>
          </cell>
          <cell r="V46">
            <v>36405</v>
          </cell>
          <cell r="W46" t="str">
            <v>b</v>
          </cell>
          <cell r="Y46">
            <v>16131.389115970949</v>
          </cell>
          <cell r="Z46" t="str">
            <v>F2</v>
          </cell>
          <cell r="AA46" t="str">
            <v>3395</v>
          </cell>
        </row>
        <row r="47">
          <cell r="A47" t="str">
            <v>CF02</v>
          </cell>
          <cell r="D47" t="str">
            <v>H-3470</v>
          </cell>
          <cell r="V47">
            <v>36405</v>
          </cell>
          <cell r="W47" t="str">
            <v>b</v>
          </cell>
          <cell r="Y47">
            <v>1843.587327539537</v>
          </cell>
          <cell r="Z47" t="str">
            <v>F2</v>
          </cell>
          <cell r="AA47" t="str">
            <v>3395</v>
          </cell>
        </row>
        <row r="48">
          <cell r="A48" t="str">
            <v>PH01</v>
          </cell>
          <cell r="D48" t="str">
            <v>P-2990</v>
          </cell>
          <cell r="V48">
            <v>36406</v>
          </cell>
          <cell r="W48" t="str">
            <v>a</v>
          </cell>
          <cell r="Y48">
            <v>20791.358052549916</v>
          </cell>
          <cell r="Z48" t="str">
            <v>F1</v>
          </cell>
          <cell r="AA48" t="str">
            <v>3230</v>
          </cell>
        </row>
        <row r="49">
          <cell r="A49" t="str">
            <v>PH01</v>
          </cell>
          <cell r="D49" t="str">
            <v>B-3230</v>
          </cell>
          <cell r="V49">
            <v>36406</v>
          </cell>
          <cell r="W49" t="str">
            <v>a</v>
          </cell>
          <cell r="Y49">
            <v>10052.964333101059</v>
          </cell>
          <cell r="Z49" t="str">
            <v>F1</v>
          </cell>
          <cell r="AA49" t="str">
            <v>3230</v>
          </cell>
        </row>
        <row r="50">
          <cell r="A50" t="str">
            <v>PH02</v>
          </cell>
          <cell r="D50" t="str">
            <v>P-2990</v>
          </cell>
          <cell r="V50">
            <v>36406</v>
          </cell>
          <cell r="W50" t="str">
            <v>a</v>
          </cell>
          <cell r="Y50">
            <v>28788.034226607575</v>
          </cell>
          <cell r="Z50" t="str">
            <v>F1</v>
          </cell>
          <cell r="AA50" t="str">
            <v>3245</v>
          </cell>
        </row>
        <row r="51">
          <cell r="A51" t="str">
            <v>PH02</v>
          </cell>
          <cell r="D51" t="str">
            <v>VICTORIA</v>
          </cell>
          <cell r="V51">
            <v>36406</v>
          </cell>
          <cell r="W51" t="str">
            <v>a</v>
          </cell>
          <cell r="Y51">
            <v>228.47646211593315</v>
          </cell>
          <cell r="Z51" t="str">
            <v>F1</v>
          </cell>
          <cell r="AA51" t="str">
            <v>3230</v>
          </cell>
        </row>
        <row r="52">
          <cell r="A52" t="str">
            <v>PH02</v>
          </cell>
          <cell r="D52" t="str">
            <v>CHANCADOR</v>
          </cell>
          <cell r="V52">
            <v>36406</v>
          </cell>
          <cell r="W52" t="str">
            <v>a</v>
          </cell>
          <cell r="Y52">
            <v>456.95292423186629</v>
          </cell>
          <cell r="Z52" t="str">
            <v>F1</v>
          </cell>
          <cell r="AA52" t="str">
            <v>3245</v>
          </cell>
        </row>
        <row r="53">
          <cell r="A53" t="str">
            <v>PH02</v>
          </cell>
          <cell r="D53" t="str">
            <v>CHANCADOR</v>
          </cell>
          <cell r="V53">
            <v>36406</v>
          </cell>
          <cell r="W53" t="str">
            <v>a</v>
          </cell>
          <cell r="Y53">
            <v>228.47646211593315</v>
          </cell>
          <cell r="Z53" t="str">
            <v>F1</v>
          </cell>
          <cell r="AA53" t="str">
            <v>3245</v>
          </cell>
        </row>
        <row r="54">
          <cell r="A54" t="str">
            <v>CF02</v>
          </cell>
          <cell r="D54" t="str">
            <v>H-3470</v>
          </cell>
          <cell r="V54">
            <v>36406</v>
          </cell>
          <cell r="W54" t="str">
            <v>a</v>
          </cell>
          <cell r="Y54">
            <v>15536.399423883453</v>
          </cell>
          <cell r="Z54" t="str">
            <v>F2</v>
          </cell>
          <cell r="AA54" t="str">
            <v>3380</v>
          </cell>
        </row>
        <row r="55">
          <cell r="A55" t="str">
            <v>PH01</v>
          </cell>
          <cell r="D55" t="str">
            <v>B-3230</v>
          </cell>
          <cell r="V55">
            <v>36406</v>
          </cell>
          <cell r="W55" t="str">
            <v>b</v>
          </cell>
          <cell r="Y55">
            <v>17553.103210257792</v>
          </cell>
          <cell r="Z55" t="str">
            <v>F1</v>
          </cell>
          <cell r="AA55" t="str">
            <v>3230</v>
          </cell>
        </row>
        <row r="56">
          <cell r="A56" t="str">
            <v>PH01</v>
          </cell>
          <cell r="D56" t="str">
            <v>DICSA</v>
          </cell>
          <cell r="V56">
            <v>36406</v>
          </cell>
          <cell r="W56" t="str">
            <v>b</v>
          </cell>
          <cell r="Y56">
            <v>5625.9946186723691</v>
          </cell>
          <cell r="Z56" t="str">
            <v>F1</v>
          </cell>
          <cell r="AA56" t="str">
            <v>3230</v>
          </cell>
        </row>
        <row r="57">
          <cell r="A57" t="str">
            <v>PH01</v>
          </cell>
          <cell r="D57" t="str">
            <v>CHANCADOR</v>
          </cell>
          <cell r="V57">
            <v>36406</v>
          </cell>
          <cell r="W57" t="str">
            <v>b</v>
          </cell>
          <cell r="Y57">
            <v>10126.790313610263</v>
          </cell>
          <cell r="Z57" t="str">
            <v>F1</v>
          </cell>
          <cell r="AA57" t="str">
            <v>3230</v>
          </cell>
        </row>
        <row r="58">
          <cell r="A58" t="str">
            <v>PH01</v>
          </cell>
          <cell r="D58" t="str">
            <v>P-2990</v>
          </cell>
          <cell r="V58">
            <v>36406</v>
          </cell>
          <cell r="W58" t="str">
            <v>b</v>
          </cell>
          <cell r="Y58">
            <v>9901.7505288633693</v>
          </cell>
          <cell r="Z58" t="str">
            <v>F1</v>
          </cell>
          <cell r="AA58" t="str">
            <v>3230</v>
          </cell>
        </row>
        <row r="59">
          <cell r="A59" t="str">
            <v>PH02</v>
          </cell>
          <cell r="D59" t="str">
            <v>VICTORIA</v>
          </cell>
          <cell r="V59">
            <v>36406</v>
          </cell>
          <cell r="W59" t="str">
            <v>b</v>
          </cell>
          <cell r="Y59">
            <v>6526.1537576599476</v>
          </cell>
          <cell r="Z59" t="str">
            <v>F1</v>
          </cell>
          <cell r="AA59" t="str">
            <v>3245</v>
          </cell>
        </row>
        <row r="60">
          <cell r="A60" t="str">
            <v>PH02</v>
          </cell>
          <cell r="D60" t="str">
            <v>VICTORIA</v>
          </cell>
          <cell r="V60">
            <v>36406</v>
          </cell>
          <cell r="W60" t="str">
            <v>b</v>
          </cell>
          <cell r="Y60">
            <v>225.03978474689475</v>
          </cell>
          <cell r="Z60" t="str">
            <v>F1</v>
          </cell>
          <cell r="AA60" t="str">
            <v>3245</v>
          </cell>
        </row>
        <row r="61">
          <cell r="A61" t="str">
            <v>PH02</v>
          </cell>
          <cell r="D61" t="str">
            <v>VICTORIA</v>
          </cell>
          <cell r="V61">
            <v>36406</v>
          </cell>
          <cell r="W61" t="str">
            <v>b</v>
          </cell>
          <cell r="Y61">
            <v>2475.4376322158423</v>
          </cell>
          <cell r="Z61" t="str">
            <v>F1</v>
          </cell>
          <cell r="AA61" t="str">
            <v>3245</v>
          </cell>
        </row>
        <row r="62">
          <cell r="A62" t="str">
            <v>CF02</v>
          </cell>
          <cell r="D62" t="str">
            <v>H-3470</v>
          </cell>
          <cell r="V62">
            <v>36406</v>
          </cell>
          <cell r="W62" t="str">
            <v>b</v>
          </cell>
          <cell r="Y62">
            <v>13502.387084813685</v>
          </cell>
          <cell r="Z62" t="str">
            <v>F2</v>
          </cell>
          <cell r="AA62" t="str">
            <v>3395</v>
          </cell>
        </row>
        <row r="63">
          <cell r="A63" t="str">
            <v>CF02</v>
          </cell>
          <cell r="D63" t="str">
            <v>H-3470</v>
          </cell>
          <cell r="V63">
            <v>36406</v>
          </cell>
          <cell r="W63" t="str">
            <v>b</v>
          </cell>
          <cell r="Y63">
            <v>5175.9150491785795</v>
          </cell>
          <cell r="Z63" t="str">
            <v>F2</v>
          </cell>
          <cell r="AA63" t="str">
            <v>3380</v>
          </cell>
        </row>
        <row r="64">
          <cell r="A64" t="str">
            <v>PH01</v>
          </cell>
          <cell r="D64" t="str">
            <v>P-2990</v>
          </cell>
          <cell r="V64">
            <v>36407</v>
          </cell>
          <cell r="W64" t="str">
            <v>a</v>
          </cell>
          <cell r="Y64">
            <v>9931.8879368477501</v>
          </cell>
          <cell r="Z64" t="str">
            <v>F1</v>
          </cell>
          <cell r="AA64" t="str">
            <v>3230</v>
          </cell>
        </row>
        <row r="65">
          <cell r="A65" t="str">
            <v>PH01</v>
          </cell>
          <cell r="D65" t="str">
            <v>P-2990</v>
          </cell>
          <cell r="V65">
            <v>36407</v>
          </cell>
          <cell r="W65" t="str">
            <v>a</v>
          </cell>
          <cell r="Y65">
            <v>11286.236291872445</v>
          </cell>
          <cell r="Z65" t="str">
            <v>F1</v>
          </cell>
          <cell r="AA65" t="str">
            <v>3230</v>
          </cell>
        </row>
        <row r="66">
          <cell r="A66" t="str">
            <v>PH01</v>
          </cell>
          <cell r="D66" t="str">
            <v>DICSA</v>
          </cell>
          <cell r="V66">
            <v>36407</v>
          </cell>
          <cell r="W66" t="str">
            <v>a</v>
          </cell>
          <cell r="Y66">
            <v>4288.7697909115286</v>
          </cell>
          <cell r="Z66" t="str">
            <v>F1</v>
          </cell>
          <cell r="AA66" t="str">
            <v>3230</v>
          </cell>
        </row>
        <row r="67">
          <cell r="A67" t="str">
            <v>PH01</v>
          </cell>
          <cell r="D67" t="str">
            <v>VICTORIA</v>
          </cell>
          <cell r="V67">
            <v>36407</v>
          </cell>
          <cell r="W67" t="str">
            <v>a</v>
          </cell>
          <cell r="Y67">
            <v>451.44945167489777</v>
          </cell>
          <cell r="Z67" t="str">
            <v>F1</v>
          </cell>
          <cell r="AA67" t="str">
            <v>3230</v>
          </cell>
        </row>
        <row r="68">
          <cell r="A68" t="str">
            <v>PH01</v>
          </cell>
          <cell r="D68" t="str">
            <v>DICSA</v>
          </cell>
          <cell r="V68">
            <v>36407</v>
          </cell>
          <cell r="W68" t="str">
            <v>a</v>
          </cell>
          <cell r="Y68">
            <v>1128.6236291872444</v>
          </cell>
          <cell r="Z68" t="str">
            <v>F1</v>
          </cell>
          <cell r="AA68" t="str">
            <v>3230</v>
          </cell>
        </row>
        <row r="69">
          <cell r="A69" t="str">
            <v>PH02</v>
          </cell>
          <cell r="D69" t="str">
            <v>VICTORIA</v>
          </cell>
          <cell r="V69">
            <v>36407</v>
          </cell>
          <cell r="W69" t="str">
            <v>a</v>
          </cell>
          <cell r="Y69">
            <v>22798.197309582338</v>
          </cell>
          <cell r="Z69" t="str">
            <v>F1</v>
          </cell>
          <cell r="AA69" t="str">
            <v>3245</v>
          </cell>
        </row>
        <row r="70">
          <cell r="A70" t="str">
            <v>PH02</v>
          </cell>
          <cell r="D70" t="str">
            <v>P-2990</v>
          </cell>
          <cell r="V70">
            <v>36407</v>
          </cell>
          <cell r="W70" t="str">
            <v>a</v>
          </cell>
          <cell r="Y70">
            <v>8577.5395818230572</v>
          </cell>
          <cell r="Z70" t="str">
            <v>F1</v>
          </cell>
          <cell r="AA70" t="str">
            <v>3245</v>
          </cell>
        </row>
        <row r="71">
          <cell r="A71" t="str">
            <v>PH02</v>
          </cell>
          <cell r="D71" t="str">
            <v>P-2990</v>
          </cell>
          <cell r="V71">
            <v>36407</v>
          </cell>
          <cell r="W71" t="str">
            <v>a</v>
          </cell>
          <cell r="Y71">
            <v>225.72472583744889</v>
          </cell>
          <cell r="Z71" t="str">
            <v>F1</v>
          </cell>
          <cell r="AA71" t="str">
            <v>3245</v>
          </cell>
        </row>
        <row r="72">
          <cell r="A72" t="str">
            <v>PH02</v>
          </cell>
          <cell r="D72" t="str">
            <v>P-2990</v>
          </cell>
          <cell r="V72">
            <v>36407</v>
          </cell>
          <cell r="W72" t="str">
            <v>a</v>
          </cell>
          <cell r="Y72">
            <v>1580.0730808621422</v>
          </cell>
          <cell r="Z72" t="str">
            <v>F1</v>
          </cell>
          <cell r="AA72" t="str">
            <v>3245</v>
          </cell>
        </row>
        <row r="73">
          <cell r="A73" t="str">
            <v>CF02</v>
          </cell>
          <cell r="D73" t="str">
            <v>H-3470</v>
          </cell>
          <cell r="V73">
            <v>36407</v>
          </cell>
          <cell r="W73" t="str">
            <v>a</v>
          </cell>
          <cell r="Y73">
            <v>18283.702792833359</v>
          </cell>
          <cell r="Z73" t="str">
            <v>F2</v>
          </cell>
          <cell r="AA73" t="str">
            <v>3380</v>
          </cell>
        </row>
        <row r="74">
          <cell r="A74" t="str">
            <v>PH01</v>
          </cell>
          <cell r="D74" t="str">
            <v>P-2990</v>
          </cell>
          <cell r="V74">
            <v>36407</v>
          </cell>
          <cell r="W74" t="str">
            <v>b</v>
          </cell>
          <cell r="Y74">
            <v>5564.1400052299705</v>
          </cell>
          <cell r="Z74" t="str">
            <v>F1</v>
          </cell>
          <cell r="AA74" t="str">
            <v>3230</v>
          </cell>
        </row>
        <row r="75">
          <cell r="A75" t="str">
            <v>PH01</v>
          </cell>
          <cell r="D75" t="str">
            <v>DICSA</v>
          </cell>
          <cell r="V75">
            <v>36407</v>
          </cell>
          <cell r="W75" t="str">
            <v>b</v>
          </cell>
          <cell r="Y75">
            <v>2670.7872025103861</v>
          </cell>
          <cell r="Z75" t="str">
            <v>F1</v>
          </cell>
          <cell r="AA75" t="str">
            <v>3230</v>
          </cell>
        </row>
        <row r="76">
          <cell r="A76" t="str">
            <v>PH01</v>
          </cell>
          <cell r="D76" t="str">
            <v>P-2990</v>
          </cell>
          <cell r="V76">
            <v>36407</v>
          </cell>
          <cell r="W76" t="str">
            <v>b</v>
          </cell>
          <cell r="Y76">
            <v>21588.863220292285</v>
          </cell>
          <cell r="Z76" t="str">
            <v>F1</v>
          </cell>
          <cell r="AA76" t="str">
            <v>3230</v>
          </cell>
        </row>
        <row r="77">
          <cell r="A77" t="str">
            <v>PH01</v>
          </cell>
          <cell r="D77" t="str">
            <v>DICSA</v>
          </cell>
          <cell r="V77">
            <v>36407</v>
          </cell>
          <cell r="W77" t="str">
            <v>b</v>
          </cell>
          <cell r="Y77">
            <v>667.69680062759653</v>
          </cell>
          <cell r="Z77" t="str">
            <v>F1</v>
          </cell>
          <cell r="AA77" t="str">
            <v>3230</v>
          </cell>
        </row>
        <row r="78">
          <cell r="A78" t="str">
            <v>PH02</v>
          </cell>
          <cell r="D78" t="str">
            <v>P-2990</v>
          </cell>
          <cell r="V78">
            <v>36407</v>
          </cell>
          <cell r="W78" t="str">
            <v>b</v>
          </cell>
          <cell r="Y78">
            <v>1557.9592014643918</v>
          </cell>
          <cell r="Z78" t="str">
            <v>F1</v>
          </cell>
          <cell r="AA78" t="str">
            <v>3245</v>
          </cell>
        </row>
        <row r="79">
          <cell r="A79" t="str">
            <v>PH02</v>
          </cell>
          <cell r="D79" t="str">
            <v>P-2990</v>
          </cell>
          <cell r="V79">
            <v>36407</v>
          </cell>
          <cell r="W79" t="str">
            <v>b</v>
          </cell>
          <cell r="Y79">
            <v>15134.46081422552</v>
          </cell>
          <cell r="Z79" t="str">
            <v>F1</v>
          </cell>
          <cell r="AA79" t="str">
            <v>3245</v>
          </cell>
        </row>
        <row r="80">
          <cell r="A80" t="str">
            <v>CF02</v>
          </cell>
          <cell r="D80" t="str">
            <v>H-3470</v>
          </cell>
          <cell r="V80">
            <v>36407</v>
          </cell>
          <cell r="W80" t="str">
            <v>b</v>
          </cell>
          <cell r="Y80">
            <v>4896.443204602374</v>
          </cell>
          <cell r="Z80" t="str">
            <v>F2</v>
          </cell>
          <cell r="AA80" t="str">
            <v>3380</v>
          </cell>
        </row>
        <row r="81">
          <cell r="A81" t="str">
            <v>CF02</v>
          </cell>
          <cell r="D81" t="str">
            <v>H-3470</v>
          </cell>
          <cell r="V81">
            <v>36407</v>
          </cell>
          <cell r="W81" t="str">
            <v>b</v>
          </cell>
          <cell r="Y81">
            <v>8902.6240083679531</v>
          </cell>
          <cell r="Z81" t="str">
            <v>F2</v>
          </cell>
          <cell r="AA81" t="str">
            <v>3380</v>
          </cell>
        </row>
        <row r="82">
          <cell r="A82" t="str">
            <v>CF02</v>
          </cell>
          <cell r="D82" t="str">
            <v>H-3470</v>
          </cell>
          <cell r="V82">
            <v>36407</v>
          </cell>
          <cell r="W82" t="str">
            <v>b</v>
          </cell>
          <cell r="Y82">
            <v>7344.6648069035618</v>
          </cell>
          <cell r="Z82" t="str">
            <v>F2</v>
          </cell>
          <cell r="AA82" t="str">
            <v>3395</v>
          </cell>
        </row>
        <row r="83">
          <cell r="A83" t="str">
            <v>PH01</v>
          </cell>
          <cell r="D83" t="str">
            <v>P-2990</v>
          </cell>
          <cell r="V83">
            <v>36408</v>
          </cell>
          <cell r="W83" t="str">
            <v>a</v>
          </cell>
          <cell r="Y83">
            <v>17427.82882379687</v>
          </cell>
          <cell r="Z83" t="str">
            <v>F1</v>
          </cell>
          <cell r="AA83" t="str">
            <v>3230</v>
          </cell>
        </row>
        <row r="84">
          <cell r="A84" t="str">
            <v>PH02</v>
          </cell>
          <cell r="D84" t="str">
            <v>P-2990</v>
          </cell>
          <cell r="V84">
            <v>36408</v>
          </cell>
          <cell r="W84" t="str">
            <v>a</v>
          </cell>
          <cell r="Y84">
            <v>19606.307426771476</v>
          </cell>
          <cell r="Z84" t="str">
            <v>F1</v>
          </cell>
          <cell r="AA84" t="str">
            <v>3245</v>
          </cell>
        </row>
        <row r="85">
          <cell r="A85" t="str">
            <v>CF02</v>
          </cell>
          <cell r="D85" t="str">
            <v>H-3470</v>
          </cell>
          <cell r="V85">
            <v>36408</v>
          </cell>
          <cell r="W85" t="str">
            <v>a</v>
          </cell>
          <cell r="Y85">
            <v>6099.7400883289047</v>
          </cell>
          <cell r="Z85" t="str">
            <v>F2</v>
          </cell>
          <cell r="AA85" t="str">
            <v>3395</v>
          </cell>
        </row>
        <row r="86">
          <cell r="A86" t="str">
            <v>CF02</v>
          </cell>
          <cell r="D86" t="str">
            <v>H-3470</v>
          </cell>
          <cell r="V86">
            <v>36408</v>
          </cell>
          <cell r="W86" t="str">
            <v>a</v>
          </cell>
          <cell r="Y86">
            <v>8496.066551600974</v>
          </cell>
          <cell r="Z86" t="str">
            <v>F2</v>
          </cell>
          <cell r="AA86" t="str">
            <v>3380</v>
          </cell>
        </row>
        <row r="87">
          <cell r="A87" t="str">
            <v>PH01</v>
          </cell>
          <cell r="D87" t="str">
            <v>P-2990</v>
          </cell>
          <cell r="V87">
            <v>36408</v>
          </cell>
          <cell r="W87" t="str">
            <v>b</v>
          </cell>
          <cell r="Y87">
            <v>1572.8468338732957</v>
          </cell>
          <cell r="Z87" t="str">
            <v>F1</v>
          </cell>
          <cell r="AA87" t="str">
            <v>3230</v>
          </cell>
        </row>
        <row r="88">
          <cell r="A88" t="str">
            <v>PH01</v>
          </cell>
          <cell r="D88" t="str">
            <v>P-2990</v>
          </cell>
          <cell r="V88">
            <v>36408</v>
          </cell>
          <cell r="W88" t="str">
            <v>b</v>
          </cell>
          <cell r="Y88">
            <v>1797.5392387123379</v>
          </cell>
          <cell r="Z88" t="str">
            <v>F1</v>
          </cell>
          <cell r="AA88" t="str">
            <v>3230</v>
          </cell>
        </row>
        <row r="89">
          <cell r="A89" t="str">
            <v>PH01</v>
          </cell>
          <cell r="D89" t="str">
            <v>P-2990</v>
          </cell>
          <cell r="V89">
            <v>36408</v>
          </cell>
          <cell r="W89" t="str">
            <v>b</v>
          </cell>
          <cell r="Y89">
            <v>17076.62276776721</v>
          </cell>
          <cell r="Z89" t="str">
            <v>F1</v>
          </cell>
          <cell r="AA89" t="str">
            <v>3230</v>
          </cell>
        </row>
        <row r="90">
          <cell r="A90" t="str">
            <v>PH01</v>
          </cell>
          <cell r="D90" t="str">
            <v>P-2990</v>
          </cell>
          <cell r="V90">
            <v>36408</v>
          </cell>
          <cell r="W90" t="str">
            <v>b</v>
          </cell>
          <cell r="Y90">
            <v>12807.467075825407</v>
          </cell>
          <cell r="Z90" t="str">
            <v>F1</v>
          </cell>
          <cell r="AA90" t="str">
            <v>3230</v>
          </cell>
        </row>
        <row r="91">
          <cell r="A91" t="str">
            <v>PH02</v>
          </cell>
          <cell r="D91" t="str">
            <v>P-2990</v>
          </cell>
          <cell r="V91">
            <v>36408</v>
          </cell>
          <cell r="W91" t="str">
            <v>b</v>
          </cell>
          <cell r="Y91">
            <v>8763.0037887226481</v>
          </cell>
          <cell r="Z91" t="str">
            <v>F1</v>
          </cell>
          <cell r="AA91" t="str">
            <v>3245</v>
          </cell>
        </row>
        <row r="92">
          <cell r="A92" t="str">
            <v>PH02</v>
          </cell>
          <cell r="D92" t="str">
            <v>PISO PH01</v>
          </cell>
          <cell r="V92">
            <v>36408</v>
          </cell>
          <cell r="W92" t="str">
            <v>b</v>
          </cell>
          <cell r="Y92">
            <v>2246.9240483904223</v>
          </cell>
          <cell r="Z92" t="str">
            <v>F1</v>
          </cell>
          <cell r="AA92" t="str">
            <v>3245</v>
          </cell>
        </row>
        <row r="93">
          <cell r="A93" t="str">
            <v>PH02</v>
          </cell>
          <cell r="D93" t="str">
            <v>P-2990</v>
          </cell>
          <cell r="V93">
            <v>36408</v>
          </cell>
          <cell r="W93" t="str">
            <v>b</v>
          </cell>
          <cell r="Y93">
            <v>8313.6189790445624</v>
          </cell>
          <cell r="Z93" t="str">
            <v>F1</v>
          </cell>
          <cell r="AA93" t="str">
            <v>3245</v>
          </cell>
        </row>
        <row r="94">
          <cell r="A94" t="str">
            <v>CF02</v>
          </cell>
          <cell r="D94" t="str">
            <v>P-2990</v>
          </cell>
          <cell r="V94">
            <v>36408</v>
          </cell>
          <cell r="W94" t="str">
            <v>b</v>
          </cell>
          <cell r="Y94">
            <v>449.38480967808448</v>
          </cell>
          <cell r="Z94" t="str">
            <v>F2</v>
          </cell>
          <cell r="AA94" t="str">
            <v>3395</v>
          </cell>
        </row>
        <row r="95">
          <cell r="A95" t="str">
            <v>CF02</v>
          </cell>
          <cell r="D95" t="str">
            <v>H-3470</v>
          </cell>
          <cell r="V95">
            <v>36408</v>
          </cell>
          <cell r="W95" t="str">
            <v>b</v>
          </cell>
          <cell r="Y95">
            <v>18874.16200647955</v>
          </cell>
          <cell r="Z95" t="str">
            <v>F2</v>
          </cell>
          <cell r="AA95" t="str">
            <v>3395</v>
          </cell>
        </row>
        <row r="96">
          <cell r="A96" t="str">
            <v>PH01</v>
          </cell>
          <cell r="D96" t="str">
            <v>P-2990</v>
          </cell>
          <cell r="V96">
            <v>36409</v>
          </cell>
          <cell r="W96" t="str">
            <v>a</v>
          </cell>
          <cell r="Y96">
            <v>22908.524983175666</v>
          </cell>
          <cell r="Z96" t="str">
            <v>F1</v>
          </cell>
          <cell r="AA96" t="str">
            <v>3230</v>
          </cell>
        </row>
        <row r="97">
          <cell r="A97" t="str">
            <v>PH01</v>
          </cell>
          <cell r="D97" t="str">
            <v>P-2990</v>
          </cell>
          <cell r="V97">
            <v>36409</v>
          </cell>
          <cell r="W97" t="str">
            <v>a</v>
          </cell>
          <cell r="Y97">
            <v>12115.085327640978</v>
          </cell>
          <cell r="Z97" t="str">
            <v>F1</v>
          </cell>
          <cell r="AA97" t="str">
            <v>3230</v>
          </cell>
        </row>
        <row r="98">
          <cell r="A98" t="str">
            <v>PH02</v>
          </cell>
          <cell r="D98" t="str">
            <v>P-2990</v>
          </cell>
          <cell r="V98">
            <v>36409</v>
          </cell>
          <cell r="W98" t="str">
            <v>a</v>
          </cell>
          <cell r="Y98">
            <v>5066.3084097407727</v>
          </cell>
          <cell r="Z98" t="str">
            <v>F1</v>
          </cell>
          <cell r="AA98" t="str">
            <v>3245</v>
          </cell>
        </row>
        <row r="99">
          <cell r="A99" t="str">
            <v>PH02</v>
          </cell>
          <cell r="D99" t="str">
            <v>DICSA</v>
          </cell>
          <cell r="V99">
            <v>36409</v>
          </cell>
          <cell r="W99" t="str">
            <v>a</v>
          </cell>
          <cell r="Y99">
            <v>11013.713934219071</v>
          </cell>
          <cell r="Z99" t="str">
            <v>F1</v>
          </cell>
          <cell r="AA99" t="str">
            <v>3245</v>
          </cell>
        </row>
        <row r="100">
          <cell r="A100" t="str">
            <v>PH02</v>
          </cell>
          <cell r="D100" t="str">
            <v>DICSA</v>
          </cell>
          <cell r="V100">
            <v>36409</v>
          </cell>
          <cell r="W100" t="str">
            <v>a</v>
          </cell>
          <cell r="Y100">
            <v>1541.9199507906699</v>
          </cell>
          <cell r="Z100" t="str">
            <v>F1</v>
          </cell>
          <cell r="AA100" t="str">
            <v>3245</v>
          </cell>
        </row>
        <row r="101">
          <cell r="A101" t="str">
            <v>PH02</v>
          </cell>
          <cell r="D101" t="str">
            <v>P-2990</v>
          </cell>
          <cell r="V101">
            <v>36409</v>
          </cell>
          <cell r="W101" t="str">
            <v>a</v>
          </cell>
          <cell r="Y101">
            <v>881.09711473752566</v>
          </cell>
          <cell r="Z101" t="str">
            <v>F1</v>
          </cell>
          <cell r="AA101" t="str">
            <v>3245</v>
          </cell>
        </row>
        <row r="102">
          <cell r="A102" t="str">
            <v>PH02</v>
          </cell>
          <cell r="D102" t="str">
            <v>DICSA</v>
          </cell>
          <cell r="V102">
            <v>36409</v>
          </cell>
          <cell r="W102" t="str">
            <v>a</v>
          </cell>
          <cell r="Y102">
            <v>440.54855736876283</v>
          </cell>
          <cell r="Z102" t="str">
            <v>F1</v>
          </cell>
          <cell r="AA102" t="str">
            <v>3245</v>
          </cell>
        </row>
        <row r="103">
          <cell r="A103" t="str">
            <v>CF02</v>
          </cell>
          <cell r="D103" t="str">
            <v>H-3470</v>
          </cell>
          <cell r="V103">
            <v>36409</v>
          </cell>
          <cell r="W103" t="str">
            <v>a</v>
          </cell>
          <cell r="Y103">
            <v>14758.376671853555</v>
          </cell>
          <cell r="Z103" t="str">
            <v>F2</v>
          </cell>
          <cell r="AA103" t="str">
            <v>3395</v>
          </cell>
        </row>
        <row r="104">
          <cell r="A104" t="str">
            <v>PH01</v>
          </cell>
          <cell r="D104" t="str">
            <v>P-2990</v>
          </cell>
          <cell r="V104">
            <v>36409</v>
          </cell>
          <cell r="W104" t="str">
            <v>b</v>
          </cell>
          <cell r="Y104">
            <v>24129.066014645014</v>
          </cell>
          <cell r="Z104" t="str">
            <v>F1</v>
          </cell>
          <cell r="AA104" t="str">
            <v>3230</v>
          </cell>
        </row>
        <row r="105">
          <cell r="A105" t="str">
            <v>PH01</v>
          </cell>
          <cell r="D105" t="str">
            <v>P-2990</v>
          </cell>
          <cell r="V105">
            <v>36409</v>
          </cell>
          <cell r="W105" t="str">
            <v>b</v>
          </cell>
          <cell r="Y105">
            <v>15274.362890004642</v>
          </cell>
          <cell r="Z105" t="str">
            <v>F1</v>
          </cell>
          <cell r="AA105" t="str">
            <v>3230</v>
          </cell>
        </row>
        <row r="106">
          <cell r="A106" t="str">
            <v>CF02</v>
          </cell>
          <cell r="D106" t="str">
            <v>H-3470</v>
          </cell>
          <cell r="V106">
            <v>36409</v>
          </cell>
          <cell r="W106" t="str">
            <v>b</v>
          </cell>
          <cell r="Y106">
            <v>16159.833202468679</v>
          </cell>
          <cell r="Z106" t="str">
            <v>F2</v>
          </cell>
          <cell r="AA106" t="str">
            <v>3395</v>
          </cell>
        </row>
        <row r="107">
          <cell r="A107" t="str">
            <v>PH01</v>
          </cell>
          <cell r="D107" t="str">
            <v>P-2990</v>
          </cell>
          <cell r="V107">
            <v>36410</v>
          </cell>
          <cell r="W107" t="str">
            <v>a</v>
          </cell>
          <cell r="Y107">
            <v>15270.673188282444</v>
          </cell>
          <cell r="Z107" t="str">
            <v>F1</v>
          </cell>
          <cell r="AA107" t="str">
            <v>3230</v>
          </cell>
        </row>
        <row r="108">
          <cell r="A108" t="str">
            <v>PH01</v>
          </cell>
          <cell r="D108" t="str">
            <v>P-2990</v>
          </cell>
          <cell r="V108">
            <v>36410</v>
          </cell>
          <cell r="W108" t="str">
            <v>a</v>
          </cell>
          <cell r="Y108">
            <v>3143.9621269993268</v>
          </cell>
          <cell r="Z108" t="str">
            <v>F1</v>
          </cell>
          <cell r="AA108" t="str">
            <v>3230</v>
          </cell>
        </row>
        <row r="109">
          <cell r="A109" t="str">
            <v>PH01</v>
          </cell>
          <cell r="D109" t="str">
            <v>P-2990</v>
          </cell>
          <cell r="V109">
            <v>36410</v>
          </cell>
          <cell r="W109" t="str">
            <v>a</v>
          </cell>
          <cell r="Y109">
            <v>11003.867444497644</v>
          </cell>
          <cell r="Z109" t="str">
            <v>F1</v>
          </cell>
          <cell r="AA109" t="str">
            <v>3230</v>
          </cell>
        </row>
        <row r="110">
          <cell r="A110" t="str">
            <v>PH01</v>
          </cell>
          <cell r="D110" t="str">
            <v>P-2990</v>
          </cell>
          <cell r="V110">
            <v>36410</v>
          </cell>
          <cell r="W110" t="str">
            <v>a</v>
          </cell>
          <cell r="Y110">
            <v>2470.2559569280425</v>
          </cell>
          <cell r="Z110" t="str">
            <v>F1</v>
          </cell>
          <cell r="AA110" t="str">
            <v>3230</v>
          </cell>
        </row>
        <row r="111">
          <cell r="A111" t="str">
            <v>PH02</v>
          </cell>
          <cell r="D111" t="str">
            <v>DICSA</v>
          </cell>
          <cell r="V111">
            <v>36410</v>
          </cell>
          <cell r="W111" t="str">
            <v>a</v>
          </cell>
          <cell r="Y111">
            <v>14596.96701821116</v>
          </cell>
          <cell r="Z111" t="str">
            <v>F1</v>
          </cell>
          <cell r="AA111" t="str">
            <v>3245</v>
          </cell>
        </row>
        <row r="112">
          <cell r="A112" t="str">
            <v>CF02</v>
          </cell>
          <cell r="D112" t="str">
            <v>H-3470</v>
          </cell>
          <cell r="V112">
            <v>36410</v>
          </cell>
          <cell r="W112" t="str">
            <v>a</v>
          </cell>
          <cell r="Y112">
            <v>16618.085528425014</v>
          </cell>
          <cell r="Z112" t="str">
            <v>F2</v>
          </cell>
          <cell r="AA112" t="str">
            <v>3395</v>
          </cell>
        </row>
        <row r="113">
          <cell r="A113" t="str">
            <v>CF02</v>
          </cell>
          <cell r="D113" t="str">
            <v>H-3470</v>
          </cell>
          <cell r="V113">
            <v>36410</v>
          </cell>
          <cell r="W113" t="str">
            <v>b</v>
          </cell>
          <cell r="Y113">
            <v>37606.306264856983</v>
          </cell>
          <cell r="Z113" t="str">
            <v>F2</v>
          </cell>
          <cell r="AA113" t="str">
            <v>3395</v>
          </cell>
        </row>
        <row r="114">
          <cell r="A114" t="str">
            <v>CF02</v>
          </cell>
          <cell r="D114" t="str">
            <v>H-3470</v>
          </cell>
          <cell r="V114">
            <v>36411</v>
          </cell>
          <cell r="W114" t="str">
            <v>b</v>
          </cell>
          <cell r="Y114">
            <v>19996.779844912417</v>
          </cell>
          <cell r="Z114" t="str">
            <v>F2</v>
          </cell>
          <cell r="AA114" t="str">
            <v>3395</v>
          </cell>
        </row>
        <row r="115">
          <cell r="A115" t="str">
            <v>PH01</v>
          </cell>
          <cell r="D115" t="str">
            <v>P-2990</v>
          </cell>
          <cell r="V115">
            <v>36411</v>
          </cell>
          <cell r="W115" t="str">
            <v>b</v>
          </cell>
          <cell r="Y115">
            <v>6443.406838916223</v>
          </cell>
          <cell r="Z115" t="str">
            <v>F1</v>
          </cell>
          <cell r="AA115" t="str">
            <v>3230</v>
          </cell>
        </row>
        <row r="116">
          <cell r="A116" t="str">
            <v>PH02</v>
          </cell>
          <cell r="D116" t="str">
            <v>DICSA</v>
          </cell>
          <cell r="V116">
            <v>36411</v>
          </cell>
          <cell r="W116" t="str">
            <v>b</v>
          </cell>
          <cell r="Y116">
            <v>13775.559448717442</v>
          </cell>
          <cell r="Z116" t="str">
            <v>F1</v>
          </cell>
          <cell r="AA116" t="str">
            <v>3245</v>
          </cell>
        </row>
        <row r="117">
          <cell r="A117" t="str">
            <v>CF02</v>
          </cell>
          <cell r="D117" t="str">
            <v>H-3470</v>
          </cell>
          <cell r="V117">
            <v>36412</v>
          </cell>
          <cell r="W117" t="str">
            <v>a</v>
          </cell>
          <cell r="Y117">
            <v>7130.8734873928288</v>
          </cell>
          <cell r="Z117" t="str">
            <v>F2</v>
          </cell>
          <cell r="AA117" t="str">
            <v>3395</v>
          </cell>
        </row>
        <row r="118">
          <cell r="A118" t="str">
            <v>PH01</v>
          </cell>
          <cell r="D118" t="str">
            <v>P-2990</v>
          </cell>
          <cell r="V118">
            <v>36412</v>
          </cell>
          <cell r="W118" t="str">
            <v>a</v>
          </cell>
          <cell r="Y118">
            <v>15411.887859849017</v>
          </cell>
          <cell r="Z118" t="str">
            <v>F1</v>
          </cell>
          <cell r="AA118" t="str">
            <v>3230</v>
          </cell>
        </row>
        <row r="119">
          <cell r="A119" t="str">
            <v>PH02</v>
          </cell>
          <cell r="D119" t="str">
            <v>DICSA</v>
          </cell>
          <cell r="V119">
            <v>36412</v>
          </cell>
          <cell r="W119" t="str">
            <v>a</v>
          </cell>
          <cell r="Y119">
            <v>19092.33869205177</v>
          </cell>
          <cell r="Z119" t="str">
            <v>F1</v>
          </cell>
          <cell r="AA119" t="str">
            <v>3245</v>
          </cell>
        </row>
        <row r="120">
          <cell r="A120" t="str">
            <v>PH01</v>
          </cell>
          <cell r="D120" t="str">
            <v>P-2990</v>
          </cell>
          <cell r="V120">
            <v>36412</v>
          </cell>
          <cell r="W120" t="str">
            <v>b</v>
          </cell>
          <cell r="Y120">
            <v>1510.2358783364371</v>
          </cell>
          <cell r="Z120" t="str">
            <v>F1</v>
          </cell>
          <cell r="AA120" t="str">
            <v>3230</v>
          </cell>
        </row>
        <row r="121">
          <cell r="A121" t="str">
            <v>PH02</v>
          </cell>
          <cell r="D121" t="str">
            <v>DICSA</v>
          </cell>
          <cell r="V121">
            <v>36412</v>
          </cell>
          <cell r="W121" t="str">
            <v>b</v>
          </cell>
          <cell r="Y121">
            <v>17475.586592178774</v>
          </cell>
          <cell r="Z121" t="str">
            <v>F1</v>
          </cell>
          <cell r="AA121" t="str">
            <v>3245</v>
          </cell>
        </row>
        <row r="122">
          <cell r="A122" t="str">
            <v>PH01</v>
          </cell>
          <cell r="D122" t="str">
            <v>P-2990</v>
          </cell>
          <cell r="V122">
            <v>36413</v>
          </cell>
          <cell r="W122" t="str">
            <v>a</v>
          </cell>
          <cell r="Y122">
            <v>42791.29586045914</v>
          </cell>
          <cell r="Z122" t="str">
            <v>F1</v>
          </cell>
          <cell r="AA122" t="str">
            <v>3230</v>
          </cell>
        </row>
        <row r="123">
          <cell r="A123" t="str">
            <v>PH02</v>
          </cell>
          <cell r="D123" t="str">
            <v>DICSA</v>
          </cell>
          <cell r="V123">
            <v>36413</v>
          </cell>
          <cell r="W123" t="str">
            <v>a</v>
          </cell>
          <cell r="Y123">
            <v>34841.000454690773</v>
          </cell>
          <cell r="Z123" t="str">
            <v>F1</v>
          </cell>
          <cell r="AA123" t="str">
            <v>3245</v>
          </cell>
        </row>
        <row r="124">
          <cell r="A124" t="str">
            <v>PH01</v>
          </cell>
          <cell r="D124" t="str">
            <v>P-2990</v>
          </cell>
          <cell r="V124">
            <v>36413</v>
          </cell>
          <cell r="W124" t="str">
            <v>b</v>
          </cell>
          <cell r="Y124">
            <v>20812.293088437964</v>
          </cell>
          <cell r="Z124" t="str">
            <v>F1</v>
          </cell>
          <cell r="AA124" t="str">
            <v>3230</v>
          </cell>
        </row>
        <row r="125">
          <cell r="A125" t="str">
            <v>PH01</v>
          </cell>
          <cell r="D125" t="str">
            <v>P-2990</v>
          </cell>
          <cell r="V125">
            <v>36413</v>
          </cell>
          <cell r="W125" t="str">
            <v>b</v>
          </cell>
          <cell r="Y125">
            <v>16336.531133935176</v>
          </cell>
          <cell r="Z125" t="str">
            <v>F1</v>
          </cell>
          <cell r="AA125" t="str">
            <v>3230</v>
          </cell>
        </row>
        <row r="126">
          <cell r="A126" t="str">
            <v>PH02</v>
          </cell>
          <cell r="D126" t="str">
            <v>DICSA</v>
          </cell>
          <cell r="V126">
            <v>36413</v>
          </cell>
          <cell r="W126" t="str">
            <v>b</v>
          </cell>
          <cell r="Y126">
            <v>40281.857590525091</v>
          </cell>
          <cell r="Z126" t="str">
            <v>F1</v>
          </cell>
          <cell r="AA126" t="str">
            <v>3245</v>
          </cell>
        </row>
        <row r="127">
          <cell r="A127" t="str">
            <v>PH02</v>
          </cell>
          <cell r="D127" t="str">
            <v>P-2990</v>
          </cell>
          <cell r="V127">
            <v>36413</v>
          </cell>
          <cell r="W127" t="str">
            <v>b</v>
          </cell>
          <cell r="Y127">
            <v>2685.4571727016728</v>
          </cell>
          <cell r="Z127" t="str">
            <v>F1</v>
          </cell>
          <cell r="AA127" t="str">
            <v>3245</v>
          </cell>
        </row>
        <row r="128">
          <cell r="A128" t="str">
            <v>CF01</v>
          </cell>
          <cell r="D128" t="str">
            <v>DICSA</v>
          </cell>
          <cell r="V128">
            <v>36414</v>
          </cell>
          <cell r="W128" t="str">
            <v>a</v>
          </cell>
          <cell r="Y128">
            <v>2768.5050426022622</v>
          </cell>
          <cell r="Z128" t="str">
            <v>F1</v>
          </cell>
          <cell r="AA128" t="str">
            <v>3245</v>
          </cell>
        </row>
        <row r="129">
          <cell r="A129" t="str">
            <v>CF01</v>
          </cell>
          <cell r="D129" t="str">
            <v>H-3470</v>
          </cell>
          <cell r="V129">
            <v>36414</v>
          </cell>
          <cell r="W129" t="str">
            <v>a</v>
          </cell>
          <cell r="Y129">
            <v>4383.4663174535817</v>
          </cell>
          <cell r="Z129" t="str">
            <v>F2</v>
          </cell>
          <cell r="AA129" t="str">
            <v>3395</v>
          </cell>
        </row>
        <row r="130">
          <cell r="A130" t="str">
            <v>CF01</v>
          </cell>
          <cell r="D130" t="str">
            <v>P-2990</v>
          </cell>
          <cell r="V130">
            <v>36414</v>
          </cell>
          <cell r="W130" t="str">
            <v>a</v>
          </cell>
          <cell r="Y130">
            <v>692.12626065056554</v>
          </cell>
          <cell r="Z130" t="str">
            <v>F1</v>
          </cell>
          <cell r="AA130" t="str">
            <v>3245</v>
          </cell>
        </row>
        <row r="131">
          <cell r="A131" t="str">
            <v>PH01</v>
          </cell>
          <cell r="D131" t="str">
            <v>DICSA</v>
          </cell>
          <cell r="V131">
            <v>36414</v>
          </cell>
          <cell r="W131" t="str">
            <v>a</v>
          </cell>
          <cell r="Y131">
            <v>8997.6413884573521</v>
          </cell>
          <cell r="Z131" t="str">
            <v>F1</v>
          </cell>
          <cell r="AA131" t="str">
            <v>3230</v>
          </cell>
        </row>
        <row r="132">
          <cell r="A132" t="str">
            <v>PH01</v>
          </cell>
          <cell r="D132" t="str">
            <v>P-2990</v>
          </cell>
          <cell r="V132">
            <v>36414</v>
          </cell>
          <cell r="W132" t="str">
            <v>a</v>
          </cell>
          <cell r="Y132">
            <v>10843.31141685886</v>
          </cell>
          <cell r="Z132" t="str">
            <v>F1</v>
          </cell>
          <cell r="AA132" t="str">
            <v>3230</v>
          </cell>
        </row>
        <row r="133">
          <cell r="A133" t="str">
            <v>PH01</v>
          </cell>
          <cell r="D133" t="str">
            <v>P-2990</v>
          </cell>
          <cell r="V133">
            <v>36414</v>
          </cell>
          <cell r="W133" t="str">
            <v>a</v>
          </cell>
          <cell r="Y133">
            <v>17995.282776914704</v>
          </cell>
          <cell r="Z133" t="str">
            <v>F1</v>
          </cell>
          <cell r="AA133" t="str">
            <v>3230</v>
          </cell>
        </row>
        <row r="134">
          <cell r="A134" t="str">
            <v>PH02</v>
          </cell>
          <cell r="D134" t="str">
            <v>DICSA</v>
          </cell>
          <cell r="V134">
            <v>36414</v>
          </cell>
          <cell r="W134" t="str">
            <v>a</v>
          </cell>
          <cell r="Y134">
            <v>18918.117791115459</v>
          </cell>
          <cell r="Z134" t="str">
            <v>F1</v>
          </cell>
          <cell r="AA134" t="str">
            <v>3245</v>
          </cell>
        </row>
        <row r="135">
          <cell r="A135" t="str">
            <v>PH02</v>
          </cell>
          <cell r="D135" t="str">
            <v>P-2990</v>
          </cell>
          <cell r="V135">
            <v>36414</v>
          </cell>
          <cell r="W135" t="str">
            <v>a</v>
          </cell>
          <cell r="Y135">
            <v>18918.117791115459</v>
          </cell>
          <cell r="Z135" t="str">
            <v>F1</v>
          </cell>
          <cell r="AA135" t="str">
            <v>3245</v>
          </cell>
        </row>
        <row r="136">
          <cell r="A136" t="str">
            <v>CF01</v>
          </cell>
          <cell r="D136" t="str">
            <v>DICSA</v>
          </cell>
          <cell r="V136">
            <v>36414</v>
          </cell>
          <cell r="W136" t="str">
            <v>b</v>
          </cell>
          <cell r="Y136">
            <v>3395.7355059128513</v>
          </cell>
          <cell r="Z136" t="str">
            <v>F1</v>
          </cell>
          <cell r="AA136" t="str">
            <v>3245</v>
          </cell>
        </row>
        <row r="137">
          <cell r="A137" t="str">
            <v>CF01</v>
          </cell>
          <cell r="D137" t="str">
            <v>H-3470</v>
          </cell>
          <cell r="V137">
            <v>36414</v>
          </cell>
          <cell r="W137" t="str">
            <v>b</v>
          </cell>
          <cell r="Y137">
            <v>9508.0594165559833</v>
          </cell>
          <cell r="Z137" t="str">
            <v>F2</v>
          </cell>
          <cell r="AA137" t="str">
            <v>3395</v>
          </cell>
        </row>
        <row r="138">
          <cell r="A138" t="str">
            <v>CF01</v>
          </cell>
          <cell r="D138" t="str">
            <v>H-3470</v>
          </cell>
          <cell r="V138">
            <v>36414</v>
          </cell>
          <cell r="W138" t="str">
            <v>b</v>
          </cell>
          <cell r="Y138">
            <v>3395.7355059128513</v>
          </cell>
          <cell r="Z138" t="str">
            <v>F2</v>
          </cell>
          <cell r="AA138" t="str">
            <v>3380</v>
          </cell>
        </row>
        <row r="139">
          <cell r="A139" t="str">
            <v>PH01</v>
          </cell>
          <cell r="D139" t="str">
            <v>P-2990</v>
          </cell>
          <cell r="V139">
            <v>36414</v>
          </cell>
          <cell r="W139" t="str">
            <v>b</v>
          </cell>
          <cell r="Y139">
            <v>24449.295642572528</v>
          </cell>
          <cell r="Z139" t="str">
            <v>F1</v>
          </cell>
          <cell r="AA139" t="str">
            <v>3230</v>
          </cell>
        </row>
        <row r="140">
          <cell r="A140" t="str">
            <v>PH01</v>
          </cell>
          <cell r="D140" t="str">
            <v>P-2990</v>
          </cell>
          <cell r="V140">
            <v>36414</v>
          </cell>
          <cell r="W140" t="str">
            <v>b</v>
          </cell>
          <cell r="Y140">
            <v>11092.735985981981</v>
          </cell>
          <cell r="Z140" t="str">
            <v>F1</v>
          </cell>
          <cell r="AA140" t="str">
            <v>3230</v>
          </cell>
        </row>
        <row r="141">
          <cell r="A141" t="str">
            <v>PH02</v>
          </cell>
          <cell r="D141" t="str">
            <v>H-3470</v>
          </cell>
          <cell r="V141">
            <v>36414</v>
          </cell>
          <cell r="W141" t="str">
            <v>b</v>
          </cell>
          <cell r="Y141">
            <v>9281.677049495127</v>
          </cell>
          <cell r="Z141" t="str">
            <v>F2</v>
          </cell>
          <cell r="AA141" t="str">
            <v>3395</v>
          </cell>
        </row>
        <row r="142">
          <cell r="A142" t="str">
            <v>CF01</v>
          </cell>
          <cell r="D142" t="str">
            <v>DICSA</v>
          </cell>
          <cell r="V142">
            <v>36415</v>
          </cell>
          <cell r="W142" t="str">
            <v>a</v>
          </cell>
          <cell r="Y142">
            <v>7153.2565175342697</v>
          </cell>
          <cell r="Z142" t="str">
            <v>F1</v>
          </cell>
          <cell r="AA142" t="str">
            <v>3245</v>
          </cell>
        </row>
        <row r="143">
          <cell r="A143" t="str">
            <v>CF01</v>
          </cell>
          <cell r="D143" t="str">
            <v>P-2990</v>
          </cell>
          <cell r="V143">
            <v>36415</v>
          </cell>
          <cell r="W143" t="str">
            <v>a</v>
          </cell>
          <cell r="Y143">
            <v>2538.2523126734504</v>
          </cell>
          <cell r="Z143" t="str">
            <v>F1</v>
          </cell>
          <cell r="AA143" t="str">
            <v>3245</v>
          </cell>
        </row>
        <row r="144">
          <cell r="A144" t="str">
            <v>CF01</v>
          </cell>
          <cell r="D144" t="str">
            <v>P-2990</v>
          </cell>
          <cell r="V144">
            <v>36415</v>
          </cell>
          <cell r="W144" t="str">
            <v>a</v>
          </cell>
          <cell r="Y144">
            <v>2307.5021024304096</v>
          </cell>
          <cell r="Z144" t="str">
            <v>F1</v>
          </cell>
          <cell r="AA144" t="str">
            <v>3245</v>
          </cell>
        </row>
        <row r="145">
          <cell r="A145" t="str">
            <v>CF01</v>
          </cell>
          <cell r="D145" t="str">
            <v>DICSA</v>
          </cell>
          <cell r="V145">
            <v>36415</v>
          </cell>
          <cell r="W145" t="str">
            <v>a</v>
          </cell>
          <cell r="Y145">
            <v>2076.7518921873684</v>
          </cell>
          <cell r="Z145" t="str">
            <v>F1</v>
          </cell>
          <cell r="AA145" t="str">
            <v>3245</v>
          </cell>
        </row>
        <row r="146">
          <cell r="A146" t="str">
            <v>PH01</v>
          </cell>
          <cell r="D146" t="str">
            <v>P-2990</v>
          </cell>
          <cell r="V146">
            <v>36415</v>
          </cell>
          <cell r="W146" t="str">
            <v>a</v>
          </cell>
          <cell r="Y146">
            <v>24921.022706248423</v>
          </cell>
          <cell r="Z146" t="str">
            <v>F1</v>
          </cell>
          <cell r="AA146" t="str">
            <v>3230</v>
          </cell>
        </row>
        <row r="147">
          <cell r="A147" t="str">
            <v>PH01</v>
          </cell>
          <cell r="D147" t="str">
            <v>P-2990</v>
          </cell>
          <cell r="V147">
            <v>36415</v>
          </cell>
          <cell r="W147" t="str">
            <v>a</v>
          </cell>
          <cell r="Y147">
            <v>10614.509671179883</v>
          </cell>
          <cell r="Z147" t="str">
            <v>F1</v>
          </cell>
          <cell r="AA147" t="str">
            <v>3230</v>
          </cell>
        </row>
        <row r="148">
          <cell r="A148" t="str">
            <v>PH02</v>
          </cell>
          <cell r="D148" t="str">
            <v>H-3470</v>
          </cell>
          <cell r="V148">
            <v>36415</v>
          </cell>
          <cell r="W148" t="str">
            <v>a</v>
          </cell>
          <cell r="Y148">
            <v>40612.037002775207</v>
          </cell>
          <cell r="Z148" t="str">
            <v>F2</v>
          </cell>
          <cell r="AA148" t="str">
            <v>3395</v>
          </cell>
        </row>
        <row r="149">
          <cell r="A149" t="str">
            <v>CF01</v>
          </cell>
          <cell r="D149" t="str">
            <v>DICSA</v>
          </cell>
          <cell r="V149">
            <v>36415</v>
          </cell>
          <cell r="W149" t="str">
            <v>b</v>
          </cell>
          <cell r="Y149">
            <v>10491.618841313224</v>
          </cell>
          <cell r="Z149" t="str">
            <v>F1</v>
          </cell>
          <cell r="AA149" t="str">
            <v>3245</v>
          </cell>
        </row>
        <row r="150">
          <cell r="A150" t="str">
            <v>PH01</v>
          </cell>
          <cell r="D150" t="str">
            <v>P-2990</v>
          </cell>
          <cell r="V150">
            <v>36415</v>
          </cell>
          <cell r="W150" t="str">
            <v>b</v>
          </cell>
          <cell r="Y150">
            <v>13988.825121750966</v>
          </cell>
          <cell r="Z150" t="str">
            <v>F1</v>
          </cell>
          <cell r="AA150" t="str">
            <v>3230</v>
          </cell>
        </row>
        <row r="151">
          <cell r="A151" t="str">
            <v>PH02</v>
          </cell>
          <cell r="D151" t="str">
            <v>H-3470</v>
          </cell>
          <cell r="V151">
            <v>36415</v>
          </cell>
          <cell r="W151" t="str">
            <v>b</v>
          </cell>
          <cell r="Y151">
            <v>7868.7141309849185</v>
          </cell>
          <cell r="Z151" t="str">
            <v>F2</v>
          </cell>
          <cell r="AA151" t="str">
            <v>3395</v>
          </cell>
        </row>
        <row r="152">
          <cell r="A152" t="str">
            <v>CF01</v>
          </cell>
          <cell r="D152" t="str">
            <v>H-3470</v>
          </cell>
          <cell r="V152">
            <v>36416</v>
          </cell>
          <cell r="W152" t="str">
            <v>a</v>
          </cell>
          <cell r="Y152">
            <v>15036.470573834706</v>
          </cell>
          <cell r="Z152" t="str">
            <v>F2</v>
          </cell>
          <cell r="AA152" t="str">
            <v>3395</v>
          </cell>
        </row>
        <row r="153">
          <cell r="A153" t="str">
            <v>PH02</v>
          </cell>
          <cell r="D153" t="str">
            <v>H-3470</v>
          </cell>
          <cell r="V153">
            <v>36416</v>
          </cell>
          <cell r="W153" t="str">
            <v>a</v>
          </cell>
          <cell r="Y153">
            <v>5320.5972799722804</v>
          </cell>
          <cell r="Z153" t="str">
            <v>F2</v>
          </cell>
          <cell r="AA153" t="str">
            <v>3395</v>
          </cell>
        </row>
        <row r="154">
          <cell r="A154" t="str">
            <v>PH02</v>
          </cell>
          <cell r="D154" t="str">
            <v>H-3470</v>
          </cell>
          <cell r="V154">
            <v>36416</v>
          </cell>
          <cell r="W154" t="str">
            <v>b</v>
          </cell>
          <cell r="Y154">
            <v>3910</v>
          </cell>
          <cell r="Z154" t="str">
            <v>F2</v>
          </cell>
          <cell r="AA154" t="str">
            <v>3395</v>
          </cell>
        </row>
        <row r="155">
          <cell r="A155" t="str">
            <v>PH01</v>
          </cell>
          <cell r="D155" t="str">
            <v>P-2990</v>
          </cell>
          <cell r="V155">
            <v>36417</v>
          </cell>
          <cell r="W155" t="str">
            <v>a</v>
          </cell>
          <cell r="Y155">
            <v>19074.147956623674</v>
          </cell>
          <cell r="Z155" t="str">
            <v>F1</v>
          </cell>
          <cell r="AA155" t="str">
            <v>3230</v>
          </cell>
        </row>
        <row r="156">
          <cell r="A156" t="str">
            <v>PH01</v>
          </cell>
          <cell r="D156" t="str">
            <v>P-2990</v>
          </cell>
          <cell r="V156">
            <v>36417</v>
          </cell>
          <cell r="W156" t="str">
            <v>a</v>
          </cell>
          <cell r="Y156">
            <v>11668.890514640367</v>
          </cell>
          <cell r="Z156" t="str">
            <v>F1</v>
          </cell>
          <cell r="AA156" t="str">
            <v>3230</v>
          </cell>
        </row>
        <row r="157">
          <cell r="A157" t="str">
            <v>PH02</v>
          </cell>
          <cell r="D157" t="str">
            <v>H-3470</v>
          </cell>
          <cell r="V157">
            <v>36417</v>
          </cell>
          <cell r="W157" t="str">
            <v>a</v>
          </cell>
          <cell r="Y157">
            <v>45104.749873898341</v>
          </cell>
          <cell r="Z157" t="str">
            <v>F2</v>
          </cell>
          <cell r="AA157" t="str">
            <v>3395</v>
          </cell>
        </row>
        <row r="158">
          <cell r="A158" t="str">
            <v>CF01</v>
          </cell>
          <cell r="D158" t="str">
            <v>P-2990</v>
          </cell>
          <cell r="V158">
            <v>36417</v>
          </cell>
          <cell r="W158" t="str">
            <v>b</v>
          </cell>
          <cell r="Y158">
            <v>15224.249062469673</v>
          </cell>
          <cell r="Z158" t="str">
            <v>F1</v>
          </cell>
          <cell r="AA158" t="str">
            <v>3245</v>
          </cell>
        </row>
        <row r="159">
          <cell r="A159" t="str">
            <v>PH01</v>
          </cell>
          <cell r="D159" t="str">
            <v>P-2990</v>
          </cell>
          <cell r="V159">
            <v>36417</v>
          </cell>
          <cell r="W159" t="str">
            <v>b</v>
          </cell>
          <cell r="Y159">
            <v>12537.616874975025</v>
          </cell>
          <cell r="Z159" t="str">
            <v>F1</v>
          </cell>
          <cell r="AA159" t="str">
            <v>3230</v>
          </cell>
        </row>
        <row r="160">
          <cell r="A160" t="str">
            <v>PH01</v>
          </cell>
          <cell r="D160" t="str">
            <v>DICSA</v>
          </cell>
          <cell r="V160">
            <v>36417</v>
          </cell>
          <cell r="W160" t="str">
            <v>b</v>
          </cell>
          <cell r="Y160">
            <v>1567.2021093718781</v>
          </cell>
          <cell r="Z160" t="str">
            <v>F1</v>
          </cell>
          <cell r="AA160" t="str">
            <v>3230</v>
          </cell>
        </row>
        <row r="161">
          <cell r="A161" t="str">
            <v>PH01</v>
          </cell>
          <cell r="D161" t="str">
            <v>CHANCADOR</v>
          </cell>
          <cell r="V161">
            <v>36417</v>
          </cell>
          <cell r="W161" t="str">
            <v>b</v>
          </cell>
          <cell r="Y161">
            <v>10746.528749978592</v>
          </cell>
          <cell r="Z161" t="str">
            <v>F1</v>
          </cell>
          <cell r="AA161" t="str">
            <v>3230</v>
          </cell>
        </row>
        <row r="162">
          <cell r="A162" t="str">
            <v>PH02</v>
          </cell>
          <cell r="D162" t="str">
            <v>H-3470</v>
          </cell>
          <cell r="V162">
            <v>36417</v>
          </cell>
          <cell r="W162" t="str">
            <v>b</v>
          </cell>
          <cell r="Y162">
            <v>8507.6685937330531</v>
          </cell>
          <cell r="Z162" t="str">
            <v>F2</v>
          </cell>
          <cell r="AA162" t="str">
            <v>3395</v>
          </cell>
        </row>
        <row r="163">
          <cell r="A163" t="str">
            <v>PH02</v>
          </cell>
          <cell r="D163" t="str">
            <v>H-3470</v>
          </cell>
          <cell r="V163">
            <v>36417</v>
          </cell>
          <cell r="W163" t="str">
            <v>b</v>
          </cell>
          <cell r="Y163">
            <v>3358.2902343683099</v>
          </cell>
          <cell r="Z163" t="str">
            <v>F2</v>
          </cell>
          <cell r="AA163" t="str">
            <v>3380</v>
          </cell>
        </row>
        <row r="164">
          <cell r="A164" t="str">
            <v>CF01</v>
          </cell>
          <cell r="D164" t="str">
            <v>H-3470</v>
          </cell>
          <cell r="V164">
            <v>36418</v>
          </cell>
          <cell r="W164" t="str">
            <v>a</v>
          </cell>
          <cell r="Y164">
            <v>916.78792339701681</v>
          </cell>
          <cell r="Z164" t="str">
            <v>F2</v>
          </cell>
          <cell r="AA164" t="str">
            <v>3395</v>
          </cell>
        </row>
        <row r="165">
          <cell r="A165" t="str">
            <v>CF01</v>
          </cell>
          <cell r="D165" t="str">
            <v>P-2990</v>
          </cell>
          <cell r="V165">
            <v>36418</v>
          </cell>
          <cell r="W165" t="str">
            <v>a</v>
          </cell>
          <cell r="Y165">
            <v>16960.576582844809</v>
          </cell>
          <cell r="Z165" t="str">
            <v>F1</v>
          </cell>
          <cell r="AA165" t="str">
            <v>3245</v>
          </cell>
        </row>
        <row r="166">
          <cell r="A166" t="str">
            <v>CF01</v>
          </cell>
          <cell r="D166" t="str">
            <v>P-2990</v>
          </cell>
          <cell r="V166">
            <v>36418</v>
          </cell>
          <cell r="W166" t="str">
            <v>a</v>
          </cell>
          <cell r="Y166">
            <v>229.1969808492542</v>
          </cell>
          <cell r="Z166" t="str">
            <v>F1</v>
          </cell>
          <cell r="AA166" t="str">
            <v>3245</v>
          </cell>
        </row>
        <row r="167">
          <cell r="A167" t="str">
            <v>PH01</v>
          </cell>
          <cell r="D167" t="str">
            <v>P-2990</v>
          </cell>
          <cell r="V167">
            <v>36418</v>
          </cell>
          <cell r="W167" t="str">
            <v>a</v>
          </cell>
          <cell r="Y167">
            <v>36900.713916729925</v>
          </cell>
          <cell r="Z167" t="str">
            <v>F1</v>
          </cell>
          <cell r="AA167" t="str">
            <v>3230</v>
          </cell>
        </row>
        <row r="168">
          <cell r="A168" t="str">
            <v>PH02</v>
          </cell>
          <cell r="D168" t="str">
            <v>H-3470</v>
          </cell>
          <cell r="V168">
            <v>36418</v>
          </cell>
          <cell r="W168" t="str">
            <v>a</v>
          </cell>
          <cell r="Y168">
            <v>17877.364506241829</v>
          </cell>
          <cell r="Z168" t="str">
            <v>F2</v>
          </cell>
          <cell r="AA168" t="str">
            <v>3395</v>
          </cell>
        </row>
        <row r="169">
          <cell r="A169" t="str">
            <v>PH02</v>
          </cell>
          <cell r="D169" t="str">
            <v>H-3470</v>
          </cell>
          <cell r="V169">
            <v>36418</v>
          </cell>
          <cell r="W169" t="str">
            <v>a</v>
          </cell>
          <cell r="Y169">
            <v>16960.576582844809</v>
          </cell>
          <cell r="Z169" t="str">
            <v>F2</v>
          </cell>
          <cell r="AA169" t="str">
            <v>3380</v>
          </cell>
        </row>
        <row r="170">
          <cell r="A170" t="str">
            <v>PH01</v>
          </cell>
          <cell r="D170" t="str">
            <v>B-2990</v>
          </cell>
          <cell r="V170">
            <v>36418</v>
          </cell>
          <cell r="W170" t="str">
            <v>b</v>
          </cell>
          <cell r="Y170">
            <v>18615.873737163904</v>
          </cell>
          <cell r="Z170" t="str">
            <v>F1</v>
          </cell>
          <cell r="AA170" t="str">
            <v>3230</v>
          </cell>
        </row>
        <row r="171">
          <cell r="A171" t="str">
            <v>PH01</v>
          </cell>
          <cell r="D171" t="str">
            <v>P-2990</v>
          </cell>
          <cell r="V171">
            <v>36418</v>
          </cell>
          <cell r="W171" t="str">
            <v>b</v>
          </cell>
          <cell r="Y171">
            <v>2270.2285045321833</v>
          </cell>
          <cell r="Z171" t="str">
            <v>F1</v>
          </cell>
          <cell r="AA171" t="str">
            <v>3230</v>
          </cell>
        </row>
        <row r="172">
          <cell r="A172" t="str">
            <v>PH01</v>
          </cell>
          <cell r="D172" t="str">
            <v>P-2990</v>
          </cell>
          <cell r="V172">
            <v>36418</v>
          </cell>
          <cell r="W172" t="str">
            <v>b</v>
          </cell>
          <cell r="Y172">
            <v>8399.8454667690785</v>
          </cell>
          <cell r="Z172" t="str">
            <v>F1</v>
          </cell>
          <cell r="AA172" t="str">
            <v>3230</v>
          </cell>
        </row>
        <row r="173">
          <cell r="A173" t="str">
            <v>PH02</v>
          </cell>
          <cell r="D173" t="str">
            <v>H-3470</v>
          </cell>
          <cell r="V173">
            <v>36418</v>
          </cell>
          <cell r="W173" t="str">
            <v>b</v>
          </cell>
          <cell r="Y173">
            <v>36777.701773421366</v>
          </cell>
          <cell r="Z173" t="str">
            <v>F2</v>
          </cell>
          <cell r="AA173" t="str">
            <v>3395</v>
          </cell>
        </row>
        <row r="174">
          <cell r="A174" t="str">
            <v>CF01</v>
          </cell>
          <cell r="D174" t="str">
            <v>B-2990</v>
          </cell>
          <cell r="V174">
            <v>36418</v>
          </cell>
          <cell r="W174" t="str">
            <v>b</v>
          </cell>
          <cell r="Y174">
            <v>7718.7769154094231</v>
          </cell>
          <cell r="Z174" t="str">
            <v>F1</v>
          </cell>
          <cell r="AA174" t="str">
            <v>3245</v>
          </cell>
        </row>
        <row r="175">
          <cell r="A175" t="str">
            <v>CF01</v>
          </cell>
          <cell r="D175" t="str">
            <v>B-2990</v>
          </cell>
          <cell r="V175">
            <v>36418</v>
          </cell>
          <cell r="W175" t="str">
            <v>b</v>
          </cell>
          <cell r="Y175">
            <v>7264.7312145029864</v>
          </cell>
          <cell r="Z175" t="str">
            <v>F1</v>
          </cell>
          <cell r="AA175" t="str">
            <v>3080</v>
          </cell>
        </row>
        <row r="176">
          <cell r="A176" t="str">
            <v>CF02</v>
          </cell>
          <cell r="D176" t="str">
            <v>H-3470</v>
          </cell>
          <cell r="V176">
            <v>36418</v>
          </cell>
          <cell r="W176" t="str">
            <v>b</v>
          </cell>
          <cell r="Y176">
            <v>6583.6626631433319</v>
          </cell>
          <cell r="Z176" t="str">
            <v>F2</v>
          </cell>
          <cell r="AA176" t="str">
            <v>3395</v>
          </cell>
        </row>
        <row r="177">
          <cell r="A177" t="str">
            <v>PH02</v>
          </cell>
          <cell r="D177" t="str">
            <v>H-3470</v>
          </cell>
          <cell r="V177">
            <v>36419</v>
          </cell>
          <cell r="W177" t="str">
            <v>a</v>
          </cell>
          <cell r="Y177">
            <v>42489.477402217723</v>
          </cell>
          <cell r="Z177" t="str">
            <v>F2</v>
          </cell>
          <cell r="AA177" t="str">
            <v>3395</v>
          </cell>
        </row>
        <row r="178">
          <cell r="A178" t="str">
            <v>CF02</v>
          </cell>
          <cell r="D178" t="str">
            <v>H-3470</v>
          </cell>
          <cell r="V178">
            <v>36419</v>
          </cell>
          <cell r="W178" t="str">
            <v>a</v>
          </cell>
          <cell r="Y178">
            <v>4544.329133927029</v>
          </cell>
          <cell r="Z178" t="str">
            <v>F2</v>
          </cell>
          <cell r="AA178" t="str">
            <v>3380</v>
          </cell>
        </row>
        <row r="179">
          <cell r="A179" t="str">
            <v>CF02</v>
          </cell>
          <cell r="D179" t="str">
            <v>H-3470</v>
          </cell>
          <cell r="V179">
            <v>36419</v>
          </cell>
          <cell r="W179" t="str">
            <v>a</v>
          </cell>
          <cell r="Y179">
            <v>8407.0088977650048</v>
          </cell>
          <cell r="Z179" t="str">
            <v>F2</v>
          </cell>
          <cell r="AA179" t="str">
            <v>3395</v>
          </cell>
        </row>
        <row r="180">
          <cell r="A180" t="str">
            <v>PH01</v>
          </cell>
          <cell r="D180" t="str">
            <v>P-2990</v>
          </cell>
          <cell r="V180">
            <v>36419</v>
          </cell>
          <cell r="W180" t="str">
            <v>a</v>
          </cell>
          <cell r="Y180">
            <v>30447.005197311097</v>
          </cell>
          <cell r="Z180" t="str">
            <v>F1</v>
          </cell>
          <cell r="AA180" t="str">
            <v>3230</v>
          </cell>
        </row>
        <row r="181">
          <cell r="A181" t="str">
            <v>CF01</v>
          </cell>
          <cell r="D181" t="str">
            <v>B-2990</v>
          </cell>
          <cell r="V181">
            <v>36419</v>
          </cell>
          <cell r="W181" t="str">
            <v>a</v>
          </cell>
          <cell r="Y181">
            <v>12042.472204906628</v>
          </cell>
          <cell r="Z181" t="str">
            <v>F1</v>
          </cell>
          <cell r="AA181" t="str">
            <v>3080</v>
          </cell>
        </row>
        <row r="182">
          <cell r="A182" t="str">
            <v>PH01</v>
          </cell>
          <cell r="D182" t="str">
            <v>B-2990</v>
          </cell>
          <cell r="V182">
            <v>36419</v>
          </cell>
          <cell r="W182" t="str">
            <v>a</v>
          </cell>
          <cell r="Y182">
            <v>5225.9785040160832</v>
          </cell>
          <cell r="Z182" t="str">
            <v>F1</v>
          </cell>
          <cell r="AA182" t="str">
            <v>3230</v>
          </cell>
        </row>
        <row r="183">
          <cell r="A183" t="str">
            <v>CF01</v>
          </cell>
          <cell r="D183" t="str">
            <v>B-2990</v>
          </cell>
          <cell r="V183">
            <v>36419</v>
          </cell>
          <cell r="W183" t="str">
            <v>a</v>
          </cell>
          <cell r="Y183">
            <v>2726.5974803562176</v>
          </cell>
          <cell r="Z183" t="str">
            <v>F1</v>
          </cell>
          <cell r="AA183" t="str">
            <v>3230</v>
          </cell>
        </row>
        <row r="184">
          <cell r="A184" t="str">
            <v>PH02</v>
          </cell>
          <cell r="D184" t="str">
            <v>H-3470</v>
          </cell>
          <cell r="V184">
            <v>36419</v>
          </cell>
          <cell r="W184" t="str">
            <v>b</v>
          </cell>
          <cell r="Y184">
            <v>12764.159131459537</v>
          </cell>
          <cell r="Z184" t="str">
            <v>F2</v>
          </cell>
          <cell r="AA184" t="str">
            <v>3395</v>
          </cell>
        </row>
        <row r="185">
          <cell r="A185" t="str">
            <v>PH02</v>
          </cell>
          <cell r="D185" t="str">
            <v>H-3470</v>
          </cell>
          <cell r="V185">
            <v>36419</v>
          </cell>
          <cell r="W185" t="str">
            <v>b</v>
          </cell>
          <cell r="Y185">
            <v>16638.993153509753</v>
          </cell>
          <cell r="Z185" t="str">
            <v>F2</v>
          </cell>
          <cell r="AA185" t="str">
            <v>3380</v>
          </cell>
        </row>
        <row r="186">
          <cell r="A186" t="str">
            <v>PH01</v>
          </cell>
          <cell r="D186" t="str">
            <v>B-2990</v>
          </cell>
          <cell r="V186">
            <v>36419</v>
          </cell>
          <cell r="W186" t="str">
            <v>b</v>
          </cell>
          <cell r="Y186">
            <v>7977.5994571622105</v>
          </cell>
          <cell r="Z186" t="str">
            <v>F1</v>
          </cell>
          <cell r="AA186" t="str">
            <v>3230</v>
          </cell>
        </row>
        <row r="187">
          <cell r="A187" t="str">
            <v>CF01</v>
          </cell>
          <cell r="D187" t="str">
            <v>B-2990</v>
          </cell>
          <cell r="V187">
            <v>36419</v>
          </cell>
          <cell r="W187" t="str">
            <v>b</v>
          </cell>
          <cell r="Y187">
            <v>3191.0397828648843</v>
          </cell>
          <cell r="Z187" t="str">
            <v>F1</v>
          </cell>
          <cell r="AA187" t="str">
            <v>3230</v>
          </cell>
        </row>
        <row r="188">
          <cell r="A188" t="str">
            <v>PH01</v>
          </cell>
          <cell r="D188" t="str">
            <v>DICSA</v>
          </cell>
          <cell r="V188">
            <v>36419</v>
          </cell>
          <cell r="W188" t="str">
            <v>b</v>
          </cell>
          <cell r="Y188">
            <v>26895.906741289738</v>
          </cell>
          <cell r="Z188" t="str">
            <v>F1</v>
          </cell>
          <cell r="AA188" t="str">
            <v>3230</v>
          </cell>
        </row>
        <row r="189">
          <cell r="A189" t="str">
            <v>CF01</v>
          </cell>
          <cell r="D189" t="str">
            <v>B-2990</v>
          </cell>
          <cell r="V189">
            <v>36419</v>
          </cell>
          <cell r="W189" t="str">
            <v>b</v>
          </cell>
          <cell r="Y189">
            <v>455.8628261235549</v>
          </cell>
          <cell r="Z189" t="str">
            <v>F1</v>
          </cell>
          <cell r="AA189" t="str">
            <v>3245</v>
          </cell>
        </row>
        <row r="190">
          <cell r="A190" t="str">
            <v>CF02</v>
          </cell>
          <cell r="D190" t="str">
            <v>H-3470</v>
          </cell>
          <cell r="V190">
            <v>36419</v>
          </cell>
          <cell r="W190" t="str">
            <v>b</v>
          </cell>
          <cell r="Y190">
            <v>4558.628261235549</v>
          </cell>
          <cell r="Z190" t="str">
            <v>F2</v>
          </cell>
          <cell r="AA190" t="str">
            <v>3380</v>
          </cell>
        </row>
        <row r="191">
          <cell r="A191" t="str">
            <v>PH01</v>
          </cell>
          <cell r="D191" t="str">
            <v>P-2990</v>
          </cell>
          <cell r="V191">
            <v>36419</v>
          </cell>
          <cell r="W191" t="str">
            <v>b</v>
          </cell>
          <cell r="Y191">
            <v>2507.2455436795517</v>
          </cell>
          <cell r="Z191" t="str">
            <v>F1</v>
          </cell>
          <cell r="AA191" t="str">
            <v>3230</v>
          </cell>
        </row>
        <row r="192">
          <cell r="A192" t="str">
            <v>CF01</v>
          </cell>
          <cell r="D192" t="str">
            <v>RELL CAM</v>
          </cell>
          <cell r="V192">
            <v>36419</v>
          </cell>
          <cell r="W192" t="str">
            <v>b</v>
          </cell>
          <cell r="Y192">
            <v>683.79423918533234</v>
          </cell>
          <cell r="Z192" t="str">
            <v>F1</v>
          </cell>
          <cell r="AA192" t="str">
            <v>3245</v>
          </cell>
        </row>
        <row r="193">
          <cell r="A193" t="str">
            <v>PH01</v>
          </cell>
          <cell r="D193" t="str">
            <v>P-2990</v>
          </cell>
          <cell r="V193">
            <v>36420</v>
          </cell>
          <cell r="W193" t="str">
            <v>a</v>
          </cell>
          <cell r="Y193">
            <v>18952.605800860321</v>
          </cell>
          <cell r="Z193" t="str">
            <v>F1</v>
          </cell>
          <cell r="AA193" t="str">
            <v>3230</v>
          </cell>
        </row>
        <row r="194">
          <cell r="A194" t="str">
            <v>PH01</v>
          </cell>
          <cell r="D194" t="str">
            <v>P-2990</v>
          </cell>
          <cell r="V194">
            <v>36420</v>
          </cell>
          <cell r="W194" t="str">
            <v>a</v>
          </cell>
          <cell r="Y194">
            <v>21208.868396200836</v>
          </cell>
          <cell r="Z194" t="str">
            <v>F1</v>
          </cell>
          <cell r="AA194" t="str">
            <v>3230</v>
          </cell>
        </row>
        <row r="195">
          <cell r="A195" t="str">
            <v>PH01</v>
          </cell>
          <cell r="D195" t="str">
            <v>DICSA</v>
          </cell>
          <cell r="V195">
            <v>36420</v>
          </cell>
          <cell r="W195" t="str">
            <v>a</v>
          </cell>
          <cell r="Y195">
            <v>2030.6363358064632</v>
          </cell>
          <cell r="Z195" t="str">
            <v>F1</v>
          </cell>
          <cell r="AA195" t="str">
            <v>3230</v>
          </cell>
        </row>
        <row r="196">
          <cell r="A196" t="str">
            <v>PH02</v>
          </cell>
          <cell r="D196" t="str">
            <v>H-3470</v>
          </cell>
          <cell r="V196">
            <v>36420</v>
          </cell>
          <cell r="W196" t="str">
            <v>a</v>
          </cell>
          <cell r="Y196">
            <v>32264.555113369359</v>
          </cell>
          <cell r="Z196" t="str">
            <v>F2</v>
          </cell>
          <cell r="AA196" t="str">
            <v>3380</v>
          </cell>
        </row>
        <row r="197">
          <cell r="A197" t="str">
            <v>PH01</v>
          </cell>
          <cell r="D197" t="str">
            <v>P-2990</v>
          </cell>
          <cell r="V197">
            <v>36420</v>
          </cell>
          <cell r="W197" t="str">
            <v>b</v>
          </cell>
          <cell r="Y197">
            <v>29580.025544802782</v>
          </cell>
          <cell r="Z197" t="str">
            <v>F1</v>
          </cell>
          <cell r="AA197" t="str">
            <v>3230</v>
          </cell>
        </row>
        <row r="198">
          <cell r="A198" t="str">
            <v>PH01</v>
          </cell>
          <cell r="D198" t="str">
            <v>DICSA</v>
          </cell>
          <cell r="V198">
            <v>36420</v>
          </cell>
          <cell r="W198" t="str">
            <v>b</v>
          </cell>
          <cell r="Y198">
            <v>1354.8103302963104</v>
          </cell>
          <cell r="Z198" t="str">
            <v>F1</v>
          </cell>
          <cell r="AA198" t="str">
            <v>3230</v>
          </cell>
        </row>
        <row r="199">
          <cell r="A199" t="str">
            <v>PH01</v>
          </cell>
          <cell r="D199" t="str">
            <v>P-2990</v>
          </cell>
          <cell r="V199">
            <v>36420</v>
          </cell>
          <cell r="W199" t="str">
            <v>b</v>
          </cell>
          <cell r="Y199">
            <v>677.40516514815522</v>
          </cell>
          <cell r="Z199" t="str">
            <v>F1</v>
          </cell>
          <cell r="AA199" t="str">
            <v>3230</v>
          </cell>
        </row>
        <row r="200">
          <cell r="A200" t="str">
            <v>PH02</v>
          </cell>
          <cell r="D200" t="str">
            <v>H-3470</v>
          </cell>
          <cell r="V200">
            <v>36420</v>
          </cell>
          <cell r="W200" t="str">
            <v>b</v>
          </cell>
          <cell r="Y200">
            <v>34321.861700839865</v>
          </cell>
          <cell r="Z200" t="str">
            <v>F2</v>
          </cell>
          <cell r="AA200" t="str">
            <v>3380</v>
          </cell>
        </row>
        <row r="201">
          <cell r="A201" t="str">
            <v>CF01</v>
          </cell>
          <cell r="D201" t="str">
            <v>P-2990</v>
          </cell>
          <cell r="V201">
            <v>36421</v>
          </cell>
          <cell r="W201" t="str">
            <v>a</v>
          </cell>
          <cell r="Y201">
            <v>888.25010534365447</v>
          </cell>
          <cell r="Z201" t="str">
            <v>F1</v>
          </cell>
          <cell r="AA201" t="str">
            <v>3245</v>
          </cell>
        </row>
        <row r="202">
          <cell r="A202" t="str">
            <v>CF01</v>
          </cell>
          <cell r="D202" t="str">
            <v>P-2990</v>
          </cell>
          <cell r="V202">
            <v>36421</v>
          </cell>
          <cell r="W202" t="str">
            <v>a</v>
          </cell>
          <cell r="Y202">
            <v>1776.5002106873089</v>
          </cell>
          <cell r="Z202" t="str">
            <v>F1</v>
          </cell>
          <cell r="AA202" t="str">
            <v>3230</v>
          </cell>
        </row>
        <row r="203">
          <cell r="A203" t="str">
            <v>CF02</v>
          </cell>
          <cell r="D203" t="str">
            <v>H-3470</v>
          </cell>
          <cell r="V203">
            <v>36421</v>
          </cell>
          <cell r="W203" t="str">
            <v>a</v>
          </cell>
          <cell r="Y203">
            <v>1998.5627370232226</v>
          </cell>
          <cell r="Z203" t="str">
            <v>F2</v>
          </cell>
          <cell r="AA203" t="str">
            <v>3395</v>
          </cell>
        </row>
        <row r="204">
          <cell r="A204" t="str">
            <v>PH01</v>
          </cell>
          <cell r="D204" t="str">
            <v>P-2990</v>
          </cell>
          <cell r="V204">
            <v>36421</v>
          </cell>
          <cell r="W204" t="str">
            <v>a</v>
          </cell>
          <cell r="Y204">
            <v>22428.315159927275</v>
          </cell>
          <cell r="Z204" t="str">
            <v>F1</v>
          </cell>
          <cell r="AA204" t="str">
            <v>3230</v>
          </cell>
        </row>
        <row r="205">
          <cell r="A205" t="str">
            <v>PH02</v>
          </cell>
          <cell r="D205" t="str">
            <v>H-3470</v>
          </cell>
          <cell r="V205">
            <v>36421</v>
          </cell>
          <cell r="W205" t="str">
            <v>a</v>
          </cell>
          <cell r="Y205">
            <v>29312.253476340597</v>
          </cell>
          <cell r="Z205" t="str">
            <v>F2</v>
          </cell>
          <cell r="AA205" t="str">
            <v>3380</v>
          </cell>
        </row>
        <row r="206">
          <cell r="A206" t="str">
            <v>CF02</v>
          </cell>
          <cell r="D206" t="str">
            <v>H-3470</v>
          </cell>
          <cell r="V206">
            <v>36421</v>
          </cell>
          <cell r="W206" t="str">
            <v>b</v>
          </cell>
          <cell r="Y206">
            <v>2732.8004591668105</v>
          </cell>
          <cell r="Z206" t="str">
            <v>F2</v>
          </cell>
          <cell r="AA206" t="str">
            <v>3395</v>
          </cell>
        </row>
        <row r="207">
          <cell r="A207" t="str">
            <v>CF02</v>
          </cell>
          <cell r="D207" t="str">
            <v>P-2990</v>
          </cell>
          <cell r="V207">
            <v>36421</v>
          </cell>
          <cell r="W207" t="str">
            <v>b</v>
          </cell>
          <cell r="Y207">
            <v>2277.3337159723424</v>
          </cell>
          <cell r="Z207" t="str">
            <v>F1</v>
          </cell>
          <cell r="AA207" t="str">
            <v>3230</v>
          </cell>
        </row>
        <row r="208">
          <cell r="A208" t="str">
            <v>CF02</v>
          </cell>
          <cell r="D208" t="str">
            <v>H-3470</v>
          </cell>
          <cell r="V208">
            <v>36421</v>
          </cell>
          <cell r="W208" t="str">
            <v>b</v>
          </cell>
          <cell r="Y208">
            <v>455.46674319446845</v>
          </cell>
          <cell r="Z208" t="str">
            <v>F2</v>
          </cell>
          <cell r="AA208" t="str">
            <v>3380</v>
          </cell>
        </row>
        <row r="209">
          <cell r="A209" t="str">
            <v>CF02</v>
          </cell>
          <cell r="D209" t="str">
            <v>P-2990</v>
          </cell>
          <cell r="V209">
            <v>36421</v>
          </cell>
          <cell r="W209" t="str">
            <v>b</v>
          </cell>
          <cell r="Y209">
            <v>2049.6003443751079</v>
          </cell>
          <cell r="Z209" t="str">
            <v>F1</v>
          </cell>
          <cell r="AA209" t="str">
            <v>3245</v>
          </cell>
        </row>
        <row r="210">
          <cell r="A210" t="str">
            <v>PH01</v>
          </cell>
          <cell r="D210" t="str">
            <v>P-2990</v>
          </cell>
          <cell r="V210">
            <v>36421</v>
          </cell>
          <cell r="W210" t="str">
            <v>b</v>
          </cell>
          <cell r="Y210">
            <v>7970.6680059031978</v>
          </cell>
          <cell r="Z210" t="str">
            <v>F1</v>
          </cell>
          <cell r="AA210" t="str">
            <v>3230</v>
          </cell>
        </row>
        <row r="211">
          <cell r="A211" t="str">
            <v>PH01</v>
          </cell>
          <cell r="D211" t="str">
            <v>P-2990</v>
          </cell>
          <cell r="V211">
            <v>36421</v>
          </cell>
          <cell r="W211" t="str">
            <v>b</v>
          </cell>
          <cell r="Y211">
            <v>30744.005165626619</v>
          </cell>
          <cell r="Z211" t="str">
            <v>F1</v>
          </cell>
          <cell r="AA211" t="str">
            <v>3230</v>
          </cell>
        </row>
        <row r="212">
          <cell r="A212" t="str">
            <v>PH02</v>
          </cell>
          <cell r="D212" t="str">
            <v>H-3470</v>
          </cell>
          <cell r="V212">
            <v>36421</v>
          </cell>
          <cell r="W212" t="str">
            <v>b</v>
          </cell>
          <cell r="Y212">
            <v>35754.139340765774</v>
          </cell>
          <cell r="Z212" t="str">
            <v>F2</v>
          </cell>
          <cell r="AA212" t="str">
            <v>3380</v>
          </cell>
        </row>
        <row r="213">
          <cell r="A213" t="str">
            <v>CF01</v>
          </cell>
          <cell r="D213" t="str">
            <v>H-3470</v>
          </cell>
          <cell r="V213">
            <v>36422</v>
          </cell>
          <cell r="W213" t="str">
            <v>a</v>
          </cell>
          <cell r="Y213">
            <v>3155.8111230691875</v>
          </cell>
          <cell r="Z213" t="str">
            <v>F2</v>
          </cell>
          <cell r="AA213" t="str">
            <v>3395</v>
          </cell>
        </row>
        <row r="214">
          <cell r="A214" t="str">
            <v>CF01</v>
          </cell>
          <cell r="D214" t="str">
            <v>P-2990</v>
          </cell>
          <cell r="V214">
            <v>36422</v>
          </cell>
          <cell r="W214" t="str">
            <v>a</v>
          </cell>
          <cell r="Y214">
            <v>5860.7920856999199</v>
          </cell>
          <cell r="Z214" t="str">
            <v>F1</v>
          </cell>
          <cell r="AA214" t="str">
            <v>3080</v>
          </cell>
        </row>
        <row r="215">
          <cell r="A215" t="str">
            <v>CF01</v>
          </cell>
          <cell r="D215" t="str">
            <v>P-2990</v>
          </cell>
          <cell r="V215">
            <v>36422</v>
          </cell>
          <cell r="W215" t="str">
            <v>a</v>
          </cell>
          <cell r="Y215">
            <v>901.66032087691076</v>
          </cell>
          <cell r="Z215" t="str">
            <v>F1</v>
          </cell>
          <cell r="AA215" t="str">
            <v>3230</v>
          </cell>
        </row>
        <row r="216">
          <cell r="A216" t="str">
            <v>CF01</v>
          </cell>
          <cell r="D216" t="str">
            <v>P-2990</v>
          </cell>
          <cell r="V216">
            <v>36422</v>
          </cell>
          <cell r="W216" t="str">
            <v>a</v>
          </cell>
          <cell r="Y216">
            <v>1352.4904813153662</v>
          </cell>
          <cell r="Z216" t="str">
            <v>F1</v>
          </cell>
          <cell r="AA216" t="str">
            <v>3245</v>
          </cell>
        </row>
        <row r="217">
          <cell r="A217" t="str">
            <v>CF02</v>
          </cell>
          <cell r="D217" t="str">
            <v>P-2990</v>
          </cell>
          <cell r="V217">
            <v>36422</v>
          </cell>
          <cell r="W217" t="str">
            <v>a</v>
          </cell>
          <cell r="Y217">
            <v>2930.3960428499599</v>
          </cell>
          <cell r="Z217" t="str">
            <v>F1</v>
          </cell>
          <cell r="AA217" t="str">
            <v>3245</v>
          </cell>
        </row>
        <row r="218">
          <cell r="A218" t="str">
            <v>CF02</v>
          </cell>
          <cell r="D218" t="str">
            <v>P-2990</v>
          </cell>
          <cell r="V218">
            <v>36422</v>
          </cell>
          <cell r="W218" t="str">
            <v>a</v>
          </cell>
          <cell r="Y218">
            <v>901.66032087691076</v>
          </cell>
          <cell r="Z218" t="str">
            <v>F1</v>
          </cell>
          <cell r="AA218" t="str">
            <v>3230</v>
          </cell>
        </row>
        <row r="219">
          <cell r="A219" t="str">
            <v>CF02</v>
          </cell>
          <cell r="D219" t="str">
            <v>H-3470</v>
          </cell>
          <cell r="V219">
            <v>36422</v>
          </cell>
          <cell r="W219" t="str">
            <v>a</v>
          </cell>
          <cell r="Y219">
            <v>6537.037326357603</v>
          </cell>
          <cell r="Z219" t="str">
            <v>F2</v>
          </cell>
          <cell r="AA219" t="str">
            <v>3395</v>
          </cell>
        </row>
        <row r="220">
          <cell r="A220" t="str">
            <v>PH01</v>
          </cell>
          <cell r="D220" t="str">
            <v>P-2990</v>
          </cell>
          <cell r="V220">
            <v>36422</v>
          </cell>
          <cell r="W220" t="str">
            <v>a</v>
          </cell>
          <cell r="Y220">
            <v>20963.602460388174</v>
          </cell>
          <cell r="Z220" t="str">
            <v>F1</v>
          </cell>
          <cell r="AA220" t="str">
            <v>3230</v>
          </cell>
        </row>
        <row r="221">
          <cell r="A221" t="str">
            <v>PH01</v>
          </cell>
          <cell r="D221" t="str">
            <v>P-2990</v>
          </cell>
          <cell r="V221">
            <v>36422</v>
          </cell>
          <cell r="W221" t="str">
            <v>a</v>
          </cell>
          <cell r="Y221">
            <v>17807.791337318988</v>
          </cell>
          <cell r="Z221" t="str">
            <v>F1</v>
          </cell>
          <cell r="AA221" t="str">
            <v>3230</v>
          </cell>
        </row>
        <row r="222">
          <cell r="A222" t="str">
            <v>PH02</v>
          </cell>
          <cell r="D222" t="str">
            <v>H-3470</v>
          </cell>
          <cell r="V222">
            <v>36422</v>
          </cell>
          <cell r="W222" t="str">
            <v>a</v>
          </cell>
          <cell r="Y222">
            <v>29078.545348280371</v>
          </cell>
          <cell r="Z222" t="str">
            <v>F2</v>
          </cell>
          <cell r="AA222" t="str">
            <v>3380</v>
          </cell>
        </row>
        <row r="223">
          <cell r="A223" t="str">
            <v>CF01</v>
          </cell>
          <cell r="D223" t="str">
            <v>H-3470</v>
          </cell>
          <cell r="V223">
            <v>36422</v>
          </cell>
          <cell r="W223" t="str">
            <v>b</v>
          </cell>
          <cell r="Y223">
            <v>5087.0627186004385</v>
          </cell>
          <cell r="Z223" t="str">
            <v>F2</v>
          </cell>
          <cell r="AA223" t="str">
            <v>3395</v>
          </cell>
        </row>
        <row r="224">
          <cell r="A224" t="str">
            <v>CF02</v>
          </cell>
          <cell r="D224" t="str">
            <v>P-2990</v>
          </cell>
          <cell r="V224">
            <v>36422</v>
          </cell>
          <cell r="W224" t="str">
            <v>b</v>
          </cell>
          <cell r="Y224">
            <v>3760.0028789655416</v>
          </cell>
          <cell r="Z224" t="str">
            <v>F1</v>
          </cell>
          <cell r="AA224" t="str">
            <v>3245</v>
          </cell>
        </row>
        <row r="225">
          <cell r="A225" t="str">
            <v>PH01</v>
          </cell>
          <cell r="D225" t="str">
            <v>P-2990</v>
          </cell>
          <cell r="V225">
            <v>36422</v>
          </cell>
          <cell r="W225" t="str">
            <v>b</v>
          </cell>
          <cell r="Y225">
            <v>40475.325108864359</v>
          </cell>
          <cell r="Z225" t="str">
            <v>F1</v>
          </cell>
          <cell r="AA225" t="str">
            <v>3230</v>
          </cell>
        </row>
        <row r="226">
          <cell r="A226" t="str">
            <v>PH02</v>
          </cell>
          <cell r="D226" t="str">
            <v>H-3470</v>
          </cell>
          <cell r="V226">
            <v>36422</v>
          </cell>
          <cell r="W226" t="str">
            <v>b</v>
          </cell>
          <cell r="Y226">
            <v>31628.25951129838</v>
          </cell>
          <cell r="Z226" t="str">
            <v>F2</v>
          </cell>
          <cell r="AA226" t="str">
            <v>3380</v>
          </cell>
        </row>
        <row r="227">
          <cell r="A227" t="str">
            <v>CF01</v>
          </cell>
          <cell r="D227" t="str">
            <v>H-3470</v>
          </cell>
          <cell r="V227">
            <v>36423</v>
          </cell>
          <cell r="W227" t="str">
            <v>a</v>
          </cell>
          <cell r="Y227">
            <v>19030.37024562119</v>
          </cell>
          <cell r="Z227" t="str">
            <v>F2</v>
          </cell>
          <cell r="AA227" t="str">
            <v>3395</v>
          </cell>
        </row>
        <row r="228">
          <cell r="A228" t="str">
            <v>PH01</v>
          </cell>
          <cell r="D228" t="str">
            <v>P-2990</v>
          </cell>
          <cell r="V228">
            <v>36423</v>
          </cell>
          <cell r="W228" t="str">
            <v>a</v>
          </cell>
          <cell r="Y228">
            <v>45083.853319983529</v>
          </cell>
          <cell r="Z228" t="str">
            <v>F1</v>
          </cell>
          <cell r="AA228" t="str">
            <v>3230</v>
          </cell>
        </row>
        <row r="229">
          <cell r="A229" t="str">
            <v>PH02</v>
          </cell>
          <cell r="D229" t="str">
            <v>H-3470</v>
          </cell>
          <cell r="V229">
            <v>36423</v>
          </cell>
          <cell r="W229" t="str">
            <v>a</v>
          </cell>
          <cell r="Y229">
            <v>35342.116170439353</v>
          </cell>
          <cell r="Z229" t="str">
            <v>F2</v>
          </cell>
          <cell r="AA229" t="str">
            <v>3380</v>
          </cell>
        </row>
        <row r="230">
          <cell r="A230" t="str">
            <v>CF01</v>
          </cell>
          <cell r="D230" t="str">
            <v>H-3470</v>
          </cell>
          <cell r="V230">
            <v>36423</v>
          </cell>
          <cell r="W230" t="str">
            <v>b</v>
          </cell>
          <cell r="Y230">
            <v>4557.2773771292386</v>
          </cell>
          <cell r="Z230" t="str">
            <v>F2</v>
          </cell>
          <cell r="AA230" t="str">
            <v>3395</v>
          </cell>
        </row>
        <row r="231">
          <cell r="A231" t="str">
            <v>CF02</v>
          </cell>
          <cell r="D231" t="str">
            <v>P-2990</v>
          </cell>
          <cell r="V231">
            <v>36423</v>
          </cell>
          <cell r="W231" t="str">
            <v>b</v>
          </cell>
          <cell r="Y231">
            <v>3190.0941639904672</v>
          </cell>
          <cell r="Z231" t="str">
            <v>F1</v>
          </cell>
          <cell r="AA231" t="str">
            <v>3245</v>
          </cell>
        </row>
        <row r="232">
          <cell r="A232" t="str">
            <v>PH01</v>
          </cell>
          <cell r="D232" t="str">
            <v>P-2990</v>
          </cell>
          <cell r="V232">
            <v>36423</v>
          </cell>
          <cell r="W232" t="str">
            <v>b</v>
          </cell>
          <cell r="Y232">
            <v>4329.4135082727771</v>
          </cell>
          <cell r="Z232" t="str">
            <v>F1</v>
          </cell>
          <cell r="AA232" t="str">
            <v>3230</v>
          </cell>
        </row>
        <row r="233">
          <cell r="A233" t="str">
            <v>PH01</v>
          </cell>
          <cell r="D233" t="str">
            <v>CHANCADOR</v>
          </cell>
          <cell r="V233">
            <v>36423</v>
          </cell>
          <cell r="W233" t="str">
            <v>b</v>
          </cell>
          <cell r="Y233">
            <v>33951.716459612828</v>
          </cell>
          <cell r="Z233" t="str">
            <v>F1</v>
          </cell>
          <cell r="AA233" t="str">
            <v>3230</v>
          </cell>
        </row>
        <row r="234">
          <cell r="A234" t="str">
            <v>PH02</v>
          </cell>
          <cell r="D234" t="str">
            <v>H-3470</v>
          </cell>
          <cell r="V234">
            <v>36423</v>
          </cell>
          <cell r="W234" t="str">
            <v>b</v>
          </cell>
          <cell r="Y234">
            <v>37825.40223017268</v>
          </cell>
          <cell r="Z234" t="str">
            <v>F2</v>
          </cell>
          <cell r="AA234" t="str">
            <v>3380</v>
          </cell>
        </row>
        <row r="235">
          <cell r="A235" t="str">
            <v>CF01</v>
          </cell>
          <cell r="D235" t="str">
            <v>H-3470</v>
          </cell>
          <cell r="V235">
            <v>36424</v>
          </cell>
          <cell r="W235" t="str">
            <v>a</v>
          </cell>
          <cell r="Y235">
            <v>13928.293521227391</v>
          </cell>
          <cell r="Z235" t="str">
            <v>F2</v>
          </cell>
          <cell r="AA235" t="str">
            <v>3395</v>
          </cell>
        </row>
        <row r="236">
          <cell r="A236" t="str">
            <v>CF01</v>
          </cell>
          <cell r="D236" t="str">
            <v>P-2990</v>
          </cell>
          <cell r="V236">
            <v>36424</v>
          </cell>
          <cell r="W236" t="str">
            <v>a</v>
          </cell>
          <cell r="Y236">
            <v>898.59958201467043</v>
          </cell>
          <cell r="Z236" t="str">
            <v>F1</v>
          </cell>
          <cell r="AA236" t="str">
            <v>3245</v>
          </cell>
        </row>
        <row r="237">
          <cell r="A237" t="str">
            <v>CF02</v>
          </cell>
          <cell r="D237" t="str">
            <v>H-3470</v>
          </cell>
          <cell r="V237">
            <v>36424</v>
          </cell>
          <cell r="W237" t="str">
            <v>a</v>
          </cell>
          <cell r="Y237">
            <v>673.94968651100282</v>
          </cell>
          <cell r="Z237" t="str">
            <v>F2</v>
          </cell>
          <cell r="AA237" t="str">
            <v>3380</v>
          </cell>
        </row>
        <row r="238">
          <cell r="A238" t="str">
            <v>PH01</v>
          </cell>
          <cell r="D238" t="str">
            <v>P-2990</v>
          </cell>
          <cell r="V238">
            <v>36424</v>
          </cell>
          <cell r="W238" t="str">
            <v>a</v>
          </cell>
          <cell r="Y238">
            <v>22464.989550366761</v>
          </cell>
          <cell r="Z238" t="str">
            <v>F1</v>
          </cell>
          <cell r="AA238" t="str">
            <v>3230</v>
          </cell>
        </row>
        <row r="239">
          <cell r="A239" t="str">
            <v>PH01</v>
          </cell>
          <cell r="D239" t="str">
            <v>P-2990</v>
          </cell>
          <cell r="V239">
            <v>36424</v>
          </cell>
          <cell r="W239" t="str">
            <v>a</v>
          </cell>
          <cell r="Y239">
            <v>14377.593312234727</v>
          </cell>
          <cell r="Z239" t="str">
            <v>F1</v>
          </cell>
          <cell r="AA239" t="str">
            <v>3230</v>
          </cell>
        </row>
        <row r="240">
          <cell r="A240" t="str">
            <v>PH01</v>
          </cell>
          <cell r="D240" t="str">
            <v>P-2990</v>
          </cell>
          <cell r="V240">
            <v>36424</v>
          </cell>
          <cell r="W240" t="str">
            <v>a</v>
          </cell>
          <cell r="Y240">
            <v>4717.6478055770194</v>
          </cell>
          <cell r="Z240" t="str">
            <v>F1</v>
          </cell>
          <cell r="AA240" t="str">
            <v>3230</v>
          </cell>
        </row>
        <row r="241">
          <cell r="A241" t="str">
            <v>PH02</v>
          </cell>
          <cell r="D241" t="str">
            <v>H-3470</v>
          </cell>
          <cell r="V241">
            <v>36424</v>
          </cell>
          <cell r="W241" t="str">
            <v>a</v>
          </cell>
          <cell r="Y241">
            <v>37741.182444616155</v>
          </cell>
          <cell r="Z241" t="str">
            <v>F2</v>
          </cell>
          <cell r="AA241" t="str">
            <v>3380</v>
          </cell>
        </row>
        <row r="242">
          <cell r="A242" t="str">
            <v>CF02</v>
          </cell>
          <cell r="D242" t="str">
            <v>P-2990</v>
          </cell>
          <cell r="V242">
            <v>36424</v>
          </cell>
          <cell r="W242" t="str">
            <v>b</v>
          </cell>
          <cell r="Y242">
            <v>8573.0832052740188</v>
          </cell>
          <cell r="Z242" t="str">
            <v>F1</v>
          </cell>
          <cell r="AA242" t="str">
            <v>3245</v>
          </cell>
        </row>
        <row r="243">
          <cell r="A243" t="str">
            <v>PH01</v>
          </cell>
          <cell r="D243" t="str">
            <v>P-2990</v>
          </cell>
          <cell r="V243">
            <v>36424</v>
          </cell>
          <cell r="W243" t="str">
            <v>b</v>
          </cell>
          <cell r="Y243">
            <v>15341.306788385085</v>
          </cell>
          <cell r="Z243" t="str">
            <v>F1</v>
          </cell>
          <cell r="AA243" t="str">
            <v>3230</v>
          </cell>
        </row>
        <row r="244">
          <cell r="A244" t="str">
            <v>PH01</v>
          </cell>
          <cell r="D244" t="str">
            <v>P-2990</v>
          </cell>
          <cell r="V244">
            <v>36424</v>
          </cell>
          <cell r="W244" t="str">
            <v>b</v>
          </cell>
          <cell r="Y244">
            <v>11957.194996829552</v>
          </cell>
          <cell r="Z244" t="str">
            <v>F1</v>
          </cell>
          <cell r="AA244" t="str">
            <v>3230</v>
          </cell>
        </row>
        <row r="245">
          <cell r="A245" t="str">
            <v>PH02</v>
          </cell>
          <cell r="D245" t="str">
            <v>H-3470</v>
          </cell>
          <cell r="V245">
            <v>36424</v>
          </cell>
          <cell r="W245" t="str">
            <v>b</v>
          </cell>
          <cell r="Y245">
            <v>42865.416026370091</v>
          </cell>
          <cell r="Z245" t="str">
            <v>F2</v>
          </cell>
          <cell r="AA245" t="str">
            <v>3380</v>
          </cell>
        </row>
        <row r="246">
          <cell r="A246" t="str">
            <v>CF02</v>
          </cell>
          <cell r="D246" t="str">
            <v>P-2990</v>
          </cell>
          <cell r="V246">
            <v>36425</v>
          </cell>
          <cell r="W246" t="str">
            <v>a</v>
          </cell>
          <cell r="Y246">
            <v>7834.8833485101595</v>
          </cell>
          <cell r="Z246" t="str">
            <v>F1</v>
          </cell>
          <cell r="AA246" t="str">
            <v>3245</v>
          </cell>
        </row>
        <row r="247">
          <cell r="A247" t="str">
            <v>PH01</v>
          </cell>
          <cell r="D247" t="str">
            <v>P-2990</v>
          </cell>
          <cell r="V247">
            <v>36425</v>
          </cell>
          <cell r="W247" t="str">
            <v>a</v>
          </cell>
          <cell r="Y247">
            <v>39174.416742550799</v>
          </cell>
          <cell r="Z247" t="str">
            <v>F1</v>
          </cell>
          <cell r="AA247" t="str">
            <v>3230</v>
          </cell>
        </row>
        <row r="248">
          <cell r="A248" t="str">
            <v>PH02</v>
          </cell>
          <cell r="D248" t="str">
            <v>H-3470</v>
          </cell>
          <cell r="V248">
            <v>36425</v>
          </cell>
          <cell r="W248" t="str">
            <v>a</v>
          </cell>
          <cell r="Y248">
            <v>41636.80865208256</v>
          </cell>
          <cell r="Z248" t="str">
            <v>F2</v>
          </cell>
          <cell r="AA248" t="str">
            <v>3380</v>
          </cell>
        </row>
        <row r="249">
          <cell r="A249" t="str">
            <v>CF02</v>
          </cell>
          <cell r="D249" t="str">
            <v>P-2990</v>
          </cell>
          <cell r="V249">
            <v>36425</v>
          </cell>
          <cell r="W249" t="str">
            <v>b</v>
          </cell>
          <cell r="Y249">
            <v>5598.2002853799941</v>
          </cell>
          <cell r="Z249" t="str">
            <v>F1</v>
          </cell>
          <cell r="AA249" t="str">
            <v>3245</v>
          </cell>
        </row>
        <row r="250">
          <cell r="A250" t="str">
            <v>CF02</v>
          </cell>
          <cell r="D250" t="str">
            <v>P-2990</v>
          </cell>
          <cell r="V250">
            <v>36425</v>
          </cell>
          <cell r="W250" t="str">
            <v>b</v>
          </cell>
          <cell r="Y250">
            <v>1866.0667617933314</v>
          </cell>
          <cell r="Z250" t="str">
            <v>F1</v>
          </cell>
          <cell r="AA250" t="str">
            <v>3230</v>
          </cell>
        </row>
        <row r="251">
          <cell r="A251" t="str">
            <v>PH01</v>
          </cell>
          <cell r="D251" t="str">
            <v>P-2990</v>
          </cell>
          <cell r="V251">
            <v>36425</v>
          </cell>
          <cell r="W251" t="str">
            <v>b</v>
          </cell>
          <cell r="Y251">
            <v>39187.401997659959</v>
          </cell>
          <cell r="Z251" t="str">
            <v>F1</v>
          </cell>
          <cell r="AA251" t="str">
            <v>3230</v>
          </cell>
        </row>
        <row r="252">
          <cell r="A252" t="str">
            <v>PH02</v>
          </cell>
          <cell r="D252" t="str">
            <v>H-3470</v>
          </cell>
          <cell r="V252">
            <v>36425</v>
          </cell>
          <cell r="W252" t="str">
            <v>b</v>
          </cell>
          <cell r="Y252">
            <v>31023.359914814133</v>
          </cell>
          <cell r="Z252" t="str">
            <v>F2</v>
          </cell>
          <cell r="AA252" t="str">
            <v>3380</v>
          </cell>
        </row>
        <row r="253">
          <cell r="A253" t="str">
            <v>CF01</v>
          </cell>
          <cell r="D253" t="str">
            <v>P-2990</v>
          </cell>
          <cell r="V253">
            <v>36426</v>
          </cell>
          <cell r="W253" t="str">
            <v>a</v>
          </cell>
          <cell r="Y253">
            <v>5185.5778606558479</v>
          </cell>
          <cell r="Z253" t="str">
            <v>F1</v>
          </cell>
          <cell r="AA253" t="str">
            <v>3230</v>
          </cell>
        </row>
        <row r="254">
          <cell r="A254" t="str">
            <v>CF02</v>
          </cell>
          <cell r="D254" t="str">
            <v>P-2990</v>
          </cell>
          <cell r="V254">
            <v>36426</v>
          </cell>
          <cell r="W254" t="str">
            <v>a</v>
          </cell>
          <cell r="Y254">
            <v>7214.7170235211797</v>
          </cell>
          <cell r="Z254" t="str">
            <v>F1</v>
          </cell>
          <cell r="AA254" t="str">
            <v>3245</v>
          </cell>
        </row>
        <row r="255">
          <cell r="A255" t="str">
            <v>PH01</v>
          </cell>
          <cell r="D255" t="str">
            <v>P-2990</v>
          </cell>
          <cell r="V255">
            <v>36426</v>
          </cell>
          <cell r="W255" t="str">
            <v>a</v>
          </cell>
          <cell r="Y255">
            <v>21193.231256593466</v>
          </cell>
          <cell r="Z255" t="str">
            <v>F1</v>
          </cell>
          <cell r="AA255" t="str">
            <v>3230</v>
          </cell>
        </row>
        <row r="256">
          <cell r="A256" t="str">
            <v>PH02</v>
          </cell>
          <cell r="V256">
            <v>36426</v>
          </cell>
          <cell r="W256" t="str">
            <v>a</v>
          </cell>
          <cell r="Y256">
            <v>19164.092093728133</v>
          </cell>
          <cell r="Z256" t="str">
            <v>F2</v>
          </cell>
          <cell r="AA256" t="str">
            <v>3380</v>
          </cell>
        </row>
        <row r="257">
          <cell r="A257" t="str">
            <v>CF01</v>
          </cell>
          <cell r="V257">
            <v>36426</v>
          </cell>
          <cell r="W257" t="str">
            <v>b</v>
          </cell>
          <cell r="Y257">
            <v>12256.274749948969</v>
          </cell>
          <cell r="Z257" t="str">
            <v>F1</v>
          </cell>
          <cell r="AA257" t="str">
            <v>3230</v>
          </cell>
        </row>
        <row r="258">
          <cell r="A258" t="str">
            <v>CF01</v>
          </cell>
          <cell r="V258">
            <v>36426</v>
          </cell>
          <cell r="W258" t="str">
            <v>b</v>
          </cell>
          <cell r="Y258">
            <v>3299.7662788324146</v>
          </cell>
          <cell r="Z258" t="str">
            <v>F1</v>
          </cell>
          <cell r="AA258" t="str">
            <v>3245</v>
          </cell>
        </row>
        <row r="259">
          <cell r="A259" t="str">
            <v>CF02</v>
          </cell>
          <cell r="V259">
            <v>36426</v>
          </cell>
          <cell r="W259" t="str">
            <v>b</v>
          </cell>
          <cell r="Y259">
            <v>9192.2060624617261</v>
          </cell>
          <cell r="Z259" t="str">
            <v>F1</v>
          </cell>
          <cell r="AA259" t="str">
            <v>3230</v>
          </cell>
        </row>
        <row r="260">
          <cell r="A260" t="str">
            <v>CF02</v>
          </cell>
          <cell r="V260">
            <v>36426</v>
          </cell>
          <cell r="W260" t="str">
            <v>b</v>
          </cell>
          <cell r="Y260">
            <v>4478.2542355582773</v>
          </cell>
          <cell r="Z260" t="str">
            <v>F1</v>
          </cell>
          <cell r="AA260" t="str">
            <v>3245</v>
          </cell>
        </row>
        <row r="261">
          <cell r="A261" t="str">
            <v>PH01</v>
          </cell>
          <cell r="V261">
            <v>36426</v>
          </cell>
          <cell r="W261" t="str">
            <v>b</v>
          </cell>
          <cell r="Y261">
            <v>16970.226576852419</v>
          </cell>
          <cell r="Z261" t="str">
            <v>F1</v>
          </cell>
          <cell r="AA261" t="str">
            <v>3230</v>
          </cell>
        </row>
        <row r="262">
          <cell r="A262" t="str">
            <v>PH02</v>
          </cell>
          <cell r="V262">
            <v>36426</v>
          </cell>
          <cell r="W262" t="str">
            <v>b</v>
          </cell>
          <cell r="Y262">
            <v>9427.9036538068995</v>
          </cell>
          <cell r="Z262" t="str">
            <v>F2</v>
          </cell>
          <cell r="AA262" t="str">
            <v>3380</v>
          </cell>
        </row>
        <row r="263">
          <cell r="A263" t="str">
            <v>PH01</v>
          </cell>
          <cell r="V263">
            <v>36427</v>
          </cell>
          <cell r="W263" t="str">
            <v>a</v>
          </cell>
          <cell r="Y263">
            <v>38915.633525282581</v>
          </cell>
          <cell r="Z263" t="str">
            <v>F1</v>
          </cell>
          <cell r="AA263" t="str">
            <v>3230</v>
          </cell>
        </row>
        <row r="264">
          <cell r="A264" t="str">
            <v>PH02</v>
          </cell>
          <cell r="V264">
            <v>36427</v>
          </cell>
          <cell r="W264" t="str">
            <v>a</v>
          </cell>
          <cell r="Y264">
            <v>29745.857809555077</v>
          </cell>
          <cell r="Z264" t="str">
            <v>F2</v>
          </cell>
          <cell r="AA264" t="str">
            <v>3380</v>
          </cell>
        </row>
        <row r="265">
          <cell r="A265" t="str">
            <v>CF01</v>
          </cell>
          <cell r="V265">
            <v>36427</v>
          </cell>
          <cell r="W265" t="str">
            <v>a</v>
          </cell>
          <cell r="Y265">
            <v>1118.2653311862809</v>
          </cell>
          <cell r="Z265" t="str">
            <v>F1</v>
          </cell>
          <cell r="AA265" t="str">
            <v>3245</v>
          </cell>
        </row>
        <row r="266">
          <cell r="A266" t="str">
            <v>CF01</v>
          </cell>
          <cell r="V266">
            <v>36427</v>
          </cell>
          <cell r="W266" t="str">
            <v>a</v>
          </cell>
          <cell r="Y266">
            <v>8498.8165170157354</v>
          </cell>
          <cell r="Z266" t="str">
            <v>F1</v>
          </cell>
          <cell r="AA266" t="str">
            <v>3230</v>
          </cell>
        </row>
        <row r="267">
          <cell r="A267" t="str">
            <v>PH01</v>
          </cell>
          <cell r="V267">
            <v>36427</v>
          </cell>
          <cell r="W267" t="str">
            <v>b</v>
          </cell>
          <cell r="Y267">
            <v>36018.391145388749</v>
          </cell>
          <cell r="Z267" t="str">
            <v>F1</v>
          </cell>
          <cell r="AA267" t="str">
            <v>3230</v>
          </cell>
        </row>
        <row r="268">
          <cell r="A268" t="str">
            <v>PH02</v>
          </cell>
          <cell r="V268">
            <v>36427</v>
          </cell>
          <cell r="W268" t="str">
            <v>b</v>
          </cell>
          <cell r="Y268">
            <v>29001.821441741591</v>
          </cell>
          <cell r="Z268" t="str">
            <v>F2</v>
          </cell>
          <cell r="AA268" t="str">
            <v>3380</v>
          </cell>
        </row>
        <row r="269">
          <cell r="A269" t="str">
            <v>CF01</v>
          </cell>
          <cell r="V269">
            <v>36427</v>
          </cell>
          <cell r="W269" t="str">
            <v>b</v>
          </cell>
          <cell r="Y269">
            <v>11694.282839411931</v>
          </cell>
          <cell r="Z269" t="str">
            <v>F1</v>
          </cell>
          <cell r="AA269" t="str">
            <v>3230</v>
          </cell>
        </row>
        <row r="270">
          <cell r="A270" t="str">
            <v>CF01</v>
          </cell>
          <cell r="V270">
            <v>36428</v>
          </cell>
          <cell r="W270" t="str">
            <v>a</v>
          </cell>
          <cell r="Y270">
            <v>11425.970892812682</v>
          </cell>
          <cell r="Z270" t="str">
            <v>F1</v>
          </cell>
          <cell r="AA270" t="str">
            <v>3230</v>
          </cell>
        </row>
        <row r="271">
          <cell r="A271" t="str">
            <v>CF01</v>
          </cell>
          <cell r="V271">
            <v>36428</v>
          </cell>
          <cell r="W271" t="str">
            <v>a</v>
          </cell>
          <cell r="Y271">
            <v>5376.9274789706742</v>
          </cell>
          <cell r="Z271" t="str">
            <v>F1</v>
          </cell>
          <cell r="AA271" t="str">
            <v>3230</v>
          </cell>
        </row>
        <row r="272">
          <cell r="A272" t="str">
            <v>CF02</v>
          </cell>
          <cell r="V272">
            <v>36428</v>
          </cell>
          <cell r="W272" t="str">
            <v>a</v>
          </cell>
          <cell r="Y272">
            <v>9633.66173315579</v>
          </cell>
          <cell r="Z272" t="str">
            <v>F2</v>
          </cell>
          <cell r="AA272" t="str">
            <v>3380</v>
          </cell>
        </row>
        <row r="273">
          <cell r="A273" t="str">
            <v>PH01</v>
          </cell>
          <cell r="V273">
            <v>36428</v>
          </cell>
          <cell r="W273" t="str">
            <v>a</v>
          </cell>
          <cell r="Y273">
            <v>7617.3139285417883</v>
          </cell>
          <cell r="Z273" t="str">
            <v>F1</v>
          </cell>
          <cell r="AA273" t="str">
            <v>3230</v>
          </cell>
        </row>
        <row r="274">
          <cell r="A274" t="str">
            <v>PH02</v>
          </cell>
          <cell r="V274">
            <v>36428</v>
          </cell>
          <cell r="W274" t="str">
            <v>a</v>
          </cell>
          <cell r="Y274">
            <v>34501.951323395158</v>
          </cell>
          <cell r="Z274" t="str">
            <v>F2</v>
          </cell>
          <cell r="AA274" t="str">
            <v>3380</v>
          </cell>
        </row>
        <row r="275">
          <cell r="A275" t="str">
            <v>CF01</v>
          </cell>
          <cell r="V275">
            <v>36428</v>
          </cell>
          <cell r="W275" t="str">
            <v>b</v>
          </cell>
          <cell r="Y275">
            <v>14510.382892561984</v>
          </cell>
          <cell r="Z275" t="str">
            <v>F1</v>
          </cell>
          <cell r="AA275" t="str">
            <v>3230</v>
          </cell>
        </row>
        <row r="276">
          <cell r="A276" t="str">
            <v>CF01</v>
          </cell>
          <cell r="V276">
            <v>36428</v>
          </cell>
          <cell r="W276" t="str">
            <v>b</v>
          </cell>
          <cell r="Y276">
            <v>8752.294443132625</v>
          </cell>
          <cell r="Z276" t="str">
            <v>F1</v>
          </cell>
          <cell r="AA276" t="str">
            <v>3230</v>
          </cell>
        </row>
        <row r="277">
          <cell r="A277" t="str">
            <v>CF02</v>
          </cell>
          <cell r="V277">
            <v>36428</v>
          </cell>
          <cell r="W277" t="str">
            <v>b</v>
          </cell>
          <cell r="Y277">
            <v>5067.1178354978356</v>
          </cell>
          <cell r="Z277" t="str">
            <v>F2</v>
          </cell>
          <cell r="AA277" t="str">
            <v>3380</v>
          </cell>
        </row>
        <row r="278">
          <cell r="A278" t="str">
            <v>CF02</v>
          </cell>
          <cell r="V278">
            <v>36428</v>
          </cell>
          <cell r="W278" t="str">
            <v>b</v>
          </cell>
          <cell r="Y278">
            <v>4606.4707595434866</v>
          </cell>
          <cell r="Z278" t="str">
            <v>F2</v>
          </cell>
          <cell r="AA278" t="str">
            <v>3380</v>
          </cell>
        </row>
        <row r="279">
          <cell r="A279" t="str">
            <v>PH02</v>
          </cell>
          <cell r="V279">
            <v>36428</v>
          </cell>
          <cell r="W279" t="str">
            <v>b</v>
          </cell>
          <cell r="Y279">
            <v>13128.441664698938</v>
          </cell>
          <cell r="Z279" t="str">
            <v>F2</v>
          </cell>
          <cell r="AA279" t="str">
            <v>3380</v>
          </cell>
        </row>
        <row r="280">
          <cell r="A280" t="str">
            <v>PH02</v>
          </cell>
          <cell r="V280">
            <v>36428</v>
          </cell>
          <cell r="W280" t="str">
            <v>b</v>
          </cell>
          <cell r="Y280">
            <v>8982.6179811097991</v>
          </cell>
          <cell r="Z280" t="str">
            <v>F2</v>
          </cell>
          <cell r="AA280" t="str">
            <v>3380</v>
          </cell>
        </row>
        <row r="281">
          <cell r="A281" t="str">
            <v>CF01</v>
          </cell>
          <cell r="V281">
            <v>36429</v>
          </cell>
          <cell r="W281" t="str">
            <v>a</v>
          </cell>
          <cell r="Y281">
            <v>5430.342674892112</v>
          </cell>
          <cell r="Z281" t="str">
            <v>F1</v>
          </cell>
          <cell r="AA281" t="str">
            <v>3245</v>
          </cell>
        </row>
        <row r="282">
          <cell r="A282" t="str">
            <v>CF01</v>
          </cell>
          <cell r="V282">
            <v>36429</v>
          </cell>
          <cell r="W282" t="str">
            <v>a</v>
          </cell>
          <cell r="Y282">
            <v>12218.271018507254</v>
          </cell>
          <cell r="Z282" t="str">
            <v>F1</v>
          </cell>
          <cell r="AA282" t="str">
            <v>3230</v>
          </cell>
        </row>
        <row r="283">
          <cell r="A283" t="str">
            <v>CF02</v>
          </cell>
          <cell r="V283">
            <v>36429</v>
          </cell>
          <cell r="W283" t="str">
            <v>a</v>
          </cell>
          <cell r="Y283">
            <v>3167.6998936870655</v>
          </cell>
          <cell r="Z283" t="str">
            <v>F1</v>
          </cell>
          <cell r="AA283" t="str">
            <v>3230</v>
          </cell>
        </row>
        <row r="284">
          <cell r="A284" t="str">
            <v>CF02</v>
          </cell>
          <cell r="V284">
            <v>36429</v>
          </cell>
          <cell r="W284" t="str">
            <v>a</v>
          </cell>
          <cell r="Y284">
            <v>7466.7211779766549</v>
          </cell>
          <cell r="Z284" t="str">
            <v>F2</v>
          </cell>
          <cell r="AA284" t="str">
            <v>3380</v>
          </cell>
        </row>
        <row r="285">
          <cell r="A285" t="str">
            <v>CF02</v>
          </cell>
          <cell r="V285">
            <v>36429</v>
          </cell>
          <cell r="W285" t="str">
            <v>a</v>
          </cell>
          <cell r="Y285">
            <v>3846.4927280485795</v>
          </cell>
          <cell r="Z285" t="str">
            <v>F1</v>
          </cell>
          <cell r="AA285" t="str">
            <v>3230</v>
          </cell>
        </row>
        <row r="286">
          <cell r="A286" t="str">
            <v>CF02</v>
          </cell>
          <cell r="V286">
            <v>36429</v>
          </cell>
          <cell r="W286" t="str">
            <v>a</v>
          </cell>
          <cell r="Y286">
            <v>2715.171337446056</v>
          </cell>
          <cell r="Z286" t="str">
            <v>F1</v>
          </cell>
          <cell r="AA286" t="str">
            <v>3230</v>
          </cell>
        </row>
        <row r="287">
          <cell r="A287" t="str">
            <v>PH02</v>
          </cell>
          <cell r="V287">
            <v>36429</v>
          </cell>
          <cell r="W287" t="str">
            <v>a</v>
          </cell>
          <cell r="Y287">
            <v>41858.89145229337</v>
          </cell>
          <cell r="Z287" t="str">
            <v>F2</v>
          </cell>
          <cell r="AA287" t="str">
            <v>3380</v>
          </cell>
        </row>
        <row r="288">
          <cell r="A288" t="str">
            <v>CF01</v>
          </cell>
          <cell r="V288">
            <v>36429</v>
          </cell>
          <cell r="W288" t="str">
            <v>b</v>
          </cell>
          <cell r="Y288">
            <v>11677.907984785017</v>
          </cell>
          <cell r="Z288" t="str">
            <v>F1</v>
          </cell>
          <cell r="AA288" t="str">
            <v>3230</v>
          </cell>
        </row>
        <row r="289">
          <cell r="A289" t="str">
            <v>CF01</v>
          </cell>
          <cell r="V289">
            <v>36429</v>
          </cell>
          <cell r="W289" t="str">
            <v>b</v>
          </cell>
          <cell r="Y289">
            <v>1602.850115558728</v>
          </cell>
          <cell r="Z289" t="str">
            <v>F1</v>
          </cell>
          <cell r="AA289" t="str">
            <v>3230</v>
          </cell>
        </row>
        <row r="290">
          <cell r="A290" t="str">
            <v>CF02</v>
          </cell>
          <cell r="V290">
            <v>36429</v>
          </cell>
          <cell r="W290" t="str">
            <v>b</v>
          </cell>
          <cell r="Y290">
            <v>13051.779512406785</v>
          </cell>
          <cell r="Z290" t="str">
            <v>F1</v>
          </cell>
          <cell r="AA290" t="str">
            <v>3230</v>
          </cell>
        </row>
        <row r="291">
          <cell r="A291" t="str">
            <v>CF02</v>
          </cell>
          <cell r="V291">
            <v>36429</v>
          </cell>
          <cell r="W291" t="str">
            <v>b</v>
          </cell>
          <cell r="Y291">
            <v>228.97858793696113</v>
          </cell>
          <cell r="Z291" t="str">
            <v>F1</v>
          </cell>
          <cell r="AA291" t="str">
            <v>3230</v>
          </cell>
        </row>
        <row r="292">
          <cell r="A292" t="str">
            <v>CF02</v>
          </cell>
          <cell r="V292">
            <v>36429</v>
          </cell>
          <cell r="W292" t="str">
            <v>b</v>
          </cell>
          <cell r="Y292">
            <v>9388.1221054154066</v>
          </cell>
          <cell r="Z292" t="str">
            <v>F1</v>
          </cell>
          <cell r="AA292" t="str">
            <v>3230</v>
          </cell>
        </row>
        <row r="293">
          <cell r="A293" t="str">
            <v>PH01</v>
          </cell>
          <cell r="V293">
            <v>36429</v>
          </cell>
          <cell r="W293" t="str">
            <v>b</v>
          </cell>
          <cell r="Y293">
            <v>19921.13715051562</v>
          </cell>
          <cell r="Z293" t="str">
            <v>F1</v>
          </cell>
          <cell r="AA293" t="str">
            <v>3230</v>
          </cell>
        </row>
        <row r="294">
          <cell r="A294" t="str">
            <v>PH02</v>
          </cell>
          <cell r="V294">
            <v>36429</v>
          </cell>
          <cell r="W294" t="str">
            <v>b</v>
          </cell>
          <cell r="Y294">
            <v>15799.522567650318</v>
          </cell>
          <cell r="Z294" t="str">
            <v>F2</v>
          </cell>
          <cell r="AA294" t="str">
            <v>3380</v>
          </cell>
        </row>
        <row r="295">
          <cell r="A295" t="str">
            <v>CF02</v>
          </cell>
          <cell r="V295">
            <v>36430</v>
          </cell>
          <cell r="W295" t="str">
            <v>a</v>
          </cell>
          <cell r="Y295">
            <v>7204.0457759502988</v>
          </cell>
          <cell r="Z295" t="str">
            <v>F1</v>
          </cell>
          <cell r="AA295" t="str">
            <v>3230</v>
          </cell>
        </row>
        <row r="296">
          <cell r="A296" t="str">
            <v>CF02</v>
          </cell>
          <cell r="V296">
            <v>36430</v>
          </cell>
          <cell r="W296" t="str">
            <v>a</v>
          </cell>
          <cell r="Y296">
            <v>6303.5400539565117</v>
          </cell>
          <cell r="Z296" t="str">
            <v>F1</v>
          </cell>
          <cell r="AA296" t="str">
            <v>3230</v>
          </cell>
        </row>
        <row r="297">
          <cell r="A297" t="str">
            <v>CF02</v>
          </cell>
          <cell r="V297">
            <v>36430</v>
          </cell>
          <cell r="W297" t="str">
            <v>a</v>
          </cell>
          <cell r="Y297">
            <v>2026.1378744860215</v>
          </cell>
          <cell r="Z297" t="str">
            <v>F1</v>
          </cell>
          <cell r="AA297" t="str">
            <v>3230</v>
          </cell>
        </row>
        <row r="298">
          <cell r="A298" t="str">
            <v>PH01</v>
          </cell>
          <cell r="V298">
            <v>36430</v>
          </cell>
          <cell r="W298" t="str">
            <v>a</v>
          </cell>
          <cell r="Y298">
            <v>24763.907354829153</v>
          </cell>
          <cell r="Z298" t="str">
            <v>F1</v>
          </cell>
          <cell r="AA298" t="str">
            <v>3230</v>
          </cell>
        </row>
        <row r="299">
          <cell r="A299" t="str">
            <v>PH01</v>
          </cell>
          <cell r="V299">
            <v>36430</v>
          </cell>
          <cell r="W299" t="str">
            <v>a</v>
          </cell>
          <cell r="Y299">
            <v>450.25286099689367</v>
          </cell>
          <cell r="Z299" t="str">
            <v>F1</v>
          </cell>
          <cell r="AA299" t="str">
            <v>3230</v>
          </cell>
        </row>
        <row r="300">
          <cell r="A300" t="str">
            <v>PH01</v>
          </cell>
          <cell r="V300">
            <v>36430</v>
          </cell>
          <cell r="W300" t="str">
            <v>a</v>
          </cell>
          <cell r="Y300">
            <v>4277.4021794704895</v>
          </cell>
          <cell r="Z300" t="str">
            <v>F1</v>
          </cell>
          <cell r="AA300" t="str">
            <v>3230</v>
          </cell>
        </row>
        <row r="301">
          <cell r="A301" t="str">
            <v>PH02</v>
          </cell>
          <cell r="V301">
            <v>36430</v>
          </cell>
          <cell r="W301" t="str">
            <v>a</v>
          </cell>
          <cell r="Y301">
            <v>18010.114439875746</v>
          </cell>
          <cell r="Z301" t="str">
            <v>F2</v>
          </cell>
          <cell r="AA301" t="str">
            <v>3380</v>
          </cell>
        </row>
        <row r="302">
          <cell r="A302" t="str">
            <v>PH02</v>
          </cell>
          <cell r="V302">
            <v>36430</v>
          </cell>
          <cell r="W302" t="str">
            <v>a</v>
          </cell>
          <cell r="Y302">
            <v>6978.9193454518518</v>
          </cell>
          <cell r="Z302" t="str">
            <v>F2</v>
          </cell>
          <cell r="AA302" t="str">
            <v>3380</v>
          </cell>
        </row>
        <row r="303">
          <cell r="A303" t="str">
            <v>CF01</v>
          </cell>
          <cell r="V303">
            <v>36430</v>
          </cell>
          <cell r="W303" t="str">
            <v>b</v>
          </cell>
          <cell r="Y303">
            <v>1361.9161264028069</v>
          </cell>
          <cell r="Z303" t="str">
            <v>F1</v>
          </cell>
          <cell r="AA303" t="str">
            <v>3230</v>
          </cell>
        </row>
        <row r="304">
          <cell r="A304" t="str">
            <v>CF01</v>
          </cell>
          <cell r="V304">
            <v>36430</v>
          </cell>
          <cell r="W304" t="str">
            <v>b</v>
          </cell>
          <cell r="Y304">
            <v>9306.4268637525147</v>
          </cell>
          <cell r="Z304" t="str">
            <v>F2</v>
          </cell>
          <cell r="AA304" t="str">
            <v>3395</v>
          </cell>
        </row>
        <row r="305">
          <cell r="A305" t="str">
            <v>CF02</v>
          </cell>
          <cell r="V305">
            <v>36430</v>
          </cell>
          <cell r="W305" t="str">
            <v>b</v>
          </cell>
          <cell r="Y305">
            <v>2042.8741896042104</v>
          </cell>
          <cell r="Z305" t="str">
            <v>F1</v>
          </cell>
          <cell r="AA305" t="str">
            <v>3230</v>
          </cell>
        </row>
        <row r="306">
          <cell r="A306" t="str">
            <v>CF02</v>
          </cell>
          <cell r="V306">
            <v>36430</v>
          </cell>
          <cell r="W306" t="str">
            <v>b</v>
          </cell>
          <cell r="Y306">
            <v>5447.6645056112275</v>
          </cell>
          <cell r="Z306" t="str">
            <v>F1</v>
          </cell>
          <cell r="AA306" t="str">
            <v>3245</v>
          </cell>
        </row>
        <row r="307">
          <cell r="A307" t="str">
            <v>CF02</v>
          </cell>
          <cell r="V307">
            <v>36430</v>
          </cell>
          <cell r="W307" t="str">
            <v>b</v>
          </cell>
          <cell r="Y307">
            <v>1588.9021474699414</v>
          </cell>
          <cell r="Z307" t="str">
            <v>F1</v>
          </cell>
          <cell r="AA307" t="str">
            <v>3230</v>
          </cell>
        </row>
        <row r="308">
          <cell r="A308" t="str">
            <v>CF03</v>
          </cell>
          <cell r="V308">
            <v>36430</v>
          </cell>
          <cell r="W308" t="str">
            <v>b</v>
          </cell>
          <cell r="Y308">
            <v>453.97204213426897</v>
          </cell>
          <cell r="Z308" t="str">
            <v>F1</v>
          </cell>
          <cell r="AA308" t="str">
            <v>3230</v>
          </cell>
        </row>
        <row r="309">
          <cell r="A309" t="str">
            <v>PH01</v>
          </cell>
          <cell r="V309">
            <v>36430</v>
          </cell>
          <cell r="W309" t="str">
            <v>b</v>
          </cell>
          <cell r="Y309">
            <v>9987.3849269539169</v>
          </cell>
          <cell r="Z309" t="str">
            <v>F1</v>
          </cell>
          <cell r="AA309" t="str">
            <v>3230</v>
          </cell>
        </row>
        <row r="310">
          <cell r="A310" t="str">
            <v>PH01</v>
          </cell>
          <cell r="V310">
            <v>36430</v>
          </cell>
          <cell r="W310" t="str">
            <v>b</v>
          </cell>
          <cell r="Y310">
            <v>6128.6225688126315</v>
          </cell>
          <cell r="Z310" t="str">
            <v>F1</v>
          </cell>
          <cell r="AA310" t="str">
            <v>3230</v>
          </cell>
        </row>
        <row r="311">
          <cell r="A311" t="str">
            <v>PH01</v>
          </cell>
          <cell r="V311">
            <v>36430</v>
          </cell>
          <cell r="W311" t="str">
            <v>b</v>
          </cell>
          <cell r="Y311">
            <v>11576.287074423859</v>
          </cell>
          <cell r="Z311" t="str">
            <v>F1</v>
          </cell>
          <cell r="AA311" t="str">
            <v>3230</v>
          </cell>
        </row>
        <row r="312">
          <cell r="A312" t="str">
            <v>PH01</v>
          </cell>
          <cell r="V312">
            <v>36430</v>
          </cell>
          <cell r="W312" t="str">
            <v>b</v>
          </cell>
          <cell r="Y312">
            <v>5901.6365477454965</v>
          </cell>
          <cell r="Z312" t="str">
            <v>F1</v>
          </cell>
          <cell r="AA312" t="str">
            <v>3230</v>
          </cell>
        </row>
        <row r="313">
          <cell r="A313" t="str">
            <v>PH01</v>
          </cell>
          <cell r="V313">
            <v>36430</v>
          </cell>
          <cell r="W313" t="str">
            <v>b</v>
          </cell>
          <cell r="Y313">
            <v>1588.9021474699414</v>
          </cell>
          <cell r="Z313" t="str">
            <v>F1</v>
          </cell>
          <cell r="AA313" t="str">
            <v>3230</v>
          </cell>
        </row>
        <row r="314">
          <cell r="A314" t="str">
            <v>PH01</v>
          </cell>
          <cell r="V314">
            <v>36430</v>
          </cell>
          <cell r="W314" t="str">
            <v>b</v>
          </cell>
          <cell r="Y314">
            <v>1815.8881685370759</v>
          </cell>
          <cell r="Z314" t="str">
            <v>F1</v>
          </cell>
          <cell r="AA314" t="str">
            <v>3230</v>
          </cell>
        </row>
        <row r="315">
          <cell r="A315" t="str">
            <v>PH02</v>
          </cell>
          <cell r="V315">
            <v>36430</v>
          </cell>
          <cell r="W315" t="str">
            <v>b</v>
          </cell>
          <cell r="Y315">
            <v>17704.90964323649</v>
          </cell>
          <cell r="Z315" t="str">
            <v>F2</v>
          </cell>
          <cell r="AA315" t="str">
            <v>3380</v>
          </cell>
        </row>
        <row r="316">
          <cell r="A316" t="str">
            <v>PH02</v>
          </cell>
          <cell r="V316">
            <v>36430</v>
          </cell>
          <cell r="W316" t="str">
            <v>b</v>
          </cell>
          <cell r="Y316">
            <v>8398.4827794839766</v>
          </cell>
          <cell r="Z316" t="str">
            <v>F2</v>
          </cell>
          <cell r="AA316" t="str">
            <v>3380</v>
          </cell>
        </row>
        <row r="317">
          <cell r="Y317" t="e">
            <v>#N/A</v>
          </cell>
          <cell r="Z317">
            <v>0</v>
          </cell>
          <cell r="AA317">
            <v>0</v>
          </cell>
        </row>
        <row r="318">
          <cell r="Y318" t="e">
            <v>#N/A</v>
          </cell>
          <cell r="Z318">
            <v>0</v>
          </cell>
          <cell r="AA318">
            <v>0</v>
          </cell>
        </row>
        <row r="319">
          <cell r="Y319" t="e">
            <v>#N/A</v>
          </cell>
          <cell r="Z319">
            <v>0</v>
          </cell>
          <cell r="AA319">
            <v>0</v>
          </cell>
        </row>
        <row r="320">
          <cell r="Y320" t="e">
            <v>#N/A</v>
          </cell>
          <cell r="Z320">
            <v>0</v>
          </cell>
          <cell r="AA320">
            <v>0</v>
          </cell>
        </row>
        <row r="321">
          <cell r="Y321" t="e">
            <v>#N/A</v>
          </cell>
          <cell r="Z321">
            <v>0</v>
          </cell>
          <cell r="AA321">
            <v>0</v>
          </cell>
        </row>
        <row r="322">
          <cell r="Y322" t="e">
            <v>#N/A</v>
          </cell>
          <cell r="Z322">
            <v>0</v>
          </cell>
          <cell r="AA322">
            <v>0</v>
          </cell>
        </row>
        <row r="323">
          <cell r="Y323" t="e">
            <v>#N/A</v>
          </cell>
          <cell r="Z323">
            <v>0</v>
          </cell>
          <cell r="AA323">
            <v>0</v>
          </cell>
        </row>
        <row r="324">
          <cell r="Y324" t="e">
            <v>#N/A</v>
          </cell>
          <cell r="Z324">
            <v>0</v>
          </cell>
          <cell r="AA324">
            <v>0</v>
          </cell>
        </row>
        <row r="325">
          <cell r="Y325" t="e">
            <v>#N/A</v>
          </cell>
          <cell r="Z325">
            <v>0</v>
          </cell>
          <cell r="AA325">
            <v>0</v>
          </cell>
        </row>
        <row r="326">
          <cell r="Y326" t="e">
            <v>#N/A</v>
          </cell>
          <cell r="Z326">
            <v>0</v>
          </cell>
          <cell r="AA326">
            <v>0</v>
          </cell>
        </row>
        <row r="327">
          <cell r="Y327" t="e">
            <v>#N/A</v>
          </cell>
          <cell r="Z327">
            <v>0</v>
          </cell>
          <cell r="AA327">
            <v>0</v>
          </cell>
        </row>
        <row r="328">
          <cell r="Y328" t="e">
            <v>#N/A</v>
          </cell>
          <cell r="Z328">
            <v>0</v>
          </cell>
          <cell r="AA328">
            <v>0</v>
          </cell>
        </row>
        <row r="329">
          <cell r="Y329" t="e">
            <v>#N/A</v>
          </cell>
          <cell r="Z329">
            <v>0</v>
          </cell>
          <cell r="AA329">
            <v>0</v>
          </cell>
        </row>
        <row r="330">
          <cell r="Y330" t="e">
            <v>#N/A</v>
          </cell>
          <cell r="Z330">
            <v>0</v>
          </cell>
          <cell r="AA330">
            <v>0</v>
          </cell>
        </row>
        <row r="331">
          <cell r="Y331" t="e">
            <v>#N/A</v>
          </cell>
          <cell r="Z331">
            <v>0</v>
          </cell>
          <cell r="AA331">
            <v>0</v>
          </cell>
        </row>
        <row r="332">
          <cell r="Y332" t="e">
            <v>#N/A</v>
          </cell>
          <cell r="Z332">
            <v>0</v>
          </cell>
          <cell r="AA332">
            <v>0</v>
          </cell>
        </row>
        <row r="333">
          <cell r="Y333" t="e">
            <v>#N/A</v>
          </cell>
          <cell r="Z333">
            <v>0</v>
          </cell>
          <cell r="AA333">
            <v>0</v>
          </cell>
        </row>
        <row r="334">
          <cell r="Y334" t="e">
            <v>#N/A</v>
          </cell>
          <cell r="Z334">
            <v>0</v>
          </cell>
          <cell r="AA334">
            <v>0</v>
          </cell>
        </row>
        <row r="335">
          <cell r="Y335" t="e">
            <v>#N/A</v>
          </cell>
          <cell r="Z335">
            <v>0</v>
          </cell>
          <cell r="AA335">
            <v>0</v>
          </cell>
        </row>
        <row r="336">
          <cell r="Y336" t="e">
            <v>#N/A</v>
          </cell>
          <cell r="Z336">
            <v>0</v>
          </cell>
          <cell r="AA336">
            <v>0</v>
          </cell>
        </row>
        <row r="337">
          <cell r="Y337" t="e">
            <v>#N/A</v>
          </cell>
          <cell r="Z337">
            <v>0</v>
          </cell>
          <cell r="AA337">
            <v>0</v>
          </cell>
        </row>
        <row r="338">
          <cell r="Y338" t="e">
            <v>#N/A</v>
          </cell>
          <cell r="Z338">
            <v>0</v>
          </cell>
          <cell r="AA338">
            <v>0</v>
          </cell>
        </row>
        <row r="339">
          <cell r="Y339" t="e">
            <v>#N/A</v>
          </cell>
          <cell r="Z339">
            <v>0</v>
          </cell>
          <cell r="AA339">
            <v>0</v>
          </cell>
        </row>
        <row r="340">
          <cell r="Y340" t="e">
            <v>#N/A</v>
          </cell>
          <cell r="Z340">
            <v>0</v>
          </cell>
          <cell r="AA340">
            <v>0</v>
          </cell>
        </row>
        <row r="341">
          <cell r="Y341" t="e">
            <v>#N/A</v>
          </cell>
          <cell r="Z341">
            <v>0</v>
          </cell>
          <cell r="AA341">
            <v>0</v>
          </cell>
        </row>
        <row r="342">
          <cell r="Y342" t="e">
            <v>#N/A</v>
          </cell>
          <cell r="Z342">
            <v>0</v>
          </cell>
          <cell r="AA342">
            <v>0</v>
          </cell>
        </row>
        <row r="343">
          <cell r="Y343" t="e">
            <v>#N/A</v>
          </cell>
          <cell r="Z343">
            <v>0</v>
          </cell>
          <cell r="AA343">
            <v>0</v>
          </cell>
        </row>
        <row r="344">
          <cell r="Y344" t="e">
            <v>#N/A</v>
          </cell>
          <cell r="Z344">
            <v>0</v>
          </cell>
          <cell r="AA344">
            <v>0</v>
          </cell>
        </row>
        <row r="345">
          <cell r="Y345" t="e">
            <v>#N/A</v>
          </cell>
          <cell r="Z345">
            <v>0</v>
          </cell>
          <cell r="AA345">
            <v>0</v>
          </cell>
        </row>
        <row r="346">
          <cell r="Y346" t="e">
            <v>#N/A</v>
          </cell>
          <cell r="Z346">
            <v>0</v>
          </cell>
          <cell r="AA346">
            <v>0</v>
          </cell>
        </row>
        <row r="347">
          <cell r="Y347" t="e">
            <v>#N/A</v>
          </cell>
          <cell r="Z347">
            <v>0</v>
          </cell>
          <cell r="AA347">
            <v>0</v>
          </cell>
        </row>
        <row r="348">
          <cell r="Y348" t="e">
            <v>#N/A</v>
          </cell>
          <cell r="Z348">
            <v>0</v>
          </cell>
          <cell r="AA348">
            <v>0</v>
          </cell>
        </row>
        <row r="349">
          <cell r="Y349" t="e">
            <v>#N/A</v>
          </cell>
          <cell r="Z349">
            <v>0</v>
          </cell>
          <cell r="AA349">
            <v>0</v>
          </cell>
        </row>
        <row r="350">
          <cell r="Y350" t="e">
            <v>#N/A</v>
          </cell>
          <cell r="Z350">
            <v>0</v>
          </cell>
          <cell r="AA350">
            <v>0</v>
          </cell>
        </row>
        <row r="351">
          <cell r="Y351" t="e">
            <v>#N/A</v>
          </cell>
          <cell r="Z351">
            <v>0</v>
          </cell>
          <cell r="AA351">
            <v>0</v>
          </cell>
        </row>
        <row r="352">
          <cell r="Y352" t="e">
            <v>#N/A</v>
          </cell>
          <cell r="Z352">
            <v>0</v>
          </cell>
          <cell r="AA352">
            <v>0</v>
          </cell>
        </row>
        <row r="353">
          <cell r="Y353" t="e">
            <v>#N/A</v>
          </cell>
          <cell r="Z353">
            <v>0</v>
          </cell>
          <cell r="AA353">
            <v>0</v>
          </cell>
        </row>
        <row r="354">
          <cell r="Y354" t="e">
            <v>#N/A</v>
          </cell>
          <cell r="Z354">
            <v>0</v>
          </cell>
          <cell r="AA354">
            <v>0</v>
          </cell>
        </row>
        <row r="355">
          <cell r="Y355" t="e">
            <v>#N/A</v>
          </cell>
          <cell r="Z355">
            <v>0</v>
          </cell>
          <cell r="AA355">
            <v>0</v>
          </cell>
        </row>
        <row r="356">
          <cell r="Y356" t="e">
            <v>#N/A</v>
          </cell>
          <cell r="Z356">
            <v>0</v>
          </cell>
          <cell r="AA356">
            <v>0</v>
          </cell>
        </row>
        <row r="357">
          <cell r="Y357" t="e">
            <v>#N/A</v>
          </cell>
          <cell r="Z357">
            <v>0</v>
          </cell>
          <cell r="AA357">
            <v>0</v>
          </cell>
        </row>
        <row r="358">
          <cell r="Y358" t="e">
            <v>#N/A</v>
          </cell>
          <cell r="Z358">
            <v>0</v>
          </cell>
          <cell r="AA358">
            <v>0</v>
          </cell>
        </row>
        <row r="359">
          <cell r="Y359" t="e">
            <v>#N/A</v>
          </cell>
          <cell r="Z359">
            <v>0</v>
          </cell>
          <cell r="AA359">
            <v>0</v>
          </cell>
        </row>
        <row r="360">
          <cell r="Y360" t="e">
            <v>#N/A</v>
          </cell>
          <cell r="Z360">
            <v>0</v>
          </cell>
          <cell r="AA360">
            <v>0</v>
          </cell>
        </row>
        <row r="361">
          <cell r="Y361" t="e">
            <v>#N/A</v>
          </cell>
          <cell r="Z361">
            <v>0</v>
          </cell>
          <cell r="AA361">
            <v>0</v>
          </cell>
        </row>
        <row r="362">
          <cell r="Y362" t="e">
            <v>#N/A</v>
          </cell>
          <cell r="Z362">
            <v>0</v>
          </cell>
          <cell r="AA362">
            <v>0</v>
          </cell>
        </row>
        <row r="363">
          <cell r="Y363" t="e">
            <v>#N/A</v>
          </cell>
          <cell r="Z363">
            <v>0</v>
          </cell>
          <cell r="AA363">
            <v>0</v>
          </cell>
        </row>
        <row r="364">
          <cell r="Y364" t="e">
            <v>#N/A</v>
          </cell>
          <cell r="Z364">
            <v>0</v>
          </cell>
          <cell r="AA364">
            <v>0</v>
          </cell>
        </row>
        <row r="365">
          <cell r="Y365" t="e">
            <v>#N/A</v>
          </cell>
          <cell r="Z365">
            <v>0</v>
          </cell>
          <cell r="AA365">
            <v>0</v>
          </cell>
        </row>
        <row r="366">
          <cell r="Y366" t="e">
            <v>#N/A</v>
          </cell>
          <cell r="Z366">
            <v>0</v>
          </cell>
          <cell r="AA366">
            <v>0</v>
          </cell>
        </row>
        <row r="367">
          <cell r="Y367" t="e">
            <v>#N/A</v>
          </cell>
          <cell r="Z367">
            <v>0</v>
          </cell>
          <cell r="AA367">
            <v>0</v>
          </cell>
        </row>
        <row r="368">
          <cell r="Y368" t="e">
            <v>#N/A</v>
          </cell>
          <cell r="Z368">
            <v>0</v>
          </cell>
          <cell r="AA368">
            <v>0</v>
          </cell>
        </row>
        <row r="369">
          <cell r="Y369" t="e">
            <v>#N/A</v>
          </cell>
          <cell r="Z369">
            <v>0</v>
          </cell>
          <cell r="AA369">
            <v>0</v>
          </cell>
        </row>
        <row r="370">
          <cell r="Y370" t="e">
            <v>#N/A</v>
          </cell>
          <cell r="Z370">
            <v>0</v>
          </cell>
          <cell r="AA370">
            <v>0</v>
          </cell>
        </row>
        <row r="371">
          <cell r="Y371" t="e">
            <v>#N/A</v>
          </cell>
          <cell r="Z371">
            <v>0</v>
          </cell>
          <cell r="AA371">
            <v>0</v>
          </cell>
        </row>
        <row r="372">
          <cell r="Y372" t="e">
            <v>#N/A</v>
          </cell>
          <cell r="Z372">
            <v>0</v>
          </cell>
          <cell r="AA372">
            <v>0</v>
          </cell>
        </row>
        <row r="373">
          <cell r="Y373" t="e">
            <v>#N/A</v>
          </cell>
          <cell r="Z373">
            <v>0</v>
          </cell>
          <cell r="AA373">
            <v>0</v>
          </cell>
        </row>
        <row r="374">
          <cell r="Y374" t="e">
            <v>#N/A</v>
          </cell>
          <cell r="Z374">
            <v>0</v>
          </cell>
          <cell r="AA374">
            <v>0</v>
          </cell>
        </row>
        <row r="375">
          <cell r="Y375" t="e">
            <v>#N/A</v>
          </cell>
          <cell r="Z375">
            <v>0</v>
          </cell>
          <cell r="AA375">
            <v>0</v>
          </cell>
        </row>
        <row r="376">
          <cell r="Y376" t="e">
            <v>#N/A</v>
          </cell>
          <cell r="Z376">
            <v>0</v>
          </cell>
          <cell r="AA376">
            <v>0</v>
          </cell>
        </row>
        <row r="377">
          <cell r="Y377" t="e">
            <v>#N/A</v>
          </cell>
          <cell r="Z377">
            <v>0</v>
          </cell>
          <cell r="AA377">
            <v>0</v>
          </cell>
        </row>
        <row r="378">
          <cell r="Y378" t="e">
            <v>#N/A</v>
          </cell>
          <cell r="Z378">
            <v>0</v>
          </cell>
          <cell r="AA378">
            <v>0</v>
          </cell>
        </row>
        <row r="379">
          <cell r="Y379" t="e">
            <v>#N/A</v>
          </cell>
          <cell r="Z379">
            <v>0</v>
          </cell>
          <cell r="AA379">
            <v>0</v>
          </cell>
        </row>
        <row r="380">
          <cell r="Y380" t="e">
            <v>#N/A</v>
          </cell>
          <cell r="Z380">
            <v>0</v>
          </cell>
          <cell r="AA380">
            <v>0</v>
          </cell>
        </row>
        <row r="381">
          <cell r="Y381" t="e">
            <v>#N/A</v>
          </cell>
          <cell r="Z381">
            <v>0</v>
          </cell>
          <cell r="AA381">
            <v>0</v>
          </cell>
        </row>
        <row r="382">
          <cell r="Y382" t="e">
            <v>#N/A</v>
          </cell>
          <cell r="Z382">
            <v>0</v>
          </cell>
          <cell r="AA382">
            <v>0</v>
          </cell>
        </row>
        <row r="383">
          <cell r="Y383" t="e">
            <v>#N/A</v>
          </cell>
          <cell r="Z383">
            <v>0</v>
          </cell>
          <cell r="AA383">
            <v>0</v>
          </cell>
        </row>
        <row r="384">
          <cell r="Y384" t="e">
            <v>#N/A</v>
          </cell>
          <cell r="Z384">
            <v>0</v>
          </cell>
          <cell r="AA384">
            <v>0</v>
          </cell>
        </row>
        <row r="385">
          <cell r="Y385" t="e">
            <v>#N/A</v>
          </cell>
          <cell r="Z385">
            <v>0</v>
          </cell>
          <cell r="AA385">
            <v>0</v>
          </cell>
        </row>
        <row r="386">
          <cell r="Y386" t="e">
            <v>#N/A</v>
          </cell>
          <cell r="Z386">
            <v>0</v>
          </cell>
          <cell r="AA386">
            <v>0</v>
          </cell>
        </row>
        <row r="387">
          <cell r="Y387" t="e">
            <v>#N/A</v>
          </cell>
          <cell r="Z387">
            <v>0</v>
          </cell>
          <cell r="AA387">
            <v>0</v>
          </cell>
        </row>
        <row r="388">
          <cell r="Y388" t="e">
            <v>#N/A</v>
          </cell>
          <cell r="Z388">
            <v>0</v>
          </cell>
          <cell r="AA388">
            <v>0</v>
          </cell>
        </row>
        <row r="389">
          <cell r="Y389" t="e">
            <v>#N/A</v>
          </cell>
          <cell r="Z389">
            <v>0</v>
          </cell>
          <cell r="AA389">
            <v>0</v>
          </cell>
        </row>
        <row r="390">
          <cell r="Y390" t="e">
            <v>#N/A</v>
          </cell>
          <cell r="Z390">
            <v>0</v>
          </cell>
          <cell r="AA390">
            <v>0</v>
          </cell>
        </row>
        <row r="391">
          <cell r="Y391" t="e">
            <v>#N/A</v>
          </cell>
          <cell r="Z391">
            <v>0</v>
          </cell>
          <cell r="AA391">
            <v>0</v>
          </cell>
        </row>
        <row r="392">
          <cell r="Y392" t="e">
            <v>#N/A</v>
          </cell>
          <cell r="Z392">
            <v>0</v>
          </cell>
          <cell r="AA392">
            <v>0</v>
          </cell>
        </row>
        <row r="393">
          <cell r="Y393" t="e">
            <v>#N/A</v>
          </cell>
          <cell r="Z393">
            <v>0</v>
          </cell>
          <cell r="AA393">
            <v>0</v>
          </cell>
        </row>
        <row r="394">
          <cell r="Y394" t="e">
            <v>#N/A</v>
          </cell>
          <cell r="Z394">
            <v>0</v>
          </cell>
          <cell r="AA394">
            <v>0</v>
          </cell>
        </row>
        <row r="395">
          <cell r="Y395" t="e">
            <v>#N/A</v>
          </cell>
          <cell r="Z395">
            <v>0</v>
          </cell>
          <cell r="AA395">
            <v>0</v>
          </cell>
        </row>
        <row r="396">
          <cell r="Y396" t="e">
            <v>#N/A</v>
          </cell>
          <cell r="Z396">
            <v>0</v>
          </cell>
          <cell r="AA396">
            <v>0</v>
          </cell>
        </row>
        <row r="397">
          <cell r="Y397" t="e">
            <v>#N/A</v>
          </cell>
          <cell r="Z397">
            <v>0</v>
          </cell>
          <cell r="AA397">
            <v>0</v>
          </cell>
        </row>
        <row r="398">
          <cell r="Y398" t="e">
            <v>#N/A</v>
          </cell>
          <cell r="Z398">
            <v>0</v>
          </cell>
          <cell r="AA398">
            <v>0</v>
          </cell>
        </row>
        <row r="399">
          <cell r="Y399" t="e">
            <v>#N/A</v>
          </cell>
          <cell r="Z399">
            <v>0</v>
          </cell>
          <cell r="AA399">
            <v>0</v>
          </cell>
        </row>
        <row r="400">
          <cell r="Y400" t="e">
            <v>#N/A</v>
          </cell>
          <cell r="Z400">
            <v>0</v>
          </cell>
          <cell r="AA400">
            <v>0</v>
          </cell>
        </row>
        <row r="401">
          <cell r="Y401" t="e">
            <v>#N/A</v>
          </cell>
          <cell r="Z401">
            <v>0</v>
          </cell>
          <cell r="AA401">
            <v>0</v>
          </cell>
        </row>
        <row r="402">
          <cell r="Y402" t="e">
            <v>#N/A</v>
          </cell>
          <cell r="Z402">
            <v>0</v>
          </cell>
          <cell r="AA402">
            <v>0</v>
          </cell>
        </row>
        <row r="403">
          <cell r="Y403" t="e">
            <v>#N/A</v>
          </cell>
          <cell r="Z403">
            <v>0</v>
          </cell>
          <cell r="AA403">
            <v>0</v>
          </cell>
        </row>
        <row r="404">
          <cell r="Y404" t="e">
            <v>#N/A</v>
          </cell>
          <cell r="Z404">
            <v>0</v>
          </cell>
          <cell r="AA404">
            <v>0</v>
          </cell>
        </row>
        <row r="405">
          <cell r="Y405" t="e">
            <v>#N/A</v>
          </cell>
          <cell r="Z405">
            <v>0</v>
          </cell>
          <cell r="AA405">
            <v>0</v>
          </cell>
        </row>
        <row r="406">
          <cell r="Y406" t="e">
            <v>#N/A</v>
          </cell>
          <cell r="Z406">
            <v>0</v>
          </cell>
          <cell r="AA406">
            <v>0</v>
          </cell>
        </row>
        <row r="407">
          <cell r="Y407" t="e">
            <v>#N/A</v>
          </cell>
          <cell r="Z407">
            <v>0</v>
          </cell>
          <cell r="AA407">
            <v>0</v>
          </cell>
        </row>
        <row r="408">
          <cell r="Y408" t="e">
            <v>#N/A</v>
          </cell>
          <cell r="Z408">
            <v>0</v>
          </cell>
          <cell r="AA408">
            <v>0</v>
          </cell>
        </row>
        <row r="409">
          <cell r="Y409" t="e">
            <v>#N/A</v>
          </cell>
          <cell r="Z409">
            <v>0</v>
          </cell>
          <cell r="AA409">
            <v>0</v>
          </cell>
        </row>
        <row r="410">
          <cell r="Y410" t="e">
            <v>#N/A</v>
          </cell>
          <cell r="Z410">
            <v>0</v>
          </cell>
          <cell r="AA410">
            <v>0</v>
          </cell>
        </row>
        <row r="411">
          <cell r="Y411" t="e">
            <v>#N/A</v>
          </cell>
          <cell r="Z411">
            <v>0</v>
          </cell>
          <cell r="AA411">
            <v>0</v>
          </cell>
        </row>
        <row r="412">
          <cell r="Y412" t="e">
            <v>#N/A</v>
          </cell>
          <cell r="Z412">
            <v>0</v>
          </cell>
          <cell r="AA412">
            <v>0</v>
          </cell>
        </row>
        <row r="413">
          <cell r="Y413" t="e">
            <v>#N/A</v>
          </cell>
          <cell r="Z413">
            <v>0</v>
          </cell>
          <cell r="AA413">
            <v>0</v>
          </cell>
        </row>
        <row r="414">
          <cell r="Y414" t="e">
            <v>#N/A</v>
          </cell>
          <cell r="Z414">
            <v>0</v>
          </cell>
          <cell r="AA414">
            <v>0</v>
          </cell>
        </row>
        <row r="415">
          <cell r="Y415" t="e">
            <v>#N/A</v>
          </cell>
          <cell r="Z415">
            <v>0</v>
          </cell>
          <cell r="AA415">
            <v>0</v>
          </cell>
        </row>
        <row r="416">
          <cell r="Y416" t="e">
            <v>#N/A</v>
          </cell>
          <cell r="Z416">
            <v>0</v>
          </cell>
          <cell r="AA416">
            <v>0</v>
          </cell>
        </row>
        <row r="417">
          <cell r="Y417" t="e">
            <v>#N/A</v>
          </cell>
          <cell r="Z417">
            <v>0</v>
          </cell>
          <cell r="AA417">
            <v>0</v>
          </cell>
        </row>
        <row r="418">
          <cell r="Y418" t="e">
            <v>#N/A</v>
          </cell>
          <cell r="Z418">
            <v>0</v>
          </cell>
          <cell r="AA418">
            <v>0</v>
          </cell>
        </row>
        <row r="419">
          <cell r="Y419" t="e">
            <v>#N/A</v>
          </cell>
          <cell r="Z419">
            <v>0</v>
          </cell>
          <cell r="AA419">
            <v>0</v>
          </cell>
        </row>
        <row r="420">
          <cell r="Y420" t="e">
            <v>#N/A</v>
          </cell>
          <cell r="Z420">
            <v>0</v>
          </cell>
          <cell r="AA420">
            <v>0</v>
          </cell>
        </row>
        <row r="421">
          <cell r="Y421" t="e">
            <v>#N/A</v>
          </cell>
          <cell r="Z421">
            <v>0</v>
          </cell>
          <cell r="AA421">
            <v>0</v>
          </cell>
        </row>
        <row r="422">
          <cell r="Y422" t="e">
            <v>#N/A</v>
          </cell>
          <cell r="Z422">
            <v>0</v>
          </cell>
          <cell r="AA422">
            <v>0</v>
          </cell>
        </row>
        <row r="423">
          <cell r="Y423" t="e">
            <v>#N/A</v>
          </cell>
          <cell r="Z423">
            <v>0</v>
          </cell>
          <cell r="AA423">
            <v>0</v>
          </cell>
        </row>
        <row r="424">
          <cell r="Y424" t="e">
            <v>#N/A</v>
          </cell>
          <cell r="Z424">
            <v>0</v>
          </cell>
          <cell r="AA424">
            <v>0</v>
          </cell>
        </row>
        <row r="425">
          <cell r="Y425" t="e">
            <v>#N/A</v>
          </cell>
          <cell r="Z425">
            <v>0</v>
          </cell>
          <cell r="AA425">
            <v>0</v>
          </cell>
        </row>
        <row r="426">
          <cell r="Y426" t="e">
            <v>#N/A</v>
          </cell>
          <cell r="Z426">
            <v>0</v>
          </cell>
          <cell r="AA426">
            <v>0</v>
          </cell>
        </row>
        <row r="427">
          <cell r="Y427" t="e">
            <v>#N/A</v>
          </cell>
          <cell r="Z427">
            <v>0</v>
          </cell>
          <cell r="AA427">
            <v>0</v>
          </cell>
        </row>
        <row r="428">
          <cell r="Y428" t="e">
            <v>#N/A</v>
          </cell>
          <cell r="Z428">
            <v>0</v>
          </cell>
          <cell r="AA428">
            <v>0</v>
          </cell>
        </row>
        <row r="429">
          <cell r="Y429" t="e">
            <v>#N/A</v>
          </cell>
          <cell r="Z429">
            <v>0</v>
          </cell>
          <cell r="AA429">
            <v>0</v>
          </cell>
        </row>
        <row r="430">
          <cell r="Y430" t="e">
            <v>#N/A</v>
          </cell>
          <cell r="Z430">
            <v>0</v>
          </cell>
          <cell r="AA430">
            <v>0</v>
          </cell>
        </row>
        <row r="431">
          <cell r="Y431" t="e">
            <v>#N/A</v>
          </cell>
          <cell r="Z431">
            <v>0</v>
          </cell>
          <cell r="AA431">
            <v>0</v>
          </cell>
        </row>
        <row r="432">
          <cell r="Y432" t="e">
            <v>#N/A</v>
          </cell>
          <cell r="Z432">
            <v>0</v>
          </cell>
          <cell r="AA432">
            <v>0</v>
          </cell>
        </row>
        <row r="433">
          <cell r="Y433" t="e">
            <v>#N/A</v>
          </cell>
          <cell r="Z433">
            <v>0</v>
          </cell>
          <cell r="AA433">
            <v>0</v>
          </cell>
        </row>
        <row r="434">
          <cell r="Y434" t="e">
            <v>#N/A</v>
          </cell>
          <cell r="Z434">
            <v>0</v>
          </cell>
          <cell r="AA434">
            <v>0</v>
          </cell>
        </row>
        <row r="435">
          <cell r="Y435" t="e">
            <v>#N/A</v>
          </cell>
          <cell r="Z435">
            <v>0</v>
          </cell>
          <cell r="AA435">
            <v>0</v>
          </cell>
        </row>
        <row r="436">
          <cell r="Y436" t="e">
            <v>#N/A</v>
          </cell>
          <cell r="Z436">
            <v>0</v>
          </cell>
          <cell r="AA436">
            <v>0</v>
          </cell>
        </row>
        <row r="437">
          <cell r="Y437" t="e">
            <v>#N/A</v>
          </cell>
          <cell r="Z437">
            <v>0</v>
          </cell>
          <cell r="AA437">
            <v>0</v>
          </cell>
        </row>
        <row r="438">
          <cell r="Y438" t="e">
            <v>#N/A</v>
          </cell>
          <cell r="Z438">
            <v>0</v>
          </cell>
          <cell r="AA438">
            <v>0</v>
          </cell>
        </row>
        <row r="439">
          <cell r="Y439" t="e">
            <v>#N/A</v>
          </cell>
          <cell r="Z439">
            <v>0</v>
          </cell>
          <cell r="AA439">
            <v>0</v>
          </cell>
        </row>
        <row r="440">
          <cell r="Y440" t="e">
            <v>#N/A</v>
          </cell>
          <cell r="Z440">
            <v>0</v>
          </cell>
          <cell r="AA440">
            <v>0</v>
          </cell>
        </row>
        <row r="441">
          <cell r="Y441" t="e">
            <v>#N/A</v>
          </cell>
          <cell r="Z441">
            <v>0</v>
          </cell>
          <cell r="AA441">
            <v>0</v>
          </cell>
        </row>
        <row r="442">
          <cell r="Y442" t="e">
            <v>#N/A</v>
          </cell>
          <cell r="Z442">
            <v>0</v>
          </cell>
          <cell r="AA442">
            <v>0</v>
          </cell>
        </row>
        <row r="443">
          <cell r="Y443" t="e">
            <v>#N/A</v>
          </cell>
          <cell r="Z443">
            <v>0</v>
          </cell>
          <cell r="AA443">
            <v>0</v>
          </cell>
        </row>
        <row r="444">
          <cell r="Y444" t="e">
            <v>#N/A</v>
          </cell>
          <cell r="Z444">
            <v>0</v>
          </cell>
          <cell r="AA444">
            <v>0</v>
          </cell>
        </row>
        <row r="445">
          <cell r="Y445" t="e">
            <v>#N/A</v>
          </cell>
          <cell r="Z445">
            <v>0</v>
          </cell>
          <cell r="AA445">
            <v>0</v>
          </cell>
        </row>
        <row r="446">
          <cell r="Y446" t="e">
            <v>#N/A</v>
          </cell>
          <cell r="Z446">
            <v>0</v>
          </cell>
          <cell r="AA446">
            <v>0</v>
          </cell>
        </row>
        <row r="447">
          <cell r="Y447" t="e">
            <v>#N/A</v>
          </cell>
          <cell r="Z447">
            <v>0</v>
          </cell>
          <cell r="AA447">
            <v>0</v>
          </cell>
        </row>
        <row r="448">
          <cell r="Z448">
            <v>0</v>
          </cell>
          <cell r="AA448">
            <v>0</v>
          </cell>
        </row>
        <row r="449">
          <cell r="Z449">
            <v>0</v>
          </cell>
          <cell r="AA449">
            <v>0</v>
          </cell>
        </row>
        <row r="450">
          <cell r="Z450">
            <v>0</v>
          </cell>
          <cell r="AA450">
            <v>0</v>
          </cell>
        </row>
        <row r="451">
          <cell r="Z451">
            <v>0</v>
          </cell>
          <cell r="AA451">
            <v>0</v>
          </cell>
        </row>
        <row r="452">
          <cell r="Z452">
            <v>0</v>
          </cell>
          <cell r="AA452">
            <v>0</v>
          </cell>
        </row>
        <row r="453">
          <cell r="Z453">
            <v>0</v>
          </cell>
          <cell r="AA453">
            <v>0</v>
          </cell>
        </row>
        <row r="454">
          <cell r="Z454">
            <v>0</v>
          </cell>
          <cell r="AA454">
            <v>0</v>
          </cell>
        </row>
        <row r="455">
          <cell r="Z455">
            <v>0</v>
          </cell>
          <cell r="AA455">
            <v>0</v>
          </cell>
        </row>
        <row r="456">
          <cell r="Z456">
            <v>0</v>
          </cell>
          <cell r="AA456">
            <v>0</v>
          </cell>
        </row>
        <row r="457">
          <cell r="Z457">
            <v>0</v>
          </cell>
          <cell r="AA457">
            <v>0</v>
          </cell>
        </row>
        <row r="458">
          <cell r="Z458">
            <v>0</v>
          </cell>
          <cell r="AA458">
            <v>0</v>
          </cell>
        </row>
        <row r="459">
          <cell r="Z459">
            <v>0</v>
          </cell>
          <cell r="AA459">
            <v>0</v>
          </cell>
        </row>
        <row r="460">
          <cell r="Z460">
            <v>0</v>
          </cell>
          <cell r="AA460">
            <v>0</v>
          </cell>
        </row>
        <row r="461">
          <cell r="Z461">
            <v>0</v>
          </cell>
          <cell r="AA461">
            <v>0</v>
          </cell>
        </row>
        <row r="462">
          <cell r="Z462">
            <v>0</v>
          </cell>
          <cell r="AA462">
            <v>0</v>
          </cell>
        </row>
        <row r="463">
          <cell r="Z463">
            <v>0</v>
          </cell>
          <cell r="AA463">
            <v>0</v>
          </cell>
        </row>
        <row r="464">
          <cell r="Z464">
            <v>0</v>
          </cell>
          <cell r="AA464">
            <v>0</v>
          </cell>
        </row>
        <row r="465">
          <cell r="Z465">
            <v>0</v>
          </cell>
          <cell r="AA465">
            <v>0</v>
          </cell>
        </row>
        <row r="466">
          <cell r="Z466">
            <v>0</v>
          </cell>
          <cell r="AA466">
            <v>0</v>
          </cell>
        </row>
        <row r="467">
          <cell r="Z467">
            <v>0</v>
          </cell>
          <cell r="AA467">
            <v>0</v>
          </cell>
        </row>
        <row r="468">
          <cell r="Z468">
            <v>0</v>
          </cell>
          <cell r="AA468">
            <v>0</v>
          </cell>
        </row>
        <row r="469">
          <cell r="Z469">
            <v>0</v>
          </cell>
          <cell r="AA469">
            <v>0</v>
          </cell>
        </row>
        <row r="470">
          <cell r="Z470">
            <v>0</v>
          </cell>
          <cell r="AA470">
            <v>0</v>
          </cell>
        </row>
        <row r="471">
          <cell r="Z471">
            <v>0</v>
          </cell>
          <cell r="AA471">
            <v>0</v>
          </cell>
        </row>
        <row r="472">
          <cell r="Z472">
            <v>0</v>
          </cell>
          <cell r="AA472">
            <v>0</v>
          </cell>
        </row>
        <row r="473">
          <cell r="Z473">
            <v>0</v>
          </cell>
          <cell r="AA473">
            <v>0</v>
          </cell>
        </row>
        <row r="474">
          <cell r="Z474">
            <v>0</v>
          </cell>
          <cell r="AA474">
            <v>0</v>
          </cell>
        </row>
        <row r="475">
          <cell r="Z475">
            <v>0</v>
          </cell>
          <cell r="AA475">
            <v>0</v>
          </cell>
        </row>
        <row r="476">
          <cell r="Z476">
            <v>0</v>
          </cell>
          <cell r="AA476">
            <v>0</v>
          </cell>
        </row>
        <row r="477">
          <cell r="Z477">
            <v>0</v>
          </cell>
          <cell r="AA477">
            <v>0</v>
          </cell>
        </row>
        <row r="478">
          <cell r="Z478">
            <v>0</v>
          </cell>
          <cell r="AA478">
            <v>0</v>
          </cell>
        </row>
        <row r="479">
          <cell r="Z479">
            <v>0</v>
          </cell>
          <cell r="AA479">
            <v>0</v>
          </cell>
        </row>
        <row r="480">
          <cell r="Z480">
            <v>0</v>
          </cell>
          <cell r="AA480">
            <v>0</v>
          </cell>
        </row>
        <row r="481">
          <cell r="Z481">
            <v>0</v>
          </cell>
          <cell r="AA481">
            <v>0</v>
          </cell>
        </row>
        <row r="482">
          <cell r="Z482">
            <v>0</v>
          </cell>
          <cell r="AA482">
            <v>0</v>
          </cell>
        </row>
        <row r="483">
          <cell r="Z483">
            <v>0</v>
          </cell>
          <cell r="AA483">
            <v>0</v>
          </cell>
        </row>
        <row r="484">
          <cell r="Z484">
            <v>0</v>
          </cell>
          <cell r="AA484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Fase banco"/>
      <sheetName val="Leyes"/>
      <sheetName val="Leyes Mina"/>
      <sheetName val="base"/>
      <sheetName val="Parameters"/>
      <sheetName val="Input"/>
      <sheetName val="EXTRNY36_ANC_METHOD"/>
      <sheetName val="Ref"/>
      <sheetName val="DIC-ENE-FEB"/>
      <sheetName val="RESUMEN FORECAST"/>
    </sheetNames>
    <sheetDataSet>
      <sheetData sheetId="0"/>
      <sheetData sheetId="1"/>
      <sheetData sheetId="2" refreshError="1">
        <row r="2">
          <cell r="D2" t="str">
            <v>destino</v>
          </cell>
          <cell r="F2" t="str">
            <v>fecha</v>
          </cell>
          <cell r="L2" t="str">
            <v>CUT(%)</v>
          </cell>
          <cell r="M2" t="str">
            <v>Mo(ppm)</v>
          </cell>
          <cell r="O2" t="str">
            <v>As(ppp)</v>
          </cell>
        </row>
        <row r="3">
          <cell r="D3" t="str">
            <v>STSA-1</v>
          </cell>
          <cell r="F3">
            <v>36267</v>
          </cell>
          <cell r="L3">
            <v>0.85099999999999998</v>
          </cell>
          <cell r="M3">
            <v>416.8</v>
          </cell>
          <cell r="P3">
            <v>3855.2433017204776</v>
          </cell>
        </row>
        <row r="4">
          <cell r="D4" t="str">
            <v>STSA-1</v>
          </cell>
          <cell r="F4">
            <v>36267</v>
          </cell>
          <cell r="L4">
            <v>0.85099999999999998</v>
          </cell>
          <cell r="M4">
            <v>416.8</v>
          </cell>
          <cell r="P4">
            <v>8177.6240093482893</v>
          </cell>
        </row>
        <row r="5">
          <cell r="D5" t="str">
            <v>STSB-1</v>
          </cell>
          <cell r="F5">
            <v>36267</v>
          </cell>
          <cell r="L5">
            <v>0.53800000000000003</v>
          </cell>
          <cell r="M5">
            <v>409.4</v>
          </cell>
          <cell r="P5">
            <v>2461.8441704601755</v>
          </cell>
        </row>
        <row r="6">
          <cell r="D6" t="str">
            <v>STSA-1</v>
          </cell>
          <cell r="F6">
            <v>36268</v>
          </cell>
          <cell r="L6">
            <v>0.85099999999999998</v>
          </cell>
          <cell r="M6">
            <v>416.8</v>
          </cell>
          <cell r="P6">
            <v>8656.8696218373934</v>
          </cell>
        </row>
        <row r="7">
          <cell r="D7" t="str">
            <v>STSB-1</v>
          </cell>
          <cell r="F7">
            <v>36268</v>
          </cell>
          <cell r="L7">
            <v>0.53800000000000003</v>
          </cell>
          <cell r="M7">
            <v>409.4</v>
          </cell>
          <cell r="P7">
            <v>2860.8082656931929</v>
          </cell>
        </row>
        <row r="8">
          <cell r="D8" t="str">
            <v>STSA-1</v>
          </cell>
          <cell r="F8">
            <v>36268</v>
          </cell>
          <cell r="L8">
            <v>0.85099999999999998</v>
          </cell>
          <cell r="M8">
            <v>416.8</v>
          </cell>
          <cell r="P8">
            <v>9540.5613442396698</v>
          </cell>
        </row>
        <row r="9">
          <cell r="D9" t="str">
            <v>STSB-1</v>
          </cell>
          <cell r="F9">
            <v>36268</v>
          </cell>
          <cell r="L9">
            <v>0.53800000000000003</v>
          </cell>
          <cell r="M9">
            <v>409.4</v>
          </cell>
          <cell r="P9">
            <v>4677.5039238743339</v>
          </cell>
        </row>
        <row r="10">
          <cell r="D10" t="str">
            <v>STSB-1</v>
          </cell>
          <cell r="F10">
            <v>36269</v>
          </cell>
          <cell r="L10">
            <v>0.53800000000000003</v>
          </cell>
          <cell r="M10">
            <v>409.4</v>
          </cell>
          <cell r="P10">
            <v>3455.7670726165102</v>
          </cell>
        </row>
        <row r="11">
          <cell r="D11" t="str">
            <v>STSA-1</v>
          </cell>
          <cell r="F11">
            <v>36277</v>
          </cell>
          <cell r="L11">
            <v>0.94</v>
          </cell>
          <cell r="M11">
            <v>355.54</v>
          </cell>
          <cell r="P11">
            <v>13083.45798640965</v>
          </cell>
        </row>
        <row r="12">
          <cell r="D12" t="str">
            <v>STSA-1</v>
          </cell>
          <cell r="F12">
            <v>36278</v>
          </cell>
          <cell r="L12">
            <v>0.94</v>
          </cell>
          <cell r="M12">
            <v>355.54</v>
          </cell>
          <cell r="P12">
            <v>16928.234738658724</v>
          </cell>
        </row>
        <row r="13">
          <cell r="D13" t="str">
            <v>STSA-1</v>
          </cell>
          <cell r="F13">
            <v>36278</v>
          </cell>
          <cell r="L13">
            <v>0.94</v>
          </cell>
          <cell r="M13">
            <v>355.54</v>
          </cell>
          <cell r="P13">
            <v>14890.512477992776</v>
          </cell>
        </row>
        <row r="14">
          <cell r="D14" t="str">
            <v>STSA-1</v>
          </cell>
          <cell r="F14">
            <v>36279</v>
          </cell>
          <cell r="L14">
            <v>0.94</v>
          </cell>
          <cell r="M14">
            <v>355.54</v>
          </cell>
          <cell r="P14">
            <v>11343.051781299646</v>
          </cell>
        </row>
        <row r="15">
          <cell r="D15" t="str">
            <v>STSA-1</v>
          </cell>
          <cell r="F15">
            <v>36280</v>
          </cell>
          <cell r="L15">
            <v>0.72499999999999998</v>
          </cell>
          <cell r="M15">
            <v>302.60000000000002</v>
          </cell>
          <cell r="P15">
            <v>6370.5441925185614</v>
          </cell>
        </row>
        <row r="16">
          <cell r="D16" t="str">
            <v>STSA-1</v>
          </cell>
          <cell r="F16">
            <v>36280</v>
          </cell>
          <cell r="L16">
            <v>0.72499999999999998</v>
          </cell>
          <cell r="M16">
            <v>302.60000000000002</v>
          </cell>
          <cell r="P16">
            <v>1959.9382852250926</v>
          </cell>
        </row>
        <row r="17">
          <cell r="D17" t="str">
            <v>STSA-1</v>
          </cell>
          <cell r="F17">
            <v>36281</v>
          </cell>
          <cell r="L17">
            <v>0.72499999999999998</v>
          </cell>
          <cell r="M17">
            <v>302.60000000000002</v>
          </cell>
          <cell r="P17">
            <v>13646.957760413026</v>
          </cell>
        </row>
        <row r="18">
          <cell r="D18" t="str">
            <v>STSA-1</v>
          </cell>
          <cell r="F18">
            <v>36281</v>
          </cell>
          <cell r="L18">
            <v>0.72499999999999998</v>
          </cell>
          <cell r="M18">
            <v>302.60000000000002</v>
          </cell>
          <cell r="P18">
            <v>3827.8052254817021</v>
          </cell>
        </row>
        <row r="19">
          <cell r="D19" t="str">
            <v>STSA-1</v>
          </cell>
          <cell r="F19">
            <v>36281</v>
          </cell>
          <cell r="L19">
            <v>0.72499999999999998</v>
          </cell>
          <cell r="M19">
            <v>302.60000000000002</v>
          </cell>
          <cell r="P19">
            <v>10210.115884532222</v>
          </cell>
        </row>
        <row r="20">
          <cell r="D20" t="str">
            <v>STSA-1</v>
          </cell>
          <cell r="F20">
            <v>36282</v>
          </cell>
          <cell r="L20">
            <v>0.72499999999999998</v>
          </cell>
          <cell r="M20">
            <v>302.60000000000002</v>
          </cell>
          <cell r="P20">
            <v>1164.4920171661975</v>
          </cell>
        </row>
        <row r="21">
          <cell r="D21" t="str">
            <v>STSA-1</v>
          </cell>
          <cell r="F21">
            <v>36282</v>
          </cell>
          <cell r="L21">
            <v>0.72499999999999998</v>
          </cell>
          <cell r="M21">
            <v>302.60000000000002</v>
          </cell>
          <cell r="P21">
            <v>6155.1720907356148</v>
          </cell>
        </row>
        <row r="22">
          <cell r="D22" t="str">
            <v>STSB-1</v>
          </cell>
          <cell r="F22">
            <v>36282</v>
          </cell>
          <cell r="L22">
            <v>0.40799999999999997</v>
          </cell>
          <cell r="M22">
            <v>280</v>
          </cell>
          <cell r="P22">
            <v>3276.6396069228172</v>
          </cell>
        </row>
        <row r="23">
          <cell r="D23" t="str">
            <v>STSA-1</v>
          </cell>
          <cell r="F23">
            <v>36282</v>
          </cell>
          <cell r="L23">
            <v>0.72499999999999998</v>
          </cell>
          <cell r="M23">
            <v>302.60000000000002</v>
          </cell>
          <cell r="P23">
            <v>5478.0357188802027</v>
          </cell>
        </row>
        <row r="24">
          <cell r="D24" t="str">
            <v>STSB-1</v>
          </cell>
          <cell r="F24">
            <v>36282</v>
          </cell>
          <cell r="L24">
            <v>0.40799999999999997</v>
          </cell>
          <cell r="M24">
            <v>280</v>
          </cell>
          <cell r="P24">
            <v>747.34832127168147</v>
          </cell>
        </row>
        <row r="25">
          <cell r="D25" t="str">
            <v>STSB-1</v>
          </cell>
          <cell r="F25">
            <v>36282</v>
          </cell>
          <cell r="L25">
            <v>0.40799999999999997</v>
          </cell>
          <cell r="M25">
            <v>280</v>
          </cell>
          <cell r="P25">
            <v>2802.5562047688059</v>
          </cell>
        </row>
        <row r="26">
          <cell r="D26" t="str">
            <v>STSB-1</v>
          </cell>
          <cell r="F26">
            <v>36283</v>
          </cell>
          <cell r="L26">
            <v>0.40799999999999997</v>
          </cell>
          <cell r="M26">
            <v>280</v>
          </cell>
          <cell r="P26">
            <v>1862.0101665951918</v>
          </cell>
        </row>
        <row r="27">
          <cell r="D27" t="str">
            <v>STSA-1</v>
          </cell>
          <cell r="F27">
            <v>36283</v>
          </cell>
          <cell r="L27">
            <v>0.72499999999999998</v>
          </cell>
          <cell r="M27">
            <v>302.60000000000002</v>
          </cell>
          <cell r="P27">
            <v>1654.3595230165615</v>
          </cell>
        </row>
        <row r="28">
          <cell r="D28" t="str">
            <v>STSA-1</v>
          </cell>
          <cell r="F28">
            <v>36283</v>
          </cell>
          <cell r="L28">
            <v>0.72499999999999998</v>
          </cell>
          <cell r="M28">
            <v>302.60000000000002</v>
          </cell>
          <cell r="P28">
            <v>2643.8936035517436</v>
          </cell>
        </row>
        <row r="29">
          <cell r="D29" t="str">
            <v>STSB-1</v>
          </cell>
          <cell r="F29">
            <v>36283</v>
          </cell>
          <cell r="L29">
            <v>0.40799999999999997</v>
          </cell>
          <cell r="M29">
            <v>280</v>
          </cell>
          <cell r="P29">
            <v>92.992119849061325</v>
          </cell>
        </row>
        <row r="30">
          <cell r="D30" t="str">
            <v>STSB-1</v>
          </cell>
          <cell r="F30">
            <v>36283</v>
          </cell>
          <cell r="L30">
            <v>0.40799999999999997</v>
          </cell>
          <cell r="M30">
            <v>280</v>
          </cell>
          <cell r="P30">
            <v>5486.5350710946186</v>
          </cell>
        </row>
        <row r="31">
          <cell r="D31" t="str">
            <v>STSA-1</v>
          </cell>
          <cell r="F31">
            <v>36284</v>
          </cell>
          <cell r="L31">
            <v>0.72499999999999998</v>
          </cell>
          <cell r="M31">
            <v>302.60000000000002</v>
          </cell>
          <cell r="P31">
            <v>5295.1528899352643</v>
          </cell>
        </row>
        <row r="32">
          <cell r="D32" t="str">
            <v>STSB-1</v>
          </cell>
          <cell r="F32">
            <v>36284</v>
          </cell>
          <cell r="L32">
            <v>0.40799999999999997</v>
          </cell>
          <cell r="M32">
            <v>280</v>
          </cell>
          <cell r="P32">
            <v>2793.6496281382597</v>
          </cell>
        </row>
        <row r="33">
          <cell r="D33" t="str">
            <v>STSB-1</v>
          </cell>
          <cell r="F33">
            <v>36284</v>
          </cell>
          <cell r="L33">
            <v>0.40799999999999997</v>
          </cell>
          <cell r="M33">
            <v>280</v>
          </cell>
          <cell r="P33">
            <v>1769.3114311542313</v>
          </cell>
        </row>
        <row r="34">
          <cell r="D34" t="str">
            <v>STSB-1</v>
          </cell>
          <cell r="F34">
            <v>36284</v>
          </cell>
          <cell r="L34">
            <v>0.40799999999999997</v>
          </cell>
          <cell r="M34">
            <v>280</v>
          </cell>
          <cell r="P34">
            <v>2173.8215719110458</v>
          </cell>
        </row>
        <row r="35">
          <cell r="D35" t="str">
            <v>STSB-1</v>
          </cell>
          <cell r="F35">
            <v>36294</v>
          </cell>
          <cell r="L35">
            <v>0.47599999999999998</v>
          </cell>
          <cell r="M35">
            <v>477.09</v>
          </cell>
          <cell r="P35">
            <v>1007.4147075860257</v>
          </cell>
        </row>
        <row r="36">
          <cell r="D36" t="str">
            <v>STSB-1</v>
          </cell>
          <cell r="F36">
            <v>36294</v>
          </cell>
          <cell r="L36">
            <v>0.47599999999999998</v>
          </cell>
          <cell r="M36">
            <v>477.09</v>
          </cell>
          <cell r="P36">
            <v>2574.5042527198434</v>
          </cell>
        </row>
        <row r="37">
          <cell r="D37" t="str">
            <v>STSA-1</v>
          </cell>
          <cell r="F37">
            <v>36295</v>
          </cell>
          <cell r="L37">
            <v>0.88300000000000001</v>
          </cell>
          <cell r="M37">
            <v>572</v>
          </cell>
          <cell r="P37">
            <v>12388.49</v>
          </cell>
        </row>
        <row r="38">
          <cell r="D38" t="str">
            <v>STSB-1</v>
          </cell>
          <cell r="F38">
            <v>36295</v>
          </cell>
          <cell r="L38">
            <v>0.47599999999999998</v>
          </cell>
          <cell r="M38">
            <v>477.09</v>
          </cell>
          <cell r="P38">
            <v>3065.44</v>
          </cell>
        </row>
        <row r="39">
          <cell r="D39" t="str">
            <v>STSA-1</v>
          </cell>
          <cell r="F39">
            <v>36296</v>
          </cell>
          <cell r="L39">
            <v>0.88300000000000001</v>
          </cell>
          <cell r="M39">
            <v>572</v>
          </cell>
          <cell r="P39">
            <v>12410.11180571636</v>
          </cell>
        </row>
        <row r="40">
          <cell r="D40" t="str">
            <v>STSB-1</v>
          </cell>
          <cell r="F40">
            <v>36296</v>
          </cell>
          <cell r="L40">
            <v>0.47599999999999998</v>
          </cell>
          <cell r="M40">
            <v>477.09</v>
          </cell>
          <cell r="P40">
            <v>539.51094322151266</v>
          </cell>
        </row>
        <row r="41">
          <cell r="D41" t="str">
            <v>STSA-1</v>
          </cell>
          <cell r="F41">
            <v>36296</v>
          </cell>
          <cell r="L41">
            <v>0.88300000000000001</v>
          </cell>
          <cell r="M41">
            <v>572</v>
          </cell>
          <cell r="P41">
            <v>19955.8</v>
          </cell>
        </row>
        <row r="42">
          <cell r="D42" t="str">
            <v>STSA-1</v>
          </cell>
          <cell r="F42">
            <v>36297</v>
          </cell>
          <cell r="L42">
            <v>0.88300000000000001</v>
          </cell>
          <cell r="M42">
            <v>572</v>
          </cell>
          <cell r="P42">
            <v>13749.241721872599</v>
          </cell>
        </row>
        <row r="43">
          <cell r="D43" t="str">
            <v>STSA-1</v>
          </cell>
          <cell r="F43">
            <v>36297</v>
          </cell>
          <cell r="L43">
            <v>0.88300000000000001</v>
          </cell>
          <cell r="M43">
            <v>572</v>
          </cell>
          <cell r="P43">
            <v>9255.8967724037411</v>
          </cell>
        </row>
        <row r="44">
          <cell r="D44" t="str">
            <v>STSB-1</v>
          </cell>
          <cell r="F44">
            <v>36298</v>
          </cell>
          <cell r="L44">
            <v>0.47599999999999998</v>
          </cell>
          <cell r="M44">
            <v>477.09</v>
          </cell>
          <cell r="P44">
            <v>783.02</v>
          </cell>
        </row>
        <row r="45">
          <cell r="D45" t="str">
            <v>STSA-1</v>
          </cell>
          <cell r="F45">
            <v>36298</v>
          </cell>
          <cell r="L45">
            <v>0.88300000000000001</v>
          </cell>
          <cell r="M45">
            <v>572</v>
          </cell>
          <cell r="P45">
            <v>8715.2100000000009</v>
          </cell>
        </row>
        <row r="46">
          <cell r="D46" t="str">
            <v>STSB-1</v>
          </cell>
          <cell r="F46">
            <v>36298</v>
          </cell>
          <cell r="L46">
            <v>0.47599999999999998</v>
          </cell>
          <cell r="M46">
            <v>477.09</v>
          </cell>
          <cell r="P46">
            <v>2572.7799999999997</v>
          </cell>
        </row>
        <row r="47">
          <cell r="D47" t="str">
            <v>STSA-1</v>
          </cell>
          <cell r="F47">
            <v>36299</v>
          </cell>
          <cell r="L47">
            <v>0.86</v>
          </cell>
          <cell r="M47">
            <v>383.4</v>
          </cell>
          <cell r="P47">
            <v>9094.5</v>
          </cell>
        </row>
        <row r="48">
          <cell r="D48" t="str">
            <v>STSA-1</v>
          </cell>
          <cell r="F48">
            <v>36299</v>
          </cell>
          <cell r="L48">
            <v>0.86</v>
          </cell>
          <cell r="M48">
            <v>383.4</v>
          </cell>
          <cell r="P48">
            <v>1787.94</v>
          </cell>
        </row>
        <row r="49">
          <cell r="D49" t="str">
            <v>STSA-1</v>
          </cell>
          <cell r="F49">
            <v>36300</v>
          </cell>
          <cell r="L49">
            <v>0.86</v>
          </cell>
          <cell r="M49">
            <v>383.4</v>
          </cell>
          <cell r="P49">
            <v>784.31999999999994</v>
          </cell>
        </row>
        <row r="50">
          <cell r="D50" t="str">
            <v>STSA-1</v>
          </cell>
          <cell r="F50">
            <v>36300</v>
          </cell>
          <cell r="L50">
            <v>0.86</v>
          </cell>
          <cell r="M50">
            <v>383.4</v>
          </cell>
          <cell r="P50">
            <v>5142.8</v>
          </cell>
        </row>
        <row r="51">
          <cell r="D51" t="str">
            <v>STSA-1</v>
          </cell>
          <cell r="F51">
            <v>36301</v>
          </cell>
          <cell r="L51">
            <v>0.86</v>
          </cell>
          <cell r="M51">
            <v>383.4</v>
          </cell>
          <cell r="P51">
            <v>7808.8</v>
          </cell>
        </row>
        <row r="52">
          <cell r="D52" t="str">
            <v>STSB-1</v>
          </cell>
          <cell r="F52">
            <v>36301</v>
          </cell>
          <cell r="L52">
            <v>0.44</v>
          </cell>
          <cell r="M52">
            <v>342.2</v>
          </cell>
          <cell r="P52">
            <v>508.2</v>
          </cell>
        </row>
        <row r="53">
          <cell r="D53" t="str">
            <v>STSB-1</v>
          </cell>
          <cell r="F53">
            <v>36301</v>
          </cell>
          <cell r="L53">
            <v>0.44</v>
          </cell>
          <cell r="M53">
            <v>342.2</v>
          </cell>
          <cell r="P53">
            <v>2236.08</v>
          </cell>
        </row>
        <row r="54">
          <cell r="D54" t="str">
            <v>STSB-1</v>
          </cell>
          <cell r="F54">
            <v>36332</v>
          </cell>
          <cell r="L54">
            <v>0.86</v>
          </cell>
          <cell r="M54">
            <v>383.4</v>
          </cell>
          <cell r="P54">
            <v>4128.6966087659666</v>
          </cell>
        </row>
        <row r="55">
          <cell r="D55" t="str">
            <v>STSA-1</v>
          </cell>
          <cell r="F55">
            <v>36332</v>
          </cell>
          <cell r="L55">
            <v>0.44</v>
          </cell>
          <cell r="M55">
            <v>342.2</v>
          </cell>
          <cell r="P55">
            <v>4425.8896093969606</v>
          </cell>
        </row>
        <row r="56">
          <cell r="D56" t="str">
            <v>STSB-1</v>
          </cell>
          <cell r="F56">
            <v>36334</v>
          </cell>
          <cell r="L56">
            <v>0.62</v>
          </cell>
          <cell r="M56">
            <v>115.3</v>
          </cell>
          <cell r="P56">
            <v>4421.1095310157116</v>
          </cell>
        </row>
        <row r="57">
          <cell r="D57" t="str">
            <v>STSA-1</v>
          </cell>
          <cell r="F57">
            <v>36337</v>
          </cell>
          <cell r="L57">
            <v>0.94</v>
          </cell>
          <cell r="M57">
            <v>146.80000000000001</v>
          </cell>
          <cell r="P57">
            <v>6844.9106656764679</v>
          </cell>
        </row>
        <row r="58">
          <cell r="D58" t="str">
            <v>STSA-1</v>
          </cell>
          <cell r="F58">
            <v>36338</v>
          </cell>
          <cell r="L58">
            <v>0.94</v>
          </cell>
          <cell r="M58">
            <v>146.80000000000001</v>
          </cell>
          <cell r="P58">
            <v>1732.6427246461026</v>
          </cell>
        </row>
        <row r="59">
          <cell r="D59" t="str">
            <v>STSB-1</v>
          </cell>
          <cell r="F59">
            <v>36343</v>
          </cell>
          <cell r="P59">
            <v>0</v>
          </cell>
        </row>
        <row r="60">
          <cell r="D60" t="str">
            <v>STSB-1</v>
          </cell>
          <cell r="F60">
            <v>36345</v>
          </cell>
          <cell r="P60">
            <v>0</v>
          </cell>
        </row>
        <row r="61">
          <cell r="D61" t="str">
            <v>STSA-1</v>
          </cell>
          <cell r="F61">
            <v>36346</v>
          </cell>
          <cell r="P61">
            <v>0</v>
          </cell>
        </row>
        <row r="62">
          <cell r="D62" t="str">
            <v>STSB-1</v>
          </cell>
          <cell r="F62">
            <v>36346</v>
          </cell>
          <cell r="P62">
            <v>0</v>
          </cell>
        </row>
        <row r="63">
          <cell r="D63" t="str">
            <v>STSA-1</v>
          </cell>
          <cell r="F63">
            <v>36346</v>
          </cell>
          <cell r="P63">
            <v>0</v>
          </cell>
        </row>
        <row r="64">
          <cell r="D64" t="str">
            <v>ST-SA1</v>
          </cell>
          <cell r="F64">
            <v>36348</v>
          </cell>
          <cell r="P64">
            <v>0</v>
          </cell>
        </row>
        <row r="65">
          <cell r="D65" t="str">
            <v>STSA1</v>
          </cell>
          <cell r="F65">
            <v>36349</v>
          </cell>
          <cell r="P65">
            <v>0</v>
          </cell>
        </row>
        <row r="66">
          <cell r="D66" t="str">
            <v>ST-SA1</v>
          </cell>
          <cell r="F66">
            <v>36349</v>
          </cell>
          <cell r="P66">
            <v>0</v>
          </cell>
        </row>
        <row r="67">
          <cell r="D67" t="str">
            <v>ST-SA1</v>
          </cell>
          <cell r="F67">
            <v>36349</v>
          </cell>
          <cell r="P67">
            <v>0</v>
          </cell>
        </row>
        <row r="68">
          <cell r="D68" t="str">
            <v>STSA1</v>
          </cell>
          <cell r="F68">
            <v>36368</v>
          </cell>
          <cell r="L68">
            <v>0.90500000000000003</v>
          </cell>
          <cell r="M68">
            <v>113.5</v>
          </cell>
          <cell r="P68">
            <v>1034.1308011853337</v>
          </cell>
        </row>
        <row r="69">
          <cell r="D69" t="str">
            <v>STSA1</v>
          </cell>
          <cell r="F69">
            <v>36368</v>
          </cell>
          <cell r="L69">
            <v>0.90500000000000003</v>
          </cell>
          <cell r="M69">
            <v>113.5</v>
          </cell>
          <cell r="P69">
            <v>2812.8101046285765</v>
          </cell>
        </row>
        <row r="70">
          <cell r="D70" t="str">
            <v>STSA1</v>
          </cell>
          <cell r="F70">
            <v>36368</v>
          </cell>
          <cell r="L70">
            <v>0.90700000000000003</v>
          </cell>
          <cell r="M70">
            <v>113.3</v>
          </cell>
          <cell r="P70">
            <v>1006.7950926985473</v>
          </cell>
        </row>
        <row r="71">
          <cell r="D71" t="str">
            <v>STSA-1</v>
          </cell>
          <cell r="F71">
            <v>36370</v>
          </cell>
          <cell r="P71">
            <v>0</v>
          </cell>
        </row>
        <row r="72">
          <cell r="D72" t="str">
            <v>STSA-1</v>
          </cell>
          <cell r="F72">
            <v>36370</v>
          </cell>
          <cell r="P72">
            <v>0</v>
          </cell>
        </row>
        <row r="73">
          <cell r="D73" t="str">
            <v>CHANCADOR</v>
          </cell>
          <cell r="F73">
            <v>36370</v>
          </cell>
          <cell r="O73">
            <v>0</v>
          </cell>
          <cell r="P73">
            <v>0</v>
          </cell>
        </row>
        <row r="74">
          <cell r="D74" t="str">
            <v>STSA-1</v>
          </cell>
          <cell r="F74">
            <v>36370</v>
          </cell>
          <cell r="P74">
            <v>0</v>
          </cell>
        </row>
        <row r="75">
          <cell r="D75" t="str">
            <v>STSA-1</v>
          </cell>
          <cell r="F75">
            <v>36371</v>
          </cell>
          <cell r="P75">
            <v>0</v>
          </cell>
        </row>
        <row r="76">
          <cell r="D76" t="str">
            <v>CHANCADOR</v>
          </cell>
          <cell r="F76">
            <v>36372</v>
          </cell>
          <cell r="O76">
            <v>0</v>
          </cell>
          <cell r="P76">
            <v>0</v>
          </cell>
        </row>
        <row r="77">
          <cell r="D77" t="str">
            <v>STSA-1</v>
          </cell>
          <cell r="F77">
            <v>36372</v>
          </cell>
          <cell r="P77">
            <v>0</v>
          </cell>
        </row>
        <row r="78">
          <cell r="D78" t="str">
            <v>STSA-1</v>
          </cell>
          <cell r="F78">
            <v>36372</v>
          </cell>
          <cell r="P78">
            <v>0</v>
          </cell>
        </row>
        <row r="79">
          <cell r="D79" t="str">
            <v>CHANCADOR</v>
          </cell>
          <cell r="F79">
            <v>36372</v>
          </cell>
          <cell r="O79">
            <v>0</v>
          </cell>
          <cell r="P79">
            <v>0</v>
          </cell>
        </row>
        <row r="80">
          <cell r="D80" t="str">
            <v>STSA-1</v>
          </cell>
          <cell r="F80">
            <v>36372</v>
          </cell>
          <cell r="P80">
            <v>0</v>
          </cell>
        </row>
        <row r="81">
          <cell r="D81" t="str">
            <v>VICTORIA</v>
          </cell>
          <cell r="F81">
            <v>36372</v>
          </cell>
          <cell r="P81">
            <v>0</v>
          </cell>
        </row>
        <row r="82">
          <cell r="D82" t="str">
            <v>CHANCADOR</v>
          </cell>
          <cell r="F82">
            <v>36372</v>
          </cell>
          <cell r="O82">
            <v>0</v>
          </cell>
          <cell r="P82">
            <v>0</v>
          </cell>
        </row>
        <row r="83">
          <cell r="D83" t="str">
            <v>VICTORIA</v>
          </cell>
          <cell r="F83">
            <v>36373</v>
          </cell>
          <cell r="L83">
            <v>0.753</v>
          </cell>
          <cell r="M83">
            <v>133.5</v>
          </cell>
          <cell r="P83">
            <v>170.74478419042521</v>
          </cell>
        </row>
        <row r="84">
          <cell r="D84" t="str">
            <v>STSA-1 A LEY</v>
          </cell>
          <cell r="F84">
            <v>36373</v>
          </cell>
          <cell r="L84">
            <v>0.81799999999999995</v>
          </cell>
          <cell r="M84">
            <v>166.364</v>
          </cell>
          <cell r="P84">
            <v>5872.7471190030374</v>
          </cell>
        </row>
        <row r="85">
          <cell r="D85" t="str">
            <v>CHANCADOR</v>
          </cell>
          <cell r="F85">
            <v>36373</v>
          </cell>
          <cell r="L85">
            <v>0.81799999999999995</v>
          </cell>
          <cell r="M85">
            <v>166.364</v>
          </cell>
          <cell r="O85">
            <v>1136.6607327102652</v>
          </cell>
          <cell r="P85">
            <v>1136.6607327102652</v>
          </cell>
        </row>
        <row r="86">
          <cell r="D86" t="str">
            <v>CHANCADOR</v>
          </cell>
          <cell r="F86">
            <v>36373</v>
          </cell>
          <cell r="L86">
            <v>0.66800000000000004</v>
          </cell>
          <cell r="M86">
            <v>87.2</v>
          </cell>
          <cell r="O86">
            <v>5878.7685491274206</v>
          </cell>
          <cell r="P86">
            <v>5878.7685491274206</v>
          </cell>
        </row>
        <row r="87">
          <cell r="D87" t="str">
            <v>VICTORIA</v>
          </cell>
          <cell r="F87">
            <v>36373</v>
          </cell>
          <cell r="L87">
            <v>0.81799999999999995</v>
          </cell>
          <cell r="M87">
            <v>166.364</v>
          </cell>
          <cell r="P87">
            <v>2652.2083763239525</v>
          </cell>
        </row>
        <row r="88">
          <cell r="D88" t="str">
            <v>VICTORIA</v>
          </cell>
          <cell r="F88">
            <v>36374</v>
          </cell>
          <cell r="L88">
            <v>0.66800000000000004</v>
          </cell>
          <cell r="M88">
            <v>87.2</v>
          </cell>
          <cell r="P88">
            <v>3289.3594703383205</v>
          </cell>
        </row>
        <row r="89">
          <cell r="D89" t="str">
            <v>VICTORIA</v>
          </cell>
          <cell r="F89">
            <v>36374</v>
          </cell>
          <cell r="L89">
            <v>0.81799999999999995</v>
          </cell>
          <cell r="M89">
            <v>166.364</v>
          </cell>
          <cell r="P89">
            <v>7689.7954520239064</v>
          </cell>
        </row>
        <row r="90">
          <cell r="D90" t="str">
            <v>CHANCADOR</v>
          </cell>
          <cell r="F90">
            <v>36374</v>
          </cell>
          <cell r="L90">
            <v>0.81799999999999995</v>
          </cell>
          <cell r="M90">
            <v>166.364</v>
          </cell>
          <cell r="O90">
            <v>1830.903679053311</v>
          </cell>
          <cell r="P90">
            <v>1830.903679053311</v>
          </cell>
        </row>
        <row r="91">
          <cell r="D91" t="str">
            <v>CHANCADOR</v>
          </cell>
          <cell r="F91">
            <v>36374</v>
          </cell>
          <cell r="L91">
            <v>0.66800000000000004</v>
          </cell>
          <cell r="M91">
            <v>87.2</v>
          </cell>
          <cell r="O91">
            <v>613.73953652657929</v>
          </cell>
          <cell r="P91">
            <v>613.73953652657929</v>
          </cell>
        </row>
        <row r="92">
          <cell r="D92" t="str">
            <v>CHANCADOR</v>
          </cell>
          <cell r="F92">
            <v>36374</v>
          </cell>
          <cell r="L92">
            <v>0.81799999999999995</v>
          </cell>
          <cell r="M92">
            <v>166.364</v>
          </cell>
          <cell r="O92">
            <v>9018.6636086001527</v>
          </cell>
          <cell r="P92">
            <v>9018.6636086001527</v>
          </cell>
        </row>
        <row r="93">
          <cell r="D93" t="str">
            <v>VICTORIA</v>
          </cell>
          <cell r="F93">
            <v>36374</v>
          </cell>
          <cell r="L93">
            <v>0.81799999999999995</v>
          </cell>
          <cell r="M93">
            <v>166.364</v>
          </cell>
          <cell r="P93">
            <v>7703.4418323459631</v>
          </cell>
        </row>
        <row r="94">
          <cell r="D94" t="str">
            <v>STSA-1 A LEY</v>
          </cell>
          <cell r="F94">
            <v>36374</v>
          </cell>
          <cell r="L94">
            <v>0.81799999999999995</v>
          </cell>
          <cell r="M94">
            <v>166.364</v>
          </cell>
          <cell r="P94">
            <v>2818.3323776875473</v>
          </cell>
        </row>
        <row r="95">
          <cell r="D95" t="str">
            <v>VICTORIA</v>
          </cell>
          <cell r="F95">
            <v>36375</v>
          </cell>
          <cell r="L95">
            <v>1.3</v>
          </cell>
          <cell r="M95">
            <v>280.7</v>
          </cell>
          <cell r="P95">
            <v>54203.141950305238</v>
          </cell>
        </row>
        <row r="96">
          <cell r="D96" t="str">
            <v>VICTORIA</v>
          </cell>
          <cell r="F96">
            <v>36375</v>
          </cell>
          <cell r="L96">
            <v>1.3</v>
          </cell>
          <cell r="M96">
            <v>280.7</v>
          </cell>
          <cell r="P96">
            <v>20756.247948841563</v>
          </cell>
        </row>
        <row r="97">
          <cell r="D97" t="str">
            <v>VICTORIA</v>
          </cell>
          <cell r="F97">
            <v>36376</v>
          </cell>
          <cell r="L97">
            <v>1.3</v>
          </cell>
          <cell r="M97">
            <v>280.7</v>
          </cell>
          <cell r="P97">
            <v>20841.403706882076</v>
          </cell>
        </row>
        <row r="98">
          <cell r="D98" t="str">
            <v>VICTORIA</v>
          </cell>
          <cell r="F98">
            <v>36377</v>
          </cell>
          <cell r="L98">
            <v>1.3</v>
          </cell>
          <cell r="M98">
            <v>280.7</v>
          </cell>
          <cell r="P98">
            <v>17292.119179964448</v>
          </cell>
        </row>
        <row r="99">
          <cell r="D99" t="str">
            <v>VICTORIA</v>
          </cell>
          <cell r="F99">
            <v>36377</v>
          </cell>
          <cell r="L99">
            <v>1.3</v>
          </cell>
          <cell r="M99">
            <v>280.7</v>
          </cell>
          <cell r="P99">
            <v>4464.9344251439534</v>
          </cell>
        </row>
        <row r="100">
          <cell r="D100" t="str">
            <v>STOCK-PTA</v>
          </cell>
          <cell r="F100">
            <v>36380</v>
          </cell>
          <cell r="L100">
            <v>0.67100000000000004</v>
          </cell>
          <cell r="M100">
            <v>146.19999999999999</v>
          </cell>
          <cell r="P100">
            <v>16632.441951317629</v>
          </cell>
        </row>
        <row r="101">
          <cell r="D101" t="str">
            <v>STOCK-PTA</v>
          </cell>
          <cell r="F101">
            <v>36380</v>
          </cell>
          <cell r="L101">
            <v>0.59</v>
          </cell>
          <cell r="M101">
            <v>359.4</v>
          </cell>
          <cell r="P101">
            <v>12280.224022448603</v>
          </cell>
        </row>
        <row r="102">
          <cell r="D102" t="str">
            <v>STSA-1 A LEY</v>
          </cell>
          <cell r="F102">
            <v>36381</v>
          </cell>
          <cell r="L102">
            <v>0.59</v>
          </cell>
          <cell r="M102">
            <v>359.4</v>
          </cell>
          <cell r="P102">
            <v>9694.088696957102</v>
          </cell>
        </row>
        <row r="103">
          <cell r="D103" t="str">
            <v>STSA-1 A LEY</v>
          </cell>
          <cell r="F103">
            <v>36381</v>
          </cell>
          <cell r="L103">
            <v>0.81</v>
          </cell>
          <cell r="M103">
            <v>248.7</v>
          </cell>
          <cell r="P103">
            <v>20601.345215520865</v>
          </cell>
        </row>
        <row r="104">
          <cell r="D104" t="str">
            <v>STSA-1 A LEY</v>
          </cell>
          <cell r="F104">
            <v>36381</v>
          </cell>
          <cell r="L104">
            <v>0.81</v>
          </cell>
          <cell r="M104">
            <v>248.7</v>
          </cell>
          <cell r="P104">
            <v>22744.766796607717</v>
          </cell>
        </row>
        <row r="105">
          <cell r="D105" t="str">
            <v>STSA-1 A LEY</v>
          </cell>
          <cell r="F105">
            <v>36381</v>
          </cell>
          <cell r="L105">
            <v>0.81</v>
          </cell>
          <cell r="M105">
            <v>248.7</v>
          </cell>
          <cell r="P105">
            <v>12759.259422487257</v>
          </cell>
        </row>
        <row r="106">
          <cell r="D106" t="str">
            <v>STSA-1 B. LEY</v>
          </cell>
          <cell r="F106">
            <v>36382</v>
          </cell>
          <cell r="L106">
            <v>0.437</v>
          </cell>
          <cell r="M106">
            <v>252.2</v>
          </cell>
          <cell r="P106">
            <v>2168.555742766408</v>
          </cell>
        </row>
        <row r="107">
          <cell r="D107" t="str">
            <v>STSA-1 B. LEY</v>
          </cell>
          <cell r="F107">
            <v>36382</v>
          </cell>
          <cell r="L107">
            <v>0.437</v>
          </cell>
          <cell r="M107">
            <v>252.2</v>
          </cell>
          <cell r="P107">
            <v>1885.7006458838332</v>
          </cell>
        </row>
        <row r="108">
          <cell r="D108" t="str">
            <v>STSA-1 B. LEY</v>
          </cell>
          <cell r="F108">
            <v>36382</v>
          </cell>
          <cell r="L108">
            <v>0.67100000000000004</v>
          </cell>
          <cell r="M108">
            <v>146.19999999999999</v>
          </cell>
          <cell r="P108">
            <v>15780.121228752596</v>
          </cell>
        </row>
        <row r="109">
          <cell r="D109" t="str">
            <v>STSA-1 A LEY</v>
          </cell>
          <cell r="F109">
            <v>36382</v>
          </cell>
          <cell r="L109">
            <v>0.73699999999999999</v>
          </cell>
          <cell r="M109">
            <v>185.1</v>
          </cell>
          <cell r="P109">
            <v>2067.1507881250582</v>
          </cell>
        </row>
        <row r="110">
          <cell r="D110" t="str">
            <v>STSA-1 A LEY</v>
          </cell>
          <cell r="F110">
            <v>36382</v>
          </cell>
          <cell r="L110">
            <v>0.73699999999999999</v>
          </cell>
          <cell r="M110">
            <v>185.1</v>
          </cell>
          <cell r="P110">
            <v>3339.2435808174009</v>
          </cell>
        </row>
        <row r="111">
          <cell r="D111" t="str">
            <v>STSA-1 B. LEY</v>
          </cell>
          <cell r="F111">
            <v>36382</v>
          </cell>
          <cell r="L111">
            <v>0.67100000000000004</v>
          </cell>
          <cell r="M111">
            <v>146.19999999999999</v>
          </cell>
          <cell r="P111">
            <v>144.77175439222566</v>
          </cell>
        </row>
        <row r="112">
          <cell r="D112" t="str">
            <v>STSA-1 B. LEY</v>
          </cell>
          <cell r="F112">
            <v>36382</v>
          </cell>
          <cell r="L112">
            <v>0.67100000000000004</v>
          </cell>
          <cell r="M112">
            <v>146.19999999999999</v>
          </cell>
          <cell r="P112">
            <v>15210.707221591505</v>
          </cell>
        </row>
        <row r="113">
          <cell r="D113" t="str">
            <v>STSA-1 A LEY</v>
          </cell>
          <cell r="F113">
            <v>36382</v>
          </cell>
          <cell r="L113">
            <v>0.65100000000000002</v>
          </cell>
          <cell r="M113">
            <v>180.6</v>
          </cell>
          <cell r="P113">
            <v>146.11220730483643</v>
          </cell>
        </row>
        <row r="114">
          <cell r="D114" t="str">
            <v>STSA-1 B. LEY</v>
          </cell>
          <cell r="F114">
            <v>36383</v>
          </cell>
          <cell r="L114">
            <v>0.67100000000000004</v>
          </cell>
          <cell r="M114">
            <v>146.19999999999999</v>
          </cell>
          <cell r="P114">
            <v>14137.269025982307</v>
          </cell>
        </row>
        <row r="115">
          <cell r="D115" t="str">
            <v>STSA-1 A LEY</v>
          </cell>
          <cell r="F115">
            <v>36383</v>
          </cell>
          <cell r="L115">
            <v>0.65100000000000002</v>
          </cell>
          <cell r="M115">
            <v>180.6</v>
          </cell>
          <cell r="P115">
            <v>1657.9647155313423</v>
          </cell>
        </row>
        <row r="116">
          <cell r="D116" t="str">
            <v>STSA-1 A LEY</v>
          </cell>
          <cell r="F116">
            <v>36383</v>
          </cell>
          <cell r="L116">
            <v>0.67100000000000004</v>
          </cell>
          <cell r="M116">
            <v>146.19999999999999</v>
          </cell>
          <cell r="P116">
            <v>5787.1032881726223</v>
          </cell>
        </row>
        <row r="117">
          <cell r="D117" t="str">
            <v>STSA-1 A LEY</v>
          </cell>
          <cell r="F117">
            <v>36383</v>
          </cell>
          <cell r="L117">
            <v>0.65100000000000002</v>
          </cell>
          <cell r="M117">
            <v>180.6</v>
          </cell>
          <cell r="P117">
            <v>5614.6113868858074</v>
          </cell>
        </row>
        <row r="118">
          <cell r="D118" t="str">
            <v>STSA-1 B. LEY</v>
          </cell>
          <cell r="F118">
            <v>36383</v>
          </cell>
          <cell r="L118">
            <v>0.67100000000000004</v>
          </cell>
          <cell r="M118">
            <v>146.19999999999999</v>
          </cell>
          <cell r="P118">
            <v>2436.6750687042618</v>
          </cell>
        </row>
        <row r="119">
          <cell r="D119" t="str">
            <v>STSA-1 B. LEY</v>
          </cell>
          <cell r="F119">
            <v>36383</v>
          </cell>
          <cell r="L119">
            <v>0.65100000000000002</v>
          </cell>
          <cell r="M119">
            <v>180.6</v>
          </cell>
          <cell r="P119">
            <v>2068.5410372737183</v>
          </cell>
        </row>
        <row r="120">
          <cell r="D120" t="str">
            <v>STSA-1 A LEY</v>
          </cell>
          <cell r="F120">
            <v>36384</v>
          </cell>
          <cell r="L120">
            <v>0.76</v>
          </cell>
          <cell r="M120">
            <v>72.3</v>
          </cell>
          <cell r="P120">
            <v>17873.093474304191</v>
          </cell>
        </row>
        <row r="121">
          <cell r="D121" t="str">
            <v>STSA-1 A LEY</v>
          </cell>
          <cell r="F121">
            <v>36384</v>
          </cell>
          <cell r="L121">
            <v>0.68</v>
          </cell>
          <cell r="M121">
            <v>94</v>
          </cell>
          <cell r="P121">
            <v>1266.6705119882074</v>
          </cell>
        </row>
        <row r="122">
          <cell r="D122" t="str">
            <v>STSA-1 B. LEY</v>
          </cell>
          <cell r="F122">
            <v>36384</v>
          </cell>
          <cell r="L122">
            <v>0.68</v>
          </cell>
          <cell r="M122">
            <v>94</v>
          </cell>
          <cell r="P122">
            <v>1583.3381399852594</v>
          </cell>
        </row>
        <row r="123">
          <cell r="D123" t="str">
            <v>STSA-1 A LEY</v>
          </cell>
          <cell r="F123">
            <v>36384</v>
          </cell>
          <cell r="L123">
            <v>0.68</v>
          </cell>
          <cell r="M123">
            <v>94</v>
          </cell>
          <cell r="P123">
            <v>10261.678022648237</v>
          </cell>
        </row>
        <row r="124">
          <cell r="D124" t="str">
            <v>STSA-1 A LEY</v>
          </cell>
          <cell r="F124">
            <v>36384</v>
          </cell>
          <cell r="L124">
            <v>0.67100000000000004</v>
          </cell>
          <cell r="M124">
            <v>146.19999999999999</v>
          </cell>
          <cell r="P124">
            <v>3627.174338821932</v>
          </cell>
        </row>
        <row r="125">
          <cell r="D125" t="str">
            <v>STSA-1 A LEY</v>
          </cell>
          <cell r="F125">
            <v>36384</v>
          </cell>
          <cell r="L125">
            <v>0.65100000000000002</v>
          </cell>
          <cell r="M125">
            <v>180.6</v>
          </cell>
          <cell r="P125">
            <v>2199.4136499376655</v>
          </cell>
        </row>
        <row r="126">
          <cell r="D126" t="str">
            <v>STSA-1 A LEY</v>
          </cell>
          <cell r="F126">
            <v>36385</v>
          </cell>
          <cell r="L126">
            <v>0.68</v>
          </cell>
          <cell r="M126">
            <v>94</v>
          </cell>
          <cell r="P126">
            <v>5535.8728409165451</v>
          </cell>
        </row>
        <row r="127">
          <cell r="D127" t="str">
            <v>STSA-1 A LEY</v>
          </cell>
          <cell r="F127">
            <v>36385</v>
          </cell>
          <cell r="L127">
            <v>0.68</v>
          </cell>
          <cell r="M127">
            <v>94</v>
          </cell>
          <cell r="P127">
            <v>5098.9117450711738</v>
          </cell>
        </row>
        <row r="128">
          <cell r="D128" t="str">
            <v>STSA-1 A LEY</v>
          </cell>
          <cell r="F128">
            <v>36390</v>
          </cell>
          <cell r="L128">
            <v>0.73499999999999999</v>
          </cell>
          <cell r="M128">
            <v>259.60000000000002</v>
          </cell>
          <cell r="P128">
            <v>3980.0250000000001</v>
          </cell>
        </row>
        <row r="129">
          <cell r="D129" t="str">
            <v>P-2990B-LEY</v>
          </cell>
          <cell r="F129">
            <v>36390</v>
          </cell>
          <cell r="L129">
            <v>0.73499999999999999</v>
          </cell>
          <cell r="M129">
            <v>259.60000000000002</v>
          </cell>
          <cell r="P129">
            <v>6467.2650000000003</v>
          </cell>
        </row>
        <row r="130">
          <cell r="D130" t="str">
            <v>CHANCADOR</v>
          </cell>
          <cell r="F130">
            <v>36390</v>
          </cell>
          <cell r="L130">
            <v>0.73499999999999999</v>
          </cell>
          <cell r="M130">
            <v>259.60000000000002</v>
          </cell>
          <cell r="O130">
            <v>4822.335</v>
          </cell>
          <cell r="P130">
            <v>4822.335</v>
          </cell>
        </row>
        <row r="131">
          <cell r="D131" t="str">
            <v>P-2990B-LEY</v>
          </cell>
          <cell r="F131">
            <v>36391</v>
          </cell>
          <cell r="L131">
            <v>0.45700000000000002</v>
          </cell>
          <cell r="M131">
            <v>199.1</v>
          </cell>
          <cell r="P131">
            <v>2274.4967538279916</v>
          </cell>
        </row>
        <row r="132">
          <cell r="D132" t="str">
            <v>STOCK-PTA</v>
          </cell>
          <cell r="F132">
            <v>36391</v>
          </cell>
          <cell r="L132">
            <v>0.73499999999999999</v>
          </cell>
          <cell r="M132">
            <v>259.60000000000002</v>
          </cell>
          <cell r="P132">
            <v>3135.5206890845393</v>
          </cell>
        </row>
        <row r="133">
          <cell r="D133" t="str">
            <v>STOCK-PTA</v>
          </cell>
          <cell r="F133">
            <v>36391</v>
          </cell>
          <cell r="L133">
            <v>0.59899999999999998</v>
          </cell>
          <cell r="M133">
            <v>258.10000000000002</v>
          </cell>
          <cell r="P133">
            <v>1703.5618074935501</v>
          </cell>
        </row>
        <row r="134">
          <cell r="D134" t="str">
            <v>CHANCADOR</v>
          </cell>
          <cell r="F134">
            <v>36391</v>
          </cell>
          <cell r="L134">
            <v>0.59899999999999998</v>
          </cell>
          <cell r="M134">
            <v>258.10000000000002</v>
          </cell>
          <cell r="O134">
            <v>10481.289164246713</v>
          </cell>
          <cell r="P134">
            <v>10481.289164246713</v>
          </cell>
        </row>
        <row r="135">
          <cell r="D135" t="str">
            <v>P-2990B.LEY</v>
          </cell>
          <cell r="F135">
            <v>36391</v>
          </cell>
          <cell r="L135">
            <v>0.59899999999999998</v>
          </cell>
          <cell r="M135">
            <v>258.10000000000002</v>
          </cell>
          <cell r="P135">
            <v>275.82339905912403</v>
          </cell>
        </row>
        <row r="136">
          <cell r="D136" t="str">
            <v>STSA-1</v>
          </cell>
          <cell r="F136">
            <v>36392</v>
          </cell>
          <cell r="L136">
            <v>0.59899999999999998</v>
          </cell>
          <cell r="M136">
            <v>258.10000000000002</v>
          </cell>
          <cell r="P136">
            <v>24200.719823523214</v>
          </cell>
        </row>
        <row r="137">
          <cell r="D137" t="str">
            <v>CHANCADOR</v>
          </cell>
          <cell r="F137">
            <v>36392</v>
          </cell>
          <cell r="L137">
            <v>0.73499999999999999</v>
          </cell>
          <cell r="M137">
            <v>259.60000000000002</v>
          </cell>
          <cell r="O137">
            <v>4529.8028248381788</v>
          </cell>
          <cell r="P137">
            <v>4529.8028248381788</v>
          </cell>
        </row>
        <row r="138">
          <cell r="D138" t="str">
            <v>CHANCADOR</v>
          </cell>
          <cell r="F138">
            <v>36392</v>
          </cell>
          <cell r="L138">
            <v>0.73499999999999999</v>
          </cell>
          <cell r="M138">
            <v>259.60000000000002</v>
          </cell>
          <cell r="O138">
            <v>13892.622008377439</v>
          </cell>
          <cell r="P138">
            <v>13892.622008377439</v>
          </cell>
        </row>
        <row r="139">
          <cell r="D139" t="str">
            <v>SA</v>
          </cell>
          <cell r="F139">
            <v>36392</v>
          </cell>
          <cell r="L139">
            <v>0.73499999999999999</v>
          </cell>
          <cell r="M139">
            <v>259.60000000000002</v>
          </cell>
          <cell r="P139">
            <v>2976.990430366594</v>
          </cell>
        </row>
        <row r="140">
          <cell r="D140" t="str">
            <v>SV</v>
          </cell>
          <cell r="F140">
            <v>36392</v>
          </cell>
          <cell r="L140">
            <v>1.2310000000000001</v>
          </cell>
          <cell r="M140">
            <v>281.5</v>
          </cell>
          <cell r="P140">
            <v>20774.802833227197</v>
          </cell>
        </row>
        <row r="141">
          <cell r="D141" t="str">
            <v>CHANCADOR</v>
          </cell>
          <cell r="F141">
            <v>36393</v>
          </cell>
          <cell r="L141">
            <v>0.52800000000000002</v>
          </cell>
          <cell r="M141">
            <v>103.4</v>
          </cell>
          <cell r="O141">
            <v>4107.9801543628155</v>
          </cell>
          <cell r="P141">
            <v>4107.9801543628155</v>
          </cell>
        </row>
        <row r="142">
          <cell r="D142" t="str">
            <v>CHANCADOR</v>
          </cell>
          <cell r="F142">
            <v>36393</v>
          </cell>
          <cell r="L142">
            <v>0.69</v>
          </cell>
          <cell r="M142">
            <v>140</v>
          </cell>
          <cell r="O142">
            <v>6595.442163416923</v>
          </cell>
          <cell r="P142">
            <v>6595.442163416923</v>
          </cell>
        </row>
        <row r="143">
          <cell r="D143" t="str">
            <v>SA</v>
          </cell>
          <cell r="F143">
            <v>36393</v>
          </cell>
          <cell r="L143">
            <v>0.69</v>
          </cell>
          <cell r="M143">
            <v>140</v>
          </cell>
          <cell r="P143">
            <v>2300.7356384012519</v>
          </cell>
        </row>
        <row r="144">
          <cell r="D144" t="str">
            <v>SV</v>
          </cell>
          <cell r="F144">
            <v>36393</v>
          </cell>
          <cell r="L144">
            <v>1.2310000000000001</v>
          </cell>
          <cell r="M144">
            <v>281.5</v>
          </cell>
          <cell r="P144">
            <v>9303.8637110769105</v>
          </cell>
        </row>
        <row r="145">
          <cell r="D145" t="str">
            <v>P-2990</v>
          </cell>
          <cell r="F145">
            <v>36394</v>
          </cell>
          <cell r="L145">
            <v>0.52800000000000002</v>
          </cell>
          <cell r="M145">
            <v>103.4</v>
          </cell>
          <cell r="P145">
            <v>6614.644036033158</v>
          </cell>
        </row>
        <row r="146">
          <cell r="D146" t="str">
            <v>CHANCADOR</v>
          </cell>
          <cell r="F146">
            <v>36394</v>
          </cell>
          <cell r="L146">
            <v>0.52800000000000002</v>
          </cell>
          <cell r="M146">
            <v>103.4</v>
          </cell>
          <cell r="O146">
            <v>3661.6779485183552</v>
          </cell>
          <cell r="P146">
            <v>3661.6779485183552</v>
          </cell>
        </row>
        <row r="147">
          <cell r="D147" t="str">
            <v>SA</v>
          </cell>
          <cell r="F147">
            <v>36394</v>
          </cell>
          <cell r="L147">
            <v>0.52800000000000002</v>
          </cell>
          <cell r="M147">
            <v>103.4</v>
          </cell>
          <cell r="P147">
            <v>118.11864350059211</v>
          </cell>
        </row>
        <row r="148">
          <cell r="D148" t="str">
            <v>SA</v>
          </cell>
          <cell r="F148">
            <v>36394</v>
          </cell>
          <cell r="L148">
            <v>0.59899999999999998</v>
          </cell>
          <cell r="M148">
            <v>258.10000000000002</v>
          </cell>
          <cell r="P148">
            <v>1608.0242603830604</v>
          </cell>
        </row>
        <row r="149">
          <cell r="D149" t="str">
            <v>SV</v>
          </cell>
          <cell r="F149">
            <v>36394</v>
          </cell>
          <cell r="L149">
            <v>1.2310000000000001</v>
          </cell>
          <cell r="M149">
            <v>281.5</v>
          </cell>
          <cell r="P149">
            <v>31944.8291994518</v>
          </cell>
        </row>
        <row r="150">
          <cell r="D150" t="str">
            <v>CHANCADOR</v>
          </cell>
          <cell r="F150">
            <v>36394</v>
          </cell>
          <cell r="L150">
            <v>1.2310000000000001</v>
          </cell>
          <cell r="M150">
            <v>281.5</v>
          </cell>
          <cell r="O150">
            <v>1376.9322930798191</v>
          </cell>
          <cell r="P150">
            <v>1376.9322930798191</v>
          </cell>
        </row>
        <row r="151">
          <cell r="D151" t="str">
            <v>CHANCADOR</v>
          </cell>
          <cell r="F151">
            <v>36394</v>
          </cell>
          <cell r="L151">
            <v>0.59899999999999998</v>
          </cell>
          <cell r="M151">
            <v>258.10000000000002</v>
          </cell>
          <cell r="O151">
            <v>2546.0384122731793</v>
          </cell>
          <cell r="P151">
            <v>2546.0384122731793</v>
          </cell>
        </row>
        <row r="152">
          <cell r="D152" t="str">
            <v>STSV</v>
          </cell>
          <cell r="F152">
            <v>36394</v>
          </cell>
          <cell r="L152">
            <v>1.2310000000000001</v>
          </cell>
          <cell r="M152">
            <v>281.5</v>
          </cell>
          <cell r="P152">
            <v>21802.383965516234</v>
          </cell>
        </row>
        <row r="153">
          <cell r="D153" t="str">
            <v>CHANCADOR</v>
          </cell>
          <cell r="F153">
            <v>36394</v>
          </cell>
          <cell r="L153">
            <v>0.59899999999999998</v>
          </cell>
          <cell r="M153">
            <v>258.10000000000002</v>
          </cell>
          <cell r="O153">
            <v>3357.2653691411283</v>
          </cell>
          <cell r="P153">
            <v>3357.2653691411283</v>
          </cell>
        </row>
        <row r="154">
          <cell r="D154" t="str">
            <v>STSV</v>
          </cell>
          <cell r="F154">
            <v>36394</v>
          </cell>
          <cell r="L154">
            <v>1.04</v>
          </cell>
          <cell r="M154">
            <v>235.9</v>
          </cell>
          <cell r="P154">
            <v>10025.836882002755</v>
          </cell>
        </row>
        <row r="155">
          <cell r="D155" t="str">
            <v>CHANCADOR</v>
          </cell>
          <cell r="F155">
            <v>36394</v>
          </cell>
          <cell r="L155">
            <v>0.74</v>
          </cell>
          <cell r="M155">
            <v>263.10000000000002</v>
          </cell>
          <cell r="O155">
            <v>3981.6382608311478</v>
          </cell>
          <cell r="P155">
            <v>3981.6382608311478</v>
          </cell>
        </row>
        <row r="156">
          <cell r="D156" t="str">
            <v>STSA</v>
          </cell>
          <cell r="F156">
            <v>36394</v>
          </cell>
          <cell r="L156">
            <v>0.59899999999999998</v>
          </cell>
          <cell r="M156">
            <v>258.10000000000002</v>
          </cell>
          <cell r="P156">
            <v>268.58122953129026</v>
          </cell>
        </row>
        <row r="157">
          <cell r="D157" t="str">
            <v>P-2990</v>
          </cell>
          <cell r="F157">
            <v>36395</v>
          </cell>
          <cell r="L157">
            <v>0.52800000000000002</v>
          </cell>
          <cell r="M157">
            <v>103.4</v>
          </cell>
          <cell r="P157">
            <v>236.95208468763917</v>
          </cell>
        </row>
        <row r="158">
          <cell r="D158" t="str">
            <v>SA</v>
          </cell>
          <cell r="F158">
            <v>36395</v>
          </cell>
          <cell r="L158">
            <v>0.74</v>
          </cell>
          <cell r="M158">
            <v>263.10000000000002</v>
          </cell>
          <cell r="P158">
            <v>4317.1951793467588</v>
          </cell>
        </row>
        <row r="159">
          <cell r="D159" t="str">
            <v>SV</v>
          </cell>
          <cell r="F159">
            <v>36395</v>
          </cell>
          <cell r="L159">
            <v>1.04</v>
          </cell>
          <cell r="M159">
            <v>235.9</v>
          </cell>
          <cell r="P159">
            <v>10267.923669797698</v>
          </cell>
        </row>
        <row r="160">
          <cell r="D160" t="str">
            <v>P-2990</v>
          </cell>
          <cell r="F160">
            <v>36395</v>
          </cell>
          <cell r="L160">
            <v>0.318</v>
          </cell>
          <cell r="M160">
            <v>260.10000000000002</v>
          </cell>
          <cell r="P160">
            <v>214.06466741667401</v>
          </cell>
        </row>
        <row r="161">
          <cell r="D161" t="str">
            <v>P-2990B.LEY</v>
          </cell>
          <cell r="F161">
            <v>36397</v>
          </cell>
          <cell r="P161">
            <v>0</v>
          </cell>
        </row>
        <row r="162">
          <cell r="D162" t="str">
            <v>P-2990B.LEY</v>
          </cell>
          <cell r="F162">
            <v>36397</v>
          </cell>
          <cell r="P162">
            <v>0</v>
          </cell>
        </row>
        <row r="163">
          <cell r="D163" t="str">
            <v>P-2990B.LEY</v>
          </cell>
          <cell r="F163">
            <v>36397</v>
          </cell>
          <cell r="P163">
            <v>0</v>
          </cell>
        </row>
        <row r="164">
          <cell r="D164" t="str">
            <v>P-2990</v>
          </cell>
          <cell r="F164">
            <v>36398</v>
          </cell>
          <cell r="L164">
            <v>0.52800000000000002</v>
          </cell>
          <cell r="M164">
            <v>103.39700000000001</v>
          </cell>
          <cell r="P164">
            <v>2720.8731273697454</v>
          </cell>
        </row>
        <row r="165">
          <cell r="D165" t="str">
            <v>P-2990</v>
          </cell>
          <cell r="F165">
            <v>36398</v>
          </cell>
          <cell r="L165">
            <v>0.318</v>
          </cell>
          <cell r="M165">
            <v>260.07</v>
          </cell>
          <cell r="P165">
            <v>4061.1451174822132</v>
          </cell>
        </row>
        <row r="166">
          <cell r="D166" t="str">
            <v>VICTORIA</v>
          </cell>
          <cell r="F166">
            <v>36398</v>
          </cell>
          <cell r="L166">
            <v>1.04</v>
          </cell>
          <cell r="M166">
            <v>235.86500000000001</v>
          </cell>
          <cell r="P166">
            <v>3495.1927525500678</v>
          </cell>
        </row>
        <row r="167">
          <cell r="D167" t="str">
            <v>STOCKPLANTA</v>
          </cell>
          <cell r="F167">
            <v>36398</v>
          </cell>
          <cell r="L167">
            <v>0.74</v>
          </cell>
          <cell r="M167">
            <v>263.06799999999998</v>
          </cell>
          <cell r="P167">
            <v>11274.23713514868</v>
          </cell>
        </row>
        <row r="168">
          <cell r="D168" t="str">
            <v>P-2990</v>
          </cell>
          <cell r="F168">
            <v>36398</v>
          </cell>
          <cell r="L168">
            <v>0.52200000000000002</v>
          </cell>
          <cell r="M168">
            <v>139.33699999999999</v>
          </cell>
          <cell r="P168">
            <v>584.77263359972289</v>
          </cell>
        </row>
        <row r="169">
          <cell r="D169" t="str">
            <v>P-2990</v>
          </cell>
          <cell r="F169">
            <v>36398</v>
          </cell>
          <cell r="L169">
            <v>0.48799999999999999</v>
          </cell>
          <cell r="M169">
            <v>112.482</v>
          </cell>
          <cell r="P169">
            <v>109.33679892592519</v>
          </cell>
        </row>
        <row r="170">
          <cell r="D170" t="str">
            <v>VICTORIA</v>
          </cell>
          <cell r="F170">
            <v>36398</v>
          </cell>
          <cell r="L170">
            <v>1.04</v>
          </cell>
          <cell r="M170">
            <v>235.86500000000001</v>
          </cell>
          <cell r="P170">
            <v>2176.4577537307973</v>
          </cell>
        </row>
        <row r="171">
          <cell r="D171" t="str">
            <v>P-2990</v>
          </cell>
          <cell r="F171">
            <v>36398</v>
          </cell>
          <cell r="L171">
            <v>0.36399999999999999</v>
          </cell>
          <cell r="M171">
            <v>161.518</v>
          </cell>
          <cell r="P171">
            <v>2708.4807601983257</v>
          </cell>
        </row>
        <row r="172">
          <cell r="D172" t="str">
            <v>P-2990</v>
          </cell>
          <cell r="F172">
            <v>36398</v>
          </cell>
          <cell r="L172">
            <v>0.318</v>
          </cell>
          <cell r="M172">
            <v>260.07</v>
          </cell>
          <cell r="P172">
            <v>3845.0753649244084</v>
          </cell>
        </row>
        <row r="173">
          <cell r="D173" t="str">
            <v>P-2990</v>
          </cell>
          <cell r="F173">
            <v>36398</v>
          </cell>
          <cell r="L173">
            <v>0.52200000000000002</v>
          </cell>
          <cell r="M173">
            <v>139.33699999999999</v>
          </cell>
          <cell r="P173">
            <v>5704.83061218284</v>
          </cell>
        </row>
        <row r="174">
          <cell r="D174" t="str">
            <v>P-2990</v>
          </cell>
          <cell r="F174">
            <v>36399</v>
          </cell>
          <cell r="L174">
            <v>0.52200000000000002</v>
          </cell>
          <cell r="M174">
            <v>139.33699999999999</v>
          </cell>
          <cell r="P174">
            <v>708.1493751938267</v>
          </cell>
        </row>
        <row r="175">
          <cell r="D175" t="str">
            <v>P-2990</v>
          </cell>
          <cell r="F175">
            <v>36399</v>
          </cell>
          <cell r="L175">
            <v>0.52800000000000002</v>
          </cell>
          <cell r="M175">
            <v>103.39700000000001</v>
          </cell>
          <cell r="P175">
            <v>2148.8670695536812</v>
          </cell>
        </row>
        <row r="176">
          <cell r="D176" t="str">
            <v>SPLANTA</v>
          </cell>
          <cell r="F176">
            <v>36399</v>
          </cell>
          <cell r="L176">
            <v>0.73399999999999999</v>
          </cell>
          <cell r="M176">
            <v>244.17099999999999</v>
          </cell>
          <cell r="P176">
            <v>13774.545413652078</v>
          </cell>
        </row>
        <row r="177">
          <cell r="D177" t="str">
            <v>P-2990</v>
          </cell>
          <cell r="F177">
            <v>36399</v>
          </cell>
          <cell r="L177">
            <v>0.36399999999999999</v>
          </cell>
          <cell r="M177">
            <v>161.518</v>
          </cell>
          <cell r="P177">
            <v>1069.9115081153218</v>
          </cell>
        </row>
        <row r="178">
          <cell r="D178" t="str">
            <v>P-2990</v>
          </cell>
          <cell r="F178">
            <v>36399</v>
          </cell>
          <cell r="L178">
            <v>0.52200000000000002</v>
          </cell>
          <cell r="M178">
            <v>139.33699999999999</v>
          </cell>
          <cell r="P178">
            <v>3894.8215635660467</v>
          </cell>
        </row>
        <row r="179">
          <cell r="D179" t="str">
            <v>VICTORIA</v>
          </cell>
          <cell r="F179">
            <v>36399</v>
          </cell>
          <cell r="L179">
            <v>1.04</v>
          </cell>
          <cell r="M179">
            <v>235.86500000000001</v>
          </cell>
          <cell r="P179">
            <v>8230.0885239640138</v>
          </cell>
        </row>
        <row r="180">
          <cell r="D180" t="str">
            <v>P-2990</v>
          </cell>
          <cell r="F180">
            <v>36399</v>
          </cell>
          <cell r="L180">
            <v>0.48799999999999999</v>
          </cell>
          <cell r="M180">
            <v>112.482</v>
          </cell>
          <cell r="P180">
            <v>993.037054869504</v>
          </cell>
        </row>
        <row r="181">
          <cell r="D181" t="str">
            <v>P-2990</v>
          </cell>
          <cell r="F181">
            <v>36399</v>
          </cell>
          <cell r="P181">
            <v>0</v>
          </cell>
        </row>
        <row r="182">
          <cell r="D182" t="str">
            <v>P-2990</v>
          </cell>
          <cell r="F182">
            <v>36399</v>
          </cell>
          <cell r="P182">
            <v>0</v>
          </cell>
        </row>
        <row r="183">
          <cell r="D183" t="str">
            <v>VICTORIA</v>
          </cell>
          <cell r="F183">
            <v>36399</v>
          </cell>
          <cell r="P183">
            <v>0</v>
          </cell>
        </row>
        <row r="184">
          <cell r="D184" t="str">
            <v>VICTORIA</v>
          </cell>
          <cell r="F184">
            <v>36399</v>
          </cell>
          <cell r="P184">
            <v>0</v>
          </cell>
        </row>
        <row r="185">
          <cell r="P185">
            <v>0</v>
          </cell>
        </row>
        <row r="186">
          <cell r="P186">
            <v>0</v>
          </cell>
        </row>
        <row r="187">
          <cell r="P187">
            <v>0</v>
          </cell>
        </row>
        <row r="188">
          <cell r="P188">
            <v>0</v>
          </cell>
        </row>
        <row r="189">
          <cell r="P189">
            <v>0</v>
          </cell>
        </row>
        <row r="190">
          <cell r="P190">
            <v>0</v>
          </cell>
        </row>
        <row r="191">
          <cell r="P191">
            <v>0</v>
          </cell>
        </row>
        <row r="192">
          <cell r="P192">
            <v>0</v>
          </cell>
        </row>
        <row r="193">
          <cell r="P193">
            <v>0</v>
          </cell>
        </row>
        <row r="194">
          <cell r="P194">
            <v>0</v>
          </cell>
        </row>
        <row r="195">
          <cell r="P195">
            <v>0</v>
          </cell>
        </row>
        <row r="196">
          <cell r="P196">
            <v>0</v>
          </cell>
        </row>
        <row r="197">
          <cell r="P197">
            <v>0</v>
          </cell>
        </row>
        <row r="198">
          <cell r="P198">
            <v>0</v>
          </cell>
        </row>
        <row r="199">
          <cell r="P199">
            <v>0</v>
          </cell>
        </row>
        <row r="200">
          <cell r="P200">
            <v>0</v>
          </cell>
        </row>
        <row r="201">
          <cell r="P201">
            <v>0</v>
          </cell>
        </row>
        <row r="202">
          <cell r="P202">
            <v>0</v>
          </cell>
        </row>
        <row r="203">
          <cell r="P203">
            <v>0</v>
          </cell>
        </row>
        <row r="204">
          <cell r="P204">
            <v>0</v>
          </cell>
        </row>
        <row r="205">
          <cell r="P205">
            <v>0</v>
          </cell>
        </row>
        <row r="206">
          <cell r="P206">
            <v>0</v>
          </cell>
        </row>
        <row r="207">
          <cell r="P207">
            <v>0</v>
          </cell>
        </row>
        <row r="208">
          <cell r="P208">
            <v>0</v>
          </cell>
        </row>
        <row r="209">
          <cell r="P209">
            <v>0</v>
          </cell>
        </row>
        <row r="210">
          <cell r="P210">
            <v>0</v>
          </cell>
        </row>
        <row r="211">
          <cell r="P211">
            <v>0</v>
          </cell>
        </row>
        <row r="212">
          <cell r="P212">
            <v>0</v>
          </cell>
        </row>
        <row r="213">
          <cell r="P213">
            <v>0</v>
          </cell>
        </row>
        <row r="214">
          <cell r="P214">
            <v>0</v>
          </cell>
        </row>
        <row r="215">
          <cell r="P215">
            <v>0</v>
          </cell>
        </row>
        <row r="216">
          <cell r="P216">
            <v>0</v>
          </cell>
        </row>
        <row r="217">
          <cell r="P217">
            <v>0</v>
          </cell>
        </row>
        <row r="218">
          <cell r="P218">
            <v>0</v>
          </cell>
        </row>
        <row r="219">
          <cell r="P219">
            <v>0</v>
          </cell>
        </row>
        <row r="220">
          <cell r="P220">
            <v>0</v>
          </cell>
        </row>
        <row r="221">
          <cell r="P221">
            <v>0</v>
          </cell>
        </row>
        <row r="222">
          <cell r="P222">
            <v>0</v>
          </cell>
        </row>
        <row r="223">
          <cell r="P223">
            <v>0</v>
          </cell>
        </row>
        <row r="224">
          <cell r="P224">
            <v>0</v>
          </cell>
        </row>
        <row r="225">
          <cell r="P225">
            <v>0</v>
          </cell>
        </row>
        <row r="226">
          <cell r="P226">
            <v>0</v>
          </cell>
        </row>
        <row r="227">
          <cell r="P227">
            <v>0</v>
          </cell>
        </row>
        <row r="228">
          <cell r="P228">
            <v>0</v>
          </cell>
        </row>
        <row r="229">
          <cell r="P229">
            <v>0</v>
          </cell>
        </row>
        <row r="230">
          <cell r="P230">
            <v>0</v>
          </cell>
        </row>
        <row r="231">
          <cell r="P231">
            <v>0</v>
          </cell>
        </row>
        <row r="232">
          <cell r="P232">
            <v>0</v>
          </cell>
        </row>
        <row r="233">
          <cell r="P233">
            <v>0</v>
          </cell>
        </row>
        <row r="234">
          <cell r="P234">
            <v>0</v>
          </cell>
        </row>
        <row r="235">
          <cell r="P235">
            <v>0</v>
          </cell>
        </row>
        <row r="236">
          <cell r="P236">
            <v>0</v>
          </cell>
        </row>
        <row r="237">
          <cell r="P237">
            <v>0</v>
          </cell>
        </row>
        <row r="238">
          <cell r="P238">
            <v>0</v>
          </cell>
        </row>
        <row r="239">
          <cell r="P239">
            <v>0</v>
          </cell>
        </row>
        <row r="240">
          <cell r="P240">
            <v>0</v>
          </cell>
        </row>
        <row r="241">
          <cell r="P241">
            <v>0</v>
          </cell>
        </row>
        <row r="242">
          <cell r="P242">
            <v>0</v>
          </cell>
        </row>
        <row r="243">
          <cell r="P243">
            <v>0</v>
          </cell>
        </row>
        <row r="244">
          <cell r="P244">
            <v>0</v>
          </cell>
        </row>
        <row r="245">
          <cell r="P245">
            <v>0</v>
          </cell>
        </row>
        <row r="246">
          <cell r="P246">
            <v>0</v>
          </cell>
        </row>
        <row r="247">
          <cell r="P247">
            <v>0</v>
          </cell>
        </row>
        <row r="248">
          <cell r="P248">
            <v>0</v>
          </cell>
        </row>
        <row r="249">
          <cell r="P249">
            <v>0</v>
          </cell>
        </row>
        <row r="250">
          <cell r="P250">
            <v>0</v>
          </cell>
        </row>
        <row r="251">
          <cell r="P251">
            <v>0</v>
          </cell>
        </row>
        <row r="252">
          <cell r="P252">
            <v>0</v>
          </cell>
        </row>
        <row r="253">
          <cell r="P253">
            <v>0</v>
          </cell>
        </row>
        <row r="254">
          <cell r="P254">
            <v>0</v>
          </cell>
        </row>
        <row r="255">
          <cell r="P255">
            <v>0</v>
          </cell>
        </row>
        <row r="256">
          <cell r="P256">
            <v>0</v>
          </cell>
        </row>
        <row r="257">
          <cell r="P257">
            <v>0</v>
          </cell>
        </row>
        <row r="258">
          <cell r="P258">
            <v>0</v>
          </cell>
        </row>
        <row r="259">
          <cell r="P259">
            <v>0</v>
          </cell>
        </row>
        <row r="260">
          <cell r="P260">
            <v>0</v>
          </cell>
        </row>
        <row r="261">
          <cell r="P261">
            <v>0</v>
          </cell>
        </row>
        <row r="262">
          <cell r="P262">
            <v>0</v>
          </cell>
        </row>
        <row r="263">
          <cell r="P263">
            <v>0</v>
          </cell>
        </row>
        <row r="264">
          <cell r="P264">
            <v>0</v>
          </cell>
        </row>
        <row r="265">
          <cell r="P265">
            <v>0</v>
          </cell>
        </row>
        <row r="266">
          <cell r="P266">
            <v>0</v>
          </cell>
        </row>
        <row r="267">
          <cell r="P267">
            <v>0</v>
          </cell>
        </row>
        <row r="268">
          <cell r="P268">
            <v>0</v>
          </cell>
        </row>
        <row r="269">
          <cell r="P269">
            <v>0</v>
          </cell>
        </row>
        <row r="270">
          <cell r="P270">
            <v>0</v>
          </cell>
        </row>
        <row r="271">
          <cell r="P271">
            <v>0</v>
          </cell>
        </row>
        <row r="272">
          <cell r="P272">
            <v>0</v>
          </cell>
        </row>
        <row r="273">
          <cell r="P273">
            <v>0</v>
          </cell>
        </row>
        <row r="274">
          <cell r="P274">
            <v>0</v>
          </cell>
        </row>
        <row r="275">
          <cell r="P275">
            <v>0</v>
          </cell>
        </row>
        <row r="276">
          <cell r="P276">
            <v>0</v>
          </cell>
        </row>
        <row r="277">
          <cell r="P277">
            <v>0</v>
          </cell>
        </row>
        <row r="278">
          <cell r="P278">
            <v>0</v>
          </cell>
        </row>
        <row r="279">
          <cell r="P279">
            <v>0</v>
          </cell>
        </row>
        <row r="280">
          <cell r="P280">
            <v>0</v>
          </cell>
        </row>
        <row r="281">
          <cell r="P281">
            <v>0</v>
          </cell>
        </row>
        <row r="282">
          <cell r="P282">
            <v>0</v>
          </cell>
        </row>
        <row r="283">
          <cell r="P283">
            <v>0</v>
          </cell>
        </row>
        <row r="284">
          <cell r="P284">
            <v>0</v>
          </cell>
        </row>
        <row r="285">
          <cell r="P285">
            <v>0</v>
          </cell>
        </row>
        <row r="286">
          <cell r="P286">
            <v>0</v>
          </cell>
        </row>
        <row r="287">
          <cell r="P287">
            <v>0</v>
          </cell>
        </row>
        <row r="288">
          <cell r="P288">
            <v>0</v>
          </cell>
        </row>
        <row r="289">
          <cell r="P289">
            <v>0</v>
          </cell>
        </row>
        <row r="290">
          <cell r="P290">
            <v>0</v>
          </cell>
        </row>
        <row r="291">
          <cell r="P291">
            <v>0</v>
          </cell>
        </row>
        <row r="292">
          <cell r="P292">
            <v>0</v>
          </cell>
        </row>
        <row r="293">
          <cell r="P293">
            <v>0</v>
          </cell>
        </row>
        <row r="294">
          <cell r="P294">
            <v>0</v>
          </cell>
        </row>
        <row r="295">
          <cell r="P295">
            <v>0</v>
          </cell>
        </row>
        <row r="296">
          <cell r="P296">
            <v>0</v>
          </cell>
        </row>
        <row r="297">
          <cell r="P297">
            <v>0</v>
          </cell>
        </row>
        <row r="298">
          <cell r="P298">
            <v>0</v>
          </cell>
        </row>
        <row r="299">
          <cell r="P299">
            <v>0</v>
          </cell>
        </row>
        <row r="300">
          <cell r="P300">
            <v>0</v>
          </cell>
        </row>
        <row r="301">
          <cell r="P301">
            <v>0</v>
          </cell>
        </row>
        <row r="302">
          <cell r="P302">
            <v>0</v>
          </cell>
        </row>
        <row r="303">
          <cell r="P303">
            <v>0</v>
          </cell>
        </row>
        <row r="304">
          <cell r="P304">
            <v>0</v>
          </cell>
        </row>
        <row r="305">
          <cell r="P305">
            <v>0</v>
          </cell>
        </row>
        <row r="306">
          <cell r="P306">
            <v>0</v>
          </cell>
        </row>
        <row r="307">
          <cell r="P307">
            <v>0</v>
          </cell>
        </row>
        <row r="308">
          <cell r="P308">
            <v>0</v>
          </cell>
        </row>
        <row r="309">
          <cell r="P309">
            <v>0</v>
          </cell>
        </row>
        <row r="310">
          <cell r="P310">
            <v>0</v>
          </cell>
        </row>
        <row r="311">
          <cell r="P311">
            <v>0</v>
          </cell>
        </row>
        <row r="312">
          <cell r="P312">
            <v>0</v>
          </cell>
        </row>
        <row r="313">
          <cell r="P313">
            <v>0</v>
          </cell>
        </row>
        <row r="314">
          <cell r="P314">
            <v>0</v>
          </cell>
        </row>
        <row r="315">
          <cell r="P315">
            <v>0</v>
          </cell>
        </row>
        <row r="316">
          <cell r="P316">
            <v>0</v>
          </cell>
        </row>
        <row r="317">
          <cell r="P317">
            <v>0</v>
          </cell>
        </row>
        <row r="318">
          <cell r="P318">
            <v>0</v>
          </cell>
        </row>
        <row r="319">
          <cell r="P319">
            <v>0</v>
          </cell>
        </row>
        <row r="320">
          <cell r="P320">
            <v>0</v>
          </cell>
        </row>
        <row r="321">
          <cell r="P321">
            <v>0</v>
          </cell>
        </row>
        <row r="322">
          <cell r="P322">
            <v>0</v>
          </cell>
        </row>
        <row r="323">
          <cell r="P323">
            <v>0</v>
          </cell>
        </row>
        <row r="324">
          <cell r="P324">
            <v>0</v>
          </cell>
        </row>
        <row r="325">
          <cell r="P325">
            <v>0</v>
          </cell>
        </row>
        <row r="326">
          <cell r="P326">
            <v>0</v>
          </cell>
        </row>
        <row r="327">
          <cell r="P327">
            <v>0</v>
          </cell>
        </row>
        <row r="328">
          <cell r="P328">
            <v>0</v>
          </cell>
        </row>
        <row r="329">
          <cell r="P329">
            <v>0</v>
          </cell>
        </row>
        <row r="330">
          <cell r="P330">
            <v>0</v>
          </cell>
        </row>
        <row r="331">
          <cell r="P331">
            <v>0</v>
          </cell>
        </row>
        <row r="332">
          <cell r="P332">
            <v>0</v>
          </cell>
        </row>
        <row r="333">
          <cell r="P333">
            <v>0</v>
          </cell>
        </row>
        <row r="334">
          <cell r="P334">
            <v>0</v>
          </cell>
        </row>
        <row r="335">
          <cell r="P335">
            <v>0</v>
          </cell>
        </row>
        <row r="336">
          <cell r="P336">
            <v>0</v>
          </cell>
        </row>
        <row r="337">
          <cell r="P337">
            <v>0</v>
          </cell>
        </row>
        <row r="338">
          <cell r="P338">
            <v>0</v>
          </cell>
        </row>
        <row r="339">
          <cell r="P339">
            <v>0</v>
          </cell>
        </row>
        <row r="340">
          <cell r="P340">
            <v>0</v>
          </cell>
        </row>
        <row r="341">
          <cell r="P341">
            <v>0</v>
          </cell>
        </row>
        <row r="342">
          <cell r="P342">
            <v>0</v>
          </cell>
        </row>
        <row r="343">
          <cell r="P343">
            <v>0</v>
          </cell>
        </row>
        <row r="344">
          <cell r="P344">
            <v>0</v>
          </cell>
        </row>
        <row r="345">
          <cell r="P345">
            <v>0</v>
          </cell>
        </row>
        <row r="346">
          <cell r="P346">
            <v>0</v>
          </cell>
        </row>
        <row r="347">
          <cell r="P347">
            <v>0</v>
          </cell>
        </row>
        <row r="348">
          <cell r="P348">
            <v>0</v>
          </cell>
        </row>
        <row r="349">
          <cell r="P349">
            <v>0</v>
          </cell>
        </row>
        <row r="350">
          <cell r="P350">
            <v>0</v>
          </cell>
        </row>
        <row r="351">
          <cell r="P351">
            <v>0</v>
          </cell>
        </row>
        <row r="352">
          <cell r="P352">
            <v>0</v>
          </cell>
        </row>
        <row r="353">
          <cell r="P353">
            <v>0</v>
          </cell>
        </row>
        <row r="354">
          <cell r="P354">
            <v>0</v>
          </cell>
        </row>
        <row r="355">
          <cell r="P355">
            <v>0</v>
          </cell>
        </row>
        <row r="356">
          <cell r="P356">
            <v>0</v>
          </cell>
        </row>
        <row r="357">
          <cell r="P357">
            <v>0</v>
          </cell>
        </row>
        <row r="358">
          <cell r="P358">
            <v>0</v>
          </cell>
        </row>
        <row r="359">
          <cell r="P359">
            <v>0</v>
          </cell>
        </row>
        <row r="360">
          <cell r="P360">
            <v>0</v>
          </cell>
        </row>
        <row r="361">
          <cell r="P361">
            <v>0</v>
          </cell>
        </row>
        <row r="362">
          <cell r="P362">
            <v>0</v>
          </cell>
        </row>
        <row r="363">
          <cell r="P363">
            <v>0</v>
          </cell>
        </row>
        <row r="364">
          <cell r="P364">
            <v>0</v>
          </cell>
        </row>
        <row r="365">
          <cell r="P365">
            <v>0</v>
          </cell>
        </row>
        <row r="366">
          <cell r="P366">
            <v>0</v>
          </cell>
        </row>
        <row r="367">
          <cell r="P367">
            <v>0</v>
          </cell>
        </row>
        <row r="368">
          <cell r="P368">
            <v>0</v>
          </cell>
        </row>
        <row r="369">
          <cell r="P369">
            <v>0</v>
          </cell>
        </row>
        <row r="370">
          <cell r="P370">
            <v>0</v>
          </cell>
        </row>
        <row r="371">
          <cell r="P371">
            <v>0</v>
          </cell>
        </row>
        <row r="372">
          <cell r="P372">
            <v>0</v>
          </cell>
        </row>
        <row r="373">
          <cell r="P373">
            <v>0</v>
          </cell>
        </row>
        <row r="374">
          <cell r="P374">
            <v>0</v>
          </cell>
        </row>
        <row r="375">
          <cell r="P375">
            <v>0</v>
          </cell>
        </row>
        <row r="376">
          <cell r="P376">
            <v>0</v>
          </cell>
        </row>
        <row r="377">
          <cell r="P377">
            <v>0</v>
          </cell>
        </row>
        <row r="378">
          <cell r="P378">
            <v>0</v>
          </cell>
        </row>
        <row r="379">
          <cell r="P379">
            <v>0</v>
          </cell>
        </row>
        <row r="380">
          <cell r="P380">
            <v>0</v>
          </cell>
        </row>
        <row r="381">
          <cell r="P381">
            <v>0</v>
          </cell>
        </row>
        <row r="382">
          <cell r="P382">
            <v>0</v>
          </cell>
        </row>
        <row r="383">
          <cell r="P383">
            <v>0</v>
          </cell>
        </row>
        <row r="384">
          <cell r="P384">
            <v>0</v>
          </cell>
        </row>
        <row r="385">
          <cell r="P385">
            <v>0</v>
          </cell>
        </row>
        <row r="386">
          <cell r="P386">
            <v>0</v>
          </cell>
        </row>
        <row r="387">
          <cell r="P387">
            <v>0</v>
          </cell>
        </row>
        <row r="388">
          <cell r="P388">
            <v>0</v>
          </cell>
        </row>
        <row r="389">
          <cell r="P389">
            <v>0</v>
          </cell>
        </row>
        <row r="390">
          <cell r="P390">
            <v>0</v>
          </cell>
        </row>
        <row r="391">
          <cell r="P391">
            <v>0</v>
          </cell>
        </row>
        <row r="392">
          <cell r="P392">
            <v>0</v>
          </cell>
        </row>
        <row r="394">
          <cell r="O394">
            <v>67350.47054085671</v>
          </cell>
        </row>
        <row r="395">
          <cell r="O395">
            <v>0.69702067731985895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">
          <cell r="M4" t="str">
            <v>AREA CHANCADO</v>
          </cell>
        </row>
      </sheetData>
      <sheetData sheetId="1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Fase banco"/>
      <sheetName val="Hoja2"/>
      <sheetName val="base"/>
      <sheetName val="Leyes"/>
      <sheetName val="Parameters"/>
      <sheetName val="Systeme"/>
      <sheetName val="Interest Rates (no longer prod)"/>
      <sheetName val="Profit_Waterfalls"/>
    </sheetNames>
    <sheetDataSet>
      <sheetData sheetId="0"/>
      <sheetData sheetId="1"/>
      <sheetData sheetId="2"/>
      <sheetData sheetId="3" refreshError="1">
        <row r="2">
          <cell r="C2" t="str">
            <v>E</v>
          </cell>
          <cell r="D2" t="str">
            <v>H-3470</v>
          </cell>
          <cell r="Y2">
            <v>22920.618078149135</v>
          </cell>
        </row>
        <row r="3">
          <cell r="C3" t="str">
            <v>E</v>
          </cell>
          <cell r="D3" t="str">
            <v>H-3470</v>
          </cell>
          <cell r="Y3">
            <v>22022.407763595034</v>
          </cell>
        </row>
        <row r="4">
          <cell r="C4" t="str">
            <v>E</v>
          </cell>
          <cell r="D4" t="str">
            <v>H-3470</v>
          </cell>
          <cell r="Y4">
            <v>19795.709626630676</v>
          </cell>
        </row>
        <row r="5">
          <cell r="C5" t="str">
            <v>E</v>
          </cell>
          <cell r="D5" t="str">
            <v>H-3470</v>
          </cell>
          <cell r="Y5">
            <v>11020.879629629631</v>
          </cell>
        </row>
        <row r="6">
          <cell r="C6" t="str">
            <v>E</v>
          </cell>
          <cell r="D6" t="str">
            <v>H-3470</v>
          </cell>
          <cell r="Y6">
            <v>9940.4012345679021</v>
          </cell>
        </row>
        <row r="7">
          <cell r="C7" t="str">
            <v>E</v>
          </cell>
          <cell r="D7" t="str">
            <v>H-3470</v>
          </cell>
          <cell r="Y7">
            <v>432.1913580246914</v>
          </cell>
        </row>
        <row r="8">
          <cell r="C8" t="str">
            <v>E</v>
          </cell>
          <cell r="D8" t="str">
            <v>H-3470</v>
          </cell>
          <cell r="Y8">
            <v>18447.012987012989</v>
          </cell>
        </row>
        <row r="9">
          <cell r="C9" t="str">
            <v>E</v>
          </cell>
          <cell r="D9" t="str">
            <v>H-3470</v>
          </cell>
          <cell r="Y9">
            <v>9573.766233766235</v>
          </cell>
        </row>
        <row r="10">
          <cell r="C10" t="str">
            <v>E</v>
          </cell>
          <cell r="D10" t="str">
            <v>H-3470</v>
          </cell>
          <cell r="Y10">
            <v>14300.964390294828</v>
          </cell>
        </row>
        <row r="11">
          <cell r="C11" t="str">
            <v>E</v>
          </cell>
          <cell r="D11" t="str">
            <v>H-3470</v>
          </cell>
          <cell r="Y11">
            <v>16758.942644876752</v>
          </cell>
        </row>
        <row r="12">
          <cell r="C12" t="str">
            <v>E</v>
          </cell>
          <cell r="D12" t="str">
            <v>H-3470</v>
          </cell>
          <cell r="Y12">
            <v>21616.910466269841</v>
          </cell>
        </row>
        <row r="13">
          <cell r="C13" t="str">
            <v>E</v>
          </cell>
          <cell r="D13" t="str">
            <v>H-3470</v>
          </cell>
          <cell r="Y13">
            <v>29519.866980820105</v>
          </cell>
        </row>
        <row r="14">
          <cell r="C14" t="str">
            <v>E</v>
          </cell>
          <cell r="D14" t="str">
            <v>H-3470</v>
          </cell>
          <cell r="Y14">
            <v>18776.995042323349</v>
          </cell>
        </row>
        <row r="15">
          <cell r="C15" t="str">
            <v>E</v>
          </cell>
          <cell r="D15" t="str">
            <v>H-3470</v>
          </cell>
          <cell r="Y15">
            <v>21039.283601639414</v>
          </cell>
        </row>
        <row r="16">
          <cell r="C16" t="str">
            <v>E</v>
          </cell>
          <cell r="D16" t="str">
            <v>H-3470</v>
          </cell>
          <cell r="Y16">
            <v>2714.7462711792791</v>
          </cell>
        </row>
        <row r="17">
          <cell r="C17" t="str">
            <v>E</v>
          </cell>
          <cell r="D17" t="str">
            <v>H-3470</v>
          </cell>
          <cell r="Y17">
            <v>18118.392198207697</v>
          </cell>
        </row>
        <row r="18">
          <cell r="C18" t="str">
            <v>E</v>
          </cell>
          <cell r="D18" t="str">
            <v>H-3470</v>
          </cell>
          <cell r="Y18">
            <v>25319.291661597934</v>
          </cell>
        </row>
        <row r="19">
          <cell r="C19" t="str">
            <v>E</v>
          </cell>
          <cell r="D19" t="str">
            <v>H-3470</v>
          </cell>
          <cell r="Y19">
            <v>23525.016171567891</v>
          </cell>
        </row>
        <row r="20">
          <cell r="C20" t="str">
            <v>E</v>
          </cell>
          <cell r="D20" t="str">
            <v>H-3515</v>
          </cell>
          <cell r="Y20">
            <v>15526.510673234809</v>
          </cell>
        </row>
        <row r="21">
          <cell r="C21" t="str">
            <v>E</v>
          </cell>
          <cell r="D21" t="str">
            <v>H-3470</v>
          </cell>
          <cell r="Y21">
            <v>7763.2553366174043</v>
          </cell>
        </row>
        <row r="22">
          <cell r="C22" t="str">
            <v>E</v>
          </cell>
          <cell r="D22" t="str">
            <v>H-3470</v>
          </cell>
          <cell r="Y22">
            <v>1411.5009702940736</v>
          </cell>
        </row>
        <row r="23">
          <cell r="C23" t="str">
            <v>E</v>
          </cell>
          <cell r="D23" t="str">
            <v>H-3470</v>
          </cell>
          <cell r="Y23">
            <v>18013.690369844633</v>
          </cell>
        </row>
        <row r="24">
          <cell r="C24" t="str">
            <v>E</v>
          </cell>
          <cell r="D24" t="str">
            <v>H-3470</v>
          </cell>
          <cell r="Y24">
            <v>1385.6684899880486</v>
          </cell>
        </row>
        <row r="25">
          <cell r="C25" t="str">
            <v>E</v>
          </cell>
          <cell r="D25" t="str">
            <v>H-3470</v>
          </cell>
          <cell r="Y25">
            <v>2771.3369799760972</v>
          </cell>
        </row>
        <row r="26">
          <cell r="C26" t="str">
            <v>E</v>
          </cell>
          <cell r="D26" t="str">
            <v>H-3515</v>
          </cell>
          <cell r="Y26">
            <v>33025.099011381826</v>
          </cell>
        </row>
        <row r="27">
          <cell r="C27" t="str">
            <v>E</v>
          </cell>
          <cell r="D27" t="str">
            <v>H-3515</v>
          </cell>
          <cell r="Y27">
            <v>18396.636085626913</v>
          </cell>
        </row>
        <row r="28">
          <cell r="C28" t="str">
            <v>E</v>
          </cell>
          <cell r="D28" t="str">
            <v>H-3470</v>
          </cell>
          <cell r="Y28">
            <v>1609.7056574923549</v>
          </cell>
        </row>
        <row r="29">
          <cell r="C29" t="str">
            <v>E</v>
          </cell>
          <cell r="D29" t="str">
            <v>H-3470</v>
          </cell>
          <cell r="Y29">
            <v>10118.149847094803</v>
          </cell>
        </row>
        <row r="30">
          <cell r="C30" t="str">
            <v>E</v>
          </cell>
          <cell r="D30" t="str">
            <v>H-3470</v>
          </cell>
          <cell r="Y30">
            <v>7588.6123853211011</v>
          </cell>
        </row>
        <row r="31">
          <cell r="C31" t="str">
            <v>E</v>
          </cell>
          <cell r="D31" t="str">
            <v>H-3515</v>
          </cell>
          <cell r="Y31">
            <v>32037.56385025274</v>
          </cell>
        </row>
        <row r="32">
          <cell r="C32" t="str">
            <v>E</v>
          </cell>
          <cell r="D32" t="str">
            <v>H-3470</v>
          </cell>
          <cell r="Y32">
            <v>2996.3189212466591</v>
          </cell>
        </row>
        <row r="33">
          <cell r="C33" t="str">
            <v>E</v>
          </cell>
          <cell r="D33" t="str">
            <v>H-3470</v>
          </cell>
          <cell r="Y33">
            <v>10832.845330660999</v>
          </cell>
        </row>
        <row r="34">
          <cell r="C34" t="str">
            <v>E</v>
          </cell>
          <cell r="D34" t="str">
            <v>H-3470</v>
          </cell>
          <cell r="Y34">
            <v>4609.7214173025523</v>
          </cell>
        </row>
        <row r="35">
          <cell r="C35" t="str">
            <v>E</v>
          </cell>
          <cell r="D35" t="str">
            <v>H-3470</v>
          </cell>
          <cell r="Y35">
            <v>13398.569464727494</v>
          </cell>
        </row>
        <row r="36">
          <cell r="C36" t="str">
            <v>E</v>
          </cell>
          <cell r="D36" t="str">
            <v>H-3515</v>
          </cell>
          <cell r="Y36">
            <v>28360.305367006531</v>
          </cell>
        </row>
        <row r="37">
          <cell r="C37" t="str">
            <v>E</v>
          </cell>
          <cell r="D37" t="str">
            <v>H-3515</v>
          </cell>
          <cell r="Y37">
            <v>1113.1144263082954</v>
          </cell>
        </row>
        <row r="38">
          <cell r="C38" t="str">
            <v>E</v>
          </cell>
          <cell r="D38" t="str">
            <v>H-3470</v>
          </cell>
          <cell r="Y38">
            <v>31835.072592417251</v>
          </cell>
        </row>
        <row r="39">
          <cell r="C39" t="str">
            <v>E</v>
          </cell>
          <cell r="D39" t="str">
            <v>H-3470</v>
          </cell>
          <cell r="Y39">
            <v>17364.585050409409</v>
          </cell>
        </row>
        <row r="40">
          <cell r="C40" t="str">
            <v>E</v>
          </cell>
          <cell r="D40" t="str">
            <v>H-3515</v>
          </cell>
          <cell r="Y40">
            <v>29331.453268953268</v>
          </cell>
        </row>
        <row r="41">
          <cell r="C41" t="str">
            <v>E</v>
          </cell>
          <cell r="D41" t="str">
            <v>H-3470</v>
          </cell>
          <cell r="Y41">
            <v>2030.6390724659955</v>
          </cell>
        </row>
        <row r="42">
          <cell r="C42" t="str">
            <v>E</v>
          </cell>
          <cell r="D42" t="str">
            <v>H-3470</v>
          </cell>
          <cell r="Y42">
            <v>5640.6640901833207</v>
          </cell>
        </row>
        <row r="43">
          <cell r="C43" t="str">
            <v>E</v>
          </cell>
          <cell r="D43" t="str">
            <v>H-3470</v>
          </cell>
          <cell r="Y43">
            <v>7626.8810011867499</v>
          </cell>
        </row>
        <row r="44">
          <cell r="C44" t="str">
            <v>E</v>
          </cell>
          <cell r="D44" t="str">
            <v>H-3515</v>
          </cell>
          <cell r="Y44">
            <v>23970.197432301215</v>
          </cell>
        </row>
        <row r="45">
          <cell r="C45" t="str">
            <v>E</v>
          </cell>
          <cell r="D45" t="str">
            <v>H-3470</v>
          </cell>
          <cell r="Y45">
            <v>13946.296687884344</v>
          </cell>
        </row>
        <row r="46">
          <cell r="C46" t="str">
            <v>E</v>
          </cell>
          <cell r="D46" t="str">
            <v>H-3470</v>
          </cell>
          <cell r="Y46">
            <v>22992.327529695012</v>
          </cell>
        </row>
        <row r="47">
          <cell r="C47" t="str">
            <v>E</v>
          </cell>
          <cell r="D47" t="str">
            <v>H-3515</v>
          </cell>
          <cell r="Y47">
            <v>30150.316288939684</v>
          </cell>
        </row>
        <row r="48">
          <cell r="C48" t="str">
            <v>E</v>
          </cell>
          <cell r="D48" t="str">
            <v>H-3470</v>
          </cell>
          <cell r="Y48">
            <v>4771.9925061631156</v>
          </cell>
        </row>
        <row r="49">
          <cell r="C49" t="str">
            <v>E</v>
          </cell>
          <cell r="D49" t="str">
            <v>H-3470</v>
          </cell>
          <cell r="Y49">
            <v>20871.792982384355</v>
          </cell>
        </row>
        <row r="50">
          <cell r="C50" t="str">
            <v>E</v>
          </cell>
          <cell r="D50" t="str">
            <v>H-3470</v>
          </cell>
          <cell r="Y50">
            <v>8437.5333333043127</v>
          </cell>
        </row>
        <row r="51">
          <cell r="C51" t="str">
            <v>E</v>
          </cell>
          <cell r="D51" t="str">
            <v>H-3515</v>
          </cell>
          <cell r="Y51">
            <v>22426.075438519358</v>
          </cell>
        </row>
        <row r="52">
          <cell r="C52" t="str">
            <v>E</v>
          </cell>
          <cell r="D52" t="str">
            <v>POLVORIN</v>
          </cell>
          <cell r="Y52">
            <v>8215.4929824278843</v>
          </cell>
        </row>
        <row r="53">
          <cell r="C53" t="str">
            <v>E</v>
          </cell>
          <cell r="D53" t="str">
            <v>POLVORIN</v>
          </cell>
          <cell r="Y53">
            <v>1776.3228070114344</v>
          </cell>
        </row>
        <row r="54">
          <cell r="C54" t="str">
            <v>E</v>
          </cell>
          <cell r="D54" t="str">
            <v>H-3470</v>
          </cell>
          <cell r="Y54">
            <v>18558.709800772438</v>
          </cell>
        </row>
        <row r="55">
          <cell r="C55" t="str">
            <v>E</v>
          </cell>
          <cell r="D55" t="str">
            <v>H-3470</v>
          </cell>
          <cell r="Y55">
            <v>3314.0553215665063</v>
          </cell>
        </row>
        <row r="56">
          <cell r="C56" t="str">
            <v>E</v>
          </cell>
          <cell r="D56" t="str">
            <v>H-3515</v>
          </cell>
          <cell r="Y56">
            <v>22535.576186652244</v>
          </cell>
        </row>
        <row r="57">
          <cell r="C57" t="str">
            <v>E</v>
          </cell>
          <cell r="D57" t="str">
            <v>H-3470</v>
          </cell>
          <cell r="Y57">
            <v>18736.419073270619</v>
          </cell>
        </row>
        <row r="58">
          <cell r="C58" t="str">
            <v>E</v>
          </cell>
          <cell r="D58" t="str">
            <v>H-3470</v>
          </cell>
          <cell r="Y58">
            <v>685.47874658307148</v>
          </cell>
        </row>
        <row r="59">
          <cell r="C59" t="str">
            <v>E</v>
          </cell>
          <cell r="D59" t="str">
            <v>N-3455</v>
          </cell>
          <cell r="Y59">
            <v>685.47874658307148</v>
          </cell>
        </row>
        <row r="60">
          <cell r="C60" t="str">
            <v>E</v>
          </cell>
          <cell r="D60" t="str">
            <v>H-3470</v>
          </cell>
          <cell r="Y60">
            <v>6854.7874658307146</v>
          </cell>
        </row>
        <row r="61">
          <cell r="C61" t="str">
            <v>E</v>
          </cell>
          <cell r="D61" t="str">
            <v>POLVORIN</v>
          </cell>
          <cell r="Y61">
            <v>8911.2237055799287</v>
          </cell>
        </row>
        <row r="62">
          <cell r="C62" t="str">
            <v>E</v>
          </cell>
          <cell r="D62" t="str">
            <v>H-3515</v>
          </cell>
          <cell r="Y62">
            <v>23534.77029935212</v>
          </cell>
        </row>
        <row r="63">
          <cell r="C63" t="str">
            <v>E</v>
          </cell>
          <cell r="D63" t="str">
            <v>H-3470</v>
          </cell>
          <cell r="Y63">
            <v>18668.412058253882</v>
          </cell>
        </row>
        <row r="64">
          <cell r="C64" t="str">
            <v>E</v>
          </cell>
          <cell r="D64" t="str">
            <v>H-3470</v>
          </cell>
          <cell r="Y64">
            <v>19141.03008504512</v>
          </cell>
        </row>
        <row r="65">
          <cell r="C65" t="str">
            <v>E</v>
          </cell>
          <cell r="D65" t="str">
            <v>H-3515</v>
          </cell>
          <cell r="Y65">
            <v>13469.613763550269</v>
          </cell>
        </row>
        <row r="66">
          <cell r="C66" t="str">
            <v>E</v>
          </cell>
          <cell r="D66" t="str">
            <v>H-3470</v>
          </cell>
          <cell r="Y66">
            <v>19418.41424645302</v>
          </cell>
        </row>
        <row r="67">
          <cell r="C67" t="str">
            <v>E</v>
          </cell>
          <cell r="D67" t="str">
            <v>H-3470</v>
          </cell>
          <cell r="Y67">
            <v>11879.500480183024</v>
          </cell>
        </row>
        <row r="68">
          <cell r="C68" t="str">
            <v>E</v>
          </cell>
          <cell r="D68" t="str">
            <v>H-3515</v>
          </cell>
          <cell r="Y68">
            <v>27414.231877345439</v>
          </cell>
        </row>
        <row r="69">
          <cell r="C69" t="str">
            <v>E</v>
          </cell>
          <cell r="D69" t="str">
            <v>H-3470</v>
          </cell>
          <cell r="Y69">
            <v>16162.541535739347</v>
          </cell>
        </row>
        <row r="70">
          <cell r="C70" t="str">
            <v>E</v>
          </cell>
          <cell r="D70" t="str">
            <v>H-3470</v>
          </cell>
          <cell r="Y70">
            <v>22487.014310593873</v>
          </cell>
        </row>
        <row r="71">
          <cell r="C71" t="str">
            <v>E</v>
          </cell>
          <cell r="D71" t="str">
            <v>H-3515</v>
          </cell>
          <cell r="Y71">
            <v>16631.021000543384</v>
          </cell>
        </row>
        <row r="72">
          <cell r="C72" t="str">
            <v>E</v>
          </cell>
          <cell r="D72" t="str">
            <v>H-3470</v>
          </cell>
          <cell r="Y72">
            <v>14997.17483785761</v>
          </cell>
        </row>
        <row r="73">
          <cell r="C73" t="str">
            <v>E</v>
          </cell>
          <cell r="D73" t="str">
            <v>H-3470</v>
          </cell>
          <cell r="Y73">
            <v>4090.1385921429846</v>
          </cell>
        </row>
        <row r="74">
          <cell r="C74" t="str">
            <v>E</v>
          </cell>
          <cell r="D74" t="str">
            <v>H-3470(P)</v>
          </cell>
          <cell r="Y74">
            <v>10679.806323928904</v>
          </cell>
        </row>
        <row r="75">
          <cell r="C75" t="str">
            <v>E</v>
          </cell>
          <cell r="D75" t="str">
            <v>H-3515</v>
          </cell>
          <cell r="Y75">
            <v>29085.429988572334</v>
          </cell>
        </row>
        <row r="76">
          <cell r="C76" t="str">
            <v>E</v>
          </cell>
          <cell r="D76" t="str">
            <v>H-3470</v>
          </cell>
          <cell r="Y76">
            <v>14875.510105806825</v>
          </cell>
        </row>
        <row r="77">
          <cell r="C77" t="str">
            <v>E</v>
          </cell>
          <cell r="D77" t="str">
            <v>H-3515</v>
          </cell>
          <cell r="Y77">
            <v>26209.232091183454</v>
          </cell>
        </row>
        <row r="78">
          <cell r="C78" t="str">
            <v>E</v>
          </cell>
          <cell r="D78" t="str">
            <v>H-3470</v>
          </cell>
          <cell r="Y78">
            <v>3777.9073284588762</v>
          </cell>
        </row>
        <row r="79">
          <cell r="C79" t="str">
            <v>E</v>
          </cell>
          <cell r="D79" t="str">
            <v>H-3515</v>
          </cell>
          <cell r="Y79">
            <v>35944.184548947254</v>
          </cell>
        </row>
        <row r="80">
          <cell r="C80" t="str">
            <v>E</v>
          </cell>
          <cell r="D80" t="str">
            <v>H-3470</v>
          </cell>
          <cell r="Y80">
            <v>5751.0695278315598</v>
          </cell>
        </row>
        <row r="81">
          <cell r="C81" t="str">
            <v>E</v>
          </cell>
          <cell r="D81" t="str">
            <v>H-3470</v>
          </cell>
          <cell r="Y81">
            <v>19649.487553424497</v>
          </cell>
        </row>
        <row r="82">
          <cell r="C82" t="str">
            <v>E</v>
          </cell>
          <cell r="D82" t="str">
            <v>H-3470</v>
          </cell>
          <cell r="Y82">
            <v>958.5115879719267</v>
          </cell>
        </row>
        <row r="83">
          <cell r="C83" t="str">
            <v>E</v>
          </cell>
          <cell r="D83" t="str">
            <v>H-3470</v>
          </cell>
          <cell r="Y83">
            <v>17701.075873760656</v>
          </cell>
        </row>
        <row r="84">
          <cell r="C84" t="str">
            <v>E</v>
          </cell>
          <cell r="D84" t="str">
            <v>H-3470</v>
          </cell>
          <cell r="Y84">
            <v>6055.63121997075</v>
          </cell>
        </row>
        <row r="85">
          <cell r="C85" t="str">
            <v>E</v>
          </cell>
          <cell r="D85" t="str">
            <v>H-3470</v>
          </cell>
          <cell r="Y85">
            <v>8384.7201507287318</v>
          </cell>
        </row>
        <row r="86">
          <cell r="C86" t="str">
            <v>E</v>
          </cell>
          <cell r="D86" t="str">
            <v>H-3470</v>
          </cell>
          <cell r="Y86">
            <v>6987.2667922739429</v>
          </cell>
        </row>
        <row r="87">
          <cell r="C87" t="str">
            <v>E</v>
          </cell>
          <cell r="D87" t="str">
            <v>H-3470</v>
          </cell>
          <cell r="Y87">
            <v>2561.997823833779</v>
          </cell>
        </row>
        <row r="88">
          <cell r="C88" t="str">
            <v>E</v>
          </cell>
          <cell r="D88" t="str">
            <v>N-3455</v>
          </cell>
          <cell r="Y88">
            <v>4192.3600753643659</v>
          </cell>
        </row>
        <row r="89">
          <cell r="C89" t="str">
            <v>E</v>
          </cell>
          <cell r="D89" t="str">
            <v>N-3455</v>
          </cell>
          <cell r="Y89">
            <v>2329.088930757981</v>
          </cell>
        </row>
        <row r="90">
          <cell r="C90" t="str">
            <v>E</v>
          </cell>
          <cell r="D90" t="str">
            <v>H-3470</v>
          </cell>
          <cell r="Y90">
            <v>2096.180037682183</v>
          </cell>
        </row>
        <row r="91">
          <cell r="C91" t="str">
            <v>E</v>
          </cell>
          <cell r="D91" t="str">
            <v>H-3470</v>
          </cell>
          <cell r="Y91">
            <v>4425.2689684401639</v>
          </cell>
        </row>
        <row r="92">
          <cell r="C92" t="str">
            <v>E</v>
          </cell>
          <cell r="D92" t="str">
            <v>H-3470</v>
          </cell>
          <cell r="Y92">
            <v>31922.624022257751</v>
          </cell>
        </row>
        <row r="93">
          <cell r="C93" t="str">
            <v>E</v>
          </cell>
          <cell r="D93" t="str">
            <v>H-3470</v>
          </cell>
          <cell r="Y93">
            <v>20186.365190545341</v>
          </cell>
        </row>
        <row r="94">
          <cell r="C94" t="str">
            <v>E</v>
          </cell>
          <cell r="D94" t="str">
            <v>H-3470</v>
          </cell>
          <cell r="Y94">
            <v>20890.540720448087</v>
          </cell>
        </row>
        <row r="95">
          <cell r="C95" t="str">
            <v>E</v>
          </cell>
          <cell r="D95" t="str">
            <v>H-3470</v>
          </cell>
          <cell r="Y95">
            <v>30290.860184553196</v>
          </cell>
        </row>
        <row r="96">
          <cell r="C96" t="str">
            <v>E</v>
          </cell>
          <cell r="D96" t="str">
            <v>H-3470</v>
          </cell>
          <cell r="Y96">
            <v>16934.260418136037</v>
          </cell>
        </row>
        <row r="97">
          <cell r="C97" t="str">
            <v>E</v>
          </cell>
          <cell r="D97" t="str">
            <v>H-3470</v>
          </cell>
          <cell r="Y97">
            <v>12164.046215844197</v>
          </cell>
        </row>
        <row r="98">
          <cell r="C98" t="str">
            <v>E</v>
          </cell>
          <cell r="D98" t="str">
            <v>H-3470</v>
          </cell>
          <cell r="Y98">
            <v>2623.617811260513</v>
          </cell>
        </row>
        <row r="99">
          <cell r="C99" t="str">
            <v>E</v>
          </cell>
          <cell r="D99" t="str">
            <v>H-3470</v>
          </cell>
          <cell r="Y99">
            <v>34959.686840471753</v>
          </cell>
        </row>
        <row r="100">
          <cell r="C100" t="str">
            <v>E</v>
          </cell>
          <cell r="D100" t="str">
            <v>H-3470</v>
          </cell>
          <cell r="Y100">
            <v>14817.350713842332</v>
          </cell>
        </row>
        <row r="101">
          <cell r="C101" t="str">
            <v>E</v>
          </cell>
          <cell r="D101" t="str">
            <v>H-3470</v>
          </cell>
          <cell r="Y101">
            <v>10186.928615766603</v>
          </cell>
        </row>
        <row r="102">
          <cell r="C102" t="str">
            <v>E</v>
          </cell>
          <cell r="D102" t="str">
            <v>H-3470</v>
          </cell>
          <cell r="Y102">
            <v>231.52110490378644</v>
          </cell>
        </row>
        <row r="103">
          <cell r="C103" t="str">
            <v>E</v>
          </cell>
          <cell r="D103" t="str">
            <v>H-3470</v>
          </cell>
          <cell r="Y103">
            <v>33751.82925234134</v>
          </cell>
        </row>
        <row r="104">
          <cell r="C104" t="str">
            <v>E</v>
          </cell>
          <cell r="D104" t="str">
            <v>H-3470</v>
          </cell>
          <cell r="Y104">
            <v>22658.570686886495</v>
          </cell>
        </row>
        <row r="105">
          <cell r="C105" t="str">
            <v>E</v>
          </cell>
          <cell r="D105" t="str">
            <v>H-3470</v>
          </cell>
          <cell r="Y105">
            <v>1416.1606679304059</v>
          </cell>
        </row>
        <row r="106">
          <cell r="C106" t="str">
            <v>E</v>
          </cell>
          <cell r="D106" t="str">
            <v>H-3470</v>
          </cell>
          <cell r="Y106">
            <v>236.02677798840097</v>
          </cell>
        </row>
        <row r="107">
          <cell r="C107" t="str">
            <v>E</v>
          </cell>
          <cell r="D107" t="str">
            <v>H-3470</v>
          </cell>
          <cell r="Y107">
            <v>26501.966292673082</v>
          </cell>
        </row>
        <row r="108">
          <cell r="C108" t="str">
            <v>E</v>
          </cell>
          <cell r="D108" t="str">
            <v>R-3455 - N</v>
          </cell>
          <cell r="Y108">
            <v>8154.4511669763324</v>
          </cell>
        </row>
        <row r="109">
          <cell r="C109" t="str">
            <v>E</v>
          </cell>
          <cell r="D109" t="str">
            <v>H-3470</v>
          </cell>
          <cell r="Y109">
            <v>8833.9887642243593</v>
          </cell>
        </row>
        <row r="110">
          <cell r="C110" t="str">
            <v>M</v>
          </cell>
          <cell r="D110" t="str">
            <v>STSA-1</v>
          </cell>
          <cell r="Y110">
            <v>4530.2506483201851</v>
          </cell>
        </row>
        <row r="111">
          <cell r="C111" t="str">
            <v>E</v>
          </cell>
          <cell r="D111" t="str">
            <v>H-3470</v>
          </cell>
          <cell r="Y111">
            <v>12911.214347712526</v>
          </cell>
        </row>
        <row r="112">
          <cell r="C112" t="str">
            <v>E</v>
          </cell>
          <cell r="D112" t="str">
            <v>N-3455</v>
          </cell>
          <cell r="Y112">
            <v>9838.2248447757938</v>
          </cell>
        </row>
        <row r="113">
          <cell r="C113" t="str">
            <v>E</v>
          </cell>
          <cell r="D113" t="str">
            <v>N-3410</v>
          </cell>
          <cell r="Y113">
            <v>6863.8777986807863</v>
          </cell>
        </row>
        <row r="114">
          <cell r="C114" t="str">
            <v>E</v>
          </cell>
          <cell r="D114" t="str">
            <v>H-3470</v>
          </cell>
          <cell r="Y114">
            <v>18074.878203192737</v>
          </cell>
        </row>
        <row r="115">
          <cell r="C115" t="str">
            <v>M</v>
          </cell>
          <cell r="D115" t="str">
            <v>STSA-1</v>
          </cell>
          <cell r="Y115">
            <v>9609.4289181531021</v>
          </cell>
        </row>
        <row r="116">
          <cell r="C116" t="str">
            <v>M</v>
          </cell>
          <cell r="D116" t="str">
            <v>STSB-1</v>
          </cell>
          <cell r="Y116">
            <v>4575.9185324538576</v>
          </cell>
        </row>
        <row r="117">
          <cell r="C117" t="str">
            <v>E</v>
          </cell>
          <cell r="D117" t="str">
            <v>H-3470</v>
          </cell>
          <cell r="Y117">
            <v>1830.3674129815431</v>
          </cell>
        </row>
        <row r="118">
          <cell r="C118" t="str">
            <v>E</v>
          </cell>
          <cell r="D118" t="str">
            <v>H-3470</v>
          </cell>
          <cell r="Y118">
            <v>5948.694092190015</v>
          </cell>
        </row>
        <row r="119">
          <cell r="C119" t="str">
            <v>E</v>
          </cell>
          <cell r="D119" t="str">
            <v>H-3470</v>
          </cell>
          <cell r="Y119">
            <v>4118.3266792084723</v>
          </cell>
        </row>
        <row r="120">
          <cell r="C120" t="str">
            <v>E</v>
          </cell>
          <cell r="D120" t="str">
            <v>H-3470</v>
          </cell>
          <cell r="Y120">
            <v>36991.217270964182</v>
          </cell>
        </row>
        <row r="121">
          <cell r="C121" t="str">
            <v>M</v>
          </cell>
          <cell r="D121" t="str">
            <v>STSA-1</v>
          </cell>
          <cell r="Y121">
            <v>10172.58474951515</v>
          </cell>
        </row>
        <row r="122">
          <cell r="C122" t="str">
            <v>M</v>
          </cell>
          <cell r="D122" t="str">
            <v>STSB-1</v>
          </cell>
          <cell r="Y122">
            <v>5317.4874827011017</v>
          </cell>
        </row>
        <row r="123">
          <cell r="C123" t="str">
            <v>E</v>
          </cell>
          <cell r="D123" t="str">
            <v>H-3470</v>
          </cell>
          <cell r="Y123">
            <v>14102.901584555095</v>
          </cell>
        </row>
        <row r="124">
          <cell r="C124" t="str">
            <v>E</v>
          </cell>
          <cell r="D124" t="str">
            <v>H-3470</v>
          </cell>
          <cell r="Y124">
            <v>26997.919341477762</v>
          </cell>
        </row>
        <row r="125">
          <cell r="C125" t="str">
            <v>M</v>
          </cell>
          <cell r="D125" t="str">
            <v>STSA-1</v>
          </cell>
          <cell r="Y125">
            <v>11211.000404511951</v>
          </cell>
        </row>
        <row r="126">
          <cell r="C126" t="str">
            <v>M</v>
          </cell>
          <cell r="D126" t="str">
            <v>STSB-1</v>
          </cell>
          <cell r="Y126">
            <v>8694.2452116623299</v>
          </cell>
        </row>
        <row r="127">
          <cell r="C127" t="str">
            <v>E</v>
          </cell>
          <cell r="D127" t="str">
            <v>H-3470</v>
          </cell>
          <cell r="Y127">
            <v>18303.67412981543</v>
          </cell>
        </row>
        <row r="128">
          <cell r="C128" t="str">
            <v>E</v>
          </cell>
          <cell r="D128" t="str">
            <v>H-3470</v>
          </cell>
          <cell r="Y128">
            <v>41522.42698775811</v>
          </cell>
        </row>
        <row r="129">
          <cell r="C129" t="str">
            <v>M</v>
          </cell>
          <cell r="D129" t="str">
            <v>STSB-1</v>
          </cell>
          <cell r="Y129">
            <v>6423.3588710344047</v>
          </cell>
        </row>
        <row r="130">
          <cell r="C130" t="str">
            <v>E</v>
          </cell>
          <cell r="D130" t="str">
            <v>H-3470</v>
          </cell>
          <cell r="Y130">
            <v>3670.490783448231</v>
          </cell>
        </row>
        <row r="131">
          <cell r="C131" t="str">
            <v>E</v>
          </cell>
          <cell r="D131" t="str">
            <v>H-3470</v>
          </cell>
          <cell r="Y131">
            <v>12158.500720172266</v>
          </cell>
        </row>
        <row r="132">
          <cell r="C132" t="str">
            <v>E</v>
          </cell>
          <cell r="D132" t="str">
            <v>H-3470</v>
          </cell>
          <cell r="Y132">
            <v>4588.1134793102883</v>
          </cell>
        </row>
        <row r="133">
          <cell r="C133" t="str">
            <v>E</v>
          </cell>
          <cell r="D133" t="str">
            <v>H-3470</v>
          </cell>
          <cell r="Y133">
            <v>34698.567983143876</v>
          </cell>
        </row>
        <row r="134">
          <cell r="C134" t="str">
            <v>E</v>
          </cell>
          <cell r="D134" t="str">
            <v>H-3470</v>
          </cell>
          <cell r="Y134">
            <v>14535.886587533245</v>
          </cell>
        </row>
        <row r="135">
          <cell r="C135" t="str">
            <v>E</v>
          </cell>
          <cell r="D135" t="str">
            <v>H-3470</v>
          </cell>
          <cell r="Y135">
            <v>3047.8471877085835</v>
          </cell>
        </row>
        <row r="136">
          <cell r="C136" t="str">
            <v>E</v>
          </cell>
          <cell r="D136" t="str">
            <v>H-3470</v>
          </cell>
          <cell r="Y136">
            <v>16411.484856892374</v>
          </cell>
        </row>
        <row r="137">
          <cell r="C137" t="str">
            <v>E</v>
          </cell>
          <cell r="D137" t="str">
            <v>H-3470</v>
          </cell>
          <cell r="Y137">
            <v>30627.612668899219</v>
          </cell>
        </row>
        <row r="138">
          <cell r="C138" t="str">
            <v>E</v>
          </cell>
          <cell r="D138" t="str">
            <v>H-3470</v>
          </cell>
          <cell r="Y138">
            <v>12342.470777019087</v>
          </cell>
        </row>
        <row r="139">
          <cell r="C139" t="str">
            <v>E</v>
          </cell>
          <cell r="D139" t="str">
            <v>H-3470</v>
          </cell>
          <cell r="Y139">
            <v>4114.156925673029</v>
          </cell>
        </row>
        <row r="140">
          <cell r="C140" t="str">
            <v>E</v>
          </cell>
          <cell r="D140" t="str">
            <v>H-3470</v>
          </cell>
          <cell r="Y140">
            <v>0</v>
          </cell>
        </row>
        <row r="141">
          <cell r="C141" t="str">
            <v>E</v>
          </cell>
          <cell r="D141" t="str">
            <v>H-3470</v>
          </cell>
          <cell r="Y141">
            <v>18285.141891880128</v>
          </cell>
        </row>
        <row r="142">
          <cell r="C142" t="str">
            <v>E</v>
          </cell>
          <cell r="D142" t="str">
            <v>H-3470</v>
          </cell>
          <cell r="Y142">
            <v>28945.263749830094</v>
          </cell>
        </row>
        <row r="143">
          <cell r="C143" t="str">
            <v>E</v>
          </cell>
          <cell r="D143" t="str">
            <v>H-3470</v>
          </cell>
          <cell r="Y143">
            <v>19526.56681536157</v>
          </cell>
        </row>
        <row r="144">
          <cell r="C144" t="str">
            <v>E</v>
          </cell>
          <cell r="D144" t="str">
            <v>H-3470</v>
          </cell>
          <cell r="Y144">
            <v>19538.578122223298</v>
          </cell>
        </row>
        <row r="145">
          <cell r="C145" t="str">
            <v>E</v>
          </cell>
          <cell r="D145" t="str">
            <v>H-3470</v>
          </cell>
          <cell r="Y145">
            <v>15011.346606098388</v>
          </cell>
        </row>
        <row r="146">
          <cell r="C146" t="str">
            <v>E</v>
          </cell>
          <cell r="D146" t="str">
            <v>H-3470</v>
          </cell>
          <cell r="Y146">
            <v>6909.9849456643378</v>
          </cell>
        </row>
        <row r="147">
          <cell r="C147" t="str">
            <v>E</v>
          </cell>
          <cell r="D147" t="str">
            <v>H-3470</v>
          </cell>
          <cell r="Y147">
            <v>5480.3328879406818</v>
          </cell>
        </row>
        <row r="148">
          <cell r="C148" t="str">
            <v>E</v>
          </cell>
          <cell r="D148" t="str">
            <v>H-3470</v>
          </cell>
          <cell r="Y148">
            <v>4288.9561731709682</v>
          </cell>
        </row>
        <row r="149">
          <cell r="C149" t="str">
            <v>E</v>
          </cell>
          <cell r="D149" t="str">
            <v>H-3470</v>
          </cell>
          <cell r="Y149">
            <v>39029.383061595705</v>
          </cell>
        </row>
        <row r="150">
          <cell r="C150" t="str">
            <v>E</v>
          </cell>
          <cell r="D150" t="str">
            <v>H-3470</v>
          </cell>
          <cell r="Y150">
            <v>19172.328521485608</v>
          </cell>
        </row>
        <row r="151">
          <cell r="C151" t="str">
            <v>E</v>
          </cell>
          <cell r="D151" t="str">
            <v>H-3470</v>
          </cell>
          <cell r="Y151">
            <v>39454.623074593881</v>
          </cell>
        </row>
        <row r="152">
          <cell r="C152" t="str">
            <v>E</v>
          </cell>
          <cell r="D152" t="str">
            <v>H-3470</v>
          </cell>
          <cell r="Y152">
            <v>20915.703798579889</v>
          </cell>
        </row>
        <row r="153">
          <cell r="C153" t="str">
            <v>E</v>
          </cell>
          <cell r="D153" t="str">
            <v>H-3470</v>
          </cell>
          <cell r="Y153">
            <v>7368.0320199542793</v>
          </cell>
        </row>
        <row r="154">
          <cell r="C154" t="str">
            <v>E</v>
          </cell>
          <cell r="D154" t="str">
            <v>H-3470</v>
          </cell>
          <cell r="Y154">
            <v>26809.732272868292</v>
          </cell>
        </row>
        <row r="155">
          <cell r="C155" t="str">
            <v>E</v>
          </cell>
          <cell r="D155" t="str">
            <v>H-3470</v>
          </cell>
          <cell r="Y155">
            <v>18027.2337696873</v>
          </cell>
        </row>
        <row r="156">
          <cell r="C156" t="str">
            <v>E</v>
          </cell>
          <cell r="D156" t="str">
            <v>H-3470</v>
          </cell>
          <cell r="Y156">
            <v>17333.878624699326</v>
          </cell>
        </row>
        <row r="157">
          <cell r="C157" t="str">
            <v>E</v>
          </cell>
          <cell r="D157" t="str">
            <v>H-3470</v>
          </cell>
          <cell r="Y157">
            <v>30463.177418405448</v>
          </cell>
        </row>
        <row r="158">
          <cell r="C158" t="str">
            <v>E</v>
          </cell>
          <cell r="D158" t="str">
            <v>H-3470</v>
          </cell>
          <cell r="Y158">
            <v>18801.492312922113</v>
          </cell>
        </row>
        <row r="159">
          <cell r="C159" t="str">
            <v>E</v>
          </cell>
          <cell r="D159" t="str">
            <v>H-3470</v>
          </cell>
          <cell r="Y159">
            <v>10233.723663995581</v>
          </cell>
        </row>
        <row r="160">
          <cell r="C160" t="str">
            <v>E</v>
          </cell>
          <cell r="D160" t="str">
            <v>H-3470</v>
          </cell>
          <cell r="Y160">
            <v>9043.7557960891172</v>
          </cell>
        </row>
        <row r="161">
          <cell r="C161" t="str">
            <v>E</v>
          </cell>
          <cell r="D161" t="str">
            <v>H-3470</v>
          </cell>
          <cell r="Y161">
            <v>37687.261038046199</v>
          </cell>
        </row>
        <row r="162">
          <cell r="C162" t="str">
            <v>E</v>
          </cell>
          <cell r="D162" t="str">
            <v>H-3470</v>
          </cell>
          <cell r="Y162">
            <v>18384.029774656683</v>
          </cell>
        </row>
        <row r="163">
          <cell r="C163" t="str">
            <v>E</v>
          </cell>
          <cell r="D163" t="str">
            <v>H-3470</v>
          </cell>
          <cell r="Y163">
            <v>17235.02791374064</v>
          </cell>
        </row>
        <row r="164">
          <cell r="C164" t="str">
            <v>E</v>
          </cell>
          <cell r="D164" t="str">
            <v>H-3470</v>
          </cell>
          <cell r="Y164">
            <v>17346.665763570996</v>
          </cell>
        </row>
        <row r="165">
          <cell r="C165" t="str">
            <v>E</v>
          </cell>
          <cell r="D165" t="str">
            <v>H-3470</v>
          </cell>
          <cell r="Y165">
            <v>16643.422556939739</v>
          </cell>
        </row>
        <row r="166">
          <cell r="C166" t="str">
            <v>E</v>
          </cell>
          <cell r="D166" t="str">
            <v>H-3470</v>
          </cell>
          <cell r="Y166">
            <v>26254.413047566915</v>
          </cell>
        </row>
        <row r="167">
          <cell r="C167" t="str">
            <v>E</v>
          </cell>
          <cell r="D167" t="str">
            <v>C-E2</v>
          </cell>
          <cell r="Y167">
            <v>3281.8016309458644</v>
          </cell>
        </row>
        <row r="168">
          <cell r="C168" t="str">
            <v>E</v>
          </cell>
          <cell r="D168" t="str">
            <v>H-3470</v>
          </cell>
          <cell r="Y168">
            <v>38494.706061461897</v>
          </cell>
        </row>
        <row r="169">
          <cell r="C169" t="str">
            <v>E</v>
          </cell>
          <cell r="D169" t="str">
            <v>H-3470</v>
          </cell>
          <cell r="Y169">
            <v>21463.714894875724</v>
          </cell>
        </row>
        <row r="170">
          <cell r="C170" t="str">
            <v>E</v>
          </cell>
          <cell r="D170" t="str">
            <v>H-3470</v>
          </cell>
          <cell r="Y170">
            <v>19364.00365515962</v>
          </cell>
        </row>
        <row r="171">
          <cell r="C171" t="str">
            <v>E</v>
          </cell>
          <cell r="D171" t="str">
            <v>H-3470</v>
          </cell>
          <cell r="Y171">
            <v>8595.5476086258095</v>
          </cell>
        </row>
        <row r="172">
          <cell r="C172" t="str">
            <v>E</v>
          </cell>
          <cell r="D172" t="str">
            <v>H-3470</v>
          </cell>
          <cell r="Y172">
            <v>6685.4259178200746</v>
          </cell>
        </row>
        <row r="173">
          <cell r="C173" t="str">
            <v>E</v>
          </cell>
          <cell r="D173" t="str">
            <v>H-3470</v>
          </cell>
          <cell r="Y173">
            <v>16713.564794550188</v>
          </cell>
        </row>
        <row r="174">
          <cell r="C174" t="str">
            <v>E</v>
          </cell>
          <cell r="D174" t="str">
            <v>H-3470</v>
          </cell>
          <cell r="Y174">
            <v>34821.692610710081</v>
          </cell>
        </row>
        <row r="175">
          <cell r="C175" t="str">
            <v>E</v>
          </cell>
          <cell r="D175" t="str">
            <v>H-3470</v>
          </cell>
          <cell r="Y175">
            <v>13265.406708841936</v>
          </cell>
        </row>
        <row r="176">
          <cell r="C176" t="str">
            <v>E</v>
          </cell>
          <cell r="D176" t="str">
            <v>H-3470</v>
          </cell>
          <cell r="Y176">
            <v>16235.519443376081</v>
          </cell>
        </row>
        <row r="177">
          <cell r="C177" t="str">
            <v>E</v>
          </cell>
          <cell r="D177" t="str">
            <v>H-3470</v>
          </cell>
          <cell r="Y177">
            <v>6300.3508287728073</v>
          </cell>
        </row>
        <row r="178">
          <cell r="C178" t="str">
            <v>E</v>
          </cell>
          <cell r="D178" t="str">
            <v>H-3470</v>
          </cell>
          <cell r="Y178">
            <v>11389.095728935459</v>
          </cell>
        </row>
        <row r="179">
          <cell r="C179" t="str">
            <v>E</v>
          </cell>
          <cell r="D179" t="str">
            <v>H-3470</v>
          </cell>
          <cell r="Y179">
            <v>13086.736796700034</v>
          </cell>
        </row>
        <row r="180">
          <cell r="C180" t="str">
            <v>E</v>
          </cell>
          <cell r="D180" t="str">
            <v>H-3470</v>
          </cell>
          <cell r="Y180">
            <v>17760.571366950047</v>
          </cell>
        </row>
        <row r="181">
          <cell r="C181" t="str">
            <v>E</v>
          </cell>
          <cell r="D181" t="str">
            <v>H-3470</v>
          </cell>
          <cell r="Y181">
            <v>16202.626510200042</v>
          </cell>
        </row>
        <row r="182">
          <cell r="C182" t="str">
            <v>E</v>
          </cell>
          <cell r="D182" t="str">
            <v>H-3470</v>
          </cell>
          <cell r="Y182">
            <v>6854.9573697000178</v>
          </cell>
        </row>
        <row r="183">
          <cell r="C183" t="str">
            <v>E</v>
          </cell>
          <cell r="D183" t="str">
            <v>H-3470</v>
          </cell>
          <cell r="Y183">
            <v>11432.888489898103</v>
          </cell>
        </row>
        <row r="184">
          <cell r="C184" t="str">
            <v>E</v>
          </cell>
          <cell r="D184" t="str">
            <v>H-3470</v>
          </cell>
          <cell r="Y184">
            <v>12132.861254585741</v>
          </cell>
        </row>
        <row r="185">
          <cell r="C185" t="str">
            <v>E</v>
          </cell>
          <cell r="D185" t="str">
            <v>H-3470</v>
          </cell>
          <cell r="Y185">
            <v>4899.8093528134723</v>
          </cell>
        </row>
        <row r="186">
          <cell r="C186" t="str">
            <v>E</v>
          </cell>
          <cell r="D186" t="str">
            <v>H-3470</v>
          </cell>
          <cell r="Y186">
            <v>1166.6212744793982</v>
          </cell>
        </row>
        <row r="187">
          <cell r="C187" t="str">
            <v>E</v>
          </cell>
          <cell r="D187" t="str">
            <v>H-3470</v>
          </cell>
          <cell r="Y187">
            <v>3733.1880783340744</v>
          </cell>
        </row>
        <row r="188">
          <cell r="C188" t="str">
            <v>E</v>
          </cell>
          <cell r="D188" t="str">
            <v>H-3470</v>
          </cell>
          <cell r="Y188">
            <v>24477.489262908741</v>
          </cell>
        </row>
        <row r="189">
          <cell r="C189" t="str">
            <v>E</v>
          </cell>
          <cell r="D189" t="str">
            <v>R-CRATER</v>
          </cell>
          <cell r="Y189">
            <v>4799.5076986095573</v>
          </cell>
        </row>
        <row r="190">
          <cell r="C190" t="str">
            <v>E</v>
          </cell>
          <cell r="D190" t="str">
            <v>RELLENO</v>
          </cell>
          <cell r="Y190">
            <v>2159.7784643743007</v>
          </cell>
        </row>
        <row r="191">
          <cell r="C191" t="str">
            <v>E</v>
          </cell>
          <cell r="D191" t="str">
            <v>H-3470</v>
          </cell>
          <cell r="Y191">
            <v>4319.5569287486014</v>
          </cell>
        </row>
        <row r="192">
          <cell r="C192" t="str">
            <v>M</v>
          </cell>
          <cell r="D192" t="str">
            <v>STSA-1</v>
          </cell>
          <cell r="Y192">
            <v>13918.572325967714</v>
          </cell>
        </row>
        <row r="193">
          <cell r="C193" t="str">
            <v>E</v>
          </cell>
          <cell r="D193" t="str">
            <v>R-CRATER</v>
          </cell>
          <cell r="Y193">
            <v>719.92615479143353</v>
          </cell>
        </row>
        <row r="194">
          <cell r="C194" t="str">
            <v>E</v>
          </cell>
          <cell r="D194" t="str">
            <v>R-CRATER</v>
          </cell>
          <cell r="Y194">
            <v>28299.480566146805</v>
          </cell>
        </row>
        <row r="195">
          <cell r="C195" t="str">
            <v>E</v>
          </cell>
          <cell r="D195" t="str">
            <v>H-3470</v>
          </cell>
          <cell r="Y195">
            <v>4911.4800982568831</v>
          </cell>
        </row>
        <row r="196">
          <cell r="C196" t="str">
            <v>M</v>
          </cell>
          <cell r="D196" t="str">
            <v>STSA-1</v>
          </cell>
          <cell r="Y196">
            <v>18008.760360275239</v>
          </cell>
        </row>
        <row r="197">
          <cell r="C197" t="str">
            <v>E</v>
          </cell>
          <cell r="D197" t="str">
            <v>R-CRATER</v>
          </cell>
          <cell r="Y197">
            <v>5509.9028595717955</v>
          </cell>
        </row>
        <row r="198">
          <cell r="C198" t="str">
            <v>E</v>
          </cell>
          <cell r="D198" t="str">
            <v>R-CRATER</v>
          </cell>
          <cell r="Y198">
            <v>32600.258585799791</v>
          </cell>
        </row>
        <row r="199">
          <cell r="C199" t="str">
            <v>E</v>
          </cell>
          <cell r="D199" t="str">
            <v>R-CRATER</v>
          </cell>
          <cell r="Y199">
            <v>2525.3721439704063</v>
          </cell>
        </row>
        <row r="200">
          <cell r="C200" t="str">
            <v>M</v>
          </cell>
          <cell r="D200" t="str">
            <v>STSA-1</v>
          </cell>
          <cell r="Y200">
            <v>15840.970721268912</v>
          </cell>
        </row>
        <row r="201">
          <cell r="C201" t="str">
            <v>E</v>
          </cell>
          <cell r="D201" t="str">
            <v>R-CRATER</v>
          </cell>
          <cell r="Y201">
            <v>41306.530627482345</v>
          </cell>
        </row>
        <row r="202">
          <cell r="C202" t="str">
            <v>M</v>
          </cell>
          <cell r="D202" t="str">
            <v>STSA-1</v>
          </cell>
          <cell r="Y202">
            <v>12067.07636308473</v>
          </cell>
        </row>
        <row r="203">
          <cell r="C203" t="str">
            <v>E</v>
          </cell>
          <cell r="D203" t="str">
            <v>H-3470</v>
          </cell>
          <cell r="Y203">
            <v>5337.3606990567077</v>
          </cell>
        </row>
        <row r="204">
          <cell r="C204" t="str">
            <v>E</v>
          </cell>
          <cell r="D204" t="str">
            <v>H-3470</v>
          </cell>
          <cell r="Y204">
            <v>22079.686569986905</v>
          </cell>
        </row>
        <row r="205">
          <cell r="C205" t="str">
            <v>E</v>
          </cell>
          <cell r="D205" t="str">
            <v>R-CRATER</v>
          </cell>
          <cell r="Y205">
            <v>37186.840538925309</v>
          </cell>
        </row>
        <row r="206">
          <cell r="C206" t="str">
            <v>E</v>
          </cell>
          <cell r="D206" t="str">
            <v>R-CRATER</v>
          </cell>
          <cell r="Y206">
            <v>232.4177533682832</v>
          </cell>
        </row>
        <row r="207">
          <cell r="C207" t="str">
            <v>E</v>
          </cell>
          <cell r="D207" t="str">
            <v>R-CRATER</v>
          </cell>
          <cell r="Y207">
            <v>34685.358579955871</v>
          </cell>
        </row>
        <row r="208">
          <cell r="C208" t="str">
            <v>M</v>
          </cell>
          <cell r="D208" t="str">
            <v>STSA-1</v>
          </cell>
          <cell r="Y208">
            <v>8786.9575069221537</v>
          </cell>
        </row>
        <row r="209">
          <cell r="C209" t="str">
            <v>E</v>
          </cell>
          <cell r="D209" t="str">
            <v>H-3470</v>
          </cell>
          <cell r="Y209">
            <v>20348.743700240779</v>
          </cell>
        </row>
        <row r="210">
          <cell r="C210" t="str">
            <v>E</v>
          </cell>
          <cell r="D210" t="str">
            <v>R-CRATER</v>
          </cell>
          <cell r="Y210">
            <v>26808.351257676557</v>
          </cell>
        </row>
        <row r="211">
          <cell r="C211" t="str">
            <v>M</v>
          </cell>
          <cell r="D211" t="str">
            <v>STSA-1</v>
          </cell>
          <cell r="Y211">
            <v>2703.3631520346107</v>
          </cell>
        </row>
        <row r="212">
          <cell r="C212" t="str">
            <v>E</v>
          </cell>
          <cell r="D212" t="str">
            <v>H-3470</v>
          </cell>
          <cell r="Y212">
            <v>20500.503902929133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Fase banco"/>
      <sheetName val="base"/>
      <sheetName val="Hoja3"/>
      <sheetName val="Parameters"/>
      <sheetName val="Interest Rates (no longer prod)"/>
      <sheetName val="Systeme"/>
      <sheetName val="Profit_Waterfalls"/>
      <sheetName val="Leyes"/>
    </sheetNames>
    <sheetDataSet>
      <sheetData sheetId="0"/>
      <sheetData sheetId="1"/>
      <sheetData sheetId="2" refreshError="1">
        <row r="2">
          <cell r="C2" t="str">
            <v>E</v>
          </cell>
          <cell r="D2" t="str">
            <v>H-3515</v>
          </cell>
          <cell r="Y2">
            <v>17546.08470568783</v>
          </cell>
        </row>
        <row r="3">
          <cell r="C3" t="str">
            <v>E</v>
          </cell>
          <cell r="D3" t="str">
            <v>H-3515</v>
          </cell>
          <cell r="Y3">
            <v>8172.1490410052911</v>
          </cell>
        </row>
        <row r="4">
          <cell r="C4" t="str">
            <v>E</v>
          </cell>
          <cell r="D4" t="str">
            <v>H-3515</v>
          </cell>
          <cell r="Y4">
            <v>1682.5012731481481</v>
          </cell>
        </row>
        <row r="5">
          <cell r="C5" t="str">
            <v>E</v>
          </cell>
          <cell r="D5" t="str">
            <v>H-3515</v>
          </cell>
          <cell r="Y5">
            <v>10816.079613095239</v>
          </cell>
        </row>
        <row r="6">
          <cell r="C6" t="str">
            <v>E</v>
          </cell>
          <cell r="D6" t="str">
            <v>H-3515</v>
          </cell>
          <cell r="Y6">
            <v>961.42929894179895</v>
          </cell>
        </row>
        <row r="7">
          <cell r="C7" t="str">
            <v>E</v>
          </cell>
          <cell r="D7" t="str">
            <v>H-3485</v>
          </cell>
          <cell r="Y7">
            <v>9133.5783399470893</v>
          </cell>
        </row>
        <row r="8">
          <cell r="C8" t="str">
            <v>E</v>
          </cell>
          <cell r="D8" t="str">
            <v>H-3485</v>
          </cell>
          <cell r="Y8">
            <v>1442.1439484126984</v>
          </cell>
        </row>
        <row r="9">
          <cell r="C9" t="str">
            <v>E</v>
          </cell>
          <cell r="D9" t="str">
            <v>H-3515</v>
          </cell>
          <cell r="Y9">
            <v>15691.50219121368</v>
          </cell>
        </row>
        <row r="10">
          <cell r="C10" t="str">
            <v>E</v>
          </cell>
          <cell r="D10" t="str">
            <v>H-3515</v>
          </cell>
          <cell r="Y10">
            <v>16159.90524169767</v>
          </cell>
        </row>
        <row r="11">
          <cell r="C11" t="str">
            <v>E</v>
          </cell>
          <cell r="D11" t="str">
            <v>H-3515</v>
          </cell>
          <cell r="Y11">
            <v>4215.6274543559139</v>
          </cell>
        </row>
        <row r="12">
          <cell r="C12" t="str">
            <v>E</v>
          </cell>
          <cell r="D12" t="str">
            <v>H-3485</v>
          </cell>
          <cell r="Y12">
            <v>2342.015252419952</v>
          </cell>
        </row>
        <row r="13">
          <cell r="C13" t="str">
            <v>E</v>
          </cell>
          <cell r="D13" t="str">
            <v>H-3485</v>
          </cell>
          <cell r="Y13">
            <v>234.20152524199523</v>
          </cell>
        </row>
        <row r="14">
          <cell r="C14" t="str">
            <v>E</v>
          </cell>
          <cell r="D14" t="str">
            <v>H-3515</v>
          </cell>
          <cell r="Y14">
            <v>3380.5821164370377</v>
          </cell>
        </row>
        <row r="15">
          <cell r="C15" t="str">
            <v>E</v>
          </cell>
          <cell r="D15" t="str">
            <v>H-3515</v>
          </cell>
          <cell r="Y15">
            <v>16677.538441089386</v>
          </cell>
        </row>
        <row r="16">
          <cell r="C16" t="str">
            <v>E</v>
          </cell>
          <cell r="D16" t="str">
            <v>H-3485</v>
          </cell>
          <cell r="Y16">
            <v>6761.1642328740754</v>
          </cell>
        </row>
        <row r="17">
          <cell r="C17" t="str">
            <v>E</v>
          </cell>
          <cell r="D17" t="str">
            <v>CAM.NORTE</v>
          </cell>
          <cell r="Y17">
            <v>4282.0706808202476</v>
          </cell>
        </row>
        <row r="18">
          <cell r="C18" t="str">
            <v>E</v>
          </cell>
          <cell r="D18" t="str">
            <v>H-3515</v>
          </cell>
          <cell r="Y18">
            <v>8358.3904988994873</v>
          </cell>
        </row>
        <row r="19">
          <cell r="C19" t="str">
            <v>E</v>
          </cell>
          <cell r="D19" t="str">
            <v>H-3515</v>
          </cell>
          <cell r="Y19">
            <v>6925.5235562310036</v>
          </cell>
        </row>
        <row r="20">
          <cell r="C20" t="str">
            <v>E</v>
          </cell>
          <cell r="D20" t="str">
            <v>H-3515</v>
          </cell>
          <cell r="Y20">
            <v>12656.991326904938</v>
          </cell>
        </row>
        <row r="21">
          <cell r="C21" t="str">
            <v>E</v>
          </cell>
          <cell r="D21" t="str">
            <v>H-3515</v>
          </cell>
          <cell r="Y21">
            <v>3582.1673566712084</v>
          </cell>
        </row>
        <row r="22">
          <cell r="C22" t="str">
            <v>E</v>
          </cell>
          <cell r="D22" t="str">
            <v>H-3515</v>
          </cell>
          <cell r="Y22">
            <v>12895.802484016351</v>
          </cell>
        </row>
        <row r="23">
          <cell r="C23" t="str">
            <v>E</v>
          </cell>
          <cell r="D23" t="str">
            <v>CAM.NORTE</v>
          </cell>
          <cell r="Y23">
            <v>2865.733885336967</v>
          </cell>
        </row>
        <row r="24">
          <cell r="C24" t="str">
            <v>E</v>
          </cell>
          <cell r="D24" t="str">
            <v>H-3515</v>
          </cell>
          <cell r="Y24">
            <v>25633.54258035704</v>
          </cell>
        </row>
        <row r="25">
          <cell r="C25" t="str">
            <v>E</v>
          </cell>
          <cell r="D25" t="str">
            <v>H-3515</v>
          </cell>
          <cell r="Y25">
            <v>25396.194963872254</v>
          </cell>
        </row>
        <row r="26">
          <cell r="C26" t="str">
            <v>E</v>
          </cell>
          <cell r="D26" t="str">
            <v>H-3515</v>
          </cell>
          <cell r="Y26">
            <v>16376.985537450331</v>
          </cell>
        </row>
        <row r="27">
          <cell r="C27" t="str">
            <v>E</v>
          </cell>
          <cell r="D27" t="str">
            <v>H-3515</v>
          </cell>
          <cell r="Y27">
            <v>23024.426281110947</v>
          </cell>
        </row>
        <row r="28">
          <cell r="C28" t="str">
            <v>E</v>
          </cell>
          <cell r="D28" t="str">
            <v>H-3515</v>
          </cell>
          <cell r="Y28">
            <v>17781.240098283703</v>
          </cell>
        </row>
        <row r="29">
          <cell r="C29" t="str">
            <v>E</v>
          </cell>
          <cell r="D29" t="str">
            <v>H-3515</v>
          </cell>
          <cell r="Y29">
            <v>4103.363099603931</v>
          </cell>
        </row>
        <row r="30">
          <cell r="C30" t="str">
            <v>E</v>
          </cell>
          <cell r="D30" t="str">
            <v>H-3410</v>
          </cell>
          <cell r="Y30">
            <v>10486.37236565449</v>
          </cell>
        </row>
        <row r="31">
          <cell r="C31" t="str">
            <v>E</v>
          </cell>
          <cell r="D31" t="str">
            <v>H-3515</v>
          </cell>
          <cell r="Y31">
            <v>25595.242407092999</v>
          </cell>
        </row>
        <row r="32">
          <cell r="C32" t="str">
            <v>E</v>
          </cell>
          <cell r="D32" t="str">
            <v>H-3515</v>
          </cell>
          <cell r="Y32">
            <v>7445.8887002452357</v>
          </cell>
        </row>
        <row r="33">
          <cell r="C33" t="str">
            <v>E</v>
          </cell>
          <cell r="D33" t="str">
            <v>H-3485</v>
          </cell>
          <cell r="Y33">
            <v>2326.8402188266364</v>
          </cell>
        </row>
        <row r="34">
          <cell r="C34" t="str">
            <v>E</v>
          </cell>
          <cell r="D34" t="str">
            <v>H-3515</v>
          </cell>
          <cell r="Y34">
            <v>5817.1005470665905</v>
          </cell>
        </row>
        <row r="35">
          <cell r="C35" t="str">
            <v>E</v>
          </cell>
          <cell r="D35" t="str">
            <v>H-3410</v>
          </cell>
          <cell r="Y35">
            <v>6282.4685908319179</v>
          </cell>
        </row>
        <row r="36">
          <cell r="C36" t="str">
            <v>E</v>
          </cell>
          <cell r="D36" t="str">
            <v>H -3515</v>
          </cell>
          <cell r="Y36">
            <v>26939.830460335143</v>
          </cell>
        </row>
        <row r="37">
          <cell r="C37" t="str">
            <v>E</v>
          </cell>
          <cell r="D37" t="str">
            <v>H-3410</v>
          </cell>
          <cell r="Y37">
            <v>13809.492925045746</v>
          </cell>
        </row>
        <row r="38">
          <cell r="C38" t="str">
            <v>E</v>
          </cell>
          <cell r="D38" t="str">
            <v>H-3515</v>
          </cell>
          <cell r="Y38">
            <v>26386.190650058201</v>
          </cell>
        </row>
        <row r="39">
          <cell r="C39" t="str">
            <v>E</v>
          </cell>
          <cell r="D39" t="str">
            <v>H-3515</v>
          </cell>
          <cell r="Y39">
            <v>21828.575901411787</v>
          </cell>
        </row>
        <row r="40">
          <cell r="C40" t="str">
            <v>E</v>
          </cell>
          <cell r="D40" t="str">
            <v>H-3410</v>
          </cell>
          <cell r="Y40">
            <v>11034.22518093343</v>
          </cell>
        </row>
        <row r="41">
          <cell r="C41" t="str">
            <v>E</v>
          </cell>
          <cell r="D41" t="str">
            <v>H-3515</v>
          </cell>
          <cell r="Y41">
            <v>27816.591458343864</v>
          </cell>
        </row>
        <row r="42">
          <cell r="C42" t="str">
            <v>E</v>
          </cell>
          <cell r="D42" t="str">
            <v>H-3515</v>
          </cell>
          <cell r="Y42">
            <v>14603.710515630528</v>
          </cell>
        </row>
        <row r="43">
          <cell r="C43" t="str">
            <v>E</v>
          </cell>
          <cell r="D43" t="str">
            <v>H-3515</v>
          </cell>
          <cell r="Y43">
            <v>9967.611939239885</v>
          </cell>
        </row>
        <row r="44">
          <cell r="C44" t="str">
            <v>E</v>
          </cell>
          <cell r="D44" t="str">
            <v>H-3470</v>
          </cell>
          <cell r="Y44">
            <v>3708.8788611125151</v>
          </cell>
        </row>
        <row r="45">
          <cell r="C45" t="str">
            <v>E</v>
          </cell>
          <cell r="D45" t="str">
            <v>H-3470</v>
          </cell>
          <cell r="Y45">
            <v>3477.073932292983</v>
          </cell>
        </row>
        <row r="46">
          <cell r="C46" t="str">
            <v>E</v>
          </cell>
          <cell r="D46" t="str">
            <v>H-3515</v>
          </cell>
          <cell r="Y46">
            <v>26134.191936289917</v>
          </cell>
        </row>
        <row r="47">
          <cell r="C47" t="str">
            <v>E</v>
          </cell>
          <cell r="D47" t="str">
            <v>H-3515</v>
          </cell>
          <cell r="Y47">
            <v>6356.9656061245742</v>
          </cell>
        </row>
        <row r="48">
          <cell r="C48" t="str">
            <v>E</v>
          </cell>
          <cell r="D48" t="str">
            <v>H-3470</v>
          </cell>
          <cell r="Y48">
            <v>8005.0678003050198</v>
          </cell>
        </row>
        <row r="49">
          <cell r="C49" t="str">
            <v>E</v>
          </cell>
          <cell r="D49" t="str">
            <v>H-3515</v>
          </cell>
          <cell r="Y49">
            <v>941.77268238882584</v>
          </cell>
        </row>
        <row r="50">
          <cell r="C50" t="str">
            <v>E</v>
          </cell>
          <cell r="D50" t="str">
            <v>H-3470</v>
          </cell>
          <cell r="Y50">
            <v>16245.578771207245</v>
          </cell>
        </row>
        <row r="51">
          <cell r="C51" t="str">
            <v>E</v>
          </cell>
          <cell r="D51" t="str">
            <v>H-3515</v>
          </cell>
          <cell r="Y51">
            <v>17719.290354822591</v>
          </cell>
        </row>
        <row r="52">
          <cell r="C52" t="str">
            <v>E</v>
          </cell>
          <cell r="D52" t="str">
            <v>H-3470</v>
          </cell>
          <cell r="Y52">
            <v>8744.5848504319274</v>
          </cell>
        </row>
        <row r="53">
          <cell r="C53" t="str">
            <v>E</v>
          </cell>
          <cell r="D53" t="str">
            <v>H-3515</v>
          </cell>
          <cell r="Y53">
            <v>3221.6891554222893</v>
          </cell>
        </row>
        <row r="54">
          <cell r="C54" t="str">
            <v>E</v>
          </cell>
          <cell r="D54" t="str">
            <v>H-3470</v>
          </cell>
          <cell r="Y54">
            <v>5522.895695009639</v>
          </cell>
        </row>
        <row r="55">
          <cell r="C55" t="str">
            <v>E</v>
          </cell>
          <cell r="D55" t="str">
            <v>H-3515</v>
          </cell>
          <cell r="Y55">
            <v>9434.9468123081333</v>
          </cell>
        </row>
        <row r="56">
          <cell r="C56" t="str">
            <v>E</v>
          </cell>
          <cell r="D56" t="str">
            <v>H-3515</v>
          </cell>
          <cell r="Y56">
            <v>7824.9034020865156</v>
          </cell>
        </row>
        <row r="57">
          <cell r="C57" t="str">
            <v>E</v>
          </cell>
          <cell r="D57" t="str">
            <v>H-3485</v>
          </cell>
          <cell r="Y57">
            <v>7377.7660648244291</v>
          </cell>
        </row>
        <row r="58">
          <cell r="C58" t="str">
            <v>E</v>
          </cell>
          <cell r="D58" t="str">
            <v>H-3470</v>
          </cell>
          <cell r="Y58">
            <v>14755.532129648858</v>
          </cell>
        </row>
        <row r="59">
          <cell r="C59" t="str">
            <v>E</v>
          </cell>
          <cell r="D59" t="str">
            <v>H-3485</v>
          </cell>
          <cell r="Y59">
            <v>8495.6094079796458</v>
          </cell>
        </row>
        <row r="60">
          <cell r="C60" t="str">
            <v>E</v>
          </cell>
          <cell r="D60" t="str">
            <v>H-3470</v>
          </cell>
          <cell r="Y60">
            <v>6707.060058931299</v>
          </cell>
        </row>
        <row r="61">
          <cell r="C61" t="str">
            <v>E</v>
          </cell>
          <cell r="D61" t="str">
            <v>H-3470</v>
          </cell>
          <cell r="Y61">
            <v>670.70600589312994</v>
          </cell>
        </row>
        <row r="62">
          <cell r="C62" t="str">
            <v>E</v>
          </cell>
          <cell r="D62" t="str">
            <v>H-3470</v>
          </cell>
          <cell r="Y62">
            <v>4694.9420412519094</v>
          </cell>
        </row>
        <row r="63">
          <cell r="C63" t="str">
            <v>E</v>
          </cell>
          <cell r="D63" t="str">
            <v>H-3515</v>
          </cell>
          <cell r="Y63">
            <v>9548.6902927580886</v>
          </cell>
        </row>
        <row r="64">
          <cell r="C64" t="str">
            <v>E</v>
          </cell>
          <cell r="D64" t="str">
            <v>H-3470</v>
          </cell>
          <cell r="Y64">
            <v>0</v>
          </cell>
        </row>
        <row r="65">
          <cell r="C65" t="str">
            <v>E</v>
          </cell>
          <cell r="D65" t="str">
            <v>H-3515</v>
          </cell>
          <cell r="Y65">
            <v>8639.2912172573178</v>
          </cell>
        </row>
        <row r="66">
          <cell r="C66" t="str">
            <v>E</v>
          </cell>
          <cell r="D66" t="str">
            <v>H-3470</v>
          </cell>
          <cell r="Y66">
            <v>3410.2465331278886</v>
          </cell>
        </row>
        <row r="67">
          <cell r="C67" t="str">
            <v>E</v>
          </cell>
          <cell r="D67" t="str">
            <v>H-3470</v>
          </cell>
          <cell r="Y67">
            <v>7047.8428351309703</v>
          </cell>
        </row>
        <row r="68">
          <cell r="C68" t="str">
            <v>E</v>
          </cell>
          <cell r="D68" t="str">
            <v>H-3515</v>
          </cell>
          <cell r="Y68">
            <v>1818.7981510015406</v>
          </cell>
        </row>
        <row r="69">
          <cell r="C69" t="str">
            <v>E</v>
          </cell>
          <cell r="D69" t="str">
            <v>H-3455-N</v>
          </cell>
          <cell r="Y69">
            <v>1364.0986132511555</v>
          </cell>
        </row>
        <row r="70">
          <cell r="C70" t="str">
            <v>E</v>
          </cell>
          <cell r="D70" t="str">
            <v>H-3470</v>
          </cell>
          <cell r="Y70">
            <v>4124.7033422630439</v>
          </cell>
        </row>
        <row r="71">
          <cell r="C71" t="str">
            <v>E</v>
          </cell>
          <cell r="D71" t="str">
            <v>H-3470</v>
          </cell>
          <cell r="Y71">
            <v>20623.516711315217</v>
          </cell>
        </row>
        <row r="72">
          <cell r="C72" t="str">
            <v>E</v>
          </cell>
          <cell r="D72" t="str">
            <v>H-3470</v>
          </cell>
          <cell r="Y72">
            <v>16741.442977420589</v>
          </cell>
        </row>
        <row r="73">
          <cell r="C73" t="str">
            <v>E</v>
          </cell>
          <cell r="D73" t="str">
            <v>N-3455</v>
          </cell>
          <cell r="Y73">
            <v>3154.1849087893861</v>
          </cell>
        </row>
        <row r="74">
          <cell r="C74" t="str">
            <v>E</v>
          </cell>
          <cell r="D74" t="str">
            <v>H-3470</v>
          </cell>
          <cell r="Y74">
            <v>10077.41935483871</v>
          </cell>
        </row>
        <row r="75">
          <cell r="C75" t="str">
            <v>E</v>
          </cell>
          <cell r="D75" t="str">
            <v>H-3470</v>
          </cell>
          <cell r="Y75">
            <v>8474.1935483870966</v>
          </cell>
        </row>
        <row r="76">
          <cell r="C76" t="str">
            <v>E</v>
          </cell>
          <cell r="D76" t="str">
            <v>H-3470</v>
          </cell>
          <cell r="Y76">
            <v>7558.0645161290322</v>
          </cell>
        </row>
        <row r="77">
          <cell r="C77" t="str">
            <v>E</v>
          </cell>
          <cell r="D77" t="str">
            <v>H-3470</v>
          </cell>
          <cell r="Y77">
            <v>2977.4193548387098</v>
          </cell>
        </row>
        <row r="78">
          <cell r="C78" t="str">
            <v>E</v>
          </cell>
          <cell r="D78" t="str">
            <v>H-3515</v>
          </cell>
          <cell r="Y78">
            <v>5267.7419354838712</v>
          </cell>
        </row>
        <row r="79">
          <cell r="C79" t="str">
            <v>E</v>
          </cell>
          <cell r="D79" t="str">
            <v>3455-N</v>
          </cell>
          <cell r="Y79">
            <v>11680.645161290322</v>
          </cell>
        </row>
        <row r="80">
          <cell r="C80" t="str">
            <v>E</v>
          </cell>
          <cell r="D80" t="str">
            <v>H-3470</v>
          </cell>
          <cell r="Y80">
            <v>5537.4901960784318</v>
          </cell>
        </row>
        <row r="81">
          <cell r="C81" t="str">
            <v>E</v>
          </cell>
          <cell r="D81" t="str">
            <v>H-3470</v>
          </cell>
          <cell r="Y81">
            <v>20073.401960784315</v>
          </cell>
        </row>
        <row r="82">
          <cell r="C82" t="str">
            <v>E</v>
          </cell>
          <cell r="D82" t="str">
            <v>H-3470</v>
          </cell>
          <cell r="Y82">
            <v>23765.06209150327</v>
          </cell>
        </row>
        <row r="83">
          <cell r="C83" t="str">
            <v>E</v>
          </cell>
          <cell r="D83" t="str">
            <v>3455-N</v>
          </cell>
          <cell r="Y83">
            <v>7844.7777777777783</v>
          </cell>
        </row>
        <row r="84">
          <cell r="C84" t="str">
            <v>E</v>
          </cell>
          <cell r="D84" t="str">
            <v>H-3470</v>
          </cell>
          <cell r="Y84">
            <v>28299.11563161483</v>
          </cell>
        </row>
        <row r="85">
          <cell r="C85" t="str">
            <v>E</v>
          </cell>
          <cell r="D85" t="str">
            <v>H-3470</v>
          </cell>
          <cell r="Y85">
            <v>16526.683528863061</v>
          </cell>
        </row>
        <row r="86">
          <cell r="C86" t="str">
            <v>E</v>
          </cell>
          <cell r="D86" t="str">
            <v>H-3515</v>
          </cell>
          <cell r="Y86">
            <v>9508.5028522225821</v>
          </cell>
        </row>
        <row r="87">
          <cell r="C87" t="str">
            <v>E</v>
          </cell>
          <cell r="D87" t="str">
            <v xml:space="preserve">3455-N </v>
          </cell>
          <cell r="Y87">
            <v>7697.3594517992333</v>
          </cell>
        </row>
        <row r="88">
          <cell r="C88" t="str">
            <v>E</v>
          </cell>
          <cell r="D88" t="str">
            <v>H-3470</v>
          </cell>
          <cell r="Y88">
            <v>15915.769861827845</v>
          </cell>
        </row>
        <row r="89">
          <cell r="C89" t="str">
            <v>E</v>
          </cell>
          <cell r="D89" t="str">
            <v>H-3470</v>
          </cell>
          <cell r="Y89">
            <v>5149.2196611795971</v>
          </cell>
        </row>
        <row r="90">
          <cell r="C90" t="str">
            <v>E</v>
          </cell>
          <cell r="D90" t="str">
            <v>H-3515</v>
          </cell>
          <cell r="Y90">
            <v>15447.658983538791</v>
          </cell>
        </row>
        <row r="91">
          <cell r="C91" t="str">
            <v>E</v>
          </cell>
          <cell r="D91" t="str">
            <v>N-3455</v>
          </cell>
          <cell r="Y91">
            <v>3744.887026312434</v>
          </cell>
        </row>
        <row r="92">
          <cell r="C92" t="str">
            <v>E</v>
          </cell>
          <cell r="D92" t="str">
            <v>H-3470</v>
          </cell>
          <cell r="Y92">
            <v>19040.162225705331</v>
          </cell>
        </row>
        <row r="93">
          <cell r="C93" t="str">
            <v>E</v>
          </cell>
          <cell r="D93" t="str">
            <v>H-3470</v>
          </cell>
          <cell r="Y93">
            <v>5340.533307210032</v>
          </cell>
        </row>
        <row r="94">
          <cell r="C94" t="str">
            <v>E</v>
          </cell>
          <cell r="D94" t="str">
            <v>H-3515</v>
          </cell>
          <cell r="Y94">
            <v>16253.797021943574</v>
          </cell>
        </row>
        <row r="95">
          <cell r="C95" t="str">
            <v>E</v>
          </cell>
          <cell r="D95" t="str">
            <v>CAM.NORTE</v>
          </cell>
          <cell r="Y95">
            <v>2554.1681034482758</v>
          </cell>
        </row>
        <row r="96">
          <cell r="C96" t="str">
            <v>E</v>
          </cell>
          <cell r="D96" t="str">
            <v>H-3470</v>
          </cell>
          <cell r="Y96">
            <v>2321.9710031347963</v>
          </cell>
        </row>
        <row r="97">
          <cell r="C97" t="str">
            <v>E</v>
          </cell>
          <cell r="D97" t="str">
            <v>H-3470</v>
          </cell>
          <cell r="Y97">
            <v>8349.9582399874234</v>
          </cell>
        </row>
        <row r="98">
          <cell r="C98" t="str">
            <v>E</v>
          </cell>
          <cell r="D98" t="str">
            <v>H-3515</v>
          </cell>
          <cell r="Y98">
            <v>5416.1891286404907</v>
          </cell>
        </row>
        <row r="99">
          <cell r="C99" t="str">
            <v>E</v>
          </cell>
          <cell r="D99" t="str">
            <v>H-3515</v>
          </cell>
          <cell r="Y99">
            <v>11960.750992414418</v>
          </cell>
        </row>
        <row r="100">
          <cell r="C100" t="str">
            <v>E</v>
          </cell>
          <cell r="D100" t="str">
            <v>H-3470</v>
          </cell>
          <cell r="Y100">
            <v>902.69818810674849</v>
          </cell>
        </row>
        <row r="101">
          <cell r="C101" t="str">
            <v>E</v>
          </cell>
          <cell r="D101" t="str">
            <v>H-3515</v>
          </cell>
          <cell r="Y101">
            <v>4062.1418464803683</v>
          </cell>
        </row>
        <row r="102">
          <cell r="C102" t="str">
            <v>E</v>
          </cell>
          <cell r="D102" t="str">
            <v>H-3515</v>
          </cell>
          <cell r="Y102">
            <v>2031.0709232401841</v>
          </cell>
        </row>
        <row r="103">
          <cell r="C103" t="str">
            <v>E</v>
          </cell>
          <cell r="D103" t="str">
            <v>H-3470</v>
          </cell>
          <cell r="Y103">
            <v>2708.0945643202454</v>
          </cell>
        </row>
        <row r="104">
          <cell r="C104" t="str">
            <v>E</v>
          </cell>
          <cell r="D104" t="str">
            <v>N-3455</v>
          </cell>
          <cell r="Y104">
            <v>5416.1891286404907</v>
          </cell>
        </row>
        <row r="105">
          <cell r="C105" t="str">
            <v>E</v>
          </cell>
          <cell r="D105" t="str">
            <v>H-3515</v>
          </cell>
          <cell r="Y105">
            <v>8503.58910891089</v>
          </cell>
        </row>
        <row r="106">
          <cell r="C106" t="str">
            <v>E</v>
          </cell>
          <cell r="D106" t="str">
            <v>H-3515</v>
          </cell>
          <cell r="Y106">
            <v>9193.0693069306926</v>
          </cell>
        </row>
        <row r="107">
          <cell r="C107" t="str">
            <v>E</v>
          </cell>
          <cell r="D107" t="str">
            <v>CAM.NORTE</v>
          </cell>
          <cell r="Y107">
            <v>6894.801980198019</v>
          </cell>
        </row>
        <row r="108">
          <cell r="C108" t="str">
            <v>E</v>
          </cell>
          <cell r="D108" t="str">
            <v>H-3470</v>
          </cell>
          <cell r="Y108">
            <v>1149.1336633663366</v>
          </cell>
        </row>
        <row r="109">
          <cell r="C109" t="str">
            <v>E</v>
          </cell>
          <cell r="D109" t="str">
            <v>H-3515</v>
          </cell>
          <cell r="Y109">
            <v>9404.0412033177417</v>
          </cell>
        </row>
        <row r="110">
          <cell r="C110" t="str">
            <v>E</v>
          </cell>
          <cell r="D110" t="str">
            <v>H-3470</v>
          </cell>
          <cell r="Y110">
            <v>2586.1113309123789</v>
          </cell>
        </row>
        <row r="111">
          <cell r="C111" t="str">
            <v>E</v>
          </cell>
          <cell r="D111" t="str">
            <v>H-3515</v>
          </cell>
          <cell r="Y111">
            <v>3291.4144211612097</v>
          </cell>
        </row>
        <row r="112">
          <cell r="C112" t="str">
            <v>E</v>
          </cell>
          <cell r="D112" t="str">
            <v>H-3470</v>
          </cell>
          <cell r="Y112">
            <v>3996.7175114100401</v>
          </cell>
        </row>
        <row r="113">
          <cell r="C113" t="str">
            <v>E</v>
          </cell>
          <cell r="D113" t="str">
            <v>H-3515</v>
          </cell>
          <cell r="Y113">
            <v>11990.152534230121</v>
          </cell>
        </row>
        <row r="114">
          <cell r="C114" t="str">
            <v>E</v>
          </cell>
          <cell r="D114" t="str">
            <v>N-3455</v>
          </cell>
          <cell r="Y114">
            <v>3996.7175114100401</v>
          </cell>
        </row>
        <row r="115">
          <cell r="C115" t="str">
            <v>E</v>
          </cell>
          <cell r="D115" t="str">
            <v>H-3515</v>
          </cell>
          <cell r="Y115">
            <v>7314.1647640791471</v>
          </cell>
        </row>
        <row r="116">
          <cell r="C116" t="str">
            <v>E</v>
          </cell>
          <cell r="D116" t="str">
            <v>H-3470</v>
          </cell>
          <cell r="Y116">
            <v>215.12249306115137</v>
          </cell>
        </row>
        <row r="117">
          <cell r="C117" t="str">
            <v>E</v>
          </cell>
          <cell r="D117" t="str">
            <v>CAM.NORTE</v>
          </cell>
          <cell r="Y117">
            <v>7314.1647640791471</v>
          </cell>
        </row>
        <row r="118">
          <cell r="C118" t="str">
            <v>E</v>
          </cell>
          <cell r="D118" t="str">
            <v>H-3470</v>
          </cell>
          <cell r="Y118">
            <v>4732.6948473453303</v>
          </cell>
        </row>
        <row r="119">
          <cell r="C119" t="str">
            <v>E</v>
          </cell>
          <cell r="D119" t="str">
            <v>H-3470</v>
          </cell>
          <cell r="Y119">
            <v>8174.6547363237523</v>
          </cell>
        </row>
        <row r="120">
          <cell r="C120" t="str">
            <v>E</v>
          </cell>
          <cell r="D120" t="str">
            <v>H-3515</v>
          </cell>
          <cell r="Y120">
            <v>645.36747918345418</v>
          </cell>
        </row>
        <row r="121">
          <cell r="C121" t="str">
            <v>E</v>
          </cell>
          <cell r="D121" t="str">
            <v>CAM.NORTE</v>
          </cell>
          <cell r="Y121">
            <v>215.12249306115137</v>
          </cell>
        </row>
        <row r="122">
          <cell r="C122" t="str">
            <v>E</v>
          </cell>
          <cell r="D122" t="str">
            <v>H-3470</v>
          </cell>
          <cell r="Y122">
            <v>3515.1896117127908</v>
          </cell>
        </row>
        <row r="123">
          <cell r="C123" t="str">
            <v>E</v>
          </cell>
          <cell r="D123" t="str">
            <v>H-3470</v>
          </cell>
          <cell r="Y123">
            <v>20856.79169616256</v>
          </cell>
        </row>
        <row r="124">
          <cell r="C124" t="str">
            <v>E</v>
          </cell>
          <cell r="D124" t="str">
            <v>H-3470</v>
          </cell>
          <cell r="Y124">
            <v>14295.104420965348</v>
          </cell>
        </row>
        <row r="125">
          <cell r="C125" t="str">
            <v>E</v>
          </cell>
          <cell r="D125" t="str">
            <v>H-3470</v>
          </cell>
          <cell r="Y125">
            <v>21583.358254735067</v>
          </cell>
        </row>
        <row r="126">
          <cell r="C126" t="str">
            <v>E</v>
          </cell>
          <cell r="D126" t="str">
            <v>H-3470</v>
          </cell>
          <cell r="Y126">
            <v>5713.2418909592825</v>
          </cell>
        </row>
        <row r="127">
          <cell r="C127" t="str">
            <v>E</v>
          </cell>
          <cell r="D127" t="str">
            <v>H-3515</v>
          </cell>
          <cell r="Y127">
            <v>4232.0310303402093</v>
          </cell>
        </row>
        <row r="128">
          <cell r="C128" t="str">
            <v>E</v>
          </cell>
          <cell r="D128" t="str">
            <v>H-3470</v>
          </cell>
          <cell r="Y128">
            <v>19120.0076271176</v>
          </cell>
        </row>
        <row r="129">
          <cell r="C129" t="str">
            <v>E</v>
          </cell>
          <cell r="D129" t="str">
            <v>H-3515</v>
          </cell>
          <cell r="Y129">
            <v>5298.3153665506597</v>
          </cell>
        </row>
        <row r="130">
          <cell r="C130" t="str">
            <v>E</v>
          </cell>
          <cell r="D130" t="str">
            <v>H-3470</v>
          </cell>
          <cell r="Y130">
            <v>9905.5461200729733</v>
          </cell>
        </row>
        <row r="131">
          <cell r="C131" t="str">
            <v>E</v>
          </cell>
          <cell r="D131" t="str">
            <v>H-3470</v>
          </cell>
          <cell r="Y131">
            <v>15529.268073641671</v>
          </cell>
        </row>
        <row r="132">
          <cell r="C132" t="str">
            <v>E</v>
          </cell>
          <cell r="D132" t="str">
            <v>H-3470</v>
          </cell>
          <cell r="Y132">
            <v>485.28962730130223</v>
          </cell>
        </row>
        <row r="133">
          <cell r="C133" t="str">
            <v>E</v>
          </cell>
          <cell r="D133" t="str">
            <v>H-3515</v>
          </cell>
          <cell r="Y133">
            <v>2426.4481365065112</v>
          </cell>
        </row>
        <row r="134">
          <cell r="C134" t="str">
            <v>E</v>
          </cell>
          <cell r="D134" t="str">
            <v>H-3470</v>
          </cell>
          <cell r="Y134">
            <v>18595.953410346287</v>
          </cell>
        </row>
        <row r="135">
          <cell r="C135" t="str">
            <v>E</v>
          </cell>
          <cell r="D135" t="str">
            <v>H-3470</v>
          </cell>
          <cell r="Y135">
            <v>2525.3763890593723</v>
          </cell>
        </row>
        <row r="136">
          <cell r="C136" t="str">
            <v>E</v>
          </cell>
          <cell r="D136" t="str">
            <v>H-3515</v>
          </cell>
          <cell r="Y136">
            <v>10331.085227970159</v>
          </cell>
        </row>
        <row r="137">
          <cell r="C137" t="str">
            <v>E</v>
          </cell>
          <cell r="D137" t="str">
            <v>H-3515</v>
          </cell>
          <cell r="Y137">
            <v>17634.209080050525</v>
          </cell>
        </row>
        <row r="138">
          <cell r="C138" t="str">
            <v>E</v>
          </cell>
          <cell r="D138" t="str">
            <v>H-3470</v>
          </cell>
          <cell r="Y138">
            <v>1191.5006135169274</v>
          </cell>
        </row>
        <row r="139">
          <cell r="C139" t="str">
            <v>E</v>
          </cell>
          <cell r="D139" t="str">
            <v>H-3470</v>
          </cell>
          <cell r="Y139">
            <v>13821.407116796358</v>
          </cell>
        </row>
        <row r="140">
          <cell r="C140" t="str">
            <v>E</v>
          </cell>
          <cell r="D140" t="str">
            <v>H-3470</v>
          </cell>
          <cell r="Y140">
            <v>1668.1008589236983</v>
          </cell>
        </row>
        <row r="141">
          <cell r="C141" t="str">
            <v>E</v>
          </cell>
          <cell r="D141" t="str">
            <v>H-3515</v>
          </cell>
          <cell r="Y141">
            <v>1668.1008589236983</v>
          </cell>
        </row>
        <row r="142">
          <cell r="C142" t="str">
            <v>E</v>
          </cell>
          <cell r="D142" t="str">
            <v>H-3470</v>
          </cell>
          <cell r="Y142">
            <v>8869.792974661128</v>
          </cell>
        </row>
        <row r="143">
          <cell r="C143" t="str">
            <v>E</v>
          </cell>
          <cell r="D143" t="str">
            <v>H-3470</v>
          </cell>
          <cell r="Y143">
            <v>3267.8184643488366</v>
          </cell>
        </row>
        <row r="144">
          <cell r="C144" t="str">
            <v>E</v>
          </cell>
          <cell r="D144" t="str">
            <v>H-3515</v>
          </cell>
          <cell r="Y144">
            <v>21474.235622863784</v>
          </cell>
        </row>
        <row r="145">
          <cell r="C145" t="str">
            <v>E</v>
          </cell>
          <cell r="D145" t="str">
            <v>H-3470</v>
          </cell>
          <cell r="Y145">
            <v>233.41560459634547</v>
          </cell>
        </row>
        <row r="146">
          <cell r="C146" t="str">
            <v>E</v>
          </cell>
          <cell r="D146" t="str">
            <v>H-3470</v>
          </cell>
          <cell r="Y146">
            <v>3968.0652781378731</v>
          </cell>
        </row>
        <row r="147">
          <cell r="C147" t="str">
            <v>E</v>
          </cell>
          <cell r="D147" t="str">
            <v>H-3515</v>
          </cell>
          <cell r="Y147">
            <v>20976.471570510148</v>
          </cell>
        </row>
        <row r="148">
          <cell r="C148" t="str">
            <v>E</v>
          </cell>
          <cell r="D148" t="str">
            <v>H-3470</v>
          </cell>
          <cell r="Y148">
            <v>6912.7008584635714</v>
          </cell>
        </row>
        <row r="149">
          <cell r="C149" t="str">
            <v>E</v>
          </cell>
          <cell r="D149" t="str">
            <v>CAM.NORTE</v>
          </cell>
          <cell r="Y149">
            <v>4767.3799023886695</v>
          </cell>
        </row>
        <row r="150">
          <cell r="C150" t="str">
            <v>E</v>
          </cell>
          <cell r="D150" t="str">
            <v>H-3470</v>
          </cell>
          <cell r="Y150">
            <v>9296.3908096579071</v>
          </cell>
        </row>
        <row r="151">
          <cell r="C151" t="str">
            <v>E</v>
          </cell>
          <cell r="D151" t="str">
            <v>H-3470</v>
          </cell>
          <cell r="Y151">
            <v>16314.650942243621</v>
          </cell>
        </row>
        <row r="152">
          <cell r="C152" t="str">
            <v>E</v>
          </cell>
          <cell r="D152" t="str">
            <v>CAM.NORTE</v>
          </cell>
          <cell r="Y152">
            <v>1132.9618709891404</v>
          </cell>
        </row>
        <row r="153">
          <cell r="C153" t="str">
            <v>E</v>
          </cell>
          <cell r="D153" t="str">
            <v>H-3470</v>
          </cell>
          <cell r="Y153">
            <v>906.36949679131226</v>
          </cell>
        </row>
        <row r="154">
          <cell r="C154" t="str">
            <v>E</v>
          </cell>
          <cell r="D154" t="str">
            <v>H-3515</v>
          </cell>
          <cell r="Y154">
            <v>15408.281445452309</v>
          </cell>
        </row>
        <row r="155">
          <cell r="C155" t="str">
            <v>E</v>
          </cell>
          <cell r="D155" t="str">
            <v>CAM.NORTE</v>
          </cell>
          <cell r="Y155">
            <v>11103.026335693576</v>
          </cell>
        </row>
        <row r="156">
          <cell r="C156" t="str">
            <v>E</v>
          </cell>
          <cell r="D156" t="str">
            <v>3455-N</v>
          </cell>
          <cell r="Y156">
            <v>226.59237419782806</v>
          </cell>
        </row>
        <row r="157">
          <cell r="C157" t="str">
            <v>E</v>
          </cell>
          <cell r="D157" t="str">
            <v>H-3470</v>
          </cell>
          <cell r="Y157">
            <v>21330.137779915556</v>
          </cell>
        </row>
        <row r="158">
          <cell r="C158" t="str">
            <v>E</v>
          </cell>
          <cell r="D158" t="str">
            <v>H-3470</v>
          </cell>
          <cell r="Y158">
            <v>1134.5817968040189</v>
          </cell>
        </row>
        <row r="159">
          <cell r="C159" t="str">
            <v>E</v>
          </cell>
          <cell r="D159" t="str">
            <v>H-3515</v>
          </cell>
          <cell r="Y159">
            <v>4538.3271872160758</v>
          </cell>
        </row>
        <row r="160">
          <cell r="C160" t="str">
            <v>E</v>
          </cell>
          <cell r="D160" t="str">
            <v>3455-N</v>
          </cell>
          <cell r="Y160">
            <v>11799.650686761797</v>
          </cell>
        </row>
        <row r="161">
          <cell r="C161" t="str">
            <v>E</v>
          </cell>
          <cell r="D161" t="str">
            <v>H-3470</v>
          </cell>
          <cell r="Y161">
            <v>18848.052394034537</v>
          </cell>
        </row>
        <row r="162">
          <cell r="C162" t="str">
            <v>E</v>
          </cell>
          <cell r="D162" t="str">
            <v>H-3515</v>
          </cell>
          <cell r="Y162">
            <v>12262.58830455259</v>
          </cell>
        </row>
        <row r="163">
          <cell r="C163" t="str">
            <v>E</v>
          </cell>
          <cell r="D163" t="str">
            <v>3455-N</v>
          </cell>
          <cell r="Y163">
            <v>11808.418367346938</v>
          </cell>
        </row>
        <row r="164">
          <cell r="C164" t="str">
            <v>E</v>
          </cell>
          <cell r="D164" t="str">
            <v>H-3470</v>
          </cell>
          <cell r="Y164">
            <v>23787.474875700835</v>
          </cell>
        </row>
        <row r="165">
          <cell r="C165" t="str">
            <v>E</v>
          </cell>
          <cell r="D165" t="str">
            <v>3455-N</v>
          </cell>
          <cell r="Y165">
            <v>7476.0635323631195</v>
          </cell>
        </row>
        <row r="166">
          <cell r="C166" t="str">
            <v>E</v>
          </cell>
          <cell r="D166" t="str">
            <v>H-3470</v>
          </cell>
          <cell r="Y166">
            <v>679.64213930573817</v>
          </cell>
        </row>
        <row r="167">
          <cell r="C167" t="str">
            <v>E</v>
          </cell>
          <cell r="D167" t="str">
            <v>H-3470</v>
          </cell>
          <cell r="Y167">
            <v>16266.701700487778</v>
          </cell>
        </row>
        <row r="168">
          <cell r="C168" t="str">
            <v>E</v>
          </cell>
          <cell r="D168" t="str">
            <v>H-3470</v>
          </cell>
          <cell r="Y168">
            <v>1952.0042040585333</v>
          </cell>
        </row>
        <row r="169">
          <cell r="C169" t="str">
            <v>E</v>
          </cell>
          <cell r="D169" t="str">
            <v>3455-N</v>
          </cell>
          <cell r="Y169">
            <v>4337.7871201300741</v>
          </cell>
        </row>
        <row r="170">
          <cell r="C170" t="str">
            <v>E</v>
          </cell>
          <cell r="D170" t="str">
            <v>H-3470</v>
          </cell>
          <cell r="Y170">
            <v>23959.224419824477</v>
          </cell>
        </row>
        <row r="171">
          <cell r="C171" t="str">
            <v>E</v>
          </cell>
          <cell r="D171" t="str">
            <v>H-3470</v>
          </cell>
          <cell r="Y171">
            <v>10870.388857142587</v>
          </cell>
        </row>
        <row r="172">
          <cell r="C172" t="str">
            <v>E</v>
          </cell>
          <cell r="D172" t="str">
            <v>H-3470</v>
          </cell>
          <cell r="Y172">
            <v>887.37868221572137</v>
          </cell>
        </row>
        <row r="173">
          <cell r="C173" t="str">
            <v>E</v>
          </cell>
          <cell r="D173" t="str">
            <v>3455-N</v>
          </cell>
          <cell r="Y173">
            <v>2218.4467055393034</v>
          </cell>
        </row>
        <row r="174">
          <cell r="C174" t="str">
            <v>E</v>
          </cell>
          <cell r="D174" t="str">
            <v>3455-N</v>
          </cell>
          <cell r="Y174">
            <v>1552.9126938775123</v>
          </cell>
        </row>
        <row r="175">
          <cell r="C175" t="str">
            <v>E</v>
          </cell>
          <cell r="D175" t="str">
            <v>H-3470</v>
          </cell>
          <cell r="Y175">
            <v>15461.443609022557</v>
          </cell>
        </row>
        <row r="176">
          <cell r="C176" t="str">
            <v>E</v>
          </cell>
          <cell r="D176" t="str">
            <v>H-3470</v>
          </cell>
          <cell r="Y176">
            <v>10602.13276047261</v>
          </cell>
        </row>
        <row r="177">
          <cell r="C177" t="str">
            <v>E</v>
          </cell>
          <cell r="D177" t="str">
            <v>H-3515</v>
          </cell>
          <cell r="Y177">
            <v>10823.010526315789</v>
          </cell>
        </row>
        <row r="178">
          <cell r="C178" t="str">
            <v>E</v>
          </cell>
          <cell r="D178" t="str">
            <v>H-3470</v>
          </cell>
          <cell r="Y178">
            <v>8900.9514398644824</v>
          </cell>
        </row>
        <row r="179">
          <cell r="C179" t="str">
            <v>E</v>
          </cell>
          <cell r="D179" t="str">
            <v>H-3470</v>
          </cell>
          <cell r="Y179">
            <v>3115.333003952569</v>
          </cell>
        </row>
        <row r="180">
          <cell r="C180" t="str">
            <v>E</v>
          </cell>
          <cell r="D180" t="str">
            <v>H-3515</v>
          </cell>
          <cell r="Y180">
            <v>8455.9038678712586</v>
          </cell>
        </row>
        <row r="181">
          <cell r="C181" t="str">
            <v>E</v>
          </cell>
          <cell r="D181" t="str">
            <v>H-3470</v>
          </cell>
          <cell r="Y181">
            <v>2002.7140739695087</v>
          </cell>
        </row>
        <row r="182">
          <cell r="C182" t="str">
            <v>E</v>
          </cell>
          <cell r="D182" t="str">
            <v>H-3470</v>
          </cell>
          <cell r="Y182">
            <v>10013.570369847543</v>
          </cell>
        </row>
        <row r="183">
          <cell r="C183" t="str">
            <v>E</v>
          </cell>
          <cell r="D183" t="str">
            <v>H-3470</v>
          </cell>
          <cell r="Y183">
            <v>13492.057782429896</v>
          </cell>
        </row>
        <row r="184">
          <cell r="C184" t="str">
            <v>E</v>
          </cell>
          <cell r="D184" t="str">
            <v>H-3470</v>
          </cell>
          <cell r="Y184">
            <v>22118.127512180159</v>
          </cell>
        </row>
        <row r="185">
          <cell r="C185" t="str">
            <v>E</v>
          </cell>
          <cell r="D185" t="str">
            <v>H-3470</v>
          </cell>
          <cell r="Y185">
            <v>5841.1896400351179</v>
          </cell>
        </row>
        <row r="186">
          <cell r="C186" t="str">
            <v>E</v>
          </cell>
          <cell r="D186" t="str">
            <v>N-3455</v>
          </cell>
          <cell r="Y186">
            <v>8869.9546385718459</v>
          </cell>
        </row>
        <row r="187">
          <cell r="C187" t="str">
            <v>E</v>
          </cell>
          <cell r="D187" t="str">
            <v>H-3470</v>
          </cell>
          <cell r="Y187">
            <v>6273.8703541117939</v>
          </cell>
        </row>
        <row r="188">
          <cell r="C188" t="str">
            <v>E</v>
          </cell>
          <cell r="D188" t="str">
            <v>H-3515</v>
          </cell>
          <cell r="Y188">
            <v>14062.123207491952</v>
          </cell>
        </row>
        <row r="189">
          <cell r="C189" t="str">
            <v>E</v>
          </cell>
          <cell r="D189" t="str">
            <v>H-3470</v>
          </cell>
          <cell r="Y189">
            <v>6315.3490177668637</v>
          </cell>
        </row>
        <row r="190">
          <cell r="C190" t="str">
            <v>E</v>
          </cell>
          <cell r="D190" t="str">
            <v>H-3470</v>
          </cell>
          <cell r="Y190">
            <v>4573.1837714863495</v>
          </cell>
        </row>
        <row r="191">
          <cell r="C191" t="str">
            <v>E</v>
          </cell>
          <cell r="D191" t="str">
            <v>H-3515</v>
          </cell>
          <cell r="Y191">
            <v>24608.084103712263</v>
          </cell>
        </row>
        <row r="192">
          <cell r="C192" t="str">
            <v>E</v>
          </cell>
          <cell r="D192" t="str">
            <v>H-3470</v>
          </cell>
          <cell r="Y192">
            <v>871.08262314025706</v>
          </cell>
        </row>
        <row r="193">
          <cell r="C193" t="str">
            <v>E</v>
          </cell>
          <cell r="D193" t="str">
            <v>H-3470</v>
          </cell>
          <cell r="Y193">
            <v>18028.350811730372</v>
          </cell>
        </row>
        <row r="194">
          <cell r="C194" t="str">
            <v>E</v>
          </cell>
          <cell r="D194" t="str">
            <v>H-3515</v>
          </cell>
          <cell r="Y194">
            <v>9968.6175076626769</v>
          </cell>
        </row>
        <row r="195">
          <cell r="C195" t="str">
            <v>E</v>
          </cell>
          <cell r="D195" t="str">
            <v>H-3470</v>
          </cell>
          <cell r="Y195">
            <v>10604.912242194336</v>
          </cell>
        </row>
        <row r="196">
          <cell r="C196" t="str">
            <v>E</v>
          </cell>
          <cell r="D196" t="str">
            <v>H-3470</v>
          </cell>
          <cell r="Y196">
            <v>17875.92284866469</v>
          </cell>
        </row>
        <row r="197">
          <cell r="C197" t="str">
            <v>E</v>
          </cell>
          <cell r="D197" t="str">
            <v>H-3470</v>
          </cell>
          <cell r="Y197">
            <v>24275.944609297727</v>
          </cell>
        </row>
        <row r="198">
          <cell r="C198" t="str">
            <v>E</v>
          </cell>
          <cell r="D198" t="str">
            <v>H-3470</v>
          </cell>
          <cell r="Y198">
            <v>17066.491202669535</v>
          </cell>
        </row>
        <row r="199">
          <cell r="C199" t="str">
            <v>E</v>
          </cell>
          <cell r="D199" t="str">
            <v>H-3470</v>
          </cell>
          <cell r="Y199">
            <v>4876.1403436198671</v>
          </cell>
        </row>
        <row r="200">
          <cell r="C200" t="str">
            <v>E</v>
          </cell>
          <cell r="D200" t="str">
            <v>H-3515</v>
          </cell>
          <cell r="Y200">
            <v>9308.9952014561095</v>
          </cell>
        </row>
        <row r="201">
          <cell r="C201" t="str">
            <v>E</v>
          </cell>
          <cell r="D201" t="str">
            <v>H-3470</v>
          </cell>
          <cell r="Y201">
            <v>6649.2822867543637</v>
          </cell>
        </row>
        <row r="202">
          <cell r="C202" t="str">
            <v>E</v>
          </cell>
          <cell r="D202" t="str">
            <v>H-3470</v>
          </cell>
          <cell r="Y202">
            <v>18377.161300787975</v>
          </cell>
        </row>
        <row r="203">
          <cell r="C203" t="str">
            <v>E</v>
          </cell>
          <cell r="D203" t="str">
            <v>H-3470</v>
          </cell>
          <cell r="Y203">
            <v>4947.6972732890708</v>
          </cell>
        </row>
        <row r="204">
          <cell r="C204" t="str">
            <v>E</v>
          </cell>
          <cell r="D204" t="str">
            <v>H-3470</v>
          </cell>
          <cell r="Y204">
            <v>13429.464027498905</v>
          </cell>
        </row>
        <row r="205">
          <cell r="C205" t="str">
            <v>E</v>
          </cell>
          <cell r="D205" t="str">
            <v>H-3470</v>
          </cell>
          <cell r="Y205">
            <v>6918.8755020080325</v>
          </cell>
        </row>
        <row r="206">
          <cell r="C206" t="str">
            <v>E</v>
          </cell>
          <cell r="D206" t="str">
            <v>H-3470</v>
          </cell>
          <cell r="Y206">
            <v>13607.121820615797</v>
          </cell>
        </row>
        <row r="207">
          <cell r="C207" t="str">
            <v>E</v>
          </cell>
          <cell r="D207" t="str">
            <v>H-3470</v>
          </cell>
          <cell r="Y207">
            <v>20295.368139223563</v>
          </cell>
        </row>
        <row r="208">
          <cell r="C208" t="str">
            <v>E</v>
          </cell>
          <cell r="D208" t="str">
            <v>C-EMERG.</v>
          </cell>
          <cell r="Y208">
            <v>0</v>
          </cell>
        </row>
        <row r="209">
          <cell r="C209" t="str">
            <v>E</v>
          </cell>
          <cell r="D209" t="str">
            <v>H-3470</v>
          </cell>
          <cell r="Y209">
            <v>2767.5502008032131</v>
          </cell>
        </row>
        <row r="210">
          <cell r="C210" t="str">
            <v>E</v>
          </cell>
          <cell r="D210" t="str">
            <v>H-3470</v>
          </cell>
          <cell r="Y210">
            <v>20992.588553536814</v>
          </cell>
        </row>
        <row r="211">
          <cell r="C211" t="str">
            <v>E</v>
          </cell>
          <cell r="D211" t="str">
            <v>H-3470</v>
          </cell>
          <cell r="Y211">
            <v>16460.097843114094</v>
          </cell>
        </row>
        <row r="212">
          <cell r="C212" t="str">
            <v>E</v>
          </cell>
          <cell r="D212" t="str">
            <v>H-3470</v>
          </cell>
          <cell r="Y212">
            <v>11450.502847383717</v>
          </cell>
        </row>
        <row r="213">
          <cell r="C213" t="str">
            <v>E</v>
          </cell>
          <cell r="D213" t="str">
            <v>H-3470</v>
          </cell>
          <cell r="Y213">
            <v>2385.5214265382747</v>
          </cell>
        </row>
        <row r="214">
          <cell r="C214" t="str">
            <v>E</v>
          </cell>
          <cell r="D214" t="str">
            <v>H-3470</v>
          </cell>
          <cell r="Y214">
            <v>18959.841614336478</v>
          </cell>
        </row>
        <row r="215">
          <cell r="C215" t="str">
            <v>E</v>
          </cell>
          <cell r="D215" t="str">
            <v>H-3470</v>
          </cell>
          <cell r="Y215">
            <v>10636.008710481437</v>
          </cell>
        </row>
        <row r="216">
          <cell r="C216" t="str">
            <v>E</v>
          </cell>
          <cell r="D216" t="str">
            <v>H-3470</v>
          </cell>
          <cell r="Y216">
            <v>7398.9625812044787</v>
          </cell>
        </row>
        <row r="217">
          <cell r="C217" t="str">
            <v>E</v>
          </cell>
          <cell r="D217" t="str">
            <v>H-3470</v>
          </cell>
          <cell r="Y217">
            <v>16647.665807710076</v>
          </cell>
        </row>
        <row r="218">
          <cell r="C218" t="str">
            <v>E</v>
          </cell>
          <cell r="D218" t="str">
            <v>H-3515</v>
          </cell>
          <cell r="Y218">
            <v>14656.59164522768</v>
          </cell>
        </row>
        <row r="219">
          <cell r="C219" t="str">
            <v>E</v>
          </cell>
          <cell r="D219" t="str">
            <v>H-3470</v>
          </cell>
          <cell r="Y219">
            <v>2363.9663943915612</v>
          </cell>
        </row>
        <row r="220">
          <cell r="C220" t="str">
            <v>E</v>
          </cell>
          <cell r="D220" t="str">
            <v>H-3470</v>
          </cell>
          <cell r="Y220">
            <v>11347.038693079494</v>
          </cell>
        </row>
        <row r="221">
          <cell r="C221" t="str">
            <v>E</v>
          </cell>
          <cell r="D221" t="str">
            <v>H-3470</v>
          </cell>
          <cell r="Y221">
            <v>1654.7764760740929</v>
          </cell>
        </row>
        <row r="222">
          <cell r="C222" t="str">
            <v>E</v>
          </cell>
          <cell r="D222" t="str">
            <v>H-3470</v>
          </cell>
          <cell r="Y222">
            <v>945.58655775662453</v>
          </cell>
        </row>
        <row r="223">
          <cell r="C223" t="str">
            <v>E</v>
          </cell>
          <cell r="D223" t="str">
            <v>H-3470</v>
          </cell>
          <cell r="Y223">
            <v>709.18991831746837</v>
          </cell>
        </row>
        <row r="224">
          <cell r="C224" t="str">
            <v>E</v>
          </cell>
          <cell r="D224" t="str">
            <v>H-3470</v>
          </cell>
          <cell r="Y224">
            <v>12056.228611396962</v>
          </cell>
        </row>
        <row r="225">
          <cell r="C225" t="str">
            <v>E</v>
          </cell>
          <cell r="D225" t="str">
            <v>H-3470</v>
          </cell>
          <cell r="Y225">
            <v>3463.4839345165537</v>
          </cell>
        </row>
        <row r="226">
          <cell r="C226" t="str">
            <v>E</v>
          </cell>
          <cell r="D226" t="str">
            <v>H-3470</v>
          </cell>
          <cell r="Y226">
            <v>19395.5100332927</v>
          </cell>
        </row>
        <row r="227">
          <cell r="C227" t="str">
            <v>E</v>
          </cell>
          <cell r="D227" t="str">
            <v>H-3470</v>
          </cell>
          <cell r="Y227">
            <v>1847.191431742162</v>
          </cell>
        </row>
        <row r="228">
          <cell r="C228" t="str">
            <v>E</v>
          </cell>
          <cell r="D228" t="str">
            <v>H-3470</v>
          </cell>
          <cell r="Y228">
            <v>461.79785793554049</v>
          </cell>
        </row>
        <row r="229">
          <cell r="C229" t="str">
            <v>E</v>
          </cell>
          <cell r="D229" t="str">
            <v>H-3470</v>
          </cell>
          <cell r="Y229">
            <v>10852.249661485201</v>
          </cell>
        </row>
        <row r="230">
          <cell r="C230" t="str">
            <v>E</v>
          </cell>
          <cell r="D230" t="str">
            <v>H-3470</v>
          </cell>
          <cell r="Y230">
            <v>17209.506266649871</v>
          </cell>
        </row>
        <row r="231">
          <cell r="C231" t="str">
            <v>E</v>
          </cell>
          <cell r="D231" t="str">
            <v>H-3470</v>
          </cell>
          <cell r="Y231">
            <v>3151.036358682371</v>
          </cell>
        </row>
        <row r="232">
          <cell r="C232" t="str">
            <v>E</v>
          </cell>
          <cell r="D232" t="str">
            <v>H-3470</v>
          </cell>
          <cell r="Y232">
            <v>13573.695083554829</v>
          </cell>
        </row>
        <row r="233">
          <cell r="C233" t="str">
            <v>E</v>
          </cell>
          <cell r="D233" t="str">
            <v>H-3470</v>
          </cell>
          <cell r="Y233">
            <v>969.54964882534489</v>
          </cell>
        </row>
        <row r="234">
          <cell r="C234" t="str">
            <v>E</v>
          </cell>
          <cell r="D234" t="str">
            <v>H-3515</v>
          </cell>
          <cell r="Y234">
            <v>1211.9370610316812</v>
          </cell>
        </row>
        <row r="235">
          <cell r="C235" t="str">
            <v>E</v>
          </cell>
          <cell r="D235" t="str">
            <v>H-3470</v>
          </cell>
          <cell r="Y235">
            <v>16526.519389162408</v>
          </cell>
        </row>
        <row r="236">
          <cell r="C236" t="str">
            <v>E</v>
          </cell>
          <cell r="D236" t="str">
            <v>H-3470</v>
          </cell>
          <cell r="Y236">
            <v>3305.3038778324817</v>
          </cell>
        </row>
        <row r="237">
          <cell r="C237" t="str">
            <v>E</v>
          </cell>
          <cell r="D237" t="str">
            <v>H-3470</v>
          </cell>
          <cell r="Y237">
            <v>20304.009535256671</v>
          </cell>
        </row>
        <row r="238">
          <cell r="C238" t="str">
            <v>E</v>
          </cell>
          <cell r="D238" t="str">
            <v>H-3470</v>
          </cell>
          <cell r="Y238">
            <v>10820.172851892135</v>
          </cell>
        </row>
        <row r="239">
          <cell r="C239" t="str">
            <v>M</v>
          </cell>
          <cell r="D239" t="str">
            <v>STSA-1</v>
          </cell>
          <cell r="Y239">
            <v>1683.1379991832212</v>
          </cell>
        </row>
        <row r="240">
          <cell r="C240" t="str">
            <v>E</v>
          </cell>
          <cell r="D240" t="str">
            <v>CAM.NORTE</v>
          </cell>
          <cell r="Y240">
            <v>3125.8277127688393</v>
          </cell>
        </row>
        <row r="241">
          <cell r="C241" t="str">
            <v>E</v>
          </cell>
          <cell r="D241" t="str">
            <v>H-3470</v>
          </cell>
          <cell r="Y241">
            <v>13946.000564660975</v>
          </cell>
        </row>
        <row r="242">
          <cell r="C242" t="str">
            <v>E</v>
          </cell>
          <cell r="D242" t="str">
            <v>H-3470</v>
          </cell>
          <cell r="Y242">
            <v>1202.2414279880152</v>
          </cell>
        </row>
        <row r="243">
          <cell r="C243" t="str">
            <v>E</v>
          </cell>
          <cell r="D243" t="str">
            <v>H-3515</v>
          </cell>
          <cell r="Y243">
            <v>2885.3794271712363</v>
          </cell>
        </row>
        <row r="244">
          <cell r="C244" t="str">
            <v>E</v>
          </cell>
          <cell r="D244" t="str">
            <v>H-3515</v>
          </cell>
          <cell r="Y244">
            <v>7166.2778741726106</v>
          </cell>
        </row>
        <row r="245">
          <cell r="C245" t="str">
            <v>E</v>
          </cell>
          <cell r="D245" t="str">
            <v>H-3470</v>
          </cell>
          <cell r="Y245">
            <v>12093.09391266628</v>
          </cell>
        </row>
        <row r="246">
          <cell r="C246" t="str">
            <v>E</v>
          </cell>
          <cell r="D246" t="str">
            <v>H-3470</v>
          </cell>
          <cell r="Y246">
            <v>671.83855070368224</v>
          </cell>
        </row>
        <row r="247">
          <cell r="C247" t="str">
            <v>E</v>
          </cell>
          <cell r="D247" t="str">
            <v>N-3455</v>
          </cell>
          <cell r="Y247">
            <v>2911.3003863826229</v>
          </cell>
        </row>
        <row r="248">
          <cell r="C248" t="str">
            <v>M</v>
          </cell>
          <cell r="D248" t="str">
            <v>STSA-1</v>
          </cell>
          <cell r="Y248">
            <v>14780.448115481009</v>
          </cell>
        </row>
        <row r="249">
          <cell r="C249" t="str">
            <v>M</v>
          </cell>
          <cell r="D249" t="str">
            <v>STSA-1</v>
          </cell>
          <cell r="Y249">
            <v>2078.2894736842109</v>
          </cell>
        </row>
        <row r="250">
          <cell r="C250" t="str">
            <v>E</v>
          </cell>
          <cell r="D250" t="str">
            <v>H-3515</v>
          </cell>
          <cell r="Y250">
            <v>4156.5789473684217</v>
          </cell>
        </row>
        <row r="251">
          <cell r="C251" t="str">
            <v>E</v>
          </cell>
          <cell r="D251" t="str">
            <v>H-3515</v>
          </cell>
          <cell r="Y251">
            <v>3694.7368421052633</v>
          </cell>
        </row>
        <row r="252">
          <cell r="C252" t="str">
            <v>E</v>
          </cell>
          <cell r="D252" t="str">
            <v>H-3470</v>
          </cell>
          <cell r="Y252">
            <v>2078.2894736842109</v>
          </cell>
        </row>
        <row r="253">
          <cell r="C253" t="str">
            <v>E</v>
          </cell>
          <cell r="D253" t="str">
            <v>H-3470</v>
          </cell>
          <cell r="Y253">
            <v>2540.1315789473683</v>
          </cell>
        </row>
        <row r="254">
          <cell r="C254" t="str">
            <v>M</v>
          </cell>
          <cell r="D254" t="str">
            <v>STSA-1</v>
          </cell>
          <cell r="Y254">
            <v>9510.7306834579576</v>
          </cell>
        </row>
        <row r="255">
          <cell r="Y255">
            <v>6959.0712317985053</v>
          </cell>
        </row>
        <row r="256">
          <cell r="Y256">
            <v>3247.5665748393026</v>
          </cell>
        </row>
        <row r="257">
          <cell r="Y257">
            <v>23711.236246392498</v>
          </cell>
        </row>
        <row r="258">
          <cell r="Y258">
            <v>20154.550809433626</v>
          </cell>
        </row>
        <row r="259">
          <cell r="Y259">
            <v>948.44944985569998</v>
          </cell>
        </row>
        <row r="260">
          <cell r="Y260">
            <v>8357.4947257383974</v>
          </cell>
        </row>
        <row r="261">
          <cell r="Y261">
            <v>14735.582805907174</v>
          </cell>
        </row>
        <row r="262">
          <cell r="Y262">
            <v>23237.692250813372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Fase banco"/>
      <sheetName val="Hoja2"/>
      <sheetName val="base"/>
      <sheetName val="Parameters"/>
      <sheetName val="Systeme"/>
      <sheetName val="Profit_Waterfalls"/>
    </sheetNames>
    <sheetDataSet>
      <sheetData sheetId="0"/>
      <sheetData sheetId="1"/>
      <sheetData sheetId="2"/>
      <sheetData sheetId="3" refreshError="1">
        <row r="2">
          <cell r="C2" t="str">
            <v>E</v>
          </cell>
          <cell r="D2" t="str">
            <v>R-CRATER</v>
          </cell>
          <cell r="Y2">
            <v>25709.996117178453</v>
          </cell>
        </row>
        <row r="3">
          <cell r="C3" t="str">
            <v>M</v>
          </cell>
          <cell r="D3" t="str">
            <v>STSA-1</v>
          </cell>
          <cell r="Y3">
            <v>18823.390014362794</v>
          </cell>
        </row>
        <row r="4">
          <cell r="C4" t="str">
            <v>M</v>
          </cell>
          <cell r="D4" t="str">
            <v>STSA-1</v>
          </cell>
          <cell r="Y4">
            <v>5279.7313454920031</v>
          </cell>
        </row>
        <row r="5">
          <cell r="C5" t="str">
            <v>E</v>
          </cell>
          <cell r="D5" t="str">
            <v>R-CRATER</v>
          </cell>
          <cell r="Y5">
            <v>1377.3212205631314</v>
          </cell>
        </row>
        <row r="6">
          <cell r="C6" t="str">
            <v>E</v>
          </cell>
          <cell r="D6" t="str">
            <v>H-3470</v>
          </cell>
          <cell r="Y6">
            <v>5968.391955773569</v>
          </cell>
        </row>
        <row r="7">
          <cell r="C7" t="str">
            <v>M</v>
          </cell>
          <cell r="D7" t="str">
            <v>STSA-1</v>
          </cell>
          <cell r="Y7">
            <v>14082.918461423755</v>
          </cell>
        </row>
        <row r="8">
          <cell r="C8" t="str">
            <v>E</v>
          </cell>
          <cell r="D8" t="str">
            <v>R-CRATER</v>
          </cell>
          <cell r="Y8">
            <v>22714.384615199604</v>
          </cell>
        </row>
        <row r="9">
          <cell r="C9" t="str">
            <v>E</v>
          </cell>
          <cell r="D9" t="str">
            <v>R-CRATER</v>
          </cell>
          <cell r="Y9">
            <v>1362.8630769119761</v>
          </cell>
        </row>
        <row r="10">
          <cell r="C10" t="str">
            <v>E</v>
          </cell>
          <cell r="D10" t="str">
            <v>R-CRATER</v>
          </cell>
          <cell r="Y10">
            <v>1590.0069230639722</v>
          </cell>
        </row>
        <row r="11">
          <cell r="C11" t="str">
            <v>E</v>
          </cell>
          <cell r="D11" t="str">
            <v>H-3470</v>
          </cell>
          <cell r="Y11">
            <v>7950.0346153198607</v>
          </cell>
        </row>
        <row r="12">
          <cell r="C12" t="str">
            <v>E</v>
          </cell>
          <cell r="D12" t="str">
            <v>R-CRATER</v>
          </cell>
          <cell r="Y12">
            <v>11357.192307599802</v>
          </cell>
        </row>
        <row r="13">
          <cell r="C13" t="str">
            <v>E</v>
          </cell>
          <cell r="D13" t="str">
            <v>H-3470</v>
          </cell>
          <cell r="Y13">
            <v>454.28769230399206</v>
          </cell>
        </row>
        <row r="14">
          <cell r="C14" t="str">
            <v>E</v>
          </cell>
          <cell r="D14" t="str">
            <v>R-CRATER</v>
          </cell>
          <cell r="Y14">
            <v>36024.679151742464</v>
          </cell>
        </row>
        <row r="15">
          <cell r="C15" t="str">
            <v>M</v>
          </cell>
          <cell r="D15" t="str">
            <v>STSB-1</v>
          </cell>
          <cell r="Y15">
            <v>8030.9794287323957</v>
          </cell>
        </row>
        <row r="16">
          <cell r="C16" t="str">
            <v>E</v>
          </cell>
          <cell r="D16" t="str">
            <v>R-CRATER</v>
          </cell>
          <cell r="Y16">
            <v>3441.8483265995983</v>
          </cell>
        </row>
        <row r="17">
          <cell r="C17" t="str">
            <v>M</v>
          </cell>
          <cell r="D17" t="str">
            <v>STSA-1</v>
          </cell>
          <cell r="Y17">
            <v>1606.1958857464792</v>
          </cell>
        </row>
        <row r="18">
          <cell r="C18" t="str">
            <v>E</v>
          </cell>
          <cell r="D18" t="str">
            <v>R-CRATER</v>
          </cell>
          <cell r="Y18">
            <v>7572.0663185191161</v>
          </cell>
        </row>
        <row r="19">
          <cell r="C19" t="str">
            <v>M</v>
          </cell>
          <cell r="D19" t="str">
            <v>STSA-1</v>
          </cell>
          <cell r="Y19">
            <v>8489.8925389456763</v>
          </cell>
        </row>
        <row r="20">
          <cell r="C20" t="str">
            <v>E</v>
          </cell>
          <cell r="D20" t="str">
            <v>R-CRATER</v>
          </cell>
          <cell r="Y20">
            <v>1835.6524408531191</v>
          </cell>
        </row>
        <row r="21">
          <cell r="C21" t="str">
            <v>E</v>
          </cell>
          <cell r="D21" t="str">
            <v>R-CRATER</v>
          </cell>
          <cell r="Y21">
            <v>40298.193794061262</v>
          </cell>
        </row>
        <row r="22">
          <cell r="C22" t="str">
            <v>M</v>
          </cell>
          <cell r="D22" t="str">
            <v>STSB-1</v>
          </cell>
          <cell r="Y22">
            <v>1831.7360815482391</v>
          </cell>
        </row>
        <row r="23">
          <cell r="C23" t="str">
            <v>E</v>
          </cell>
          <cell r="D23" t="str">
            <v>H-3470</v>
          </cell>
          <cell r="Y23">
            <v>1144.8350509676495</v>
          </cell>
        </row>
        <row r="24">
          <cell r="C24" t="str">
            <v>M</v>
          </cell>
          <cell r="D24" t="str">
            <v>STSB-1</v>
          </cell>
          <cell r="Y24">
            <v>6869.0103058058967</v>
          </cell>
        </row>
        <row r="25">
          <cell r="C25" t="str">
            <v>E</v>
          </cell>
          <cell r="D25" t="str">
            <v>H-3470</v>
          </cell>
          <cell r="Y25">
            <v>4808.3072140641279</v>
          </cell>
        </row>
        <row r="26">
          <cell r="C26" t="str">
            <v>M</v>
          </cell>
          <cell r="D26" t="str">
            <v>STSA-1</v>
          </cell>
          <cell r="Y26">
            <v>7555.9113363864863</v>
          </cell>
        </row>
        <row r="27">
          <cell r="C27" t="str">
            <v>M</v>
          </cell>
          <cell r="D27" t="str">
            <v>STSB-1</v>
          </cell>
          <cell r="Y27">
            <v>4563.750408321549</v>
          </cell>
        </row>
        <row r="28">
          <cell r="C28" t="str">
            <v>E</v>
          </cell>
          <cell r="D28" t="str">
            <v>CRATER</v>
          </cell>
          <cell r="Y28">
            <v>24872.439725352444</v>
          </cell>
        </row>
        <row r="29">
          <cell r="C29" t="str">
            <v>E</v>
          </cell>
          <cell r="D29" t="str">
            <v>H-3470</v>
          </cell>
          <cell r="Y29">
            <v>1825.5001633286197</v>
          </cell>
        </row>
        <row r="30">
          <cell r="C30" t="str">
            <v>M</v>
          </cell>
          <cell r="D30" t="str">
            <v>STSA-1</v>
          </cell>
          <cell r="Y30">
            <v>2281.8752041607745</v>
          </cell>
        </row>
        <row r="31">
          <cell r="C31" t="str">
            <v>E</v>
          </cell>
          <cell r="D31" t="str">
            <v>CRATER</v>
          </cell>
          <cell r="Y31">
            <v>3651.0003266572394</v>
          </cell>
        </row>
        <row r="32">
          <cell r="C32" t="str">
            <v>E</v>
          </cell>
          <cell r="D32" t="str">
            <v>H-3470</v>
          </cell>
          <cell r="Y32">
            <v>20080.501796614815</v>
          </cell>
        </row>
        <row r="33">
          <cell r="C33" t="str">
            <v>M</v>
          </cell>
          <cell r="D33" t="str">
            <v>STSA-1</v>
          </cell>
          <cell r="Y33">
            <v>3646.749798002405</v>
          </cell>
        </row>
        <row r="34">
          <cell r="C34" t="str">
            <v>M</v>
          </cell>
          <cell r="D34" t="str">
            <v>STSB-1</v>
          </cell>
          <cell r="Y34">
            <v>227.92186237515031</v>
          </cell>
        </row>
        <row r="35">
          <cell r="C35" t="str">
            <v>E</v>
          </cell>
          <cell r="D35" t="str">
            <v>RCRATER</v>
          </cell>
          <cell r="Y35">
            <v>6837.6558712545093</v>
          </cell>
        </row>
        <row r="36">
          <cell r="C36" t="str">
            <v>M</v>
          </cell>
          <cell r="D36" t="str">
            <v>STSB-1</v>
          </cell>
          <cell r="Y36">
            <v>13447.389880133869</v>
          </cell>
        </row>
        <row r="37">
          <cell r="C37" t="str">
            <v>E</v>
          </cell>
          <cell r="D37" t="str">
            <v>H-3470</v>
          </cell>
          <cell r="Y37">
            <v>16182.452228635671</v>
          </cell>
        </row>
        <row r="38">
          <cell r="C38" t="str">
            <v>E</v>
          </cell>
          <cell r="D38" t="str">
            <v>H-3470</v>
          </cell>
          <cell r="Y38">
            <v>9116.8744950060118</v>
          </cell>
        </row>
        <row r="39">
          <cell r="C39" t="str">
            <v>E</v>
          </cell>
          <cell r="D39" t="str">
            <v>RCRATER</v>
          </cell>
          <cell r="Y39">
            <v>9800.6400821314637</v>
          </cell>
        </row>
        <row r="40">
          <cell r="C40" t="str">
            <v>M</v>
          </cell>
          <cell r="D40" t="str">
            <v>STSA-1</v>
          </cell>
          <cell r="Y40">
            <v>7291.2053615116947</v>
          </cell>
        </row>
        <row r="41">
          <cell r="C41" t="str">
            <v>M</v>
          </cell>
          <cell r="D41" t="str">
            <v>STSB-1</v>
          </cell>
          <cell r="Y41">
            <v>6835.5050264172141</v>
          </cell>
        </row>
        <row r="42">
          <cell r="C42" t="str">
            <v>E</v>
          </cell>
          <cell r="D42" t="str">
            <v>CRATER</v>
          </cell>
          <cell r="Y42">
            <v>34861.075634727793</v>
          </cell>
        </row>
        <row r="43">
          <cell r="C43" t="str">
            <v>M</v>
          </cell>
          <cell r="D43" t="str">
            <v>STSB-1</v>
          </cell>
          <cell r="Y43">
            <v>4329.1531833975687</v>
          </cell>
        </row>
        <row r="44">
          <cell r="C44" t="str">
            <v>E</v>
          </cell>
          <cell r="D44" t="str">
            <v>CRATER</v>
          </cell>
          <cell r="Y44">
            <v>1822.8013403779237</v>
          </cell>
        </row>
        <row r="45">
          <cell r="C45" t="str">
            <v>E</v>
          </cell>
          <cell r="D45" t="str">
            <v>H-3470</v>
          </cell>
          <cell r="Y45">
            <v>20050.81474415716</v>
          </cell>
        </row>
        <row r="46">
          <cell r="C46" t="str">
            <v>E</v>
          </cell>
          <cell r="D46" t="str">
            <v>RCRATER</v>
          </cell>
          <cell r="Y46">
            <v>23396.843431693909</v>
          </cell>
        </row>
        <row r="47">
          <cell r="C47" t="str">
            <v>E</v>
          </cell>
          <cell r="D47" t="str">
            <v>RCRATER</v>
          </cell>
          <cell r="Y47">
            <v>14130.766825082459</v>
          </cell>
        </row>
        <row r="48">
          <cell r="C48" t="str">
            <v>M</v>
          </cell>
          <cell r="D48" t="str">
            <v>STSB-1</v>
          </cell>
          <cell r="Y48">
            <v>5327.9940488015836</v>
          </cell>
        </row>
        <row r="49">
          <cell r="C49" t="str">
            <v>E</v>
          </cell>
          <cell r="D49" t="str">
            <v>H-3470</v>
          </cell>
          <cell r="Y49">
            <v>24786.754922685624</v>
          </cell>
        </row>
        <row r="50">
          <cell r="C50" t="str">
            <v>E</v>
          </cell>
          <cell r="D50" t="str">
            <v>RCRATER</v>
          </cell>
          <cell r="Y50">
            <v>231.65191516528623</v>
          </cell>
        </row>
        <row r="51">
          <cell r="C51" t="str">
            <v>E</v>
          </cell>
          <cell r="D51" t="str">
            <v>H-3470</v>
          </cell>
          <cell r="Y51">
            <v>466.11214607931714</v>
          </cell>
        </row>
        <row r="52">
          <cell r="C52" t="str">
            <v>E</v>
          </cell>
          <cell r="D52" t="str">
            <v>CRATER</v>
          </cell>
          <cell r="Y52">
            <v>54302.06501824045</v>
          </cell>
        </row>
        <row r="53">
          <cell r="C53" t="str">
            <v>E</v>
          </cell>
          <cell r="D53" t="str">
            <v>H-3470</v>
          </cell>
          <cell r="Y53">
            <v>7923.9064833483917</v>
          </cell>
        </row>
        <row r="54">
          <cell r="C54" t="str">
            <v>E</v>
          </cell>
          <cell r="D54" t="str">
            <v>CRATER</v>
          </cell>
          <cell r="Y54">
            <v>3495.8410955948784</v>
          </cell>
        </row>
        <row r="55">
          <cell r="C55" t="str">
            <v>E</v>
          </cell>
          <cell r="D55" t="str">
            <v>H-3470</v>
          </cell>
          <cell r="Y55">
            <v>699.16821911897568</v>
          </cell>
        </row>
        <row r="56">
          <cell r="C56" t="str">
            <v>E</v>
          </cell>
          <cell r="D56" t="str">
            <v>H-3470</v>
          </cell>
          <cell r="Y56">
            <v>2330.5607303965858</v>
          </cell>
        </row>
        <row r="57">
          <cell r="C57" t="str">
            <v>E</v>
          </cell>
          <cell r="D57" t="str">
            <v>H-3470</v>
          </cell>
          <cell r="Y57">
            <v>16245.01428919536</v>
          </cell>
        </row>
        <row r="58">
          <cell r="C58" t="str">
            <v>E</v>
          </cell>
          <cell r="D58" t="str">
            <v>CRATER</v>
          </cell>
          <cell r="Y58">
            <v>1194.4863447937764</v>
          </cell>
        </row>
        <row r="59">
          <cell r="C59" t="str">
            <v>E</v>
          </cell>
          <cell r="D59" t="str">
            <v>CRATER</v>
          </cell>
          <cell r="Y59">
            <v>29384.364081926902</v>
          </cell>
        </row>
        <row r="60">
          <cell r="C60" t="str">
            <v>E</v>
          </cell>
          <cell r="D60" t="str">
            <v>H-3470</v>
          </cell>
          <cell r="Y60">
            <v>14196.536524406829</v>
          </cell>
        </row>
        <row r="61">
          <cell r="C61" t="str">
            <v>E</v>
          </cell>
          <cell r="D61" t="str">
            <v>CRATER</v>
          </cell>
          <cell r="Y61">
            <v>20247.519305301543</v>
          </cell>
        </row>
        <row r="62">
          <cell r="C62" t="str">
            <v>E</v>
          </cell>
          <cell r="D62" t="str">
            <v>CRATER</v>
          </cell>
          <cell r="Y62">
            <v>6981.9032087246696</v>
          </cell>
        </row>
        <row r="63">
          <cell r="C63" t="str">
            <v>E</v>
          </cell>
          <cell r="D63" t="str">
            <v>CRATER</v>
          </cell>
          <cell r="Y63">
            <v>7680.0935295971367</v>
          </cell>
        </row>
        <row r="64">
          <cell r="C64" t="str">
            <v>E</v>
          </cell>
          <cell r="D64" t="str">
            <v>CRATER</v>
          </cell>
          <cell r="Y64">
            <v>14710.840004094682</v>
          </cell>
        </row>
        <row r="65">
          <cell r="C65" t="str">
            <v>E</v>
          </cell>
          <cell r="D65" t="str">
            <v>CRATER</v>
          </cell>
          <cell r="Y65">
            <v>19380.947941902519</v>
          </cell>
        </row>
        <row r="66">
          <cell r="C66" t="str">
            <v>E</v>
          </cell>
          <cell r="D66" t="str">
            <v>H-3470</v>
          </cell>
          <cell r="Y66">
            <v>44833.03620295522</v>
          </cell>
        </row>
        <row r="67">
          <cell r="C67" t="str">
            <v>E</v>
          </cell>
          <cell r="D67" t="str">
            <v>H-3470</v>
          </cell>
          <cell r="Y67">
            <v>40058.231719316464</v>
          </cell>
        </row>
        <row r="68">
          <cell r="C68" t="str">
            <v>E</v>
          </cell>
          <cell r="D68" t="str">
            <v>CRATER</v>
          </cell>
          <cell r="Y68">
            <v>14734.062241587666</v>
          </cell>
        </row>
        <row r="69">
          <cell r="C69" t="str">
            <v>E</v>
          </cell>
          <cell r="D69" t="str">
            <v>CRATER</v>
          </cell>
          <cell r="Y69">
            <v>3683.5155603969165</v>
          </cell>
        </row>
        <row r="70">
          <cell r="C70" t="str">
            <v>E</v>
          </cell>
          <cell r="D70" t="str">
            <v>CRATER</v>
          </cell>
          <cell r="Y70">
            <v>9208.788900992291</v>
          </cell>
        </row>
        <row r="71">
          <cell r="C71" t="str">
            <v>E</v>
          </cell>
          <cell r="D71" t="str">
            <v>CRATER</v>
          </cell>
          <cell r="Y71">
            <v>8057.6902883682551</v>
          </cell>
        </row>
        <row r="72">
          <cell r="C72" t="str">
            <v>E</v>
          </cell>
          <cell r="D72" t="str">
            <v>CRATER</v>
          </cell>
          <cell r="Y72">
            <v>7893.0129960357008</v>
          </cell>
        </row>
        <row r="73">
          <cell r="C73" t="str">
            <v>E</v>
          </cell>
          <cell r="D73" t="str">
            <v>CRATER</v>
          </cell>
          <cell r="Y73">
            <v>9750.1925245146886</v>
          </cell>
        </row>
        <row r="74">
          <cell r="C74" t="str">
            <v>E</v>
          </cell>
          <cell r="D74" t="str">
            <v>H-3470</v>
          </cell>
          <cell r="Y74">
            <v>28321.987809304574</v>
          </cell>
        </row>
        <row r="75">
          <cell r="C75" t="str">
            <v>E</v>
          </cell>
          <cell r="D75" t="str">
            <v>CRATER</v>
          </cell>
          <cell r="Y75">
            <v>11143.07717087393</v>
          </cell>
        </row>
        <row r="76">
          <cell r="C76" t="str">
            <v>E</v>
          </cell>
          <cell r="D76" t="str">
            <v>H-3470</v>
          </cell>
          <cell r="Y76">
            <v>40190.233473955595</v>
          </cell>
        </row>
        <row r="77">
          <cell r="C77" t="str">
            <v>E</v>
          </cell>
          <cell r="D77" t="str">
            <v>CRATER</v>
          </cell>
          <cell r="Y77">
            <v>17224.3857745524</v>
          </cell>
        </row>
        <row r="78">
          <cell r="C78" t="str">
            <v>E</v>
          </cell>
          <cell r="D78" t="str">
            <v>CRATER</v>
          </cell>
          <cell r="Y78">
            <v>18372.678159522558</v>
          </cell>
        </row>
        <row r="79">
          <cell r="C79" t="str">
            <v>E</v>
          </cell>
          <cell r="D79" t="str">
            <v>CRATER</v>
          </cell>
          <cell r="Y79">
            <v>11607.39539484789</v>
          </cell>
        </row>
        <row r="80">
          <cell r="C80" t="str">
            <v>E</v>
          </cell>
          <cell r="D80" t="str">
            <v>CRATER</v>
          </cell>
          <cell r="Y80">
            <v>19732.572171241412</v>
          </cell>
        </row>
        <row r="81">
          <cell r="C81" t="str">
            <v>E</v>
          </cell>
          <cell r="D81" t="str">
            <v>H-3470</v>
          </cell>
          <cell r="Y81">
            <v>35750.7778161315</v>
          </cell>
        </row>
        <row r="82">
          <cell r="C82" t="str">
            <v>E</v>
          </cell>
          <cell r="D82" t="str">
            <v>CRATER</v>
          </cell>
          <cell r="Y82">
            <v>1625.0353552787046</v>
          </cell>
        </row>
        <row r="83">
          <cell r="C83" t="str">
            <v>E</v>
          </cell>
          <cell r="D83" t="str">
            <v>H-3470</v>
          </cell>
          <cell r="Y83">
            <v>26171.6796699644</v>
          </cell>
        </row>
        <row r="84">
          <cell r="C84" t="str">
            <v>E</v>
          </cell>
          <cell r="D84" t="str">
            <v>CRATER</v>
          </cell>
          <cell r="Y84">
            <v>13654.789393024905</v>
          </cell>
        </row>
        <row r="85">
          <cell r="C85" t="str">
            <v>E</v>
          </cell>
          <cell r="D85" t="str">
            <v>CRATER</v>
          </cell>
          <cell r="Y85">
            <v>15930.587625195723</v>
          </cell>
        </row>
        <row r="86">
          <cell r="C86" t="str">
            <v>E</v>
          </cell>
          <cell r="D86" t="str">
            <v>H-3470</v>
          </cell>
          <cell r="Y86">
            <v>2503.3780553878992</v>
          </cell>
        </row>
        <row r="87">
          <cell r="C87" t="str">
            <v>E</v>
          </cell>
          <cell r="D87" t="str">
            <v>H-3470</v>
          </cell>
          <cell r="Y87">
            <v>15029.770538924748</v>
          </cell>
        </row>
        <row r="88">
          <cell r="C88" t="str">
            <v>E</v>
          </cell>
          <cell r="D88" t="str">
            <v>H-3470</v>
          </cell>
          <cell r="Y88">
            <v>4461.9631287432849</v>
          </cell>
        </row>
        <row r="89">
          <cell r="C89" t="str">
            <v>E</v>
          </cell>
          <cell r="D89" t="str">
            <v>CRATER</v>
          </cell>
          <cell r="Y89">
            <v>10098.127080840064</v>
          </cell>
        </row>
        <row r="90">
          <cell r="C90" t="str">
            <v>E</v>
          </cell>
          <cell r="D90" t="str">
            <v>CRATER</v>
          </cell>
          <cell r="Y90">
            <v>21840.135314375024</v>
          </cell>
        </row>
        <row r="91">
          <cell r="C91" t="str">
            <v>E</v>
          </cell>
          <cell r="D91" t="str">
            <v>H-3470</v>
          </cell>
          <cell r="Y91">
            <v>34655.440003529817</v>
          </cell>
        </row>
        <row r="92">
          <cell r="C92" t="str">
            <v>E</v>
          </cell>
          <cell r="D92" t="str">
            <v>CRATER</v>
          </cell>
          <cell r="Y92">
            <v>1800.2825975859644</v>
          </cell>
        </row>
        <row r="93">
          <cell r="C93" t="str">
            <v>E</v>
          </cell>
          <cell r="D93" t="str">
            <v>CRATER</v>
          </cell>
          <cell r="Y93">
            <v>11476.801559610523</v>
          </cell>
        </row>
        <row r="94">
          <cell r="C94" t="str">
            <v>E</v>
          </cell>
          <cell r="D94" t="str">
            <v>CRATER</v>
          </cell>
          <cell r="Y94">
            <v>1125.1766234912277</v>
          </cell>
        </row>
        <row r="95">
          <cell r="C95" t="str">
            <v>E</v>
          </cell>
          <cell r="D95" t="str">
            <v>CRATER</v>
          </cell>
          <cell r="Y95">
            <v>12376.942858403505</v>
          </cell>
        </row>
        <row r="96">
          <cell r="C96" t="str">
            <v>E</v>
          </cell>
          <cell r="D96" t="str">
            <v>H-3470</v>
          </cell>
          <cell r="Y96">
            <v>31147.361247710498</v>
          </cell>
        </row>
        <row r="97">
          <cell r="C97" t="str">
            <v>E</v>
          </cell>
          <cell r="D97" t="str">
            <v>CRATER</v>
          </cell>
          <cell r="Y97">
            <v>19906.208316205957</v>
          </cell>
        </row>
        <row r="98">
          <cell r="C98" t="str">
            <v>E</v>
          </cell>
          <cell r="D98" t="str">
            <v>CRATER</v>
          </cell>
          <cell r="Y98">
            <v>7962.4833264823828</v>
          </cell>
        </row>
        <row r="99">
          <cell r="C99" t="str">
            <v>E</v>
          </cell>
          <cell r="D99" t="str">
            <v>CRATER</v>
          </cell>
          <cell r="Y99">
            <v>10304.390187212495</v>
          </cell>
        </row>
        <row r="100">
          <cell r="C100" t="str">
            <v>E</v>
          </cell>
          <cell r="D100" t="str">
            <v>H-3470</v>
          </cell>
          <cell r="Y100">
            <v>40594.806415522529</v>
          </cell>
        </row>
        <row r="101">
          <cell r="C101" t="str">
            <v>E</v>
          </cell>
          <cell r="D101" t="str">
            <v>CRATER</v>
          </cell>
          <cell r="Y101">
            <v>10206.694184474236</v>
          </cell>
        </row>
        <row r="102">
          <cell r="C102" t="str">
            <v>E</v>
          </cell>
          <cell r="D102" t="str">
            <v>CRATER</v>
          </cell>
          <cell r="Y102">
            <v>7423.0503159812624</v>
          </cell>
        </row>
        <row r="103">
          <cell r="C103" t="str">
            <v>E</v>
          </cell>
          <cell r="D103" t="str">
            <v>H-3470</v>
          </cell>
          <cell r="Y103">
            <v>13454.278697716038</v>
          </cell>
        </row>
        <row r="104">
          <cell r="C104" t="str">
            <v>E</v>
          </cell>
          <cell r="D104" t="str">
            <v>H-3470</v>
          </cell>
          <cell r="Y104">
            <v>31336.484407353728</v>
          </cell>
        </row>
        <row r="105">
          <cell r="C105" t="str">
            <v>E</v>
          </cell>
          <cell r="D105" t="str">
            <v>CRATER</v>
          </cell>
          <cell r="Y105">
            <v>10445.494802451243</v>
          </cell>
        </row>
        <row r="106">
          <cell r="C106" t="str">
            <v>E</v>
          </cell>
          <cell r="D106" t="str">
            <v>H-3470</v>
          </cell>
          <cell r="Y106">
            <v>16248.547470479711</v>
          </cell>
        </row>
        <row r="107">
          <cell r="C107" t="str">
            <v>E</v>
          </cell>
          <cell r="D107" t="str">
            <v>CRATER</v>
          </cell>
          <cell r="Y107">
            <v>7660.0295217975781</v>
          </cell>
        </row>
        <row r="108">
          <cell r="C108" t="str">
            <v>E</v>
          </cell>
          <cell r="D108" t="str">
            <v>H-3470</v>
          </cell>
          <cell r="Y108">
            <v>29764.657001442378</v>
          </cell>
        </row>
        <row r="109">
          <cell r="C109" t="str">
            <v>E</v>
          </cell>
          <cell r="D109" t="str">
            <v>RCRATER</v>
          </cell>
          <cell r="Y109">
            <v>4509.796515370057</v>
          </cell>
        </row>
        <row r="110">
          <cell r="C110" t="str">
            <v>E</v>
          </cell>
          <cell r="D110" t="str">
            <v>H-3470</v>
          </cell>
          <cell r="Y110">
            <v>7892.1439018976007</v>
          </cell>
        </row>
        <row r="111">
          <cell r="C111" t="str">
            <v>E</v>
          </cell>
          <cell r="D111" t="str">
            <v>RCRATER</v>
          </cell>
          <cell r="Y111">
            <v>3156.8575607590401</v>
          </cell>
        </row>
        <row r="112">
          <cell r="C112" t="str">
            <v>E</v>
          </cell>
          <cell r="D112" t="str">
            <v>H-3470</v>
          </cell>
          <cell r="Y112">
            <v>1127.4491288425143</v>
          </cell>
        </row>
        <row r="113">
          <cell r="C113" t="str">
            <v>E</v>
          </cell>
          <cell r="D113" t="str">
            <v>H-3470</v>
          </cell>
          <cell r="Y113">
            <v>11724.915026300308</v>
          </cell>
        </row>
        <row r="114">
          <cell r="C114" t="str">
            <v>E</v>
          </cell>
          <cell r="D114" t="str">
            <v>H-3470</v>
          </cell>
          <cell r="Y114">
            <v>28047.835945267405</v>
          </cell>
        </row>
        <row r="115">
          <cell r="C115" t="str">
            <v>E</v>
          </cell>
          <cell r="D115" t="str">
            <v>H-3470</v>
          </cell>
          <cell r="Y115">
            <v>5977.4076604668235</v>
          </cell>
        </row>
        <row r="116">
          <cell r="C116" t="str">
            <v>E</v>
          </cell>
          <cell r="D116" t="str">
            <v>H-3470</v>
          </cell>
          <cell r="Y116">
            <v>1609.3020624333756</v>
          </cell>
        </row>
        <row r="117">
          <cell r="C117" t="str">
            <v>E</v>
          </cell>
          <cell r="D117" t="str">
            <v>H-3470</v>
          </cell>
          <cell r="Y117">
            <v>2528.9032409667329</v>
          </cell>
        </row>
        <row r="118">
          <cell r="C118" t="str">
            <v>E</v>
          </cell>
          <cell r="D118" t="str">
            <v>H-3470</v>
          </cell>
          <cell r="Y118">
            <v>35128.80647473233</v>
          </cell>
        </row>
        <row r="119">
          <cell r="C119" t="str">
            <v>E</v>
          </cell>
          <cell r="D119" t="str">
            <v>H-3470</v>
          </cell>
          <cell r="Y119">
            <v>707.29140553152342</v>
          </cell>
        </row>
        <row r="120">
          <cell r="C120" t="str">
            <v>E</v>
          </cell>
          <cell r="D120" t="str">
            <v>H-3470</v>
          </cell>
          <cell r="Y120">
            <v>16974.993732756564</v>
          </cell>
        </row>
        <row r="121">
          <cell r="C121" t="str">
            <v>E</v>
          </cell>
          <cell r="D121" t="str">
            <v>H-3470</v>
          </cell>
          <cell r="Y121">
            <v>11080.898686660534</v>
          </cell>
        </row>
        <row r="122">
          <cell r="C122" t="str">
            <v>E</v>
          </cell>
          <cell r="D122" t="str">
            <v>H-3470</v>
          </cell>
          <cell r="Y122">
            <v>4715.2760368768231</v>
          </cell>
        </row>
        <row r="123">
          <cell r="C123" t="str">
            <v>E</v>
          </cell>
          <cell r="D123" t="str">
            <v>H-3470</v>
          </cell>
          <cell r="Y123">
            <v>35809.20914081017</v>
          </cell>
        </row>
        <row r="124">
          <cell r="C124" t="str">
            <v>E</v>
          </cell>
          <cell r="D124" t="str">
            <v>H-3470</v>
          </cell>
          <cell r="Y124">
            <v>10627.24916436947</v>
          </cell>
        </row>
        <row r="125">
          <cell r="C125" t="str">
            <v>E</v>
          </cell>
          <cell r="D125" t="str">
            <v>H-3470</v>
          </cell>
          <cell r="Y125">
            <v>11320.330631610957</v>
          </cell>
        </row>
        <row r="126">
          <cell r="C126" t="str">
            <v>E</v>
          </cell>
          <cell r="D126" t="str">
            <v>H-3470</v>
          </cell>
          <cell r="Y126">
            <v>6930.8146724148719</v>
          </cell>
        </row>
        <row r="127">
          <cell r="C127" t="str">
            <v>E</v>
          </cell>
          <cell r="D127" t="str">
            <v>CRATER</v>
          </cell>
          <cell r="Y127">
            <v>4620.5431149432479</v>
          </cell>
        </row>
        <row r="128">
          <cell r="C128" t="str">
            <v>E</v>
          </cell>
          <cell r="D128" t="str">
            <v>H-3470</v>
          </cell>
          <cell r="Y128">
            <v>37477.551747888167</v>
          </cell>
        </row>
        <row r="129">
          <cell r="C129" t="str">
            <v>E</v>
          </cell>
          <cell r="D129" t="str">
            <v>H-3470</v>
          </cell>
          <cell r="Y129">
            <v>15556.719593463013</v>
          </cell>
        </row>
        <row r="130">
          <cell r="C130" t="str">
            <v>E</v>
          </cell>
          <cell r="D130" t="str">
            <v>H-3470</v>
          </cell>
          <cell r="Y130">
            <v>8485.4834146161884</v>
          </cell>
        </row>
        <row r="131">
          <cell r="C131" t="str">
            <v>E</v>
          </cell>
          <cell r="D131" t="str">
            <v>RCRATER</v>
          </cell>
          <cell r="Y131">
            <v>7778.3597967315063</v>
          </cell>
        </row>
        <row r="132">
          <cell r="C132" t="str">
            <v>E</v>
          </cell>
          <cell r="D132" t="str">
            <v>RCRATER</v>
          </cell>
          <cell r="Y132">
            <v>3064.2023441669571</v>
          </cell>
        </row>
        <row r="133">
          <cell r="C133" t="str">
            <v>E</v>
          </cell>
          <cell r="D133" t="str">
            <v>H-3470</v>
          </cell>
          <cell r="Y133">
            <v>34568.151730893034</v>
          </cell>
        </row>
        <row r="134">
          <cell r="C134" t="str">
            <v>E</v>
          </cell>
          <cell r="D134" t="str">
            <v>H-3470</v>
          </cell>
          <cell r="Y134">
            <v>2821.889937215758</v>
          </cell>
        </row>
        <row r="135">
          <cell r="C135" t="str">
            <v>M</v>
          </cell>
          <cell r="D135" t="str">
            <v>STSB-1</v>
          </cell>
          <cell r="Y135">
            <v>2116.4174529118186</v>
          </cell>
        </row>
        <row r="136">
          <cell r="C136" t="str">
            <v>E</v>
          </cell>
          <cell r="D136" t="str">
            <v>CRATER</v>
          </cell>
          <cell r="Y136">
            <v>6349.2523587354553</v>
          </cell>
        </row>
        <row r="137">
          <cell r="C137" t="str">
            <v>E</v>
          </cell>
          <cell r="D137" t="str">
            <v>H-3470</v>
          </cell>
          <cell r="Y137">
            <v>0</v>
          </cell>
        </row>
        <row r="138">
          <cell r="C138" t="str">
            <v>E</v>
          </cell>
          <cell r="D138" t="str">
            <v>H-3470</v>
          </cell>
          <cell r="Y138">
            <v>11993.032233166972</v>
          </cell>
        </row>
        <row r="139">
          <cell r="C139" t="str">
            <v>M</v>
          </cell>
          <cell r="D139" t="str">
            <v>STSB-1</v>
          </cell>
          <cell r="Y139">
            <v>5408.6223796635368</v>
          </cell>
        </row>
        <row r="140">
          <cell r="C140" t="str">
            <v>E</v>
          </cell>
          <cell r="D140" t="str">
            <v>H-3470</v>
          </cell>
          <cell r="Y140">
            <v>25186.802820319888</v>
          </cell>
        </row>
        <row r="141">
          <cell r="C141" t="str">
            <v>E</v>
          </cell>
          <cell r="D141" t="str">
            <v>H-3470</v>
          </cell>
          <cell r="Y141">
            <v>7327.0699113657856</v>
          </cell>
        </row>
        <row r="142">
          <cell r="C142" t="str">
            <v>E</v>
          </cell>
          <cell r="D142" t="str">
            <v>RCRATER</v>
          </cell>
          <cell r="Y142">
            <v>15570.023561652295</v>
          </cell>
        </row>
        <row r="143">
          <cell r="C143" t="str">
            <v>E</v>
          </cell>
          <cell r="D143" t="str">
            <v>H-3470</v>
          </cell>
          <cell r="Y143">
            <v>12364.430475429763</v>
          </cell>
        </row>
        <row r="144">
          <cell r="C144" t="str">
            <v>E</v>
          </cell>
          <cell r="D144" t="str">
            <v>H-3470</v>
          </cell>
          <cell r="Y144">
            <v>1602.7965431112657</v>
          </cell>
        </row>
        <row r="145">
          <cell r="C145" t="str">
            <v>E</v>
          </cell>
          <cell r="D145" t="str">
            <v>H-3470</v>
          </cell>
          <cell r="Y145">
            <v>2289.7093473018081</v>
          </cell>
        </row>
        <row r="146">
          <cell r="C146" t="str">
            <v>E</v>
          </cell>
          <cell r="D146" t="str">
            <v>H-3470</v>
          </cell>
          <cell r="Y146">
            <v>28314.699440815286</v>
          </cell>
        </row>
        <row r="147">
          <cell r="C147" t="str">
            <v>M</v>
          </cell>
          <cell r="D147" t="str">
            <v>STSA-1</v>
          </cell>
          <cell r="Y147">
            <v>14042.249316176685</v>
          </cell>
        </row>
        <row r="148">
          <cell r="C148" t="str">
            <v>M</v>
          </cell>
          <cell r="D148" t="str">
            <v>STSB-1</v>
          </cell>
          <cell r="Y148">
            <v>6445.6226369335609</v>
          </cell>
        </row>
        <row r="149">
          <cell r="C149" t="str">
            <v>E</v>
          </cell>
          <cell r="D149" t="str">
            <v>CRATER</v>
          </cell>
          <cell r="Y149">
            <v>1151.0040423095645</v>
          </cell>
        </row>
        <row r="150">
          <cell r="C150" t="str">
            <v>E</v>
          </cell>
          <cell r="D150" t="str">
            <v>H-3470</v>
          </cell>
          <cell r="Y150">
            <v>7596.6266792431252</v>
          </cell>
        </row>
        <row r="151">
          <cell r="C151" t="str">
            <v>E</v>
          </cell>
          <cell r="D151" t="str">
            <v>H-3470</v>
          </cell>
          <cell r="Y151">
            <v>39216.551755177185</v>
          </cell>
        </row>
        <row r="152">
          <cell r="C152" t="str">
            <v>M</v>
          </cell>
          <cell r="D152" t="str">
            <v>STSA-1</v>
          </cell>
          <cell r="Y152">
            <v>14054.486756190669</v>
          </cell>
        </row>
        <row r="153">
          <cell r="C153" t="str">
            <v>E</v>
          </cell>
          <cell r="D153" t="str">
            <v>H-3470</v>
          </cell>
          <cell r="Y153">
            <v>3626.9643241782369</v>
          </cell>
        </row>
        <row r="154">
          <cell r="C154" t="str">
            <v>E</v>
          </cell>
          <cell r="D154" t="str">
            <v>RCRATER</v>
          </cell>
          <cell r="Y154">
            <v>5440.4464862673558</v>
          </cell>
        </row>
        <row r="155">
          <cell r="C155" t="str">
            <v>M</v>
          </cell>
          <cell r="D155" t="str">
            <v>STSB-1</v>
          </cell>
          <cell r="Y155">
            <v>1133.426351305699</v>
          </cell>
        </row>
        <row r="156">
          <cell r="C156" t="str">
            <v>E</v>
          </cell>
          <cell r="D156" t="str">
            <v>H-3470</v>
          </cell>
          <cell r="Y156">
            <v>28431.935146076765</v>
          </cell>
        </row>
        <row r="157">
          <cell r="C157" t="str">
            <v>M</v>
          </cell>
          <cell r="D157" t="str">
            <v>STSA-1</v>
          </cell>
          <cell r="Y157">
            <v>22565.027893711718</v>
          </cell>
        </row>
        <row r="158">
          <cell r="C158" t="str">
            <v>E</v>
          </cell>
          <cell r="D158" t="str">
            <v>CRATER</v>
          </cell>
          <cell r="Y158">
            <v>9928.6122732331551</v>
          </cell>
        </row>
        <row r="159">
          <cell r="C159" t="str">
            <v>E</v>
          </cell>
          <cell r="D159" t="str">
            <v>H-3470</v>
          </cell>
          <cell r="Y159">
            <v>3384.7541840567578</v>
          </cell>
        </row>
        <row r="160">
          <cell r="C160" t="str">
            <v>E</v>
          </cell>
          <cell r="D160" t="str">
            <v>H-3470</v>
          </cell>
          <cell r="Y160">
            <v>26177.426095773983</v>
          </cell>
        </row>
        <row r="161">
          <cell r="C161" t="str">
            <v>M</v>
          </cell>
          <cell r="D161" t="str">
            <v>STSA-1</v>
          </cell>
          <cell r="Y161">
            <v>15571.055177658662</v>
          </cell>
        </row>
        <row r="162">
          <cell r="C162" t="str">
            <v>E</v>
          </cell>
          <cell r="D162" t="str">
            <v>RCRATER</v>
          </cell>
          <cell r="Y162">
            <v>8349.6962546865288</v>
          </cell>
        </row>
        <row r="163">
          <cell r="C163" t="str">
            <v>E</v>
          </cell>
          <cell r="D163" t="str">
            <v>H-3470</v>
          </cell>
          <cell r="Y163">
            <v>4062.0143941718247</v>
          </cell>
        </row>
        <row r="164">
          <cell r="C164" t="str">
            <v>E</v>
          </cell>
          <cell r="D164" t="str">
            <v>H-3470</v>
          </cell>
          <cell r="Y164">
            <v>902.66986537151661</v>
          </cell>
        </row>
        <row r="165">
          <cell r="C165" t="str">
            <v>E</v>
          </cell>
          <cell r="D165" t="str">
            <v>H-3470</v>
          </cell>
          <cell r="Y165">
            <v>5129.650508789814</v>
          </cell>
        </row>
        <row r="166">
          <cell r="C166" t="str">
            <v>M</v>
          </cell>
          <cell r="D166" t="str">
            <v>STSA-1</v>
          </cell>
          <cell r="Y166">
            <v>10482.329300570489</v>
          </cell>
        </row>
        <row r="167">
          <cell r="C167" t="str">
            <v>E</v>
          </cell>
          <cell r="D167" t="str">
            <v>H-3470</v>
          </cell>
          <cell r="Y167">
            <v>13381.696979451688</v>
          </cell>
        </row>
        <row r="168">
          <cell r="C168" t="str">
            <v>E</v>
          </cell>
          <cell r="D168" t="str">
            <v>CRATER</v>
          </cell>
          <cell r="Y168">
            <v>6467.820206734983</v>
          </cell>
        </row>
        <row r="169">
          <cell r="C169" t="str">
            <v>E</v>
          </cell>
          <cell r="D169" t="str">
            <v>H-3470</v>
          </cell>
          <cell r="Y169">
            <v>13759.124884366327</v>
          </cell>
        </row>
        <row r="170">
          <cell r="C170" t="str">
            <v>E</v>
          </cell>
          <cell r="D170" t="str">
            <v>H-3470</v>
          </cell>
          <cell r="Y170">
            <v>2884.9777983348749</v>
          </cell>
        </row>
        <row r="171">
          <cell r="C171" t="str">
            <v>E</v>
          </cell>
          <cell r="D171" t="str">
            <v>RCRATER</v>
          </cell>
          <cell r="Y171">
            <v>15534.495837187787</v>
          </cell>
        </row>
        <row r="172">
          <cell r="C172" t="str">
            <v>E</v>
          </cell>
          <cell r="D172" t="str">
            <v>H-3470</v>
          </cell>
          <cell r="Y172">
            <v>34570.784885789508</v>
          </cell>
        </row>
        <row r="173">
          <cell r="C173" t="str">
            <v>M</v>
          </cell>
          <cell r="D173" t="str">
            <v>STSB-1</v>
          </cell>
          <cell r="Y173">
            <v>1646.2278517042623</v>
          </cell>
        </row>
        <row r="174">
          <cell r="C174" t="str">
            <v>E</v>
          </cell>
          <cell r="D174" t="str">
            <v>CRATER</v>
          </cell>
          <cell r="Y174">
            <v>5409.034369885434</v>
          </cell>
        </row>
        <row r="175">
          <cell r="C175" t="str">
            <v>E</v>
          </cell>
          <cell r="D175" t="str">
            <v>H-3470</v>
          </cell>
          <cell r="Y175">
            <v>2116.5786664769089</v>
          </cell>
        </row>
        <row r="176">
          <cell r="C176" t="str">
            <v>E</v>
          </cell>
          <cell r="D176" t="str">
            <v>H-3470</v>
          </cell>
          <cell r="Y176">
            <v>5644.209777271757</v>
          </cell>
        </row>
        <row r="177">
          <cell r="C177" t="str">
            <v>M</v>
          </cell>
          <cell r="D177" t="str">
            <v>STSA-1</v>
          </cell>
          <cell r="Y177">
            <v>9877.3671102255739</v>
          </cell>
        </row>
        <row r="178">
          <cell r="C178" t="str">
            <v>M</v>
          </cell>
          <cell r="D178" t="str">
            <v>STSB-1</v>
          </cell>
          <cell r="Y178">
            <v>5409.034369885434</v>
          </cell>
        </row>
        <row r="179">
          <cell r="C179" t="str">
            <v>E</v>
          </cell>
          <cell r="D179" t="str">
            <v>CRATER</v>
          </cell>
          <cell r="Y179">
            <v>2351.754073863232</v>
          </cell>
        </row>
        <row r="180">
          <cell r="C180" t="str">
            <v>E</v>
          </cell>
          <cell r="D180" t="str">
            <v>H-3470</v>
          </cell>
          <cell r="Y180">
            <v>35746.661922721127</v>
          </cell>
        </row>
        <row r="181">
          <cell r="C181" t="str">
            <v>E</v>
          </cell>
          <cell r="D181" t="str">
            <v>H-3470</v>
          </cell>
          <cell r="Y181">
            <v>17167.804739201594</v>
          </cell>
        </row>
        <row r="182">
          <cell r="C182" t="str">
            <v>E</v>
          </cell>
          <cell r="D182" t="str">
            <v>CRATER</v>
          </cell>
          <cell r="Y182">
            <v>3527.6311107948482</v>
          </cell>
        </row>
        <row r="183">
          <cell r="C183" t="str">
            <v>M</v>
          </cell>
          <cell r="D183" t="str">
            <v>STSA-1</v>
          </cell>
          <cell r="Y183">
            <v>10582.893332384545</v>
          </cell>
        </row>
        <row r="184">
          <cell r="C184" t="str">
            <v>E</v>
          </cell>
          <cell r="D184" t="str">
            <v>H-3470</v>
          </cell>
          <cell r="Y184">
            <v>10167.291121576836</v>
          </cell>
        </row>
        <row r="185">
          <cell r="C185" t="str">
            <v>E</v>
          </cell>
          <cell r="D185" t="str">
            <v>H-3470</v>
          </cell>
          <cell r="Y185">
            <v>9705.1415251415256</v>
          </cell>
        </row>
        <row r="186">
          <cell r="C186" t="str">
            <v>E</v>
          </cell>
          <cell r="D186" t="str">
            <v>H-3470</v>
          </cell>
          <cell r="Y186">
            <v>7625.4683411826272</v>
          </cell>
        </row>
        <row r="187">
          <cell r="C187" t="str">
            <v>E</v>
          </cell>
          <cell r="D187" t="str">
            <v>H-3470</v>
          </cell>
          <cell r="Y187">
            <v>693.22439465296611</v>
          </cell>
        </row>
        <row r="188">
          <cell r="C188" t="str">
            <v>M</v>
          </cell>
          <cell r="D188" t="str">
            <v>STSA-1</v>
          </cell>
          <cell r="Y188">
            <v>2079.6731839588983</v>
          </cell>
        </row>
        <row r="189">
          <cell r="C189" t="str">
            <v>E</v>
          </cell>
          <cell r="D189" t="str">
            <v>CRATER</v>
          </cell>
          <cell r="Y189">
            <v>6470.0943500943504</v>
          </cell>
        </row>
        <row r="190">
          <cell r="C190" t="str">
            <v>E</v>
          </cell>
          <cell r="D190" t="str">
            <v>H-3470</v>
          </cell>
          <cell r="Y190">
            <v>21244.904351853824</v>
          </cell>
        </row>
        <row r="191">
          <cell r="C191" t="str">
            <v>E</v>
          </cell>
          <cell r="D191" t="str">
            <v>H-3485</v>
          </cell>
          <cell r="Y191">
            <v>11193.551755277822</v>
          </cell>
        </row>
        <row r="192">
          <cell r="C192" t="str">
            <v>E</v>
          </cell>
          <cell r="D192" t="str">
            <v>H-3470</v>
          </cell>
          <cell r="Y192">
            <v>7538.5144474320023</v>
          </cell>
        </row>
        <row r="193">
          <cell r="C193" t="str">
            <v>E</v>
          </cell>
          <cell r="D193" t="str">
            <v>H-3470</v>
          </cell>
          <cell r="Y193">
            <v>5939.4356252494563</v>
          </cell>
        </row>
        <row r="194">
          <cell r="C194" t="str">
            <v>E</v>
          </cell>
          <cell r="D194" t="str">
            <v>CAMINO</v>
          </cell>
          <cell r="Y194">
            <v>1827.5186539229096</v>
          </cell>
        </row>
        <row r="195">
          <cell r="C195" t="str">
            <v>E</v>
          </cell>
          <cell r="D195" t="str">
            <v>CARATER</v>
          </cell>
          <cell r="Y195">
            <v>16904.547548786915</v>
          </cell>
        </row>
        <row r="196">
          <cell r="C196" t="str">
            <v>M</v>
          </cell>
          <cell r="D196" t="str">
            <v>STSA-1</v>
          </cell>
          <cell r="Y196">
            <v>913.7593269614548</v>
          </cell>
        </row>
        <row r="197">
          <cell r="C197" t="str">
            <v>E</v>
          </cell>
          <cell r="D197" t="str">
            <v>H-3470</v>
          </cell>
          <cell r="Y197">
            <v>21198.602400472209</v>
          </cell>
        </row>
        <row r="198">
          <cell r="C198" t="str">
            <v>E</v>
          </cell>
          <cell r="D198" t="str">
            <v>H-3470</v>
          </cell>
          <cell r="Y198">
            <v>13364.336295949872</v>
          </cell>
        </row>
        <row r="199">
          <cell r="C199" t="str">
            <v>E</v>
          </cell>
          <cell r="D199" t="str">
            <v>CRATER</v>
          </cell>
          <cell r="Y199">
            <v>7603.8465132128586</v>
          </cell>
        </row>
        <row r="200">
          <cell r="C200" t="str">
            <v>M</v>
          </cell>
          <cell r="D200" t="str">
            <v>STSA-1</v>
          </cell>
          <cell r="Y200">
            <v>5990.9093740464941</v>
          </cell>
        </row>
        <row r="201">
          <cell r="C201" t="str">
            <v>E</v>
          </cell>
          <cell r="D201" t="str">
            <v>H-3485</v>
          </cell>
          <cell r="Y201">
            <v>26083.049195748841</v>
          </cell>
        </row>
        <row r="202">
          <cell r="C202" t="str">
            <v>E</v>
          </cell>
          <cell r="D202" t="str">
            <v>H-3485</v>
          </cell>
          <cell r="Y202">
            <v>15196.211270566717</v>
          </cell>
        </row>
        <row r="203">
          <cell r="C203" t="str">
            <v>M</v>
          </cell>
          <cell r="D203" t="str">
            <v>STSA-1</v>
          </cell>
          <cell r="Y203">
            <v>0</v>
          </cell>
        </row>
        <row r="204">
          <cell r="C204" t="str">
            <v>M</v>
          </cell>
          <cell r="D204" t="str">
            <v>STSA-1</v>
          </cell>
          <cell r="Y204">
            <v>9072.3649376517715</v>
          </cell>
        </row>
        <row r="205">
          <cell r="C205" t="str">
            <v>E</v>
          </cell>
          <cell r="D205" t="str">
            <v>CRATER</v>
          </cell>
          <cell r="Y205">
            <v>9072.3649376517715</v>
          </cell>
        </row>
        <row r="206">
          <cell r="C206" t="str">
            <v>E</v>
          </cell>
          <cell r="D206" t="str">
            <v>H-3485</v>
          </cell>
          <cell r="Y206">
            <v>31189.163027328806</v>
          </cell>
        </row>
        <row r="207">
          <cell r="C207" t="str">
            <v>E</v>
          </cell>
          <cell r="D207" t="str">
            <v>H-3485</v>
          </cell>
          <cell r="Y207">
            <v>693.09251171841788</v>
          </cell>
        </row>
        <row r="208">
          <cell r="C208" t="str">
            <v>E</v>
          </cell>
          <cell r="D208" t="str">
            <v>H-3485</v>
          </cell>
          <cell r="Y208">
            <v>5775.770930986816</v>
          </cell>
        </row>
        <row r="209">
          <cell r="D209" t="str">
            <v>STSB-1</v>
          </cell>
          <cell r="Y209">
            <v>1155.1541861973633</v>
          </cell>
        </row>
        <row r="210">
          <cell r="D210" t="str">
            <v>CRATER</v>
          </cell>
          <cell r="Y210">
            <v>2541.3392096341991</v>
          </cell>
        </row>
        <row r="211">
          <cell r="D211" t="str">
            <v>H-3485</v>
          </cell>
          <cell r="Y211">
            <v>9010.2026523394325</v>
          </cell>
        </row>
        <row r="212">
          <cell r="D212" t="str">
            <v>STSB-1</v>
          </cell>
          <cell r="Y212">
            <v>5082.6784192683981</v>
          </cell>
        </row>
        <row r="213">
          <cell r="D213" t="str">
            <v>H-3485</v>
          </cell>
          <cell r="Y213">
            <v>21176.14232950798</v>
          </cell>
        </row>
        <row r="214">
          <cell r="D214" t="str">
            <v>H-3485</v>
          </cell>
          <cell r="Y214">
            <v>18183.861348164461</v>
          </cell>
        </row>
        <row r="215">
          <cell r="D215" t="str">
            <v>CRATER</v>
          </cell>
          <cell r="Y215">
            <v>11508.773005167381</v>
          </cell>
        </row>
        <row r="216">
          <cell r="D216" t="str">
            <v>H-3485</v>
          </cell>
          <cell r="Y216">
            <v>32869.056648565391</v>
          </cell>
        </row>
        <row r="217">
          <cell r="D217" t="str">
            <v>CRATER</v>
          </cell>
          <cell r="Y217">
            <v>14710.62675180549</v>
          </cell>
        </row>
        <row r="218">
          <cell r="D218" t="str">
            <v>RELLENO</v>
          </cell>
          <cell r="Y218">
            <v>2528.3889729665684</v>
          </cell>
        </row>
        <row r="219">
          <cell r="D219" t="str">
            <v>H-3485</v>
          </cell>
          <cell r="Y219">
            <v>11492.677149848039</v>
          </cell>
        </row>
        <row r="220">
          <cell r="D220" t="str">
            <v>H-3485</v>
          </cell>
          <cell r="Y220">
            <v>3447.8031449544119</v>
          </cell>
        </row>
        <row r="221">
          <cell r="D221" t="str">
            <v>H-3485</v>
          </cell>
          <cell r="Y221">
            <v>459.70708599392157</v>
          </cell>
        </row>
        <row r="222">
          <cell r="D222" t="str">
            <v>H-3485</v>
          </cell>
          <cell r="Y222">
            <v>31049.773224009983</v>
          </cell>
        </row>
        <row r="223">
          <cell r="D223" t="str">
            <v>H-3485</v>
          </cell>
          <cell r="Y223">
            <v>6209.9546448019964</v>
          </cell>
        </row>
        <row r="224">
          <cell r="D224" t="str">
            <v>H-3485</v>
          </cell>
          <cell r="Y224">
            <v>2299.9832017785175</v>
          </cell>
        </row>
        <row r="225">
          <cell r="D225" t="str">
            <v>CRATER</v>
          </cell>
          <cell r="Y225">
            <v>18859.862254583841</v>
          </cell>
        </row>
        <row r="226">
          <cell r="D226" t="str">
            <v>H-3485</v>
          </cell>
          <cell r="Y226">
            <v>24480.612011127476</v>
          </cell>
        </row>
        <row r="227">
          <cell r="D227" t="str">
            <v>CRATER</v>
          </cell>
          <cell r="Y227">
            <v>8474.0580038518183</v>
          </cell>
        </row>
        <row r="228">
          <cell r="D228" t="str">
            <v>RELLENO</v>
          </cell>
          <cell r="Y228">
            <v>0</v>
          </cell>
        </row>
        <row r="229">
          <cell r="D229" t="str">
            <v>CRATER</v>
          </cell>
          <cell r="Y229">
            <v>9180.229504172803</v>
          </cell>
        </row>
        <row r="230">
          <cell r="D230" t="str">
            <v>H-3485</v>
          </cell>
          <cell r="Y230">
            <v>20452.697486525096</v>
          </cell>
        </row>
        <row r="231">
          <cell r="D231" t="str">
            <v>CRATER</v>
          </cell>
          <cell r="Y231">
            <v>18407.427737872586</v>
          </cell>
        </row>
        <row r="232">
          <cell r="D232" t="str">
            <v>CRATER</v>
          </cell>
          <cell r="Y232">
            <v>2045.2697486525096</v>
          </cell>
        </row>
        <row r="233">
          <cell r="D233" t="str">
            <v>H-3485</v>
          </cell>
          <cell r="Y233">
            <v>9771.8443546731014</v>
          </cell>
        </row>
        <row r="234">
          <cell r="D234" t="str">
            <v>H-3485</v>
          </cell>
          <cell r="Y234">
            <v>33336.097015369844</v>
          </cell>
        </row>
        <row r="235">
          <cell r="D235" t="str">
            <v>CRATER</v>
          </cell>
          <cell r="Y235">
            <v>17717.086525651106</v>
          </cell>
        </row>
        <row r="236">
          <cell r="D236" t="str">
            <v>H-3485</v>
          </cell>
          <cell r="Y236">
            <v>3496.7933932206129</v>
          </cell>
        </row>
        <row r="237">
          <cell r="D237" t="str">
            <v>H-3485</v>
          </cell>
          <cell r="Y237">
            <v>28514.285331941603</v>
          </cell>
        </row>
        <row r="238">
          <cell r="D238" t="str">
            <v>CRATER</v>
          </cell>
          <cell r="Y238">
            <v>16395.714065866421</v>
          </cell>
        </row>
        <row r="239">
          <cell r="D239" t="str">
            <v>H-3485</v>
          </cell>
          <cell r="Y239">
            <v>10455.237955045255</v>
          </cell>
        </row>
        <row r="240">
          <cell r="D240" t="str">
            <v>CRATER</v>
          </cell>
          <cell r="Y240">
            <v>475.23808886569338</v>
          </cell>
        </row>
        <row r="241">
          <cell r="D241" t="str">
            <v>CRATER</v>
          </cell>
          <cell r="Y241">
            <v>475.23808886569338</v>
          </cell>
        </row>
        <row r="242">
          <cell r="D242" t="str">
            <v>H-3485</v>
          </cell>
          <cell r="Y242">
            <v>27026.068763798809</v>
          </cell>
        </row>
        <row r="243">
          <cell r="D243" t="str">
            <v>CRATER</v>
          </cell>
          <cell r="Y243">
            <v>15803.379192390828</v>
          </cell>
        </row>
        <row r="244">
          <cell r="D244" t="str">
            <v>H-3485</v>
          </cell>
          <cell r="Y244">
            <v>2748.4137725897094</v>
          </cell>
        </row>
        <row r="245">
          <cell r="D245" t="str">
            <v>H-3485</v>
          </cell>
          <cell r="Y245">
            <v>916.13792419656977</v>
          </cell>
        </row>
        <row r="246">
          <cell r="D246" t="str">
            <v>H-3485</v>
          </cell>
          <cell r="Y246">
            <v>17553.457779693766</v>
          </cell>
        </row>
        <row r="247">
          <cell r="D247" t="str">
            <v>H-3485</v>
          </cell>
          <cell r="Y247">
            <v>8545.76234011407</v>
          </cell>
        </row>
        <row r="248">
          <cell r="D248" t="str">
            <v>CRATER</v>
          </cell>
          <cell r="Y248">
            <v>19170.223627823456</v>
          </cell>
        </row>
        <row r="249">
          <cell r="D249" t="str">
            <v>STSA-1</v>
          </cell>
          <cell r="Y249">
            <v>1847.7323978625018</v>
          </cell>
        </row>
        <row r="250">
          <cell r="D250" t="str">
            <v>H-3485</v>
          </cell>
          <cell r="Y250">
            <v>9007.6954395796965</v>
          </cell>
        </row>
        <row r="251">
          <cell r="D251" t="str">
            <v>CRATER</v>
          </cell>
          <cell r="Y251">
            <v>692.89964919843817</v>
          </cell>
        </row>
        <row r="252">
          <cell r="D252" t="str">
            <v>H-3485</v>
          </cell>
          <cell r="Y252">
            <v>692.89964919843817</v>
          </cell>
        </row>
        <row r="253">
          <cell r="D253" t="str">
            <v>H-3485</v>
          </cell>
          <cell r="Y253">
            <v>8574.2057265458789</v>
          </cell>
        </row>
        <row r="254">
          <cell r="D254" t="str">
            <v>RCRATER</v>
          </cell>
          <cell r="Y254">
            <v>3939.4999284129717</v>
          </cell>
        </row>
        <row r="255">
          <cell r="D255" t="str">
            <v>STSA-1</v>
          </cell>
          <cell r="Y255">
            <v>3244.2940586930354</v>
          </cell>
        </row>
        <row r="256">
          <cell r="D256" t="str">
            <v>RCRATER</v>
          </cell>
          <cell r="Y256">
            <v>9269.4115962658161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COS99"/>
      <sheetName val="HS23B_EstadoProy"/>
      <sheetName val="EstadoCAPEX"/>
      <sheetName val="ProyGANTT"/>
      <sheetName val="ProyCURVAS"/>
      <sheetName val="GRAFICO A"/>
      <sheetName val="Datos"/>
      <sheetName val="Long Term Prices"/>
      <sheetName val="Compara"/>
      <sheetName val="REFERENTIEL"/>
      <sheetName val="base"/>
      <sheetName val="Parameters"/>
      <sheetName val="GRAFICO_A"/>
      <sheetName val="GRAFICO_A1"/>
      <sheetName val="Long_Term_Prices"/>
      <sheetName val="GENERAL"/>
      <sheetName val="部門2"/>
      <sheetName val="attach 4-18"/>
      <sheetName val="Sheet1"/>
      <sheetName val="Precios"/>
      <sheetName val="BdCostos"/>
      <sheetName val="Categ_Analisis"/>
      <sheetName val="Revisión C1"/>
      <sheetName val="C2"/>
      <sheetName val="TABLA"/>
      <sheetName val="Formulario Estado de Pago"/>
      <sheetName val="NOC 020"/>
      <sheetName val="NOC 024"/>
      <sheetName val="NOC 026"/>
      <sheetName val="NOC 027"/>
      <sheetName val="NOC 028"/>
      <sheetName val="NOC 029"/>
      <sheetName val="NOC 030"/>
      <sheetName val="NOC 031"/>
      <sheetName val="NOC 025"/>
      <sheetName val="GRAFICO_A2"/>
      <sheetName val="MFT TOC"/>
      <sheetName val="caratula"/>
      <sheetName val="REC. SALV."/>
      <sheetName val="WORK INDEX"/>
      <sheetName val="Dren Basal"/>
      <sheetName val="DQI-1"/>
      <sheetName val="DQI-2"/>
      <sheetName val="DQI-3"/>
      <sheetName val="DQI-3A"/>
      <sheetName val="DQI-4"/>
      <sheetName val="DQD-2"/>
      <sheetName val="DQD-3"/>
      <sheetName val="DLD-102"/>
      <sheetName val="DDI-104"/>
      <sheetName val="DDI-105"/>
      <sheetName val="DLD-103(ADI)"/>
      <sheetName val="BYPASS-F1"/>
      <sheetName val="BYPASS-F2"/>
      <sheetName val="ECO-01 Itemizado"/>
      <sheetName val="Ensayos"/>
      <sheetName val="cal(1)."/>
      <sheetName val="Input Data"/>
      <sheetName val="LLEGADA"/>
      <sheetName val="Riesgos y Oportunidades"/>
      <sheetName val="Personnel"/>
      <sheetName val="Long_Term_Prices1"/>
      <sheetName val="Directo"/>
      <sheetName val="Unypre"/>
      <sheetName val="Register"/>
      <sheetName val="Evaluación"/>
      <sheetName val="Resumen"/>
      <sheetName val="GRAFICO_A3"/>
      <sheetName val="Long_Term_Prices2"/>
      <sheetName val="attach_4-18"/>
      <sheetName val="Formulario_Estado_de_Pago"/>
      <sheetName val="NOC_020"/>
      <sheetName val="NOC_024"/>
      <sheetName val="NOC_026"/>
      <sheetName val="NOC_027"/>
      <sheetName val="NOC_028"/>
      <sheetName val="NOC_029"/>
      <sheetName val="NOC_030"/>
      <sheetName val="NOC_031"/>
      <sheetName val="NOC_025"/>
      <sheetName val="MFT_TOC"/>
      <sheetName val="REC__SALV_"/>
      <sheetName val="WORK_INDEX"/>
      <sheetName val="cal(1)_"/>
      <sheetName val="Input_Data"/>
      <sheetName val="Coversheet"/>
      <sheetName val="SE Cerro Navia , Mod.Conexión T"/>
      <sheetName val="INFO VENDOR"/>
      <sheetName val="Summary"/>
      <sheetName val="PL"/>
      <sheetName val="Data"/>
      <sheetName val="MHR REPORTS"/>
      <sheetName val="KWHCEC"/>
      <sheetName val="RefG"/>
      <sheetName val="desbaste"/>
      <sheetName val="hed99"/>
      <sheetName val="inc"/>
      <sheetName val="cmon"/>
      <sheetName val="Dren_Basal"/>
      <sheetName val="ECO-01_Itemizado"/>
      <sheetName val="Gantt"/>
      <sheetName val="GRAFICO_A4"/>
      <sheetName val="Long_Term_Prices3"/>
      <sheetName val="attach_4-181"/>
      <sheetName val="Formulario_Estado_de_Pago1"/>
      <sheetName val="NOC_0201"/>
      <sheetName val="NOC_0241"/>
      <sheetName val="NOC_0261"/>
      <sheetName val="NOC_0271"/>
      <sheetName val="NOC_0281"/>
      <sheetName val="NOC_0291"/>
      <sheetName val="NOC_0301"/>
      <sheetName val="NOC_0311"/>
      <sheetName val="NOC_0251"/>
      <sheetName val="MFT_TOC1"/>
      <sheetName val="cal(1)_1"/>
      <sheetName val="Input_Data1"/>
      <sheetName val="REC__SALV_1"/>
      <sheetName val="WORK_INDEX1"/>
      <sheetName val="Riesgos_y_Oportunidades"/>
      <sheetName val="MHR_REPORTS"/>
      <sheetName val="Dren_Basal1"/>
      <sheetName val="ECO-01_Itemizado1"/>
      <sheetName val="Revisión_C1"/>
      <sheetName val="SE_Cerro_Navia_,_Mod_Conexión_T"/>
      <sheetName val="INFO_VENDOR"/>
      <sheetName val="GRAFICO_A5"/>
      <sheetName val="Long_Term_Prices4"/>
      <sheetName val="attach_4-182"/>
      <sheetName val="Formulario_Estado_de_Pago2"/>
      <sheetName val="NOC_0202"/>
      <sheetName val="NOC_0242"/>
      <sheetName val="NOC_0262"/>
      <sheetName val="NOC_0272"/>
      <sheetName val="NOC_0282"/>
      <sheetName val="NOC_0292"/>
      <sheetName val="NOC_0302"/>
      <sheetName val="NOC_0312"/>
      <sheetName val="NOC_0252"/>
      <sheetName val="MFT_TOC2"/>
      <sheetName val="cal(1)_2"/>
      <sheetName val="Input_Data2"/>
      <sheetName val="REC__SALV_2"/>
      <sheetName val="WORK_INDEX2"/>
      <sheetName val="Riesgos_y_Oportunidades1"/>
      <sheetName val="MHR_REPORTS1"/>
      <sheetName val="Dren_Basal2"/>
      <sheetName val="ECO-01_Itemizado2"/>
      <sheetName val="Revisión_C11"/>
      <sheetName val="SE_Cerro_Navia_,_Mod_Conexión_1"/>
      <sheetName val="INFO_VENDOR1"/>
      <sheetName val="GRAFICO_A6"/>
      <sheetName val="Long_Term_Prices5"/>
      <sheetName val="attach_4-183"/>
      <sheetName val="Formulario_Estado_de_Pago3"/>
      <sheetName val="NOC_0203"/>
      <sheetName val="NOC_0243"/>
      <sheetName val="NOC_0263"/>
      <sheetName val="NOC_0273"/>
      <sheetName val="NOC_0283"/>
      <sheetName val="NOC_0293"/>
      <sheetName val="NOC_0303"/>
      <sheetName val="NOC_0313"/>
      <sheetName val="NOC_0253"/>
      <sheetName val="MFT_TOC3"/>
      <sheetName val="cal(1)_3"/>
      <sheetName val="Input_Data3"/>
      <sheetName val="REC__SALV_3"/>
      <sheetName val="WORK_INDEX3"/>
      <sheetName val="Riesgos_y_Oportunidades2"/>
      <sheetName val="MHR_REPORTS2"/>
      <sheetName val="Dren_Basal3"/>
      <sheetName val="ECO-01_Itemizado3"/>
      <sheetName val="Revisión_C12"/>
      <sheetName val="SE_Cerro_Navia_,_Mod_Conexión_2"/>
      <sheetName val="INFO_VENDOR2"/>
    </sheetNames>
    <sheetDataSet>
      <sheetData sheetId="0" refreshError="1">
        <row r="75">
          <cell r="C75" t="str">
            <v>Mina</v>
          </cell>
          <cell r="D75">
            <v>2108876</v>
          </cell>
        </row>
        <row r="76">
          <cell r="C76" t="str">
            <v>Planta</v>
          </cell>
          <cell r="D76">
            <v>2928050</v>
          </cell>
        </row>
        <row r="77">
          <cell r="C77" t="str">
            <v>Administración</v>
          </cell>
          <cell r="D77">
            <v>463793</v>
          </cell>
        </row>
        <row r="78">
          <cell r="C78" t="str">
            <v>Gastos de Venta</v>
          </cell>
          <cell r="D78">
            <v>313974</v>
          </cell>
        </row>
        <row r="79">
          <cell r="C79" t="str">
            <v>Serv. Admin.</v>
          </cell>
          <cell r="D79">
            <v>155155</v>
          </cell>
        </row>
        <row r="80">
          <cell r="C80" t="str">
            <v>Maquila y C. x Plata</v>
          </cell>
          <cell r="D80">
            <v>58308</v>
          </cell>
        </row>
        <row r="85">
          <cell r="C85" t="str">
            <v>Mina</v>
          </cell>
        </row>
        <row r="86">
          <cell r="C86" t="str">
            <v>Planta</v>
          </cell>
        </row>
        <row r="87">
          <cell r="C87" t="str">
            <v>Administración</v>
          </cell>
        </row>
        <row r="88">
          <cell r="C88" t="str">
            <v>Gastos de Venta</v>
          </cell>
        </row>
        <row r="89">
          <cell r="C89" t="str">
            <v>Serv. Admin.</v>
          </cell>
        </row>
        <row r="90">
          <cell r="C90" t="str">
            <v>Otros no Caja</v>
          </cell>
        </row>
        <row r="91">
          <cell r="C91" t="str">
            <v>Maquila y C. x Plata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  <sheetData sheetId="17" refreshError="1"/>
      <sheetData sheetId="18">
        <row r="75">
          <cell r="C75" t="str">
            <v>1002-10PC400-3.01</v>
          </cell>
        </row>
      </sheetData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HS23A_InformeProy"/>
      <sheetName val="HS23B_EstadoProy"/>
      <sheetName val="HS23C_CurvasProy"/>
    </sheetNames>
    <sheetDataSet>
      <sheetData sheetId="0" refreshError="1"/>
      <sheetData sheetId="1" refreshError="1"/>
      <sheetData sheetId="2" refreshError="1">
        <row r="5">
          <cell r="L5">
            <v>6</v>
          </cell>
        </row>
      </sheetData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ulage99"/>
    </sheetNames>
    <definedNames>
      <definedName name="Fase2" refersTo="#¡REF!"/>
    </defined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SIPcfg"/>
      <sheetName val="Datos a PI"/>
      <sheetName val="Inicio"/>
      <sheetName val="Resumen"/>
      <sheetName val="Mina"/>
      <sheetName val="Concentradora"/>
      <sheetName val="Moly"/>
      <sheetName val="TFT"/>
      <sheetName val="Siop.Rpt.CFG"/>
      <sheetName val="Puerto"/>
      <sheetName val="IMD Mina"/>
      <sheetName val="IMD Conc"/>
      <sheetName val="IMD Moly"/>
      <sheetName val="IMD TFT"/>
      <sheetName val="IMD Puerto"/>
      <sheetName val="IMD Resumen"/>
      <sheetName val="Embarque Puerto"/>
      <sheetName val="P80"/>
      <sheetName val="Invent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6">
          <cell r="E26">
            <v>17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Pore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S.T. Original"/>
      <sheetName val="Grafico(Budget vs Real)"/>
    </sheetNames>
    <sheetDataSet>
      <sheetData sheetId="0" refreshError="1">
        <row r="2">
          <cell r="K2">
            <v>41640.791666666664</v>
          </cell>
        </row>
        <row r="3">
          <cell r="K3">
            <v>41623.791666666664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ores"/>
      <sheetName val="Comparacion (Sin BM)"/>
      <sheetName val="Acumulados"/>
      <sheetName val="TP sin BM"/>
      <sheetName val="TP con BM"/>
      <sheetName val="PM vs FC y BD"/>
      <sheetName val="BDGT ORI"/>
      <sheetName val="BDGT AJUS"/>
      <sheetName val="FC 3+9"/>
      <sheetName val="R+P"/>
      <sheetName val="Real"/>
      <sheetName val="R+RP+B"/>
      <sheetName val="MCP ST"/>
      <sheetName val="Plan mina ST"/>
      <sheetName val="ST Original"/>
      <sheetName val="Recalculos ST"/>
      <sheetName val="Perfil Envío ST"/>
      <sheetName val="Plan mina PS"/>
      <sheetName val="MCP PS"/>
      <sheetName val="Recalculos PS"/>
      <sheetName val="Proy. Mes"/>
      <sheetName val="Visualizacion PSvsST"/>
      <sheetName val="Tablas de producción"/>
      <sheetName val="Real+S.T."/>
      <sheetName val="Comentarios generales"/>
      <sheetName val="Cubicadores"/>
      <sheetName val="Recalculo cubicadores"/>
      <sheetName val="ARENAS"/>
      <sheetName val="Gestión Inventarios"/>
      <sheetName val="HojaSIPcfg"/>
      <sheetName val="Grafico ktpd"/>
      <sheetName val="R+RS+B"/>
      <sheetName val="R+RP+OL"/>
      <sheetName val="R+RS+F(OL)"/>
      <sheetName val="Explicacion Cueq (Con BM)"/>
      <sheetName val="BM con CuF pagable"/>
      <sheetName val="Embarques Cu"/>
      <sheetName val="As CAL"/>
      <sheetName val="Chequeo"/>
    </sheetNames>
    <sheetDataSet>
      <sheetData sheetId="0"/>
      <sheetData sheetId="1"/>
      <sheetData sheetId="2"/>
      <sheetData sheetId="3">
        <row r="14">
          <cell r="F14">
            <v>85.46553636378934</v>
          </cell>
        </row>
        <row r="26">
          <cell r="F26">
            <v>29.442452170934523</v>
          </cell>
        </row>
        <row r="27">
          <cell r="F27">
            <v>1304.1797675104813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Resumen GG"/>
      <sheetName val="Resumen GG (2)"/>
      <sheetName val="Indicadores"/>
      <sheetName val="Seguridad"/>
      <sheetName val="Salud"/>
      <sheetName val="Mina"/>
      <sheetName val="Perforación"/>
      <sheetName val="Carguío"/>
      <sheetName val="Transporte"/>
      <sheetName val="IFRIC20"/>
      <sheetName val="Inv kt"/>
      <sheetName val="Inv USm"/>
      <sheetName val="Contratos"/>
      <sheetName val="R"/>
      <sheetName val="P. Conc"/>
      <sheetName val="ChyC"/>
      <sheetName val="TFT"/>
      <sheetName val="Puerto"/>
      <sheetName val="Mantenimiento"/>
      <sheetName val="Insumos"/>
      <sheetName val="CtoxAct"/>
      <sheetName val="Inventarios"/>
      <sheetName val="C1 x Item"/>
      <sheetName val="C1 x Item-Proc (Mes)"/>
      <sheetName val="C1 x Item (otros)"/>
      <sheetName val="C1 x Item (unit)"/>
      <sheetName val="C1 x Proc"/>
      <sheetName val="C3_"/>
      <sheetName val="C1 x Item-Proc (YTD)"/>
      <sheetName val="EERR"/>
      <sheetName val="Personas"/>
      <sheetName val="Personasff"/>
      <sheetName val="Personas (2)"/>
      <sheetName val="Ventas"/>
      <sheetName val="Caja"/>
      <sheetName val="C3"/>
      <sheetName val="Inversiones"/>
      <sheetName val="ESG"/>
      <sheetName val="Aux"/>
      <sheetName val="BPC STATS2"/>
      <sheetName val="PROC"/>
      <sheetName val="COSTOS"/>
      <sheetName val="CTOPROC"/>
      <sheetName val="COSTOS_Z"/>
      <sheetName val="EPMFormattingSheet"/>
      <sheetName val="COSTOSC3"/>
      <sheetName val="COSTOSC3 (2)"/>
      <sheetName val="FR2"/>
      <sheetName val="CPI"/>
      <sheetName val="IPC_G_2018"/>
      <sheetName val="IPC"/>
      <sheetName val="IPC (2)"/>
      <sheetName val="DOLAR_OBS_ADO"/>
      <sheetName val="Stocks"/>
      <sheetName val="Prod"/>
      <sheetName val="Invent"/>
      <sheetName val="ctoins"/>
      <sheetName val="BD-PBI"/>
      <sheetName val="Ajuste Manu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H3">
            <v>31</v>
          </cell>
        </row>
        <row r="90">
          <cell r="E90" t="str">
            <v>Molienda</v>
          </cell>
        </row>
        <row r="107">
          <cell r="E107" t="str">
            <v>Recuperación Mo</v>
          </cell>
        </row>
        <row r="108">
          <cell r="E108" t="str">
            <v>Recuperación Mo Colectiva</v>
          </cell>
          <cell r="F108" t="str">
            <v>%</v>
          </cell>
        </row>
        <row r="110">
          <cell r="E110" t="str">
            <v>Recuperación Mo Selectiva</v>
          </cell>
          <cell r="F110" t="str">
            <v>%</v>
          </cell>
        </row>
        <row r="112">
          <cell r="E112" t="str">
            <v>Pebbles y Gravillas</v>
          </cell>
        </row>
        <row r="113">
          <cell r="E113" t="str">
            <v>Mineral Tratado Pebbles y Gravillas (Chancado)</v>
          </cell>
          <cell r="F113" t="str">
            <v>kt</v>
          </cell>
        </row>
        <row r="115">
          <cell r="E115" t="str">
            <v>Disponibilidad Pebbles y Gravillas</v>
          </cell>
          <cell r="F115" t="str">
            <v>%</v>
          </cell>
        </row>
        <row r="117">
          <cell r="E117" t="str">
            <v>Utilización Pebbles y Gravillas</v>
          </cell>
          <cell r="F117" t="str">
            <v>%</v>
          </cell>
        </row>
        <row r="119">
          <cell r="E119" t="str">
            <v>Coeficiente de Marcha Pebbles y Gravillas</v>
          </cell>
          <cell r="F119" t="str">
            <v>%</v>
          </cell>
        </row>
        <row r="121">
          <cell r="E121" t="str">
            <v>Horas disponibles</v>
          </cell>
          <cell r="F121" t="str">
            <v>h</v>
          </cell>
        </row>
        <row r="123">
          <cell r="E123" t="str">
            <v>Horas de uso</v>
          </cell>
          <cell r="F123" t="str">
            <v>h</v>
          </cell>
        </row>
        <row r="125">
          <cell r="E125" t="str">
            <v>TPH Recirculado (Sin chancar)</v>
          </cell>
          <cell r="F125" t="str">
            <v>TPH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umulados"/>
      <sheetName val="Factores"/>
      <sheetName val="Comparacion (Sin BM)"/>
      <sheetName val="BDGT ORI"/>
      <sheetName val="TP con BM"/>
      <sheetName val="PM vs OL y BD"/>
      <sheetName val="BDGT AJUS"/>
      <sheetName val="OL 6+6"/>
      <sheetName val="% Fases ST"/>
      <sheetName val="% Fases PS"/>
      <sheetName val="Gant Mttos Rel."/>
      <sheetName val="TP sin BM"/>
      <sheetName val="Control Producción"/>
      <sheetName val="Envíos STC"/>
      <sheetName val="R+RP+B"/>
      <sheetName val="Real"/>
      <sheetName val="R+P"/>
      <sheetName val="ST Original"/>
      <sheetName val="Recalculos ST"/>
      <sheetName val="MCP ST"/>
      <sheetName val="Plan mina ST"/>
      <sheetName val="Calculo "/>
      <sheetName val="Plan mina PS"/>
      <sheetName val="Proy. Mes"/>
      <sheetName val="Perfil Envío ST"/>
      <sheetName val="Tablas de producción"/>
      <sheetName val="MCP PS"/>
      <sheetName val="Recalculos PS"/>
      <sheetName val="Real+S.T."/>
      <sheetName val="Comentarios generales"/>
      <sheetName val="Cubicadores"/>
      <sheetName val="Recalculo cubicadores"/>
      <sheetName val="ARENAS"/>
      <sheetName val="Gestión Inventarios"/>
      <sheetName val="HojaSIPcfg"/>
      <sheetName val="Grafico ktpd"/>
      <sheetName val="Hoja1"/>
      <sheetName val="R+RS+B"/>
      <sheetName val="R+RP+OL"/>
      <sheetName val="R+RS+F(OL)"/>
      <sheetName val="Explicacion Cueq (Con BM)"/>
      <sheetName val="BM con CuF pagable"/>
      <sheetName val="Visualizacion PSvsST"/>
      <sheetName val="CS Y GO"/>
      <sheetName val="Embarques Cu"/>
      <sheetName val="As CAL"/>
      <sheetName val="Envíos STC 2800"/>
      <sheetName val="Cheque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C2" t="str">
            <v>Real</v>
          </cell>
          <cell r="D2"/>
          <cell r="E2"/>
          <cell r="F2"/>
          <cell r="G2"/>
          <cell r="H2"/>
          <cell r="K2" t="str">
            <v>ST</v>
          </cell>
          <cell r="L2"/>
          <cell r="M2"/>
          <cell r="N2"/>
          <cell r="O2"/>
          <cell r="P2"/>
        </row>
        <row r="3">
          <cell r="Q3" t="str">
            <v>Dif.ton</v>
          </cell>
          <cell r="T3" t="str">
            <v>Dif.%Cu</v>
          </cell>
          <cell r="W3" t="str">
            <v>Dif. Ton Acc.</v>
          </cell>
          <cell r="Z3" t="str">
            <v>%Cu</v>
          </cell>
        </row>
        <row r="4">
          <cell r="A4">
            <v>1</v>
          </cell>
          <cell r="C4">
            <v>183371.623046875</v>
          </cell>
          <cell r="F4">
            <v>0.53429397644735532</v>
          </cell>
          <cell r="G4">
            <v>93.187988603980472</v>
          </cell>
          <cell r="H4">
            <v>913.00329509824667</v>
          </cell>
          <cell r="K4">
            <v>185980</v>
          </cell>
          <cell r="N4">
            <v>0.57223244584677391</v>
          </cell>
          <cell r="O4">
            <v>90.363715524542641</v>
          </cell>
          <cell r="P4">
            <v>961.6849109777462</v>
          </cell>
          <cell r="Q4">
            <v>-12.987051723115609</v>
          </cell>
          <cell r="T4">
            <v>-65.751548745937839</v>
          </cell>
          <cell r="U4">
            <v>30.056984589553942</v>
          </cell>
          <cell r="V4">
            <v>-48.681615879499532</v>
          </cell>
          <cell r="W4">
            <v>-12.987051723115609</v>
          </cell>
          <cell r="Z4">
            <v>-65.751548745937839</v>
          </cell>
          <cell r="AA4">
            <v>30.056984589553942</v>
          </cell>
          <cell r="AB4">
            <v>-48.681615879499532</v>
          </cell>
        </row>
        <row r="5">
          <cell r="A5">
            <v>2</v>
          </cell>
          <cell r="C5">
            <v>161195.171875</v>
          </cell>
          <cell r="F5">
            <v>0.54614532957315409</v>
          </cell>
          <cell r="G5">
            <v>93.233255007889198</v>
          </cell>
          <cell r="H5">
            <v>820.78819306471894</v>
          </cell>
          <cell r="K5">
            <v>155300</v>
          </cell>
          <cell r="N5">
            <v>0.54482012762580767</v>
          </cell>
          <cell r="O5">
            <v>89.60111154014362</v>
          </cell>
          <cell r="P5">
            <v>758.1200745538282</v>
          </cell>
          <cell r="Q5">
            <v>30.017570717561039</v>
          </cell>
          <cell r="T5">
            <v>1.9187763986882711</v>
          </cell>
          <cell r="U5">
            <v>30.731771394641612</v>
          </cell>
          <cell r="V5">
            <v>62.668118510890736</v>
          </cell>
          <cell r="W5">
            <v>17.03051899444543</v>
          </cell>
          <cell r="Z5">
            <v>-63.832772347249566</v>
          </cell>
          <cell r="AA5">
            <v>60.788755984195554</v>
          </cell>
          <cell r="AB5">
            <v>13.986502631391204</v>
          </cell>
        </row>
        <row r="6">
          <cell r="A6">
            <v>3</v>
          </cell>
          <cell r="C6">
            <v>174684.07486236573</v>
          </cell>
          <cell r="F6">
            <v>0.53517180814527598</v>
          </cell>
          <cell r="G6">
            <v>91.266366244758117</v>
          </cell>
          <cell r="H6">
            <v>853.21268027225494</v>
          </cell>
          <cell r="K6">
            <v>207308.47245541992</v>
          </cell>
          <cell r="N6">
            <v>0.55462475549577706</v>
          </cell>
          <cell r="O6">
            <v>89.957346604608546</v>
          </cell>
          <cell r="P6">
            <v>1034.3152756681757</v>
          </cell>
          <cell r="Q6">
            <v>-159.3479527802931</v>
          </cell>
          <cell r="T6">
            <v>-36.805542414921632</v>
          </cell>
          <cell r="U6">
            <v>15.050899799294406</v>
          </cell>
          <cell r="V6">
            <v>-181.10259539592073</v>
          </cell>
          <cell r="W6">
            <v>-142.31743378584767</v>
          </cell>
          <cell r="Z6">
            <v>-100.63831476217121</v>
          </cell>
          <cell r="AA6">
            <v>75.83965578348996</v>
          </cell>
          <cell r="AB6">
            <v>-167.11609276452953</v>
          </cell>
        </row>
        <row r="7">
          <cell r="A7">
            <v>4</v>
          </cell>
          <cell r="C7">
            <v>207658.18358230591</v>
          </cell>
          <cell r="F7">
            <v>0.50562929517658006</v>
          </cell>
          <cell r="G7">
            <v>86.957263374623835</v>
          </cell>
          <cell r="H7">
            <v>913.03440444079251</v>
          </cell>
          <cell r="K7">
            <v>206570.65694388168</v>
          </cell>
          <cell r="N7">
            <v>0.52012020008364479</v>
          </cell>
          <cell r="O7">
            <v>88.713573483590835</v>
          </cell>
          <cell r="P7">
            <v>953.15257414548296</v>
          </cell>
          <cell r="Q7">
            <v>4.7816523264232771</v>
          </cell>
          <cell r="T7">
            <v>-26.029750230102515</v>
          </cell>
          <cell r="U7">
            <v>-18.870071801011054</v>
          </cell>
          <cell r="V7">
            <v>-40.118169704690445</v>
          </cell>
          <cell r="W7">
            <v>-137.53578145942438</v>
          </cell>
          <cell r="Z7">
            <v>-126.66806499227371</v>
          </cell>
          <cell r="AA7">
            <v>56.969583982478909</v>
          </cell>
          <cell r="AB7">
            <v>-207.23426246921997</v>
          </cell>
        </row>
        <row r="8">
          <cell r="A8">
            <v>5</v>
          </cell>
          <cell r="C8">
            <v>159258.23183059692</v>
          </cell>
          <cell r="F8">
            <v>0.46406796728278404</v>
          </cell>
          <cell r="G8">
            <v>86.470840057067932</v>
          </cell>
          <cell r="H8">
            <v>639.07695854464612</v>
          </cell>
          <cell r="K8">
            <v>203021.42880071414</v>
          </cell>
          <cell r="N8">
            <v>0.49467997329624225</v>
          </cell>
          <cell r="O8">
            <v>89.028001713258021</v>
          </cell>
          <cell r="P8">
            <v>894.11387428584646</v>
          </cell>
          <cell r="Q8">
            <v>-175.61447527310477</v>
          </cell>
          <cell r="T8">
            <v>-53.740703580915053</v>
          </cell>
          <cell r="U8">
            <v>-25.681736887180335</v>
          </cell>
          <cell r="V8">
            <v>-255.03691574120035</v>
          </cell>
          <cell r="W8">
            <v>-313.15025673252916</v>
          </cell>
          <cell r="Z8">
            <v>-180.40876857318875</v>
          </cell>
          <cell r="AA8">
            <v>31.287847095298574</v>
          </cell>
          <cell r="AB8">
            <v>-462.27117821042032</v>
          </cell>
        </row>
        <row r="9">
          <cell r="A9">
            <v>6</v>
          </cell>
          <cell r="C9">
            <v>170909.1096572876</v>
          </cell>
          <cell r="F9">
            <v>0.45181596050565209</v>
          </cell>
          <cell r="G9">
            <v>89.606442842937639</v>
          </cell>
          <cell r="H9">
            <v>691.93614459673108</v>
          </cell>
          <cell r="K9">
            <v>205362.6603023448</v>
          </cell>
          <cell r="N9">
            <v>0.57601336017644489</v>
          </cell>
          <cell r="O9">
            <v>91.230948061119989</v>
          </cell>
          <cell r="P9">
            <v>1079.1858101397493</v>
          </cell>
          <cell r="Q9">
            <v>-139.48733949181025</v>
          </cell>
          <cell r="T9">
            <v>-228.54578805375306</v>
          </cell>
          <cell r="U9">
            <v>-19.216537997455148</v>
          </cell>
          <cell r="V9">
            <v>-387.24966554301818</v>
          </cell>
          <cell r="W9">
            <v>-452.6375962243394</v>
          </cell>
          <cell r="Z9">
            <v>-408.95455662694178</v>
          </cell>
          <cell r="AA9">
            <v>12.071309097843425</v>
          </cell>
          <cell r="AB9">
            <v>-849.5208437534385</v>
          </cell>
        </row>
        <row r="10">
          <cell r="A10">
            <v>7</v>
          </cell>
          <cell r="C10">
            <v>202728.255859375</v>
          </cell>
          <cell r="F10">
            <v>0.47357367641196618</v>
          </cell>
          <cell r="G10">
            <v>91.00350135414584</v>
          </cell>
          <cell r="H10">
            <v>873.69518087180063</v>
          </cell>
          <cell r="K10">
            <v>202579.38972512766</v>
          </cell>
          <cell r="N10">
            <v>0.53032223551736091</v>
          </cell>
          <cell r="O10">
            <v>90.926347231988245</v>
          </cell>
          <cell r="P10">
            <v>976.84315991111282</v>
          </cell>
          <cell r="Q10">
            <v>0.64156633487310266</v>
          </cell>
          <cell r="T10">
            <v>-104.61843027699891</v>
          </cell>
          <cell r="U10">
            <v>0.8288849028137133</v>
          </cell>
          <cell r="V10">
            <v>-103.14797903931219</v>
          </cell>
          <cell r="W10">
            <v>-451.99602988946629</v>
          </cell>
          <cell r="Z10">
            <v>-513.57298690394066</v>
          </cell>
          <cell r="AA10">
            <v>12.900194000657139</v>
          </cell>
          <cell r="AB10">
            <v>-952.66882279275069</v>
          </cell>
        </row>
        <row r="11">
          <cell r="A11">
            <v>8</v>
          </cell>
          <cell r="C11">
            <v>201132.25778961182</v>
          </cell>
          <cell r="F11">
            <v>0.46485191602565845</v>
          </cell>
          <cell r="G11">
            <v>88.823612527476797</v>
          </cell>
          <cell r="H11">
            <v>830.47160219979753</v>
          </cell>
          <cell r="K11">
            <v>202991.51979443134</v>
          </cell>
          <cell r="N11">
            <v>0.50516075289275064</v>
          </cell>
          <cell r="O11">
            <v>90.39729294432972</v>
          </cell>
          <cell r="P11">
            <v>926.96411563516767</v>
          </cell>
          <cell r="Q11">
            <v>-7.6768605544457449</v>
          </cell>
          <cell r="T11">
            <v>-72.678606865632602</v>
          </cell>
          <cell r="U11">
            <v>-16.137046015291691</v>
          </cell>
          <cell r="V11">
            <v>-96.492513435370142</v>
          </cell>
          <cell r="W11">
            <v>-459.67289044391202</v>
          </cell>
          <cell r="Z11">
            <v>-586.25159376957322</v>
          </cell>
          <cell r="AA11">
            <v>-3.2368520146345521</v>
          </cell>
          <cell r="AB11">
            <v>-1049.1613362281209</v>
          </cell>
        </row>
        <row r="12">
          <cell r="A12">
            <v>9</v>
          </cell>
          <cell r="C12">
            <v>165655.845703125</v>
          </cell>
          <cell r="F12">
            <v>0.49651440861173701</v>
          </cell>
          <cell r="G12">
            <v>89.425929068420146</v>
          </cell>
          <cell r="H12">
            <v>735.53286542672674</v>
          </cell>
          <cell r="K12">
            <v>203858.39292534452</v>
          </cell>
          <cell r="N12">
            <v>0.51533715579200345</v>
          </cell>
          <cell r="O12">
            <v>90.289426840480758</v>
          </cell>
          <cell r="P12">
            <v>948.54283650428727</v>
          </cell>
          <cell r="Q12">
            <v>-169.62413192056098</v>
          </cell>
          <cell r="T12">
            <v>-34.314293853333197</v>
          </cell>
          <cell r="U12">
            <v>-9.0715453036665181</v>
          </cell>
          <cell r="V12">
            <v>-213.00997107756052</v>
          </cell>
          <cell r="W12">
            <v>-629.29702236447304</v>
          </cell>
          <cell r="Z12">
            <v>-620.56588762290642</v>
          </cell>
          <cell r="AA12">
            <v>-12.30839731830107</v>
          </cell>
          <cell r="AB12">
            <v>-1262.1713073056815</v>
          </cell>
        </row>
        <row r="13">
          <cell r="A13">
            <v>10</v>
          </cell>
          <cell r="C13">
            <v>162227.4292755127</v>
          </cell>
          <cell r="F13">
            <v>0.49913610545950837</v>
          </cell>
          <cell r="G13">
            <v>87.784402478886292</v>
          </cell>
          <cell r="H13">
            <v>710.82162173870279</v>
          </cell>
          <cell r="K13">
            <v>201152.49323391661</v>
          </cell>
          <cell r="N13">
            <v>0.57342928165760787</v>
          </cell>
          <cell r="O13">
            <v>90.586483806543413</v>
          </cell>
          <cell r="P13">
            <v>1044.885466199461</v>
          </cell>
          <cell r="Q13">
            <v>-170.55548012294034</v>
          </cell>
          <cell r="T13">
            <v>-131.18727258829671</v>
          </cell>
          <cell r="U13">
            <v>-32.321091749521301</v>
          </cell>
          <cell r="V13">
            <v>-334.06384446075822</v>
          </cell>
          <cell r="W13">
            <v>-799.8525024874134</v>
          </cell>
          <cell r="Z13">
            <v>-751.75316021120307</v>
          </cell>
          <cell r="AA13">
            <v>-44.629489067822369</v>
          </cell>
          <cell r="AB13">
            <v>-1596.2351517664397</v>
          </cell>
        </row>
        <row r="14">
          <cell r="A14">
            <v>11</v>
          </cell>
          <cell r="C14">
            <v>188915.544921875</v>
          </cell>
          <cell r="F14">
            <v>0.47848566596409942</v>
          </cell>
          <cell r="G14">
            <v>87.788305149531695</v>
          </cell>
          <cell r="H14">
            <v>793.54816552856573</v>
          </cell>
          <cell r="K14">
            <v>211771.41798113857</v>
          </cell>
          <cell r="N14">
            <v>0.49935831137759479</v>
          </cell>
          <cell r="O14">
            <v>89.011243907748451</v>
          </cell>
          <cell r="P14">
            <v>941.29228148123366</v>
          </cell>
          <cell r="Q14">
            <v>-96.007113365037839</v>
          </cell>
          <cell r="T14">
            <v>-38.804447515972775</v>
          </cell>
          <cell r="U14">
            <v>-12.932555071657301</v>
          </cell>
          <cell r="V14">
            <v>-147.74411595266793</v>
          </cell>
          <cell r="W14">
            <v>-895.85961585245127</v>
          </cell>
          <cell r="Z14">
            <v>-790.55760772717588</v>
          </cell>
          <cell r="AA14">
            <v>-57.562044139479667</v>
          </cell>
          <cell r="AB14">
            <v>-1743.9792677191076</v>
          </cell>
        </row>
        <row r="15">
          <cell r="A15">
            <v>12</v>
          </cell>
          <cell r="C15">
            <v>175187.43780963897</v>
          </cell>
          <cell r="F15">
            <v>0.4973476391436798</v>
          </cell>
          <cell r="G15">
            <v>89.028158957550602</v>
          </cell>
          <cell r="H15">
            <v>775.69396790632265</v>
          </cell>
          <cell r="K15">
            <v>219726.69733778838</v>
          </cell>
          <cell r="N15">
            <v>0.50754189810823369</v>
          </cell>
          <cell r="O15">
            <v>88.956238215620999</v>
          </cell>
          <cell r="P15">
            <v>992.04446115417875</v>
          </cell>
          <cell r="Q15">
            <v>-197.21068692460094</v>
          </cell>
          <cell r="T15">
            <v>-19.941870069480938</v>
          </cell>
          <cell r="U15">
            <v>0.80206374622563981</v>
          </cell>
          <cell r="V15">
            <v>-216.35049324785609</v>
          </cell>
          <cell r="W15">
            <v>-1093.0703027770521</v>
          </cell>
          <cell r="Z15">
            <v>-810.49947779665683</v>
          </cell>
          <cell r="AA15">
            <v>-56.759980393254025</v>
          </cell>
          <cell r="AB15">
            <v>-1960.3297609669637</v>
          </cell>
        </row>
        <row r="16">
          <cell r="A16">
            <v>13</v>
          </cell>
          <cell r="C16">
            <v>179519.14909305572</v>
          </cell>
          <cell r="F16">
            <v>0.5125230100324093</v>
          </cell>
          <cell r="G16">
            <v>89.352986788999289</v>
          </cell>
          <cell r="H16">
            <v>822.11623246933573</v>
          </cell>
          <cell r="K16">
            <v>210687.98591671177</v>
          </cell>
          <cell r="N16">
            <v>0.47499293322242647</v>
          </cell>
          <cell r="O16">
            <v>88.802605985047379</v>
          </cell>
          <cell r="P16">
            <v>888.69478277139569</v>
          </cell>
          <cell r="Q16">
            <v>-142.73912743778058</v>
          </cell>
          <cell r="T16">
            <v>70.652624485187303</v>
          </cell>
          <cell r="U16">
            <v>5.5079526505331069</v>
          </cell>
          <cell r="V16">
            <v>-66.578550302059966</v>
          </cell>
          <cell r="W16">
            <v>-1235.8094302148327</v>
          </cell>
          <cell r="Z16">
            <v>-739.84685331146954</v>
          </cell>
          <cell r="AA16">
            <v>-51.252027742720919</v>
          </cell>
          <cell r="AB16">
            <v>-2026.9083112690237</v>
          </cell>
        </row>
        <row r="17">
          <cell r="A17">
            <v>14</v>
          </cell>
          <cell r="C17">
            <v>184364.24478179932</v>
          </cell>
          <cell r="F17">
            <v>0.46794999475788523</v>
          </cell>
          <cell r="G17">
            <v>88.914530511593796</v>
          </cell>
          <cell r="H17">
            <v>767.09452864307764</v>
          </cell>
          <cell r="K17">
            <v>207583.53053062182</v>
          </cell>
          <cell r="N17">
            <v>0.54885349072748824</v>
          </cell>
          <cell r="O17">
            <v>89.299047253849551</v>
          </cell>
          <cell r="P17">
            <v>1017.4103470514535</v>
          </cell>
          <cell r="Q17">
            <v>-96.609768765100085</v>
          </cell>
          <cell r="T17">
            <v>-149.32513714514542</v>
          </cell>
          <cell r="U17">
            <v>-4.380912498130348</v>
          </cell>
          <cell r="W17">
            <v>-1332.4191989799328</v>
          </cell>
          <cell r="Z17">
            <v>-889.17199045661494</v>
          </cell>
          <cell r="AA17">
            <v>-55.632940240851269</v>
          </cell>
          <cell r="AB17">
            <v>-2277.2241296773996</v>
          </cell>
        </row>
        <row r="18">
          <cell r="A18">
            <v>15</v>
          </cell>
          <cell r="C18">
            <v>200158.06137283324</v>
          </cell>
          <cell r="F18">
            <v>0.48283068703939258</v>
          </cell>
          <cell r="G18">
            <v>89.246920293597114</v>
          </cell>
          <cell r="H18">
            <v>862.50414149185133</v>
          </cell>
          <cell r="K18">
            <v>208270.44669678746</v>
          </cell>
          <cell r="N18">
            <v>0.60517217682805569</v>
          </cell>
          <cell r="O18">
            <v>90.428537347342598</v>
          </cell>
          <cell r="P18">
            <v>1139.7565787926878</v>
          </cell>
          <cell r="Q18">
            <v>-34.957202779132942</v>
          </cell>
          <cell r="T18">
            <v>-227.40219466806698</v>
          </cell>
          <cell r="U18">
            <v>-14.893039853636703</v>
          </cell>
          <cell r="W18">
            <v>-1367.3764017590659</v>
          </cell>
          <cell r="Z18">
            <v>-1116.5741851246819</v>
          </cell>
          <cell r="AA18">
            <v>-70.525980094487977</v>
          </cell>
          <cell r="AB18">
            <v>-2554.476566978236</v>
          </cell>
        </row>
        <row r="19">
          <cell r="A19">
            <v>16</v>
          </cell>
          <cell r="C19">
            <v>185115.32352432248</v>
          </cell>
          <cell r="F19">
            <v>0.53411628743251083</v>
          </cell>
          <cell r="G19">
            <v>90.313635739553007</v>
          </cell>
          <cell r="H19">
            <v>892.95899820632974</v>
          </cell>
          <cell r="K19">
            <v>192385.66190400365</v>
          </cell>
          <cell r="N19">
            <v>0.58234975614936624</v>
          </cell>
          <cell r="O19">
            <v>89.841960223252428</v>
          </cell>
          <cell r="P19">
            <v>1006.5510792820469</v>
          </cell>
          <cell r="Q19">
            <v>-35.070646516673264</v>
          </cell>
          <cell r="T19">
            <v>-83.8058862653901</v>
          </cell>
          <cell r="U19">
            <v>5.2844517063463146</v>
          </cell>
          <cell r="W19">
            <v>-1402.4470482757392</v>
          </cell>
          <cell r="Z19">
            <v>-1200.3800713900721</v>
          </cell>
          <cell r="AA19">
            <v>-65.24152838814166</v>
          </cell>
          <cell r="AB19">
            <v>-2668.068648053953</v>
          </cell>
        </row>
        <row r="20">
          <cell r="A20">
            <v>17</v>
          </cell>
          <cell r="C20">
            <v>190547.20468749999</v>
          </cell>
          <cell r="F20">
            <v>0.5617593643161547</v>
          </cell>
          <cell r="G20">
            <v>89.020125720028503</v>
          </cell>
          <cell r="H20">
            <v>952.88635062090282</v>
          </cell>
          <cell r="K20">
            <v>193054.65124465211</v>
          </cell>
          <cell r="N20">
            <v>0.60973888372457574</v>
          </cell>
          <cell r="O20">
            <v>90.614462264792152</v>
          </cell>
          <cell r="P20">
            <v>1066.6493631353937</v>
          </cell>
          <cell r="Q20">
            <v>-12.53921096948191</v>
          </cell>
          <cell r="T20">
            <v>-82.456399326959286</v>
          </cell>
          <cell r="U20">
            <v>-18.76740221804959</v>
          </cell>
          <cell r="W20">
            <v>-1414.9862592452212</v>
          </cell>
          <cell r="Z20">
            <v>-1282.8364707170313</v>
          </cell>
          <cell r="AA20">
            <v>-84.008930606191257</v>
          </cell>
          <cell r="AB20">
            <v>-2781.831660568444</v>
          </cell>
        </row>
        <row r="21">
          <cell r="A21">
            <v>18</v>
          </cell>
          <cell r="C21">
            <v>184037.94765853882</v>
          </cell>
          <cell r="F21">
            <v>0.53662023741206499</v>
          </cell>
          <cell r="G21">
            <v>90.358804582085881</v>
          </cell>
          <cell r="H21">
            <v>892.36988425966854</v>
          </cell>
          <cell r="K21">
            <v>213941.89359019752</v>
          </cell>
          <cell r="N21">
            <v>0.52477350271681966</v>
          </cell>
          <cell r="O21">
            <v>90.856761365107204</v>
          </cell>
          <cell r="P21">
            <v>1020.0582805764643</v>
          </cell>
          <cell r="Q21">
            <v>-144.99933904638695</v>
          </cell>
          <cell r="T21">
            <v>22.901555164574642</v>
          </cell>
          <cell r="U21">
            <v>-5.5906124349837345</v>
          </cell>
          <cell r="W21">
            <v>-1559.9855982916081</v>
          </cell>
          <cell r="Z21">
            <v>-1259.9349155524567</v>
          </cell>
          <cell r="AA21">
            <v>-89.599543041174996</v>
          </cell>
          <cell r="AB21">
            <v>-2909.5200568852397</v>
          </cell>
        </row>
        <row r="22">
          <cell r="A22">
            <v>19</v>
          </cell>
          <cell r="C22">
            <v>174961.50525856018</v>
          </cell>
          <cell r="F22">
            <v>0.56399642651971493</v>
          </cell>
          <cell r="G22">
            <v>90.28852737443006</v>
          </cell>
          <cell r="H22">
            <v>890.94609442254898</v>
          </cell>
          <cell r="K22">
            <v>198276.80736460368</v>
          </cell>
          <cell r="N22">
            <v>0.51455790105644728</v>
          </cell>
          <cell r="O22">
            <v>91.126000518475848</v>
          </cell>
          <cell r="P22">
            <v>929.71208921625475</v>
          </cell>
          <cell r="Q22">
            <v>-118.72712983900765</v>
          </cell>
          <cell r="T22">
            <v>88.505446240606005</v>
          </cell>
          <cell r="U22">
            <v>-8.5443111953042585</v>
          </cell>
          <cell r="W22">
            <v>-1678.7127281306157</v>
          </cell>
          <cell r="Z22">
            <v>-1171.4294693118507</v>
          </cell>
          <cell r="AA22">
            <v>-98.143854236479257</v>
          </cell>
          <cell r="AB22">
            <v>-2948.2860516789456</v>
          </cell>
        </row>
        <row r="23">
          <cell r="A23">
            <v>20</v>
          </cell>
          <cell r="C23">
            <v>180657.5122756958</v>
          </cell>
          <cell r="F23">
            <v>0.63993703950105629</v>
          </cell>
          <cell r="G23">
            <v>89.983496404856567</v>
          </cell>
          <cell r="H23">
            <v>1040.2941049953715</v>
          </cell>
          <cell r="K23">
            <v>201299.71906995852</v>
          </cell>
          <cell r="N23">
            <v>0.58693627173012108</v>
          </cell>
          <cell r="O23">
            <v>89.455554991654793</v>
          </cell>
          <cell r="P23">
            <v>1056.9183359231856</v>
          </cell>
          <cell r="Q23">
            <v>-118.86561356715804</v>
          </cell>
          <cell r="T23">
            <v>96.003749213915953</v>
          </cell>
          <cell r="U23">
            <v>6.2376334254279424</v>
          </cell>
          <cell r="W23">
            <v>-1797.5783416977738</v>
          </cell>
          <cell r="Z23">
            <v>-1075.4257200979348</v>
          </cell>
          <cell r="AA23">
            <v>-91.906220811051313</v>
          </cell>
          <cell r="AB23">
            <v>-2964.9102826067597</v>
          </cell>
        </row>
        <row r="24">
          <cell r="A24">
            <v>21</v>
          </cell>
          <cell r="C24">
            <v>173034.3369140625</v>
          </cell>
          <cell r="F24">
            <v>0.57354492006479918</v>
          </cell>
          <cell r="G24">
            <v>91.353880891009581</v>
          </cell>
          <cell r="H24">
            <v>906.62299978367957</v>
          </cell>
          <cell r="K24">
            <v>205758.71636820026</v>
          </cell>
          <cell r="N24">
            <v>0.56513425752536273</v>
          </cell>
          <cell r="O24">
            <v>88.757995363778249</v>
          </cell>
          <cell r="P24">
            <v>1032.0895033404508</v>
          </cell>
          <cell r="Q24">
            <v>-171.46120010564579</v>
          </cell>
          <cell r="T24">
            <v>15.809402327795063</v>
          </cell>
          <cell r="U24">
            <v>30.185294221079417</v>
          </cell>
          <cell r="W24">
            <v>-1969.0395418034195</v>
          </cell>
          <cell r="Z24">
            <v>-1059.6163177701396</v>
          </cell>
          <cell r="AA24">
            <v>-61.720926589971896</v>
          </cell>
          <cell r="AB24">
            <v>-3090.3767861635311</v>
          </cell>
        </row>
        <row r="25">
          <cell r="A25">
            <v>22</v>
          </cell>
          <cell r="C25">
            <v>183643.91250801086</v>
          </cell>
          <cell r="F25">
            <v>0.56252862881200172</v>
          </cell>
          <cell r="G25">
            <v>88.06523036769552</v>
          </cell>
          <cell r="H25">
            <v>909.75749501808366</v>
          </cell>
          <cell r="K25">
            <v>216305.64340154006</v>
          </cell>
          <cell r="N25">
            <v>0.63199814559644973</v>
          </cell>
          <cell r="O25">
            <v>89.694160662321949</v>
          </cell>
          <cell r="P25">
            <v>1226.1619201122255</v>
          </cell>
          <cell r="Q25">
            <v>-161.80364529837405</v>
          </cell>
          <cell r="T25">
            <v>-132.33252639956694</v>
          </cell>
          <cell r="U25">
            <v>-22.268253396200617</v>
          </cell>
          <cell r="W25">
            <v>-2130.8431871017938</v>
          </cell>
          <cell r="Z25">
            <v>-1191.9488441697065</v>
          </cell>
          <cell r="AA25">
            <v>-83.989179986172516</v>
          </cell>
          <cell r="AB25">
            <v>-3406.781211257673</v>
          </cell>
        </row>
        <row r="26">
          <cell r="A26">
            <v>23</v>
          </cell>
          <cell r="C26">
            <v>183298.83707809448</v>
          </cell>
          <cell r="F26">
            <v>0.63016436902498751</v>
          </cell>
          <cell r="G26">
            <v>90.698741509829077</v>
          </cell>
          <cell r="H26">
            <v>1047.646615195602</v>
          </cell>
          <cell r="K26">
            <v>219588.15216299292</v>
          </cell>
          <cell r="N26">
            <v>0.70881319315016478</v>
          </cell>
          <cell r="O26">
            <v>90.046813006737878</v>
          </cell>
          <cell r="P26">
            <v>1401.5514441224866</v>
          </cell>
          <cell r="Q26">
            <v>-207.41199847472464</v>
          </cell>
          <cell r="T26">
            <v>-156.63990067555261</v>
          </cell>
          <cell r="U26">
            <v>10.147070223392701</v>
          </cell>
          <cell r="W26">
            <v>-2338.2551855765182</v>
          </cell>
          <cell r="Z26">
            <v>-1348.588744845259</v>
          </cell>
          <cell r="AA26">
            <v>-73.842109762779813</v>
          </cell>
          <cell r="AB26">
            <v>-3760.6860401845579</v>
          </cell>
        </row>
        <row r="27">
          <cell r="A27">
            <v>24</v>
          </cell>
          <cell r="C27">
            <v>179422.685546875</v>
          </cell>
          <cell r="F27">
            <v>0.67071238055142346</v>
          </cell>
          <cell r="G27">
            <v>90.814489706705672</v>
          </cell>
          <cell r="H27">
            <v>1092.8708008599565</v>
          </cell>
          <cell r="K27">
            <v>214411.13929622088</v>
          </cell>
          <cell r="N27">
            <v>0.68744144791188044</v>
          </cell>
          <cell r="O27">
            <v>88.966386088766299</v>
          </cell>
          <cell r="P27">
            <v>1311.3209734170775</v>
          </cell>
          <cell r="Q27">
            <v>-213.11608035155277</v>
          </cell>
          <cell r="T27">
            <v>-32.574234711007229</v>
          </cell>
          <cell r="U27">
            <v>27.240142505438786</v>
          </cell>
          <cell r="W27">
            <v>-2551.3712659280709</v>
          </cell>
          <cell r="Z27">
            <v>-1381.1629795562662</v>
          </cell>
          <cell r="AA27">
            <v>-46.60196725734103</v>
          </cell>
          <cell r="AB27">
            <v>-3979.1362127416787</v>
          </cell>
        </row>
        <row r="28">
          <cell r="A28">
            <v>25</v>
          </cell>
          <cell r="C28">
            <v>177021.71875</v>
          </cell>
          <cell r="F28">
            <v>0.63430630311493252</v>
          </cell>
          <cell r="G28">
            <v>91.230141077868211</v>
          </cell>
          <cell r="H28">
            <v>1024.3866890440502</v>
          </cell>
          <cell r="K28">
            <v>219558.91395607681</v>
          </cell>
          <cell r="N28">
            <v>0.62899828506745636</v>
          </cell>
          <cell r="O28">
            <v>88.773719793774305</v>
          </cell>
          <cell r="P28">
            <v>1225.9844261268715</v>
          </cell>
          <cell r="Q28">
            <v>-246.15361813265349</v>
          </cell>
          <cell r="T28">
            <v>10.632167530767648</v>
          </cell>
          <cell r="U28">
            <v>33.923713519064449</v>
          </cell>
          <cell r="W28">
            <v>-2797.5248840607246</v>
          </cell>
          <cell r="Z28">
            <v>-1370.5308120254986</v>
          </cell>
          <cell r="AA28">
            <v>-12.678253738276581</v>
          </cell>
          <cell r="AB28">
            <v>-4180.7339498245001</v>
          </cell>
        </row>
        <row r="29">
          <cell r="A29">
            <v>26</v>
          </cell>
          <cell r="C29">
            <v>198761.673828125</v>
          </cell>
          <cell r="F29">
            <v>0.57618311081602958</v>
          </cell>
          <cell r="G29">
            <v>91.375777626638452</v>
          </cell>
          <cell r="H29">
            <v>1046.4639103948352</v>
          </cell>
          <cell r="K29">
            <v>213246.26853308157</v>
          </cell>
          <cell r="N29">
            <v>0.58531833275304401</v>
          </cell>
          <cell r="O29">
            <v>90.699303566253974</v>
          </cell>
          <cell r="P29">
            <v>1132.0810471241414</v>
          </cell>
          <cell r="Q29">
            <v>-76.260203104046752</v>
          </cell>
          <cell r="T29">
            <v>-17.800476546985834</v>
          </cell>
          <cell r="U29">
            <v>8.443542921726646</v>
          </cell>
          <cell r="W29">
            <v>-2873.7850871647715</v>
          </cell>
          <cell r="Z29">
            <v>-1388.3312885724845</v>
          </cell>
          <cell r="AA29">
            <v>-4.234710816549935</v>
          </cell>
          <cell r="AB29">
            <v>-4266.3510865538065</v>
          </cell>
        </row>
        <row r="30">
          <cell r="A30">
            <v>27</v>
          </cell>
          <cell r="C30">
            <v>187408.65234375</v>
          </cell>
          <cell r="F30">
            <v>0.54826163977883635</v>
          </cell>
          <cell r="G30">
            <v>90.553092539041259</v>
          </cell>
          <cell r="H30">
            <v>930.42374453356297</v>
          </cell>
          <cell r="K30">
            <v>210243.92381496841</v>
          </cell>
          <cell r="N30">
            <v>0.64737376006964897</v>
          </cell>
          <cell r="O30">
            <v>90.92721069375898</v>
          </cell>
          <cell r="P30">
            <v>1237.5775263368275</v>
          </cell>
          <cell r="Q30">
            <v>-113.36978588758321</v>
          </cell>
          <cell r="T30">
            <v>-188.69200841336348</v>
          </cell>
          <cell r="U30">
            <v>-5.0919875023179877</v>
          </cell>
          <cell r="W30">
            <v>-2987.1548730523546</v>
          </cell>
          <cell r="Z30">
            <v>-1577.023296985848</v>
          </cell>
          <cell r="AA30">
            <v>-9.3266983188679227</v>
          </cell>
          <cell r="AB30">
            <v>-4573.5048683570712</v>
          </cell>
        </row>
        <row r="31">
          <cell r="A31">
            <v>28</v>
          </cell>
          <cell r="C31">
            <v>182930.34368927003</v>
          </cell>
          <cell r="F31">
            <v>0.56622915120535044</v>
          </cell>
          <cell r="G31">
            <v>92.60411297831709</v>
          </cell>
          <cell r="H31">
            <v>959.19796980576962</v>
          </cell>
          <cell r="K31">
            <v>209290.70412927095</v>
          </cell>
          <cell r="N31">
            <v>0.65361641335925669</v>
          </cell>
          <cell r="O31">
            <v>91.068171956066635</v>
          </cell>
          <cell r="P31">
            <v>1245.7747023751556</v>
          </cell>
          <cell r="Q31">
            <v>-138.2209408644996</v>
          </cell>
          <cell r="T31">
            <v>-169.36682584294834</v>
          </cell>
          <cell r="U31">
            <v>21.011034138062396</v>
          </cell>
          <cell r="W31">
            <v>-3125.375813916854</v>
          </cell>
          <cell r="Z31">
            <v>-1746.3901228287964</v>
          </cell>
          <cell r="AA31">
            <v>11.684335819194473</v>
          </cell>
          <cell r="AB31">
            <v>-4860.0816009264572</v>
          </cell>
        </row>
        <row r="32">
          <cell r="A32">
            <v>29</v>
          </cell>
          <cell r="C32">
            <v>182277.31640625</v>
          </cell>
          <cell r="F32">
            <v>0.57982556937837482</v>
          </cell>
          <cell r="G32">
            <v>92.966775871839076</v>
          </cell>
          <cell r="H32">
            <v>982.55701091099547</v>
          </cell>
          <cell r="K32">
            <v>199362.55535205372</v>
          </cell>
          <cell r="N32">
            <v>0.57159399555756629</v>
          </cell>
          <cell r="O32">
            <v>90.931686555004632</v>
          </cell>
          <cell r="P32">
            <v>1036.2069381280355</v>
          </cell>
          <cell r="Q32">
            <v>-92.097149773011736</v>
          </cell>
          <cell r="T32">
            <v>15.256476296816714</v>
          </cell>
          <cell r="U32">
            <v>23.190746259154636</v>
          </cell>
          <cell r="W32">
            <v>-3217.4729636898655</v>
          </cell>
          <cell r="Z32">
            <v>-1731.1336465319796</v>
          </cell>
          <cell r="AA32">
            <v>34.875082078349109</v>
          </cell>
          <cell r="AB32">
            <v>-4913.7315281434976</v>
          </cell>
        </row>
        <row r="33">
          <cell r="A33">
            <v>30</v>
          </cell>
          <cell r="C33">
            <v>173062.2177734375</v>
          </cell>
          <cell r="F33">
            <v>0.52909202592848792</v>
          </cell>
          <cell r="G33">
            <v>93.432806395345494</v>
          </cell>
          <cell r="H33">
            <v>855.52533463418536</v>
          </cell>
          <cell r="K33">
            <v>199173.96402386273</v>
          </cell>
          <cell r="N33">
            <v>0.57419966586048843</v>
          </cell>
          <cell r="O33">
            <v>90.816465345933395</v>
          </cell>
          <cell r="P33">
            <v>1038.6281691582781</v>
          </cell>
          <cell r="Q33">
            <v>-129.08224993408558</v>
          </cell>
          <cell r="T33">
            <v>-83.942532154179943</v>
          </cell>
          <cell r="U33">
            <v>29.921947564172815</v>
          </cell>
          <cell r="W33">
            <v>-3346.5552136239512</v>
          </cell>
          <cell r="Z33">
            <v>-1815.0761786861594</v>
          </cell>
          <cell r="AA33">
            <v>64.79702964252192</v>
          </cell>
          <cell r="AB33">
            <v>-5096.8343626675905</v>
          </cell>
        </row>
        <row r="34">
          <cell r="A34">
            <v>31</v>
          </cell>
          <cell r="C34">
            <v>167476.16057445528</v>
          </cell>
          <cell r="F34">
            <v>0.52988439529272957</v>
          </cell>
          <cell r="G34">
            <v>92.894438902491387</v>
          </cell>
          <cell r="H34">
            <v>824.37315697846816</v>
          </cell>
          <cell r="K34">
            <v>295982.26946529996</v>
          </cell>
          <cell r="N34">
            <v>0.56819247156508124</v>
          </cell>
          <cell r="O34">
            <v>90.6768483191494</v>
          </cell>
          <cell r="P34">
            <v>1524.9569646934931</v>
          </cell>
          <cell r="Q34">
            <v>-632.54964953813669</v>
          </cell>
          <cell r="T34">
            <v>-105.32846502138264</v>
          </cell>
          <cell r="U34">
            <v>37.294306844494798</v>
          </cell>
          <cell r="W34">
            <v>-3979.1048631620879</v>
          </cell>
          <cell r="Z34">
            <v>-1920.4046437075422</v>
          </cell>
          <cell r="AA34">
            <v>102.09133648701672</v>
          </cell>
          <cell r="AB34">
            <v>-5797.4181703826152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co(Budget vs Real)"/>
      <sheetName val="Procedimiento"/>
      <sheetName val="RMN"/>
      <sheetName val="Tablas de producción"/>
      <sheetName val="Factores"/>
      <sheetName val="Real+Proy."/>
      <sheetName val="Real+S.T."/>
      <sheetName val="Embarques Cu"/>
      <sheetName val="CuS para ST"/>
      <sheetName val="ST Original"/>
      <sheetName val="Plan mina Short Term"/>
      <sheetName val="Plan mina Proyeccion"/>
      <sheetName val="Gestión Inventarios"/>
      <sheetName val="Bdgt Anual"/>
      <sheetName val="Frcst"/>
      <sheetName val="Outlook"/>
      <sheetName val="Proy. Mes"/>
      <sheetName val="Real"/>
      <sheetName val="P-R Resumen"/>
      <sheetName val="Tablero "/>
      <sheetName val="HojaSIPcfg"/>
      <sheetName val="Grafico ktpd"/>
      <sheetName val="R+RP+B_Datos"/>
      <sheetName val="R+RS+B"/>
      <sheetName val="R+RP+B"/>
      <sheetName val="Comparacion (Sin BM)"/>
      <sheetName val="R+RP+F(OL)"/>
      <sheetName val="R+RS+F(OL)"/>
      <sheetName val="R+RP+F (Marzo)"/>
      <sheetName val="R+RS+F (Marzo)"/>
      <sheetName val="Explicacion Cueq (Con BM)"/>
      <sheetName val="BM con CuF pagable"/>
      <sheetName val="As CAL"/>
      <sheetName val="Ok Datos"/>
    </sheetNames>
    <sheetDataSet>
      <sheetData sheetId="0"/>
      <sheetData sheetId="1"/>
      <sheetData sheetId="2"/>
      <sheetData sheetId="3">
        <row r="4">
          <cell r="P4">
            <v>-0.78711675613181953</v>
          </cell>
        </row>
      </sheetData>
      <sheetData sheetId="4">
        <row r="2">
          <cell r="D2">
            <v>44197.791666666664</v>
          </cell>
        </row>
      </sheetData>
      <sheetData sheetId="5"/>
      <sheetData sheetId="6">
        <row r="2">
          <cell r="K2">
            <v>44197.791666666664</v>
          </cell>
        </row>
      </sheetData>
      <sheetData sheetId="7"/>
      <sheetData sheetId="8"/>
      <sheetData sheetId="9"/>
      <sheetData sheetId="10">
        <row r="15">
          <cell r="F15">
            <v>30.407025017990573</v>
          </cell>
        </row>
      </sheetData>
      <sheetData sheetId="11"/>
      <sheetData sheetId="12"/>
      <sheetData sheetId="13">
        <row r="11">
          <cell r="F11">
            <v>13078.645895279311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1">
          <cell r="A1">
            <v>44220.791666666664</v>
          </cell>
        </row>
      </sheetData>
      <sheetData sheetId="21"/>
      <sheetData sheetId="22"/>
      <sheetData sheetId="23">
        <row r="6">
          <cell r="F6">
            <v>31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 t="e">
            <v>#REF!</v>
          </cell>
          <cell r="P25">
            <v>0</v>
          </cell>
          <cell r="Q25"/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 t="e">
            <v>#REF!</v>
          </cell>
          <cell r="P26">
            <v>0</v>
          </cell>
          <cell r="Q26"/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 t="e">
            <v>#REF!</v>
          </cell>
          <cell r="P27">
            <v>0</v>
          </cell>
          <cell r="Q27"/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 t="e">
            <v>#REF!</v>
          </cell>
          <cell r="P28">
            <v>0</v>
          </cell>
          <cell r="Q28"/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 t="e">
            <v>#REF!</v>
          </cell>
          <cell r="P29">
            <v>0</v>
          </cell>
          <cell r="Q29"/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 t="e">
            <v>#REF!</v>
          </cell>
          <cell r="P30">
            <v>0</v>
          </cell>
          <cell r="Q30"/>
        </row>
      </sheetData>
      <sheetData sheetId="24">
        <row r="6">
          <cell r="F6">
            <v>31</v>
          </cell>
        </row>
      </sheetData>
      <sheetData sheetId="25">
        <row r="27">
          <cell r="Q27">
            <v>4811.8795648437499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ores"/>
      <sheetName val="Comparacion (Sin BM)"/>
      <sheetName val="Tablas de producción"/>
      <sheetName val="Real"/>
      <sheetName val="Outlook"/>
      <sheetName val="Plan mina Short Term"/>
      <sheetName val="ST Original"/>
      <sheetName val="Plan mina Proyeccion"/>
      <sheetName val="Visualizacion"/>
      <sheetName val="Bdgt Anual"/>
      <sheetName val="Frcst"/>
      <sheetName val="Proy. Mes"/>
      <sheetName val="Real+Proy."/>
      <sheetName val="Real+S.T."/>
      <sheetName val="R+RP+F(OL)"/>
      <sheetName val="ARENAS"/>
      <sheetName val="Embarques Cu"/>
      <sheetName val="Gestión Inventarios"/>
      <sheetName val="HojaSIPcfg"/>
      <sheetName val="Grafico ktpd"/>
      <sheetName val="R+RP+B"/>
      <sheetName val="R+RS+B"/>
      <sheetName val="R+RS+F(OL)"/>
      <sheetName val="Explicacion Cueq (Con BM)"/>
      <sheetName val="BM con CuF pagable"/>
      <sheetName val="As CAL"/>
      <sheetName val="Ok Datos"/>
      <sheetName val="Hoja4"/>
      <sheetName val="Cheque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9">
          <cell r="B9">
            <v>45200.791666666664</v>
          </cell>
        </row>
        <row r="13">
          <cell r="K13">
            <v>3335.8285714285707</v>
          </cell>
          <cell r="AC13">
            <v>2800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essica Yamen Cueto Fajardin" id="{66FF0639-B7FD-4C03-835A-F61373EF59B2}" userId="S::jcueto@pelambres.cl::f4958bf0-a811-416d-b067-4ca7e4dd174f" providerId="AD"/>
  <person displayName="Cristian Leiva Vivedes" id="{9FA854DA-DFDB-4662-9313-CA3847109DA1}" userId="S::cleivav@pelambres.cl::e012a9f1-4956-4868-91e4-dfd00b05c118" providerId="AD"/>
  <person displayName="Atsuhiro" id="{B2CFDE39-5D08-4D8B-BDE5-310537E1B50F}" userId="S::atokuda2@pelambres.cl::f321fb9b-e2ee-49d1-a8e3-cd2f39b0950f" providerId="AD"/>
  <person displayName="Marco San Martin Martinez" id="{069EF9B8-6C00-4F45-9C97-0FEE2ECA5437}" userId="S::msanmartinm@pelambres.cl::c561689c-a339-49a5-b9a4-7b95291cd503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Marco Adolfo San Martin Martinez" refreshedDate="45324.520795949073" createdVersion="8" refreshedVersion="8" minRefreshableVersion="3" recordCount="471" xr:uid="{32F0D6B0-EC73-4829-8C60-E4CF10E3620A}">
  <cacheSource type="worksheet">
    <worksheetSource ref="A1:BL472" sheet="Cubicadores"/>
  </cacheSource>
  <cacheFields count="64">
    <cacheField name="Día " numFmtId="0">
      <sharedItems count="33">
        <s v="01"/>
        <s v="02"/>
        <s v="03"/>
        <s v="04"/>
        <s v="05"/>
        <s v="06"/>
        <s v="07"/>
        <s v="08"/>
        <s v="09"/>
        <s v="10"/>
        <s v="11"/>
        <s v="12"/>
        <s v="13"/>
        <s v="14"/>
        <s v="15"/>
        <s v="16"/>
        <s v="17"/>
        <s v="18"/>
        <s v="19"/>
        <s v="20"/>
        <s v="21"/>
        <s v=".0"/>
        <s v="28"/>
        <s v="29"/>
        <s v="30"/>
        <s v="31"/>
        <s v="00"/>
        <s v="22"/>
        <s v="23"/>
        <s v="24"/>
        <s v="25"/>
        <s v="26"/>
        <s v="27"/>
      </sharedItems>
    </cacheField>
    <cacheField name="SOURCE" numFmtId="0">
      <sharedItems/>
    </cacheField>
    <cacheField name="REGION" numFmtId="0">
      <sharedItems/>
    </cacheField>
    <cacheField name="UG" numFmtId="0">
      <sharedItems containsSemiMixedTypes="0" containsString="0" containsNumber="1" containsInteger="1" minValue="1" maxValue="555"/>
    </cacheField>
    <cacheField name="M" numFmtId="0">
      <sharedItems containsSemiMixedTypes="0" containsString="0" containsNumber="1" containsInteger="1" minValue="1" maxValue="8"/>
    </cacheField>
    <cacheField name="LITO" numFmtId="0">
      <sharedItems containsSemiMixedTypes="0" containsString="0" containsNumber="1" containsInteger="1" minValue="1" maxValue="16"/>
    </cacheField>
    <cacheField name="ALTERACION" numFmtId="0">
      <sharedItems containsSemiMixedTypes="0" containsString="0" containsNumber="1" containsInteger="1" minValue="-99" maxValue="4"/>
    </cacheField>
    <cacheField name="CAT" numFmtId="0">
      <sharedItems containsSemiMixedTypes="0" containsString="0" containsNumber="1" containsInteger="1" minValue="-99" maxValue="300"/>
    </cacheField>
    <cacheField name="PRODUCT" numFmtId="0">
      <sharedItems/>
    </cacheField>
    <cacheField name="CU" numFmtId="0">
      <sharedItems containsSemiMixedTypes="0" containsString="0" containsNumber="1" minValue="4.5499999999999999E-2" maxValue="0.87860000000000005"/>
    </cacheField>
    <cacheField name="MO" numFmtId="0">
      <sharedItems containsSemiMixedTypes="0" containsString="0" containsNumber="1" minValue="7.7328999999999999" maxValue="533.39059999999995"/>
    </cacheField>
    <cacheField name="AU" numFmtId="0">
      <sharedItems containsSemiMixedTypes="0" containsString="0" containsNumber="1" minValue="0" maxValue="0.12130000000000001"/>
    </cacheField>
    <cacheField name="AG" numFmtId="0">
      <sharedItems containsSemiMixedTypes="0" containsString="0" containsNumber="1" minValue="0" maxValue="3.5023"/>
    </cacheField>
    <cacheField name="LEYCONC" numFmtId="0">
      <sharedItems containsSemiMixedTypes="0" containsString="0" containsNumber="1" minValue="17.88" maxValue="47.833399999999997"/>
    </cacheField>
    <cacheField name="RECCU" numFmtId="0">
      <sharedItems containsSemiMixedTypes="0" containsString="0" containsNumber="1" minValue="57.796100000000003" maxValue="93.137500000000003"/>
    </cacheField>
    <cacheField name="CONCAL" numFmtId="0">
      <sharedItems containsSemiMixedTypes="0" containsString="0" containsNumber="1" minValue="205.73920000000001" maxValue="4500"/>
    </cacheField>
    <cacheField name="P80" numFmtId="0">
      <sharedItems containsSemiMixedTypes="0" containsString="0" containsNumber="1" minValue="150" maxValue="276.7602"/>
    </cacheField>
    <cacheField name="PY" numFmtId="0">
      <sharedItems containsSemiMixedTypes="0" containsString="0" containsNumber="1" minValue="0" maxValue="9.8661999999999992"/>
    </cacheField>
    <cacheField name="CPY" numFmtId="0">
      <sharedItems containsSemiMixedTypes="0" containsString="0" containsNumber="1" minValue="3.0300000000000001E-2" maxValue="1.7687999999999999"/>
    </cacheField>
    <cacheField name="CSCV" numFmtId="0">
      <sharedItems containsSemiMixedTypes="0" containsString="0" containsNumber="1" minValue="0" maxValue="0.72689999999999999"/>
    </cacheField>
    <cacheField name="BO" numFmtId="0">
      <sharedItems containsMixedTypes="1" containsNumber="1" minValue="0" maxValue="0.66779999999999995"/>
    </cacheField>
    <cacheField name="CUEQ" numFmtId="0">
      <sharedItems containsSemiMixedTypes="0" containsString="0" containsNumber="1" minValue="5.2400000000000002E-2" maxValue="0.94669999999999999"/>
    </cacheField>
    <cacheField name="WI" numFmtId="0">
      <sharedItems containsSemiMixedTypes="0" containsString="0" containsNumber="1" minValue="0" maxValue="15.6454"/>
    </cacheField>
    <cacheField name="FINOC" numFmtId="0">
      <sharedItems containsSemiMixedTypes="0" containsString="0" containsNumber="1" minValue="5.9999999999999995E-4" maxValue="592.22260000000006"/>
    </cacheField>
    <cacheField name="FINOR" numFmtId="0">
      <sharedItems containsSemiMixedTypes="0" containsString="0" containsNumber="1" minValue="4.0000000000000002E-4" maxValue="515.80669999999998"/>
    </cacheField>
    <cacheField name="FINOREQ" numFmtId="0">
      <sharedItems containsSemiMixedTypes="0" containsString="0" containsNumber="1" minValue="4.0000000000000002E-4" maxValue="528.61749999999995"/>
    </cacheField>
    <cacheField name="TONCON" numFmtId="0">
      <sharedItems containsSemiMixedTypes="0" containsString="0" containsNumber="1" minValue="2E-3" maxValue="2023.8543"/>
    </cacheField>
    <cacheField name="AS" numFmtId="0">
      <sharedItems containsSemiMixedTypes="0" containsString="0" containsNumber="1" minValue="4.6139999999999999" maxValue="316.4468"/>
    </cacheField>
    <cacheField name="AXB" numFmtId="0">
      <sharedItems containsSemiMixedTypes="0" containsString="0" containsNumber="1" minValue="26.59" maxValue="60.162399999999998"/>
    </cacheField>
    <cacheField name="SPI" numFmtId="0">
      <sharedItems containsSemiMixedTypes="0" containsString="0" containsNumber="1" minValue="35.397199999999998" maxValue="116.24"/>
    </cacheField>
    <cacheField name="HRS" numFmtId="0">
      <sharedItems containsMixedTypes="1" containsNumber="1" minValue="3.0899598587919998E-5" maxValue="15.2845"/>
    </cacheField>
    <cacheField name="RDTO_PLANTA" numFmtId="0">
      <sharedItems containsSemiMixedTypes="0" containsString="0" containsNumber="1" minValue="5126.9958999999999" maxValue="9500"/>
    </cacheField>
    <cacheField name="RQD" numFmtId="0">
      <sharedItems containsSemiMixedTypes="0" containsString="0" containsNumber="1" minValue="-99" maxValue="99.973799999999997"/>
    </cacheField>
    <cacheField name="FINOMO" numFmtId="0">
      <sharedItems containsMixedTypes="1" containsNumber="1" minValue="2.9774475346879999E-6" maxValue="19.170400000000001"/>
    </cacheField>
    <cacheField name="RMOS" numFmtId="0">
      <sharedItems containsSemiMixedTypes="0" containsString="0" containsNumber="1" minValue="72.738399999999999" maxValue="92.336200000000005"/>
    </cacheField>
    <cacheField name="RECMO" numFmtId="0">
      <sharedItems containsSemiMixedTypes="0" containsString="0" containsNumber="1" minValue="0" maxValue="90"/>
    </cacheField>
    <cacheField name="RMOG" numFmtId="0">
      <sharedItems containsSemiMixedTypes="0" containsString="0" containsNumber="1" minValue="19.9895" maxValue="88.311999999999998"/>
    </cacheField>
    <cacheField name="FE" numFmtId="0">
      <sharedItems containsSemiMixedTypes="0" containsString="0" containsNumber="1" minValue="1.3299999999999999E-2" maxValue="4.7538999999999998"/>
    </cacheField>
    <cacheField name="CA" numFmtId="0">
      <sharedItems containsSemiMixedTypes="0" containsString="0" containsNumber="1" minValue="0.05" maxValue="2.1114999999999999"/>
    </cacheField>
    <cacheField name="CUS" numFmtId="0">
      <sharedItems containsSemiMixedTypes="0" containsString="0" containsNumber="1" minValue="0" maxValue="3.5999999999999997E-2"/>
    </cacheField>
    <cacheField name="F80" numFmtId="0">
      <sharedItems containsSemiMixedTypes="0" containsString="0" containsNumber="1" minValue="63.6" maxValue="140.21629999999999"/>
    </cacheField>
    <cacheField name="RCU137" numFmtId="0">
      <sharedItems containsSemiMixedTypes="0" containsString="0" containsNumber="1" minValue="31.096" maxValue="96.007999999999996"/>
    </cacheField>
    <cacheField name="RCU150" numFmtId="0">
      <sharedItems containsSemiMixedTypes="0" containsString="0" containsNumber="1" minValue="29.931000000000001" maxValue="95.586600000000004"/>
    </cacheField>
    <cacheField name="RCU180" numFmtId="0">
      <sharedItems containsSemiMixedTypes="0" containsString="0" containsNumber="1" minValue="27.419" maxValue="94.762200000000007"/>
    </cacheField>
    <cacheField name="RCU240" numFmtId="0">
      <sharedItems containsSemiMixedTypes="0" containsString="0" containsNumber="1" minValue="21.302" maxValue="92.702100000000002"/>
    </cacheField>
    <cacheField name="RCU250" numFmtId="0">
      <sharedItems containsSemiMixedTypes="0" containsString="0" containsNumber="1" minValue="19.989999999999998" maxValue="92.224000000000004"/>
    </cacheField>
    <cacheField name="RCU300" numFmtId="0">
      <sharedItems containsSemiMixedTypes="0" containsString="0" containsNumber="1" minValue="17.315000000000001" maxValue="90.074700000000007"/>
    </cacheField>
    <cacheField name="TOTAL_VOLUME" numFmtId="0">
      <sharedItems containsSemiMixedTypes="0" containsString="0" containsNumber="1" minValue="9.3200000000000005E-2" maxValue="41473.587200000002"/>
    </cacheField>
    <cacheField name="TOTAL_MASS" numFmtId="0">
      <sharedItems containsSemiMixedTypes="0" containsString="0" containsNumber="1" minValue="0.23469999999999999" maxValue="106822.2417"/>
    </cacheField>
    <cacheField name="Axb_Mass" numFmtId="0">
      <sharedItems containsSemiMixedTypes="0" containsString="0" containsNumber="1" minValue="10.28893845" maxValue="4785326.0413242504"/>
    </cacheField>
    <cacheField name="RQD_Mass" numFmtId="0">
      <sharedItems containsSemiMixedTypes="0" containsString="0" containsNumber="1" minValue="-466774.18920000002" maxValue="7341537.8045719201"/>
    </cacheField>
    <cacheField name="Wi_Mass" numFmtId="0">
      <sharedItems containsSemiMixedTypes="0" containsString="0" containsNumber="1" minValue="0" maxValue="1364290.94209572"/>
    </cacheField>
    <cacheField name="UE_AxB_1" numFmtId="0">
      <sharedItems containsSemiMixedTypes="0" containsString="0" containsNumber="1" minValue="0" maxValue="90318.992899999997"/>
    </cacheField>
    <cacheField name="UE_AxB_2" numFmtId="0">
      <sharedItems containsSemiMixedTypes="0" containsString="0" containsNumber="1" minValue="0" maxValue="51910.332199999997"/>
    </cacheField>
    <cacheField name="UE_AxB_34" numFmtId="0">
      <sharedItems containsSemiMixedTypes="0" containsString="0" containsNumber="1" minValue="0" maxValue="76744.797600000005"/>
    </cacheField>
    <cacheField name="UE_AxB_7" numFmtId="0">
      <sharedItems containsSemiMixedTypes="0" containsString="0" containsNumber="1" minValue="0" maxValue="33596.92"/>
    </cacheField>
    <cacheField name="UE_AxB_86" numFmtId="0">
      <sharedItems containsSemiMixedTypes="0" containsString="0" containsNumber="1" minValue="0" maxValue="38.5533"/>
    </cacheField>
    <cacheField name="UE_AxB_85" numFmtId="0">
      <sharedItems containsSemiMixedTypes="0" containsString="0" containsNumber="1" minValue="0" maxValue="106822.2417"/>
    </cacheField>
    <cacheField name="FINOR137" numFmtId="0">
      <sharedItems containsSemiMixedTypes="0" containsString="0" containsNumber="1" minValue="1.86576E-2" maxValue="54209.289067560007"/>
    </cacheField>
    <cacheField name="FINOR150" numFmtId="0">
      <sharedItems containsSemiMixedTypes="0" containsString="0" containsNumber="1" minValue="1.7958599999999998E-2" maxValue="53343.998431020009"/>
    </cacheField>
    <cacheField name="FINOR180" numFmtId="0">
      <sharedItems containsSemiMixedTypes="0" containsString="0" containsNumber="1" minValue="1.6451399999999998E-2" maxValue="52246.05543878"/>
    </cacheField>
    <cacheField name="FINOR240" numFmtId="0">
      <sharedItems containsSemiMixedTypes="0" containsString="0" containsNumber="1" minValue="1.27812E-2" maxValue="50021.495792099995"/>
    </cacheField>
    <cacheField name="FINOR250" numFmtId="0">
      <sharedItems containsSemiMixedTypes="0" containsString="0" containsNumber="1" minValue="1.1993999999999998E-2" maxValue="49647.99453209999"/>
    </cacheField>
    <cacheField name="FINOR300" numFmtId="0">
      <sharedItems containsSemiMixedTypes="0" containsString="0" containsNumber="1" minValue="1.0389000000000001E-2" maxValue="47422.775888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A169D-723B-4664-B7F1-E2ACD867C677}" name="TablaDinámica2" cacheId="8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9:R43" firstHeaderRow="0" firstDataRow="1" firstDataCol="1"/>
  <pivotFields count="64">
    <pivotField axis="axisRow" showAll="0">
      <items count="34">
        <item x="21"/>
        <item x="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7"/>
        <item x="28"/>
        <item x="29"/>
        <item x="30"/>
        <item x="31"/>
        <item x="32"/>
        <item x="22"/>
        <item x="23"/>
        <item x="24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a de UE_AxB_1" fld="52" baseField="0" baseItem="0"/>
    <dataField name="Suma de UE_AxB_2" fld="53" baseField="0" baseItem="0"/>
    <dataField name="Suma de UE_AxB_34" fld="54" baseField="0" baseItem="0"/>
    <dataField name="Suma de UE_AxB_7" fld="55" baseField="0" baseItem="0"/>
    <dataField name="Suma de UE_AxB_86" fld="56" baseField="0" baseItem="0"/>
    <dataField name="Suma de UE_AxB_85" fld="57" baseField="0" baseItem="0"/>
    <dataField name="Suma de Axb_Mass" fld="49" baseField="0" baseItem="0"/>
    <dataField name="Suma de RQD_Mass" fld="50" baseField="0" baseItem="0"/>
    <dataField name="Suma de Wi_Mass" fld="51" baseField="0" baseItem="0"/>
    <dataField name="Suma de TOTAL_MASS" fld="48" baseField="0" baseItem="0"/>
    <dataField name="Suma de FINOR137" fld="58" baseField="0" baseItem="0"/>
    <dataField name="Suma de FINOR150" fld="59" baseField="0" baseItem="0"/>
    <dataField name="Suma de FINOR180" fld="60" baseField="0" baseItem="0"/>
    <dataField name="Suma de FINOR240" fld="61" baseField="0" baseItem="0"/>
    <dataField name="Suma de FINOR250" fld="62" baseField="0" baseItem="0"/>
    <dataField name="Suma de FINOR300" fld="63" baseField="0" baseItem="0"/>
    <dataField name="Suma de FINOC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Colores corporativo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D22630"/>
      </a:accent1>
      <a:accent2>
        <a:srgbClr val="EAAA00"/>
      </a:accent2>
      <a:accent3>
        <a:srgbClr val="00778B"/>
      </a:accent3>
      <a:accent4>
        <a:srgbClr val="64CCC9"/>
      </a:accent4>
      <a:accent5>
        <a:srgbClr val="888B8D"/>
      </a:accent5>
      <a:accent6>
        <a:srgbClr val="0070C0"/>
      </a:accent6>
      <a:hlink>
        <a:srgbClr val="002060"/>
      </a:hlink>
      <a:folHlink>
        <a:srgbClr val="FFFFFF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8" dT="2024-02-29T13:22:00.61" personId="{B2CFDE39-5D08-4D8B-BDE5-310537E1B50F}" id="{ADB4DB5C-E3EE-4409-9C41-18213D081464}">
    <text>Para comparación día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7" dT="2026-01-28T18:58:03.17" personId="{069EF9B8-6C00-4F45-9C97-0FEE2ECA5437}" id="{DD1A1700-EE48-469E-B65D-273F0E1E70C6}">
    <text>OL considera un ajuste de 1.08 al mes por F80, nos ajustamos a esa consideraicón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4" dT="2025-12-16T11:42:13.59" personId="{9FA854DA-DFDB-4662-9313-CA3847109DA1}" id="{D32DC27C-172C-4125-B765-6DA09F488395}">
    <text>SAG1 y SAG2 F/S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38" dT="2026-02-12T12:44:39.05" personId="{069EF9B8-6C00-4F45-9C97-0FEE2ECA5437}" id="{AA0C472A-1CCF-4393-96EF-272531077B48}">
    <text xml:space="preserve">Como Stock se encuentra alto, se toma dato de excel Geologico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6" dT="2026-02-25T22:52:20.44" personId="{66FF0639-B7FD-4C03-835A-F61373EF59B2}" id="{6DD2C813-3E44-4D4C-8855-8FD7BDF09570}">
    <text>Mantención Rougher 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1.xml"/><Relationship Id="rId4" Type="http://schemas.microsoft.com/office/2017/10/relationships/threadedComment" Target="../threadedComments/threadedComment2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1.x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5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6.xml"/></Relationships>
</file>

<file path=xl/worksheets/_rels/sheet2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9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0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1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4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">
    <tabColor rgb="FFFF0000"/>
    <pageSetUpPr fitToPage="1"/>
  </sheetPr>
  <dimension ref="A1:AS43"/>
  <sheetViews>
    <sheetView zoomScale="85" zoomScaleNormal="85" workbookViewId="0">
      <selection activeCell="E20" sqref="E20"/>
    </sheetView>
  </sheetViews>
  <sheetFormatPr baseColWidth="10" defaultColWidth="21" defaultRowHeight="17.5"/>
  <cols>
    <col min="1" max="5" width="21" style="921"/>
    <col min="6" max="6" width="41.453125" style="921" customWidth="1"/>
    <col min="7" max="16384" width="21" style="921"/>
  </cols>
  <sheetData>
    <row r="1" spans="1:41">
      <c r="A1" s="920"/>
    </row>
    <row r="2" spans="1:41" ht="25.5" customHeight="1">
      <c r="B2" s="922" t="s">
        <v>1630</v>
      </c>
      <c r="C2" s="923"/>
      <c r="D2" s="924">
        <v>46082.791666666664</v>
      </c>
      <c r="E2" s="135"/>
      <c r="F2" s="135"/>
    </row>
    <row r="3" spans="1:41" ht="18">
      <c r="B3" s="925" t="s">
        <v>0</v>
      </c>
      <c r="C3" s="923"/>
      <c r="D3" s="926">
        <v>46098.791666666664</v>
      </c>
      <c r="E3" s="136" t="s">
        <v>1485</v>
      </c>
      <c r="F3" s="136"/>
    </row>
    <row r="4" spans="1:41">
      <c r="F4" s="927"/>
      <c r="AH4" s="2174"/>
    </row>
    <row r="5" spans="1:41" ht="18">
      <c r="B5" s="134"/>
      <c r="C5" s="134"/>
      <c r="D5" s="134"/>
    </row>
    <row r="6" spans="1:41" ht="52.5">
      <c r="C6" s="928"/>
      <c r="D6" s="929" t="s">
        <v>1633</v>
      </c>
      <c r="E6" s="929" t="s">
        <v>1631</v>
      </c>
      <c r="F6" s="929" t="s">
        <v>1632</v>
      </c>
    </row>
    <row r="7" spans="1:41">
      <c r="C7" s="930" t="s">
        <v>1</v>
      </c>
      <c r="D7" s="3411">
        <f>+E7</f>
        <v>0.96199999999999997</v>
      </c>
      <c r="E7" s="2348">
        <v>0.96199999999999997</v>
      </c>
      <c r="F7" s="2348">
        <v>0.96199999999999997</v>
      </c>
    </row>
    <row r="8" spans="1:41">
      <c r="C8" s="930" t="s">
        <v>2</v>
      </c>
      <c r="D8" s="2348">
        <v>0.995</v>
      </c>
      <c r="E8" s="2348">
        <v>0.995</v>
      </c>
      <c r="F8" s="2348">
        <v>0.995</v>
      </c>
      <c r="AK8" s="2174"/>
      <c r="AL8" s="2174"/>
      <c r="AN8" s="2174"/>
      <c r="AO8" s="2174"/>
    </row>
    <row r="9" spans="1:41">
      <c r="C9" s="928" t="s">
        <v>3</v>
      </c>
      <c r="D9" s="2349">
        <v>2.899</v>
      </c>
      <c r="E9" s="2349">
        <v>2.899</v>
      </c>
      <c r="F9" s="2349">
        <v>2.899</v>
      </c>
    </row>
    <row r="10" spans="1:41">
      <c r="D10" s="931"/>
      <c r="E10" s="932"/>
    </row>
    <row r="12" spans="1:41">
      <c r="C12" s="3650" t="s">
        <v>1634</v>
      </c>
      <c r="D12" s="3650" t="s">
        <v>1635</v>
      </c>
    </row>
    <row r="13" spans="1:41">
      <c r="C13" s="3650">
        <v>15</v>
      </c>
      <c r="D13" s="3651">
        <v>0.92700000000000005</v>
      </c>
    </row>
    <row r="14" spans="1:41">
      <c r="C14" s="3650">
        <v>16</v>
      </c>
      <c r="D14" s="3651">
        <v>0.93100000000000005</v>
      </c>
    </row>
    <row r="15" spans="1:41">
      <c r="C15" s="3650">
        <v>17</v>
      </c>
      <c r="D15" s="3651">
        <v>0.93500000000000005</v>
      </c>
    </row>
    <row r="16" spans="1:41">
      <c r="C16" s="3650">
        <v>18</v>
      </c>
      <c r="D16" s="3651">
        <v>0.93899999999999995</v>
      </c>
    </row>
    <row r="17" spans="3:4">
      <c r="C17" s="3650">
        <v>19</v>
      </c>
      <c r="D17" s="3651">
        <v>0.94199999999999995</v>
      </c>
    </row>
    <row r="18" spans="3:4">
      <c r="C18" s="3650">
        <v>20</v>
      </c>
      <c r="D18" s="3651">
        <v>0.94499999999999995</v>
      </c>
    </row>
    <row r="19" spans="3:4">
      <c r="C19" s="3650">
        <v>21</v>
      </c>
      <c r="D19" s="3651">
        <v>0.94799999999999995</v>
      </c>
    </row>
    <row r="20" spans="3:4">
      <c r="C20" s="3650">
        <v>22</v>
      </c>
      <c r="D20" s="3651">
        <v>0.95</v>
      </c>
    </row>
    <row r="21" spans="3:4">
      <c r="C21" s="3650">
        <v>23</v>
      </c>
      <c r="D21" s="3651">
        <v>0.95199999999999996</v>
      </c>
    </row>
    <row r="22" spans="3:4">
      <c r="C22" s="3650">
        <v>24</v>
      </c>
      <c r="D22" s="3651">
        <v>0.95799999999999996</v>
      </c>
    </row>
    <row r="23" spans="3:4">
      <c r="C23" s="3753">
        <v>25</v>
      </c>
      <c r="D23" s="3754">
        <v>0.96</v>
      </c>
    </row>
    <row r="24" spans="3:4">
      <c r="C24" s="3650">
        <v>26</v>
      </c>
      <c r="D24" s="3651">
        <v>0.96199999999999997</v>
      </c>
    </row>
    <row r="25" spans="3:4">
      <c r="C25" s="3650">
        <v>27</v>
      </c>
      <c r="D25" s="3651">
        <v>0.96299999999999997</v>
      </c>
    </row>
    <row r="26" spans="3:4">
      <c r="C26" s="3650">
        <v>28</v>
      </c>
      <c r="D26" s="3651">
        <v>0.96399999999999997</v>
      </c>
    </row>
    <row r="27" spans="3:4">
      <c r="C27" s="3650">
        <v>28.999999999999996</v>
      </c>
      <c r="D27" s="3651">
        <v>0.96499999999999997</v>
      </c>
    </row>
    <row r="28" spans="3:4">
      <c r="C28" s="3650">
        <v>30</v>
      </c>
      <c r="D28" s="3651">
        <v>0.96599999999999997</v>
      </c>
    </row>
    <row r="29" spans="3:4">
      <c r="C29" s="3650">
        <v>31</v>
      </c>
      <c r="D29" s="3651">
        <v>0.96599999999999997</v>
      </c>
    </row>
    <row r="30" spans="3:4">
      <c r="C30" s="3650">
        <v>32</v>
      </c>
      <c r="D30" s="3651">
        <v>0.96699999999999997</v>
      </c>
    </row>
    <row r="31" spans="3:4">
      <c r="C31" s="3650">
        <v>33</v>
      </c>
      <c r="D31" s="3651">
        <v>0.96699999999999997</v>
      </c>
    </row>
    <row r="32" spans="3:4">
      <c r="C32" s="3650">
        <v>34</v>
      </c>
      <c r="D32" s="3651">
        <v>0.96699999999999997</v>
      </c>
    </row>
    <row r="33" spans="3:45">
      <c r="C33" s="3650">
        <v>35</v>
      </c>
      <c r="D33" s="3651">
        <v>0.96699999999999997</v>
      </c>
    </row>
    <row r="34" spans="3:45">
      <c r="C34" s="3650">
        <v>36</v>
      </c>
      <c r="D34" s="3651">
        <v>0.96799999999999997</v>
      </c>
    </row>
    <row r="35" spans="3:45">
      <c r="C35" s="3650">
        <v>37</v>
      </c>
      <c r="D35" s="3651">
        <v>0.96799999999999997</v>
      </c>
    </row>
    <row r="36" spans="3:45">
      <c r="C36" s="3650">
        <v>38</v>
      </c>
      <c r="D36" s="3651">
        <v>0.96799999999999997</v>
      </c>
    </row>
    <row r="37" spans="3:45">
      <c r="C37" s="3650">
        <v>39</v>
      </c>
      <c r="D37" s="3651">
        <v>0.96799999999999997</v>
      </c>
    </row>
    <row r="38" spans="3:45">
      <c r="C38" s="3650">
        <v>40</v>
      </c>
      <c r="D38" s="3651">
        <v>0.96799999999999997</v>
      </c>
    </row>
    <row r="39" spans="3:45">
      <c r="C39" s="3650">
        <v>41</v>
      </c>
      <c r="D39" s="3651">
        <v>0.96799999999999997</v>
      </c>
    </row>
    <row r="40" spans="3:45">
      <c r="C40" s="3650">
        <v>42</v>
      </c>
      <c r="D40" s="3651">
        <v>0.96799999999999997</v>
      </c>
      <c r="AS40" s="921" t="e">
        <f>#N/A</f>
        <v>#N/A</v>
      </c>
    </row>
    <row r="41" spans="3:45">
      <c r="C41" s="3650">
        <v>42.999999999999901</v>
      </c>
      <c r="D41" s="3651">
        <v>0.96799999999999997</v>
      </c>
    </row>
    <row r="42" spans="3:45">
      <c r="C42" s="3650">
        <v>43.999999999999901</v>
      </c>
      <c r="D42" s="3651">
        <v>0.96799999999999997</v>
      </c>
    </row>
    <row r="43" spans="3:45">
      <c r="C43" s="3650">
        <v>44.999999999999901</v>
      </c>
      <c r="D43" s="3651">
        <v>0.96799999999999997</v>
      </c>
    </row>
  </sheetData>
  <phoneticPr fontId="51" type="noConversion"/>
  <printOptions headings="1" gridLines="1"/>
  <pageMargins left="0.75" right="0.75" top="1" bottom="1" header="0" footer="0"/>
  <pageSetup scale="82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theme="7"/>
    <pageSetUpPr fitToPage="1"/>
  </sheetPr>
  <dimension ref="A1:BN199"/>
  <sheetViews>
    <sheetView showGridLines="0" topLeftCell="V50" zoomScale="115" zoomScaleNormal="115" workbookViewId="0">
      <selection activeCell="Y71" sqref="Y71"/>
    </sheetView>
  </sheetViews>
  <sheetFormatPr baseColWidth="10" defaultColWidth="11.453125" defaultRowHeight="12.5"/>
  <cols>
    <col min="1" max="1" width="36.54296875" customWidth="1"/>
    <col min="2" max="2" width="17.81640625" customWidth="1"/>
    <col min="3" max="3" width="12.1796875" customWidth="1"/>
    <col min="4" max="4" width="8.81640625" customWidth="1"/>
    <col min="5" max="5" width="10.54296875" customWidth="1"/>
    <col min="6" max="7" width="8.453125" customWidth="1"/>
    <col min="8" max="8" width="30.453125" customWidth="1"/>
    <col min="9" max="9" width="9.54296875" customWidth="1"/>
    <col min="10" max="10" width="9.81640625" customWidth="1"/>
    <col min="11" max="11" width="8.54296875" customWidth="1"/>
    <col min="12" max="12" width="10.1796875" customWidth="1"/>
    <col min="13" max="13" width="11.1796875" customWidth="1"/>
    <col min="14" max="14" width="10.1796875" customWidth="1"/>
    <col min="15" max="15" width="30.453125" customWidth="1"/>
    <col min="16" max="16" width="8.54296875" customWidth="1"/>
    <col min="17" max="17" width="9.453125" customWidth="1"/>
    <col min="18" max="18" width="11.54296875" customWidth="1"/>
    <col min="19" max="19" width="8.453125" customWidth="1"/>
    <col min="20" max="20" width="9" customWidth="1"/>
    <col min="21" max="21" width="5.54296875" customWidth="1"/>
    <col min="22" max="22" width="30.453125" customWidth="1"/>
    <col min="23" max="23" width="8.54296875" customWidth="1"/>
    <col min="24" max="24" width="12.1796875" customWidth="1"/>
    <col min="25" max="25" width="11.81640625" customWidth="1"/>
    <col min="26" max="26" width="9.54296875" customWidth="1"/>
    <col min="27" max="27" width="10.1796875" customWidth="1"/>
    <col min="28" max="28" width="5.453125" customWidth="1"/>
    <col min="29" max="29" width="19.81640625" customWidth="1"/>
    <col min="30" max="30" width="8.54296875" customWidth="1"/>
    <col min="31" max="31" width="12.1796875" customWidth="1"/>
    <col min="32" max="32" width="10.1796875" bestFit="1" customWidth="1"/>
    <col min="33" max="33" width="10.81640625" customWidth="1"/>
    <col min="34" max="34" width="9.54296875" customWidth="1"/>
    <col min="35" max="35" width="9.453125" customWidth="1"/>
    <col min="36" max="36" width="27.54296875" customWidth="1"/>
    <col min="37" max="37" width="19.1796875" customWidth="1"/>
    <col min="38" max="38" width="12.1796875" customWidth="1"/>
    <col min="39" max="39" width="11.81640625" customWidth="1"/>
    <col min="40" max="40" width="13.1796875" customWidth="1"/>
    <col min="41" max="42" width="10.453125" customWidth="1"/>
    <col min="43" max="43" width="10.54296875" customWidth="1"/>
    <col min="44" max="44" width="8.1796875" customWidth="1"/>
    <col min="45" max="45" width="9.453125" customWidth="1"/>
    <col min="46" max="46" width="11.81640625" customWidth="1"/>
    <col min="47" max="47" width="11.453125" customWidth="1"/>
    <col min="48" max="48" width="16.1796875" customWidth="1"/>
    <col min="49" max="49" width="10.453125" customWidth="1"/>
    <col min="50" max="50" width="12.54296875" customWidth="1"/>
    <col min="51" max="52" width="11.453125" customWidth="1"/>
    <col min="53" max="53" width="11.1796875" bestFit="1" customWidth="1"/>
    <col min="54" max="54" width="15.81640625" customWidth="1"/>
    <col min="57" max="57" width="14.1796875" customWidth="1"/>
    <col min="58" max="60" width="9.453125" customWidth="1"/>
    <col min="61" max="61" width="11.81640625" customWidth="1"/>
    <col min="62" max="65" width="9.453125" customWidth="1"/>
    <col min="66" max="66" width="7.81640625" customWidth="1"/>
    <col min="68" max="68" width="13.81640625" customWidth="1"/>
    <col min="70" max="70" width="19.54296875" bestFit="1" customWidth="1"/>
    <col min="71" max="71" width="6.81640625" bestFit="1" customWidth="1"/>
    <col min="72" max="72" width="6.54296875" customWidth="1"/>
    <col min="73" max="73" width="9.81640625" bestFit="1" customWidth="1"/>
    <col min="74" max="74" width="9.54296875" bestFit="1" customWidth="1"/>
    <col min="75" max="75" width="2.54296875" customWidth="1"/>
    <col min="76" max="76" width="11" bestFit="1" customWidth="1"/>
    <col min="77" max="77" width="5.1796875" bestFit="1" customWidth="1"/>
    <col min="78" max="78" width="3.81640625" bestFit="1" customWidth="1"/>
    <col min="79" max="79" width="3.453125" bestFit="1" customWidth="1"/>
    <col min="84" max="84" width="25.54296875" bestFit="1" customWidth="1"/>
    <col min="86" max="86" width="8.453125" bestFit="1" customWidth="1"/>
    <col min="87" max="87" width="14.54296875" bestFit="1" customWidth="1"/>
    <col min="89" max="89" width="9.453125" bestFit="1" customWidth="1"/>
  </cols>
  <sheetData>
    <row r="1" spans="1:66" ht="15" customHeight="1">
      <c r="B1" s="743" t="s">
        <v>4</v>
      </c>
      <c r="E1" t="s">
        <v>1486</v>
      </c>
      <c r="G1" s="347"/>
      <c r="H1" s="912"/>
      <c r="I1" s="743"/>
      <c r="P1" s="743"/>
      <c r="W1" s="743"/>
    </row>
    <row r="2" spans="1:66" ht="15" customHeight="1">
      <c r="B2" s="347" t="s">
        <v>5</v>
      </c>
      <c r="C2" s="1088" t="e">
        <f>[16]FacPores!D2</f>
        <v>#REF!</v>
      </c>
      <c r="E2" t="s">
        <v>6</v>
      </c>
      <c r="G2" s="347"/>
      <c r="H2" s="912"/>
      <c r="I2" s="347"/>
      <c r="J2" s="884"/>
      <c r="O2" s="915" t="s">
        <v>7</v>
      </c>
      <c r="P2" s="916"/>
      <c r="Q2" s="917" t="s">
        <v>8</v>
      </c>
      <c r="R2" s="917" t="s">
        <v>9</v>
      </c>
      <c r="S2" s="918"/>
      <c r="T2" s="919" t="s">
        <v>10</v>
      </c>
      <c r="V2" s="915" t="s">
        <v>7</v>
      </c>
      <c r="W2" s="916"/>
      <c r="X2" s="917" t="s">
        <v>11</v>
      </c>
      <c r="Y2" s="917" t="s">
        <v>12</v>
      </c>
      <c r="Z2" s="918"/>
      <c r="AA2" s="919"/>
    </row>
    <row r="3" spans="1:66" ht="15" customHeight="1">
      <c r="B3" s="347" t="s">
        <v>0</v>
      </c>
      <c r="C3" s="2888">
        <f>[17]Hoja1!K3</f>
        <v>41623.791666666664</v>
      </c>
      <c r="E3" t="s">
        <v>13</v>
      </c>
      <c r="G3" s="886"/>
      <c r="I3" s="347"/>
      <c r="J3" s="887"/>
      <c r="O3" t="s">
        <v>14</v>
      </c>
      <c r="P3" s="331"/>
      <c r="Q3" s="724">
        <f>+Q15/0.966</f>
        <v>27.335084949790037</v>
      </c>
      <c r="R3" s="724">
        <f>+R15/0.966</f>
        <v>28.188193885037649</v>
      </c>
      <c r="S3" s="363"/>
      <c r="T3" s="888"/>
      <c r="V3" t="s">
        <v>14</v>
      </c>
      <c r="W3" s="331"/>
      <c r="X3" s="724">
        <f>Real!AQ40/1000</f>
        <v>13.096116240902459</v>
      </c>
      <c r="Y3" s="724">
        <f>'ST Original'!GF37/1000</f>
        <v>0</v>
      </c>
      <c r="Z3" s="363"/>
      <c r="AA3" s="888"/>
      <c r="AD3" s="938"/>
      <c r="AE3" s="938"/>
      <c r="AF3" s="938"/>
      <c r="AG3" s="938"/>
      <c r="AH3" s="938"/>
      <c r="AK3" s="947" t="s">
        <v>15</v>
      </c>
    </row>
    <row r="4" spans="1:66" ht="15" customHeight="1">
      <c r="B4" s="331"/>
      <c r="E4" t="s">
        <v>16</v>
      </c>
      <c r="G4" s="749"/>
      <c r="H4" s="347"/>
      <c r="I4" s="331"/>
      <c r="O4" s="1105" t="s">
        <v>17</v>
      </c>
      <c r="P4" s="1106"/>
      <c r="Q4" s="1107">
        <f>+Q3-Q14</f>
        <v>-2.6935309654607664E-2</v>
      </c>
      <c r="R4" s="1107">
        <f>+R3-R14</f>
        <v>-0.13015778316728799</v>
      </c>
      <c r="S4" s="1108"/>
      <c r="T4" s="1107">
        <f>+Q4-R4</f>
        <v>0.10322247351268032</v>
      </c>
      <c r="V4" s="1105" t="s">
        <v>17</v>
      </c>
      <c r="W4" s="1106"/>
      <c r="X4" s="1107">
        <f>+X3-X14</f>
        <v>0.12176294377591823</v>
      </c>
      <c r="Y4" s="1107">
        <f>+Y3-Y14</f>
        <v>-13.540082306500699</v>
      </c>
      <c r="Z4" s="1108"/>
      <c r="AA4" s="1107">
        <f>+X4-Y4</f>
        <v>13.661845250276617</v>
      </c>
      <c r="AC4" s="947" t="s">
        <v>18</v>
      </c>
      <c r="AK4" t="s">
        <v>19</v>
      </c>
      <c r="AQ4">
        <v>0.96599999999999997</v>
      </c>
      <c r="AV4" t="s">
        <v>19</v>
      </c>
      <c r="BE4" t="s">
        <v>19</v>
      </c>
      <c r="BK4">
        <v>0.995</v>
      </c>
    </row>
    <row r="5" spans="1:66" ht="15" customHeight="1">
      <c r="B5" s="331"/>
      <c r="E5" t="s">
        <v>20</v>
      </c>
      <c r="G5" s="749"/>
      <c r="H5" s="347"/>
      <c r="I5" s="331"/>
      <c r="O5" t="s">
        <v>21</v>
      </c>
      <c r="P5" s="331"/>
      <c r="Q5" s="724">
        <f>+Q19/0.995</f>
        <v>1.0004937355919261</v>
      </c>
      <c r="R5" s="724">
        <f>+R19/0.995</f>
        <v>0.88119475743393727</v>
      </c>
      <c r="S5" s="363"/>
      <c r="T5" s="888"/>
      <c r="V5" t="s">
        <v>21</v>
      </c>
      <c r="W5" s="331"/>
      <c r="X5" s="724">
        <f>Real!AA40/1000</f>
        <v>0.56844523256662938</v>
      </c>
      <c r="Y5" s="724">
        <f>'ST Original'!GA37/1000</f>
        <v>0</v>
      </c>
      <c r="Z5" s="363"/>
      <c r="AA5" s="888"/>
      <c r="AC5" t="s">
        <v>19</v>
      </c>
      <c r="AK5" s="937">
        <f>AC6</f>
        <v>1</v>
      </c>
      <c r="AL5" s="937" t="s">
        <v>22</v>
      </c>
      <c r="AM5" s="937" t="s">
        <v>23</v>
      </c>
      <c r="AN5" s="937" t="s">
        <v>24</v>
      </c>
      <c r="AO5" s="937" t="s">
        <v>25</v>
      </c>
      <c r="AP5" s="943" t="s">
        <v>26</v>
      </c>
      <c r="AQ5" s="943" t="s">
        <v>27</v>
      </c>
      <c r="AR5" s="937" t="s">
        <v>28</v>
      </c>
      <c r="AS5" s="943" t="s">
        <v>29</v>
      </c>
      <c r="AV5" s="937">
        <f>+AC6</f>
        <v>1</v>
      </c>
      <c r="AW5" s="937" t="s">
        <v>22</v>
      </c>
      <c r="AX5" s="937" t="s">
        <v>23</v>
      </c>
      <c r="AY5" s="937" t="s">
        <v>30</v>
      </c>
      <c r="AZ5" s="937" t="s">
        <v>31</v>
      </c>
      <c r="BA5" s="937" t="s">
        <v>32</v>
      </c>
      <c r="BB5" s="937" t="s">
        <v>33</v>
      </c>
      <c r="BC5" s="943" t="s">
        <v>29</v>
      </c>
      <c r="BE5" s="937">
        <f>+AC6</f>
        <v>1</v>
      </c>
      <c r="BF5" s="937" t="s">
        <v>22</v>
      </c>
      <c r="BG5" s="937" t="s">
        <v>23</v>
      </c>
      <c r="BH5" s="937" t="s">
        <v>30</v>
      </c>
      <c r="BI5" s="937" t="s">
        <v>31</v>
      </c>
      <c r="BJ5" s="937" t="s">
        <v>32</v>
      </c>
      <c r="BK5" s="943" t="s">
        <v>26</v>
      </c>
      <c r="BL5" s="943" t="s">
        <v>27</v>
      </c>
      <c r="BM5" s="937" t="s">
        <v>28</v>
      </c>
      <c r="BN5" s="943" t="s">
        <v>29</v>
      </c>
    </row>
    <row r="6" spans="1:66" ht="13">
      <c r="A6" s="890"/>
      <c r="B6" s="891" t="s">
        <v>34</v>
      </c>
      <c r="F6" s="892">
        <f>Factores!D3</f>
        <v>46098.791666666664</v>
      </c>
      <c r="O6" s="1105" t="s">
        <v>35</v>
      </c>
      <c r="P6" s="1106"/>
      <c r="Q6" s="1107">
        <f>+Q5-Q18</f>
        <v>9.2866387525936567E-2</v>
      </c>
      <c r="R6" s="1107">
        <f>+R5-R18</f>
        <v>7.3248003470508305E-2</v>
      </c>
      <c r="S6" s="1108"/>
      <c r="T6" s="1107">
        <f>+Q6-R6</f>
        <v>1.9618384055428262E-2</v>
      </c>
      <c r="V6" s="1105" t="s">
        <v>35</v>
      </c>
      <c r="W6" s="1106"/>
      <c r="X6" s="1107">
        <f>+X5-X18</f>
        <v>7.3101146027311659E-2</v>
      </c>
      <c r="Y6" s="1107">
        <f>+Y5-Y18</f>
        <v>-0.45280368540287702</v>
      </c>
      <c r="Z6" s="1108"/>
      <c r="AA6" s="1107">
        <f>+X6-Y6</f>
        <v>0.52590483143018862</v>
      </c>
      <c r="AC6" s="937">
        <v>1</v>
      </c>
      <c r="AD6" s="937" t="s">
        <v>22</v>
      </c>
      <c r="AE6" s="937" t="s">
        <v>23</v>
      </c>
      <c r="AF6" s="937" t="s">
        <v>24</v>
      </c>
      <c r="AG6" s="937" t="s">
        <v>25</v>
      </c>
      <c r="AH6" s="937" t="s">
        <v>28</v>
      </c>
      <c r="AI6" s="943" t="s">
        <v>29</v>
      </c>
      <c r="AK6" s="875" t="s">
        <v>9</v>
      </c>
      <c r="AL6" s="936">
        <f>+AD7</f>
        <v>8414.2411591830714</v>
      </c>
      <c r="AM6" s="935">
        <f>+AE7</f>
        <v>88.216548475401808</v>
      </c>
      <c r="AN6" s="935">
        <f>+AF7</f>
        <v>0.51107741857165567</v>
      </c>
      <c r="AO6" s="935">
        <f>+AG7</f>
        <v>90.302073381744648</v>
      </c>
      <c r="AP6" s="876">
        <f>+Y4*1000*AQ4</f>
        <v>-13079.719508079676</v>
      </c>
      <c r="AQ6" s="876">
        <f t="shared" ref="AQ6:AQ11" si="0">+AR6*$AQ$4+AP6</f>
        <v>-12285.505030346863</v>
      </c>
      <c r="AR6" s="876">
        <f t="shared" ref="AR6:AR11" si="1">+((AL6*24*AM6/100*$AC$6)*AN6*AO6)/10000</f>
        <v>822.16819641077859</v>
      </c>
      <c r="AS6" s="876">
        <f>+AQ6</f>
        <v>-12285.505030346863</v>
      </c>
      <c r="AV6" s="875" t="s">
        <v>9</v>
      </c>
      <c r="AW6" s="936">
        <f>+AD7</f>
        <v>8414.2411591830714</v>
      </c>
      <c r="AX6" s="949">
        <f>+AE7</f>
        <v>88.216548475401808</v>
      </c>
      <c r="AY6" s="950">
        <f>+Y39/10000</f>
        <v>1.9092613315237237E-2</v>
      </c>
      <c r="AZ6" s="935">
        <f>+Y41</f>
        <v>92.043617348570208</v>
      </c>
      <c r="BA6" s="935">
        <f>+Y42</f>
        <v>87.824160700571653</v>
      </c>
      <c r="BB6" s="876">
        <f t="shared" ref="BB6:BB11" si="2">+((AW6*24*AX6/100*$AV$5)*AY6*AZ6*BA6)/1000000</f>
        <v>27.494721297011772</v>
      </c>
      <c r="BC6" s="876">
        <f>+BB6</f>
        <v>27.494721297011772</v>
      </c>
      <c r="BE6" s="875" t="s">
        <v>9</v>
      </c>
      <c r="BF6" s="936">
        <f>+AD7</f>
        <v>8414.2411591830714</v>
      </c>
      <c r="BG6" s="935">
        <f>+AE7</f>
        <v>88.216548475401808</v>
      </c>
      <c r="BH6" s="952">
        <f>+Y39/10000</f>
        <v>1.9092613315237237E-2</v>
      </c>
      <c r="BI6" s="935">
        <f>+Y41</f>
        <v>92.043617348570208</v>
      </c>
      <c r="BJ6" s="935">
        <f>+Y42</f>
        <v>87.824160700571653</v>
      </c>
      <c r="BK6" s="876">
        <f>+Y6*1000</f>
        <v>-452.80368540287702</v>
      </c>
      <c r="BL6" s="876">
        <f>+BM6*$BK$4+BK6</f>
        <v>-425.4464377123503</v>
      </c>
      <c r="BM6" s="876">
        <f>+((BF6*24*BG6/100*$AC$6)*BH6*BI6*BJ6)/1000000</f>
        <v>27.494721297011772</v>
      </c>
      <c r="BN6" s="876">
        <f>+BL6</f>
        <v>-425.4464377123503</v>
      </c>
    </row>
    <row r="7" spans="1:66" ht="12.75" customHeight="1">
      <c r="A7" s="347"/>
      <c r="AC7" s="875" t="s">
        <v>9</v>
      </c>
      <c r="AD7" s="936">
        <f>+AF70</f>
        <v>8414.2411591830714</v>
      </c>
      <c r="AE7" s="935">
        <f>+Y32</f>
        <v>88.216548475401808</v>
      </c>
      <c r="AF7" s="935">
        <f>+Y34</f>
        <v>0.51107741857165567</v>
      </c>
      <c r="AG7" s="935">
        <f>+Y35</f>
        <v>90.302073381744648</v>
      </c>
      <c r="AH7" s="876">
        <f>+((AD7*24*AE7/100*$AC$6)*AF7*AG7)/10000</f>
        <v>822.16819641077859</v>
      </c>
      <c r="AI7" s="876">
        <f>+AH7</f>
        <v>822.16819641077859</v>
      </c>
      <c r="AK7" s="877" t="s">
        <v>36</v>
      </c>
      <c r="AL7" s="933">
        <f>+$AD$24</f>
        <v>0</v>
      </c>
      <c r="AM7" s="935">
        <f>+AM6</f>
        <v>88.216548475401808</v>
      </c>
      <c r="AN7" s="935">
        <f>+$AF$7</f>
        <v>0.51107741857165567</v>
      </c>
      <c r="AO7" s="935">
        <f>+$AG$7</f>
        <v>90.302073381744648</v>
      </c>
      <c r="AP7" s="876">
        <f>+AP6</f>
        <v>-13079.719508079676</v>
      </c>
      <c r="AQ7" s="876">
        <f t="shared" si="0"/>
        <v>-13079.719508079676</v>
      </c>
      <c r="AR7" s="876">
        <f t="shared" si="1"/>
        <v>0</v>
      </c>
      <c r="AS7" s="876">
        <f>+AQ7-AQ6</f>
        <v>-794.21447773281216</v>
      </c>
      <c r="AT7" s="945"/>
      <c r="AV7" s="875" t="s">
        <v>22</v>
      </c>
      <c r="AW7" s="933">
        <f>+AW24</f>
        <v>0</v>
      </c>
      <c r="AX7" s="935">
        <f>+AX6</f>
        <v>88.216548475401808</v>
      </c>
      <c r="AY7" s="950">
        <f>+AY6</f>
        <v>1.9092613315237237E-2</v>
      </c>
      <c r="AZ7" s="935">
        <f>+AZ6</f>
        <v>92.043617348570208</v>
      </c>
      <c r="BA7" s="935">
        <f>+BA6</f>
        <v>87.824160700571653</v>
      </c>
      <c r="BB7" s="876">
        <f t="shared" si="2"/>
        <v>0</v>
      </c>
      <c r="BC7" s="876">
        <f>+BB7-BB6</f>
        <v>-27.494721297011772</v>
      </c>
      <c r="BE7" s="877" t="s">
        <v>36</v>
      </c>
      <c r="BF7" s="933">
        <f>+BF13</f>
        <v>0</v>
      </c>
      <c r="BG7" s="935">
        <f>+BG6</f>
        <v>88.216548475401808</v>
      </c>
      <c r="BH7" s="952">
        <f>+BH6</f>
        <v>1.9092613315237237E-2</v>
      </c>
      <c r="BI7" s="935">
        <f>+BI6</f>
        <v>92.043617348570208</v>
      </c>
      <c r="BJ7" s="935">
        <f>+BJ6</f>
        <v>87.824160700571653</v>
      </c>
      <c r="BK7" s="876">
        <f>+BK6</f>
        <v>-452.80368540287702</v>
      </c>
      <c r="BL7" s="876">
        <f t="shared" ref="BL7:BL13" si="3">+BM7*$BK$4+BK7</f>
        <v>-452.80368540287702</v>
      </c>
      <c r="BM7" s="876">
        <f t="shared" ref="BM7:BM13" si="4">+((BF7*24*BG7/100*$AC$6)*BH7*BI7*BJ7)/1000000</f>
        <v>0</v>
      </c>
      <c r="BN7" s="876">
        <f>+BL7-BL6</f>
        <v>-27.357247690526719</v>
      </c>
    </row>
    <row r="8" spans="1:66" ht="14">
      <c r="A8" s="1089" t="s">
        <v>37</v>
      </c>
      <c r="B8" s="987"/>
      <c r="C8" s="987"/>
      <c r="D8" s="987"/>
      <c r="E8" s="987"/>
      <c r="F8" s="983"/>
      <c r="H8" s="1089" t="s">
        <v>38</v>
      </c>
      <c r="I8" s="987"/>
      <c r="J8" s="987"/>
      <c r="K8" s="987"/>
      <c r="L8" s="987"/>
      <c r="M8" s="983"/>
      <c r="O8" s="1099" t="s">
        <v>39</v>
      </c>
      <c r="P8" s="1100"/>
      <c r="Q8" s="1100"/>
      <c r="R8" s="1100"/>
      <c r="S8" s="1100"/>
      <c r="T8" s="984"/>
      <c r="V8" s="1101" t="s">
        <v>40</v>
      </c>
      <c r="W8" s="1102"/>
      <c r="X8" s="1102"/>
      <c r="Y8" s="1102"/>
      <c r="Z8" s="1102"/>
      <c r="AA8" s="985"/>
      <c r="AC8" s="877" t="s">
        <v>36</v>
      </c>
      <c r="AD8" s="933">
        <f>+$AD$24</f>
        <v>0</v>
      </c>
      <c r="AE8" s="935">
        <f>+AE7</f>
        <v>88.216548475401808</v>
      </c>
      <c r="AF8" s="935">
        <f>+$AF$7</f>
        <v>0.51107741857165567</v>
      </c>
      <c r="AG8" s="935">
        <f>+$AG$7</f>
        <v>90.302073381744648</v>
      </c>
      <c r="AH8" s="876">
        <f>+((AD8*24*AE8/100*$AC$6)*AF8*AG8)/10000</f>
        <v>0</v>
      </c>
      <c r="AI8" s="876">
        <f>+AH8-AH7</f>
        <v>-822.16819641077859</v>
      </c>
      <c r="AK8" s="877" t="s">
        <v>41</v>
      </c>
      <c r="AL8" s="933">
        <f>+$AD$24</f>
        <v>0</v>
      </c>
      <c r="AM8" s="934">
        <f>+$AE$24</f>
        <v>0</v>
      </c>
      <c r="AN8" s="935">
        <f>+$AF$7</f>
        <v>0.51107741857165567</v>
      </c>
      <c r="AO8" s="935">
        <f>+$AG$7</f>
        <v>90.302073381744648</v>
      </c>
      <c r="AP8" s="876">
        <f>+AP6</f>
        <v>-13079.719508079676</v>
      </c>
      <c r="AQ8" s="876">
        <f t="shared" si="0"/>
        <v>-13079.719508079676</v>
      </c>
      <c r="AR8" s="876">
        <f t="shared" si="1"/>
        <v>0</v>
      </c>
      <c r="AS8" s="876">
        <f>+AQ8-AQ7</f>
        <v>0</v>
      </c>
      <c r="AT8" s="945"/>
      <c r="AV8" s="877" t="s">
        <v>23</v>
      </c>
      <c r="AW8" s="933">
        <f>+AW24</f>
        <v>0</v>
      </c>
      <c r="AX8" s="934">
        <f>+AX24</f>
        <v>0</v>
      </c>
      <c r="AY8" s="950">
        <f>+AY6</f>
        <v>1.9092613315237237E-2</v>
      </c>
      <c r="AZ8" s="935">
        <f>+AZ6</f>
        <v>92.043617348570208</v>
      </c>
      <c r="BA8" s="935">
        <f>+BA6</f>
        <v>87.824160700571653</v>
      </c>
      <c r="BB8" s="876">
        <f t="shared" si="2"/>
        <v>0</v>
      </c>
      <c r="BC8" s="876">
        <f>+BB8-BB7</f>
        <v>0</v>
      </c>
      <c r="BE8" s="877" t="s">
        <v>23</v>
      </c>
      <c r="BF8" s="933">
        <f>+BF13</f>
        <v>0</v>
      </c>
      <c r="BG8" s="934">
        <f>+BG13</f>
        <v>0</v>
      </c>
      <c r="BH8" s="952">
        <f>+BH6</f>
        <v>1.9092613315237237E-2</v>
      </c>
      <c r="BI8" s="935">
        <f>+BI6</f>
        <v>92.043617348570208</v>
      </c>
      <c r="BJ8" s="935">
        <f>+BJ6</f>
        <v>87.824160700571653</v>
      </c>
      <c r="BK8" s="876">
        <f>+BK6</f>
        <v>-452.80368540287702</v>
      </c>
      <c r="BL8" s="876">
        <f t="shared" si="3"/>
        <v>-452.80368540287702</v>
      </c>
      <c r="BM8" s="876">
        <f t="shared" si="4"/>
        <v>0</v>
      </c>
      <c r="BN8" s="876">
        <f>+BL8-BL7</f>
        <v>0</v>
      </c>
    </row>
    <row r="9" spans="1:66" ht="13">
      <c r="A9" s="1087" t="s">
        <v>42</v>
      </c>
      <c r="B9" s="1081" t="e">
        <f>C2</f>
        <v>#REF!</v>
      </c>
      <c r="C9" s="1082"/>
      <c r="D9" s="1082"/>
      <c r="E9" s="4482" t="s">
        <v>43</v>
      </c>
      <c r="F9" s="4483"/>
      <c r="H9" s="1080" t="s">
        <v>42</v>
      </c>
      <c r="I9" s="1081" t="e">
        <f>C2</f>
        <v>#REF!</v>
      </c>
      <c r="J9" s="1082"/>
      <c r="K9" s="1082"/>
      <c r="L9" s="4482" t="s">
        <v>43</v>
      </c>
      <c r="M9" s="4484"/>
      <c r="O9" s="1090" t="s">
        <v>42</v>
      </c>
      <c r="P9" s="894" t="e">
        <f>C2</f>
        <v>#REF!</v>
      </c>
      <c r="R9" s="895"/>
      <c r="S9" s="4480" t="s">
        <v>43</v>
      </c>
      <c r="T9" s="4481"/>
      <c r="V9" s="1103" t="s">
        <v>44</v>
      </c>
      <c r="W9" s="894" t="e">
        <f>C2</f>
        <v>#REF!</v>
      </c>
      <c r="Z9" s="4480" t="s">
        <v>43</v>
      </c>
      <c r="AA9" s="4481"/>
      <c r="AC9" s="877" t="s">
        <v>41</v>
      </c>
      <c r="AD9" s="933">
        <f>+$AD$24</f>
        <v>0</v>
      </c>
      <c r="AE9" s="934">
        <f>+$AE$24</f>
        <v>0</v>
      </c>
      <c r="AF9" s="935">
        <f>+$AF$7</f>
        <v>0.51107741857165567</v>
      </c>
      <c r="AG9" s="935">
        <f>+$AG$7</f>
        <v>90.302073381744648</v>
      </c>
      <c r="AH9" s="876">
        <f>+((AD9*24*AE9/100*$AC$6)*AF9*AG9)/10000</f>
        <v>0</v>
      </c>
      <c r="AI9" s="876">
        <f>+AH9-AH8</f>
        <v>0</v>
      </c>
      <c r="AK9" s="877" t="s">
        <v>45</v>
      </c>
      <c r="AL9" s="933">
        <f>+$AD$24</f>
        <v>0</v>
      </c>
      <c r="AM9" s="934">
        <f>+$AE$24</f>
        <v>0</v>
      </c>
      <c r="AN9" s="934">
        <f>+$AF$24</f>
        <v>0</v>
      </c>
      <c r="AO9" s="935">
        <f>+$AG$7</f>
        <v>90.302073381744648</v>
      </c>
      <c r="AP9" s="876">
        <f>+AP6</f>
        <v>-13079.719508079676</v>
      </c>
      <c r="AQ9" s="876">
        <f t="shared" si="0"/>
        <v>-13079.719508079676</v>
      </c>
      <c r="AR9" s="876">
        <f t="shared" si="1"/>
        <v>0</v>
      </c>
      <c r="AS9" s="876">
        <f>+AQ9-AQ8</f>
        <v>0</v>
      </c>
      <c r="AT9" s="945"/>
      <c r="AV9" s="877" t="s">
        <v>30</v>
      </c>
      <c r="AW9" s="933">
        <f>+AW24</f>
        <v>0</v>
      </c>
      <c r="AX9" s="934">
        <f>+AX24</f>
        <v>0</v>
      </c>
      <c r="AY9" s="951">
        <f>+AY24</f>
        <v>0</v>
      </c>
      <c r="AZ9" s="935">
        <f>+AZ6</f>
        <v>92.043617348570208</v>
      </c>
      <c r="BA9" s="935">
        <f>+BA6</f>
        <v>87.824160700571653</v>
      </c>
      <c r="BB9" s="876">
        <f t="shared" si="2"/>
        <v>0</v>
      </c>
      <c r="BC9" s="876">
        <f>+BB9-BB8</f>
        <v>0</v>
      </c>
      <c r="BE9" s="877" t="s">
        <v>30</v>
      </c>
      <c r="BF9" s="933">
        <f>+BF13</f>
        <v>0</v>
      </c>
      <c r="BG9" s="934">
        <f>+BG13</f>
        <v>0</v>
      </c>
      <c r="BH9" s="953">
        <f>+BH13</f>
        <v>2.090558601463997E-2</v>
      </c>
      <c r="BI9" s="935">
        <f>+BI6</f>
        <v>92.043617348570208</v>
      </c>
      <c r="BJ9" s="935">
        <f>+BJ6</f>
        <v>87.824160700571653</v>
      </c>
      <c r="BK9" s="876">
        <f>+BK6</f>
        <v>-452.80368540287702</v>
      </c>
      <c r="BL9" s="876">
        <f t="shared" si="3"/>
        <v>-452.80368540287702</v>
      </c>
      <c r="BM9" s="876">
        <f t="shared" si="4"/>
        <v>0</v>
      </c>
      <c r="BN9" s="876">
        <f>+BL9-BL8</f>
        <v>0</v>
      </c>
    </row>
    <row r="10" spans="1:66">
      <c r="A10" s="1073"/>
      <c r="B10" s="331" t="s">
        <v>46</v>
      </c>
      <c r="C10" s="331" t="s">
        <v>12</v>
      </c>
      <c r="D10" s="331" t="s">
        <v>47</v>
      </c>
      <c r="E10" s="331" t="s">
        <v>10</v>
      </c>
      <c r="F10" s="1074" t="s">
        <v>48</v>
      </c>
      <c r="H10" s="1073"/>
      <c r="I10" s="331" t="s">
        <v>46</v>
      </c>
      <c r="J10" s="331" t="s">
        <v>12</v>
      </c>
      <c r="K10" s="331" t="s">
        <v>49</v>
      </c>
      <c r="L10" s="331" t="s">
        <v>10</v>
      </c>
      <c r="M10" s="1074" t="s">
        <v>48</v>
      </c>
      <c r="O10" s="1073"/>
      <c r="P10" s="331" t="s">
        <v>46</v>
      </c>
      <c r="Q10" s="331" t="s">
        <v>50</v>
      </c>
      <c r="R10" s="331" t="s">
        <v>12</v>
      </c>
      <c r="S10" s="331" t="s">
        <v>10</v>
      </c>
      <c r="T10" s="1074" t="s">
        <v>48</v>
      </c>
      <c r="V10" s="1073"/>
      <c r="W10" s="331" t="s">
        <v>46</v>
      </c>
      <c r="X10" s="331" t="s">
        <v>11</v>
      </c>
      <c r="Y10" s="331" t="s">
        <v>12</v>
      </c>
      <c r="Z10" s="331" t="s">
        <v>10</v>
      </c>
      <c r="AA10" s="1074" t="s">
        <v>48</v>
      </c>
      <c r="AC10" s="877" t="s">
        <v>45</v>
      </c>
      <c r="AD10" s="933">
        <f>+$AD$24</f>
        <v>0</v>
      </c>
      <c r="AE10" s="934">
        <f>+$AE$24</f>
        <v>0</v>
      </c>
      <c r="AF10" s="934">
        <f>+$AF$24</f>
        <v>0</v>
      </c>
      <c r="AG10" s="935">
        <f>+$AG$7</f>
        <v>90.302073381744648</v>
      </c>
      <c r="AH10" s="876">
        <f>+((AD10*24*AE10/100*$AC$6)*AF10*AG10)/10000</f>
        <v>0</v>
      </c>
      <c r="AI10" s="876">
        <f>+AH10-AH9</f>
        <v>0</v>
      </c>
      <c r="AK10" s="877" t="s">
        <v>51</v>
      </c>
      <c r="AL10" s="933">
        <f>+$AD$24</f>
        <v>0</v>
      </c>
      <c r="AM10" s="934">
        <f>+$AE$24</f>
        <v>0</v>
      </c>
      <c r="AN10" s="934">
        <f>+$AF$24</f>
        <v>0</v>
      </c>
      <c r="AO10" s="934">
        <f>+$AG$24</f>
        <v>0</v>
      </c>
      <c r="AP10" s="876">
        <f>+AP6</f>
        <v>-13079.719508079676</v>
      </c>
      <c r="AQ10" s="876">
        <f t="shared" si="0"/>
        <v>-13079.719508079676</v>
      </c>
      <c r="AR10" s="876">
        <f t="shared" si="1"/>
        <v>0</v>
      </c>
      <c r="AS10" s="876">
        <f>+AQ10-AQ9</f>
        <v>0</v>
      </c>
      <c r="AT10" s="945"/>
      <c r="AV10" s="877" t="s">
        <v>31</v>
      </c>
      <c r="AW10" s="933">
        <f>+AW24</f>
        <v>0</v>
      </c>
      <c r="AX10" s="934">
        <f>+AX24</f>
        <v>0</v>
      </c>
      <c r="AY10" s="951">
        <f>+AY24</f>
        <v>0</v>
      </c>
      <c r="AZ10" s="934">
        <f>+AZ24</f>
        <v>0</v>
      </c>
      <c r="BA10" s="935">
        <f>+BA9</f>
        <v>87.824160700571653</v>
      </c>
      <c r="BB10" s="876">
        <f t="shared" si="2"/>
        <v>0</v>
      </c>
      <c r="BC10" s="876">
        <f>+BB10-BB9</f>
        <v>0</v>
      </c>
      <c r="BE10" s="877" t="s">
        <v>31</v>
      </c>
      <c r="BF10" s="933">
        <f>+BF13</f>
        <v>0</v>
      </c>
      <c r="BG10" s="934">
        <f>+BG13</f>
        <v>0</v>
      </c>
      <c r="BH10" s="953">
        <f>+BH13</f>
        <v>2.090558601463997E-2</v>
      </c>
      <c r="BI10" s="934">
        <f>+BI13</f>
        <v>89.313167038140008</v>
      </c>
      <c r="BJ10" s="935">
        <f>+BJ9</f>
        <v>87.824160700571653</v>
      </c>
      <c r="BK10" s="876">
        <f>+BK6</f>
        <v>-452.80368540287702</v>
      </c>
      <c r="BL10" s="876">
        <f t="shared" si="3"/>
        <v>-452.80368540287702</v>
      </c>
      <c r="BM10" s="876">
        <f t="shared" si="4"/>
        <v>0</v>
      </c>
      <c r="BN10" s="876">
        <f>+BL10-BL9</f>
        <v>0</v>
      </c>
    </row>
    <row r="11" spans="1:66" ht="13">
      <c r="A11" s="1083" t="s">
        <v>52</v>
      </c>
      <c r="B11" s="1084" t="s">
        <v>53</v>
      </c>
      <c r="C11" s="1085" t="e">
        <f>'ST Original'!#REF!/1000</f>
        <v>#REF!</v>
      </c>
      <c r="D11" s="1085">
        <f>+BDGT!H7+BDGT!H9*BDGT!$H$60</f>
        <v>22.933613081531071</v>
      </c>
      <c r="E11" s="1085" t="e">
        <f t="shared" ref="E11:E16" si="5">+C11-D11</f>
        <v>#REF!</v>
      </c>
      <c r="F11" s="1086" t="e">
        <f t="shared" ref="F11:F16" si="6">+E11/D11</f>
        <v>#REF!</v>
      </c>
      <c r="H11" s="1083" t="s">
        <v>52</v>
      </c>
      <c r="I11" s="1084" t="s">
        <v>53</v>
      </c>
      <c r="J11" s="1085" t="e">
        <f>C11</f>
        <v>#REF!</v>
      </c>
      <c r="K11" s="1085" t="e">
        <f>'ST Original'!#REF!/1000</f>
        <v>#REF!</v>
      </c>
      <c r="L11" s="1085" t="e">
        <f t="shared" ref="L11:L16" si="7">+J11-K11</f>
        <v>#REF!</v>
      </c>
      <c r="M11" s="1086" t="e">
        <f>+L11/K11</f>
        <v>#REF!</v>
      </c>
      <c r="O11" s="1095" t="s">
        <v>52</v>
      </c>
      <c r="P11" s="913" t="s">
        <v>53</v>
      </c>
      <c r="Q11" s="1096">
        <f>'R+P'!AF39/1000</f>
        <v>29.993231941487949</v>
      </c>
      <c r="R11" s="1096" t="e">
        <f>C11</f>
        <v>#REF!</v>
      </c>
      <c r="S11" s="1096" t="e">
        <f t="shared" ref="S11:S16" si="8">+Q11-R11</f>
        <v>#REF!</v>
      </c>
      <c r="T11" s="1097" t="e">
        <f t="shared" ref="T11:T16" si="9">+S11/R11</f>
        <v>#REF!</v>
      </c>
      <c r="V11" s="1095" t="s">
        <v>52</v>
      </c>
      <c r="W11" s="913" t="s">
        <v>53</v>
      </c>
      <c r="X11" s="914">
        <f>+Real!Q40/1000</f>
        <v>12.974353297126541</v>
      </c>
      <c r="Y11" s="914" t="e">
        <f>C11</f>
        <v>#REF!</v>
      </c>
      <c r="Z11" s="1098" t="e">
        <f t="shared" ref="Z11:Z16" si="10">+X11-Y11</f>
        <v>#REF!</v>
      </c>
      <c r="AA11" s="1097" t="e">
        <f t="shared" ref="AA11:AA16" si="11">+Z11/Y11</f>
        <v>#REF!</v>
      </c>
      <c r="AC11" s="877" t="s">
        <v>51</v>
      </c>
      <c r="AD11" s="933">
        <f>+$AD$24</f>
        <v>0</v>
      </c>
      <c r="AE11" s="934">
        <f>+$AE$24</f>
        <v>0</v>
      </c>
      <c r="AF11" s="934">
        <f>+$AF$24</f>
        <v>0</v>
      </c>
      <c r="AG11" s="934">
        <f>+$AG$24</f>
        <v>0</v>
      </c>
      <c r="AH11" s="876">
        <f>+((AD11*24*AE11/100*$AC$6)*AF11*AG11)/10000</f>
        <v>0</v>
      </c>
      <c r="AI11" s="876">
        <f>+AH11-AH10</f>
        <v>0</v>
      </c>
      <c r="AK11" s="877" t="s">
        <v>26</v>
      </c>
      <c r="AL11" s="933">
        <f>+$AD$24</f>
        <v>0</v>
      </c>
      <c r="AM11" s="934">
        <f>+$AE$24</f>
        <v>0</v>
      </c>
      <c r="AN11" s="934">
        <f>+$AF$24</f>
        <v>0</v>
      </c>
      <c r="AO11" s="934">
        <f>+$AG$24</f>
        <v>0</v>
      </c>
      <c r="AP11" s="876">
        <f>+X4*1000*AQ4</f>
        <v>117.62300368753701</v>
      </c>
      <c r="AQ11" s="876">
        <f t="shared" si="0"/>
        <v>117.62300368753701</v>
      </c>
      <c r="AR11" s="876">
        <f t="shared" si="1"/>
        <v>0</v>
      </c>
      <c r="AS11" s="876">
        <f>+AQ11-AQ10</f>
        <v>13197.342511767212</v>
      </c>
      <c r="AT11" s="945"/>
      <c r="AV11" s="877" t="s">
        <v>32</v>
      </c>
      <c r="AW11" s="945">
        <f>+AW10</f>
        <v>0</v>
      </c>
      <c r="AX11" s="934">
        <f>+AX10</f>
        <v>0</v>
      </c>
      <c r="AY11" s="951">
        <f>+AY10</f>
        <v>0</v>
      </c>
      <c r="AZ11" s="934">
        <f>+AZ10</f>
        <v>0</v>
      </c>
      <c r="BA11" s="934">
        <f>+BA24</f>
        <v>0</v>
      </c>
      <c r="BB11" s="876">
        <f t="shared" si="2"/>
        <v>0</v>
      </c>
      <c r="BC11" s="876">
        <f>+BB11-BB10</f>
        <v>0</v>
      </c>
      <c r="BE11" s="877" t="s">
        <v>32</v>
      </c>
      <c r="BF11" s="933">
        <f>+BF13</f>
        <v>0</v>
      </c>
      <c r="BG11" s="934">
        <f>+BG13</f>
        <v>0</v>
      </c>
      <c r="BH11" s="953">
        <f>+BH13</f>
        <v>2.090558601463997E-2</v>
      </c>
      <c r="BI11" s="934">
        <f>+BI13</f>
        <v>89.313167038140008</v>
      </c>
      <c r="BJ11" s="934">
        <f>+BJ13</f>
        <v>90.883108840805434</v>
      </c>
      <c r="BK11" s="876">
        <f>+BK6</f>
        <v>-452.80368540287702</v>
      </c>
      <c r="BL11" s="876">
        <f t="shared" si="3"/>
        <v>-452.80368540287702</v>
      </c>
      <c r="BM11" s="876">
        <f t="shared" si="4"/>
        <v>0</v>
      </c>
      <c r="BN11" s="876">
        <f>+BL11-BL10</f>
        <v>0</v>
      </c>
    </row>
    <row r="12" spans="1:66">
      <c r="A12" s="1073" t="s">
        <v>54</v>
      </c>
      <c r="B12" s="331" t="s">
        <v>53</v>
      </c>
      <c r="C12" s="896">
        <f>C15+C19*Factores!$D$9</f>
        <v>29.771605976738346</v>
      </c>
      <c r="D12" s="896">
        <f>D15+D19*Factores!$D$9</f>
        <v>33.40619354187691</v>
      </c>
      <c r="E12" s="896">
        <f>+C24-D24</f>
        <v>0</v>
      </c>
      <c r="F12" s="1075" t="e">
        <f>+E24/D24</f>
        <v>#DIV/0!</v>
      </c>
      <c r="H12" s="1073" t="s">
        <v>54</v>
      </c>
      <c r="I12" s="331" t="s">
        <v>53</v>
      </c>
      <c r="J12" s="896">
        <f>C24</f>
        <v>0</v>
      </c>
      <c r="K12" s="896" t="e">
        <f>K15+K19*Factores!$D$9</f>
        <v>#REF!</v>
      </c>
      <c r="L12" s="896">
        <f>+J24-K24</f>
        <v>0</v>
      </c>
      <c r="M12" s="1075" t="e">
        <f>+L24/K24</f>
        <v>#DIV/0!</v>
      </c>
      <c r="O12" s="1073" t="s">
        <v>55</v>
      </c>
      <c r="P12" s="331" t="s">
        <v>53</v>
      </c>
      <c r="Q12" s="896">
        <f>Q15+Q19*Factores!$D$9</f>
        <v>29.291621244280762</v>
      </c>
      <c r="R12" s="896">
        <f>R15+R19*Factores!$D$9</f>
        <v>29.771605976738346</v>
      </c>
      <c r="S12" s="896">
        <f>+Q24-R24</f>
        <v>-25.560002602074775</v>
      </c>
      <c r="T12" s="1075">
        <f>+S24/R24</f>
        <v>-0.11618183000949316</v>
      </c>
      <c r="V12" s="1073" t="s">
        <v>56</v>
      </c>
      <c r="W12" s="331" t="s">
        <v>53</v>
      </c>
      <c r="X12" s="896">
        <f>X15+X19*Factores!$D$9</f>
        <v>14.238146939312772</v>
      </c>
      <c r="Y12" s="896">
        <f>C24</f>
        <v>0</v>
      </c>
      <c r="Z12" s="363">
        <f>+X24-Y24</f>
        <v>169.20919284705883</v>
      </c>
      <c r="AA12" s="1075" t="e">
        <f>+Z24/Y24</f>
        <v>#DIV/0!</v>
      </c>
      <c r="AC12" s="878" t="s">
        <v>57</v>
      </c>
      <c r="AD12" s="933">
        <f>+AE70</f>
        <v>8365.4530972161592</v>
      </c>
      <c r="AE12" s="934">
        <f>+X32</f>
        <v>88.117327699326225</v>
      </c>
      <c r="AF12" s="934">
        <f>+X34</f>
        <v>0.49046726479369607</v>
      </c>
      <c r="AG12" s="934">
        <f>+X35</f>
        <v>90.621181612764147</v>
      </c>
      <c r="AH12" s="1716">
        <f>+((AD24*24*AE24/100*$AC$6)*AF24*AG24)/10000</f>
        <v>0</v>
      </c>
      <c r="AI12" s="1716">
        <f>SUM(AI7:AI11)</f>
        <v>0</v>
      </c>
      <c r="AK12" s="878" t="s">
        <v>57</v>
      </c>
      <c r="AL12" s="933">
        <f>+AD24</f>
        <v>0</v>
      </c>
      <c r="AM12" s="944">
        <f>+AE24</f>
        <v>0</v>
      </c>
      <c r="AN12" s="944">
        <f>+AF24</f>
        <v>0</v>
      </c>
      <c r="AO12" s="946">
        <f>+AG24</f>
        <v>0</v>
      </c>
      <c r="AP12" s="876">
        <v>1020</v>
      </c>
      <c r="AQ12" s="876">
        <f>+AR24*$AQ$4+AP24</f>
        <v>0</v>
      </c>
      <c r="AR12" s="876">
        <f>+((AL24*24*AM24/100*$AC$6)*AN24*AO24)/10000</f>
        <v>0</v>
      </c>
      <c r="AS12" s="876">
        <f>SUM(AS6:AS11)</f>
        <v>117.62300368753677</v>
      </c>
      <c r="AT12" s="945"/>
      <c r="AV12" s="878" t="s">
        <v>57</v>
      </c>
      <c r="AW12" s="933">
        <f>+AD24</f>
        <v>0</v>
      </c>
      <c r="AX12" s="934">
        <f>+AE24</f>
        <v>0</v>
      </c>
      <c r="AY12" s="951">
        <f>+X39/10000</f>
        <v>2.090558601463997E-2</v>
      </c>
      <c r="AZ12" s="934">
        <f>+X41</f>
        <v>89.313167038140008</v>
      </c>
      <c r="BA12" s="934">
        <f>+X42</f>
        <v>90.883108840805434</v>
      </c>
      <c r="BB12" s="876">
        <f>+((AW24*24*AX24/100*$AV$5)*AY24*AZ24*BA24)/1000000</f>
        <v>0</v>
      </c>
      <c r="BC12" s="876">
        <f>SUM(BC6:BC11)</f>
        <v>0</v>
      </c>
      <c r="BE12" s="877" t="s">
        <v>26</v>
      </c>
      <c r="BF12" s="933">
        <f>+BF13</f>
        <v>0</v>
      </c>
      <c r="BG12" s="934">
        <f>+BG13</f>
        <v>0</v>
      </c>
      <c r="BH12" s="953">
        <f>+BH13</f>
        <v>2.090558601463997E-2</v>
      </c>
      <c r="BI12" s="934">
        <f>+BI13</f>
        <v>89.313167038140008</v>
      </c>
      <c r="BJ12" s="934">
        <f>+BJ13</f>
        <v>90.883108840805434</v>
      </c>
      <c r="BK12" s="876">
        <f>+X6*1000</f>
        <v>73.101146027311657</v>
      </c>
      <c r="BL12" s="876">
        <f>+BM24*$BK$4+BK24</f>
        <v>0</v>
      </c>
      <c r="BM12" s="876">
        <f>+((BF24*24*BG24/100*$AC$6)*BH24*BI24*BJ24)/1000000</f>
        <v>0</v>
      </c>
      <c r="BN12" s="876">
        <f>+BL24-BL11</f>
        <v>452.80368540287702</v>
      </c>
    </row>
    <row r="13" spans="1:66">
      <c r="A13" s="1073" t="s">
        <v>58</v>
      </c>
      <c r="B13" s="331" t="s">
        <v>53</v>
      </c>
      <c r="C13" s="896">
        <f>C16+C20*Factores!$F$9</f>
        <v>29.771605976738346</v>
      </c>
      <c r="D13" s="896">
        <f>D16+D20*Factores!$F$9</f>
        <v>33.40619354187691</v>
      </c>
      <c r="E13" s="896">
        <f t="shared" si="5"/>
        <v>-3.6345875651385633</v>
      </c>
      <c r="F13" s="1075">
        <f t="shared" si="6"/>
        <v>-0.10879981164517781</v>
      </c>
      <c r="H13" s="1073" t="s">
        <v>58</v>
      </c>
      <c r="I13" s="331" t="s">
        <v>53</v>
      </c>
      <c r="J13" s="896">
        <f>J16+J20*Factores!$F$9</f>
        <v>27.229795292946367</v>
      </c>
      <c r="K13" s="896" t="e">
        <f>K16+K20*Factores!$F$9</f>
        <v>#REF!</v>
      </c>
      <c r="L13" s="896" t="e">
        <f t="shared" si="7"/>
        <v>#REF!</v>
      </c>
      <c r="M13" s="1075" t="e">
        <f>+L13/K13</f>
        <v>#REF!</v>
      </c>
      <c r="O13" s="1073" t="s">
        <v>58</v>
      </c>
      <c r="P13" s="331" t="s">
        <v>53</v>
      </c>
      <c r="Q13" s="896">
        <f>Q16+Q20*Factores!$F$9</f>
        <v>29.291621244280762</v>
      </c>
      <c r="R13" s="896">
        <f>R16+R20*Factores!$F$9</f>
        <v>29.771605976738346</v>
      </c>
      <c r="S13" s="896">
        <f t="shared" si="8"/>
        <v>-0.47998473245758433</v>
      </c>
      <c r="T13" s="1075">
        <f t="shared" si="9"/>
        <v>-1.6122231794704463E-2</v>
      </c>
      <c r="V13" s="1073" t="s">
        <v>56</v>
      </c>
      <c r="W13" s="331" t="s">
        <v>53</v>
      </c>
      <c r="X13" s="896">
        <f>X16+X20*Factores!$F$9</f>
        <v>14.238146939312772</v>
      </c>
      <c r="Y13" s="896">
        <f>C13</f>
        <v>29.771605976738346</v>
      </c>
      <c r="Z13" s="363">
        <f t="shared" si="10"/>
        <v>-15.533459037425574</v>
      </c>
      <c r="AA13" s="1075">
        <f t="shared" si="11"/>
        <v>-0.52175415224702482</v>
      </c>
      <c r="BE13" s="878" t="s">
        <v>57</v>
      </c>
      <c r="BF13" s="933">
        <f>+AD24</f>
        <v>0</v>
      </c>
      <c r="BG13" s="944">
        <f>+AE24</f>
        <v>0</v>
      </c>
      <c r="BH13" s="954">
        <f>+X39/10000</f>
        <v>2.090558601463997E-2</v>
      </c>
      <c r="BI13" s="946">
        <f>+X41</f>
        <v>89.313167038140008</v>
      </c>
      <c r="BJ13" s="934">
        <f>+X42</f>
        <v>90.883108840805434</v>
      </c>
      <c r="BK13" s="876">
        <f>+BK24</f>
        <v>0</v>
      </c>
      <c r="BL13" s="876">
        <f t="shared" si="3"/>
        <v>0</v>
      </c>
      <c r="BM13" s="876">
        <f t="shared" si="4"/>
        <v>0</v>
      </c>
      <c r="BN13" s="876"/>
    </row>
    <row r="14" spans="1:66" ht="13">
      <c r="A14" s="1083" t="s">
        <v>59</v>
      </c>
      <c r="B14" s="1084" t="s">
        <v>53</v>
      </c>
      <c r="C14" s="1085">
        <f>+'ST Original'!V39/1000</f>
        <v>28.318351668204937</v>
      </c>
      <c r="D14" s="1085">
        <f>+BDGT!H7</f>
        <v>22.933613081531071</v>
      </c>
      <c r="E14" s="1085">
        <f t="shared" si="5"/>
        <v>5.3847385866738655</v>
      </c>
      <c r="F14" s="1086">
        <f t="shared" si="6"/>
        <v>0.23479678354782704</v>
      </c>
      <c r="H14" s="1083" t="s">
        <v>59</v>
      </c>
      <c r="I14" s="1084" t="s">
        <v>53</v>
      </c>
      <c r="J14" s="1085">
        <f>C14</f>
        <v>28.318351668204937</v>
      </c>
      <c r="K14" s="1085" t="e">
        <f>'ST Original'!#REF!/1000</f>
        <v>#REF!</v>
      </c>
      <c r="L14" s="1085" t="e">
        <f t="shared" si="7"/>
        <v>#REF!</v>
      </c>
      <c r="M14" s="1086" t="e">
        <f>+L14/K14</f>
        <v>#REF!</v>
      </c>
      <c r="O14" s="1095" t="s">
        <v>59</v>
      </c>
      <c r="P14" s="913" t="s">
        <v>53</v>
      </c>
      <c r="Q14" s="1096">
        <f>'R+P'!R47/1000</f>
        <v>27.362020259444645</v>
      </c>
      <c r="R14" s="1096">
        <f>C14</f>
        <v>28.318351668204937</v>
      </c>
      <c r="S14" s="1096">
        <f>+Q14-R14</f>
        <v>-0.95633140876029188</v>
      </c>
      <c r="T14" s="1097">
        <f t="shared" si="9"/>
        <v>-3.3770730018655513E-2</v>
      </c>
      <c r="V14" s="1095" t="s">
        <v>59</v>
      </c>
      <c r="W14" s="913" t="s">
        <v>53</v>
      </c>
      <c r="X14" s="1727">
        <f>Real!$P$40/1000</f>
        <v>12.974353297126541</v>
      </c>
      <c r="Y14" s="1096">
        <f>'ST Original'!FQ39/1000</f>
        <v>13.540082306500699</v>
      </c>
      <c r="Z14" s="1096">
        <f t="shared" si="10"/>
        <v>-0.5657290093741576</v>
      </c>
      <c r="AA14" s="1097">
        <f t="shared" si="11"/>
        <v>-4.1781799886293651E-2</v>
      </c>
    </row>
    <row r="15" spans="1:66">
      <c r="A15" s="1073" t="s">
        <v>60</v>
      </c>
      <c r="B15" s="331" t="s">
        <v>53</v>
      </c>
      <c r="C15" s="3755">
        <f>+'ST Original'!AW39/1000</f>
        <v>27.229795292946367</v>
      </c>
      <c r="D15" s="896">
        <f>+BDGT!J8</f>
        <v>31.316638511727174</v>
      </c>
      <c r="E15" s="896">
        <f t="shared" si="5"/>
        <v>-4.0868432187808068</v>
      </c>
      <c r="F15" s="1075">
        <f t="shared" si="6"/>
        <v>-0.1305006990852611</v>
      </c>
      <c r="H15" s="1073" t="s">
        <v>60</v>
      </c>
      <c r="I15" s="331" t="s">
        <v>53</v>
      </c>
      <c r="J15" s="896">
        <f>C15</f>
        <v>27.229795292946367</v>
      </c>
      <c r="K15" s="896" t="e">
        <f>'ST Original'!#REF!/1000*Factores!D7</f>
        <v>#REF!</v>
      </c>
      <c r="L15" s="896" t="e">
        <f t="shared" si="7"/>
        <v>#REF!</v>
      </c>
      <c r="M15" s="1075" t="e">
        <f>+L15/K15</f>
        <v>#REF!</v>
      </c>
      <c r="O15" s="1073" t="s">
        <v>61</v>
      </c>
      <c r="P15" s="331" t="s">
        <v>53</v>
      </c>
      <c r="Q15" s="724">
        <f>'R+P'!AO39*Factores!$D$7/1000</f>
        <v>26.405692061497174</v>
      </c>
      <c r="R15" s="724">
        <f>C15</f>
        <v>27.229795292946367</v>
      </c>
      <c r="S15" s="724">
        <f>+Q15-R15</f>
        <v>-0.82410323144919317</v>
      </c>
      <c r="T15" s="1075">
        <f t="shared" si="9"/>
        <v>-3.0264760442862002E-2</v>
      </c>
      <c r="V15" s="1073" t="s">
        <v>62</v>
      </c>
      <c r="W15" s="331" t="s">
        <v>53</v>
      </c>
      <c r="X15" s="724">
        <f>Real!AQ40*Factores!F7/1000</f>
        <v>12.598463823748167</v>
      </c>
      <c r="Y15" s="724">
        <f>'ST Original'!$GF$39/1000*Factores!D7</f>
        <v>12.114235353304062</v>
      </c>
      <c r="Z15" s="724">
        <f t="shared" si="10"/>
        <v>0.48422847044410489</v>
      </c>
      <c r="AA15" s="1075">
        <f t="shared" si="11"/>
        <v>3.9971855946486577E-2</v>
      </c>
      <c r="AP15" s="945"/>
      <c r="AQ15" s="945"/>
      <c r="AR15" s="945"/>
      <c r="AS15" s="254"/>
    </row>
    <row r="16" spans="1:66">
      <c r="A16" s="1073" t="s">
        <v>63</v>
      </c>
      <c r="B16" s="331" t="s">
        <v>53</v>
      </c>
      <c r="C16" s="3755">
        <f>C15</f>
        <v>27.229795292946367</v>
      </c>
      <c r="D16" s="896">
        <f>D15/Factores!$D$7*Factores!$F$7</f>
        <v>31.316638511727174</v>
      </c>
      <c r="E16" s="896">
        <f t="shared" si="5"/>
        <v>-4.0868432187808068</v>
      </c>
      <c r="F16" s="1075">
        <f t="shared" si="6"/>
        <v>-0.1305006990852611</v>
      </c>
      <c r="H16" s="1073" t="s">
        <v>63</v>
      </c>
      <c r="I16" s="331" t="s">
        <v>53</v>
      </c>
      <c r="J16" s="896">
        <f>J15/Factores!$D$7*Factores!$F$7</f>
        <v>27.229795292946367</v>
      </c>
      <c r="K16" s="896" t="e">
        <f>K15/Factores!$D$7*Factores!$F$7</f>
        <v>#REF!</v>
      </c>
      <c r="L16" s="896" t="e">
        <f t="shared" si="7"/>
        <v>#REF!</v>
      </c>
      <c r="M16" s="1075" t="e">
        <f>+L16/K16</f>
        <v>#REF!</v>
      </c>
      <c r="O16" s="1073" t="s">
        <v>63</v>
      </c>
      <c r="P16" s="331" t="s">
        <v>53</v>
      </c>
      <c r="Q16" s="724">
        <f>Q15/Factores!$D$7*Factores!$F$7</f>
        <v>26.405692061497174</v>
      </c>
      <c r="R16" s="724">
        <f>R15/Factores!$D$7*Factores!$F$7</f>
        <v>27.229795292946367</v>
      </c>
      <c r="S16" s="724">
        <f t="shared" si="8"/>
        <v>-0.82410323144919317</v>
      </c>
      <c r="T16" s="1075">
        <f t="shared" si="9"/>
        <v>-3.0264760442862002E-2</v>
      </c>
      <c r="V16" s="1073" t="s">
        <v>64</v>
      </c>
      <c r="W16" s="331" t="s">
        <v>53</v>
      </c>
      <c r="X16" s="724">
        <f>X15/Factores!$D$7*Factores!$F$7</f>
        <v>12.598463823748167</v>
      </c>
      <c r="Y16" s="724">
        <f>'ST Original'!$GF$39/1000*Factores!F7</f>
        <v>12.114235353304062</v>
      </c>
      <c r="Z16" s="724">
        <f t="shared" si="10"/>
        <v>0.48422847044410489</v>
      </c>
      <c r="AA16" s="1075">
        <f t="shared" si="11"/>
        <v>3.9971855946486577E-2</v>
      </c>
      <c r="AP16" s="945"/>
      <c r="AQ16" s="945"/>
      <c r="AR16" s="945"/>
    </row>
    <row r="17" spans="1:44">
      <c r="A17" s="1073" t="s">
        <v>65</v>
      </c>
      <c r="B17" s="331" t="s">
        <v>53</v>
      </c>
      <c r="C17" s="896"/>
      <c r="D17" s="896"/>
      <c r="E17" s="896"/>
      <c r="F17" s="1075"/>
      <c r="H17" s="1073" t="s">
        <v>65</v>
      </c>
      <c r="I17" s="331" t="s">
        <v>53</v>
      </c>
      <c r="J17" s="896"/>
      <c r="K17" s="896"/>
      <c r="L17" s="896"/>
      <c r="M17" s="1075"/>
      <c r="O17" s="1073" t="s">
        <v>65</v>
      </c>
      <c r="P17" s="331" t="s">
        <v>53</v>
      </c>
      <c r="Q17" s="383">
        <f>Q14-Q15/Factores!D7</f>
        <v>-8.6724087226013324E-2</v>
      </c>
      <c r="R17" s="896"/>
      <c r="S17" s="363"/>
      <c r="T17" s="1075"/>
      <c r="V17" s="1073" t="s">
        <v>65</v>
      </c>
      <c r="W17" s="331" t="s">
        <v>53</v>
      </c>
      <c r="X17" s="896">
        <f>X14-X15/Factores!D7</f>
        <v>-0.12176294377592001</v>
      </c>
      <c r="Y17" s="896">
        <f>Y14-Y15/Factores!D7</f>
        <v>0.94732206398088259</v>
      </c>
      <c r="Z17" s="363"/>
      <c r="AA17" s="1075"/>
      <c r="AQ17" s="945"/>
      <c r="AR17" s="945"/>
    </row>
    <row r="18" spans="1:44" ht="13">
      <c r="A18" s="1083" t="s">
        <v>66</v>
      </c>
      <c r="B18" s="1084" t="s">
        <v>53</v>
      </c>
      <c r="C18" s="1085">
        <f>'ST Original'!AF39/1000</f>
        <v>0.80794675396342897</v>
      </c>
      <c r="D18" s="1085">
        <f>+BDGT!H9</f>
        <v>0.49377313963876424</v>
      </c>
      <c r="E18" s="1085">
        <f>+C18-D18</f>
        <v>0.31417361432466473</v>
      </c>
      <c r="F18" s="1086">
        <f>+E18/D18</f>
        <v>0.63627117213080608</v>
      </c>
      <c r="H18" s="1083" t="s">
        <v>66</v>
      </c>
      <c r="I18" s="1084" t="s">
        <v>53</v>
      </c>
      <c r="J18" s="1085">
        <f>C18</f>
        <v>0.80794675396342897</v>
      </c>
      <c r="K18" s="1085" t="e">
        <f>'ST Original'!#REF!/1000</f>
        <v>#REF!</v>
      </c>
      <c r="L18" s="1085" t="e">
        <f>+J18-K18</f>
        <v>#REF!</v>
      </c>
      <c r="M18" s="1086" t="e">
        <f>+L18/K18</f>
        <v>#REF!</v>
      </c>
      <c r="O18" s="1095" t="s">
        <v>66</v>
      </c>
      <c r="P18" s="913" t="s">
        <v>53</v>
      </c>
      <c r="Q18" s="1098">
        <f>'R+P'!AA39/1000</f>
        <v>0.90762734806598955</v>
      </c>
      <c r="R18" s="1098">
        <f>C18</f>
        <v>0.80794675396342897</v>
      </c>
      <c r="S18" s="1098">
        <f>+Q18-R18</f>
        <v>9.9680594102560582E-2</v>
      </c>
      <c r="T18" s="1097">
        <f>+S18/R18</f>
        <v>0.12337520215728541</v>
      </c>
      <c r="V18" s="1095" t="s">
        <v>66</v>
      </c>
      <c r="W18" s="913" t="s">
        <v>53</v>
      </c>
      <c r="X18" s="1096">
        <f>Real!$Y$40/1000</f>
        <v>0.49534408653931772</v>
      </c>
      <c r="Y18" s="1982">
        <f>'ST Original'!FY39/1000</f>
        <v>0.45280368540287702</v>
      </c>
      <c r="Z18" s="1096">
        <f>+X18-Y18</f>
        <v>4.2540401136440698E-2</v>
      </c>
      <c r="AA18" s="1097">
        <f>+Z18/Y18</f>
        <v>9.3948884489733889E-2</v>
      </c>
      <c r="AE18" s="873"/>
      <c r="AF18" s="872"/>
      <c r="AG18" s="872"/>
      <c r="AH18" s="874"/>
    </row>
    <row r="19" spans="1:44">
      <c r="A19" s="1073" t="s">
        <v>67</v>
      </c>
      <c r="B19" s="331" t="s">
        <v>53</v>
      </c>
      <c r="C19" s="363">
        <f>'ST Original'!AG39/1000*Factores!$D$8</f>
        <v>0.8767887836467676</v>
      </c>
      <c r="D19" s="363">
        <f>+BDGT!J10</f>
        <v>0.72078476376327538</v>
      </c>
      <c r="E19" s="896">
        <f>+C19-D19</f>
        <v>0.15600401988349222</v>
      </c>
      <c r="F19" s="1075">
        <f>+E19/D19</f>
        <v>0.21643634511498641</v>
      </c>
      <c r="H19" s="1073" t="s">
        <v>67</v>
      </c>
      <c r="I19" s="331" t="s">
        <v>53</v>
      </c>
      <c r="J19" s="363"/>
      <c r="K19" s="363" t="e">
        <f>'ST Original'!#REF!/1000*Factores!D8</f>
        <v>#REF!</v>
      </c>
      <c r="L19" s="896" t="e">
        <f>+J19-K19</f>
        <v>#REF!</v>
      </c>
      <c r="M19" s="1075" t="e">
        <f>+L19/K19</f>
        <v>#REF!</v>
      </c>
      <c r="O19" s="1073" t="s">
        <v>68</v>
      </c>
      <c r="P19" s="331" t="s">
        <v>53</v>
      </c>
      <c r="Q19" s="363">
        <f>'R+P'!AC39/1000*Factores!$D$8</f>
        <v>0.9954912669139665</v>
      </c>
      <c r="R19" s="363">
        <f>C19</f>
        <v>0.8767887836467676</v>
      </c>
      <c r="S19" s="363">
        <f>+Q19-R19</f>
        <v>0.1187024832671989</v>
      </c>
      <c r="T19" s="1075">
        <f>+S19/R19</f>
        <v>0.13538321370112399</v>
      </c>
      <c r="V19" s="1073" t="s">
        <v>68</v>
      </c>
      <c r="W19" s="331" t="s">
        <v>53</v>
      </c>
      <c r="X19" s="724">
        <f>Real!AA40/1000*Factores!$D$8</f>
        <v>0.56560300640379624</v>
      </c>
      <c r="Y19" s="724">
        <f>'ST Original'!GA39/1000*Factores!D8</f>
        <v>0.44690052313659734</v>
      </c>
      <c r="Z19" s="724">
        <f>+X19-Y19</f>
        <v>0.1187024832671989</v>
      </c>
      <c r="AA19" s="1075">
        <f>+Z19/Y19</f>
        <v>0.26561276418760627</v>
      </c>
      <c r="AE19" s="872"/>
      <c r="AF19" s="872"/>
      <c r="AH19" s="872"/>
      <c r="AI19" s="872"/>
      <c r="AJ19" s="872"/>
      <c r="AK19" s="872"/>
      <c r="AL19" s="872"/>
      <c r="AM19" s="872"/>
      <c r="AN19" s="872"/>
      <c r="AO19" s="872"/>
      <c r="AP19" s="872"/>
      <c r="AQ19" s="872"/>
      <c r="AR19" s="872"/>
    </row>
    <row r="20" spans="1:44">
      <c r="A20" s="1073" t="s">
        <v>69</v>
      </c>
      <c r="B20" s="331" t="s">
        <v>53</v>
      </c>
      <c r="C20" s="363">
        <f>C19/Factores!$D$8*Factores!$F$8</f>
        <v>0.8767887836467676</v>
      </c>
      <c r="D20" s="363">
        <f>D19/Factores!$D$8*Factores!$F$8</f>
        <v>0.72078476376327538</v>
      </c>
      <c r="E20" s="896">
        <f>+C20-D20</f>
        <v>0.15600401988349222</v>
      </c>
      <c r="F20" s="1075">
        <f>+E20/D20</f>
        <v>0.21643634511498641</v>
      </c>
      <c r="H20" s="1073" t="s">
        <v>69</v>
      </c>
      <c r="I20" s="331" t="s">
        <v>53</v>
      </c>
      <c r="J20" s="363">
        <f>J19/Factores!$D$8*Factores!$F$8</f>
        <v>0</v>
      </c>
      <c r="K20" s="363" t="e">
        <f>K19/Factores!$D$8*Factores!$F$8</f>
        <v>#REF!</v>
      </c>
      <c r="L20" s="896" t="e">
        <f>+J20-K20</f>
        <v>#REF!</v>
      </c>
      <c r="M20" s="1075" t="e">
        <f>+L20/K20</f>
        <v>#REF!</v>
      </c>
      <c r="O20" s="1073" t="s">
        <v>69</v>
      </c>
      <c r="P20" s="331" t="s">
        <v>53</v>
      </c>
      <c r="Q20" s="363">
        <f>Q19/Factores!$D$8*Factores!$F$8</f>
        <v>0.9954912669139665</v>
      </c>
      <c r="R20" s="363">
        <f>R19/Factores!$D$8*Factores!$F$8</f>
        <v>0.8767887836467676</v>
      </c>
      <c r="S20" s="363">
        <f>+Q20-R20</f>
        <v>0.1187024832671989</v>
      </c>
      <c r="T20" s="1075">
        <f>+S20/R20</f>
        <v>0.13538321370112399</v>
      </c>
      <c r="V20" s="1073" t="s">
        <v>69</v>
      </c>
      <c r="W20" s="331" t="s">
        <v>53</v>
      </c>
      <c r="X20" s="363">
        <f>X19/Factores!$D$8*Factores!$F$8</f>
        <v>0.56560300640379624</v>
      </c>
      <c r="Y20" s="363">
        <f>'ST Original'!GA39/1000*Factores!F8</f>
        <v>0.44690052313659734</v>
      </c>
      <c r="Z20" s="724">
        <f>+X20-Y20</f>
        <v>0.1187024832671989</v>
      </c>
      <c r="AA20" s="1075">
        <f>+Z20/Y20</f>
        <v>0.26561276418760627</v>
      </c>
      <c r="AE20" s="872"/>
      <c r="AF20" s="872"/>
      <c r="AG20" s="872"/>
      <c r="AH20" s="872"/>
      <c r="AI20" s="872"/>
      <c r="AJ20" s="872"/>
      <c r="AK20" s="872"/>
      <c r="AL20" s="872"/>
      <c r="AM20" s="872"/>
      <c r="AN20" s="872"/>
      <c r="AO20" s="872"/>
      <c r="AP20" s="872"/>
      <c r="AQ20" s="872"/>
      <c r="AR20" s="872"/>
    </row>
    <row r="21" spans="1:44" ht="12.75" hidden="1" customHeight="1">
      <c r="A21" s="1073" t="s">
        <v>70</v>
      </c>
      <c r="B21" s="331" t="s">
        <v>53</v>
      </c>
      <c r="C21" s="556"/>
      <c r="D21" s="556"/>
      <c r="E21" s="556"/>
      <c r="F21" s="1076"/>
      <c r="H21" s="1073" t="s">
        <v>70</v>
      </c>
      <c r="I21" s="331" t="s">
        <v>53</v>
      </c>
      <c r="J21" s="556"/>
      <c r="K21" s="556"/>
      <c r="L21" s="556"/>
      <c r="M21" s="1076"/>
      <c r="O21" s="1073" t="s">
        <v>70</v>
      </c>
      <c r="P21" s="331" t="s">
        <v>53</v>
      </c>
      <c r="Q21" s="363">
        <f>Q18-Q19/Factores!D8</f>
        <v>-9.2866387525936567E-2</v>
      </c>
      <c r="R21" s="896"/>
      <c r="S21" s="363"/>
      <c r="T21" s="1075"/>
      <c r="V21" s="1073" t="s">
        <v>70</v>
      </c>
      <c r="W21" s="331" t="s">
        <v>53</v>
      </c>
      <c r="X21" s="363">
        <f>X18-X19/Factores!D8</f>
        <v>-7.3101146027311659E-2</v>
      </c>
      <c r="Y21" s="363">
        <f>C21</f>
        <v>0</v>
      </c>
      <c r="Z21" s="363"/>
      <c r="AA21" s="1075"/>
      <c r="AC21" s="117" t="s">
        <v>71</v>
      </c>
      <c r="AD21" s="889" t="e">
        <f>Factores!#REF!</f>
        <v>#REF!</v>
      </c>
      <c r="AE21" s="872"/>
      <c r="AF21" s="872"/>
      <c r="AG21" s="872"/>
      <c r="AH21" s="872"/>
      <c r="AI21" s="872"/>
      <c r="AJ21" s="872"/>
      <c r="AK21" s="872"/>
      <c r="AL21" s="872"/>
      <c r="AM21" s="872"/>
      <c r="AN21" s="872"/>
      <c r="AO21" s="872"/>
      <c r="AP21" s="872"/>
      <c r="AQ21" s="872"/>
      <c r="AR21" s="872"/>
    </row>
    <row r="22" spans="1:44" ht="12.75" hidden="1" customHeight="1">
      <c r="A22" s="1073"/>
      <c r="B22" s="331"/>
      <c r="C22" s="383"/>
      <c r="D22" s="383"/>
      <c r="E22" s="896"/>
      <c r="F22" s="1076"/>
      <c r="H22" s="1073"/>
      <c r="I22" s="331"/>
      <c r="J22" s="383"/>
      <c r="K22" s="383"/>
      <c r="L22" s="896"/>
      <c r="M22" s="1076"/>
      <c r="O22" s="1091" t="s">
        <v>72</v>
      </c>
      <c r="P22" s="897" t="s">
        <v>53</v>
      </c>
      <c r="Q22" s="898" t="e">
        <f>+'R+P'!#REF!/1000</f>
        <v>#REF!</v>
      </c>
      <c r="R22" s="898" t="e">
        <f>+'ST Original'!#REF!/1000</f>
        <v>#REF!</v>
      </c>
      <c r="S22" s="898" t="e">
        <f>+Q22-R22</f>
        <v>#REF!</v>
      </c>
      <c r="T22" s="1092" t="e">
        <f>+S22/R22</f>
        <v>#REF!</v>
      </c>
      <c r="V22" s="1091"/>
      <c r="W22" s="897"/>
      <c r="X22" s="898"/>
      <c r="Y22" s="898">
        <f>C22</f>
        <v>0</v>
      </c>
      <c r="Z22" s="898"/>
      <c r="AA22" s="1092"/>
      <c r="AC22" s="350"/>
      <c r="AE22" s="350"/>
    </row>
    <row r="23" spans="1:44" ht="12.75" hidden="1" customHeight="1">
      <c r="A23" s="1073"/>
      <c r="B23" s="331"/>
      <c r="C23" s="383"/>
      <c r="D23" s="383"/>
      <c r="E23" s="896"/>
      <c r="F23" s="1076"/>
      <c r="H23" s="1073"/>
      <c r="I23" s="331"/>
      <c r="J23" s="383"/>
      <c r="K23" s="383"/>
      <c r="L23" s="896"/>
      <c r="M23" s="1076"/>
      <c r="O23" s="1091" t="s">
        <v>73</v>
      </c>
      <c r="P23" s="897" t="s">
        <v>53</v>
      </c>
      <c r="Q23" s="898">
        <f>'R+P'!D39/1000</f>
        <v>6027.6399193320212</v>
      </c>
      <c r="R23" s="898">
        <f>'ST Original'!D37/1000</f>
        <v>672.0961334532177</v>
      </c>
      <c r="S23" s="898">
        <f t="shared" ref="S23:S32" si="12">+Q23-R23</f>
        <v>5355.5437858788036</v>
      </c>
      <c r="T23" s="1092">
        <f>+S23/R23</f>
        <v>7.9684192771086435</v>
      </c>
      <c r="V23" s="1091" t="s">
        <v>73</v>
      </c>
      <c r="W23" s="897" t="s">
        <v>53</v>
      </c>
      <c r="X23" s="898">
        <f>Real!D40/1000</f>
        <v>2876.5562783999999</v>
      </c>
      <c r="Y23" s="898">
        <f>C23</f>
        <v>0</v>
      </c>
      <c r="Z23" s="898">
        <f>+X23-Y23</f>
        <v>2876.5562783999999</v>
      </c>
      <c r="AA23" s="1092" t="e">
        <f>+Z23/Y23</f>
        <v>#DIV/0!</v>
      </c>
      <c r="AC23" s="350"/>
      <c r="AE23" s="350"/>
    </row>
    <row r="24" spans="1:44" ht="12.75" hidden="1" customHeight="1">
      <c r="A24" s="1073"/>
      <c r="B24" s="331"/>
      <c r="C24" s="383"/>
      <c r="D24" s="383"/>
      <c r="E24" s="896"/>
      <c r="F24" s="1076"/>
      <c r="H24" s="1073"/>
      <c r="I24" s="331"/>
      <c r="J24" s="383"/>
      <c r="K24" s="383"/>
      <c r="L24" s="896"/>
      <c r="M24" s="1076"/>
      <c r="O24" s="1091" t="s">
        <v>74</v>
      </c>
      <c r="P24" s="897" t="s">
        <v>75</v>
      </c>
      <c r="Q24" s="899">
        <f>'R+P'!C39/1000</f>
        <v>194.43999739780713</v>
      </c>
      <c r="R24" s="899">
        <f>'ST Original'!C37/1000</f>
        <v>219.99999999988191</v>
      </c>
      <c r="S24" s="898">
        <f t="shared" si="12"/>
        <v>-25.560002602074775</v>
      </c>
      <c r="T24" s="1092">
        <f>+S24/R24</f>
        <v>-0.11618183000949316</v>
      </c>
      <c r="V24" s="1091" t="s">
        <v>74</v>
      </c>
      <c r="W24" s="897" t="s">
        <v>75</v>
      </c>
      <c r="X24" s="898">
        <f>Real!C40/1000</f>
        <v>169.20919284705883</v>
      </c>
      <c r="Y24" s="898">
        <f>C24</f>
        <v>0</v>
      </c>
      <c r="Z24" s="898">
        <f>+X24-Y24</f>
        <v>169.20919284705883</v>
      </c>
      <c r="AA24" s="1092" t="e">
        <f>+Z24/Y24</f>
        <v>#DIV/0!</v>
      </c>
      <c r="AC24" s="350"/>
      <c r="AE24" s="350"/>
    </row>
    <row r="25" spans="1:44">
      <c r="A25" s="1073"/>
      <c r="B25" s="331"/>
      <c r="C25" s="383"/>
      <c r="D25" s="383"/>
      <c r="E25" s="896"/>
      <c r="F25" s="1076"/>
      <c r="H25" s="1073"/>
      <c r="I25" s="331"/>
      <c r="J25" s="383"/>
      <c r="K25" s="383"/>
      <c r="L25" s="896"/>
      <c r="M25" s="1076"/>
      <c r="O25" s="1091"/>
      <c r="P25" s="897"/>
      <c r="Q25" s="899"/>
      <c r="R25" s="899"/>
      <c r="S25" s="898"/>
      <c r="T25" s="1092"/>
      <c r="V25" s="1091"/>
      <c r="W25" s="897"/>
      <c r="X25" s="898"/>
      <c r="Y25" s="898"/>
      <c r="Z25" s="898"/>
      <c r="AA25" s="1092"/>
      <c r="AC25" s="350"/>
      <c r="AE25" s="350"/>
    </row>
    <row r="26" spans="1:44">
      <c r="A26" s="1073" t="s">
        <v>76</v>
      </c>
      <c r="B26" s="331" t="s">
        <v>53</v>
      </c>
      <c r="C26" s="383" t="e">
        <f>'ST Original'!#REF!</f>
        <v>#REF!</v>
      </c>
      <c r="D26" s="383" t="e">
        <f>'ST Original'!#REF!</f>
        <v>#REF!</v>
      </c>
      <c r="E26" s="383" t="e">
        <f t="shared" ref="E26:E32" si="13">+C26-D26</f>
        <v>#REF!</v>
      </c>
      <c r="F26" s="1076" t="e">
        <f t="shared" ref="F26:F32" si="14">+E26/D26</f>
        <v>#REF!</v>
      </c>
      <c r="H26" s="1073" t="s">
        <v>76</v>
      </c>
      <c r="I26" s="331" t="s">
        <v>53</v>
      </c>
      <c r="J26" s="383" t="e">
        <f>C26</f>
        <v>#REF!</v>
      </c>
      <c r="K26" s="383" t="e">
        <f>'ST Original'!#REF!</f>
        <v>#REF!</v>
      </c>
      <c r="L26" s="383" t="e">
        <f>+J26-K26</f>
        <v>#REF!</v>
      </c>
      <c r="M26" s="1076" t="e">
        <f t="shared" ref="M26:M32" si="15">+L26/K26</f>
        <v>#REF!</v>
      </c>
      <c r="O26" s="1073" t="s">
        <v>76</v>
      </c>
      <c r="P26" s="331" t="s">
        <v>77</v>
      </c>
      <c r="Q26" s="900" t="e">
        <f>'R+P'!#REF!/1000</f>
        <v>#REF!</v>
      </c>
      <c r="R26" s="383" t="e">
        <f>C26</f>
        <v>#REF!</v>
      </c>
      <c r="S26" s="383" t="e">
        <f>+Q26-R26</f>
        <v>#REF!</v>
      </c>
      <c r="T26" s="1075" t="e">
        <f t="shared" ref="T26:T32" si="16">+S26/R26</f>
        <v>#REF!</v>
      </c>
      <c r="V26" s="1073" t="s">
        <v>76</v>
      </c>
      <c r="W26" s="331" t="s">
        <v>53</v>
      </c>
      <c r="X26" s="383">
        <f>Real!$AW$40/1000</f>
        <v>7028.6855221354172</v>
      </c>
      <c r="Y26" s="383" t="e">
        <f>'ST Original'!#REF!/1000</f>
        <v>#REF!</v>
      </c>
      <c r="Z26" s="896" t="e">
        <f t="shared" ref="Z26:Z32" si="17">+X26-Y26</f>
        <v>#REF!</v>
      </c>
      <c r="AA26" s="1075" t="e">
        <f t="shared" ref="AA26:AA32" si="18">+Z26/Y26</f>
        <v>#REF!</v>
      </c>
      <c r="AC26" s="254"/>
      <c r="AE26" s="350"/>
    </row>
    <row r="27" spans="1:44">
      <c r="A27" s="1073" t="s">
        <v>78</v>
      </c>
      <c r="B27" s="331" t="s">
        <v>53</v>
      </c>
      <c r="C27" s="383">
        <f>+'ST Original'!E39/1000</f>
        <v>5857.198775683828</v>
      </c>
      <c r="D27" s="383" t="e">
        <f>'ST Original'!#REF!</f>
        <v>#REF!</v>
      </c>
      <c r="E27" s="383" t="e">
        <f t="shared" si="13"/>
        <v>#REF!</v>
      </c>
      <c r="F27" s="1076" t="e">
        <f t="shared" si="14"/>
        <v>#REF!</v>
      </c>
      <c r="H27" s="1073" t="s">
        <v>78</v>
      </c>
      <c r="I27" s="331" t="s">
        <v>53</v>
      </c>
      <c r="J27" s="383">
        <f t="shared" ref="J27:J32" si="19">C27</f>
        <v>5857.198775683828</v>
      </c>
      <c r="K27" s="383" t="e">
        <f>'ST Original'!#REF!</f>
        <v>#REF!</v>
      </c>
      <c r="L27" s="383" t="e">
        <f>+J27-K27</f>
        <v>#REF!</v>
      </c>
      <c r="M27" s="1076" t="e">
        <f t="shared" si="15"/>
        <v>#REF!</v>
      </c>
      <c r="O27" s="1073" t="s">
        <v>78</v>
      </c>
      <c r="P27" s="331" t="s">
        <v>53</v>
      </c>
      <c r="Q27" s="383">
        <f>+'R+P'!E47</f>
        <v>5834.8510407595058</v>
      </c>
      <c r="R27" s="383">
        <f>C27</f>
        <v>5857.198775683828</v>
      </c>
      <c r="S27" s="383">
        <f t="shared" si="12"/>
        <v>-22.34773492432214</v>
      </c>
      <c r="T27" s="1075">
        <f t="shared" si="16"/>
        <v>-3.8154305121244655E-3</v>
      </c>
      <c r="V27" s="1073" t="s">
        <v>78</v>
      </c>
      <c r="W27" s="331" t="s">
        <v>53</v>
      </c>
      <c r="X27" s="383">
        <f>Real!$F$40/1000</f>
        <v>2919.0798328061296</v>
      </c>
      <c r="Y27" s="383">
        <f>'ST Original'!$FG$39/1000</f>
        <v>2933.8431364398571</v>
      </c>
      <c r="Z27" s="896">
        <f t="shared" si="17"/>
        <v>-14.763303633727446</v>
      </c>
      <c r="AA27" s="1075">
        <f t="shared" si="18"/>
        <v>-5.0320698643903415E-3</v>
      </c>
      <c r="AC27" s="350"/>
      <c r="AE27" s="350"/>
    </row>
    <row r="28" spans="1:44">
      <c r="A28" s="1073" t="s">
        <v>79</v>
      </c>
      <c r="B28" s="331" t="s">
        <v>75</v>
      </c>
      <c r="C28" s="383">
        <f>'ST Original'!E39/COUNT('ST Original'!B8:B38)/1000</f>
        <v>188.94189598980088</v>
      </c>
      <c r="D28" s="383" t="e">
        <f>'ST Original'!#REF!/COUNT('ST Original'!B8:B36)</f>
        <v>#REF!</v>
      </c>
      <c r="E28" s="383" t="e">
        <f t="shared" si="13"/>
        <v>#REF!</v>
      </c>
      <c r="F28" s="1076" t="e">
        <f t="shared" si="14"/>
        <v>#REF!</v>
      </c>
      <c r="H28" s="1073" t="s">
        <v>79</v>
      </c>
      <c r="I28" s="331" t="s">
        <v>75</v>
      </c>
      <c r="J28" s="383">
        <f t="shared" si="19"/>
        <v>188.94189598980088</v>
      </c>
      <c r="K28" s="383" t="e">
        <f>'ST Original'!#REF!/COUNT('ST Original'!B8:B36)</f>
        <v>#REF!</v>
      </c>
      <c r="L28" s="383" t="e">
        <f>+J28-K28</f>
        <v>#REF!</v>
      </c>
      <c r="M28" s="1076" t="e">
        <f t="shared" si="15"/>
        <v>#REF!</v>
      </c>
      <c r="O28" s="1073" t="s">
        <v>79</v>
      </c>
      <c r="P28" s="331" t="s">
        <v>75</v>
      </c>
      <c r="Q28" s="383">
        <f>'R+P'!E39/COUNT('R+P'!B8:B38)/1000</f>
        <v>188.22100131482276</v>
      </c>
      <c r="R28" s="383">
        <f>C28</f>
        <v>188.94189598980088</v>
      </c>
      <c r="S28" s="383">
        <f t="shared" si="12"/>
        <v>-0.7208946749781262</v>
      </c>
      <c r="T28" s="1075">
        <f t="shared" si="16"/>
        <v>-3.8154305121244269E-3</v>
      </c>
      <c r="V28" s="1073" t="s">
        <v>79</v>
      </c>
      <c r="W28" s="331" t="s">
        <v>75</v>
      </c>
      <c r="X28" s="383">
        <f>Real!$E$40/1000</f>
        <v>2919.0798328061296</v>
      </c>
      <c r="Y28" s="383">
        <f>'ST Original'!$FF$39/1000</f>
        <v>172.57900802587395</v>
      </c>
      <c r="Z28" s="896">
        <f t="shared" si="17"/>
        <v>2746.5008247802557</v>
      </c>
      <c r="AA28" s="1075">
        <f t="shared" si="18"/>
        <v>15.914454812305364</v>
      </c>
      <c r="AC28" s="350"/>
      <c r="AE28" s="350"/>
    </row>
    <row r="29" spans="1:44">
      <c r="A29" s="1073" t="s">
        <v>80</v>
      </c>
      <c r="B29" s="331" t="s">
        <v>81</v>
      </c>
      <c r="C29" s="383">
        <f>+'ST Original'!BT39</f>
        <v>8502.7681772494343</v>
      </c>
      <c r="D29" s="383" t="e">
        <f>'ST Original'!#REF!*1000/(24*COUNT('ST Original'!B8:B38)*D32/100)</f>
        <v>#REF!</v>
      </c>
      <c r="E29" s="383" t="e">
        <f t="shared" si="13"/>
        <v>#REF!</v>
      </c>
      <c r="F29" s="1076" t="e">
        <f t="shared" si="14"/>
        <v>#REF!</v>
      </c>
      <c r="H29" s="1073" t="s">
        <v>80</v>
      </c>
      <c r="I29" s="331" t="s">
        <v>81</v>
      </c>
      <c r="J29" s="383">
        <f t="shared" si="19"/>
        <v>8502.7681772494343</v>
      </c>
      <c r="K29" s="383" t="str">
        <f>IF(ISNUMBER('ST Original'!#REF!*1000/(24*COUNT('ST Original'!B8:B36)*'ST Original'!#REF!/100)),'ST Original'!#REF!*1000/(24*COUNT('ST Original'!B8:B36)*'ST Original'!#REF!/100)," ")</f>
        <v xml:space="preserve"> </v>
      </c>
      <c r="L29" s="383" t="str">
        <f>IF(ISNUMBER(J29-K29),J29-K29," ")</f>
        <v xml:space="preserve"> </v>
      </c>
      <c r="M29" s="1076" t="e">
        <f t="shared" si="15"/>
        <v>#VALUE!</v>
      </c>
      <c r="O29" s="1073" t="s">
        <v>80</v>
      </c>
      <c r="P29" s="331" t="s">
        <v>81</v>
      </c>
      <c r="Q29" s="383">
        <f>'R+P'!BH39</f>
        <v>8494.5649703748313</v>
      </c>
      <c r="R29" s="383">
        <f>C29</f>
        <v>8502.7681772494343</v>
      </c>
      <c r="S29" s="383">
        <f t="shared" si="12"/>
        <v>-8.2032068746029836</v>
      </c>
      <c r="T29" s="1075">
        <f t="shared" si="16"/>
        <v>-9.6476896742310621E-4</v>
      </c>
      <c r="V29" s="1073" t="s">
        <v>80</v>
      </c>
      <c r="W29" s="331" t="s">
        <v>81</v>
      </c>
      <c r="X29" s="383">
        <f>X27/(24*COUNT(Real!C9:C39))/X32%</f>
        <v>8.1194103590627424</v>
      </c>
      <c r="Y29" s="383">
        <f>'ST Original'!$FI$39</f>
        <v>8414.2411591830714</v>
      </c>
      <c r="Z29" s="383">
        <f t="shared" si="17"/>
        <v>-8406.121748824009</v>
      </c>
      <c r="AA29" s="1075">
        <f t="shared" si="18"/>
        <v>-0.99903503949964623</v>
      </c>
      <c r="AC29" s="350"/>
      <c r="AE29" s="350"/>
    </row>
    <row r="30" spans="1:44">
      <c r="A30" s="1073" t="s">
        <v>82</v>
      </c>
      <c r="B30" s="331" t="s">
        <v>48</v>
      </c>
      <c r="C30" s="555">
        <f>'ST Original'!K39</f>
        <v>73.985882319413648</v>
      </c>
      <c r="D30" s="555" t="e">
        <f>'ST Original'!#REF!</f>
        <v>#REF!</v>
      </c>
      <c r="E30" s="219" t="e">
        <f t="shared" si="13"/>
        <v>#REF!</v>
      </c>
      <c r="F30" s="1076" t="e">
        <f t="shared" si="14"/>
        <v>#REF!</v>
      </c>
      <c r="H30" s="1073" t="s">
        <v>82</v>
      </c>
      <c r="I30" s="331" t="s">
        <v>48</v>
      </c>
      <c r="J30" s="556">
        <f t="shared" si="19"/>
        <v>73.985882319413648</v>
      </c>
      <c r="K30" s="219" t="e">
        <f>'ST Original'!#REF!</f>
        <v>#REF!</v>
      </c>
      <c r="L30" s="219" t="e">
        <f>+J30-K30</f>
        <v>#REF!</v>
      </c>
      <c r="M30" s="1076" t="e">
        <f t="shared" si="15"/>
        <v>#REF!</v>
      </c>
      <c r="O30" s="1073" t="s">
        <v>82</v>
      </c>
      <c r="P30" s="331" t="s">
        <v>48</v>
      </c>
      <c r="Q30" s="556">
        <f>'R+P'!K39</f>
        <v>67.341177908595625</v>
      </c>
      <c r="R30" s="363">
        <f>C30</f>
        <v>73.985882319413648</v>
      </c>
      <c r="S30" s="901">
        <f>+R30-Q30</f>
        <v>6.6447044108180222</v>
      </c>
      <c r="T30" s="1075">
        <f t="shared" si="16"/>
        <v>8.9810436836197244E-2</v>
      </c>
      <c r="V30" s="1073" t="s">
        <v>82</v>
      </c>
      <c r="W30" s="331" t="s">
        <v>48</v>
      </c>
      <c r="X30" s="555">
        <f>Real!AD40</f>
        <v>62.153207792152699</v>
      </c>
      <c r="Y30" s="896">
        <f>'ST Original'!$FJ$39</f>
        <v>73.498171103170478</v>
      </c>
      <c r="Z30" s="896">
        <f t="shared" si="17"/>
        <v>-11.344963311017779</v>
      </c>
      <c r="AA30" s="1075">
        <f t="shared" si="18"/>
        <v>-0.15435708318636507</v>
      </c>
      <c r="AC30" s="350"/>
      <c r="AE30" s="350"/>
    </row>
    <row r="31" spans="1:44">
      <c r="A31" s="1073" t="s">
        <v>83</v>
      </c>
      <c r="B31" s="331" t="s">
        <v>48</v>
      </c>
      <c r="C31" s="556">
        <f>+'ST Original'!AX39</f>
        <v>4.202866572472935</v>
      </c>
      <c r="D31" s="556" t="e">
        <f>'ST Original'!#REF!</f>
        <v>#REF!</v>
      </c>
      <c r="E31" s="555" t="e">
        <f>+C31-D31</f>
        <v>#REF!</v>
      </c>
      <c r="F31" s="1076" t="e">
        <f>+E31/D31</f>
        <v>#REF!</v>
      </c>
      <c r="H31" s="1073"/>
      <c r="I31" s="331"/>
      <c r="J31" s="556"/>
      <c r="K31" s="556"/>
      <c r="L31" s="555"/>
      <c r="M31" s="1076"/>
      <c r="O31" s="1073" t="s">
        <v>83</v>
      </c>
      <c r="P31" s="331" t="s">
        <v>48</v>
      </c>
      <c r="Q31" s="556">
        <f>'R+P'!BD39</f>
        <v>4.4644232416284408</v>
      </c>
      <c r="R31" s="556">
        <f t="shared" ref="R31:R36" si="20">C31</f>
        <v>4.202866572472935</v>
      </c>
      <c r="S31" s="901">
        <f>+R31-Q31</f>
        <v>-0.26155666915550579</v>
      </c>
      <c r="T31" s="1075">
        <f>+S31/R31</f>
        <v>-6.223292237459916E-2</v>
      </c>
      <c r="V31" s="1073" t="s">
        <v>83</v>
      </c>
      <c r="W31" s="331" t="s">
        <v>84</v>
      </c>
      <c r="X31" s="556">
        <f>+Real!AS40</f>
        <v>4.6902586066660286</v>
      </c>
      <c r="Y31" s="363">
        <f>'ST Original'!$FA$39</f>
        <v>4.1675369074255659</v>
      </c>
      <c r="Z31" s="896">
        <f t="shared" si="17"/>
        <v>0.52272169924046263</v>
      </c>
      <c r="AA31" s="1075">
        <f t="shared" si="18"/>
        <v>0.12542701141028795</v>
      </c>
      <c r="AC31" s="350"/>
      <c r="AE31" s="350"/>
    </row>
    <row r="32" spans="1:44">
      <c r="A32" s="1073" t="s">
        <v>85</v>
      </c>
      <c r="B32" s="331" t="s">
        <v>48</v>
      </c>
      <c r="C32" s="896">
        <f>'ST Original'!J39</f>
        <v>92.650688634835248</v>
      </c>
      <c r="D32" s="896" t="e">
        <f>'ST Original'!#REF!</f>
        <v>#REF!</v>
      </c>
      <c r="E32" s="896" t="e">
        <f t="shared" si="13"/>
        <v>#REF!</v>
      </c>
      <c r="F32" s="1076" t="e">
        <f t="shared" si="14"/>
        <v>#REF!</v>
      </c>
      <c r="H32" s="1073" t="s">
        <v>85</v>
      </c>
      <c r="I32" s="331" t="s">
        <v>48</v>
      </c>
      <c r="J32" s="896">
        <f t="shared" si="19"/>
        <v>92.650688634835248</v>
      </c>
      <c r="K32" s="896" t="e">
        <f>'ST Original'!#REF!</f>
        <v>#REF!</v>
      </c>
      <c r="L32" s="896" t="e">
        <f>+J32-K32</f>
        <v>#REF!</v>
      </c>
      <c r="M32" s="1076" t="e">
        <f t="shared" si="15"/>
        <v>#REF!</v>
      </c>
      <c r="O32" s="1073" t="s">
        <v>85</v>
      </c>
      <c r="P32" s="331" t="s">
        <v>48</v>
      </c>
      <c r="Q32" s="363">
        <f>'R+P'!J39</f>
        <v>92.324230243716514</v>
      </c>
      <c r="R32" s="896">
        <f t="shared" si="20"/>
        <v>92.650688634835248</v>
      </c>
      <c r="S32" s="896">
        <f t="shared" si="12"/>
        <v>-0.32645839111873443</v>
      </c>
      <c r="T32" s="1075">
        <f t="shared" si="16"/>
        <v>-3.5235398239230253E-3</v>
      </c>
      <c r="V32" s="1073" t="s">
        <v>85</v>
      </c>
      <c r="W32" s="331" t="s">
        <v>48</v>
      </c>
      <c r="X32" s="896">
        <f>Real!J40</f>
        <v>88.117327699326225</v>
      </c>
      <c r="Y32" s="896">
        <f>'ST Original'!$FH$39</f>
        <v>88.216548475401808</v>
      </c>
      <c r="Z32" s="896">
        <f t="shared" si="17"/>
        <v>-9.9220776075583217E-2</v>
      </c>
      <c r="AA32" s="1075">
        <f t="shared" si="18"/>
        <v>-1.1247410807876915E-3</v>
      </c>
      <c r="AD32" s="885"/>
    </row>
    <row r="33" spans="1:66">
      <c r="A33" s="1073" t="s">
        <v>86</v>
      </c>
      <c r="B33" s="331" t="s">
        <v>87</v>
      </c>
      <c r="C33" s="383">
        <f>+'ST Original'!AT39</f>
        <v>37.368348754344872</v>
      </c>
      <c r="D33" s="383" t="e">
        <f>+'ST Original'!#REF!</f>
        <v>#REF!</v>
      </c>
      <c r="E33" s="896" t="e">
        <f>+C33-D33</f>
        <v>#REF!</v>
      </c>
      <c r="F33" s="1076" t="e">
        <f>+E33/D33</f>
        <v>#REF!</v>
      </c>
      <c r="H33" s="1073"/>
      <c r="I33" s="331"/>
      <c r="J33" s="383"/>
      <c r="K33" s="383"/>
      <c r="L33" s="896"/>
      <c r="M33" s="1076"/>
      <c r="O33" s="1073" t="s">
        <v>88</v>
      </c>
      <c r="P33" s="331" t="s">
        <v>87</v>
      </c>
      <c r="Q33" s="555">
        <f>+'R+P'!BE39</f>
        <v>37.974110352002597</v>
      </c>
      <c r="R33" s="555">
        <f>C33</f>
        <v>37.368348754344872</v>
      </c>
      <c r="S33" s="896">
        <f>+R33-Q33</f>
        <v>-0.6057615976577253</v>
      </c>
      <c r="T33" s="1075">
        <f>+S33/R33</f>
        <v>-1.6210552990712293E-2</v>
      </c>
      <c r="V33" s="1073" t="s">
        <v>86</v>
      </c>
      <c r="W33" s="331" t="s">
        <v>48</v>
      </c>
      <c r="X33" s="555">
        <f>Real!AU40</f>
        <v>37.942957957818315</v>
      </c>
      <c r="Y33" s="896">
        <f>'ST Original'!$GU$39</f>
        <v>36.90009719889941</v>
      </c>
      <c r="Z33" s="896">
        <f>+X33-Y33</f>
        <v>1.0428607589189056</v>
      </c>
      <c r="AA33" s="1075">
        <f>+Z33/Y33</f>
        <v>2.8261734740091964E-2</v>
      </c>
    </row>
    <row r="34" spans="1:66">
      <c r="A34" s="1073" t="s">
        <v>89</v>
      </c>
      <c r="B34" s="331" t="s">
        <v>48</v>
      </c>
      <c r="C34" s="363">
        <f>+'ST Original'!L39</f>
        <v>0.5354493276828427</v>
      </c>
      <c r="D34" s="363" t="e">
        <f>'ST Original'!#REF!</f>
        <v>#REF!</v>
      </c>
      <c r="E34" s="363" t="e">
        <f>+C34-D34</f>
        <v>#REF!</v>
      </c>
      <c r="F34" s="1076" t="e">
        <f>+E34/D34</f>
        <v>#REF!</v>
      </c>
      <c r="H34" s="1073" t="s">
        <v>89</v>
      </c>
      <c r="I34" s="331" t="s">
        <v>48</v>
      </c>
      <c r="J34" s="363">
        <f>C34</f>
        <v>0.5354493276828427</v>
      </c>
      <c r="K34" s="363" t="e">
        <f>'ST Original'!#REF!</f>
        <v>#REF!</v>
      </c>
      <c r="L34" s="363" t="e">
        <f>+J34-K34</f>
        <v>#REF!</v>
      </c>
      <c r="M34" s="1076" t="e">
        <f>+L34/K34</f>
        <v>#REF!</v>
      </c>
      <c r="O34" s="1073" t="s">
        <v>89</v>
      </c>
      <c r="P34" s="331" t="s">
        <v>48</v>
      </c>
      <c r="Q34" s="476">
        <f>'R+P'!$L$47</f>
        <v>0.5187562183850154</v>
      </c>
      <c r="R34" s="476">
        <f t="shared" si="20"/>
        <v>0.5354493276828427</v>
      </c>
      <c r="S34" s="724">
        <f>+Q34-R34</f>
        <v>-1.6693109297827302E-2</v>
      </c>
      <c r="T34" s="1075">
        <f>+S34/R34</f>
        <v>-3.1175889920465012E-2</v>
      </c>
      <c r="V34" s="1073" t="s">
        <v>89</v>
      </c>
      <c r="W34" s="331" t="s">
        <v>48</v>
      </c>
      <c r="X34" s="476">
        <f>Real!K40</f>
        <v>0.49046726479369607</v>
      </c>
      <c r="Y34" s="476">
        <f>'ST Original'!$FK$39</f>
        <v>0.51107741857165567</v>
      </c>
      <c r="Z34" s="363">
        <f>+X34-Y34</f>
        <v>-2.0610153777959606E-2</v>
      </c>
      <c r="AA34" s="1075">
        <f>+Z34/Y34</f>
        <v>-4.0326872268315564E-2</v>
      </c>
    </row>
    <row r="35" spans="1:66" ht="15.5">
      <c r="A35" s="1073" t="s">
        <v>90</v>
      </c>
      <c r="B35" s="331" t="s">
        <v>48</v>
      </c>
      <c r="C35" s="896">
        <f>'ST Original'!M39</f>
        <v>90.294153352101702</v>
      </c>
      <c r="D35" s="896" t="e">
        <f>'ST Original'!#REF!</f>
        <v>#REF!</v>
      </c>
      <c r="E35" s="896" t="e">
        <f>+C35-D35</f>
        <v>#REF!</v>
      </c>
      <c r="F35" s="1076" t="e">
        <f>+E35/D35</f>
        <v>#REF!</v>
      </c>
      <c r="H35" s="1073" t="s">
        <v>90</v>
      </c>
      <c r="I35" s="331" t="s">
        <v>48</v>
      </c>
      <c r="J35" s="896">
        <f>C35</f>
        <v>90.294153352101702</v>
      </c>
      <c r="K35" s="896" t="e">
        <f>'ST Original'!#REF!</f>
        <v>#REF!</v>
      </c>
      <c r="L35" s="896" t="e">
        <f>+J35-K35</f>
        <v>#REF!</v>
      </c>
      <c r="M35" s="1076" t="e">
        <f>+L35/K35</f>
        <v>#REF!</v>
      </c>
      <c r="O35" s="1073" t="s">
        <v>90</v>
      </c>
      <c r="P35" s="331" t="s">
        <v>48</v>
      </c>
      <c r="Q35" s="363">
        <f>'R+P'!$M$47</f>
        <v>90.397219242975567</v>
      </c>
      <c r="R35" s="363">
        <f>C35</f>
        <v>90.294153352101702</v>
      </c>
      <c r="S35" s="363">
        <f>+Q35-R35</f>
        <v>0.10306589087386442</v>
      </c>
      <c r="T35" s="1075">
        <f>+S35/R35</f>
        <v>1.1414458970777364E-3</v>
      </c>
      <c r="V35" s="1073" t="s">
        <v>90</v>
      </c>
      <c r="W35" s="331" t="s">
        <v>48</v>
      </c>
      <c r="X35" s="896">
        <f>Real!L40</f>
        <v>90.621181612764147</v>
      </c>
      <c r="Y35" s="896">
        <f>'ST Original'!$FL$39</f>
        <v>90.302073381744648</v>
      </c>
      <c r="Z35" s="896">
        <f>+X35-Y35</f>
        <v>0.31910823101949859</v>
      </c>
      <c r="AA35" s="1075">
        <f>+Z35/Y35</f>
        <v>3.5337863137482411E-3</v>
      </c>
      <c r="AC35" s="939" t="s">
        <v>91</v>
      </c>
      <c r="AQ35">
        <v>0.96599999999999997</v>
      </c>
      <c r="AV35" t="s">
        <v>19</v>
      </c>
      <c r="BE35" t="s">
        <v>19</v>
      </c>
      <c r="BK35">
        <f>+Factores!F8</f>
        <v>0.995</v>
      </c>
    </row>
    <row r="36" spans="1:66">
      <c r="A36" s="1073" t="s">
        <v>92</v>
      </c>
      <c r="B36" s="331" t="s">
        <v>53</v>
      </c>
      <c r="C36" s="555">
        <f>'ST Original'!R39/1000</f>
        <v>105.7534669311305</v>
      </c>
      <c r="D36" s="896" t="e">
        <f>'ST Original'!#REF!/1000</f>
        <v>#REF!</v>
      </c>
      <c r="E36" s="896" t="e">
        <f>+C36-D36</f>
        <v>#REF!</v>
      </c>
      <c r="F36" s="1076" t="e">
        <f>+E36/D36</f>
        <v>#REF!</v>
      </c>
      <c r="H36" s="1073" t="s">
        <v>92</v>
      </c>
      <c r="I36" s="331" t="s">
        <v>53</v>
      </c>
      <c r="J36" s="555">
        <f>C36</f>
        <v>105.7534669311305</v>
      </c>
      <c r="K36" s="896" t="e">
        <f>'ST Original'!#REF!/1000</f>
        <v>#REF!</v>
      </c>
      <c r="L36" s="896" t="e">
        <f>+J36-K36</f>
        <v>#REF!</v>
      </c>
      <c r="M36" s="1076" t="e">
        <f>+L36/K36</f>
        <v>#REF!</v>
      </c>
      <c r="O36" s="1073" t="s">
        <v>92</v>
      </c>
      <c r="P36" s="331" t="s">
        <v>53</v>
      </c>
      <c r="Q36" s="896">
        <f>'R+P'!$P$47/1000</f>
        <v>103.61851052323014</v>
      </c>
      <c r="R36" s="896">
        <f t="shared" si="20"/>
        <v>105.7534669311305</v>
      </c>
      <c r="S36" s="896">
        <f>+Q36-R36</f>
        <v>-2.1349564079003613</v>
      </c>
      <c r="T36" s="1075">
        <f>+S36/R36</f>
        <v>-2.0188051227584835E-2</v>
      </c>
      <c r="V36" s="1073" t="s">
        <v>92</v>
      </c>
      <c r="W36" s="331" t="s">
        <v>53</v>
      </c>
      <c r="X36" s="896">
        <f>Real!N40/1000</f>
        <v>50.032931921419269</v>
      </c>
      <c r="Y36" s="896">
        <f>'ST Original'!$FN$39/1000</f>
        <v>51.308583194143296</v>
      </c>
      <c r="Z36" s="902">
        <f>+X36-Y36</f>
        <v>-1.2756512727240263</v>
      </c>
      <c r="AA36" s="1104">
        <f>+Z36/Y36</f>
        <v>-2.4862336734132188E-2</v>
      </c>
      <c r="AK36" s="937">
        <f>AC6</f>
        <v>1</v>
      </c>
      <c r="AL36" s="937" t="s">
        <v>22</v>
      </c>
      <c r="AM36" s="937" t="s">
        <v>23</v>
      </c>
      <c r="AN36" s="937" t="s">
        <v>24</v>
      </c>
      <c r="AO36" s="937" t="s">
        <v>25</v>
      </c>
      <c r="AP36" s="943" t="s">
        <v>26</v>
      </c>
      <c r="AQ36" s="943" t="s">
        <v>27</v>
      </c>
      <c r="AR36" s="937" t="s">
        <v>28</v>
      </c>
      <c r="AS36" s="943" t="s">
        <v>29</v>
      </c>
      <c r="AV36" s="937">
        <f>AC6</f>
        <v>1</v>
      </c>
      <c r="AW36" s="937" t="s">
        <v>22</v>
      </c>
      <c r="AX36" s="937" t="s">
        <v>23</v>
      </c>
      <c r="AY36" s="937" t="s">
        <v>30</v>
      </c>
      <c r="AZ36" s="937" t="s">
        <v>31</v>
      </c>
      <c r="BA36" s="937" t="s">
        <v>32</v>
      </c>
      <c r="BB36" s="937" t="s">
        <v>33</v>
      </c>
      <c r="BC36" s="943" t="s">
        <v>29</v>
      </c>
      <c r="BE36" s="937">
        <f>AC6</f>
        <v>1</v>
      </c>
      <c r="BF36" s="937" t="s">
        <v>22</v>
      </c>
      <c r="BG36" s="937" t="s">
        <v>23</v>
      </c>
      <c r="BH36" s="937" t="s">
        <v>30</v>
      </c>
      <c r="BI36" s="937" t="s">
        <v>31</v>
      </c>
      <c r="BJ36" s="937" t="s">
        <v>32</v>
      </c>
      <c r="BK36" s="943" t="s">
        <v>26</v>
      </c>
      <c r="BL36" s="943" t="s">
        <v>27</v>
      </c>
      <c r="BM36" s="937" t="s">
        <v>28</v>
      </c>
      <c r="BN36" s="943" t="s">
        <v>29</v>
      </c>
    </row>
    <row r="37" spans="1:66">
      <c r="A37" s="1073" t="s">
        <v>93</v>
      </c>
      <c r="B37" s="331" t="s">
        <v>48</v>
      </c>
      <c r="C37" s="896">
        <f>'ST Original'!N39</f>
        <v>26.777705251636434</v>
      </c>
      <c r="D37" s="896">
        <f>'ST Original'!N39</f>
        <v>26.777705251636434</v>
      </c>
      <c r="E37" s="896">
        <f>+C37-D37</f>
        <v>0</v>
      </c>
      <c r="F37" s="1076">
        <f>+E37/D37</f>
        <v>0</v>
      </c>
      <c r="H37" s="1073" t="s">
        <v>93</v>
      </c>
      <c r="I37" s="331" t="s">
        <v>48</v>
      </c>
      <c r="J37" s="896">
        <f>C37</f>
        <v>26.777705251636434</v>
      </c>
      <c r="K37" s="896" t="e">
        <f>'ST Original'!#REF!</f>
        <v>#REF!</v>
      </c>
      <c r="L37" s="896" t="e">
        <f>+J37-K37</f>
        <v>#REF!</v>
      </c>
      <c r="M37" s="1076" t="e">
        <f>+L37/K37</f>
        <v>#REF!</v>
      </c>
      <c r="O37" s="1073" t="s">
        <v>93</v>
      </c>
      <c r="P37" s="331" t="s">
        <v>48</v>
      </c>
      <c r="Q37" s="896">
        <f>'R+P'!$N$47</f>
        <v>26.406498338258178</v>
      </c>
      <c r="R37" s="896">
        <f>C37</f>
        <v>26.777705251636434</v>
      </c>
      <c r="S37" s="896">
        <f>+Q37-R37</f>
        <v>-0.37120691337825562</v>
      </c>
      <c r="T37" s="1075">
        <f>+S37/R37</f>
        <v>-1.386253638577079E-2</v>
      </c>
      <c r="V37" s="1073" t="s">
        <v>93</v>
      </c>
      <c r="W37" s="331" t="s">
        <v>48</v>
      </c>
      <c r="X37" s="896">
        <f>Real!M40</f>
        <v>25.931627028181765</v>
      </c>
      <c r="Y37" s="896">
        <f>'ST Original'!$FM$39</f>
        <v>26.389507297964627</v>
      </c>
      <c r="Z37" s="896">
        <f>+X37-Y37</f>
        <v>-0.45788026978286211</v>
      </c>
      <c r="AA37" s="1075">
        <f>+Z37/Y37</f>
        <v>-1.7350845721101339E-2</v>
      </c>
      <c r="AC37" s="937">
        <v>10.5</v>
      </c>
      <c r="AD37" s="937" t="s">
        <v>22</v>
      </c>
      <c r="AE37" s="937" t="s">
        <v>23</v>
      </c>
      <c r="AF37" s="937" t="s">
        <v>24</v>
      </c>
      <c r="AG37" s="937" t="s">
        <v>25</v>
      </c>
      <c r="AH37" s="937" t="s">
        <v>28</v>
      </c>
      <c r="AI37" s="943" t="s">
        <v>29</v>
      </c>
      <c r="AK37" s="875" t="s">
        <v>9</v>
      </c>
      <c r="AL37" s="936">
        <f>+AD38</f>
        <v>8502.7681772494343</v>
      </c>
      <c r="AM37" s="935">
        <f>+AE38</f>
        <v>92.650688634835248</v>
      </c>
      <c r="AN37" s="935">
        <f>+AF38</f>
        <v>0.5354493276828427</v>
      </c>
      <c r="AO37" s="935">
        <f>+AG38</f>
        <v>90.294153352101702</v>
      </c>
      <c r="AP37" s="876">
        <f>+R4*1000*AQ35</f>
        <v>-125.73241853960019</v>
      </c>
      <c r="AQ37" s="876">
        <f t="shared" ref="AQ37:AQ43" si="21">+AR37*$AQ$4+AP37</f>
        <v>9146.0806053937722</v>
      </c>
      <c r="AR37" s="876">
        <f t="shared" ref="AR37:AR43" si="22">+((AL37*24*AM37/100*$AC$37)*AN37*AO37)/10000</f>
        <v>9598.1501282954177</v>
      </c>
      <c r="AS37" s="876">
        <f>+AQ37</f>
        <v>9146.0806053937722</v>
      </c>
      <c r="AV37" s="875" t="s">
        <v>9</v>
      </c>
      <c r="AW37" s="936">
        <f>+AD38</f>
        <v>8502.7681772494343</v>
      </c>
      <c r="AX37" s="949">
        <f>+AE38</f>
        <v>92.650688634835248</v>
      </c>
      <c r="AY37" s="950">
        <f>+R39/10000</f>
        <v>1.711862904530749E-2</v>
      </c>
      <c r="AZ37" s="935">
        <f>+R41</f>
        <v>91.633786719447059</v>
      </c>
      <c r="BA37" s="935">
        <f>+R42</f>
        <v>87.936294783268124</v>
      </c>
      <c r="BB37" s="876">
        <f t="shared" ref="BB37:BB43" si="23">+((AW37*24*AX37/100*$AV$36)*AY37*AZ37*BA37)/1000000</f>
        <v>26.080325615497379</v>
      </c>
      <c r="BC37" s="876">
        <f>+BB37</f>
        <v>26.080325615497379</v>
      </c>
      <c r="BE37" s="875" t="s">
        <v>9</v>
      </c>
      <c r="BF37" s="936">
        <f>+AD38</f>
        <v>8502.7681772494343</v>
      </c>
      <c r="BG37" s="935">
        <f>+AE38</f>
        <v>92.650688634835248</v>
      </c>
      <c r="BH37" s="952">
        <f>+R39/10000</f>
        <v>1.711862904530749E-2</v>
      </c>
      <c r="BI37" s="935">
        <f>+R41</f>
        <v>91.633786719447059</v>
      </c>
      <c r="BJ37" s="935">
        <f>+R42</f>
        <v>87.936294783268124</v>
      </c>
      <c r="BK37" s="876">
        <f>+R6*1000</f>
        <v>73.248003470508309</v>
      </c>
      <c r="BL37" s="876">
        <f>+BM37*$BK$4+BK37</f>
        <v>99.197927457928202</v>
      </c>
      <c r="BM37" s="876">
        <f>+((BF37*24*BG37/100*$BE$36)*BH37*BI37*BJ37)/1000000</f>
        <v>26.080325615497379</v>
      </c>
      <c r="BN37" s="876">
        <f>+BL37</f>
        <v>99.197927457928202</v>
      </c>
    </row>
    <row r="38" spans="1:66">
      <c r="A38" s="1073"/>
      <c r="B38" s="331"/>
      <c r="C38" s="383"/>
      <c r="D38" s="383"/>
      <c r="E38" s="896"/>
      <c r="F38" s="1076"/>
      <c r="H38" s="1073"/>
      <c r="I38" s="331"/>
      <c r="J38" s="383"/>
      <c r="K38" s="383"/>
      <c r="L38" s="896"/>
      <c r="M38" s="1076"/>
      <c r="O38" s="1073"/>
      <c r="P38" s="331"/>
      <c r="Q38" s="383"/>
      <c r="R38" s="896"/>
      <c r="S38" s="363"/>
      <c r="T38" s="1075"/>
      <c r="V38" s="1073"/>
      <c r="W38" s="331"/>
      <c r="X38" s="896"/>
      <c r="Y38" s="896"/>
      <c r="Z38" s="896"/>
      <c r="AA38" s="1075"/>
      <c r="AC38" s="875" t="s">
        <v>9</v>
      </c>
      <c r="AD38" s="936">
        <f>+R29</f>
        <v>8502.7681772494343</v>
      </c>
      <c r="AE38" s="935">
        <f>+R32</f>
        <v>92.650688634835248</v>
      </c>
      <c r="AF38" s="935">
        <f>+R34</f>
        <v>0.5354493276828427</v>
      </c>
      <c r="AG38" s="935">
        <f>+R35</f>
        <v>90.294153352101702</v>
      </c>
      <c r="AH38" s="876">
        <f t="shared" ref="AH38:AH43" si="24">+((AD38*24*AE38/100*$AC$37)*AF38*AG38)/10000</f>
        <v>9598.1501282954177</v>
      </c>
      <c r="AI38" s="876">
        <f>+AH38</f>
        <v>9598.1501282954177</v>
      </c>
      <c r="AK38" s="877" t="s">
        <v>36</v>
      </c>
      <c r="AL38" s="933">
        <f>+AL43</f>
        <v>8494.5649703748313</v>
      </c>
      <c r="AM38" s="935">
        <f>+AM37</f>
        <v>92.650688634835248</v>
      </c>
      <c r="AN38" s="935">
        <f>+AN37</f>
        <v>0.5354493276828427</v>
      </c>
      <c r="AO38" s="935">
        <f>+AO37</f>
        <v>90.294153352101702</v>
      </c>
      <c r="AP38" s="876">
        <f>+AP37</f>
        <v>-125.73241853960019</v>
      </c>
      <c r="AQ38" s="876">
        <f t="shared" si="21"/>
        <v>9137.1354479165329</v>
      </c>
      <c r="AR38" s="876">
        <f t="shared" si="22"/>
        <v>9588.8901309069715</v>
      </c>
      <c r="AS38" s="876">
        <f>+AQ38-AQ37</f>
        <v>-8.9451574772392632</v>
      </c>
      <c r="AV38" s="875" t="s">
        <v>22</v>
      </c>
      <c r="AW38" s="933">
        <f>+AW43</f>
        <v>8494.5649703748313</v>
      </c>
      <c r="AX38" s="935">
        <f>+AX37</f>
        <v>92.650688634835248</v>
      </c>
      <c r="AY38" s="950">
        <f>+AY37</f>
        <v>1.711862904530749E-2</v>
      </c>
      <c r="AZ38" s="935">
        <f>+AZ37</f>
        <v>91.633786719447059</v>
      </c>
      <c r="BA38" s="935">
        <f>+BA37</f>
        <v>87.936294783268124</v>
      </c>
      <c r="BB38" s="876">
        <f t="shared" si="23"/>
        <v>26.055164126683259</v>
      </c>
      <c r="BC38" s="876">
        <f>+BB38-BB37</f>
        <v>-2.5161488814120503E-2</v>
      </c>
      <c r="BE38" s="877" t="s">
        <v>36</v>
      </c>
      <c r="BF38" s="933">
        <f>+BF44</f>
        <v>8494.5649703748313</v>
      </c>
      <c r="BG38" s="935">
        <f>+BG37</f>
        <v>92.650688634835248</v>
      </c>
      <c r="BH38" s="952">
        <f>+BH37</f>
        <v>1.711862904530749E-2</v>
      </c>
      <c r="BI38" s="935">
        <f>+BI37</f>
        <v>91.633786719447059</v>
      </c>
      <c r="BJ38" s="935">
        <f>+BJ37</f>
        <v>87.936294783268124</v>
      </c>
      <c r="BK38" s="876">
        <f>+BK37</f>
        <v>73.248003470508309</v>
      </c>
      <c r="BL38" s="876">
        <f t="shared" ref="BL38:BL44" si="25">+BM38*$BK$4+BK38</f>
        <v>99.172891776558146</v>
      </c>
      <c r="BM38" s="876">
        <f t="shared" ref="BM38:BM43" si="26">+((BF38*24*BG38/100*$BE$36)*BH38*BI38*BJ38)/1000000</f>
        <v>26.055164126683259</v>
      </c>
      <c r="BN38" s="876">
        <f t="shared" ref="BN38:BN43" si="27">+BL38-BL37</f>
        <v>-2.5035681370056295E-2</v>
      </c>
    </row>
    <row r="39" spans="1:66">
      <c r="A39" s="1073" t="s">
        <v>94</v>
      </c>
      <c r="B39" s="331" t="s">
        <v>95</v>
      </c>
      <c r="C39" s="724">
        <f>'ST Original'!W39</f>
        <v>171.18629045307489</v>
      </c>
      <c r="D39" s="383" t="e">
        <f>'ST Original'!#REF!</f>
        <v>#REF!</v>
      </c>
      <c r="E39" s="896" t="e">
        <f t="shared" ref="E39:E44" si="28">+C39-D39</f>
        <v>#REF!</v>
      </c>
      <c r="F39" s="1076" t="e">
        <f t="shared" ref="F39:F44" si="29">+E39/D39</f>
        <v>#REF!</v>
      </c>
      <c r="H39" s="1073" t="s">
        <v>94</v>
      </c>
      <c r="I39" s="331" t="s">
        <v>95</v>
      </c>
      <c r="J39" s="383">
        <f>C39</f>
        <v>171.18629045307489</v>
      </c>
      <c r="K39" s="383" t="e">
        <f>'ST Original'!#REF!</f>
        <v>#REF!</v>
      </c>
      <c r="L39" s="896" t="e">
        <f t="shared" ref="L39:L44" si="30">+J39-K39</f>
        <v>#REF!</v>
      </c>
      <c r="M39" s="1076" t="e">
        <f t="shared" ref="M39:M44" si="31">+L39/K39</f>
        <v>#REF!</v>
      </c>
      <c r="O39" s="1073" t="s">
        <v>94</v>
      </c>
      <c r="P39" s="331" t="s">
        <v>95</v>
      </c>
      <c r="Q39" s="383">
        <f>'R+P'!$S$47</f>
        <v>192.88224256745204</v>
      </c>
      <c r="R39" s="383">
        <f t="shared" ref="R39:R44" si="32">C39</f>
        <v>171.18629045307489</v>
      </c>
      <c r="S39" s="383">
        <f t="shared" ref="S39:S44" si="33">+Q39-R39</f>
        <v>21.69595211437715</v>
      </c>
      <c r="T39" s="1075">
        <f t="shared" ref="T39:T44" si="34">+S39/R39</f>
        <v>0.12673884139293493</v>
      </c>
      <c r="V39" s="1073" t="s">
        <v>94</v>
      </c>
      <c r="W39" s="331" t="s">
        <v>95</v>
      </c>
      <c r="X39" s="383">
        <f>Real!R40</f>
        <v>209.05586014639971</v>
      </c>
      <c r="Y39" s="383">
        <f>'ST Original'!$FR$39</f>
        <v>190.92613315237236</v>
      </c>
      <c r="Z39" s="383">
        <f t="shared" ref="Z39:Z44" si="35">+X39-Y39</f>
        <v>18.129726994027351</v>
      </c>
      <c r="AA39" s="1075">
        <f t="shared" ref="AA39:AA44" si="36">+Z39/Y39</f>
        <v>9.4956759950501721E-2</v>
      </c>
      <c r="AC39" s="877" t="s">
        <v>36</v>
      </c>
      <c r="AD39" s="933">
        <f>+AD43</f>
        <v>8494.5649703748313</v>
      </c>
      <c r="AE39" s="935">
        <f>+AE38</f>
        <v>92.650688634835248</v>
      </c>
      <c r="AF39" s="935">
        <f>+AF38</f>
        <v>0.5354493276828427</v>
      </c>
      <c r="AG39" s="935">
        <f>+AG38</f>
        <v>90.294153352101702</v>
      </c>
      <c r="AH39" s="876">
        <f t="shared" si="24"/>
        <v>9588.8901309069715</v>
      </c>
      <c r="AI39" s="876">
        <f>+AH39-AH38</f>
        <v>-9.2599973884462088</v>
      </c>
      <c r="AK39" s="877" t="s">
        <v>41</v>
      </c>
      <c r="AL39" s="933">
        <f>+AL43</f>
        <v>8494.5649703748313</v>
      </c>
      <c r="AM39" s="934">
        <f>+AM43</f>
        <v>92.324230243716514</v>
      </c>
      <c r="AN39" s="935">
        <f>+AN37</f>
        <v>0.5354493276828427</v>
      </c>
      <c r="AO39" s="935">
        <f>+AO37</f>
        <v>90.294153352101702</v>
      </c>
      <c r="AP39" s="876">
        <f>+AP37</f>
        <v>-125.73241853960019</v>
      </c>
      <c r="AQ39" s="876">
        <f t="shared" si="21"/>
        <v>9104.4973641053384</v>
      </c>
      <c r="AR39" s="876">
        <f t="shared" si="22"/>
        <v>9555.1032946634987</v>
      </c>
      <c r="AS39" s="876">
        <f>+AQ39-AQ38</f>
        <v>-32.63808381119452</v>
      </c>
      <c r="AV39" s="877" t="s">
        <v>23</v>
      </c>
      <c r="AW39" s="933">
        <f>+AW43</f>
        <v>8494.5649703748313</v>
      </c>
      <c r="AX39" s="934">
        <f>+AX43</f>
        <v>92.324230243716514</v>
      </c>
      <c r="AY39" s="950">
        <f>+AY37</f>
        <v>1.711862904530749E-2</v>
      </c>
      <c r="AZ39" s="935">
        <f>+AZ37</f>
        <v>91.633786719447059</v>
      </c>
      <c r="BA39" s="935">
        <f>+BA37</f>
        <v>87.936294783268124</v>
      </c>
      <c r="BB39" s="876">
        <f t="shared" si="23"/>
        <v>25.963357718264035</v>
      </c>
      <c r="BC39" s="876">
        <f>+BB39-BB38</f>
        <v>-9.1806408419223828E-2</v>
      </c>
      <c r="BE39" s="877" t="s">
        <v>23</v>
      </c>
      <c r="BF39" s="933">
        <f>+BF44</f>
        <v>8494.5649703748313</v>
      </c>
      <c r="BG39" s="934">
        <f>+BG44</f>
        <v>92.324230243716514</v>
      </c>
      <c r="BH39" s="952">
        <f>+BH37</f>
        <v>1.711862904530749E-2</v>
      </c>
      <c r="BI39" s="935">
        <f>+BI37</f>
        <v>91.633786719447059</v>
      </c>
      <c r="BJ39" s="935">
        <f>+BJ37</f>
        <v>87.936294783268124</v>
      </c>
      <c r="BK39" s="876">
        <f>+BK37</f>
        <v>73.248003470508309</v>
      </c>
      <c r="BL39" s="876">
        <f t="shared" si="25"/>
        <v>99.081544400181031</v>
      </c>
      <c r="BM39" s="876">
        <f t="shared" si="26"/>
        <v>25.963357718264035</v>
      </c>
      <c r="BN39" s="876">
        <f t="shared" si="27"/>
        <v>-9.1347376377115097E-2</v>
      </c>
    </row>
    <row r="40" spans="1:66">
      <c r="A40" s="1073" t="s">
        <v>96</v>
      </c>
      <c r="B40" s="331" t="s">
        <v>48</v>
      </c>
      <c r="C40" s="896">
        <f>'ST Original'!Z39</f>
        <v>80.57935681068416</v>
      </c>
      <c r="D40" s="896" t="e">
        <f>'ST Original'!#REF!</f>
        <v>#REF!</v>
      </c>
      <c r="E40" s="896" t="e">
        <f t="shared" si="28"/>
        <v>#REF!</v>
      </c>
      <c r="F40" s="1076" t="e">
        <f t="shared" si="29"/>
        <v>#REF!</v>
      </c>
      <c r="H40" s="1073" t="s">
        <v>96</v>
      </c>
      <c r="I40" s="331" t="s">
        <v>48</v>
      </c>
      <c r="J40" s="896">
        <f>C40</f>
        <v>80.57935681068416</v>
      </c>
      <c r="K40" s="896" t="e">
        <f>'ST Original'!#REF!</f>
        <v>#REF!</v>
      </c>
      <c r="L40" s="896" t="e">
        <f t="shared" si="30"/>
        <v>#REF!</v>
      </c>
      <c r="M40" s="1076" t="e">
        <f t="shared" si="31"/>
        <v>#REF!</v>
      </c>
      <c r="O40" s="1073" t="s">
        <v>96</v>
      </c>
      <c r="P40" s="331" t="s">
        <v>48</v>
      </c>
      <c r="Q40" s="896">
        <f>'R+P'!$V$47</f>
        <v>80.64650541173333</v>
      </c>
      <c r="R40" s="896">
        <f t="shared" si="32"/>
        <v>80.57935681068416</v>
      </c>
      <c r="S40" s="896">
        <f t="shared" si="33"/>
        <v>6.7148601049169088E-2</v>
      </c>
      <c r="T40" s="1075">
        <f t="shared" si="34"/>
        <v>8.3332262389398644E-4</v>
      </c>
      <c r="V40" s="1073" t="s">
        <v>96</v>
      </c>
      <c r="W40" s="331" t="s">
        <v>48</v>
      </c>
      <c r="X40" s="896">
        <f>Real!U40</f>
        <v>81.170582808443143</v>
      </c>
      <c r="Y40" s="896">
        <f>'ST Original'!$FU$39</f>
        <v>80.83653441482754</v>
      </c>
      <c r="Z40" s="896">
        <f t="shared" si="35"/>
        <v>0.33404839361560335</v>
      </c>
      <c r="AA40" s="1075">
        <f t="shared" si="36"/>
        <v>4.1323937998303164E-3</v>
      </c>
      <c r="AC40" s="877" t="s">
        <v>41</v>
      </c>
      <c r="AD40" s="933">
        <f>+AD43</f>
        <v>8494.5649703748313</v>
      </c>
      <c r="AE40" s="934">
        <f>+AE43</f>
        <v>92.324230243716514</v>
      </c>
      <c r="AF40" s="935">
        <f>+AF38</f>
        <v>0.5354493276828427</v>
      </c>
      <c r="AG40" s="935">
        <f>+AG38</f>
        <v>90.294153352101702</v>
      </c>
      <c r="AH40" s="876">
        <f t="shared" si="24"/>
        <v>9555.1032946634987</v>
      </c>
      <c r="AI40" s="876">
        <f>+AH40-AH39</f>
        <v>-33.786836243472862</v>
      </c>
      <c r="AK40" s="877" t="s">
        <v>45</v>
      </c>
      <c r="AL40" s="933">
        <f>+AL43</f>
        <v>8494.5649703748313</v>
      </c>
      <c r="AM40" s="934">
        <f>+AM43</f>
        <v>92.324230243716514</v>
      </c>
      <c r="AN40" s="934">
        <f>+AN43</f>
        <v>0.5187562183850154</v>
      </c>
      <c r="AO40" s="935">
        <f>+AO37</f>
        <v>90.294153352101702</v>
      </c>
      <c r="AP40" s="876">
        <f>+AP37</f>
        <v>-125.73241853960019</v>
      </c>
      <c r="AQ40" s="876">
        <f t="shared" si="21"/>
        <v>8816.7367364610018</v>
      </c>
      <c r="AR40" s="876">
        <f t="shared" si="22"/>
        <v>9257.2144461703956</v>
      </c>
      <c r="AS40" s="876">
        <f>+AQ40-AQ39</f>
        <v>-287.76062764433664</v>
      </c>
      <c r="AV40" s="877" t="s">
        <v>30</v>
      </c>
      <c r="AW40" s="933">
        <f>+AW43</f>
        <v>8494.5649703748313</v>
      </c>
      <c r="AX40" s="934">
        <f>+AX43</f>
        <v>92.324230243716514</v>
      </c>
      <c r="AY40" s="951">
        <f>+AY43</f>
        <v>1.9288224256745205E-2</v>
      </c>
      <c r="AZ40" s="935">
        <f>+AZ37</f>
        <v>91.633786719447059</v>
      </c>
      <c r="BA40" s="935">
        <f>+BA37</f>
        <v>87.936294783268124</v>
      </c>
      <c r="BB40" s="876">
        <f t="shared" si="23"/>
        <v>29.253923594147135</v>
      </c>
      <c r="BC40" s="876">
        <f>+BB40-BB39</f>
        <v>3.2905658758831002</v>
      </c>
      <c r="BE40" s="877" t="s">
        <v>30</v>
      </c>
      <c r="BF40" s="933">
        <f>+BF44</f>
        <v>8494.5649703748313</v>
      </c>
      <c r="BG40" s="934">
        <f>+BG44</f>
        <v>92.324230243716514</v>
      </c>
      <c r="BH40" s="953">
        <f>+BH44</f>
        <v>1.9288224256745205E-2</v>
      </c>
      <c r="BI40" s="935">
        <f>+BI37</f>
        <v>91.633786719447059</v>
      </c>
      <c r="BJ40" s="935">
        <f>+BJ37</f>
        <v>87.936294783268124</v>
      </c>
      <c r="BK40" s="876">
        <f>+BK37</f>
        <v>73.248003470508309</v>
      </c>
      <c r="BL40" s="876">
        <f t="shared" si="25"/>
        <v>102.35565744668472</v>
      </c>
      <c r="BM40" s="876">
        <f t="shared" si="26"/>
        <v>29.253923594147135</v>
      </c>
      <c r="BN40" s="876">
        <f t="shared" si="27"/>
        <v>3.2741130465036861</v>
      </c>
    </row>
    <row r="41" spans="1:66">
      <c r="A41" s="1073" t="s">
        <v>97</v>
      </c>
      <c r="B41" s="331" t="s">
        <v>48</v>
      </c>
      <c r="C41" s="363">
        <f>'ST Original'!X39</f>
        <v>91.633786719447059</v>
      </c>
      <c r="D41" s="896" t="e">
        <f>'ST Original'!#REF!</f>
        <v>#REF!</v>
      </c>
      <c r="E41" s="896" t="e">
        <f t="shared" si="28"/>
        <v>#REF!</v>
      </c>
      <c r="F41" s="1076" t="e">
        <f t="shared" si="29"/>
        <v>#REF!</v>
      </c>
      <c r="H41" s="1073" t="s">
        <v>97</v>
      </c>
      <c r="I41" s="331" t="s">
        <v>48</v>
      </c>
      <c r="J41" s="896">
        <f>C41</f>
        <v>91.633786719447059</v>
      </c>
      <c r="K41" s="896" t="e">
        <f>'ST Original'!#REF!</f>
        <v>#REF!</v>
      </c>
      <c r="L41" s="896" t="e">
        <f t="shared" si="30"/>
        <v>#REF!</v>
      </c>
      <c r="M41" s="1076" t="e">
        <f t="shared" si="31"/>
        <v>#REF!</v>
      </c>
      <c r="O41" s="1073" t="s">
        <v>97</v>
      </c>
      <c r="P41" s="331" t="s">
        <v>48</v>
      </c>
      <c r="Q41" s="896">
        <f>'R+P'!$T$47</f>
        <v>89.806766154820934</v>
      </c>
      <c r="R41" s="896">
        <f t="shared" si="32"/>
        <v>91.633786719447059</v>
      </c>
      <c r="S41" s="896">
        <f t="shared" si="33"/>
        <v>-1.8270205646261246</v>
      </c>
      <c r="T41" s="1075">
        <f t="shared" si="34"/>
        <v>-1.9938285102413907E-2</v>
      </c>
      <c r="V41" s="1073" t="s">
        <v>97</v>
      </c>
      <c r="W41" s="331" t="s">
        <v>48</v>
      </c>
      <c r="X41" s="896">
        <f>Real!S40</f>
        <v>89.313167038140008</v>
      </c>
      <c r="Y41" s="896">
        <f>'ST Original'!$FS$39</f>
        <v>92.043617348570208</v>
      </c>
      <c r="Z41" s="896">
        <f t="shared" si="35"/>
        <v>-2.7304503104302</v>
      </c>
      <c r="AA41" s="1075">
        <f t="shared" si="36"/>
        <v>-2.9664743619212119E-2</v>
      </c>
      <c r="AC41" s="877" t="s">
        <v>45</v>
      </c>
      <c r="AD41" s="933">
        <f>+AD43</f>
        <v>8494.5649703748313</v>
      </c>
      <c r="AE41" s="934">
        <f>+AE43</f>
        <v>92.324230243716514</v>
      </c>
      <c r="AF41" s="934">
        <f>+AF43</f>
        <v>0.5187562183850154</v>
      </c>
      <c r="AG41" s="935">
        <f>+AG38</f>
        <v>90.294153352101702</v>
      </c>
      <c r="AH41" s="876">
        <f t="shared" si="24"/>
        <v>9257.2144461703956</v>
      </c>
      <c r="AI41" s="876">
        <f>+AH41-AH40</f>
        <v>-297.88884849310307</v>
      </c>
      <c r="AK41" s="877" t="s">
        <v>51</v>
      </c>
      <c r="AL41" s="933">
        <f>+AL43</f>
        <v>8494.5649703748313</v>
      </c>
      <c r="AM41" s="934">
        <f>+AM43</f>
        <v>92.324230243716514</v>
      </c>
      <c r="AN41" s="934">
        <f>+AN43</f>
        <v>0.5187562183850154</v>
      </c>
      <c r="AO41" s="934">
        <f>+AO43</f>
        <v>90.397219242975567</v>
      </c>
      <c r="AP41" s="876">
        <f>+AP37</f>
        <v>-125.73241853960019</v>
      </c>
      <c r="AQ41" s="876">
        <f t="shared" si="21"/>
        <v>8826.9440811877193</v>
      </c>
      <c r="AR41" s="876">
        <f t="shared" si="22"/>
        <v>9267.7810556183449</v>
      </c>
      <c r="AS41" s="876">
        <f>+AQ41-AQ40</f>
        <v>10.207344726717565</v>
      </c>
      <c r="AV41" s="877" t="s">
        <v>31</v>
      </c>
      <c r="AW41" s="933">
        <f>+AW43</f>
        <v>8494.5649703748313</v>
      </c>
      <c r="AX41" s="934">
        <f>+AX43</f>
        <v>92.324230243716514</v>
      </c>
      <c r="AY41" s="951">
        <f>+AY43</f>
        <v>1.9288224256745205E-2</v>
      </c>
      <c r="AZ41" s="934">
        <f>+AZ43</f>
        <v>89.806766154820934</v>
      </c>
      <c r="BA41" s="935">
        <f>+BA40</f>
        <v>87.936294783268124</v>
      </c>
      <c r="BB41" s="876">
        <f t="shared" si="23"/>
        <v>28.670650525162795</v>
      </c>
      <c r="BC41" s="876">
        <f>+BB41-BB40</f>
        <v>-0.58327306898434017</v>
      </c>
      <c r="BE41" s="877" t="s">
        <v>31</v>
      </c>
      <c r="BF41" s="933">
        <f>+BF44</f>
        <v>8494.5649703748313</v>
      </c>
      <c r="BG41" s="934">
        <f>+BG44</f>
        <v>92.324230243716514</v>
      </c>
      <c r="BH41" s="953">
        <f>+BH44</f>
        <v>1.9288224256745205E-2</v>
      </c>
      <c r="BI41" s="934">
        <f>+BI44</f>
        <v>89.806766154820934</v>
      </c>
      <c r="BJ41" s="935">
        <f>+BJ40</f>
        <v>87.936294783268124</v>
      </c>
      <c r="BK41" s="876">
        <f>+BK37</f>
        <v>73.248003470508309</v>
      </c>
      <c r="BL41" s="876">
        <f t="shared" si="25"/>
        <v>101.77530074304529</v>
      </c>
      <c r="BM41" s="876">
        <f t="shared" si="26"/>
        <v>28.670650525162795</v>
      </c>
      <c r="BN41" s="876">
        <f t="shared" si="27"/>
        <v>-0.58035670363942415</v>
      </c>
    </row>
    <row r="42" spans="1:66">
      <c r="A42" s="1073" t="s">
        <v>98</v>
      </c>
      <c r="B42" s="331" t="s">
        <v>48</v>
      </c>
      <c r="C42" s="896">
        <f>'ST Original'!Y39</f>
        <v>87.936294783268124</v>
      </c>
      <c r="D42" s="896" t="e">
        <f>'ST Original'!#REF!</f>
        <v>#REF!</v>
      </c>
      <c r="E42" s="896" t="e">
        <f t="shared" si="28"/>
        <v>#REF!</v>
      </c>
      <c r="F42" s="1076" t="e">
        <f t="shared" si="29"/>
        <v>#REF!</v>
      </c>
      <c r="H42" s="1073" t="s">
        <v>98</v>
      </c>
      <c r="I42" s="331" t="s">
        <v>48</v>
      </c>
      <c r="J42" s="896">
        <f>C42</f>
        <v>87.936294783268124</v>
      </c>
      <c r="K42" s="896" t="e">
        <f>'ST Original'!#REF!</f>
        <v>#REF!</v>
      </c>
      <c r="L42" s="896" t="e">
        <f t="shared" si="30"/>
        <v>#REF!</v>
      </c>
      <c r="M42" s="1076" t="e">
        <f t="shared" si="31"/>
        <v>#REF!</v>
      </c>
      <c r="O42" s="1073" t="s">
        <v>98</v>
      </c>
      <c r="P42" s="331" t="s">
        <v>48</v>
      </c>
      <c r="Q42" s="896">
        <f>'R+P'!$U$47</f>
        <v>89.800032742192343</v>
      </c>
      <c r="R42" s="896">
        <f t="shared" si="32"/>
        <v>87.936294783268124</v>
      </c>
      <c r="S42" s="896">
        <f t="shared" si="33"/>
        <v>1.8637379589242187</v>
      </c>
      <c r="T42" s="1075">
        <f t="shared" si="34"/>
        <v>2.1194183397397783E-2</v>
      </c>
      <c r="V42" s="1073" t="s">
        <v>98</v>
      </c>
      <c r="W42" s="331" t="s">
        <v>48</v>
      </c>
      <c r="X42" s="896">
        <f>Real!T40</f>
        <v>90.883108840805434</v>
      </c>
      <c r="Y42" s="896">
        <f>'ST Original'!$FT$39</f>
        <v>87.824160700571653</v>
      </c>
      <c r="Z42" s="896">
        <f t="shared" si="35"/>
        <v>3.058948140233781</v>
      </c>
      <c r="AA42" s="1075">
        <f t="shared" si="36"/>
        <v>3.4830371458521324E-2</v>
      </c>
      <c r="AC42" s="877" t="s">
        <v>51</v>
      </c>
      <c r="AD42" s="933">
        <f>+AD43</f>
        <v>8494.5649703748313</v>
      </c>
      <c r="AE42" s="934">
        <f>+AE43</f>
        <v>92.324230243716514</v>
      </c>
      <c r="AF42" s="934">
        <f>+AF43</f>
        <v>0.5187562183850154</v>
      </c>
      <c r="AG42" s="934">
        <f>+AG43</f>
        <v>90.397219242975567</v>
      </c>
      <c r="AH42" s="876">
        <f t="shared" si="24"/>
        <v>9267.7810556183449</v>
      </c>
      <c r="AI42" s="876">
        <f>+AH42-AH41</f>
        <v>10.566609447949304</v>
      </c>
      <c r="AK42" s="877" t="s">
        <v>26</v>
      </c>
      <c r="AL42" s="933">
        <f>+AL41</f>
        <v>8494.5649703748313</v>
      </c>
      <c r="AM42" s="934">
        <f>+AM41</f>
        <v>92.324230243716514</v>
      </c>
      <c r="AN42" s="934">
        <f>+AN41</f>
        <v>0.5187562183850154</v>
      </c>
      <c r="AO42" s="934">
        <f>+AO41</f>
        <v>90.397219242975567</v>
      </c>
      <c r="AP42" s="876">
        <f>+Q4*1000*AQ35</f>
        <v>-26.019509126351004</v>
      </c>
      <c r="AQ42" s="876">
        <f t="shared" si="21"/>
        <v>8926.6569906009699</v>
      </c>
      <c r="AR42" s="876">
        <f t="shared" si="22"/>
        <v>9267.7810556183449</v>
      </c>
      <c r="AS42" s="876">
        <f>+AQ42-AQ41</f>
        <v>99.7129094132506</v>
      </c>
      <c r="AV42" s="877" t="s">
        <v>32</v>
      </c>
      <c r="AW42" s="945">
        <f>+AW41</f>
        <v>8494.5649703748313</v>
      </c>
      <c r="AX42" s="934">
        <f>+AX41</f>
        <v>92.324230243716514</v>
      </c>
      <c r="AY42" s="951">
        <f>+AY41</f>
        <v>1.9288224256745205E-2</v>
      </c>
      <c r="AZ42" s="934">
        <f>+AZ41</f>
        <v>89.806766154820934</v>
      </c>
      <c r="BA42" s="934">
        <f>+BA43</f>
        <v>89.800032742192343</v>
      </c>
      <c r="BB42" s="876">
        <f t="shared" si="23"/>
        <v>29.278301550515792</v>
      </c>
      <c r="BC42" s="876">
        <f>+BB42-BB41</f>
        <v>0.60765102535299675</v>
      </c>
      <c r="BE42" s="877" t="s">
        <v>32</v>
      </c>
      <c r="BF42" s="933">
        <f>+BF44</f>
        <v>8494.5649703748313</v>
      </c>
      <c r="BG42" s="934">
        <f>+BG44</f>
        <v>92.324230243716514</v>
      </c>
      <c r="BH42" s="953">
        <f>+BH44</f>
        <v>1.9288224256745205E-2</v>
      </c>
      <c r="BI42" s="934">
        <f>+BI44</f>
        <v>89.806766154820934</v>
      </c>
      <c r="BJ42" s="934">
        <f>+BJ44</f>
        <v>89.800032742192343</v>
      </c>
      <c r="BK42" s="876">
        <f>+BK37</f>
        <v>73.248003470508309</v>
      </c>
      <c r="BL42" s="876">
        <f t="shared" si="25"/>
        <v>102.37991351327152</v>
      </c>
      <c r="BM42" s="876">
        <f t="shared" si="26"/>
        <v>29.278301550515792</v>
      </c>
      <c r="BN42" s="876">
        <f t="shared" si="27"/>
        <v>0.60461277022622539</v>
      </c>
    </row>
    <row r="43" spans="1:66">
      <c r="A43" s="1073" t="s">
        <v>99</v>
      </c>
      <c r="B43" s="331" t="s">
        <v>100</v>
      </c>
      <c r="C43" s="1839">
        <f>'ST Original'!AC39</f>
        <v>1615.8935079268579</v>
      </c>
      <c r="D43" s="383" t="e">
        <f>'ST Original'!#REF!</f>
        <v>#REF!</v>
      </c>
      <c r="E43" s="383" t="e">
        <f t="shared" si="28"/>
        <v>#REF!</v>
      </c>
      <c r="F43" s="1076" t="e">
        <f t="shared" si="29"/>
        <v>#REF!</v>
      </c>
      <c r="H43" s="1073" t="s">
        <v>99</v>
      </c>
      <c r="I43" s="331" t="s">
        <v>100</v>
      </c>
      <c r="J43" s="219">
        <f>C43</f>
        <v>1615.8935079268579</v>
      </c>
      <c r="K43" s="383" t="e">
        <f>'ST Original'!#REF!</f>
        <v>#REF!</v>
      </c>
      <c r="L43" s="383" t="e">
        <f t="shared" si="30"/>
        <v>#REF!</v>
      </c>
      <c r="M43" s="1076" t="e">
        <f t="shared" si="31"/>
        <v>#REF!</v>
      </c>
      <c r="O43" s="1073" t="s">
        <v>99</v>
      </c>
      <c r="P43" s="331" t="s">
        <v>100</v>
      </c>
      <c r="Q43" s="383">
        <f>+'R+P'!$Y$47</f>
        <v>2526.0767397150457</v>
      </c>
      <c r="R43" s="383">
        <f t="shared" si="32"/>
        <v>1615.8935079268579</v>
      </c>
      <c r="S43" s="383">
        <f t="shared" si="33"/>
        <v>910.18323178818787</v>
      </c>
      <c r="T43" s="1075">
        <f t="shared" si="34"/>
        <v>0.56326931652564483</v>
      </c>
      <c r="V43" s="1073" t="s">
        <v>99</v>
      </c>
      <c r="W43" s="331" t="s">
        <v>100</v>
      </c>
      <c r="X43" s="383">
        <f>Real!W40</f>
        <v>1701.5102166617021</v>
      </c>
      <c r="Y43" s="383">
        <f>'ST Original'!$FW$39</f>
        <v>905.60737080575404</v>
      </c>
      <c r="Z43" s="903">
        <f t="shared" si="35"/>
        <v>795.90284585594804</v>
      </c>
      <c r="AA43" s="1075">
        <f t="shared" si="36"/>
        <v>0.87886083032628404</v>
      </c>
      <c r="AC43" s="878" t="s">
        <v>101</v>
      </c>
      <c r="AD43" s="933">
        <f>+Q29</f>
        <v>8494.5649703748313</v>
      </c>
      <c r="AE43" s="934">
        <f>+Q32</f>
        <v>92.324230243716514</v>
      </c>
      <c r="AF43" s="934">
        <f>+Q34</f>
        <v>0.5187562183850154</v>
      </c>
      <c r="AG43" s="934">
        <f>+Q35</f>
        <v>90.397219242975567</v>
      </c>
      <c r="AH43" s="876">
        <f t="shared" si="24"/>
        <v>9267.7810556183449</v>
      </c>
      <c r="AI43" s="876">
        <f>SUM(AI38:AI42)</f>
        <v>9267.7810556183449</v>
      </c>
      <c r="AK43" s="878" t="s">
        <v>101</v>
      </c>
      <c r="AL43" s="933">
        <f>+AD43</f>
        <v>8494.5649703748313</v>
      </c>
      <c r="AM43" s="934">
        <f>+AE43</f>
        <v>92.324230243716514</v>
      </c>
      <c r="AN43" s="934">
        <f>+AF43</f>
        <v>0.5187562183850154</v>
      </c>
      <c r="AO43" s="934">
        <f>+AG43</f>
        <v>90.397219242975567</v>
      </c>
      <c r="AP43" s="876">
        <f>+AP42</f>
        <v>-26.019509126351004</v>
      </c>
      <c r="AQ43" s="876">
        <f t="shared" si="21"/>
        <v>8926.6569906009699</v>
      </c>
      <c r="AR43" s="876">
        <f t="shared" si="22"/>
        <v>9267.7810556183449</v>
      </c>
      <c r="AS43" s="876">
        <f>SUM(AS37:AS42)</f>
        <v>8926.6569906009699</v>
      </c>
      <c r="AV43" s="878" t="s">
        <v>57</v>
      </c>
      <c r="AW43" s="933">
        <f>+AD43</f>
        <v>8494.5649703748313</v>
      </c>
      <c r="AX43" s="934">
        <f>+AE43</f>
        <v>92.324230243716514</v>
      </c>
      <c r="AY43" s="951">
        <f>+Q39/10000</f>
        <v>1.9288224256745205E-2</v>
      </c>
      <c r="AZ43" s="934">
        <f>+Q41</f>
        <v>89.806766154820934</v>
      </c>
      <c r="BA43" s="934">
        <f>+Q42</f>
        <v>89.800032742192343</v>
      </c>
      <c r="BB43" s="876">
        <f t="shared" si="23"/>
        <v>29.278301550515792</v>
      </c>
      <c r="BC43" s="876">
        <f>SUM(BC37:BC42)</f>
        <v>29.278301550515792</v>
      </c>
      <c r="BE43" s="877" t="s">
        <v>26</v>
      </c>
      <c r="BF43" s="933">
        <f>+BF44</f>
        <v>8494.5649703748313</v>
      </c>
      <c r="BG43" s="934">
        <f>+BG44</f>
        <v>92.324230243716514</v>
      </c>
      <c r="BH43" s="953">
        <f>+BH44</f>
        <v>1.9288224256745205E-2</v>
      </c>
      <c r="BI43" s="934">
        <f>+BI44</f>
        <v>89.806766154820934</v>
      </c>
      <c r="BJ43" s="934">
        <f>+BJ44</f>
        <v>89.800032742192343</v>
      </c>
      <c r="BK43" s="876">
        <f>+Q6*1000</f>
        <v>92.866387525936574</v>
      </c>
      <c r="BL43" s="876">
        <f t="shared" si="25"/>
        <v>121.99829756869978</v>
      </c>
      <c r="BM43" s="876">
        <f t="shared" si="26"/>
        <v>29.278301550515792</v>
      </c>
      <c r="BN43" s="876">
        <f t="shared" si="27"/>
        <v>19.618384055428265</v>
      </c>
    </row>
    <row r="44" spans="1:66">
      <c r="A44" s="1073" t="s">
        <v>102</v>
      </c>
      <c r="B44" s="331" t="s">
        <v>48</v>
      </c>
      <c r="C44" s="896">
        <f>'ST Original'!AA39</f>
        <v>50</v>
      </c>
      <c r="D44" s="896" t="e">
        <f>'ST Original'!#REF!</f>
        <v>#REF!</v>
      </c>
      <c r="E44" s="363" t="e">
        <f t="shared" si="28"/>
        <v>#REF!</v>
      </c>
      <c r="F44" s="1076" t="e">
        <f t="shared" si="29"/>
        <v>#REF!</v>
      </c>
      <c r="H44" s="1073" t="s">
        <v>102</v>
      </c>
      <c r="I44" s="331" t="s">
        <v>48</v>
      </c>
      <c r="J44" s="896">
        <f>'ST Original'!AA37</f>
        <v>50</v>
      </c>
      <c r="K44" s="896" t="e">
        <f>'ST Original'!#REF!</f>
        <v>#REF!</v>
      </c>
      <c r="L44" s="363" t="e">
        <f t="shared" si="30"/>
        <v>#REF!</v>
      </c>
      <c r="M44" s="1076" t="e">
        <f t="shared" si="31"/>
        <v>#REF!</v>
      </c>
      <c r="O44" s="1073" t="s">
        <v>102</v>
      </c>
      <c r="P44" s="331" t="s">
        <v>48</v>
      </c>
      <c r="Q44" s="896">
        <f>'R+P'!$W$47</f>
        <v>48.603537799049718</v>
      </c>
      <c r="R44" s="896">
        <f t="shared" si="32"/>
        <v>50</v>
      </c>
      <c r="S44" s="896">
        <f t="shared" si="33"/>
        <v>-1.3964622009502818</v>
      </c>
      <c r="T44" s="1075">
        <f t="shared" si="34"/>
        <v>-2.7929244019005636E-2</v>
      </c>
      <c r="V44" s="1073" t="s">
        <v>102</v>
      </c>
      <c r="W44" s="331" t="s">
        <v>48</v>
      </c>
      <c r="X44" s="896">
        <f>Real!V40</f>
        <v>29.112025404770353</v>
      </c>
      <c r="Y44" s="896">
        <f>C44</f>
        <v>50</v>
      </c>
      <c r="Z44" s="896">
        <f t="shared" si="35"/>
        <v>-20.887974595229647</v>
      </c>
      <c r="AA44" s="1076">
        <f t="shared" si="36"/>
        <v>-0.41775949190459294</v>
      </c>
      <c r="BE44" s="878" t="s">
        <v>57</v>
      </c>
      <c r="BF44" s="933">
        <f>+AD43</f>
        <v>8494.5649703748313</v>
      </c>
      <c r="BG44" s="944">
        <f>+AE43</f>
        <v>92.324230243716514</v>
      </c>
      <c r="BH44" s="954">
        <f>+Q39/10000</f>
        <v>1.9288224256745205E-2</v>
      </c>
      <c r="BI44" s="946">
        <f>+Q41</f>
        <v>89.806766154820934</v>
      </c>
      <c r="BJ44" s="934">
        <f>+Q42</f>
        <v>89.800032742192343</v>
      </c>
      <c r="BK44" s="876">
        <f>+BK43</f>
        <v>92.866387525936574</v>
      </c>
      <c r="BL44" s="876">
        <f t="shared" si="25"/>
        <v>121.99829756869978</v>
      </c>
      <c r="BM44" s="876">
        <f>+((BF44*24*BG44/100*$BE$36)*BH44*BI44*BJ44)/1000000</f>
        <v>29.278301550515792</v>
      </c>
      <c r="BN44" s="876">
        <f>SUM(BN37:BN43)</f>
        <v>121.99829756869978</v>
      </c>
    </row>
    <row r="45" spans="1:66">
      <c r="A45" s="1073"/>
      <c r="B45" s="331"/>
      <c r="C45" s="896"/>
      <c r="D45" s="896"/>
      <c r="E45" s="363"/>
      <c r="F45" s="1076"/>
      <c r="H45" s="1073"/>
      <c r="I45" s="331"/>
      <c r="J45" s="896"/>
      <c r="K45" s="896"/>
      <c r="L45" s="363"/>
      <c r="M45" s="1076"/>
      <c r="O45" s="1073"/>
      <c r="P45" s="331"/>
      <c r="Q45" s="896"/>
      <c r="R45" s="896"/>
      <c r="S45" s="363"/>
      <c r="T45" s="1093"/>
      <c r="V45" s="1073"/>
      <c r="X45" s="904"/>
      <c r="Y45" s="1495"/>
      <c r="Z45" s="896"/>
      <c r="AA45" s="1076"/>
    </row>
    <row r="46" spans="1:66">
      <c r="A46" s="1073" t="s">
        <v>103</v>
      </c>
      <c r="B46" s="331" t="s">
        <v>104</v>
      </c>
      <c r="C46" s="383">
        <f>'ST Original'!BI39</f>
        <v>27.44514654815184</v>
      </c>
      <c r="D46" s="383" t="e">
        <f>'ST Original'!#REF!</f>
        <v>#REF!</v>
      </c>
      <c r="E46" s="383" t="e">
        <f>+C46-D46</f>
        <v>#REF!</v>
      </c>
      <c r="F46" s="1076" t="e">
        <f>+E46/D46</f>
        <v>#REF!</v>
      </c>
      <c r="H46" s="1073" t="s">
        <v>105</v>
      </c>
      <c r="I46" s="331" t="s">
        <v>95</v>
      </c>
      <c r="J46" s="383" t="e">
        <f>'ST Original'!#REF!</f>
        <v>#REF!</v>
      </c>
      <c r="K46" s="383" t="e">
        <f>'ST Original'!#REF!</f>
        <v>#REF!</v>
      </c>
      <c r="L46" s="383" t="e">
        <f>+J46-K46</f>
        <v>#REF!</v>
      </c>
      <c r="M46" s="1076" t="e">
        <f>+L46/K46</f>
        <v>#REF!</v>
      </c>
      <c r="O46" s="1073" t="s">
        <v>103</v>
      </c>
      <c r="P46" s="331" t="s">
        <v>104</v>
      </c>
      <c r="Q46" s="383">
        <f>'R+P'!BA47</f>
        <v>20.726944183805845</v>
      </c>
      <c r="R46" s="383">
        <f>C46</f>
        <v>27.44514654815184</v>
      </c>
      <c r="S46" s="383">
        <f>+Q46-R46</f>
        <v>-6.7182023643459949</v>
      </c>
      <c r="T46" s="1075">
        <f>+S46/R46</f>
        <v>-0.244786536393933</v>
      </c>
      <c r="V46" s="1073" t="s">
        <v>103</v>
      </c>
      <c r="W46" s="331" t="s">
        <v>104</v>
      </c>
      <c r="X46" s="383">
        <f>Real!AE40</f>
        <v>18.100498246288893</v>
      </c>
      <c r="Y46" s="383">
        <f>'ST Original'!$GG$39</f>
        <v>28.042765104804531</v>
      </c>
      <c r="Z46" s="896">
        <f>+X46-Y46</f>
        <v>-9.9422668585156373</v>
      </c>
      <c r="AA46" s="1076">
        <f>+Z46/Y46</f>
        <v>-0.35453946218777982</v>
      </c>
    </row>
    <row r="47" spans="1:66">
      <c r="A47" s="1077" t="s">
        <v>106</v>
      </c>
      <c r="B47" s="1078" t="s">
        <v>104</v>
      </c>
      <c r="C47" s="941">
        <f>'ST Original'!BJ39</f>
        <v>1264.0913954643502</v>
      </c>
      <c r="D47" s="941" t="e">
        <f>'ST Original'!#REF!</f>
        <v>#REF!</v>
      </c>
      <c r="E47" s="941" t="e">
        <f>+C47-D47</f>
        <v>#REF!</v>
      </c>
      <c r="F47" s="1079" t="e">
        <f>+E47/D47</f>
        <v>#REF!</v>
      </c>
      <c r="H47" s="1077" t="s">
        <v>107</v>
      </c>
      <c r="I47" s="1078" t="s">
        <v>95</v>
      </c>
      <c r="J47" s="941" t="e">
        <f>'ST Original'!#REF!</f>
        <v>#REF!</v>
      </c>
      <c r="K47" s="941" t="e">
        <f>'ST Original'!#REF!</f>
        <v>#REF!</v>
      </c>
      <c r="L47" s="941" t="e">
        <f>+J47-K47</f>
        <v>#REF!</v>
      </c>
      <c r="M47" s="1079" t="e">
        <f>+L47/K47</f>
        <v>#REF!</v>
      </c>
      <c r="O47" s="1077" t="s">
        <v>106</v>
      </c>
      <c r="P47" s="1078" t="s">
        <v>104</v>
      </c>
      <c r="Q47" s="941">
        <f>'R+P'!BB47</f>
        <v>978.90255714948728</v>
      </c>
      <c r="R47" s="941">
        <f>C47</f>
        <v>1264.0913954643502</v>
      </c>
      <c r="S47" s="941">
        <f>+Q47-R47</f>
        <v>-285.18883831486289</v>
      </c>
      <c r="T47" s="1094">
        <f>+S47/R47</f>
        <v>-0.22560776802859409</v>
      </c>
      <c r="V47" s="1077" t="s">
        <v>106</v>
      </c>
      <c r="W47" s="1078" t="s">
        <v>104</v>
      </c>
      <c r="X47" s="941">
        <f>Real!AF40</f>
        <v>887.39033379184934</v>
      </c>
      <c r="Y47" s="383">
        <f>'ST Original'!$GH$39</f>
        <v>1261.9244297162038</v>
      </c>
      <c r="Z47" s="942">
        <f>+X47-Y47</f>
        <v>-374.53409592435446</v>
      </c>
      <c r="AA47" s="1079">
        <f>+Z47/Y47</f>
        <v>-0.29679597851084</v>
      </c>
    </row>
    <row r="48" spans="1:66">
      <c r="B48" s="331"/>
      <c r="C48" s="896"/>
      <c r="D48" s="896"/>
      <c r="E48" s="896"/>
      <c r="F48" s="905"/>
      <c r="I48" s="331"/>
      <c r="J48" s="896"/>
      <c r="K48" s="896"/>
      <c r="L48" s="896"/>
      <c r="M48" s="905"/>
      <c r="P48" s="331"/>
      <c r="Q48" s="896"/>
      <c r="R48" s="896"/>
      <c r="S48" s="896"/>
      <c r="T48" s="888"/>
      <c r="X48" s="904"/>
    </row>
    <row r="49" spans="1:51">
      <c r="R49" s="254"/>
    </row>
    <row r="50" spans="1:51" ht="14">
      <c r="A50" s="1089" t="s">
        <v>108</v>
      </c>
      <c r="B50" s="987"/>
      <c r="C50" s="987"/>
      <c r="D50" s="987"/>
      <c r="E50" s="987"/>
      <c r="F50" s="983"/>
      <c r="H50" s="1089" t="s">
        <v>109</v>
      </c>
      <c r="I50" s="987"/>
      <c r="J50" s="987"/>
      <c r="K50" s="987"/>
      <c r="L50" s="987"/>
      <c r="M50" s="983"/>
      <c r="O50" s="1099" t="s">
        <v>110</v>
      </c>
      <c r="P50" s="1100"/>
      <c r="Q50" s="1100"/>
      <c r="R50" s="1100"/>
      <c r="S50" s="1100"/>
      <c r="T50" s="984"/>
      <c r="V50" s="1089" t="s">
        <v>111</v>
      </c>
      <c r="W50" s="987"/>
      <c r="X50" s="987"/>
      <c r="Y50" s="987"/>
      <c r="Z50" s="987"/>
      <c r="AA50" s="983"/>
      <c r="AV50" s="885"/>
      <c r="AY50" s="282"/>
    </row>
    <row r="51" spans="1:51" ht="13">
      <c r="A51" s="1090" t="s">
        <v>42</v>
      </c>
      <c r="B51" s="893" t="e">
        <f>C2</f>
        <v>#REF!</v>
      </c>
      <c r="E51" s="4480" t="s">
        <v>43</v>
      </c>
      <c r="F51" s="4481"/>
      <c r="H51" s="1090" t="s">
        <v>42</v>
      </c>
      <c r="I51" s="893" t="e">
        <f>C2</f>
        <v>#REF!</v>
      </c>
      <c r="L51" s="4480" t="s">
        <v>43</v>
      </c>
      <c r="M51" s="4481"/>
      <c r="O51" s="1090" t="s">
        <v>42</v>
      </c>
      <c r="P51" s="894" t="e">
        <f>C2</f>
        <v>#REF!</v>
      </c>
      <c r="S51" s="4480" t="s">
        <v>43</v>
      </c>
      <c r="T51" s="4481"/>
      <c r="V51" s="1090" t="s">
        <v>42</v>
      </c>
      <c r="W51" s="893" t="e">
        <f>C2</f>
        <v>#REF!</v>
      </c>
      <c r="Z51" s="4480" t="s">
        <v>43</v>
      </c>
      <c r="AA51" s="4481"/>
    </row>
    <row r="52" spans="1:51">
      <c r="A52" s="1073"/>
      <c r="B52" s="331" t="s">
        <v>46</v>
      </c>
      <c r="C52" s="331" t="s">
        <v>112</v>
      </c>
      <c r="D52" s="331" t="s">
        <v>47</v>
      </c>
      <c r="E52" s="331" t="s">
        <v>10</v>
      </c>
      <c r="F52" s="1074" t="s">
        <v>48</v>
      </c>
      <c r="H52" s="1073"/>
      <c r="I52" s="331" t="s">
        <v>46</v>
      </c>
      <c r="J52" s="331" t="s">
        <v>112</v>
      </c>
      <c r="K52" s="331" t="s">
        <v>49</v>
      </c>
      <c r="L52" s="331" t="s">
        <v>10</v>
      </c>
      <c r="M52" s="1074" t="s">
        <v>48</v>
      </c>
      <c r="O52" s="1073"/>
      <c r="P52" s="331" t="s">
        <v>46</v>
      </c>
      <c r="Q52" s="331" t="s">
        <v>50</v>
      </c>
      <c r="R52" s="331" t="s">
        <v>47</v>
      </c>
      <c r="S52" s="331" t="s">
        <v>10</v>
      </c>
      <c r="T52" s="1074" t="s">
        <v>48</v>
      </c>
      <c r="V52" s="1073"/>
      <c r="W52" s="331" t="s">
        <v>46</v>
      </c>
      <c r="X52" s="331" t="s">
        <v>50</v>
      </c>
      <c r="Y52" s="331" t="s">
        <v>49</v>
      </c>
      <c r="Z52" s="331" t="s">
        <v>10</v>
      </c>
      <c r="AA52" s="1074" t="s">
        <v>48</v>
      </c>
      <c r="AV52" s="885"/>
      <c r="AY52" s="282"/>
    </row>
    <row r="53" spans="1:51" ht="13">
      <c r="A53" s="1083" t="s">
        <v>52</v>
      </c>
      <c r="B53" s="1084" t="s">
        <v>53</v>
      </c>
      <c r="C53" s="1085">
        <f>'Real+S.T.'!AD48/1000</f>
        <v>29.151257449116557</v>
      </c>
      <c r="D53" s="1085">
        <f>D11</f>
        <v>22.933613081531071</v>
      </c>
      <c r="E53" s="1085">
        <f t="shared" ref="E53:E58" si="37">+C53-D53</f>
        <v>6.2176443675854856</v>
      </c>
      <c r="F53" s="1086">
        <f t="shared" ref="F53:F58" si="38">+E53/D53</f>
        <v>0.2711149065557702</v>
      </c>
      <c r="H53" s="1083" t="s">
        <v>52</v>
      </c>
      <c r="I53" s="1084" t="s">
        <v>53</v>
      </c>
      <c r="J53" s="1085">
        <f>C53</f>
        <v>29.151257449116557</v>
      </c>
      <c r="K53" s="1085" t="e">
        <f>K11</f>
        <v>#REF!</v>
      </c>
      <c r="L53" s="1085" t="e">
        <f>+J53-K53</f>
        <v>#REF!</v>
      </c>
      <c r="M53" s="1086" t="e">
        <f>+L53/K53</f>
        <v>#REF!</v>
      </c>
      <c r="O53" s="1109" t="s">
        <v>52</v>
      </c>
      <c r="P53" s="1110" t="s">
        <v>53</v>
      </c>
      <c r="Q53" s="1111">
        <f>Q11</f>
        <v>29.993231941487949</v>
      </c>
      <c r="R53" s="1111">
        <f>D11</f>
        <v>22.933613081531071</v>
      </c>
      <c r="S53" s="1111">
        <f t="shared" ref="S53:S58" si="39">+Q53-R53</f>
        <v>7.0596188599568777</v>
      </c>
      <c r="T53" s="1112">
        <f t="shared" ref="T53:T58" si="40">+S53/R53</f>
        <v>0.30782846273979131</v>
      </c>
      <c r="V53" s="1135" t="s">
        <v>52</v>
      </c>
      <c r="W53" s="1136" t="s">
        <v>53</v>
      </c>
      <c r="X53" s="1137">
        <f>Q53</f>
        <v>29.993231941487949</v>
      </c>
      <c r="Y53" s="1137" t="e">
        <f>K53</f>
        <v>#REF!</v>
      </c>
      <c r="Z53" s="1138" t="e">
        <f t="shared" ref="Z53:Z58" si="41">+X53-Y53</f>
        <v>#REF!</v>
      </c>
      <c r="AA53" s="1139" t="e">
        <f t="shared" ref="AA53:AA58" si="42">+Z53/Y53</f>
        <v>#REF!</v>
      </c>
    </row>
    <row r="54" spans="1:51">
      <c r="A54" s="1073" t="s">
        <v>54</v>
      </c>
      <c r="B54" s="331" t="s">
        <v>53</v>
      </c>
      <c r="C54" s="896">
        <f>C57+C61*Factores!$D$9</f>
        <v>30.599952946174067</v>
      </c>
      <c r="D54" s="896">
        <f>D24</f>
        <v>0</v>
      </c>
      <c r="E54" s="363">
        <f t="shared" si="37"/>
        <v>30.599952946174067</v>
      </c>
      <c r="F54" s="1075" t="e">
        <f t="shared" si="38"/>
        <v>#DIV/0!</v>
      </c>
      <c r="H54" s="1073" t="s">
        <v>54</v>
      </c>
      <c r="I54" s="331" t="s">
        <v>53</v>
      </c>
      <c r="J54" s="896">
        <f t="shared" ref="J54:J63" si="43">C54</f>
        <v>30.599952946174067</v>
      </c>
      <c r="K54" s="896">
        <f>K24</f>
        <v>0</v>
      </c>
      <c r="L54" s="363">
        <f t="shared" ref="L54:L61" si="44">+J54-K54</f>
        <v>30.599952946174067</v>
      </c>
      <c r="M54" s="1075" t="e">
        <f t="shared" ref="M54:M63" si="45">+L54/K54</f>
        <v>#DIV/0!</v>
      </c>
      <c r="O54" s="1073" t="s">
        <v>55</v>
      </c>
      <c r="P54" s="331" t="s">
        <v>53</v>
      </c>
      <c r="Q54" s="896">
        <f>Q24</f>
        <v>194.43999739780713</v>
      </c>
      <c r="R54" s="896">
        <f>D24</f>
        <v>0</v>
      </c>
      <c r="S54" s="896">
        <f t="shared" si="39"/>
        <v>194.43999739780713</v>
      </c>
      <c r="T54" s="1075" t="e">
        <f t="shared" si="40"/>
        <v>#DIV/0!</v>
      </c>
      <c r="V54" s="1073" t="s">
        <v>55</v>
      </c>
      <c r="W54" s="331" t="s">
        <v>53</v>
      </c>
      <c r="X54" s="896">
        <f t="shared" ref="X54:X63" si="46">Q54</f>
        <v>194.43999739780713</v>
      </c>
      <c r="Y54" s="896">
        <f t="shared" ref="Y54:Y61" si="47">K54</f>
        <v>0</v>
      </c>
      <c r="Z54" s="896">
        <f t="shared" si="41"/>
        <v>194.43999739780713</v>
      </c>
      <c r="AA54" s="1075" t="e">
        <f t="shared" si="42"/>
        <v>#DIV/0!</v>
      </c>
    </row>
    <row r="55" spans="1:51">
      <c r="A55" s="1073" t="s">
        <v>58</v>
      </c>
      <c r="B55" s="331" t="s">
        <v>53</v>
      </c>
      <c r="C55" s="896">
        <f>C58+C62*Factores!$F$9</f>
        <v>30.599952946174067</v>
      </c>
      <c r="D55" s="896">
        <f>D58+D62*Factores!$F$9</f>
        <v>33.40619354187691</v>
      </c>
      <c r="E55" s="363">
        <f t="shared" si="37"/>
        <v>-2.8062405957028425</v>
      </c>
      <c r="F55" s="1075">
        <f t="shared" si="38"/>
        <v>-8.4003602271687475E-2</v>
      </c>
      <c r="H55" s="1073" t="s">
        <v>58</v>
      </c>
      <c r="I55" s="331" t="s">
        <v>53</v>
      </c>
      <c r="J55" s="896">
        <f>J58+J62*Factores!$F$9</f>
        <v>30.599952946174067</v>
      </c>
      <c r="K55" s="896" t="e">
        <f>K58+K62*Factores!$F$9</f>
        <v>#REF!</v>
      </c>
      <c r="L55" s="363" t="e">
        <f>+J55-K55</f>
        <v>#REF!</v>
      </c>
      <c r="M55" s="1075" t="e">
        <f>+L55/K55</f>
        <v>#REF!</v>
      </c>
      <c r="O55" s="1073" t="s">
        <v>58</v>
      </c>
      <c r="P55" s="331" t="s">
        <v>53</v>
      </c>
      <c r="Q55" s="896">
        <f>Q58+Q62*Factores!$F$9</f>
        <v>29.291621244280762</v>
      </c>
      <c r="R55" s="896">
        <f>R58+R62*Factores!$F$9</f>
        <v>33.40619354187691</v>
      </c>
      <c r="S55" s="896">
        <f t="shared" si="39"/>
        <v>-4.1145722975961476</v>
      </c>
      <c r="T55" s="1075">
        <f t="shared" si="40"/>
        <v>-0.12316794765731853</v>
      </c>
      <c r="V55" s="1073" t="s">
        <v>58</v>
      </c>
      <c r="W55" s="331" t="s">
        <v>53</v>
      </c>
      <c r="X55" s="896">
        <f>X58+X62*Factores!$F$9</f>
        <v>29.291621244280762</v>
      </c>
      <c r="Y55" s="896" t="e">
        <f>Y58+Y62*Factores!$F$9</f>
        <v>#REF!</v>
      </c>
      <c r="Z55" s="896" t="e">
        <f t="shared" si="41"/>
        <v>#REF!</v>
      </c>
      <c r="AA55" s="1075" t="e">
        <f t="shared" si="42"/>
        <v>#REF!</v>
      </c>
    </row>
    <row r="56" spans="1:51" ht="13">
      <c r="A56" s="1083" t="s">
        <v>59</v>
      </c>
      <c r="B56" s="1084" t="s">
        <v>53</v>
      </c>
      <c r="C56" s="1085">
        <f>'Real+S.T.'!O48/1000</f>
        <v>27.752622658830781</v>
      </c>
      <c r="D56" s="1085">
        <f>D14</f>
        <v>22.933613081531071</v>
      </c>
      <c r="E56" s="1085">
        <f t="shared" si="37"/>
        <v>4.8190095772997097</v>
      </c>
      <c r="F56" s="1086">
        <f t="shared" si="38"/>
        <v>0.21012866835102234</v>
      </c>
      <c r="H56" s="1083" t="s">
        <v>59</v>
      </c>
      <c r="I56" s="1084" t="s">
        <v>53</v>
      </c>
      <c r="J56" s="1085">
        <f t="shared" si="43"/>
        <v>27.752622658830781</v>
      </c>
      <c r="K56" s="1085" t="e">
        <f>K14</f>
        <v>#REF!</v>
      </c>
      <c r="L56" s="1085" t="e">
        <f t="shared" si="44"/>
        <v>#REF!</v>
      </c>
      <c r="M56" s="1086" t="e">
        <f t="shared" si="45"/>
        <v>#REF!</v>
      </c>
      <c r="O56" s="1109" t="s">
        <v>59</v>
      </c>
      <c r="P56" s="1110" t="s">
        <v>53</v>
      </c>
      <c r="Q56" s="1111">
        <f>Q14</f>
        <v>27.362020259444645</v>
      </c>
      <c r="R56" s="1111">
        <f>D14</f>
        <v>22.933613081531071</v>
      </c>
      <c r="S56" s="1111">
        <f>+Q56-R56</f>
        <v>4.4284071779135736</v>
      </c>
      <c r="T56" s="1112">
        <f t="shared" si="40"/>
        <v>0.19309679474272917</v>
      </c>
      <c r="V56" s="1135" t="s">
        <v>59</v>
      </c>
      <c r="W56" s="1136" t="s">
        <v>53</v>
      </c>
      <c r="X56" s="1137">
        <f t="shared" si="46"/>
        <v>27.362020259444645</v>
      </c>
      <c r="Y56" s="1137" t="e">
        <f t="shared" si="47"/>
        <v>#REF!</v>
      </c>
      <c r="Z56" s="1138" t="e">
        <f t="shared" si="41"/>
        <v>#REF!</v>
      </c>
      <c r="AA56" s="1139" t="e">
        <f t="shared" si="42"/>
        <v>#REF!</v>
      </c>
    </row>
    <row r="57" spans="1:51">
      <c r="A57" s="1073" t="s">
        <v>60</v>
      </c>
      <c r="B57" s="331" t="s">
        <v>53</v>
      </c>
      <c r="C57" s="896">
        <f>'Real+S.T.'!AI39/1000*Factores!$D$7</f>
        <v>27.714023763390479</v>
      </c>
      <c r="D57" s="896">
        <f>D15</f>
        <v>31.316638511727174</v>
      </c>
      <c r="E57" s="363">
        <f t="shared" si="37"/>
        <v>-3.6026147483366948</v>
      </c>
      <c r="F57" s="1075">
        <f t="shared" si="38"/>
        <v>-0.11503836042261113</v>
      </c>
      <c r="H57" s="1073" t="s">
        <v>60</v>
      </c>
      <c r="I57" s="331" t="s">
        <v>53</v>
      </c>
      <c r="J57" s="896">
        <f t="shared" si="43"/>
        <v>27.714023763390479</v>
      </c>
      <c r="K57" s="896" t="e">
        <f>K15</f>
        <v>#REF!</v>
      </c>
      <c r="L57" s="363" t="e">
        <f t="shared" si="44"/>
        <v>#REF!</v>
      </c>
      <c r="M57" s="1075" t="e">
        <f t="shared" si="45"/>
        <v>#REF!</v>
      </c>
      <c r="O57" s="1073" t="s">
        <v>61</v>
      </c>
      <c r="P57" s="331" t="s">
        <v>53</v>
      </c>
      <c r="Q57" s="724">
        <f>Q15</f>
        <v>26.405692061497174</v>
      </c>
      <c r="R57" s="896">
        <f>D15</f>
        <v>31.316638511727174</v>
      </c>
      <c r="S57" s="896">
        <f>+Q57-R57</f>
        <v>-4.91094645023</v>
      </c>
      <c r="T57" s="1075">
        <f t="shared" si="40"/>
        <v>-0.15681588713268166</v>
      </c>
      <c r="V57" s="1073" t="s">
        <v>61</v>
      </c>
      <c r="W57" s="331" t="s">
        <v>53</v>
      </c>
      <c r="X57" s="896">
        <f t="shared" si="46"/>
        <v>26.405692061497174</v>
      </c>
      <c r="Y57" s="896" t="e">
        <f t="shared" si="47"/>
        <v>#REF!</v>
      </c>
      <c r="Z57" s="896" t="e">
        <f t="shared" si="41"/>
        <v>#REF!</v>
      </c>
      <c r="AA57" s="1075" t="e">
        <f t="shared" si="42"/>
        <v>#REF!</v>
      </c>
    </row>
    <row r="58" spans="1:51">
      <c r="A58" s="1073" t="s">
        <v>63</v>
      </c>
      <c r="B58" s="331" t="s">
        <v>53</v>
      </c>
      <c r="C58" s="896">
        <f>C57/Factores!$D$7*Factores!$F$7</f>
        <v>27.714023763390479</v>
      </c>
      <c r="D58" s="896">
        <f>D57/Factores!$D$7*Factores!$F$7</f>
        <v>31.316638511727174</v>
      </c>
      <c r="E58" s="363">
        <f t="shared" si="37"/>
        <v>-3.6026147483366948</v>
      </c>
      <c r="F58" s="1075">
        <f t="shared" si="38"/>
        <v>-0.11503836042261113</v>
      </c>
      <c r="H58" s="1073" t="s">
        <v>63</v>
      </c>
      <c r="I58" s="331" t="s">
        <v>53</v>
      </c>
      <c r="J58" s="896">
        <f>J57/Factores!$D$7*Factores!$F$7</f>
        <v>27.714023763390479</v>
      </c>
      <c r="K58" s="896" t="e">
        <f>K57/Factores!$D$7*Factores!$F$7</f>
        <v>#REF!</v>
      </c>
      <c r="L58" s="363" t="e">
        <f>+J58-K58</f>
        <v>#REF!</v>
      </c>
      <c r="M58" s="1075" t="e">
        <f>+L58/K58</f>
        <v>#REF!</v>
      </c>
      <c r="O58" s="1073" t="s">
        <v>63</v>
      </c>
      <c r="P58" s="331" t="s">
        <v>53</v>
      </c>
      <c r="Q58" s="724">
        <f>Q57/Factores!$D$7*Factores!$F$7</f>
        <v>26.405692061497174</v>
      </c>
      <c r="R58" s="896">
        <f>R57/Factores!$D$7*Factores!$F$7</f>
        <v>31.316638511727174</v>
      </c>
      <c r="S58" s="896">
        <f t="shared" si="39"/>
        <v>-4.91094645023</v>
      </c>
      <c r="T58" s="1075">
        <f t="shared" si="40"/>
        <v>-0.15681588713268166</v>
      </c>
      <c r="V58" s="1073" t="s">
        <v>63</v>
      </c>
      <c r="W58" s="331" t="s">
        <v>53</v>
      </c>
      <c r="X58" s="896">
        <f>X57/Factores!$D$7*Factores!$F$7</f>
        <v>26.405692061497174</v>
      </c>
      <c r="Y58" s="896" t="e">
        <f>Y57/Factores!$D$7*Factores!$F$7</f>
        <v>#REF!</v>
      </c>
      <c r="Z58" s="896" t="e">
        <f t="shared" si="41"/>
        <v>#REF!</v>
      </c>
      <c r="AA58" s="1075" t="e">
        <f t="shared" si="42"/>
        <v>#REF!</v>
      </c>
    </row>
    <row r="59" spans="1:51" ht="12.75" hidden="1" customHeight="1">
      <c r="A59" s="1073" t="s">
        <v>65</v>
      </c>
      <c r="B59" s="331" t="s">
        <v>53</v>
      </c>
      <c r="C59" s="896">
        <f>C56-C57/Factores!D7</f>
        <v>-1.0561338519701344</v>
      </c>
      <c r="D59" s="896"/>
      <c r="E59" s="363"/>
      <c r="F59" s="1075"/>
      <c r="H59" s="1073" t="s">
        <v>65</v>
      </c>
      <c r="I59" s="331" t="s">
        <v>53</v>
      </c>
      <c r="J59" s="896">
        <f t="shared" si="43"/>
        <v>-1.0561338519701344</v>
      </c>
      <c r="K59" s="896"/>
      <c r="L59" s="363"/>
      <c r="M59" s="1075" t="e">
        <f t="shared" si="45"/>
        <v>#DIV/0!</v>
      </c>
      <c r="O59" s="1073" t="s">
        <v>65</v>
      </c>
      <c r="P59" s="331" t="s">
        <v>53</v>
      </c>
      <c r="Q59" s="896">
        <f>Q17</f>
        <v>-8.6724087226013324E-2</v>
      </c>
      <c r="R59" s="896"/>
      <c r="S59" s="363"/>
      <c r="T59" s="1075"/>
      <c r="V59" s="1073" t="s">
        <v>65</v>
      </c>
      <c r="W59" s="331" t="s">
        <v>53</v>
      </c>
      <c r="X59" s="896">
        <f t="shared" si="46"/>
        <v>-8.6724087226013324E-2</v>
      </c>
      <c r="Y59" s="896"/>
      <c r="Z59" s="896"/>
      <c r="AA59" s="1075"/>
    </row>
    <row r="60" spans="1:51" ht="13">
      <c r="A60" s="1083" t="s">
        <v>66</v>
      </c>
      <c r="B60" s="1084" t="s">
        <v>53</v>
      </c>
      <c r="C60" s="1085">
        <f>'Real+S.T.'!X39/1000</f>
        <v>0.85048715509986972</v>
      </c>
      <c r="D60" s="1085">
        <f>D18</f>
        <v>0.49377313963876424</v>
      </c>
      <c r="E60" s="1085">
        <f>+C60-D60</f>
        <v>0.35671401546110548</v>
      </c>
      <c r="F60" s="1086">
        <f>+E60/D60</f>
        <v>0.72242490898162504</v>
      </c>
      <c r="H60" s="1083" t="s">
        <v>66</v>
      </c>
      <c r="I60" s="1084" t="s">
        <v>53</v>
      </c>
      <c r="J60" s="1085">
        <f t="shared" si="43"/>
        <v>0.85048715509986972</v>
      </c>
      <c r="K60" s="1085" t="e">
        <f>K18</f>
        <v>#REF!</v>
      </c>
      <c r="L60" s="1085" t="e">
        <f t="shared" si="44"/>
        <v>#REF!</v>
      </c>
      <c r="M60" s="1086" t="e">
        <f t="shared" si="45"/>
        <v>#REF!</v>
      </c>
      <c r="O60" s="1109" t="s">
        <v>66</v>
      </c>
      <c r="P60" s="1110" t="s">
        <v>53</v>
      </c>
      <c r="Q60" s="1113">
        <f>Q18</f>
        <v>0.90762734806598955</v>
      </c>
      <c r="R60" s="1113">
        <f>D18</f>
        <v>0.49377313963876424</v>
      </c>
      <c r="S60" s="1113">
        <f>+Q60-R60</f>
        <v>0.41385420842722531</v>
      </c>
      <c r="T60" s="1112">
        <f>+S60/R60</f>
        <v>0.83814645877658267</v>
      </c>
      <c r="V60" s="1135" t="s">
        <v>66</v>
      </c>
      <c r="W60" s="1136" t="s">
        <v>53</v>
      </c>
      <c r="X60" s="1140">
        <f t="shared" si="46"/>
        <v>0.90762734806598955</v>
      </c>
      <c r="Y60" s="1140" t="e">
        <f t="shared" si="47"/>
        <v>#REF!</v>
      </c>
      <c r="Z60" s="1141" t="e">
        <f>+X60-Y60</f>
        <v>#REF!</v>
      </c>
      <c r="AA60" s="1139" t="e">
        <f>+Z60/Y60</f>
        <v>#REF!</v>
      </c>
    </row>
    <row r="61" spans="1:51">
      <c r="A61" s="1073" t="s">
        <v>67</v>
      </c>
      <c r="B61" s="331" t="s">
        <v>53</v>
      </c>
      <c r="C61" s="363">
        <f>+'Real+S.T.'!Z39/1000*Factores!$D$8</f>
        <v>0.9954912669139665</v>
      </c>
      <c r="D61" s="363">
        <f>D19</f>
        <v>0.72078476376327538</v>
      </c>
      <c r="E61" s="363">
        <f>+C61-D61</f>
        <v>0.27470650315069112</v>
      </c>
      <c r="F61" s="1075">
        <f>+E61/D61</f>
        <v>0.38112140677950279</v>
      </c>
      <c r="H61" s="1073" t="s">
        <v>67</v>
      </c>
      <c r="I61" s="331" t="s">
        <v>53</v>
      </c>
      <c r="J61" s="363">
        <f t="shared" si="43"/>
        <v>0.9954912669139665</v>
      </c>
      <c r="K61" s="363" t="e">
        <f>K19</f>
        <v>#REF!</v>
      </c>
      <c r="L61" s="363" t="e">
        <f t="shared" si="44"/>
        <v>#REF!</v>
      </c>
      <c r="M61" s="1075" t="e">
        <f t="shared" si="45"/>
        <v>#REF!</v>
      </c>
      <c r="O61" s="1073" t="s">
        <v>68</v>
      </c>
      <c r="P61" s="331" t="s">
        <v>53</v>
      </c>
      <c r="Q61" s="363">
        <f>Q19</f>
        <v>0.9954912669139665</v>
      </c>
      <c r="R61" s="363">
        <f>D19</f>
        <v>0.72078476376327538</v>
      </c>
      <c r="S61" s="363">
        <f>+Q61-R61</f>
        <v>0.27470650315069112</v>
      </c>
      <c r="T61" s="1075">
        <f>+S61/R61</f>
        <v>0.38112140677950279</v>
      </c>
      <c r="V61" s="1073" t="s">
        <v>68</v>
      </c>
      <c r="W61" s="331" t="s">
        <v>53</v>
      </c>
      <c r="X61" s="363">
        <f t="shared" si="46"/>
        <v>0.9954912669139665</v>
      </c>
      <c r="Y61" s="363" t="e">
        <f t="shared" si="47"/>
        <v>#REF!</v>
      </c>
      <c r="Z61" s="363" t="e">
        <f>+X61-Y61</f>
        <v>#REF!</v>
      </c>
      <c r="AA61" s="1075" t="e">
        <f>+Z61/Y61</f>
        <v>#REF!</v>
      </c>
    </row>
    <row r="62" spans="1:51">
      <c r="A62" s="1073" t="s">
        <v>69</v>
      </c>
      <c r="B62" s="331" t="s">
        <v>53</v>
      </c>
      <c r="C62" s="363">
        <f>C61/Factores!$D$8*Factores!$F$8</f>
        <v>0.9954912669139665</v>
      </c>
      <c r="D62" s="363">
        <f>D61/Factores!$D$8*Factores!$F$8</f>
        <v>0.72078476376327538</v>
      </c>
      <c r="E62" s="363">
        <f>+C62-D62</f>
        <v>0.27470650315069112</v>
      </c>
      <c r="F62" s="1075">
        <f>+E62/D62</f>
        <v>0.38112140677950279</v>
      </c>
      <c r="H62" s="1073" t="s">
        <v>69</v>
      </c>
      <c r="I62" s="331" t="s">
        <v>53</v>
      </c>
      <c r="J62" s="363">
        <f>J61/Factores!$D$8*Factores!$F$8</f>
        <v>0.9954912669139665</v>
      </c>
      <c r="K62" s="363" t="e">
        <f>K61/Factores!$D$8*Factores!$F$8</f>
        <v>#REF!</v>
      </c>
      <c r="L62" s="363" t="e">
        <f>+J62-K62</f>
        <v>#REF!</v>
      </c>
      <c r="M62" s="1075" t="e">
        <f>+L62/K62</f>
        <v>#REF!</v>
      </c>
      <c r="O62" s="1073" t="s">
        <v>69</v>
      </c>
      <c r="P62" s="331" t="s">
        <v>53</v>
      </c>
      <c r="Q62" s="363">
        <f>Q61/Factores!$D$8*Factores!$F$8</f>
        <v>0.9954912669139665</v>
      </c>
      <c r="R62" s="363">
        <f>R61/Factores!$D$8*Factores!$F$8</f>
        <v>0.72078476376327538</v>
      </c>
      <c r="S62" s="363">
        <f>+Q62-R62</f>
        <v>0.27470650315069112</v>
      </c>
      <c r="T62" s="1075">
        <f>+S62/R62</f>
        <v>0.38112140677950279</v>
      </c>
      <c r="V62" s="1073" t="s">
        <v>69</v>
      </c>
      <c r="W62" s="331" t="s">
        <v>53</v>
      </c>
      <c r="X62" s="363">
        <f>X61/Factores!$D$8*Factores!$F$8</f>
        <v>0.9954912669139665</v>
      </c>
      <c r="Y62" s="363" t="e">
        <f>Y61/Factores!$D$8*Factores!$F$8</f>
        <v>#REF!</v>
      </c>
      <c r="Z62" s="363" t="e">
        <f>+X62-Y62</f>
        <v>#REF!</v>
      </c>
      <c r="AA62" s="1075" t="e">
        <f>+Z62/Y62</f>
        <v>#REF!</v>
      </c>
      <c r="AC62">
        <f>'TP sin BM'!D2</f>
        <v>16.5</v>
      </c>
    </row>
    <row r="63" spans="1:51" ht="12.75" hidden="1" customHeight="1">
      <c r="A63" s="1073" t="s">
        <v>70</v>
      </c>
      <c r="B63" s="331" t="s">
        <v>53</v>
      </c>
      <c r="C63" s="363">
        <f>C60-C61/Factores!D8</f>
        <v>-0.1500065804920564</v>
      </c>
      <c r="D63" s="363"/>
      <c r="E63" s="363"/>
      <c r="F63" s="1075"/>
      <c r="H63" s="1073" t="s">
        <v>70</v>
      </c>
      <c r="I63" s="331" t="s">
        <v>53</v>
      </c>
      <c r="J63" s="363">
        <f t="shared" si="43"/>
        <v>-0.1500065804920564</v>
      </c>
      <c r="K63" s="363"/>
      <c r="L63" s="363"/>
      <c r="M63" s="1075" t="e">
        <f t="shared" si="45"/>
        <v>#DIV/0!</v>
      </c>
      <c r="O63" s="1073" t="s">
        <v>70</v>
      </c>
      <c r="P63" s="331" t="s">
        <v>53</v>
      </c>
      <c r="Q63" s="363">
        <f>Q21</f>
        <v>-9.2866387525936567E-2</v>
      </c>
      <c r="R63" s="363"/>
      <c r="S63" s="363"/>
      <c r="T63" s="1075"/>
      <c r="V63" s="1073" t="s">
        <v>70</v>
      </c>
      <c r="W63" s="331" t="s">
        <v>53</v>
      </c>
      <c r="X63" s="363">
        <f t="shared" si="46"/>
        <v>-9.2866387525936567E-2</v>
      </c>
      <c r="Y63" s="896"/>
      <c r="Z63" s="363"/>
      <c r="AA63" s="1075"/>
    </row>
    <row r="64" spans="1:51" ht="13">
      <c r="A64" s="1073"/>
      <c r="B64" s="331"/>
      <c r="C64" s="363"/>
      <c r="D64" s="363"/>
      <c r="E64" s="363"/>
      <c r="F64" s="1075"/>
      <c r="H64" s="1073"/>
      <c r="I64" s="331"/>
      <c r="J64" s="363"/>
      <c r="K64" s="363"/>
      <c r="L64" s="363"/>
      <c r="M64" s="1075"/>
      <c r="O64" s="1073"/>
      <c r="P64" s="331"/>
      <c r="Q64" s="363"/>
      <c r="R64" s="363"/>
      <c r="S64" s="898"/>
      <c r="T64" s="1092"/>
      <c r="V64" s="1073"/>
      <c r="W64" s="331"/>
      <c r="X64" s="363"/>
      <c r="Y64" s="896"/>
      <c r="Z64" s="363"/>
      <c r="AA64" s="1075"/>
      <c r="AC64" s="4477" t="s">
        <v>18</v>
      </c>
      <c r="AD64" s="4478"/>
      <c r="AE64" s="4478"/>
      <c r="AF64" s="4478"/>
      <c r="AG64" s="4478"/>
      <c r="AH64" s="4479"/>
      <c r="AJ64" s="4477" t="s">
        <v>113</v>
      </c>
      <c r="AK64" s="4478"/>
      <c r="AL64" s="4478"/>
      <c r="AM64" s="4478"/>
      <c r="AN64" s="4478"/>
      <c r="AO64" s="4479"/>
    </row>
    <row r="65" spans="1:41">
      <c r="A65" s="1091" t="s">
        <v>76</v>
      </c>
      <c r="B65" s="897" t="s">
        <v>77</v>
      </c>
      <c r="C65" s="219" t="e">
        <f>'Real+S.T.'!CP48</f>
        <v>#REF!</v>
      </c>
      <c r="D65" s="219" t="e">
        <f>D26</f>
        <v>#REF!</v>
      </c>
      <c r="E65" s="383" t="e">
        <f t="shared" ref="E65:E70" si="48">+C65-D65</f>
        <v>#REF!</v>
      </c>
      <c r="F65" s="1076" t="e">
        <f t="shared" ref="F65:F70" si="49">+E65/D65</f>
        <v>#REF!</v>
      </c>
      <c r="H65" s="1091" t="s">
        <v>76</v>
      </c>
      <c r="I65" s="897" t="s">
        <v>53</v>
      </c>
      <c r="J65" s="219" t="e">
        <f t="shared" ref="J65:J70" si="50">C65</f>
        <v>#REF!</v>
      </c>
      <c r="K65" s="219" t="e">
        <f>K26</f>
        <v>#REF!</v>
      </c>
      <c r="L65" s="383" t="e">
        <f t="shared" ref="L65:L70" si="51">+J65-K65</f>
        <v>#REF!</v>
      </c>
      <c r="M65" s="1076" t="e">
        <f t="shared" ref="M65:M70" si="52">+L65/K65</f>
        <v>#REF!</v>
      </c>
      <c r="O65" s="1073" t="s">
        <v>76</v>
      </c>
      <c r="P65" s="331" t="s">
        <v>77</v>
      </c>
      <c r="Q65" s="383" t="e">
        <f>Q26</f>
        <v>#REF!</v>
      </c>
      <c r="R65" s="219" t="e">
        <f t="shared" ref="R65:R70" si="53">D65</f>
        <v>#REF!</v>
      </c>
      <c r="S65" s="383" t="e">
        <f t="shared" ref="S65:S70" si="54">+Q65-R65</f>
        <v>#REF!</v>
      </c>
      <c r="T65" s="1075" t="e">
        <f t="shared" ref="T65:T70" si="55">+S65/R65</f>
        <v>#REF!</v>
      </c>
      <c r="V65" s="1073" t="s">
        <v>76</v>
      </c>
      <c r="W65" s="331" t="s">
        <v>77</v>
      </c>
      <c r="X65" s="383" t="e">
        <f t="shared" ref="X65:X70" si="56">Q65</f>
        <v>#REF!</v>
      </c>
      <c r="Y65" s="219" t="e">
        <f t="shared" ref="Y65:Y70" si="57">K65</f>
        <v>#REF!</v>
      </c>
      <c r="Z65" s="383" t="e">
        <f t="shared" ref="Z65:Z70" si="58">+X65-Y65</f>
        <v>#REF!</v>
      </c>
      <c r="AA65" s="1075" t="e">
        <f t="shared" ref="AA65:AA70" si="59">+Z65/Y65</f>
        <v>#REF!</v>
      </c>
      <c r="AJ65" t="s">
        <v>114</v>
      </c>
    </row>
    <row r="66" spans="1:41" ht="13.5" thickBot="1">
      <c r="A66" s="1073" t="s">
        <v>78</v>
      </c>
      <c r="B66" s="331" t="s">
        <v>53</v>
      </c>
      <c r="C66" s="383">
        <f>'Real+S.T.'!F48</f>
        <v>5842.4354720501005</v>
      </c>
      <c r="D66" s="896" t="e">
        <f>D27</f>
        <v>#REF!</v>
      </c>
      <c r="E66" s="383" t="e">
        <f t="shared" si="48"/>
        <v>#REF!</v>
      </c>
      <c r="F66" s="1076" t="e">
        <f t="shared" si="49"/>
        <v>#REF!</v>
      </c>
      <c r="H66" s="1073" t="s">
        <v>78</v>
      </c>
      <c r="I66" s="331" t="s">
        <v>53</v>
      </c>
      <c r="J66" s="383">
        <f t="shared" si="50"/>
        <v>5842.4354720501005</v>
      </c>
      <c r="K66" s="896" t="e">
        <f>K27</f>
        <v>#REF!</v>
      </c>
      <c r="L66" s="383" t="e">
        <f t="shared" si="51"/>
        <v>#REF!</v>
      </c>
      <c r="M66" s="1076" t="e">
        <f t="shared" si="52"/>
        <v>#REF!</v>
      </c>
      <c r="O66" s="1073" t="s">
        <v>78</v>
      </c>
      <c r="P66" s="331" t="s">
        <v>53</v>
      </c>
      <c r="Q66" s="383">
        <f>Q27</f>
        <v>5834.8510407595058</v>
      </c>
      <c r="R66" s="383" t="e">
        <f t="shared" si="53"/>
        <v>#REF!</v>
      </c>
      <c r="S66" s="383" t="e">
        <f t="shared" si="54"/>
        <v>#REF!</v>
      </c>
      <c r="T66" s="1075" t="e">
        <f t="shared" si="55"/>
        <v>#REF!</v>
      </c>
      <c r="V66" s="1073" t="s">
        <v>78</v>
      </c>
      <c r="W66" s="331" t="s">
        <v>53</v>
      </c>
      <c r="X66" s="383">
        <f t="shared" si="56"/>
        <v>5834.8510407595058</v>
      </c>
      <c r="Y66" s="383" t="e">
        <f t="shared" si="57"/>
        <v>#REF!</v>
      </c>
      <c r="Z66" s="383" t="e">
        <f t="shared" si="58"/>
        <v>#REF!</v>
      </c>
      <c r="AA66" s="1075" t="e">
        <f t="shared" si="59"/>
        <v>#REF!</v>
      </c>
      <c r="AC66" s="940"/>
      <c r="AD66" s="940"/>
      <c r="AE66" s="937" t="s">
        <v>11</v>
      </c>
      <c r="AF66" s="937" t="s">
        <v>9</v>
      </c>
      <c r="AG66" s="937" t="s">
        <v>115</v>
      </c>
      <c r="AH66" s="937" t="s">
        <v>116</v>
      </c>
      <c r="AJ66" s="940"/>
      <c r="AK66" s="940"/>
      <c r="AL66" s="937" t="s">
        <v>11</v>
      </c>
      <c r="AM66" s="937" t="s">
        <v>117</v>
      </c>
      <c r="AN66" s="937" t="s">
        <v>115</v>
      </c>
      <c r="AO66" s="937" t="s">
        <v>116</v>
      </c>
    </row>
    <row r="67" spans="1:41" ht="12.75" hidden="1" customHeight="1">
      <c r="A67" s="1073" t="s">
        <v>79</v>
      </c>
      <c r="B67" s="331" t="s">
        <v>75</v>
      </c>
      <c r="C67" s="896">
        <f>C66/COUNT('Real+S.T.'!B8:B38)</f>
        <v>188.46566038871293</v>
      </c>
      <c r="D67" s="896" t="e">
        <f>D28</f>
        <v>#REF!</v>
      </c>
      <c r="E67" s="896" t="e">
        <f t="shared" si="48"/>
        <v>#REF!</v>
      </c>
      <c r="F67" s="1076" t="e">
        <f t="shared" si="49"/>
        <v>#REF!</v>
      </c>
      <c r="H67" s="1073" t="s">
        <v>79</v>
      </c>
      <c r="I67" s="331" t="s">
        <v>75</v>
      </c>
      <c r="J67" s="896">
        <f t="shared" si="50"/>
        <v>188.46566038871293</v>
      </c>
      <c r="K67" s="896" t="e">
        <f>K28</f>
        <v>#REF!</v>
      </c>
      <c r="L67" s="896" t="e">
        <f t="shared" si="51"/>
        <v>#REF!</v>
      </c>
      <c r="M67" s="1076" t="e">
        <f t="shared" si="52"/>
        <v>#REF!</v>
      </c>
      <c r="O67" s="1073" t="s">
        <v>79</v>
      </c>
      <c r="P67" s="331" t="s">
        <v>75</v>
      </c>
      <c r="Q67" s="896">
        <f>Q28</f>
        <v>188.22100131482276</v>
      </c>
      <c r="R67" s="896" t="e">
        <f t="shared" si="53"/>
        <v>#REF!</v>
      </c>
      <c r="S67" s="383" t="e">
        <f t="shared" si="54"/>
        <v>#REF!</v>
      </c>
      <c r="T67" s="1075" t="e">
        <f t="shared" si="55"/>
        <v>#REF!</v>
      </c>
      <c r="V67" s="1073" t="s">
        <v>79</v>
      </c>
      <c r="W67" s="331" t="s">
        <v>75</v>
      </c>
      <c r="X67" s="896">
        <f t="shared" si="56"/>
        <v>188.22100131482276</v>
      </c>
      <c r="Y67" s="896" t="e">
        <f t="shared" si="57"/>
        <v>#REF!</v>
      </c>
      <c r="Z67" s="896" t="e">
        <f t="shared" si="58"/>
        <v>#REF!</v>
      </c>
      <c r="AA67" s="1075" t="e">
        <f t="shared" si="59"/>
        <v>#REF!</v>
      </c>
      <c r="AC67" s="881" t="s">
        <v>118</v>
      </c>
      <c r="AD67" s="383" t="s">
        <v>119</v>
      </c>
      <c r="AE67" s="383">
        <f>Real!AW40/1000</f>
        <v>7028.6855221354172</v>
      </c>
      <c r="AF67" s="383" t="e">
        <f>Real!#REF!/1000</f>
        <v>#REF!</v>
      </c>
      <c r="AG67" s="882" t="e">
        <f>+AE67-AF67</f>
        <v>#REF!</v>
      </c>
      <c r="AH67" s="883" t="e">
        <f>+(AE67-AF67)/AF67</f>
        <v>#REF!</v>
      </c>
      <c r="AJ67" s="881" t="s">
        <v>118</v>
      </c>
      <c r="AK67" s="383" t="s">
        <v>119</v>
      </c>
      <c r="AL67" s="383" t="e">
        <f>'R+RP+B'!#REF!</f>
        <v>#REF!</v>
      </c>
      <c r="AM67" s="383" t="e">
        <f>BDGT!#REF!</f>
        <v>#REF!</v>
      </c>
      <c r="AN67" s="882" t="e">
        <f>+AL67-AM67</f>
        <v>#REF!</v>
      </c>
      <c r="AO67" s="883" t="e">
        <f>+(AL67-AM67)/AM67</f>
        <v>#REF!</v>
      </c>
    </row>
    <row r="68" spans="1:41">
      <c r="A68" s="1073" t="s">
        <v>80</v>
      </c>
      <c r="B68" s="331" t="s">
        <v>81</v>
      </c>
      <c r="C68" s="383">
        <f>'Real+S.T.'!F48*1000/(24*COUNT('Real+S.T.'!B8:B38)*C70%)</f>
        <v>8484.7125455295427</v>
      </c>
      <c r="D68" s="896" t="e">
        <f>D29</f>
        <v>#REF!</v>
      </c>
      <c r="E68" s="383" t="e">
        <f t="shared" si="48"/>
        <v>#REF!</v>
      </c>
      <c r="F68" s="1076" t="e">
        <f t="shared" si="49"/>
        <v>#REF!</v>
      </c>
      <c r="H68" s="1073" t="s">
        <v>80</v>
      </c>
      <c r="I68" s="331" t="s">
        <v>81</v>
      </c>
      <c r="J68" s="383">
        <f t="shared" si="50"/>
        <v>8484.7125455295427</v>
      </c>
      <c r="K68" s="896" t="str">
        <f>K29</f>
        <v xml:space="preserve"> </v>
      </c>
      <c r="L68" s="383" t="e">
        <f t="shared" si="51"/>
        <v>#VALUE!</v>
      </c>
      <c r="M68" s="1076" t="e">
        <f t="shared" si="52"/>
        <v>#VALUE!</v>
      </c>
      <c r="O68" s="1073" t="s">
        <v>80</v>
      </c>
      <c r="P68" s="331" t="s">
        <v>81</v>
      </c>
      <c r="Q68" s="383">
        <f>Q29</f>
        <v>8494.5649703748313</v>
      </c>
      <c r="R68" s="383" t="e">
        <f t="shared" si="53"/>
        <v>#REF!</v>
      </c>
      <c r="S68" s="383" t="e">
        <f t="shared" si="54"/>
        <v>#REF!</v>
      </c>
      <c r="T68" s="1075" t="e">
        <f t="shared" si="55"/>
        <v>#REF!</v>
      </c>
      <c r="V68" s="1073" t="s">
        <v>80</v>
      </c>
      <c r="W68" s="331" t="s">
        <v>81</v>
      </c>
      <c r="X68" s="383">
        <f t="shared" si="56"/>
        <v>8494.5649703748313</v>
      </c>
      <c r="Y68" s="383" t="str">
        <f t="shared" si="57"/>
        <v xml:space="preserve"> </v>
      </c>
      <c r="Z68" s="383" t="e">
        <f t="shared" si="58"/>
        <v>#VALUE!</v>
      </c>
      <c r="AA68" s="1075" t="e">
        <f t="shared" si="59"/>
        <v>#VALUE!</v>
      </c>
      <c r="AC68" s="876" t="s">
        <v>120</v>
      </c>
      <c r="AD68" s="876" t="s">
        <v>119</v>
      </c>
      <c r="AE68" s="956">
        <f>X27</f>
        <v>2919.0798328061296</v>
      </c>
      <c r="AF68" s="956">
        <f>Y27</f>
        <v>2933.8431364398571</v>
      </c>
      <c r="AG68" s="956">
        <f>+AE68-AF68</f>
        <v>-14.763303633727446</v>
      </c>
      <c r="AH68" s="955">
        <f>+(AE68-AF68)/AF68</f>
        <v>-5.0320698643903415E-3</v>
      </c>
      <c r="AJ68" s="876" t="s">
        <v>120</v>
      </c>
      <c r="AK68" s="876" t="s">
        <v>119</v>
      </c>
      <c r="AL68" s="1142">
        <f>Q183</f>
        <v>12013.912612676229</v>
      </c>
      <c r="AM68" s="1142">
        <f>R183</f>
        <v>0</v>
      </c>
      <c r="AN68" s="956">
        <f>+AL68-AM68</f>
        <v>12013.912612676229</v>
      </c>
      <c r="AO68" s="955" t="e">
        <f>+(AL68-AM68)/AM68</f>
        <v>#DIV/0!</v>
      </c>
    </row>
    <row r="69" spans="1:41">
      <c r="A69" s="1073" t="s">
        <v>82</v>
      </c>
      <c r="B69" s="331" t="s">
        <v>48</v>
      </c>
      <c r="C69" s="555">
        <f>'Real+S.T.'!CM39</f>
        <v>68.318784490992357</v>
      </c>
      <c r="D69" s="555" t="e">
        <f>D30</f>
        <v>#REF!</v>
      </c>
      <c r="E69" s="896" t="e">
        <f t="shared" si="48"/>
        <v>#REF!</v>
      </c>
      <c r="F69" s="1076" t="e">
        <f t="shared" si="49"/>
        <v>#REF!</v>
      </c>
      <c r="H69" s="1073" t="s">
        <v>82</v>
      </c>
      <c r="I69" s="331" t="s">
        <v>48</v>
      </c>
      <c r="J69" s="555">
        <f t="shared" si="50"/>
        <v>68.318784490992357</v>
      </c>
      <c r="K69" s="555" t="e">
        <f>K30</f>
        <v>#REF!</v>
      </c>
      <c r="L69" s="896" t="e">
        <f t="shared" si="51"/>
        <v>#REF!</v>
      </c>
      <c r="M69" s="1076" t="e">
        <f t="shared" si="52"/>
        <v>#REF!</v>
      </c>
      <c r="O69" s="1073" t="s">
        <v>82</v>
      </c>
      <c r="P69" s="331" t="s">
        <v>48</v>
      </c>
      <c r="Q69" s="555">
        <f>Q30</f>
        <v>67.341177908595625</v>
      </c>
      <c r="R69" s="555" t="e">
        <f t="shared" si="53"/>
        <v>#REF!</v>
      </c>
      <c r="S69" s="383" t="e">
        <f>+R69-Q69</f>
        <v>#REF!</v>
      </c>
      <c r="T69" s="1075" t="e">
        <f t="shared" si="55"/>
        <v>#REF!</v>
      </c>
      <c r="V69" s="1073" t="s">
        <v>82</v>
      </c>
      <c r="W69" s="331" t="s">
        <v>48</v>
      </c>
      <c r="X69" s="555">
        <f t="shared" si="56"/>
        <v>67.341177908595625</v>
      </c>
      <c r="Y69" s="555" t="e">
        <f t="shared" si="57"/>
        <v>#REF!</v>
      </c>
      <c r="Z69" s="896" t="e">
        <f>+Y69-X69</f>
        <v>#REF!</v>
      </c>
      <c r="AA69" s="1075" t="e">
        <f t="shared" si="59"/>
        <v>#REF!</v>
      </c>
      <c r="AC69" s="876" t="s">
        <v>23</v>
      </c>
      <c r="AD69" s="876" t="s">
        <v>48</v>
      </c>
      <c r="AE69" s="956">
        <f>X32</f>
        <v>88.117327699326225</v>
      </c>
      <c r="AF69" s="956">
        <f>Y32</f>
        <v>88.216548475401808</v>
      </c>
      <c r="AG69" s="956">
        <f>+AE69-AF69</f>
        <v>-9.9220776075583217E-2</v>
      </c>
      <c r="AH69" s="955">
        <f>+(AE69-AF69)/AF69</f>
        <v>-1.1247410807876915E-3</v>
      </c>
      <c r="AJ69" s="876" t="s">
        <v>23</v>
      </c>
      <c r="AK69" s="876" t="s">
        <v>48</v>
      </c>
      <c r="AL69" s="956">
        <f>Q187</f>
        <v>78.633250113750478</v>
      </c>
      <c r="AM69" s="956">
        <f>R187</f>
        <v>0</v>
      </c>
      <c r="AN69" s="956">
        <f>+AL69-AM69</f>
        <v>78.633250113750478</v>
      </c>
      <c r="AO69" s="955" t="e">
        <f>+(AL69-AM69)/AM69</f>
        <v>#DIV/0!</v>
      </c>
    </row>
    <row r="70" spans="1:41">
      <c r="A70" s="1073" t="s">
        <v>85</v>
      </c>
      <c r="B70" s="331" t="s">
        <v>48</v>
      </c>
      <c r="C70" s="896">
        <f>'Real+S.T.'!G48</f>
        <v>92.551583891515378</v>
      </c>
      <c r="D70" s="896" t="e">
        <f>D32</f>
        <v>#REF!</v>
      </c>
      <c r="E70" s="896" t="e">
        <f t="shared" si="48"/>
        <v>#REF!</v>
      </c>
      <c r="F70" s="1076" t="e">
        <f t="shared" si="49"/>
        <v>#REF!</v>
      </c>
      <c r="H70" s="1073" t="s">
        <v>85</v>
      </c>
      <c r="I70" s="331" t="s">
        <v>48</v>
      </c>
      <c r="J70" s="896">
        <f t="shared" si="50"/>
        <v>92.551583891515378</v>
      </c>
      <c r="K70" s="896" t="e">
        <f>K32</f>
        <v>#REF!</v>
      </c>
      <c r="L70" s="896" t="e">
        <f t="shared" si="51"/>
        <v>#REF!</v>
      </c>
      <c r="M70" s="1076" t="e">
        <f t="shared" si="52"/>
        <v>#REF!</v>
      </c>
      <c r="O70" s="1073" t="s">
        <v>85</v>
      </c>
      <c r="P70" s="331" t="s">
        <v>48</v>
      </c>
      <c r="Q70" s="896">
        <f>Q32</f>
        <v>92.324230243716514</v>
      </c>
      <c r="R70" s="896" t="e">
        <f t="shared" si="53"/>
        <v>#REF!</v>
      </c>
      <c r="S70" s="383" t="e">
        <f t="shared" si="54"/>
        <v>#REF!</v>
      </c>
      <c r="T70" s="1075" t="e">
        <f t="shared" si="55"/>
        <v>#REF!</v>
      </c>
      <c r="V70" s="1073" t="s">
        <v>85</v>
      </c>
      <c r="W70" s="331" t="s">
        <v>48</v>
      </c>
      <c r="X70" s="896">
        <f t="shared" si="56"/>
        <v>92.324230243716514</v>
      </c>
      <c r="Y70" s="896" t="e">
        <f t="shared" si="57"/>
        <v>#REF!</v>
      </c>
      <c r="Z70" s="896" t="e">
        <f t="shared" si="58"/>
        <v>#REF!</v>
      </c>
      <c r="AA70" s="1075" t="e">
        <f t="shared" si="59"/>
        <v>#REF!</v>
      </c>
      <c r="AC70" s="876" t="s">
        <v>36</v>
      </c>
      <c r="AD70" s="876" t="s">
        <v>121</v>
      </c>
      <c r="AE70" s="1142">
        <f>+Real!AK5</f>
        <v>8365.4530972161592</v>
      </c>
      <c r="AF70" s="1142">
        <f>'ST Original'!$FI$39</f>
        <v>8414.2411591830714</v>
      </c>
      <c r="AG70" s="956">
        <f>+AE70-AF70</f>
        <v>-48.78806196691221</v>
      </c>
      <c r="AH70" s="955">
        <f>+(AE70-AF70)/AF70</f>
        <v>-5.798272362762774E-3</v>
      </c>
      <c r="AJ70" s="876" t="s">
        <v>36</v>
      </c>
      <c r="AK70" s="876" t="s">
        <v>121</v>
      </c>
      <c r="AL70" s="1142">
        <f>Q185</f>
        <v>8376.3228504130984</v>
      </c>
      <c r="AM70" s="1142" t="e">
        <f>R185</f>
        <v>#REF!</v>
      </c>
      <c r="AN70" s="956" t="e">
        <f>+AL70-AM70</f>
        <v>#REF!</v>
      </c>
      <c r="AO70" s="955" t="e">
        <f>+(AL70-AM70)/AM70</f>
        <v>#REF!</v>
      </c>
    </row>
    <row r="71" spans="1:41">
      <c r="A71" s="1073"/>
      <c r="B71" s="331"/>
      <c r="C71" s="383"/>
      <c r="D71" s="896"/>
      <c r="E71" s="896"/>
      <c r="F71" s="1076"/>
      <c r="H71" s="1073"/>
      <c r="I71" s="331"/>
      <c r="J71" s="383"/>
      <c r="K71" s="896"/>
      <c r="L71" s="896"/>
      <c r="M71" s="1076"/>
      <c r="O71" s="1073"/>
      <c r="P71" s="331"/>
      <c r="Q71" s="383"/>
      <c r="R71" s="896"/>
      <c r="S71" s="383"/>
      <c r="T71" s="1075"/>
      <c r="V71" s="1073"/>
      <c r="W71" s="331"/>
      <c r="X71" s="896"/>
      <c r="Y71" s="896"/>
      <c r="Z71" s="896"/>
      <c r="AA71" s="1075"/>
      <c r="AC71" s="876" t="s">
        <v>86</v>
      </c>
      <c r="AD71" s="876" t="s">
        <v>48</v>
      </c>
      <c r="AE71" s="956">
        <f>X33</f>
        <v>37.942957957818315</v>
      </c>
      <c r="AF71" s="2662">
        <f>Y33</f>
        <v>36.90009719889941</v>
      </c>
      <c r="AG71" s="956">
        <f>-AE71+AF71</f>
        <v>-1.0428607589189056</v>
      </c>
      <c r="AH71" s="955">
        <f>-(AE71-AF71)/AF71</f>
        <v>-2.8261734740091964E-2</v>
      </c>
      <c r="AJ71" s="876" t="s">
        <v>122</v>
      </c>
      <c r="AK71" s="876" t="s">
        <v>48</v>
      </c>
      <c r="AL71" s="956">
        <f>Q186</f>
        <v>0</v>
      </c>
      <c r="AM71" s="956" t="e">
        <f>R186</f>
        <v>#REF!</v>
      </c>
      <c r="AN71" s="956" t="e">
        <f>-AL71+AM71</f>
        <v>#REF!</v>
      </c>
      <c r="AO71" s="955" t="e">
        <f>-(AL71-AM71)/AM71</f>
        <v>#REF!</v>
      </c>
    </row>
    <row r="72" spans="1:41">
      <c r="A72" s="1073" t="s">
        <v>89</v>
      </c>
      <c r="B72" s="331" t="s">
        <v>48</v>
      </c>
      <c r="C72" s="363">
        <f>'Real+S.T.'!I48</f>
        <v>0.52521337819978431</v>
      </c>
      <c r="D72" s="363" t="e">
        <f>D34</f>
        <v>#REF!</v>
      </c>
      <c r="E72" s="363" t="e">
        <f>+C72-D72</f>
        <v>#REF!</v>
      </c>
      <c r="F72" s="1076" t="e">
        <f>+E72/D72</f>
        <v>#REF!</v>
      </c>
      <c r="H72" s="1073" t="s">
        <v>89</v>
      </c>
      <c r="I72" s="331" t="s">
        <v>48</v>
      </c>
      <c r="J72" s="363">
        <f>C72</f>
        <v>0.52521337819978431</v>
      </c>
      <c r="K72" s="363" t="e">
        <f>K34</f>
        <v>#REF!</v>
      </c>
      <c r="L72" s="363" t="e">
        <f>+J72-K72</f>
        <v>#REF!</v>
      </c>
      <c r="M72" s="1076" t="e">
        <f>+L72/K72</f>
        <v>#REF!</v>
      </c>
      <c r="O72" s="1073" t="s">
        <v>89</v>
      </c>
      <c r="P72" s="331" t="s">
        <v>48</v>
      </c>
      <c r="Q72" s="724">
        <f>Q34</f>
        <v>0.5187562183850154</v>
      </c>
      <c r="R72" s="724" t="e">
        <f>D72</f>
        <v>#REF!</v>
      </c>
      <c r="S72" s="901" t="e">
        <f>+Q72-R72</f>
        <v>#REF!</v>
      </c>
      <c r="T72" s="1075" t="e">
        <f>+S72/R72</f>
        <v>#REF!</v>
      </c>
      <c r="V72" s="1073" t="s">
        <v>89</v>
      </c>
      <c r="W72" s="331" t="s">
        <v>48</v>
      </c>
      <c r="X72" s="363">
        <f>Q72</f>
        <v>0.5187562183850154</v>
      </c>
      <c r="Y72" s="363" t="e">
        <f>K72</f>
        <v>#REF!</v>
      </c>
      <c r="Z72" s="363" t="e">
        <f>+X72-Y72</f>
        <v>#REF!</v>
      </c>
      <c r="AA72" s="1075" t="e">
        <f>+Z72/Y72</f>
        <v>#REF!</v>
      </c>
      <c r="AC72" s="876" t="s">
        <v>83</v>
      </c>
      <c r="AD72" s="876" t="s">
        <v>84</v>
      </c>
      <c r="AE72" s="956">
        <f>X31</f>
        <v>4.6902586066660286</v>
      </c>
      <c r="AF72" s="956">
        <f>Y31</f>
        <v>4.1675369074255659</v>
      </c>
      <c r="AG72" s="956">
        <f>-AE72+AF72</f>
        <v>-0.52272169924046263</v>
      </c>
      <c r="AH72" s="955">
        <f>-(AE72-AF72)/AF72</f>
        <v>-0.12542701141028795</v>
      </c>
      <c r="AJ72" s="876" t="s">
        <v>83</v>
      </c>
      <c r="AK72" s="876" t="s">
        <v>84</v>
      </c>
      <c r="AL72" s="956">
        <f>+'R+RP+B'!AE20</f>
        <v>4.8102222272608515</v>
      </c>
      <c r="AM72" s="956" t="e">
        <f>+BDGT!Y19</f>
        <v>#REF!</v>
      </c>
      <c r="AN72" s="956" t="e">
        <f>-AL72+AM72</f>
        <v>#REF!</v>
      </c>
      <c r="AO72" s="955" t="e">
        <f>-(AL72-AM72)/AM72</f>
        <v>#REF!</v>
      </c>
    </row>
    <row r="73" spans="1:41">
      <c r="A73" s="1073" t="s">
        <v>90</v>
      </c>
      <c r="B73" s="331" t="s">
        <v>48</v>
      </c>
      <c r="C73" s="896">
        <f>'Real+S.T.'!J48</f>
        <v>90.442868173189026</v>
      </c>
      <c r="D73" s="896" t="e">
        <f>D35</f>
        <v>#REF!</v>
      </c>
      <c r="E73" s="896" t="e">
        <f>+C73-D73</f>
        <v>#REF!</v>
      </c>
      <c r="F73" s="1076" t="e">
        <f>+E73/D73</f>
        <v>#REF!</v>
      </c>
      <c r="H73" s="1073" t="s">
        <v>90</v>
      </c>
      <c r="I73" s="331" t="s">
        <v>48</v>
      </c>
      <c r="J73" s="896">
        <f>C73</f>
        <v>90.442868173189026</v>
      </c>
      <c r="K73" s="896" t="e">
        <f>K35</f>
        <v>#REF!</v>
      </c>
      <c r="L73" s="896" t="e">
        <f>+J73-K73</f>
        <v>#REF!</v>
      </c>
      <c r="M73" s="1076" t="e">
        <f>+L73/K73</f>
        <v>#REF!</v>
      </c>
      <c r="O73" s="1073" t="s">
        <v>90</v>
      </c>
      <c r="P73" s="331" t="s">
        <v>48</v>
      </c>
      <c r="Q73" s="896">
        <f>Q35</f>
        <v>90.397219242975567</v>
      </c>
      <c r="R73" s="896" t="e">
        <f>D73</f>
        <v>#REF!</v>
      </c>
      <c r="S73" s="896" t="e">
        <f>+Q73-R73</f>
        <v>#REF!</v>
      </c>
      <c r="T73" s="1075" t="e">
        <f>+S73/R73</f>
        <v>#REF!</v>
      </c>
      <c r="V73" s="1073" t="s">
        <v>90</v>
      </c>
      <c r="W73" s="331" t="s">
        <v>48</v>
      </c>
      <c r="X73" s="896">
        <f>Q73</f>
        <v>90.397219242975567</v>
      </c>
      <c r="Y73" s="896" t="e">
        <f>K73</f>
        <v>#REF!</v>
      </c>
      <c r="Z73" s="896" t="e">
        <f>+X73-Y73</f>
        <v>#REF!</v>
      </c>
      <c r="AA73" s="1075" t="e">
        <f>+Z73/Y73</f>
        <v>#REF!</v>
      </c>
      <c r="AC73" s="876" t="s">
        <v>123</v>
      </c>
      <c r="AD73" s="876" t="s">
        <v>48</v>
      </c>
      <c r="AE73" s="1461">
        <f>X34</f>
        <v>0.49046726479369607</v>
      </c>
      <c r="AF73" s="1461">
        <f>Y34</f>
        <v>0.51107741857165567</v>
      </c>
      <c r="AG73" s="956">
        <f t="shared" ref="AG73:AG80" si="60">+AE73-AF73</f>
        <v>-2.0610153777959606E-2</v>
      </c>
      <c r="AH73" s="955">
        <f>+(AE73-AF73)/AF73</f>
        <v>-4.0326872268315564E-2</v>
      </c>
      <c r="AJ73" s="876" t="s">
        <v>123</v>
      </c>
      <c r="AK73" s="876" t="s">
        <v>48</v>
      </c>
      <c r="AL73" s="956">
        <f>Q189</f>
        <v>0.50415578759188173</v>
      </c>
      <c r="AM73" s="956" t="e">
        <f>R189</f>
        <v>#REF!</v>
      </c>
      <c r="AN73" s="956" t="e">
        <f t="shared" ref="AN73:AN82" si="61">+AL73-AM73</f>
        <v>#REF!</v>
      </c>
      <c r="AO73" s="955" t="e">
        <f t="shared" ref="AO73:AO82" si="62">+(AL73-AM73)/AM73</f>
        <v>#REF!</v>
      </c>
    </row>
    <row r="74" spans="1:41">
      <c r="A74" s="1073" t="s">
        <v>92</v>
      </c>
      <c r="B74" s="331" t="s">
        <v>53</v>
      </c>
      <c r="C74" s="555">
        <f>'Real+S.T.'!M48/1000</f>
        <v>104.47781565840648</v>
      </c>
      <c r="D74" s="896" t="e">
        <f>D36</f>
        <v>#REF!</v>
      </c>
      <c r="E74" s="896" t="e">
        <f>+C74-D74</f>
        <v>#REF!</v>
      </c>
      <c r="F74" s="1076" t="e">
        <f>+E74/D74</f>
        <v>#REF!</v>
      </c>
      <c r="H74" s="1073" t="s">
        <v>92</v>
      </c>
      <c r="I74" s="331" t="s">
        <v>53</v>
      </c>
      <c r="J74" s="555">
        <f>C74</f>
        <v>104.47781565840648</v>
      </c>
      <c r="K74" s="896" t="e">
        <f>K36</f>
        <v>#REF!</v>
      </c>
      <c r="L74" s="896" t="e">
        <f>+J74-K74</f>
        <v>#REF!</v>
      </c>
      <c r="M74" s="1076" t="e">
        <f>+L74/K74</f>
        <v>#REF!</v>
      </c>
      <c r="O74" s="1073" t="s">
        <v>92</v>
      </c>
      <c r="P74" s="331" t="s">
        <v>53</v>
      </c>
      <c r="Q74" s="896">
        <f>Q36</f>
        <v>103.61851052323014</v>
      </c>
      <c r="R74" s="896" t="e">
        <f>D74</f>
        <v>#REF!</v>
      </c>
      <c r="S74" s="363" t="e">
        <f>+Q74-R74</f>
        <v>#REF!</v>
      </c>
      <c r="T74" s="1075" t="e">
        <f>+S74/R74</f>
        <v>#REF!</v>
      </c>
      <c r="V74" s="1073" t="s">
        <v>92</v>
      </c>
      <c r="W74" s="331" t="s">
        <v>53</v>
      </c>
      <c r="X74" s="896">
        <f>Q74</f>
        <v>103.61851052323014</v>
      </c>
      <c r="Y74" s="896" t="e">
        <f>K74</f>
        <v>#REF!</v>
      </c>
      <c r="Z74" s="896" t="e">
        <f>+X74-Y74</f>
        <v>#REF!</v>
      </c>
      <c r="AA74" s="1075" t="e">
        <f>+Z74/Y74</f>
        <v>#REF!</v>
      </c>
      <c r="AC74" s="876" t="s">
        <v>124</v>
      </c>
      <c r="AD74" s="876" t="s">
        <v>95</v>
      </c>
      <c r="AE74" s="956">
        <f>X39</f>
        <v>209.05586014639971</v>
      </c>
      <c r="AF74" s="956">
        <f>Y39</f>
        <v>190.92613315237236</v>
      </c>
      <c r="AG74" s="956">
        <f t="shared" si="60"/>
        <v>18.129726994027351</v>
      </c>
      <c r="AH74" s="955">
        <f t="shared" ref="AH74:AH82" si="63">+(AE74-AF74)/AF74</f>
        <v>9.4956759950501721E-2</v>
      </c>
      <c r="AJ74" s="876" t="s">
        <v>124</v>
      </c>
      <c r="AK74" s="876" t="s">
        <v>95</v>
      </c>
      <c r="AL74" s="956">
        <f>Q194</f>
        <v>196.54498891398828</v>
      </c>
      <c r="AM74" s="956" t="e">
        <f>R194</f>
        <v>#REF!</v>
      </c>
      <c r="AN74" s="956" t="e">
        <f t="shared" si="61"/>
        <v>#REF!</v>
      </c>
      <c r="AO74" s="955" t="e">
        <f t="shared" si="62"/>
        <v>#REF!</v>
      </c>
    </row>
    <row r="75" spans="1:41">
      <c r="A75" s="1073" t="s">
        <v>93</v>
      </c>
      <c r="B75" s="331" t="s">
        <v>48</v>
      </c>
      <c r="C75" s="896">
        <f>'Real+S.T.'!K48</f>
        <v>26.563172750059064</v>
      </c>
      <c r="D75" s="896">
        <f>D37</f>
        <v>26.777705251636434</v>
      </c>
      <c r="E75" s="896">
        <f>+C75-D75</f>
        <v>-0.21453250157737003</v>
      </c>
      <c r="F75" s="1076">
        <f>+E75/D75</f>
        <v>-8.0116088948383492E-3</v>
      </c>
      <c r="H75" s="1073" t="s">
        <v>93</v>
      </c>
      <c r="I75" s="331" t="s">
        <v>48</v>
      </c>
      <c r="J75" s="896">
        <f>C75</f>
        <v>26.563172750059064</v>
      </c>
      <c r="K75" s="896" t="e">
        <f>K37</f>
        <v>#REF!</v>
      </c>
      <c r="L75" s="896" t="e">
        <f>+J75-K75</f>
        <v>#REF!</v>
      </c>
      <c r="M75" s="1076" t="e">
        <f>+L75/K75</f>
        <v>#REF!</v>
      </c>
      <c r="O75" s="1073" t="s">
        <v>93</v>
      </c>
      <c r="P75" s="331" t="s">
        <v>48</v>
      </c>
      <c r="Q75" s="896">
        <f>Q37</f>
        <v>26.406498338258178</v>
      </c>
      <c r="R75" s="896">
        <f>D75</f>
        <v>26.777705251636434</v>
      </c>
      <c r="S75" s="363">
        <f>+Q75-R75</f>
        <v>-0.37120691337825562</v>
      </c>
      <c r="T75" s="1075">
        <f>+S75/R75</f>
        <v>-1.386253638577079E-2</v>
      </c>
      <c r="V75" s="1073" t="s">
        <v>93</v>
      </c>
      <c r="W75" s="331" t="s">
        <v>48</v>
      </c>
      <c r="X75" s="896">
        <f>Q75</f>
        <v>26.406498338258178</v>
      </c>
      <c r="Y75" s="896" t="e">
        <f>K75</f>
        <v>#REF!</v>
      </c>
      <c r="Z75" s="896" t="e">
        <f>+X75-Y75</f>
        <v>#REF!</v>
      </c>
      <c r="AA75" s="1075" t="e">
        <f>+Z75/Y75</f>
        <v>#REF!</v>
      </c>
      <c r="AC75" s="876" t="s">
        <v>125</v>
      </c>
      <c r="AD75" s="876" t="s">
        <v>48</v>
      </c>
      <c r="AE75" s="956">
        <f>X35</f>
        <v>90.621181612764147</v>
      </c>
      <c r="AF75" s="956">
        <f>Y35</f>
        <v>90.302073381744648</v>
      </c>
      <c r="AG75" s="956">
        <f t="shared" si="60"/>
        <v>0.31910823101949859</v>
      </c>
      <c r="AH75" s="955">
        <f t="shared" si="63"/>
        <v>3.5337863137482411E-3</v>
      </c>
      <c r="AJ75" s="876" t="s">
        <v>125</v>
      </c>
      <c r="AK75" s="876" t="s">
        <v>48</v>
      </c>
      <c r="AL75" s="956">
        <f>Q190</f>
        <v>90.586121823251048</v>
      </c>
      <c r="AM75" s="956" t="e">
        <f>R190</f>
        <v>#REF!</v>
      </c>
      <c r="AN75" s="956" t="e">
        <f t="shared" si="61"/>
        <v>#REF!</v>
      </c>
      <c r="AO75" s="955" t="e">
        <f t="shared" si="62"/>
        <v>#REF!</v>
      </c>
    </row>
    <row r="76" spans="1:41">
      <c r="A76" s="1073"/>
      <c r="B76" s="331"/>
      <c r="C76" s="383"/>
      <c r="D76" s="896"/>
      <c r="E76" s="896"/>
      <c r="F76" s="1076"/>
      <c r="H76" s="1073"/>
      <c r="I76" s="331"/>
      <c r="J76" s="383"/>
      <c r="K76" s="896"/>
      <c r="L76" s="896"/>
      <c r="M76" s="1076"/>
      <c r="O76" s="1073"/>
      <c r="P76" s="331"/>
      <c r="Q76" s="896"/>
      <c r="R76" s="896"/>
      <c r="S76" s="896"/>
      <c r="T76" s="1075"/>
      <c r="V76" s="1073"/>
      <c r="W76" s="331"/>
      <c r="X76" s="896"/>
      <c r="Y76" s="896"/>
      <c r="Z76" s="896"/>
      <c r="AA76" s="1075"/>
      <c r="AC76" s="876" t="s">
        <v>126</v>
      </c>
      <c r="AD76" s="876" t="s">
        <v>48</v>
      </c>
      <c r="AE76" s="956">
        <f>X37</f>
        <v>25.931627028181765</v>
      </c>
      <c r="AF76" s="956">
        <f>Y37</f>
        <v>26.389507297964627</v>
      </c>
      <c r="AG76" s="956">
        <f t="shared" si="60"/>
        <v>-0.45788026978286211</v>
      </c>
      <c r="AH76" s="955">
        <f t="shared" si="63"/>
        <v>-1.7350845721101339E-2</v>
      </c>
      <c r="AJ76" s="876" t="s">
        <v>126</v>
      </c>
      <c r="AK76" s="876" t="s">
        <v>48</v>
      </c>
      <c r="AL76" s="956">
        <f>Q192</f>
        <v>26.70667226937428</v>
      </c>
      <c r="AM76" s="956" t="e">
        <f>R192</f>
        <v>#REF!</v>
      </c>
      <c r="AN76" s="956" t="e">
        <f t="shared" si="61"/>
        <v>#REF!</v>
      </c>
      <c r="AO76" s="955" t="e">
        <f t="shared" si="62"/>
        <v>#REF!</v>
      </c>
    </row>
    <row r="77" spans="1:41">
      <c r="A77" s="1073" t="s">
        <v>94</v>
      </c>
      <c r="B77" s="331" t="s">
        <v>95</v>
      </c>
      <c r="C77" s="383">
        <f>'Real+S.T.'!P48</f>
        <v>180.19463900957621</v>
      </c>
      <c r="D77" s="896" t="e">
        <f t="shared" ref="D77:D82" si="64">D39</f>
        <v>#REF!</v>
      </c>
      <c r="E77" s="896" t="e">
        <f t="shared" ref="E77:E82" si="65">+C77-D77</f>
        <v>#REF!</v>
      </c>
      <c r="F77" s="1076" t="e">
        <f t="shared" ref="F77:F82" si="66">+E77/D77</f>
        <v>#REF!</v>
      </c>
      <c r="H77" s="1073" t="s">
        <v>94</v>
      </c>
      <c r="I77" s="331" t="s">
        <v>95</v>
      </c>
      <c r="J77" s="383">
        <f t="shared" ref="J77:J82" si="67">C77</f>
        <v>180.19463900957621</v>
      </c>
      <c r="K77" s="896" t="e">
        <f t="shared" ref="K77:K82" si="68">K39</f>
        <v>#REF!</v>
      </c>
      <c r="L77" s="896" t="e">
        <f t="shared" ref="L77:L82" si="69">+J77-K77</f>
        <v>#REF!</v>
      </c>
      <c r="M77" s="1076" t="e">
        <f t="shared" ref="M77:M82" si="70">+L77/K77</f>
        <v>#REF!</v>
      </c>
      <c r="O77" s="1073" t="s">
        <v>94</v>
      </c>
      <c r="P77" s="331" t="s">
        <v>95</v>
      </c>
      <c r="Q77" s="383">
        <f t="shared" ref="Q77:Q82" si="71">Q39</f>
        <v>192.88224256745204</v>
      </c>
      <c r="R77" s="383" t="e">
        <f t="shared" ref="R77:R82" si="72">D77</f>
        <v>#REF!</v>
      </c>
      <c r="S77" s="896" t="e">
        <f t="shared" ref="S77:S82" si="73">+Q77-R77</f>
        <v>#REF!</v>
      </c>
      <c r="T77" s="1075" t="e">
        <f t="shared" ref="T77:T82" si="74">+S77/R77</f>
        <v>#REF!</v>
      </c>
      <c r="V77" s="1073" t="s">
        <v>94</v>
      </c>
      <c r="W77" s="331" t="s">
        <v>95</v>
      </c>
      <c r="X77" s="383">
        <f t="shared" ref="X77:X82" si="75">Q77</f>
        <v>192.88224256745204</v>
      </c>
      <c r="Y77" s="383" t="e">
        <f t="shared" ref="Y77:Y82" si="76">K77</f>
        <v>#REF!</v>
      </c>
      <c r="Z77" s="896" t="e">
        <f t="shared" ref="Z77:Z82" si="77">+X77-Y77</f>
        <v>#REF!</v>
      </c>
      <c r="AA77" s="1075" t="e">
        <f t="shared" ref="AA77:AA82" si="78">+Z77/Y77</f>
        <v>#REF!</v>
      </c>
      <c r="AC77" s="876" t="s">
        <v>127</v>
      </c>
      <c r="AD77" s="876" t="s">
        <v>48</v>
      </c>
      <c r="AE77" s="956">
        <f>X41</f>
        <v>89.313167038140008</v>
      </c>
      <c r="AF77" s="956">
        <f>Y41</f>
        <v>92.043617348570208</v>
      </c>
      <c r="AG77" s="956">
        <f t="shared" si="60"/>
        <v>-2.7304503104302</v>
      </c>
      <c r="AH77" s="955">
        <f t="shared" si="63"/>
        <v>-2.9664743619212119E-2</v>
      </c>
      <c r="AJ77" s="876" t="s">
        <v>127</v>
      </c>
      <c r="AK77" s="876" t="s">
        <v>48</v>
      </c>
      <c r="AL77" s="956">
        <f>Q196</f>
        <v>90.297335365767452</v>
      </c>
      <c r="AM77" s="956" t="e">
        <f>R196</f>
        <v>#REF!</v>
      </c>
      <c r="AN77" s="956" t="e">
        <f t="shared" si="61"/>
        <v>#REF!</v>
      </c>
      <c r="AO77" s="955" t="e">
        <f t="shared" si="62"/>
        <v>#REF!</v>
      </c>
    </row>
    <row r="78" spans="1:41">
      <c r="A78" s="1073" t="s">
        <v>96</v>
      </c>
      <c r="B78" s="331" t="s">
        <v>48</v>
      </c>
      <c r="C78" s="896">
        <f>'Real+S.T.'!S48</f>
        <v>80.785230473405292</v>
      </c>
      <c r="D78" s="896" t="e">
        <f t="shared" si="64"/>
        <v>#REF!</v>
      </c>
      <c r="E78" s="896" t="e">
        <f t="shared" si="65"/>
        <v>#REF!</v>
      </c>
      <c r="F78" s="1076" t="e">
        <f t="shared" si="66"/>
        <v>#REF!</v>
      </c>
      <c r="H78" s="1073" t="s">
        <v>96</v>
      </c>
      <c r="I78" s="331" t="s">
        <v>48</v>
      </c>
      <c r="J78" s="896">
        <f t="shared" si="67"/>
        <v>80.785230473405292</v>
      </c>
      <c r="K78" s="896" t="e">
        <f t="shared" si="68"/>
        <v>#REF!</v>
      </c>
      <c r="L78" s="896" t="e">
        <f t="shared" si="69"/>
        <v>#REF!</v>
      </c>
      <c r="M78" s="1076" t="e">
        <f t="shared" si="70"/>
        <v>#REF!</v>
      </c>
      <c r="O78" s="1073" t="s">
        <v>96</v>
      </c>
      <c r="P78" s="331" t="s">
        <v>48</v>
      </c>
      <c r="Q78" s="896">
        <f t="shared" si="71"/>
        <v>80.64650541173333</v>
      </c>
      <c r="R78" s="896" t="e">
        <f t="shared" si="72"/>
        <v>#REF!</v>
      </c>
      <c r="S78" s="896" t="e">
        <f t="shared" si="73"/>
        <v>#REF!</v>
      </c>
      <c r="T78" s="1075" t="e">
        <f t="shared" si="74"/>
        <v>#REF!</v>
      </c>
      <c r="V78" s="1073" t="s">
        <v>96</v>
      </c>
      <c r="W78" s="331" t="s">
        <v>48</v>
      </c>
      <c r="X78" s="896">
        <f t="shared" si="75"/>
        <v>80.64650541173333</v>
      </c>
      <c r="Y78" s="896" t="e">
        <f t="shared" si="76"/>
        <v>#REF!</v>
      </c>
      <c r="Z78" s="896" t="e">
        <f t="shared" si="77"/>
        <v>#REF!</v>
      </c>
      <c r="AA78" s="1075" t="e">
        <f t="shared" si="78"/>
        <v>#REF!</v>
      </c>
      <c r="AC78" s="876" t="s">
        <v>128</v>
      </c>
      <c r="AD78" s="876" t="s">
        <v>48</v>
      </c>
      <c r="AE78" s="956">
        <f>X42</f>
        <v>90.883108840805434</v>
      </c>
      <c r="AF78" s="956">
        <f>Y42</f>
        <v>87.824160700571653</v>
      </c>
      <c r="AG78" s="956">
        <f t="shared" si="60"/>
        <v>3.058948140233781</v>
      </c>
      <c r="AH78" s="955">
        <f t="shared" si="63"/>
        <v>3.4830371458521324E-2</v>
      </c>
      <c r="AJ78" s="876" t="s">
        <v>128</v>
      </c>
      <c r="AK78" s="876" t="s">
        <v>48</v>
      </c>
      <c r="AL78" s="956">
        <f>Q197</f>
        <v>88.625801347220715</v>
      </c>
      <c r="AM78" s="956" t="e">
        <f>R197</f>
        <v>#REF!</v>
      </c>
      <c r="AN78" s="956" t="e">
        <f t="shared" si="61"/>
        <v>#REF!</v>
      </c>
      <c r="AO78" s="955" t="e">
        <f t="shared" si="62"/>
        <v>#REF!</v>
      </c>
    </row>
    <row r="79" spans="1:41">
      <c r="A79" s="1073" t="s">
        <v>97</v>
      </c>
      <c r="B79" s="331" t="s">
        <v>48</v>
      </c>
      <c r="C79" s="896">
        <f>'Real+S.T.'!Q48</f>
        <v>90.070561377173078</v>
      </c>
      <c r="D79" s="896" t="e">
        <f t="shared" si="64"/>
        <v>#REF!</v>
      </c>
      <c r="E79" s="896" t="e">
        <f t="shared" si="65"/>
        <v>#REF!</v>
      </c>
      <c r="F79" s="1076" t="e">
        <f t="shared" si="66"/>
        <v>#REF!</v>
      </c>
      <c r="H79" s="1073" t="s">
        <v>97</v>
      </c>
      <c r="I79" s="331" t="s">
        <v>48</v>
      </c>
      <c r="J79" s="896">
        <f t="shared" si="67"/>
        <v>90.070561377173078</v>
      </c>
      <c r="K79" s="896" t="e">
        <f t="shared" si="68"/>
        <v>#REF!</v>
      </c>
      <c r="L79" s="896" t="e">
        <f t="shared" si="69"/>
        <v>#REF!</v>
      </c>
      <c r="M79" s="1076" t="e">
        <f t="shared" si="70"/>
        <v>#REF!</v>
      </c>
      <c r="O79" s="1073" t="s">
        <v>97</v>
      </c>
      <c r="P79" s="331" t="s">
        <v>48</v>
      </c>
      <c r="Q79" s="896">
        <f t="shared" si="71"/>
        <v>89.806766154820934</v>
      </c>
      <c r="R79" s="896" t="e">
        <f t="shared" si="72"/>
        <v>#REF!</v>
      </c>
      <c r="S79" s="363" t="e">
        <f t="shared" si="73"/>
        <v>#REF!</v>
      </c>
      <c r="T79" s="1075" t="e">
        <f t="shared" si="74"/>
        <v>#REF!</v>
      </c>
      <c r="V79" s="1073" t="s">
        <v>97</v>
      </c>
      <c r="W79" s="331" t="s">
        <v>48</v>
      </c>
      <c r="X79" s="896">
        <f t="shared" si="75"/>
        <v>89.806766154820934</v>
      </c>
      <c r="Y79" s="896" t="e">
        <f t="shared" si="76"/>
        <v>#REF!</v>
      </c>
      <c r="Z79" s="896" t="e">
        <f t="shared" si="77"/>
        <v>#REF!</v>
      </c>
      <c r="AA79" s="1075" t="e">
        <f t="shared" si="78"/>
        <v>#REF!</v>
      </c>
      <c r="AC79" s="1716" t="s">
        <v>129</v>
      </c>
      <c r="AD79" s="1716" t="s">
        <v>130</v>
      </c>
      <c r="AE79" s="1716">
        <f>X14*1000</f>
        <v>12974.353297126541</v>
      </c>
      <c r="AF79" s="1716">
        <f>Y14*1000</f>
        <v>13540.082306500699</v>
      </c>
      <c r="AG79" s="1716">
        <f>+AE79-AF79</f>
        <v>-565.72900937415761</v>
      </c>
      <c r="AH79" s="955">
        <f t="shared" si="63"/>
        <v>-4.1781799886293651E-2</v>
      </c>
      <c r="AJ79" s="876" t="s">
        <v>129</v>
      </c>
      <c r="AK79" s="876" t="s">
        <v>130</v>
      </c>
      <c r="AL79" s="956">
        <f>Q170*1000</f>
        <v>54860.159554748941</v>
      </c>
      <c r="AM79" s="956" t="e">
        <f>R170*1000</f>
        <v>#REF!</v>
      </c>
      <c r="AN79" s="956" t="e">
        <f t="shared" si="61"/>
        <v>#REF!</v>
      </c>
      <c r="AO79" s="955" t="e">
        <f t="shared" si="62"/>
        <v>#REF!</v>
      </c>
    </row>
    <row r="80" spans="1:41">
      <c r="A80" s="1073" t="s">
        <v>98</v>
      </c>
      <c r="B80" s="331" t="s">
        <v>48</v>
      </c>
      <c r="C80" s="896">
        <f>'Real+S.T.'!R48</f>
        <v>89.691048038564801</v>
      </c>
      <c r="D80" s="896" t="e">
        <f t="shared" si="64"/>
        <v>#REF!</v>
      </c>
      <c r="E80" s="896" t="e">
        <f t="shared" si="65"/>
        <v>#REF!</v>
      </c>
      <c r="F80" s="1076" t="e">
        <f t="shared" si="66"/>
        <v>#REF!</v>
      </c>
      <c r="H80" s="1073" t="s">
        <v>98</v>
      </c>
      <c r="I80" s="331" t="s">
        <v>48</v>
      </c>
      <c r="J80" s="896">
        <f t="shared" si="67"/>
        <v>89.691048038564801</v>
      </c>
      <c r="K80" s="896" t="e">
        <f t="shared" si="68"/>
        <v>#REF!</v>
      </c>
      <c r="L80" s="896" t="e">
        <f t="shared" si="69"/>
        <v>#REF!</v>
      </c>
      <c r="M80" s="1076" t="e">
        <f t="shared" si="70"/>
        <v>#REF!</v>
      </c>
      <c r="O80" s="1073" t="s">
        <v>98</v>
      </c>
      <c r="P80" s="331" t="s">
        <v>48</v>
      </c>
      <c r="Q80" s="896">
        <f t="shared" si="71"/>
        <v>89.800032742192343</v>
      </c>
      <c r="R80" s="896" t="e">
        <f t="shared" si="72"/>
        <v>#REF!</v>
      </c>
      <c r="S80" s="383" t="e">
        <f t="shared" si="73"/>
        <v>#REF!</v>
      </c>
      <c r="T80" s="1075" t="e">
        <f t="shared" si="74"/>
        <v>#REF!</v>
      </c>
      <c r="V80" s="1073" t="s">
        <v>98</v>
      </c>
      <c r="W80" s="331" t="s">
        <v>48</v>
      </c>
      <c r="X80" s="896">
        <f t="shared" si="75"/>
        <v>89.800032742192343</v>
      </c>
      <c r="Y80" s="896" t="e">
        <f t="shared" si="76"/>
        <v>#REF!</v>
      </c>
      <c r="Z80" s="896" t="e">
        <f t="shared" si="77"/>
        <v>#REF!</v>
      </c>
      <c r="AA80" s="1075" t="e">
        <f t="shared" si="78"/>
        <v>#REF!</v>
      </c>
      <c r="AC80" s="876" t="s">
        <v>131</v>
      </c>
      <c r="AD80" s="876" t="s">
        <v>130</v>
      </c>
      <c r="AE80" s="876">
        <f>X18*1000</f>
        <v>495.34408653931774</v>
      </c>
      <c r="AF80" s="876">
        <f>Y18*1000</f>
        <v>452.80368540287702</v>
      </c>
      <c r="AG80" s="2662">
        <f t="shared" si="60"/>
        <v>42.540401136440721</v>
      </c>
      <c r="AH80" s="955">
        <f t="shared" si="63"/>
        <v>9.3948884489733944E-2</v>
      </c>
      <c r="AJ80" s="876" t="s">
        <v>131</v>
      </c>
      <c r="AK80" s="876" t="s">
        <v>130</v>
      </c>
      <c r="AL80" s="956">
        <f>Q174*1000</f>
        <v>0</v>
      </c>
      <c r="AM80" s="956" t="e">
        <f>R174*1000</f>
        <v>#REF!</v>
      </c>
      <c r="AN80" s="956" t="e">
        <f t="shared" si="61"/>
        <v>#REF!</v>
      </c>
      <c r="AO80" s="955" t="e">
        <f t="shared" si="62"/>
        <v>#REF!</v>
      </c>
    </row>
    <row r="81" spans="1:46">
      <c r="A81" s="1073" t="s">
        <v>99</v>
      </c>
      <c r="B81" s="331" t="s">
        <v>100</v>
      </c>
      <c r="C81" s="219">
        <f>'Real+S.T.'!V39</f>
        <v>2411.7963537828073</v>
      </c>
      <c r="D81" s="219" t="e">
        <f t="shared" si="64"/>
        <v>#REF!</v>
      </c>
      <c r="E81" s="383" t="e">
        <f t="shared" si="65"/>
        <v>#REF!</v>
      </c>
      <c r="F81" s="1076" t="e">
        <f t="shared" si="66"/>
        <v>#REF!</v>
      </c>
      <c r="H81" s="1073" t="s">
        <v>132</v>
      </c>
      <c r="I81" s="331" t="s">
        <v>100</v>
      </c>
      <c r="J81" s="219">
        <f t="shared" si="67"/>
        <v>2411.7963537828073</v>
      </c>
      <c r="K81" s="219" t="e">
        <f t="shared" si="68"/>
        <v>#REF!</v>
      </c>
      <c r="L81" s="383" t="e">
        <f t="shared" si="69"/>
        <v>#REF!</v>
      </c>
      <c r="M81" s="1076" t="e">
        <f t="shared" si="70"/>
        <v>#REF!</v>
      </c>
      <c r="O81" s="1073" t="s">
        <v>99</v>
      </c>
      <c r="P81" s="331" t="s">
        <v>100</v>
      </c>
      <c r="Q81" s="383">
        <f t="shared" si="71"/>
        <v>2526.0767397150457</v>
      </c>
      <c r="R81" s="383" t="e">
        <f t="shared" si="72"/>
        <v>#REF!</v>
      </c>
      <c r="S81" s="896" t="e">
        <f t="shared" si="73"/>
        <v>#REF!</v>
      </c>
      <c r="T81" s="1075" t="e">
        <f t="shared" si="74"/>
        <v>#REF!</v>
      </c>
      <c r="V81" s="1073" t="s">
        <v>99</v>
      </c>
      <c r="W81" s="331" t="s">
        <v>100</v>
      </c>
      <c r="X81" s="383">
        <f t="shared" si="75"/>
        <v>2526.0767397150457</v>
      </c>
      <c r="Y81" s="383" t="e">
        <f t="shared" si="76"/>
        <v>#REF!</v>
      </c>
      <c r="Z81" s="383" t="e">
        <f t="shared" si="77"/>
        <v>#REF!</v>
      </c>
      <c r="AA81" s="1075" t="e">
        <f t="shared" si="78"/>
        <v>#REF!</v>
      </c>
      <c r="AC81" s="1716" t="s">
        <v>133</v>
      </c>
      <c r="AD81" s="1716" t="s">
        <v>130</v>
      </c>
      <c r="AE81" s="1716">
        <f>X15*1000</f>
        <v>12598.463823748167</v>
      </c>
      <c r="AF81" s="1716">
        <f>Y16*1000</f>
        <v>12114.235353304062</v>
      </c>
      <c r="AG81" s="3106">
        <f>+AE81-AF81</f>
        <v>484.22847044410446</v>
      </c>
      <c r="AH81" s="955">
        <f t="shared" si="63"/>
        <v>3.9971855946486542E-2</v>
      </c>
      <c r="AJ81" s="876" t="s">
        <v>133</v>
      </c>
      <c r="AK81" s="876" t="s">
        <v>130</v>
      </c>
      <c r="AL81" s="956">
        <f>Q171*1000</f>
        <v>52317.337818039567</v>
      </c>
      <c r="AM81" s="956" t="e">
        <f>R171*1000</f>
        <v>#REF!</v>
      </c>
      <c r="AN81" s="956" t="e">
        <f t="shared" si="61"/>
        <v>#REF!</v>
      </c>
      <c r="AO81" s="955" t="e">
        <f t="shared" si="62"/>
        <v>#REF!</v>
      </c>
    </row>
    <row r="82" spans="1:46">
      <c r="A82" s="1073" t="s">
        <v>102</v>
      </c>
      <c r="B82" s="331" t="s">
        <v>48</v>
      </c>
      <c r="C82" s="896">
        <f>'Real+S.T.'!T39</f>
        <v>48.60535063406752</v>
      </c>
      <c r="D82" s="896" t="e">
        <f t="shared" si="64"/>
        <v>#REF!</v>
      </c>
      <c r="E82" s="896" t="e">
        <f t="shared" si="65"/>
        <v>#REF!</v>
      </c>
      <c r="F82" s="1076" t="e">
        <f t="shared" si="66"/>
        <v>#REF!</v>
      </c>
      <c r="H82" s="1073" t="s">
        <v>102</v>
      </c>
      <c r="I82" s="331" t="s">
        <v>48</v>
      </c>
      <c r="J82" s="896">
        <f t="shared" si="67"/>
        <v>48.60535063406752</v>
      </c>
      <c r="K82" s="896" t="e">
        <f t="shared" si="68"/>
        <v>#REF!</v>
      </c>
      <c r="L82" s="896" t="e">
        <f t="shared" si="69"/>
        <v>#REF!</v>
      </c>
      <c r="M82" s="1076" t="e">
        <f t="shared" si="70"/>
        <v>#REF!</v>
      </c>
      <c r="O82" s="1073" t="s">
        <v>102</v>
      </c>
      <c r="P82" s="331" t="s">
        <v>48</v>
      </c>
      <c r="Q82" s="896">
        <f t="shared" si="71"/>
        <v>48.603537799049718</v>
      </c>
      <c r="R82" s="896" t="e">
        <f t="shared" si="72"/>
        <v>#REF!</v>
      </c>
      <c r="S82" s="896" t="e">
        <f t="shared" si="73"/>
        <v>#REF!</v>
      </c>
      <c r="T82" s="1075" t="e">
        <f t="shared" si="74"/>
        <v>#REF!</v>
      </c>
      <c r="V82" s="1073" t="s">
        <v>102</v>
      </c>
      <c r="W82" s="331" t="s">
        <v>48</v>
      </c>
      <c r="X82" s="896">
        <f t="shared" si="75"/>
        <v>48.603537799049718</v>
      </c>
      <c r="Y82" s="896" t="e">
        <f t="shared" si="76"/>
        <v>#REF!</v>
      </c>
      <c r="Z82" s="896" t="e">
        <f t="shared" si="77"/>
        <v>#REF!</v>
      </c>
      <c r="AA82" s="1075" t="e">
        <f t="shared" si="78"/>
        <v>#REF!</v>
      </c>
      <c r="AC82" s="1142" t="s">
        <v>134</v>
      </c>
      <c r="AD82" s="1142" t="s">
        <v>130</v>
      </c>
      <c r="AE82" s="3758">
        <f>X19*1000</f>
        <v>565.60300640379626</v>
      </c>
      <c r="AF82" s="3758">
        <f>Y19*1000</f>
        <v>446.90052313659731</v>
      </c>
      <c r="AG82" s="3758">
        <f>+AE82-AF82</f>
        <v>118.70248326719894</v>
      </c>
      <c r="AH82" s="955">
        <f t="shared" si="63"/>
        <v>0.26561276418760638</v>
      </c>
      <c r="AJ82" s="876" t="s">
        <v>134</v>
      </c>
      <c r="AK82" s="876" t="s">
        <v>130</v>
      </c>
      <c r="AL82" s="956">
        <f>Q175*1000</f>
        <v>1758.9286847251442</v>
      </c>
      <c r="AM82" s="956" t="e">
        <f>R175*1000</f>
        <v>#DIV/0!</v>
      </c>
      <c r="AN82" s="956" t="e">
        <f t="shared" si="61"/>
        <v>#DIV/0!</v>
      </c>
      <c r="AO82" s="955" t="e">
        <f t="shared" si="62"/>
        <v>#DIV/0!</v>
      </c>
    </row>
    <row r="83" spans="1:46">
      <c r="A83" s="1073"/>
      <c r="B83" s="331"/>
      <c r="C83" s="896"/>
      <c r="D83" s="896"/>
      <c r="E83" s="896"/>
      <c r="F83" s="1076"/>
      <c r="H83" s="1073"/>
      <c r="I83" s="331"/>
      <c r="J83" s="896"/>
      <c r="K83" s="896"/>
      <c r="L83" s="896"/>
      <c r="M83" s="1076"/>
      <c r="O83" s="1073"/>
      <c r="P83" s="331"/>
      <c r="Q83" s="896"/>
      <c r="R83" s="896"/>
      <c r="S83" s="896"/>
      <c r="T83" s="1075"/>
      <c r="V83" s="1073"/>
      <c r="W83" s="331"/>
      <c r="X83" s="896"/>
      <c r="Y83" s="896"/>
      <c r="Z83" s="896"/>
      <c r="AA83" s="1075"/>
      <c r="AF83" s="2307"/>
      <c r="AG83" s="219"/>
      <c r="AT83" s="409"/>
    </row>
    <row r="84" spans="1:46">
      <c r="A84" s="1073" t="s">
        <v>103</v>
      </c>
      <c r="B84" s="331" t="s">
        <v>104</v>
      </c>
      <c r="C84" s="896">
        <f>'Real+S.T.'!AU39</f>
        <v>22.476141132146484</v>
      </c>
      <c r="D84" s="896" t="e">
        <f>D46</f>
        <v>#REF!</v>
      </c>
      <c r="E84" s="896" t="e">
        <f>+C84-D84</f>
        <v>#REF!</v>
      </c>
      <c r="F84" s="1076" t="e">
        <f>+E84/D84</f>
        <v>#REF!</v>
      </c>
      <c r="H84" s="1073" t="s">
        <v>105</v>
      </c>
      <c r="I84" s="331" t="s">
        <v>95</v>
      </c>
      <c r="J84" s="896">
        <f>C84</f>
        <v>22.476141132146484</v>
      </c>
      <c r="K84" s="896" t="e">
        <f>K46</f>
        <v>#REF!</v>
      </c>
      <c r="L84" s="896" t="e">
        <f>+J84-K84</f>
        <v>#REF!</v>
      </c>
      <c r="M84" s="1076" t="e">
        <f>+L84/K84</f>
        <v>#REF!</v>
      </c>
      <c r="O84" s="1073" t="s">
        <v>103</v>
      </c>
      <c r="P84" s="331" t="s">
        <v>104</v>
      </c>
      <c r="Q84" s="383">
        <f>Q46</f>
        <v>20.726944183805845</v>
      </c>
      <c r="R84" s="383" t="e">
        <f>D84</f>
        <v>#REF!</v>
      </c>
      <c r="S84" s="383" t="e">
        <f>+R84-Q84</f>
        <v>#REF!</v>
      </c>
      <c r="T84" s="1075" t="e">
        <f>+S84/R84</f>
        <v>#REF!</v>
      </c>
      <c r="V84" s="1073" t="s">
        <v>103</v>
      </c>
      <c r="W84" s="331" t="s">
        <v>104</v>
      </c>
      <c r="X84" s="896">
        <f>Q84</f>
        <v>20.726944183805845</v>
      </c>
      <c r="Y84" s="896" t="e">
        <f>K84</f>
        <v>#REF!</v>
      </c>
      <c r="Z84" s="896" t="e">
        <f>+Y84-X84</f>
        <v>#REF!</v>
      </c>
      <c r="AA84" s="1075" t="e">
        <f>+Z84/Y84</f>
        <v>#REF!</v>
      </c>
      <c r="AE84" s="383"/>
      <c r="AF84" s="383"/>
      <c r="AG84" s="157"/>
    </row>
    <row r="85" spans="1:46">
      <c r="A85" s="1077" t="s">
        <v>106</v>
      </c>
      <c r="B85" s="1078" t="s">
        <v>104</v>
      </c>
      <c r="C85" s="942">
        <f>'Real+S.T.'!AV39</f>
        <v>1062.7080286186972</v>
      </c>
      <c r="D85" s="942" t="e">
        <f>D47</f>
        <v>#REF!</v>
      </c>
      <c r="E85" s="942" t="e">
        <f>+C85-D85</f>
        <v>#REF!</v>
      </c>
      <c r="F85" s="1079" t="e">
        <f>+E85/D85</f>
        <v>#REF!</v>
      </c>
      <c r="H85" s="1077" t="s">
        <v>107</v>
      </c>
      <c r="I85" s="1078" t="s">
        <v>95</v>
      </c>
      <c r="J85" s="942">
        <f>C85</f>
        <v>1062.7080286186972</v>
      </c>
      <c r="K85" s="942" t="e">
        <f>K47</f>
        <v>#REF!</v>
      </c>
      <c r="L85" s="942" t="e">
        <f>+J85-K85</f>
        <v>#REF!</v>
      </c>
      <c r="M85" s="1079" t="e">
        <f>+L85/K85</f>
        <v>#REF!</v>
      </c>
      <c r="O85" s="1077" t="s">
        <v>106</v>
      </c>
      <c r="P85" s="1078" t="s">
        <v>104</v>
      </c>
      <c r="Q85" s="941">
        <f>Q47</f>
        <v>978.90255714948728</v>
      </c>
      <c r="R85" s="941" t="e">
        <f>D85</f>
        <v>#REF!</v>
      </c>
      <c r="S85" s="942" t="e">
        <f>+R85-Q85</f>
        <v>#REF!</v>
      </c>
      <c r="T85" s="1094" t="e">
        <f>+S85/R85</f>
        <v>#REF!</v>
      </c>
      <c r="V85" s="1077" t="s">
        <v>106</v>
      </c>
      <c r="W85" s="1078" t="s">
        <v>104</v>
      </c>
      <c r="X85" s="942">
        <f>Q85</f>
        <v>978.90255714948728</v>
      </c>
      <c r="Y85" s="942" t="e">
        <f>K85</f>
        <v>#REF!</v>
      </c>
      <c r="Z85" s="942" t="e">
        <f>+Y85-X85</f>
        <v>#REF!</v>
      </c>
      <c r="AA85" s="1094" t="e">
        <f>+Z85/Y85</f>
        <v>#REF!</v>
      </c>
      <c r="AF85" s="383">
        <f>+AE79*0.9644</f>
        <v>12512.466319748837</v>
      </c>
      <c r="AG85" s="254"/>
      <c r="AJ85" s="948" t="s">
        <v>7</v>
      </c>
      <c r="AK85" s="943"/>
      <c r="AL85" s="943" t="s">
        <v>11</v>
      </c>
      <c r="AM85" s="943" t="s">
        <v>12</v>
      </c>
      <c r="AN85" s="943"/>
    </row>
    <row r="86" spans="1:46">
      <c r="B86" s="331"/>
      <c r="C86" s="896"/>
      <c r="D86" s="896"/>
      <c r="E86" s="896"/>
      <c r="F86" s="905"/>
      <c r="I86" s="331"/>
      <c r="J86" s="896"/>
      <c r="K86" s="896"/>
      <c r="L86" s="896"/>
      <c r="M86" s="905"/>
      <c r="P86" s="331"/>
      <c r="Q86" s="896"/>
      <c r="R86" s="896"/>
      <c r="S86" s="896"/>
      <c r="T86" s="905"/>
      <c r="W86" s="331"/>
      <c r="X86" s="896"/>
      <c r="Y86" s="896"/>
      <c r="Z86" s="896"/>
      <c r="AA86" s="905"/>
      <c r="AE86" s="3228">
        <f>+AF85-AE81</f>
        <v>-85.997503999329638</v>
      </c>
      <c r="AF86" t="s">
        <v>1587</v>
      </c>
      <c r="AG86" s="254"/>
      <c r="AJ86" s="876" t="s">
        <v>59</v>
      </c>
      <c r="AK86" s="876"/>
      <c r="AL86" s="876">
        <f>+'R+RP+B'!M10*1000</f>
        <v>35774.530485678799</v>
      </c>
      <c r="AM86" s="876">
        <f>+'ST Original'!V37</f>
        <v>26747.418512494936</v>
      </c>
      <c r="AN86" s="876"/>
    </row>
    <row r="87" spans="1:46">
      <c r="Q87" s="409"/>
      <c r="R87" s="409"/>
      <c r="AC87" s="3703">
        <f>AE68*AE73*AE75/10000</f>
        <v>12.974353297126543</v>
      </c>
      <c r="AD87" s="3703">
        <f>AE68*AF73*AE75/10000</f>
        <v>13.519554650647724</v>
      </c>
      <c r="AE87" s="3703"/>
      <c r="AF87" s="3703"/>
      <c r="AH87" s="3703"/>
      <c r="AJ87" s="876" t="s">
        <v>135</v>
      </c>
      <c r="AK87" s="876"/>
      <c r="AL87" s="876" t="e">
        <f>+#REF!/0.966</f>
        <v>#REF!</v>
      </c>
      <c r="AM87" s="876" t="e">
        <f>+#REF!/0.966</f>
        <v>#REF!</v>
      </c>
      <c r="AN87" s="876"/>
    </row>
    <row r="88" spans="1:46" ht="14">
      <c r="A88" s="1089" t="s">
        <v>108</v>
      </c>
      <c r="B88" s="987"/>
      <c r="C88" s="987"/>
      <c r="D88" s="987"/>
      <c r="E88" s="987"/>
      <c r="F88" s="983"/>
      <c r="H88" s="1089" t="s">
        <v>109</v>
      </c>
      <c r="I88" s="987"/>
      <c r="J88" s="987"/>
      <c r="K88" s="987"/>
      <c r="L88" s="987"/>
      <c r="M88" s="983"/>
      <c r="O88" s="1099" t="s">
        <v>110</v>
      </c>
      <c r="P88" s="1100"/>
      <c r="Q88" s="1100"/>
      <c r="R88" s="1100"/>
      <c r="S88" s="1100"/>
      <c r="T88" s="984"/>
      <c r="V88" s="1089" t="s">
        <v>111</v>
      </c>
      <c r="W88" s="987"/>
      <c r="X88" s="987"/>
      <c r="Y88" s="987"/>
      <c r="Z88" s="987"/>
      <c r="AA88" s="983"/>
      <c r="AD88" s="3703">
        <f>AE68*AE73*AF75/10000</f>
        <v>12.928666153617867</v>
      </c>
      <c r="AE88" s="3703"/>
      <c r="AF88" s="3703"/>
      <c r="AH88" s="3703"/>
      <c r="AJ88" s="876" t="s">
        <v>17</v>
      </c>
      <c r="AK88" s="876"/>
      <c r="AL88" s="876" t="e">
        <f>+AL87-AL86</f>
        <v>#REF!</v>
      </c>
      <c r="AM88" s="876" t="e">
        <f>+AM87-AM86</f>
        <v>#REF!</v>
      </c>
      <c r="AN88" s="876" t="e">
        <f>+AL88-AM88</f>
        <v>#REF!</v>
      </c>
    </row>
    <row r="89" spans="1:46" ht="13">
      <c r="A89" s="1090" t="s">
        <v>136</v>
      </c>
      <c r="B89" s="893" t="e">
        <f>C2</f>
        <v>#REF!</v>
      </c>
      <c r="E89" s="4480" t="s">
        <v>43</v>
      </c>
      <c r="F89" s="4481"/>
      <c r="H89" s="1090" t="s">
        <v>136</v>
      </c>
      <c r="I89" s="893" t="e">
        <f>C2</f>
        <v>#REF!</v>
      </c>
      <c r="L89" s="4480" t="s">
        <v>43</v>
      </c>
      <c r="M89" s="4481"/>
      <c r="O89" s="1090" t="s">
        <v>136</v>
      </c>
      <c r="P89" s="894" t="s">
        <v>137</v>
      </c>
      <c r="S89" s="4480" t="s">
        <v>43</v>
      </c>
      <c r="T89" s="4481"/>
      <c r="V89" s="1090" t="s">
        <v>136</v>
      </c>
      <c r="W89" s="893" t="e">
        <f>C2</f>
        <v>#REF!</v>
      </c>
      <c r="Z89" s="4480" t="s">
        <v>43</v>
      </c>
      <c r="AA89" s="4481"/>
      <c r="AD89" s="3703">
        <f>AF68*AE73*AE75/10000</f>
        <v>13.039971343958992</v>
      </c>
      <c r="AE89" s="3703"/>
      <c r="AF89" s="3703"/>
      <c r="AH89" s="3703"/>
      <c r="AJ89" s="876" t="s">
        <v>138</v>
      </c>
      <c r="AK89" s="876"/>
      <c r="AL89" s="876"/>
      <c r="AM89" s="876"/>
      <c r="AN89" s="876"/>
    </row>
    <row r="90" spans="1:46">
      <c r="A90" s="1073"/>
      <c r="B90" s="331" t="s">
        <v>46</v>
      </c>
      <c r="C90" s="331" t="s">
        <v>112</v>
      </c>
      <c r="D90" s="331" t="s">
        <v>47</v>
      </c>
      <c r="E90" s="331" t="s">
        <v>10</v>
      </c>
      <c r="F90" s="1074" t="s">
        <v>48</v>
      </c>
      <c r="H90" s="1073"/>
      <c r="I90" s="331" t="s">
        <v>46</v>
      </c>
      <c r="J90" s="331" t="s">
        <v>112</v>
      </c>
      <c r="K90" s="331" t="s">
        <v>49</v>
      </c>
      <c r="L90" s="331" t="s">
        <v>10</v>
      </c>
      <c r="M90" s="1074" t="s">
        <v>48</v>
      </c>
      <c r="O90" s="1073"/>
      <c r="P90" s="331" t="s">
        <v>46</v>
      </c>
      <c r="Q90" s="331" t="s">
        <v>50</v>
      </c>
      <c r="R90" s="331" t="s">
        <v>47</v>
      </c>
      <c r="S90" s="331" t="s">
        <v>10</v>
      </c>
      <c r="T90" s="1074" t="s">
        <v>48</v>
      </c>
      <c r="V90" s="1073"/>
      <c r="W90" s="331" t="s">
        <v>46</v>
      </c>
      <c r="X90" s="331" t="s">
        <v>50</v>
      </c>
      <c r="Y90" s="331" t="s">
        <v>49</v>
      </c>
      <c r="Z90" s="331" t="s">
        <v>10</v>
      </c>
      <c r="AA90" s="1074" t="s">
        <v>48</v>
      </c>
    </row>
    <row r="91" spans="1:46" ht="13">
      <c r="A91" s="1083" t="s">
        <v>52</v>
      </c>
      <c r="B91" s="1084" t="s">
        <v>53</v>
      </c>
      <c r="C91" s="1085">
        <f>'R+RS+B'!U13</f>
        <v>76.146069268282048</v>
      </c>
      <c r="D91" s="1085">
        <f>D94+D98/Factores!F9</f>
        <v>69.454454911773695</v>
      </c>
      <c r="E91" s="1085">
        <f t="shared" ref="E91:E96" si="79">+C91-D91</f>
        <v>6.691614356508353</v>
      </c>
      <c r="F91" s="1086">
        <f t="shared" ref="F91:F96" si="80">+E91/D91</f>
        <v>9.6345358480007484E-2</v>
      </c>
      <c r="H91" s="1083" t="s">
        <v>52</v>
      </c>
      <c r="I91" s="1084" t="s">
        <v>53</v>
      </c>
      <c r="J91" s="1085">
        <f>C91</f>
        <v>76.146069268282048</v>
      </c>
      <c r="K91" s="1085">
        <f>'BDGT ORI'!U13</f>
        <v>0</v>
      </c>
      <c r="L91" s="1085">
        <f t="shared" ref="L91:L96" si="81">+J91-K91</f>
        <v>76.146069268282048</v>
      </c>
      <c r="M91" s="1086" t="e">
        <f t="shared" ref="M91:M96" si="82">+L91/K91</f>
        <v>#DIV/0!</v>
      </c>
      <c r="O91" s="1109" t="s">
        <v>52</v>
      </c>
      <c r="P91" s="1110" t="s">
        <v>53</v>
      </c>
      <c r="Q91" s="1111">
        <f>'R+RP+B'!U8</f>
        <v>75.921116288304688</v>
      </c>
      <c r="R91" s="1111">
        <f>D91</f>
        <v>69.454454911773695</v>
      </c>
      <c r="S91" s="1111">
        <f t="shared" ref="S91:S96" si="83">+Q91-R91</f>
        <v>6.4666613765309933</v>
      </c>
      <c r="T91" s="1112">
        <f t="shared" ref="T91:T96" si="84">+S91/R91</f>
        <v>9.3106502451792847E-2</v>
      </c>
      <c r="U91" s="906" t="s">
        <v>139</v>
      </c>
      <c r="V91" s="1135" t="s">
        <v>52</v>
      </c>
      <c r="W91" s="1136" t="s">
        <v>53</v>
      </c>
      <c r="X91" s="1137">
        <f>Q91</f>
        <v>75.921116288304688</v>
      </c>
      <c r="Y91" s="1137">
        <f>K91</f>
        <v>0</v>
      </c>
      <c r="Z91" s="1138">
        <f t="shared" ref="Z91:Z96" si="85">+X91-Y91</f>
        <v>75.921116288304688</v>
      </c>
      <c r="AA91" s="1139" t="e">
        <f t="shared" ref="AA91:AA96" si="86">+Z91/Y91</f>
        <v>#DIV/0!</v>
      </c>
    </row>
    <row r="92" spans="1:46" ht="13">
      <c r="A92" s="1073" t="s">
        <v>54</v>
      </c>
      <c r="B92" s="331" t="s">
        <v>53</v>
      </c>
      <c r="C92" s="896">
        <f>'R+RS+B'!U14</f>
        <v>73.706320749886359</v>
      </c>
      <c r="D92" s="896">
        <f>D95+D99*Factores!D9</f>
        <v>78.402771219563206</v>
      </c>
      <c r="E92" s="363">
        <f t="shared" si="79"/>
        <v>-4.6964504696768472</v>
      </c>
      <c r="F92" s="1075">
        <f t="shared" si="80"/>
        <v>-5.9901587617670587E-2</v>
      </c>
      <c r="H92" s="1073" t="s">
        <v>54</v>
      </c>
      <c r="I92" s="331" t="s">
        <v>53</v>
      </c>
      <c r="J92" s="896">
        <f t="shared" ref="J92:J101" si="87">C92</f>
        <v>73.706320749886359</v>
      </c>
      <c r="K92" s="896">
        <f>K95+K99*Factores!D9</f>
        <v>80.712014889202521</v>
      </c>
      <c r="L92" s="363">
        <f t="shared" si="81"/>
        <v>-7.0056941393161622</v>
      </c>
      <c r="M92" s="1075">
        <f t="shared" si="82"/>
        <v>-8.6798652578965282E-2</v>
      </c>
      <c r="O92" s="1073" t="s">
        <v>55</v>
      </c>
      <c r="P92" s="331" t="s">
        <v>53</v>
      </c>
      <c r="Q92" s="896">
        <f>'R+RP+B'!U9</f>
        <v>72.376956267159727</v>
      </c>
      <c r="R92" s="896">
        <f>D92</f>
        <v>78.402771219563206</v>
      </c>
      <c r="S92" s="896">
        <f t="shared" si="83"/>
        <v>-6.0258149524034792</v>
      </c>
      <c r="T92" s="1075">
        <f t="shared" si="84"/>
        <v>-7.6857167912196281E-2</v>
      </c>
      <c r="U92" s="906" t="s">
        <v>139</v>
      </c>
      <c r="V92" s="1073" t="s">
        <v>55</v>
      </c>
      <c r="W92" s="331" t="s">
        <v>53</v>
      </c>
      <c r="X92" s="896">
        <f t="shared" ref="X92:X101" si="88">Q92</f>
        <v>72.376956267159727</v>
      </c>
      <c r="Y92" s="896">
        <f>K92</f>
        <v>80.712014889202521</v>
      </c>
      <c r="Z92" s="896">
        <f t="shared" si="85"/>
        <v>-8.3350586220427942</v>
      </c>
      <c r="AA92" s="1075">
        <f t="shared" si="86"/>
        <v>-0.10326911840182347</v>
      </c>
      <c r="AE92" s="2626" t="s">
        <v>36</v>
      </c>
      <c r="AF92" s="2626" t="s">
        <v>1345</v>
      </c>
      <c r="AG92" s="2626" t="s">
        <v>24</v>
      </c>
      <c r="AH92" s="2626" t="s">
        <v>25</v>
      </c>
      <c r="AI92" s="2626" t="s">
        <v>1346</v>
      </c>
      <c r="AJ92" s="2626" t="s">
        <v>28</v>
      </c>
      <c r="AK92" s="2626" t="s">
        <v>1321</v>
      </c>
    </row>
    <row r="93" spans="1:46" ht="13">
      <c r="A93" s="1073" t="s">
        <v>58</v>
      </c>
      <c r="B93" s="331" t="s">
        <v>53</v>
      </c>
      <c r="C93" s="896">
        <f>C96+C100*Factores!$F$9</f>
        <v>73.706320749886359</v>
      </c>
      <c r="D93" s="896">
        <f>D96+D100*Factores!$F$9</f>
        <v>78.402771219563206</v>
      </c>
      <c r="E93" s="363">
        <f t="shared" si="79"/>
        <v>-4.6964504696768472</v>
      </c>
      <c r="F93" s="1075">
        <f t="shared" si="80"/>
        <v>-5.9901587617670587E-2</v>
      </c>
      <c r="H93" s="1073" t="s">
        <v>58</v>
      </c>
      <c r="I93" s="331" t="s">
        <v>53</v>
      </c>
      <c r="J93" s="896">
        <f>J96+J100*Factores!$F$9</f>
        <v>73.706320749886359</v>
      </c>
      <c r="K93" s="896">
        <f>K96+K100*Factores!$F$9</f>
        <v>80.712014889202521</v>
      </c>
      <c r="L93" s="363">
        <f t="shared" si="81"/>
        <v>-7.0056941393161622</v>
      </c>
      <c r="M93" s="1075">
        <f t="shared" si="82"/>
        <v>-8.6798652578965282E-2</v>
      </c>
      <c r="O93" s="1073" t="s">
        <v>58</v>
      </c>
      <c r="P93" s="331" t="s">
        <v>53</v>
      </c>
      <c r="Q93" s="896">
        <f>Q96+Q100*Factores!$F$9</f>
        <v>72.46994638002576</v>
      </c>
      <c r="R93" s="896">
        <f>R96+R100*Factores!$F$9</f>
        <v>78.402771219563206</v>
      </c>
      <c r="S93" s="896">
        <f t="shared" si="83"/>
        <v>-5.9328248395374459</v>
      </c>
      <c r="T93" s="1075">
        <f t="shared" si="84"/>
        <v>-7.5671111457563847E-2</v>
      </c>
      <c r="V93" s="1073" t="s">
        <v>58</v>
      </c>
      <c r="W93" s="331" t="s">
        <v>53</v>
      </c>
      <c r="X93" s="896">
        <f>X96+X100*Factores!$F$9</f>
        <v>72.46994638002576</v>
      </c>
      <c r="Y93" s="896">
        <f>Y96+Y100*Factores!$F$9</f>
        <v>80.712014889202521</v>
      </c>
      <c r="Z93" s="896">
        <f t="shared" si="85"/>
        <v>-8.2420685091767609</v>
      </c>
      <c r="AA93" s="1075">
        <f t="shared" si="86"/>
        <v>-0.10211699609396527</v>
      </c>
      <c r="AC93" s="2657" t="s">
        <v>174</v>
      </c>
      <c r="AE93" s="945">
        <f>AF70</f>
        <v>8414.2411591830714</v>
      </c>
      <c r="AF93" s="2977">
        <f>AF69</f>
        <v>88.216548475401808</v>
      </c>
      <c r="AG93" s="2978">
        <f>AF73</f>
        <v>0.51107741857165567</v>
      </c>
      <c r="AH93" s="2977">
        <f>AF75</f>
        <v>90.302073381744648</v>
      </c>
      <c r="AI93" s="945">
        <f>AF81-AF79</f>
        <v>-1425.8469531966366</v>
      </c>
      <c r="AJ93" s="945">
        <f>AE93*$AC$62*24*AF93/100*AG93/100*AH93/100+AI93</f>
        <v>12139.928287581213</v>
      </c>
      <c r="AK93" s="945">
        <f>AJ93</f>
        <v>12139.928287581213</v>
      </c>
    </row>
    <row r="94" spans="1:46" ht="13">
      <c r="A94" s="1083" t="s">
        <v>59</v>
      </c>
      <c r="B94" s="1084" t="s">
        <v>53</v>
      </c>
      <c r="C94" s="1085">
        <f>'R+RS+B'!U15</f>
        <v>69.638428916453179</v>
      </c>
      <c r="D94" s="1085">
        <f>BDGT!T8</f>
        <v>68.58901260981412</v>
      </c>
      <c r="E94" s="1085">
        <f t="shared" si="79"/>
        <v>1.0494163066390598</v>
      </c>
      <c r="F94" s="1086">
        <f t="shared" si="80"/>
        <v>1.5300064350086637E-2</v>
      </c>
      <c r="H94" s="1083" t="s">
        <v>59</v>
      </c>
      <c r="I94" s="1084" t="s">
        <v>53</v>
      </c>
      <c r="J94" s="1085">
        <f t="shared" si="87"/>
        <v>69.638428916453179</v>
      </c>
      <c r="K94" s="1085">
        <f>'BDGT ORI'!U15</f>
        <v>75.347786205926568</v>
      </c>
      <c r="L94" s="1085">
        <f t="shared" si="81"/>
        <v>-5.7093572894733882</v>
      </c>
      <c r="M94" s="1086">
        <f t="shared" si="82"/>
        <v>-7.5773391322601483E-2</v>
      </c>
      <c r="O94" s="1109" t="s">
        <v>59</v>
      </c>
      <c r="P94" s="1110" t="s">
        <v>53</v>
      </c>
      <c r="Q94" s="1111">
        <f>'R+RP+B'!U10</f>
        <v>69.24782651706704</v>
      </c>
      <c r="R94" s="1111">
        <f>D94</f>
        <v>68.58901260981412</v>
      </c>
      <c r="S94" s="1111">
        <f t="shared" si="83"/>
        <v>0.65881390725292022</v>
      </c>
      <c r="T94" s="1112">
        <f t="shared" si="84"/>
        <v>9.6052397050931347E-3</v>
      </c>
      <c r="U94" s="906" t="s">
        <v>139</v>
      </c>
      <c r="V94" s="1135" t="s">
        <v>59</v>
      </c>
      <c r="W94" s="1136" t="s">
        <v>53</v>
      </c>
      <c r="X94" s="1137">
        <f t="shared" si="88"/>
        <v>69.24782651706704</v>
      </c>
      <c r="Y94" s="1137">
        <f t="shared" ref="Y94:Y99" si="89">K94</f>
        <v>75.347786205926568</v>
      </c>
      <c r="Z94" s="1138">
        <f t="shared" si="85"/>
        <v>-6.0999596888595278</v>
      </c>
      <c r="AA94" s="1139">
        <f t="shared" si="86"/>
        <v>-8.0957384364130511E-2</v>
      </c>
      <c r="AC94" s="2657" t="s">
        <v>36</v>
      </c>
      <c r="AE94" s="945">
        <f>AE70</f>
        <v>8365.4530972161592</v>
      </c>
      <c r="AF94" s="2977">
        <f>AF93</f>
        <v>88.216548475401808</v>
      </c>
      <c r="AG94" s="2978">
        <f>AG93</f>
        <v>0.51107741857165567</v>
      </c>
      <c r="AH94" s="2977">
        <f>AH93</f>
        <v>90.302073381744648</v>
      </c>
      <c r="AI94" s="945">
        <f>AI93</f>
        <v>-1425.8469531966366</v>
      </c>
      <c r="AJ94" s="945">
        <f t="shared" ref="AJ94:AJ99" si="90">AE94*$AC$62*24*AF94/100*AG94/100*AH94/100+AI94</f>
        <v>12061.270227923158</v>
      </c>
      <c r="AK94" s="945">
        <f>AJ94-AJ93</f>
        <v>-78.658059658055208</v>
      </c>
    </row>
    <row r="95" spans="1:46" ht="13">
      <c r="A95" s="1073" t="s">
        <v>60</v>
      </c>
      <c r="B95" s="331" t="s">
        <v>53</v>
      </c>
      <c r="C95" s="896">
        <f>'R+RS+B'!U16</f>
        <v>67.360940425649176</v>
      </c>
      <c r="D95" s="896">
        <f>BDGT!T7</f>
        <v>71.201971836811452</v>
      </c>
      <c r="E95" s="363">
        <f t="shared" si="79"/>
        <v>-3.8410314111622768</v>
      </c>
      <c r="F95" s="1075">
        <f t="shared" si="80"/>
        <v>-5.3945576394507401E-2</v>
      </c>
      <c r="H95" s="1073" t="s">
        <v>60</v>
      </c>
      <c r="I95" s="331" t="s">
        <v>53</v>
      </c>
      <c r="J95" s="896">
        <f>C95</f>
        <v>67.360940425649176</v>
      </c>
      <c r="K95" s="896">
        <f>+'BDGT ORI'!U16</f>
        <v>72.78596147492506</v>
      </c>
      <c r="L95" s="363">
        <f t="shared" si="81"/>
        <v>-5.4250210492758839</v>
      </c>
      <c r="M95" s="1075">
        <f t="shared" si="82"/>
        <v>-7.4533892791191839E-2</v>
      </c>
      <c r="O95" s="1073" t="s">
        <v>61</v>
      </c>
      <c r="P95" s="331" t="s">
        <v>53</v>
      </c>
      <c r="Q95" s="724">
        <f>'R+RP+B'!U11</f>
        <v>66.124566055788577</v>
      </c>
      <c r="R95" s="896">
        <f>D95</f>
        <v>71.201971836811452</v>
      </c>
      <c r="S95" s="896">
        <f t="shared" si="83"/>
        <v>-5.0774057810228754</v>
      </c>
      <c r="T95" s="1075">
        <f t="shared" si="84"/>
        <v>-7.1309904066418767E-2</v>
      </c>
      <c r="U95" s="906" t="s">
        <v>139</v>
      </c>
      <c r="V95" s="1073" t="s">
        <v>61</v>
      </c>
      <c r="W95" s="331" t="s">
        <v>53</v>
      </c>
      <c r="X95" s="896">
        <f t="shared" si="88"/>
        <v>66.124566055788577</v>
      </c>
      <c r="Y95" s="896">
        <f t="shared" si="89"/>
        <v>72.78596147492506</v>
      </c>
      <c r="Z95" s="896">
        <f t="shared" si="85"/>
        <v>-6.6613954191364826</v>
      </c>
      <c r="AA95" s="1075">
        <f t="shared" si="86"/>
        <v>-9.1520332824501463E-2</v>
      </c>
      <c r="AC95" s="2657" t="s">
        <v>1345</v>
      </c>
      <c r="AE95" s="945">
        <f>AE94</f>
        <v>8365.4530972161592</v>
      </c>
      <c r="AF95" s="2977">
        <f>AE69</f>
        <v>88.117327699326225</v>
      </c>
      <c r="AG95" s="2978">
        <f>AG93</f>
        <v>0.51107741857165567</v>
      </c>
      <c r="AH95" s="2977">
        <f>AH93</f>
        <v>90.302073381744648</v>
      </c>
      <c r="AI95" s="945">
        <f>AI93</f>
        <v>-1425.8469531966366</v>
      </c>
      <c r="AJ95" s="945">
        <f t="shared" si="90"/>
        <v>12046.100713168154</v>
      </c>
      <c r="AK95" s="945">
        <f>AJ95-AJ94</f>
        <v>-15.169514755003547</v>
      </c>
      <c r="AL95" s="2983">
        <f>SUM(AK94:AK95)</f>
        <v>-93.827574413058755</v>
      </c>
    </row>
    <row r="96" spans="1:46" ht="13">
      <c r="A96" s="1073" t="s">
        <v>63</v>
      </c>
      <c r="B96" s="331" t="s">
        <v>53</v>
      </c>
      <c r="C96" s="896">
        <f>C95/Factores!$D$7*Factores!$F$7</f>
        <v>67.360940425649176</v>
      </c>
      <c r="D96" s="896">
        <f>D95/Factores!$D$7*Factores!$F$7</f>
        <v>71.201971836811452</v>
      </c>
      <c r="E96" s="363">
        <f t="shared" si="79"/>
        <v>-3.8410314111622768</v>
      </c>
      <c r="F96" s="1075">
        <f t="shared" si="80"/>
        <v>-5.3945576394507401E-2</v>
      </c>
      <c r="H96" s="1073" t="s">
        <v>63</v>
      </c>
      <c r="I96" s="331" t="s">
        <v>53</v>
      </c>
      <c r="J96" s="896">
        <f>J95/Factores!$D$7*Factores!$F$7</f>
        <v>67.360940425649176</v>
      </c>
      <c r="K96" s="896">
        <f>K95/Factores!$D$7*Factores!$F$7</f>
        <v>72.78596147492506</v>
      </c>
      <c r="L96" s="363">
        <f t="shared" si="81"/>
        <v>-5.4250210492758839</v>
      </c>
      <c r="M96" s="1075">
        <f t="shared" si="82"/>
        <v>-7.4533892791191839E-2</v>
      </c>
      <c r="O96" s="1073" t="s">
        <v>63</v>
      </c>
      <c r="P96" s="331" t="s">
        <v>53</v>
      </c>
      <c r="Q96" s="724">
        <f>Q95/Factores!$D$7*Factores!$F$7</f>
        <v>66.124566055788577</v>
      </c>
      <c r="R96" s="896">
        <f>R95/Factores!$D$7*Factores!$F$7</f>
        <v>71.201971836811452</v>
      </c>
      <c r="S96" s="896">
        <f t="shared" si="83"/>
        <v>-5.0774057810228754</v>
      </c>
      <c r="T96" s="1075">
        <f t="shared" si="84"/>
        <v>-7.1309904066418767E-2</v>
      </c>
      <c r="V96" s="1073" t="s">
        <v>63</v>
      </c>
      <c r="W96" s="331" t="s">
        <v>53</v>
      </c>
      <c r="X96" s="896">
        <f>X95/Factores!$D$7*Factores!$F$7</f>
        <v>66.124566055788577</v>
      </c>
      <c r="Y96" s="896">
        <f>Y95/Factores!$D$7*Factores!$F$7</f>
        <v>72.78596147492506</v>
      </c>
      <c r="Z96" s="896">
        <f t="shared" si="85"/>
        <v>-6.6613954191364826</v>
      </c>
      <c r="AA96" s="1075">
        <f t="shared" si="86"/>
        <v>-9.1520332824501463E-2</v>
      </c>
      <c r="AC96" s="2657" t="s">
        <v>1167</v>
      </c>
      <c r="AE96" s="945">
        <f>AE94</f>
        <v>8365.4530972161592</v>
      </c>
      <c r="AF96" s="2977">
        <f>AF95</f>
        <v>88.117327699326225</v>
      </c>
      <c r="AG96" s="2978">
        <f>AE73</f>
        <v>0.49046726479369607</v>
      </c>
      <c r="AH96" s="2977">
        <f>AH93</f>
        <v>90.302073381744648</v>
      </c>
      <c r="AI96" s="945">
        <f>AI93</f>
        <v>-1425.8469531966366</v>
      </c>
      <c r="AJ96" s="945">
        <f t="shared" si="90"/>
        <v>11502.819200421232</v>
      </c>
      <c r="AK96" s="945">
        <f>AJ96-AJ95</f>
        <v>-543.28151274692209</v>
      </c>
    </row>
    <row r="97" spans="1:38" ht="12.75" customHeight="1">
      <c r="A97" s="1073" t="s">
        <v>65</v>
      </c>
      <c r="B97" s="331" t="s">
        <v>53</v>
      </c>
      <c r="C97" s="896">
        <f>'R+RS+B'!S62</f>
        <v>-0.38333867777673802</v>
      </c>
      <c r="D97" s="896"/>
      <c r="E97" s="363"/>
      <c r="F97" s="1075"/>
      <c r="H97" s="1073" t="s">
        <v>65</v>
      </c>
      <c r="I97" s="331" t="s">
        <v>53</v>
      </c>
      <c r="J97" s="896">
        <f t="shared" si="87"/>
        <v>-0.38333867777673802</v>
      </c>
      <c r="K97" s="896"/>
      <c r="L97" s="363"/>
      <c r="M97" s="1075"/>
      <c r="O97" s="1073" t="s">
        <v>65</v>
      </c>
      <c r="P97" s="331" t="s">
        <v>53</v>
      </c>
      <c r="Q97" s="896">
        <f>'R+RP+B'!S59</f>
        <v>11.964239212365424</v>
      </c>
      <c r="R97" s="896"/>
      <c r="S97" s="363"/>
      <c r="T97" s="1075"/>
      <c r="V97" s="1073" t="s">
        <v>65</v>
      </c>
      <c r="W97" s="331" t="s">
        <v>53</v>
      </c>
      <c r="X97" s="896">
        <f t="shared" si="88"/>
        <v>11.964239212365424</v>
      </c>
      <c r="Y97" s="896"/>
      <c r="Z97" s="896"/>
      <c r="AA97" s="1075"/>
      <c r="AC97" s="2657" t="s">
        <v>51</v>
      </c>
      <c r="AE97" s="945">
        <f>AE94</f>
        <v>8365.4530972161592</v>
      </c>
      <c r="AF97" s="2977">
        <f>AF95</f>
        <v>88.117327699326225</v>
      </c>
      <c r="AG97" s="2978">
        <f>AG96</f>
        <v>0.49046726479369607</v>
      </c>
      <c r="AH97" s="2977">
        <f>AE75</f>
        <v>90.621181612764147</v>
      </c>
      <c r="AI97" s="945">
        <f>AI96</f>
        <v>-1425.8469531966366</v>
      </c>
      <c r="AJ97" s="945">
        <f t="shared" si="90"/>
        <v>11548.506343929908</v>
      </c>
      <c r="AK97" s="945">
        <f>AJ97-AJ96</f>
        <v>45.687143508675945</v>
      </c>
    </row>
    <row r="98" spans="1:38" ht="13">
      <c r="A98" s="1083" t="s">
        <v>66</v>
      </c>
      <c r="B98" s="1084" t="s">
        <v>53</v>
      </c>
      <c r="C98" s="1085">
        <f>'R+RS+B'!U17</f>
        <v>2.2447879792441738</v>
      </c>
      <c r="D98" s="1085">
        <f>BDGT!T9</f>
        <v>2.5089172333808136</v>
      </c>
      <c r="E98" s="1085">
        <f>+C98-D98</f>
        <v>-0.26412925413663979</v>
      </c>
      <c r="F98" s="1086">
        <f>+E98/D98</f>
        <v>-0.10527619270274635</v>
      </c>
      <c r="H98" s="1083" t="s">
        <v>66</v>
      </c>
      <c r="I98" s="1084" t="s">
        <v>53</v>
      </c>
      <c r="J98" s="1085">
        <f t="shared" si="87"/>
        <v>2.2447879792441738</v>
      </c>
      <c r="K98" s="1085">
        <f>'BDGT ORI'!U17</f>
        <v>2.7478036662364831</v>
      </c>
      <c r="L98" s="1085">
        <f>+J98-K98</f>
        <v>-0.50301568699230925</v>
      </c>
      <c r="M98" s="1086">
        <f>+L98/K98</f>
        <v>-0.18306100001724737</v>
      </c>
      <c r="O98" s="1109" t="s">
        <v>66</v>
      </c>
      <c r="P98" s="1110" t="s">
        <v>53</v>
      </c>
      <c r="Q98" s="1113">
        <f>'R+RP+B'!U12</f>
        <v>2.3019281722102938</v>
      </c>
      <c r="R98" s="1113">
        <f>D98</f>
        <v>2.5089172333808136</v>
      </c>
      <c r="S98" s="1113">
        <f>+Q98-R98</f>
        <v>-0.20698906117051985</v>
      </c>
      <c r="T98" s="1112">
        <f>+S98/R98</f>
        <v>-8.2501350947953814E-2</v>
      </c>
      <c r="U98" s="906" t="s">
        <v>139</v>
      </c>
      <c r="V98" s="1135" t="s">
        <v>66</v>
      </c>
      <c r="W98" s="1136" t="s">
        <v>53</v>
      </c>
      <c r="X98" s="1140">
        <f t="shared" si="88"/>
        <v>2.3019281722102938</v>
      </c>
      <c r="Y98" s="1140">
        <f t="shared" si="89"/>
        <v>2.7478036662364831</v>
      </c>
      <c r="Z98" s="1141">
        <f>+X98-Y98</f>
        <v>-0.44587549402618931</v>
      </c>
      <c r="AA98" s="1139">
        <f>+Z98/Y98</f>
        <v>-0.16226613986467259</v>
      </c>
      <c r="AC98" s="2658" t="s">
        <v>1378</v>
      </c>
      <c r="AD98" s="2982"/>
      <c r="AE98" s="2979">
        <f>AE97</f>
        <v>8365.4530972161592</v>
      </c>
      <c r="AF98" s="2980">
        <f>AF96</f>
        <v>88.117327699326225</v>
      </c>
      <c r="AG98" s="2981">
        <f>AG96</f>
        <v>0.49046726479369607</v>
      </c>
      <c r="AH98" s="2980">
        <f>AH97</f>
        <v>90.621181612764147</v>
      </c>
      <c r="AI98" s="2979">
        <f>AE81-AE79</f>
        <v>-375.88947337837453</v>
      </c>
      <c r="AJ98" s="2979">
        <f t="shared" si="90"/>
        <v>12598.46382374817</v>
      </c>
      <c r="AK98" s="2979">
        <f>AJ98-AJ97</f>
        <v>1049.9574798182621</v>
      </c>
    </row>
    <row r="99" spans="1:38" ht="13">
      <c r="A99" s="1073" t="s">
        <v>67</v>
      </c>
      <c r="B99" s="331" t="s">
        <v>53</v>
      </c>
      <c r="C99" s="363">
        <f>'R+RS+B'!U18</f>
        <v>2.1888169452353146</v>
      </c>
      <c r="D99" s="363">
        <f>BDGT!T10*Factores!$D$8</f>
        <v>2.4838907839778406</v>
      </c>
      <c r="E99" s="363">
        <f>+C99-D99</f>
        <v>-0.29507383874252602</v>
      </c>
      <c r="F99" s="1075">
        <f>+E99/D99</f>
        <v>-0.11879501330971501</v>
      </c>
      <c r="H99" s="1073" t="s">
        <v>67</v>
      </c>
      <c r="I99" s="331" t="s">
        <v>53</v>
      </c>
      <c r="J99" s="363">
        <f>C99</f>
        <v>2.1888169452353146</v>
      </c>
      <c r="K99" s="363">
        <f>'BDGT ORI'!U18</f>
        <v>2.7340646479053001</v>
      </c>
      <c r="L99" s="363">
        <f>+J99-K99</f>
        <v>-0.54524770266998557</v>
      </c>
      <c r="M99" s="1075">
        <f>+L99/K99</f>
        <v>-0.19942750918041618</v>
      </c>
      <c r="O99" s="1073" t="s">
        <v>68</v>
      </c>
      <c r="P99" s="331" t="s">
        <v>53</v>
      </c>
      <c r="Q99" s="724">
        <f>'R+RP+B'!U13</f>
        <v>2.1888169452353146</v>
      </c>
      <c r="R99" s="724">
        <f>D99</f>
        <v>2.4838907839778406</v>
      </c>
      <c r="S99" s="363">
        <f>+Q99-R99</f>
        <v>-0.29507383874252602</v>
      </c>
      <c r="T99" s="1075">
        <f>+S99/R99</f>
        <v>-0.11879501330971501</v>
      </c>
      <c r="U99" s="906" t="s">
        <v>139</v>
      </c>
      <c r="V99" s="1073" t="s">
        <v>68</v>
      </c>
      <c r="W99" s="331" t="s">
        <v>53</v>
      </c>
      <c r="X99" s="363">
        <f t="shared" si="88"/>
        <v>2.1888169452353146</v>
      </c>
      <c r="Y99" s="363">
        <f t="shared" si="89"/>
        <v>2.7340646479053001</v>
      </c>
      <c r="Z99" s="363">
        <f>+X99-Y99</f>
        <v>-0.54524770266998557</v>
      </c>
      <c r="AA99" s="1075">
        <f>+Z99/Y99</f>
        <v>-0.19942750918041618</v>
      </c>
      <c r="AC99" s="2657" t="s">
        <v>50</v>
      </c>
      <c r="AE99" s="945">
        <f>AE98</f>
        <v>8365.4530972161592</v>
      </c>
      <c r="AF99">
        <f>AF98</f>
        <v>88.117327699326225</v>
      </c>
      <c r="AG99">
        <f>AG98</f>
        <v>0.49046726479369607</v>
      </c>
      <c r="AH99">
        <f>AH98</f>
        <v>90.621181612764147</v>
      </c>
      <c r="AI99">
        <f>AI98</f>
        <v>-375.88947337837453</v>
      </c>
      <c r="AJ99" s="157">
        <f t="shared" si="90"/>
        <v>12598.46382374817</v>
      </c>
      <c r="AK99" s="945">
        <f>AJ98</f>
        <v>12598.46382374817</v>
      </c>
      <c r="AL99" s="2983">
        <f>SUM(AK94:AK98)</f>
        <v>458.53553616695717</v>
      </c>
    </row>
    <row r="100" spans="1:38">
      <c r="A100" s="1073" t="s">
        <v>69</v>
      </c>
      <c r="B100" s="331" t="s">
        <v>53</v>
      </c>
      <c r="C100" s="363">
        <f>C99/Factores!$D$8*Factores!$F$8</f>
        <v>2.1888169452353146</v>
      </c>
      <c r="D100" s="363">
        <f>D99/Factores!$D$8*Factores!$F$8</f>
        <v>2.4838907839778406</v>
      </c>
      <c r="E100" s="363">
        <f>+C100-D100</f>
        <v>-0.29507383874252602</v>
      </c>
      <c r="F100" s="1075">
        <f>+E100/D100</f>
        <v>-0.11879501330971501</v>
      </c>
      <c r="H100" s="1073" t="s">
        <v>69</v>
      </c>
      <c r="I100" s="331" t="s">
        <v>53</v>
      </c>
      <c r="J100" s="363">
        <f>J99/Factores!$D$8*Factores!$F$8</f>
        <v>2.1888169452353146</v>
      </c>
      <c r="K100" s="363">
        <f>K99/Factores!$D$8*Factores!$F$8</f>
        <v>2.7340646479053001</v>
      </c>
      <c r="L100" s="363">
        <f>+J100-K100</f>
        <v>-0.54524770266998557</v>
      </c>
      <c r="M100" s="1075">
        <f>+L100/K100</f>
        <v>-0.19942750918041618</v>
      </c>
      <c r="O100" s="1073" t="s">
        <v>69</v>
      </c>
      <c r="P100" s="331" t="s">
        <v>53</v>
      </c>
      <c r="Q100" s="724">
        <f>Q99/Factores!$D$8*Factores!$F$8</f>
        <v>2.1888169452353146</v>
      </c>
      <c r="R100" s="724">
        <f>R99/Factores!$D$8*Factores!$F$8</f>
        <v>2.4838907839778406</v>
      </c>
      <c r="S100" s="363">
        <f>+Q100-R100</f>
        <v>-0.29507383874252602</v>
      </c>
      <c r="T100" s="1075">
        <f>+S100/R100</f>
        <v>-0.11879501330971501</v>
      </c>
      <c r="V100" s="1073" t="s">
        <v>69</v>
      </c>
      <c r="W100" s="331" t="s">
        <v>53</v>
      </c>
      <c r="X100" s="363">
        <f>X99/Factores!$D$8*Factores!$F$8</f>
        <v>2.1888169452353146</v>
      </c>
      <c r="Y100" s="363">
        <f>Y99/Factores!$D$8*Factores!$F$8</f>
        <v>2.7340646479053001</v>
      </c>
      <c r="Z100" s="363">
        <f>+X100-Y100</f>
        <v>-0.54524770266998557</v>
      </c>
      <c r="AA100" s="1075">
        <f>+Z100/Y100</f>
        <v>-0.19942750918041618</v>
      </c>
    </row>
    <row r="101" spans="1:38" ht="12.75" hidden="1" customHeight="1">
      <c r="A101" s="1073" t="s">
        <v>70</v>
      </c>
      <c r="B101" s="331" t="s">
        <v>53</v>
      </c>
      <c r="C101" s="363">
        <f>'R+RS+B'!S65</f>
        <v>8.304852953718711E-2</v>
      </c>
      <c r="D101" s="363"/>
      <c r="E101" s="363"/>
      <c r="F101" s="1075"/>
      <c r="H101" s="1073" t="s">
        <v>70</v>
      </c>
      <c r="I101" s="331" t="s">
        <v>53</v>
      </c>
      <c r="J101" s="363">
        <f t="shared" si="87"/>
        <v>8.304852953718711E-2</v>
      </c>
      <c r="K101" s="363"/>
      <c r="L101" s="363"/>
      <c r="M101" s="1075"/>
      <c r="O101" s="1073" t="s">
        <v>70</v>
      </c>
      <c r="P101" s="331" t="s">
        <v>53</v>
      </c>
      <c r="Q101" s="363">
        <f>'R+RP+B'!S62</f>
        <v>0.14018872250330716</v>
      </c>
      <c r="R101" s="363"/>
      <c r="S101" s="896">
        <f>+Q101-R101</f>
        <v>0.14018872250330716</v>
      </c>
      <c r="T101" s="1075"/>
      <c r="V101" s="1073" t="s">
        <v>70</v>
      </c>
      <c r="W101" s="331" t="s">
        <v>53</v>
      </c>
      <c r="X101" s="363">
        <f t="shared" si="88"/>
        <v>0.14018872250330716</v>
      </c>
      <c r="Y101" s="896"/>
      <c r="Z101" s="363"/>
      <c r="AA101" s="1075"/>
    </row>
    <row r="102" spans="1:38">
      <c r="A102" s="1073"/>
      <c r="B102" s="331"/>
      <c r="C102" s="363"/>
      <c r="D102" s="363"/>
      <c r="E102" s="363"/>
      <c r="F102" s="1075"/>
      <c r="H102" s="1073"/>
      <c r="I102" s="331"/>
      <c r="J102" s="363"/>
      <c r="K102" s="363"/>
      <c r="L102" s="363"/>
      <c r="M102" s="1075"/>
      <c r="O102" s="1073"/>
      <c r="P102" s="331"/>
      <c r="Q102" s="331"/>
      <c r="R102" s="331"/>
      <c r="S102" s="331"/>
      <c r="T102" s="1075"/>
      <c r="V102" s="1073"/>
      <c r="W102" s="331"/>
      <c r="X102" s="363"/>
      <c r="Y102" s="896"/>
      <c r="Z102" s="363"/>
      <c r="AA102" s="1075"/>
    </row>
    <row r="103" spans="1:38">
      <c r="A103" s="1091" t="s">
        <v>76</v>
      </c>
      <c r="B103" s="897" t="s">
        <v>77</v>
      </c>
      <c r="C103" s="383" t="e">
        <f>'R+RS+B'!U11</f>
        <v>#REF!</v>
      </c>
      <c r="D103" s="383" t="e">
        <f>BDGT!#REF!</f>
        <v>#REF!</v>
      </c>
      <c r="E103" s="383" t="e">
        <f t="shared" ref="E103:E108" si="91">+C103-D103</f>
        <v>#REF!</v>
      </c>
      <c r="F103" s="1076" t="e">
        <f t="shared" ref="F103:F108" si="92">+E103/D103</f>
        <v>#REF!</v>
      </c>
      <c r="H103" s="1091" t="s">
        <v>76</v>
      </c>
      <c r="I103" s="897" t="s">
        <v>77</v>
      </c>
      <c r="J103" s="383" t="e">
        <f t="shared" ref="J103:J108" si="93">C103</f>
        <v>#REF!</v>
      </c>
      <c r="K103" s="383">
        <f>'BDGT ORI'!U11</f>
        <v>0</v>
      </c>
      <c r="L103" s="383" t="e">
        <f t="shared" ref="L103:L108" si="94">+J103-K103</f>
        <v>#REF!</v>
      </c>
      <c r="M103" s="1076" t="e">
        <f t="shared" ref="M103:M108" si="95">+L103/K103</f>
        <v>#REF!</v>
      </c>
      <c r="O103" s="1073" t="s">
        <v>76</v>
      </c>
      <c r="P103" s="331" t="s">
        <v>77</v>
      </c>
      <c r="Q103" s="383" t="e">
        <f>'R+RP+B'!#REF!</f>
        <v>#REF!</v>
      </c>
      <c r="R103" s="383" t="e">
        <f t="shared" ref="R103:R108" si="96">D103</f>
        <v>#REF!</v>
      </c>
      <c r="S103" s="383" t="e">
        <f t="shared" ref="S103:S108" si="97">+Q103-R103</f>
        <v>#REF!</v>
      </c>
      <c r="T103" s="1075" t="e">
        <f t="shared" ref="T103:T111" si="98">+S103/R103</f>
        <v>#REF!</v>
      </c>
      <c r="U103" s="906" t="s">
        <v>139</v>
      </c>
      <c r="V103" s="1073" t="s">
        <v>76</v>
      </c>
      <c r="W103" s="331" t="s">
        <v>77</v>
      </c>
      <c r="X103" s="383" t="e">
        <f t="shared" ref="X103:X108" si="99">Q103</f>
        <v>#REF!</v>
      </c>
      <c r="Y103" s="219">
        <f t="shared" ref="Y103:Y108" si="100">K103</f>
        <v>0</v>
      </c>
      <c r="Z103" s="383" t="e">
        <f t="shared" ref="Z103:Z108" si="101">+X103-Y103</f>
        <v>#REF!</v>
      </c>
      <c r="AA103" s="1075" t="e">
        <f t="shared" ref="AA103:AA108" si="102">+Z103/Y103</f>
        <v>#REF!</v>
      </c>
    </row>
    <row r="104" spans="1:38">
      <c r="A104" s="1073" t="s">
        <v>78</v>
      </c>
      <c r="B104" s="331" t="s">
        <v>53</v>
      </c>
      <c r="C104" s="383">
        <f>'R+RS+B'!U20</f>
        <v>14937.268251920199</v>
      </c>
      <c r="D104" s="383">
        <f>BDGT!T24</f>
        <v>0</v>
      </c>
      <c r="E104" s="383">
        <f t="shared" si="91"/>
        <v>14937.268251920199</v>
      </c>
      <c r="F104" s="1076" t="e">
        <f t="shared" si="92"/>
        <v>#DIV/0!</v>
      </c>
      <c r="H104" s="1073" t="s">
        <v>78</v>
      </c>
      <c r="I104" s="331" t="s">
        <v>53</v>
      </c>
      <c r="J104" s="383">
        <f t="shared" si="93"/>
        <v>14937.268251920199</v>
      </c>
      <c r="K104" s="383">
        <f>'BDGT ORI'!U20</f>
        <v>15946.360231774815</v>
      </c>
      <c r="L104" s="383">
        <f t="shared" si="94"/>
        <v>-1009.0919798546165</v>
      </c>
      <c r="M104" s="1076">
        <f t="shared" si="95"/>
        <v>-6.3280395349648105E-2</v>
      </c>
      <c r="O104" s="1073" t="s">
        <v>78</v>
      </c>
      <c r="P104" s="331" t="s">
        <v>53</v>
      </c>
      <c r="Q104" s="383">
        <f>'R+RP+B'!U15</f>
        <v>14929.683820629605</v>
      </c>
      <c r="R104" s="383">
        <f t="shared" si="96"/>
        <v>0</v>
      </c>
      <c r="S104" s="383">
        <f t="shared" si="97"/>
        <v>14929.683820629605</v>
      </c>
      <c r="T104" s="1075" t="e">
        <f t="shared" si="98"/>
        <v>#DIV/0!</v>
      </c>
      <c r="U104" s="906" t="s">
        <v>139</v>
      </c>
      <c r="V104" s="1073" t="s">
        <v>78</v>
      </c>
      <c r="W104" s="331" t="s">
        <v>53</v>
      </c>
      <c r="X104" s="383">
        <f t="shared" si="99"/>
        <v>14929.683820629605</v>
      </c>
      <c r="Y104" s="383">
        <f t="shared" si="100"/>
        <v>15946.360231774815</v>
      </c>
      <c r="Z104" s="383">
        <f t="shared" si="101"/>
        <v>-1016.6764111452103</v>
      </c>
      <c r="AA104" s="1075">
        <f t="shared" si="102"/>
        <v>-6.3756016819397729E-2</v>
      </c>
    </row>
    <row r="105" spans="1:38">
      <c r="A105" s="1073" t="s">
        <v>79</v>
      </c>
      <c r="B105" s="331" t="s">
        <v>75</v>
      </c>
      <c r="C105" s="896">
        <f>'R+RS+B'!U21</f>
        <v>165.96964724355777</v>
      </c>
      <c r="D105" s="896">
        <f>BDGT!T13</f>
        <v>168.77709236819251</v>
      </c>
      <c r="E105" s="896">
        <f t="shared" si="91"/>
        <v>-2.8074451246347394</v>
      </c>
      <c r="F105" s="1076">
        <f t="shared" si="92"/>
        <v>-1.6634041298153247E-2</v>
      </c>
      <c r="H105" s="1073" t="s">
        <v>79</v>
      </c>
      <c r="I105" s="331" t="s">
        <v>75</v>
      </c>
      <c r="J105" s="896">
        <f t="shared" si="93"/>
        <v>165.96964724355777</v>
      </c>
      <c r="K105" s="896">
        <f>'BDGT ORI'!U21</f>
        <v>175.23472782170126</v>
      </c>
      <c r="L105" s="896">
        <f t="shared" si="94"/>
        <v>-9.2650805781434826</v>
      </c>
      <c r="M105" s="1076">
        <f t="shared" si="95"/>
        <v>-5.2872399742421861E-2</v>
      </c>
      <c r="O105" s="1073" t="s">
        <v>79</v>
      </c>
      <c r="P105" s="331" t="s">
        <v>75</v>
      </c>
      <c r="Q105" s="896">
        <f>'R+RP+B'!U16</f>
        <v>165.8853757847734</v>
      </c>
      <c r="R105" s="896">
        <f t="shared" si="96"/>
        <v>168.77709236819251</v>
      </c>
      <c r="S105" s="896">
        <f t="shared" si="97"/>
        <v>-2.891716583419111</v>
      </c>
      <c r="T105" s="1075">
        <f t="shared" si="98"/>
        <v>-1.7133347558273729E-2</v>
      </c>
      <c r="U105" s="906" t="s">
        <v>139</v>
      </c>
      <c r="V105" s="1073" t="s">
        <v>79</v>
      </c>
      <c r="W105" s="331" t="s">
        <v>75</v>
      </c>
      <c r="X105" s="896">
        <f t="shared" si="99"/>
        <v>165.8853757847734</v>
      </c>
      <c r="Y105" s="896">
        <f t="shared" si="100"/>
        <v>175.23472782170126</v>
      </c>
      <c r="Z105" s="896">
        <f t="shared" si="101"/>
        <v>-9.3493520369278542</v>
      </c>
      <c r="AA105" s="1075">
        <f t="shared" si="102"/>
        <v>-5.3353305895168686E-2</v>
      </c>
    </row>
    <row r="106" spans="1:38">
      <c r="A106" s="1073" t="s">
        <v>80</v>
      </c>
      <c r="B106" s="331" t="s">
        <v>81</v>
      </c>
      <c r="C106" s="383">
        <f>'R+RS+B'!U22</f>
        <v>8420.9425904466571</v>
      </c>
      <c r="D106" s="383">
        <f>BDGT!T14</f>
        <v>8151.9777351096309</v>
      </c>
      <c r="E106" s="383">
        <f t="shared" si="91"/>
        <v>268.96485533702617</v>
      </c>
      <c r="F106" s="1076">
        <f t="shared" si="92"/>
        <v>3.2993816234142236E-2</v>
      </c>
      <c r="H106" s="1073" t="s">
        <v>80</v>
      </c>
      <c r="I106" s="331" t="s">
        <v>81</v>
      </c>
      <c r="J106" s="383">
        <f t="shared" si="93"/>
        <v>8420.9425904466571</v>
      </c>
      <c r="K106" s="383">
        <f>'BDGT ORI'!U22</f>
        <v>8685.5195255691488</v>
      </c>
      <c r="L106" s="383">
        <f t="shared" si="94"/>
        <v>-264.5769351224917</v>
      </c>
      <c r="M106" s="1076">
        <f t="shared" si="95"/>
        <v>-3.0461843340931799E-2</v>
      </c>
      <c r="O106" s="1073" t="s">
        <v>80</v>
      </c>
      <c r="P106" s="331" t="s">
        <v>81</v>
      </c>
      <c r="Q106" s="383">
        <f>'R+RP+B'!U17</f>
        <v>8426.8957127773465</v>
      </c>
      <c r="R106" s="383">
        <f t="shared" si="96"/>
        <v>8151.9777351096309</v>
      </c>
      <c r="S106" s="383">
        <f t="shared" si="97"/>
        <v>274.9179776677156</v>
      </c>
      <c r="T106" s="1075">
        <f t="shared" si="98"/>
        <v>3.3724083480217992E-2</v>
      </c>
      <c r="U106" s="906" t="s">
        <v>139</v>
      </c>
      <c r="V106" s="1073" t="s">
        <v>80</v>
      </c>
      <c r="W106" s="331" t="s">
        <v>81</v>
      </c>
      <c r="X106" s="383">
        <f t="shared" si="99"/>
        <v>8426.8957127773465</v>
      </c>
      <c r="Y106" s="383">
        <f t="shared" si="100"/>
        <v>8685.5195255691488</v>
      </c>
      <c r="Z106" s="383">
        <f t="shared" si="101"/>
        <v>-258.62381279180227</v>
      </c>
      <c r="AA106" s="1075">
        <f t="shared" si="102"/>
        <v>-2.9776435598405388E-2</v>
      </c>
    </row>
    <row r="107" spans="1:38">
      <c r="A107" s="1073" t="s">
        <v>82</v>
      </c>
      <c r="B107" s="331" t="s">
        <v>48</v>
      </c>
      <c r="C107" s="555">
        <f>'R+RS+B'!U23</f>
        <v>26.721625613586284</v>
      </c>
      <c r="D107" s="555">
        <f>BDGT!T17</f>
        <v>0</v>
      </c>
      <c r="E107" s="896">
        <f t="shared" si="91"/>
        <v>26.721625613586284</v>
      </c>
      <c r="F107" s="1076" t="e">
        <f t="shared" si="92"/>
        <v>#DIV/0!</v>
      </c>
      <c r="H107" s="1073" t="s">
        <v>82</v>
      </c>
      <c r="I107" s="331" t="s">
        <v>48</v>
      </c>
      <c r="J107" s="555">
        <f t="shared" si="93"/>
        <v>26.721625613586284</v>
      </c>
      <c r="K107" s="555">
        <f>'BDGT ORI'!U23</f>
        <v>34.170972947338875</v>
      </c>
      <c r="L107" s="896">
        <f t="shared" si="94"/>
        <v>-7.4493473337525913</v>
      </c>
      <c r="M107" s="1076">
        <f t="shared" si="95"/>
        <v>-0.21800220161225237</v>
      </c>
      <c r="O107" s="1073" t="s">
        <v>82</v>
      </c>
      <c r="P107" s="331" t="s">
        <v>48</v>
      </c>
      <c r="Q107" s="555">
        <f>'R+RP+B'!U18</f>
        <v>0</v>
      </c>
      <c r="R107" s="555">
        <f t="shared" si="96"/>
        <v>0</v>
      </c>
      <c r="S107" s="896">
        <f>+R107-Q107</f>
        <v>0</v>
      </c>
      <c r="T107" s="1075" t="e">
        <f t="shared" si="98"/>
        <v>#DIV/0!</v>
      </c>
      <c r="U107" s="906" t="s">
        <v>139</v>
      </c>
      <c r="V107" s="1073" t="s">
        <v>82</v>
      </c>
      <c r="W107" s="331" t="s">
        <v>48</v>
      </c>
      <c r="X107" s="555">
        <f t="shared" si="99"/>
        <v>0</v>
      </c>
      <c r="Y107" s="555">
        <f t="shared" si="100"/>
        <v>34.170972947338875</v>
      </c>
      <c r="Z107" s="896">
        <f>+Y107-X107</f>
        <v>34.170972947338875</v>
      </c>
      <c r="AA107" s="1075">
        <f t="shared" si="102"/>
        <v>1</v>
      </c>
    </row>
    <row r="108" spans="1:38">
      <c r="A108" s="1073" t="s">
        <v>85</v>
      </c>
      <c r="B108" s="331" t="s">
        <v>48</v>
      </c>
      <c r="C108" s="896">
        <f>'R+RS+B'!U24</f>
        <v>82.121471488558996</v>
      </c>
      <c r="D108" s="896">
        <f>BDGT!T20</f>
        <v>86.325799784486634</v>
      </c>
      <c r="E108" s="896">
        <f t="shared" si="91"/>
        <v>-4.2043282959276382</v>
      </c>
      <c r="F108" s="1076">
        <f t="shared" si="92"/>
        <v>-4.8703033234835852E-2</v>
      </c>
      <c r="H108" s="1073" t="s">
        <v>85</v>
      </c>
      <c r="I108" s="331" t="s">
        <v>48</v>
      </c>
      <c r="J108" s="896">
        <f t="shared" si="93"/>
        <v>82.121471488558996</v>
      </c>
      <c r="K108" s="896">
        <f>'BDGT ORI'!U25</f>
        <v>86.381940558633417</v>
      </c>
      <c r="L108" s="896">
        <f t="shared" si="94"/>
        <v>-4.2604690700744214</v>
      </c>
      <c r="M108" s="1076">
        <f t="shared" si="95"/>
        <v>-4.9321293808889895E-2</v>
      </c>
      <c r="O108" s="1073" t="s">
        <v>85</v>
      </c>
      <c r="P108" s="331" t="s">
        <v>48</v>
      </c>
      <c r="Q108" s="896">
        <f>'R+RP+B'!U21</f>
        <v>82.043160787650493</v>
      </c>
      <c r="R108" s="896">
        <f t="shared" si="96"/>
        <v>86.325799784486634</v>
      </c>
      <c r="S108" s="896">
        <f t="shared" si="97"/>
        <v>-4.2826389968361411</v>
      </c>
      <c r="T108" s="1075">
        <f t="shared" si="98"/>
        <v>-4.9610186149769815E-2</v>
      </c>
      <c r="U108" s="906" t="s">
        <v>139</v>
      </c>
      <c r="V108" s="1073" t="s">
        <v>85</v>
      </c>
      <c r="W108" s="331" t="s">
        <v>48</v>
      </c>
      <c r="X108" s="896">
        <f t="shared" si="99"/>
        <v>82.043160787650493</v>
      </c>
      <c r="Y108" s="896">
        <f t="shared" si="100"/>
        <v>86.381940558633417</v>
      </c>
      <c r="Z108" s="896">
        <f t="shared" si="101"/>
        <v>-4.3387797709829243</v>
      </c>
      <c r="AA108" s="1075">
        <f t="shared" si="102"/>
        <v>-5.0227857153057283E-2</v>
      </c>
    </row>
    <row r="109" spans="1:38">
      <c r="A109" s="1073" t="s">
        <v>83</v>
      </c>
      <c r="B109" s="331" t="s">
        <v>84</v>
      </c>
      <c r="C109" s="383"/>
      <c r="D109" s="363">
        <f>+BDGT!T19</f>
        <v>4.1523938558931004</v>
      </c>
      <c r="E109" s="896"/>
      <c r="F109" s="1076"/>
      <c r="H109" s="1073"/>
      <c r="I109" s="331"/>
      <c r="J109" s="383"/>
      <c r="K109" s="363"/>
      <c r="L109" s="896"/>
      <c r="M109" s="1076"/>
      <c r="O109" s="1073" t="s">
        <v>83</v>
      </c>
      <c r="P109" s="331" t="s">
        <v>84</v>
      </c>
      <c r="Q109" s="363">
        <f>+'R+RP+B'!U20</f>
        <v>4.6985318387907373</v>
      </c>
      <c r="R109" s="363">
        <f>+D109</f>
        <v>4.1523938558931004</v>
      </c>
      <c r="S109" s="896">
        <f>+Q109-R109</f>
        <v>0.54613798289763693</v>
      </c>
      <c r="T109" s="1075">
        <f t="shared" si="98"/>
        <v>0.13152364680497608</v>
      </c>
      <c r="V109" s="1073"/>
      <c r="W109" s="331"/>
      <c r="X109" s="896"/>
      <c r="Y109" s="896"/>
      <c r="Z109" s="896"/>
      <c r="AA109" s="1075"/>
    </row>
    <row r="110" spans="1:38">
      <c r="A110" s="1073" t="s">
        <v>89</v>
      </c>
      <c r="B110" s="331" t="s">
        <v>48</v>
      </c>
      <c r="C110" s="363">
        <f>'R+RS+B'!U32</f>
        <v>0.51506712040159142</v>
      </c>
      <c r="D110" s="363">
        <f>BDGT!T29</f>
        <v>0.52083855986685346</v>
      </c>
      <c r="E110" s="363">
        <f>+C110-D110</f>
        <v>-5.7714394652620404E-3</v>
      </c>
      <c r="F110" s="1076">
        <f>+E110/D110</f>
        <v>-1.1081052575557087E-2</v>
      </c>
      <c r="H110" s="1073" t="s">
        <v>89</v>
      </c>
      <c r="I110" s="331" t="s">
        <v>48</v>
      </c>
      <c r="J110" s="363">
        <f>C110</f>
        <v>0.51506712040159142</v>
      </c>
      <c r="K110" s="363">
        <f>'BDGT ORI'!U33</f>
        <v>0.52661481339809368</v>
      </c>
      <c r="L110" s="363">
        <f>+J110-K110</f>
        <v>-1.1547692996502268E-2</v>
      </c>
      <c r="M110" s="1076">
        <f>+L110/K110</f>
        <v>-2.1928158309843834E-2</v>
      </c>
      <c r="O110" s="1073" t="s">
        <v>89</v>
      </c>
      <c r="P110" s="331" t="s">
        <v>48</v>
      </c>
      <c r="Q110" s="363">
        <f>'R+RP+B'!U29</f>
        <v>0.51253836495611338</v>
      </c>
      <c r="R110" s="363">
        <f>D110</f>
        <v>0.52083855986685346</v>
      </c>
      <c r="S110" s="363">
        <f>+Q110-R110</f>
        <v>-8.3001949107400774E-3</v>
      </c>
      <c r="T110" s="1075">
        <f t="shared" si="98"/>
        <v>-1.5936214309597064E-2</v>
      </c>
      <c r="U110" s="906" t="s">
        <v>139</v>
      </c>
      <c r="V110" s="1073" t="s">
        <v>89</v>
      </c>
      <c r="W110" s="331" t="s">
        <v>48</v>
      </c>
      <c r="X110" s="363">
        <f>Q110</f>
        <v>0.51253836495611338</v>
      </c>
      <c r="Y110" s="363">
        <f>K110</f>
        <v>0.52661481339809368</v>
      </c>
      <c r="Z110" s="363">
        <f>+X110-Y110</f>
        <v>-1.4076448441980305E-2</v>
      </c>
      <c r="AA110" s="1075">
        <f>+Z110/Y110</f>
        <v>-2.6730065474514546E-2</v>
      </c>
    </row>
    <row r="111" spans="1:38">
      <c r="A111" s="1073" t="s">
        <v>90</v>
      </c>
      <c r="B111" s="331" t="s">
        <v>48</v>
      </c>
      <c r="C111" s="896">
        <f>'R+RS+B'!U33</f>
        <v>90.522462819619761</v>
      </c>
      <c r="D111" s="896">
        <f>BDGT!T30</f>
        <v>89.998004776086447</v>
      </c>
      <c r="E111" s="896">
        <f>+C111-D111</f>
        <v>0.52445804353331482</v>
      </c>
      <c r="F111" s="1076">
        <f>+E111/D111</f>
        <v>5.8274407842502486E-3</v>
      </c>
      <c r="H111" s="1073" t="s">
        <v>90</v>
      </c>
      <c r="I111" s="331" t="s">
        <v>48</v>
      </c>
      <c r="J111" s="896">
        <f>C111</f>
        <v>90.522462819619761</v>
      </c>
      <c r="K111" s="896">
        <f>'BDGT ORI'!U34</f>
        <v>89.725493304837357</v>
      </c>
      <c r="L111" s="896">
        <f>+J111-K111</f>
        <v>0.79696951478240408</v>
      </c>
      <c r="M111" s="1076">
        <f>+L111/K111</f>
        <v>8.8823085327014543E-3</v>
      </c>
      <c r="O111" s="1073" t="s">
        <v>90</v>
      </c>
      <c r="P111" s="331" t="s">
        <v>48</v>
      </c>
      <c r="Q111" s="896">
        <f>'R+RP+B'!U30</f>
        <v>90.504839111115729</v>
      </c>
      <c r="R111" s="896">
        <f>D111</f>
        <v>89.998004776086447</v>
      </c>
      <c r="S111" s="896">
        <f>+Q111-R111</f>
        <v>0.5068343350292821</v>
      </c>
      <c r="T111" s="1075">
        <f t="shared" si="98"/>
        <v>5.6316174596345503E-3</v>
      </c>
      <c r="U111" s="906" t="s">
        <v>139</v>
      </c>
      <c r="V111" s="1073" t="s">
        <v>90</v>
      </c>
      <c r="W111" s="331" t="s">
        <v>48</v>
      </c>
      <c r="X111" s="896">
        <f>Q111</f>
        <v>90.504839111115729</v>
      </c>
      <c r="Y111" s="896">
        <f>K111</f>
        <v>89.725493304837357</v>
      </c>
      <c r="Z111" s="896">
        <f>+X111-Y111</f>
        <v>0.77934580627837136</v>
      </c>
      <c r="AA111" s="1075">
        <f>+Z111/Y111</f>
        <v>8.6858904595886414E-3</v>
      </c>
    </row>
    <row r="112" spans="1:38">
      <c r="A112" s="1073" t="s">
        <v>92</v>
      </c>
      <c r="B112" s="331" t="s">
        <v>53</v>
      </c>
      <c r="C112" s="219">
        <f>'R+RS+B'!U34</f>
        <v>259.86231276523608</v>
      </c>
      <c r="D112" s="219">
        <f>BDGT!T32</f>
        <v>254.52677203830268</v>
      </c>
      <c r="E112" s="896">
        <f>+C244-D244</f>
        <v>0</v>
      </c>
      <c r="F112" s="1076" t="e">
        <f>+E244/D244</f>
        <v>#DIV/0!</v>
      </c>
      <c r="H112" s="1073" t="s">
        <v>92</v>
      </c>
      <c r="I112" s="331" t="s">
        <v>53</v>
      </c>
      <c r="J112" s="219">
        <f>C244</f>
        <v>0</v>
      </c>
      <c r="K112" s="219">
        <f>'BDGT ORI'!U35</f>
        <v>264.17480896554019</v>
      </c>
      <c r="L112" s="896">
        <f>+J244-K244</f>
        <v>0</v>
      </c>
      <c r="M112" s="1076" t="e">
        <f>+L244/K244</f>
        <v>#DIV/0!</v>
      </c>
      <c r="O112" s="1073" t="s">
        <v>92</v>
      </c>
      <c r="P112" s="331" t="s">
        <v>53</v>
      </c>
      <c r="Q112" s="219">
        <f>'R+RP+B'!U31</f>
        <v>259.00300763005976</v>
      </c>
      <c r="R112" s="219">
        <f>D244</f>
        <v>0</v>
      </c>
      <c r="S112" s="219">
        <f>+Q244-R244</f>
        <v>0</v>
      </c>
      <c r="T112" s="1075" t="e">
        <f>+S244/R244</f>
        <v>#DIV/0!</v>
      </c>
      <c r="U112" s="906" t="s">
        <v>139</v>
      </c>
      <c r="V112" s="1073" t="s">
        <v>92</v>
      </c>
      <c r="W112" s="331" t="s">
        <v>53</v>
      </c>
      <c r="X112" s="896">
        <f>Q244</f>
        <v>0</v>
      </c>
      <c r="Y112" s="896">
        <f>K244</f>
        <v>0</v>
      </c>
      <c r="Z112" s="896">
        <f>+X244-Y244</f>
        <v>0</v>
      </c>
      <c r="AA112" s="1075" t="e">
        <f>+Z244/Y244</f>
        <v>#DIV/0!</v>
      </c>
    </row>
    <row r="113" spans="1:27">
      <c r="A113" s="1073" t="s">
        <v>93</v>
      </c>
      <c r="B113" s="331" t="s">
        <v>48</v>
      </c>
      <c r="C113" s="896">
        <f>'R+RS+B'!U35</f>
        <v>26.798202546348339</v>
      </c>
      <c r="D113" s="896">
        <f>BDGT!T33</f>
        <v>27.974256407925751</v>
      </c>
      <c r="E113" s="896">
        <f>+C113-D113</f>
        <v>-1.1760538615774117</v>
      </c>
      <c r="F113" s="1076">
        <f>+E113/D113</f>
        <v>-4.204057632231499E-2</v>
      </c>
      <c r="H113" s="1073" t="s">
        <v>93</v>
      </c>
      <c r="I113" s="331" t="s">
        <v>48</v>
      </c>
      <c r="J113" s="896">
        <f>C113</f>
        <v>26.798202546348339</v>
      </c>
      <c r="K113" s="896">
        <f>'BDGT ORI'!U36</f>
        <v>28.521942156776642</v>
      </c>
      <c r="L113" s="896">
        <f>+J113-K113</f>
        <v>-1.7237396104283036</v>
      </c>
      <c r="M113" s="1076">
        <f>+L113/K113</f>
        <v>-6.0435562240236627E-2</v>
      </c>
      <c r="O113" s="1073" t="s">
        <v>93</v>
      </c>
      <c r="P113" s="331" t="s">
        <v>48</v>
      </c>
      <c r="Q113" s="896">
        <f>'R+RP+B'!U32</f>
        <v>26.736302080312278</v>
      </c>
      <c r="R113" s="896">
        <f>D113</f>
        <v>27.974256407925751</v>
      </c>
      <c r="S113" s="896">
        <f>+Q113-R113</f>
        <v>-1.2379543276134726</v>
      </c>
      <c r="T113" s="1075">
        <f>+S113/R113</f>
        <v>-4.4253341699646807E-2</v>
      </c>
      <c r="U113" s="906" t="s">
        <v>139</v>
      </c>
      <c r="V113" s="1073" t="s">
        <v>93</v>
      </c>
      <c r="W113" s="331" t="s">
        <v>48</v>
      </c>
      <c r="X113" s="896">
        <f>Q113</f>
        <v>26.736302080312278</v>
      </c>
      <c r="Y113" s="896">
        <f>K113</f>
        <v>28.521942156776642</v>
      </c>
      <c r="Z113" s="896">
        <f>+X113-Y113</f>
        <v>-1.7856400764643645</v>
      </c>
      <c r="AA113" s="1075">
        <f>+Z113/Y113</f>
        <v>-6.2605837521485436E-2</v>
      </c>
    </row>
    <row r="114" spans="1:27">
      <c r="A114" s="1073" t="s">
        <v>86</v>
      </c>
      <c r="B114" s="331" t="s">
        <v>140</v>
      </c>
      <c r="C114" s="383"/>
      <c r="D114" s="383">
        <f>+BDGT!T18</f>
        <v>38.202371254596507</v>
      </c>
      <c r="E114" s="896"/>
      <c r="F114" s="1076"/>
      <c r="H114" s="1073"/>
      <c r="I114" s="331"/>
      <c r="J114" s="383"/>
      <c r="K114" s="383"/>
      <c r="L114" s="896"/>
      <c r="M114" s="1076"/>
      <c r="O114" s="1073" t="s">
        <v>86</v>
      </c>
      <c r="P114" s="331" t="s">
        <v>87</v>
      </c>
      <c r="Q114" s="383">
        <f>+'R+RP+B'!U19</f>
        <v>37.842009965997548</v>
      </c>
      <c r="R114" s="896">
        <f>+D114</f>
        <v>38.202371254596507</v>
      </c>
      <c r="S114" s="896"/>
      <c r="T114" s="1075"/>
      <c r="V114" s="1073"/>
      <c r="W114" s="331"/>
      <c r="X114" s="896"/>
      <c r="Y114" s="896"/>
      <c r="Z114" s="896"/>
      <c r="AA114" s="1075"/>
    </row>
    <row r="115" spans="1:27">
      <c r="A115" s="1073" t="s">
        <v>94</v>
      </c>
      <c r="B115" s="331" t="s">
        <v>95</v>
      </c>
      <c r="C115" s="383">
        <f>'R+RS+B'!U37</f>
        <v>187.70494574542832</v>
      </c>
      <c r="D115" s="383">
        <f>BDGT!T35</f>
        <v>197.52627780568733</v>
      </c>
      <c r="E115" s="896">
        <f>+C115-D115</f>
        <v>-9.8213320602590102</v>
      </c>
      <c r="F115" s="1076">
        <f>+E115/D115</f>
        <v>-4.9721648022550989E-2</v>
      </c>
      <c r="H115" s="1073" t="s">
        <v>94</v>
      </c>
      <c r="I115" s="331" t="s">
        <v>95</v>
      </c>
      <c r="J115" s="383">
        <f>C115</f>
        <v>187.70494574542832</v>
      </c>
      <c r="K115" s="383">
        <f>'BDGT ORI'!U38</f>
        <v>206.27179320430957</v>
      </c>
      <c r="L115" s="896">
        <f>+J115-K115</f>
        <v>-18.566847458881256</v>
      </c>
      <c r="M115" s="1076">
        <f>+L115/K115</f>
        <v>-9.0011567604355053E-2</v>
      </c>
      <c r="O115" s="1073" t="s">
        <v>94</v>
      </c>
      <c r="P115" s="331" t="s">
        <v>95</v>
      </c>
      <c r="Q115" s="383">
        <f>'R+RP+B'!U34</f>
        <v>192.66735748300661</v>
      </c>
      <c r="R115" s="383">
        <f>D115</f>
        <v>197.52627780568733</v>
      </c>
      <c r="S115" s="383">
        <f>+Q115-R115</f>
        <v>-4.8589203226807172</v>
      </c>
      <c r="T115" s="1075">
        <f>+S115/R115</f>
        <v>-2.4598855284766651E-2</v>
      </c>
      <c r="U115" s="906" t="s">
        <v>139</v>
      </c>
      <c r="V115" s="1073" t="s">
        <v>94</v>
      </c>
      <c r="W115" s="331" t="s">
        <v>95</v>
      </c>
      <c r="X115" s="383">
        <f>Q115</f>
        <v>192.66735748300661</v>
      </c>
      <c r="Y115" s="383">
        <f>K115</f>
        <v>206.27179320430957</v>
      </c>
      <c r="Z115" s="896">
        <f>+X115-Y115</f>
        <v>-13.604435721302963</v>
      </c>
      <c r="AA115" s="1075">
        <f>+Z115/Y115</f>
        <v>-6.5953931509326352E-2</v>
      </c>
    </row>
    <row r="116" spans="1:27">
      <c r="A116" s="1073" t="s">
        <v>96</v>
      </c>
      <c r="B116" s="331" t="s">
        <v>48</v>
      </c>
      <c r="C116" s="896">
        <f>'R+RS+B'!U38</f>
        <v>80.062368155342469</v>
      </c>
      <c r="D116" s="896">
        <f>BDGT!T36</f>
        <v>83.619091451728735</v>
      </c>
      <c r="E116" s="896">
        <f>+C116-D116</f>
        <v>-3.5567232963862665</v>
      </c>
      <c r="F116" s="1076">
        <f>+E116/D116</f>
        <v>-4.2534823503068989E-2</v>
      </c>
      <c r="H116" s="1073" t="s">
        <v>96</v>
      </c>
      <c r="I116" s="331" t="s">
        <v>48</v>
      </c>
      <c r="J116" s="896">
        <f>C116</f>
        <v>80.062368155342469</v>
      </c>
      <c r="K116" s="896">
        <f>'BDGT ORI'!U39</f>
        <v>83.538040462286077</v>
      </c>
      <c r="L116" s="896">
        <f>+J116-K116</f>
        <v>-3.4756723069436077</v>
      </c>
      <c r="M116" s="1076">
        <f>+L116/K116</f>
        <v>-4.1605863480993766E-2</v>
      </c>
      <c r="O116" s="1073" t="s">
        <v>96</v>
      </c>
      <c r="P116" s="331" t="s">
        <v>48</v>
      </c>
      <c r="Q116" s="896">
        <f>'R+RP+B'!U35</f>
        <v>80.026351406553701</v>
      </c>
      <c r="R116" s="896">
        <f>D116</f>
        <v>83.619091451728735</v>
      </c>
      <c r="S116" s="896">
        <f>+Q116-R116</f>
        <v>-3.5927400451750344</v>
      </c>
      <c r="T116" s="1075">
        <f>+S116/R116</f>
        <v>-4.2965547494007821E-2</v>
      </c>
      <c r="U116" s="906" t="s">
        <v>139</v>
      </c>
      <c r="V116" s="1073" t="s">
        <v>96</v>
      </c>
      <c r="W116" s="331" t="s">
        <v>48</v>
      </c>
      <c r="X116" s="896">
        <f>Q116</f>
        <v>80.026351406553701</v>
      </c>
      <c r="Y116" s="896">
        <f>K116</f>
        <v>83.538040462286077</v>
      </c>
      <c r="Z116" s="896">
        <f>+X116-Y116</f>
        <v>-3.5116890557323757</v>
      </c>
      <c r="AA116" s="1075">
        <f>+Z116/Y116</f>
        <v>-4.2037005372633274E-2</v>
      </c>
    </row>
    <row r="117" spans="1:27">
      <c r="A117" s="1073" t="s">
        <v>97</v>
      </c>
      <c r="B117" s="331" t="s">
        <v>48</v>
      </c>
      <c r="C117" s="896">
        <f>'R+RS+B'!U39</f>
        <v>90.426391452989932</v>
      </c>
      <c r="D117" s="896">
        <f>BDGT!T37</f>
        <v>93.662072089683008</v>
      </c>
      <c r="E117" s="896">
        <f>+C117-D117</f>
        <v>-3.2356806366930755</v>
      </c>
      <c r="F117" s="1076">
        <f>+E117/D117</f>
        <v>-3.4546327713045437E-2</v>
      </c>
      <c r="H117" s="1073" t="s">
        <v>97</v>
      </c>
      <c r="I117" s="331" t="s">
        <v>48</v>
      </c>
      <c r="J117" s="896">
        <f>C117</f>
        <v>90.426391452989932</v>
      </c>
      <c r="K117" s="896">
        <f>'BDGT ORI'!U40</f>
        <v>93.450137203431481</v>
      </c>
      <c r="L117" s="896">
        <f>+J117-K117</f>
        <v>-3.0237457504415488</v>
      </c>
      <c r="M117" s="1076">
        <f>+L117/K117</f>
        <v>-3.2356782353985855E-2</v>
      </c>
      <c r="O117" s="1073" t="s">
        <v>97</v>
      </c>
      <c r="P117" s="331" t="s">
        <v>48</v>
      </c>
      <c r="Q117" s="896">
        <f>'R+RP+B'!U36</f>
        <v>90.314190671165463</v>
      </c>
      <c r="R117" s="896">
        <f>D117</f>
        <v>93.662072089683008</v>
      </c>
      <c r="S117" s="896">
        <f>+Q117-R117</f>
        <v>-3.3478814185175452</v>
      </c>
      <c r="T117" s="1075">
        <f>+S117/R117</f>
        <v>-3.5744259590070701E-2</v>
      </c>
      <c r="U117" s="906" t="s">
        <v>139</v>
      </c>
      <c r="V117" s="1073" t="s">
        <v>97</v>
      </c>
      <c r="W117" s="331" t="s">
        <v>48</v>
      </c>
      <c r="X117" s="896">
        <f>Q117</f>
        <v>90.314190671165463</v>
      </c>
      <c r="Y117" s="896">
        <f>K117</f>
        <v>93.450137203431481</v>
      </c>
      <c r="Z117" s="896">
        <f>+X117-Y117</f>
        <v>-3.1359465322660185</v>
      </c>
      <c r="AA117" s="1075">
        <f>+Z117/Y117</f>
        <v>-3.3557431011999275E-2</v>
      </c>
    </row>
    <row r="118" spans="1:27">
      <c r="A118" s="1073" t="s">
        <v>98</v>
      </c>
      <c r="B118" s="331" t="s">
        <v>48</v>
      </c>
      <c r="C118" s="896">
        <f>'R+RS+B'!U40</f>
        <v>88.538950461656086</v>
      </c>
      <c r="D118" s="896">
        <f>BDGT!T38</f>
        <v>89.277430646272748</v>
      </c>
      <c r="E118" s="896">
        <f>+C118-D118</f>
        <v>-0.73848018461666243</v>
      </c>
      <c r="F118" s="1076">
        <f>+E118/D118</f>
        <v>-8.2717454934674844E-3</v>
      </c>
      <c r="H118" s="1073" t="s">
        <v>98</v>
      </c>
      <c r="I118" s="331" t="s">
        <v>48</v>
      </c>
      <c r="J118" s="896">
        <f>C118</f>
        <v>88.538950461656086</v>
      </c>
      <c r="K118" s="896">
        <f>'BDGT ORI'!U41</f>
        <v>90.662203288666532</v>
      </c>
      <c r="L118" s="896">
        <f>+J118-K118</f>
        <v>-2.1232528270104467</v>
      </c>
      <c r="M118" s="1076">
        <f>+L118/K118</f>
        <v>-2.3419382609201043E-2</v>
      </c>
      <c r="O118" s="1073" t="s">
        <v>98</v>
      </c>
      <c r="P118" s="331" t="s">
        <v>48</v>
      </c>
      <c r="Q118" s="896">
        <f>'R+RP+B'!U37</f>
        <v>88.630655454756081</v>
      </c>
      <c r="R118" s="896">
        <f>D118</f>
        <v>89.277430646272748</v>
      </c>
      <c r="S118" s="896">
        <f>+Q118-R118</f>
        <v>-0.64677519151666729</v>
      </c>
      <c r="T118" s="1075">
        <f>+S118/R118</f>
        <v>-7.2445542712722497E-3</v>
      </c>
      <c r="U118" s="906" t="s">
        <v>139</v>
      </c>
      <c r="V118" s="1073" t="s">
        <v>98</v>
      </c>
      <c r="W118" s="331" t="s">
        <v>48</v>
      </c>
      <c r="X118" s="896">
        <f>Q118</f>
        <v>88.630655454756081</v>
      </c>
      <c r="Y118" s="896">
        <f>K118</f>
        <v>90.662203288666532</v>
      </c>
      <c r="Z118" s="896">
        <f>+X118-Y118</f>
        <v>-2.0315478339104516</v>
      </c>
      <c r="AA118" s="1075">
        <f>+Z118/Y118</f>
        <v>-2.2407880684766134E-2</v>
      </c>
    </row>
    <row r="119" spans="1:27">
      <c r="A119" s="1073" t="s">
        <v>99</v>
      </c>
      <c r="B119" s="331" t="s">
        <v>100</v>
      </c>
      <c r="C119" s="219">
        <f>'R+RS+B'!U41*1000</f>
        <v>4603.5935238028078</v>
      </c>
      <c r="D119" s="219">
        <f>BDGT!T39*1000</f>
        <v>4646.143024779285</v>
      </c>
      <c r="E119" s="383">
        <f>+C119-D119</f>
        <v>-42.549500976477248</v>
      </c>
      <c r="F119" s="1076">
        <f>+E119/D119</f>
        <v>-9.158026507050665E-3</v>
      </c>
      <c r="H119" s="1073" t="s">
        <v>99</v>
      </c>
      <c r="I119" s="331" t="s">
        <v>100</v>
      </c>
      <c r="J119" s="219">
        <f>C119</f>
        <v>4603.5935238028078</v>
      </c>
      <c r="K119" s="219">
        <f>'BDGT ORI'!U42*1000</f>
        <v>5088.5253078453388</v>
      </c>
      <c r="L119" s="383">
        <f>+J119-K119</f>
        <v>-484.93178404253104</v>
      </c>
      <c r="M119" s="1076">
        <f>+L119/K119</f>
        <v>-9.5299080716937268E-2</v>
      </c>
      <c r="O119" s="1073" t="s">
        <v>99</v>
      </c>
      <c r="P119" s="331" t="s">
        <v>100</v>
      </c>
      <c r="Q119" s="383">
        <f>'R+RP+B'!U38*1000</f>
        <v>4717.8739097350453</v>
      </c>
      <c r="R119" s="383">
        <f>D119</f>
        <v>4646.143024779285</v>
      </c>
      <c r="S119" s="383">
        <f>+Q119-R119</f>
        <v>71.730884955760303</v>
      </c>
      <c r="T119" s="1075">
        <f>+S119/R119</f>
        <v>1.5438802588124776E-2</v>
      </c>
      <c r="U119" s="906" t="s">
        <v>139</v>
      </c>
      <c r="V119" s="1073" t="s">
        <v>99</v>
      </c>
      <c r="W119" s="331" t="s">
        <v>100</v>
      </c>
      <c r="X119" s="383">
        <f>Q119</f>
        <v>4717.8739097350453</v>
      </c>
      <c r="Y119" s="383">
        <f>K119</f>
        <v>5088.5253078453388</v>
      </c>
      <c r="Z119" s="383">
        <f>+X119-Y119</f>
        <v>-370.65139811029348</v>
      </c>
      <c r="AA119" s="1075">
        <f>+Z119/Y119</f>
        <v>-7.2840631752156965E-2</v>
      </c>
    </row>
    <row r="120" spans="1:27">
      <c r="A120" s="1073" t="s">
        <v>102</v>
      </c>
      <c r="B120" s="331" t="s">
        <v>48</v>
      </c>
      <c r="C120" s="555">
        <f>'R+RS+B'!U42</f>
        <v>48.761646041022807</v>
      </c>
      <c r="D120" s="896">
        <f>BDGT!T40</f>
        <v>53.999999999999993</v>
      </c>
      <c r="E120" s="896">
        <f>+C240-D240</f>
        <v>0</v>
      </c>
      <c r="F120" s="1076" t="e">
        <f>+E240/D240</f>
        <v>#DIV/0!</v>
      </c>
      <c r="H120" s="1073" t="s">
        <v>102</v>
      </c>
      <c r="I120" s="331" t="s">
        <v>48</v>
      </c>
      <c r="J120" s="555">
        <f>C240</f>
        <v>0</v>
      </c>
      <c r="K120" s="896">
        <f>'BDGT ORI'!U43</f>
        <v>54</v>
      </c>
      <c r="L120" s="896">
        <f>+J240-K240</f>
        <v>0</v>
      </c>
      <c r="M120" s="1076" t="e">
        <f>+L240/K240</f>
        <v>#DIV/0!</v>
      </c>
      <c r="O120" s="1073" t="s">
        <v>102</v>
      </c>
      <c r="P120" s="331" t="s">
        <v>48</v>
      </c>
      <c r="Q120" s="896">
        <f>'R+RP+B'!U39</f>
        <v>48.79164251211558</v>
      </c>
      <c r="R120" s="896">
        <f>D240</f>
        <v>0</v>
      </c>
      <c r="S120" s="896">
        <f>+Q240-R240</f>
        <v>0</v>
      </c>
      <c r="T120" s="1075" t="e">
        <f>+S240/R240</f>
        <v>#DIV/0!</v>
      </c>
      <c r="U120" s="906" t="s">
        <v>139</v>
      </c>
      <c r="V120" s="1073" t="s">
        <v>102</v>
      </c>
      <c r="W120" s="331" t="s">
        <v>48</v>
      </c>
      <c r="X120" s="896">
        <f>Q240</f>
        <v>0</v>
      </c>
      <c r="Y120" s="896">
        <f>K240</f>
        <v>0</v>
      </c>
      <c r="Z120" s="896">
        <f>+X240-Y240</f>
        <v>0</v>
      </c>
      <c r="AA120" s="1075" t="e">
        <f>+Z240/Y240</f>
        <v>#DIV/0!</v>
      </c>
    </row>
    <row r="121" spans="1:27">
      <c r="A121" s="1073"/>
      <c r="B121" s="331"/>
      <c r="C121" s="896"/>
      <c r="D121" s="896"/>
      <c r="E121" s="896"/>
      <c r="F121" s="1076"/>
      <c r="H121" s="1073"/>
      <c r="I121" s="331"/>
      <c r="J121" s="896"/>
      <c r="K121" s="896"/>
      <c r="L121" s="896"/>
      <c r="M121" s="1076"/>
      <c r="O121" s="1073"/>
      <c r="P121" s="331"/>
      <c r="Q121" s="896"/>
      <c r="R121" s="896"/>
      <c r="S121" s="896"/>
      <c r="T121" s="1075"/>
      <c r="V121" s="1073"/>
      <c r="W121" s="331"/>
      <c r="X121" s="896"/>
      <c r="Y121" s="896"/>
      <c r="Z121" s="896"/>
      <c r="AA121" s="1075"/>
    </row>
    <row r="122" spans="1:27">
      <c r="A122" s="1073" t="s">
        <v>103</v>
      </c>
      <c r="B122" s="331" t="s">
        <v>104</v>
      </c>
      <c r="C122" s="896">
        <f>'R+RS+B'!U52</f>
        <v>12.000199381324332</v>
      </c>
      <c r="D122" s="896">
        <f>BDGT!T54</f>
        <v>29.280536525130788</v>
      </c>
      <c r="E122" s="896">
        <f>+C242-D242</f>
        <v>0</v>
      </c>
      <c r="F122" s="1076" t="e">
        <f>+E242/D242</f>
        <v>#DIV/0!</v>
      </c>
      <c r="H122" s="1073" t="s">
        <v>103</v>
      </c>
      <c r="I122" s="331" t="s">
        <v>104</v>
      </c>
      <c r="J122" s="896">
        <f>C242</f>
        <v>0</v>
      </c>
      <c r="K122" s="896">
        <f>'BDGT ORI'!U53</f>
        <v>34.515883090276787</v>
      </c>
      <c r="L122" s="896">
        <f>+J242-K242</f>
        <v>0</v>
      </c>
      <c r="M122" s="1076" t="e">
        <f>+L242/K242</f>
        <v>#DIV/0!</v>
      </c>
      <c r="O122" s="1073" t="s">
        <v>103</v>
      </c>
      <c r="P122" s="331" t="s">
        <v>104</v>
      </c>
      <c r="Q122" s="383">
        <f>'R+RP+B'!U49</f>
        <v>11.311252594606758</v>
      </c>
      <c r="R122" s="383">
        <f>D242</f>
        <v>0</v>
      </c>
      <c r="S122" s="383">
        <f>+R242-Q242</f>
        <v>0</v>
      </c>
      <c r="T122" s="1075" t="e">
        <f>+S242/R242</f>
        <v>#DIV/0!</v>
      </c>
      <c r="U122" s="906" t="s">
        <v>139</v>
      </c>
      <c r="V122" s="1073" t="s">
        <v>103</v>
      </c>
      <c r="W122" s="331" t="s">
        <v>104</v>
      </c>
      <c r="X122" s="896">
        <f>Q242</f>
        <v>0</v>
      </c>
      <c r="Y122" s="896">
        <f>K242</f>
        <v>0</v>
      </c>
      <c r="Z122" s="896">
        <f>+Y242-X242</f>
        <v>0</v>
      </c>
      <c r="AA122" s="1075" t="e">
        <f>+Z242/Y242</f>
        <v>#DIV/0!</v>
      </c>
    </row>
    <row r="123" spans="1:27">
      <c r="A123" s="1077" t="s">
        <v>106</v>
      </c>
      <c r="B123" s="1078" t="s">
        <v>104</v>
      </c>
      <c r="C123" s="942">
        <f>'R+RS+B'!U53</f>
        <v>666.64600513988648</v>
      </c>
      <c r="D123" s="942">
        <f>BDGT!T55</f>
        <v>1181.6240851300038</v>
      </c>
      <c r="E123" s="942">
        <f>+C243-D243</f>
        <v>0</v>
      </c>
      <c r="F123" s="1079" t="e">
        <f>+E243/D243</f>
        <v>#DIV/0!</v>
      </c>
      <c r="H123" s="1077" t="s">
        <v>106</v>
      </c>
      <c r="I123" s="1078" t="s">
        <v>104</v>
      </c>
      <c r="J123" s="942">
        <f>C243</f>
        <v>0</v>
      </c>
      <c r="K123" s="942">
        <f>'BDGT ORI'!U54</f>
        <v>1386.2179696361441</v>
      </c>
      <c r="L123" s="942">
        <f>+J243-K243</f>
        <v>0</v>
      </c>
      <c r="M123" s="1079" t="e">
        <f>+L243/K243</f>
        <v>#DIV/0!</v>
      </c>
      <c r="O123" s="1077" t="s">
        <v>106</v>
      </c>
      <c r="P123" s="1078" t="s">
        <v>104</v>
      </c>
      <c r="Q123" s="941">
        <f>'R+RP+B'!U50</f>
        <v>631.80418480531466</v>
      </c>
      <c r="R123" s="941">
        <f>D243</f>
        <v>0</v>
      </c>
      <c r="S123" s="941">
        <f>+R243-Q243</f>
        <v>0</v>
      </c>
      <c r="T123" s="1094" t="e">
        <f>+S243/R243</f>
        <v>#DIV/0!</v>
      </c>
      <c r="U123" s="906" t="s">
        <v>139</v>
      </c>
      <c r="V123" s="1077" t="s">
        <v>106</v>
      </c>
      <c r="W123" s="1078" t="s">
        <v>104</v>
      </c>
      <c r="X123" s="942">
        <f>Q243</f>
        <v>0</v>
      </c>
      <c r="Y123" s="942">
        <f>K243</f>
        <v>0</v>
      </c>
      <c r="Z123" s="942">
        <f>+Y243-X243</f>
        <v>0</v>
      </c>
      <c r="AA123" s="1094" t="e">
        <f>+Z243/Y243</f>
        <v>#DIV/0!</v>
      </c>
    </row>
    <row r="124" spans="1:27">
      <c r="B124" s="331"/>
      <c r="C124" s="896"/>
      <c r="D124" s="896"/>
      <c r="E124" s="896"/>
      <c r="F124" s="905"/>
      <c r="I124" s="331"/>
      <c r="J124" s="896"/>
      <c r="K124" s="896"/>
      <c r="L124" s="896"/>
      <c r="M124" s="905"/>
      <c r="P124" s="331"/>
      <c r="Q124" s="896"/>
      <c r="R124" s="896"/>
      <c r="S124" s="896"/>
      <c r="T124" s="905"/>
      <c r="W124" s="331"/>
      <c r="X124" s="896"/>
      <c r="Y124" s="896"/>
      <c r="Z124" s="896"/>
      <c r="AA124" s="905"/>
    </row>
    <row r="125" spans="1:27">
      <c r="R125" s="907"/>
    </row>
    <row r="126" spans="1:27" ht="14">
      <c r="A126" s="1089" t="s">
        <v>141</v>
      </c>
      <c r="B126" s="987"/>
      <c r="C126" s="987"/>
      <c r="D126" s="987"/>
      <c r="E126" s="987"/>
      <c r="F126" s="983"/>
      <c r="H126" s="1089" t="s">
        <v>142</v>
      </c>
      <c r="I126" s="987"/>
      <c r="J126" s="987"/>
      <c r="K126" s="987"/>
      <c r="L126" s="987"/>
      <c r="M126" s="983"/>
      <c r="O126" s="1099" t="s">
        <v>143</v>
      </c>
      <c r="P126" s="1100"/>
      <c r="Q126" s="1100"/>
      <c r="R126" s="1100"/>
      <c r="S126" s="1100"/>
      <c r="T126" s="984"/>
      <c r="V126" s="1089" t="s">
        <v>144</v>
      </c>
      <c r="W126" s="987"/>
      <c r="X126" s="987"/>
      <c r="Y126" s="987"/>
      <c r="Z126" s="987"/>
      <c r="AA126" s="983"/>
    </row>
    <row r="127" spans="1:27" ht="13">
      <c r="A127" s="1090" t="s">
        <v>145</v>
      </c>
      <c r="B127" s="893"/>
      <c r="E127" s="4480" t="s">
        <v>43</v>
      </c>
      <c r="F127" s="4481"/>
      <c r="H127" s="1090">
        <f>A247</f>
        <v>0</v>
      </c>
      <c r="I127" s="893"/>
      <c r="L127" s="4480" t="s">
        <v>43</v>
      </c>
      <c r="M127" s="4481"/>
      <c r="O127" s="1090">
        <f>A247</f>
        <v>0</v>
      </c>
      <c r="P127" s="894"/>
      <c r="S127" s="4480" t="s">
        <v>43</v>
      </c>
      <c r="T127" s="4481"/>
      <c r="V127" s="1090">
        <f>A247</f>
        <v>0</v>
      </c>
      <c r="W127" s="893"/>
      <c r="Z127" s="4480" t="s">
        <v>43</v>
      </c>
      <c r="AA127" s="4481"/>
    </row>
    <row r="128" spans="1:27">
      <c r="A128" s="1073"/>
      <c r="B128" s="331" t="s">
        <v>46</v>
      </c>
      <c r="C128" s="331" t="s">
        <v>146</v>
      </c>
      <c r="D128" s="331" t="s">
        <v>47</v>
      </c>
      <c r="E128" s="331" t="s">
        <v>10</v>
      </c>
      <c r="F128" s="1074" t="s">
        <v>48</v>
      </c>
      <c r="H128" s="1073"/>
      <c r="I128" s="331" t="s">
        <v>46</v>
      </c>
      <c r="J128" s="331" t="s">
        <v>147</v>
      </c>
      <c r="K128" s="331" t="s">
        <v>49</v>
      </c>
      <c r="L128" s="331" t="s">
        <v>10</v>
      </c>
      <c r="M128" s="1074" t="s">
        <v>48</v>
      </c>
      <c r="O128" s="1073"/>
      <c r="P128" s="331" t="s">
        <v>46</v>
      </c>
      <c r="Q128" s="331" t="s">
        <v>148</v>
      </c>
      <c r="R128" s="331" t="s">
        <v>47</v>
      </c>
      <c r="S128" s="331" t="s">
        <v>10</v>
      </c>
      <c r="T128" s="1074" t="s">
        <v>48</v>
      </c>
      <c r="V128" s="1073"/>
      <c r="W128" s="331" t="s">
        <v>46</v>
      </c>
      <c r="X128" s="331" t="s">
        <v>149</v>
      </c>
      <c r="Y128" s="331" t="s">
        <v>49</v>
      </c>
      <c r="Z128" s="331" t="s">
        <v>10</v>
      </c>
      <c r="AA128" s="1074" t="s">
        <v>48</v>
      </c>
    </row>
    <row r="129" spans="1:27" ht="13">
      <c r="A129" s="1083" t="s">
        <v>52</v>
      </c>
      <c r="B129" s="1084" t="s">
        <v>53</v>
      </c>
      <c r="C129" s="1085">
        <f>'R+RS+B'!S13</f>
        <v>378.40724160485524</v>
      </c>
      <c r="D129" s="1085">
        <f>D132+D136*Factores!$D$9</f>
        <v>378.12353600595827</v>
      </c>
      <c r="E129" s="1085">
        <f>+C249-D249</f>
        <v>0</v>
      </c>
      <c r="F129" s="1086" t="e">
        <f>+E249/D249</f>
        <v>#DIV/0!</v>
      </c>
      <c r="H129" s="1083" t="s">
        <v>52</v>
      </c>
      <c r="I129" s="1084" t="s">
        <v>53</v>
      </c>
      <c r="J129" s="1085">
        <f>'R+RS+F(OL)'!S13</f>
        <v>76.146069268282048</v>
      </c>
      <c r="K129" s="1085">
        <f>'BDGT ORI'!S13</f>
        <v>0</v>
      </c>
      <c r="L129" s="1085">
        <f>+J249-K249</f>
        <v>0</v>
      </c>
      <c r="M129" s="1086" t="e">
        <f>+L249/K249</f>
        <v>#DIV/0!</v>
      </c>
      <c r="O129" s="1109" t="s">
        <v>52</v>
      </c>
      <c r="P129" s="1110" t="s">
        <v>53</v>
      </c>
      <c r="Q129" s="1111">
        <f>'R+RP+B'!S8</f>
        <v>389.56045675027588</v>
      </c>
      <c r="R129" s="1111">
        <f>D249</f>
        <v>0</v>
      </c>
      <c r="S129" s="1111">
        <f>+Q249-R249</f>
        <v>0</v>
      </c>
      <c r="T129" s="1112" t="e">
        <f>+S249/R249</f>
        <v>#DIV/0!</v>
      </c>
      <c r="V129" s="1135" t="s">
        <v>52</v>
      </c>
      <c r="W129" s="1136" t="s">
        <v>53</v>
      </c>
      <c r="X129" s="1137">
        <f>'R+RP+OL'!S13</f>
        <v>232.25098234395023</v>
      </c>
      <c r="Y129" s="1137">
        <f>K249</f>
        <v>0</v>
      </c>
      <c r="Z129" s="1138">
        <f>+X249-Y249</f>
        <v>0</v>
      </c>
      <c r="AA129" s="1139" t="e">
        <f>+Z249/Y249</f>
        <v>#DIV/0!</v>
      </c>
    </row>
    <row r="130" spans="1:27">
      <c r="A130" s="1073" t="s">
        <v>54</v>
      </c>
      <c r="B130" s="331" t="s">
        <v>53</v>
      </c>
      <c r="C130" s="896">
        <f>'R+RS+B'!S14</f>
        <v>365.20216234228536</v>
      </c>
      <c r="D130" s="896">
        <f>D133+D137*Factores!$D$9</f>
        <v>391.82429582695755</v>
      </c>
      <c r="E130" s="363">
        <f>+C130-D130</f>
        <v>-26.62213348467219</v>
      </c>
      <c r="F130" s="1075">
        <f>+E130/D130</f>
        <v>-6.7944060049888788E-2</v>
      </c>
      <c r="H130" s="1073" t="s">
        <v>54</v>
      </c>
      <c r="I130" s="331" t="s">
        <v>53</v>
      </c>
      <c r="J130" s="896">
        <f>'R+RS+F(OL)'!S14</f>
        <v>73.706320749886359</v>
      </c>
      <c r="K130" s="896">
        <f>K133+K137*Factores!$D$9</f>
        <v>354.50208753502181</v>
      </c>
      <c r="L130" s="363">
        <f>+J130-K130</f>
        <v>-280.79576678513547</v>
      </c>
      <c r="M130" s="1075">
        <f>+L130/K130</f>
        <v>-0.7920849457829926</v>
      </c>
      <c r="O130" s="1073" t="s">
        <v>55</v>
      </c>
      <c r="P130" s="331" t="s">
        <v>53</v>
      </c>
      <c r="Q130" s="896">
        <f>'R+RP+B'!S9</f>
        <v>374.52894772424571</v>
      </c>
      <c r="R130" s="896">
        <f t="shared" ref="R130:R137" si="103">D130</f>
        <v>391.82429582695755</v>
      </c>
      <c r="S130" s="896">
        <f t="shared" ref="S130:S137" si="104">+Q130-R130</f>
        <v>-17.295348102711841</v>
      </c>
      <c r="T130" s="1075">
        <f t="shared" ref="T130:T137" si="105">+S130/R130</f>
        <v>-4.4140570880653186E-2</v>
      </c>
      <c r="V130" s="1073" t="s">
        <v>55</v>
      </c>
      <c r="W130" s="331" t="s">
        <v>53</v>
      </c>
      <c r="X130" s="896">
        <f>'R+RP+OL'!S14</f>
        <v>209.42061857483233</v>
      </c>
      <c r="Y130" s="896">
        <f>K130</f>
        <v>354.50208753502181</v>
      </c>
      <c r="Z130" s="896">
        <f>+X130-Y130</f>
        <v>-145.08146896018948</v>
      </c>
      <c r="AA130" s="1075">
        <f>+Z130/Y130</f>
        <v>-0.40925420205277818</v>
      </c>
    </row>
    <row r="131" spans="1:27">
      <c r="A131" s="1073" t="s">
        <v>58</v>
      </c>
      <c r="B131" s="331" t="s">
        <v>53</v>
      </c>
      <c r="C131" s="896">
        <f>C134+C138*Factores!$F$9</f>
        <v>365.20216234228531</v>
      </c>
      <c r="D131" s="896">
        <f>D134+D138*Factores!$F$9</f>
        <v>391.82429582695755</v>
      </c>
      <c r="E131" s="363">
        <f>+C131-D131</f>
        <v>-26.622133484672247</v>
      </c>
      <c r="F131" s="1075">
        <f>+E131/D131</f>
        <v>-6.7944060049888927E-2</v>
      </c>
      <c r="H131" s="1073" t="s">
        <v>58</v>
      </c>
      <c r="I131" s="331" t="s">
        <v>53</v>
      </c>
      <c r="J131" s="896">
        <f>J134+J138*Factores!$F$9</f>
        <v>372.81481570617524</v>
      </c>
      <c r="K131" s="896">
        <f>K134+K138*Factores!$F$9</f>
        <v>354.50208753502181</v>
      </c>
      <c r="L131" s="363">
        <f>+J131-K131</f>
        <v>18.312728171153424</v>
      </c>
      <c r="M131" s="1075">
        <f>+L131/K131</f>
        <v>5.1657603199146973E-2</v>
      </c>
      <c r="O131" s="1073" t="s">
        <v>58</v>
      </c>
      <c r="P131" s="331" t="s">
        <v>53</v>
      </c>
      <c r="Q131" s="896">
        <f>Q134+Q138*Factores!$F$9</f>
        <v>374.62193783711177</v>
      </c>
      <c r="R131" s="896">
        <f>R134+R138*Factores!$F$9</f>
        <v>391.82429582695755</v>
      </c>
      <c r="S131" s="896">
        <f>+Q131-R131</f>
        <v>-17.20235798984578</v>
      </c>
      <c r="T131" s="1075">
        <f>+S131/R131</f>
        <v>-4.3903244829521508E-2</v>
      </c>
      <c r="V131" s="1073" t="s">
        <v>58</v>
      </c>
      <c r="W131" s="331" t="s">
        <v>53</v>
      </c>
      <c r="X131" s="896">
        <f>X134+X138*Factores!$F$9</f>
        <v>358.53145985751536</v>
      </c>
      <c r="Y131" s="896">
        <f>Y134+Y138*Factores!$F$9</f>
        <v>354.50208753502181</v>
      </c>
      <c r="Z131" s="896">
        <f>+X131-Y131</f>
        <v>4.0293723224935434</v>
      </c>
      <c r="AA131" s="1075">
        <f>+Z131/Y131</f>
        <v>1.1366286586663542E-2</v>
      </c>
    </row>
    <row r="132" spans="1:27" ht="13">
      <c r="A132" s="1083" t="s">
        <v>59</v>
      </c>
      <c r="B132" s="1084" t="s">
        <v>53</v>
      </c>
      <c r="C132" s="1085">
        <f>'R+RS+B'!S15</f>
        <v>350.06342535558395</v>
      </c>
      <c r="D132" s="1085">
        <f>BDGT!R8</f>
        <v>349.0140090489449</v>
      </c>
      <c r="E132" s="1085">
        <f>+C132-D132</f>
        <v>1.0494163066390456</v>
      </c>
      <c r="F132" s="1086">
        <f>+E132/D132</f>
        <v>3.0068028200320117E-3</v>
      </c>
      <c r="H132" s="1083" t="s">
        <v>59</v>
      </c>
      <c r="I132" s="1084" t="s">
        <v>53</v>
      </c>
      <c r="J132" s="1085">
        <f>'R+RS+F(OL)'!S15</f>
        <v>358.25949218841993</v>
      </c>
      <c r="K132" s="1085">
        <f>'BDGT ORI'!S15</f>
        <v>327.28212206544134</v>
      </c>
      <c r="L132" s="1085">
        <f>+J132-K132</f>
        <v>30.977370122978584</v>
      </c>
      <c r="M132" s="1086">
        <f>+L132/K132</f>
        <v>9.4650358313139199E-2</v>
      </c>
      <c r="O132" s="1109" t="s">
        <v>59</v>
      </c>
      <c r="P132" s="1110" t="s">
        <v>53</v>
      </c>
      <c r="Q132" s="1111">
        <f>'R+RP+B'!S10</f>
        <v>361.05099108159595</v>
      </c>
      <c r="R132" s="1111">
        <f t="shared" si="103"/>
        <v>349.0140090489449</v>
      </c>
      <c r="S132" s="1111">
        <f t="shared" si="104"/>
        <v>12.036982032651053</v>
      </c>
      <c r="T132" s="1112">
        <f t="shared" si="105"/>
        <v>3.4488535475843941E-2</v>
      </c>
      <c r="V132" s="1135" t="s">
        <v>59</v>
      </c>
      <c r="W132" s="1136" t="s">
        <v>53</v>
      </c>
      <c r="X132" s="1137">
        <f>'R+RP+OL'!S15</f>
        <v>356.39458702906347</v>
      </c>
      <c r="Y132" s="1137">
        <f>K132</f>
        <v>327.28212206544134</v>
      </c>
      <c r="Z132" s="1138">
        <f>+X132-Y132</f>
        <v>29.112464963622131</v>
      </c>
      <c r="AA132" s="1139">
        <f>+Z132/Y132</f>
        <v>8.8952200565972195E-2</v>
      </c>
    </row>
    <row r="133" spans="1:27">
      <c r="A133" s="1073" t="s">
        <v>60</v>
      </c>
      <c r="B133" s="331" t="s">
        <v>53</v>
      </c>
      <c r="C133" s="896">
        <f>'R+RS+B'!S16</f>
        <v>337.1297870000929</v>
      </c>
      <c r="D133" s="896">
        <f>BDGT!R7</f>
        <v>363.00513640134034</v>
      </c>
      <c r="E133" s="363">
        <f>+C133-D133</f>
        <v>-25.875349401247433</v>
      </c>
      <c r="F133" s="1075">
        <f>+E133/D133</f>
        <v>-7.1280945657582973E-2</v>
      </c>
      <c r="H133" s="1073" t="s">
        <v>60</v>
      </c>
      <c r="I133" s="331" t="s">
        <v>53</v>
      </c>
      <c r="J133" s="896">
        <f>'R+RS+F(OL)'!S16</f>
        <v>344.81791109542939</v>
      </c>
      <c r="K133" s="896">
        <f>+'BDGT ORI'!S16</f>
        <v>316.15452991521636</v>
      </c>
      <c r="L133" s="363">
        <f>+J133-K133</f>
        <v>28.663381180213037</v>
      </c>
      <c r="M133" s="1075">
        <f>+L133/K133</f>
        <v>9.066256677675863E-2</v>
      </c>
      <c r="O133" s="1073" t="s">
        <v>61</v>
      </c>
      <c r="P133" s="331" t="s">
        <v>53</v>
      </c>
      <c r="Q133" s="724">
        <f>'R+RP+B'!S11</f>
        <v>346.54956249491937</v>
      </c>
      <c r="R133" s="896">
        <f t="shared" si="103"/>
        <v>363.00513640134034</v>
      </c>
      <c r="S133" s="896">
        <f t="shared" si="104"/>
        <v>-16.455573906420966</v>
      </c>
      <c r="T133" s="1075">
        <f t="shared" si="105"/>
        <v>-4.5331518086916545E-2</v>
      </c>
      <c r="V133" s="1073" t="s">
        <v>61</v>
      </c>
      <c r="W133" s="331" t="s">
        <v>53</v>
      </c>
      <c r="X133" s="896">
        <f>'R+RP+OL'!S16</f>
        <v>332.30595349102316</v>
      </c>
      <c r="Y133" s="896">
        <f>K133</f>
        <v>316.15452991521636</v>
      </c>
      <c r="Z133" s="896">
        <f>+X133-Y133</f>
        <v>16.151423575806803</v>
      </c>
      <c r="AA133" s="1075">
        <f>+Z133/Y133</f>
        <v>5.1087117366745163E-2</v>
      </c>
    </row>
    <row r="134" spans="1:27">
      <c r="A134" s="1073" t="s">
        <v>63</v>
      </c>
      <c r="B134" s="331" t="s">
        <v>53</v>
      </c>
      <c r="C134" s="896">
        <f>C133/Factores!$D$7*Factores!$F$7</f>
        <v>337.1297870000929</v>
      </c>
      <c r="D134" s="896">
        <f>D133/Factores!$D$7*Factores!$F$7</f>
        <v>363.00513640134034</v>
      </c>
      <c r="E134" s="363">
        <f>+C134-D134</f>
        <v>-25.875349401247433</v>
      </c>
      <c r="F134" s="1075">
        <f>+E134/D134</f>
        <v>-7.1280945657582973E-2</v>
      </c>
      <c r="H134" s="1073" t="s">
        <v>63</v>
      </c>
      <c r="I134" s="331" t="s">
        <v>53</v>
      </c>
      <c r="J134" s="896">
        <f>J133/Factores!$D$7*Factores!$F$7</f>
        <v>344.81791109542939</v>
      </c>
      <c r="K134" s="896">
        <f>K133/Factores!$D$7*Factores!$F$7</f>
        <v>316.15452991521636</v>
      </c>
      <c r="L134" s="363">
        <f>+J134-K134</f>
        <v>28.663381180213037</v>
      </c>
      <c r="M134" s="1075">
        <f>+L134/K134</f>
        <v>9.066256677675863E-2</v>
      </c>
      <c r="O134" s="1073" t="s">
        <v>63</v>
      </c>
      <c r="P134" s="331" t="s">
        <v>53</v>
      </c>
      <c r="Q134" s="724">
        <f>Q133/Factores!$D$7*Factores!$F$7</f>
        <v>346.54956249491937</v>
      </c>
      <c r="R134" s="896">
        <f>R133/Factores!$D$7*Factores!$F$7</f>
        <v>363.00513640134034</v>
      </c>
      <c r="S134" s="896">
        <f>+Q134-R134</f>
        <v>-16.455573906420966</v>
      </c>
      <c r="T134" s="1075">
        <f>+S134/R134</f>
        <v>-4.5331518086916545E-2</v>
      </c>
      <c r="V134" s="1073" t="s">
        <v>63</v>
      </c>
      <c r="W134" s="331" t="s">
        <v>53</v>
      </c>
      <c r="X134" s="896">
        <f>X133/Factores!$D$7*Factores!$F$7</f>
        <v>332.30595349102316</v>
      </c>
      <c r="Y134" s="896">
        <f>Y133/Factores!$D$7*Factores!$F$7</f>
        <v>316.15452991521636</v>
      </c>
      <c r="Z134" s="896">
        <f>+X134-Y134</f>
        <v>16.151423575806803</v>
      </c>
      <c r="AA134" s="1075">
        <f>+Z134/Y134</f>
        <v>5.1087117366745163E-2</v>
      </c>
    </row>
    <row r="135" spans="1:27" ht="12.75" hidden="1" customHeight="1">
      <c r="A135" s="1073" t="s">
        <v>65</v>
      </c>
      <c r="B135" s="331" t="s">
        <v>53</v>
      </c>
      <c r="C135" s="896">
        <f>'R+RS+B'!S62</f>
        <v>-0.38333867777673802</v>
      </c>
      <c r="D135" s="896"/>
      <c r="E135" s="363"/>
      <c r="F135" s="1075"/>
      <c r="H135" s="1073" t="s">
        <v>65</v>
      </c>
      <c r="I135" s="331" t="s">
        <v>53</v>
      </c>
      <c r="J135" s="896">
        <f>'R+RS+F(OL)'!S62</f>
        <v>-0.38333867777673802</v>
      </c>
      <c r="K135" s="896"/>
      <c r="L135" s="363"/>
      <c r="M135" s="1075"/>
      <c r="O135" s="1073" t="s">
        <v>65</v>
      </c>
      <c r="P135" s="331" t="s">
        <v>53</v>
      </c>
      <c r="Q135" s="896">
        <f>'R+RP+B'!S59</f>
        <v>11.964239212365424</v>
      </c>
      <c r="R135" s="896"/>
      <c r="S135" s="363"/>
      <c r="T135" s="1075"/>
      <c r="V135" s="1073" t="s">
        <v>65</v>
      </c>
      <c r="W135" s="331" t="s">
        <v>53</v>
      </c>
      <c r="X135" s="896">
        <f>'R+RP+OL'!S64</f>
        <v>15.662384027374081</v>
      </c>
      <c r="Y135" s="896"/>
      <c r="Z135" s="896"/>
      <c r="AA135" s="1075"/>
    </row>
    <row r="136" spans="1:27" ht="13">
      <c r="A136" s="1083" t="s">
        <v>66</v>
      </c>
      <c r="B136" s="1084" t="s">
        <v>53</v>
      </c>
      <c r="C136" s="1085">
        <f>'R+RS+B'!S17</f>
        <v>9.7771011553195155</v>
      </c>
      <c r="D136" s="1085">
        <f>BDGT!R9</f>
        <v>10.041230409456157</v>
      </c>
      <c r="E136" s="1085">
        <f>+C136-D136</f>
        <v>-0.26412925413664112</v>
      </c>
      <c r="F136" s="1086">
        <f>+E136/D136</f>
        <v>-2.6304471002667355E-2</v>
      </c>
      <c r="H136" s="1083" t="s">
        <v>66</v>
      </c>
      <c r="I136" s="1084" t="s">
        <v>53</v>
      </c>
      <c r="J136" s="1085">
        <f>'R+RS+F(OL)'!S17</f>
        <v>9.7509369672017883</v>
      </c>
      <c r="K136" s="1085">
        <f>'BDGT ORI'!S17</f>
        <v>13.29432870451099</v>
      </c>
      <c r="L136" s="1085">
        <f>+J136-K136</f>
        <v>-3.5433917373092019</v>
      </c>
      <c r="M136" s="1086">
        <f>+L136/K136</f>
        <v>-0.26653408502731463</v>
      </c>
      <c r="O136" s="1109" t="s">
        <v>66</v>
      </c>
      <c r="P136" s="1110" t="s">
        <v>53</v>
      </c>
      <c r="Q136" s="1113">
        <f>'R+RP+B'!S24</f>
        <v>0</v>
      </c>
      <c r="R136" s="1113">
        <f t="shared" si="103"/>
        <v>10.041230409456157</v>
      </c>
      <c r="S136" s="1113">
        <f t="shared" si="104"/>
        <v>-10.041230409456157</v>
      </c>
      <c r="T136" s="1112">
        <f t="shared" si="105"/>
        <v>-1</v>
      </c>
      <c r="V136" s="1135" t="s">
        <v>66</v>
      </c>
      <c r="W136" s="1136" t="s">
        <v>53</v>
      </c>
      <c r="X136" s="1140">
        <f>'R+RP+OL'!S17</f>
        <v>9.1222723583478587</v>
      </c>
      <c r="Y136" s="1140">
        <f t="shared" ref="Y136:Y156" si="106">K136</f>
        <v>13.29432870451099</v>
      </c>
      <c r="Z136" s="1141">
        <f>+X136-Y136</f>
        <v>-4.1720563461631315</v>
      </c>
      <c r="AA136" s="1139">
        <f>+Z136/Y136</f>
        <v>-0.31382226503452426</v>
      </c>
    </row>
    <row r="137" spans="1:27">
      <c r="A137" s="1073" t="s">
        <v>67</v>
      </c>
      <c r="B137" s="331" t="s">
        <v>53</v>
      </c>
      <c r="C137" s="363">
        <f>'R+RS+B'!S18</f>
        <v>9.6834685554302826</v>
      </c>
      <c r="D137" s="363">
        <f>BDGT!R10*Factores!$D$8</f>
        <v>9.9410691361218326</v>
      </c>
      <c r="E137" s="363">
        <f>+C137-D137</f>
        <v>-0.25760058069155001</v>
      </c>
      <c r="F137" s="1075">
        <f>+E137/D137</f>
        <v>-2.5912764227293567E-2</v>
      </c>
      <c r="H137" s="1073" t="s">
        <v>67</v>
      </c>
      <c r="I137" s="331" t="s">
        <v>53</v>
      </c>
      <c r="J137" s="363">
        <f>'R+RS+F(OL)'!S18</f>
        <v>9.6574351882531388</v>
      </c>
      <c r="K137" s="363">
        <f>'BDGT ORI'!S18</f>
        <v>13.227857060988434</v>
      </c>
      <c r="L137" s="363">
        <f>+J137-K137</f>
        <v>-3.5704218727352952</v>
      </c>
      <c r="M137" s="1075">
        <f>+L137/K137</f>
        <v>-0.26991687741056525</v>
      </c>
      <c r="O137" s="1073" t="s">
        <v>68</v>
      </c>
      <c r="P137" s="331" t="s">
        <v>53</v>
      </c>
      <c r="Q137" s="363">
        <f>'R+RP+B'!S13</f>
        <v>9.6834685554302826</v>
      </c>
      <c r="R137" s="363">
        <f t="shared" si="103"/>
        <v>9.9410691361218326</v>
      </c>
      <c r="S137" s="896">
        <f t="shared" si="104"/>
        <v>-0.25760058069155001</v>
      </c>
      <c r="T137" s="1075">
        <f t="shared" si="105"/>
        <v>-2.5912764227293567E-2</v>
      </c>
      <c r="V137" s="1073" t="s">
        <v>68</v>
      </c>
      <c r="W137" s="331" t="s">
        <v>53</v>
      </c>
      <c r="X137" s="363">
        <f>'R+RP+OL'!S18</f>
        <v>9.0463975048265581</v>
      </c>
      <c r="Y137" s="363">
        <f t="shared" si="106"/>
        <v>13.227857060988434</v>
      </c>
      <c r="Z137" s="363">
        <f>+X137-Y137</f>
        <v>-4.1814595561618759</v>
      </c>
      <c r="AA137" s="1075">
        <f>+Z137/Y137</f>
        <v>-0.31611012553906609</v>
      </c>
    </row>
    <row r="138" spans="1:27">
      <c r="A138" s="1073" t="s">
        <v>69</v>
      </c>
      <c r="B138" s="331" t="s">
        <v>53</v>
      </c>
      <c r="C138" s="363">
        <f>C137/Factores!$D$8*Factores!$F$8</f>
        <v>9.6834685554302826</v>
      </c>
      <c r="D138" s="363">
        <f>D137/Factores!$D$8*Factores!$F$8</f>
        <v>9.9410691361218326</v>
      </c>
      <c r="E138" s="363">
        <f>+C138-D138</f>
        <v>-0.25760058069155001</v>
      </c>
      <c r="F138" s="1075">
        <f>+E138/D138</f>
        <v>-2.5912764227293567E-2</v>
      </c>
      <c r="H138" s="1073" t="s">
        <v>69</v>
      </c>
      <c r="I138" s="331" t="s">
        <v>53</v>
      </c>
      <c r="J138" s="363">
        <f>J137/Factores!$D$8*Factores!$F$8</f>
        <v>9.6574351882531388</v>
      </c>
      <c r="K138" s="363">
        <f>K137/Factores!$D$8*Factores!$F$8</f>
        <v>13.227857060988434</v>
      </c>
      <c r="L138" s="363">
        <f>+J138-K138</f>
        <v>-3.5704218727352952</v>
      </c>
      <c r="M138" s="1075">
        <f>+L138/K138</f>
        <v>-0.26991687741056525</v>
      </c>
      <c r="O138" s="1073" t="s">
        <v>69</v>
      </c>
      <c r="P138" s="331" t="s">
        <v>53</v>
      </c>
      <c r="Q138" s="363">
        <f>Q137/Factores!$D$8*Factores!$F$8</f>
        <v>9.6834685554302826</v>
      </c>
      <c r="R138" s="363">
        <f>R137/Factores!$D$8*Factores!$F$8</f>
        <v>9.9410691361218326</v>
      </c>
      <c r="S138" s="896">
        <f>+Q138-R138</f>
        <v>-0.25760058069155001</v>
      </c>
      <c r="T138" s="1075">
        <f>+S138/R138</f>
        <v>-2.5912764227293567E-2</v>
      </c>
      <c r="V138" s="1073" t="s">
        <v>69</v>
      </c>
      <c r="W138" s="331" t="s">
        <v>53</v>
      </c>
      <c r="X138" s="363">
        <f>X137/Factores!$D$8*Factores!$F$8</f>
        <v>9.0463975048265581</v>
      </c>
      <c r="Y138" s="363">
        <f>Y137/Factores!$D$8*Factores!$F$8</f>
        <v>13.227857060988434</v>
      </c>
      <c r="Z138" s="363">
        <f>+X138-Y138</f>
        <v>-4.1814595561618759</v>
      </c>
      <c r="AA138" s="1075">
        <f>+Z138/Y138</f>
        <v>-0.31611012553906609</v>
      </c>
    </row>
    <row r="139" spans="1:27" ht="12.75" hidden="1" customHeight="1">
      <c r="A139" s="1073" t="s">
        <v>70</v>
      </c>
      <c r="B139" s="331" t="s">
        <v>53</v>
      </c>
      <c r="C139" s="363">
        <f>'R+RS+B'!S65</f>
        <v>8.304852953718711E-2</v>
      </c>
      <c r="D139" s="363"/>
      <c r="E139" s="363"/>
      <c r="F139" s="1075"/>
      <c r="H139" s="1073" t="s">
        <v>70</v>
      </c>
      <c r="I139" s="331" t="s">
        <v>53</v>
      </c>
      <c r="J139" s="363">
        <f>'R+RS+F(OL)'!S65</f>
        <v>4.5386963656810608E-2</v>
      </c>
      <c r="K139" s="363"/>
      <c r="L139" s="363"/>
      <c r="M139" s="1075"/>
      <c r="O139" s="1073" t="s">
        <v>70</v>
      </c>
      <c r="P139" s="331" t="s">
        <v>53</v>
      </c>
      <c r="Q139" s="363">
        <f>'R+RP+B'!S62</f>
        <v>0.14018872250330716</v>
      </c>
      <c r="R139" s="896"/>
      <c r="S139" s="363"/>
      <c r="T139" s="1075"/>
      <c r="V139" s="1073" t="s">
        <v>70</v>
      </c>
      <c r="W139" s="331" t="s">
        <v>53</v>
      </c>
      <c r="X139" s="363">
        <f>'R+RP+OL'!S67</f>
        <v>3.0415569577446067E-2</v>
      </c>
      <c r="Y139" s="896"/>
      <c r="Z139" s="363"/>
      <c r="AA139" s="1075"/>
    </row>
    <row r="140" spans="1:27">
      <c r="A140" s="1073"/>
      <c r="B140" s="331"/>
      <c r="C140" s="363"/>
      <c r="D140" s="363"/>
      <c r="E140" s="363"/>
      <c r="F140" s="1075"/>
      <c r="H140" s="1073"/>
      <c r="I140" s="331"/>
      <c r="J140" s="363"/>
      <c r="K140" s="363"/>
      <c r="L140" s="363"/>
      <c r="M140" s="1075"/>
      <c r="O140" s="1073"/>
      <c r="P140" s="331"/>
      <c r="Q140" s="363"/>
      <c r="R140" s="896"/>
      <c r="S140" s="363"/>
      <c r="T140" s="1075"/>
      <c r="V140" s="1073"/>
      <c r="W140" s="331"/>
      <c r="X140" s="363"/>
      <c r="Y140" s="896"/>
      <c r="Z140" s="363"/>
      <c r="AA140" s="1075"/>
    </row>
    <row r="141" spans="1:27">
      <c r="A141" s="1091" t="s">
        <v>76</v>
      </c>
      <c r="B141" s="897" t="s">
        <v>77</v>
      </c>
      <c r="C141" s="219" t="e">
        <f>'R+RS+B'!S11</f>
        <v>#REF!</v>
      </c>
      <c r="D141" s="219" t="e">
        <f>BDGT!#REF!</f>
        <v>#REF!</v>
      </c>
      <c r="E141" s="383" t="e">
        <f t="shared" ref="E141:E146" si="107">+C141-D141</f>
        <v>#REF!</v>
      </c>
      <c r="F141" s="1076" t="e">
        <f t="shared" ref="F141:F146" si="108">+E141/D141</f>
        <v>#REF!</v>
      </c>
      <c r="H141" s="1091" t="s">
        <v>76</v>
      </c>
      <c r="I141" s="897" t="s">
        <v>77</v>
      </c>
      <c r="J141" s="219" t="e">
        <f>'R+RS+F(OL)'!S11</f>
        <v>#REF!</v>
      </c>
      <c r="K141" s="219">
        <f>'BDGT ORI'!S11</f>
        <v>0</v>
      </c>
      <c r="L141" s="383" t="e">
        <f t="shared" ref="L141:L146" si="109">+J141-K141</f>
        <v>#REF!</v>
      </c>
      <c r="M141" s="1076" t="e">
        <f t="shared" ref="M141:M146" si="110">+L141/K141</f>
        <v>#REF!</v>
      </c>
      <c r="O141" s="1073" t="s">
        <v>76</v>
      </c>
      <c r="P141" s="331" t="s">
        <v>77</v>
      </c>
      <c r="Q141" s="383" t="e">
        <f>'R+RP+B'!#REF!</f>
        <v>#REF!</v>
      </c>
      <c r="R141" s="219" t="e">
        <f t="shared" ref="R141:R146" si="111">D141</f>
        <v>#REF!</v>
      </c>
      <c r="S141" s="383" t="e">
        <f t="shared" ref="S141:S146" si="112">+Q141-R141</f>
        <v>#REF!</v>
      </c>
      <c r="T141" s="1075" t="e">
        <f t="shared" ref="T141:T146" si="113">+S141/R141</f>
        <v>#REF!</v>
      </c>
      <c r="V141" s="1073" t="s">
        <v>76</v>
      </c>
      <c r="W141" s="331" t="s">
        <v>77</v>
      </c>
      <c r="X141" s="383">
        <f>'R+RP+OL'!S11</f>
        <v>0</v>
      </c>
      <c r="Y141" s="219">
        <f>K141</f>
        <v>0</v>
      </c>
      <c r="Z141" s="383">
        <f t="shared" ref="Z141:Z146" si="114">+X141-Y141</f>
        <v>0</v>
      </c>
      <c r="AA141" s="1075" t="e">
        <f t="shared" ref="AA141:AA146" si="115">+Z141/Y141</f>
        <v>#DIV/0!</v>
      </c>
    </row>
    <row r="142" spans="1:27">
      <c r="A142" s="1073" t="s">
        <v>78</v>
      </c>
      <c r="B142" s="331" t="s">
        <v>53</v>
      </c>
      <c r="C142" s="383">
        <f>'R+RS+B'!S20</f>
        <v>65979.499222170067</v>
      </c>
      <c r="D142" s="383">
        <f>BDGT!R24</f>
        <v>0</v>
      </c>
      <c r="E142" s="383">
        <f t="shared" si="107"/>
        <v>65979.499222170067</v>
      </c>
      <c r="F142" s="1076" t="e">
        <f t="shared" si="108"/>
        <v>#DIV/0!</v>
      </c>
      <c r="H142" s="1073" t="s">
        <v>78</v>
      </c>
      <c r="I142" s="331" t="s">
        <v>53</v>
      </c>
      <c r="J142" s="383">
        <f>'R+RS+F(OL)'!S20</f>
        <v>65972.776365715181</v>
      </c>
      <c r="K142" s="383">
        <f>'BDGT ORI'!S20</f>
        <v>68551.207383776244</v>
      </c>
      <c r="L142" s="383">
        <f t="shared" si="109"/>
        <v>-2578.4310180610628</v>
      </c>
      <c r="M142" s="1076">
        <f t="shared" si="110"/>
        <v>-3.7613210860401133E-2</v>
      </c>
      <c r="O142" s="1073" t="s">
        <v>78</v>
      </c>
      <c r="P142" s="331" t="s">
        <v>53</v>
      </c>
      <c r="Q142" s="383">
        <f>'R+RP+B'!S15</f>
        <v>65971.914790879469</v>
      </c>
      <c r="R142" s="383">
        <f t="shared" si="111"/>
        <v>0</v>
      </c>
      <c r="S142" s="383">
        <f t="shared" si="112"/>
        <v>65971.914790879469</v>
      </c>
      <c r="T142" s="1075" t="e">
        <f t="shared" si="113"/>
        <v>#DIV/0!</v>
      </c>
      <c r="V142" s="1073" t="s">
        <v>78</v>
      </c>
      <c r="W142" s="331" t="s">
        <v>53</v>
      </c>
      <c r="X142" s="383">
        <f>'R+RP+OL'!S20</f>
        <v>68558.933957990957</v>
      </c>
      <c r="Y142" s="383">
        <f t="shared" si="106"/>
        <v>68551.207383776244</v>
      </c>
      <c r="Z142" s="383">
        <f t="shared" si="114"/>
        <v>7.7265742147137644</v>
      </c>
      <c r="AA142" s="1075">
        <f t="shared" si="115"/>
        <v>1.1271244533239809E-4</v>
      </c>
    </row>
    <row r="143" spans="1:27">
      <c r="A143" s="1073" t="s">
        <v>79</v>
      </c>
      <c r="B143" s="331" t="s">
        <v>75</v>
      </c>
      <c r="C143" s="896">
        <f>'R+RS+B'!S21</f>
        <v>180.51846572413152</v>
      </c>
      <c r="D143" s="896">
        <f>BDGT!R13</f>
        <v>181.45799803667725</v>
      </c>
      <c r="E143" s="896">
        <f t="shared" si="107"/>
        <v>-0.93953231254573666</v>
      </c>
      <c r="F143" s="1076">
        <f t="shared" si="108"/>
        <v>-5.1776847684378915E-3</v>
      </c>
      <c r="H143" s="1073" t="s">
        <v>79</v>
      </c>
      <c r="I143" s="331" t="s">
        <v>75</v>
      </c>
      <c r="J143" s="896">
        <f>'R+RS+F(OL)'!S21</f>
        <v>180.50007213601964</v>
      </c>
      <c r="K143" s="896">
        <f>'BDGT ORI'!S21</f>
        <v>187.29838082998972</v>
      </c>
      <c r="L143" s="896">
        <f t="shared" si="109"/>
        <v>-6.7983086939700854</v>
      </c>
      <c r="M143" s="1076">
        <f t="shared" si="110"/>
        <v>-3.62966762651349E-2</v>
      </c>
      <c r="O143" s="1073" t="s">
        <v>79</v>
      </c>
      <c r="P143" s="331" t="s">
        <v>75</v>
      </c>
      <c r="Q143" s="383">
        <f>'R+RP+B'!S16</f>
        <v>180.49771488612714</v>
      </c>
      <c r="R143" s="383">
        <f t="shared" si="111"/>
        <v>181.45799803667725</v>
      </c>
      <c r="S143" s="383">
        <f t="shared" si="112"/>
        <v>-0.96028315055011149</v>
      </c>
      <c r="T143" s="1075">
        <f t="shared" si="113"/>
        <v>-5.2920409182295397E-3</v>
      </c>
      <c r="V143" s="1073" t="s">
        <v>79</v>
      </c>
      <c r="W143" s="331" t="s">
        <v>75</v>
      </c>
      <c r="X143" s="896">
        <f>'R+RP+OL'!S21</f>
        <v>187.57574270312165</v>
      </c>
      <c r="Y143" s="896">
        <f t="shared" si="106"/>
        <v>187.29838082998972</v>
      </c>
      <c r="Z143" s="896">
        <f t="shared" si="114"/>
        <v>0.27736187313192318</v>
      </c>
      <c r="AA143" s="1075">
        <f t="shared" si="115"/>
        <v>1.4808556908117848E-3</v>
      </c>
    </row>
    <row r="144" spans="1:27">
      <c r="A144" s="1073" t="s">
        <v>80</v>
      </c>
      <c r="B144" s="331" t="s">
        <v>81</v>
      </c>
      <c r="C144" s="383">
        <f>'R+RS+B'!S22</f>
        <v>35960.401366629289</v>
      </c>
      <c r="D144" s="383">
        <f>BDGT!R14</f>
        <v>8357.8085862785792</v>
      </c>
      <c r="E144" s="383">
        <f t="shared" si="107"/>
        <v>27602.592780350707</v>
      </c>
      <c r="F144" s="1076">
        <f t="shared" si="108"/>
        <v>3.3026112641138043</v>
      </c>
      <c r="H144" s="1073" t="s">
        <v>80</v>
      </c>
      <c r="I144" s="331" t="s">
        <v>81</v>
      </c>
      <c r="J144" s="383">
        <f>'R+RS+F(OL)'!S22</f>
        <v>35968.8413465306</v>
      </c>
      <c r="K144" s="383">
        <f>'BDGT ORI'!S22</f>
        <v>8573.3477632377435</v>
      </c>
      <c r="L144" s="383">
        <f t="shared" si="109"/>
        <v>27395.493583292857</v>
      </c>
      <c r="M144" s="1076">
        <f t="shared" si="110"/>
        <v>3.1954254440446133</v>
      </c>
      <c r="O144" s="1073" t="s">
        <v>80</v>
      </c>
      <c r="P144" s="331" t="s">
        <v>81</v>
      </c>
      <c r="Q144" s="383">
        <f>'R+RP+B'!S17</f>
        <v>8422.3992884020336</v>
      </c>
      <c r="R144" s="383">
        <f t="shared" si="111"/>
        <v>8357.8085862785792</v>
      </c>
      <c r="S144" s="383">
        <f t="shared" si="112"/>
        <v>64.590702123454321</v>
      </c>
      <c r="T144" s="1075">
        <f t="shared" si="113"/>
        <v>7.7281863369658907E-3</v>
      </c>
      <c r="V144" s="1073" t="s">
        <v>80</v>
      </c>
      <c r="W144" s="331" t="s">
        <v>81</v>
      </c>
      <c r="X144" s="383">
        <f>'R+RP+OL'!S22</f>
        <v>37413.336913450607</v>
      </c>
      <c r="Y144" s="383">
        <f t="shared" si="106"/>
        <v>8573.3477632377435</v>
      </c>
      <c r="Z144" s="383">
        <f t="shared" si="114"/>
        <v>28839.989150212863</v>
      </c>
      <c r="AA144" s="1075">
        <f t="shared" si="115"/>
        <v>3.3639122017046672</v>
      </c>
    </row>
    <row r="145" spans="1:27">
      <c r="A145" s="1073" t="s">
        <v>82</v>
      </c>
      <c r="B145" s="331" t="s">
        <v>48</v>
      </c>
      <c r="C145" s="555">
        <f>'R+RS+B'!S23</f>
        <v>6.0495774387963293</v>
      </c>
      <c r="D145" s="555">
        <f>BDGT!R17</f>
        <v>0</v>
      </c>
      <c r="E145" s="896">
        <f t="shared" si="107"/>
        <v>6.0495774387963293</v>
      </c>
      <c r="F145" s="1076" t="e">
        <f t="shared" si="108"/>
        <v>#DIV/0!</v>
      </c>
      <c r="H145" s="1073" t="s">
        <v>82</v>
      </c>
      <c r="I145" s="331" t="s">
        <v>48</v>
      </c>
      <c r="J145" s="555">
        <f>'R+RS+F(OL)'!S23</f>
        <v>6.0501939118777148</v>
      </c>
      <c r="K145" s="555">
        <f>'BDGT ORI'!S23</f>
        <v>40.030141805690157</v>
      </c>
      <c r="L145" s="896">
        <f t="shared" si="109"/>
        <v>-33.979947893812444</v>
      </c>
      <c r="M145" s="1076">
        <f t="shared" si="110"/>
        <v>-0.84885904373644516</v>
      </c>
      <c r="O145" s="1073" t="s">
        <v>82</v>
      </c>
      <c r="P145" s="331" t="s">
        <v>48</v>
      </c>
      <c r="Q145" s="555">
        <f>'R+RP+B'!S18</f>
        <v>0</v>
      </c>
      <c r="R145" s="555">
        <f t="shared" si="111"/>
        <v>0</v>
      </c>
      <c r="S145" s="383">
        <f t="shared" si="112"/>
        <v>0</v>
      </c>
      <c r="T145" s="1075" t="e">
        <f t="shared" si="113"/>
        <v>#DIV/0!</v>
      </c>
      <c r="V145" s="1073" t="s">
        <v>82</v>
      </c>
      <c r="W145" s="331" t="s">
        <v>48</v>
      </c>
      <c r="X145" s="555">
        <f>'R+RP+OL'!S23</f>
        <v>25.913796951824274</v>
      </c>
      <c r="Y145" s="555">
        <f t="shared" si="106"/>
        <v>40.030141805690157</v>
      </c>
      <c r="Z145" s="896">
        <f t="shared" si="114"/>
        <v>-14.116344853865883</v>
      </c>
      <c r="AA145" s="1075">
        <f t="shared" si="115"/>
        <v>-0.35264288901068269</v>
      </c>
    </row>
    <row r="146" spans="1:27">
      <c r="A146" s="1073" t="s">
        <v>85</v>
      </c>
      <c r="B146" s="331" t="s">
        <v>48</v>
      </c>
      <c r="C146" s="896">
        <f>'R+RS+B'!S24</f>
        <v>20.916348129210299</v>
      </c>
      <c r="D146" s="896">
        <f>BDGT!R20</f>
        <v>0.90732603224888497</v>
      </c>
      <c r="E146" s="896">
        <f t="shared" si="107"/>
        <v>20.009022096961413</v>
      </c>
      <c r="F146" s="1076">
        <f t="shared" si="108"/>
        <v>22.052736707407529</v>
      </c>
      <c r="H146" s="1073" t="s">
        <v>85</v>
      </c>
      <c r="I146" s="331" t="s">
        <v>48</v>
      </c>
      <c r="J146" s="896">
        <f>'R+RS+F(OL)'!S24</f>
        <v>20.909309439644339</v>
      </c>
      <c r="K146" s="896">
        <f>'BDGT ORI'!S25</f>
        <v>109.85698082701205</v>
      </c>
      <c r="L146" s="896">
        <f t="shared" si="109"/>
        <v>-88.947671387367706</v>
      </c>
      <c r="M146" s="1076">
        <f t="shared" si="110"/>
        <v>-0.80966790383062226</v>
      </c>
      <c r="O146" s="1073" t="s">
        <v>85</v>
      </c>
      <c r="P146" s="331" t="s">
        <v>48</v>
      </c>
      <c r="Q146" s="896">
        <f>'R+RP+B'!S21</f>
        <v>20.976337356805104</v>
      </c>
      <c r="R146" s="896">
        <f t="shared" si="111"/>
        <v>0.90732603224888497</v>
      </c>
      <c r="S146" s="896">
        <f t="shared" si="112"/>
        <v>20.069011324556218</v>
      </c>
      <c r="T146" s="1075">
        <f t="shared" si="113"/>
        <v>22.118853214002314</v>
      </c>
      <c r="V146" s="1073" t="s">
        <v>85</v>
      </c>
      <c r="W146" s="331" t="s">
        <v>48</v>
      </c>
      <c r="X146" s="896">
        <f>'R+RP+OL'!S26</f>
        <v>20.890026366917212</v>
      </c>
      <c r="Y146" s="896">
        <f t="shared" si="106"/>
        <v>109.85698082701205</v>
      </c>
      <c r="Z146" s="896">
        <f t="shared" si="114"/>
        <v>-88.96695446009484</v>
      </c>
      <c r="AA146" s="1075">
        <f t="shared" si="115"/>
        <v>-0.80984343270991577</v>
      </c>
    </row>
    <row r="147" spans="1:27">
      <c r="A147" s="1073"/>
      <c r="B147" s="331"/>
      <c r="C147" s="383"/>
      <c r="D147" s="383"/>
      <c r="E147" s="896"/>
      <c r="F147" s="1076"/>
      <c r="H147" s="1073"/>
      <c r="I147" s="331"/>
      <c r="J147" s="383"/>
      <c r="K147" s="383"/>
      <c r="L147" s="896"/>
      <c r="M147" s="1076"/>
      <c r="O147" s="1073"/>
      <c r="P147" s="331"/>
      <c r="Q147" s="383"/>
      <c r="R147" s="896"/>
      <c r="S147" s="383"/>
      <c r="T147" s="1075"/>
      <c r="V147" s="1073"/>
      <c r="W147" s="331"/>
      <c r="X147" s="896"/>
      <c r="Y147" s="896"/>
      <c r="Z147" s="896"/>
      <c r="AA147" s="1075"/>
    </row>
    <row r="148" spans="1:27">
      <c r="A148" s="1073" t="s">
        <v>89</v>
      </c>
      <c r="B148" s="331" t="s">
        <v>48</v>
      </c>
      <c r="C148" s="363">
        <f>'R+RS+B'!S32</f>
        <v>0.60431869898141366</v>
      </c>
      <c r="D148" s="363">
        <f>BDGT!R29</f>
        <v>0.60530185578174789</v>
      </c>
      <c r="E148" s="363">
        <f>+C148-D148</f>
        <v>-9.8315680033422836E-4</v>
      </c>
      <c r="F148" s="1076">
        <f>+E148/D148</f>
        <v>-1.6242421709817502E-3</v>
      </c>
      <c r="H148" s="1073" t="s">
        <v>89</v>
      </c>
      <c r="I148" s="331" t="s">
        <v>48</v>
      </c>
      <c r="J148" s="363">
        <f>'R+RS+F(OL)'!S32</f>
        <v>0.59775894123431839</v>
      </c>
      <c r="K148" s="363">
        <f>'BDGT ORI'!S33</f>
        <v>0.53201555644307785</v>
      </c>
      <c r="L148" s="363">
        <f>+J148-K148</f>
        <v>6.5743384791240533E-2</v>
      </c>
      <c r="M148" s="1076">
        <f>+L148/K148</f>
        <v>0.12357417747477961</v>
      </c>
      <c r="O148" s="1073" t="s">
        <v>89</v>
      </c>
      <c r="P148" s="331" t="s">
        <v>48</v>
      </c>
      <c r="Q148" s="363">
        <f>'R+RP+B'!S29</f>
        <v>0.60375669321103564</v>
      </c>
      <c r="R148" s="363">
        <f>D148</f>
        <v>0.60530185578174789</v>
      </c>
      <c r="S148" s="363">
        <f>+Q148-R148</f>
        <v>-1.5451625707122441E-3</v>
      </c>
      <c r="T148" s="1075">
        <f>+S148/R148</f>
        <v>-2.5527140813349485E-3</v>
      </c>
      <c r="V148" s="1073" t="s">
        <v>89</v>
      </c>
      <c r="W148" s="331" t="s">
        <v>48</v>
      </c>
      <c r="X148" s="363">
        <f>'R+RP+OL'!S34</f>
        <v>0.57983906667487928</v>
      </c>
      <c r="Y148" s="363">
        <f t="shared" si="106"/>
        <v>0.53201555644307785</v>
      </c>
      <c r="Z148" s="363">
        <f>+X148-Y148</f>
        <v>4.7823510231801425E-2</v>
      </c>
      <c r="AA148" s="1075">
        <f>+Z148/Y148</f>
        <v>8.9891187677926906E-2</v>
      </c>
    </row>
    <row r="149" spans="1:27">
      <c r="A149" s="1073" t="s">
        <v>90</v>
      </c>
      <c r="B149" s="331" t="s">
        <v>48</v>
      </c>
      <c r="C149" s="896">
        <f>'R+RS+B'!S33</f>
        <v>90.650718580496118</v>
      </c>
      <c r="D149" s="896">
        <f>BDGT!R30</f>
        <v>90.546524499481052</v>
      </c>
      <c r="E149" s="896">
        <f>+C149-D149</f>
        <v>0.10419408101506633</v>
      </c>
      <c r="F149" s="1076">
        <f>+E149/D149</f>
        <v>1.1507242447021089E-3</v>
      </c>
      <c r="H149" s="1073" t="s">
        <v>90</v>
      </c>
      <c r="I149" s="331" t="s">
        <v>48</v>
      </c>
      <c r="J149" s="896">
        <f>'R+RS+F(OL)'!S33</f>
        <v>90.847944756438437</v>
      </c>
      <c r="K149" s="896">
        <f>'BDGT ORI'!S34</f>
        <v>89.739334094639133</v>
      </c>
      <c r="L149" s="896">
        <f>+J149-K149</f>
        <v>1.1086106617993039</v>
      </c>
      <c r="M149" s="1076">
        <f>+L149/K149</f>
        <v>1.2353676043886873E-2</v>
      </c>
      <c r="O149" s="1073" t="s">
        <v>90</v>
      </c>
      <c r="P149" s="331" t="s">
        <v>48</v>
      </c>
      <c r="Q149" s="896">
        <f>'R+RP+B'!S30</f>
        <v>90.647466988537573</v>
      </c>
      <c r="R149" s="896">
        <f>D149</f>
        <v>90.546524499481052</v>
      </c>
      <c r="S149" s="896">
        <f>+Q149-R149</f>
        <v>0.10094248905652137</v>
      </c>
      <c r="T149" s="1075">
        <f>+S149/R149</f>
        <v>1.114813512881987E-3</v>
      </c>
      <c r="V149" s="1073" t="s">
        <v>90</v>
      </c>
      <c r="W149" s="331" t="s">
        <v>48</v>
      </c>
      <c r="X149" s="896">
        <f>'R+RP+OL'!S35</f>
        <v>89.621070509388659</v>
      </c>
      <c r="Y149" s="896">
        <f t="shared" si="106"/>
        <v>89.739334094639133</v>
      </c>
      <c r="Z149" s="896">
        <f>+X149-Y149</f>
        <v>-0.11826358525047453</v>
      </c>
      <c r="AA149" s="1075">
        <f>+Z149/Y149</f>
        <v>-1.3178567285305875E-3</v>
      </c>
    </row>
    <row r="150" spans="1:27">
      <c r="A150" s="1073" t="s">
        <v>92</v>
      </c>
      <c r="B150" s="331" t="s">
        <v>53</v>
      </c>
      <c r="C150" s="555">
        <f>'R+RS+B'!S34</f>
        <v>1312.8895534526314</v>
      </c>
      <c r="D150" s="896">
        <f>BDGT!R32</f>
        <v>27.762152298751158</v>
      </c>
      <c r="E150" s="896">
        <f>+C150-D150</f>
        <v>1285.1274011538803</v>
      </c>
      <c r="F150" s="1076">
        <f>+E150/D150</f>
        <v>46.290625716785293</v>
      </c>
      <c r="H150" s="1073" t="s">
        <v>92</v>
      </c>
      <c r="I150" s="331" t="s">
        <v>53</v>
      </c>
      <c r="J150" s="555">
        <f>'R+RS+F(OL)'!S34</f>
        <v>1318.1699745946187</v>
      </c>
      <c r="K150" s="896">
        <f>'BDGT ORI'!S35</f>
        <v>1113.1001533781107</v>
      </c>
      <c r="L150" s="896">
        <f>+J150-K150</f>
        <v>205.06982121650799</v>
      </c>
      <c r="M150" s="1076">
        <f>+L150/K150</f>
        <v>0.18423303652788869</v>
      </c>
      <c r="O150" s="1073" t="s">
        <v>92</v>
      </c>
      <c r="P150" s="331" t="s">
        <v>53</v>
      </c>
      <c r="Q150" s="555">
        <f>'R+RP+B'!S31</f>
        <v>1312.0302483174551</v>
      </c>
      <c r="R150" s="555">
        <f>D150</f>
        <v>27.762152298751158</v>
      </c>
      <c r="S150" s="896">
        <f>+Q150-R150</f>
        <v>1284.268096018704</v>
      </c>
      <c r="T150" s="1075">
        <f>+S150/R150</f>
        <v>46.259673320662358</v>
      </c>
      <c r="V150" s="1073" t="s">
        <v>92</v>
      </c>
      <c r="W150" s="331" t="s">
        <v>53</v>
      </c>
      <c r="X150" s="896">
        <f>'R+RP+OL'!S36</f>
        <v>1270.2616784602369</v>
      </c>
      <c r="Y150" s="896">
        <f t="shared" si="106"/>
        <v>1113.1001533781107</v>
      </c>
      <c r="Z150" s="896">
        <f>+X150-Y150</f>
        <v>157.16152508212622</v>
      </c>
      <c r="AA150" s="1075">
        <f>+Z150/Y150</f>
        <v>0.14119261829689084</v>
      </c>
    </row>
    <row r="151" spans="1:27">
      <c r="A151" s="1073" t="s">
        <v>93</v>
      </c>
      <c r="B151" s="331" t="s">
        <v>48</v>
      </c>
      <c r="C151" s="896">
        <f>'R+RS+B'!S35</f>
        <v>26.66358525246763</v>
      </c>
      <c r="D151" s="896">
        <f>BDGT!R33</f>
        <v>27.762152298751158</v>
      </c>
      <c r="E151" s="896">
        <f>+C151-D151</f>
        <v>-1.0985670462835273</v>
      </c>
      <c r="F151" s="1076">
        <f>+E151/D151</f>
        <v>-3.9570672852080886E-2</v>
      </c>
      <c r="H151" s="1073" t="s">
        <v>93</v>
      </c>
      <c r="I151" s="331" t="s">
        <v>48</v>
      </c>
      <c r="J151" s="896">
        <f>'R+RS+F(OL)'!S35</f>
        <v>27.178550497525684</v>
      </c>
      <c r="K151" s="896">
        <f>'BDGT ORI'!S36</f>
        <v>29.402755993895401</v>
      </c>
      <c r="L151" s="896">
        <f>+J151-K151</f>
        <v>-2.2242054963697164</v>
      </c>
      <c r="M151" s="1076">
        <f>+L151/K151</f>
        <v>-7.5646157007577999E-2</v>
      </c>
      <c r="O151" s="1073" t="s">
        <v>93</v>
      </c>
      <c r="P151" s="331" t="s">
        <v>48</v>
      </c>
      <c r="Q151" s="896">
        <f>'R+RP+B'!S32</f>
        <v>27.518495975577316</v>
      </c>
      <c r="R151" s="896">
        <f>D151</f>
        <v>27.762152298751158</v>
      </c>
      <c r="S151" s="363">
        <f>+Q151-R151</f>
        <v>-0.24365632317384112</v>
      </c>
      <c r="T151" s="1075">
        <f>+S151/R151</f>
        <v>-8.7765646031990711E-3</v>
      </c>
      <c r="V151" s="1073" t="s">
        <v>93</v>
      </c>
      <c r="W151" s="331" t="s">
        <v>48</v>
      </c>
      <c r="X151" s="896">
        <f>'R+RP+OL'!S37</f>
        <v>28.05678491860602</v>
      </c>
      <c r="Y151" s="896">
        <f t="shared" si="106"/>
        <v>29.402755993895401</v>
      </c>
      <c r="Z151" s="896">
        <f>+X151-Y151</f>
        <v>-1.3459710752893805</v>
      </c>
      <c r="AA151" s="1075">
        <f>+Z151/Y151</f>
        <v>-4.5777037892938709E-2</v>
      </c>
    </row>
    <row r="152" spans="1:27">
      <c r="A152" s="1073"/>
      <c r="B152" s="331"/>
      <c r="C152" s="383"/>
      <c r="D152" s="383"/>
      <c r="E152" s="896"/>
      <c r="F152" s="1076"/>
      <c r="H152" s="1073"/>
      <c r="I152" s="331"/>
      <c r="J152" s="383"/>
      <c r="K152" s="383"/>
      <c r="L152" s="896"/>
      <c r="M152" s="1076"/>
      <c r="O152" s="1073"/>
      <c r="P152" s="331"/>
      <c r="Q152" s="383"/>
      <c r="R152" s="896"/>
      <c r="S152" s="896"/>
      <c r="T152" s="1075"/>
      <c r="V152" s="1073"/>
      <c r="W152" s="331"/>
      <c r="X152" s="896"/>
      <c r="Y152" s="896"/>
      <c r="Z152" s="896"/>
      <c r="AA152" s="1075"/>
    </row>
    <row r="153" spans="1:27">
      <c r="A153" s="1073" t="s">
        <v>94</v>
      </c>
      <c r="B153" s="331" t="s">
        <v>95</v>
      </c>
      <c r="C153" s="383">
        <f>'R+RS+B'!S37</f>
        <v>179.8633524727922</v>
      </c>
      <c r="D153" s="383">
        <f>BDGT!R35</f>
        <v>182.14572923375275</v>
      </c>
      <c r="E153" s="896">
        <f t="shared" ref="E153:E158" si="116">+C153-D153</f>
        <v>-2.2823767609605454</v>
      </c>
      <c r="F153" s="1076">
        <f t="shared" ref="F153:F158" si="117">+E153/D153</f>
        <v>-1.25304983573428E-2</v>
      </c>
      <c r="H153" s="1073" t="s">
        <v>94</v>
      </c>
      <c r="I153" s="331" t="s">
        <v>95</v>
      </c>
      <c r="J153" s="383">
        <f>'R+RS+F(OL)'!S37</f>
        <v>179.46572709799753</v>
      </c>
      <c r="K153" s="383">
        <f>'BDGT ORI'!S38</f>
        <v>231.0207855105557</v>
      </c>
      <c r="L153" s="896">
        <f t="shared" ref="L153:L158" si="118">+J153-K153</f>
        <v>-51.555058412558168</v>
      </c>
      <c r="M153" s="1076">
        <f t="shared" ref="M153:M158" si="119">+L153/K153</f>
        <v>-0.22316199080797661</v>
      </c>
      <c r="O153" s="1073" t="s">
        <v>94</v>
      </c>
      <c r="P153" s="331" t="s">
        <v>95</v>
      </c>
      <c r="Q153" s="383">
        <f>'R+RP+B'!S34</f>
        <v>180.98546275925418</v>
      </c>
      <c r="R153" s="383">
        <f t="shared" ref="R153:R158" si="120">D153</f>
        <v>182.14572923375275</v>
      </c>
      <c r="S153" s="896">
        <f t="shared" ref="S153:S158" si="121">+Q153-R153</f>
        <v>-1.1602664744985702</v>
      </c>
      <c r="T153" s="1075">
        <f t="shared" ref="T153:T158" si="122">+S153/R153</f>
        <v>-6.3699900040454288E-3</v>
      </c>
      <c r="V153" s="1073" t="s">
        <v>94</v>
      </c>
      <c r="W153" s="331" t="s">
        <v>95</v>
      </c>
      <c r="X153" s="383">
        <f>'R+RP+OL'!S39</f>
        <v>158.94480864600075</v>
      </c>
      <c r="Y153" s="383">
        <f t="shared" si="106"/>
        <v>231.0207855105557</v>
      </c>
      <c r="Z153" s="896">
        <f t="shared" ref="Z153:Z158" si="123">+X153-Y153</f>
        <v>-72.075976864554946</v>
      </c>
      <c r="AA153" s="1075">
        <f t="shared" ref="AA153:AA158" si="124">+Z153/Y153</f>
        <v>-0.31198914290446683</v>
      </c>
    </row>
    <row r="154" spans="1:27">
      <c r="A154" s="1073" t="s">
        <v>96</v>
      </c>
      <c r="B154" s="331" t="s">
        <v>48</v>
      </c>
      <c r="C154" s="896">
        <f>'R+RS+B'!S38</f>
        <v>82.386946994483026</v>
      </c>
      <c r="D154" s="896">
        <f>BDGT!R36</f>
        <v>83.233653894351761</v>
      </c>
      <c r="E154" s="896">
        <f t="shared" si="116"/>
        <v>-0.84670689986873526</v>
      </c>
      <c r="F154" s="1076">
        <f t="shared" si="117"/>
        <v>-1.0172650847978606E-2</v>
      </c>
      <c r="H154" s="1073" t="s">
        <v>96</v>
      </c>
      <c r="I154" s="331" t="s">
        <v>48</v>
      </c>
      <c r="J154" s="896">
        <f>'R+RS+F(OL)'!S38</f>
        <v>82.356914067044158</v>
      </c>
      <c r="K154" s="896">
        <f>'BDGT ORI'!S39</f>
        <v>83.946046590693186</v>
      </c>
      <c r="L154" s="896">
        <f t="shared" si="118"/>
        <v>-1.5891325236490275</v>
      </c>
      <c r="M154" s="1076">
        <f t="shared" si="119"/>
        <v>-1.8930403374412264E-2</v>
      </c>
      <c r="O154" s="1073" t="s">
        <v>96</v>
      </c>
      <c r="P154" s="331" t="s">
        <v>48</v>
      </c>
      <c r="Q154" s="896">
        <f>'R+RP+B'!S35</f>
        <v>82.364123369797568</v>
      </c>
      <c r="R154" s="896">
        <f t="shared" si="120"/>
        <v>83.233653894351761</v>
      </c>
      <c r="S154" s="896">
        <f t="shared" si="121"/>
        <v>-0.86953052455419311</v>
      </c>
      <c r="T154" s="1075">
        <f t="shared" si="122"/>
        <v>-1.0446862343180149E-2</v>
      </c>
      <c r="V154" s="1073" t="s">
        <v>96</v>
      </c>
      <c r="W154" s="331" t="s">
        <v>48</v>
      </c>
      <c r="X154" s="896">
        <f>'R+RP+OL'!S40</f>
        <v>83.711757666193634</v>
      </c>
      <c r="Y154" s="896">
        <f t="shared" si="106"/>
        <v>83.946046590693186</v>
      </c>
      <c r="Z154" s="896">
        <f t="shared" si="123"/>
        <v>-0.23428892449955185</v>
      </c>
      <c r="AA154" s="1075">
        <f t="shared" si="124"/>
        <v>-2.7909464949779621E-3</v>
      </c>
    </row>
    <row r="155" spans="1:27">
      <c r="A155" s="1073" t="s">
        <v>97</v>
      </c>
      <c r="B155" s="331" t="s">
        <v>48</v>
      </c>
      <c r="C155" s="555">
        <f>'R+RS+B'!S39</f>
        <v>92.651332340341895</v>
      </c>
      <c r="D155" s="555">
        <f>BDGT!R37</f>
        <v>93.419816641434906</v>
      </c>
      <c r="E155" s="896">
        <f t="shared" si="116"/>
        <v>-0.76848430109301091</v>
      </c>
      <c r="F155" s="1076">
        <f t="shared" si="117"/>
        <v>-8.2261379728737517E-3</v>
      </c>
      <c r="H155" s="1073" t="s">
        <v>97</v>
      </c>
      <c r="I155" s="331" t="s">
        <v>48</v>
      </c>
      <c r="J155" s="555" t="e">
        <f>'R+RS+F(OL)'!S39</f>
        <v>#REF!</v>
      </c>
      <c r="K155" s="555">
        <f>'BDGT ORI'!S40</f>
        <v>93.830423645303412</v>
      </c>
      <c r="L155" s="896" t="e">
        <f t="shared" si="118"/>
        <v>#REF!</v>
      </c>
      <c r="M155" s="1076" t="e">
        <f t="shared" si="119"/>
        <v>#REF!</v>
      </c>
      <c r="O155" s="1073" t="s">
        <v>97</v>
      </c>
      <c r="P155" s="331" t="s">
        <v>48</v>
      </c>
      <c r="Q155" s="555">
        <f>'R+RP+B'!S36</f>
        <v>92.610761543727762</v>
      </c>
      <c r="R155" s="896">
        <f t="shared" si="120"/>
        <v>93.419816641434906</v>
      </c>
      <c r="S155" s="896">
        <f t="shared" si="121"/>
        <v>-0.80905509770714445</v>
      </c>
      <c r="T155" s="1075">
        <f t="shared" si="122"/>
        <v>-8.6604226682703705E-3</v>
      </c>
      <c r="V155" s="1073" t="s">
        <v>97</v>
      </c>
      <c r="W155" s="331" t="s">
        <v>48</v>
      </c>
      <c r="X155" s="896">
        <f>'R+RP+OL'!S41</f>
        <v>57.977871659556349</v>
      </c>
      <c r="Y155" s="896">
        <f t="shared" si="106"/>
        <v>93.830423645303412</v>
      </c>
      <c r="Z155" s="896">
        <f t="shared" si="123"/>
        <v>-35.852551985747063</v>
      </c>
      <c r="AA155" s="1075">
        <f t="shared" si="124"/>
        <v>-0.38209943633289378</v>
      </c>
    </row>
    <row r="156" spans="1:27">
      <c r="A156" s="1073" t="s">
        <v>98</v>
      </c>
      <c r="B156" s="331" t="s">
        <v>48</v>
      </c>
      <c r="C156" s="555">
        <f>'R+RS+B'!S40</f>
        <v>88.921545406864041</v>
      </c>
      <c r="D156" s="555">
        <f>BDGT!R38</f>
        <v>89.09635758954677</v>
      </c>
      <c r="E156" s="896">
        <f t="shared" si="116"/>
        <v>-0.17481218268272869</v>
      </c>
      <c r="F156" s="1076">
        <f t="shared" si="117"/>
        <v>-1.9620575679205826E-3</v>
      </c>
      <c r="H156" s="1073" t="s">
        <v>98</v>
      </c>
      <c r="I156" s="331" t="s">
        <v>48</v>
      </c>
      <c r="J156" s="555" t="e">
        <f>'R+RS+F(OL)'!S40</f>
        <v>#REF!</v>
      </c>
      <c r="K156" s="555">
        <f>'BDGT ORI'!S41</f>
        <v>90.953068256595287</v>
      </c>
      <c r="L156" s="896" t="e">
        <f t="shared" si="118"/>
        <v>#REF!</v>
      </c>
      <c r="M156" s="1076" t="e">
        <f t="shared" si="119"/>
        <v>#REF!</v>
      </c>
      <c r="O156" s="1073" t="s">
        <v>98</v>
      </c>
      <c r="P156" s="331" t="s">
        <v>48</v>
      </c>
      <c r="Q156" s="555">
        <f>'R+RP+B'!S37</f>
        <v>88.935855032226343</v>
      </c>
      <c r="R156" s="896">
        <f t="shared" si="120"/>
        <v>89.09635758954677</v>
      </c>
      <c r="S156" s="896">
        <f t="shared" si="121"/>
        <v>-0.16050255732042729</v>
      </c>
      <c r="T156" s="1075">
        <f t="shared" si="122"/>
        <v>-1.8014491463258005E-3</v>
      </c>
      <c r="V156" s="1073" t="s">
        <v>98</v>
      </c>
      <c r="W156" s="331" t="s">
        <v>48</v>
      </c>
      <c r="X156" s="896">
        <f>'R+RP+OL'!S42</f>
        <v>90.287914407356936</v>
      </c>
      <c r="Y156" s="896">
        <f t="shared" si="106"/>
        <v>90.953068256595287</v>
      </c>
      <c r="Z156" s="896">
        <f t="shared" si="123"/>
        <v>-0.66515384923835086</v>
      </c>
      <c r="AA156" s="1075">
        <f t="shared" si="124"/>
        <v>-7.3131545970701048E-3</v>
      </c>
    </row>
    <row r="157" spans="1:27">
      <c r="A157" s="1073" t="s">
        <v>99</v>
      </c>
      <c r="B157" s="331" t="s">
        <v>100</v>
      </c>
      <c r="C157" s="219">
        <f>'R+RS+B'!S41*1000</f>
        <v>18552.321627646037</v>
      </c>
      <c r="D157" s="219">
        <f>BDGT!R39*1000</f>
        <v>18594.871128622515</v>
      </c>
      <c r="E157" s="383">
        <f t="shared" si="116"/>
        <v>-42.549500976478157</v>
      </c>
      <c r="F157" s="1076">
        <f t="shared" si="117"/>
        <v>-2.288238551488696E-3</v>
      </c>
      <c r="H157" s="1073" t="s">
        <v>132</v>
      </c>
      <c r="I157" s="331" t="s">
        <v>100</v>
      </c>
      <c r="J157" s="219">
        <f>C157</f>
        <v>18552.321627646037</v>
      </c>
      <c r="K157" s="219">
        <f>'BDGT ORI'!S42*1000</f>
        <v>24619.127230575905</v>
      </c>
      <c r="L157" s="383">
        <f t="shared" si="118"/>
        <v>-6066.8056029298677</v>
      </c>
      <c r="M157" s="1076">
        <f t="shared" si="119"/>
        <v>-0.2464265100102799</v>
      </c>
      <c r="O157" s="1073" t="s">
        <v>99</v>
      </c>
      <c r="P157" s="331" t="s">
        <v>100</v>
      </c>
      <c r="Q157" s="383">
        <f>'R+RP+B'!S38*1000</f>
        <v>18666.602013578278</v>
      </c>
      <c r="R157" s="383">
        <f t="shared" si="120"/>
        <v>18594.871128622515</v>
      </c>
      <c r="S157" s="896">
        <f t="shared" si="121"/>
        <v>71.730884955763031</v>
      </c>
      <c r="T157" s="1075">
        <f t="shared" si="122"/>
        <v>3.8575628978331491E-3</v>
      </c>
      <c r="V157" s="1073" t="s">
        <v>99</v>
      </c>
      <c r="W157" s="331" t="s">
        <v>100</v>
      </c>
      <c r="X157" s="383">
        <f>Q157</f>
        <v>18666.602013578278</v>
      </c>
      <c r="Y157" s="383">
        <f>K157</f>
        <v>24619.127230575905</v>
      </c>
      <c r="Z157" s="383">
        <f t="shared" si="123"/>
        <v>-5952.5252169976266</v>
      </c>
      <c r="AA157" s="1075">
        <f t="shared" si="124"/>
        <v>-0.24178457510893581</v>
      </c>
    </row>
    <row r="158" spans="1:27">
      <c r="A158" s="1073" t="s">
        <v>102</v>
      </c>
      <c r="B158" s="331" t="s">
        <v>48</v>
      </c>
      <c r="C158" s="896">
        <f>'R+RS+B'!S42</f>
        <v>52.700149078646916</v>
      </c>
      <c r="D158" s="896">
        <f>BDGT!R40</f>
        <v>54</v>
      </c>
      <c r="E158" s="896">
        <f t="shared" si="116"/>
        <v>-1.2998509213530838</v>
      </c>
      <c r="F158" s="1076">
        <f t="shared" si="117"/>
        <v>-2.4071313358390439E-2</v>
      </c>
      <c r="H158" s="1073" t="s">
        <v>102</v>
      </c>
      <c r="I158" s="331" t="s">
        <v>48</v>
      </c>
      <c r="J158" s="896">
        <f>C158</f>
        <v>52.700149078646916</v>
      </c>
      <c r="K158" s="896">
        <f>'BDGT ORI'!S43</f>
        <v>54</v>
      </c>
      <c r="L158" s="896">
        <f t="shared" si="118"/>
        <v>-1.2998509213530838</v>
      </c>
      <c r="M158" s="1076">
        <f t="shared" si="119"/>
        <v>-2.4071313358390439E-2</v>
      </c>
      <c r="O158" s="1073" t="s">
        <v>102</v>
      </c>
      <c r="P158" s="331" t="s">
        <v>48</v>
      </c>
      <c r="Q158" s="896">
        <f>'R+RP+B'!S39</f>
        <v>52.683618267171006</v>
      </c>
      <c r="R158" s="896">
        <f t="shared" si="120"/>
        <v>54</v>
      </c>
      <c r="S158" s="896">
        <f t="shared" si="121"/>
        <v>-1.3163817328289937</v>
      </c>
      <c r="T158" s="1075">
        <f t="shared" si="122"/>
        <v>-2.4377439496833218E-2</v>
      </c>
      <c r="V158" s="1073" t="s">
        <v>102</v>
      </c>
      <c r="W158" s="331" t="s">
        <v>48</v>
      </c>
      <c r="X158" s="896">
        <f>Q158</f>
        <v>52.683618267171006</v>
      </c>
      <c r="Y158" s="896">
        <f>K158</f>
        <v>54</v>
      </c>
      <c r="Z158" s="896">
        <f t="shared" si="123"/>
        <v>-1.3163817328289937</v>
      </c>
      <c r="AA158" s="1075">
        <f t="shared" si="124"/>
        <v>-2.4377439496833218E-2</v>
      </c>
    </row>
    <row r="159" spans="1:27" ht="13">
      <c r="A159" s="1073"/>
      <c r="B159" s="331"/>
      <c r="C159" s="331"/>
      <c r="D159" s="331"/>
      <c r="E159" s="896"/>
      <c r="F159" s="1076"/>
      <c r="H159" s="1073"/>
      <c r="I159" s="331"/>
      <c r="J159" s="331"/>
      <c r="K159" s="331"/>
      <c r="L159" s="896"/>
      <c r="M159" s="1076"/>
      <c r="O159" s="1114"/>
      <c r="P159" s="331"/>
      <c r="S159" s="896"/>
      <c r="T159" s="1075"/>
      <c r="V159" s="1073"/>
      <c r="W159" s="331"/>
      <c r="X159" s="896"/>
      <c r="Y159" s="896"/>
      <c r="Z159" s="896"/>
      <c r="AA159" s="1075"/>
    </row>
    <row r="160" spans="1:27">
      <c r="A160" s="1073" t="s">
        <v>103</v>
      </c>
      <c r="B160" s="331" t="s">
        <v>104</v>
      </c>
      <c r="C160" s="254">
        <f>'R+RS+B'!S52</f>
        <v>17.564848504818642</v>
      </c>
      <c r="D160" s="254">
        <f>BDGT!R54</f>
        <v>23.628552654610321</v>
      </c>
      <c r="E160" s="896">
        <f>+C160-D160</f>
        <v>-6.063704149791679</v>
      </c>
      <c r="F160" s="1076">
        <f>+E160/D160</f>
        <v>-0.25662613527064893</v>
      </c>
      <c r="H160" s="1073" t="s">
        <v>103</v>
      </c>
      <c r="I160" s="331" t="s">
        <v>104</v>
      </c>
      <c r="J160" s="254">
        <f>C160</f>
        <v>17.564848504818642</v>
      </c>
      <c r="K160" s="254">
        <f>'BDGT ORI'!S53</f>
        <v>32.882789122806983</v>
      </c>
      <c r="L160" s="896">
        <f>+J160-K160</f>
        <v>-15.317940617988342</v>
      </c>
      <c r="M160" s="1076">
        <f>+L160/K160</f>
        <v>-0.46583459087915569</v>
      </c>
      <c r="O160" s="1073" t="s">
        <v>103</v>
      </c>
      <c r="P160" s="331" t="s">
        <v>104</v>
      </c>
      <c r="Q160" s="908">
        <f>'R+RP+B'!S49</f>
        <v>19.539741792976518</v>
      </c>
      <c r="R160" s="908">
        <f>D160</f>
        <v>23.628552654610321</v>
      </c>
      <c r="S160" s="896">
        <f>+Q160-R160</f>
        <v>-4.088810861633803</v>
      </c>
      <c r="T160" s="1075">
        <f>+S160/R160</f>
        <v>-0.17304533719867976</v>
      </c>
      <c r="V160" s="1073" t="s">
        <v>103</v>
      </c>
      <c r="W160" s="331" t="s">
        <v>104</v>
      </c>
      <c r="X160" s="896">
        <f>Q160</f>
        <v>19.539741792976518</v>
      </c>
      <c r="Y160" s="896">
        <f>K160</f>
        <v>32.882789122806983</v>
      </c>
      <c r="Z160" s="896">
        <f>+X160-Y160</f>
        <v>-13.343047329830465</v>
      </c>
      <c r="AA160" s="1075">
        <f>+Z160/Y160</f>
        <v>-0.4057760210059535</v>
      </c>
    </row>
    <row r="161" spans="1:27">
      <c r="A161" s="1077" t="s">
        <v>106</v>
      </c>
      <c r="B161" s="1078" t="s">
        <v>104</v>
      </c>
      <c r="C161" s="1115">
        <f>'R+RS+B'!S53</f>
        <v>838.17615857920077</v>
      </c>
      <c r="D161" s="1115">
        <f>BDGT!R55</f>
        <v>939.12106273256325</v>
      </c>
      <c r="E161" s="942">
        <f>+C161-D161</f>
        <v>-100.94490415336247</v>
      </c>
      <c r="F161" s="1079">
        <f>+E161/D161</f>
        <v>-0.10748870210582094</v>
      </c>
      <c r="H161" s="1077" t="s">
        <v>106</v>
      </c>
      <c r="I161" s="1078" t="s">
        <v>104</v>
      </c>
      <c r="J161" s="1115">
        <f>C161</f>
        <v>838.17615857920077</v>
      </c>
      <c r="K161" s="1115">
        <f>'BDGT ORI'!S54</f>
        <v>1316.701965576319</v>
      </c>
      <c r="L161" s="942">
        <f>+J161-K161</f>
        <v>-478.52580699711825</v>
      </c>
      <c r="M161" s="1079">
        <f>+L161/K161</f>
        <v>-0.36342757853153812</v>
      </c>
      <c r="O161" s="1077" t="s">
        <v>106</v>
      </c>
      <c r="P161" s="1078" t="s">
        <v>104</v>
      </c>
      <c r="Q161" s="1116">
        <f>'R+RP+B'!S50</f>
        <v>831.41050700397534</v>
      </c>
      <c r="R161" s="1116">
        <f>D161</f>
        <v>939.12106273256325</v>
      </c>
      <c r="S161" s="942">
        <f>+Q161-R161</f>
        <v>-107.71055572858791</v>
      </c>
      <c r="T161" s="1094">
        <f>+S161/R161</f>
        <v>-0.1146929400296722</v>
      </c>
      <c r="V161" s="1077" t="s">
        <v>106</v>
      </c>
      <c r="W161" s="1078" t="s">
        <v>104</v>
      </c>
      <c r="X161" s="942">
        <f>Q161</f>
        <v>831.41050700397534</v>
      </c>
      <c r="Y161" s="942">
        <f>K161</f>
        <v>1316.701965576319</v>
      </c>
      <c r="Z161" s="942">
        <f>+X161-Y161</f>
        <v>-485.29145857234369</v>
      </c>
      <c r="AA161" s="1094">
        <f>+Z161/Y161</f>
        <v>-0.36856591032727148</v>
      </c>
    </row>
    <row r="162" spans="1:27" ht="13">
      <c r="A162" s="909"/>
      <c r="B162" s="893"/>
      <c r="E162" s="4480"/>
      <c r="F162" s="4480"/>
      <c r="H162" s="909"/>
      <c r="I162" s="893"/>
      <c r="L162" s="4480"/>
      <c r="M162" s="4480"/>
      <c r="P162" s="331"/>
      <c r="Q162" s="896"/>
      <c r="R162" s="896"/>
      <c r="S162" s="555"/>
      <c r="T162" s="910"/>
      <c r="W162" s="331"/>
      <c r="X162" s="896"/>
      <c r="Y162" s="896"/>
      <c r="Z162" s="896"/>
      <c r="AA162" s="905"/>
    </row>
    <row r="163" spans="1:27" ht="13">
      <c r="B163" s="331"/>
      <c r="C163" s="331"/>
      <c r="D163" s="331"/>
      <c r="E163" s="331"/>
      <c r="F163" s="331"/>
      <c r="I163" s="331"/>
      <c r="J163" s="331"/>
      <c r="K163" s="331"/>
      <c r="L163" s="331"/>
      <c r="M163" s="331"/>
      <c r="P163" s="331"/>
      <c r="Q163" s="896"/>
      <c r="R163" s="896"/>
      <c r="S163" s="896"/>
      <c r="T163" s="910"/>
      <c r="V163" s="299"/>
      <c r="W163" s="331"/>
    </row>
    <row r="164" spans="1:27" ht="14">
      <c r="B164" s="331"/>
      <c r="C164" s="331"/>
      <c r="D164" s="331"/>
      <c r="E164" s="331"/>
      <c r="F164" s="331"/>
      <c r="I164" s="331"/>
      <c r="J164" s="331"/>
      <c r="K164" s="331"/>
      <c r="L164" s="331"/>
      <c r="M164" s="331"/>
      <c r="O164" s="1099" t="s">
        <v>150</v>
      </c>
      <c r="P164" s="1100"/>
      <c r="Q164" s="1100"/>
      <c r="R164" s="1100"/>
      <c r="S164" s="1100"/>
      <c r="T164" s="984"/>
      <c r="V164" s="1089" t="s">
        <v>151</v>
      </c>
      <c r="W164" s="987"/>
      <c r="X164" s="987"/>
      <c r="Y164" s="987"/>
      <c r="Z164" s="987"/>
      <c r="AA164" s="983"/>
    </row>
    <row r="165" spans="1:27" ht="13">
      <c r="B165" s="331"/>
      <c r="C165" s="331"/>
      <c r="D165" s="331"/>
      <c r="E165" s="331"/>
      <c r="F165" s="331"/>
      <c r="I165" s="331"/>
      <c r="J165" s="331"/>
      <c r="K165" s="331"/>
      <c r="L165" s="331"/>
      <c r="M165" s="331"/>
      <c r="O165" s="1090"/>
      <c r="P165" s="894">
        <f>A247</f>
        <v>0</v>
      </c>
      <c r="S165" s="4480" t="s">
        <v>43</v>
      </c>
      <c r="T165" s="4481"/>
      <c r="V165" s="1090">
        <f>A247</f>
        <v>0</v>
      </c>
      <c r="W165" s="893"/>
      <c r="Z165" s="4480" t="s">
        <v>43</v>
      </c>
      <c r="AA165" s="4481"/>
    </row>
    <row r="166" spans="1:27">
      <c r="B166" s="331"/>
      <c r="C166" s="331"/>
      <c r="D166" s="331"/>
      <c r="E166" s="331"/>
      <c r="F166" s="331"/>
      <c r="I166" s="331"/>
      <c r="J166" s="331"/>
      <c r="K166" s="331"/>
      <c r="L166" s="331"/>
      <c r="M166" s="331"/>
      <c r="O166" s="1073"/>
      <c r="P166" s="331" t="s">
        <v>46</v>
      </c>
      <c r="Q166" s="331" t="s">
        <v>11</v>
      </c>
      <c r="R166" s="331" t="s">
        <v>47</v>
      </c>
      <c r="S166" s="331" t="s">
        <v>10</v>
      </c>
      <c r="T166" s="1074" t="s">
        <v>48</v>
      </c>
      <c r="V166" s="1073"/>
      <c r="W166" s="331" t="s">
        <v>46</v>
      </c>
      <c r="X166" s="331" t="s">
        <v>149</v>
      </c>
      <c r="Y166" s="331" t="s">
        <v>47</v>
      </c>
      <c r="Z166" s="331" t="s">
        <v>10</v>
      </c>
      <c r="AA166" s="1074" t="s">
        <v>48</v>
      </c>
    </row>
    <row r="167" spans="1:27" ht="12.75" hidden="1" customHeight="1">
      <c r="B167" s="331"/>
      <c r="C167" s="896"/>
      <c r="D167" s="896"/>
      <c r="E167" s="896"/>
      <c r="F167" s="910"/>
      <c r="I167" s="331"/>
      <c r="J167" s="896"/>
      <c r="K167" s="896"/>
      <c r="L167" s="896"/>
      <c r="M167" s="910"/>
      <c r="O167" s="1109"/>
      <c r="P167" s="1110"/>
      <c r="Q167" s="1111"/>
      <c r="R167" s="1111"/>
      <c r="S167" s="1111"/>
      <c r="T167" s="1112"/>
      <c r="V167" s="1135" t="s">
        <v>52</v>
      </c>
      <c r="W167" s="1136" t="s">
        <v>53</v>
      </c>
      <c r="X167" s="1137">
        <f>X249</f>
        <v>0</v>
      </c>
      <c r="Y167" s="1137">
        <f>R249</f>
        <v>0</v>
      </c>
      <c r="Z167" s="1138">
        <f t="shared" ref="Z167:Z172" si="125">+X167-Y167</f>
        <v>0</v>
      </c>
      <c r="AA167" s="1139" t="e">
        <f t="shared" ref="AA167:AA172" si="126">+Z167/Y167</f>
        <v>#DIV/0!</v>
      </c>
    </row>
    <row r="168" spans="1:27" ht="12.75" hidden="1" customHeight="1">
      <c r="B168" s="331"/>
      <c r="C168" s="896"/>
      <c r="D168" s="896"/>
      <c r="E168" s="896"/>
      <c r="F168" s="910"/>
      <c r="I168" s="331"/>
      <c r="J168" s="896"/>
      <c r="K168" s="896"/>
      <c r="L168" s="896"/>
      <c r="M168" s="910"/>
      <c r="O168" s="1073"/>
      <c r="P168" s="331"/>
      <c r="Q168" s="896"/>
      <c r="R168" s="896"/>
      <c r="S168" s="896"/>
      <c r="T168" s="1075"/>
      <c r="V168" s="1073" t="s">
        <v>55</v>
      </c>
      <c r="W168" s="331" t="s">
        <v>53</v>
      </c>
      <c r="X168" s="896">
        <f>X130</f>
        <v>209.42061857483233</v>
      </c>
      <c r="Y168" s="896">
        <f>R130</f>
        <v>391.82429582695755</v>
      </c>
      <c r="Z168" s="896">
        <f t="shared" si="125"/>
        <v>-182.40367725212522</v>
      </c>
      <c r="AA168" s="1075">
        <f t="shared" si="126"/>
        <v>-0.46552416273002289</v>
      </c>
    </row>
    <row r="169" spans="1:27" ht="12.75" hidden="1" customHeight="1">
      <c r="B169" s="331"/>
      <c r="C169" s="896"/>
      <c r="D169" s="896"/>
      <c r="E169" s="896"/>
      <c r="F169" s="910"/>
      <c r="I169" s="331"/>
      <c r="J169" s="896"/>
      <c r="K169" s="896"/>
      <c r="L169" s="896"/>
      <c r="M169" s="910"/>
      <c r="O169" s="1073"/>
      <c r="P169" s="331"/>
      <c r="Q169" s="896"/>
      <c r="R169" s="896"/>
      <c r="S169" s="896"/>
      <c r="T169" s="1075"/>
      <c r="V169" s="1073" t="s">
        <v>58</v>
      </c>
      <c r="W169" s="331" t="s">
        <v>53</v>
      </c>
      <c r="X169" s="896">
        <f>X172+X176*Factores!$F$9</f>
        <v>358.53145985751536</v>
      </c>
      <c r="Y169" s="896">
        <f>Y172+Y176*Factores!$F$9</f>
        <v>391.82429582695755</v>
      </c>
      <c r="Z169" s="896">
        <f t="shared" si="125"/>
        <v>-33.292835969442194</v>
      </c>
      <c r="AA169" s="1075">
        <f t="shared" si="126"/>
        <v>-8.4968789133345116E-2</v>
      </c>
    </row>
    <row r="170" spans="1:27" ht="13">
      <c r="B170" s="331"/>
      <c r="C170" s="896"/>
      <c r="D170" s="896"/>
      <c r="E170" s="896"/>
      <c r="F170" s="910"/>
      <c r="I170" s="331"/>
      <c r="J170" s="896"/>
      <c r="K170" s="896"/>
      <c r="L170" s="896"/>
      <c r="M170" s="910"/>
      <c r="O170" s="1118" t="s">
        <v>59</v>
      </c>
      <c r="P170" s="1119" t="s">
        <v>53</v>
      </c>
      <c r="Q170" s="1120">
        <f>'R+RP+B'!AE10</f>
        <v>54.86015955474894</v>
      </c>
      <c r="R170" s="1120" t="e">
        <f>BDGT!Y8</f>
        <v>#REF!</v>
      </c>
      <c r="S170" s="1120" t="e">
        <f>+Q170-R170</f>
        <v>#REF!</v>
      </c>
      <c r="T170" s="1121" t="e">
        <f>+S170/R170</f>
        <v>#REF!</v>
      </c>
      <c r="V170" s="1135" t="s">
        <v>59</v>
      </c>
      <c r="W170" s="1136" t="s">
        <v>53</v>
      </c>
      <c r="X170" s="1137">
        <f>X132</f>
        <v>356.39458702906347</v>
      </c>
      <c r="Y170" s="1137">
        <f>R132</f>
        <v>349.0140090489449</v>
      </c>
      <c r="Z170" s="1138">
        <f t="shared" si="125"/>
        <v>7.3805779801185736</v>
      </c>
      <c r="AA170" s="1139">
        <f t="shared" si="126"/>
        <v>2.1146939059066647E-2</v>
      </c>
    </row>
    <row r="171" spans="1:27">
      <c r="B171" s="331"/>
      <c r="C171" s="896"/>
      <c r="D171" s="896"/>
      <c r="E171" s="896"/>
      <c r="F171" s="910"/>
      <c r="I171" s="331"/>
      <c r="J171" s="896"/>
      <c r="K171" s="896"/>
      <c r="L171" s="896"/>
      <c r="M171" s="910"/>
      <c r="O171" s="1122" t="s">
        <v>62</v>
      </c>
      <c r="P171" s="362" t="s">
        <v>53</v>
      </c>
      <c r="Q171" s="977">
        <f>'R+RP+B'!AE11</f>
        <v>52.317337818039569</v>
      </c>
      <c r="R171" s="819" t="e">
        <f>BDGT!Y7</f>
        <v>#REF!</v>
      </c>
      <c r="S171" s="819" t="e">
        <f>+Q171-R171</f>
        <v>#REF!</v>
      </c>
      <c r="T171" s="1123" t="e">
        <f>+S171/R171</f>
        <v>#REF!</v>
      </c>
      <c r="V171" s="1073" t="s">
        <v>61</v>
      </c>
      <c r="W171" s="331" t="s">
        <v>53</v>
      </c>
      <c r="X171" s="896">
        <f>X133</f>
        <v>332.30595349102316</v>
      </c>
      <c r="Y171" s="896">
        <f>R133</f>
        <v>363.00513640134034</v>
      </c>
      <c r="Z171" s="896">
        <f t="shared" si="125"/>
        <v>-30.699182910317177</v>
      </c>
      <c r="AA171" s="1075">
        <f t="shared" si="126"/>
        <v>-8.4569555171186347E-2</v>
      </c>
    </row>
    <row r="172" spans="1:27">
      <c r="B172" s="331"/>
      <c r="C172" s="896"/>
      <c r="D172" s="896"/>
      <c r="E172" s="896"/>
      <c r="F172" s="910"/>
      <c r="I172" s="331"/>
      <c r="J172" s="896"/>
      <c r="K172" s="896"/>
      <c r="L172" s="896"/>
      <c r="M172" s="910"/>
      <c r="O172" s="1122" t="s">
        <v>62</v>
      </c>
      <c r="P172" s="362" t="s">
        <v>53</v>
      </c>
      <c r="Q172" s="977">
        <f>Q171</f>
        <v>52.317337818039569</v>
      </c>
      <c r="R172" s="819" t="e">
        <f>R171</f>
        <v>#REF!</v>
      </c>
      <c r="S172" s="819" t="e">
        <f>+Q172-R172</f>
        <v>#REF!</v>
      </c>
      <c r="T172" s="1123" t="e">
        <f>+S172/R172</f>
        <v>#REF!</v>
      </c>
      <c r="V172" s="1073" t="s">
        <v>63</v>
      </c>
      <c r="W172" s="331" t="s">
        <v>53</v>
      </c>
      <c r="X172" s="896">
        <f>X171/Factores!$D$7*Factores!$F$7</f>
        <v>332.30595349102316</v>
      </c>
      <c r="Y172" s="896">
        <f>Y171/Factores!$D$7*Factores!$F$7</f>
        <v>363.00513640134034</v>
      </c>
      <c r="Z172" s="896">
        <f t="shared" si="125"/>
        <v>-30.699182910317177</v>
      </c>
      <c r="AA172" s="1075">
        <f t="shared" si="126"/>
        <v>-8.4569555171186347E-2</v>
      </c>
    </row>
    <row r="173" spans="1:27">
      <c r="B173" s="331"/>
      <c r="C173" s="896"/>
      <c r="D173" s="896"/>
      <c r="E173" s="896"/>
      <c r="F173" s="910"/>
      <c r="I173" s="331"/>
      <c r="J173" s="896"/>
      <c r="K173" s="896"/>
      <c r="L173" s="896"/>
      <c r="M173" s="910"/>
      <c r="O173" s="1122" t="s">
        <v>65</v>
      </c>
      <c r="P173" s="362" t="s">
        <v>53</v>
      </c>
      <c r="Q173" s="819">
        <f>Q170-Q172/Factores!$D$7</f>
        <v>0.47623250896975833</v>
      </c>
      <c r="R173" s="819"/>
      <c r="S173" s="818"/>
      <c r="T173" s="1123"/>
      <c r="V173" s="1073" t="s">
        <v>65</v>
      </c>
      <c r="W173" s="331" t="s">
        <v>53</v>
      </c>
      <c r="X173" s="896">
        <f>X135</f>
        <v>15.662384027374081</v>
      </c>
      <c r="Y173" s="896"/>
      <c r="Z173" s="896"/>
      <c r="AA173" s="1075"/>
    </row>
    <row r="174" spans="1:27" ht="13">
      <c r="B174" s="331"/>
      <c r="C174" s="896"/>
      <c r="D174" s="896"/>
      <c r="E174" s="896"/>
      <c r="F174" s="910"/>
      <c r="I174" s="331"/>
      <c r="J174" s="896"/>
      <c r="K174" s="896"/>
      <c r="L174" s="896"/>
      <c r="M174" s="910"/>
      <c r="O174" s="1118" t="s">
        <v>66</v>
      </c>
      <c r="P174" s="1119" t="s">
        <v>53</v>
      </c>
      <c r="Q174" s="1124">
        <f>'R+RP+B'!AE24</f>
        <v>0</v>
      </c>
      <c r="R174" s="1124" t="e">
        <f>BDGT!Y9</f>
        <v>#REF!</v>
      </c>
      <c r="S174" s="1124" t="e">
        <f>+Q174-R174</f>
        <v>#REF!</v>
      </c>
      <c r="T174" s="1121" t="e">
        <f>+S174/R174</f>
        <v>#REF!</v>
      </c>
      <c r="V174" s="1135" t="s">
        <v>66</v>
      </c>
      <c r="W174" s="1136" t="s">
        <v>53</v>
      </c>
      <c r="X174" s="1140">
        <f>X136</f>
        <v>9.1222723583478587</v>
      </c>
      <c r="Y174" s="1140">
        <f>R136</f>
        <v>10.041230409456157</v>
      </c>
      <c r="Z174" s="1141">
        <f>+X174-Y174</f>
        <v>-0.91895805110829798</v>
      </c>
      <c r="AA174" s="1139">
        <f>+Z174/Y174</f>
        <v>-9.1518470708817218E-2</v>
      </c>
    </row>
    <row r="175" spans="1:27">
      <c r="B175" s="331"/>
      <c r="C175" s="724"/>
      <c r="D175" s="724"/>
      <c r="E175" s="724"/>
      <c r="F175" s="910"/>
      <c r="I175" s="331"/>
      <c r="J175" s="896"/>
      <c r="K175" s="896"/>
      <c r="L175" s="724"/>
      <c r="M175" s="910"/>
      <c r="O175" s="1122" t="s">
        <v>68</v>
      </c>
      <c r="P175" s="362" t="s">
        <v>53</v>
      </c>
      <c r="Q175" s="818">
        <f>'R+RP+B'!AE13</f>
        <v>1.7589286847251442</v>
      </c>
      <c r="R175" s="818" t="e">
        <f>BDGT!Y10</f>
        <v>#DIV/0!</v>
      </c>
      <c r="S175" s="819" t="e">
        <f>+Q175-R175</f>
        <v>#DIV/0!</v>
      </c>
      <c r="T175" s="1123" t="e">
        <f>+S175/R175</f>
        <v>#DIV/0!</v>
      </c>
      <c r="V175" s="1073" t="s">
        <v>68</v>
      </c>
      <c r="W175" s="331" t="s">
        <v>53</v>
      </c>
      <c r="X175" s="363">
        <f>X137</f>
        <v>9.0463975048265581</v>
      </c>
      <c r="Y175" s="363">
        <f>R137</f>
        <v>9.9410691361218326</v>
      </c>
      <c r="Z175" s="363">
        <f>+X175-Y175</f>
        <v>-0.89467163129527449</v>
      </c>
      <c r="AA175" s="1075">
        <f>+Z175/Y175</f>
        <v>-8.9997526326861449E-2</v>
      </c>
    </row>
    <row r="176" spans="1:27">
      <c r="B176" s="331"/>
      <c r="C176" s="383"/>
      <c r="D176" s="896"/>
      <c r="E176" s="896"/>
      <c r="F176" s="910"/>
      <c r="I176" s="331"/>
      <c r="J176" s="896"/>
      <c r="K176" s="896"/>
      <c r="L176" s="896"/>
      <c r="M176" s="910"/>
      <c r="O176" s="1122" t="s">
        <v>69</v>
      </c>
      <c r="P176" s="362" t="s">
        <v>53</v>
      </c>
      <c r="Q176" s="818">
        <f>Q175/Factores!$D$8*Factores!$F$8</f>
        <v>1.7589286847251442</v>
      </c>
      <c r="R176" s="818" t="e">
        <f>R175/Factores!$D$8*Factores!$D$8</f>
        <v>#DIV/0!</v>
      </c>
      <c r="S176" s="819" t="e">
        <f>+Q176-R176</f>
        <v>#DIV/0!</v>
      </c>
      <c r="T176" s="1123" t="e">
        <f>+S176/R176</f>
        <v>#DIV/0!</v>
      </c>
      <c r="V176" s="1073" t="s">
        <v>69</v>
      </c>
      <c r="W176" s="331" t="s">
        <v>53</v>
      </c>
      <c r="X176" s="363">
        <f>X175/Factores!$D$8*Factores!$F$8</f>
        <v>9.0463975048265581</v>
      </c>
      <c r="Y176" s="363">
        <f>Y175/Factores!$D$8*Factores!$F$8</f>
        <v>9.9410691361218326</v>
      </c>
      <c r="Z176" s="363">
        <f>+X176-Y176</f>
        <v>-0.89467163129527449</v>
      </c>
      <c r="AA176" s="1075">
        <f>+Z176/Y176</f>
        <v>-8.9997526326861449E-2</v>
      </c>
    </row>
    <row r="177" spans="1:27">
      <c r="B177" s="331"/>
      <c r="C177" s="383"/>
      <c r="D177" s="896"/>
      <c r="E177" s="383"/>
      <c r="F177" s="910"/>
      <c r="I177" s="331"/>
      <c r="J177" s="896"/>
      <c r="K177" s="896"/>
      <c r="L177" s="383"/>
      <c r="M177" s="910"/>
      <c r="O177" s="1122" t="s">
        <v>70</v>
      </c>
      <c r="P177" s="362" t="s">
        <v>53</v>
      </c>
      <c r="Q177" s="977">
        <f>Q176</f>
        <v>1.7589286847251442</v>
      </c>
      <c r="R177" s="818"/>
      <c r="S177" s="818"/>
      <c r="T177" s="1123"/>
      <c r="V177" s="1073" t="s">
        <v>70</v>
      </c>
      <c r="W177" s="331" t="s">
        <v>53</v>
      </c>
      <c r="X177" s="363">
        <f>X139</f>
        <v>3.0415569577446067E-2</v>
      </c>
      <c r="Y177" s="896"/>
      <c r="Z177" s="363"/>
      <c r="AA177" s="1075"/>
    </row>
    <row r="178" spans="1:27" ht="12.75" hidden="1" customHeight="1">
      <c r="B178" s="331"/>
      <c r="C178" s="896"/>
      <c r="D178" s="896"/>
      <c r="E178" s="896"/>
      <c r="F178" s="910"/>
      <c r="I178" s="331"/>
      <c r="J178" s="896"/>
      <c r="K178" s="896"/>
      <c r="L178" s="896"/>
      <c r="M178" s="910"/>
      <c r="O178" s="1125"/>
      <c r="P178" s="1126"/>
      <c r="Q178" s="1127"/>
      <c r="R178" s="1127"/>
      <c r="S178" s="1127"/>
      <c r="T178" s="1128"/>
      <c r="V178" s="1073"/>
      <c r="W178" s="331"/>
      <c r="X178" s="363"/>
      <c r="Y178" s="896"/>
      <c r="Z178" s="363"/>
      <c r="AA178" s="1075"/>
    </row>
    <row r="179" spans="1:27" ht="12.75" hidden="1" customHeight="1">
      <c r="B179" s="331"/>
      <c r="C179" s="383"/>
      <c r="D179" s="896"/>
      <c r="E179" s="383"/>
      <c r="F179" s="910"/>
      <c r="I179" s="331"/>
      <c r="J179" s="896"/>
      <c r="K179" s="896"/>
      <c r="L179" s="383"/>
      <c r="M179" s="910"/>
      <c r="O179" s="1125"/>
      <c r="P179" s="1126"/>
      <c r="Q179" s="1127"/>
      <c r="R179" s="1127"/>
      <c r="S179" s="1127"/>
      <c r="T179" s="1128"/>
      <c r="V179" s="1073" t="s">
        <v>152</v>
      </c>
      <c r="W179" s="331" t="s">
        <v>77</v>
      </c>
      <c r="X179" s="383">
        <f>X141</f>
        <v>0</v>
      </c>
      <c r="Y179" s="219" t="e">
        <f>R141</f>
        <v>#REF!</v>
      </c>
      <c r="Z179" s="383" t="e">
        <f t="shared" ref="Z179:Z184" si="127">+X179-Y179</f>
        <v>#REF!</v>
      </c>
      <c r="AA179" s="1075" t="e">
        <f t="shared" ref="AA179:AA184" si="128">+Z179/Y179</f>
        <v>#REF!</v>
      </c>
    </row>
    <row r="180" spans="1:27" ht="12.75" hidden="1" customHeight="1">
      <c r="B180" s="331"/>
      <c r="C180" s="896"/>
      <c r="D180" s="896"/>
      <c r="E180" s="896"/>
      <c r="F180" s="910"/>
      <c r="I180" s="331"/>
      <c r="J180" s="896"/>
      <c r="K180" s="896"/>
      <c r="L180" s="896"/>
      <c r="M180" s="910"/>
      <c r="O180" s="1125"/>
      <c r="P180" s="1126"/>
      <c r="Q180" s="1127"/>
      <c r="R180" s="1127"/>
      <c r="S180" s="1127"/>
      <c r="T180" s="1128"/>
      <c r="V180" s="1073" t="s">
        <v>78</v>
      </c>
      <c r="W180" s="331" t="s">
        <v>53</v>
      </c>
      <c r="X180" s="383">
        <f t="shared" ref="X180:X194" si="129">X142</f>
        <v>68558.933957990957</v>
      </c>
      <c r="Y180" s="383">
        <f t="shared" ref="Y180:Y196" si="130">R142</f>
        <v>0</v>
      </c>
      <c r="Z180" s="383">
        <f t="shared" si="127"/>
        <v>68558.933957990957</v>
      </c>
      <c r="AA180" s="1075" t="e">
        <f t="shared" si="128"/>
        <v>#DIV/0!</v>
      </c>
    </row>
    <row r="181" spans="1:27">
      <c r="B181" s="331"/>
      <c r="C181" s="383"/>
      <c r="D181" s="896"/>
      <c r="E181" s="896"/>
      <c r="F181" s="910"/>
      <c r="I181" s="331"/>
      <c r="J181" s="896"/>
      <c r="K181" s="896"/>
      <c r="L181" s="896"/>
      <c r="M181" s="910"/>
      <c r="O181" s="1125"/>
      <c r="P181" s="1126"/>
      <c r="Q181" s="1127"/>
      <c r="R181" s="1127"/>
      <c r="S181" s="1127"/>
      <c r="T181" s="1128"/>
      <c r="V181" s="1073" t="s">
        <v>79</v>
      </c>
      <c r="W181" s="331" t="s">
        <v>75</v>
      </c>
      <c r="X181" s="896">
        <f t="shared" si="129"/>
        <v>187.57574270312165</v>
      </c>
      <c r="Y181" s="896">
        <f t="shared" si="130"/>
        <v>181.45799803667725</v>
      </c>
      <c r="Z181" s="896">
        <f t="shared" si="127"/>
        <v>6.1177446664443949</v>
      </c>
      <c r="AA181" s="1075">
        <f t="shared" si="128"/>
        <v>3.3714384224650402E-2</v>
      </c>
    </row>
    <row r="182" spans="1:27">
      <c r="B182" s="331"/>
      <c r="C182" s="363"/>
      <c r="D182" s="896"/>
      <c r="E182" s="363"/>
      <c r="F182" s="910"/>
      <c r="I182" s="331"/>
      <c r="J182" s="896"/>
      <c r="K182" s="896"/>
      <c r="L182" s="363"/>
      <c r="M182" s="910"/>
      <c r="O182" s="1122" t="s">
        <v>76</v>
      </c>
      <c r="P182" s="362" t="s">
        <v>53</v>
      </c>
      <c r="Q182" s="539" t="e">
        <f>'R+RP+B'!#REF!</f>
        <v>#REF!</v>
      </c>
      <c r="R182" s="539" t="e">
        <f>BDGT!#REF!</f>
        <v>#REF!</v>
      </c>
      <c r="S182" s="819" t="e">
        <f t="shared" ref="S182:S187" si="131">+Q182-R182</f>
        <v>#REF!</v>
      </c>
      <c r="T182" s="1123" t="e">
        <f t="shared" ref="T182:T187" si="132">+S182/R182</f>
        <v>#REF!</v>
      </c>
      <c r="V182" s="1073" t="s">
        <v>80</v>
      </c>
      <c r="W182" s="331" t="s">
        <v>81</v>
      </c>
      <c r="X182" s="383">
        <f t="shared" si="129"/>
        <v>37413.336913450607</v>
      </c>
      <c r="Y182" s="383">
        <f t="shared" si="130"/>
        <v>8357.8085862785792</v>
      </c>
      <c r="Z182" s="383">
        <f t="shared" si="127"/>
        <v>29055.528327172025</v>
      </c>
      <c r="AA182" s="1075">
        <f t="shared" si="128"/>
        <v>3.4764529514200526</v>
      </c>
    </row>
    <row r="183" spans="1:27">
      <c r="B183" s="331"/>
      <c r="C183" s="896"/>
      <c r="D183" s="896"/>
      <c r="E183" s="896"/>
      <c r="F183" s="910"/>
      <c r="I183" s="331"/>
      <c r="J183" s="896"/>
      <c r="K183" s="896"/>
      <c r="L183" s="896"/>
      <c r="M183" s="910"/>
      <c r="O183" s="1122" t="s">
        <v>78</v>
      </c>
      <c r="P183" s="362" t="s">
        <v>53</v>
      </c>
      <c r="Q183" s="539">
        <f>'R+RP+B'!AE15</f>
        <v>12013.912612676229</v>
      </c>
      <c r="R183" s="539">
        <f>BDGT!Y24</f>
        <v>0</v>
      </c>
      <c r="S183" s="819">
        <f t="shared" si="131"/>
        <v>12013.912612676229</v>
      </c>
      <c r="T183" s="1123" t="e">
        <f t="shared" si="132"/>
        <v>#DIV/0!</v>
      </c>
      <c r="V183" s="1073" t="s">
        <v>82</v>
      </c>
      <c r="W183" s="331" t="s">
        <v>48</v>
      </c>
      <c r="X183" s="555">
        <f t="shared" si="129"/>
        <v>25.913796951824274</v>
      </c>
      <c r="Y183" s="555">
        <f t="shared" si="130"/>
        <v>0</v>
      </c>
      <c r="Z183" s="896">
        <f t="shared" si="127"/>
        <v>25.913796951824274</v>
      </c>
      <c r="AA183" s="1075" t="e">
        <f t="shared" si="128"/>
        <v>#DIV/0!</v>
      </c>
    </row>
    <row r="184" spans="1:27">
      <c r="B184" s="331"/>
      <c r="C184" s="555"/>
      <c r="D184" s="896"/>
      <c r="E184" s="896"/>
      <c r="F184" s="910"/>
      <c r="I184" s="331"/>
      <c r="J184" s="896"/>
      <c r="K184" s="896"/>
      <c r="L184" s="896"/>
      <c r="M184" s="910"/>
      <c r="O184" s="1122" t="s">
        <v>79</v>
      </c>
      <c r="P184" s="362" t="s">
        <v>75</v>
      </c>
      <c r="Q184" s="539">
        <f>'R+RP+B'!AE16</f>
        <v>158.07779753521353</v>
      </c>
      <c r="R184" s="539" t="e">
        <f>BDGT!Y13</f>
        <v>#REF!</v>
      </c>
      <c r="S184" s="819" t="e">
        <f t="shared" si="131"/>
        <v>#REF!</v>
      </c>
      <c r="T184" s="1123" t="e">
        <f t="shared" si="132"/>
        <v>#REF!</v>
      </c>
      <c r="V184" s="1073" t="s">
        <v>85</v>
      </c>
      <c r="W184" s="331" t="s">
        <v>48</v>
      </c>
      <c r="X184" s="896">
        <f t="shared" si="129"/>
        <v>20.890026366917212</v>
      </c>
      <c r="Y184" s="896">
        <f t="shared" si="130"/>
        <v>0.90732603224888497</v>
      </c>
      <c r="Z184" s="896">
        <f t="shared" si="127"/>
        <v>19.982700334668326</v>
      </c>
      <c r="AA184" s="1075">
        <f t="shared" si="128"/>
        <v>22.023726449399341</v>
      </c>
    </row>
    <row r="185" spans="1:27" ht="13">
      <c r="B185" s="331"/>
      <c r="C185" s="896"/>
      <c r="D185" s="896"/>
      <c r="E185" s="896"/>
      <c r="F185" s="910"/>
      <c r="I185" s="331"/>
      <c r="J185" s="896"/>
      <c r="K185" s="896"/>
      <c r="L185" s="896"/>
      <c r="M185" s="910"/>
      <c r="O185" s="1118" t="s">
        <v>80</v>
      </c>
      <c r="P185" s="1119" t="s">
        <v>81</v>
      </c>
      <c r="Q185" s="978">
        <f>'R+RP+B'!AE17</f>
        <v>8376.3228504130984</v>
      </c>
      <c r="R185" s="978" t="e">
        <f>BDGT!Y14</f>
        <v>#REF!</v>
      </c>
      <c r="S185" s="978" t="e">
        <f t="shared" si="131"/>
        <v>#REF!</v>
      </c>
      <c r="T185" s="1121" t="e">
        <f t="shared" si="132"/>
        <v>#REF!</v>
      </c>
      <c r="V185" s="1073"/>
      <c r="W185" s="331"/>
      <c r="X185" s="896"/>
      <c r="Y185" s="896"/>
      <c r="Z185" s="896"/>
      <c r="AA185" s="1075"/>
    </row>
    <row r="186" spans="1:27">
      <c r="B186" s="331"/>
      <c r="C186" s="383"/>
      <c r="D186" s="896"/>
      <c r="E186" s="896"/>
      <c r="F186" s="910"/>
      <c r="I186" s="331"/>
      <c r="J186" s="896"/>
      <c r="K186" s="896"/>
      <c r="L186" s="896"/>
      <c r="M186" s="910"/>
      <c r="O186" s="1122" t="s">
        <v>82</v>
      </c>
      <c r="P186" s="362" t="s">
        <v>48</v>
      </c>
      <c r="Q186" s="818">
        <f>'R+RP+B'!AE18</f>
        <v>0</v>
      </c>
      <c r="R186" s="818" t="e">
        <f>BDGT!Y17</f>
        <v>#REF!</v>
      </c>
      <c r="S186" s="819" t="e">
        <f t="shared" si="131"/>
        <v>#REF!</v>
      </c>
      <c r="T186" s="1123" t="e">
        <f t="shared" si="132"/>
        <v>#REF!</v>
      </c>
      <c r="V186" s="1073" t="s">
        <v>89</v>
      </c>
      <c r="W186" s="331" t="s">
        <v>48</v>
      </c>
      <c r="X186" s="363">
        <f t="shared" si="129"/>
        <v>0.57983906667487928</v>
      </c>
      <c r="Y186" s="363">
        <f t="shared" si="130"/>
        <v>0.60530185578174789</v>
      </c>
      <c r="Z186" s="363">
        <f>+X186-Y186</f>
        <v>-2.5462789106868611E-2</v>
      </c>
      <c r="AA186" s="1075">
        <f>+Z186/Y186</f>
        <v>-4.2066266382057259E-2</v>
      </c>
    </row>
    <row r="187" spans="1:27" ht="13">
      <c r="B187" s="331"/>
      <c r="C187" s="383"/>
      <c r="D187" s="896"/>
      <c r="E187" s="896"/>
      <c r="F187" s="910"/>
      <c r="I187" s="331"/>
      <c r="J187" s="896"/>
      <c r="K187" s="896"/>
      <c r="L187" s="896"/>
      <c r="M187" s="910"/>
      <c r="O187" s="1118" t="s">
        <v>85</v>
      </c>
      <c r="P187" s="1119" t="s">
        <v>48</v>
      </c>
      <c r="Q187" s="1124">
        <f>'R+RP+B'!AE21</f>
        <v>78.633250113750478</v>
      </c>
      <c r="R187" s="1124">
        <f>BDGT!Y20</f>
        <v>0</v>
      </c>
      <c r="S187" s="1120">
        <f t="shared" si="131"/>
        <v>78.633250113750478</v>
      </c>
      <c r="T187" s="1121" t="e">
        <f t="shared" si="132"/>
        <v>#DIV/0!</v>
      </c>
      <c r="V187" s="1073" t="s">
        <v>90</v>
      </c>
      <c r="W187" s="331" t="s">
        <v>48</v>
      </c>
      <c r="X187" s="896">
        <f t="shared" si="129"/>
        <v>89.621070509388659</v>
      </c>
      <c r="Y187" s="896">
        <f t="shared" si="130"/>
        <v>90.546524499481052</v>
      </c>
      <c r="Z187" s="896">
        <f>+X187-Y187</f>
        <v>-0.92545399009239304</v>
      </c>
      <c r="AA187" s="1075">
        <f>+Z187/Y187</f>
        <v>-1.0220756624377086E-2</v>
      </c>
    </row>
    <row r="188" spans="1:27">
      <c r="B188" s="331"/>
      <c r="C188" s="896"/>
      <c r="D188" s="896"/>
      <c r="E188" s="896"/>
      <c r="F188" s="910"/>
      <c r="I188" s="331"/>
      <c r="J188" s="896"/>
      <c r="K188" s="896"/>
      <c r="L188" s="896"/>
      <c r="M188" s="910"/>
      <c r="O188" s="1122"/>
      <c r="P188" s="362"/>
      <c r="Q188" s="1129"/>
      <c r="R188" s="1129"/>
      <c r="S188" s="273"/>
      <c r="T188" s="1130"/>
      <c r="V188" s="1073" t="s">
        <v>92</v>
      </c>
      <c r="W188" s="331" t="s">
        <v>53</v>
      </c>
      <c r="X188" s="896">
        <f t="shared" si="129"/>
        <v>1270.2616784602369</v>
      </c>
      <c r="Y188" s="896">
        <f t="shared" si="130"/>
        <v>27.762152298751158</v>
      </c>
      <c r="Z188" s="896">
        <f>+X188-Y188</f>
        <v>1242.4995261614858</v>
      </c>
      <c r="AA188" s="1075">
        <f>+Z188/Y188</f>
        <v>44.75515849026511</v>
      </c>
    </row>
    <row r="189" spans="1:27" ht="13">
      <c r="B189" s="331"/>
      <c r="C189" s="896"/>
      <c r="D189" s="896"/>
      <c r="E189" s="896"/>
      <c r="F189" s="910"/>
      <c r="I189" s="331"/>
      <c r="J189" s="896"/>
      <c r="K189" s="896"/>
      <c r="L189" s="896"/>
      <c r="M189" s="910"/>
      <c r="O189" s="1118" t="s">
        <v>89</v>
      </c>
      <c r="P189" s="1119" t="s">
        <v>48</v>
      </c>
      <c r="Q189" s="1131">
        <f>'R+RP+B'!AE29</f>
        <v>0.50415578759188173</v>
      </c>
      <c r="R189" s="1131" t="e">
        <f>BDGT!Y29</f>
        <v>#REF!</v>
      </c>
      <c r="S189" s="1124" t="e">
        <f>+Q189-R189</f>
        <v>#REF!</v>
      </c>
      <c r="T189" s="1121" t="e">
        <f>+S189/R189</f>
        <v>#REF!</v>
      </c>
      <c r="V189" s="1073" t="s">
        <v>93</v>
      </c>
      <c r="W189" s="331" t="s">
        <v>48</v>
      </c>
      <c r="X189" s="896">
        <f t="shared" si="129"/>
        <v>28.05678491860602</v>
      </c>
      <c r="Y189" s="896">
        <f t="shared" si="130"/>
        <v>27.762152298751158</v>
      </c>
      <c r="Z189" s="896">
        <f>+X189-Y189</f>
        <v>0.29463261985486255</v>
      </c>
      <c r="AA189" s="1075">
        <f>+Z189/Y189</f>
        <v>1.0612744166384974E-2</v>
      </c>
    </row>
    <row r="190" spans="1:27" ht="13">
      <c r="O190" s="1118" t="s">
        <v>90</v>
      </c>
      <c r="P190" s="1119" t="s">
        <v>48</v>
      </c>
      <c r="Q190" s="1131">
        <f>'R+RP+B'!AE30</f>
        <v>90.586121823251048</v>
      </c>
      <c r="R190" s="1131" t="e">
        <f>BDGT!Y30</f>
        <v>#REF!</v>
      </c>
      <c r="S190" s="1120" t="e">
        <f>+Q190-R190</f>
        <v>#REF!</v>
      </c>
      <c r="T190" s="1121" t="e">
        <f>+S190/R190</f>
        <v>#REF!</v>
      </c>
      <c r="V190" s="1073"/>
      <c r="W190" s="331"/>
      <c r="X190" s="896"/>
      <c r="Y190" s="896"/>
      <c r="Z190" s="896"/>
      <c r="AA190" s="1075"/>
    </row>
    <row r="191" spans="1:27" ht="13">
      <c r="A191" s="299"/>
      <c r="B191" s="911"/>
      <c r="E191" s="4480"/>
      <c r="F191" s="4480"/>
      <c r="H191" s="299"/>
      <c r="I191" s="911"/>
      <c r="L191" s="4480"/>
      <c r="M191" s="4480"/>
      <c r="O191" s="1122" t="s">
        <v>92</v>
      </c>
      <c r="P191" s="362" t="s">
        <v>53</v>
      </c>
      <c r="Q191" s="473">
        <f>'R+RP+B'!AE31</f>
        <v>205.41742902824888</v>
      </c>
      <c r="R191" s="473" t="e">
        <f>BDGT!Y32</f>
        <v>#DIV/0!</v>
      </c>
      <c r="S191" s="1132" t="e">
        <f>+Q191-R191</f>
        <v>#DIV/0!</v>
      </c>
      <c r="T191" s="1133" t="e">
        <f>+S191/R191</f>
        <v>#DIV/0!</v>
      </c>
      <c r="V191" s="1073" t="s">
        <v>94</v>
      </c>
      <c r="W191" s="331" t="s">
        <v>95</v>
      </c>
      <c r="X191" s="383">
        <f t="shared" si="129"/>
        <v>158.94480864600075</v>
      </c>
      <c r="Y191" s="383">
        <f t="shared" si="130"/>
        <v>182.14572923375275</v>
      </c>
      <c r="Z191" s="896">
        <f t="shared" ref="Z191:Z196" si="133">+X191-Y191</f>
        <v>-23.200920587751995</v>
      </c>
      <c r="AA191" s="1075">
        <f t="shared" ref="AA191:AA196" si="134">+Z191/Y191</f>
        <v>-0.12737559472491172</v>
      </c>
    </row>
    <row r="192" spans="1:27">
      <c r="O192" s="1122" t="s">
        <v>93</v>
      </c>
      <c r="P192" s="362" t="s">
        <v>48</v>
      </c>
      <c r="Q192" s="1134">
        <f>'R+RP+B'!AE32</f>
        <v>26.70667226937428</v>
      </c>
      <c r="R192" s="473" t="e">
        <f>BDGT!Y33</f>
        <v>#REF!</v>
      </c>
      <c r="S192" s="819" t="e">
        <f>+Q192-R192</f>
        <v>#REF!</v>
      </c>
      <c r="T192" s="1123" t="e">
        <f>+S192/R192</f>
        <v>#REF!</v>
      </c>
      <c r="V192" s="1073" t="s">
        <v>96</v>
      </c>
      <c r="W192" s="331" t="s">
        <v>48</v>
      </c>
      <c r="X192" s="896">
        <f t="shared" si="129"/>
        <v>83.711757666193634</v>
      </c>
      <c r="Y192" s="896">
        <f t="shared" si="130"/>
        <v>83.233653894351761</v>
      </c>
      <c r="Z192" s="896">
        <f t="shared" si="133"/>
        <v>0.47810377184187303</v>
      </c>
      <c r="AA192" s="1075">
        <f t="shared" si="134"/>
        <v>5.7441161053523948E-3</v>
      </c>
    </row>
    <row r="193" spans="15:27">
      <c r="O193" s="1073"/>
      <c r="P193" s="331"/>
      <c r="Q193" s="896"/>
      <c r="R193" s="896"/>
      <c r="S193" s="896"/>
      <c r="T193" s="1075"/>
      <c r="V193" s="1073" t="s">
        <v>97</v>
      </c>
      <c r="W193" s="331" t="s">
        <v>48</v>
      </c>
      <c r="X193" s="896">
        <f t="shared" si="129"/>
        <v>57.977871659556349</v>
      </c>
      <c r="Y193" s="896">
        <f t="shared" si="130"/>
        <v>93.419816641434906</v>
      </c>
      <c r="Z193" s="896">
        <f t="shared" si="133"/>
        <v>-35.441944981878557</v>
      </c>
      <c r="AA193" s="1075">
        <f t="shared" si="134"/>
        <v>-0.37938358536831929</v>
      </c>
    </row>
    <row r="194" spans="15:27">
      <c r="O194" s="1073" t="s">
        <v>94</v>
      </c>
      <c r="P194" s="331" t="s">
        <v>95</v>
      </c>
      <c r="Q194" s="383">
        <f>'R+RP+B'!AE34</f>
        <v>196.54498891398828</v>
      </c>
      <c r="R194" s="383" t="e">
        <f>BDGT!Y35</f>
        <v>#REF!</v>
      </c>
      <c r="S194" s="383" t="e">
        <f t="shared" ref="S194:S199" si="135">+Q194-R194</f>
        <v>#REF!</v>
      </c>
      <c r="T194" s="1075" t="e">
        <f t="shared" ref="T194:T199" si="136">+S194/R194</f>
        <v>#REF!</v>
      </c>
      <c r="V194" s="1073" t="s">
        <v>98</v>
      </c>
      <c r="W194" s="331" t="s">
        <v>48</v>
      </c>
      <c r="X194" s="896">
        <f t="shared" si="129"/>
        <v>90.287914407356936</v>
      </c>
      <c r="Y194" s="896">
        <f t="shared" si="130"/>
        <v>89.09635758954677</v>
      </c>
      <c r="Z194" s="896">
        <f t="shared" si="133"/>
        <v>1.1915568178101665</v>
      </c>
      <c r="AA194" s="1075">
        <f t="shared" si="134"/>
        <v>1.3373799446431758E-2</v>
      </c>
    </row>
    <row r="195" spans="15:27">
      <c r="O195" s="1073" t="s">
        <v>96</v>
      </c>
      <c r="P195" s="331" t="s">
        <v>48</v>
      </c>
      <c r="Q195" s="363">
        <f>'R+RP+B'!AE35</f>
        <v>80.026487971360524</v>
      </c>
      <c r="R195" s="363" t="e">
        <f>BDGT!Y36</f>
        <v>#REF!</v>
      </c>
      <c r="S195" s="896" t="e">
        <f t="shared" si="135"/>
        <v>#REF!</v>
      </c>
      <c r="T195" s="1075" t="e">
        <f t="shared" si="136"/>
        <v>#REF!</v>
      </c>
      <c r="V195" s="1073" t="s">
        <v>99</v>
      </c>
      <c r="W195" s="331" t="s">
        <v>100</v>
      </c>
      <c r="X195" s="383">
        <f>'R+RP+OL'!S43*1000</f>
        <v>16876.955472542119</v>
      </c>
      <c r="Y195" s="383">
        <f t="shared" si="130"/>
        <v>18594.871128622515</v>
      </c>
      <c r="Z195" s="383">
        <f t="shared" si="133"/>
        <v>-1717.9156560803967</v>
      </c>
      <c r="AA195" s="1075">
        <f t="shared" si="134"/>
        <v>-9.2386531974188404E-2</v>
      </c>
    </row>
    <row r="196" spans="15:27">
      <c r="O196" s="1073" t="s">
        <v>97</v>
      </c>
      <c r="P196" s="331" t="s">
        <v>48</v>
      </c>
      <c r="Q196" s="363">
        <f>'R+RP+B'!AE36</f>
        <v>90.297335365767452</v>
      </c>
      <c r="R196" s="363" t="e">
        <f>BDGT!Y37</f>
        <v>#REF!</v>
      </c>
      <c r="S196" s="896" t="e">
        <f t="shared" si="135"/>
        <v>#REF!</v>
      </c>
      <c r="T196" s="1075" t="e">
        <f t="shared" si="136"/>
        <v>#REF!</v>
      </c>
      <c r="V196" s="1073" t="s">
        <v>102</v>
      </c>
      <c r="W196" s="331" t="s">
        <v>48</v>
      </c>
      <c r="X196" s="896">
        <f>'R+RP+OL'!S44</f>
        <v>54.051646774735509</v>
      </c>
      <c r="Y196" s="896">
        <f t="shared" si="130"/>
        <v>54</v>
      </c>
      <c r="Z196" s="896">
        <f t="shared" si="133"/>
        <v>5.1646774735509382E-2</v>
      </c>
      <c r="AA196" s="1075">
        <f t="shared" si="134"/>
        <v>9.5642175436128486E-4</v>
      </c>
    </row>
    <row r="197" spans="15:27">
      <c r="O197" s="1073" t="s">
        <v>98</v>
      </c>
      <c r="P197" s="331" t="s">
        <v>48</v>
      </c>
      <c r="Q197" s="363">
        <f>'R+RP+B'!AE37</f>
        <v>88.625801347220715</v>
      </c>
      <c r="R197" s="363" t="e">
        <f>BDGT!Y38</f>
        <v>#REF!</v>
      </c>
      <c r="S197" s="896" t="e">
        <f t="shared" si="135"/>
        <v>#REF!</v>
      </c>
      <c r="T197" s="1075" t="e">
        <f t="shared" si="136"/>
        <v>#REF!</v>
      </c>
      <c r="V197" s="1073"/>
      <c r="W197" s="331"/>
      <c r="X197" s="896"/>
      <c r="Y197" s="896"/>
      <c r="Z197" s="896"/>
      <c r="AA197" s="1075"/>
    </row>
    <row r="198" spans="15:27">
      <c r="O198" s="1073" t="s">
        <v>153</v>
      </c>
      <c r="P198" s="331" t="s">
        <v>100</v>
      </c>
      <c r="Q198" s="724">
        <f>'R+RP+B'!AE38</f>
        <v>3.8933073866817018</v>
      </c>
      <c r="R198" s="724" t="e">
        <f>BDGT!Y39</f>
        <v>#DIV/0!</v>
      </c>
      <c r="S198" s="903" t="e">
        <f t="shared" si="135"/>
        <v>#DIV/0!</v>
      </c>
      <c r="T198" s="1075" t="e">
        <f t="shared" si="136"/>
        <v>#DIV/0!</v>
      </c>
      <c r="V198" s="1073" t="s">
        <v>103</v>
      </c>
      <c r="W198" s="331" t="s">
        <v>104</v>
      </c>
      <c r="X198" s="896">
        <f>'R+RP+OL'!S54</f>
        <v>23.015660734273368</v>
      </c>
      <c r="Y198" s="896">
        <f>R160</f>
        <v>23.628552654610321</v>
      </c>
      <c r="Z198" s="896">
        <f>+X198-Y198</f>
        <v>-0.61289192033695272</v>
      </c>
      <c r="AA198" s="1075">
        <f>+Z198/Y198</f>
        <v>-2.5938614577705309E-2</v>
      </c>
    </row>
    <row r="199" spans="15:27">
      <c r="O199" s="1077" t="s">
        <v>102</v>
      </c>
      <c r="P199" s="1078" t="s">
        <v>48</v>
      </c>
      <c r="Q199" s="1117">
        <f>'R+RP+B'!AE39</f>
        <v>43.517020318777853</v>
      </c>
      <c r="R199" s="1117" t="e">
        <f>BDGT!Y40</f>
        <v>#DIV/0!</v>
      </c>
      <c r="S199" s="942" t="e">
        <f t="shared" si="135"/>
        <v>#DIV/0!</v>
      </c>
      <c r="T199" s="1079" t="e">
        <f t="shared" si="136"/>
        <v>#DIV/0!</v>
      </c>
      <c r="V199" s="1077" t="s">
        <v>106</v>
      </c>
      <c r="W199" s="1078" t="s">
        <v>104</v>
      </c>
      <c r="X199" s="942">
        <f>'R+RP+OL'!S55</f>
        <v>996.32106728132931</v>
      </c>
      <c r="Y199" s="942">
        <f>R161</f>
        <v>939.12106273256325</v>
      </c>
      <c r="Z199" s="942">
        <f>+X199-Y199</f>
        <v>57.20000454876606</v>
      </c>
      <c r="AA199" s="1094">
        <f>+Z199/Y199</f>
        <v>6.090802008244927E-2</v>
      </c>
    </row>
  </sheetData>
  <mergeCells count="24">
    <mergeCell ref="E127:F127"/>
    <mergeCell ref="E162:F162"/>
    <mergeCell ref="E191:F191"/>
    <mergeCell ref="L127:M127"/>
    <mergeCell ref="L191:M191"/>
    <mergeCell ref="L162:M162"/>
    <mergeCell ref="Z165:AA165"/>
    <mergeCell ref="S127:T127"/>
    <mergeCell ref="Z127:AA127"/>
    <mergeCell ref="Z51:AA51"/>
    <mergeCell ref="Z89:AA89"/>
    <mergeCell ref="S89:T89"/>
    <mergeCell ref="S165:T165"/>
    <mergeCell ref="E9:F9"/>
    <mergeCell ref="E51:F51"/>
    <mergeCell ref="L9:M9"/>
    <mergeCell ref="L51:M51"/>
    <mergeCell ref="Z9:AA9"/>
    <mergeCell ref="S9:T9"/>
    <mergeCell ref="AC64:AH64"/>
    <mergeCell ref="E89:F89"/>
    <mergeCell ref="S51:T51"/>
    <mergeCell ref="L89:M89"/>
    <mergeCell ref="AJ64:AO64"/>
  </mergeCells>
  <phoneticPr fontId="98" type="noConversion"/>
  <conditionalFormatting sqref="E11:E31">
    <cfRule type="expression" dxfId="420" priority="64">
      <formula>$F11:$F47&lt;-3%</formula>
    </cfRule>
  </conditionalFormatting>
  <conditionalFormatting sqref="E32:E47">
    <cfRule type="expression" dxfId="419" priority="154">
      <formula>$F32:$F67&lt;-3%</formula>
    </cfRule>
  </conditionalFormatting>
  <conditionalFormatting sqref="E53">
    <cfRule type="expression" dxfId="418" priority="55">
      <formula>$F53:$F89&lt;-3%</formula>
    </cfRule>
  </conditionalFormatting>
  <conditionalFormatting sqref="E56">
    <cfRule type="expression" dxfId="417" priority="53">
      <formula>$F56:$F92&lt;-3%</formula>
    </cfRule>
  </conditionalFormatting>
  <conditionalFormatting sqref="E60">
    <cfRule type="expression" dxfId="416" priority="51">
      <formula>$F60:$F96&lt;-3%</formula>
    </cfRule>
  </conditionalFormatting>
  <conditionalFormatting sqref="E91">
    <cfRule type="expression" dxfId="415" priority="44">
      <formula>$F91:$F127&lt;-3%</formula>
    </cfRule>
  </conditionalFormatting>
  <conditionalFormatting sqref="E94">
    <cfRule type="expression" dxfId="414" priority="42">
      <formula>$F94:$F130&lt;-3%</formula>
    </cfRule>
  </conditionalFormatting>
  <conditionalFormatting sqref="E98">
    <cfRule type="expression" dxfId="413" priority="40">
      <formula>$F98:$F134&lt;-3%</formula>
    </cfRule>
  </conditionalFormatting>
  <conditionalFormatting sqref="E129">
    <cfRule type="expression" dxfId="412" priority="37">
      <formula>$F129:$F165&lt;-3%</formula>
    </cfRule>
  </conditionalFormatting>
  <conditionalFormatting sqref="E132">
    <cfRule type="expression" dxfId="411" priority="35">
      <formula>$F132:$F168&lt;-3%</formula>
    </cfRule>
  </conditionalFormatting>
  <conditionalFormatting sqref="E136">
    <cfRule type="expression" dxfId="410" priority="33">
      <formula>$F136:$F172&lt;-3%</formula>
    </cfRule>
  </conditionalFormatting>
  <conditionalFormatting sqref="E48:F48 L48:M48 S48:T48 E86:F86 L86:M86 S86:T86 Z86:AA86 E124:F124 Z124:AA124 Z162:AA162 S162:T163 E167:F189 L167:M189">
    <cfRule type="cellIs" dxfId="409" priority="160" stopIfTrue="1" operator="lessThan">
      <formula>0</formula>
    </cfRule>
  </conditionalFormatting>
  <conditionalFormatting sqref="E54:F55 E57:F59 E61:F85">
    <cfRule type="expression" dxfId="408" priority="151">
      <formula>$F54:$F86&lt;-3%</formula>
    </cfRule>
  </conditionalFormatting>
  <conditionalFormatting sqref="E92:F93 E95:F97">
    <cfRule type="expression" dxfId="407" priority="45">
      <formula>$F92:$F124&lt;-3%</formula>
    </cfRule>
  </conditionalFormatting>
  <conditionalFormatting sqref="E99:F123">
    <cfRule type="expression" dxfId="406" priority="148">
      <formula>$F99:$F131&lt;-3%</formula>
    </cfRule>
  </conditionalFormatting>
  <conditionalFormatting sqref="E130:F131 E133:F135">
    <cfRule type="expression" dxfId="405" priority="38">
      <formula>$F130:$F162&lt;-3%</formula>
    </cfRule>
  </conditionalFormatting>
  <conditionalFormatting sqref="E137:F161">
    <cfRule type="expression" dxfId="404" priority="145">
      <formula>$F137:$F169&lt;-3%</formula>
    </cfRule>
  </conditionalFormatting>
  <conditionalFormatting sqref="F11:F31">
    <cfRule type="expression" dxfId="403" priority="63">
      <formula>$F11:$F46&lt;-3%</formula>
    </cfRule>
  </conditionalFormatting>
  <conditionalFormatting sqref="F32:F47">
    <cfRule type="expression" dxfId="402" priority="155">
      <formula>$F32:$F66&lt;-3%</formula>
    </cfRule>
  </conditionalFormatting>
  <conditionalFormatting sqref="F53">
    <cfRule type="expression" dxfId="401" priority="54">
      <formula>$F53:$F88&lt;-3%</formula>
    </cfRule>
  </conditionalFormatting>
  <conditionalFormatting sqref="F56">
    <cfRule type="expression" dxfId="400" priority="52">
      <formula>$F56:$F91&lt;-3%</formula>
    </cfRule>
  </conditionalFormatting>
  <conditionalFormatting sqref="F60">
    <cfRule type="expression" dxfId="399" priority="50">
      <formula>$F60:$F95&lt;-3%</formula>
    </cfRule>
  </conditionalFormatting>
  <conditionalFormatting sqref="F91">
    <cfRule type="expression" dxfId="398" priority="43">
      <formula>$F91:$F126&lt;-3%</formula>
    </cfRule>
  </conditionalFormatting>
  <conditionalFormatting sqref="F94">
    <cfRule type="expression" dxfId="397" priority="41">
      <formula>$F94:$F129&lt;-3%</formula>
    </cfRule>
  </conditionalFormatting>
  <conditionalFormatting sqref="F98">
    <cfRule type="expression" dxfId="396" priority="39">
      <formula>$F98:$F133&lt;-3%</formula>
    </cfRule>
  </conditionalFormatting>
  <conditionalFormatting sqref="F129">
    <cfRule type="expression" dxfId="395" priority="36">
      <formula>$F129:$F164&lt;-3%</formula>
    </cfRule>
  </conditionalFormatting>
  <conditionalFormatting sqref="F132">
    <cfRule type="expression" dxfId="394" priority="34">
      <formula>$F132:$F167&lt;-3%</formula>
    </cfRule>
  </conditionalFormatting>
  <conditionalFormatting sqref="F136">
    <cfRule type="expression" dxfId="393" priority="32">
      <formula>$F136:$F171&lt;-3%</formula>
    </cfRule>
  </conditionalFormatting>
  <conditionalFormatting sqref="L11:L31">
    <cfRule type="expression" dxfId="392" priority="57">
      <formula>$F11:$F47&lt;-3%</formula>
    </cfRule>
  </conditionalFormatting>
  <conditionalFormatting sqref="L32:L47">
    <cfRule type="expression" dxfId="391" priority="60">
      <formula>$F32:$F67&lt;-3%</formula>
    </cfRule>
  </conditionalFormatting>
  <conditionalFormatting sqref="L53">
    <cfRule type="expression" dxfId="390" priority="30">
      <formula>$F53:$F89&lt;-3%</formula>
    </cfRule>
  </conditionalFormatting>
  <conditionalFormatting sqref="L56">
    <cfRule type="expression" dxfId="389" priority="28">
      <formula>$F56:$F92&lt;-3%</formula>
    </cfRule>
  </conditionalFormatting>
  <conditionalFormatting sqref="L60">
    <cfRule type="expression" dxfId="388" priority="26">
      <formula>$F60:$F96&lt;-3%</formula>
    </cfRule>
  </conditionalFormatting>
  <conditionalFormatting sqref="L91">
    <cfRule type="expression" dxfId="387" priority="20">
      <formula>$F91:$F127&lt;-3%</formula>
    </cfRule>
  </conditionalFormatting>
  <conditionalFormatting sqref="L94">
    <cfRule type="expression" dxfId="386" priority="18">
      <formula>$F94:$F130&lt;-3%</formula>
    </cfRule>
  </conditionalFormatting>
  <conditionalFormatting sqref="L98">
    <cfRule type="expression" dxfId="385" priority="16">
      <formula>$F98:$F134&lt;-3%</formula>
    </cfRule>
  </conditionalFormatting>
  <conditionalFormatting sqref="L129">
    <cfRule type="expression" dxfId="384" priority="13">
      <formula>$F129:$F165&lt;-3%</formula>
    </cfRule>
  </conditionalFormatting>
  <conditionalFormatting sqref="L132">
    <cfRule type="expression" dxfId="383" priority="11">
      <formula>$F132:$F168&lt;-3%</formula>
    </cfRule>
  </conditionalFormatting>
  <conditionalFormatting sqref="L136">
    <cfRule type="expression" dxfId="382" priority="9">
      <formula>$F136:$F172&lt;-3%</formula>
    </cfRule>
  </conditionalFormatting>
  <conditionalFormatting sqref="L54:M55 L57:M59 L61:M85">
    <cfRule type="expression" dxfId="381" priority="31">
      <formula>$F54:$F86&lt;-3%</formula>
    </cfRule>
  </conditionalFormatting>
  <conditionalFormatting sqref="L92:M93 L95:M97">
    <cfRule type="expression" dxfId="380" priority="21">
      <formula>$F92:$F124&lt;-3%</formula>
    </cfRule>
  </conditionalFormatting>
  <conditionalFormatting sqref="L99:M123">
    <cfRule type="expression" dxfId="379" priority="23">
      <formula>$F99:$F131&lt;-3%</formula>
    </cfRule>
  </conditionalFormatting>
  <conditionalFormatting sqref="L124:M124">
    <cfRule type="cellIs" dxfId="378" priority="24" stopIfTrue="1" operator="lessThan">
      <formula>0</formula>
    </cfRule>
  </conditionalFormatting>
  <conditionalFormatting sqref="L130:M131 L133:M135">
    <cfRule type="expression" dxfId="377" priority="14">
      <formula>$F130:$F162&lt;-3%</formula>
    </cfRule>
  </conditionalFormatting>
  <conditionalFormatting sqref="L137:M161">
    <cfRule type="expression" dxfId="376" priority="22">
      <formula>$F137:$F169&lt;-3%</formula>
    </cfRule>
  </conditionalFormatting>
  <conditionalFormatting sqref="M11:M31">
    <cfRule type="expression" dxfId="375" priority="56">
      <formula>$F11:$F46&lt;-3%</formula>
    </cfRule>
  </conditionalFormatting>
  <conditionalFormatting sqref="M32:M47">
    <cfRule type="expression" dxfId="374" priority="61">
      <formula>$F32:$F66&lt;-3%</formula>
    </cfRule>
  </conditionalFormatting>
  <conditionalFormatting sqref="M53">
    <cfRule type="expression" dxfId="373" priority="29">
      <formula>$F53:$F88&lt;-3%</formula>
    </cfRule>
  </conditionalFormatting>
  <conditionalFormatting sqref="M56">
    <cfRule type="expression" dxfId="372" priority="27">
      <formula>$F56:$F91&lt;-3%</formula>
    </cfRule>
  </conditionalFormatting>
  <conditionalFormatting sqref="M60">
    <cfRule type="expression" dxfId="371" priority="25">
      <formula>$F60:$F95&lt;-3%</formula>
    </cfRule>
  </conditionalFormatting>
  <conditionalFormatting sqref="M91">
    <cfRule type="expression" dxfId="370" priority="19">
      <formula>$F91:$F126&lt;-3%</formula>
    </cfRule>
  </conditionalFormatting>
  <conditionalFormatting sqref="M94">
    <cfRule type="expression" dxfId="369" priority="17">
      <formula>$F94:$F129&lt;-3%</formula>
    </cfRule>
  </conditionalFormatting>
  <conditionalFormatting sqref="M98">
    <cfRule type="expression" dxfId="368" priority="15">
      <formula>$F98:$F133&lt;-3%</formula>
    </cfRule>
  </conditionalFormatting>
  <conditionalFormatting sqref="M129">
    <cfRule type="expression" dxfId="367" priority="12">
      <formula>$F129:$F164&lt;-3%</formula>
    </cfRule>
  </conditionalFormatting>
  <conditionalFormatting sqref="M132">
    <cfRule type="expression" dxfId="366" priority="10">
      <formula>$F132:$F167&lt;-3%</formula>
    </cfRule>
  </conditionalFormatting>
  <conditionalFormatting sqref="M136">
    <cfRule type="expression" dxfId="365" priority="8">
      <formula>$F136:$F171&lt;-3%</formula>
    </cfRule>
  </conditionalFormatting>
  <conditionalFormatting sqref="S2:T2">
    <cfRule type="expression" dxfId="364" priority="113">
      <formula>$AA2:$AA38&lt;-3%</formula>
    </cfRule>
  </conditionalFormatting>
  <conditionalFormatting sqref="S3:T6">
    <cfRule type="expression" dxfId="363" priority="49">
      <formula>$AA3:$AA40&lt;-3%</formula>
    </cfRule>
  </conditionalFormatting>
  <conditionalFormatting sqref="S11:T12 S14:T31">
    <cfRule type="expression" dxfId="362" priority="189">
      <formula>$T11:$T48&lt;-3%</formula>
    </cfRule>
  </conditionalFormatting>
  <conditionalFormatting sqref="S13:T13">
    <cfRule type="expression" dxfId="361" priority="161">
      <formula>$T13:$T49&lt;-3%</formula>
    </cfRule>
  </conditionalFormatting>
  <conditionalFormatting sqref="S32:T44 S45 S46:T47">
    <cfRule type="expression" dxfId="360" priority="153">
      <formula>$T32:$T68&lt;-3%</formula>
    </cfRule>
  </conditionalFormatting>
  <conditionalFormatting sqref="S53:T85">
    <cfRule type="expression" dxfId="359" priority="149">
      <formula>$T53:$T89&lt;-3%</formula>
    </cfRule>
  </conditionalFormatting>
  <conditionalFormatting sqref="S91:T98">
    <cfRule type="expression" dxfId="358" priority="46">
      <formula>$T91:$T127&lt;-3%</formula>
    </cfRule>
  </conditionalFormatting>
  <conditionalFormatting sqref="S99:T101 T102 S103:T123">
    <cfRule type="expression" dxfId="357" priority="146">
      <formula>$T99:$T131&lt;-3%</formula>
    </cfRule>
  </conditionalFormatting>
  <conditionalFormatting sqref="S129:T136">
    <cfRule type="expression" dxfId="356" priority="7">
      <formula>$T129:$T165&lt;-3%</formula>
    </cfRule>
  </conditionalFormatting>
  <conditionalFormatting sqref="S137:T161">
    <cfRule type="expression" dxfId="355" priority="143">
      <formula>$T137:$T169&lt;-3%</formula>
    </cfRule>
  </conditionalFormatting>
  <conditionalFormatting sqref="S167:T174">
    <cfRule type="expression" dxfId="354" priority="5">
      <formula>$T167:$T203&lt;-3%</formula>
    </cfRule>
  </conditionalFormatting>
  <conditionalFormatting sqref="S175:T176">
    <cfRule type="expression" dxfId="353" priority="6">
      <formula>$T175:$T207&lt;-3%</formula>
    </cfRule>
  </conditionalFormatting>
  <conditionalFormatting sqref="S177:T199">
    <cfRule type="cellIs" dxfId="352" priority="90" operator="lessThan">
      <formula>0</formula>
    </cfRule>
  </conditionalFormatting>
  <conditionalFormatting sqref="U91:U92">
    <cfRule type="expression" dxfId="351" priority="133">
      <formula>#REF!&gt;0</formula>
    </cfRule>
    <cfRule type="expression" dxfId="350" priority="134">
      <formula>#REF!=0</formula>
    </cfRule>
  </conditionalFormatting>
  <conditionalFormatting sqref="U94:U95">
    <cfRule type="expression" dxfId="349" priority="131">
      <formula>#REF!&gt;0</formula>
    </cfRule>
    <cfRule type="expression" dxfId="348" priority="132">
      <formula>#REF!=0</formula>
    </cfRule>
  </conditionalFormatting>
  <conditionalFormatting sqref="U98:U99">
    <cfRule type="expression" dxfId="347" priority="127">
      <formula>#REF!&gt;0</formula>
    </cfRule>
    <cfRule type="expression" dxfId="346" priority="128">
      <formula>#REF!=0</formula>
    </cfRule>
  </conditionalFormatting>
  <conditionalFormatting sqref="U103:U108">
    <cfRule type="expression" dxfId="345" priority="124">
      <formula>#REF!=0</formula>
    </cfRule>
    <cfRule type="expression" dxfId="344" priority="123">
      <formula>#REF!&gt;0</formula>
    </cfRule>
  </conditionalFormatting>
  <conditionalFormatting sqref="U110:U113 U115:U120">
    <cfRule type="expression" dxfId="343" priority="122">
      <formula>#REF!=0</formula>
    </cfRule>
    <cfRule type="expression" dxfId="342" priority="121">
      <formula>#REF!&gt;0</formula>
    </cfRule>
  </conditionalFormatting>
  <conditionalFormatting sqref="U122:U123">
    <cfRule type="expression" dxfId="341" priority="119">
      <formula>#REF!&gt;0</formula>
    </cfRule>
    <cfRule type="expression" dxfId="340" priority="120">
      <formula>#REF!=0</formula>
    </cfRule>
  </conditionalFormatting>
  <conditionalFormatting sqref="Z2:AA2">
    <cfRule type="expression" dxfId="339" priority="73">
      <formula>$AA2:$AA38&lt;-3%</formula>
    </cfRule>
  </conditionalFormatting>
  <conditionalFormatting sqref="Z3:AA6">
    <cfRule type="expression" dxfId="338" priority="47">
      <formula>$AA3:$AA40&lt;-3%</formula>
    </cfRule>
  </conditionalFormatting>
  <conditionalFormatting sqref="Z11:AA31">
    <cfRule type="expression" dxfId="337" priority="116">
      <formula>$AA11:$AA47&lt;-3%</formula>
    </cfRule>
  </conditionalFormatting>
  <conditionalFormatting sqref="Z32:AA32 Z34:AA47">
    <cfRule type="expression" dxfId="336" priority="152">
      <formula>$AA32:$AA67&lt;-3%</formula>
    </cfRule>
  </conditionalFormatting>
  <conditionalFormatting sqref="Z33:AA33">
    <cfRule type="expression" dxfId="335" priority="1">
      <formula>$AA33:$AA69&lt;-3%</formula>
    </cfRule>
  </conditionalFormatting>
  <conditionalFormatting sqref="Z53:AA85">
    <cfRule type="expression" dxfId="334" priority="140">
      <formula>$AA53:$AA85&lt;-3%</formula>
    </cfRule>
  </conditionalFormatting>
  <conditionalFormatting sqref="Z91:AA123">
    <cfRule type="expression" dxfId="333" priority="4">
      <formula>$AA91:$AA123&lt;-3%</formula>
    </cfRule>
  </conditionalFormatting>
  <conditionalFormatting sqref="Z129:AA161">
    <cfRule type="expression" dxfId="332" priority="3">
      <formula>$AA129:$AA161&lt;-3%</formula>
    </cfRule>
  </conditionalFormatting>
  <conditionalFormatting sqref="Z167:AA199">
    <cfRule type="expression" dxfId="331" priority="2">
      <formula>$AA167:$AA199&lt;-3%</formula>
    </cfRule>
  </conditionalFormatting>
  <conditionalFormatting sqref="AG67:AH67">
    <cfRule type="cellIs" dxfId="330" priority="81" operator="lessThan">
      <formula>0</formula>
    </cfRule>
  </conditionalFormatting>
  <conditionalFormatting sqref="AH68:AH82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67:AO67">
    <cfRule type="cellIs" dxfId="329" priority="68" operator="lessThan">
      <formula>0</formula>
    </cfRule>
  </conditionalFormatting>
  <conditionalFormatting sqref="AO68:AO82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V5:BV10">
    <cfRule type="cellIs" dxfId="328" priority="100" operator="lessThan">
      <formula>0</formula>
    </cfRule>
  </conditionalFormatting>
  <conditionalFormatting sqref="BV35:BV40">
    <cfRule type="cellIs" dxfId="327" priority="92" operator="lessThan">
      <formula>0</formula>
    </cfRule>
  </conditionalFormatting>
  <printOptions horizontalCentered="1"/>
  <pageMargins left="0.15748031496062992" right="0.15748031496062992" top="0.6692913385826772" bottom="0.15748031496062992" header="0" footer="0"/>
  <pageSetup orientation="portrait" horizontalDpi="300" verticalDpi="300" r:id="rId1"/>
  <headerFooter alignWithMargins="0"/>
  <ignoredErrors>
    <ignoredError sqref="S107 AF80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D370-7E1A-4CC7-8C4B-868E35C72DDA}">
  <sheetPr codeName="Hoja7"/>
  <dimension ref="B1:BA58"/>
  <sheetViews>
    <sheetView showGridLines="0" zoomScale="90" zoomScaleNormal="90" workbookViewId="0">
      <pane xSplit="3" ySplit="6" topLeftCell="D7" activePane="bottomRight" state="frozen"/>
      <selection activeCell="Q108" sqref="Q108"/>
      <selection pane="topRight" activeCell="Q108" sqref="Q108"/>
      <selection pane="bottomLeft" activeCell="Q108" sqref="Q108"/>
      <selection pane="bottomRight" activeCell="Q108" sqref="Q108"/>
    </sheetView>
  </sheetViews>
  <sheetFormatPr baseColWidth="10" defaultRowHeight="12.5"/>
  <cols>
    <col min="1" max="1" width="1.1796875" customWidth="1"/>
    <col min="2" max="2" width="19.453125" customWidth="1"/>
    <col min="3" max="3" width="7.81640625" customWidth="1"/>
    <col min="4" max="9" width="10.1796875" customWidth="1"/>
    <col min="10" max="10" width="11.453125" customWidth="1"/>
    <col min="11" max="16" width="11.1796875" customWidth="1"/>
    <col min="17" max="17" width="12" customWidth="1"/>
    <col min="18" max="18" width="15.1796875" customWidth="1"/>
    <col min="19" max="19" width="1" customWidth="1"/>
    <col min="20" max="25" width="9.81640625" customWidth="1"/>
    <col min="26" max="26" width="10.54296875" customWidth="1"/>
    <col min="27" max="28" width="10.453125" customWidth="1"/>
    <col min="29" max="31" width="11.1796875" customWidth="1"/>
    <col min="32" max="32" width="8.453125" customWidth="1"/>
    <col min="33" max="33" width="11.54296875" customWidth="1"/>
    <col min="34" max="34" width="1.453125" customWidth="1"/>
    <col min="35" max="35" width="7.453125" hidden="1" customWidth="1"/>
    <col min="36" max="36" width="11.453125" hidden="1" customWidth="1"/>
    <col min="37" max="37" width="1.1796875" hidden="1" customWidth="1"/>
    <col min="38" max="38" width="11.453125" bestFit="1" customWidth="1"/>
    <col min="39" max="39" width="5.81640625" bestFit="1" customWidth="1"/>
    <col min="40" max="40" width="1.54296875" customWidth="1"/>
    <col min="41" max="41" width="16.1796875" bestFit="1" customWidth="1"/>
    <col min="42" max="42" width="2.81640625" customWidth="1"/>
  </cols>
  <sheetData>
    <row r="1" spans="2:53">
      <c r="B1">
        <v>1000</v>
      </c>
      <c r="I1" s="2956"/>
      <c r="J1" s="2956"/>
      <c r="K1" s="2956"/>
      <c r="L1" s="2956"/>
      <c r="M1" s="2956"/>
      <c r="N1" s="2956"/>
      <c r="O1" s="2956"/>
      <c r="P1" s="2956"/>
      <c r="T1">
        <v>1000</v>
      </c>
      <c r="AY1" t="s">
        <v>1445</v>
      </c>
      <c r="AZ1" s="359">
        <v>2968</v>
      </c>
      <c r="BA1" t="s">
        <v>1446</v>
      </c>
    </row>
    <row r="2" spans="2:53">
      <c r="D2" s="331">
        <v>30.5</v>
      </c>
      <c r="E2" s="331">
        <v>28</v>
      </c>
      <c r="F2" s="331">
        <v>31</v>
      </c>
      <c r="G2" s="331">
        <v>30</v>
      </c>
      <c r="H2" s="331">
        <v>31</v>
      </c>
      <c r="I2" s="331">
        <v>30</v>
      </c>
      <c r="J2" s="331">
        <v>31</v>
      </c>
      <c r="K2" s="331">
        <v>31</v>
      </c>
      <c r="L2" s="331">
        <v>30</v>
      </c>
      <c r="M2" s="331">
        <v>31</v>
      </c>
      <c r="N2" s="331">
        <v>31</v>
      </c>
      <c r="O2" s="331">
        <v>30</v>
      </c>
      <c r="P2" s="331">
        <v>31.5</v>
      </c>
      <c r="Q2" s="331">
        <f>SUM(D2:M2)</f>
        <v>303.5</v>
      </c>
      <c r="R2" s="219">
        <f>+SUM(D2:P2)</f>
        <v>396</v>
      </c>
      <c r="T2" s="331">
        <v>31</v>
      </c>
      <c r="U2" s="331">
        <v>28</v>
      </c>
      <c r="V2" s="331">
        <v>31</v>
      </c>
      <c r="W2" s="331">
        <v>30</v>
      </c>
      <c r="X2" s="331">
        <v>31</v>
      </c>
      <c r="Y2" s="331">
        <v>30</v>
      </c>
      <c r="Z2" s="331">
        <v>31</v>
      </c>
      <c r="AA2" s="331">
        <v>31</v>
      </c>
      <c r="AB2" s="331">
        <v>30</v>
      </c>
      <c r="AC2" s="331">
        <v>31</v>
      </c>
      <c r="AD2" s="331">
        <v>30</v>
      </c>
      <c r="AE2" s="331">
        <v>31</v>
      </c>
      <c r="AF2" s="331">
        <f>SUM(T2:AC4)</f>
        <v>304.00000001995193</v>
      </c>
      <c r="AG2" s="331">
        <f>SUM(T2:AE4)</f>
        <v>365.00000001995193</v>
      </c>
    </row>
    <row r="3" spans="2:53" ht="13" hidden="1">
      <c r="D3" s="2868">
        <f t="shared" ref="D3:I3" si="0">(D7-D8/0.9644)*1000</f>
        <v>431.137115973204</v>
      </c>
      <c r="E3" s="2868">
        <f t="shared" si="0"/>
        <v>426.92696839726096</v>
      </c>
      <c r="F3" s="2868">
        <f t="shared" si="0"/>
        <v>-281.44258562534219</v>
      </c>
      <c r="G3" s="2868">
        <f t="shared" si="0"/>
        <v>270.63573794981369</v>
      </c>
      <c r="H3" s="2868">
        <f t="shared" si="0"/>
        <v>-588.20833684640661</v>
      </c>
      <c r="I3" s="2868">
        <f t="shared" si="0"/>
        <v>66.597659358730965</v>
      </c>
      <c r="J3" s="2868"/>
      <c r="K3" s="2868"/>
      <c r="L3" s="2868"/>
      <c r="M3" s="2868"/>
      <c r="N3" s="2868"/>
      <c r="O3" s="2868"/>
      <c r="P3" s="2868"/>
      <c r="Q3" s="2868">
        <f>(Q7-Q8/0.9644)*1000</f>
        <v>325.64655920725727</v>
      </c>
      <c r="R3" s="2868">
        <f>(R7-R8/0.9644)*1000</f>
        <v>792.21365385268427</v>
      </c>
      <c r="T3" s="2804">
        <f>(T7-T8/0.966)*1000</f>
        <v>2.815880861817277E-8</v>
      </c>
      <c r="U3" s="2804">
        <f t="shared" ref="U3:AG3" si="1">(U7-U8/0.966)*1000</f>
        <v>-1.6353141063518706E-8</v>
      </c>
      <c r="V3" s="2804">
        <f t="shared" si="1"/>
        <v>1.5941026276777848E-8</v>
      </c>
      <c r="W3" s="2804">
        <f t="shared" si="1"/>
        <v>-3.9328540424321545E-9</v>
      </c>
      <c r="X3" s="2804">
        <f t="shared" si="1"/>
        <v>-1.801581106519734E-8</v>
      </c>
      <c r="Y3" s="2804">
        <f t="shared" si="1"/>
        <v>4.3485215428518131E-9</v>
      </c>
      <c r="Z3" s="2804"/>
      <c r="AA3" s="2804"/>
      <c r="AB3" s="2804"/>
      <c r="AC3" s="2804"/>
      <c r="AD3" s="2804"/>
      <c r="AE3" s="2804"/>
      <c r="AF3" s="2804">
        <f t="shared" si="1"/>
        <v>1.0146550266654231E-8</v>
      </c>
      <c r="AG3" s="2804">
        <f t="shared" si="1"/>
        <v>7.9296569310827181E-8</v>
      </c>
      <c r="AQ3" s="2660" t="s">
        <v>1447</v>
      </c>
      <c r="AR3" s="2626"/>
      <c r="AS3" s="2626" t="s">
        <v>36</v>
      </c>
      <c r="AT3" s="2626" t="s">
        <v>1345</v>
      </c>
      <c r="AU3" s="2626" t="s">
        <v>24</v>
      </c>
      <c r="AV3" s="2626" t="s">
        <v>25</v>
      </c>
      <c r="AW3" s="2626" t="s">
        <v>1346</v>
      </c>
      <c r="AX3" s="2626" t="s">
        <v>28</v>
      </c>
      <c r="AY3" s="2626" t="s">
        <v>1321</v>
      </c>
      <c r="AZ3" s="1841"/>
    </row>
    <row r="4" spans="2:53" ht="13" hidden="1">
      <c r="D4" s="2868">
        <f t="shared" ref="D4:I4" si="2">(D7*0.9644-D8)*1000</f>
        <v>415.78863464455651</v>
      </c>
      <c r="E4" s="2868">
        <f t="shared" si="2"/>
        <v>411.72836832231849</v>
      </c>
      <c r="F4" s="2868">
        <f t="shared" si="2"/>
        <v>-271.42322957708132</v>
      </c>
      <c r="G4" s="2868">
        <f t="shared" si="2"/>
        <v>261.00110567880108</v>
      </c>
      <c r="H4" s="2868">
        <f t="shared" si="2"/>
        <v>-567.26812005467764</v>
      </c>
      <c r="I4" s="2868">
        <f t="shared" si="2"/>
        <v>64.226782685558703</v>
      </c>
      <c r="J4" s="2868"/>
      <c r="K4" s="2868"/>
      <c r="L4" s="2868"/>
      <c r="M4" s="2868"/>
      <c r="N4" s="2868"/>
      <c r="O4" s="2868"/>
      <c r="P4" s="2868"/>
      <c r="Q4" s="2868">
        <f>(Q7*0.9644-Q8)*1000</f>
        <v>314.05354169947941</v>
      </c>
      <c r="R4" s="2868">
        <f>(R7*0.9644-R8)*1000</f>
        <v>764.01084777552342</v>
      </c>
      <c r="T4" s="2804">
        <f>(T7*0.966-T8)*1000</f>
        <v>2.7203128638575436E-8</v>
      </c>
      <c r="U4" s="2804">
        <f t="shared" ref="U4:AG4" si="3">(U7*0.966-U8)*1000</f>
        <v>-1.5798917729625828E-8</v>
      </c>
      <c r="V4" s="2804">
        <f t="shared" si="3"/>
        <v>1.5397461083921371E-8</v>
      </c>
      <c r="W4" s="2804">
        <f t="shared" si="3"/>
        <v>-3.7978509226377355E-9</v>
      </c>
      <c r="X4" s="2804">
        <f t="shared" si="3"/>
        <v>-1.7401191598764854E-8</v>
      </c>
      <c r="Y4" s="2804">
        <f t="shared" si="3"/>
        <v>4.2028602820209926E-9</v>
      </c>
      <c r="Z4" s="2804"/>
      <c r="AA4" s="2804"/>
      <c r="AB4" s="2804"/>
      <c r="AC4" s="2804"/>
      <c r="AD4" s="2804"/>
      <c r="AE4" s="2804"/>
      <c r="AF4" s="2804">
        <f t="shared" si="3"/>
        <v>9.8054897534893826E-9</v>
      </c>
      <c r="AG4" s="2804">
        <f t="shared" si="3"/>
        <v>7.6624928624369204E-8</v>
      </c>
      <c r="AQ4" s="2657" t="s">
        <v>1419</v>
      </c>
      <c r="AR4" s="2113"/>
      <c r="AS4" s="2620">
        <f>T14</f>
        <v>8278.1672167935631</v>
      </c>
      <c r="AT4" s="2621">
        <f>T18</f>
        <v>91.05283534946237</v>
      </c>
      <c r="AU4" s="2622">
        <f>T20</f>
        <v>0.47560795163810832</v>
      </c>
      <c r="AV4" s="2621">
        <f>T21</f>
        <v>89.520023362040547</v>
      </c>
      <c r="AW4" s="2623">
        <f>(T8-T7)*1000</f>
        <v>-811.79956690000313</v>
      </c>
      <c r="AX4" s="2337">
        <f>AS4*AT4*24*30.5/100*AU4/100*AV4/100+AW4</f>
        <v>22679.554123242444</v>
      </c>
      <c r="AY4" s="2337">
        <f>AX4</f>
        <v>22679.554123242444</v>
      </c>
      <c r="AZ4" s="1841"/>
    </row>
    <row r="5" spans="2:53" ht="13">
      <c r="C5" s="2957"/>
      <c r="D5" s="2958" t="s">
        <v>11</v>
      </c>
      <c r="E5" s="2959" t="s">
        <v>11</v>
      </c>
      <c r="F5" s="2959" t="s">
        <v>11</v>
      </c>
      <c r="G5" s="2959" t="s">
        <v>11</v>
      </c>
      <c r="H5" s="2959" t="s">
        <v>11</v>
      </c>
      <c r="I5" s="2959" t="s">
        <v>11</v>
      </c>
      <c r="J5" s="2958" t="s">
        <v>50</v>
      </c>
      <c r="K5" s="2958" t="s">
        <v>50</v>
      </c>
      <c r="L5" s="2958"/>
      <c r="M5" s="2958" t="s">
        <v>174</v>
      </c>
      <c r="N5" s="2958"/>
      <c r="O5" s="2958"/>
      <c r="P5" s="2958"/>
      <c r="Q5" s="2958" t="s">
        <v>57</v>
      </c>
      <c r="R5" s="3019" t="s">
        <v>50</v>
      </c>
      <c r="S5" s="2960"/>
      <c r="T5" s="2958" t="s">
        <v>1461</v>
      </c>
      <c r="U5" s="2958" t="s">
        <v>1461</v>
      </c>
      <c r="V5" s="2958" t="s">
        <v>1461</v>
      </c>
      <c r="W5" s="2958" t="s">
        <v>1461</v>
      </c>
      <c r="X5" s="2958" t="s">
        <v>1461</v>
      </c>
      <c r="Y5" s="2958" t="s">
        <v>1461</v>
      </c>
      <c r="Z5" s="2958" t="s">
        <v>1461</v>
      </c>
      <c r="AA5" s="2958" t="s">
        <v>50</v>
      </c>
      <c r="AB5" s="2958"/>
      <c r="AC5" s="2958" t="s">
        <v>174</v>
      </c>
      <c r="AD5" s="2958"/>
      <c r="AE5" s="2958"/>
      <c r="AF5" s="476"/>
      <c r="AG5" s="476"/>
      <c r="AI5" s="4485" t="s">
        <v>11</v>
      </c>
      <c r="AJ5" s="4485"/>
      <c r="AL5" s="4485" t="s">
        <v>50</v>
      </c>
      <c r="AM5" s="4485"/>
      <c r="AQ5" s="2657"/>
      <c r="AR5" s="2113"/>
      <c r="AS5" s="2620"/>
      <c r="AT5" s="2621"/>
      <c r="AU5" s="2622"/>
      <c r="AV5" s="2621"/>
      <c r="AW5" s="2623"/>
      <c r="AX5" s="2337"/>
      <c r="AY5" s="2337"/>
      <c r="AZ5" s="1841"/>
    </row>
    <row r="6" spans="2:53" ht="19.399999999999999" customHeight="1">
      <c r="C6" s="1855" t="s">
        <v>159</v>
      </c>
      <c r="D6" s="2934" t="s">
        <v>1462</v>
      </c>
      <c r="E6" s="2934" t="s">
        <v>1463</v>
      </c>
      <c r="F6" s="2934" t="s">
        <v>1464</v>
      </c>
      <c r="G6" s="2961" t="s">
        <v>1465</v>
      </c>
      <c r="H6" s="2961" t="s">
        <v>1466</v>
      </c>
      <c r="I6" s="2961" t="s">
        <v>1494</v>
      </c>
      <c r="J6" s="2961" t="s">
        <v>1525</v>
      </c>
      <c r="K6" s="2961" t="s">
        <v>1530</v>
      </c>
      <c r="L6" s="2961" t="s">
        <v>1554</v>
      </c>
      <c r="M6" s="2961" t="s">
        <v>1554</v>
      </c>
      <c r="N6" s="2961" t="s">
        <v>1571</v>
      </c>
      <c r="O6" s="2961" t="s">
        <v>1572</v>
      </c>
      <c r="P6" s="2805" t="s">
        <v>1570</v>
      </c>
      <c r="Q6" s="2962" t="s">
        <v>1467</v>
      </c>
      <c r="R6" s="2963" t="s">
        <v>1573</v>
      </c>
      <c r="T6" s="2961" t="s">
        <v>1468</v>
      </c>
      <c r="U6" s="2961" t="s">
        <v>1469</v>
      </c>
      <c r="V6" s="2961" t="s">
        <v>1470</v>
      </c>
      <c r="W6" s="2961" t="s">
        <v>1471</v>
      </c>
      <c r="X6" s="2961" t="s">
        <v>1472</v>
      </c>
      <c r="Y6" s="2961" t="s">
        <v>1473</v>
      </c>
      <c r="Z6" s="2961" t="s">
        <v>1481</v>
      </c>
      <c r="AA6" s="2961" t="s">
        <v>1526</v>
      </c>
      <c r="AB6" s="2961" t="s">
        <v>1527</v>
      </c>
      <c r="AC6" s="2961" t="s">
        <v>1531</v>
      </c>
      <c r="AD6" s="2961" t="s">
        <v>1551</v>
      </c>
      <c r="AE6" s="2961" t="s">
        <v>1574</v>
      </c>
      <c r="AF6" s="2962" t="s">
        <v>1474</v>
      </c>
      <c r="AG6" s="2963" t="s">
        <v>1575</v>
      </c>
      <c r="AI6" s="2961" t="s">
        <v>1475</v>
      </c>
      <c r="AJ6" s="2961" t="s">
        <v>48</v>
      </c>
      <c r="AL6" s="2964" t="s">
        <v>1576</v>
      </c>
      <c r="AM6" s="2964" t="s">
        <v>48</v>
      </c>
      <c r="AO6" s="2806"/>
      <c r="AP6" s="2806"/>
      <c r="AQ6" s="2657" t="s">
        <v>36</v>
      </c>
      <c r="AR6" s="2113"/>
      <c r="AS6" s="2339">
        <f>+$D$14</f>
        <v>8148.8878551463204</v>
      </c>
      <c r="AT6" s="2621">
        <f>AT4</f>
        <v>91.05283534946237</v>
      </c>
      <c r="AU6" s="2622">
        <f>AU4</f>
        <v>0.47560795163810832</v>
      </c>
      <c r="AV6" s="2621">
        <f>AV4</f>
        <v>89.520023362040547</v>
      </c>
      <c r="AW6" s="2623">
        <f>AW4</f>
        <v>-811.79956690000313</v>
      </c>
      <c r="AX6" s="2337">
        <f>AS6*AT6*24*30.5/100*AU6/100*AV6/100+AW6</f>
        <v>22312.69185412443</v>
      </c>
      <c r="AY6" s="2337">
        <f>AX6-AX4</f>
        <v>-366.8622691180135</v>
      </c>
      <c r="AZ6" s="1841"/>
    </row>
    <row r="7" spans="2:53" ht="13">
      <c r="B7" s="2724" t="s">
        <v>59</v>
      </c>
      <c r="C7" s="2725" t="s">
        <v>53</v>
      </c>
      <c r="D7" s="2807">
        <v>23.953989577399998</v>
      </c>
      <c r="E7" s="2807">
        <v>22.519131257799998</v>
      </c>
      <c r="F7" s="2808">
        <v>26.5790207943</v>
      </c>
      <c r="G7" s="2808">
        <v>24.938046127</v>
      </c>
      <c r="H7" s="2808">
        <v>24.998530990300001</v>
      </c>
      <c r="I7" s="2808">
        <v>25.8054659049</v>
      </c>
      <c r="J7" s="2808">
        <v>25.099590908900002</v>
      </c>
      <c r="K7" s="2808">
        <v>26.794658092900001</v>
      </c>
      <c r="L7" s="2808">
        <v>24.9813761443</v>
      </c>
      <c r="M7" s="2808">
        <v>27.084517856088777</v>
      </c>
      <c r="N7" s="2808"/>
      <c r="O7" s="2808"/>
      <c r="P7" s="2808"/>
      <c r="Q7" s="2809">
        <f>SUM(D7:I7)</f>
        <v>148.79418465169999</v>
      </c>
      <c r="R7" s="2809">
        <f>+SUM(D7:N7)</f>
        <v>252.75432765388877</v>
      </c>
      <c r="T7" s="2819">
        <v>23.876457849200001</v>
      </c>
      <c r="U7" s="2819">
        <v>22.751613738700001</v>
      </c>
      <c r="V7" s="2820">
        <v>26.459281031899998</v>
      </c>
      <c r="W7" s="2820">
        <v>26.496650220700001</v>
      </c>
      <c r="X7" s="2820">
        <v>30.074574071099999</v>
      </c>
      <c r="Y7" s="2820">
        <v>29.4818180587</v>
      </c>
      <c r="Z7" s="2820">
        <v>23.330844500999998</v>
      </c>
      <c r="AA7" s="2808">
        <v>25.162031894799998</v>
      </c>
      <c r="AB7" s="2808">
        <v>28.7141617887</v>
      </c>
      <c r="AC7" s="2808">
        <v>29.087248871500002</v>
      </c>
      <c r="AD7" s="2808">
        <v>30.090001903799998</v>
      </c>
      <c r="AE7" s="2808"/>
      <c r="AF7" s="2809">
        <f>SUM(T7:Y7)</f>
        <v>159.14039497030001</v>
      </c>
      <c r="AG7" s="2809">
        <f>+SUM(T7:AE7)</f>
        <v>295.52468393010003</v>
      </c>
      <c r="AI7" s="2810">
        <f>Q7-AF7</f>
        <v>-10.346210318600015</v>
      </c>
      <c r="AJ7" s="2811">
        <f>AI7/AF7</f>
        <v>-6.5013099411566147E-2</v>
      </c>
      <c r="AL7" s="2810">
        <f>R7-AG7</f>
        <v>-42.77035627621126</v>
      </c>
      <c r="AM7" s="2821">
        <f>AL7/AG7</f>
        <v>-0.14472684889607279</v>
      </c>
      <c r="AO7" s="1687"/>
      <c r="AP7" s="2812"/>
      <c r="AQ7" s="2657" t="s">
        <v>1345</v>
      </c>
      <c r="AR7" s="2113"/>
      <c r="AS7" s="2337">
        <f>AS6</f>
        <v>8148.8878551463204</v>
      </c>
      <c r="AT7" s="2624">
        <f>+$D$18</f>
        <v>88.463114754098356</v>
      </c>
      <c r="AU7" s="2622">
        <f>AU4</f>
        <v>0.47560795163810832</v>
      </c>
      <c r="AV7" s="2621">
        <f>AV4</f>
        <v>89.520023362040547</v>
      </c>
      <c r="AW7" s="2623">
        <f>AW4</f>
        <v>-811.79956690000313</v>
      </c>
      <c r="AX7" s="2337">
        <f>AS7*AT7*24*30.5/100*AU7/100*AV7/100+AW7</f>
        <v>21654.986122496175</v>
      </c>
      <c r="AY7" s="2337">
        <f>AX7-AX6</f>
        <v>-657.70573162825531</v>
      </c>
      <c r="AZ7" s="1841"/>
    </row>
    <row r="8" spans="2:53" ht="13">
      <c r="B8" s="1868" t="s">
        <v>1203</v>
      </c>
      <c r="C8" s="1869" t="s">
        <v>53</v>
      </c>
      <c r="D8" s="2804">
        <v>22.685438913800002</v>
      </c>
      <c r="E8" s="2804">
        <v>21.3057218167</v>
      </c>
      <c r="F8" s="2813">
        <v>25.9042308836</v>
      </c>
      <c r="G8" s="2813">
        <v>23.789250579200001</v>
      </c>
      <c r="H8" s="2813">
        <v>24.675851407099998</v>
      </c>
      <c r="I8" s="2813">
        <v>24.822564536000002</v>
      </c>
      <c r="J8" s="2813">
        <v>24.240235967500002</v>
      </c>
      <c r="K8" s="2813">
        <v>22.126648483</v>
      </c>
      <c r="L8" s="2813">
        <v>26.613589418100002</v>
      </c>
      <c r="M8" s="2813">
        <v>26.828730736634821</v>
      </c>
      <c r="N8" s="2813"/>
      <c r="O8" s="2813"/>
      <c r="P8" s="2813"/>
      <c r="Q8" s="2814">
        <f>SUM(D8:I8)</f>
        <v>143.18305813640001</v>
      </c>
      <c r="R8" s="2814">
        <f>+SUM(D8:N8)</f>
        <v>242.99226274163482</v>
      </c>
      <c r="T8" s="2815">
        <v>23.064658282299998</v>
      </c>
      <c r="U8" s="2815">
        <v>21.978058871599998</v>
      </c>
      <c r="V8" s="2816">
        <v>25.559665476799999</v>
      </c>
      <c r="W8" s="2816">
        <v>25.595764113199998</v>
      </c>
      <c r="X8" s="2816">
        <v>29.052038552700001</v>
      </c>
      <c r="Y8" s="2816">
        <v>28.479436244699997</v>
      </c>
      <c r="Z8" s="2816">
        <v>22.537595787900003</v>
      </c>
      <c r="AA8" s="2816">
        <v>24.306522810400001</v>
      </c>
      <c r="AB8" s="2816">
        <v>27.737880287799999</v>
      </c>
      <c r="AC8" s="2816">
        <v>28.098282409899998</v>
      </c>
      <c r="AD8" s="2816">
        <v>29.0669418391</v>
      </c>
      <c r="AE8" s="2816"/>
      <c r="AF8" s="2814">
        <f>SUM(T8:Y8)</f>
        <v>153.72962154129999</v>
      </c>
      <c r="AG8" s="2814">
        <f>+SUM(T8:AE8)</f>
        <v>285.47684467639999</v>
      </c>
      <c r="AI8" s="2817">
        <f>Q8-AF8</f>
        <v>-10.546563404899985</v>
      </c>
      <c r="AJ8" s="2818">
        <f t="shared" ref="AJ8:AJ29" si="4">AI8/AF8</f>
        <v>-6.8604627391648229E-2</v>
      </c>
      <c r="AL8" s="2817">
        <f>R8-AG8</f>
        <v>-42.484581934765174</v>
      </c>
      <c r="AM8" s="2818">
        <f t="shared" ref="AM8:AM29" si="5">AL8/AG8</f>
        <v>-0.14881971244611181</v>
      </c>
      <c r="AO8" s="2880">
        <f>G8-W8</f>
        <v>-1.8065135339999969</v>
      </c>
      <c r="AP8" s="2812"/>
      <c r="AQ8" s="2657" t="s">
        <v>1167</v>
      </c>
      <c r="AR8" s="2113"/>
      <c r="AS8" s="2337">
        <f>AS6</f>
        <v>8148.8878551463204</v>
      </c>
      <c r="AT8" s="2340">
        <f>AT7</f>
        <v>88.463114754098356</v>
      </c>
      <c r="AU8" s="2625">
        <f>+$D$20</f>
        <v>0.51308140000000002</v>
      </c>
      <c r="AV8" s="2621">
        <f>AV4</f>
        <v>89.520023362040547</v>
      </c>
      <c r="AW8" s="2623">
        <f>AW4</f>
        <v>-811.79956690000313</v>
      </c>
      <c r="AX8" s="2337">
        <f>AS8*AT8*24*30.5/100*AU8/100*AV8/100+AW8</f>
        <v>23425.158236922649</v>
      </c>
      <c r="AY8" s="2337">
        <f>AX8-AX7</f>
        <v>1770.1721144264739</v>
      </c>
      <c r="AZ8" s="1841"/>
    </row>
    <row r="9" spans="2:53" ht="13">
      <c r="B9" s="2724" t="s">
        <v>66</v>
      </c>
      <c r="C9" s="2725" t="s">
        <v>53</v>
      </c>
      <c r="D9" s="2807">
        <v>0.68774590000000002</v>
      </c>
      <c r="E9" s="2807">
        <v>0.76829879999999995</v>
      </c>
      <c r="F9" s="2808">
        <v>0.79198369999999996</v>
      </c>
      <c r="G9" s="2808">
        <v>0.98994519999999997</v>
      </c>
      <c r="H9" s="2808">
        <v>1.2376731999999999</v>
      </c>
      <c r="I9" s="2808">
        <v>1.191114</v>
      </c>
      <c r="J9" s="2808">
        <v>0.84552340000000004</v>
      </c>
      <c r="K9" s="2808">
        <v>1.0873835000000001</v>
      </c>
      <c r="L9" s="2808">
        <v>1.1182268</v>
      </c>
      <c r="M9" s="2808">
        <v>1.3382371052842685</v>
      </c>
      <c r="N9" s="2808"/>
      <c r="O9" s="2808"/>
      <c r="P9" s="2808"/>
      <c r="Q9" s="2809">
        <f>SUM(D9:I9)</f>
        <v>5.6667607999999996</v>
      </c>
      <c r="R9" s="2809">
        <f>+SUM(D9:N9)</f>
        <v>10.056131605284268</v>
      </c>
      <c r="T9" s="2819">
        <v>0.83986059999999996</v>
      </c>
      <c r="U9" s="2819">
        <v>0.91272779999999998</v>
      </c>
      <c r="V9" s="2820">
        <v>0.99521530000000002</v>
      </c>
      <c r="W9" s="2820">
        <v>1.1689092000000001</v>
      </c>
      <c r="X9" s="2820">
        <v>1.1986114000000001</v>
      </c>
      <c r="Y9" s="2820">
        <v>1.2198837</v>
      </c>
      <c r="Z9" s="2820">
        <v>0.82486300000000001</v>
      </c>
      <c r="AA9" s="2808">
        <v>1.0567662</v>
      </c>
      <c r="AB9" s="2808">
        <v>1.3598520999999999</v>
      </c>
      <c r="AC9" s="2808">
        <v>1.0812537</v>
      </c>
      <c r="AD9" s="2808">
        <v>1.2830360000000001</v>
      </c>
      <c r="AE9" s="2808"/>
      <c r="AF9" s="2809">
        <f>SUM(T9:Y9)</f>
        <v>6.3352079999999997</v>
      </c>
      <c r="AG9" s="2809">
        <f>+SUM(T9:AE9)</f>
        <v>11.940978999999999</v>
      </c>
      <c r="AI9" s="2810">
        <f>Q9-AF9</f>
        <v>-0.66844720000000013</v>
      </c>
      <c r="AJ9" s="2821">
        <f t="shared" si="4"/>
        <v>-0.10551306287023254</v>
      </c>
      <c r="AL9" s="2810">
        <f>R9-AG9</f>
        <v>-1.8848473947157309</v>
      </c>
      <c r="AM9" s="2821">
        <f t="shared" si="5"/>
        <v>-0.15784697341111906</v>
      </c>
      <c r="AO9" s="2806"/>
      <c r="AP9" s="2806"/>
      <c r="AQ9" s="2657" t="s">
        <v>51</v>
      </c>
      <c r="AR9" s="2113"/>
      <c r="AS9" s="2337">
        <f>AS6</f>
        <v>8148.8878551463204</v>
      </c>
      <c r="AT9" s="2340">
        <f>AT7</f>
        <v>88.463114754098356</v>
      </c>
      <c r="AU9" s="2625">
        <f>AU8</f>
        <v>0.51308140000000002</v>
      </c>
      <c r="AV9" s="2624">
        <f>+$D$21</f>
        <v>88.474774800000006</v>
      </c>
      <c r="AW9" s="2623">
        <f>AW4</f>
        <v>-811.79956690000313</v>
      </c>
      <c r="AX9" s="2337">
        <f>AS9*AT9*24*30.5/100*AU9/100*AV9/100+AW9</f>
        <v>23142.164060410567</v>
      </c>
      <c r="AY9" s="2337">
        <f>AX9-AX8</f>
        <v>-282.99417651208205</v>
      </c>
      <c r="AZ9" s="1841"/>
    </row>
    <row r="10" spans="2:53" ht="13">
      <c r="B10" s="1868" t="s">
        <v>1202</v>
      </c>
      <c r="C10" s="1869" t="s">
        <v>53</v>
      </c>
      <c r="D10" s="2822">
        <v>0.55937029999999999</v>
      </c>
      <c r="E10" s="2822">
        <v>0.71069610000000005</v>
      </c>
      <c r="F10" s="2823">
        <v>0.98120030000000003</v>
      </c>
      <c r="G10" s="2823">
        <v>1.0258433</v>
      </c>
      <c r="H10" s="2823">
        <v>1.2090692000000001</v>
      </c>
      <c r="I10" s="2823">
        <v>1.2382652999999999</v>
      </c>
      <c r="J10" s="2823">
        <v>0.9370735</v>
      </c>
      <c r="K10" s="2823">
        <v>0.95576170000000005</v>
      </c>
      <c r="L10" s="2823">
        <v>1.1409695</v>
      </c>
      <c r="M10" s="2823">
        <v>1.1591301541346299</v>
      </c>
      <c r="N10" s="2823"/>
      <c r="O10" s="2823"/>
      <c r="P10" s="2823"/>
      <c r="Q10" s="2824">
        <f>SUM(D10:I10)</f>
        <v>5.7244445000000006</v>
      </c>
      <c r="R10" s="2824">
        <f>+SUM(D10:N10)</f>
        <v>9.9173793541346313</v>
      </c>
      <c r="T10" s="2815">
        <v>0.83566130000000005</v>
      </c>
      <c r="U10" s="2815">
        <v>0.90816410000000003</v>
      </c>
      <c r="V10" s="2816">
        <v>0.99023919999999999</v>
      </c>
      <c r="W10" s="2816">
        <v>1.1630647000000001</v>
      </c>
      <c r="X10" s="2816">
        <v>1.1926184</v>
      </c>
      <c r="Y10" s="2816">
        <v>1.2137842999999999</v>
      </c>
      <c r="Z10" s="2816">
        <v>0.82073870000000004</v>
      </c>
      <c r="AA10" s="2823">
        <v>1.0514823</v>
      </c>
      <c r="AB10" s="2823">
        <v>1.3530527999999999</v>
      </c>
      <c r="AC10" s="2823">
        <v>1.0758475000000001</v>
      </c>
      <c r="AD10" s="2823">
        <v>1.2766207999999999</v>
      </c>
      <c r="AE10" s="2823"/>
      <c r="AF10" s="2824">
        <f>SUM(T10:Y10)</f>
        <v>6.3035320000000006</v>
      </c>
      <c r="AG10" s="2824">
        <f>+SUM(T10:AE10)</f>
        <v>11.881274100000001</v>
      </c>
      <c r="AI10" s="2825">
        <f>Q10-AF10</f>
        <v>-0.57908749999999998</v>
      </c>
      <c r="AJ10" s="2826">
        <f t="shared" si="4"/>
        <v>-9.1867146863060259E-2</v>
      </c>
      <c r="AL10" s="2825">
        <f>R10-AG10</f>
        <v>-1.9638947458653693</v>
      </c>
      <c r="AM10" s="2826">
        <f t="shared" si="5"/>
        <v>-0.16529327825753715</v>
      </c>
      <c r="AO10" s="2806"/>
      <c r="AP10" s="2806"/>
      <c r="AQ10" s="2658" t="s">
        <v>1378</v>
      </c>
      <c r="AR10" s="2629"/>
      <c r="AS10" s="2346">
        <f>AS6</f>
        <v>8148.8878551463204</v>
      </c>
      <c r="AT10" s="2344">
        <f>AT7</f>
        <v>88.463114754098356</v>
      </c>
      <c r="AU10" s="2627">
        <f>AU8</f>
        <v>0.51308140000000002</v>
      </c>
      <c r="AV10" s="2628">
        <f>AV9</f>
        <v>88.474774800000006</v>
      </c>
      <c r="AW10" s="2346">
        <f>+($D$8-$D$7)*1000</f>
        <v>-1268.5506635999957</v>
      </c>
      <c r="AX10" s="2346">
        <f>AS10*AT10*24*30.5/100*AU10/100*AV10/100+AW10</f>
        <v>22685.412963710576</v>
      </c>
      <c r="AY10" s="2346">
        <f>AX10-AX9</f>
        <v>-456.75109669999074</v>
      </c>
      <c r="AZ10" s="1841"/>
    </row>
    <row r="11" spans="2:53" ht="13">
      <c r="B11" s="1868"/>
      <c r="C11" s="1869"/>
      <c r="D11" s="2827"/>
      <c r="E11" s="2827"/>
      <c r="F11" s="2828"/>
      <c r="G11" s="2828"/>
      <c r="H11" s="2828"/>
      <c r="I11" s="2828"/>
      <c r="J11" s="2828"/>
      <c r="K11" s="2828"/>
      <c r="L11" s="2828"/>
      <c r="M11" s="2828"/>
      <c r="N11" s="2828"/>
      <c r="O11" s="2828"/>
      <c r="P11" s="2828"/>
      <c r="Q11" s="2829"/>
      <c r="R11" s="2829"/>
      <c r="T11" s="2830"/>
      <c r="U11" s="2830"/>
      <c r="V11" s="2831"/>
      <c r="W11" s="2831"/>
      <c r="X11" s="2831"/>
      <c r="Y11" s="2831"/>
      <c r="Z11" s="2831"/>
      <c r="AA11" s="2828"/>
      <c r="AB11" s="2828"/>
      <c r="AC11" s="2828"/>
      <c r="AD11" s="2828"/>
      <c r="AE11" s="2828"/>
      <c r="AF11" s="2829"/>
      <c r="AG11" s="2829"/>
      <c r="AI11" s="2825"/>
      <c r="AJ11" s="2832"/>
      <c r="AL11" s="2825"/>
      <c r="AM11" s="2832"/>
      <c r="AO11" s="2806"/>
      <c r="AP11" s="2806"/>
      <c r="AQ11" s="2657" t="s">
        <v>57</v>
      </c>
      <c r="AR11" s="2113"/>
      <c r="AS11" s="2337">
        <f>AS6</f>
        <v>8148.8878551463204</v>
      </c>
      <c r="AT11" s="2340">
        <f>AT7</f>
        <v>88.463114754098356</v>
      </c>
      <c r="AU11" s="2625">
        <f>AU8</f>
        <v>0.51308140000000002</v>
      </c>
      <c r="AV11" s="2624">
        <f>AV9</f>
        <v>88.474774800000006</v>
      </c>
      <c r="AW11" s="2337">
        <f>AW10</f>
        <v>-1268.5506635999957</v>
      </c>
      <c r="AX11" s="2337"/>
      <c r="AY11" s="2337">
        <f>+SUM(AY4:AY10)</f>
        <v>22685.412963710576</v>
      </c>
      <c r="AZ11" s="2337">
        <f>AY11-AY4</f>
        <v>5.8588404681322572</v>
      </c>
    </row>
    <row r="12" spans="2:53" ht="13">
      <c r="B12" s="1868" t="s">
        <v>1448</v>
      </c>
      <c r="C12" s="1869" t="s">
        <v>53</v>
      </c>
      <c r="D12" s="2833">
        <v>5276.8123305999998</v>
      </c>
      <c r="E12" s="2833">
        <v>4993.5639578999999</v>
      </c>
      <c r="F12" s="2834">
        <v>5347.4708123999999</v>
      </c>
      <c r="G12" s="2834">
        <v>4979.3774784999996</v>
      </c>
      <c r="H12" s="2834">
        <v>5484.1979131999997</v>
      </c>
      <c r="I12" s="2834">
        <v>5118.1203795000001</v>
      </c>
      <c r="J12" s="2834">
        <v>4931.7049717999998</v>
      </c>
      <c r="K12" s="2834">
        <v>5062.2332626999996</v>
      </c>
      <c r="L12" s="2834">
        <v>5101.3371273000002</v>
      </c>
      <c r="M12" s="2834">
        <v>5607.0996016646823</v>
      </c>
      <c r="N12" s="2834"/>
      <c r="O12" s="2834"/>
      <c r="P12" s="2834"/>
      <c r="Q12" s="2835">
        <f>SUM(D12:I12)</f>
        <v>31199.542872099995</v>
      </c>
      <c r="R12" s="2835">
        <f>+SUM(D12:N12)</f>
        <v>51901.91783556468</v>
      </c>
      <c r="T12" s="2833">
        <v>5607.9044385999996</v>
      </c>
      <c r="U12" s="2833">
        <v>5222.8705450999996</v>
      </c>
      <c r="V12" s="2834">
        <v>5115.5852480000003</v>
      </c>
      <c r="W12" s="2834">
        <v>5879.0851210999999</v>
      </c>
      <c r="X12" s="2834">
        <v>6219.2204971000001</v>
      </c>
      <c r="Y12" s="2834">
        <v>6022.8239216000002</v>
      </c>
      <c r="Z12" s="2834">
        <v>5113.1374716999999</v>
      </c>
      <c r="AA12" s="2834">
        <v>5314.0764662000001</v>
      </c>
      <c r="AB12" s="2834">
        <v>5878.200879</v>
      </c>
      <c r="AC12" s="2834">
        <v>6213.1358301</v>
      </c>
      <c r="AD12" s="2834">
        <v>5781.6331394999997</v>
      </c>
      <c r="AE12" s="2834"/>
      <c r="AF12" s="2835">
        <f>SUM(T12:Y12)</f>
        <v>34067.489771499997</v>
      </c>
      <c r="AG12" s="2835">
        <f>+SUM(T12:AE12)</f>
        <v>62367.673557999995</v>
      </c>
      <c r="AI12" s="2842">
        <f t="shared" ref="AI12:AI18" si="6">Q12-AF12</f>
        <v>-2867.9468994000017</v>
      </c>
      <c r="AJ12" s="2818">
        <f t="shared" si="4"/>
        <v>-8.4184274175646889E-2</v>
      </c>
      <c r="AL12" s="2842">
        <f t="shared" ref="AL12:AL18" si="7">R12-AG12</f>
        <v>-10465.755722435315</v>
      </c>
      <c r="AM12" s="2818">
        <f t="shared" si="5"/>
        <v>-0.16780737720964511</v>
      </c>
      <c r="AO12" s="2836">
        <f>AP12-V12</f>
        <v>726.88744446114833</v>
      </c>
      <c r="AP12" s="2806">
        <v>5842.4726924611487</v>
      </c>
    </row>
    <row r="13" spans="2:53" ht="13">
      <c r="B13" s="1868" t="s">
        <v>79</v>
      </c>
      <c r="C13" s="1869" t="s">
        <v>75</v>
      </c>
      <c r="D13" s="2837">
        <v>170.21975259999999</v>
      </c>
      <c r="E13" s="2837">
        <v>178.34156992499999</v>
      </c>
      <c r="F13" s="2838">
        <v>172.49905846451614</v>
      </c>
      <c r="G13" s="2838">
        <v>165.97924928333333</v>
      </c>
      <c r="H13" s="2838">
        <v>176.90961010322579</v>
      </c>
      <c r="I13" s="2838">
        <v>170.60401265000002</v>
      </c>
      <c r="J13" s="2838">
        <v>159.08725715483871</v>
      </c>
      <c r="K13" s="2838">
        <v>163.29784718426419</v>
      </c>
      <c r="L13" s="2838">
        <v>169.48333051052458</v>
      </c>
      <c r="M13" s="2838">
        <v>180.87418069886073</v>
      </c>
      <c r="N13" s="2838"/>
      <c r="O13" s="2838"/>
      <c r="P13" s="2838"/>
      <c r="Q13" s="2839">
        <f>Q12/Q2</f>
        <v>102.79915279110378</v>
      </c>
      <c r="R13" s="2839">
        <f>R12/R2</f>
        <v>131.0654490797088</v>
      </c>
      <c r="T13" s="2833">
        <v>180.90014318185257</v>
      </c>
      <c r="U13" s="2833">
        <v>186.53109089710151</v>
      </c>
      <c r="V13" s="2834">
        <v>165.01887896834006</v>
      </c>
      <c r="W13" s="2834">
        <v>195.96950403762128</v>
      </c>
      <c r="X13" s="2834">
        <v>200.62001603565918</v>
      </c>
      <c r="Y13" s="2834">
        <v>200.76079738604619</v>
      </c>
      <c r="Z13" s="2834">
        <v>164.93991844090215</v>
      </c>
      <c r="AA13" s="2838">
        <v>171.42182148931059</v>
      </c>
      <c r="AB13" s="2838">
        <v>195.94002929872025</v>
      </c>
      <c r="AC13" s="2838">
        <v>200.42373645533371</v>
      </c>
      <c r="AD13" s="2838"/>
      <c r="AE13" s="2838"/>
      <c r="AF13" s="2839">
        <f>AF12/AF2</f>
        <v>112.0641110831056</v>
      </c>
      <c r="AG13" s="2839">
        <f>AG12/AG2</f>
        <v>170.87033850572823</v>
      </c>
      <c r="AI13" s="2840">
        <f t="shared" si="6"/>
        <v>-9.2649582920018219</v>
      </c>
      <c r="AJ13" s="2832">
        <f t="shared" si="4"/>
        <v>-8.2675516741760643E-2</v>
      </c>
      <c r="AL13" s="2840">
        <f t="shared" si="7"/>
        <v>-39.804889426019429</v>
      </c>
      <c r="AM13" s="2826">
        <f t="shared" si="5"/>
        <v>-0.23295376935584999</v>
      </c>
      <c r="AO13" s="2806"/>
      <c r="AP13" s="2806"/>
    </row>
    <row r="14" spans="2:53" ht="13">
      <c r="B14" s="1868" t="s">
        <v>283</v>
      </c>
      <c r="C14" s="1869" t="s">
        <v>81</v>
      </c>
      <c r="D14" s="2833">
        <v>8148.8878551463204</v>
      </c>
      <c r="E14" s="2833">
        <v>8332.3276454196548</v>
      </c>
      <c r="F14" s="2833">
        <v>7997.1747086006553</v>
      </c>
      <c r="G14" s="2833">
        <v>8365.8895808131729</v>
      </c>
      <c r="H14" s="2833">
        <v>8204.9639634949126</v>
      </c>
      <c r="I14" s="2833">
        <v>8016.3524410299797</v>
      </c>
      <c r="J14" s="2833">
        <v>8528.3776986528792</v>
      </c>
      <c r="K14" s="2838">
        <v>8383.8181923323427</v>
      </c>
      <c r="L14" s="2838">
        <v>7630.7966720440354</v>
      </c>
      <c r="M14" s="2833">
        <v>8036.607079589151</v>
      </c>
      <c r="N14" s="2833"/>
      <c r="O14" s="2833"/>
      <c r="P14" s="2833"/>
      <c r="Q14" s="2835">
        <f>Q12*1000/(AF2*24*Q18/100)</f>
        <v>8114.5349706039642</v>
      </c>
      <c r="R14" s="2835">
        <f>R12*1000/(R2*24*R18/100)</f>
        <v>8121.1153163906492</v>
      </c>
      <c r="T14" s="2841">
        <v>8278.1672167935631</v>
      </c>
      <c r="U14" s="2841">
        <v>8684.4808663864806</v>
      </c>
      <c r="V14" s="2841">
        <v>8745.2728220229365</v>
      </c>
      <c r="W14" s="2841">
        <v>8512.0482194830911</v>
      </c>
      <c r="X14" s="2841">
        <v>8702.6606487921817</v>
      </c>
      <c r="Y14" s="2841">
        <v>8750.6559138888188</v>
      </c>
      <c r="Z14" s="2841">
        <v>8432.7098307275082</v>
      </c>
      <c r="AA14" s="2838">
        <v>9072.7109461800756</v>
      </c>
      <c r="AB14" s="2838">
        <v>8628.074212787973</v>
      </c>
      <c r="AC14" s="2838">
        <v>8684.6606862769913</v>
      </c>
      <c r="AD14" s="2838">
        <v>8236.0166789777886</v>
      </c>
      <c r="AE14" s="2838"/>
      <c r="AF14" s="2835">
        <f>AF12*1000/(AF2*24*AF18/100)</f>
        <v>8608.6106075704465</v>
      </c>
      <c r="AG14" s="2835">
        <f>AG12*1000/(R2*24*AG18/100)</f>
        <v>9543.3214703666217</v>
      </c>
      <c r="AI14" s="2842">
        <f t="shared" si="6"/>
        <v>-494.07563696648231</v>
      </c>
      <c r="AJ14" s="2818">
        <f t="shared" si="4"/>
        <v>-5.7393191478772455E-2</v>
      </c>
      <c r="AL14" s="2842">
        <f t="shared" si="7"/>
        <v>-1422.2061539759725</v>
      </c>
      <c r="AM14" s="2818">
        <f t="shared" si="5"/>
        <v>-0.14902632782434563</v>
      </c>
    </row>
    <row r="15" spans="2:53" ht="13">
      <c r="B15" s="1868" t="s">
        <v>86</v>
      </c>
      <c r="C15" s="1869" t="s">
        <v>167</v>
      </c>
      <c r="D15" s="2843">
        <v>37.515526829719157</v>
      </c>
      <c r="E15" s="2843">
        <v>38.069276618316749</v>
      </c>
      <c r="F15" s="2844">
        <v>38.252026115767578</v>
      </c>
      <c r="G15" s="2844">
        <v>37.687321719799129</v>
      </c>
      <c r="H15" s="2844">
        <v>37.421213122094102</v>
      </c>
      <c r="I15" s="2844">
        <v>37.398725569135877</v>
      </c>
      <c r="J15" s="2844">
        <v>37.600246647427809</v>
      </c>
      <c r="K15" s="2844">
        <v>38.80670447255342</v>
      </c>
      <c r="L15" s="2844">
        <v>36.448042471007653</v>
      </c>
      <c r="M15" s="2844">
        <v>37.569618997666652</v>
      </c>
      <c r="N15" s="2844"/>
      <c r="O15" s="2844"/>
      <c r="P15" s="2844"/>
      <c r="Q15" s="2845">
        <f>SUMPRODUCT(D12:I12,D15:I15)/Q$12</f>
        <v>37.72206790321659</v>
      </c>
      <c r="R15" s="2845">
        <f>SUMPRODUCT($D$12:$M$12,D15:M15)/$R$12</f>
        <v>37.674591187280022</v>
      </c>
      <c r="T15" s="2846">
        <v>37.255410047988732</v>
      </c>
      <c r="U15" s="2846">
        <v>35.921330784026601</v>
      </c>
      <c r="V15" s="2847">
        <v>36.784394945415343</v>
      </c>
      <c r="W15" s="2847">
        <v>35.513842528973754</v>
      </c>
      <c r="X15" s="2847">
        <v>36.43968842146262</v>
      </c>
      <c r="Y15" s="2847">
        <v>35.694447081025984</v>
      </c>
      <c r="Z15" s="2847">
        <v>36.66425272550925</v>
      </c>
      <c r="AA15" s="2844">
        <v>36.916859459593887</v>
      </c>
      <c r="AB15" s="2844">
        <v>35.950087648828273</v>
      </c>
      <c r="AC15" s="2844">
        <v>37.697509995075919</v>
      </c>
      <c r="AD15" s="2844"/>
      <c r="AE15" s="2844"/>
      <c r="AF15" s="2845">
        <f>SUMPRODUCT(T12:Y12,T15:Y15)/AF$12</f>
        <v>36.254731017107765</v>
      </c>
      <c r="AG15" s="2845">
        <f>SUMPRODUCT($T$12:$AD$12,T15:AD15)/$AG$12</f>
        <v>33.098839923705334</v>
      </c>
      <c r="AI15" s="2848">
        <f t="shared" si="6"/>
        <v>1.467336886108825</v>
      </c>
      <c r="AJ15" s="2832">
        <f t="shared" si="4"/>
        <v>4.0472976765885335E-2</v>
      </c>
      <c r="AL15" s="2848">
        <f t="shared" si="7"/>
        <v>4.5757512635746878</v>
      </c>
      <c r="AM15" s="2832">
        <f t="shared" si="5"/>
        <v>0.13824506460413866</v>
      </c>
      <c r="AY15" t="s">
        <v>1445</v>
      </c>
      <c r="AZ15" s="2879">
        <v>3375.9215260587898</v>
      </c>
      <c r="BA15" t="s">
        <v>1446</v>
      </c>
    </row>
    <row r="16" spans="2:53" ht="13" hidden="1">
      <c r="B16" s="1868" t="s">
        <v>580</v>
      </c>
      <c r="C16" s="1869" t="s">
        <v>167</v>
      </c>
      <c r="D16" s="2849">
        <v>78.042418836102712</v>
      </c>
      <c r="E16" s="2849">
        <v>80.745703512525196</v>
      </c>
      <c r="F16" s="2965">
        <v>81.846739728754429</v>
      </c>
      <c r="G16" s="2965">
        <f>'[18]TP sin BM'!F14</f>
        <v>85.46553636378934</v>
      </c>
      <c r="H16" s="2965">
        <v>85.46553636378934</v>
      </c>
      <c r="I16" s="2965">
        <f>'TP sin BM'!G14</f>
        <v>82.923534192742608</v>
      </c>
      <c r="J16" s="2965">
        <v>81.726664440459984</v>
      </c>
      <c r="K16" s="2844">
        <v>84.998951170420838</v>
      </c>
      <c r="L16" s="2844">
        <v>4.133690821320763</v>
      </c>
      <c r="M16" s="2965">
        <f>'PM vs OL y BD'!D14</f>
        <v>82.923534192742608</v>
      </c>
      <c r="N16" s="2965"/>
      <c r="O16" s="2965"/>
      <c r="P16" s="2965"/>
      <c r="Q16" s="2839">
        <f>SUMPRODUCT(D$12:H$12,D16:H16)/Q$12</f>
        <v>68.814218739202744</v>
      </c>
      <c r="R16" s="2839">
        <f>SUMPRODUCT($D$12:$I$12,D16:I16)/$R$12</f>
        <v>49.543155730824985</v>
      </c>
      <c r="S16" s="157"/>
      <c r="T16" s="2868">
        <v>80.669352789959518</v>
      </c>
      <c r="U16" s="2868">
        <v>86.227461697450565</v>
      </c>
      <c r="V16" s="2869">
        <v>86.384367077997908</v>
      </c>
      <c r="W16" s="2869">
        <v>89.675421730145501</v>
      </c>
      <c r="X16" s="2869">
        <v>89.877307362315278</v>
      </c>
      <c r="Y16" s="2869">
        <v>88.961175355547681</v>
      </c>
      <c r="Z16" s="2869"/>
      <c r="AA16" s="2844"/>
      <c r="AB16" s="2844"/>
      <c r="AC16" s="2844"/>
      <c r="AD16" s="2844"/>
      <c r="AE16" s="2844"/>
      <c r="AF16" s="2839">
        <f>SUMPRODUCT(T$12:X$12,T16:X16)/AF$12</f>
        <v>71.353179568800499</v>
      </c>
      <c r="AG16" s="2839">
        <f>SUMPRODUCT($D$12:$I$12,T16:Y16)/$R$12</f>
        <v>52.270592235137954</v>
      </c>
      <c r="AI16" s="2837">
        <f t="shared" si="6"/>
        <v>-2.5389608295977553</v>
      </c>
      <c r="AJ16" s="2832">
        <f t="shared" si="4"/>
        <v>-3.5583008983497734E-2</v>
      </c>
      <c r="AL16" s="2837">
        <f t="shared" si="7"/>
        <v>-2.7274365043129691</v>
      </c>
      <c r="AM16" s="2832">
        <f t="shared" si="5"/>
        <v>-5.2179177386084782E-2</v>
      </c>
      <c r="AQ16" s="2660" t="s">
        <v>1449</v>
      </c>
      <c r="AR16" s="2626"/>
      <c r="AS16" s="2626" t="s">
        <v>36</v>
      </c>
      <c r="AT16" s="2626" t="s">
        <v>1345</v>
      </c>
      <c r="AU16" s="2626" t="s">
        <v>24</v>
      </c>
      <c r="AV16" s="2626" t="s">
        <v>25</v>
      </c>
      <c r="AW16" s="2626" t="s">
        <v>1346</v>
      </c>
      <c r="AX16" s="2626" t="s">
        <v>28</v>
      </c>
      <c r="AY16" s="2626" t="s">
        <v>1321</v>
      </c>
      <c r="AZ16" s="1841"/>
    </row>
    <row r="17" spans="2:52" ht="13">
      <c r="B17" s="1868" t="s">
        <v>83</v>
      </c>
      <c r="C17" s="1869" t="s">
        <v>84</v>
      </c>
      <c r="D17" s="2850">
        <v>4.1622031091308767</v>
      </c>
      <c r="E17" s="2850">
        <v>4.25</v>
      </c>
      <c r="F17" s="2851">
        <v>4.1451512188024378</v>
      </c>
      <c r="G17" s="2851">
        <v>4.21</v>
      </c>
      <c r="H17" s="2851">
        <v>4.0999999999999996</v>
      </c>
      <c r="I17" s="2851">
        <v>4.2699999999999996</v>
      </c>
      <c r="J17" s="2851">
        <v>3.93</v>
      </c>
      <c r="K17" s="2851">
        <v>4.04</v>
      </c>
      <c r="L17" s="2851">
        <v>4.1500000000000004</v>
      </c>
      <c r="M17" s="2851">
        <v>4.1603619003909857</v>
      </c>
      <c r="N17" s="2851"/>
      <c r="O17" s="2851"/>
      <c r="P17" s="2851"/>
      <c r="Q17" s="2852">
        <f>SUMPRODUCT(D$12:I$12,D17:I17)/Q$12</f>
        <v>4.1877104369768166</v>
      </c>
      <c r="R17" s="2845">
        <f>SUMPRODUCT($D$12:$M$12,D17:M17)/$R$12</f>
        <v>4.1421549690852579</v>
      </c>
      <c r="T17" s="2853">
        <v>4.0515644460904392</v>
      </c>
      <c r="U17" s="2853">
        <v>4.048177915140915</v>
      </c>
      <c r="V17" s="2854">
        <v>4.0564913485125116</v>
      </c>
      <c r="W17" s="2854">
        <v>4.0004373635097021</v>
      </c>
      <c r="X17" s="2854">
        <v>4.0298930022124999</v>
      </c>
      <c r="Y17" s="2854">
        <v>3.9363241195053256</v>
      </c>
      <c r="Z17" s="2854">
        <v>4.0151167430794672</v>
      </c>
      <c r="AA17" s="2851">
        <v>3.9721026502277104</v>
      </c>
      <c r="AB17" s="2851">
        <v>4.0573848664623284</v>
      </c>
      <c r="AC17" s="2851">
        <v>3.9664332130116553</v>
      </c>
      <c r="AD17" s="2851">
        <v>3.9527435345757529</v>
      </c>
      <c r="AE17" s="2851"/>
      <c r="AF17" s="2852">
        <f>SUMPRODUCT(T$12:Y$12,T17:Y17)/AF$12</f>
        <v>4.018632299194218</v>
      </c>
      <c r="AG17" s="2852">
        <f>SUMPRODUCT($T$12:$AD$12,T17:AD17)/$AG$12</f>
        <v>4.0067237752008351</v>
      </c>
      <c r="AI17" s="2855">
        <f t="shared" si="6"/>
        <v>0.1690781377825985</v>
      </c>
      <c r="AJ17" s="2826">
        <f t="shared" si="4"/>
        <v>4.2073552690177853E-2</v>
      </c>
      <c r="AL17" s="2855">
        <f t="shared" si="7"/>
        <v>0.13543119388442282</v>
      </c>
      <c r="AM17" s="2826">
        <f t="shared" si="5"/>
        <v>3.3800980921784254E-2</v>
      </c>
      <c r="AQ17" s="2657" t="s">
        <v>1419</v>
      </c>
      <c r="AR17" s="2113"/>
      <c r="AS17" s="2620">
        <f>U14</f>
        <v>8684.4808663864806</v>
      </c>
      <c r="AT17" s="2621">
        <f>U18</f>
        <v>89.494454613095243</v>
      </c>
      <c r="AU17" s="2622">
        <f>U20</f>
        <v>0.48440220136115725</v>
      </c>
      <c r="AV17" s="2621">
        <f>U21</f>
        <v>89.928393748868103</v>
      </c>
      <c r="AW17" s="2623">
        <f>(U8-U7)*1000</f>
        <v>-773.55486710000321</v>
      </c>
      <c r="AX17" s="2337">
        <f t="shared" ref="AX17:AX22" si="8">AS17*AT17*24*28/100*AU17/100*AV17/100+AW17</f>
        <v>21978.058871494857</v>
      </c>
      <c r="AY17" s="2337">
        <f>AX17</f>
        <v>21978.058871494857</v>
      </c>
      <c r="AZ17" s="1841"/>
    </row>
    <row r="18" spans="2:52" ht="14">
      <c r="B18" s="1868" t="s">
        <v>170</v>
      </c>
      <c r="C18" s="1869" t="s">
        <v>48</v>
      </c>
      <c r="D18" s="2856">
        <v>88.463114754098356</v>
      </c>
      <c r="E18" s="2856">
        <v>93.369270557442434</v>
      </c>
      <c r="F18" s="2857">
        <v>89.875</v>
      </c>
      <c r="G18" s="2857">
        <v>82.552011095700422</v>
      </c>
      <c r="H18" s="2857">
        <v>89.838709677419359</v>
      </c>
      <c r="I18" s="2857">
        <v>88.674999999999997</v>
      </c>
      <c r="J18" s="2857">
        <v>77.724462365591393</v>
      </c>
      <c r="K18" s="2851">
        <v>81.1572580645161</v>
      </c>
      <c r="L18" s="2851">
        <v>92.543488464447634</v>
      </c>
      <c r="M18" s="2857">
        <v>93.776193375515149</v>
      </c>
      <c r="N18" s="2857"/>
      <c r="O18" s="2857"/>
      <c r="P18" s="2857"/>
      <c r="Q18" s="2858">
        <f>SUMPRODUCT(D2:I2,D18:I18)/AF2</f>
        <v>52.698683906013031</v>
      </c>
      <c r="R18" s="2858">
        <f>(D2*24*D18+E2*24*E18+F2*24*F18+G2*24*G18+H2*24*H18+I2*24*I18+J2*24*J18+K2*24*K18+M2*24*M18+L2*L18*24+N2*24*N18)/(R2*24)</f>
        <v>67.24520174340185</v>
      </c>
      <c r="T18" s="2853">
        <v>91.05283534946237</v>
      </c>
      <c r="U18" s="2853">
        <v>89.494454613095243</v>
      </c>
      <c r="V18" s="2854">
        <v>78.622894489247301</v>
      </c>
      <c r="W18" s="2854">
        <v>95.927511111111102</v>
      </c>
      <c r="X18" s="2854">
        <v>96.053008064516135</v>
      </c>
      <c r="Y18" s="2854">
        <v>95.593213888888883</v>
      </c>
      <c r="Z18" s="2854">
        <v>81.49807997311828</v>
      </c>
      <c r="AA18" s="2851">
        <v>78.725928091397847</v>
      </c>
      <c r="AB18" s="2851">
        <v>94.623292361111112</v>
      </c>
      <c r="AC18" s="2851">
        <v>96.157919354838711</v>
      </c>
      <c r="AD18" s="2851">
        <v>97.49914722222222</v>
      </c>
      <c r="AE18" s="2851"/>
      <c r="AF18" s="2858">
        <f>SUMPRODUCT(T2:Y2,T18:Y18)/AF2</f>
        <v>54.240320240409439</v>
      </c>
      <c r="AG18" s="2858">
        <f>(D2*24*T18+U2*24*U18+V2*24*V18+W2*24*W18+X2*24*X18+Y2*24*Y18+Z2*24*Z18+AA2*24*AA18+AC2*24*AC18+AB2*24*AB18)/(R2*24)</f>
        <v>68.762801659912299</v>
      </c>
      <c r="AI18" s="2859">
        <f t="shared" si="6"/>
        <v>-1.5416363343964079</v>
      </c>
      <c r="AJ18" s="2832">
        <f t="shared" si="4"/>
        <v>-2.842233098114855E-2</v>
      </c>
      <c r="AL18" s="2859">
        <f t="shared" si="7"/>
        <v>-1.5175999165104486</v>
      </c>
      <c r="AM18" s="2826">
        <f t="shared" si="5"/>
        <v>-2.207007102497377E-2</v>
      </c>
      <c r="AO18" s="2860">
        <f>AO12*F20*F21/10000*1000</f>
        <v>3615.0990951406175</v>
      </c>
      <c r="AP18" s="2806">
        <f>AO18*0.9644</f>
        <v>3486.4015673536114</v>
      </c>
      <c r="AQ18" s="2657" t="s">
        <v>36</v>
      </c>
      <c r="AR18" s="2113"/>
      <c r="AS18" s="2339">
        <f>+$E$14</f>
        <v>8332.3276454196548</v>
      </c>
      <c r="AT18" s="2621">
        <f>AT17</f>
        <v>89.494454613095243</v>
      </c>
      <c r="AU18" s="2622">
        <f>AU17</f>
        <v>0.48440220136115725</v>
      </c>
      <c r="AV18" s="2621">
        <f>AV17</f>
        <v>89.928393748868103</v>
      </c>
      <c r="AW18" s="2623">
        <f>AW17</f>
        <v>-773.55486710000321</v>
      </c>
      <c r="AX18" s="2337">
        <f t="shared" si="8"/>
        <v>21055.487426694959</v>
      </c>
      <c r="AY18" s="2337">
        <f>AX18-AX17</f>
        <v>-922.57144479989802</v>
      </c>
      <c r="AZ18" s="1841"/>
    </row>
    <row r="19" spans="2:52" ht="13">
      <c r="B19" s="1868"/>
      <c r="C19" s="1869"/>
      <c r="D19" s="2861"/>
      <c r="E19" s="2861"/>
      <c r="F19" s="2862"/>
      <c r="G19" s="2862"/>
      <c r="H19" s="2862"/>
      <c r="I19" s="2862"/>
      <c r="J19" s="2862"/>
      <c r="K19" s="2862"/>
      <c r="L19" s="2862"/>
      <c r="M19" s="2862"/>
      <c r="N19" s="2862"/>
      <c r="O19" s="2862"/>
      <c r="P19" s="2862"/>
      <c r="Q19" s="2863"/>
      <c r="R19" s="2863"/>
      <c r="T19" s="2833"/>
      <c r="U19" s="2833"/>
      <c r="V19" s="2834"/>
      <c r="W19" s="2834"/>
      <c r="X19" s="2834"/>
      <c r="Y19" s="2834"/>
      <c r="Z19" s="2834"/>
      <c r="AA19" s="2862"/>
      <c r="AB19" s="2862"/>
      <c r="AC19" s="2862"/>
      <c r="AD19" s="2862"/>
      <c r="AE19" s="2862"/>
      <c r="AF19" s="2863"/>
      <c r="AG19" s="2863"/>
      <c r="AI19" s="2825"/>
      <c r="AJ19" s="2832"/>
      <c r="AL19" s="2825"/>
      <c r="AM19" s="2832"/>
      <c r="AO19" s="2864" t="s">
        <v>1450</v>
      </c>
      <c r="AQ19" s="2657" t="s">
        <v>1345</v>
      </c>
      <c r="AR19" s="2113"/>
      <c r="AS19" s="2337">
        <f>AS18</f>
        <v>8332.3276454196548</v>
      </c>
      <c r="AT19" s="2624">
        <f>+$E$18</f>
        <v>93.369270557442434</v>
      </c>
      <c r="AU19" s="2622">
        <f>AU17</f>
        <v>0.48440220136115725</v>
      </c>
      <c r="AV19" s="2621">
        <f>AV17</f>
        <v>89.928393748868103</v>
      </c>
      <c r="AW19" s="2623">
        <f>AW17</f>
        <v>-773.55486710000321</v>
      </c>
      <c r="AX19" s="2337">
        <f t="shared" si="8"/>
        <v>22000.613261535786</v>
      </c>
      <c r="AY19" s="2337">
        <f>AX19-AX18</f>
        <v>945.12583484082643</v>
      </c>
      <c r="AZ19" s="1841"/>
    </row>
    <row r="20" spans="2:52" ht="13">
      <c r="B20" s="1868" t="s">
        <v>89</v>
      </c>
      <c r="C20" s="1869" t="s">
        <v>48</v>
      </c>
      <c r="D20" s="2865">
        <v>0.51308140000000002</v>
      </c>
      <c r="E20" s="2865">
        <v>0.52368130000000002</v>
      </c>
      <c r="F20" s="2866">
        <v>0.5518866</v>
      </c>
      <c r="G20" s="2866">
        <v>0.55936529999999995</v>
      </c>
      <c r="H20" s="2866">
        <v>0.51173860000000004</v>
      </c>
      <c r="I20" s="2866">
        <v>0.55276670000000006</v>
      </c>
      <c r="J20" s="2866">
        <v>0.56290390000000001</v>
      </c>
      <c r="K20" s="2866">
        <v>0.57960080000000003</v>
      </c>
      <c r="L20" s="2866">
        <v>0.53643019999999997</v>
      </c>
      <c r="M20" s="2866">
        <v>0.53164717030855357</v>
      </c>
      <c r="N20" s="2866"/>
      <c r="O20" s="2866"/>
      <c r="P20" s="2866"/>
      <c r="Q20" s="2867">
        <f>SUMPRODUCT(D$12:I$12,D20:I20)/Q$12</f>
        <v>0.53508992515043097</v>
      </c>
      <c r="R20" s="2867">
        <f>SUMPRODUCT($D$12:$M$12,D20:M20)/$R$12</f>
        <v>0.54183395482046803</v>
      </c>
      <c r="T20" s="2815">
        <v>0.47560795163810832</v>
      </c>
      <c r="U20" s="2815">
        <v>0.48440220136115725</v>
      </c>
      <c r="V20" s="2816">
        <v>0.57638134383927753</v>
      </c>
      <c r="W20" s="2816">
        <v>0.49662714480632253</v>
      </c>
      <c r="X20" s="2816">
        <v>0.53934664046747949</v>
      </c>
      <c r="Y20" s="2816">
        <v>0.5451095245717037</v>
      </c>
      <c r="Z20" s="2816">
        <v>0.50293145446778831</v>
      </c>
      <c r="AA20" s="2866">
        <v>0.53077649771322022</v>
      </c>
      <c r="AB20" s="2866">
        <v>0.54398213391451677</v>
      </c>
      <c r="AC20" s="2866">
        <v>0.52332062984759398</v>
      </c>
      <c r="AD20" s="2866">
        <v>0.58348174225575211</v>
      </c>
      <c r="AE20" s="2866"/>
      <c r="AF20" s="2867">
        <f>SUMPRODUCT(T$12:Y$12,T20:Y20)/AF$12</f>
        <v>0.51963879859316719</v>
      </c>
      <c r="AG20" s="2867">
        <f>SUMPRODUCT($T$12:$AD$12,T20:AD20)/$AG$12</f>
        <v>0.52779762222769089</v>
      </c>
      <c r="AI20" s="2825">
        <f>Q20-AF20</f>
        <v>1.5451126557263772E-2</v>
      </c>
      <c r="AJ20" s="2832">
        <f t="shared" si="4"/>
        <v>2.9734358941432094E-2</v>
      </c>
      <c r="AL20" s="2825">
        <f>R20-AG20</f>
        <v>1.4036332592777145E-2</v>
      </c>
      <c r="AM20" s="2832">
        <f t="shared" si="5"/>
        <v>2.6594156551015869E-2</v>
      </c>
      <c r="AQ20" s="2657" t="s">
        <v>1167</v>
      </c>
      <c r="AR20" s="2113"/>
      <c r="AS20" s="2337">
        <f>AS18</f>
        <v>8332.3276454196548</v>
      </c>
      <c r="AT20" s="2340">
        <f>AT19</f>
        <v>93.369270557442434</v>
      </c>
      <c r="AU20" s="2625">
        <f>+$E$20</f>
        <v>0.52368130000000002</v>
      </c>
      <c r="AV20" s="2621">
        <f>AV17</f>
        <v>89.928393748868103</v>
      </c>
      <c r="AW20" s="2623">
        <f>AW17</f>
        <v>-773.55486710000321</v>
      </c>
      <c r="AX20" s="2337">
        <f t="shared" si="8"/>
        <v>23847.31997308378</v>
      </c>
      <c r="AY20" s="2337">
        <f>AX20-AX19</f>
        <v>1846.7067115479949</v>
      </c>
      <c r="AZ20" s="1841"/>
    </row>
    <row r="21" spans="2:52" ht="13">
      <c r="B21" s="1868" t="s">
        <v>90</v>
      </c>
      <c r="C21" s="1869" t="s">
        <v>48</v>
      </c>
      <c r="D21" s="2850">
        <v>88.474774800000006</v>
      </c>
      <c r="E21" s="2850">
        <v>86.111529700000006</v>
      </c>
      <c r="F21" s="2851">
        <v>90.116266300000007</v>
      </c>
      <c r="G21" s="2851">
        <v>89.308562100000003</v>
      </c>
      <c r="H21" s="2851">
        <v>89.057101799999998</v>
      </c>
      <c r="I21" s="2851">
        <v>91.030099800000002</v>
      </c>
      <c r="J21" s="2851">
        <v>90.257232700000003</v>
      </c>
      <c r="K21" s="2851">
        <v>91.257921499999995</v>
      </c>
      <c r="L21" s="2851">
        <v>91.270096300000006</v>
      </c>
      <c r="M21" s="2851">
        <v>90.857196380969967</v>
      </c>
      <c r="N21" s="2851"/>
      <c r="O21" s="2851"/>
      <c r="P21" s="2851"/>
      <c r="Q21" s="2852">
        <f>Q7/(Q12*Q20/100)*100</f>
        <v>89.12734160276095</v>
      </c>
      <c r="R21" s="2852">
        <f>R7/(R12*R20/100)*100</f>
        <v>89.877084753139087</v>
      </c>
      <c r="S21" s="154"/>
      <c r="T21" s="2966">
        <v>89.520023362040547</v>
      </c>
      <c r="U21" s="2966">
        <v>89.928393748868103</v>
      </c>
      <c r="V21" s="2967">
        <v>89.737258494021916</v>
      </c>
      <c r="W21" s="2967">
        <v>90.750864490139435</v>
      </c>
      <c r="X21" s="2967">
        <v>89.659343148711756</v>
      </c>
      <c r="Y21" s="2967">
        <v>89.798756882131713</v>
      </c>
      <c r="Z21" s="2967">
        <v>90.726507181987699</v>
      </c>
      <c r="AA21" s="2851">
        <v>89.208497482534312</v>
      </c>
      <c r="AB21" s="2851">
        <v>89.798086694093115</v>
      </c>
      <c r="AC21" s="2851">
        <v>89.458980226259229</v>
      </c>
      <c r="AD21" s="2851">
        <f>+AD7/(AD12*AD20%)*100</f>
        <v>89.195801655895238</v>
      </c>
      <c r="AE21" s="2851"/>
      <c r="AF21" s="2852">
        <f>AF7/(AF12*AF20/100)*100</f>
        <v>89.895660436065711</v>
      </c>
      <c r="AG21" s="2852">
        <f>AG7/(AG12*AG20/100)*100</f>
        <v>89.77735121999001</v>
      </c>
      <c r="AH21" s="154"/>
      <c r="AI21" s="2850">
        <f>Q21-AF21</f>
        <v>-0.76831883330476103</v>
      </c>
      <c r="AJ21" s="2826">
        <f t="shared" si="4"/>
        <v>-8.5467844563108103E-3</v>
      </c>
      <c r="AK21" s="154"/>
      <c r="AL21" s="2968">
        <f>R21-AG21</f>
        <v>9.9733533149077402E-2</v>
      </c>
      <c r="AM21" s="2826">
        <f t="shared" si="5"/>
        <v>1.1108985929501396E-3</v>
      </c>
      <c r="AQ21" s="2657" t="s">
        <v>51</v>
      </c>
      <c r="AR21" s="2113"/>
      <c r="AS21" s="2337">
        <f>AS18</f>
        <v>8332.3276454196548</v>
      </c>
      <c r="AT21" s="2340">
        <f>AT19</f>
        <v>93.369270557442434</v>
      </c>
      <c r="AU21" s="2625">
        <f>AU20</f>
        <v>0.52368130000000002</v>
      </c>
      <c r="AV21" s="2624">
        <f>+$E$21</f>
        <v>86.111529700000006</v>
      </c>
      <c r="AW21" s="2623">
        <f>AW17</f>
        <v>-773.55486710000321</v>
      </c>
      <c r="AX21" s="2337">
        <f t="shared" si="8"/>
        <v>22802.327083612079</v>
      </c>
      <c r="AY21" s="2337">
        <f>AX21-AX20</f>
        <v>-1044.9928894717013</v>
      </c>
      <c r="AZ21" s="1841"/>
    </row>
    <row r="22" spans="2:52" ht="13">
      <c r="B22" s="1868" t="s">
        <v>92</v>
      </c>
      <c r="C22" s="1869" t="s">
        <v>53</v>
      </c>
      <c r="D22" s="2850">
        <v>90.493144299999997</v>
      </c>
      <c r="E22" s="2850">
        <v>83.847981700000005</v>
      </c>
      <c r="F22" s="2851">
        <v>99.042430800000005</v>
      </c>
      <c r="G22" s="2851">
        <v>89.566273300000006</v>
      </c>
      <c r="H22" s="2851">
        <v>93.007885000000002</v>
      </c>
      <c r="I22" s="2851">
        <v>89.551668800000002</v>
      </c>
      <c r="J22" s="2851">
        <v>92.499417600000001</v>
      </c>
      <c r="K22" s="2851">
        <v>95.244431899999995</v>
      </c>
      <c r="L22" s="2851">
        <v>91.600563300000005</v>
      </c>
      <c r="M22" s="2851">
        <v>96.822295192014124</v>
      </c>
      <c r="N22" s="2851"/>
      <c r="O22" s="2851"/>
      <c r="P22" s="2851"/>
      <c r="Q22" s="2839">
        <f>SUM(D22:I22)</f>
        <v>545.50938389999999</v>
      </c>
      <c r="R22" s="2835">
        <f>+SUM(D22:N22)</f>
        <v>921.67609189201414</v>
      </c>
      <c r="T22" s="2815">
        <v>89.11092735475755</v>
      </c>
      <c r="U22" s="2815">
        <v>84.171300878399222</v>
      </c>
      <c r="V22" s="2816">
        <v>90.892580732383408</v>
      </c>
      <c r="W22" s="2816">
        <v>92.263072270425269</v>
      </c>
      <c r="X22" s="2816">
        <v>101.86318524868834</v>
      </c>
      <c r="Y22" s="2816">
        <v>103.56013482676403</v>
      </c>
      <c r="Z22" s="2816">
        <v>76.758647584070843</v>
      </c>
      <c r="AA22" s="2851">
        <v>81.551769236556154</v>
      </c>
      <c r="AB22" s="2851">
        <v>94.318199382728992</v>
      </c>
      <c r="AC22" s="2851">
        <v>97.434661370598718</v>
      </c>
      <c r="AD22" s="2851">
        <f>+AD7/AD23%</f>
        <v>98.533999214203689</v>
      </c>
      <c r="AE22" s="2851"/>
      <c r="AF22" s="2839">
        <f>SUM(T22:Y22)</f>
        <v>561.86120131141786</v>
      </c>
      <c r="AG22" s="2835">
        <f>+SUM(T22:AE22)</f>
        <v>1010.4584780995764</v>
      </c>
      <c r="AI22" s="2859">
        <f>Q22-AF22</f>
        <v>-16.351817411417869</v>
      </c>
      <c r="AJ22" s="2832">
        <f t="shared" si="4"/>
        <v>-2.9102948153835403E-2</v>
      </c>
      <c r="AL22" s="2859">
        <f>R22-AG22</f>
        <v>-88.78238620756224</v>
      </c>
      <c r="AM22" s="2832">
        <f t="shared" si="5"/>
        <v>-8.7863468051195978E-2</v>
      </c>
      <c r="AQ22" s="2658" t="s">
        <v>1378</v>
      </c>
      <c r="AR22" s="2629"/>
      <c r="AS22" s="2346">
        <f>AS18</f>
        <v>8332.3276454196548</v>
      </c>
      <c r="AT22" s="2344">
        <f>AT19</f>
        <v>93.369270557442434</v>
      </c>
      <c r="AU22" s="2627">
        <f>AU20</f>
        <v>0.52368130000000002</v>
      </c>
      <c r="AV22" s="2628">
        <f>AV21</f>
        <v>86.111529700000006</v>
      </c>
      <c r="AW22" s="2346">
        <f>+($E$8-$E$7)*1000</f>
        <v>-1213.4094410999978</v>
      </c>
      <c r="AX22" s="2346">
        <f t="shared" si="8"/>
        <v>22362.472509612086</v>
      </c>
      <c r="AY22" s="2346">
        <f>AX22-AX21</f>
        <v>-439.85457399999359</v>
      </c>
      <c r="AZ22" s="1841"/>
    </row>
    <row r="23" spans="2:52" ht="13">
      <c r="B23" s="1868" t="s">
        <v>93</v>
      </c>
      <c r="C23" s="1869" t="s">
        <v>48</v>
      </c>
      <c r="D23" s="2856">
        <v>26.470502</v>
      </c>
      <c r="E23" s="2856">
        <v>26.857094</v>
      </c>
      <c r="F23" s="2857">
        <v>26.835993999999999</v>
      </c>
      <c r="G23" s="2857">
        <v>27.779301</v>
      </c>
      <c r="H23" s="2851">
        <v>26.877862</v>
      </c>
      <c r="I23" s="2857">
        <v>28.76172</v>
      </c>
      <c r="J23" s="2857">
        <v>27.082184999999999</v>
      </c>
      <c r="K23" s="2857">
        <v>28.097974000000001</v>
      </c>
      <c r="L23" s="2857">
        <v>27.272076999999999</v>
      </c>
      <c r="M23" s="2857">
        <v>27.973430915240993</v>
      </c>
      <c r="N23" s="2857"/>
      <c r="O23" s="2857"/>
      <c r="P23" s="2857"/>
      <c r="Q23" s="2858">
        <f>Q7/Q22*100</f>
        <v>27.276191582247133</v>
      </c>
      <c r="R23" s="2858">
        <f>R7/R22*100</f>
        <v>27.423335581487784</v>
      </c>
      <c r="T23" s="2846">
        <v>26.794085299999999</v>
      </c>
      <c r="U23" s="2846">
        <v>27.030131999999998</v>
      </c>
      <c r="V23" s="2847">
        <v>29.1104959</v>
      </c>
      <c r="W23" s="2847">
        <v>28.718586500000001</v>
      </c>
      <c r="X23" s="2847">
        <v>29.524478299999998</v>
      </c>
      <c r="Y23" s="2847">
        <v>28.468307899999999</v>
      </c>
      <c r="Z23" s="2847">
        <v>30.395069800000002</v>
      </c>
      <c r="AA23" s="2857">
        <v>30.854060100000002</v>
      </c>
      <c r="AB23" s="2857">
        <v>30.443924899999999</v>
      </c>
      <c r="AC23" s="2857">
        <v>29.853081499999998</v>
      </c>
      <c r="AD23" s="2857">
        <v>30.537684599999999</v>
      </c>
      <c r="AE23" s="2857"/>
      <c r="AF23" s="2858">
        <f>AF7/AF22*100</f>
        <v>28.32379146288385</v>
      </c>
      <c r="AG23" s="2858">
        <f>AG7/AG22*100</f>
        <v>29.24659353503661</v>
      </c>
      <c r="AI23" s="2859">
        <f>Q23-AF23</f>
        <v>-1.0475998806367173</v>
      </c>
      <c r="AJ23" s="2826">
        <f t="shared" si="4"/>
        <v>-3.6986569471446518E-2</v>
      </c>
      <c r="AL23" s="2859">
        <f>R23-AG23</f>
        <v>-1.8232579535488256</v>
      </c>
      <c r="AM23" s="2826">
        <f t="shared" si="5"/>
        <v>-6.2340865487962319E-2</v>
      </c>
      <c r="AQ23" s="2657" t="s">
        <v>57</v>
      </c>
      <c r="AR23" s="2113"/>
      <c r="AS23" s="2337">
        <f>AS18</f>
        <v>8332.3276454196548</v>
      </c>
      <c r="AT23" s="2340">
        <f>AT19</f>
        <v>93.369270557442434</v>
      </c>
      <c r="AU23" s="2625">
        <f>AU20</f>
        <v>0.52368130000000002</v>
      </c>
      <c r="AV23" s="2624">
        <f>AV21</f>
        <v>86.111529700000006</v>
      </c>
      <c r="AW23" s="2337">
        <f>AW22</f>
        <v>-1213.4094410999978</v>
      </c>
      <c r="AX23" s="2337"/>
      <c r="AY23" s="2337">
        <f>+SUM(AY17:AY22)</f>
        <v>22362.472509612086</v>
      </c>
      <c r="AZ23" s="2337">
        <f>AY23-AY17</f>
        <v>384.4136381172284</v>
      </c>
    </row>
    <row r="24" spans="2:52" ht="13">
      <c r="B24" s="1868"/>
      <c r="C24" s="1869"/>
      <c r="D24" s="2861"/>
      <c r="E24" s="2861"/>
      <c r="F24" s="2862"/>
      <c r="G24" s="2862"/>
      <c r="H24" s="2862"/>
      <c r="I24" s="2862"/>
      <c r="J24" s="2862"/>
      <c r="K24" s="2862"/>
      <c r="L24" s="2862"/>
      <c r="M24" s="2862"/>
      <c r="N24" s="2862"/>
      <c r="O24" s="2862"/>
      <c r="P24" s="2862"/>
      <c r="Q24" s="2863"/>
      <c r="R24" s="2863"/>
      <c r="T24" s="2833"/>
      <c r="U24" s="2833"/>
      <c r="V24" s="2834"/>
      <c r="W24" s="2834"/>
      <c r="X24" s="2834"/>
      <c r="Y24" s="2834"/>
      <c r="Z24" s="2834"/>
      <c r="AA24" s="2862"/>
      <c r="AB24" s="2862"/>
      <c r="AC24" s="2862"/>
      <c r="AD24" s="2862"/>
      <c r="AE24" s="2862"/>
      <c r="AF24" s="2863"/>
      <c r="AG24" s="2863"/>
      <c r="AI24" s="2825"/>
      <c r="AJ24" s="2832"/>
      <c r="AL24" s="2825"/>
      <c r="AM24" s="2832"/>
    </row>
    <row r="25" spans="2:52" ht="13">
      <c r="B25" s="1868" t="s">
        <v>94</v>
      </c>
      <c r="C25" s="1869" t="s">
        <v>95</v>
      </c>
      <c r="D25" s="2827">
        <v>174.7650093</v>
      </c>
      <c r="E25" s="2827">
        <v>199.16807439999999</v>
      </c>
      <c r="F25" s="2828">
        <v>196.46034259999999</v>
      </c>
      <c r="G25" s="2828">
        <v>241.18259330000001</v>
      </c>
      <c r="H25" s="2828">
        <v>263.90326069999998</v>
      </c>
      <c r="I25" s="2828">
        <v>280.52511929999997</v>
      </c>
      <c r="J25" s="2828">
        <v>209.4622013</v>
      </c>
      <c r="K25" s="2828">
        <v>256.8878077</v>
      </c>
      <c r="L25" s="2828">
        <v>273.14672250000001</v>
      </c>
      <c r="M25" s="2828">
        <v>282.80735892892483</v>
      </c>
      <c r="N25" s="2828"/>
      <c r="O25" s="2828"/>
      <c r="P25" s="2828"/>
      <c r="Q25" s="2829">
        <f>SUMPRODUCT(D$12:I$12,D25:I25)/Q$12</f>
        <v>226.00731253104087</v>
      </c>
      <c r="R25" s="2839">
        <f>SUMPRODUCT($D$12:$N$12,D25:N25)/$R$12</f>
        <v>238.21661478205326</v>
      </c>
      <c r="T25" s="2833">
        <v>179.78397630000001</v>
      </c>
      <c r="U25" s="2833">
        <v>209.52560919999999</v>
      </c>
      <c r="V25" s="2834">
        <v>231.98671730000001</v>
      </c>
      <c r="W25" s="2834">
        <v>236.9484491</v>
      </c>
      <c r="X25" s="2834">
        <v>229.0308292</v>
      </c>
      <c r="Y25" s="2834">
        <v>240.4448553</v>
      </c>
      <c r="Z25" s="2834">
        <v>194.4664061</v>
      </c>
      <c r="AA25" s="2828">
        <v>235.9781223</v>
      </c>
      <c r="AB25" s="2828">
        <v>278.22511229999998</v>
      </c>
      <c r="AC25" s="2828">
        <v>208.13684910000001</v>
      </c>
      <c r="AD25" s="2828">
        <v>267.45959110000001</v>
      </c>
      <c r="AE25" s="2828"/>
      <c r="AF25" s="2829">
        <f>SUMPRODUCT(T$12:Y$12,T25:Y25)/AF$12</f>
        <v>221.76200025794842</v>
      </c>
      <c r="AG25" s="2839">
        <f>SUMPRODUCT($T$12:$AD$12,T25:AD25)/$AG$12</f>
        <v>228.93611329362668</v>
      </c>
      <c r="AI25" s="2840">
        <f>Q25-AF25</f>
        <v>4.245312273092452</v>
      </c>
      <c r="AJ25" s="2826">
        <f t="shared" si="4"/>
        <v>1.9143551501855156E-2</v>
      </c>
      <c r="AL25" s="2840">
        <f>R25-AG25</f>
        <v>9.2805014884265802</v>
      </c>
      <c r="AM25" s="2826">
        <f t="shared" si="5"/>
        <v>4.053751658011108E-2</v>
      </c>
    </row>
    <row r="26" spans="2:52" ht="13">
      <c r="B26" s="1868" t="s">
        <v>96</v>
      </c>
      <c r="C26" s="1869" t="s">
        <v>48</v>
      </c>
      <c r="D26" s="2843">
        <v>74.576475700000003</v>
      </c>
      <c r="E26" s="2843">
        <v>77.250233600000001</v>
      </c>
      <c r="F26" s="2844">
        <v>75.386386799999997</v>
      </c>
      <c r="G26" s="2844">
        <v>82.430916699999997</v>
      </c>
      <c r="H26" s="2844">
        <v>85.516142700000003</v>
      </c>
      <c r="I26" s="2844">
        <v>82.960448799999995</v>
      </c>
      <c r="J26" s="2844">
        <v>81.8507927</v>
      </c>
      <c r="K26" s="2844">
        <v>83.617485200000004</v>
      </c>
      <c r="L26" s="2844">
        <v>80.250896600000004</v>
      </c>
      <c r="M26" s="2844">
        <v>84.392546286634172</v>
      </c>
      <c r="N26" s="2844"/>
      <c r="O26" s="2844"/>
      <c r="P26" s="2844"/>
      <c r="Q26" s="2845">
        <f>Q9/(Q12*Q25)*100000000</f>
        <v>80.364483713612373</v>
      </c>
      <c r="R26" s="2845">
        <f>R9/(R12*R25)*100000000</f>
        <v>81.334629707516839</v>
      </c>
      <c r="T26" s="2846">
        <v>83.302040814644869</v>
      </c>
      <c r="U26" s="2846">
        <v>83.405538772070827</v>
      </c>
      <c r="V26" s="2847">
        <v>83.860718495296993</v>
      </c>
      <c r="W26" s="2847">
        <v>83.910666263861373</v>
      </c>
      <c r="X26" s="2847">
        <v>84.148912742288658</v>
      </c>
      <c r="Y26" s="2847">
        <v>84.236978581179088</v>
      </c>
      <c r="Z26" s="2847">
        <v>82.956375584547132</v>
      </c>
      <c r="AA26" s="2844">
        <v>84.271234903153072</v>
      </c>
      <c r="AB26" s="2844">
        <v>84.407831294944202</v>
      </c>
      <c r="AC26" s="2844">
        <v>83.611842596672005</v>
      </c>
      <c r="AD26" s="2844">
        <f>+AD9/(AD12*AD25*10^-8)</f>
        <v>82.971727975463381</v>
      </c>
      <c r="AE26" s="2844"/>
      <c r="AF26" s="2845">
        <f>AF9/(AF12*AF25)*100000000</f>
        <v>83.855897974705741</v>
      </c>
      <c r="AG26" s="2845">
        <f>AG9/(AG12*AG25)*100000000</f>
        <v>83.630767970594292</v>
      </c>
      <c r="AI26" s="2848">
        <f>Q26-AF26</f>
        <v>-3.4914142610933681</v>
      </c>
      <c r="AJ26" s="2826">
        <f t="shared" si="4"/>
        <v>-4.1635881857070053E-2</v>
      </c>
      <c r="AL26" s="2848">
        <f>R26-AG26</f>
        <v>-2.2961382630774523</v>
      </c>
      <c r="AM26" s="2826">
        <f t="shared" si="5"/>
        <v>-2.7455663971480037E-2</v>
      </c>
    </row>
    <row r="27" spans="2:52" ht="13">
      <c r="B27" s="1868" t="s">
        <v>153</v>
      </c>
      <c r="C27" s="2326" t="s">
        <v>1168</v>
      </c>
      <c r="D27" s="2969">
        <v>1.0760145000000001</v>
      </c>
      <c r="E27" s="2969">
        <v>1.3516964</v>
      </c>
      <c r="F27" s="2969">
        <v>1.9218213</v>
      </c>
      <c r="G27" s="2969">
        <v>1.9635255</v>
      </c>
      <c r="H27" s="2969">
        <v>2.2737816999999998</v>
      </c>
      <c r="I27" s="2969">
        <v>2.2828355</v>
      </c>
      <c r="J27" s="2969">
        <v>1.7455797</v>
      </c>
      <c r="K27" s="2969">
        <v>1.8177445999999999</v>
      </c>
      <c r="L27" s="2969">
        <v>2.1524624999999999</v>
      </c>
      <c r="M27" s="2969">
        <v>2.582387542991798</v>
      </c>
      <c r="N27" s="2969"/>
      <c r="O27" s="2969"/>
      <c r="P27" s="2969"/>
      <c r="Q27" s="2971">
        <f>SUM(D27:I27)</f>
        <v>10.8696749</v>
      </c>
      <c r="R27" s="2971">
        <f>+SUM(D27:N27)</f>
        <v>19.167849242991799</v>
      </c>
      <c r="S27" s="2970"/>
      <c r="T27" s="2969">
        <v>1.5552974939346313</v>
      </c>
      <c r="U27" s="2969">
        <v>1.6902365684509277</v>
      </c>
      <c r="V27" s="2969">
        <v>1.8429912328720093</v>
      </c>
      <c r="W27" s="2969">
        <v>2.1646466255187988</v>
      </c>
      <c r="X27" s="2969">
        <v>2.2196507453918457</v>
      </c>
      <c r="Y27" s="2969">
        <v>2.2590439319610596</v>
      </c>
      <c r="Z27" s="2969">
        <v>1.5275241136550903</v>
      </c>
      <c r="AA27" s="2969">
        <v>1.9569743871688843</v>
      </c>
      <c r="AB27" s="2969">
        <v>2.5148055553436279</v>
      </c>
      <c r="AC27" s="2969">
        <v>2.002321720123291</v>
      </c>
      <c r="AD27" s="2969"/>
      <c r="AE27" s="2969"/>
      <c r="AF27" s="2971">
        <f>SUM(T27:Y27)</f>
        <v>11.731866598129272</v>
      </c>
      <c r="AG27" s="2971">
        <f>+SUM(T27:AE27)</f>
        <v>19.733492374420166</v>
      </c>
      <c r="AH27" s="2970"/>
      <c r="AI27" s="2972">
        <f>Q27-AF27</f>
        <v>-0.86219169812927277</v>
      </c>
      <c r="AJ27" s="2972">
        <f t="shared" si="4"/>
        <v>-7.349143385816842E-2</v>
      </c>
      <c r="AK27" s="2972"/>
      <c r="AL27" s="3102">
        <f>R27-AG27</f>
        <v>-0.56564313142836653</v>
      </c>
      <c r="AM27" s="2972">
        <f t="shared" si="5"/>
        <v>-2.8664116857571035E-2</v>
      </c>
    </row>
    <row r="28" spans="2:52" ht="13" hidden="1">
      <c r="B28" s="1868" t="s">
        <v>105</v>
      </c>
      <c r="C28" s="1869" t="s">
        <v>177</v>
      </c>
      <c r="D28" s="2837">
        <v>26.762132499426379</v>
      </c>
      <c r="E28" s="2837">
        <v>62.305812042259262</v>
      </c>
      <c r="F28" s="2838">
        <v>70.909227085829698</v>
      </c>
      <c r="G28" s="2838">
        <f>'[18]TP sin BM'!F26</f>
        <v>29.442452170934523</v>
      </c>
      <c r="H28" s="2838">
        <f>'[18]TP sin BM'!F26</f>
        <v>29.442452170934523</v>
      </c>
      <c r="I28" s="2838">
        <v>33.650042630420984</v>
      </c>
      <c r="J28" s="2973"/>
      <c r="K28" s="2973"/>
      <c r="L28" s="2973"/>
      <c r="M28" s="2973"/>
      <c r="N28" s="2973"/>
      <c r="O28" s="2973"/>
      <c r="P28" s="2973"/>
      <c r="Q28" s="2839">
        <f>SUMPRODUCT(D$12:H$12,D28:H28)/Q$12</f>
        <v>36.526341203080229</v>
      </c>
      <c r="R28" s="2839">
        <f>SUMPRODUCT($D$12:$I$12,D28:I28)/$R$12</f>
        <v>25.275176178275093</v>
      </c>
      <c r="T28" s="2868">
        <v>37.982095786104345</v>
      </c>
      <c r="U28" s="2868">
        <v>26.012162217135181</v>
      </c>
      <c r="V28" s="2869">
        <v>39.398148266040359</v>
      </c>
      <c r="W28" s="2869">
        <v>19.755105675637211</v>
      </c>
      <c r="X28" s="2869">
        <v>34.418888211207168</v>
      </c>
      <c r="Y28" s="2869">
        <v>37.982095786104345</v>
      </c>
      <c r="Z28" s="2869"/>
      <c r="AA28" s="2973"/>
      <c r="AB28" s="2973"/>
      <c r="AC28" s="2973"/>
      <c r="AD28" s="2973"/>
      <c r="AE28" s="2973"/>
      <c r="AF28" s="2839">
        <f>SUMPRODUCT(T$12:X$12,T28:X28)/AF$12</f>
        <v>25.848787635165209</v>
      </c>
      <c r="AG28" s="2839">
        <f>SUMPRODUCT($T$12:$Y$12,T28:Y28)/$AG$12</f>
        <v>17.787464565726431</v>
      </c>
      <c r="AI28" s="2870">
        <f>Q28-AF28</f>
        <v>10.67755356791502</v>
      </c>
      <c r="AJ28" s="2826">
        <f t="shared" si="4"/>
        <v>0.41307753843700823</v>
      </c>
      <c r="AL28" s="2870">
        <f>R28-AG28</f>
        <v>7.4877116125486616</v>
      </c>
      <c r="AM28" s="2826">
        <f t="shared" si="5"/>
        <v>0.42095440780111359</v>
      </c>
      <c r="AY28" t="s">
        <v>1445</v>
      </c>
      <c r="AZ28" s="2879">
        <v>3105</v>
      </c>
    </row>
    <row r="29" spans="2:52" ht="13" hidden="1">
      <c r="B29" s="2001" t="s">
        <v>107</v>
      </c>
      <c r="C29" s="2002" t="s">
        <v>177</v>
      </c>
      <c r="D29" s="2871">
        <v>1684.0908736100514</v>
      </c>
      <c r="E29" s="2871">
        <v>2118.3122659689875</v>
      </c>
      <c r="F29" s="2872">
        <v>1608.4597982069947</v>
      </c>
      <c r="G29" s="2872">
        <f>'[18]TP sin BM'!F27</f>
        <v>1304.1797675104813</v>
      </c>
      <c r="H29" s="2872">
        <f>'[18]TP sin BM'!F27</f>
        <v>1304.1797675104813</v>
      </c>
      <c r="I29" s="2872">
        <v>1346.0017052168394</v>
      </c>
      <c r="J29" s="2973"/>
      <c r="K29" s="2973"/>
      <c r="L29" s="2973"/>
      <c r="M29" s="2973"/>
      <c r="N29" s="2973"/>
      <c r="O29" s="2973"/>
      <c r="P29" s="2973"/>
      <c r="Q29" s="2873">
        <f>SUMPRODUCT(D$22:H$22,D29:H29)/Q$22</f>
        <v>1333.487928172329</v>
      </c>
      <c r="R29" s="2873">
        <f>SUMPRODUCT($D$22:$I$22,D29:I29)/$R$22</f>
        <v>920.02698616656562</v>
      </c>
      <c r="T29" s="2874">
        <v>1521.9189668258662</v>
      </c>
      <c r="U29" s="2874">
        <v>1040.4864886854073</v>
      </c>
      <c r="V29" s="2875">
        <v>1575.9259306416143</v>
      </c>
      <c r="W29" s="2875">
        <v>780.83285413796602</v>
      </c>
      <c r="X29" s="2875">
        <v>1376.6954633875189</v>
      </c>
      <c r="Y29" s="2875">
        <v>1519.2838314441738</v>
      </c>
      <c r="Z29" s="2875"/>
      <c r="AA29" s="2973"/>
      <c r="AB29" s="2973"/>
      <c r="AC29" s="2973"/>
      <c r="AD29" s="2973"/>
      <c r="AE29" s="2973"/>
      <c r="AF29" s="2873">
        <f>SUMPRODUCT(T$22:X$22,T29:X29)/AF$22</f>
        <v>1029.9969252024596</v>
      </c>
      <c r="AG29" s="2873">
        <f>SUMPRODUCT($T$22:$Y$22,T29:Y29)/$AG$22</f>
        <v>728.43423467546677</v>
      </c>
      <c r="AI29" s="2876">
        <f>Q29-AF29</f>
        <v>303.49100296986944</v>
      </c>
      <c r="AJ29" s="2877">
        <f t="shared" si="4"/>
        <v>0.29465233880209329</v>
      </c>
      <c r="AL29" s="2876">
        <f>R29-AG29</f>
        <v>191.59275149109885</v>
      </c>
      <c r="AM29" s="2877">
        <f t="shared" si="5"/>
        <v>0.26301997129014343</v>
      </c>
      <c r="AQ29" s="2660" t="s">
        <v>1451</v>
      </c>
      <c r="AR29" s="2626"/>
      <c r="AS29" s="2626" t="s">
        <v>36</v>
      </c>
      <c r="AT29" s="2626" t="s">
        <v>1345</v>
      </c>
      <c r="AU29" s="2626" t="s">
        <v>24</v>
      </c>
      <c r="AV29" s="2626" t="s">
        <v>25</v>
      </c>
      <c r="AW29" s="2626" t="s">
        <v>1346</v>
      </c>
      <c r="AX29" s="2626" t="s">
        <v>28</v>
      </c>
      <c r="AY29" s="2626" t="s">
        <v>1321</v>
      </c>
      <c r="AZ29" s="1841"/>
    </row>
    <row r="30" spans="2:52" ht="13">
      <c r="B30" s="1841"/>
      <c r="C30" s="3020"/>
      <c r="D30" s="3021"/>
      <c r="E30" s="3021"/>
      <c r="F30" s="3021"/>
      <c r="G30" s="3021"/>
      <c r="H30" s="3021"/>
      <c r="I30" s="3021"/>
      <c r="J30" s="3021"/>
      <c r="K30" s="3021"/>
      <c r="L30" s="3021"/>
      <c r="M30" s="3021"/>
      <c r="N30" s="3021"/>
      <c r="O30" s="3021"/>
      <c r="P30" s="3021"/>
      <c r="Q30" s="3022"/>
      <c r="R30" s="3022"/>
      <c r="T30" s="3020"/>
      <c r="U30" s="3021"/>
      <c r="V30" s="3021"/>
      <c r="W30" s="3021"/>
      <c r="X30" s="3021"/>
      <c r="Y30" s="3021"/>
      <c r="Z30" s="3021"/>
      <c r="AA30" s="3021"/>
      <c r="AB30" s="3021"/>
      <c r="AC30" s="3021"/>
      <c r="AD30" s="3021"/>
      <c r="AE30" s="3021"/>
      <c r="AF30" s="3021"/>
      <c r="AG30" s="2973"/>
      <c r="AI30" s="2974"/>
      <c r="AJ30" s="2975"/>
      <c r="AL30" s="2974"/>
      <c r="AM30" s="2975"/>
      <c r="AQ30" s="2976"/>
      <c r="AR30" s="1917"/>
      <c r="AS30" s="1917"/>
      <c r="AT30" s="1917"/>
      <c r="AU30" s="1917"/>
      <c r="AV30" s="1917"/>
      <c r="AW30" s="1917"/>
      <c r="AX30" s="1917"/>
      <c r="AY30" s="1917"/>
      <c r="AZ30" s="1841"/>
    </row>
    <row r="31" spans="2:52" ht="13">
      <c r="B31" s="1841" t="s">
        <v>1496</v>
      </c>
      <c r="C31" s="2326"/>
      <c r="D31" s="3096">
        <f>D8/D32</f>
        <v>0.96229820981309533</v>
      </c>
      <c r="E31" s="3096">
        <f t="shared" ref="E31:J31" si="9">E8/E32</f>
        <v>0.96358083137829009</v>
      </c>
      <c r="F31" s="3096">
        <f t="shared" si="9"/>
        <v>0.96420839066021025</v>
      </c>
      <c r="G31" s="3096">
        <f t="shared" si="9"/>
        <v>0.96358749968779256</v>
      </c>
      <c r="H31" s="3096">
        <f t="shared" si="9"/>
        <v>0.96293895132153717</v>
      </c>
      <c r="I31" s="3096">
        <f t="shared" si="9"/>
        <v>0.96497459539918962</v>
      </c>
      <c r="J31" s="3096">
        <f t="shared" si="9"/>
        <v>0.96528417398259037</v>
      </c>
      <c r="K31" s="3097">
        <v>0.96440000000000003</v>
      </c>
      <c r="L31" s="3097">
        <v>0.96440000000000003</v>
      </c>
      <c r="M31" s="3097">
        <v>0.96440000000000003</v>
      </c>
      <c r="N31" s="3097">
        <v>0.96440000000000003</v>
      </c>
      <c r="O31" s="3097"/>
      <c r="P31" s="3097"/>
      <c r="Q31" s="3023">
        <f>Q8/Q32</f>
        <v>0.96362250158669349</v>
      </c>
      <c r="R31" s="3023">
        <f>R8/R32</f>
        <v>0.96402975399038238</v>
      </c>
      <c r="T31" s="2326">
        <v>0.96599999999999997</v>
      </c>
      <c r="U31" s="2969">
        <v>0.96599999999999997</v>
      </c>
      <c r="V31" s="2969">
        <v>0.96599999999999997</v>
      </c>
      <c r="W31" s="2969">
        <v>0.96599999999999997</v>
      </c>
      <c r="X31" s="2969">
        <v>0.96599999999999997</v>
      </c>
      <c r="Y31" s="2969">
        <v>0.96599999999999997</v>
      </c>
      <c r="Z31" s="2969">
        <v>0.96599999999999997</v>
      </c>
      <c r="AA31" s="2969">
        <v>0.96599999999999997</v>
      </c>
      <c r="AB31" s="2969">
        <v>0.96599999999999997</v>
      </c>
      <c r="AC31" s="2969">
        <v>0.96599999999999997</v>
      </c>
      <c r="AD31" s="2969">
        <v>0.96599999999999997</v>
      </c>
      <c r="AE31" s="2969">
        <v>0.96599999999999997</v>
      </c>
      <c r="AF31" s="2969">
        <f>AF8/AF32</f>
        <v>0.96600000000000008</v>
      </c>
      <c r="AG31" s="3095">
        <f>AG8/AG32</f>
        <v>0.96600000000000008</v>
      </c>
      <c r="AQ31" s="2657" t="s">
        <v>1419</v>
      </c>
      <c r="AR31" s="2113"/>
      <c r="AS31" s="2620">
        <f xml:space="preserve"> V14</f>
        <v>8745.2728220229365</v>
      </c>
      <c r="AT31" s="2621">
        <f>V18</f>
        <v>78.622894489247301</v>
      </c>
      <c r="AU31" s="2622">
        <f>V20</f>
        <v>0.57638134383927753</v>
      </c>
      <c r="AV31" s="2621">
        <f>V21</f>
        <v>89.737258494021916</v>
      </c>
      <c r="AW31" s="2623">
        <f>(V8-V7)*1000</f>
        <v>-899.61555509999869</v>
      </c>
      <c r="AX31" s="2337">
        <f t="shared" ref="AX31:AX36" si="10">AS31*AT31*24*$V$2/100*AU31/100*AV31/100+AW31</f>
        <v>25559.665476719307</v>
      </c>
      <c r="AY31" s="2337">
        <f>AX31</f>
        <v>25559.665476719307</v>
      </c>
      <c r="AZ31" s="1841"/>
    </row>
    <row r="32" spans="2:52" ht="13">
      <c r="B32" s="1841" t="s">
        <v>1497</v>
      </c>
      <c r="C32" s="2326"/>
      <c r="D32" s="2969">
        <v>23.574229570899998</v>
      </c>
      <c r="E32" s="2969">
        <v>22.110985527</v>
      </c>
      <c r="F32" s="2969">
        <v>26.865801142699997</v>
      </c>
      <c r="G32" s="2969">
        <v>24.688210034799997</v>
      </c>
      <c r="H32" s="2969">
        <v>25.625561592699999</v>
      </c>
      <c r="I32" s="2969">
        <v>25.723542002400002</v>
      </c>
      <c r="J32" s="2969">
        <v>25.1120205022</v>
      </c>
      <c r="K32" s="2969">
        <f>K8/K31</f>
        <v>22.943434760472833</v>
      </c>
      <c r="L32" s="2969">
        <f>L8/L31</f>
        <v>27.59600727716715</v>
      </c>
      <c r="M32" s="2969">
        <f>M8/M31</f>
        <v>27.819090353209063</v>
      </c>
      <c r="N32" s="2969">
        <f>N8/N31</f>
        <v>0</v>
      </c>
      <c r="O32" s="2969"/>
      <c r="P32" s="2969"/>
      <c r="Q32" s="2971">
        <f>SUM(D32:I32)</f>
        <v>148.58832987049999</v>
      </c>
      <c r="R32" s="2971">
        <f>SUM(D32:M32)</f>
        <v>252.05888276354904</v>
      </c>
      <c r="T32" s="2969">
        <f t="shared" ref="T32:AE32" si="11">T8/T31</f>
        <v>23.876457849171842</v>
      </c>
      <c r="U32" s="2969">
        <f t="shared" si="11"/>
        <v>22.751613738716355</v>
      </c>
      <c r="V32" s="2969">
        <f t="shared" si="11"/>
        <v>26.459281031884057</v>
      </c>
      <c r="W32" s="2969">
        <f t="shared" si="11"/>
        <v>26.496650220703934</v>
      </c>
      <c r="X32" s="2969">
        <f t="shared" si="11"/>
        <v>30.074574071118015</v>
      </c>
      <c r="Y32" s="2969">
        <f t="shared" si="11"/>
        <v>29.481818058695652</v>
      </c>
      <c r="Z32" s="2969">
        <f t="shared" si="11"/>
        <v>23.330844500931679</v>
      </c>
      <c r="AA32" s="2969">
        <f t="shared" si="11"/>
        <v>25.162031894824018</v>
      </c>
      <c r="AB32" s="2969">
        <f t="shared" si="11"/>
        <v>28.714161788612838</v>
      </c>
      <c r="AC32" s="2969">
        <f t="shared" si="11"/>
        <v>29.08724887153209</v>
      </c>
      <c r="AD32" s="2969">
        <f t="shared" si="11"/>
        <v>30.090001903830228</v>
      </c>
      <c r="AE32" s="2969">
        <f t="shared" si="11"/>
        <v>0</v>
      </c>
      <c r="AF32" s="2969">
        <f>SUM(T32:Y32)</f>
        <v>159.14039497028983</v>
      </c>
      <c r="AG32" s="2971">
        <f>+SUM(T32:AE32)</f>
        <v>295.52468393002067</v>
      </c>
      <c r="AQ32" s="2657" t="s">
        <v>36</v>
      </c>
      <c r="AR32" s="2113"/>
      <c r="AS32" s="2339">
        <f>+$F$14</f>
        <v>7997.1747086006553</v>
      </c>
      <c r="AT32" s="2621">
        <f>AT31</f>
        <v>78.622894489247301</v>
      </c>
      <c r="AU32" s="2622">
        <f>AU31</f>
        <v>0.57638134383927753</v>
      </c>
      <c r="AV32" s="2621">
        <f>AV31</f>
        <v>89.737258494021916</v>
      </c>
      <c r="AW32" s="2623">
        <f>AW31</f>
        <v>-899.61555509999869</v>
      </c>
      <c r="AX32" s="2337">
        <f t="shared" si="10"/>
        <v>23296.255446495088</v>
      </c>
      <c r="AY32" s="2337">
        <f>AX32-AX31</f>
        <v>-2263.4100302242186</v>
      </c>
      <c r="AZ32" s="1841"/>
    </row>
    <row r="33" spans="2:52" ht="13">
      <c r="B33" s="1841"/>
      <c r="D33" s="2878"/>
      <c r="E33" s="2878"/>
      <c r="F33" s="2878"/>
      <c r="G33" s="2878"/>
      <c r="H33" s="2878"/>
      <c r="I33" s="2878"/>
      <c r="J33" s="2878"/>
      <c r="K33" s="2878"/>
      <c r="L33" s="2878"/>
      <c r="M33" s="2878"/>
      <c r="N33" s="2878"/>
      <c r="O33" s="2878"/>
      <c r="P33" s="2878"/>
      <c r="Q33" s="173"/>
      <c r="AQ33" s="2657" t="s">
        <v>1345</v>
      </c>
      <c r="AR33" s="2113"/>
      <c r="AS33" s="2337">
        <f>AS32</f>
        <v>7997.1747086006553</v>
      </c>
      <c r="AT33" s="2624">
        <f>+$F$18</f>
        <v>89.875</v>
      </c>
      <c r="AU33" s="2622">
        <f>AU31</f>
        <v>0.57638134383927753</v>
      </c>
      <c r="AV33" s="2621">
        <f>AV31</f>
        <v>89.737258494021916</v>
      </c>
      <c r="AW33" s="2623">
        <f>AW31</f>
        <v>-899.61555509999869</v>
      </c>
      <c r="AX33" s="2337">
        <f t="shared" si="10"/>
        <v>26759.044436942946</v>
      </c>
      <c r="AY33" s="2337">
        <f>AX33-AX32</f>
        <v>3462.7889904478579</v>
      </c>
      <c r="AZ33" s="1841"/>
    </row>
    <row r="34" spans="2:52" ht="13">
      <c r="B34" s="1841"/>
      <c r="D34" s="157"/>
      <c r="E34" s="157"/>
      <c r="F34" s="157"/>
      <c r="G34" s="157"/>
      <c r="H34" s="157"/>
      <c r="I34" s="157"/>
      <c r="J34" s="157"/>
      <c r="K34" s="157"/>
      <c r="L34" s="157">
        <f>+L17*25.4</f>
        <v>105.41</v>
      </c>
      <c r="M34" s="157"/>
      <c r="N34" s="157"/>
      <c r="O34" s="157"/>
      <c r="P34" s="157"/>
      <c r="Q34" s="157"/>
      <c r="AQ34" s="2657" t="s">
        <v>1167</v>
      </c>
      <c r="AR34" s="2113"/>
      <c r="AS34" s="2337">
        <f>AS32</f>
        <v>7997.1747086006553</v>
      </c>
      <c r="AT34" s="2340">
        <f>AT33</f>
        <v>89.875</v>
      </c>
      <c r="AU34" s="2625">
        <f>+$F$20</f>
        <v>0.5518866</v>
      </c>
      <c r="AV34" s="2621">
        <f>AV31</f>
        <v>89.737258494021916</v>
      </c>
      <c r="AW34" s="2623">
        <f>AW31</f>
        <v>-899.61555509999869</v>
      </c>
      <c r="AX34" s="2337">
        <f t="shared" si="10"/>
        <v>25583.621605020609</v>
      </c>
      <c r="AY34" s="2337">
        <f>AX34-AX33</f>
        <v>-1175.4228319223366</v>
      </c>
      <c r="AZ34" s="1841"/>
    </row>
    <row r="35" spans="2:52" ht="13"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AQ35" s="2657" t="s">
        <v>51</v>
      </c>
      <c r="AR35" s="2113"/>
      <c r="AS35" s="2337">
        <f>AS32</f>
        <v>7997.1747086006553</v>
      </c>
      <c r="AT35" s="2340">
        <f>AT33</f>
        <v>89.875</v>
      </c>
      <c r="AU35" s="2625">
        <f>AU34</f>
        <v>0.5518866</v>
      </c>
      <c r="AV35" s="2624">
        <f>+$F$21</f>
        <v>90.116266300000007</v>
      </c>
      <c r="AW35" s="2623">
        <f>AW31</f>
        <v>-899.61555509999869</v>
      </c>
      <c r="AX35" s="2337">
        <f t="shared" si="10"/>
        <v>25695.474293410054</v>
      </c>
      <c r="AY35" s="2337">
        <f>AX35-AX34</f>
        <v>111.85268838944467</v>
      </c>
      <c r="AZ35" s="1841"/>
    </row>
    <row r="36" spans="2:52" ht="13">
      <c r="B36" s="1917"/>
      <c r="C36" s="1400" t="s">
        <v>1500</v>
      </c>
      <c r="D36" s="3026" t="s">
        <v>23</v>
      </c>
      <c r="E36" s="3026" t="s">
        <v>1099</v>
      </c>
      <c r="F36" s="3026" t="s">
        <v>1501</v>
      </c>
      <c r="G36" s="3026" t="s">
        <v>26</v>
      </c>
      <c r="H36" s="3026" t="s">
        <v>1502</v>
      </c>
      <c r="I36" s="3026" t="s">
        <v>1363</v>
      </c>
      <c r="J36" s="3026" t="s">
        <v>1321</v>
      </c>
      <c r="K36" s="3026"/>
      <c r="L36" s="3026"/>
      <c r="M36" s="3026"/>
      <c r="N36" s="3026"/>
      <c r="O36" s="3026"/>
      <c r="P36" s="3026"/>
      <c r="Q36" s="2185"/>
      <c r="R36" s="1400"/>
      <c r="S36" s="1400"/>
      <c r="T36" s="1400"/>
      <c r="U36" s="1400"/>
      <c r="V36" s="1400"/>
      <c r="W36" s="1400"/>
      <c r="X36" s="1400"/>
      <c r="Y36" s="1400"/>
      <c r="Z36" s="1400"/>
      <c r="AA36" s="1400"/>
      <c r="AB36" s="1400"/>
      <c r="AC36" s="1400"/>
      <c r="AD36" s="1400"/>
      <c r="AE36" s="1400"/>
      <c r="AQ36" s="2658" t="s">
        <v>1378</v>
      </c>
      <c r="AR36" s="2629"/>
      <c r="AS36" s="2346">
        <f>AS32</f>
        <v>7997.1747086006553</v>
      </c>
      <c r="AT36" s="2344">
        <f>AT33</f>
        <v>89.875</v>
      </c>
      <c r="AU36" s="2627">
        <f>AU34</f>
        <v>0.5518866</v>
      </c>
      <c r="AV36" s="2628">
        <f>AV35</f>
        <v>90.116266300000007</v>
      </c>
      <c r="AW36" s="2346">
        <f>+($F$8-$F$7)*1000</f>
        <v>-674.7899106999995</v>
      </c>
      <c r="AX36" s="2346">
        <f t="shared" si="10"/>
        <v>25920.29993781005</v>
      </c>
      <c r="AY36" s="2346">
        <f>AX36-AX35</f>
        <v>224.82564439999624</v>
      </c>
      <c r="AZ36" s="1841"/>
    </row>
    <row r="37" spans="2:52" ht="13">
      <c r="B37" s="2113" t="s">
        <v>1498</v>
      </c>
      <c r="C37" s="3028">
        <f>AF14</f>
        <v>8608.6106075704465</v>
      </c>
      <c r="D37" s="3029">
        <f>AF18</f>
        <v>54.240320240409439</v>
      </c>
      <c r="E37" s="3030">
        <f>AF20</f>
        <v>0.51963879859316719</v>
      </c>
      <c r="F37" s="3029">
        <f>AF21</f>
        <v>89.895660436065711</v>
      </c>
      <c r="G37" s="3028">
        <f>(AF8/$AF$31-AF7)*1000</f>
        <v>-1.0174971976084635E-8</v>
      </c>
      <c r="H37" s="3030">
        <f>AF31</f>
        <v>0.96600000000000008</v>
      </c>
      <c r="I37" s="3028">
        <f t="shared" ref="I37:I44" si="12">(C37*$AF$2*24*D37/100*E37/100*F37/100+G37)*H37</f>
        <v>153729.6215413</v>
      </c>
      <c r="J37" s="3024">
        <f>I37</f>
        <v>153729.6215413</v>
      </c>
      <c r="K37" s="3025"/>
      <c r="L37" s="3025"/>
      <c r="M37" s="3025"/>
      <c r="N37" s="3025"/>
      <c r="O37" s="3025"/>
      <c r="P37" s="3025"/>
      <c r="Q37" s="1400"/>
      <c r="R37" s="1400"/>
      <c r="S37" s="1400"/>
      <c r="T37" s="1400"/>
      <c r="U37" s="1400"/>
      <c r="V37" s="1400"/>
      <c r="W37" s="1400"/>
      <c r="X37" s="1400"/>
      <c r="Y37" s="1400"/>
      <c r="AA37" s="157">
        <f>(C37*$AF$2*24*D37/100)/1000</f>
        <v>34067.489771499997</v>
      </c>
      <c r="AB37" s="157"/>
      <c r="AC37" s="157"/>
      <c r="AD37" s="157"/>
      <c r="AE37" s="157"/>
      <c r="AG37" t="s">
        <v>420</v>
      </c>
      <c r="AO37" s="2657" t="s">
        <v>57</v>
      </c>
      <c r="AP37" s="2113"/>
      <c r="AQ37" s="2337">
        <f>AS32</f>
        <v>7997.1747086006553</v>
      </c>
      <c r="AR37" s="2340">
        <f>AT33</f>
        <v>89.875</v>
      </c>
      <c r="AS37" s="2625">
        <f>AU34</f>
        <v>0.5518866</v>
      </c>
      <c r="AT37" s="2624">
        <f>AV35</f>
        <v>90.116266300000007</v>
      </c>
      <c r="AU37" s="2337">
        <f>AW36</f>
        <v>-674.7899106999995</v>
      </c>
      <c r="AV37" s="2337"/>
      <c r="AW37" s="2337">
        <f>+SUM(AY31:AY36)</f>
        <v>25920.29993781005</v>
      </c>
      <c r="AX37" s="2337">
        <f>AW37-AY31</f>
        <v>360.63446109074357</v>
      </c>
    </row>
    <row r="38" spans="2:52" ht="13">
      <c r="B38" s="3031" t="s">
        <v>36</v>
      </c>
      <c r="C38" s="3025">
        <f>Q14</f>
        <v>8114.5349706039642</v>
      </c>
      <c r="D38" s="3029">
        <f>D37</f>
        <v>54.240320240409439</v>
      </c>
      <c r="E38" s="3030">
        <f t="shared" ref="E38:H40" si="13">E37</f>
        <v>0.51963879859316719</v>
      </c>
      <c r="F38" s="3029">
        <f t="shared" si="13"/>
        <v>89.895660436065711</v>
      </c>
      <c r="G38" s="3028">
        <f t="shared" si="13"/>
        <v>-1.0174971976084635E-8</v>
      </c>
      <c r="H38" s="3030">
        <f t="shared" si="13"/>
        <v>0.96600000000000008</v>
      </c>
      <c r="I38" s="3028">
        <f t="shared" si="12"/>
        <v>144906.58793622037</v>
      </c>
      <c r="J38" s="3024">
        <f t="shared" ref="J38:J43" si="14">I38-I37</f>
        <v>-8823.0336050796323</v>
      </c>
      <c r="K38" s="1400"/>
      <c r="L38" s="1400"/>
      <c r="M38" s="1400"/>
      <c r="N38" s="1400"/>
      <c r="O38" s="1400"/>
      <c r="P38" s="1400"/>
      <c r="Q38" s="1400"/>
      <c r="R38" s="1400"/>
      <c r="S38" s="1400"/>
      <c r="T38" s="1400"/>
      <c r="U38" s="1400"/>
      <c r="V38" s="1400"/>
      <c r="W38" s="1400"/>
      <c r="X38" s="1400"/>
      <c r="Y38" s="1400"/>
      <c r="AA38" s="157">
        <f>(C38*$AF$2*24*D38/100)/1000</f>
        <v>32112.247807843178</v>
      </c>
      <c r="AB38" s="157"/>
      <c r="AC38" s="157"/>
      <c r="AD38" s="157"/>
      <c r="AE38" s="157"/>
      <c r="AG38" s="157">
        <f>AA38-AA37</f>
        <v>-1955.2419636568193</v>
      </c>
      <c r="AH38" t="s">
        <v>36</v>
      </c>
    </row>
    <row r="39" spans="2:52" ht="13">
      <c r="B39" s="3031" t="s">
        <v>23</v>
      </c>
      <c r="C39" s="3025">
        <f t="shared" ref="C39:C44" si="15">C38</f>
        <v>8114.5349706039642</v>
      </c>
      <c r="D39" s="3027">
        <f>Q18</f>
        <v>52.698683906013031</v>
      </c>
      <c r="E39" s="3030">
        <f>E38</f>
        <v>0.51963879859316719</v>
      </c>
      <c r="F39" s="3029">
        <f t="shared" si="13"/>
        <v>89.895660436065711</v>
      </c>
      <c r="G39" s="3028">
        <f t="shared" si="13"/>
        <v>-1.0174971976084635E-8</v>
      </c>
      <c r="H39" s="3030">
        <f t="shared" si="13"/>
        <v>0.96600000000000008</v>
      </c>
      <c r="I39" s="3028">
        <f t="shared" si="12"/>
        <v>140788.00493254798</v>
      </c>
      <c r="J39" s="3024">
        <f t="shared" si="14"/>
        <v>-4118.5830036723928</v>
      </c>
      <c r="K39" s="3024">
        <f>J39+J38</f>
        <v>-12941.616608752025</v>
      </c>
      <c r="L39" s="3024"/>
      <c r="M39" s="3024"/>
      <c r="N39" s="3024"/>
      <c r="O39" s="3024"/>
      <c r="P39" s="3024"/>
      <c r="Q39" s="1400"/>
      <c r="R39" s="1400"/>
      <c r="S39" s="1400"/>
      <c r="T39" s="1400"/>
      <c r="U39" s="1400"/>
      <c r="V39" s="1400"/>
      <c r="W39" s="1400"/>
      <c r="X39" s="1400"/>
      <c r="Y39" s="1400"/>
      <c r="AA39" s="157">
        <f>(C39*$AF$2*24*D39/100)/1000</f>
        <v>31199.542872099999</v>
      </c>
      <c r="AB39" s="157"/>
      <c r="AC39" s="157"/>
      <c r="AD39" s="157"/>
      <c r="AE39" s="157"/>
      <c r="AG39" s="157">
        <f>AA39-AA38</f>
        <v>-912.70493574317879</v>
      </c>
      <c r="AH39" t="s">
        <v>23</v>
      </c>
    </row>
    <row r="40" spans="2:52" ht="13">
      <c r="B40" s="3031" t="s">
        <v>1099</v>
      </c>
      <c r="C40" s="3025">
        <f t="shared" si="15"/>
        <v>8114.5349706039642</v>
      </c>
      <c r="D40" s="3027">
        <f>D39</f>
        <v>52.698683906013031</v>
      </c>
      <c r="E40" s="2185">
        <f>Q20</f>
        <v>0.53508992515043097</v>
      </c>
      <c r="F40" s="3029">
        <f t="shared" si="13"/>
        <v>89.895660436065711</v>
      </c>
      <c r="G40" s="3028">
        <f>G39</f>
        <v>-1.0174971976084635E-8</v>
      </c>
      <c r="H40" s="3030">
        <f>H39</f>
        <v>0.96600000000000008</v>
      </c>
      <c r="I40" s="3028">
        <f t="shared" si="12"/>
        <v>144974.24600586074</v>
      </c>
      <c r="J40" s="3024">
        <f t="shared" si="14"/>
        <v>4186.2410733127617</v>
      </c>
      <c r="Q40" s="1400"/>
      <c r="R40" s="1400"/>
      <c r="S40" s="1400"/>
      <c r="T40" s="1400"/>
      <c r="U40" s="1400"/>
      <c r="V40" s="1400"/>
      <c r="W40" s="1400"/>
      <c r="X40" s="1400"/>
      <c r="Y40" s="1400"/>
    </row>
    <row r="41" spans="2:52" ht="13">
      <c r="B41" s="3031" t="s">
        <v>25</v>
      </c>
      <c r="C41" s="3025">
        <f t="shared" si="15"/>
        <v>8114.5349706039642</v>
      </c>
      <c r="D41" s="3027">
        <f>D40</f>
        <v>52.698683906013031</v>
      </c>
      <c r="E41" s="2185">
        <f>E40</f>
        <v>0.53508992515043097</v>
      </c>
      <c r="F41" s="3027">
        <f>Q21</f>
        <v>89.12734160276095</v>
      </c>
      <c r="G41" s="3028">
        <f>G40</f>
        <v>-1.0174971976084635E-8</v>
      </c>
      <c r="H41" s="3030">
        <f>H40</f>
        <v>0.96600000000000008</v>
      </c>
      <c r="I41" s="3028">
        <f t="shared" si="12"/>
        <v>143735.18237353239</v>
      </c>
      <c r="J41" s="3024">
        <f t="shared" si="14"/>
        <v>-1239.0636323283543</v>
      </c>
      <c r="K41" s="1400"/>
      <c r="L41" s="1400"/>
      <c r="M41" s="1400"/>
      <c r="N41" s="1400"/>
      <c r="O41" s="1400"/>
      <c r="P41" s="1400"/>
      <c r="Q41" s="1400"/>
      <c r="R41" s="1400"/>
      <c r="S41" s="1400"/>
      <c r="T41" s="1400"/>
      <c r="U41" s="1400"/>
      <c r="V41" s="1400"/>
      <c r="W41" s="1400"/>
      <c r="X41" s="1400"/>
      <c r="Y41" s="1400"/>
    </row>
    <row r="42" spans="2:52" ht="13">
      <c r="B42" s="3031" t="s">
        <v>797</v>
      </c>
      <c r="C42" s="3025">
        <f t="shared" si="15"/>
        <v>8114.5349706039642</v>
      </c>
      <c r="D42" s="3027">
        <f>D41</f>
        <v>52.698683906013031</v>
      </c>
      <c r="E42" s="2185">
        <f>E40</f>
        <v>0.53508992515043097</v>
      </c>
      <c r="F42" s="3027">
        <f>F41</f>
        <v>89.12734160276095</v>
      </c>
      <c r="G42" s="3025">
        <f>(Q8/Q31-Q7)*1000</f>
        <v>-205.85478120000289</v>
      </c>
      <c r="H42" s="3030">
        <f>H41</f>
        <v>0.96600000000000008</v>
      </c>
      <c r="I42" s="3028">
        <f t="shared" si="12"/>
        <v>143536.32665490304</v>
      </c>
      <c r="J42" s="3024">
        <f t="shared" si="14"/>
        <v>-198.85571862934739</v>
      </c>
      <c r="K42" s="1400"/>
      <c r="L42" s="1400"/>
      <c r="M42" s="1400"/>
      <c r="N42" s="1400"/>
      <c r="O42" s="1400"/>
      <c r="P42" s="1400"/>
      <c r="Q42" s="1400"/>
      <c r="R42" s="1400"/>
      <c r="S42" s="1400"/>
      <c r="T42" s="1400"/>
      <c r="U42" s="1400"/>
      <c r="V42" s="1400"/>
      <c r="W42" s="1400"/>
      <c r="X42" s="1400"/>
      <c r="Y42" s="1400"/>
    </row>
    <row r="43" spans="2:52" ht="13">
      <c r="B43" s="3031" t="s">
        <v>1496</v>
      </c>
      <c r="C43" s="3025">
        <f t="shared" si="15"/>
        <v>8114.5349706039642</v>
      </c>
      <c r="D43" s="3027">
        <f>D42</f>
        <v>52.698683906013031</v>
      </c>
      <c r="E43" s="2185">
        <f>E41</f>
        <v>0.53508992515043097</v>
      </c>
      <c r="F43" s="3027">
        <f>F42</f>
        <v>89.12734160276095</v>
      </c>
      <c r="G43" s="3025">
        <f>G42</f>
        <v>-205.85478120000289</v>
      </c>
      <c r="H43" s="2185">
        <f>Q31</f>
        <v>0.96362250158669349</v>
      </c>
      <c r="I43" s="3028">
        <f t="shared" si="12"/>
        <v>143183.05813640004</v>
      </c>
      <c r="J43" s="3024">
        <f t="shared" si="14"/>
        <v>-353.26851850299863</v>
      </c>
      <c r="K43" s="1400"/>
      <c r="L43" s="1400"/>
      <c r="M43" s="1400"/>
      <c r="N43" s="1400"/>
      <c r="O43" s="1400"/>
      <c r="P43" s="1400"/>
      <c r="Q43" s="1400"/>
      <c r="R43" s="1400"/>
      <c r="S43" s="1400"/>
      <c r="T43" s="1400"/>
      <c r="U43" s="1400"/>
      <c r="V43" s="1400"/>
      <c r="W43" s="1400"/>
      <c r="X43" s="1400"/>
      <c r="Y43" s="1400"/>
    </row>
    <row r="44" spans="2:52" ht="13">
      <c r="B44" s="3031" t="s">
        <v>1499</v>
      </c>
      <c r="C44" s="3025">
        <f t="shared" si="15"/>
        <v>8114.5349706039642</v>
      </c>
      <c r="D44" s="3027">
        <f>D43</f>
        <v>52.698683906013031</v>
      </c>
      <c r="E44" s="2185">
        <f>E42</f>
        <v>0.53508992515043097</v>
      </c>
      <c r="F44" s="3027">
        <f>F43</f>
        <v>89.12734160276095</v>
      </c>
      <c r="G44" s="3025">
        <f>G42</f>
        <v>-205.85478120000289</v>
      </c>
      <c r="H44" s="2185">
        <f>H43</f>
        <v>0.96362250158669349</v>
      </c>
      <c r="I44" s="3028">
        <f t="shared" si="12"/>
        <v>143183.05813640004</v>
      </c>
      <c r="J44" s="3024">
        <f>I44</f>
        <v>143183.05813640004</v>
      </c>
    </row>
    <row r="46" spans="2:52">
      <c r="J46" s="254">
        <f>J44-J37</f>
        <v>-10546.563404899964</v>
      </c>
    </row>
    <row r="47" spans="2:52">
      <c r="J47" s="3032">
        <f>J46/J37</f>
        <v>-6.860462739164809E-2</v>
      </c>
    </row>
    <row r="55" spans="2:37" ht="13">
      <c r="C55" s="1855" t="s">
        <v>159</v>
      </c>
      <c r="D55" s="2934" t="s">
        <v>1462</v>
      </c>
      <c r="E55" s="2934" t="s">
        <v>1463</v>
      </c>
      <c r="F55" s="2934" t="s">
        <v>1464</v>
      </c>
      <c r="G55" s="2961" t="s">
        <v>1465</v>
      </c>
      <c r="H55" s="2961" t="s">
        <v>1466</v>
      </c>
      <c r="I55" s="2961" t="s">
        <v>1494</v>
      </c>
      <c r="J55" s="2805" t="s">
        <v>1495</v>
      </c>
      <c r="K55" s="2962" t="s">
        <v>1467</v>
      </c>
      <c r="L55" s="2962"/>
      <c r="M55" s="2962"/>
      <c r="N55" s="2962"/>
      <c r="O55" s="2962"/>
      <c r="P55" s="2962"/>
      <c r="Q55" s="2963" t="s">
        <v>1480</v>
      </c>
      <c r="S55" s="2961" t="s">
        <v>1468</v>
      </c>
      <c r="T55" s="2961" t="s">
        <v>1469</v>
      </c>
      <c r="U55" s="2961" t="s">
        <v>1470</v>
      </c>
      <c r="V55" s="2961" t="s">
        <v>1471</v>
      </c>
      <c r="W55" s="2961" t="s">
        <v>1472</v>
      </c>
      <c r="X55" s="2961" t="s">
        <v>1473</v>
      </c>
      <c r="Y55" s="2805" t="s">
        <v>1481</v>
      </c>
      <c r="Z55" s="2962" t="s">
        <v>1474</v>
      </c>
      <c r="AA55" s="2963" t="s">
        <v>1482</v>
      </c>
      <c r="AB55" s="2964"/>
      <c r="AC55" s="2964"/>
      <c r="AD55" s="2964"/>
      <c r="AE55" s="2964"/>
      <c r="AG55" s="2961" t="s">
        <v>1475</v>
      </c>
      <c r="AH55" s="2961" t="s">
        <v>48</v>
      </c>
      <c r="AJ55" s="2964" t="s">
        <v>1483</v>
      </c>
      <c r="AK55" s="2964" t="s">
        <v>48</v>
      </c>
    </row>
    <row r="56" spans="2:37" ht="13">
      <c r="B56" s="1868" t="s">
        <v>208</v>
      </c>
      <c r="C56" s="1869" t="s">
        <v>204</v>
      </c>
      <c r="D56" s="2815">
        <v>0.68774590000000002</v>
      </c>
      <c r="E56" s="2815">
        <v>0.76829879999999995</v>
      </c>
      <c r="F56" s="2816">
        <v>0.79198369999999996</v>
      </c>
      <c r="G56" s="2816">
        <v>0.98994519999999997</v>
      </c>
      <c r="H56" s="2816">
        <v>1.2376731999999999</v>
      </c>
      <c r="I56" s="2816">
        <v>1.191114</v>
      </c>
      <c r="J56" s="2816">
        <v>0.92782647829825793</v>
      </c>
      <c r="K56" s="2971">
        <f>SUM(D56:I56)</f>
        <v>5.6667607999999996</v>
      </c>
      <c r="L56" s="2971"/>
      <c r="M56" s="2971"/>
      <c r="N56" s="2971"/>
      <c r="O56" s="2971"/>
      <c r="P56" s="2971"/>
      <c r="Q56" s="2971">
        <f>SUM(D56:J56)</f>
        <v>6.594587278298258</v>
      </c>
      <c r="S56" s="2815">
        <v>0.8398606374593558</v>
      </c>
      <c r="T56" s="2815">
        <v>0.91272777276420258</v>
      </c>
      <c r="U56" s="2816">
        <v>0.99521525601292438</v>
      </c>
      <c r="V56" s="2816">
        <v>1.1689092305071658</v>
      </c>
      <c r="W56" s="2816">
        <v>1.1986114142716213</v>
      </c>
      <c r="X56" s="2816">
        <v>1.2198837243083713</v>
      </c>
      <c r="Y56" s="2816">
        <v>0.82486300631063258</v>
      </c>
      <c r="Z56" s="2971">
        <f>SUM(S56:X56)</f>
        <v>6.3352080353236406</v>
      </c>
      <c r="AA56" s="2971">
        <f>SUM(S56:Y56)</f>
        <v>7.1600710416342732</v>
      </c>
      <c r="AB56" s="3093"/>
      <c r="AC56" s="3093"/>
      <c r="AD56" s="3093"/>
      <c r="AE56" s="3093"/>
      <c r="AG56" s="2825">
        <f>K56-Z56</f>
        <v>-0.66844723532364103</v>
      </c>
      <c r="AH56" s="3036">
        <f>AG56/Z56</f>
        <v>-0.10551306785768286</v>
      </c>
      <c r="AJ56" s="2825">
        <f>Q56-AA56</f>
        <v>-0.56548376333601524</v>
      </c>
      <c r="AK56" s="3036">
        <f>AJ56/AA56</f>
        <v>-7.8977395621893806E-2</v>
      </c>
    </row>
    <row r="57" spans="2:37" ht="13">
      <c r="B57" s="1868" t="s">
        <v>856</v>
      </c>
      <c r="C57" s="1869" t="s">
        <v>237</v>
      </c>
      <c r="D57" s="2846">
        <v>3.9962795</v>
      </c>
      <c r="E57" s="2846">
        <v>3.6157520000000001</v>
      </c>
      <c r="F57" s="2847">
        <v>4.9296787999999996</v>
      </c>
      <c r="G57" s="2847">
        <v>5.2189639000000003</v>
      </c>
      <c r="H57" s="2847">
        <v>4.8311143000000003</v>
      </c>
      <c r="I57" s="2847">
        <v>5.4226483999999999</v>
      </c>
      <c r="J57" s="2847">
        <v>5.0281812342654097</v>
      </c>
      <c r="K57" s="3034">
        <f>SUM(D57:I57)</f>
        <v>28.0144369</v>
      </c>
      <c r="L57" s="3034"/>
      <c r="M57" s="3034"/>
      <c r="N57" s="3034"/>
      <c r="O57" s="3034"/>
      <c r="P57" s="3034"/>
      <c r="Q57" s="3034">
        <f>SUM(D57:J57)</f>
        <v>33.04261813426541</v>
      </c>
      <c r="R57" s="1495"/>
      <c r="S57" s="2846">
        <v>4.4584173020183799</v>
      </c>
      <c r="T57" s="2846">
        <v>3.8181149436776187</v>
      </c>
      <c r="U57" s="2847">
        <v>4.8931964339306369</v>
      </c>
      <c r="V57" s="2847">
        <v>4.693237930574635</v>
      </c>
      <c r="W57" s="2847">
        <v>5.7308184253070547</v>
      </c>
      <c r="X57" s="2847">
        <v>4.5636577325474379</v>
      </c>
      <c r="Y57" s="2847">
        <v>5.8496050032387208</v>
      </c>
      <c r="Z57" s="3034">
        <f>SUM(S57:X57)</f>
        <v>28.157442768055763</v>
      </c>
      <c r="AA57" s="3034">
        <f>SUM(S57:Y57)</f>
        <v>34.007047771294481</v>
      </c>
      <c r="AB57" s="3094"/>
      <c r="AC57" s="3094"/>
      <c r="AD57" s="3094"/>
      <c r="AE57" s="3094"/>
      <c r="AG57" s="2848">
        <f>K57-Z57</f>
        <v>-0.14300586805576287</v>
      </c>
      <c r="AH57" s="3036">
        <f>AG57/Z57</f>
        <v>-5.0787945920288289E-3</v>
      </c>
      <c r="AJ57" s="2848">
        <f>Q57-AA57</f>
        <v>-0.96442963702907036</v>
      </c>
      <c r="AK57" s="3036">
        <f>AJ57/AA57</f>
        <v>-2.8359698951672903E-2</v>
      </c>
    </row>
    <row r="58" spans="2:37" ht="13">
      <c r="B58" s="1868" t="s">
        <v>859</v>
      </c>
      <c r="C58" s="2326" t="s">
        <v>241</v>
      </c>
      <c r="D58" s="3033">
        <v>152.81578329999999</v>
      </c>
      <c r="E58" s="3033">
        <v>166.86103869999999</v>
      </c>
      <c r="F58" s="3033">
        <v>201.96013099999999</v>
      </c>
      <c r="G58" s="3033">
        <v>197.90573269999999</v>
      </c>
      <c r="H58" s="3033">
        <v>187.39817540000001</v>
      </c>
      <c r="I58" s="3033">
        <v>210.7156569</v>
      </c>
      <c r="J58" s="3033">
        <v>229.34196529549033</v>
      </c>
      <c r="K58" s="2873">
        <f>SUM(D58:I58)</f>
        <v>1117.656518</v>
      </c>
      <c r="L58" s="2873"/>
      <c r="M58" s="2873"/>
      <c r="N58" s="2873"/>
      <c r="O58" s="2873"/>
      <c r="P58" s="2873"/>
      <c r="Q58" s="2873">
        <f>SUM(D58:J58)</f>
        <v>1346.9984832954904</v>
      </c>
      <c r="R58" s="2970"/>
      <c r="S58" s="3033">
        <v>176.54719368175159</v>
      </c>
      <c r="T58" s="3033">
        <v>160.28534473375541</v>
      </c>
      <c r="U58" s="3033">
        <v>202.12331287542523</v>
      </c>
      <c r="V58" s="3033">
        <v>207.54692821988004</v>
      </c>
      <c r="W58" s="3033">
        <v>225.03616307927703</v>
      </c>
      <c r="X58" s="3033">
        <v>208.00539041675106</v>
      </c>
      <c r="Y58" s="3033">
        <v>210.17745326458109</v>
      </c>
      <c r="Z58" s="2873">
        <f>SUM(S58:X58)</f>
        <v>1179.5443330068401</v>
      </c>
      <c r="AA58" s="2873">
        <f>SUM(S58:Y58)</f>
        <v>1389.7217862714213</v>
      </c>
      <c r="AB58" s="2973"/>
      <c r="AC58" s="2973"/>
      <c r="AD58" s="2973"/>
      <c r="AE58" s="2973"/>
      <c r="AG58" s="3035">
        <f>K58-Z58</f>
        <v>-61.887815006840128</v>
      </c>
      <c r="AH58" s="3037">
        <f>AG58/Z58</f>
        <v>-5.2467561646520361E-2</v>
      </c>
      <c r="AI58" s="2972"/>
      <c r="AJ58" s="3035">
        <f>Q58-AA58</f>
        <v>-42.723302975930892</v>
      </c>
      <c r="AK58" s="3037">
        <f>AJ58/AA58</f>
        <v>-3.0742342386785297E-2</v>
      </c>
    </row>
  </sheetData>
  <mergeCells count="2">
    <mergeCell ref="AI5:AJ5"/>
    <mergeCell ref="AL5:AM5"/>
  </mergeCells>
  <conditionalFormatting sqref="D3:R4 T3:AG4 D5:Q5 D8:R8 AA8:AG8 D12:R12 AA12:AG12 D14:J14 M14:R14 AF14:AG14 T28:Z29 D56:J57">
    <cfRule type="cellIs" dxfId="326" priority="2" operator="lessThan">
      <formula>0</formula>
    </cfRule>
  </conditionalFormatting>
  <conditionalFormatting sqref="R22">
    <cfRule type="cellIs" dxfId="325" priority="16" operator="lessThan">
      <formula>0</formula>
    </cfRule>
  </conditionalFormatting>
  <conditionalFormatting sqref="S56:Y57">
    <cfRule type="cellIs" dxfId="324" priority="4" operator="lessThan">
      <formula>0</formula>
    </cfRule>
  </conditionalFormatting>
  <conditionalFormatting sqref="T7:Z26">
    <cfRule type="cellIs" dxfId="323" priority="24" operator="lessThan">
      <formula>0</formula>
    </cfRule>
  </conditionalFormatting>
  <conditionalFormatting sqref="T5:AE5">
    <cfRule type="cellIs" dxfId="322" priority="1" operator="lessThan">
      <formula>0</formula>
    </cfRule>
  </conditionalFormatting>
  <conditionalFormatting sqref="AG22">
    <cfRule type="cellIs" dxfId="321" priority="6" operator="lessThan">
      <formula>0</formula>
    </cfRule>
  </conditionalFormatting>
  <conditionalFormatting sqref="AI8:AJ8 AL8:AM8">
    <cfRule type="cellIs" dxfId="320" priority="20" operator="lessThan">
      <formula>0</formula>
    </cfRule>
  </conditionalFormatting>
  <conditionalFormatting sqref="AI12:AJ12 AL12:AM12">
    <cfRule type="cellIs" dxfId="319" priority="19" operator="lessThan">
      <formula>0</formula>
    </cfRule>
  </conditionalFormatting>
  <conditionalFormatting sqref="AI14:AJ14 AL14:AM14">
    <cfRule type="cellIs" dxfId="318" priority="18" operator="lessThan">
      <formula>0</formula>
    </cfRule>
  </conditionalFormatting>
  <pageMargins left="0.7" right="0.7" top="0.75" bottom="0.75" header="0.3" footer="0.3"/>
  <ignoredErrors>
    <ignoredError sqref="AF8:AF17 AF19:AF27 Q18 Z57:AA58 K56:K58 Z56:AA56" formulaRange="1"/>
    <ignoredError sqref="E40 E42 G42 E43:E44 H43 F44:G44 D39 F41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7A50-3DC8-4224-9D0D-972DA2148475}">
  <sheetPr codeName="Hoja1">
    <pageSetUpPr fitToPage="1"/>
  </sheetPr>
  <dimension ref="A1:AT183"/>
  <sheetViews>
    <sheetView showGridLines="0" zoomScale="130" zoomScaleNormal="13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K39" sqref="K39"/>
    </sheetView>
  </sheetViews>
  <sheetFormatPr baseColWidth="10" defaultColWidth="11.453125" defaultRowHeight="12" outlineLevelRow="1" outlineLevelCol="1"/>
  <cols>
    <col min="1" max="1" width="7.1796875" style="1841" customWidth="1"/>
    <col min="2" max="2" width="19.453125" style="1841" customWidth="1"/>
    <col min="3" max="3" width="9.81640625" style="1917" customWidth="1"/>
    <col min="4" max="4" width="9.1796875" style="1841" hidden="1" customWidth="1"/>
    <col min="5" max="5" width="8.81640625" style="1841" hidden="1" customWidth="1"/>
    <col min="6" max="6" width="10.81640625" style="1841" customWidth="1"/>
    <col min="7" max="7" width="7.81640625" style="1841" customWidth="1"/>
    <col min="8" max="8" width="8.453125" style="1841" customWidth="1"/>
    <col min="9" max="9" width="7.54296875" style="1841" customWidth="1"/>
    <col min="10" max="10" width="8.1796875" style="1841" customWidth="1" outlineLevel="1"/>
    <col min="11" max="11" width="7" style="1841" customWidth="1" outlineLevel="1"/>
    <col min="12" max="12" width="8" style="1841" customWidth="1" outlineLevel="1"/>
    <col min="13" max="13" width="6.81640625" style="1841" customWidth="1" outlineLevel="1"/>
    <col min="14" max="14" width="8.1796875" style="1841" customWidth="1" outlineLevel="1"/>
    <col min="15" max="15" width="6.453125" style="1841" customWidth="1" outlineLevel="1"/>
    <col min="16" max="16" width="9.81640625" style="1841" customWidth="1"/>
    <col min="17" max="17" width="7.453125" style="1841" hidden="1" customWidth="1"/>
    <col min="18" max="18" width="7.1796875" style="1841" hidden="1" customWidth="1"/>
    <col min="19" max="19" width="8.453125" style="1841" hidden="1" customWidth="1"/>
    <col min="20" max="20" width="8.453125" style="1841" hidden="1" customWidth="1" outlineLevel="1"/>
    <col min="21" max="21" width="6.54296875" style="1843" hidden="1" customWidth="1" outlineLevel="1"/>
    <col min="22" max="22" width="0.453125" style="1843" hidden="1" customWidth="1" outlineLevel="1"/>
    <col min="23" max="23" width="9.453125" style="1841" customWidth="1" collapsed="1"/>
    <col min="24" max="24" width="7.54296875" style="1841" customWidth="1"/>
    <col min="25" max="25" width="9.1796875" style="1841" customWidth="1"/>
    <col min="26" max="26" width="7.54296875" style="1841" customWidth="1"/>
    <col min="27" max="27" width="10.54296875" style="1841" customWidth="1"/>
    <col min="28" max="28" width="17.1796875" style="1841" customWidth="1"/>
    <col min="29" max="29" width="11.453125" style="1841" customWidth="1"/>
    <col min="30" max="30" width="6.54296875" style="1841" bestFit="1" customWidth="1"/>
    <col min="31" max="31" width="16.1796875" style="1841" customWidth="1"/>
    <col min="32" max="32" width="6.54296875" style="1841" customWidth="1"/>
    <col min="33" max="33" width="8.81640625" style="1841" customWidth="1"/>
    <col min="34" max="34" width="7.1796875" style="1841" bestFit="1" customWidth="1"/>
    <col min="35" max="35" width="9.1796875" style="1841" customWidth="1"/>
    <col min="36" max="36" width="8.1796875" style="1841" bestFit="1" customWidth="1"/>
    <col min="37" max="37" width="9.1796875" style="1841" bestFit="1" customWidth="1"/>
    <col min="38" max="38" width="10" style="1841" bestFit="1" customWidth="1"/>
    <col min="39" max="39" width="7.81640625" style="1841" bestFit="1" customWidth="1"/>
    <col min="40" max="40" width="6.54296875" style="1841" bestFit="1" customWidth="1"/>
    <col min="41" max="41" width="7.1796875" style="1841" bestFit="1" customWidth="1"/>
    <col min="42" max="42" width="6.54296875" style="1841" bestFit="1" customWidth="1"/>
    <col min="43" max="43" width="9.54296875" style="1841" customWidth="1"/>
    <col min="44" max="44" width="8.453125" style="1841" customWidth="1"/>
    <col min="45" max="45" width="3.453125" style="1841" bestFit="1" customWidth="1"/>
    <col min="46" max="46" width="3.1796875" style="1841" customWidth="1"/>
    <col min="47" max="16384" width="11.453125" style="1841"/>
  </cols>
  <sheetData>
    <row r="1" spans="1:46">
      <c r="C1" s="3050" t="s">
        <v>1436</v>
      </c>
      <c r="D1" s="3051">
        <f>D2/30</f>
        <v>0.55000000000000004</v>
      </c>
      <c r="E1" s="3051"/>
      <c r="F1" s="3053" t="s">
        <v>1477</v>
      </c>
      <c r="J1" s="2303"/>
      <c r="M1" s="1842"/>
      <c r="U1" s="1841"/>
      <c r="V1" s="1841"/>
      <c r="Y1" s="1963"/>
      <c r="Z1" s="1963" t="s">
        <v>1562</v>
      </c>
      <c r="AA1" s="1963" t="s">
        <v>1552</v>
      </c>
      <c r="AB1" s="1841">
        <f>0.5/28</f>
        <v>1.7857142857142856E-2</v>
      </c>
      <c r="AD1" s="1841">
        <f>F16*28*24/100+474.5</f>
        <v>1094.9188272377751</v>
      </c>
    </row>
    <row r="2" spans="1:46">
      <c r="A2" s="2666" t="s">
        <v>154</v>
      </c>
      <c r="C2" s="3052"/>
      <c r="D2" s="3885">
        <f>+COUNT(Real!C9:C39)-0.5</f>
        <v>16.5</v>
      </c>
      <c r="E2" s="3885">
        <f>+DAY(EOMONTH('ST Original'!B8,0))-D2</f>
        <v>14.5</v>
      </c>
      <c r="F2" s="3054">
        <f>'R+P'!AP38</f>
        <v>2600</v>
      </c>
      <c r="H2" s="1842"/>
      <c r="I2" s="2933"/>
      <c r="M2" s="2296"/>
      <c r="P2" s="2303"/>
      <c r="Q2" s="2303"/>
      <c r="U2" s="1841"/>
      <c r="V2" s="1841"/>
      <c r="W2" s="1843"/>
      <c r="X2" s="1843"/>
      <c r="AD2" s="1844"/>
      <c r="AE2" s="1845"/>
      <c r="AF2" s="1845"/>
      <c r="AG2" s="1845"/>
      <c r="AH2" s="1845"/>
      <c r="AI2" s="1845"/>
      <c r="AJ2" s="1845"/>
      <c r="AK2" s="1845"/>
      <c r="AL2" s="1845"/>
      <c r="AM2" s="1845"/>
      <c r="AN2" s="1845"/>
      <c r="AO2" s="1845"/>
      <c r="AP2" s="1845"/>
      <c r="AQ2" s="1845"/>
      <c r="AR2" s="1845"/>
      <c r="AS2" s="1845"/>
      <c r="AT2" s="1846"/>
    </row>
    <row r="3" spans="1:46" ht="12" customHeight="1">
      <c r="A3" s="2667"/>
      <c r="B3" s="1847"/>
      <c r="G3" s="4474" t="s">
        <v>1567</v>
      </c>
      <c r="H3" s="4475"/>
      <c r="I3" s="4476"/>
      <c r="J3" s="4462" t="s">
        <v>1568</v>
      </c>
      <c r="K3" s="4463"/>
      <c r="L3" s="4464"/>
      <c r="M3" s="4471" t="s">
        <v>1675</v>
      </c>
      <c r="N3" s="4472"/>
      <c r="O3" s="4473"/>
      <c r="P3" s="1848"/>
      <c r="Q3" s="4468" t="s">
        <v>1647</v>
      </c>
      <c r="R3" s="4469"/>
      <c r="S3" s="4470"/>
      <c r="T3" s="4465"/>
      <c r="U3" s="4466"/>
      <c r="V3" s="4467"/>
      <c r="W3" s="4462" t="s">
        <v>1569</v>
      </c>
      <c r="X3" s="4463"/>
      <c r="Y3" s="4464"/>
      <c r="AA3" s="1917" t="s">
        <v>1803</v>
      </c>
      <c r="AB3" s="1841" t="s">
        <v>1807</v>
      </c>
      <c r="AC3" s="1849"/>
      <c r="AD3" s="1850"/>
      <c r="AE3" s="1851" t="s">
        <v>1166</v>
      </c>
      <c r="AF3" s="1852"/>
      <c r="AG3" s="1852"/>
      <c r="AH3" s="1852"/>
      <c r="AI3" s="1852"/>
      <c r="AJ3" s="1852"/>
      <c r="AK3" s="1852"/>
      <c r="AL3" s="1852"/>
      <c r="AM3" s="1852"/>
      <c r="AN3" s="1852"/>
      <c r="AO3" s="1852"/>
      <c r="AP3" s="1852"/>
      <c r="AQ3" s="1852"/>
      <c r="AR3" s="1852"/>
      <c r="AT3" s="1853"/>
    </row>
    <row r="4" spans="1:46" ht="12" customHeight="1">
      <c r="A4" s="2668" t="s">
        <v>1433</v>
      </c>
      <c r="B4" s="1854"/>
      <c r="C4" s="1855" t="s">
        <v>159</v>
      </c>
      <c r="D4" s="2881" t="s">
        <v>57</v>
      </c>
      <c r="E4" s="2881" t="s">
        <v>1420</v>
      </c>
      <c r="F4" s="2663" t="s">
        <v>1815</v>
      </c>
      <c r="G4" s="1857" t="s">
        <v>1816</v>
      </c>
      <c r="H4" s="1857" t="s">
        <v>10</v>
      </c>
      <c r="I4" s="1857" t="s">
        <v>161</v>
      </c>
      <c r="J4" s="2881" t="s">
        <v>47</v>
      </c>
      <c r="K4" s="2881" t="s">
        <v>10</v>
      </c>
      <c r="L4" s="2881" t="s">
        <v>161</v>
      </c>
      <c r="M4" s="1856" t="s">
        <v>187</v>
      </c>
      <c r="N4" s="1856" t="s">
        <v>10</v>
      </c>
      <c r="O4" s="1856" t="s">
        <v>161</v>
      </c>
      <c r="P4" s="1857" t="s">
        <v>162</v>
      </c>
      <c r="Q4" s="1858" t="s">
        <v>187</v>
      </c>
      <c r="R4" s="1858" t="s">
        <v>10</v>
      </c>
      <c r="S4" s="1858" t="s">
        <v>161</v>
      </c>
      <c r="T4" s="2665"/>
      <c r="U4" s="2665"/>
      <c r="V4" s="2665"/>
      <c r="W4" s="2881" t="s">
        <v>47</v>
      </c>
      <c r="X4" s="2881" t="s">
        <v>10</v>
      </c>
      <c r="Y4" s="2881" t="s">
        <v>161</v>
      </c>
      <c r="AA4" s="1857" t="s">
        <v>1812</v>
      </c>
      <c r="AB4" s="1857" t="s">
        <v>1811</v>
      </c>
      <c r="AC4" s="1849"/>
      <c r="AD4" s="1850"/>
      <c r="AE4" s="1859"/>
      <c r="AF4" s="1859"/>
      <c r="AG4" s="1859"/>
      <c r="AH4" s="1859"/>
      <c r="AI4" s="1859"/>
      <c r="AJ4" s="1859"/>
      <c r="AK4" s="1859"/>
      <c r="AL4" s="1859"/>
      <c r="AM4" s="1859"/>
      <c r="AN4" s="1859"/>
      <c r="AO4" s="1859"/>
      <c r="AP4" s="1859"/>
      <c r="AQ4" s="1859"/>
      <c r="AR4" s="1859"/>
      <c r="AS4" s="1859"/>
      <c r="AT4" s="1853"/>
    </row>
    <row r="5" spans="1:46" s="1859" customFormat="1" ht="10.4" customHeight="1">
      <c r="A5" s="2669">
        <v>23.953989577355799</v>
      </c>
      <c r="B5" s="2724" t="s">
        <v>59</v>
      </c>
      <c r="C5" s="2725" t="s">
        <v>53</v>
      </c>
      <c r="D5" s="2726">
        <f>Real!P40/1000</f>
        <v>12.974353297126541</v>
      </c>
      <c r="E5" s="2726">
        <f>'R+P'!Q132/1000</f>
        <v>14.387666962318102</v>
      </c>
      <c r="F5" s="2727">
        <f>+'Comparacion (Sin BM)'!Q14</f>
        <v>27.362020259444645</v>
      </c>
      <c r="G5" s="2727">
        <f>+'Comparacion (Sin BM)'!R14</f>
        <v>28.318351668204937</v>
      </c>
      <c r="H5" s="2728">
        <f>F5-G5</f>
        <v>-0.95633140876029188</v>
      </c>
      <c r="I5" s="2729">
        <f>H5/G5</f>
        <v>-3.3770730018655513E-2</v>
      </c>
      <c r="J5" s="2727">
        <f>+BDGT!$G$7</f>
        <v>29.514270813981621</v>
      </c>
      <c r="K5" s="2728">
        <f>+F5-J5</f>
        <v>-2.1522505545369768</v>
      </c>
      <c r="L5" s="2729">
        <f>+K5/J5</f>
        <v>-7.2922369253229313E-2</v>
      </c>
      <c r="M5" s="2727">
        <f>+'0+12'!$G$15</f>
        <v>28.864859795966947</v>
      </c>
      <c r="N5" s="2728">
        <f>F5-M5</f>
        <v>-1.502839536522302</v>
      </c>
      <c r="O5" s="2729">
        <f>N5/M5</f>
        <v>-5.2064674734095942E-2</v>
      </c>
      <c r="P5" s="2728">
        <f>+'Comparacion (Sin BM)'!Q94</f>
        <v>69.24782651706704</v>
      </c>
      <c r="Q5" s="2727">
        <f>+'0+12'!$T$15</f>
        <v>70.975674202806275</v>
      </c>
      <c r="R5" s="2728">
        <f>P5-Q5</f>
        <v>-1.7278476857392349</v>
      </c>
      <c r="S5" s="2729">
        <f>R5/Q5</f>
        <v>-2.4344223639243968E-2</v>
      </c>
      <c r="T5" s="2728"/>
      <c r="U5" s="2728"/>
      <c r="V5" s="2729"/>
      <c r="W5" s="2727">
        <f>BDGT!$T$7</f>
        <v>71.201971836811452</v>
      </c>
      <c r="X5" s="2728">
        <f>P5-W5</f>
        <v>-1.9541453197444127</v>
      </c>
      <c r="Y5" s="2729">
        <f>X5/W5</f>
        <v>-2.7445101158478293E-2</v>
      </c>
      <c r="AA5" s="2726">
        <f>+'Comparacion (Sin BM)'!AF79/1000</f>
        <v>13.540082306500699</v>
      </c>
      <c r="AB5" s="2726">
        <f>+'ST Original'!HM39/1000</f>
        <v>14.77826936170424</v>
      </c>
      <c r="AC5" s="2935"/>
      <c r="AD5" s="1850"/>
      <c r="AE5" s="1841"/>
      <c r="AF5" s="1841"/>
      <c r="AG5" s="1841"/>
      <c r="AH5" s="1841"/>
      <c r="AI5" s="1841"/>
      <c r="AJ5" s="1841"/>
      <c r="AK5" s="1841"/>
      <c r="AL5" s="1841"/>
      <c r="AM5" s="1841"/>
      <c r="AN5" s="1841"/>
      <c r="AO5" s="1841"/>
      <c r="AP5" s="1841"/>
      <c r="AQ5" s="1841"/>
      <c r="AR5" s="1841"/>
      <c r="AS5" s="1841"/>
      <c r="AT5" s="1860"/>
    </row>
    <row r="6" spans="1:46" ht="10.4" customHeight="1">
      <c r="A6" s="2669">
        <v>22.734986998209401</v>
      </c>
      <c r="B6" s="1868" t="s">
        <v>1203</v>
      </c>
      <c r="C6" s="1869" t="s">
        <v>53</v>
      </c>
      <c r="D6" s="1871">
        <f>Real!AQ40*Factores!F7/1000</f>
        <v>12.598463823748167</v>
      </c>
      <c r="E6" s="2630">
        <f>'R+P'!AO133/1000</f>
        <v>13.841674545202851</v>
      </c>
      <c r="F6" s="1870">
        <f>+'R+P'!AO39*Factores!D24/1000</f>
        <v>26.405692061497174</v>
      </c>
      <c r="G6" s="1871">
        <f>+'Comparacion (Sin BM)'!R15</f>
        <v>27.229795292946367</v>
      </c>
      <c r="H6" s="1871">
        <f>F6-G6</f>
        <v>-0.82410323144919317</v>
      </c>
      <c r="I6" s="1873">
        <f>H6/G6</f>
        <v>-3.0264760442862002E-2</v>
      </c>
      <c r="J6" s="1871">
        <f>+BDGT!$G$8</f>
        <v>28.422384713002526</v>
      </c>
      <c r="K6" s="1871">
        <f>+F6-J6</f>
        <v>-2.0166926515053518</v>
      </c>
      <c r="L6" s="1873">
        <f t="shared" ref="L6:L26" si="0">+K6/J6</f>
        <v>-7.0954378806320412E-2</v>
      </c>
      <c r="M6" s="1871">
        <f>+'0+12'!$G$16</f>
        <v>28.232331384020735</v>
      </c>
      <c r="N6" s="1871">
        <f>F6-M6</f>
        <v>-1.8266393225235618</v>
      </c>
      <c r="O6" s="1873">
        <f>N6/M6</f>
        <v>-6.4700265014508304E-2</v>
      </c>
      <c r="P6" s="1871">
        <f>+'Comparacion (Sin BM)'!Q95</f>
        <v>66.124566055788577</v>
      </c>
      <c r="Q6" s="1871">
        <f>+'0+12'!$T$16</f>
        <v>67.898280892432524</v>
      </c>
      <c r="R6" s="1871">
        <f>P6-Q6</f>
        <v>-1.773714836643947</v>
      </c>
      <c r="S6" s="1873">
        <f>R6/Q6</f>
        <v>-2.6123118484456843E-2</v>
      </c>
      <c r="T6" s="1871"/>
      <c r="U6" s="1871"/>
      <c r="V6" s="1874"/>
      <c r="W6" s="1871">
        <f>BDGT!$T$8</f>
        <v>68.58901260981412</v>
      </c>
      <c r="X6" s="1871">
        <f>P6-W6</f>
        <v>-2.4644465540255425</v>
      </c>
      <c r="Y6" s="1873">
        <f t="shared" ref="Y6:Y32" si="1">X6/W6</f>
        <v>-3.5930631747757728E-2</v>
      </c>
      <c r="AA6" s="1871">
        <f>+'Comparacion (Sin BM)'!AF81/1000</f>
        <v>12.114235353304062</v>
      </c>
      <c r="AB6" s="1871">
        <f>+'ST Original'!IC39*0.96/1000</f>
        <v>15.084134659102508</v>
      </c>
      <c r="AC6" s="2935"/>
      <c r="AD6" s="1877"/>
      <c r="AE6" s="1859"/>
      <c r="AF6" s="1859"/>
      <c r="AG6" s="1859"/>
      <c r="AH6" s="1859"/>
      <c r="AI6" s="1859"/>
      <c r="AJ6" s="1859"/>
      <c r="AK6" s="1859"/>
      <c r="AL6" s="1859"/>
      <c r="AM6" s="1859"/>
      <c r="AN6" s="1859"/>
      <c r="AO6" s="1859"/>
      <c r="AP6" s="1859"/>
      <c r="AQ6" s="1859"/>
      <c r="AR6" s="1859"/>
      <c r="AS6" s="1859"/>
      <c r="AT6" s="1853"/>
    </row>
    <row r="7" spans="1:46" s="1859" customFormat="1" ht="10.4" customHeight="1">
      <c r="A7" s="2669">
        <v>0.68774586682823602</v>
      </c>
      <c r="B7" s="2724" t="s">
        <v>66</v>
      </c>
      <c r="C7" s="2725" t="s">
        <v>53</v>
      </c>
      <c r="D7" s="2731">
        <f>Real!Y40/1000</f>
        <v>0.49534408653931772</v>
      </c>
      <c r="E7" s="2731">
        <f>'R+P'!AA132/1000</f>
        <v>0.41228326152667194</v>
      </c>
      <c r="F7" s="2727">
        <f>+'Comparacion (Sin BM)'!Q18</f>
        <v>0.90762734806598955</v>
      </c>
      <c r="G7" s="2728">
        <f>+'Comparacion (Sin BM)'!R18</f>
        <v>0.80794675396342897</v>
      </c>
      <c r="H7" s="2732">
        <f>F7-G7</f>
        <v>9.9680594102560582E-2</v>
      </c>
      <c r="I7" s="2729">
        <f>H7/G7</f>
        <v>0.12337520215728541</v>
      </c>
      <c r="J7" s="2728">
        <f>+BDGT!$G$9</f>
        <v>1.0603706209881529</v>
      </c>
      <c r="K7" s="2732">
        <f>+F7-J7</f>
        <v>-0.15274327292216339</v>
      </c>
      <c r="L7" s="2729">
        <f t="shared" si="0"/>
        <v>-0.14404706231847772</v>
      </c>
      <c r="M7" s="2728">
        <f>+'0+12'!$G$17</f>
        <v>1.0136223971677061</v>
      </c>
      <c r="N7" s="2732">
        <f>F7-M7</f>
        <v>-0.10599504910171653</v>
      </c>
      <c r="O7" s="2729">
        <f>N7/M7</f>
        <v>-0.10457054757066443</v>
      </c>
      <c r="P7" s="2728">
        <f>+'Comparacion (Sin BM)'!Q98</f>
        <v>2.3019281722102938</v>
      </c>
      <c r="Q7" s="2728">
        <f>+'0+12'!$T$17</f>
        <v>2.4060426499877794</v>
      </c>
      <c r="R7" s="2732">
        <f>P7-Q7</f>
        <v>-0.10411447777748561</v>
      </c>
      <c r="S7" s="2729">
        <f>R7/Q7</f>
        <v>-4.3272083218480945E-2</v>
      </c>
      <c r="T7" s="2728"/>
      <c r="U7" s="2728"/>
      <c r="V7" s="2729"/>
      <c r="W7" s="2728">
        <f>BDGT!$T$9</f>
        <v>2.5089172333808136</v>
      </c>
      <c r="X7" s="2732">
        <f>P7-W7</f>
        <v>-0.20698906117051985</v>
      </c>
      <c r="Y7" s="2729">
        <f t="shared" si="1"/>
        <v>-8.2501350947953814E-2</v>
      </c>
      <c r="AA7" s="2731">
        <f>+'Comparacion (Sin BM)'!AF80/1000</f>
        <v>0.45280368540287702</v>
      </c>
      <c r="AB7" s="2731">
        <f>+'ST Original'!HV39/1000</f>
        <v>0.35514306856055189</v>
      </c>
      <c r="AC7" s="1867"/>
      <c r="AD7" s="1850"/>
      <c r="AE7" s="1841"/>
      <c r="AF7" s="1841"/>
      <c r="AG7" s="1841"/>
      <c r="AH7" s="1841"/>
      <c r="AI7" s="1841"/>
      <c r="AJ7" s="1841"/>
      <c r="AK7" s="1841"/>
      <c r="AL7" s="1841"/>
      <c r="AM7" s="1841"/>
      <c r="AN7" s="1841"/>
      <c r="AO7" s="1841"/>
      <c r="AP7" s="1841"/>
      <c r="AQ7" s="1841"/>
      <c r="AR7" s="1841"/>
      <c r="AS7" s="1841"/>
      <c r="AT7" s="1860"/>
    </row>
    <row r="8" spans="1:46" s="1859" customFormat="1" ht="10.4" customHeight="1">
      <c r="A8" s="2669">
        <v>0.5638197903103972</v>
      </c>
      <c r="B8" s="1868" t="s">
        <v>1202</v>
      </c>
      <c r="C8" s="1869" t="s">
        <v>53</v>
      </c>
      <c r="D8" s="2630">
        <f>Real!AA40/1000*0.995</f>
        <v>0.56560300640379624</v>
      </c>
      <c r="E8" s="2630">
        <f>'R+P'!AC132/1000*0.995</f>
        <v>0.42988826051017032</v>
      </c>
      <c r="F8" s="1870">
        <f>+'Comparacion (Sin BM)'!Q20</f>
        <v>0.9954912669139665</v>
      </c>
      <c r="G8" s="1871">
        <f>+'Comparacion (Sin BM)'!R20</f>
        <v>0.8767887836467676</v>
      </c>
      <c r="H8" s="1878">
        <f>F8-G8</f>
        <v>0.1187024832671989</v>
      </c>
      <c r="I8" s="1873">
        <f>H8/G8</f>
        <v>0.13538321370112399</v>
      </c>
      <c r="J8" s="1871">
        <f>+BDGT!$G$10</f>
        <v>1.0550687678832122</v>
      </c>
      <c r="K8" s="1878">
        <f>+F8-J8</f>
        <v>-5.9577500969245745E-2</v>
      </c>
      <c r="L8" s="1873">
        <f t="shared" si="0"/>
        <v>-5.6467884163395599E-2</v>
      </c>
      <c r="M8" s="1871">
        <f>+'0+12'!$G$18</f>
        <v>1.0085542851818676</v>
      </c>
      <c r="N8" s="1878">
        <f>F8-M8</f>
        <v>-1.3063018267901128E-2</v>
      </c>
      <c r="O8" s="1873">
        <f>N8/M8</f>
        <v>-1.2952221273389897E-2</v>
      </c>
      <c r="P8" s="1871">
        <f>+'Comparacion (Sin BM)'!Q100</f>
        <v>2.1888169452353146</v>
      </c>
      <c r="Q8" s="1871">
        <f>+'0+12'!$T$18</f>
        <v>2.3877798675943156</v>
      </c>
      <c r="R8" s="1878">
        <f>P8-Q8</f>
        <v>-0.19896292235900104</v>
      </c>
      <c r="S8" s="1873">
        <f>R8/Q8</f>
        <v>-8.3325487855568467E-2</v>
      </c>
      <c r="T8" s="1871"/>
      <c r="U8" s="1871"/>
      <c r="V8" s="1873"/>
      <c r="W8" s="1871">
        <f>BDGT!$T$10</f>
        <v>2.4963726472139101</v>
      </c>
      <c r="X8" s="1878">
        <f>P8-W8</f>
        <v>-0.3075557019785955</v>
      </c>
      <c r="Y8" s="1873">
        <f t="shared" si="1"/>
        <v>-0.1232010382431664</v>
      </c>
      <c r="AA8" s="2630">
        <f>+'Comparacion (Sin BM)'!AF82/1000</f>
        <v>0.44690052313659734</v>
      </c>
      <c r="AB8" s="2630">
        <f>+'ST Original'!HX39/1000</f>
        <v>0.43204850302529679</v>
      </c>
      <c r="AC8" s="1867"/>
      <c r="AD8" s="1877"/>
      <c r="AE8" s="1841"/>
      <c r="AF8" s="1841"/>
      <c r="AG8" s="1841"/>
      <c r="AH8" s="1841"/>
      <c r="AI8" s="1841"/>
      <c r="AJ8" s="1841"/>
      <c r="AK8" s="1841"/>
      <c r="AL8" s="1841"/>
      <c r="AM8" s="1841"/>
      <c r="AN8" s="1841"/>
      <c r="AO8" s="1841"/>
      <c r="AP8" s="1841"/>
      <c r="AQ8" s="1841"/>
      <c r="AR8" s="1841"/>
      <c r="AS8" s="1841"/>
      <c r="AT8" s="1860"/>
    </row>
    <row r="9" spans="1:46" ht="6.75" customHeight="1">
      <c r="A9" s="2670"/>
      <c r="B9" s="1868"/>
      <c r="C9" s="1869"/>
      <c r="D9" s="1869"/>
      <c r="E9" s="1869"/>
      <c r="F9" s="1879"/>
      <c r="G9" s="1880"/>
      <c r="H9" s="1878"/>
      <c r="I9" s="2482"/>
      <c r="J9" s="1880"/>
      <c r="K9" s="1878"/>
      <c r="L9" s="2482"/>
      <c r="M9" s="1880"/>
      <c r="N9" s="1878"/>
      <c r="O9" s="2482"/>
      <c r="P9" s="1880"/>
      <c r="Q9" s="1880"/>
      <c r="R9" s="1878"/>
      <c r="S9" s="2482"/>
      <c r="T9" s="1880"/>
      <c r="U9" s="1878"/>
      <c r="V9" s="1873"/>
      <c r="W9" s="1880"/>
      <c r="X9" s="1878"/>
      <c r="Y9" s="2482"/>
      <c r="AA9" s="1869"/>
      <c r="AB9" s="1869"/>
      <c r="AC9" s="1867"/>
      <c r="AD9" s="1850"/>
      <c r="AT9" s="1853"/>
    </row>
    <row r="10" spans="1:46" ht="10.4" customHeight="1">
      <c r="A10" s="2671">
        <v>5276.81233061289</v>
      </c>
      <c r="B10" s="1868" t="s">
        <v>78</v>
      </c>
      <c r="C10" s="1869" t="s">
        <v>53</v>
      </c>
      <c r="D10" s="2631">
        <f>Real!E40/1000</f>
        <v>2919.0798328061296</v>
      </c>
      <c r="E10" s="2631">
        <f>'R+P'!E132/1000</f>
        <v>2915.7712079533758</v>
      </c>
      <c r="F10" s="1881">
        <f>+'Comparacion (Sin BM)'!Q27</f>
        <v>5834.8510407595058</v>
      </c>
      <c r="G10" s="1881">
        <f>+'Comparacion (Sin BM)'!R27</f>
        <v>5857.198775683828</v>
      </c>
      <c r="H10" s="1881">
        <f>F10-G10</f>
        <v>-22.34773492432214</v>
      </c>
      <c r="I10" s="1873">
        <f>H10/G10</f>
        <v>-3.8154305121244655E-3</v>
      </c>
      <c r="J10" s="1881">
        <f>+BDGT!$G$12</f>
        <v>5835.7550737654183</v>
      </c>
      <c r="K10" s="1881">
        <f>+F10-J10</f>
        <v>-0.90403300591242441</v>
      </c>
      <c r="L10" s="1873">
        <f t="shared" si="0"/>
        <v>-1.549127738373559E-4</v>
      </c>
      <c r="M10" s="1881">
        <f>+'0+12'!$G$20</f>
        <v>5652.5026555182458</v>
      </c>
      <c r="N10" s="1881">
        <f>F10-M10</f>
        <v>182.34838524126008</v>
      </c>
      <c r="O10" s="1873">
        <f>N10/M10</f>
        <v>3.2259761092415018E-2</v>
      </c>
      <c r="P10" s="1881">
        <f>+'R+RP+B'!U15</f>
        <v>14929.683820629605</v>
      </c>
      <c r="Q10" s="1881">
        <f>+'0+12'!$T$20</f>
        <v>14823.126246610424</v>
      </c>
      <c r="R10" s="1881">
        <f>P10-Q10</f>
        <v>106.55757401918163</v>
      </c>
      <c r="S10" s="1873">
        <f t="shared" ref="S10:S16" si="2">R10/Q10</f>
        <v>7.1886032842463279E-3</v>
      </c>
      <c r="T10" s="1881"/>
      <c r="U10" s="1875"/>
      <c r="V10" s="1873"/>
      <c r="W10" s="1881">
        <f>BDGT!$T$12</f>
        <v>15189.938313137327</v>
      </c>
      <c r="X10" s="1881">
        <f>P10-W10</f>
        <v>-260.25449250772181</v>
      </c>
      <c r="Y10" s="1873">
        <f>X10/W10</f>
        <v>-1.7133347558273847E-2</v>
      </c>
      <c r="AA10" s="2631">
        <f>+'Comparacion (Sin BM)'!AF68</f>
        <v>2933.8431364398571</v>
      </c>
      <c r="AB10" s="2631">
        <f>+'ST Original'!HD39/1000</f>
        <v>2923.3556392439705</v>
      </c>
      <c r="AC10" s="1983"/>
      <c r="AD10" s="1883"/>
      <c r="AT10" s="1853"/>
    </row>
    <row r="11" spans="1:46" ht="10.4" customHeight="1">
      <c r="A11" s="2671">
        <v>173.01024034796362</v>
      </c>
      <c r="B11" s="1868" t="s">
        <v>79</v>
      </c>
      <c r="C11" s="1869" t="s">
        <v>75</v>
      </c>
      <c r="D11" s="2631">
        <f>D10/D2</f>
        <v>176.91392926097754</v>
      </c>
      <c r="E11" s="2656">
        <f>E10/E2</f>
        <v>201.08766951402592</v>
      </c>
      <c r="F11" s="1881">
        <f>+F10/31</f>
        <v>188.22100131482276</v>
      </c>
      <c r="G11" s="1881">
        <f>+G10/31</f>
        <v>188.94189598980091</v>
      </c>
      <c r="H11" s="1875">
        <f>F11-G11</f>
        <v>-0.72089467497815463</v>
      </c>
      <c r="I11" s="1873">
        <f>H11/G11</f>
        <v>-3.815430512124577E-3</v>
      </c>
      <c r="J11" s="1881">
        <f>+BDGT!$G$13</f>
        <v>188.25016366985221</v>
      </c>
      <c r="K11" s="1875">
        <f>+F11-J11</f>
        <v>-2.9162355029455966E-2</v>
      </c>
      <c r="L11" s="1873">
        <f t="shared" si="0"/>
        <v>-1.5491277383747765E-4</v>
      </c>
      <c r="M11" s="1881">
        <f>+'0+12'!$G$21</f>
        <v>182.33879533929826</v>
      </c>
      <c r="N11" s="1875">
        <f>F11-M11</f>
        <v>5.8822059755244993</v>
      </c>
      <c r="O11" s="1873">
        <f>N11/M11</f>
        <v>3.2259761092414914E-2</v>
      </c>
      <c r="P11" s="1881">
        <f>'Comparacion (Sin BM)'!Q105</f>
        <v>165.8853757847734</v>
      </c>
      <c r="Q11" s="1881">
        <f>+'0+12'!$T$21</f>
        <v>165.62152230849634</v>
      </c>
      <c r="R11" s="1875">
        <f>P11-Q11</f>
        <v>0.26385347627706324</v>
      </c>
      <c r="S11" s="1873">
        <f t="shared" si="2"/>
        <v>1.5931110437784428E-3</v>
      </c>
      <c r="T11" s="1881"/>
      <c r="U11" s="1881"/>
      <c r="V11" s="1873"/>
      <c r="W11" s="1881">
        <f>+BDGT!$T$13</f>
        <v>168.77709236819251</v>
      </c>
      <c r="X11" s="1875">
        <f>P11-W11</f>
        <v>-2.891716583419111</v>
      </c>
      <c r="Y11" s="1873">
        <f>X11/W11</f>
        <v>-1.7133347558273729E-2</v>
      </c>
      <c r="AA11" s="2631">
        <f>+AA10/D2</f>
        <v>177.80867493574891</v>
      </c>
      <c r="AB11" s="2631">
        <f>+AB10/E2</f>
        <v>201.61073374096347</v>
      </c>
      <c r="AC11" s="1983"/>
      <c r="AD11" s="1883"/>
      <c r="AT11" s="1853"/>
    </row>
    <row r="12" spans="1:46" ht="10.4" customHeight="1">
      <c r="A12" s="2671">
        <v>8149.1747846467151</v>
      </c>
      <c r="B12" s="1868" t="s">
        <v>283</v>
      </c>
      <c r="C12" s="1869" t="s">
        <v>81</v>
      </c>
      <c r="D12" s="1881">
        <f>IFERROR(D10*1000/(24*(Real!$E$41)*'TP sin BM'!D16/100),0)</f>
        <v>8365.4530972161592</v>
      </c>
      <c r="E12" s="1881">
        <f>E10*1000/(24*E2*'TP sin BM'!E16/100)</f>
        <v>8549.4495257908657</v>
      </c>
      <c r="F12" s="1881">
        <f>+F10*1000/(F16%*24*31)</f>
        <v>8494.5649703748313</v>
      </c>
      <c r="G12" s="1881">
        <f>+G10*1000/(G16%*24*31)</f>
        <v>8497.0539513238637</v>
      </c>
      <c r="H12" s="1881">
        <f>F12-G12</f>
        <v>-2.4889809490323387</v>
      </c>
      <c r="I12" s="1873">
        <f t="shared" ref="I12:I32" si="3">H12/G12</f>
        <v>-2.9292281339987831E-4</v>
      </c>
      <c r="J12" s="1881">
        <f>+BDGT!$G$14</f>
        <v>8256.2174112377379</v>
      </c>
      <c r="K12" s="1881">
        <f>+F12-J12</f>
        <v>238.34755913709341</v>
      </c>
      <c r="L12" s="1873">
        <f>+K12/J12</f>
        <v>2.8868856918989654E-2</v>
      </c>
      <c r="M12" s="1881">
        <f>'0+12'!$G$22</f>
        <v>8052.7227724777731</v>
      </c>
      <c r="N12" s="1881">
        <f>+F12-M12</f>
        <v>441.84219789705821</v>
      </c>
      <c r="O12" s="1873">
        <f>+N12/M12</f>
        <v>5.486867117879262E-2</v>
      </c>
      <c r="P12" s="1881">
        <f>+P10*1000/(P16%*24*90)</f>
        <v>8424.7005982481605</v>
      </c>
      <c r="Q12" s="1881">
        <f>+'0+12'!$T$22</f>
        <v>8223.3351187254375</v>
      </c>
      <c r="R12" s="1881">
        <f>P12-Q12</f>
        <v>201.36547952272304</v>
      </c>
      <c r="S12" s="1873">
        <f t="shared" si="2"/>
        <v>2.4487081775883331E-2</v>
      </c>
      <c r="T12" s="1881"/>
      <c r="U12" s="1881"/>
      <c r="V12" s="1873"/>
      <c r="W12" s="1881">
        <f>+BDGT!$T$14</f>
        <v>8151.9777351096309</v>
      </c>
      <c r="X12" s="1881">
        <f>P12-W12</f>
        <v>272.72286313852965</v>
      </c>
      <c r="Y12" s="1873">
        <f>X12/W12</f>
        <v>3.3454809618032155E-2</v>
      </c>
      <c r="AA12" s="1881">
        <f>+'Comparacion (Sin BM)'!AF70</f>
        <v>8414.2411591830714</v>
      </c>
      <c r="AB12" s="1881">
        <f>+'ST Original'!HF39</f>
        <v>8576.3313569596121</v>
      </c>
      <c r="AC12" s="1983"/>
      <c r="AD12" s="1883"/>
      <c r="AG12" s="1884"/>
      <c r="AT12" s="1853"/>
    </row>
    <row r="13" spans="1:46" ht="10.4" customHeight="1">
      <c r="A13" s="2672">
        <v>37.515526829719157</v>
      </c>
      <c r="B13" s="1868" t="s">
        <v>86</v>
      </c>
      <c r="C13" s="1869" t="s">
        <v>167</v>
      </c>
      <c r="D13" s="1875">
        <f>IFERROR(Real!AU40,0)</f>
        <v>37.942957957818315</v>
      </c>
      <c r="E13" s="2890">
        <f>'R+P'!BE132</f>
        <v>38.005298095869115</v>
      </c>
      <c r="F13" s="1878">
        <f>+'Comparacion (Sin BM)'!Q33</f>
        <v>37.974110352002597</v>
      </c>
      <c r="G13" s="1878">
        <f>+'Comparacion (Sin BM)'!R33</f>
        <v>37.368348754344872</v>
      </c>
      <c r="H13" s="1878">
        <f>F13-G13</f>
        <v>0.6057615976577253</v>
      </c>
      <c r="I13" s="1873">
        <f>H13/G13</f>
        <v>1.6210552990712293E-2</v>
      </c>
      <c r="J13" s="1875">
        <f>+BDGT!$G$18</f>
        <v>37.853336158564218</v>
      </c>
      <c r="K13" s="1878">
        <f>+F13-J13</f>
        <v>0.12077419343837903</v>
      </c>
      <c r="L13" s="1873">
        <f t="shared" si="0"/>
        <v>3.1905825402671721E-3</v>
      </c>
      <c r="M13" s="1875">
        <f>+'0+12'!$G$24</f>
        <v>38.199062859458614</v>
      </c>
      <c r="N13" s="1878">
        <f>F13-M13</f>
        <v>-0.2249525074560168</v>
      </c>
      <c r="O13" s="1873">
        <f>N13/M13</f>
        <v>-5.8889535663128306E-3</v>
      </c>
      <c r="P13" s="1885">
        <f>+'Comparacion (Sin BM)'!Q114</f>
        <v>37.842009965997548</v>
      </c>
      <c r="Q13" s="1875">
        <f>+'0+12'!$T$24</f>
        <v>37.648150755573589</v>
      </c>
      <c r="R13" s="1878">
        <f>P13-Q13</f>
        <v>0.19385921042395893</v>
      </c>
      <c r="S13" s="1873">
        <f t="shared" si="2"/>
        <v>5.1492359261565909E-3</v>
      </c>
      <c r="T13" s="1910"/>
      <c r="U13" s="1875"/>
      <c r="V13" s="1873"/>
      <c r="W13" s="1875">
        <f>+BDGT!$T$18</f>
        <v>38.202371254596507</v>
      </c>
      <c r="X13" s="1878">
        <f>P13-W13</f>
        <v>-0.36036128859895911</v>
      </c>
      <c r="Y13" s="1873">
        <f t="shared" si="1"/>
        <v>-9.4329560381831122E-3</v>
      </c>
      <c r="AA13" s="1875">
        <f>+'Comparacion (Sin BM)'!AF71</f>
        <v>36.90009719889941</v>
      </c>
      <c r="AB13" s="1875"/>
      <c r="AC13" s="1983"/>
      <c r="AD13" s="1883"/>
      <c r="AG13" s="1884"/>
      <c r="AT13" s="1853"/>
    </row>
    <row r="14" spans="1:46" ht="10.4" customHeight="1">
      <c r="A14" s="2671">
        <v>78.664563675131092</v>
      </c>
      <c r="B14" s="1868" t="s">
        <v>580</v>
      </c>
      <c r="C14" s="1869" t="s">
        <v>167</v>
      </c>
      <c r="D14" s="2659">
        <f>IFERROR(Real!AC40,0)</f>
        <v>75.419100999518875</v>
      </c>
      <c r="E14" s="2986">
        <f>'R+P'!AW132</f>
        <v>85.051371677453574</v>
      </c>
      <c r="F14" s="1887">
        <f>+'R+P'!AW39</f>
        <v>80.339422141886743</v>
      </c>
      <c r="G14" s="1887">
        <f>+'ST Original'!AU39</f>
        <v>82.923534192742608</v>
      </c>
      <c r="H14" s="1878">
        <f>G14-F14</f>
        <v>2.5841120508558646</v>
      </c>
      <c r="I14" s="1873">
        <f>H14/G14</f>
        <v>3.1162589438717189E-2</v>
      </c>
      <c r="J14" s="1887">
        <f>+BDGT!$G$57</f>
        <v>81.009536238720671</v>
      </c>
      <c r="K14" s="1878">
        <f>+F14-J14</f>
        <v>-0.67011409683392742</v>
      </c>
      <c r="L14" s="1873">
        <f>+K14/J14</f>
        <v>-8.2720396628271093E-3</v>
      </c>
      <c r="M14" s="1887">
        <f>+'0+12'!$G$65</f>
        <v>82.367317304526793</v>
      </c>
      <c r="N14" s="1878">
        <f>F14-M14</f>
        <v>-2.0278951626400499</v>
      </c>
      <c r="O14" s="1873">
        <f>N14/M14</f>
        <v>-2.4620143389429045E-2</v>
      </c>
      <c r="P14" s="1887">
        <f>+'R+RP+B'!U53</f>
        <v>82.461030958530728</v>
      </c>
      <c r="Q14" s="1887">
        <f>+'0+12'!$T$65</f>
        <v>84.107513922834841</v>
      </c>
      <c r="R14" s="1878">
        <f>P14-Q14</f>
        <v>-1.6464829643041128</v>
      </c>
      <c r="S14" s="1873">
        <f t="shared" si="2"/>
        <v>-1.9575931893727031E-2</v>
      </c>
      <c r="T14" s="2659"/>
      <c r="U14" s="1881"/>
      <c r="V14" s="1873"/>
      <c r="W14" s="1887">
        <f>BDGT!T57</f>
        <v>82.672478294258525</v>
      </c>
      <c r="X14" s="1878">
        <f>P14-W14</f>
        <v>-0.21144733572779728</v>
      </c>
      <c r="Y14" s="1873">
        <f>X14/W14</f>
        <v>-2.557650866291763E-3</v>
      </c>
      <c r="AA14" s="2659"/>
      <c r="AB14" s="2659"/>
      <c r="AC14" s="1983"/>
      <c r="AD14" s="1883"/>
      <c r="AG14" s="1884"/>
      <c r="AT14" s="1853"/>
    </row>
    <row r="15" spans="1:46" ht="13.5" customHeight="1">
      <c r="A15" s="2673">
        <v>4.1622031091308767</v>
      </c>
      <c r="B15" s="1868" t="s">
        <v>83</v>
      </c>
      <c r="C15" s="1869" t="s">
        <v>84</v>
      </c>
      <c r="D15" s="1878">
        <f>IFERROR(Real!AS40,0)</f>
        <v>4.6902586066660286</v>
      </c>
      <c r="E15" s="2655">
        <f>'R+P'!BD132</f>
        <v>4.1994293556689692</v>
      </c>
      <c r="F15" s="1878">
        <f>+'R+P'!BD39</f>
        <v>4.4644232416284408</v>
      </c>
      <c r="G15" s="1878">
        <f>+'ST Original'!AX39</f>
        <v>4.202866572472935</v>
      </c>
      <c r="H15" s="1878">
        <f>-F15+G15</f>
        <v>-0.26155666915550579</v>
      </c>
      <c r="I15" s="2482">
        <f>H15/G15</f>
        <v>-6.223292237459916E-2</v>
      </c>
      <c r="J15" s="1878">
        <f>+BDGT!$G$19</f>
        <v>4.1504745365351701</v>
      </c>
      <c r="K15" s="1878">
        <f>J15-F15</f>
        <v>-0.31394870509327077</v>
      </c>
      <c r="L15" s="2482">
        <f>K15/J15</f>
        <v>-7.5641641053255618E-2</v>
      </c>
      <c r="M15" s="1878">
        <f>+'0+12'!$G$64</f>
        <v>4.1562992310862015</v>
      </c>
      <c r="N15" s="1878">
        <f>M15-F15</f>
        <v>-0.30812401054223937</v>
      </c>
      <c r="O15" s="2482">
        <f>N15/M15</f>
        <v>-7.4134222155538748E-2</v>
      </c>
      <c r="P15" s="1878">
        <f>+'Comparacion (Sin BM)'!Q109</f>
        <v>4.6985318387907373</v>
      </c>
      <c r="Q15" s="1878">
        <f>+'0+12'!$T$64</f>
        <v>4.2460434358007078</v>
      </c>
      <c r="R15" s="1878">
        <f>Q15-P15</f>
        <v>-0.45248840299002957</v>
      </c>
      <c r="S15" s="2482">
        <f t="shared" si="2"/>
        <v>-0.10656706880924795</v>
      </c>
      <c r="T15" s="1878"/>
      <c r="U15" s="1878"/>
      <c r="V15" s="1873"/>
      <c r="W15" s="1878">
        <f>+BDGT!$T$19</f>
        <v>4.1523938558931004</v>
      </c>
      <c r="X15" s="1878">
        <f>W15-P15</f>
        <v>-0.54613798289763693</v>
      </c>
      <c r="Y15" s="2482">
        <f t="shared" si="1"/>
        <v>-0.13152364680497608</v>
      </c>
      <c r="AA15" s="1878">
        <f>+'Comparacion (Sin BM)'!AF72</f>
        <v>4.1675369074255659</v>
      </c>
      <c r="AB15" s="1878"/>
      <c r="AC15" s="1983"/>
      <c r="AD15" s="1886"/>
      <c r="AG15" s="1884"/>
      <c r="AT15" s="1853"/>
    </row>
    <row r="16" spans="1:46" ht="10.4" customHeight="1">
      <c r="A16" s="2673">
        <v>88.46</v>
      </c>
      <c r="B16" s="1868" t="s">
        <v>170</v>
      </c>
      <c r="C16" s="1869" t="s">
        <v>48</v>
      </c>
      <c r="D16" s="1878">
        <f>IFERROR(Real!J40,0)</f>
        <v>88.117327699326225</v>
      </c>
      <c r="E16" s="1878">
        <f>'R+P'!J132</f>
        <v>98.002249982786836</v>
      </c>
      <c r="F16" s="1878">
        <f>+'Comparacion (Sin BM)'!Q32</f>
        <v>92.324230243716514</v>
      </c>
      <c r="G16" s="1878">
        <f>+'ST Original'!CB39</f>
        <v>92.650688634835248</v>
      </c>
      <c r="H16" s="1878">
        <f>F16-G16</f>
        <v>-0.32645839111873443</v>
      </c>
      <c r="I16" s="1873">
        <f>H16/G16</f>
        <v>-3.5235398239230253E-3</v>
      </c>
      <c r="J16" s="1878">
        <f>+BDGT!$G$20*100</f>
        <v>95.068132481506382</v>
      </c>
      <c r="K16" s="1878">
        <f>+F16-J16</f>
        <v>-2.7439022377898681</v>
      </c>
      <c r="L16" s="1873">
        <f>+K16/J16</f>
        <v>-2.8862481739857882E-2</v>
      </c>
      <c r="M16" s="1878">
        <f>+'0+12'!$G$25*100</f>
        <v>94.409794889038338</v>
      </c>
      <c r="N16" s="1878">
        <f>F16-M16</f>
        <v>-2.0855646453218242</v>
      </c>
      <c r="O16" s="1873">
        <f>N16/M16</f>
        <v>-2.2090553716095123E-2</v>
      </c>
      <c r="P16" s="1878">
        <f>'Comparacion (Sin BM)'!Q108</f>
        <v>82.043160787650493</v>
      </c>
      <c r="Q16" s="1878">
        <f>+'0+12'!$T$25*100</f>
        <v>83.915863352909724</v>
      </c>
      <c r="R16" s="1878">
        <f>P16-Q16</f>
        <v>-1.8727025652592317</v>
      </c>
      <c r="S16" s="1873">
        <f t="shared" si="2"/>
        <v>-2.2316430892017951E-2</v>
      </c>
      <c r="T16" s="1878"/>
      <c r="U16" s="1875"/>
      <c r="V16" s="1873"/>
      <c r="W16" s="1878">
        <f>+BDGT!$T$20</f>
        <v>86.325799784486634</v>
      </c>
      <c r="X16" s="1878">
        <f>P16-W16</f>
        <v>-4.2826389968361411</v>
      </c>
      <c r="Y16" s="1873">
        <f t="shared" si="1"/>
        <v>-4.9610186149769815E-2</v>
      </c>
      <c r="AA16" s="1878">
        <f>+'Comparacion (Sin BM)'!AF69</f>
        <v>88.216548475401808</v>
      </c>
      <c r="AB16" s="1878">
        <f>+'ST Original'!HE39</f>
        <v>97.936037839173565</v>
      </c>
      <c r="AC16" s="1983"/>
      <c r="AD16" s="1883"/>
      <c r="AG16" s="1884"/>
      <c r="AT16" s="1853"/>
    </row>
    <row r="17" spans="1:46" ht="10.4" hidden="1" customHeight="1">
      <c r="A17" s="2673"/>
      <c r="B17" s="1868" t="s">
        <v>1666</v>
      </c>
      <c r="C17" s="1869" t="s">
        <v>218</v>
      </c>
      <c r="D17" s="1878">
        <f>+D18*D16/100</f>
        <v>348.56697199919188</v>
      </c>
      <c r="E17" s="1878">
        <f>+E18*E16/100</f>
        <v>340.62782029731483</v>
      </c>
      <c r="F17" s="1878">
        <f>+F18*F16/100</f>
        <v>619.95720608655643</v>
      </c>
      <c r="G17" s="1878">
        <f>+G18*G16/100</f>
        <v>688.85787000000016</v>
      </c>
      <c r="H17" s="1878">
        <f t="shared" ref="H17:H18" si="4">F17-G17</f>
        <v>-68.900663913443736</v>
      </c>
      <c r="I17" s="1873">
        <f t="shared" ref="I17:I18" si="5">H17/G17</f>
        <v>-0.10002159649194937</v>
      </c>
      <c r="J17" s="1878">
        <f>+BDGT!$G$22</f>
        <v>706.83156499999996</v>
      </c>
      <c r="K17" s="1878">
        <f>F17-J17</f>
        <v>-86.87435891344353</v>
      </c>
      <c r="L17" s="1873">
        <f t="shared" ref="L17:L18" si="6">K17/J17</f>
        <v>-0.12290673367628048</v>
      </c>
      <c r="M17" s="1878"/>
      <c r="N17" s="1878"/>
      <c r="O17" s="1873"/>
      <c r="P17" s="1881">
        <f>+P18*P16/100</f>
        <v>1210.546837421783</v>
      </c>
      <c r="Q17" s="1878"/>
      <c r="R17" s="1878"/>
      <c r="S17" s="1873"/>
      <c r="T17" s="1878"/>
      <c r="U17" s="1875"/>
      <c r="V17" s="1873"/>
      <c r="W17" s="1881">
        <f>+BDGT!T22</f>
        <v>1863.3439401724577</v>
      </c>
      <c r="X17" s="1881">
        <f t="shared" ref="X17:X18" si="7">P17-W17</f>
        <v>-652.79710275067464</v>
      </c>
      <c r="Y17" s="1873">
        <f t="shared" si="1"/>
        <v>-0.35033634353637172</v>
      </c>
      <c r="AA17" s="1878"/>
      <c r="AB17" s="1878"/>
      <c r="AC17" s="1983"/>
      <c r="AD17" s="1883"/>
      <c r="AG17" s="1884"/>
      <c r="AT17" s="1853"/>
    </row>
    <row r="18" spans="1:46" ht="10.4" hidden="1" customHeight="1">
      <c r="A18" s="2673"/>
      <c r="B18" s="1868" t="s">
        <v>1667</v>
      </c>
      <c r="C18" s="1869" t="str">
        <f>+C17</f>
        <v>Hrs</v>
      </c>
      <c r="D18" s="1881">
        <f>+(D2-$AB$1)*24</f>
        <v>395.57142857142856</v>
      </c>
      <c r="E18" s="1881">
        <f>+(E2-$AB$1)*24</f>
        <v>347.57142857142856</v>
      </c>
      <c r="F18" s="1878">
        <f>28*24-0.5</f>
        <v>671.5</v>
      </c>
      <c r="G18" s="1878">
        <f>+'PM vs OL y BD'!D18</f>
        <v>743.5</v>
      </c>
      <c r="H18" s="1878">
        <f t="shared" si="4"/>
        <v>-72</v>
      </c>
      <c r="I18" s="1873">
        <f t="shared" si="5"/>
        <v>-9.6839273705447204E-2</v>
      </c>
      <c r="J18" s="1878">
        <f>+BDGT!$G$27</f>
        <v>743.5</v>
      </c>
      <c r="K18" s="1878">
        <f>G18-J18</f>
        <v>0</v>
      </c>
      <c r="L18" s="1873">
        <f t="shared" si="6"/>
        <v>0</v>
      </c>
      <c r="M18" s="1878"/>
      <c r="N18" s="1878"/>
      <c r="O18" s="1873"/>
      <c r="P18" s="1881">
        <f>+'R+RP+B'!F23+G18</f>
        <v>1475.5</v>
      </c>
      <c r="Q18" s="1878"/>
      <c r="R18" s="1878"/>
      <c r="S18" s="1873"/>
      <c r="T18" s="1878"/>
      <c r="U18" s="1875"/>
      <c r="V18" s="1873"/>
      <c r="W18" s="1881">
        <f>+BDGT!T27</f>
        <v>2158.5</v>
      </c>
      <c r="X18" s="1881">
        <f t="shared" si="7"/>
        <v>-683</v>
      </c>
      <c r="Y18" s="1873">
        <f t="shared" si="1"/>
        <v>-0.31642344220523511</v>
      </c>
      <c r="AA18" s="1878"/>
      <c r="AB18" s="1878"/>
      <c r="AC18" s="1983"/>
      <c r="AD18" s="1883"/>
      <c r="AG18" s="1884"/>
      <c r="AT18" s="1853"/>
    </row>
    <row r="19" spans="1:46" ht="9" customHeight="1">
      <c r="A19" s="2671"/>
      <c r="B19" s="1868"/>
      <c r="C19" s="1869"/>
      <c r="D19" s="1869"/>
      <c r="E19" s="1869"/>
      <c r="F19" s="1875"/>
      <c r="G19" s="1875"/>
      <c r="H19" s="1878"/>
      <c r="I19" s="1873"/>
      <c r="J19" s="1875"/>
      <c r="K19" s="1878"/>
      <c r="L19" s="1873"/>
      <c r="M19" s="1875"/>
      <c r="N19" s="1878"/>
      <c r="O19" s="1873"/>
      <c r="P19" s="1881"/>
      <c r="Q19" s="1875"/>
      <c r="R19" s="1878"/>
      <c r="S19" s="1873"/>
      <c r="T19" s="1881"/>
      <c r="U19" s="1875"/>
      <c r="V19" s="1873"/>
      <c r="W19" s="1875"/>
      <c r="X19" s="1878"/>
      <c r="Y19" s="1873"/>
      <c r="AA19" s="1869"/>
      <c r="AB19" s="1869"/>
      <c r="AC19" s="1983"/>
      <c r="AD19" s="1883"/>
      <c r="AG19" s="1884"/>
      <c r="AT19" s="1853"/>
    </row>
    <row r="20" spans="1:46" ht="10.4" customHeight="1">
      <c r="A20" s="2674">
        <v>0.51308140927737755</v>
      </c>
      <c r="B20" s="1868" t="s">
        <v>89</v>
      </c>
      <c r="C20" s="1869" t="s">
        <v>48</v>
      </c>
      <c r="D20" s="1871">
        <f>IFERROR(Real!K40,0)</f>
        <v>0.49046726479369607</v>
      </c>
      <c r="E20" s="1871">
        <f>'R+P'!L132</f>
        <v>0.54707727241503024</v>
      </c>
      <c r="F20" s="1871">
        <f>+'Comparacion (Sin BM)'!Q34</f>
        <v>0.5187562183850154</v>
      </c>
      <c r="G20" s="1871">
        <f>+'Comparacion (Sin BM)'!R34</f>
        <v>0.5354493276828427</v>
      </c>
      <c r="H20" s="1878">
        <f>F20-G20</f>
        <v>-1.6693109297827302E-2</v>
      </c>
      <c r="I20" s="1873">
        <f t="shared" si="3"/>
        <v>-3.1175889920465012E-2</v>
      </c>
      <c r="J20" s="1871">
        <f>+BDGT!$G$29</f>
        <v>0.56048276877845449</v>
      </c>
      <c r="K20" s="1878">
        <f>+F20-J20</f>
        <v>-4.1726550393439088E-2</v>
      </c>
      <c r="L20" s="1873">
        <f t="shared" si="0"/>
        <v>-7.4447516886879714E-2</v>
      </c>
      <c r="M20" s="1871">
        <f>+'0+12'!$G$33</f>
        <v>0.56467653298977216</v>
      </c>
      <c r="N20" s="1878">
        <f>F20-M20</f>
        <v>-4.5920314604756762E-2</v>
      </c>
      <c r="O20" s="1873">
        <f>N20/M20</f>
        <v>-8.1321450285217547E-2</v>
      </c>
      <c r="P20" s="1871">
        <f>'Comparacion (Sin BM)'!Q110</f>
        <v>0.51253836495611338</v>
      </c>
      <c r="Q20" s="1871">
        <f>+'0+12'!$T$33</f>
        <v>0.53035654056792547</v>
      </c>
      <c r="R20" s="1878">
        <f>P20-Q20</f>
        <v>-1.7818175611812093E-2</v>
      </c>
      <c r="S20" s="1873">
        <f>R20/Q20</f>
        <v>-3.359659822943209E-2</v>
      </c>
      <c r="T20" s="1871"/>
      <c r="U20" s="1871"/>
      <c r="V20" s="1873"/>
      <c r="W20" s="1871">
        <f>+BDGT!$T$29</f>
        <v>0.52083855986685346</v>
      </c>
      <c r="X20" s="1878">
        <f>P20-W20</f>
        <v>-8.3001949107400774E-3</v>
      </c>
      <c r="Y20" s="1873">
        <f t="shared" si="1"/>
        <v>-1.5936214309597064E-2</v>
      </c>
      <c r="AA20" s="1871">
        <f>+'Comparacion (Sin BM)'!AF73</f>
        <v>0.51107741857165567</v>
      </c>
      <c r="AB20" s="1871">
        <f>+'ST Original'!HH39</f>
        <v>0.55990867067481775</v>
      </c>
      <c r="AC20" s="1983"/>
      <c r="AD20" s="1888"/>
      <c r="AE20" s="1889"/>
      <c r="AF20" s="1889" t="s">
        <v>120</v>
      </c>
      <c r="AG20" s="1889" t="s">
        <v>24</v>
      </c>
      <c r="AH20" s="1889" t="s">
        <v>25</v>
      </c>
      <c r="AI20" s="1889" t="s">
        <v>28</v>
      </c>
      <c r="AJ20" s="1889" t="s">
        <v>29</v>
      </c>
      <c r="AL20" s="1889"/>
      <c r="AM20" s="1889" t="s">
        <v>22</v>
      </c>
      <c r="AN20" s="1889" t="s">
        <v>23</v>
      </c>
      <c r="AO20" s="1889" t="s">
        <v>24</v>
      </c>
      <c r="AP20" s="1889" t="s">
        <v>25</v>
      </c>
      <c r="AQ20" s="1889" t="s">
        <v>28</v>
      </c>
      <c r="AR20" s="1890" t="s">
        <v>29</v>
      </c>
      <c r="AS20" s="1843">
        <f>+'TP sin BM'!E2</f>
        <v>14.5</v>
      </c>
      <c r="AT20" s="1853"/>
    </row>
    <row r="21" spans="1:46" ht="10.4" customHeight="1">
      <c r="A21" s="2673">
        <v>88.474869047378618</v>
      </c>
      <c r="B21" s="1868" t="s">
        <v>90</v>
      </c>
      <c r="C21" s="1869" t="s">
        <v>48</v>
      </c>
      <c r="D21" s="1878">
        <f>IFERROR(Real!L40,0)</f>
        <v>90.621181612764147</v>
      </c>
      <c r="E21" s="1878">
        <f>'R+P'!M132</f>
        <v>90.196204025003624</v>
      </c>
      <c r="F21" s="1875">
        <f>+'Comparacion (Sin BM)'!Q35</f>
        <v>90.397219242975567</v>
      </c>
      <c r="G21" s="1875">
        <f>+'Comparacion (Sin BM)'!R35</f>
        <v>90.294153352101702</v>
      </c>
      <c r="H21" s="1878">
        <f>F21-G21</f>
        <v>0.10306589087386442</v>
      </c>
      <c r="I21" s="1873">
        <f t="shared" si="3"/>
        <v>1.1414458970777364E-3</v>
      </c>
      <c r="J21" s="1875">
        <f>+BDGT!$G$30</f>
        <v>90.23452493939709</v>
      </c>
      <c r="K21" s="1878">
        <f>+F21-J21</f>
        <v>0.16269430357847625</v>
      </c>
      <c r="L21" s="1873">
        <f t="shared" si="0"/>
        <v>1.8030161258979784E-3</v>
      </c>
      <c r="M21" s="1875">
        <f>+'0+12'!$G$34</f>
        <v>90.433416356934018</v>
      </c>
      <c r="N21" s="1878">
        <f>F21-M21</f>
        <v>-3.6197113958451155E-2</v>
      </c>
      <c r="O21" s="1873">
        <f>N21/M21</f>
        <v>-4.00262595582852E-4</v>
      </c>
      <c r="P21" s="1878">
        <f>'Comparacion (Sin BM)'!Q111</f>
        <v>90.504839111115729</v>
      </c>
      <c r="Q21" s="1875">
        <f>+'0+12'!$T$34</f>
        <v>90.282128614267677</v>
      </c>
      <c r="R21" s="1878">
        <f>P21-Q21</f>
        <v>0.22271049684805178</v>
      </c>
      <c r="S21" s="1873">
        <f>R21/Q21</f>
        <v>2.4668281559862984E-3</v>
      </c>
      <c r="T21" s="1878"/>
      <c r="U21" s="1878"/>
      <c r="V21" s="1873"/>
      <c r="W21" s="1875">
        <f>+BDGT!$T$30</f>
        <v>89.998004776086447</v>
      </c>
      <c r="X21" s="1878">
        <f>P21-W21</f>
        <v>0.5068343350292821</v>
      </c>
      <c r="Y21" s="1873">
        <f t="shared" si="1"/>
        <v>5.6316174596345503E-3</v>
      </c>
      <c r="AA21" s="1878">
        <f>+'Comparacion (Sin BM)'!AF75</f>
        <v>90.302073381744648</v>
      </c>
      <c r="AB21" s="1878">
        <f>+'ST Original'!HI39</f>
        <v>90.286898116100303</v>
      </c>
      <c r="AC21" s="1983"/>
      <c r="AD21" s="1888"/>
      <c r="AE21" s="1891" t="s">
        <v>1263</v>
      </c>
      <c r="AF21" s="1892">
        <f>+$M$10</f>
        <v>5652.5026555182458</v>
      </c>
      <c r="AG21" s="2618">
        <f>+$M$20</f>
        <v>0.56467653298977216</v>
      </c>
      <c r="AH21" s="1893">
        <f>+$M$21</f>
        <v>90.433416356934018</v>
      </c>
      <c r="AI21" s="1894">
        <f>+AF21*AG21*AH21/10</f>
        <v>28864.859795966942</v>
      </c>
      <c r="AJ21" s="1894">
        <f>+AI21</f>
        <v>28864.859795966942</v>
      </c>
      <c r="AL21" s="1891" t="s">
        <v>171</v>
      </c>
      <c r="AM21" s="1892" t="e">
        <f>#REF!</f>
        <v>#REF!</v>
      </c>
      <c r="AN21" s="1893" t="e">
        <f>+#REF!</f>
        <v>#REF!</v>
      </c>
      <c r="AO21" s="1893" t="e">
        <f>+#REF!</f>
        <v>#REF!</v>
      </c>
      <c r="AP21" s="1893" t="e">
        <f>+#REF!</f>
        <v>#REF!</v>
      </c>
      <c r="AQ21" s="1894" t="e">
        <f>+#REF!*#REF!*#REF!/10</f>
        <v>#REF!</v>
      </c>
      <c r="AR21" s="1894" t="e">
        <f>+AQ21</f>
        <v>#REF!</v>
      </c>
      <c r="AT21" s="1853"/>
    </row>
    <row r="22" spans="1:46" ht="10.4" customHeight="1">
      <c r="A22" s="2673">
        <v>90.493144321009851</v>
      </c>
      <c r="B22" s="1868" t="s">
        <v>92</v>
      </c>
      <c r="C22" s="1869" t="s">
        <v>53</v>
      </c>
      <c r="D22" s="1878">
        <f>IFERROR(Real!N40/1000,0)</f>
        <v>50.032931921419269</v>
      </c>
      <c r="E22" s="1878">
        <f>'R+P'!O132/1000</f>
        <v>53.585578601810873</v>
      </c>
      <c r="F22" s="1875">
        <f>+'Comparacion (Sin BM)'!Q36</f>
        <v>103.61851052323014</v>
      </c>
      <c r="G22" s="1875">
        <f>+'Comparacion (Sin BM)'!R36</f>
        <v>105.7534669311305</v>
      </c>
      <c r="H22" s="1878">
        <f>F22-G22</f>
        <v>-2.1349564079003613</v>
      </c>
      <c r="I22" s="1873">
        <f t="shared" si="3"/>
        <v>-2.0188051227584835E-2</v>
      </c>
      <c r="J22" s="1875">
        <f>+BDGT!$G$32</f>
        <v>105.71507194799014</v>
      </c>
      <c r="K22" s="1878">
        <f>+F22-J22</f>
        <v>-2.0965614247599973</v>
      </c>
      <c r="L22" s="1873">
        <f t="shared" si="0"/>
        <v>-1.9832190302925459E-2</v>
      </c>
      <c r="M22" s="1875">
        <f>+'0+12'!$G$35</f>
        <v>102.13915892162728</v>
      </c>
      <c r="N22" s="1878">
        <f>F22-M22</f>
        <v>1.4793516016028576</v>
      </c>
      <c r="O22" s="1873">
        <f>N22/M22</f>
        <v>1.4483686934782608E-2</v>
      </c>
      <c r="P22" s="1881">
        <f>'Comparacion (Sin BM)'!Q112</f>
        <v>259.00300763005976</v>
      </c>
      <c r="Q22" s="1875">
        <f>+'0+12'!$T$35</f>
        <v>262.54122660054128</v>
      </c>
      <c r="R22" s="1878">
        <f>P22-Q22</f>
        <v>-3.5382189704815232</v>
      </c>
      <c r="S22" s="1873">
        <f>R22/Q22</f>
        <v>-1.3476812827819052E-2</v>
      </c>
      <c r="T22" s="1881"/>
      <c r="U22" s="1878"/>
      <c r="V22" s="1873"/>
      <c r="W22" s="1875">
        <f>+BDGT!$T$32</f>
        <v>254.52677203830268</v>
      </c>
      <c r="X22" s="1878">
        <f>P22-W22</f>
        <v>4.4762355917570744</v>
      </c>
      <c r="Y22" s="1873">
        <f t="shared" si="1"/>
        <v>1.7586502024562918E-2</v>
      </c>
      <c r="AA22" s="1878">
        <f>+'ST Original'!FN39/1000</f>
        <v>51.308583194143296</v>
      </c>
      <c r="AB22" s="1878">
        <f>+'ST Original'!HL39/1000</f>
        <v>54.444883736987229</v>
      </c>
      <c r="AC22" s="1983"/>
      <c r="AD22" s="1888"/>
      <c r="AE22" s="1891" t="s">
        <v>173</v>
      </c>
      <c r="AF22" s="1895">
        <f>G10</f>
        <v>5857.198775683828</v>
      </c>
      <c r="AG22" s="2618">
        <f>AG21</f>
        <v>0.56467653298977216</v>
      </c>
      <c r="AH22" s="1893">
        <f>AH21</f>
        <v>90.433416356934018</v>
      </c>
      <c r="AI22" s="1894">
        <f>+AF22*AG22*AH22/10</f>
        <v>29910.153388812894</v>
      </c>
      <c r="AJ22" s="1894">
        <f>+AI22-AI21</f>
        <v>1045.2935928459519</v>
      </c>
      <c r="AL22" s="1896" t="s">
        <v>36</v>
      </c>
      <c r="AM22" s="1897">
        <f>G12</f>
        <v>8497.0539513238637</v>
      </c>
      <c r="AN22" s="1893" t="e">
        <f>+AN21</f>
        <v>#REF!</v>
      </c>
      <c r="AO22" s="1893" t="e">
        <f>+AO21</f>
        <v>#REF!</v>
      </c>
      <c r="AP22" s="1893" t="e">
        <f>+AP21</f>
        <v>#REF!</v>
      </c>
      <c r="AQ22" s="1894" t="e">
        <f>+(AM22*AN22*24*$AS$20/1000000)*AO22*AP22</f>
        <v>#REF!</v>
      </c>
      <c r="AR22" s="1894" t="e">
        <f>+AQ22-AQ21</f>
        <v>#REF!</v>
      </c>
      <c r="AS22" s="2611"/>
      <c r="AT22" s="1853"/>
    </row>
    <row r="23" spans="1:46" ht="10.5" customHeight="1">
      <c r="A23" s="2672">
        <v>26.470502</v>
      </c>
      <c r="B23" s="1868" t="s">
        <v>93</v>
      </c>
      <c r="C23" s="1869" t="s">
        <v>48</v>
      </c>
      <c r="D23" s="1875">
        <f>IFERROR(Real!M40,0)</f>
        <v>25.931627028181765</v>
      </c>
      <c r="E23" s="1875">
        <f>'R+P'!N132</f>
        <v>26.849886364447851</v>
      </c>
      <c r="F23" s="1875">
        <f>+'Comparacion (Sin BM)'!Q37</f>
        <v>26.406498338258178</v>
      </c>
      <c r="G23" s="1875">
        <f>+'Comparacion (Sin BM)'!R37</f>
        <v>26.777705251636434</v>
      </c>
      <c r="H23" s="1878">
        <f>F23-G23</f>
        <v>-0.37120691337825562</v>
      </c>
      <c r="I23" s="1873">
        <f t="shared" si="3"/>
        <v>-1.386253638577079E-2</v>
      </c>
      <c r="J23" s="1875">
        <f>+BDGT!$G$33</f>
        <v>27.918697183029963</v>
      </c>
      <c r="K23" s="1878">
        <f>+F23-J23</f>
        <v>-1.5121988447717847</v>
      </c>
      <c r="L23" s="1873">
        <f t="shared" si="0"/>
        <v>-5.4164377186302098E-2</v>
      </c>
      <c r="M23" s="1875">
        <f>+'0+12'!$G$36</f>
        <v>28.260326500353631</v>
      </c>
      <c r="N23" s="1878">
        <f>F23-M23</f>
        <v>-1.8538281620954535</v>
      </c>
      <c r="O23" s="1873">
        <f>N23/M23</f>
        <v>-6.5598257050294734E-2</v>
      </c>
      <c r="P23" s="1875">
        <f>'Comparacion (Sin BM)'!Q113</f>
        <v>26.736302080312278</v>
      </c>
      <c r="Q23" s="1875">
        <f>+'0+12'!$T$36</f>
        <v>27.034106270401626</v>
      </c>
      <c r="R23" s="1878">
        <f>P23-Q23</f>
        <v>-0.297804190089348</v>
      </c>
      <c r="S23" s="1873">
        <f>R23/Q23</f>
        <v>-1.1015869624489855E-2</v>
      </c>
      <c r="T23" s="1875"/>
      <c r="U23" s="1875"/>
      <c r="V23" s="1873"/>
      <c r="W23" s="1875">
        <f>+BDGT!$T$33</f>
        <v>27.974256407925751</v>
      </c>
      <c r="X23" s="1878">
        <f>P23-W23</f>
        <v>-1.2379543276134726</v>
      </c>
      <c r="Y23" s="1873">
        <f t="shared" si="1"/>
        <v>-4.4253341699646807E-2</v>
      </c>
      <c r="AA23" s="1875">
        <f>+'Comparacion (Sin BM)'!AF76</f>
        <v>26.389507297964627</v>
      </c>
      <c r="AB23" s="1875">
        <f>+'ST Original'!HJ39</f>
        <v>27.143541040688454</v>
      </c>
      <c r="AC23" s="1983"/>
      <c r="AD23" s="1888"/>
      <c r="AE23" s="1896" t="s">
        <v>1167</v>
      </c>
      <c r="AF23" s="1895">
        <f>AF22</f>
        <v>5857.198775683828</v>
      </c>
      <c r="AG23" s="2619">
        <f>G20</f>
        <v>0.5354493276828427</v>
      </c>
      <c r="AH23" s="1893">
        <f>AH21</f>
        <v>90.433416356934018</v>
      </c>
      <c r="AI23" s="1894">
        <f>+AF23*AG23*AH23/10</f>
        <v>28362.027793389185</v>
      </c>
      <c r="AJ23" s="1894">
        <f>+AI23-AI22</f>
        <v>-1548.1255954237095</v>
      </c>
      <c r="AL23" s="1896" t="s">
        <v>41</v>
      </c>
      <c r="AM23" s="1897">
        <f>AM22</f>
        <v>8497.0539513238637</v>
      </c>
      <c r="AN23" s="1898">
        <f>G16</f>
        <v>92.650688634835248</v>
      </c>
      <c r="AO23" s="1893" t="e">
        <f>+AO22</f>
        <v>#REF!</v>
      </c>
      <c r="AP23" s="1893" t="e">
        <f>+AP22</f>
        <v>#REF!</v>
      </c>
      <c r="AQ23" s="1894" t="e">
        <f>+(AM23*AN23*24*$AS$20/1000000)*AO23*AP23</f>
        <v>#REF!</v>
      </c>
      <c r="AR23" s="1894" t="e">
        <f>+AQ23-AQ22</f>
        <v>#REF!</v>
      </c>
      <c r="AT23" s="1853"/>
    </row>
    <row r="24" spans="1:46" ht="10.4" customHeight="1">
      <c r="A24" s="2671"/>
      <c r="B24" s="1868"/>
      <c r="C24" s="1869"/>
      <c r="D24" s="1881"/>
      <c r="E24" s="1881"/>
      <c r="F24" s="1875"/>
      <c r="G24" s="1875"/>
      <c r="H24" s="1878"/>
      <c r="I24" s="1873"/>
      <c r="J24" s="1875"/>
      <c r="K24" s="1878"/>
      <c r="L24" s="1873"/>
      <c r="M24" s="1875"/>
      <c r="N24" s="1878"/>
      <c r="O24" s="1873"/>
      <c r="P24" s="1881"/>
      <c r="Q24" s="1875"/>
      <c r="R24" s="1878"/>
      <c r="S24" s="1873"/>
      <c r="T24" s="1881"/>
      <c r="U24" s="1875"/>
      <c r="V24" s="1873"/>
      <c r="W24" s="1875"/>
      <c r="X24" s="1878"/>
      <c r="Y24" s="1873"/>
      <c r="AA24" s="1881"/>
      <c r="AB24" s="1881"/>
      <c r="AC24" s="1867"/>
      <c r="AD24" s="1850"/>
      <c r="AE24" s="1896" t="s">
        <v>51</v>
      </c>
      <c r="AF24" s="1895">
        <f>AF22</f>
        <v>5857.198775683828</v>
      </c>
      <c r="AG24" s="2619">
        <f>AG23</f>
        <v>0.5354493276828427</v>
      </c>
      <c r="AH24" s="1898">
        <f>G21</f>
        <v>90.294153352101702</v>
      </c>
      <c r="AI24" s="1894">
        <f>+AF24*AG24*AH24/10</f>
        <v>28318.35166820493</v>
      </c>
      <c r="AJ24" s="1894">
        <f>+AI24-AI23</f>
        <v>-43.676125184254488</v>
      </c>
      <c r="AL24" s="1896" t="s">
        <v>1167</v>
      </c>
      <c r="AM24" s="1897">
        <f>AM22</f>
        <v>8497.0539513238637</v>
      </c>
      <c r="AN24" s="1898">
        <f>AN23</f>
        <v>92.650688634835248</v>
      </c>
      <c r="AO24" s="1898">
        <f>G20</f>
        <v>0.5354493276828427</v>
      </c>
      <c r="AP24" s="1893" t="e">
        <f>+AP23</f>
        <v>#REF!</v>
      </c>
      <c r="AQ24" s="1894" t="e">
        <f>+(AM24*AN24*24*$AS$20/1000000)*AO24*AP24</f>
        <v>#REF!</v>
      </c>
      <c r="AR24" s="1894" t="e">
        <f>+AQ24-AQ23</f>
        <v>#REF!</v>
      </c>
      <c r="AT24" s="1853"/>
    </row>
    <row r="25" spans="1:46" ht="10.4" customHeight="1">
      <c r="A25" s="2671">
        <v>174.765009308234</v>
      </c>
      <c r="B25" s="1868" t="s">
        <v>94</v>
      </c>
      <c r="C25" s="1869" t="s">
        <v>95</v>
      </c>
      <c r="D25" s="1881">
        <f>IFERROR(Real!R40,0)</f>
        <v>209.05586014639971</v>
      </c>
      <c r="E25" s="1881">
        <f>'R+P'!S132</f>
        <v>176.69027223403086</v>
      </c>
      <c r="F25" s="1881">
        <f>+'Comparacion (Sin BM)'!Q39</f>
        <v>192.88224256745204</v>
      </c>
      <c r="G25" s="1881">
        <f>+'Comparacion (Sin BM)'!R39</f>
        <v>171.18629045307489</v>
      </c>
      <c r="H25" s="1878">
        <f>F25-G25</f>
        <v>21.69595211437715</v>
      </c>
      <c r="I25" s="1873">
        <f>H25/G25</f>
        <v>0.12673884139293493</v>
      </c>
      <c r="J25" s="1881">
        <f>+BDGT!$G$35</f>
        <v>216.46396510270179</v>
      </c>
      <c r="K25" s="1878">
        <f>+F25-J25</f>
        <v>-23.581722535249753</v>
      </c>
      <c r="L25" s="1873">
        <f t="shared" si="0"/>
        <v>-0.10894063833701538</v>
      </c>
      <c r="M25" s="1881">
        <f>+'0+12'!$G$38</f>
        <v>213.48422346499791</v>
      </c>
      <c r="N25" s="1878">
        <f>F25-M25</f>
        <v>-20.601980897545872</v>
      </c>
      <c r="O25" s="1873">
        <f>N25/M25</f>
        <v>-9.6503528753372717E-2</v>
      </c>
      <c r="P25" s="1881">
        <f>'Comparacion (Sin BM)'!Q115</f>
        <v>192.66735748300661</v>
      </c>
      <c r="Q25" s="1881">
        <f>+'0+12'!$T$38</f>
        <v>195.69437804771576</v>
      </c>
      <c r="R25" s="1878">
        <f>P25-Q25</f>
        <v>-3.0270205647091473</v>
      </c>
      <c r="S25" s="1873">
        <f t="shared" ref="S25:S32" si="8">R25/Q25</f>
        <v>-1.5468101817268737E-2</v>
      </c>
      <c r="T25" s="1881"/>
      <c r="U25" s="1881"/>
      <c r="V25" s="1873"/>
      <c r="W25" s="1881">
        <f>+BDGT!$T$35</f>
        <v>197.52627780568733</v>
      </c>
      <c r="X25" s="1878">
        <f>P25-W25</f>
        <v>-4.8589203226807172</v>
      </c>
      <c r="Y25" s="1873">
        <f t="shared" si="1"/>
        <v>-2.4598855284766651E-2</v>
      </c>
      <c r="AA25" s="1881">
        <f>+'Comparacion (Sin BM)'!AF74</f>
        <v>190.92613315237236</v>
      </c>
      <c r="AB25" s="1881">
        <f>+'ST Original'!HO39</f>
        <v>151.37563134602425</v>
      </c>
      <c r="AC25" s="1876"/>
      <c r="AD25" s="1850"/>
      <c r="AE25" s="1896" t="s">
        <v>174</v>
      </c>
      <c r="AF25" s="1895">
        <f>AF22</f>
        <v>5857.198775683828</v>
      </c>
      <c r="AG25" s="2619">
        <f>AG23</f>
        <v>0.5354493276828427</v>
      </c>
      <c r="AH25" s="1898">
        <f>AH24</f>
        <v>90.294153352101702</v>
      </c>
      <c r="AI25" s="1894">
        <f>+AF25*AG25*AH25/10</f>
        <v>28318.35166820493</v>
      </c>
      <c r="AJ25" s="1894">
        <f>+SUM(AJ21:AJ24)</f>
        <v>28318.35166820493</v>
      </c>
      <c r="AL25" s="1896" t="s">
        <v>51</v>
      </c>
      <c r="AM25" s="1897">
        <f>AM22</f>
        <v>8497.0539513238637</v>
      </c>
      <c r="AN25" s="1898">
        <f>AN23</f>
        <v>92.650688634835248</v>
      </c>
      <c r="AO25" s="1898">
        <f>AO24</f>
        <v>0.5354493276828427</v>
      </c>
      <c r="AP25" s="1898">
        <f>G21</f>
        <v>90.294153352101702</v>
      </c>
      <c r="AQ25" s="1894">
        <f>+(AM25*AN25*24*$AS$20/1000000)*AO25*AP25</f>
        <v>13245.68061899908</v>
      </c>
      <c r="AR25" s="1894" t="e">
        <f>+AQ25-AQ24</f>
        <v>#REF!</v>
      </c>
      <c r="AT25" s="1853"/>
    </row>
    <row r="26" spans="1:46" ht="10.4" customHeight="1">
      <c r="A26" s="2672">
        <v>74.576475699601076</v>
      </c>
      <c r="B26" s="1868" t="s">
        <v>96</v>
      </c>
      <c r="C26" s="1869" t="s">
        <v>48</v>
      </c>
      <c r="D26" s="1881">
        <f>IFERROR(Real!U40,0)</f>
        <v>81.170582808443143</v>
      </c>
      <c r="E26" s="1875">
        <f>'R+P'!V132</f>
        <v>80.025725486082209</v>
      </c>
      <c r="F26" s="1878">
        <f>+'Comparacion (Sin BM)'!Q40</f>
        <v>80.64650541173333</v>
      </c>
      <c r="G26" s="1878">
        <f>+'Comparacion (Sin BM)'!R40</f>
        <v>80.57935681068416</v>
      </c>
      <c r="H26" s="1878">
        <f>F26-G26</f>
        <v>6.7148601049169088E-2</v>
      </c>
      <c r="I26" s="1873">
        <f t="shared" si="3"/>
        <v>8.3332262389398644E-4</v>
      </c>
      <c r="J26" s="1875">
        <f>+BDGT!$G$36</f>
        <v>83.941170489613725</v>
      </c>
      <c r="K26" s="1878">
        <f>+F26-J26</f>
        <v>-3.2946650778803956</v>
      </c>
      <c r="L26" s="1873">
        <f t="shared" si="0"/>
        <v>-3.9249691881387973E-2</v>
      </c>
      <c r="M26" s="1875">
        <f>+'0+12'!$G$39</f>
        <v>83.99813374525263</v>
      </c>
      <c r="N26" s="1878">
        <f>F26-M26</f>
        <v>-3.3516283335193009</v>
      </c>
      <c r="O26" s="1873">
        <f>N26/M26</f>
        <v>-3.9901223801995803E-2</v>
      </c>
      <c r="P26" s="1875">
        <f>'Comparacion (Sin BM)'!Q116</f>
        <v>80.026351406553701</v>
      </c>
      <c r="Q26" s="1875">
        <f>+'0+12'!$T$39</f>
        <v>82.944036127337341</v>
      </c>
      <c r="R26" s="1878">
        <f>P26-Q26</f>
        <v>-2.9176847207836403</v>
      </c>
      <c r="S26" s="1873">
        <f t="shared" si="8"/>
        <v>-3.5176546223339704E-2</v>
      </c>
      <c r="T26" s="1875"/>
      <c r="U26" s="1875"/>
      <c r="V26" s="1873"/>
      <c r="W26" s="1875">
        <f>+BDGT!$T$36</f>
        <v>83.619091451728735</v>
      </c>
      <c r="X26" s="1878">
        <f>P26-W26</f>
        <v>-3.5927400451750344</v>
      </c>
      <c r="Y26" s="1873">
        <f t="shared" si="1"/>
        <v>-4.2965547494007821E-2</v>
      </c>
      <c r="AA26" s="1881">
        <f>+'ST Original'!FU39</f>
        <v>80.83653441482754</v>
      </c>
      <c r="AB26" s="1881">
        <f>+'ST Original'!HR39</f>
        <v>80.253821732675405</v>
      </c>
      <c r="AC26" s="1876"/>
      <c r="AD26" s="1850"/>
      <c r="AI26" s="2611">
        <f>SUM(AJ22:AJ24)</f>
        <v>-546.50812776201201</v>
      </c>
      <c r="AL26" s="1899" t="s">
        <v>174</v>
      </c>
      <c r="AM26" s="1897">
        <f>AM22</f>
        <v>8497.0539513238637</v>
      </c>
      <c r="AN26" s="1898">
        <f>AN23</f>
        <v>92.650688634835248</v>
      </c>
      <c r="AO26" s="1898">
        <f>AO24</f>
        <v>0.5354493276828427</v>
      </c>
      <c r="AP26" s="1898">
        <f>AP25</f>
        <v>90.294153352101702</v>
      </c>
      <c r="AQ26" s="1894">
        <f>+(AM26*AN26*24*$AS$20/1000000)*AO26*AP26</f>
        <v>13245.68061899908</v>
      </c>
      <c r="AR26" s="1894" t="e">
        <f>SUM(AR21:AR25)</f>
        <v>#REF!</v>
      </c>
      <c r="AT26" s="1853"/>
    </row>
    <row r="27" spans="1:46" ht="11.25" hidden="1" customHeight="1">
      <c r="A27" s="2671">
        <v>1323.5878807578001</v>
      </c>
      <c r="B27" s="2316" t="s">
        <v>97</v>
      </c>
      <c r="C27" s="2317" t="s">
        <v>48</v>
      </c>
      <c r="D27" s="2317"/>
      <c r="E27" s="2317"/>
      <c r="F27" s="2321">
        <f>+'Comparacion (Sin BM)'!Q41</f>
        <v>89.806766154820934</v>
      </c>
      <c r="G27" s="2321">
        <f>'Comparacion (Sin BM)'!R41</f>
        <v>91.633786719447059</v>
      </c>
      <c r="H27" s="2319">
        <f>F27-G27</f>
        <v>-1.8270205646261246</v>
      </c>
      <c r="I27" s="3162">
        <f>H27/G27</f>
        <v>-1.9938285102413907E-2</v>
      </c>
      <c r="J27" s="2321">
        <f>BDGT!$G$37</f>
        <v>93.837900333354852</v>
      </c>
      <c r="K27" s="2319">
        <f>+F27-J27</f>
        <v>-4.0311341785339181</v>
      </c>
      <c r="L27" s="3162">
        <f>K27/J27</f>
        <v>-4.2958486541296192E-2</v>
      </c>
      <c r="M27" s="2321">
        <f>+J27</f>
        <v>93.837900333354852</v>
      </c>
      <c r="N27" s="2319">
        <f>+G27-M27</f>
        <v>-2.2041136139077935</v>
      </c>
      <c r="O27" s="3162">
        <f>N27/M27</f>
        <v>-2.3488522292994415E-2</v>
      </c>
      <c r="P27" s="2321">
        <f>'Comparacion (Sin BM)'!Q117</f>
        <v>90.314190671165463</v>
      </c>
      <c r="Q27" s="2321"/>
      <c r="R27" s="2319"/>
      <c r="S27" s="3162"/>
      <c r="T27" s="3164"/>
      <c r="U27" s="3163"/>
      <c r="V27" s="3165"/>
      <c r="W27" s="2321">
        <f>BDGT!$F$37</f>
        <v>94.176551941871423</v>
      </c>
      <c r="X27" s="2319">
        <f>P27-W27</f>
        <v>-3.8623612707059607</v>
      </c>
      <c r="Y27" s="3162">
        <f>X27/W27</f>
        <v>-4.1011920600893578E-2</v>
      </c>
      <c r="AA27" s="2317"/>
      <c r="AB27" s="2317"/>
      <c r="AC27" s="1867"/>
      <c r="AD27" s="1900"/>
      <c r="AE27" s="1901"/>
      <c r="AF27" s="1901"/>
      <c r="AG27" s="1901"/>
      <c r="AH27" s="1901"/>
      <c r="AI27" s="1901"/>
      <c r="AJ27" s="1901"/>
      <c r="AK27" s="1901"/>
      <c r="AL27" s="1902"/>
      <c r="AM27" s="1903"/>
      <c r="AN27" s="1904"/>
      <c r="AO27" s="1904"/>
      <c r="AP27" s="1904"/>
      <c r="AQ27" s="1903"/>
      <c r="AR27" s="1903"/>
      <c r="AS27" s="1905"/>
      <c r="AT27" s="1906"/>
    </row>
    <row r="28" spans="1:46" ht="13.5" hidden="1" customHeight="1">
      <c r="A28" s="2671"/>
      <c r="B28" s="2316" t="s">
        <v>98</v>
      </c>
      <c r="C28" s="2317" t="s">
        <v>48</v>
      </c>
      <c r="D28" s="2317"/>
      <c r="E28" s="2317"/>
      <c r="F28" s="2321">
        <f>+'Comparacion (Sin BM)'!Q42</f>
        <v>89.800032742192343</v>
      </c>
      <c r="G28" s="2321">
        <f>'Comparacion (Sin BM)'!R42</f>
        <v>87.936294783268124</v>
      </c>
      <c r="H28" s="2319">
        <f>F28-G28</f>
        <v>1.8637379589242187</v>
      </c>
      <c r="I28" s="3162">
        <f>H28/G28</f>
        <v>2.1194183397397783E-2</v>
      </c>
      <c r="J28" s="2321">
        <f>BDGT!$G$38</f>
        <v>89.453376718166709</v>
      </c>
      <c r="K28" s="2319">
        <f>+F28-J28</f>
        <v>0.34665602402563422</v>
      </c>
      <c r="L28" s="3162">
        <f>K28/J28</f>
        <v>3.8752704117343099E-3</v>
      </c>
      <c r="M28" s="2321">
        <f>+J28</f>
        <v>89.453376718166709</v>
      </c>
      <c r="N28" s="2319">
        <f>+G28-M28</f>
        <v>-1.5170819348985844</v>
      </c>
      <c r="O28" s="3162">
        <f>N28/M28</f>
        <v>-1.6959470850142728E-2</v>
      </c>
      <c r="P28" s="2321">
        <f>'Comparacion (Sin BM)'!Q118</f>
        <v>88.630655454756081</v>
      </c>
      <c r="Q28" s="2321"/>
      <c r="R28" s="2319"/>
      <c r="S28" s="3162"/>
      <c r="T28" s="3164"/>
      <c r="U28" s="3163"/>
      <c r="V28" s="3165"/>
      <c r="W28" s="2321">
        <f>BDGT!$T$38</f>
        <v>89.277430646272748</v>
      </c>
      <c r="X28" s="2319">
        <f>P28-W28</f>
        <v>-0.64677519151666729</v>
      </c>
      <c r="Y28" s="3162">
        <f>X28/W28</f>
        <v>-7.2445542712722497E-3</v>
      </c>
      <c r="AA28" s="2317"/>
      <c r="AB28" s="2317"/>
      <c r="AC28" s="1867"/>
      <c r="AE28" s="1843"/>
      <c r="AF28" s="1843"/>
      <c r="AG28" s="1843"/>
      <c r="AH28" s="1843"/>
      <c r="AI28" s="1843"/>
      <c r="AJ28" s="1843"/>
      <c r="AK28" s="1843"/>
      <c r="AL28" s="1907"/>
      <c r="AM28" s="1908"/>
      <c r="AN28" s="1909"/>
      <c r="AO28" s="1909"/>
      <c r="AP28" s="1909"/>
      <c r="AQ28" s="1908"/>
      <c r="AR28" s="1908"/>
    </row>
    <row r="29" spans="1:46" ht="13.4" customHeight="1">
      <c r="A29" s="2675">
        <v>26.762132499426379</v>
      </c>
      <c r="B29" s="1868" t="s">
        <v>175</v>
      </c>
      <c r="C29" s="1869" t="s">
        <v>1168</v>
      </c>
      <c r="D29" s="1881">
        <f>Real!W40</f>
        <v>1701.5102166617021</v>
      </c>
      <c r="E29" s="1881">
        <f>'R+P'!X132</f>
        <v>824.56652305334387</v>
      </c>
      <c r="F29" s="1881">
        <f>+'Comparacion (Sin BM)'!Q43</f>
        <v>2526.0767397150457</v>
      </c>
      <c r="G29" s="1881">
        <f>+'Comparacion (Sin BM)'!R43</f>
        <v>1615.8935079268579</v>
      </c>
      <c r="H29" s="1881">
        <f>F29-G29</f>
        <v>910.18323178818787</v>
      </c>
      <c r="I29" s="1873">
        <f t="shared" si="3"/>
        <v>0.56326931652564483</v>
      </c>
      <c r="J29" s="1881">
        <f>BDGT!$G$39*1000</f>
        <v>1963.649298126209</v>
      </c>
      <c r="K29" s="1881">
        <f>+F29-J29</f>
        <v>562.4274415888367</v>
      </c>
      <c r="L29" s="1873">
        <f>K29/J29</f>
        <v>0.28641949564289659</v>
      </c>
      <c r="M29" s="1881">
        <f>+'0+12'!$G$42*1000</f>
        <v>1877.0785132735298</v>
      </c>
      <c r="N29" s="1881">
        <f>F29-M29</f>
        <v>648.99822644151595</v>
      </c>
      <c r="O29" s="1873">
        <f>N29/M29</f>
        <v>0.34574911057380114</v>
      </c>
      <c r="P29" s="1881">
        <f>'Comparacion (Sin BM)'!$Q$119</f>
        <v>4717.8739097350453</v>
      </c>
      <c r="Q29" s="1881">
        <f>'0+12'!$T$42*1000</f>
        <v>4455.6345370144054</v>
      </c>
      <c r="R29" s="1881">
        <f>P29-Q29</f>
        <v>262.23937272063995</v>
      </c>
      <c r="S29" s="1873">
        <f t="shared" si="8"/>
        <v>5.885567376366535E-2</v>
      </c>
      <c r="T29" s="1881"/>
      <c r="U29" s="1881"/>
      <c r="V29" s="1873"/>
      <c r="W29" s="1881">
        <f>BDGT!$T$39*1000</f>
        <v>4646.143024779285</v>
      </c>
      <c r="X29" s="1881">
        <f>P29-W29</f>
        <v>71.730884955760303</v>
      </c>
      <c r="Y29" s="1873">
        <f t="shared" si="1"/>
        <v>1.5438802588124776E-2</v>
      </c>
      <c r="AA29" s="1881">
        <f>+'ST Original'!FW39</f>
        <v>905.60737080575404</v>
      </c>
      <c r="AB29" s="1881">
        <f>+'ST Original'!HT39</f>
        <v>710.28613712110382</v>
      </c>
      <c r="AC29" s="1867"/>
      <c r="AE29" s="1843"/>
      <c r="AF29" s="1843"/>
      <c r="AG29" s="1843"/>
      <c r="AH29" s="1843"/>
      <c r="AI29" s="1843"/>
      <c r="AJ29" s="1843"/>
      <c r="AK29" s="1843"/>
      <c r="AL29" s="1907"/>
      <c r="AM29" s="1908"/>
      <c r="AN29" s="1909"/>
      <c r="AO29" s="1909"/>
      <c r="AP29" s="1909"/>
      <c r="AQ29" s="1908"/>
      <c r="AR29" s="1908"/>
    </row>
    <row r="30" spans="1:46" ht="9" customHeight="1">
      <c r="A30" s="2676">
        <v>1684.0908736100514</v>
      </c>
      <c r="B30" s="1868"/>
      <c r="C30" s="1869"/>
      <c r="D30" s="1881"/>
      <c r="E30" s="1881"/>
      <c r="F30" s="1881"/>
      <c r="G30" s="1881"/>
      <c r="H30" s="1881"/>
      <c r="I30" s="1873"/>
      <c r="J30" s="1881"/>
      <c r="K30" s="1881"/>
      <c r="L30" s="1873"/>
      <c r="M30" s="1881"/>
      <c r="N30" s="1881"/>
      <c r="O30" s="1873"/>
      <c r="P30" s="1881"/>
      <c r="Q30" s="1881"/>
      <c r="R30" s="1881"/>
      <c r="S30" s="1873"/>
      <c r="T30" s="1881"/>
      <c r="U30" s="1881"/>
      <c r="V30" s="1873"/>
      <c r="W30" s="1881"/>
      <c r="X30" s="1881"/>
      <c r="Y30" s="1873"/>
      <c r="AA30" s="1881"/>
      <c r="AB30" s="1881"/>
      <c r="AC30" s="1867"/>
      <c r="AE30" s="1843"/>
      <c r="AF30" s="1843"/>
      <c r="AG30" s="1843"/>
      <c r="AH30" s="1843"/>
      <c r="AI30" s="1843"/>
      <c r="AJ30" s="1843"/>
      <c r="AK30" s="1843"/>
      <c r="AL30" s="1907"/>
      <c r="AM30" s="1908"/>
      <c r="AN30" s="1909"/>
      <c r="AO30" s="1909"/>
      <c r="AP30" s="1909"/>
      <c r="AQ30" s="1908"/>
      <c r="AR30" s="1908"/>
    </row>
    <row r="31" spans="1:46" ht="11.25" customHeight="1">
      <c r="A31" s="2677"/>
      <c r="B31" s="1868" t="s">
        <v>176</v>
      </c>
      <c r="C31" s="1869" t="s">
        <v>177</v>
      </c>
      <c r="D31" s="1910">
        <f>IFERROR(Real!AE40,0)</f>
        <v>18.100498246288893</v>
      </c>
      <c r="E31" s="1910">
        <f>'R+P'!BA132</f>
        <v>23.356370438941536</v>
      </c>
      <c r="F31" s="1881">
        <f>+'Comparacion (Sin BM)'!Q46</f>
        <v>20.726944183805845</v>
      </c>
      <c r="G31" s="1881">
        <f>+'Comparacion (Sin BM)'!R46</f>
        <v>27.44514654815184</v>
      </c>
      <c r="H31" s="1875">
        <f t="shared" ref="H31:H37" si="9">F31-G31</f>
        <v>-6.7182023643459949</v>
      </c>
      <c r="I31" s="1873">
        <f t="shared" si="3"/>
        <v>-0.244786536393933</v>
      </c>
      <c r="J31" s="1881">
        <f>BDGT!$G$54</f>
        <v>34.290586186974402</v>
      </c>
      <c r="K31" s="1875">
        <f>+F31-J31</f>
        <v>-13.563642003168557</v>
      </c>
      <c r="L31" s="1873">
        <f>K31/J31</f>
        <v>-0.39555001857392663</v>
      </c>
      <c r="M31" s="1881">
        <f>+'0+12'!$G$57</f>
        <v>31.625551520365899</v>
      </c>
      <c r="N31" s="1875">
        <f>F31-M31</f>
        <v>-10.898607336560055</v>
      </c>
      <c r="O31" s="1873">
        <f>N31/M31</f>
        <v>-0.34461398497799101</v>
      </c>
      <c r="P31" s="1881">
        <f>+'Comparacion (Sin BM)'!Q122</f>
        <v>11.311252594606758</v>
      </c>
      <c r="Q31" s="1881">
        <f>+'0+12'!$T$57</f>
        <v>27.29009528920237</v>
      </c>
      <c r="R31" s="1875">
        <f>P31-Q31</f>
        <v>-15.978842694595611</v>
      </c>
      <c r="S31" s="1873">
        <f t="shared" si="8"/>
        <v>-0.58551802495602934</v>
      </c>
      <c r="T31" s="1881"/>
      <c r="U31" s="1881"/>
      <c r="V31" s="1874"/>
      <c r="W31" s="1881">
        <f>BDGT!$T$54</f>
        <v>29.280536525130788</v>
      </c>
      <c r="X31" s="1875">
        <f>P31-W31</f>
        <v>-17.969283930524028</v>
      </c>
      <c r="Y31" s="1873">
        <f t="shared" si="1"/>
        <v>-0.61369380697998543</v>
      </c>
      <c r="AA31" s="1910">
        <f>+'ST Original'!GG39</f>
        <v>28.042765104804531</v>
      </c>
      <c r="AB31" s="1910"/>
      <c r="AC31" s="1852"/>
      <c r="AD31" s="1852"/>
      <c r="AE31" s="1852"/>
      <c r="AF31" s="1852"/>
      <c r="AG31" s="1852"/>
      <c r="AH31" s="1852"/>
      <c r="AI31" s="1852"/>
      <c r="AJ31" s="1852"/>
      <c r="AK31" s="1852"/>
      <c r="AL31" s="1852"/>
      <c r="AM31" s="1852"/>
      <c r="AN31" s="1852"/>
      <c r="AO31" s="1852"/>
    </row>
    <row r="32" spans="1:46" ht="11.25" customHeight="1">
      <c r="A32" s="2677"/>
      <c r="B32" s="3169" t="s">
        <v>178</v>
      </c>
      <c r="C32" s="3170" t="s">
        <v>177</v>
      </c>
      <c r="D32" s="3171">
        <f>IFERROR(Real!AF40,0)</f>
        <v>887.39033379184934</v>
      </c>
      <c r="E32" s="3171">
        <f>'R+P'!BB132</f>
        <v>1064.3476519063004</v>
      </c>
      <c r="F32" s="3172">
        <f>+'Comparacion (Sin BM)'!Q47</f>
        <v>978.90255714948728</v>
      </c>
      <c r="G32" s="3172">
        <f>+'Comparacion (Sin BM)'!R47</f>
        <v>1264.0913954643502</v>
      </c>
      <c r="H32" s="3173">
        <f t="shared" si="9"/>
        <v>-285.18883831486289</v>
      </c>
      <c r="I32" s="3174">
        <f t="shared" si="3"/>
        <v>-0.22560776802859409</v>
      </c>
      <c r="J32" s="3172">
        <f>BDGT!$G$55</f>
        <v>1371.3752065384699</v>
      </c>
      <c r="K32" s="3173">
        <f>+F32-J32</f>
        <v>-392.47264938898263</v>
      </c>
      <c r="L32" s="3174">
        <f>K32/J32</f>
        <v>-0.28618910967453964</v>
      </c>
      <c r="M32" s="3172">
        <f>+'0+12'!$G$58</f>
        <v>1415.243430536374</v>
      </c>
      <c r="N32" s="3173">
        <f>F32-M32</f>
        <v>-436.34087338688676</v>
      </c>
      <c r="O32" s="3174">
        <f>N32/M32</f>
        <v>-0.30831506719767254</v>
      </c>
      <c r="P32" s="3172">
        <f>+'Comparacion (Sin BM)'!Q123</f>
        <v>631.80418480531466</v>
      </c>
      <c r="Q32" s="3172">
        <f>+'0+12'!$T$58</f>
        <v>1275.7294159215703</v>
      </c>
      <c r="R32" s="3173">
        <f>P32-Q32</f>
        <v>-643.92523111625565</v>
      </c>
      <c r="S32" s="3174">
        <f t="shared" si="8"/>
        <v>-0.50475063370008788</v>
      </c>
      <c r="T32" s="3172"/>
      <c r="U32" s="3172"/>
      <c r="V32" s="3175"/>
      <c r="W32" s="3172">
        <f>BDGT!$T$55</f>
        <v>1181.6240851300038</v>
      </c>
      <c r="X32" s="3173">
        <f>P32-W32</f>
        <v>-549.81990032468912</v>
      </c>
      <c r="Y32" s="3174">
        <f t="shared" si="1"/>
        <v>-0.46530864362348984</v>
      </c>
      <c r="AA32" s="3171">
        <f>+'ST Original'!GH39</f>
        <v>1261.9244297162038</v>
      </c>
      <c r="AB32" s="3171"/>
      <c r="AC32" s="1852"/>
      <c r="AD32" s="1852"/>
      <c r="AE32" s="1852"/>
      <c r="AF32" s="1852"/>
      <c r="AG32" s="1852"/>
      <c r="AH32" s="1852"/>
      <c r="AI32" s="1852"/>
      <c r="AJ32" s="1852"/>
      <c r="AK32" s="1852"/>
      <c r="AL32" s="1852"/>
      <c r="AM32" s="1852"/>
      <c r="AN32" s="1852"/>
      <c r="AO32" s="1852"/>
    </row>
    <row r="33" spans="1:41" ht="9.75" hidden="1" customHeight="1" outlineLevel="1">
      <c r="A33" s="2677"/>
      <c r="B33" s="2495" t="s">
        <v>164</v>
      </c>
      <c r="C33" s="2496" t="s">
        <v>81</v>
      </c>
      <c r="D33" s="2496"/>
      <c r="E33" s="2496"/>
      <c r="F33" s="2497">
        <f>+'R+P'!BF39</f>
        <v>6716.4506721652806</v>
      </c>
      <c r="G33" s="2497">
        <f>+'ST Original'!BR39</f>
        <v>6726.6134284650625</v>
      </c>
      <c r="H33" s="2498">
        <f t="shared" si="9"/>
        <v>-10.162756299781904</v>
      </c>
      <c r="I33" s="2499">
        <f>H33/G33</f>
        <v>-1.5108280575149584E-3</v>
      </c>
      <c r="J33" s="2497">
        <f>+BDGT!H15</f>
        <v>6700.048219524555</v>
      </c>
      <c r="K33" s="2500">
        <f>+G33-J33</f>
        <v>26.565208940507546</v>
      </c>
      <c r="L33" s="2501">
        <f>+K33/J33</f>
        <v>3.9649280229199085E-3</v>
      </c>
      <c r="M33" s="2497"/>
      <c r="N33" s="2500"/>
      <c r="O33" s="2501"/>
      <c r="P33" s="2497">
        <f>'Comparacion (Sin BM)'!Q106</f>
        <v>8426.8957127773465</v>
      </c>
      <c r="Q33" s="2497">
        <f>+BDGT!$T$13</f>
        <v>168.77709236819251</v>
      </c>
      <c r="R33" s="2500">
        <f>P33-Q33</f>
        <v>8258.1186204091537</v>
      </c>
      <c r="S33" s="2501">
        <f>R33/Q33</f>
        <v>48.929143786846439</v>
      </c>
      <c r="T33" s="2047"/>
      <c r="U33" s="2047">
        <f>P33-T33</f>
        <v>8426.8957127773465</v>
      </c>
      <c r="V33" s="2048"/>
      <c r="W33" s="2488"/>
      <c r="X33" s="1876"/>
      <c r="Y33" s="1850"/>
      <c r="AJ33" s="2612"/>
      <c r="AK33" s="1842"/>
    </row>
    <row r="34" spans="1:41" ht="9" hidden="1" customHeight="1" collapsed="1">
      <c r="A34" s="2677"/>
      <c r="B34" s="2495" t="s">
        <v>165</v>
      </c>
      <c r="C34" s="2496" t="s">
        <v>81</v>
      </c>
      <c r="D34" s="2496"/>
      <c r="E34" s="2496"/>
      <c r="F34" s="2497">
        <f>+'R+P'!BG39</f>
        <v>1895.7866033689991</v>
      </c>
      <c r="G34" s="2497">
        <f>+'ST Original'!BS39</f>
        <v>1748.4423441398249</v>
      </c>
      <c r="H34" s="2498">
        <f t="shared" si="9"/>
        <v>147.34425922917421</v>
      </c>
      <c r="I34" s="2499">
        <f>H34/G34</f>
        <v>8.4271728903741835E-2</v>
      </c>
      <c r="J34" s="2497">
        <f>+BDGT!N16</f>
        <v>1812</v>
      </c>
      <c r="K34" s="2500">
        <f>+G34-J34</f>
        <v>-63.557655860175146</v>
      </c>
      <c r="L34" s="2501">
        <f>+K34/J34</f>
        <v>-3.5075969017756704E-2</v>
      </c>
      <c r="M34" s="2497"/>
      <c r="N34" s="2500"/>
      <c r="O34" s="2501"/>
      <c r="P34" s="2497">
        <f>'Comparacion (Sin BM)'!Q106</f>
        <v>8426.8957127773465</v>
      </c>
      <c r="Q34" s="2497">
        <f>+BDGT!$T$13</f>
        <v>168.77709236819251</v>
      </c>
      <c r="R34" s="2500">
        <f>P34-Q34</f>
        <v>8258.1186204091537</v>
      </c>
      <c r="S34" s="2501">
        <f>R34/Q34</f>
        <v>48.929143786846439</v>
      </c>
      <c r="T34" s="2047"/>
      <c r="U34" s="2047">
        <f>P34-T34</f>
        <v>8426.8957127773465</v>
      </c>
      <c r="V34" s="2048"/>
      <c r="W34" s="2488"/>
      <c r="X34" s="1876"/>
      <c r="Y34" s="1850"/>
      <c r="AC34" s="1914"/>
      <c r="AD34" s="2613"/>
      <c r="AE34" s="2613"/>
    </row>
    <row r="35" spans="1:41" ht="9" hidden="1" customHeight="1">
      <c r="A35" s="2677"/>
      <c r="B35" s="2495" t="s">
        <v>82</v>
      </c>
      <c r="C35" s="2496" t="s">
        <v>48</v>
      </c>
      <c r="D35" s="2496"/>
      <c r="E35" s="2496"/>
      <c r="F35" s="2497">
        <f>+'Comparacion (Sin BM)'!Q30</f>
        <v>67.341177908595625</v>
      </c>
      <c r="G35" s="2497">
        <f>+'Comparacion (Sin BM)'!R30</f>
        <v>73.985882319413648</v>
      </c>
      <c r="H35" s="2498">
        <f t="shared" si="9"/>
        <v>-6.6447044108180222</v>
      </c>
      <c r="I35" s="2499">
        <f>H35/G35</f>
        <v>-8.9810436836197244E-2</v>
      </c>
      <c r="J35" s="2497">
        <f>+BDGT!$E$17</f>
        <v>0</v>
      </c>
      <c r="K35" s="2500">
        <f>+G35-J35</f>
        <v>73.985882319413648</v>
      </c>
      <c r="L35" s="2501" t="e">
        <f>+K35/J35</f>
        <v>#DIV/0!</v>
      </c>
      <c r="M35" s="2497">
        <f>+'BDGT ORI'!M23</f>
        <v>36.101779603582344</v>
      </c>
      <c r="N35" s="2500">
        <f>+G35-M35</f>
        <v>37.884102715831304</v>
      </c>
      <c r="O35" s="2501">
        <f>N35/M35</f>
        <v>1.0493693976258196</v>
      </c>
      <c r="P35" s="2497">
        <f>'Comparacion (Sin BM)'!Q107</f>
        <v>0</v>
      </c>
      <c r="Q35" s="2497">
        <f>+BDGT!$T$17</f>
        <v>0</v>
      </c>
      <c r="R35" s="2500">
        <f>P35-Q35</f>
        <v>0</v>
      </c>
      <c r="S35" s="2501" t="e">
        <f>R35/Q35</f>
        <v>#DIV/0!</v>
      </c>
      <c r="T35" s="2052">
        <f>+'0+12'!$T$23</f>
        <v>0</v>
      </c>
      <c r="U35" s="2052">
        <f>P35-T35</f>
        <v>0</v>
      </c>
      <c r="V35" s="2053" t="e">
        <f>U35/T35</f>
        <v>#DIV/0!</v>
      </c>
      <c r="W35" s="2488"/>
      <c r="X35" s="1911"/>
      <c r="Y35" s="1850"/>
      <c r="AC35" s="1914"/>
      <c r="AD35" s="2613"/>
      <c r="AE35" s="2613"/>
    </row>
    <row r="36" spans="1:41" ht="12" hidden="1" customHeight="1">
      <c r="A36" s="2667"/>
      <c r="B36" s="2495" t="s">
        <v>168</v>
      </c>
      <c r="C36" s="2496" t="s">
        <v>48</v>
      </c>
      <c r="D36" s="2496"/>
      <c r="E36" s="2496"/>
      <c r="F36" s="2500">
        <f>'R+P'!H39</f>
        <v>100.68923823106321</v>
      </c>
      <c r="G36" s="2500">
        <f>+'ST Original'!H39</f>
        <v>93.142816386542236</v>
      </c>
      <c r="H36" s="2498">
        <f t="shared" si="9"/>
        <v>7.5464218445209781</v>
      </c>
      <c r="I36" s="2499">
        <f>H36/G36</f>
        <v>8.1019901880606274E-2</v>
      </c>
      <c r="J36" s="2497"/>
      <c r="K36" s="2500"/>
      <c r="L36" s="2501"/>
      <c r="M36" s="2497"/>
      <c r="N36" s="2500"/>
      <c r="O36" s="2501"/>
      <c r="P36" s="2497"/>
      <c r="Q36" s="2497"/>
      <c r="R36" s="2500"/>
      <c r="S36" s="2501"/>
      <c r="T36" s="2096"/>
      <c r="U36" s="2096">
        <f>P36-T36</f>
        <v>0</v>
      </c>
      <c r="V36" s="2097"/>
      <c r="W36" s="2488"/>
      <c r="X36" s="1911"/>
      <c r="Y36" s="1912"/>
      <c r="Z36" s="1913"/>
      <c r="AA36" s="1913"/>
      <c r="AB36" s="1913"/>
      <c r="AC36" s="1914"/>
      <c r="AD36" s="2613"/>
      <c r="AE36" s="2613"/>
    </row>
    <row r="37" spans="1:41" ht="9" hidden="1" customHeight="1">
      <c r="A37" s="2667"/>
      <c r="B37" s="2495" t="s">
        <v>169</v>
      </c>
      <c r="C37" s="2496" t="s">
        <v>48</v>
      </c>
      <c r="D37" s="2496"/>
      <c r="E37" s="2496"/>
      <c r="F37" s="2500">
        <f>+'ST Original'!I39</f>
        <v>98.723712855664047</v>
      </c>
      <c r="G37" s="2500">
        <f>+'ST Original'!I39</f>
        <v>98.723712855664047</v>
      </c>
      <c r="H37" s="2498">
        <f t="shared" si="9"/>
        <v>0</v>
      </c>
      <c r="I37" s="2499">
        <f>H37/G37</f>
        <v>0</v>
      </c>
      <c r="J37" s="2497"/>
      <c r="K37" s="2500"/>
      <c r="L37" s="2501"/>
      <c r="M37" s="2497"/>
      <c r="N37" s="2500"/>
      <c r="O37" s="2501"/>
      <c r="P37" s="2497"/>
      <c r="Q37" s="2497"/>
      <c r="R37" s="2500"/>
      <c r="S37" s="2501"/>
      <c r="T37" s="2096"/>
      <c r="U37" s="2096">
        <f>P37-T37</f>
        <v>0</v>
      </c>
      <c r="V37" s="2097"/>
      <c r="W37" s="1911"/>
      <c r="X37" s="1911"/>
      <c r="Y37" s="1912"/>
      <c r="Z37" s="1913"/>
      <c r="AA37" s="1913"/>
      <c r="AB37" s="1913"/>
      <c r="AC37" s="1914"/>
      <c r="AD37" s="2614"/>
      <c r="AE37" s="2614"/>
    </row>
    <row r="38" spans="1:41">
      <c r="A38" s="2667"/>
      <c r="AC38" s="1914"/>
      <c r="AD38" s="2614"/>
      <c r="AE38" s="2614"/>
    </row>
    <row r="39" spans="1:41">
      <c r="A39" s="2667"/>
      <c r="C39" s="3055"/>
      <c r="D39" s="3055">
        <f>+D5*0.9644-D6</f>
        <v>-8.5997503999330149E-2</v>
      </c>
      <c r="E39" s="3055"/>
      <c r="F39" s="3055">
        <f>F6/0.9644-F5</f>
        <v>1.8415308262916597E-2</v>
      </c>
      <c r="G39" s="3055">
        <f>G6/0.96-G5</f>
        <v>4.6018428614196694E-2</v>
      </c>
      <c r="H39" s="3055"/>
      <c r="I39" s="3055"/>
      <c r="J39" s="3055">
        <f>J6/0.9644-J5</f>
        <v>-4.2698112817660672E-2</v>
      </c>
      <c r="K39" s="3055"/>
    </row>
    <row r="40" spans="1:41">
      <c r="B40" s="1841">
        <f>2600*0.91</f>
        <v>2366</v>
      </c>
      <c r="C40" s="3055"/>
      <c r="D40" s="3055">
        <f>D39/(D23/100)</f>
        <v>-0.33163173257840889</v>
      </c>
      <c r="E40" s="3055"/>
      <c r="F40" s="3055">
        <f>F39/(F23/100)</f>
        <v>6.9737789641863224E-2</v>
      </c>
      <c r="G40" s="3055">
        <f>G39/(G23/100)</f>
        <v>0.17185351837190913</v>
      </c>
      <c r="H40" s="3055"/>
      <c r="I40" s="3055"/>
      <c r="J40" s="3055">
        <f>J39/(J23/100)</f>
        <v>-0.1529373399401108</v>
      </c>
      <c r="K40" s="3055"/>
      <c r="L40" s="2502"/>
      <c r="M40" s="2502"/>
      <c r="N40" s="2502"/>
      <c r="O40" s="2502"/>
      <c r="P40" s="2502"/>
      <c r="Q40" s="2502"/>
      <c r="R40" s="2502"/>
      <c r="S40" s="2502"/>
      <c r="T40" s="2502"/>
      <c r="U40" s="2502"/>
      <c r="V40" s="1841"/>
    </row>
    <row r="41" spans="1:41">
      <c r="B41" s="1841">
        <v>605</v>
      </c>
      <c r="D41" s="1918"/>
      <c r="E41" s="1918"/>
      <c r="F41" s="1931"/>
      <c r="G41" s="1914"/>
      <c r="H41" s="1914"/>
      <c r="I41" s="1914"/>
      <c r="J41" s="1914"/>
      <c r="K41" s="1914"/>
      <c r="L41" s="1914"/>
      <c r="M41" s="1914"/>
      <c r="N41" s="1916"/>
      <c r="O41" s="1916"/>
      <c r="P41" s="1914"/>
      <c r="Q41" s="1928"/>
      <c r="R41" s="1928"/>
      <c r="S41" s="1928"/>
      <c r="T41" s="1928"/>
      <c r="U41" s="1911"/>
      <c r="V41" s="1841"/>
    </row>
    <row r="42" spans="1:41" ht="15.5">
      <c r="A42" s="4459">
        <v>1</v>
      </c>
      <c r="B42" s="3874" t="s">
        <v>1808</v>
      </c>
      <c r="C42" s="3874"/>
      <c r="D42" s="3875"/>
      <c r="E42" s="3876"/>
      <c r="F42" s="3877"/>
      <c r="G42" s="3878"/>
      <c r="H42" s="3878"/>
      <c r="I42" s="3878"/>
      <c r="J42" s="3878"/>
      <c r="K42" s="1933"/>
      <c r="L42" s="1933"/>
      <c r="M42" s="1933"/>
      <c r="N42" s="1916"/>
      <c r="O42" s="1916"/>
      <c r="P42" s="1914"/>
      <c r="Q42" s="1916"/>
      <c r="R42" s="1916"/>
      <c r="S42" s="1916"/>
      <c r="T42" s="1916"/>
      <c r="U42" s="1911"/>
      <c r="V42" s="1841"/>
      <c r="AH42" s="1930"/>
    </row>
    <row r="43" spans="1:41">
      <c r="A43" s="4460"/>
      <c r="B43" s="3881"/>
      <c r="C43" s="3860" t="s">
        <v>1345</v>
      </c>
      <c r="D43" s="3868" t="s">
        <v>22</v>
      </c>
      <c r="E43" s="3860" t="s">
        <v>24</v>
      </c>
      <c r="F43" s="3860" t="s">
        <v>25</v>
      </c>
      <c r="G43" s="3860" t="s">
        <v>797</v>
      </c>
      <c r="H43" s="3872" t="s">
        <v>1065</v>
      </c>
      <c r="I43" s="3861" t="s">
        <v>1321</v>
      </c>
      <c r="J43" s="3873" t="s">
        <v>1422</v>
      </c>
      <c r="K43" s="1914"/>
      <c r="L43" s="1914"/>
      <c r="M43" s="1914"/>
      <c r="N43" s="1916"/>
      <c r="O43" s="1916"/>
      <c r="P43" s="1932"/>
      <c r="Q43" s="1916"/>
      <c r="R43" s="1916"/>
      <c r="S43" s="1916"/>
      <c r="T43" s="1916"/>
      <c r="U43" s="1911"/>
      <c r="V43" s="1841"/>
      <c r="AC43" s="2615" t="s">
        <v>25</v>
      </c>
      <c r="AD43" s="2615" t="s">
        <v>28</v>
      </c>
      <c r="AE43" s="2615" t="s">
        <v>29</v>
      </c>
      <c r="AG43" s="2615"/>
      <c r="AH43" s="2615" t="s">
        <v>22</v>
      </c>
      <c r="AI43" s="2615" t="s">
        <v>23</v>
      </c>
      <c r="AJ43" s="2615" t="s">
        <v>24</v>
      </c>
      <c r="AK43" s="2615" t="s">
        <v>25</v>
      </c>
      <c r="AL43" s="2615" t="s">
        <v>28</v>
      </c>
      <c r="AM43" s="2615" t="s">
        <v>29</v>
      </c>
    </row>
    <row r="44" spans="1:41">
      <c r="A44" s="4460"/>
      <c r="B44" s="3882" t="s">
        <v>174</v>
      </c>
      <c r="C44" s="2621">
        <f>+G16</f>
        <v>92.650688634835248</v>
      </c>
      <c r="D44" s="2620">
        <f>+G12</f>
        <v>8497.0539513238637</v>
      </c>
      <c r="E44" s="2622">
        <f>+G20</f>
        <v>0.5354493276828427</v>
      </c>
      <c r="F44" s="2621">
        <f>+G21</f>
        <v>90.294153352101702</v>
      </c>
      <c r="G44" s="2623">
        <f>+(G6-G5*$C51)*1000</f>
        <v>-12.459011866781111</v>
      </c>
      <c r="H44" s="3862">
        <f>+C44*24*D44*E44*F44*($D$2+$E$2)/1000000</f>
        <v>28318.351668204938</v>
      </c>
      <c r="I44" s="3869">
        <f>H44</f>
        <v>28318.351668204938</v>
      </c>
      <c r="J44" s="3869">
        <f>+G6*1000</f>
        <v>27229.795292946368</v>
      </c>
      <c r="K44" s="1933"/>
      <c r="L44" s="1933"/>
      <c r="M44" s="1933"/>
      <c r="N44" s="1916"/>
      <c r="O44" s="1916"/>
      <c r="P44" s="1932"/>
      <c r="Q44" s="1928"/>
      <c r="R44" s="1928"/>
      <c r="S44" s="1928"/>
      <c r="T44" s="1928"/>
      <c r="U44" s="1911"/>
      <c r="V44" s="1841"/>
      <c r="AC44" s="1962" t="e">
        <f>+#REF!</f>
        <v>#REF!</v>
      </c>
      <c r="AD44" s="1908" t="e">
        <f>+X46*Y46*AC44/10</f>
        <v>#REF!</v>
      </c>
      <c r="AE44" s="1908" t="e">
        <f>+AD44</f>
        <v>#REF!</v>
      </c>
      <c r="AG44" s="1843" t="s">
        <v>1263</v>
      </c>
      <c r="AH44" s="1961">
        <f>M12</f>
        <v>8052.7227724777731</v>
      </c>
      <c r="AI44" s="1962">
        <f>M16</f>
        <v>94.409794889038338</v>
      </c>
      <c r="AJ44" s="1962">
        <f>M20</f>
        <v>0.56467653298977216</v>
      </c>
      <c r="AK44" s="1962">
        <f>M21</f>
        <v>90.433416356934018</v>
      </c>
      <c r="AL44" s="1908">
        <f t="shared" ref="AL44:AL49" si="10">+(AH44*AI44*24*$AS$20/1000000)*AJ44*AK44</f>
        <v>13510.384948213179</v>
      </c>
      <c r="AM44" s="1908">
        <f>+AL44</f>
        <v>13510.384948213179</v>
      </c>
      <c r="AN44" s="1841">
        <v>31</v>
      </c>
      <c r="AO44" s="1841" t="s">
        <v>172</v>
      </c>
    </row>
    <row r="45" spans="1:41">
      <c r="A45" s="4460"/>
      <c r="B45" s="3882" t="s">
        <v>1345</v>
      </c>
      <c r="C45" s="2624">
        <f>+F16</f>
        <v>92.324230243716514</v>
      </c>
      <c r="D45" s="2620">
        <f>D44</f>
        <v>8497.0539513238637</v>
      </c>
      <c r="E45" s="2622">
        <f>E44</f>
        <v>0.5354493276828427</v>
      </c>
      <c r="F45" s="2621">
        <f>F44</f>
        <v>90.294153352101702</v>
      </c>
      <c r="G45" s="2623">
        <f>+G44</f>
        <v>-12.459011866781111</v>
      </c>
      <c r="H45" s="3862">
        <f>+C45*24*D45*E45*F45*($D$2+$E$2)/1000000</f>
        <v>28218.570828354164</v>
      </c>
      <c r="I45" s="3869">
        <f>H45-H44</f>
        <v>-99.780839850773191</v>
      </c>
      <c r="J45" s="3869">
        <f>+I45*$C$51</f>
        <v>-95.989167936443806</v>
      </c>
      <c r="K45" s="1914"/>
      <c r="L45" s="1914"/>
      <c r="M45" s="1914"/>
      <c r="N45" s="1916"/>
      <c r="O45" s="1916"/>
      <c r="P45" s="1914"/>
      <c r="Q45" s="1916"/>
      <c r="R45" s="1916"/>
      <c r="S45" s="1916"/>
      <c r="T45" s="1916"/>
      <c r="U45" s="1911"/>
      <c r="V45" s="1841"/>
      <c r="AB45" s="1841">
        <v>15</v>
      </c>
      <c r="AC45" s="1962" t="e">
        <f>AC44</f>
        <v>#REF!</v>
      </c>
      <c r="AD45" s="1908" t="e">
        <f>+X47*Y47*AC45/10</f>
        <v>#REF!</v>
      </c>
      <c r="AE45" s="1908" t="e">
        <f>+AD45-AD44</f>
        <v>#REF!</v>
      </c>
      <c r="AG45" s="1967" t="s">
        <v>36</v>
      </c>
      <c r="AH45" s="1968">
        <f>F12</f>
        <v>8494.5649703748313</v>
      </c>
      <c r="AI45" s="1962">
        <f>+AI44</f>
        <v>94.409794889038338</v>
      </c>
      <c r="AJ45" s="1962">
        <f>+$AJ$44</f>
        <v>0.56467653298977216</v>
      </c>
      <c r="AK45" s="1962">
        <f>+$AK$44</f>
        <v>90.433416356934018</v>
      </c>
      <c r="AL45" s="1908">
        <f t="shared" si="10"/>
        <v>14251.681817435598</v>
      </c>
      <c r="AM45" s="1908">
        <f>+AL45-AL44</f>
        <v>741.29686922241854</v>
      </c>
    </row>
    <row r="46" spans="1:41">
      <c r="A46" s="4460"/>
      <c r="B46" s="3882" t="s">
        <v>22</v>
      </c>
      <c r="C46" s="2624">
        <f>C45</f>
        <v>92.324230243716514</v>
      </c>
      <c r="D46" s="2339">
        <f>+F12</f>
        <v>8494.5649703748313</v>
      </c>
      <c r="E46" s="2622">
        <f>E44</f>
        <v>0.5354493276828427</v>
      </c>
      <c r="F46" s="2621">
        <f>F44</f>
        <v>90.294153352101702</v>
      </c>
      <c r="G46" s="2623">
        <f>G44</f>
        <v>-12.459011866781111</v>
      </c>
      <c r="H46" s="3862">
        <f>+C46*24*D46*E46*F46*($D$2+$E$2)/1000000</f>
        <v>28210.304965196996</v>
      </c>
      <c r="I46" s="3869">
        <f>H46-H45</f>
        <v>-8.2658631571684964</v>
      </c>
      <c r="J46" s="3869">
        <f>+I46*$C$51</f>
        <v>-7.9517603571960933</v>
      </c>
      <c r="U46" s="1918"/>
      <c r="V46" s="1841"/>
      <c r="AB46" s="1841">
        <f>7+24*5</f>
        <v>127</v>
      </c>
      <c r="AC46" s="1962" t="e">
        <f>AC44</f>
        <v>#REF!</v>
      </c>
      <c r="AD46" s="1908" t="e">
        <f>+X48*Y48*AC46/10</f>
        <v>#REF!</v>
      </c>
      <c r="AE46" s="1908" t="e">
        <f>+AD46-AD45</f>
        <v>#REF!</v>
      </c>
      <c r="AG46" s="1967" t="s">
        <v>41</v>
      </c>
      <c r="AH46" s="1968">
        <f>AH45</f>
        <v>8494.5649703748313</v>
      </c>
      <c r="AI46" s="1969">
        <f>F16</f>
        <v>92.324230243716514</v>
      </c>
      <c r="AJ46" s="1962">
        <f>+$AJ$44</f>
        <v>0.56467653298977216</v>
      </c>
      <c r="AK46" s="1962">
        <f>+$AK$44</f>
        <v>90.433416356934018</v>
      </c>
      <c r="AL46" s="1908">
        <f t="shared" si="10"/>
        <v>13936.854274702835</v>
      </c>
      <c r="AM46" s="1908">
        <f>+AL46-AL45</f>
        <v>-314.82754273276259</v>
      </c>
    </row>
    <row r="47" spans="1:41">
      <c r="A47" s="4460"/>
      <c r="B47" s="3882" t="s">
        <v>1167</v>
      </c>
      <c r="C47" s="2624">
        <f>C45</f>
        <v>92.324230243716514</v>
      </c>
      <c r="D47" s="2339">
        <f>D46</f>
        <v>8494.5649703748313</v>
      </c>
      <c r="E47" s="2625">
        <f>+F20</f>
        <v>0.5187562183850154</v>
      </c>
      <c r="F47" s="2621">
        <f>F44</f>
        <v>90.294153352101702</v>
      </c>
      <c r="G47" s="2623">
        <f>G44</f>
        <v>-12.459011866781111</v>
      </c>
      <c r="H47" s="3862">
        <f>+C47*24*D47*E47*F47*($D$2+$E$2)/1000000</f>
        <v>27330.823602979268</v>
      </c>
      <c r="I47" s="3869">
        <f>H47-H46</f>
        <v>-879.48136221772802</v>
      </c>
      <c r="J47" s="3869">
        <f>+I47*$C$51</f>
        <v>-846.06107045345436</v>
      </c>
      <c r="U47" s="1918"/>
      <c r="V47" s="1841"/>
      <c r="AC47" s="1969">
        <f>F21</f>
        <v>90.397219242975567</v>
      </c>
      <c r="AD47" s="1908">
        <f>+X49*Y49*AC47/10</f>
        <v>0</v>
      </c>
      <c r="AE47" s="1908" t="e">
        <f>+AD47-AD46</f>
        <v>#REF!</v>
      </c>
      <c r="AG47" s="1967" t="s">
        <v>1167</v>
      </c>
      <c r="AH47" s="1968">
        <f>AH45</f>
        <v>8494.5649703748313</v>
      </c>
      <c r="AI47" s="1969">
        <f>AI46</f>
        <v>92.324230243716514</v>
      </c>
      <c r="AJ47" s="1969">
        <f>F20</f>
        <v>0.5187562183850154</v>
      </c>
      <c r="AK47" s="1962">
        <f>+$AK$44</f>
        <v>90.433416356934018</v>
      </c>
      <c r="AL47" s="1908">
        <f t="shared" si="10"/>
        <v>12803.489072670269</v>
      </c>
      <c r="AM47" s="1908">
        <f>+AL47-AL46</f>
        <v>-1133.3652020325662</v>
      </c>
    </row>
    <row r="48" spans="1:41">
      <c r="A48" s="4460"/>
      <c r="B48" s="3882" t="s">
        <v>51</v>
      </c>
      <c r="C48" s="2624">
        <f>C45</f>
        <v>92.324230243716514</v>
      </c>
      <c r="D48" s="2339">
        <f>D46</f>
        <v>8494.5649703748313</v>
      </c>
      <c r="E48" s="2625">
        <f>E47</f>
        <v>0.5187562183850154</v>
      </c>
      <c r="F48" s="2624">
        <f>+F21</f>
        <v>90.397219242975567</v>
      </c>
      <c r="G48" s="2623">
        <f>G44</f>
        <v>-12.459011866781111</v>
      </c>
      <c r="H48" s="3862">
        <f>+C48*24*D48*E48*F48*($D$2+$E$2)/1000000</f>
        <v>27362.020259444645</v>
      </c>
      <c r="I48" s="3869">
        <f>H48-H47</f>
        <v>31.1966564653776</v>
      </c>
      <c r="J48" s="3869">
        <f>+I48*$C$51</f>
        <v>30.011183519693251</v>
      </c>
      <c r="U48" s="1918"/>
      <c r="V48" s="1841"/>
      <c r="AC48" s="1969">
        <f>AC47</f>
        <v>90.397219242975567</v>
      </c>
      <c r="AD48" s="1908">
        <f>+X50*Y50*AC48/10</f>
        <v>0</v>
      </c>
      <c r="AE48" s="1908" t="e">
        <f>+SUM(AE44:AE47)</f>
        <v>#REF!</v>
      </c>
      <c r="AG48" s="1967" t="s">
        <v>51</v>
      </c>
      <c r="AH48" s="1968">
        <f>AH45</f>
        <v>8494.5649703748313</v>
      </c>
      <c r="AI48" s="1969">
        <f>AI46</f>
        <v>92.324230243716514</v>
      </c>
      <c r="AJ48" s="1969">
        <f>AJ47</f>
        <v>0.5187562183850154</v>
      </c>
      <c r="AK48" s="1969">
        <f>F21</f>
        <v>90.397219242975567</v>
      </c>
      <c r="AL48" s="1908">
        <f t="shared" si="10"/>
        <v>12798.364314901524</v>
      </c>
      <c r="AM48" s="1908">
        <f>+AL48-AL47</f>
        <v>-5.12475776874453</v>
      </c>
    </row>
    <row r="49" spans="1:39">
      <c r="A49" s="4460"/>
      <c r="B49" s="3883" t="s">
        <v>797</v>
      </c>
      <c r="C49" s="2624">
        <f>C45</f>
        <v>92.324230243716514</v>
      </c>
      <c r="D49" s="2339">
        <f>D46</f>
        <v>8494.5649703748313</v>
      </c>
      <c r="E49" s="2625">
        <f>E47</f>
        <v>0.5187562183850154</v>
      </c>
      <c r="F49" s="2624">
        <f>F48</f>
        <v>90.397219242975567</v>
      </c>
      <c r="G49" s="2337">
        <f>+(F6-F5*$C51)*1000</f>
        <v>83.428571911426275</v>
      </c>
      <c r="H49" s="3862">
        <f t="shared" ref="H49" si="11">C49*D49*24*31/100*E49/100*F49/100+G49</f>
        <v>27445.448831356076</v>
      </c>
      <c r="I49" s="3869">
        <f>H49-H48+G44</f>
        <v>70.96956004464937</v>
      </c>
      <c r="J49" s="3869">
        <f>+G49</f>
        <v>83.428571911426275</v>
      </c>
      <c r="U49" s="1911"/>
      <c r="V49" s="1841"/>
      <c r="AG49" s="1967" t="s">
        <v>174</v>
      </c>
      <c r="AH49" s="1968">
        <f>AH45</f>
        <v>8494.5649703748313</v>
      </c>
      <c r="AI49" s="1969">
        <f>AI46</f>
        <v>92.324230243716514</v>
      </c>
      <c r="AJ49" s="1969">
        <f>AJ47</f>
        <v>0.5187562183850154</v>
      </c>
      <c r="AK49" s="1969">
        <f>AK48</f>
        <v>90.397219242975567</v>
      </c>
      <c r="AL49" s="1908">
        <f t="shared" si="10"/>
        <v>12798.364314901524</v>
      </c>
      <c r="AM49" s="1908">
        <f>SUM(AM44:AM48)</f>
        <v>12798.364314901524</v>
      </c>
    </row>
    <row r="50" spans="1:39">
      <c r="A50" s="4460"/>
      <c r="B50" s="3884" t="s">
        <v>1805</v>
      </c>
      <c r="C50" s="3870">
        <f>C45</f>
        <v>92.324230243716514</v>
      </c>
      <c r="D50" s="3871">
        <f>D46</f>
        <v>8494.5649703748313</v>
      </c>
      <c r="E50" s="3866">
        <f>E47</f>
        <v>0.5187562183850154</v>
      </c>
      <c r="F50" s="3867">
        <f>F48</f>
        <v>90.397219242975567</v>
      </c>
      <c r="G50" s="3865">
        <f>G49</f>
        <v>83.428571911426275</v>
      </c>
      <c r="H50" s="3863">
        <f>+C50*24*D50*E50*F50*($D$2+$E$2)/1000000</f>
        <v>27362.020259444645</v>
      </c>
      <c r="I50" s="3864">
        <f>+SUM(I44:I49)</f>
        <v>27432.989819489296</v>
      </c>
      <c r="J50" s="3864">
        <f>+SUM(J44:J49)-G44</f>
        <v>26405.692061497175</v>
      </c>
      <c r="U50" s="1918"/>
      <c r="V50" s="1841"/>
    </row>
    <row r="51" spans="1:39">
      <c r="A51" s="4461"/>
      <c r="B51" s="3879" t="s">
        <v>1804</v>
      </c>
      <c r="C51" s="3880">
        <f>+'ST Original'!$AV$8</f>
        <v>0.96199999999999997</v>
      </c>
      <c r="U51" s="1911"/>
      <c r="V51" s="1841"/>
    </row>
    <row r="52" spans="1:39">
      <c r="C52" s="1841"/>
      <c r="U52" s="1911"/>
      <c r="V52" s="1841"/>
    </row>
    <row r="53" spans="1:39">
      <c r="C53" s="1841"/>
      <c r="G53" s="1841" t="s">
        <v>1806</v>
      </c>
      <c r="H53" s="1841">
        <v>-9</v>
      </c>
      <c r="U53" s="1911"/>
      <c r="V53" s="1841"/>
      <c r="AC53" s="2616"/>
      <c r="AD53" s="2616"/>
      <c r="AE53" s="2616"/>
      <c r="AF53" s="2616"/>
      <c r="AG53" s="2616"/>
      <c r="AH53" s="2616"/>
      <c r="AI53" s="2616"/>
      <c r="AJ53" s="2616"/>
      <c r="AK53" s="2616"/>
      <c r="AL53" s="2616"/>
      <c r="AM53" s="2616"/>
    </row>
    <row r="54" spans="1:39" ht="15.5">
      <c r="A54" s="4459">
        <v>2</v>
      </c>
      <c r="B54" s="3874" t="s">
        <v>1809</v>
      </c>
      <c r="C54" s="3874"/>
      <c r="D54" s="3875"/>
      <c r="E54" s="3876"/>
      <c r="F54" s="3877"/>
      <c r="G54" s="3878"/>
      <c r="H54" s="3878"/>
      <c r="I54" s="3878"/>
      <c r="J54" s="3878"/>
      <c r="K54" s="1933"/>
      <c r="L54" s="1933"/>
      <c r="M54" s="1933"/>
      <c r="N54" s="1916"/>
      <c r="O54" s="1916"/>
      <c r="P54" s="1914"/>
      <c r="Q54" s="1916"/>
      <c r="R54" s="1916"/>
      <c r="S54" s="1916"/>
      <c r="T54" s="1916"/>
      <c r="U54" s="1911"/>
      <c r="V54" s="1841"/>
    </row>
    <row r="55" spans="1:39">
      <c r="A55" s="4460"/>
      <c r="B55" s="3881"/>
      <c r="C55" s="3860" t="s">
        <v>1345</v>
      </c>
      <c r="D55" s="3868" t="s">
        <v>22</v>
      </c>
      <c r="E55" s="3860" t="s">
        <v>24</v>
      </c>
      <c r="F55" s="3860" t="s">
        <v>25</v>
      </c>
      <c r="G55" s="3860" t="s">
        <v>797</v>
      </c>
      <c r="H55" s="3872" t="s">
        <v>1065</v>
      </c>
      <c r="I55" s="3861" t="s">
        <v>1321</v>
      </c>
      <c r="J55" s="3873" t="s">
        <v>1422</v>
      </c>
      <c r="K55" s="1914"/>
      <c r="L55" s="1914"/>
      <c r="M55" s="1914"/>
      <c r="N55" s="1916"/>
      <c r="O55" s="1916"/>
      <c r="P55" s="1932"/>
      <c r="Q55" s="1916"/>
      <c r="R55" s="1916"/>
      <c r="S55" s="1916"/>
      <c r="T55" s="1916"/>
      <c r="U55" s="1911"/>
      <c r="V55" s="1841"/>
    </row>
    <row r="56" spans="1:39">
      <c r="A56" s="4460"/>
      <c r="B56" s="3882" t="s">
        <v>174</v>
      </c>
      <c r="C56" s="2621">
        <f>+AA16</f>
        <v>88.216548475401808</v>
      </c>
      <c r="D56" s="2620">
        <f>+AA12</f>
        <v>8414.2411591830714</v>
      </c>
      <c r="E56" s="2622">
        <f>+AA20</f>
        <v>0.51107741857165567</v>
      </c>
      <c r="F56" s="2621">
        <f>+AA21</f>
        <v>90.302073381744648</v>
      </c>
      <c r="G56" s="2623">
        <f>+(AA$6-AA$5*$C$63)*1000</f>
        <v>-911.3238255496085</v>
      </c>
      <c r="H56" s="3862">
        <f>+C56*24*D56*E56*F56*($D$2)/1000000+$H$53</f>
        <v>13556.77524077785</v>
      </c>
      <c r="I56" s="3869">
        <f>H56</f>
        <v>13556.77524077785</v>
      </c>
      <c r="J56" s="3869">
        <f>+AA6*1000</f>
        <v>12114.235353304062</v>
      </c>
      <c r="K56" s="1933"/>
      <c r="L56" s="1933"/>
      <c r="M56" s="1933"/>
      <c r="N56" s="1916"/>
      <c r="O56" s="1916"/>
      <c r="P56" s="1932"/>
      <c r="Q56" s="1928"/>
      <c r="R56" s="1928"/>
      <c r="S56" s="1928"/>
      <c r="T56" s="1928"/>
      <c r="U56" s="1911"/>
      <c r="V56" s="1841"/>
      <c r="AA56" s="2611">
        <f>+J56</f>
        <v>12114.235353304062</v>
      </c>
    </row>
    <row r="57" spans="1:39">
      <c r="A57" s="4460"/>
      <c r="B57" s="3882" t="s">
        <v>1345</v>
      </c>
      <c r="C57" s="2624">
        <f>+D16</f>
        <v>88.117327699326225</v>
      </c>
      <c r="D57" s="2620">
        <f>D56</f>
        <v>8414.2411591830714</v>
      </c>
      <c r="E57" s="2622">
        <f>E56</f>
        <v>0.51107741857165567</v>
      </c>
      <c r="F57" s="2621">
        <f>F56</f>
        <v>90.302073381744648</v>
      </c>
      <c r="G57" s="2623">
        <f>+G56</f>
        <v>-911.3238255496085</v>
      </c>
      <c r="H57" s="3862">
        <f t="shared" ref="H57:H61" si="12">+C57*24*D57*E57*F57*($D$2)/1000000</f>
        <v>13550.517256071811</v>
      </c>
      <c r="I57" s="3869">
        <f>H57-H56</f>
        <v>-6.2579847060387692</v>
      </c>
      <c r="J57" s="3869">
        <f>+I57*$C$51</f>
        <v>-6.0201812872092955</v>
      </c>
      <c r="K57" s="1914"/>
      <c r="L57" s="1914"/>
      <c r="M57" s="1914"/>
      <c r="N57" s="1916"/>
      <c r="O57" s="1916"/>
      <c r="P57" s="1914"/>
      <c r="Q57" s="1916"/>
      <c r="R57" s="1916"/>
      <c r="S57" s="1916"/>
      <c r="T57" s="1916"/>
      <c r="U57" s="1911"/>
      <c r="V57" s="1841"/>
      <c r="AA57" s="2611">
        <f>+J57+J58</f>
        <v>-81.604126585360774</v>
      </c>
    </row>
    <row r="58" spans="1:39">
      <c r="A58" s="4460"/>
      <c r="B58" s="3882" t="s">
        <v>22</v>
      </c>
      <c r="C58" s="2624">
        <f>C57</f>
        <v>88.117327699326225</v>
      </c>
      <c r="D58" s="2339">
        <f>+D12</f>
        <v>8365.4530972161592</v>
      </c>
      <c r="E58" s="2622">
        <f>E56</f>
        <v>0.51107741857165567</v>
      </c>
      <c r="F58" s="2621">
        <f>F56</f>
        <v>90.302073381744648</v>
      </c>
      <c r="G58" s="2623">
        <f>G56</f>
        <v>-911.3238255496085</v>
      </c>
      <c r="H58" s="3862">
        <f t="shared" si="12"/>
        <v>13471.947666364793</v>
      </c>
      <c r="I58" s="3869">
        <f>H58-H57</f>
        <v>-78.569589707018167</v>
      </c>
      <c r="J58" s="3869">
        <f>+I58*$C$51</f>
        <v>-75.583945298151477</v>
      </c>
      <c r="U58" s="1918"/>
      <c r="V58" s="1841"/>
      <c r="AA58" s="2611">
        <f>+J59</f>
        <v>-522.63681526253902</v>
      </c>
    </row>
    <row r="59" spans="1:39">
      <c r="A59" s="4460"/>
      <c r="B59" s="3882" t="s">
        <v>1167</v>
      </c>
      <c r="C59" s="2624">
        <f>C57</f>
        <v>88.117327699326225</v>
      </c>
      <c r="D59" s="2339">
        <f>D58</f>
        <v>8365.4530972161592</v>
      </c>
      <c r="E59" s="2625">
        <f>+D20</f>
        <v>0.49046726479369607</v>
      </c>
      <c r="F59" s="2621">
        <f>F56</f>
        <v>90.302073381744648</v>
      </c>
      <c r="G59" s="2623">
        <f>G56</f>
        <v>-911.3238255496085</v>
      </c>
      <c r="H59" s="3862">
        <f t="shared" si="12"/>
        <v>12928.666153617871</v>
      </c>
      <c r="I59" s="3869">
        <f>H59-H58</f>
        <v>-543.28151274692209</v>
      </c>
      <c r="J59" s="3869">
        <f>+I59*$C$51</f>
        <v>-522.63681526253902</v>
      </c>
      <c r="U59" s="1918"/>
      <c r="V59" s="1841"/>
      <c r="AA59" s="2611">
        <f>+J60</f>
        <v>43.951032055344506</v>
      </c>
    </row>
    <row r="60" spans="1:39">
      <c r="A60" s="4460"/>
      <c r="B60" s="3882" t="s">
        <v>51</v>
      </c>
      <c r="C60" s="2624">
        <f>C57</f>
        <v>88.117327699326225</v>
      </c>
      <c r="D60" s="2339">
        <f>D58</f>
        <v>8365.4530972161592</v>
      </c>
      <c r="E60" s="2625">
        <f>E59</f>
        <v>0.49046726479369607</v>
      </c>
      <c r="F60" s="2624">
        <f>+D21</f>
        <v>90.621181612764147</v>
      </c>
      <c r="G60" s="2623">
        <f>G56</f>
        <v>-911.3238255496085</v>
      </c>
      <c r="H60" s="3862">
        <f t="shared" si="12"/>
        <v>12974.353297126545</v>
      </c>
      <c r="I60" s="3869">
        <f>H60-H59</f>
        <v>45.687143508674126</v>
      </c>
      <c r="J60" s="3869">
        <f>+I60*$C$51</f>
        <v>43.951032055344506</v>
      </c>
      <c r="U60" s="1918"/>
      <c r="V60" s="1841"/>
      <c r="AA60" s="2611">
        <f>+J61</f>
        <v>117.13595191243442</v>
      </c>
    </row>
    <row r="61" spans="1:39">
      <c r="A61" s="4460"/>
      <c r="B61" s="3883" t="s">
        <v>797</v>
      </c>
      <c r="C61" s="2624">
        <f>C57</f>
        <v>88.117327699326225</v>
      </c>
      <c r="D61" s="2339">
        <f>D58</f>
        <v>8365.4530972161592</v>
      </c>
      <c r="E61" s="2625">
        <f>E59</f>
        <v>0.49046726479369607</v>
      </c>
      <c r="F61" s="2624">
        <f>F60</f>
        <v>90.621181612764147</v>
      </c>
      <c r="G61" s="2337">
        <f>+(D6-D5*$C63)*1000</f>
        <v>117.13595191243442</v>
      </c>
      <c r="H61" s="3862">
        <f t="shared" si="12"/>
        <v>12974.353297126545</v>
      </c>
      <c r="I61" s="3869">
        <f>H61-H60+G56</f>
        <v>-911.3238255496085</v>
      </c>
      <c r="J61" s="3869">
        <f>+G61</f>
        <v>117.13595191243442</v>
      </c>
      <c r="U61" s="1911"/>
      <c r="V61" s="1841"/>
    </row>
    <row r="62" spans="1:39">
      <c r="A62" s="4460"/>
      <c r="B62" s="3884" t="s">
        <v>1805</v>
      </c>
      <c r="C62" s="3870">
        <f>C57</f>
        <v>88.117327699326225</v>
      </c>
      <c r="D62" s="3871">
        <f>D58</f>
        <v>8365.4530972161592</v>
      </c>
      <c r="E62" s="3866">
        <f>E59</f>
        <v>0.49046726479369607</v>
      </c>
      <c r="F62" s="3867">
        <f>F60</f>
        <v>90.621181612764147</v>
      </c>
      <c r="G62" s="3865">
        <f>G61</f>
        <v>117.13595191243442</v>
      </c>
      <c r="H62" s="3863">
        <f>+C62*24*D62*E62*F62*($D$2+$E$2)/1000000</f>
        <v>24376.057709752899</v>
      </c>
      <c r="I62" s="3864">
        <f>+SUM(I56:I61)</f>
        <v>12063.029471576936</v>
      </c>
      <c r="J62" s="3864">
        <f>+SUM(J56:J61)</f>
        <v>11671.081395423942</v>
      </c>
      <c r="U62" s="1918"/>
      <c r="V62" s="1841"/>
    </row>
    <row r="63" spans="1:39">
      <c r="A63" s="4461"/>
      <c r="B63" s="3879" t="s">
        <v>1804</v>
      </c>
      <c r="C63" s="3880">
        <f>+'ST Original'!$AV$8</f>
        <v>0.96199999999999997</v>
      </c>
      <c r="U63" s="1911"/>
      <c r="V63" s="1841"/>
    </row>
    <row r="64" spans="1:39">
      <c r="C64" s="1841"/>
      <c r="U64" s="1911"/>
      <c r="V64" s="1841"/>
      <c r="AC64" s="2617" t="s">
        <v>25</v>
      </c>
      <c r="AD64" s="2617" t="s">
        <v>28</v>
      </c>
      <c r="AE64" s="2617" t="s">
        <v>29</v>
      </c>
      <c r="AG64" s="2617"/>
      <c r="AH64" s="2617" t="s">
        <v>22</v>
      </c>
      <c r="AI64" s="2617" t="s">
        <v>23</v>
      </c>
      <c r="AJ64" s="2617" t="s">
        <v>24</v>
      </c>
      <c r="AK64" s="2617" t="s">
        <v>25</v>
      </c>
      <c r="AL64" s="2617" t="s">
        <v>28</v>
      </c>
      <c r="AM64" s="2617" t="s">
        <v>29</v>
      </c>
    </row>
    <row r="65" spans="1:41">
      <c r="C65" s="1841"/>
      <c r="G65" s="1841" t="s">
        <v>1806</v>
      </c>
      <c r="H65" s="1841">
        <v>-8</v>
      </c>
      <c r="U65" s="1911"/>
      <c r="V65" s="1841"/>
      <c r="AC65" s="1962">
        <f>+$W$21</f>
        <v>89.998004776086447</v>
      </c>
      <c r="AD65" s="1908">
        <f>+X121*Y121*AC65/10</f>
        <v>0</v>
      </c>
      <c r="AE65" s="1908">
        <f>+AD65</f>
        <v>0</v>
      </c>
      <c r="AG65" s="1843" t="s">
        <v>1170</v>
      </c>
      <c r="AH65" s="1961">
        <f>W12</f>
        <v>8151.9777351096309</v>
      </c>
      <c r="AI65" s="1962">
        <f>W16</f>
        <v>86.325799784486634</v>
      </c>
      <c r="AJ65" s="1962">
        <f>Y121</f>
        <v>0</v>
      </c>
      <c r="AK65" s="1962">
        <f>AC65</f>
        <v>89.998004776086447</v>
      </c>
      <c r="AL65" s="1908">
        <f>+(AH65*AI65*24*$AN$65/1000000)*AJ65*AK65</f>
        <v>0</v>
      </c>
      <c r="AM65" s="1908">
        <f>+AL65</f>
        <v>0</v>
      </c>
      <c r="AN65" s="1841">
        <f>BDGT!T5</f>
        <v>90</v>
      </c>
      <c r="AO65" s="1841" t="s">
        <v>172</v>
      </c>
    </row>
    <row r="66" spans="1:41" ht="15.5">
      <c r="A66" s="4459">
        <v>3</v>
      </c>
      <c r="B66" s="3874" t="s">
        <v>1810</v>
      </c>
      <c r="C66" s="3874"/>
      <c r="D66" s="3875"/>
      <c r="E66" s="3876"/>
      <c r="F66" s="3877"/>
      <c r="G66" s="3878"/>
      <c r="H66" s="3878"/>
      <c r="I66" s="3878"/>
      <c r="J66" s="3878"/>
      <c r="U66" s="1911"/>
      <c r="V66" s="1841"/>
      <c r="AC66" s="1962">
        <f>AC65</f>
        <v>89.998004776086447</v>
      </c>
      <c r="AD66" s="1908">
        <f>+X122*Y122*AC66/10</f>
        <v>0</v>
      </c>
      <c r="AE66" s="1908">
        <f>+AD66-AD65</f>
        <v>0</v>
      </c>
      <c r="AG66" s="1967" t="s">
        <v>36</v>
      </c>
      <c r="AH66" s="1968">
        <f>P12</f>
        <v>8424.7005982481605</v>
      </c>
      <c r="AI66" s="1962">
        <f>+AI65</f>
        <v>86.325799784486634</v>
      </c>
      <c r="AJ66" s="1962">
        <f>AJ65</f>
        <v>0</v>
      </c>
      <c r="AK66" s="1962">
        <f>AK65</f>
        <v>89.998004776086447</v>
      </c>
      <c r="AL66" s="1908">
        <f>+(AH66*AI66*24*$AN$65/1000000)*AJ66*AK66</f>
        <v>0</v>
      </c>
      <c r="AM66" s="1908">
        <f>+AL66-AL65</f>
        <v>0</v>
      </c>
    </row>
    <row r="67" spans="1:41">
      <c r="A67" s="4460"/>
      <c r="B67" s="3881"/>
      <c r="C67" s="3860" t="s">
        <v>1345</v>
      </c>
      <c r="D67" s="3868" t="s">
        <v>22</v>
      </c>
      <c r="E67" s="3860" t="s">
        <v>24</v>
      </c>
      <c r="F67" s="3860" t="s">
        <v>25</v>
      </c>
      <c r="G67" s="3860" t="s">
        <v>797</v>
      </c>
      <c r="H67" s="3872" t="s">
        <v>1065</v>
      </c>
      <c r="I67" s="3861" t="s">
        <v>1321</v>
      </c>
      <c r="J67" s="3873" t="s">
        <v>1422</v>
      </c>
      <c r="U67" s="1911"/>
      <c r="V67" s="1841"/>
      <c r="AC67" s="1962">
        <f>AC65</f>
        <v>89.998004776086447</v>
      </c>
      <c r="AD67" s="1908">
        <f>+X123*Y123*AC67/10</f>
        <v>0</v>
      </c>
      <c r="AE67" s="1908">
        <f>+AD67-AD66</f>
        <v>0</v>
      </c>
      <c r="AG67" s="1967" t="s">
        <v>41</v>
      </c>
      <c r="AH67" s="1968">
        <f>AH66</f>
        <v>8424.7005982481605</v>
      </c>
      <c r="AI67" s="1969">
        <f>P16</f>
        <v>82.043160787650493</v>
      </c>
      <c r="AJ67" s="1962">
        <f>AJ65</f>
        <v>0</v>
      </c>
      <c r="AK67" s="1962">
        <f>AK65</f>
        <v>89.998004776086447</v>
      </c>
      <c r="AL67" s="1908">
        <f>+(AH67*AI67*24*AN65/1000000)*AJ67*AK67</f>
        <v>0</v>
      </c>
      <c r="AM67" s="1908">
        <f>+AL67-AL66</f>
        <v>0</v>
      </c>
    </row>
    <row r="68" spans="1:41">
      <c r="A68" s="4460"/>
      <c r="B68" s="3882" t="s">
        <v>174</v>
      </c>
      <c r="C68" s="2621">
        <f>+AB16</f>
        <v>97.936037839173565</v>
      </c>
      <c r="D68" s="2620">
        <f>+AB12</f>
        <v>8576.3313569596121</v>
      </c>
      <c r="E68" s="2622">
        <f>+AB20</f>
        <v>0.55990867067481775</v>
      </c>
      <c r="F68" s="2621">
        <f>+AB21</f>
        <v>90.286898116100303</v>
      </c>
      <c r="G68" s="2623">
        <f>+(AB$6-AB$5*$C$75)*1000</f>
        <v>867.43953314302939</v>
      </c>
      <c r="H68" s="3862">
        <f>+C68*24*D68*E68*F68*($D$2)/1000000+$H$65</f>
        <v>16806.392994117938</v>
      </c>
      <c r="I68" s="3869">
        <f>H68</f>
        <v>16806.392994117938</v>
      </c>
      <c r="J68" s="3869">
        <f>+AB6*1000</f>
        <v>15084.134659102509</v>
      </c>
      <c r="U68" s="1911"/>
      <c r="V68" s="1841"/>
      <c r="AC68" s="1969">
        <f>P21</f>
        <v>90.504839111115729</v>
      </c>
      <c r="AD68" s="1908">
        <f>+X124*Y124*AC68/10</f>
        <v>0</v>
      </c>
      <c r="AE68" s="1908">
        <f>+AD68-AD67</f>
        <v>0</v>
      </c>
      <c r="AG68" s="1967" t="s">
        <v>1167</v>
      </c>
      <c r="AH68" s="1968">
        <f>AH66</f>
        <v>8424.7005982481605</v>
      </c>
      <c r="AI68" s="1969">
        <f>AI67</f>
        <v>82.043160787650493</v>
      </c>
      <c r="AJ68" s="1969">
        <f>P20</f>
        <v>0.51253836495611338</v>
      </c>
      <c r="AK68" s="1962">
        <f>AK65</f>
        <v>89.998004776086447</v>
      </c>
      <c r="AL68" s="1908">
        <f>+(AH68*AI68*24*AN65/1000000)*AJ68*AK68</f>
        <v>68866.794860166614</v>
      </c>
      <c r="AM68" s="1908">
        <f>+AL68-AL67</f>
        <v>68866.794860166614</v>
      </c>
    </row>
    <row r="69" spans="1:41">
      <c r="A69" s="4460"/>
      <c r="B69" s="3882" t="s">
        <v>1345</v>
      </c>
      <c r="C69" s="2624">
        <f>+E16</f>
        <v>98.002249982786836</v>
      </c>
      <c r="D69" s="2620">
        <f>D68</f>
        <v>8576.3313569596121</v>
      </c>
      <c r="E69" s="2622">
        <f>E68</f>
        <v>0.55990867067481775</v>
      </c>
      <c r="F69" s="2621">
        <f>F68</f>
        <v>90.286898116100303</v>
      </c>
      <c r="G69" s="2623">
        <f>+G68</f>
        <v>867.43953314302939</v>
      </c>
      <c r="H69" s="3862">
        <f t="shared" ref="H69:H73" si="13">+C69*24*D69*E69*F69*($D$2)/1000000</f>
        <v>16825.760791184883</v>
      </c>
      <c r="I69" s="3869">
        <f>H69-H68</f>
        <v>19.367797066945059</v>
      </c>
      <c r="J69" s="3869">
        <f>+I69*$C$51</f>
        <v>18.631820778401146</v>
      </c>
      <c r="U69" s="1911"/>
      <c r="V69" s="1841"/>
      <c r="AC69" s="1969">
        <f>AC68</f>
        <v>90.504839111115729</v>
      </c>
      <c r="AD69" s="1908">
        <f>+X125*Y125*AC69/10</f>
        <v>0</v>
      </c>
      <c r="AE69" s="1908">
        <f>+SUM(AE65:AE68)</f>
        <v>0</v>
      </c>
      <c r="AG69" s="1967" t="s">
        <v>51</v>
      </c>
      <c r="AH69" s="1968">
        <f>AH66</f>
        <v>8424.7005982481605</v>
      </c>
      <c r="AI69" s="1969">
        <f>AI67</f>
        <v>82.043160787650493</v>
      </c>
      <c r="AJ69" s="1969">
        <f>AJ68</f>
        <v>0.51253836495611338</v>
      </c>
      <c r="AK69" s="1969">
        <f>P21</f>
        <v>90.504839111115729</v>
      </c>
      <c r="AL69" s="1908">
        <f>+(AH69*AI69*24*AN65/1000000)*AJ69*AK69</f>
        <v>69254.626304490201</v>
      </c>
      <c r="AM69" s="1908">
        <f>+AL69-AL68</f>
        <v>387.83144432358677</v>
      </c>
    </row>
    <row r="70" spans="1:41">
      <c r="A70" s="4460"/>
      <c r="B70" s="3882" t="s">
        <v>22</v>
      </c>
      <c r="C70" s="2624">
        <f>C69</f>
        <v>98.002249982786836</v>
      </c>
      <c r="D70" s="2339">
        <f>+E12</f>
        <v>8549.4495257908657</v>
      </c>
      <c r="E70" s="2622">
        <f>E68</f>
        <v>0.55990867067481775</v>
      </c>
      <c r="F70" s="2621">
        <f>F68</f>
        <v>90.286898116100303</v>
      </c>
      <c r="G70" s="2623">
        <f>G68</f>
        <v>867.43953314302939</v>
      </c>
      <c r="H70" s="3862">
        <f t="shared" si="13"/>
        <v>16773.021777025024</v>
      </c>
      <c r="I70" s="3869">
        <f>H70-H69</f>
        <v>-52.739014159858925</v>
      </c>
      <c r="J70" s="3869">
        <f>+I70*$C$51</f>
        <v>-50.734931621784284</v>
      </c>
      <c r="U70" s="1911"/>
      <c r="V70" s="1841"/>
      <c r="AG70" s="1967" t="s">
        <v>1171</v>
      </c>
      <c r="AH70" s="1968">
        <f>AH66</f>
        <v>8424.7005982481605</v>
      </c>
      <c r="AI70" s="1969">
        <f>AI67</f>
        <v>82.043160787650493</v>
      </c>
      <c r="AJ70" s="1969">
        <f>AJ68</f>
        <v>0.51253836495611338</v>
      </c>
      <c r="AK70" s="1969">
        <f>AK69</f>
        <v>90.504839111115729</v>
      </c>
      <c r="AL70" s="1908">
        <f>+(AH70*AI70*24*AN65/1000000)*AJ70*AK70</f>
        <v>69254.626304490201</v>
      </c>
      <c r="AM70" s="1908">
        <f>SUM(AM65:AM69)</f>
        <v>69254.626304490201</v>
      </c>
    </row>
    <row r="71" spans="1:41">
      <c r="A71" s="4460"/>
      <c r="B71" s="3882" t="s">
        <v>1167</v>
      </c>
      <c r="C71" s="2624">
        <f>C69</f>
        <v>98.002249982786836</v>
      </c>
      <c r="D71" s="2339">
        <f>D70</f>
        <v>8549.4495257908657</v>
      </c>
      <c r="E71" s="2625">
        <f>+E20</f>
        <v>0.54707727241503024</v>
      </c>
      <c r="F71" s="2621">
        <f>F68</f>
        <v>90.286898116100303</v>
      </c>
      <c r="G71" s="2623">
        <f>G68</f>
        <v>867.43953314302939</v>
      </c>
      <c r="H71" s="3862">
        <f t="shared" si="13"/>
        <v>16388.635298098547</v>
      </c>
      <c r="I71" s="3869">
        <f>H71-H70</f>
        <v>-384.38647892647714</v>
      </c>
      <c r="J71" s="3869">
        <f>+I71*$C$51</f>
        <v>-369.779792727271</v>
      </c>
      <c r="U71" s="1911"/>
      <c r="V71" s="1841"/>
    </row>
    <row r="72" spans="1:41">
      <c r="A72" s="4460"/>
      <c r="B72" s="3882" t="s">
        <v>51</v>
      </c>
      <c r="C72" s="2624">
        <f>C69</f>
        <v>98.002249982786836</v>
      </c>
      <c r="D72" s="2339">
        <f>D70</f>
        <v>8549.4495257908657</v>
      </c>
      <c r="E72" s="2625">
        <f>E71</f>
        <v>0.54707727241503024</v>
      </c>
      <c r="F72" s="2624">
        <f>+E21</f>
        <v>90.196204025003624</v>
      </c>
      <c r="G72" s="2623">
        <f>G68</f>
        <v>867.43953314302939</v>
      </c>
      <c r="H72" s="3862">
        <f t="shared" si="13"/>
        <v>16372.17275022405</v>
      </c>
      <c r="I72" s="3869">
        <f>H72-H71</f>
        <v>-16.462547874496522</v>
      </c>
      <c r="J72" s="3869">
        <f>+I72*$C$51</f>
        <v>-15.836971055265654</v>
      </c>
      <c r="U72" s="1911"/>
      <c r="V72" s="1841"/>
    </row>
    <row r="73" spans="1:41">
      <c r="A73" s="4460"/>
      <c r="B73" s="3883" t="s">
        <v>797</v>
      </c>
      <c r="C73" s="2624">
        <f>C69</f>
        <v>98.002249982786836</v>
      </c>
      <c r="D73" s="2339">
        <f>D70</f>
        <v>8549.4495257908657</v>
      </c>
      <c r="E73" s="2625">
        <f>E71</f>
        <v>0.54707727241503024</v>
      </c>
      <c r="F73" s="2624">
        <f>F72</f>
        <v>90.196204025003624</v>
      </c>
      <c r="G73" s="2337">
        <f>+(E6-E5*$C75)*1000</f>
        <v>0.73892745283821171</v>
      </c>
      <c r="H73" s="3862">
        <f t="shared" si="13"/>
        <v>16372.17275022405</v>
      </c>
      <c r="I73" s="3869">
        <f>H73-H72+G68</f>
        <v>867.43953314302939</v>
      </c>
      <c r="J73" s="3869">
        <f>+G73</f>
        <v>0.73892745283821171</v>
      </c>
      <c r="U73" s="1911"/>
      <c r="V73" s="1841"/>
    </row>
    <row r="74" spans="1:41">
      <c r="A74" s="4460"/>
      <c r="B74" s="3884" t="s">
        <v>1805</v>
      </c>
      <c r="C74" s="3870">
        <f>C69</f>
        <v>98.002249982786836</v>
      </c>
      <c r="D74" s="3871">
        <f>D70</f>
        <v>8549.4495257908657</v>
      </c>
      <c r="E74" s="3866">
        <f>E71</f>
        <v>0.54707727241503024</v>
      </c>
      <c r="F74" s="3867">
        <f>F72</f>
        <v>90.196204025003624</v>
      </c>
      <c r="G74" s="3865">
        <f>G73</f>
        <v>0.73892745283821171</v>
      </c>
      <c r="H74" s="3863">
        <f>+C74*24*D74*E74*F74*($D$2+$E$2)/1000000</f>
        <v>30759.839712542158</v>
      </c>
      <c r="I74" s="3864">
        <f>+SUM(I68:I73)</f>
        <v>17239.612283367078</v>
      </c>
      <c r="J74" s="3864">
        <f>+SUM(J68:J73)-G68</f>
        <v>13799.714178786397</v>
      </c>
      <c r="U74" s="1911"/>
      <c r="V74" s="1841"/>
    </row>
    <row r="75" spans="1:41">
      <c r="A75" s="4461"/>
      <c r="B75" s="3879" t="s">
        <v>1804</v>
      </c>
      <c r="C75" s="3880">
        <f>+'ST Original'!$AV$8</f>
        <v>0.96199999999999997</v>
      </c>
      <c r="U75" s="1911"/>
      <c r="V75" s="1841"/>
    </row>
    <row r="76" spans="1:41">
      <c r="C76" s="1841"/>
      <c r="U76" s="1911"/>
      <c r="V76" s="1841"/>
    </row>
    <row r="77" spans="1:41">
      <c r="C77" s="1841"/>
      <c r="G77" s="1841" t="s">
        <v>1806</v>
      </c>
      <c r="H77" s="1841">
        <v>-15</v>
      </c>
      <c r="U77" s="1911"/>
      <c r="V77" s="1841"/>
    </row>
    <row r="78" spans="1:41" ht="15.5">
      <c r="A78" s="4459">
        <v>4</v>
      </c>
      <c r="B78" s="3874" t="s">
        <v>1813</v>
      </c>
      <c r="C78" s="3874"/>
      <c r="D78" s="3875"/>
      <c r="E78" s="3876"/>
      <c r="F78" s="3877"/>
      <c r="G78" s="3878"/>
      <c r="H78" s="3878"/>
      <c r="I78" s="3878"/>
      <c r="J78" s="3878"/>
      <c r="U78" s="1911"/>
      <c r="V78" s="1841"/>
    </row>
    <row r="79" spans="1:41">
      <c r="A79" s="4460"/>
      <c r="B79" s="3881"/>
      <c r="C79" s="3860" t="s">
        <v>1345</v>
      </c>
      <c r="D79" s="3868" t="s">
        <v>22</v>
      </c>
      <c r="E79" s="3860" t="s">
        <v>24</v>
      </c>
      <c r="F79" s="3860" t="s">
        <v>25</v>
      </c>
      <c r="G79" s="3860" t="s">
        <v>797</v>
      </c>
      <c r="H79" s="3872" t="s">
        <v>1065</v>
      </c>
      <c r="I79" s="3861" t="s">
        <v>1321</v>
      </c>
      <c r="J79" s="3873" t="s">
        <v>1422</v>
      </c>
      <c r="U79" s="1911"/>
      <c r="V79" s="1841"/>
    </row>
    <row r="80" spans="1:41">
      <c r="A80" s="4460"/>
      <c r="B80" s="3882" t="s">
        <v>171</v>
      </c>
      <c r="C80" s="2621">
        <f>+J16</f>
        <v>95.068132481506382</v>
      </c>
      <c r="D80" s="2620">
        <f>+J12</f>
        <v>8256.2174112377379</v>
      </c>
      <c r="E80" s="2622">
        <f>+J20</f>
        <v>0.56048276877845449</v>
      </c>
      <c r="F80" s="2621">
        <f>+J21</f>
        <v>90.23452493939709</v>
      </c>
      <c r="G80" s="2623">
        <f>+(J$6-J$5*$C$75)*1000</f>
        <v>29.656189952206091</v>
      </c>
      <c r="H80" s="3862">
        <f>+C80*24*D80*E80*F80*($D$2+$E$2)/1000000+$H$77</f>
        <v>29519.119012242536</v>
      </c>
      <c r="I80" s="3869">
        <f>H80</f>
        <v>29519.119012242536</v>
      </c>
      <c r="J80" s="3869">
        <f>+J6*1000</f>
        <v>28422.384713002524</v>
      </c>
      <c r="U80" s="1911"/>
      <c r="V80" s="1841"/>
    </row>
    <row r="81" spans="1:22">
      <c r="A81" s="4460"/>
      <c r="B81" s="3882" t="s">
        <v>1345</v>
      </c>
      <c r="C81" s="2624">
        <f>+F16</f>
        <v>92.324230243716514</v>
      </c>
      <c r="D81" s="2620">
        <f>D80</f>
        <v>8256.2174112377379</v>
      </c>
      <c r="E81" s="2622">
        <f>E80</f>
        <v>0.56048276877845449</v>
      </c>
      <c r="F81" s="2621">
        <f>F80</f>
        <v>90.23452493939709</v>
      </c>
      <c r="G81" s="2623">
        <f>+G80</f>
        <v>29.656189952206091</v>
      </c>
      <c r="H81" s="3862">
        <f t="shared" ref="H81:H86" si="14">+C81*24*D81*E81*F81*($D$2+$E$2)/1000000</f>
        <v>28681.691041548896</v>
      </c>
      <c r="I81" s="3869">
        <f>H81-H80</f>
        <v>-837.42797069363951</v>
      </c>
      <c r="J81" s="3869">
        <f>+I81*$C$51</f>
        <v>-805.60570780728119</v>
      </c>
      <c r="U81" s="1911"/>
      <c r="V81" s="1841"/>
    </row>
    <row r="82" spans="1:22">
      <c r="A82" s="4460"/>
      <c r="B82" s="3882" t="s">
        <v>22</v>
      </c>
      <c r="C82" s="2624">
        <f>C81</f>
        <v>92.324230243716514</v>
      </c>
      <c r="D82" s="2339">
        <f>+F12</f>
        <v>8494.5649703748313</v>
      </c>
      <c r="E82" s="2622">
        <f>E80</f>
        <v>0.56048276877845449</v>
      </c>
      <c r="F82" s="2621">
        <f>F80</f>
        <v>90.23452493939709</v>
      </c>
      <c r="G82" s="2623">
        <f>G80</f>
        <v>29.656189952206091</v>
      </c>
      <c r="H82" s="3862">
        <f t="shared" si="14"/>
        <v>29509.698676422031</v>
      </c>
      <c r="I82" s="3869">
        <f>H82-H81</f>
        <v>828.00763487313452</v>
      </c>
      <c r="J82" s="3869">
        <f>+I82*$C$51</f>
        <v>796.54334474795542</v>
      </c>
      <c r="U82" s="1911"/>
      <c r="V82" s="1841"/>
    </row>
    <row r="83" spans="1:22">
      <c r="A83" s="4460"/>
      <c r="B83" s="3882" t="s">
        <v>1167</v>
      </c>
      <c r="C83" s="2624">
        <f>C81</f>
        <v>92.324230243716514</v>
      </c>
      <c r="D83" s="2339">
        <f>D82</f>
        <v>8494.5649703748313</v>
      </c>
      <c r="E83" s="2625">
        <f>+F20</f>
        <v>0.5187562183850154</v>
      </c>
      <c r="F83" s="2621">
        <f>F80</f>
        <v>90.23452493939709</v>
      </c>
      <c r="G83" s="2623">
        <f>G80</f>
        <v>29.656189952206091</v>
      </c>
      <c r="H83" s="3862">
        <f t="shared" si="14"/>
        <v>27312.774885882372</v>
      </c>
      <c r="I83" s="3869">
        <f>H83-H82</f>
        <v>-2196.9237905396585</v>
      </c>
      <c r="J83" s="3869">
        <f>+I83*$C$51</f>
        <v>-2113.4406864991515</v>
      </c>
      <c r="U83" s="1911"/>
      <c r="V83" s="1841"/>
    </row>
    <row r="84" spans="1:22">
      <c r="A84" s="4460"/>
      <c r="B84" s="3882" t="s">
        <v>51</v>
      </c>
      <c r="C84" s="2624">
        <f>C81</f>
        <v>92.324230243716514</v>
      </c>
      <c r="D84" s="2339">
        <f>D82</f>
        <v>8494.5649703748313</v>
      </c>
      <c r="E84" s="2625">
        <f>E83</f>
        <v>0.5187562183850154</v>
      </c>
      <c r="F84" s="2624">
        <f>+F21</f>
        <v>90.397219242975567</v>
      </c>
      <c r="G84" s="2623">
        <f>G80</f>
        <v>29.656189952206091</v>
      </c>
      <c r="H84" s="3862">
        <f t="shared" si="14"/>
        <v>27362.020259444645</v>
      </c>
      <c r="I84" s="3869">
        <f>H84-H83</f>
        <v>49.245373562273016</v>
      </c>
      <c r="J84" s="3869">
        <f>+I84*$C$51</f>
        <v>47.37404936690664</v>
      </c>
      <c r="U84" s="1911"/>
      <c r="V84" s="1841"/>
    </row>
    <row r="85" spans="1:22">
      <c r="A85" s="4460"/>
      <c r="B85" s="3883" t="s">
        <v>797</v>
      </c>
      <c r="C85" s="2624">
        <f>C81</f>
        <v>92.324230243716514</v>
      </c>
      <c r="D85" s="2339">
        <f>D82</f>
        <v>8494.5649703748313</v>
      </c>
      <c r="E85" s="2625">
        <f>E83</f>
        <v>0.5187562183850154</v>
      </c>
      <c r="F85" s="2624">
        <f>F84</f>
        <v>90.397219242975567</v>
      </c>
      <c r="G85" s="2337">
        <f>+(F6-F5*$C75)*1000</f>
        <v>83.428571911426275</v>
      </c>
      <c r="H85" s="3862">
        <f t="shared" si="14"/>
        <v>27362.020259444645</v>
      </c>
      <c r="I85" s="3869">
        <f>H85-H84+G80</f>
        <v>29.656189952206091</v>
      </c>
      <c r="J85" s="3869">
        <f>+G85</f>
        <v>83.428571911426275</v>
      </c>
      <c r="U85" s="1911"/>
      <c r="V85" s="1841"/>
    </row>
    <row r="86" spans="1:22">
      <c r="A86" s="4460"/>
      <c r="B86" s="3884" t="s">
        <v>1805</v>
      </c>
      <c r="C86" s="3870">
        <f>C81</f>
        <v>92.324230243716514</v>
      </c>
      <c r="D86" s="3871">
        <f>D82</f>
        <v>8494.5649703748313</v>
      </c>
      <c r="E86" s="3866">
        <f>E83</f>
        <v>0.5187562183850154</v>
      </c>
      <c r="F86" s="3867">
        <f>F84</f>
        <v>90.397219242975567</v>
      </c>
      <c r="G86" s="3865">
        <f>G85</f>
        <v>83.428571911426275</v>
      </c>
      <c r="H86" s="3863">
        <f t="shared" si="14"/>
        <v>27362.020259444645</v>
      </c>
      <c r="I86" s="3864">
        <f>+SUM(I80:I85)</f>
        <v>27391.676449396851</v>
      </c>
      <c r="J86" s="3864">
        <f>+SUM(J80:J85)-G80</f>
        <v>26401.028094770176</v>
      </c>
      <c r="U86" s="1911"/>
      <c r="V86" s="1841"/>
    </row>
    <row r="87" spans="1:22">
      <c r="A87" s="4461"/>
      <c r="B87" s="3879" t="s">
        <v>1814</v>
      </c>
      <c r="C87" s="3880">
        <f>+BDGT!F59</f>
        <v>0.96399999999999997</v>
      </c>
      <c r="U87" s="1911"/>
      <c r="V87" s="1841"/>
    </row>
    <row r="88" spans="1:22">
      <c r="C88" s="1841"/>
      <c r="E88" s="1911"/>
      <c r="M88" s="1911"/>
      <c r="U88" s="1911"/>
      <c r="V88" s="1841"/>
    </row>
    <row r="89" spans="1:22">
      <c r="C89" s="1841"/>
      <c r="E89" s="1911"/>
      <c r="M89" s="1911"/>
      <c r="U89" s="1911"/>
      <c r="V89" s="1841"/>
    </row>
    <row r="90" spans="1:22" ht="15.75" customHeight="1">
      <c r="C90" s="1841"/>
      <c r="E90" s="1911"/>
      <c r="M90" s="1911"/>
      <c r="U90" s="1911"/>
      <c r="V90" s="1841"/>
    </row>
    <row r="91" spans="1:22" ht="12" customHeight="1">
      <c r="C91" s="1841"/>
      <c r="E91" s="1911"/>
      <c r="M91" s="1911"/>
      <c r="U91" s="1911"/>
      <c r="V91" s="1841"/>
    </row>
    <row r="92" spans="1:22" ht="12" customHeight="1">
      <c r="C92" s="1841"/>
      <c r="E92" s="1911"/>
      <c r="M92" s="1911"/>
      <c r="U92" s="1911"/>
      <c r="V92" s="1841"/>
    </row>
    <row r="93" spans="1:22" ht="12" customHeight="1">
      <c r="C93" s="1841"/>
      <c r="E93" s="1911"/>
      <c r="M93" s="1911"/>
      <c r="U93" s="1911"/>
      <c r="V93" s="1841"/>
    </row>
    <row r="94" spans="1:22" ht="12" customHeight="1">
      <c r="C94" s="1841"/>
      <c r="E94" s="1911"/>
      <c r="M94" s="1911"/>
      <c r="U94" s="1911"/>
      <c r="V94" s="1841"/>
    </row>
    <row r="95" spans="1:22" ht="12" customHeight="1">
      <c r="C95" s="1841"/>
      <c r="E95" s="1911"/>
      <c r="M95" s="1911"/>
      <c r="U95" s="1911"/>
      <c r="V95" s="1841"/>
    </row>
    <row r="96" spans="1:22" ht="12" customHeight="1">
      <c r="C96" s="1841"/>
      <c r="E96" s="1911"/>
      <c r="M96" s="1911"/>
      <c r="U96" s="1911"/>
      <c r="V96" s="1841"/>
    </row>
    <row r="97" spans="2:22" ht="12" customHeight="1">
      <c r="C97" s="1841"/>
      <c r="E97" s="1911"/>
      <c r="M97" s="1911"/>
      <c r="U97" s="1911"/>
      <c r="V97" s="1841"/>
    </row>
    <row r="98" spans="2:22" ht="12" customHeight="1">
      <c r="C98" s="1841"/>
      <c r="E98" s="1911"/>
      <c r="M98" s="1911"/>
      <c r="U98" s="1911"/>
      <c r="V98" s="1841"/>
    </row>
    <row r="99" spans="2:22" ht="12" customHeight="1">
      <c r="C99" s="1841"/>
      <c r="E99" s="1911"/>
      <c r="M99" s="1911"/>
      <c r="U99" s="1911"/>
      <c r="V99" s="1841"/>
    </row>
    <row r="100" spans="2:22">
      <c r="C100" s="1841"/>
      <c r="E100" s="1911"/>
      <c r="M100" s="1911"/>
      <c r="U100" s="1911"/>
      <c r="V100" s="1841"/>
    </row>
    <row r="101" spans="2:22">
      <c r="C101" s="1841"/>
      <c r="E101" s="1911"/>
      <c r="M101" s="1911"/>
      <c r="U101" s="1911"/>
      <c r="V101" s="1841"/>
    </row>
    <row r="102" spans="2:22">
      <c r="C102" s="1841"/>
      <c r="E102" s="1911"/>
      <c r="M102" s="1911"/>
      <c r="U102" s="1911"/>
      <c r="V102" s="1841"/>
    </row>
    <row r="103" spans="2:22">
      <c r="C103" s="1841"/>
      <c r="E103" s="1911"/>
      <c r="M103" s="1911"/>
      <c r="U103" s="1911"/>
      <c r="V103" s="1841"/>
    </row>
    <row r="104" spans="2:22">
      <c r="C104" s="1841"/>
      <c r="U104" s="1911"/>
      <c r="V104" s="1841"/>
    </row>
    <row r="105" spans="2:22">
      <c r="C105" s="1841"/>
      <c r="U105" s="1911"/>
      <c r="V105" s="1841"/>
    </row>
    <row r="106" spans="2:22">
      <c r="C106" s="1841"/>
      <c r="U106" s="1918"/>
      <c r="V106" s="1841"/>
    </row>
    <row r="107" spans="2:22">
      <c r="B107" s="1936"/>
      <c r="C107" s="1936" t="s">
        <v>22</v>
      </c>
      <c r="D107" s="1936" t="s">
        <v>23</v>
      </c>
      <c r="E107" s="1936" t="s">
        <v>24</v>
      </c>
      <c r="F107" s="1936" t="s">
        <v>25</v>
      </c>
      <c r="G107" s="1936" t="s">
        <v>28</v>
      </c>
      <c r="H107" s="1937" t="s">
        <v>29</v>
      </c>
      <c r="I107" s="1956"/>
      <c r="J107" s="1956"/>
      <c r="K107" s="1956"/>
      <c r="U107" s="1911"/>
      <c r="V107" s="1841"/>
    </row>
    <row r="108" spans="2:22">
      <c r="B108" s="1891" t="s">
        <v>174</v>
      </c>
      <c r="C108" s="1892">
        <f>G12</f>
        <v>8497.0539513238637</v>
      </c>
      <c r="D108" s="1893">
        <f>G16</f>
        <v>92.650688634835248</v>
      </c>
      <c r="E108" s="1893">
        <f>G20</f>
        <v>0.5354493276828427</v>
      </c>
      <c r="F108" s="1893">
        <f>G21</f>
        <v>90.294153352101702</v>
      </c>
      <c r="G108" s="1894">
        <f t="shared" ref="G108:G113" si="15">+(C108*D108*24*$AS$20/1000000)*E108*F108</f>
        <v>13245.68061899908</v>
      </c>
      <c r="H108" s="1894">
        <f>+G108</f>
        <v>13245.68061899908</v>
      </c>
      <c r="I108" s="1908"/>
      <c r="J108" s="1908"/>
      <c r="K108" s="1908"/>
      <c r="U108" s="1918"/>
      <c r="V108" s="1841"/>
    </row>
    <row r="109" spans="2:22">
      <c r="B109" s="1896" t="s">
        <v>36</v>
      </c>
      <c r="C109" s="1897">
        <f>F12</f>
        <v>8494.5649703748313</v>
      </c>
      <c r="D109" s="1893">
        <f>+D108</f>
        <v>92.650688634835248</v>
      </c>
      <c r="E109" s="1893">
        <f>E108</f>
        <v>0.5354493276828427</v>
      </c>
      <c r="F109" s="1893">
        <f>F108</f>
        <v>90.294153352101702</v>
      </c>
      <c r="G109" s="1894">
        <f t="shared" si="15"/>
        <v>13241.800656966772</v>
      </c>
      <c r="H109" s="1894">
        <f>+G109-G108</f>
        <v>-3.879962032307958</v>
      </c>
      <c r="I109" s="1908"/>
      <c r="J109" s="1908"/>
      <c r="K109" s="1908"/>
      <c r="U109" s="1911"/>
      <c r="V109" s="1841"/>
    </row>
    <row r="110" spans="2:22">
      <c r="B110" s="1896" t="s">
        <v>41</v>
      </c>
      <c r="C110" s="1897">
        <f>C109</f>
        <v>8494.5649703748313</v>
      </c>
      <c r="D110" s="1898">
        <f>F16</f>
        <v>92.324230243716514</v>
      </c>
      <c r="E110" s="1893">
        <f>E108</f>
        <v>0.5354493276828427</v>
      </c>
      <c r="F110" s="1893">
        <f>F108</f>
        <v>90.294153352101702</v>
      </c>
      <c r="G110" s="1894">
        <f t="shared" si="15"/>
        <v>13195.142645011496</v>
      </c>
      <c r="H110" s="1894">
        <f>+G110-G109</f>
        <v>-46.658011955276379</v>
      </c>
      <c r="I110" s="1908"/>
      <c r="J110" s="1908"/>
      <c r="K110" s="1908"/>
      <c r="U110" s="1918"/>
      <c r="V110" s="1841"/>
    </row>
    <row r="111" spans="2:22">
      <c r="B111" s="1896" t="s">
        <v>1167</v>
      </c>
      <c r="C111" s="1897">
        <f>C109</f>
        <v>8494.5649703748313</v>
      </c>
      <c r="D111" s="1898">
        <f>D110</f>
        <v>92.324230243716514</v>
      </c>
      <c r="E111" s="1898">
        <f>F20</f>
        <v>0.5187562183850154</v>
      </c>
      <c r="F111" s="1893">
        <f>F108</f>
        <v>90.294153352101702</v>
      </c>
      <c r="G111" s="1894">
        <f t="shared" si="15"/>
        <v>12783.772330425783</v>
      </c>
      <c r="H111" s="1894">
        <f>+G111-G110</f>
        <v>-411.37031458571255</v>
      </c>
      <c r="I111" s="1908"/>
      <c r="J111" s="1908"/>
      <c r="K111" s="1908"/>
      <c r="U111" s="1911"/>
      <c r="V111" s="1841"/>
    </row>
    <row r="112" spans="2:22">
      <c r="B112" s="1896" t="s">
        <v>51</v>
      </c>
      <c r="C112" s="1897">
        <f>C109</f>
        <v>8494.5649703748313</v>
      </c>
      <c r="D112" s="1898">
        <f>D110</f>
        <v>92.324230243716514</v>
      </c>
      <c r="E112" s="1898">
        <f>E111</f>
        <v>0.5187562183850154</v>
      </c>
      <c r="F112" s="1898">
        <f>F21</f>
        <v>90.397219242975567</v>
      </c>
      <c r="G112" s="1894">
        <f t="shared" si="15"/>
        <v>12798.364314901524</v>
      </c>
      <c r="H112" s="1894">
        <f>+G112-G111</f>
        <v>14.591984475740901</v>
      </c>
      <c r="I112" s="1908"/>
      <c r="J112" s="1908"/>
      <c r="K112" s="1908"/>
      <c r="U112" s="1918"/>
      <c r="V112" s="1841"/>
    </row>
    <row r="113" spans="2:39">
      <c r="B113" s="1899" t="s">
        <v>1169</v>
      </c>
      <c r="C113" s="1897">
        <f>C109</f>
        <v>8494.5649703748313</v>
      </c>
      <c r="D113" s="1898">
        <f>D110</f>
        <v>92.324230243716514</v>
      </c>
      <c r="E113" s="1898">
        <f>E111</f>
        <v>0.5187562183850154</v>
      </c>
      <c r="F113" s="1898">
        <f>F112</f>
        <v>90.397219242975567</v>
      </c>
      <c r="G113" s="1894">
        <f t="shared" si="15"/>
        <v>12798.364314901524</v>
      </c>
      <c r="H113" s="1894">
        <f>SUM(H108:H112)</f>
        <v>12798.364314901524</v>
      </c>
      <c r="I113" s="1908"/>
      <c r="J113" s="1908"/>
      <c r="K113" s="1908"/>
      <c r="U113" s="1911"/>
      <c r="V113" s="1841"/>
    </row>
    <row r="114" spans="2:39">
      <c r="U114" s="1918"/>
      <c r="V114" s="1841"/>
    </row>
    <row r="115" spans="2:39">
      <c r="U115" s="1911"/>
      <c r="V115" s="1841"/>
    </row>
    <row r="116" spans="2:39">
      <c r="U116" s="1918"/>
      <c r="V116" s="1841"/>
    </row>
    <row r="117" spans="2:39">
      <c r="U117" s="1911"/>
      <c r="V117" s="1841"/>
      <c r="AE117" s="1905"/>
      <c r="AF117" s="2626"/>
      <c r="AG117" s="2626" t="s">
        <v>36</v>
      </c>
      <c r="AH117" s="2626" t="s">
        <v>1345</v>
      </c>
      <c r="AI117" s="2626" t="s">
        <v>24</v>
      </c>
      <c r="AJ117" s="2626" t="s">
        <v>25</v>
      </c>
      <c r="AK117" s="2626" t="s">
        <v>1346</v>
      </c>
      <c r="AL117" s="2626" t="s">
        <v>28</v>
      </c>
      <c r="AM117" s="2626" t="s">
        <v>1321</v>
      </c>
    </row>
    <row r="118" spans="2:39" ht="13.4" customHeight="1">
      <c r="U118" s="1918"/>
      <c r="V118" s="1841"/>
      <c r="AE118" s="2657" t="s">
        <v>1263</v>
      </c>
      <c r="AF118" s="2113"/>
      <c r="AG118" s="2620">
        <f>+M12</f>
        <v>8052.7227724777731</v>
      </c>
      <c r="AH118" s="2621">
        <f>+M16</f>
        <v>94.409794889038338</v>
      </c>
      <c r="AI118" s="2622">
        <f>+M20</f>
        <v>0.56467653298977216</v>
      </c>
      <c r="AJ118" s="2621">
        <f>+M21</f>
        <v>90.433416356934018</v>
      </c>
      <c r="AK118" s="2623">
        <f>+($M$6-$M$5)*1000</f>
        <v>-632.52841194621112</v>
      </c>
      <c r="AL118" s="2337">
        <f t="shared" ref="AL118:AL123" si="16">AG118*AH118*24*$AS$20/100*AI118/100*AJ118/100+AK118</f>
        <v>12877.856536266967</v>
      </c>
      <c r="AM118" s="2337">
        <f>AL118</f>
        <v>12877.856536266967</v>
      </c>
    </row>
    <row r="119" spans="2:39" ht="13.4" customHeight="1">
      <c r="U119" s="1911"/>
      <c r="V119" s="1841"/>
      <c r="AE119" s="2657" t="s">
        <v>36</v>
      </c>
      <c r="AF119" s="2113"/>
      <c r="AG119" s="2339">
        <f>+$G$12</f>
        <v>8497.0539513238637</v>
      </c>
      <c r="AH119" s="2621">
        <f>AH118</f>
        <v>94.409794889038338</v>
      </c>
      <c r="AI119" s="2622">
        <f>AI118</f>
        <v>0.56467653298977216</v>
      </c>
      <c r="AJ119" s="2621">
        <f>AJ118</f>
        <v>90.433416356934018</v>
      </c>
      <c r="AK119" s="2623">
        <f>AK118</f>
        <v>-632.52841194621112</v>
      </c>
      <c r="AL119" s="2337">
        <f t="shared" si="16"/>
        <v>13623.329271429433</v>
      </c>
      <c r="AM119" s="2337">
        <f>AL119-AL118</f>
        <v>745.47273516246605</v>
      </c>
    </row>
    <row r="120" spans="2:39" ht="13.4" customHeight="1">
      <c r="U120" s="1918"/>
      <c r="V120" s="1841"/>
      <c r="AE120" s="2657" t="s">
        <v>1345</v>
      </c>
      <c r="AF120" s="2113"/>
      <c r="AG120" s="2337">
        <f>AG119</f>
        <v>8497.0539513238637</v>
      </c>
      <c r="AH120" s="2624">
        <f>+$G$16</f>
        <v>92.650688634835248</v>
      </c>
      <c r="AI120" s="2622">
        <f>AI118</f>
        <v>0.56467653298977216</v>
      </c>
      <c r="AJ120" s="2621">
        <f>AJ118</f>
        <v>90.433416356934018</v>
      </c>
      <c r="AK120" s="2623">
        <f>AK118</f>
        <v>-632.52841194621112</v>
      </c>
      <c r="AL120" s="2337">
        <f t="shared" si="16"/>
        <v>13357.704624756594</v>
      </c>
      <c r="AM120" s="2337">
        <f>AL120-AL119</f>
        <v>-265.62464667283894</v>
      </c>
    </row>
    <row r="121" spans="2:39" ht="13.4" customHeight="1">
      <c r="U121" s="1911"/>
      <c r="V121" s="1841"/>
      <c r="AE121" s="2657" t="s">
        <v>1167</v>
      </c>
      <c r="AF121" s="2113"/>
      <c r="AG121" s="2337">
        <f>AG119</f>
        <v>8497.0539513238637</v>
      </c>
      <c r="AH121" s="2340">
        <f>AH120</f>
        <v>92.650688634835248</v>
      </c>
      <c r="AI121" s="2625">
        <f>+$G$20</f>
        <v>0.5354493276828427</v>
      </c>
      <c r="AJ121" s="2621">
        <f>AJ118</f>
        <v>90.433416356934018</v>
      </c>
      <c r="AK121" s="2623">
        <f>AK118</f>
        <v>-632.52841194621112</v>
      </c>
      <c r="AL121" s="2337">
        <f t="shared" si="16"/>
        <v>12633.581362380988</v>
      </c>
      <c r="AM121" s="2337">
        <f>AL121-AL120</f>
        <v>-724.12326237560592</v>
      </c>
    </row>
    <row r="122" spans="2:39" ht="13.4" customHeight="1">
      <c r="U122" s="1918"/>
      <c r="V122" s="1841"/>
      <c r="AE122" s="2657" t="s">
        <v>51</v>
      </c>
      <c r="AF122" s="2113"/>
      <c r="AG122" s="2337">
        <f>AG119</f>
        <v>8497.0539513238637</v>
      </c>
      <c r="AH122" s="2340">
        <f>AH120</f>
        <v>92.650688634835248</v>
      </c>
      <c r="AI122" s="2625">
        <f>AI121</f>
        <v>0.5354493276828427</v>
      </c>
      <c r="AJ122" s="2624">
        <f>+$G$21</f>
        <v>90.294153352101702</v>
      </c>
      <c r="AK122" s="2623">
        <f>AK118</f>
        <v>-632.52841194621112</v>
      </c>
      <c r="AL122" s="2337">
        <f t="shared" si="16"/>
        <v>12613.152207052872</v>
      </c>
      <c r="AM122" s="2337">
        <f>AL122-AL121</f>
        <v>-20.429155328116394</v>
      </c>
    </row>
    <row r="123" spans="2:39" ht="13.4" customHeight="1">
      <c r="U123" s="1911"/>
      <c r="V123" s="1841"/>
      <c r="AE123" s="2658" t="s">
        <v>1378</v>
      </c>
      <c r="AF123" s="2629"/>
      <c r="AG123" s="2346">
        <f>AG119</f>
        <v>8497.0539513238637</v>
      </c>
      <c r="AH123" s="2344">
        <f>AH120</f>
        <v>92.650688634835248</v>
      </c>
      <c r="AI123" s="2627">
        <f>AI121</f>
        <v>0.5354493276828427</v>
      </c>
      <c r="AJ123" s="2628">
        <f>AJ122</f>
        <v>90.294153352101702</v>
      </c>
      <c r="AK123" s="2346">
        <f>+($G$6-$G$5)*1000</f>
        <v>-1088.5563752585697</v>
      </c>
      <c r="AL123" s="2346">
        <f t="shared" si="16"/>
        <v>12157.124243740513</v>
      </c>
      <c r="AM123" s="2346">
        <f>AL123-AL122</f>
        <v>-456.02796331235913</v>
      </c>
    </row>
    <row r="124" spans="2:39" ht="13.4" customHeight="1">
      <c r="U124" s="1918"/>
      <c r="V124" s="1841"/>
      <c r="AE124" s="2657" t="s">
        <v>174</v>
      </c>
      <c r="AF124" s="2113"/>
      <c r="AG124" s="2337">
        <f>AG119</f>
        <v>8497.0539513238637</v>
      </c>
      <c r="AH124" s="2340">
        <f>AH120</f>
        <v>92.650688634835248</v>
      </c>
      <c r="AI124" s="2625">
        <f>AI121</f>
        <v>0.5354493276828427</v>
      </c>
      <c r="AJ124" s="2624">
        <f>AJ122</f>
        <v>90.294153352101702</v>
      </c>
      <c r="AK124" s="2337">
        <f>AK123</f>
        <v>-1088.5563752585697</v>
      </c>
      <c r="AL124" s="2337"/>
      <c r="AM124" s="2337">
        <f>+SUM(AM118:AM123)</f>
        <v>12157.124243740513</v>
      </c>
    </row>
    <row r="125" spans="2:39">
      <c r="U125" s="1911"/>
      <c r="V125" s="1841"/>
    </row>
    <row r="126" spans="2:39">
      <c r="V126" s="1841"/>
      <c r="AM126" s="2337">
        <f>AM124-AM118</f>
        <v>-720.73229252645433</v>
      </c>
    </row>
    <row r="127" spans="2:39">
      <c r="V127" s="1841"/>
    </row>
    <row r="128" spans="2:39">
      <c r="V128" s="1841"/>
    </row>
    <row r="129" spans="22:40">
      <c r="V129" s="1841"/>
    </row>
    <row r="130" spans="22:40">
      <c r="V130" s="1841"/>
    </row>
    <row r="131" spans="22:40">
      <c r="V131" s="1841"/>
    </row>
    <row r="133" spans="22:40" ht="9.75" customHeight="1">
      <c r="X133" s="3859">
        <f>+Z124</f>
        <v>0</v>
      </c>
      <c r="AE133" s="1905"/>
      <c r="AF133" s="2626"/>
      <c r="AG133" s="2626" t="s">
        <v>36</v>
      </c>
      <c r="AH133" s="2626" t="s">
        <v>1345</v>
      </c>
      <c r="AI133" s="2626" t="s">
        <v>24</v>
      </c>
      <c r="AJ133" s="2626" t="s">
        <v>25</v>
      </c>
      <c r="AK133" s="2626" t="s">
        <v>1346</v>
      </c>
      <c r="AL133" s="2626" t="s">
        <v>28</v>
      </c>
      <c r="AM133" s="2626" t="s">
        <v>1321</v>
      </c>
    </row>
    <row r="134" spans="22:40">
      <c r="AE134" s="2657" t="s">
        <v>174</v>
      </c>
      <c r="AF134" s="2113"/>
      <c r="AG134" s="2620">
        <f>+$G$12</f>
        <v>8497.0539513238637</v>
      </c>
      <c r="AH134" s="2621">
        <f>+$G$16</f>
        <v>92.650688634835248</v>
      </c>
      <c r="AI134" s="2622">
        <f>+$G$20</f>
        <v>0.5354493276828427</v>
      </c>
      <c r="AJ134" s="2621">
        <f>+$G$21</f>
        <v>90.294153352101702</v>
      </c>
      <c r="AK134" s="2623">
        <f>+($G$6-$G$5)*1000</f>
        <v>-1088.5563752585697</v>
      </c>
      <c r="AL134" s="2337">
        <f t="shared" ref="AL134:AL139" si="17">AG134*AH134*24*$AS$20/100*AI134/100*AJ134/100+AK134</f>
        <v>12157.124243740513</v>
      </c>
      <c r="AM134" s="2337">
        <f>AL134</f>
        <v>12157.124243740513</v>
      </c>
    </row>
    <row r="135" spans="22:40">
      <c r="AE135" s="2657" t="s">
        <v>36</v>
      </c>
      <c r="AF135" s="2113"/>
      <c r="AG135" s="2339">
        <f>+$F$12</f>
        <v>8494.5649703748313</v>
      </c>
      <c r="AH135" s="2621">
        <f>AH134</f>
        <v>92.650688634835248</v>
      </c>
      <c r="AI135" s="2622">
        <f>AI134</f>
        <v>0.5354493276828427</v>
      </c>
      <c r="AJ135" s="2621">
        <f>AJ134</f>
        <v>90.294153352101702</v>
      </c>
      <c r="AK135" s="2623">
        <f>AK134</f>
        <v>-1088.5563752585697</v>
      </c>
      <c r="AL135" s="2337">
        <f t="shared" si="17"/>
        <v>12153.244281708203</v>
      </c>
      <c r="AM135" s="2337">
        <f>AL135-AL134</f>
        <v>-3.879962032309777</v>
      </c>
    </row>
    <row r="136" spans="22:40">
      <c r="AE136" s="2657" t="s">
        <v>1345</v>
      </c>
      <c r="AF136" s="2113"/>
      <c r="AG136" s="2337">
        <f>AG135</f>
        <v>8494.5649703748313</v>
      </c>
      <c r="AH136" s="2624">
        <f>+$F$16</f>
        <v>92.324230243716514</v>
      </c>
      <c r="AI136" s="2622">
        <f>AI134</f>
        <v>0.5354493276828427</v>
      </c>
      <c r="AJ136" s="2621">
        <f>AJ134</f>
        <v>90.294153352101702</v>
      </c>
      <c r="AK136" s="2623">
        <f>AK134</f>
        <v>-1088.5563752585697</v>
      </c>
      <c r="AL136" s="2337">
        <f t="shared" si="17"/>
        <v>12106.586269752928</v>
      </c>
      <c r="AM136" s="2337">
        <f>AL136-AL135</f>
        <v>-46.65801195527456</v>
      </c>
      <c r="AN136" s="2984">
        <f>SUM(AM135:AM136)</f>
        <v>-50.537973987584337</v>
      </c>
    </row>
    <row r="137" spans="22:40">
      <c r="AA137" s="2611">
        <f>+Z136</f>
        <v>0</v>
      </c>
      <c r="AE137" s="2657" t="s">
        <v>1167</v>
      </c>
      <c r="AF137" s="2113"/>
      <c r="AG137" s="2337">
        <f>AG135</f>
        <v>8494.5649703748313</v>
      </c>
      <c r="AH137" s="2340">
        <f>AH136</f>
        <v>92.324230243716514</v>
      </c>
      <c r="AI137" s="2625">
        <f>+$F$20</f>
        <v>0.5187562183850154</v>
      </c>
      <c r="AJ137" s="2621">
        <f>AJ134</f>
        <v>90.294153352101702</v>
      </c>
      <c r="AK137" s="2623">
        <f>AK134</f>
        <v>-1088.5563752585697</v>
      </c>
      <c r="AL137" s="2337">
        <f t="shared" si="17"/>
        <v>11695.215955167216</v>
      </c>
      <c r="AM137" s="2337">
        <f>AL137-AL136</f>
        <v>-411.37031458571255</v>
      </c>
    </row>
    <row r="138" spans="22:40">
      <c r="AE138" s="2657" t="s">
        <v>51</v>
      </c>
      <c r="AF138" s="2113"/>
      <c r="AG138" s="2337">
        <f>AG135</f>
        <v>8494.5649703748313</v>
      </c>
      <c r="AH138" s="2340">
        <f>AH136</f>
        <v>92.324230243716514</v>
      </c>
      <c r="AI138" s="2625">
        <f>AI137</f>
        <v>0.5187562183850154</v>
      </c>
      <c r="AJ138" s="2624">
        <f>+$F$21</f>
        <v>90.397219242975567</v>
      </c>
      <c r="AK138" s="2623">
        <f>AK134</f>
        <v>-1088.5563752585697</v>
      </c>
      <c r="AL138" s="2337">
        <f t="shared" si="17"/>
        <v>11709.807939642957</v>
      </c>
      <c r="AM138" s="2337">
        <f>AL138-AL137</f>
        <v>14.591984475740901</v>
      </c>
    </row>
    <row r="139" spans="22:40">
      <c r="AE139" s="2658" t="s">
        <v>1378</v>
      </c>
      <c r="AF139" s="2629"/>
      <c r="AG139" s="2346">
        <f>AG135</f>
        <v>8494.5649703748313</v>
      </c>
      <c r="AH139" s="2344">
        <f>AH136</f>
        <v>92.324230243716514</v>
      </c>
      <c r="AI139" s="2627">
        <f>AI137</f>
        <v>0.5187562183850154</v>
      </c>
      <c r="AJ139" s="2628">
        <f>AJ138</f>
        <v>90.397219242975567</v>
      </c>
      <c r="AK139" s="2346">
        <f>+($F$6-$F$5)*1000</f>
        <v>-956.32819794747093</v>
      </c>
      <c r="AL139" s="2346">
        <f t="shared" si="17"/>
        <v>11842.036116954056</v>
      </c>
      <c r="AM139" s="2346">
        <f>AL139-AL138</f>
        <v>132.22817731109899</v>
      </c>
    </row>
    <row r="140" spans="22:40">
      <c r="AE140" s="2657" t="s">
        <v>50</v>
      </c>
      <c r="AF140" s="2113"/>
      <c r="AG140" s="2337">
        <f>AG135</f>
        <v>8494.5649703748313</v>
      </c>
      <c r="AH140" s="2340">
        <f>AH136</f>
        <v>92.324230243716514</v>
      </c>
      <c r="AI140" s="2625">
        <f>AI137</f>
        <v>0.5187562183850154</v>
      </c>
      <c r="AJ140" s="2624">
        <f>AJ138</f>
        <v>90.397219242975567</v>
      </c>
      <c r="AK140" s="2337">
        <f>AK139</f>
        <v>-956.32819794747093</v>
      </c>
      <c r="AL140" s="2337"/>
      <c r="AM140" s="2337">
        <f>+SUM(AM134:AM139)</f>
        <v>11842.036116954056</v>
      </c>
      <c r="AN140" s="2337">
        <f>AM140-AM134</f>
        <v>-315.088126786457</v>
      </c>
    </row>
    <row r="145" spans="2:14">
      <c r="B145" s="1905"/>
      <c r="C145" s="2626" t="s">
        <v>36</v>
      </c>
      <c r="D145" s="2626" t="s">
        <v>1345</v>
      </c>
      <c r="E145" s="2626" t="s">
        <v>24</v>
      </c>
      <c r="F145" s="2626" t="s">
        <v>25</v>
      </c>
      <c r="G145" s="2626" t="s">
        <v>1346</v>
      </c>
      <c r="H145" s="2626" t="s">
        <v>28</v>
      </c>
      <c r="I145" s="2626" t="s">
        <v>1321</v>
      </c>
    </row>
    <row r="146" spans="2:14">
      <c r="B146" s="2657" t="s">
        <v>171</v>
      </c>
      <c r="C146" s="2620">
        <f>+$J$12</f>
        <v>8256.2174112377379</v>
      </c>
      <c r="D146" s="2621">
        <f>+$J$16</f>
        <v>95.068132481506382</v>
      </c>
      <c r="E146" s="2622">
        <f>+$J$20</f>
        <v>0.56048276877845449</v>
      </c>
      <c r="F146" s="2621">
        <f>+$J$21</f>
        <v>90.23452493939709</v>
      </c>
      <c r="G146" s="2623">
        <f>+($J$6-$J$5)*1000</f>
        <v>-1091.8861009790958</v>
      </c>
      <c r="H146" s="2337">
        <f>C146*D146*(24*31)/100*E146/100*F146/100+G146</f>
        <v>28442.232911263436</v>
      </c>
      <c r="I146" s="2337">
        <f>H146</f>
        <v>28442.232911263436</v>
      </c>
    </row>
    <row r="147" spans="2:14">
      <c r="B147" s="2657" t="s">
        <v>36</v>
      </c>
      <c r="C147" s="2339">
        <f>+$F$12</f>
        <v>8494.5649703748313</v>
      </c>
      <c r="D147" s="2621">
        <f>D146</f>
        <v>95.068132481506382</v>
      </c>
      <c r="E147" s="2622">
        <f>E146</f>
        <v>0.56048276877845449</v>
      </c>
      <c r="F147" s="2621">
        <f>F146</f>
        <v>90.23452493939709</v>
      </c>
      <c r="G147" s="2623">
        <f>G146</f>
        <v>-1091.8861009790958</v>
      </c>
      <c r="H147" s="2337">
        <f t="shared" ref="H147:H152" si="18">C147*D147*(24*31)/100*E147/100*F147/100+G147</f>
        <v>29294.849167256274</v>
      </c>
      <c r="I147" s="2337">
        <f>H147-H146</f>
        <v>852.61625599283798</v>
      </c>
      <c r="N147" s="1842"/>
    </row>
    <row r="148" spans="2:14">
      <c r="B148" s="2657" t="s">
        <v>1345</v>
      </c>
      <c r="C148" s="2337">
        <f>C147</f>
        <v>8494.5649703748313</v>
      </c>
      <c r="D148" s="2624">
        <f>+$F$16</f>
        <v>92.324230243716514</v>
      </c>
      <c r="E148" s="2622">
        <f>E146</f>
        <v>0.56048276877845449</v>
      </c>
      <c r="F148" s="2621">
        <f>F146</f>
        <v>90.23452493939709</v>
      </c>
      <c r="G148" s="2623">
        <f>G146</f>
        <v>-1091.8861009790958</v>
      </c>
      <c r="H148" s="2337">
        <f t="shared" si="18"/>
        <v>28417.812575442931</v>
      </c>
      <c r="I148" s="2337">
        <f>H148-H147</f>
        <v>-877.03659181334297</v>
      </c>
    </row>
    <row r="149" spans="2:14">
      <c r="B149" s="2657" t="s">
        <v>1167</v>
      </c>
      <c r="C149" s="2337">
        <f>C147</f>
        <v>8494.5649703748313</v>
      </c>
      <c r="D149" s="2340">
        <f>D148</f>
        <v>92.324230243716514</v>
      </c>
      <c r="E149" s="2625">
        <f>+$F$20</f>
        <v>0.5187562183850154</v>
      </c>
      <c r="F149" s="2621">
        <f>F146</f>
        <v>90.23452493939709</v>
      </c>
      <c r="G149" s="2623">
        <f>G146</f>
        <v>-1091.8861009790958</v>
      </c>
      <c r="H149" s="2337">
        <f t="shared" si="18"/>
        <v>26220.888784903276</v>
      </c>
      <c r="I149" s="2337">
        <f>H149-H148</f>
        <v>-2196.9237905396549</v>
      </c>
    </row>
    <row r="150" spans="2:14">
      <c r="B150" s="2657" t="s">
        <v>51</v>
      </c>
      <c r="C150" s="2337">
        <f>C147</f>
        <v>8494.5649703748313</v>
      </c>
      <c r="D150" s="2340">
        <f>D148</f>
        <v>92.324230243716514</v>
      </c>
      <c r="E150" s="2625">
        <f>E149</f>
        <v>0.5187562183850154</v>
      </c>
      <c r="F150" s="2624">
        <f>+$F$21</f>
        <v>90.397219242975567</v>
      </c>
      <c r="G150" s="2623">
        <f>G146</f>
        <v>-1091.8861009790958</v>
      </c>
      <c r="H150" s="2337">
        <f t="shared" si="18"/>
        <v>26270.134158465542</v>
      </c>
      <c r="I150" s="2337">
        <f>H150-H149</f>
        <v>49.24537356226574</v>
      </c>
    </row>
    <row r="151" spans="2:14">
      <c r="B151" s="2658" t="s">
        <v>1378</v>
      </c>
      <c r="C151" s="2346">
        <f>C147</f>
        <v>8494.5649703748313</v>
      </c>
      <c r="D151" s="2344">
        <f>D148</f>
        <v>92.324230243716514</v>
      </c>
      <c r="E151" s="2627">
        <f>E149</f>
        <v>0.5187562183850154</v>
      </c>
      <c r="F151" s="2628">
        <f>F150</f>
        <v>90.397219242975567</v>
      </c>
      <c r="G151" s="2346">
        <f>+($F$6-$F$5)*1000</f>
        <v>-956.32819794747093</v>
      </c>
      <c r="H151" s="2346">
        <f t="shared" si="18"/>
        <v>26405.692061497168</v>
      </c>
      <c r="I151" s="2346">
        <f>H151-H150</f>
        <v>135.55790303162576</v>
      </c>
    </row>
    <row r="152" spans="2:14">
      <c r="B152" s="2657" t="s">
        <v>50</v>
      </c>
      <c r="C152" s="2337">
        <f>C147</f>
        <v>8494.5649703748313</v>
      </c>
      <c r="D152" s="2340">
        <f>D148</f>
        <v>92.324230243716514</v>
      </c>
      <c r="E152" s="2625">
        <f>E149</f>
        <v>0.5187562183850154</v>
      </c>
      <c r="F152" s="2624">
        <f>F150</f>
        <v>90.397219242975567</v>
      </c>
      <c r="G152" s="2337">
        <f>G151</f>
        <v>-956.32819794747093</v>
      </c>
      <c r="H152" s="2337">
        <f t="shared" si="18"/>
        <v>26405.692061497168</v>
      </c>
      <c r="I152" s="2337">
        <f>+SUM(I146:I151)</f>
        <v>26405.692061497168</v>
      </c>
    </row>
    <row r="153" spans="2:14">
      <c r="C153" s="1841"/>
      <c r="I153" s="2984">
        <f>SUM(I147:I148)</f>
        <v>-24.420335820504988</v>
      </c>
    </row>
    <row r="154" spans="2:14">
      <c r="C154" s="1841"/>
      <c r="I154" s="2984">
        <f>SUM(I147:I150)</f>
        <v>-2172.0987527978941</v>
      </c>
    </row>
    <row r="155" spans="2:14">
      <c r="C155" s="1841"/>
      <c r="I155" s="2337">
        <f>I152-I146</f>
        <v>-2036.5408497662684</v>
      </c>
    </row>
    <row r="156" spans="2:14">
      <c r="C156" s="1841"/>
    </row>
    <row r="157" spans="2:14">
      <c r="C157" s="1841"/>
    </row>
    <row r="158" spans="2:14">
      <c r="C158" s="1841"/>
    </row>
    <row r="159" spans="2:14">
      <c r="C159" s="1841"/>
    </row>
    <row r="168" spans="2:9">
      <c r="C168" s="1841"/>
      <c r="I168" s="2984"/>
    </row>
    <row r="169" spans="2:9">
      <c r="C169" s="1841"/>
      <c r="I169" s="2984"/>
    </row>
    <row r="170" spans="2:9">
      <c r="C170" s="1841"/>
      <c r="I170" s="2337"/>
    </row>
    <row r="171" spans="2:9">
      <c r="C171" s="1841"/>
    </row>
    <row r="172" spans="2:9">
      <c r="C172" s="1841"/>
    </row>
    <row r="173" spans="2:9">
      <c r="C173" s="1841"/>
    </row>
    <row r="174" spans="2:9">
      <c r="B174" s="2660" t="s">
        <v>1421</v>
      </c>
      <c r="C174" s="2626" t="s">
        <v>36</v>
      </c>
      <c r="D174" s="2626" t="s">
        <v>1345</v>
      </c>
      <c r="E174" s="2626" t="s">
        <v>24</v>
      </c>
      <c r="F174" s="2626" t="s">
        <v>25</v>
      </c>
      <c r="G174" s="2626" t="s">
        <v>1346</v>
      </c>
      <c r="H174" s="2626" t="s">
        <v>28</v>
      </c>
      <c r="I174" s="2626" t="s">
        <v>1321</v>
      </c>
    </row>
    <row r="175" spans="2:9">
      <c r="B175" s="2657" t="s">
        <v>1419</v>
      </c>
      <c r="C175" s="2620" t="e">
        <f>BDGT!AQ74</f>
        <v>#DIV/0!</v>
      </c>
      <c r="D175" s="2621" t="e">
        <f>BDGT!AI74</f>
        <v>#DIV/0!</v>
      </c>
      <c r="E175" s="2622" t="e">
        <f>BDGT!AF74</f>
        <v>#DIV/0!</v>
      </c>
      <c r="F175" s="2621" t="e">
        <f>BDGT!AG74</f>
        <v>#DIV/0!</v>
      </c>
      <c r="G175" s="2623">
        <f>+(BDGT!AB74-BDGT!AE74)</f>
        <v>0</v>
      </c>
      <c r="H175" s="2337" t="e">
        <f>C175*D175*24*BDGT!$AR$74/100*E175/100*F175/100+G175</f>
        <v>#DIV/0!</v>
      </c>
      <c r="I175" s="2337" t="e">
        <f>H175</f>
        <v>#DIV/0!</v>
      </c>
    </row>
    <row r="176" spans="2:9">
      <c r="B176" s="2657" t="s">
        <v>36</v>
      </c>
      <c r="C176" s="2339">
        <f>+$E$12</f>
        <v>8549.4495257908657</v>
      </c>
      <c r="D176" s="2621" t="e">
        <f>D175</f>
        <v>#DIV/0!</v>
      </c>
      <c r="E176" s="2622" t="e">
        <f>E175</f>
        <v>#DIV/0!</v>
      </c>
      <c r="F176" s="2621" t="e">
        <f>F175</f>
        <v>#DIV/0!</v>
      </c>
      <c r="G176" s="2623">
        <f>G175</f>
        <v>0</v>
      </c>
      <c r="H176" s="2337" t="e">
        <f>C176*D176*24*BDGT!$AR$74/100*E176/100*F176/100+G176</f>
        <v>#DIV/0!</v>
      </c>
      <c r="I176" s="2337" t="e">
        <f>H176-H175</f>
        <v>#DIV/0!</v>
      </c>
    </row>
    <row r="177" spans="2:9">
      <c r="B177" s="2657" t="s">
        <v>1345</v>
      </c>
      <c r="C177" s="2337">
        <f>C176</f>
        <v>8549.4495257908657</v>
      </c>
      <c r="D177" s="2624">
        <f>+$E$16</f>
        <v>98.002249982786836</v>
      </c>
      <c r="E177" s="2622" t="e">
        <f>E175</f>
        <v>#DIV/0!</v>
      </c>
      <c r="F177" s="2621" t="e">
        <f>F175</f>
        <v>#DIV/0!</v>
      </c>
      <c r="G177" s="2623">
        <f>G175</f>
        <v>0</v>
      </c>
      <c r="H177" s="2337" t="e">
        <f>C177*D177*24*BDGT!$AR$74/100*E177/100*F177/100+G177</f>
        <v>#DIV/0!</v>
      </c>
      <c r="I177" s="2337" t="e">
        <f>H177-H176</f>
        <v>#DIV/0!</v>
      </c>
    </row>
    <row r="178" spans="2:9">
      <c r="B178" s="2657" t="s">
        <v>1167</v>
      </c>
      <c r="C178" s="2337">
        <f>C176</f>
        <v>8549.4495257908657</v>
      </c>
      <c r="D178" s="2340">
        <f>D177</f>
        <v>98.002249982786836</v>
      </c>
      <c r="E178" s="2625">
        <f>+$E$20</f>
        <v>0.54707727241503024</v>
      </c>
      <c r="F178" s="2621" t="e">
        <f>F175</f>
        <v>#DIV/0!</v>
      </c>
      <c r="G178" s="2623">
        <f>G175</f>
        <v>0</v>
      </c>
      <c r="H178" s="2337" t="e">
        <f>C178*D178*24*BDGT!$AR$74/100*E178/100*F178/100+G178</f>
        <v>#DIV/0!</v>
      </c>
      <c r="I178" s="2337" t="e">
        <f>H178-H177</f>
        <v>#DIV/0!</v>
      </c>
    </row>
    <row r="179" spans="2:9">
      <c r="B179" s="2657" t="s">
        <v>51</v>
      </c>
      <c r="C179" s="2337">
        <f>C176</f>
        <v>8549.4495257908657</v>
      </c>
      <c r="D179" s="2340">
        <f>D177</f>
        <v>98.002249982786836</v>
      </c>
      <c r="E179" s="2625">
        <f>E178</f>
        <v>0.54707727241503024</v>
      </c>
      <c r="F179" s="2624">
        <f>+$E$21</f>
        <v>90.196204025003624</v>
      </c>
      <c r="G179" s="2623">
        <f>G175</f>
        <v>0</v>
      </c>
      <c r="H179" s="2337">
        <f>C179*D179*24*BDGT!$AR$74/100*E179/100*F179/100+G179</f>
        <v>0</v>
      </c>
      <c r="I179" s="2337" t="e">
        <f>H179-H178</f>
        <v>#DIV/0!</v>
      </c>
    </row>
    <row r="180" spans="2:9">
      <c r="B180" s="2658" t="s">
        <v>1378</v>
      </c>
      <c r="C180" s="2346">
        <f>C176</f>
        <v>8549.4495257908657</v>
      </c>
      <c r="D180" s="2344">
        <f>D177</f>
        <v>98.002249982786836</v>
      </c>
      <c r="E180" s="2627">
        <f>E178</f>
        <v>0.54707727241503024</v>
      </c>
      <c r="F180" s="2628">
        <f>F179</f>
        <v>90.196204025003624</v>
      </c>
      <c r="G180" s="2346">
        <f>+($E$6-$E$5)*1000</f>
        <v>-545.99241711525087</v>
      </c>
      <c r="H180" s="2346">
        <f>C180*D180*24*BDGT!$AR$74/100*E180/100*F180/100+G180</f>
        <v>-545.99241711525087</v>
      </c>
      <c r="I180" s="2346">
        <f>H180-H179</f>
        <v>-545.99241711525087</v>
      </c>
    </row>
    <row r="181" spans="2:9">
      <c r="B181" s="2657" t="s">
        <v>1420</v>
      </c>
      <c r="C181" s="2337">
        <f>C176</f>
        <v>8549.4495257908657</v>
      </c>
      <c r="D181" s="2340">
        <f>D177</f>
        <v>98.002249982786836</v>
      </c>
      <c r="E181" s="2625">
        <f>E178</f>
        <v>0.54707727241503024</v>
      </c>
      <c r="F181" s="2624">
        <f>F179</f>
        <v>90.196204025003624</v>
      </c>
      <c r="G181" s="2337">
        <f>G180</f>
        <v>-545.99241711525087</v>
      </c>
      <c r="H181" s="2337"/>
      <c r="I181" s="2337" t="e">
        <f>+SUM(I175:I180)</f>
        <v>#DIV/0!</v>
      </c>
    </row>
    <row r="182" spans="2:9">
      <c r="C182" s="1841"/>
    </row>
    <row r="183" spans="2:9">
      <c r="C183" s="1841"/>
      <c r="I183" s="2337" t="e">
        <f>I181-I175</f>
        <v>#DIV/0!</v>
      </c>
    </row>
  </sheetData>
  <mergeCells count="10">
    <mergeCell ref="A42:A51"/>
    <mergeCell ref="A54:A63"/>
    <mergeCell ref="A66:A75"/>
    <mergeCell ref="A78:A87"/>
    <mergeCell ref="W3:Y3"/>
    <mergeCell ref="T3:V3"/>
    <mergeCell ref="Q3:S3"/>
    <mergeCell ref="M3:O3"/>
    <mergeCell ref="G3:I3"/>
    <mergeCell ref="J3:L3"/>
  </mergeCells>
  <phoneticPr fontId="273"/>
  <conditionalFormatting sqref="A5:A30 F5:G31 W5:W32 J5:J37 M5:M37 T5:T37 D20:E31 D32:G32 F33:G37 Y36:AB37 D40 D41:E42">
    <cfRule type="cellIs" dxfId="317" priority="41" operator="lessThan">
      <formula>0</formula>
    </cfRule>
  </conditionalFormatting>
  <conditionalFormatting sqref="D6">
    <cfRule type="cellIs" dxfId="316" priority="47" operator="lessThan">
      <formula>0</formula>
    </cfRule>
  </conditionalFormatting>
  <conditionalFormatting sqref="D13:D18">
    <cfRule type="cellIs" dxfId="315" priority="6" operator="lessThan">
      <formula>0</formula>
    </cfRule>
  </conditionalFormatting>
  <conditionalFormatting sqref="D12:E12">
    <cfRule type="cellIs" dxfId="314" priority="45" operator="lessThan">
      <formula>0</formula>
    </cfRule>
  </conditionalFormatting>
  <conditionalFormatting sqref="D54:E54">
    <cfRule type="cellIs" dxfId="313" priority="20" operator="lessThan">
      <formula>0</formula>
    </cfRule>
  </conditionalFormatting>
  <conditionalFormatting sqref="D66:E66">
    <cfRule type="cellIs" dxfId="312" priority="17" operator="lessThan">
      <formula>0</formula>
    </cfRule>
  </conditionalFormatting>
  <conditionalFormatting sqref="D78:E78">
    <cfRule type="cellIs" dxfId="311" priority="12" operator="lessThan">
      <formula>0</formula>
    </cfRule>
  </conditionalFormatting>
  <conditionalFormatting sqref="E16:E18">
    <cfRule type="cellIs" dxfId="310" priority="7" operator="lessThan">
      <formula>0</formula>
    </cfRule>
  </conditionalFormatting>
  <conditionalFormatting sqref="F66">
    <cfRule type="cellIs" dxfId="309" priority="19" operator="lessThan">
      <formula>0</formula>
    </cfRule>
  </conditionalFormatting>
  <conditionalFormatting sqref="F78">
    <cfRule type="cellIs" dxfId="308" priority="14" operator="lessThan">
      <formula>0</formula>
    </cfRule>
  </conditionalFormatting>
  <conditionalFormatting sqref="G66:J66">
    <cfRule type="cellIs" dxfId="307" priority="18" operator="lessThan">
      <formula>0</formula>
    </cfRule>
  </conditionalFormatting>
  <conditionalFormatting sqref="G78:J78">
    <cfRule type="cellIs" dxfId="306" priority="13" operator="lessThan">
      <formula>0</formula>
    </cfRule>
  </conditionalFormatting>
  <conditionalFormatting sqref="G54:M54 Q54:T57 K56:M56">
    <cfRule type="cellIs" dxfId="305" priority="21" operator="lessThan">
      <formula>0</formula>
    </cfRule>
  </conditionalFormatting>
  <conditionalFormatting sqref="H5:I11 AC5:AC14 U5:V32 N5:O37 AC21:AC30 U33:X37 AC34:AC36 F40:G40 J40 F41:M41 O41:P45 U41:U125 F42 K43:M43 K45:M45 F54 O54:P57 K55:M55 K57:M57 F88:F103 N88:N103">
    <cfRule type="cellIs" dxfId="304" priority="86" operator="lessThan">
      <formula>0</formula>
    </cfRule>
  </conditionalFormatting>
  <conditionalFormatting sqref="H13:I37">
    <cfRule type="cellIs" dxfId="303" priority="36" operator="lessThan">
      <formula>0</formula>
    </cfRule>
  </conditionalFormatting>
  <conditionalFormatting sqref="K5:L37">
    <cfRule type="cellIs" dxfId="302" priority="5" operator="lessThan">
      <formula>0</formula>
    </cfRule>
  </conditionalFormatting>
  <conditionalFormatting sqref="N41:N45">
    <cfRule type="cellIs" dxfId="301" priority="85" operator="lessThan">
      <formula>0</formula>
    </cfRule>
  </conditionalFormatting>
  <conditionalFormatting sqref="N54:N57">
    <cfRule type="cellIs" dxfId="300" priority="22" operator="lessThan">
      <formula>0</formula>
    </cfRule>
  </conditionalFormatting>
  <conditionalFormatting sqref="P5:Q37">
    <cfRule type="cellIs" dxfId="299" priority="1" operator="lessThan">
      <formula>0</formula>
    </cfRule>
  </conditionalFormatting>
  <conditionalFormatting sqref="R5:S37">
    <cfRule type="cellIs" dxfId="298" priority="28" operator="lessThan">
      <formula>0</formula>
    </cfRule>
  </conditionalFormatting>
  <conditionalFormatting sqref="X5:Y32">
    <cfRule type="cellIs" dxfId="297" priority="2" operator="lessThan">
      <formula>0</formula>
    </cfRule>
  </conditionalFormatting>
  <conditionalFormatting sqref="AA6:AB6">
    <cfRule type="cellIs" dxfId="296" priority="26" operator="lessThan">
      <formula>0</formula>
    </cfRule>
  </conditionalFormatting>
  <conditionalFormatting sqref="AA12:AB18">
    <cfRule type="cellIs" dxfId="295" priority="16" operator="lessThan">
      <formula>0</formula>
    </cfRule>
  </conditionalFormatting>
  <conditionalFormatting sqref="AA20:AB32">
    <cfRule type="cellIs" dxfId="294" priority="15" operator="lessThan">
      <formula>0</formula>
    </cfRule>
  </conditionalFormatting>
  <conditionalFormatting sqref="AC16:AC19">
    <cfRule type="cellIs" dxfId="293" priority="78" operator="greaterThan">
      <formula>0</formula>
    </cfRule>
  </conditionalFormatting>
  <conditionalFormatting sqref="AC20">
    <cfRule type="cellIs" dxfId="292" priority="79" operator="greaterThan">
      <formula>0</formula>
    </cfRule>
  </conditionalFormatting>
  <conditionalFormatting sqref="AC37:AC38">
    <cfRule type="cellIs" dxfId="291" priority="83" operator="greaterThan">
      <formula>0</formula>
    </cfRule>
  </conditionalFormatting>
  <conditionalFormatting sqref="AD34:AE36 Q41:T45 G42:M42 K44:M44">
    <cfRule type="cellIs" dxfId="290" priority="84" operator="lessThan">
      <formula>0</formula>
    </cfRule>
  </conditionalFormatting>
  <pageMargins left="0.7" right="0.7" top="0.75" bottom="0.75" header="0.3" footer="0.3"/>
  <pageSetup orientation="landscape" r:id="rId1"/>
  <ignoredErrors>
    <ignoredError sqref="AG23 R15 X15 K15:L15 N12:O15 D46 H49 D58 L16" formula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B347-2206-4D22-80D3-AD26EFB0CC46}">
  <dimension ref="D24:N59"/>
  <sheetViews>
    <sheetView tabSelected="1" topLeftCell="A17" zoomScale="70" zoomScaleNormal="70" workbookViewId="0">
      <selection activeCell="P21" sqref="P21"/>
    </sheetView>
  </sheetViews>
  <sheetFormatPr baseColWidth="10" defaultRowHeight="12.5"/>
  <sheetData>
    <row r="24" spans="4:14">
      <c r="E24">
        <v>1000</v>
      </c>
    </row>
    <row r="26" spans="4:14">
      <c r="E26" t="s">
        <v>280</v>
      </c>
      <c r="F26" t="s">
        <v>1887</v>
      </c>
      <c r="G26" t="s">
        <v>1886</v>
      </c>
    </row>
    <row r="27" spans="4:14" ht="26">
      <c r="D27" s="4822" t="s">
        <v>258</v>
      </c>
      <c r="E27" s="4818" t="s">
        <v>259</v>
      </c>
      <c r="F27" s="4818" t="s">
        <v>260</v>
      </c>
      <c r="G27" s="4819" t="s">
        <v>261</v>
      </c>
      <c r="H27" s="4823" t="s">
        <v>266</v>
      </c>
      <c r="I27" s="4818" t="s">
        <v>364</v>
      </c>
      <c r="J27" s="4818" t="s">
        <v>267</v>
      </c>
      <c r="K27" s="4818" t="s">
        <v>268</v>
      </c>
      <c r="L27" s="4818" t="s">
        <v>269</v>
      </c>
      <c r="M27" s="4818" t="s">
        <v>1885</v>
      </c>
      <c r="N27" s="4818" t="s">
        <v>580</v>
      </c>
    </row>
    <row r="28" spans="4:14" ht="13">
      <c r="D28" s="4820"/>
      <c r="E28" s="4818" t="s">
        <v>291</v>
      </c>
      <c r="F28" s="4818" t="s">
        <v>292</v>
      </c>
      <c r="G28" s="4821" t="s">
        <v>291</v>
      </c>
      <c r="H28" s="4824" t="s">
        <v>48</v>
      </c>
      <c r="I28" s="4825" t="s">
        <v>48</v>
      </c>
      <c r="J28" s="4825" t="s">
        <v>293</v>
      </c>
      <c r="K28" s="4825" t="s">
        <v>293</v>
      </c>
      <c r="L28" s="4825" t="s">
        <v>293</v>
      </c>
      <c r="M28" s="4825" t="s">
        <v>48</v>
      </c>
      <c r="N28" s="4825"/>
    </row>
    <row r="29" spans="4:14">
      <c r="D29" s="4816">
        <v>46082.791666666664</v>
      </c>
      <c r="E29" s="2555">
        <v>178.58427719999997</v>
      </c>
      <c r="F29" s="2555">
        <v>681.32142959999987</v>
      </c>
      <c r="G29" s="2555">
        <v>98.057835933685311</v>
      </c>
      <c r="H29" s="809">
        <v>91.259679515859375</v>
      </c>
      <c r="I29" s="4826">
        <v>62.156635284423828</v>
      </c>
      <c r="J29" s="4826">
        <v>0.57768797734094401</v>
      </c>
      <c r="K29" s="4826">
        <v>91.162820073210312</v>
      </c>
      <c r="L29" s="4826">
        <v>24.56</v>
      </c>
      <c r="M29" s="4826">
        <v>62.156635284423828</v>
      </c>
      <c r="N29" s="4826">
        <v>80.621353149414063</v>
      </c>
    </row>
    <row r="30" spans="4:14">
      <c r="D30" s="4816">
        <v>46083.791666666664</v>
      </c>
      <c r="E30" s="4817">
        <v>131.18714559999998</v>
      </c>
      <c r="F30" s="4817">
        <v>641.09303720000003</v>
      </c>
      <c r="G30" s="4817">
        <v>170.43689745330809</v>
      </c>
      <c r="H30" s="809">
        <v>86.528962190124304</v>
      </c>
      <c r="I30" s="4826">
        <v>87.753082275390625</v>
      </c>
      <c r="J30" s="4826">
        <v>0.55229968808243912</v>
      </c>
      <c r="K30" s="4826">
        <v>92.159479170723415</v>
      </c>
      <c r="L30" s="4826">
        <v>30.560018202104374</v>
      </c>
      <c r="M30" s="4826">
        <v>87.753082275390625</v>
      </c>
      <c r="N30" s="4826">
        <v>92.158538818359375</v>
      </c>
    </row>
    <row r="31" spans="4:14">
      <c r="D31" s="4816">
        <v>46084.791666666664</v>
      </c>
      <c r="E31" s="4817">
        <v>217.13383999999999</v>
      </c>
      <c r="F31" s="4817">
        <v>672.52956119999999</v>
      </c>
      <c r="G31" s="4817">
        <v>158.18681954193116</v>
      </c>
      <c r="H31" s="809">
        <v>72.810000000000102</v>
      </c>
      <c r="I31" s="4826">
        <v>87.695640563964844</v>
      </c>
      <c r="J31" s="4826">
        <v>0.53249797248699349</v>
      </c>
      <c r="K31" s="4826">
        <v>91.369201831492987</v>
      </c>
      <c r="L31" s="4826">
        <v>29.31537385710142</v>
      </c>
      <c r="M31" s="4826">
        <v>87.695640563964844</v>
      </c>
      <c r="N31" s="4826">
        <v>90.481964111328125</v>
      </c>
    </row>
    <row r="32" spans="4:14">
      <c r="D32" s="4816">
        <v>46085.791666666664</v>
      </c>
      <c r="E32" s="4817">
        <v>132.73307600000001</v>
      </c>
      <c r="F32" s="4817">
        <v>646.13538919999996</v>
      </c>
      <c r="G32" s="4817">
        <v>156.04744256210327</v>
      </c>
      <c r="H32" s="809">
        <v>71.738517041137371</v>
      </c>
      <c r="I32" s="4826">
        <v>60.027790069580078</v>
      </c>
      <c r="J32" s="4826">
        <v>0.50968564255413329</v>
      </c>
      <c r="K32" s="4826">
        <v>89.989231510253532</v>
      </c>
      <c r="L32" s="4826">
        <v>26.130492122859852</v>
      </c>
      <c r="M32" s="4826">
        <v>60.027790069580078</v>
      </c>
      <c r="N32" s="4826">
        <v>72.676597595214844</v>
      </c>
    </row>
    <row r="33" spans="4:14">
      <c r="D33" s="4816">
        <v>46086.791666666664</v>
      </c>
      <c r="E33" s="4817">
        <v>194.21850000000001</v>
      </c>
      <c r="F33" s="4817">
        <v>675.77679680000006</v>
      </c>
      <c r="G33" s="4817">
        <v>164.03884960937501</v>
      </c>
      <c r="H33" s="809">
        <v>72.810000000000102</v>
      </c>
      <c r="I33" s="4826">
        <v>57.888607025146484</v>
      </c>
      <c r="J33" s="4826">
        <v>0.50356762584558978</v>
      </c>
      <c r="K33" s="4826">
        <v>89.948819597781579</v>
      </c>
      <c r="L33" s="4826">
        <v>23.372671716380356</v>
      </c>
      <c r="M33" s="4826">
        <v>57.888607025146484</v>
      </c>
      <c r="N33" s="4826">
        <v>71.630889892578125</v>
      </c>
    </row>
    <row r="34" spans="4:14">
      <c r="D34" s="4816">
        <v>46087.791666666664</v>
      </c>
      <c r="E34" s="4817">
        <v>176.98069199999998</v>
      </c>
      <c r="F34" s="4817">
        <v>699.37617680000005</v>
      </c>
      <c r="G34" s="4817">
        <v>152.87849609374999</v>
      </c>
      <c r="H34" s="809">
        <v>72.794432120961318</v>
      </c>
      <c r="I34" s="4826">
        <v>47.643745422363281</v>
      </c>
      <c r="J34" s="4826">
        <v>0.48054678130049139</v>
      </c>
      <c r="K34" s="4826">
        <v>90.812762789164807</v>
      </c>
      <c r="L34" s="4826">
        <v>22.58546180713488</v>
      </c>
      <c r="M34" s="4826">
        <v>47.643745422363281</v>
      </c>
      <c r="N34" s="4826">
        <v>61.548969268798828</v>
      </c>
    </row>
    <row r="35" spans="4:14">
      <c r="D35" s="4816">
        <v>46088.791666666664</v>
      </c>
      <c r="E35" s="4817">
        <v>159.28360000000001</v>
      </c>
      <c r="F35" s="4817">
        <v>711.98205680000001</v>
      </c>
      <c r="G35" s="4817">
        <v>146.19826675415038</v>
      </c>
      <c r="H35" s="809">
        <v>73.342620777152064</v>
      </c>
      <c r="I35" s="4826">
        <v>69.931587219238281</v>
      </c>
      <c r="J35" s="4826">
        <v>0.49060469501399878</v>
      </c>
      <c r="K35" s="4826">
        <v>91.995220066034463</v>
      </c>
      <c r="L35" s="4826">
        <v>26.337203181109299</v>
      </c>
      <c r="M35" s="4826">
        <v>69.931587219238281</v>
      </c>
      <c r="N35" s="4826">
        <v>75.483802795410156</v>
      </c>
    </row>
    <row r="36" spans="4:14">
      <c r="D36" s="4816">
        <v>46089.791666666664</v>
      </c>
      <c r="E36" s="4817">
        <v>184.59307999999999</v>
      </c>
      <c r="F36" s="4817">
        <v>727.61627959999998</v>
      </c>
      <c r="G36" s="4817">
        <v>168.40505169918063</v>
      </c>
      <c r="H36" s="809">
        <v>86.863706445214788</v>
      </c>
      <c r="I36" s="4826">
        <v>65.60400390625</v>
      </c>
      <c r="J36" s="4826">
        <v>0.45280785718900496</v>
      </c>
      <c r="K36" s="4826">
        <v>89.265649751578508</v>
      </c>
      <c r="L36" s="4826">
        <v>24.684469784139811</v>
      </c>
      <c r="M36" s="4826">
        <v>65.60400390625</v>
      </c>
      <c r="N36" s="4826">
        <v>74.989967346191406</v>
      </c>
    </row>
    <row r="37" spans="4:14">
      <c r="D37" s="4816">
        <v>46090.791666666664</v>
      </c>
      <c r="E37" s="4817">
        <v>206.345552</v>
      </c>
      <c r="F37" s="4817">
        <v>725.80845959999999</v>
      </c>
      <c r="G37" s="4817">
        <v>178.66144506835937</v>
      </c>
      <c r="H37" s="809">
        <v>88.758791666666639</v>
      </c>
      <c r="I37" s="4826">
        <v>51.043968200683594</v>
      </c>
      <c r="J37" s="4826">
        <v>0.49214030023699734</v>
      </c>
      <c r="K37" s="4826">
        <v>90.683867345650697</v>
      </c>
      <c r="L37" s="4826">
        <v>23.722167919491373</v>
      </c>
      <c r="M37" s="4826">
        <v>51.043968200683594</v>
      </c>
      <c r="N37" s="4826">
        <v>66.209373474121094</v>
      </c>
    </row>
    <row r="38" spans="4:14">
      <c r="D38" s="4816">
        <v>46091.791666666664</v>
      </c>
      <c r="E38" s="4817">
        <v>93.058755999999988</v>
      </c>
      <c r="F38" s="4817">
        <v>641.42626240000004</v>
      </c>
      <c r="G38" s="4817">
        <v>176.85918457031249</v>
      </c>
      <c r="H38" s="809">
        <v>93.041991648630784</v>
      </c>
      <c r="I38" s="4826">
        <v>54.683158874511719</v>
      </c>
      <c r="J38" s="4826">
        <v>0.46573363589994649</v>
      </c>
      <c r="K38" s="4826">
        <v>90.647679773231701</v>
      </c>
      <c r="L38" s="4826">
        <v>24.576180043199944</v>
      </c>
      <c r="M38" s="4826">
        <v>54.683158874511719</v>
      </c>
      <c r="N38" s="4826">
        <v>63.325965881347656</v>
      </c>
    </row>
    <row r="39" spans="4:14">
      <c r="D39" s="4816">
        <v>46092.791666666664</v>
      </c>
      <c r="E39" s="4817">
        <v>47.366838399999999</v>
      </c>
      <c r="F39" s="4817">
        <v>507.40132799999998</v>
      </c>
      <c r="G39" s="4817">
        <v>180.79911523437499</v>
      </c>
      <c r="H39" s="809">
        <v>99.899182686389025</v>
      </c>
      <c r="I39" s="4826">
        <v>56.82244873046875</v>
      </c>
      <c r="J39" s="4826">
        <v>0.47658156517142597</v>
      </c>
      <c r="K39" s="4826">
        <v>90.386544993863694</v>
      </c>
      <c r="L39" s="4826">
        <v>26.432665827081919</v>
      </c>
      <c r="M39" s="4826">
        <v>56.82244873046875</v>
      </c>
      <c r="N39" s="4826">
        <v>76.92333984375</v>
      </c>
    </row>
    <row r="40" spans="4:14">
      <c r="D40" s="4816">
        <v>46093.791666666664</v>
      </c>
      <c r="E40" s="4817">
        <v>164.0239972</v>
      </c>
      <c r="F40" s="4817">
        <v>486.20879159999998</v>
      </c>
      <c r="G40" s="4817">
        <v>184.08918730926513</v>
      </c>
      <c r="H40" s="809">
        <v>96.073388568699784</v>
      </c>
      <c r="I40" s="4826">
        <v>43.550209045410156</v>
      </c>
      <c r="J40" s="4826">
        <v>0.50065835137126502</v>
      </c>
      <c r="K40" s="4826">
        <v>89.649250320746972</v>
      </c>
      <c r="L40" s="4826">
        <v>26.275214523599825</v>
      </c>
      <c r="M40" s="4826">
        <v>43.550209045410156</v>
      </c>
      <c r="N40" s="4826">
        <v>67.635406494140625</v>
      </c>
    </row>
    <row r="41" spans="4:14">
      <c r="D41" s="4816">
        <v>46094.791666666664</v>
      </c>
      <c r="E41" s="4817">
        <v>207.29929919999998</v>
      </c>
      <c r="F41" s="4817">
        <v>494.54919360000002</v>
      </c>
      <c r="G41" s="4817">
        <v>198.00122031784056</v>
      </c>
      <c r="H41" s="809">
        <v>99.841697526128087</v>
      </c>
      <c r="I41" s="4826">
        <v>57.050479888916016</v>
      </c>
      <c r="J41" s="4826">
        <v>0.46982106798898832</v>
      </c>
      <c r="K41" s="4826">
        <v>91.021522591440998</v>
      </c>
      <c r="L41" s="4826">
        <v>25.452571036761611</v>
      </c>
      <c r="M41" s="4826">
        <v>57.050479888916016</v>
      </c>
      <c r="N41" s="4826">
        <v>77.12432861328125</v>
      </c>
    </row>
    <row r="42" spans="4:14">
      <c r="D42" s="4816">
        <v>46095.791666666664</v>
      </c>
      <c r="E42" s="4817">
        <v>151.40248199999999</v>
      </c>
      <c r="F42" s="4817">
        <v>455.0077728</v>
      </c>
      <c r="G42" s="4817">
        <v>188.41649098777771</v>
      </c>
      <c r="H42" s="809">
        <v>98.697736092431285</v>
      </c>
      <c r="I42" s="4826">
        <v>69.448814392089844</v>
      </c>
      <c r="J42" s="4826">
        <v>0.44887259686871089</v>
      </c>
      <c r="K42" s="4826">
        <v>91.060718516678335</v>
      </c>
      <c r="L42" s="4826">
        <v>26.857676001075948</v>
      </c>
      <c r="M42" s="4826">
        <v>69.448814392089844</v>
      </c>
      <c r="N42" s="4826">
        <v>85.574386596679688</v>
      </c>
    </row>
    <row r="43" spans="4:14">
      <c r="D43" s="4816">
        <v>46096.791666666664</v>
      </c>
      <c r="E43" s="4817">
        <v>199.24912560000001</v>
      </c>
      <c r="F43" s="4817">
        <v>424.10479999999995</v>
      </c>
      <c r="G43" s="4817">
        <v>196.43252658081056</v>
      </c>
      <c r="H43" s="809">
        <v>96.767497842506927</v>
      </c>
      <c r="I43" s="4826">
        <v>56.61859130859375</v>
      </c>
      <c r="J43" s="4826">
        <v>0.50152470580131181</v>
      </c>
      <c r="K43" s="4826">
        <v>89.632065303415771</v>
      </c>
      <c r="L43" s="4826">
        <v>27.739082253931837</v>
      </c>
      <c r="M43" s="4826">
        <v>56.61859130859375</v>
      </c>
      <c r="N43" s="4826">
        <v>78.537673950195313</v>
      </c>
    </row>
    <row r="44" spans="4:14">
      <c r="D44" s="4816">
        <v>46097.791666666664</v>
      </c>
      <c r="E44" s="4817">
        <v>242.80195239999998</v>
      </c>
      <c r="F44" s="4817">
        <v>495.05733759999998</v>
      </c>
      <c r="G44" s="4817">
        <v>202.87456951904298</v>
      </c>
      <c r="H44" s="809">
        <v>96.766366766644126</v>
      </c>
      <c r="I44" s="4826">
        <v>64.830177307128906</v>
      </c>
      <c r="J44" s="4826">
        <v>0.467733572529271</v>
      </c>
      <c r="K44" s="4826">
        <v>90.447779795990385</v>
      </c>
      <c r="L44" s="4826">
        <v>25.476195229938828</v>
      </c>
      <c r="M44" s="4826">
        <v>64.830177307128906</v>
      </c>
      <c r="N44" s="4826">
        <v>76.773506164550781</v>
      </c>
    </row>
    <row r="45" spans="4:14">
      <c r="D45" s="4816">
        <v>46098.791666666664</v>
      </c>
      <c r="E45" s="4817">
        <v>190.2940648</v>
      </c>
      <c r="F45" s="4817">
        <v>485.33419759999998</v>
      </c>
      <c r="G45" s="4817">
        <v>198.69643357086181</v>
      </c>
      <c r="H45" s="809">
        <v>100</v>
      </c>
      <c r="I45" s="4826">
        <v>67.192497253417969</v>
      </c>
      <c r="J45" s="4826">
        <v>0.47046577768558123</v>
      </c>
      <c r="K45" s="4826">
        <v>90.617228026186297</v>
      </c>
      <c r="L45" s="4826">
        <v>27.374828607405782</v>
      </c>
      <c r="M45" s="4826">
        <v>67.192497253417969</v>
      </c>
      <c r="N45" s="4826">
        <v>75.00286865234375</v>
      </c>
    </row>
    <row r="46" spans="4:14">
      <c r="D46" s="4816">
        <v>46099.791666666664</v>
      </c>
      <c r="E46" s="4817">
        <v>230</v>
      </c>
      <c r="F46" s="4817">
        <v>530.93419759999995</v>
      </c>
      <c r="G46" s="4817">
        <v>184.4</v>
      </c>
      <c r="H46" s="809">
        <v>97.88718333333334</v>
      </c>
      <c r="I46" s="4826">
        <v>87.318256075506994</v>
      </c>
      <c r="J46" s="4826">
        <v>0.47</v>
      </c>
      <c r="K46" s="4826">
        <v>92</v>
      </c>
      <c r="L46" s="4826">
        <v>27.8</v>
      </c>
      <c r="M46" s="4826">
        <v>87.318256075506994</v>
      </c>
      <c r="N46" s="4826">
        <v>85.618786550868066</v>
      </c>
    </row>
    <row r="47" spans="4:14">
      <c r="D47" s="4816">
        <v>46100.791666666664</v>
      </c>
      <c r="E47" s="4817">
        <v>216.00004453185281</v>
      </c>
      <c r="F47" s="4817">
        <v>546.28300442479201</v>
      </c>
      <c r="G47" s="4817">
        <v>200.65123770706072</v>
      </c>
      <c r="H47" s="809">
        <v>97.88718333333334</v>
      </c>
      <c r="I47" s="4826">
        <v>73.907206541408925</v>
      </c>
      <c r="J47" s="4826">
        <v>0.58705781676829161</v>
      </c>
      <c r="K47" s="4826">
        <v>90.033346680262596</v>
      </c>
      <c r="L47" s="4826">
        <v>27.54155477405439</v>
      </c>
      <c r="M47" s="4826">
        <v>73.907206541408925</v>
      </c>
      <c r="N47" s="4826">
        <v>89.991302808620048</v>
      </c>
    </row>
    <row r="48" spans="4:14">
      <c r="D48" s="4816">
        <v>46101.791666666664</v>
      </c>
      <c r="E48" s="4817">
        <v>239.76996</v>
      </c>
      <c r="F48" s="4817">
        <v>581.21719080530181</v>
      </c>
      <c r="G48" s="4817">
        <v>204.8357736194902</v>
      </c>
      <c r="H48" s="809">
        <v>97.88718333333334</v>
      </c>
      <c r="I48" s="4826">
        <v>74.08057289578727</v>
      </c>
      <c r="J48" s="4826">
        <v>0.54478257960254906</v>
      </c>
      <c r="K48" s="4826">
        <v>89.850973458553213</v>
      </c>
      <c r="L48" s="4826">
        <v>25.463830076813228</v>
      </c>
      <c r="M48" s="4826">
        <v>74.08057289578727</v>
      </c>
      <c r="N48" s="4826">
        <v>84.725226719810948</v>
      </c>
    </row>
    <row r="49" spans="4:14">
      <c r="D49" s="4816">
        <v>46102.791666666664</v>
      </c>
      <c r="E49" s="4817">
        <v>179.50796</v>
      </c>
      <c r="F49" s="4817">
        <v>557.99224570321326</v>
      </c>
      <c r="G49" s="4817">
        <v>202.73290510208849</v>
      </c>
      <c r="H49" s="809">
        <v>97.88718333333334</v>
      </c>
      <c r="I49" s="4826">
        <v>78.744402937491117</v>
      </c>
      <c r="J49" s="4826">
        <v>0.55017132477022201</v>
      </c>
      <c r="K49" s="4826">
        <v>90.224624853035252</v>
      </c>
      <c r="L49" s="4826">
        <v>27.191767251601942</v>
      </c>
      <c r="M49" s="4826">
        <v>78.744402937491117</v>
      </c>
      <c r="N49" s="4826">
        <v>89.785191129797255</v>
      </c>
    </row>
    <row r="50" spans="4:14">
      <c r="D50" s="4816">
        <v>46103.791666666664</v>
      </c>
      <c r="E50" s="4817">
        <v>240.392</v>
      </c>
      <c r="F50" s="4817">
        <v>590.7502476254341</v>
      </c>
      <c r="G50" s="4817">
        <v>207.63399807777913</v>
      </c>
      <c r="H50" s="809">
        <v>97.88718333333334</v>
      </c>
      <c r="I50" s="4826">
        <v>52.980890029738006</v>
      </c>
      <c r="J50" s="4826">
        <v>0.55330404655728971</v>
      </c>
      <c r="K50" s="4826">
        <v>89.406958992464013</v>
      </c>
      <c r="L50" s="4826">
        <v>23.645726239500451</v>
      </c>
      <c r="M50" s="4826">
        <v>52.980890029738006</v>
      </c>
      <c r="N50" s="4826">
        <v>81.114557259309791</v>
      </c>
    </row>
    <row r="51" spans="4:14">
      <c r="D51" s="4816">
        <v>46104.791666666664</v>
      </c>
      <c r="E51" s="4817">
        <v>239.55208000000002</v>
      </c>
      <c r="F51" s="4817">
        <v>632.93462686944054</v>
      </c>
      <c r="G51" s="4817">
        <v>197.36770075599367</v>
      </c>
      <c r="H51" s="809">
        <v>94.705183333333338</v>
      </c>
      <c r="I51" s="4826">
        <v>56.633229817916828</v>
      </c>
      <c r="J51" s="4826">
        <v>0.52512631140585386</v>
      </c>
      <c r="K51" s="4826">
        <v>89.808703657913071</v>
      </c>
      <c r="L51" s="4826">
        <v>22.937398694023585</v>
      </c>
      <c r="M51" s="4826">
        <v>56.633229817916828</v>
      </c>
      <c r="N51" s="4826">
        <v>84.076870053142514</v>
      </c>
    </row>
    <row r="52" spans="4:14">
      <c r="D52" s="4816">
        <v>46105.791666666664</v>
      </c>
      <c r="E52" s="4817">
        <v>179.56956</v>
      </c>
      <c r="F52" s="4817">
        <v>612.13579909895589</v>
      </c>
      <c r="G52" s="4817">
        <v>200.36838777048467</v>
      </c>
      <c r="H52" s="809">
        <v>97.88718333333334</v>
      </c>
      <c r="I52" s="4826">
        <v>68.075881012349754</v>
      </c>
      <c r="J52" s="4826">
        <v>0.50473815027446745</v>
      </c>
      <c r="K52" s="4826">
        <v>90.300288436071995</v>
      </c>
      <c r="L52" s="4826">
        <v>24.166962778076822</v>
      </c>
      <c r="M52" s="4826">
        <v>68.075881012349754</v>
      </c>
      <c r="N52" s="4826">
        <v>87.543521444280415</v>
      </c>
    </row>
    <row r="53" spans="4:14">
      <c r="D53" s="4816">
        <v>46106.791666666664</v>
      </c>
      <c r="E53" s="4817">
        <v>240.17299640000002</v>
      </c>
      <c r="F53" s="4817">
        <v>655.01360114647616</v>
      </c>
      <c r="G53" s="4817">
        <v>197.29519435247991</v>
      </c>
      <c r="H53" s="809">
        <v>97.88718333333334</v>
      </c>
      <c r="I53" s="4826">
        <v>71.768111414542958</v>
      </c>
      <c r="J53" s="4826">
        <v>0.48892696357468995</v>
      </c>
      <c r="K53" s="4826">
        <v>90.184668922599528</v>
      </c>
      <c r="L53" s="4826">
        <v>25.229869264557234</v>
      </c>
      <c r="M53" s="4826">
        <v>71.768111414542958</v>
      </c>
      <c r="N53" s="4826">
        <v>86.154996684978286</v>
      </c>
    </row>
    <row r="54" spans="4:14">
      <c r="D54" s="4816">
        <v>46107.791666666664</v>
      </c>
      <c r="E54" s="4817">
        <v>222.11904000000001</v>
      </c>
      <c r="F54" s="4817">
        <v>682.93561230351315</v>
      </c>
      <c r="G54" s="4817">
        <v>194.19702884296299</v>
      </c>
      <c r="H54" s="809">
        <v>97.88718333333334</v>
      </c>
      <c r="I54" s="4826">
        <v>77.357636697871555</v>
      </c>
      <c r="J54" s="4826">
        <v>0.52363529808160525</v>
      </c>
      <c r="K54" s="4826">
        <v>90.579694000087017</v>
      </c>
      <c r="L54" s="4826">
        <v>25.74568622905867</v>
      </c>
      <c r="M54" s="4826">
        <v>77.357636697871555</v>
      </c>
      <c r="N54" s="4826">
        <v>87.950575463139046</v>
      </c>
    </row>
    <row r="55" spans="4:14">
      <c r="D55" s="4816">
        <v>46108.791666666664</v>
      </c>
      <c r="E55" s="4817">
        <v>238.00000000006926</v>
      </c>
      <c r="F55" s="4817">
        <v>717.42501558636718</v>
      </c>
      <c r="G55" s="4817">
        <v>203.51059671721515</v>
      </c>
      <c r="H55" s="809">
        <v>97.88718333333334</v>
      </c>
      <c r="I55" s="4826">
        <v>81.987487473131353</v>
      </c>
      <c r="J55" s="4826">
        <v>0.52870026226391142</v>
      </c>
      <c r="K55" s="4826">
        <v>89.465534775993731</v>
      </c>
      <c r="L55" s="4826">
        <v>26.411054113784456</v>
      </c>
      <c r="M55" s="4826">
        <v>81.987487473131353</v>
      </c>
      <c r="N55" s="4826">
        <v>90.245413987786748</v>
      </c>
    </row>
    <row r="56" spans="4:14">
      <c r="D56" s="4816">
        <v>46109.791666666664</v>
      </c>
      <c r="E56" s="4817">
        <v>180.00000000042226</v>
      </c>
      <c r="F56" s="4817">
        <v>691.17509021232979</v>
      </c>
      <c r="G56" s="4817">
        <v>206.24992537445974</v>
      </c>
      <c r="H56" s="809">
        <v>97.88718333333334</v>
      </c>
      <c r="I56" s="4826">
        <v>75.419030333058217</v>
      </c>
      <c r="J56" s="4826">
        <v>0.60210373772341408</v>
      </c>
      <c r="K56" s="4826">
        <v>88.872627606430385</v>
      </c>
      <c r="L56" s="4826">
        <v>30.914583841702612</v>
      </c>
      <c r="M56" s="4826">
        <v>75.419030333058217</v>
      </c>
      <c r="N56" s="4826">
        <v>85.281757195963152</v>
      </c>
    </row>
    <row r="57" spans="4:14">
      <c r="D57" s="4816">
        <v>46110.791666666664</v>
      </c>
      <c r="E57" s="4817">
        <v>237.99999999993707</v>
      </c>
      <c r="F57" s="4817">
        <v>720.00578911096261</v>
      </c>
      <c r="G57" s="4817">
        <v>209.1693011013042</v>
      </c>
      <c r="H57" s="809">
        <v>97.88718333333334</v>
      </c>
      <c r="I57" s="4826">
        <v>74.078349562304226</v>
      </c>
      <c r="J57" s="4826">
        <v>0.60253190135276002</v>
      </c>
      <c r="K57" s="4826">
        <v>90.12517923258855</v>
      </c>
      <c r="L57" s="4826">
        <v>30.166707440864869</v>
      </c>
      <c r="M57" s="4826">
        <v>74.078349562304226</v>
      </c>
      <c r="N57" s="4826">
        <v>79.837457058144906</v>
      </c>
    </row>
    <row r="58" spans="4:14">
      <c r="D58" s="4816">
        <v>46111.791666666664</v>
      </c>
      <c r="E58" s="4817">
        <v>238.00000000004738</v>
      </c>
      <c r="F58" s="4817">
        <v>757.02323163522465</v>
      </c>
      <c r="G58" s="4817">
        <v>200.98255747578534</v>
      </c>
      <c r="H58" s="809">
        <v>94.705183333333338</v>
      </c>
      <c r="I58" s="4826">
        <v>76.792985410910248</v>
      </c>
      <c r="J58" s="4826">
        <v>0.58079430880381111</v>
      </c>
      <c r="K58" s="4826">
        <v>90.917789823751221</v>
      </c>
      <c r="L58" s="4826">
        <v>29.819750307075012</v>
      </c>
      <c r="M58" s="4826">
        <v>76.792985410910248</v>
      </c>
      <c r="N58" s="4826">
        <v>83.226583739130831</v>
      </c>
    </row>
    <row r="59" spans="4:14">
      <c r="D59" s="4816">
        <v>46112.791666666664</v>
      </c>
      <c r="E59" s="4817">
        <v>269.99999999969492</v>
      </c>
      <c r="F59" s="4817">
        <v>720.64663057864789</v>
      </c>
      <c r="G59" s="4817">
        <v>306.37660105627168</v>
      </c>
      <c r="H59" s="809">
        <v>97.88718333333334</v>
      </c>
      <c r="I59" s="4826">
        <v>69.378764329299386</v>
      </c>
      <c r="J59" s="4826">
        <v>0.57187199432425428</v>
      </c>
      <c r="K59" s="4826">
        <v>91.042827998464162</v>
      </c>
      <c r="L59" s="4826">
        <v>29.094089095777246</v>
      </c>
      <c r="M59" s="4826">
        <v>69.378764329299386</v>
      </c>
      <c r="N59" s="4826">
        <v>78.829288563837736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23">
    <tabColor rgb="FF003300"/>
    <pageSetUpPr fitToPage="1"/>
  </sheetPr>
  <dimension ref="A1:W60"/>
  <sheetViews>
    <sheetView zoomScale="70" zoomScaleNormal="7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J18" sqref="J18"/>
    </sheetView>
  </sheetViews>
  <sheetFormatPr baseColWidth="10" defaultColWidth="13" defaultRowHeight="15.5"/>
  <cols>
    <col min="1" max="1" width="4.453125" style="77" customWidth="1"/>
    <col min="2" max="2" width="4.54296875" style="77" customWidth="1"/>
    <col min="3" max="3" width="41.453125" style="77" customWidth="1"/>
    <col min="4" max="4" width="8.54296875" style="77" customWidth="1"/>
    <col min="5" max="5" width="2" style="77" customWidth="1"/>
    <col min="6" max="9" width="11.54296875" style="77" customWidth="1"/>
    <col min="10" max="10" width="11.54296875" style="2906" customWidth="1"/>
    <col min="11" max="17" width="11.54296875" style="77" customWidth="1"/>
    <col min="18" max="18" width="1.453125" style="77" customWidth="1"/>
    <col min="19" max="19" width="16" style="77" customWidth="1"/>
    <col min="20" max="20" width="2.453125" style="77" customWidth="1"/>
    <col min="21" max="22" width="13" style="253"/>
    <col min="23" max="25" width="16.453125" style="70" bestFit="1" customWidth="1"/>
    <col min="26" max="37" width="13" style="70"/>
    <col min="38" max="41" width="16.453125" style="70" bestFit="1" customWidth="1"/>
    <col min="42" max="81" width="13" style="70"/>
    <col min="82" max="82" width="29.54296875" style="70" customWidth="1"/>
    <col min="83" max="88" width="13" style="70"/>
    <col min="89" max="89" width="25" style="70" customWidth="1"/>
    <col min="90" max="16384" width="13" style="70"/>
  </cols>
  <sheetData>
    <row r="1" spans="3:22">
      <c r="C1" s="506"/>
      <c r="D1" s="501"/>
      <c r="E1" s="501"/>
      <c r="F1" s="501"/>
      <c r="G1" s="501"/>
      <c r="H1" s="501"/>
      <c r="I1" s="501"/>
      <c r="J1" s="2891"/>
      <c r="K1" s="501"/>
      <c r="L1" s="501"/>
      <c r="M1" s="501"/>
      <c r="N1" s="501"/>
      <c r="O1" s="501"/>
      <c r="P1" s="501"/>
      <c r="Q1" s="501"/>
      <c r="R1" s="501"/>
      <c r="S1" s="501"/>
    </row>
    <row r="2" spans="3:22" ht="16" thickBot="1">
      <c r="C2" s="501"/>
      <c r="D2" s="501"/>
      <c r="E2" s="501"/>
      <c r="F2" s="501"/>
      <c r="G2" s="501"/>
      <c r="H2" s="501"/>
      <c r="I2" s="501"/>
      <c r="J2" s="2891"/>
      <c r="K2" s="501"/>
      <c r="L2" s="501"/>
      <c r="M2" s="501"/>
      <c r="N2" s="501"/>
      <c r="O2" s="501"/>
      <c r="P2" s="501"/>
      <c r="Q2" s="501"/>
      <c r="R2" s="501"/>
      <c r="S2" s="501"/>
    </row>
    <row r="3" spans="3:22" ht="33" customHeight="1" thickBot="1">
      <c r="C3" s="507"/>
      <c r="D3" s="508"/>
      <c r="E3" s="508"/>
      <c r="F3" s="508"/>
      <c r="G3" s="508"/>
      <c r="H3" s="508"/>
      <c r="I3" s="508" t="s">
        <v>1408</v>
      </c>
      <c r="J3" s="2892"/>
      <c r="K3" s="508"/>
      <c r="L3" s="508"/>
      <c r="M3" s="508" t="s">
        <v>1407</v>
      </c>
      <c r="N3" s="508"/>
      <c r="O3" s="508"/>
      <c r="P3" s="508"/>
      <c r="Q3" s="508"/>
      <c r="R3" s="508"/>
      <c r="S3" s="509"/>
      <c r="T3" s="502"/>
    </row>
    <row r="4" spans="3:22" ht="16.5" customHeight="1">
      <c r="C4" s="510"/>
      <c r="D4" s="510" t="s">
        <v>159</v>
      </c>
      <c r="E4" s="511"/>
      <c r="F4" s="512">
        <f>'R+RP+B'!F4</f>
        <v>46023</v>
      </c>
      <c r="G4" s="1987">
        <f>'R+RP+B'!G4</f>
        <v>46054</v>
      </c>
      <c r="H4" s="1987">
        <f>'R+RP+B'!H4</f>
        <v>46082</v>
      </c>
      <c r="I4" s="1987">
        <f>'R+RP+B'!I4</f>
        <v>46113</v>
      </c>
      <c r="J4" s="2893">
        <f>'R+RP+B'!J4</f>
        <v>46143</v>
      </c>
      <c r="K4" s="1987">
        <f>'R+RP+B'!K4</f>
        <v>46174</v>
      </c>
      <c r="L4" s="1987">
        <f>'R+RP+B'!L4</f>
        <v>46204</v>
      </c>
      <c r="M4" s="1987">
        <f>'R+RP+B'!M4</f>
        <v>46235</v>
      </c>
      <c r="N4" s="1992">
        <f>'R+RP+B'!N4</f>
        <v>46266</v>
      </c>
      <c r="O4" s="512">
        <f>'R+RP+B'!O4</f>
        <v>46296</v>
      </c>
      <c r="P4" s="512">
        <f>'R+RP+B'!P4</f>
        <v>46327</v>
      </c>
      <c r="Q4" s="512">
        <f>'R+RP+B'!Q4</f>
        <v>46357</v>
      </c>
      <c r="R4" s="513"/>
      <c r="S4" s="559" t="s">
        <v>192</v>
      </c>
      <c r="U4" s="514" t="s">
        <v>193</v>
      </c>
      <c r="V4" s="514" t="s">
        <v>193</v>
      </c>
    </row>
    <row r="5" spans="3:22" ht="19.5" customHeight="1" thickBot="1">
      <c r="C5" s="515"/>
      <c r="D5" s="515"/>
      <c r="E5" s="516"/>
      <c r="F5" s="517" t="s">
        <v>1406</v>
      </c>
      <c r="G5" s="1988" t="s">
        <v>1406</v>
      </c>
      <c r="H5" s="1988" t="s">
        <v>1406</v>
      </c>
      <c r="I5" s="1988" t="s">
        <v>1406</v>
      </c>
      <c r="J5" s="2894" t="s">
        <v>1406</v>
      </c>
      <c r="K5" s="517" t="s">
        <v>1406</v>
      </c>
      <c r="L5" s="517" t="s">
        <v>1406</v>
      </c>
      <c r="M5" s="517" t="s">
        <v>1406</v>
      </c>
      <c r="N5" s="517" t="s">
        <v>1406</v>
      </c>
      <c r="O5" s="517" t="s">
        <v>1406</v>
      </c>
      <c r="P5" s="517" t="s">
        <v>1406</v>
      </c>
      <c r="Q5" s="517" t="s">
        <v>1406</v>
      </c>
      <c r="R5" s="517" t="s">
        <v>1406</v>
      </c>
      <c r="S5" s="519"/>
      <c r="U5" s="514" t="s">
        <v>194</v>
      </c>
      <c r="V5" s="514" t="s">
        <v>195</v>
      </c>
    </row>
    <row r="6" spans="3:22" ht="30" customHeight="1">
      <c r="C6" s="437" t="s">
        <v>196</v>
      </c>
      <c r="D6" s="437"/>
      <c r="E6" s="268"/>
      <c r="F6" s="105">
        <v>31</v>
      </c>
      <c r="G6" s="1989">
        <v>29</v>
      </c>
      <c r="H6" s="1989">
        <v>31</v>
      </c>
      <c r="I6" s="1989">
        <v>30</v>
      </c>
      <c r="J6" s="2895">
        <v>31</v>
      </c>
      <c r="K6" s="1989">
        <v>30</v>
      </c>
      <c r="L6" s="1989">
        <v>31</v>
      </c>
      <c r="M6" s="1989">
        <v>31</v>
      </c>
      <c r="N6" s="1993">
        <v>30</v>
      </c>
      <c r="O6" s="105">
        <v>31</v>
      </c>
      <c r="P6" s="1543">
        <v>30</v>
      </c>
      <c r="Q6" s="1543">
        <v>31</v>
      </c>
      <c r="R6" s="692"/>
      <c r="S6" s="105">
        <f>SUM(F6:Q6)</f>
        <v>366</v>
      </c>
      <c r="T6" s="690"/>
      <c r="U6" s="222">
        <f>IF(MONTH(Factores!$D$2)=1,SUM($F6:F6),IF(MONTH(Factores!$D$2)=2,SUM($F6:G6),IF(MONTH(Factores!$D$2)=3,SUM($F6:H6),IF(MONTH(Factores!$D$2)=4,SUM($F6:I6),IF(MONTH(Factores!$D$2)=5,SUM($F6:J6),IF(MONTH(Factores!$D$2)=6,SUM($F6:K6),IF(MONTH(Factores!$D$2)=7,SUM($F6:L6),IF(MONTH(Factores!$D$2)=8,SUM($F6:M6),IF(MONTH(Factores!$D$2)=9,SUM($F6:N6),IF(MONTH(Factores!$D$2)=10,SUM($F6:O6),IF(MONTH(Factores!$D$2)=11,SUM($F6:P6),IF(MONTH(Factores!$D$2)=12,SUM($F6:Q6)))))))))))))</f>
        <v>91</v>
      </c>
      <c r="V6" s="222">
        <f>IF(MONTH(Factores!$D$2)=1,SUM($F6:F6),IF(MONTH(Factores!$D$2)=2,SUM($F6:F6),IF(MONTH(Factores!$D$2)=3,SUM($F6:G6),IF(MONTH(Factores!$D$2)=4,SUM($F6:H6),IF(MONTH(Factores!$D$2)=5,SUM($F6:I6),IF(MONTH(Factores!$D$2)=6,SUM($F6:J6),IF(MONTH(Factores!$D$2)=7,SUM($F6:K6),IF(MONTH(Factores!$D$2)=8,SUM($F6:L6),IF(MONTH(Factores!$D$2)=9,SUM($F6:M6),IF(MONTH(Factores!$D$2)=10,SUM($F6:N6),IF(MONTH(Factores!$D$2)=11,SUM($F6:O6),IF(MONTH(Factores!$D$2)=12,SUM($F6:P6)))))))))))))</f>
        <v>60</v>
      </c>
    </row>
    <row r="7" spans="3:22" ht="30" hidden="1" customHeight="1">
      <c r="C7" s="71" t="s">
        <v>197</v>
      </c>
      <c r="D7" s="98" t="s">
        <v>198</v>
      </c>
      <c r="E7" s="99"/>
      <c r="F7" s="419"/>
      <c r="G7" s="1990"/>
      <c r="H7" s="1990"/>
      <c r="I7" s="1990"/>
      <c r="J7" s="2896"/>
      <c r="K7" s="1990"/>
      <c r="L7" s="1990"/>
      <c r="M7" s="1990"/>
      <c r="N7" s="1994"/>
      <c r="O7" s="419"/>
      <c r="P7" s="1544"/>
      <c r="Q7" s="1544"/>
      <c r="R7" s="693"/>
      <c r="S7" s="694"/>
      <c r="T7" s="253"/>
      <c r="U7" s="411"/>
      <c r="V7" s="411"/>
    </row>
    <row r="8" spans="3:22" ht="30" hidden="1" customHeight="1">
      <c r="C8" s="75" t="s">
        <v>199</v>
      </c>
      <c r="D8" s="101" t="s">
        <v>198</v>
      </c>
      <c r="E8" s="99"/>
      <c r="F8" s="419"/>
      <c r="G8" s="1990"/>
      <c r="H8" s="1990"/>
      <c r="I8" s="1990"/>
      <c r="J8" s="2896"/>
      <c r="K8" s="1990"/>
      <c r="L8" s="1990"/>
      <c r="M8" s="1990"/>
      <c r="N8" s="1994"/>
      <c r="O8" s="419"/>
      <c r="P8" s="1544"/>
      <c r="Q8" s="1544"/>
      <c r="R8" s="693"/>
      <c r="S8" s="694"/>
      <c r="T8" s="253"/>
      <c r="U8" s="411"/>
      <c r="V8" s="411"/>
    </row>
    <row r="9" spans="3:22" ht="30" hidden="1" customHeight="1">
      <c r="C9" s="71" t="s">
        <v>200</v>
      </c>
      <c r="D9" s="101" t="s">
        <v>198</v>
      </c>
      <c r="E9" s="102"/>
      <c r="F9" s="419"/>
      <c r="G9" s="1990"/>
      <c r="H9" s="1990"/>
      <c r="I9" s="1990"/>
      <c r="J9" s="2896"/>
      <c r="K9" s="1990"/>
      <c r="L9" s="1990"/>
      <c r="M9" s="1990"/>
      <c r="N9" s="1994"/>
      <c r="O9" s="419"/>
      <c r="P9" s="1544"/>
      <c r="Q9" s="1544"/>
      <c r="R9" s="693"/>
      <c r="S9" s="694"/>
      <c r="T9" s="253"/>
      <c r="U9" s="411"/>
      <c r="V9" s="411"/>
    </row>
    <row r="10" spans="3:22" ht="30" hidden="1" customHeight="1">
      <c r="C10" s="71" t="s">
        <v>201</v>
      </c>
      <c r="D10" s="101" t="s">
        <v>198</v>
      </c>
      <c r="E10" s="102"/>
      <c r="F10" s="419"/>
      <c r="G10" s="1990"/>
      <c r="H10" s="1990"/>
      <c r="I10" s="1990"/>
      <c r="J10" s="2896"/>
      <c r="K10" s="1990"/>
      <c r="L10" s="1990"/>
      <c r="M10" s="1990"/>
      <c r="N10" s="1994"/>
      <c r="O10" s="419"/>
      <c r="P10" s="1544"/>
      <c r="Q10" s="1544"/>
      <c r="R10" s="693"/>
      <c r="S10" s="419"/>
      <c r="T10" s="253"/>
      <c r="U10" s="411"/>
      <c r="V10" s="411"/>
    </row>
    <row r="11" spans="3:22" ht="30" hidden="1" customHeight="1">
      <c r="C11" s="71" t="s">
        <v>76</v>
      </c>
      <c r="D11" s="98" t="s">
        <v>202</v>
      </c>
      <c r="E11" s="99"/>
      <c r="F11" s="419"/>
      <c r="G11" s="1990"/>
      <c r="H11" s="1990"/>
      <c r="I11" s="1990"/>
      <c r="J11" s="2896"/>
      <c r="K11" s="1990"/>
      <c r="L11" s="1990"/>
      <c r="M11" s="1990"/>
      <c r="N11" s="1994"/>
      <c r="O11" s="419"/>
      <c r="P11" s="1544"/>
      <c r="Q11" s="1544"/>
      <c r="R11" s="693"/>
      <c r="S11" s="419">
        <f>SUM(F11:Q11)</f>
        <v>0</v>
      </c>
      <c r="T11" s="253"/>
      <c r="U11" s="411">
        <f>IF(MONTH(Factores!$D$2)=1,SUM($F11:F11),IF(MONTH(Factores!$D$2)=2,SUM($F11:G11),IF(MONTH(Factores!$D$2)=3,SUM($F11:H11),IF(MONTH(Factores!$D$2)=4,SUM($F11:I11),IF(MONTH(Factores!$D$2)=5,SUM($F11:J11),IF(MONTH(Factores!$D$2)=6,SUM($F11:K11),IF(MONTH(Factores!$D$2)=7,SUM($F11:L11),IF(MONTH(Factores!$D$2)=8,SUM($F11:M11),IF(MONTH(Factores!$D$2)=9,SUM($F11:N11),IF(MONTH(Factores!$D$2)=10,SUM($F11:O11),IF(MONTH(Factores!$D$2)=11,SUM($F11:P11),IF(MONTH(Factores!$D$2)=12,SUM($F11:Q11)))))))))))))</f>
        <v>0</v>
      </c>
      <c r="V11" s="411">
        <f>IF(MONTH(Factores!$D$2)=1,SUM($F11:F11),IF(MONTH(Factores!$D$2)=2,SUM($F11:F11),IF(MONTH(Factores!$D$2)=3,SUM($F11:G11),IF(MONTH(Factores!$D$2)=4,SUM($F11:H11),IF(MONTH(Factores!$D$2)=5,SUM($F11:I11),IF(MONTH(Factores!$D$2)=6,SUM($F11:J11),IF(MONTH(Factores!$D$2)=7,SUM($F11:K11),IF(MONTH(Factores!$D$2)=8,SUM($F11:L11),IF(MONTH(Factores!$D$2)=9,SUM($F11:M11),IF(MONTH(Factores!$D$2)=10,SUM($F11:N11),IF(MONTH(Factores!$D$2)=11,SUM($F11:O11),IF(MONTH(Factores!$D$2)=12,SUM($F11:P11)))))))))))))</f>
        <v>0</v>
      </c>
    </row>
    <row r="12" spans="3:22" hidden="1">
      <c r="C12" s="268"/>
      <c r="D12" s="268"/>
      <c r="E12" s="268"/>
      <c r="F12" s="268"/>
      <c r="G12" s="268"/>
      <c r="H12" s="268"/>
      <c r="I12" s="268"/>
      <c r="J12" s="2897"/>
      <c r="K12" s="268"/>
      <c r="L12" s="268"/>
      <c r="M12" s="268"/>
      <c r="N12" s="268"/>
      <c r="O12" s="268"/>
      <c r="P12" s="1545"/>
      <c r="Q12" s="1545"/>
      <c r="R12" s="268"/>
      <c r="S12" s="268"/>
    </row>
    <row r="13" spans="3:22" s="77" customFormat="1" ht="30" hidden="1" customHeight="1">
      <c r="C13" s="78" t="s">
        <v>203</v>
      </c>
      <c r="D13" s="79" t="s">
        <v>204</v>
      </c>
      <c r="E13" s="104"/>
      <c r="F13" s="112"/>
      <c r="G13" s="1991"/>
      <c r="H13" s="1991"/>
      <c r="I13" s="1991"/>
      <c r="J13" s="2898"/>
      <c r="K13" s="1991"/>
      <c r="L13" s="1991"/>
      <c r="M13" s="1991"/>
      <c r="N13" s="1995"/>
      <c r="O13" s="112"/>
      <c r="P13" s="1546"/>
      <c r="Q13" s="1546"/>
      <c r="R13" s="145"/>
      <c r="S13" s="112">
        <f t="shared" ref="S13:S18" si="0">SUM(F13:Q13)</f>
        <v>0</v>
      </c>
      <c r="T13" s="695"/>
      <c r="U13" s="416">
        <f>IF(MONTH(Factores!$D$2)=1,SUM($F13:F13),IF(MONTH(Factores!$D$2)=2,SUM($F13:G13),IF(MONTH(Factores!$D$2)=3,SUM($F13:H13),IF(MONTH(Factores!$D$2)=4,SUM($F13:I13),IF(MONTH(Factores!$D$2)=5,SUM($F13:J13),IF(MONTH(Factores!$D$2)=6,SUM($F13:K13),IF(MONTH(Factores!$D$2)=7,SUM($F13:L13),IF(MONTH(Factores!$D$2)=8,SUM($F13:M13),IF(MONTH(Factores!$D$2)=9,SUM($F13:N13),IF(MONTH(Factores!$D$2)=10,SUM($F13:O13),IF(MONTH(Factores!$D$2)=11,SUM($F13:P13),IF(MONTH(Factores!$D$2)=12,SUM($F13:Q13)))))))))))))</f>
        <v>0</v>
      </c>
      <c r="V13" s="416">
        <f>IF(MONTH(Factores!$D$2)=1,SUM($F13:F13),IF(MONTH(Factores!$D$2)=2,SUM($F13:F13),IF(MONTH(Factores!$D$2)=3,SUM($F13:G13),IF(MONTH(Factores!$D$2)=4,SUM($F13:H13),IF(MONTH(Factores!$D$2)=5,SUM($F13:I13),IF(MONTH(Factores!$D$2)=6,SUM($F13:J13),IF(MONTH(Factores!$D$2)=7,SUM($F13:K13),IF(MONTH(Factores!$D$2)=8,SUM($F13:L13),IF(MONTH(Factores!$D$2)=9,SUM($F13:M13),IF(MONTH(Factores!$D$2)=10,SUM($F13:N13),IF(MONTH(Factores!$D$2)=11,SUM($F13:O13),IF(MONTH(Factores!$D$2)=12,SUM($F13:P13)))))))))))))</f>
        <v>0</v>
      </c>
    </row>
    <row r="14" spans="3:22" s="77" customFormat="1" ht="30" hidden="1" customHeight="1">
      <c r="C14" s="78" t="s">
        <v>205</v>
      </c>
      <c r="D14" s="79" t="s">
        <v>204</v>
      </c>
      <c r="E14" s="104"/>
      <c r="F14" s="112"/>
      <c r="G14" s="1991"/>
      <c r="H14" s="1991"/>
      <c r="I14" s="1991"/>
      <c r="J14" s="2898"/>
      <c r="K14" s="1991"/>
      <c r="L14" s="1991"/>
      <c r="M14" s="1991"/>
      <c r="N14" s="1995"/>
      <c r="O14" s="112"/>
      <c r="P14" s="1546"/>
      <c r="Q14" s="1546"/>
      <c r="R14" s="145"/>
      <c r="S14" s="112">
        <f t="shared" si="0"/>
        <v>0</v>
      </c>
      <c r="T14" s="695"/>
      <c r="U14" s="416">
        <f>IF(MONTH(Factores!$D$2)=1,SUM($F14:F14),IF(MONTH(Factores!$D$2)=2,SUM($F14:G14),IF(MONTH(Factores!$D$2)=3,SUM($F14:H14),IF(MONTH(Factores!$D$2)=4,SUM($F14:I14),IF(MONTH(Factores!$D$2)=5,SUM($F14:J14),IF(MONTH(Factores!$D$2)=6,SUM($F14:K14),IF(MONTH(Factores!$D$2)=7,SUM($F14:L14),IF(MONTH(Factores!$D$2)=8,SUM($F14:M14),IF(MONTH(Factores!$D$2)=9,SUM($F14:N14),IF(MONTH(Factores!$D$2)=10,SUM($F14:O14),IF(MONTH(Factores!$D$2)=11,SUM($F14:P14),IF(MONTH(Factores!$D$2)=12,SUM($F14:Q14)))))))))))))</f>
        <v>0</v>
      </c>
      <c r="V14" s="416">
        <f>IF(MONTH(Factores!$D$2)=1,SUM($F14:F14),IF(MONTH(Factores!$D$2)=2,SUM($F14:F14),IF(MONTH(Factores!$D$2)=3,SUM($F14:G14),IF(MONTH(Factores!$D$2)=4,SUM($F14:H14),IF(MONTH(Factores!$D$2)=5,SUM($F14:I14),IF(MONTH(Factores!$D$2)=6,SUM($F14:J14),IF(MONTH(Factores!$D$2)=7,SUM($F14:K14),IF(MONTH(Factores!$D$2)=8,SUM($F14:L14),IF(MONTH(Factores!$D$2)=9,SUM($F14:M14),IF(MONTH(Factores!$D$2)=10,SUM($F14:N14),IF(MONTH(Factores!$D$2)=11,SUM($F14:O14),IF(MONTH(Factores!$D$2)=12,SUM($F14:P14)))))))))))))</f>
        <v>0</v>
      </c>
    </row>
    <row r="15" spans="3:22" s="77" customFormat="1" ht="30" customHeight="1">
      <c r="C15" s="78" t="s">
        <v>206</v>
      </c>
      <c r="D15" s="79" t="s">
        <v>204</v>
      </c>
      <c r="E15" s="104"/>
      <c r="F15" s="1546">
        <v>24.614904999130523</v>
      </c>
      <c r="G15" s="2701">
        <v>23.455271895543248</v>
      </c>
      <c r="H15" s="2701">
        <v>27.277609311252796</v>
      </c>
      <c r="I15" s="2701">
        <v>26.261028395606726</v>
      </c>
      <c r="J15" s="2898">
        <v>29.807135509206859</v>
      </c>
      <c r="K15" s="2701">
        <v>29.219650587729287</v>
      </c>
      <c r="L15" s="2701">
        <v>23.12337464662513</v>
      </c>
      <c r="M15" s="2701">
        <v>24.938278181475884</v>
      </c>
      <c r="N15" s="2702">
        <v>28.458820711582671</v>
      </c>
      <c r="O15" s="1546">
        <v>28.828590112442104</v>
      </c>
      <c r="P15" s="1546">
        <v>29.822426149660728</v>
      </c>
      <c r="Q15" s="1546">
        <v>31.475031565185414</v>
      </c>
      <c r="R15" s="145"/>
      <c r="S15" s="112">
        <f t="shared" si="0"/>
        <v>327.28212206544134</v>
      </c>
      <c r="T15" s="695"/>
      <c r="U15" s="416">
        <f>IF(MONTH(Factores!$D$2)=1,SUM($F15:F15),IF(MONTH(Factores!$D$2)=2,SUM($F15:G15),IF(MONTH(Factores!$D$2)=3,SUM($F15:H15),IF(MONTH(Factores!$D$2)=4,SUM($F15:I15),IF(MONTH(Factores!$D$2)=5,SUM($F15:J15),IF(MONTH(Factores!$D$2)=6,SUM($F15:K15),IF(MONTH(Factores!$D$2)=7,SUM($F15:L15),IF(MONTH(Factores!$D$2)=8,SUM($F15:M15),IF(MONTH(Factores!$D$2)=9,SUM($F15:N15),IF(MONTH(Factores!$D$2)=10,SUM($F15:O15),IF(MONTH(Factores!$D$2)=11,SUM($F15:P15),IF(MONTH(Factores!$D$2)=12,SUM($F15:Q15)))))))))))))</f>
        <v>75.347786205926568</v>
      </c>
      <c r="V15" s="416">
        <f>IF(MONTH(Factores!$D$2)=1,SUM($F15:F15),IF(MONTH(Factores!$D$2)=2,SUM($F15:F15),IF(MONTH(Factores!$D$2)=3,SUM($F15:G15),IF(MONTH(Factores!$D$2)=4,SUM($F15:H15),IF(MONTH(Factores!$D$2)=5,SUM($F15:I15),IF(MONTH(Factores!$D$2)=6,SUM($F15:J15),IF(MONTH(Factores!$D$2)=7,SUM($F15:K15),IF(MONTH(Factores!$D$2)=8,SUM($F15:L15),IF(MONTH(Factores!$D$2)=9,SUM($F15:M15),IF(MONTH(Factores!$D$2)=10,SUM($F15:N15),IF(MONTH(Factores!$D$2)=11,SUM($F15:O15),IF(MONTH(Factores!$D$2)=12,SUM($F15:P15)))))))))))))</f>
        <v>48.070176894673772</v>
      </c>
    </row>
    <row r="16" spans="3:22" s="77" customFormat="1" ht="30" customHeight="1">
      <c r="C16" s="78" t="s">
        <v>207</v>
      </c>
      <c r="D16" s="79" t="s">
        <v>204</v>
      </c>
      <c r="E16" s="104"/>
      <c r="F16" s="1546">
        <v>23.777998229160083</v>
      </c>
      <c r="G16" s="2701">
        <v>22.657792651094777</v>
      </c>
      <c r="H16" s="2701">
        <v>26.3501705946702</v>
      </c>
      <c r="I16" s="2701">
        <v>25.368153430156095</v>
      </c>
      <c r="J16" s="2898">
        <v>28.793692901893824</v>
      </c>
      <c r="K16" s="2701">
        <v>28.22618246774649</v>
      </c>
      <c r="L16" s="2701">
        <v>22.337179908639875</v>
      </c>
      <c r="M16" s="2701">
        <v>24.090376723305702</v>
      </c>
      <c r="N16" s="2702">
        <v>27.49122080738886</v>
      </c>
      <c r="O16" s="1546">
        <v>27.84841804861907</v>
      </c>
      <c r="P16" s="1546">
        <v>28.808463660572261</v>
      </c>
      <c r="Q16" s="1546">
        <v>30.404880491969109</v>
      </c>
      <c r="R16" s="145"/>
      <c r="S16" s="112">
        <f t="shared" si="0"/>
        <v>316.15452991521636</v>
      </c>
      <c r="T16" s="695"/>
      <c r="U16" s="416">
        <f>IF(MONTH(Factores!$D$2)=1,SUM($F16:F16),IF(MONTH(Factores!$D$2)=2,SUM($F16:G16),IF(MONTH(Factores!$D$2)=3,SUM($F16:H16),IF(MONTH(Factores!$D$2)=4,SUM($F16:I16),IF(MONTH(Factores!$D$2)=5,SUM($F16:J16),IF(MONTH(Factores!$D$2)=6,SUM($F16:K16),IF(MONTH(Factores!$D$2)=7,SUM($F16:L16),IF(MONTH(Factores!$D$2)=8,SUM($F16:M16),IF(MONTH(Factores!$D$2)=9,SUM($F16:N16),IF(MONTH(Factores!$D$2)=10,SUM($F16:O16),IF(MONTH(Factores!$D$2)=11,SUM($F16:P16),IF(MONTH(Factores!$D$2)=12,SUM($F16:Q16)))))))))))))</f>
        <v>72.78596147492506</v>
      </c>
      <c r="V16" s="416">
        <f>IF(MONTH(Factores!$D$2)=1,SUM($F16:F16),IF(MONTH(Factores!$D$2)=2,SUM($F16:F16),IF(MONTH(Factores!$D$2)=3,SUM($F16:G16),IF(MONTH(Factores!$D$2)=4,SUM($F16:H16),IF(MONTH(Factores!$D$2)=5,SUM($F16:I16),IF(MONTH(Factores!$D$2)=6,SUM($F16:J16),IF(MONTH(Factores!$D$2)=7,SUM($F16:K16),IF(MONTH(Factores!$D$2)=8,SUM($F16:L16),IF(MONTH(Factores!$D$2)=9,SUM($F16:M16),IF(MONTH(Factores!$D$2)=10,SUM($F16:N16),IF(MONTH(Factores!$D$2)=11,SUM($F16:O16),IF(MONTH(Factores!$D$2)=12,SUM($F16:P16)))))))))))))</f>
        <v>46.435790880254856</v>
      </c>
    </row>
    <row r="17" spans="3:23" s="77" customFormat="1" ht="30" customHeight="1">
      <c r="C17" s="78" t="s">
        <v>208</v>
      </c>
      <c r="D17" s="79" t="s">
        <v>204</v>
      </c>
      <c r="E17" s="104"/>
      <c r="F17" s="1546">
        <v>0.83986063745935591</v>
      </c>
      <c r="G17" s="2701">
        <v>0.91272777276420258</v>
      </c>
      <c r="H17" s="2701">
        <v>0.99521525601292438</v>
      </c>
      <c r="I17" s="2701">
        <v>1.1689092305071656</v>
      </c>
      <c r="J17" s="2898">
        <v>1.1986114142716209</v>
      </c>
      <c r="K17" s="2701">
        <v>1.2198837243083711</v>
      </c>
      <c r="L17" s="2701">
        <v>0.8248630063106327</v>
      </c>
      <c r="M17" s="2701">
        <v>1.0567661616894022</v>
      </c>
      <c r="N17" s="2702">
        <v>1.3579950225673247</v>
      </c>
      <c r="O17" s="1546">
        <v>1.0812537284969885</v>
      </c>
      <c r="P17" s="1546">
        <v>1.2835248975326288</v>
      </c>
      <c r="Q17" s="1546">
        <v>1.3547178525903711</v>
      </c>
      <c r="R17" s="145"/>
      <c r="S17" s="112">
        <f t="shared" si="0"/>
        <v>13.29432870451099</v>
      </c>
      <c r="T17" s="695"/>
      <c r="U17" s="416">
        <f>IF(MONTH(Factores!$D$2)=1,SUM($F17:F17),IF(MONTH(Factores!$D$2)=2,SUM($F17:G17),IF(MONTH(Factores!$D$2)=3,SUM($F17:H17),IF(MONTH(Factores!$D$2)=4,SUM($F17:I17),IF(MONTH(Factores!$D$2)=5,SUM($F17:J17),IF(MONTH(Factores!$D$2)=6,SUM($F17:K17),IF(MONTH(Factores!$D$2)=7,SUM($F17:L17),IF(MONTH(Factores!$D$2)=8,SUM($F17:M17),IF(MONTH(Factores!$D$2)=9,SUM($F17:N17),IF(MONTH(Factores!$D$2)=10,SUM($F17:O17),IF(MONTH(Factores!$D$2)=11,SUM($F17:P17),IF(MONTH(Factores!$D$2)=12,SUM($F17:Q17)))))))))))))</f>
        <v>2.7478036662364831</v>
      </c>
      <c r="V17" s="416">
        <f>IF(MONTH(Factores!$D$2)=1,SUM($F17:F17),IF(MONTH(Factores!$D$2)=2,SUM($F17:F17),IF(MONTH(Factores!$D$2)=3,SUM($F17:G17),IF(MONTH(Factores!$D$2)=4,SUM($F17:H17),IF(MONTH(Factores!$D$2)=5,SUM($F17:I17),IF(MONTH(Factores!$D$2)=6,SUM($F17:J17),IF(MONTH(Factores!$D$2)=7,SUM($F17:K17),IF(MONTH(Factores!$D$2)=8,SUM($F17:L17),IF(MONTH(Factores!$D$2)=9,SUM($F17:M17),IF(MONTH(Factores!$D$2)=10,SUM($F17:N17),IF(MONTH(Factores!$D$2)=11,SUM($F17:O17),IF(MONTH(Factores!$D$2)=12,SUM($F17:P17)))))))))))))</f>
        <v>1.7525884102235585</v>
      </c>
    </row>
    <row r="18" spans="3:23" s="77" customFormat="1" ht="30" customHeight="1">
      <c r="C18" s="78" t="s">
        <v>209</v>
      </c>
      <c r="D18" s="79" t="s">
        <v>204</v>
      </c>
      <c r="E18" s="104"/>
      <c r="F18" s="1546">
        <v>0.83566133427205913</v>
      </c>
      <c r="G18" s="2701">
        <v>0.90816413390038153</v>
      </c>
      <c r="H18" s="2701">
        <v>0.9902391797328598</v>
      </c>
      <c r="I18" s="2701">
        <v>1.1630646843546297</v>
      </c>
      <c r="J18" s="2898">
        <v>1.1926183572002629</v>
      </c>
      <c r="K18" s="2701">
        <v>1.2137843056868292</v>
      </c>
      <c r="L18" s="2701">
        <v>0.8207386912790795</v>
      </c>
      <c r="M18" s="2701">
        <v>1.0514823308809551</v>
      </c>
      <c r="N18" s="2702">
        <v>1.3512050474544881</v>
      </c>
      <c r="O18" s="1546">
        <v>1.0758474598545036</v>
      </c>
      <c r="P18" s="1546">
        <v>1.2771072730449655</v>
      </c>
      <c r="Q18" s="1546">
        <v>1.3479442633274192</v>
      </c>
      <c r="R18" s="145"/>
      <c r="S18" s="112">
        <f t="shared" si="0"/>
        <v>13.227857060988434</v>
      </c>
      <c r="T18" s="695"/>
      <c r="U18" s="416">
        <f>IF(MONTH(Factores!$D$2)=1,SUM($F18:F18),IF(MONTH(Factores!$D$2)=2,SUM($F18:G18),IF(MONTH(Factores!$D$2)=3,SUM($F18:H18),IF(MONTH(Factores!$D$2)=4,SUM($F18:I18),IF(MONTH(Factores!$D$2)=5,SUM($F18:J18),IF(MONTH(Factores!$D$2)=6,SUM($F18:K18),IF(MONTH(Factores!$D$2)=7,SUM($F18:L18),IF(MONTH(Factores!$D$2)=8,SUM($F18:M18),IF(MONTH(Factores!$D$2)=9,SUM($F18:N18),IF(MONTH(Factores!$D$2)=10,SUM($F18:O18),IF(MONTH(Factores!$D$2)=11,SUM($F18:P18),IF(MONTH(Factores!$D$2)=12,SUM($F18:Q18)))))))))))))</f>
        <v>2.7340646479053001</v>
      </c>
      <c r="V18" s="416">
        <f>IF(MONTH(Factores!$D$2)=1,SUM($F18:F18),IF(MONTH(Factores!$D$2)=2,SUM($F18:F18),IF(MONTH(Factores!$D$2)=3,SUM($F18:G18),IF(MONTH(Factores!$D$2)=4,SUM($F18:H18),IF(MONTH(Factores!$D$2)=5,SUM($F18:I18),IF(MONTH(Factores!$D$2)=6,SUM($F18:J18),IF(MONTH(Factores!$D$2)=7,SUM($F18:K18),IF(MONTH(Factores!$D$2)=8,SUM($F18:L18),IF(MONTH(Factores!$D$2)=9,SUM($F18:M18),IF(MONTH(Factores!$D$2)=10,SUM($F18:N18),IF(MONTH(Factores!$D$2)=11,SUM($F18:O18),IF(MONTH(Factores!$D$2)=12,SUM($F18:P18)))))))))))))</f>
        <v>1.7438254681724406</v>
      </c>
    </row>
    <row r="19" spans="3:23" s="77" customFormat="1" ht="9.65" customHeight="1">
      <c r="C19" s="111"/>
      <c r="D19" s="107"/>
      <c r="E19" s="104"/>
      <c r="F19" s="295" ph="1"/>
      <c r="G19" s="295"/>
      <c r="H19" s="295"/>
      <c r="I19" s="295"/>
      <c r="J19" s="2899"/>
      <c r="K19" s="295"/>
      <c r="L19" s="295"/>
      <c r="M19" s="295"/>
      <c r="N19" s="295"/>
      <c r="O19" s="295"/>
      <c r="P19" s="295"/>
      <c r="Q19" s="295"/>
      <c r="R19" s="145"/>
      <c r="S19" s="108"/>
      <c r="U19" s="421"/>
      <c r="V19" s="421"/>
    </row>
    <row r="20" spans="3:23" s="77" customFormat="1" ht="30" customHeight="1">
      <c r="C20" s="78" t="s">
        <v>210</v>
      </c>
      <c r="D20" s="103" t="s">
        <v>204</v>
      </c>
      <c r="E20" s="104"/>
      <c r="F20" s="1547">
        <v>5607.9044386374298</v>
      </c>
      <c r="G20" s="2703">
        <v>5222.8705451188425</v>
      </c>
      <c r="H20" s="2703">
        <v>5115.5852480185422</v>
      </c>
      <c r="I20" s="2703">
        <v>5879.0851211286381</v>
      </c>
      <c r="J20" s="2899">
        <v>6219.2204971054343</v>
      </c>
      <c r="K20" s="2703">
        <v>6022.8239215813855</v>
      </c>
      <c r="L20" s="2703">
        <v>5113.1374716679666</v>
      </c>
      <c r="M20" s="2703">
        <v>5314.076466168628</v>
      </c>
      <c r="N20" s="2704">
        <v>5878.2008789616075</v>
      </c>
      <c r="O20" s="1547">
        <v>6213.135830115345</v>
      </c>
      <c r="P20" s="1547">
        <v>5781.6331395382304</v>
      </c>
      <c r="Q20" s="1547">
        <v>6183.5338257341991</v>
      </c>
      <c r="R20" s="145"/>
      <c r="S20" s="634">
        <f>SUM(F20:Q20)</f>
        <v>68551.207383776244</v>
      </c>
      <c r="T20" s="715"/>
      <c r="U20" s="726">
        <f>IF(MONTH(Factores!$D$2)=1,SUM($F20:F20),IF(MONTH(Factores!$D$2)=2,SUM($F20:G20),IF(MONTH(Factores!$D$2)=3,SUM($F20:H20),IF(MONTH(Factores!$D$2)=4,SUM($F20:I20),IF(MONTH(Factores!$D$2)=5,SUM($F20:J20),IF(MONTH(Factores!$D$2)=6,SUM($F20:K20),IF(MONTH(Factores!$D$2)=7,SUM($F20:L20),IF(MONTH(Factores!$D$2)=8,SUM($F20:M20),IF(MONTH(Factores!$D$2)=9,SUM($F20:N20),IF(MONTH(Factores!$D$2)=10,SUM($F20:O20),IF(MONTH(Factores!$D$2)=11,SUM($F20:P20),IF(MONTH(Factores!$D$2)=12,SUM($F20:Q20)))))))))))))</f>
        <v>15946.360231774815</v>
      </c>
      <c r="V20" s="726">
        <f>IF(MONTH(Factores!$D$2)=1,SUM($F20:F20),IF(MONTH(Factores!$D$2)=2,SUM($F20:F20),IF(MONTH(Factores!$D$2)=3,SUM($F20:G20),IF(MONTH(Factores!$D$2)=4,SUM($F20:H20),IF(MONTH(Factores!$D$2)=5,SUM($F20:I20),IF(MONTH(Factores!$D$2)=6,SUM($F20:J20),IF(MONTH(Factores!$D$2)=7,SUM($F20:K20),IF(MONTH(Factores!$D$2)=8,SUM($F20:L20),IF(MONTH(Factores!$D$2)=9,SUM($F20:M20),IF(MONTH(Factores!$D$2)=10,SUM($F20:N20),IF(MONTH(Factores!$D$2)=11,SUM($F20:O20),IF(MONTH(Factores!$D$2)=12,SUM($F20:P20)))))))))))))</f>
        <v>10830.774983756273</v>
      </c>
    </row>
    <row r="21" spans="3:23" s="77" customFormat="1" ht="30" customHeight="1">
      <c r="C21" s="78" t="s">
        <v>210</v>
      </c>
      <c r="D21" s="103" t="s">
        <v>211</v>
      </c>
      <c r="E21" s="104"/>
      <c r="F21" s="1547">
        <v>180.90014318185257</v>
      </c>
      <c r="G21" s="2703">
        <v>186.53109089710151</v>
      </c>
      <c r="H21" s="2703">
        <v>165.01887896834006</v>
      </c>
      <c r="I21" s="2703">
        <v>195.96950403762128</v>
      </c>
      <c r="J21" s="2899">
        <v>200.62001603565918</v>
      </c>
      <c r="K21" s="2703">
        <v>200.76079738604619</v>
      </c>
      <c r="L21" s="2703">
        <v>164.93991844090215</v>
      </c>
      <c r="M21" s="2703">
        <v>171.42182148931059</v>
      </c>
      <c r="N21" s="2704">
        <v>195.94002929872025</v>
      </c>
      <c r="O21" s="1547">
        <v>200.42373645533371</v>
      </c>
      <c r="P21" s="1547">
        <v>192.72110465127435</v>
      </c>
      <c r="Q21" s="1547">
        <v>199.46883308819997</v>
      </c>
      <c r="R21" s="693"/>
      <c r="S21" s="110">
        <f>+S20/S6</f>
        <v>187.29838082998972</v>
      </c>
      <c r="T21" s="253"/>
      <c r="U21" s="83">
        <f>U20/U6</f>
        <v>175.23472782170126</v>
      </c>
      <c r="V21" s="83">
        <f>V20/V6</f>
        <v>180.51291639593788</v>
      </c>
    </row>
    <row r="22" spans="3:23" s="77" customFormat="1" ht="30" customHeight="1">
      <c r="C22" s="78" t="s">
        <v>212</v>
      </c>
      <c r="D22" s="103" t="s">
        <v>81</v>
      </c>
      <c r="E22" s="104"/>
      <c r="F22" s="1547">
        <v>8278.1672168488167</v>
      </c>
      <c r="G22" s="2703">
        <v>8684.4808664178126</v>
      </c>
      <c r="H22" s="2703">
        <v>8745.2728220546342</v>
      </c>
      <c r="I22" s="2703">
        <v>8512.048219524555</v>
      </c>
      <c r="J22" s="2899">
        <v>8702.6721007996821</v>
      </c>
      <c r="K22" s="2703">
        <v>8750.6559138617758</v>
      </c>
      <c r="L22" s="2703">
        <v>8432.7098306746775</v>
      </c>
      <c r="M22" s="2703">
        <v>9072.7109461265136</v>
      </c>
      <c r="N22" s="2704">
        <v>8628.0742127316207</v>
      </c>
      <c r="O22" s="1547">
        <v>8684.6606862984409</v>
      </c>
      <c r="P22" s="1547">
        <v>8236.016679032251</v>
      </c>
      <c r="Q22" s="1547">
        <v>8709.13535165137</v>
      </c>
      <c r="R22" s="145"/>
      <c r="S22" s="109">
        <f>S20*1000/S31</f>
        <v>8573.3477632377435</v>
      </c>
      <c r="T22" s="715"/>
      <c r="U22" s="223">
        <f>U20*1000/U31</f>
        <v>8685.5195255691488</v>
      </c>
      <c r="V22" s="223">
        <f>V20*1000/V31</f>
        <v>8393.8595938408762</v>
      </c>
      <c r="W22" s="715"/>
    </row>
    <row r="23" spans="3:23" s="77" customFormat="1" ht="30" customHeight="1">
      <c r="C23" s="78" t="s">
        <v>213</v>
      </c>
      <c r="D23" s="103" t="s">
        <v>48</v>
      </c>
      <c r="E23" s="104"/>
      <c r="F23" s="2705">
        <v>38.46428460170911</v>
      </c>
      <c r="G23" s="2706">
        <v>31.029228514158781</v>
      </c>
      <c r="H23" s="2706">
        <v>32.672110813115026</v>
      </c>
      <c r="I23" s="2706">
        <v>15.646153779979773</v>
      </c>
      <c r="J23" s="2900">
        <v>21.243943047585645</v>
      </c>
      <c r="K23" s="2706">
        <v>28.454344915260588</v>
      </c>
      <c r="L23" s="2706">
        <v>43.717973845993555</v>
      </c>
      <c r="M23" s="2706">
        <v>36.101779603582344</v>
      </c>
      <c r="N23" s="2707">
        <v>53.294908874916288</v>
      </c>
      <c r="O23" s="2705">
        <v>48.980152227037863</v>
      </c>
      <c r="P23" s="2705">
        <v>63.198634758566442</v>
      </c>
      <c r="Q23" s="2705">
        <v>65.554278024624097</v>
      </c>
      <c r="R23" s="696"/>
      <c r="S23" s="105">
        <f>SUMPRODUCT(F23:Q23,F20:Q20)/SUM(F20:Q20)</f>
        <v>40.030141805690157</v>
      </c>
      <c r="T23" s="690"/>
      <c r="U23" s="727">
        <f>IF(MONTH(Factores!$D$2)=1,SUMPRODUCT($F$20:$F$20,$F23:F23)/SUM($F$20:$F$20),IF(MONTH(Factores!$D$2)=2,SUMPRODUCT($F$20:$G$20,$F23:G23)/SUM($F$20:$G$20),IF(MONTH(Factores!$D$2)=3,SUMPRODUCT($F$20:$H$20,$F23:H23)/SUM($F$20:$H$20),IF(MONTH(Factores!$D$2)=4,SUMPRODUCT($F$20:$I$20,$F23:I23)/SUM($F$20:$I$20),IF(MONTH(Factores!$D$2)=5,SUMPRODUCT($F$20:$J$20,$F23:J23)/SUM($F$20:$J$20),IF(MONTH(Factores!$D$2)=6,SUMPRODUCT($F$20:$K$20,$F23:K23)/SUM($F$20:$K$20),IF(MONTH(Factores!$D$2)=7,SUMPRODUCT($F$20:$L$20,$F23:L23)/SUM($F$20:$L$20),IF(MONTH(Factores!$D$2)=8,SUMPRODUCT($F$20:$M$20,$F23:M23)/SUM($F$20:$M$20),IF(MONTH(Factores!$D$2)=9,SUMPRODUCT($F$20:$N$20,$F23:N23)/SUM($F$20:$N$20),IF(MONTH(Factores!$D$2)=10,SUMPRODUCT($F$20:$O$20,$F23:O23)/SUM($F$20:$O$20),IF(MONTH(Factores!$D$2)=11,SUMPRODUCT($F$20:$P$20,$F23:P23)/SUM($F$20:$P$20),IF(MONTH(Factores!$D$2)=12,SUMPRODUCT($F$20:$Q$20,$F23:Q23)/SUM($F$20:$Q$20)))))))))))))</f>
        <v>34.170972947338875</v>
      </c>
      <c r="V23" s="727">
        <f>IF(MONTH(Factores!$D$2)=1,SUMPRODUCT($F$20:$F$20,$F23:F23)/SUM($F$20:$F$20),IF(MONTH(Factores!$D$2)=2,SUMPRODUCT($F$20:$F$20,$F23:F23)/SUM($F$20:$F$20),IF(MONTH(Factores!$D$2)=3,SUMPRODUCT($F$20:$G$20,$F23:G23)/SUM($F$20:$G$20),IF(MONTH(Factores!$D$2)=4,SUMPRODUCT($F$20:$H$20,$F23:H23)/SUM($F$20:$H$20),IF(MONTH(Factores!$D$2)=5,SUMPRODUCT($F$20:$I$20,$F23:I23)/SUM($F$20:$I$20),IF(MONTH(Factores!$D$2)=6,SUMPRODUCT($F$20:$J$20,$F23:J23)/SUM($F$20:$J$20),IF(MONTH(Factores!$D$2)=7,SUMPRODUCT($F$20:$K$20,$F23:K23)/SUM($F$20:$K$20),IF(MONTH(Factores!$D$2)=8,SUMPRODUCT($F$20:$L$20,$F23:L23)/SUM($F$20:$L$20),IF(MONTH(Factores!$D$2)=9,SUMPRODUCT($F$20:$M$20,$F23:M23)/SUM($F$20:$M$20),IF(MONTH(Factores!$D$2)=10,SUMPRODUCT($F$20:$N$20,$F23:N23)/SUM($F$20:$N$20),IF(MONTH(Factores!$D$2)=11,SUMPRODUCT($F$20:$O$20,$F23:O23)/SUM($F$20:$O$20),IF(MONTH(Factores!$D$2)=12,SUMPRODUCT($F$20:$P$20,$F23:P23)/SUM($F$20:$P$20)))))))))))))</f>
        <v>34.878914625949022</v>
      </c>
    </row>
    <row r="24" spans="3:23" s="77" customFormat="1" ht="30" customHeight="1">
      <c r="C24" s="78" t="s">
        <v>88</v>
      </c>
      <c r="D24" s="103" t="s">
        <v>167</v>
      </c>
      <c r="E24" s="104"/>
      <c r="F24" s="1543">
        <v>37.255410047988732</v>
      </c>
      <c r="G24" s="2708">
        <v>35.921330784026601</v>
      </c>
      <c r="H24" s="2708">
        <v>36.784394945415343</v>
      </c>
      <c r="I24" s="2708">
        <v>35.513842528973754</v>
      </c>
      <c r="J24" s="2895">
        <v>36.43968842146262</v>
      </c>
      <c r="K24" s="2708">
        <v>35.694447081025984</v>
      </c>
      <c r="L24" s="2708">
        <v>36.66425272550925</v>
      </c>
      <c r="M24" s="2708">
        <v>36.916859459593887</v>
      </c>
      <c r="N24" s="2709">
        <v>35.950087648828273</v>
      </c>
      <c r="O24" s="1543">
        <v>37.697509995075919</v>
      </c>
      <c r="P24" s="1543">
        <v>37.738176696080046</v>
      </c>
      <c r="Q24" s="1543">
        <v>37.898026964392727</v>
      </c>
      <c r="R24" s="696"/>
      <c r="S24" s="105">
        <f>SUMPRODUCT(F24:Q24,F20:Q20)/SUM(F20:Q20)</f>
        <v>36.714592845824697</v>
      </c>
      <c r="T24" s="690"/>
      <c r="U24" s="727">
        <f>IF(MONTH(Factores!$D$2)=1,SUMPRODUCT($F$20:$F$20,$F24:F24)/SUM($F$20:$F$20),IF(MONTH(Factores!$D$2)=2,SUMPRODUCT($F$20:$G$20,$F24:G24)/SUM($F$20:$G$20),IF(MONTH(Factores!$D$2)=3,SUMPRODUCT($F$20:$H$20,$F24:H24)/SUM($F$20:$H$20),IF(MONTH(Factores!$D$2)=4,SUMPRODUCT($F$20:$I$20,$F24:I24)/SUM($F$20:$I$20),IF(MONTH(Factores!$D$2)=5,SUMPRODUCT($F$20:$J$20,$F24:J24)/SUM($F$20:$J$20),IF(MONTH(Factores!$D$2)=6,SUMPRODUCT($F$20:$K$20,$F24:K24)/SUM($F$20:$K$20),IF(MONTH(Factores!$D$2)=7,SUMPRODUCT($F$20:$L$20,$F24:L24)/SUM($F$20:$L$20),IF(MONTH(Factores!$D$2)=8,SUMPRODUCT($F$20:$M$20,$F24:M24)/SUM($F$20:$M$20),IF(MONTH(Factores!$D$2)=9,SUMPRODUCT($F$20:$N$20,$F24:N24)/SUM($F$20:$N$20),IF(MONTH(Factores!$D$2)=10,SUMPRODUCT($F$20:$O$20,$F24:O24)/SUM($F$20:$O$20),IF(MONTH(Factores!$D$2)=11,SUMPRODUCT($F$20:$P$20,$F24:P24)/SUM($F$20:$P$20),IF(MONTH(Factores!$D$2)=12,SUMPRODUCT($F$20:$Q$20,$F24:Q24)/SUM($F$20:$Q$20)))))))))))))</f>
        <v>36.667361047049013</v>
      </c>
      <c r="V24" s="727">
        <f>IF(MONTH(Factores!$D$2)=1,SUMPRODUCT($F$20:$F$20,$F24:F24)/SUM($F$20:$F$20),IF(MONTH(Factores!$D$2)=2,SUMPRODUCT($F$20:$F$20,$F24:F24)/SUM($F$20:$F$20),IF(MONTH(Factores!$D$2)=3,SUMPRODUCT($F$20:$G$20,$F24:G24)/SUM($F$20:$G$20),IF(MONTH(Factores!$D$2)=4,SUMPRODUCT($F$20:$H$20,$F24:H24)/SUM($F$20:$H$20),IF(MONTH(Factores!$D$2)=5,SUMPRODUCT($F$20:$I$20,$F24:I24)/SUM($F$20:$I$20),IF(MONTH(Factores!$D$2)=6,SUMPRODUCT($F$20:$J$20,$F24:J24)/SUM($F$20:$J$20),IF(MONTH(Factores!$D$2)=7,SUMPRODUCT($F$20:$K$20,$F24:K24)/SUM($F$20:$K$20),IF(MONTH(Factores!$D$2)=8,SUMPRODUCT($F$20:$L$20,$F24:L24)/SUM($F$20:$L$20),IF(MONTH(Factores!$D$2)=9,SUMPRODUCT($F$20:$M$20,$F24:M24)/SUM($F$20:$M$20),IF(MONTH(Factores!$D$2)=10,SUMPRODUCT($F$20:$N$20,$F24:N24)/SUM($F$20:$N$20),IF(MONTH(Factores!$D$2)=11,SUMPRODUCT($F$20:$O$20,$F24:O24)/SUM($F$20:$O$20),IF(MONTH(Factores!$D$2)=12,SUMPRODUCT($F$20:$P$20,$F24:P24)/SUM($F$20:$P$20)))))))))))))</f>
        <v>36.612083665245883</v>
      </c>
    </row>
    <row r="25" spans="3:23" s="698" customFormat="1" ht="30" customHeight="1">
      <c r="C25" s="638" t="s">
        <v>215</v>
      </c>
      <c r="D25" s="712" t="s">
        <v>48</v>
      </c>
      <c r="E25" s="713"/>
      <c r="F25" s="1548">
        <v>91.114067921990582</v>
      </c>
      <c r="G25" s="2710">
        <v>89.561092330603131</v>
      </c>
      <c r="H25" s="2710">
        <v>78.675767989240086</v>
      </c>
      <c r="I25" s="2710">
        <v>95.994173731758167</v>
      </c>
      <c r="J25" s="2901">
        <v>96.63738196078431</v>
      </c>
      <c r="K25" s="2710">
        <v>96.464070077084784</v>
      </c>
      <c r="L25" s="2710">
        <v>82.216368135593214</v>
      </c>
      <c r="M25" s="2710">
        <v>79.204990534144699</v>
      </c>
      <c r="N25" s="2711">
        <v>94.689048644892281</v>
      </c>
      <c r="O25" s="1548">
        <v>96.22258507061197</v>
      </c>
      <c r="P25" s="1548">
        <v>97.566902015288406</v>
      </c>
      <c r="Q25" s="1548">
        <v>95.495020847343653</v>
      </c>
      <c r="R25" s="697"/>
      <c r="S25" s="106">
        <f>S27/S31*100</f>
        <v>109.85698082701205</v>
      </c>
      <c r="U25" s="81">
        <f>IF(MONTH(Factores!$D$2)=1,SUMPRODUCT($F$6:$F$6,$F25:F25)/SUM($F$6:$F$6),IF(MONTH(Factores!$D$2)=2,SUMPRODUCT($F$6:$G$6,$F25:G25)/SUM($F$6:$G$6),IF(MONTH(Factores!$D$2)=3,SUMPRODUCT($F$6:$H$6,$F25:H25)/SUM($F$6:$H$6),IF(MONTH(Factores!$D$2)=4,SUMPRODUCT($F$6:$I$6,$F25:I25)/SUM($F$6:$I$6),IF(MONTH(Factores!$D$2)=5,SUMPRODUCT($F$6:$J$6,$F25:J25)/SUM($F$6:$J$6),IF(MONTH(Factores!$D$2)=6,SUMPRODUCT($F$6:$K$6,$F25:K25)/SUM($F$6:$K$6),IF(MONTH(Factores!$D$2)=7,SUMPRODUCT($F$6:$L$6,$F25:L25)/SUM($F$6:$L$6),IF(MONTH(Factores!$D$2)=8,SUMPRODUCT($F$6:$M$6,$F25:M25)/SUM($F$6:$M$6),IF(MONTH(Factores!$D$2)=9,SUMPRODUCT($F$6:$N$6,$F25:N25)/SUM($F$6:$N$6),IF(MONTH(Factores!$D$2)=10,SUMPRODUCT($F$6:$O$6,$F25:O25)/SUM($F$6:$O$6),IF(MONTH(Factores!$D$2)=11,SUMPRODUCT($F$6:$P$6,$F25:P25)/SUM($F$6:$P$6),IF(MONTH(Factores!$D$2)=12,SUMPRODUCT($F$6:$Q$6,$F25:Q25)/SUM($F$6:$Q$6)))))))))))))</f>
        <v>86.381940558633417</v>
      </c>
      <c r="V25" s="81">
        <f>IF(MONTH(Factores!$D$2)=1,SUMPRODUCT($F$6:$F$6,$F25:F25)/SUM($F$6:$F$6),IF(MONTH(Factores!$D$2)=2,SUMPRODUCT($F$6:$F$6,$F25:F25)/SUM($F$6:$F$6),IF(MONTH(Factores!$D$2)=3,SUMPRODUCT($F$6:$G$6,$F25:G25)/SUM($F$6:$G$6),IF(MONTH(Factores!$D$2)=4,SUMPRODUCT($F$6:$H$6,$F25:H25)/SUM($F$6:$H$6),IF(MONTH(Factores!$D$2)=5,SUMPRODUCT($F$6:$I$6,$F25:I25)/SUM($F$6:$I$6),IF(MONTH(Factores!$D$2)=6,SUMPRODUCT($F$6:$J$6,$F25:J25)/SUM($F$6:$J$6),IF(MONTH(Factores!$D$2)=7,SUMPRODUCT($F$6:$K$6,$F25:K25)/SUM($F$6:$K$6),IF(MONTH(Factores!$D$2)=8,SUMPRODUCT($F$6:$L$6,$F25:L25)/SUM($F$6:$L$6),IF(MONTH(Factores!$D$2)=9,SUMPRODUCT($F$6:$M$6,$F25:M25)/SUM($F$6:$M$6),IF(MONTH(Factores!$D$2)=10,SUMPRODUCT($F$6:$N$6,$F25:N25)/SUM($F$6:$N$6),IF(MONTH(Factores!$D$2)=11,SUMPRODUCT($F$6:$O$6,$F25:O25)/SUM($F$6:$O$6),IF(MONTH(Factores!$D$2)=12,SUMPRODUCT($F$6:$P$6,$F25:P25)/SUM($F$6:$P$6)))))))))))))</f>
        <v>90.363463052819981</v>
      </c>
    </row>
    <row r="26" spans="3:23" s="77" customFormat="1" ht="30" hidden="1" customHeight="1">
      <c r="C26" s="417" t="s">
        <v>216</v>
      </c>
      <c r="D26" s="423" t="s">
        <v>48</v>
      </c>
      <c r="E26" s="424"/>
      <c r="F26" s="1549"/>
      <c r="G26" s="2712"/>
      <c r="H26" s="2712"/>
      <c r="I26" s="2712"/>
      <c r="J26" s="2902"/>
      <c r="K26" s="2712"/>
      <c r="L26" s="2712"/>
      <c r="M26" s="2712"/>
      <c r="N26" s="2713"/>
      <c r="O26" s="1549"/>
      <c r="P26" s="1549"/>
      <c r="Q26" s="1549"/>
      <c r="R26" s="145"/>
      <c r="S26" s="681"/>
      <c r="U26" s="691"/>
      <c r="V26" s="691"/>
    </row>
    <row r="27" spans="3:23" s="77" customFormat="1" ht="30" hidden="1" customHeight="1">
      <c r="C27" s="78" t="s">
        <v>217</v>
      </c>
      <c r="D27" s="103" t="s">
        <v>218</v>
      </c>
      <c r="E27" s="104"/>
      <c r="F27" s="1549">
        <v>732</v>
      </c>
      <c r="G27" s="2712">
        <v>696</v>
      </c>
      <c r="H27" s="2712">
        <v>744</v>
      </c>
      <c r="I27" s="2712">
        <v>720</v>
      </c>
      <c r="J27" s="2902">
        <v>744</v>
      </c>
      <c r="K27" s="2712">
        <v>720</v>
      </c>
      <c r="L27" s="2712">
        <v>744</v>
      </c>
      <c r="M27" s="2712">
        <v>744</v>
      </c>
      <c r="N27" s="2713">
        <v>720</v>
      </c>
      <c r="O27" s="1549">
        <v>744</v>
      </c>
      <c r="P27" s="1549">
        <v>720</v>
      </c>
      <c r="Q27" s="1549">
        <v>756</v>
      </c>
      <c r="R27" s="145"/>
      <c r="S27" s="425">
        <f>SUM(F27:Q27)</f>
        <v>8784</v>
      </c>
      <c r="U27" s="728">
        <f>IF(MONTH(Factores!$D$2)=1,SUM($F27:F27),IF(MONTH(Factores!$D$2)=2,SUM($F27:G27),IF(MONTH(Factores!$D$2)=3,SUM($F27:H27),IF(MONTH(Factores!$D$2)=4,SUM($F27:I27),IF(MONTH(Factores!$D$2)=5,SUM($F27:J27),IF(MONTH(Factores!$D$2)=6,SUM($F27:K27),IF(MONTH(Factores!$D$2)=7,SUM($F27:L27),IF(MONTH(Factores!$D$2)=8,SUM($F27:M27),IF(MONTH(Factores!$D$2)=9,SUM($F27:N27),IF(MONTH(Factores!$D$2)=10,SUM($F27:O27),IF(MONTH(Factores!$D$2)=11,SUM($F27:P27),IF(MONTH(Factores!$D$2)=12,SUM($F27:Q27)))))))))))))</f>
        <v>2172</v>
      </c>
      <c r="V27" s="728">
        <f>IF(MONTH(Factores!$D$2)=1,SUM($F27:F27),IF(MONTH(Factores!$D$2)=2,SUM($F27:F27),IF(MONTH(Factores!$D$2)=3,SUM($F27:G27),IF(MONTH(Factores!$D$2)=4,SUM($F27:H27),IF(MONTH(Factores!$D$2)=5,SUM($F27:I27),IF(MONTH(Factores!$D$2)=6,SUM($F27:J27),IF(MONTH(Factores!$D$2)=7,SUM($F27:K27),IF(MONTH(Factores!$D$2)=8,SUM($F27:L27),IF(MONTH(Factores!$D$2)=9,SUM($F27:M27),IF(MONTH(Factores!$D$2)=10,SUM($F27:N27),IF(MONTH(Factores!$D$2)=11,SUM($F27:O27),IF(MONTH(Factores!$D$2)=12,SUM($F27:P27)))))))))))))</f>
        <v>1428</v>
      </c>
    </row>
    <row r="28" spans="3:23" s="77" customFormat="1" ht="30" hidden="1" customHeight="1">
      <c r="C28" s="417" t="s">
        <v>219</v>
      </c>
      <c r="D28" s="423" t="s">
        <v>218</v>
      </c>
      <c r="E28" s="424"/>
      <c r="F28" s="1547"/>
      <c r="G28" s="2703"/>
      <c r="H28" s="2703"/>
      <c r="I28" s="2703"/>
      <c r="J28" s="2899"/>
      <c r="K28" s="2703"/>
      <c r="L28" s="2703"/>
      <c r="M28" s="2703"/>
      <c r="N28" s="2704"/>
      <c r="O28" s="1547"/>
      <c r="P28" s="1547"/>
      <c r="Q28" s="1547"/>
      <c r="R28" s="145"/>
      <c r="S28" s="425"/>
      <c r="U28" s="728">
        <f>IF(MONTH(Factores!$D$2)=1,SUM($F28:F28),IF(MONTH(Factores!$D$2)=2,SUM($F28:G28),IF(MONTH(Factores!$D$2)=3,SUM($F28:H28),IF(MONTH(Factores!$D$2)=4,SUM($F28:I28),IF(MONTH(Factores!$D$2)=5,SUM($F28:J28),IF(MONTH(Factores!$D$2)=6,SUM($F28:K28),IF(MONTH(Factores!$D$2)=7,SUM($F28:L28),IF(MONTH(Factores!$D$2)=8,SUM($F28:M28),IF(MONTH(Factores!$D$2)=9,SUM($F28:N28),IF(MONTH(Factores!$D$2)=10,SUM($F28:O28),IF(MONTH(Factores!$D$2)=11,SUM($F28:P28),IF(MONTH(Factores!$D$2)=12,SUM($F28:Q28)))))))))))))</f>
        <v>0</v>
      </c>
      <c r="V28" s="728">
        <f>IF(MONTH(Factores!$D$2)=1,SUM($F28:F28),IF(MONTH(Factores!$D$2)=2,SUM($F28:F28),IF(MONTH(Factores!$D$2)=3,SUM($F28:G28),IF(MONTH(Factores!$D$2)=4,SUM($F28:H28),IF(MONTH(Factores!$D$2)=5,SUM($F28:I28),IF(MONTH(Factores!$D$2)=6,SUM($F28:J28),IF(MONTH(Factores!$D$2)=7,SUM($F28:K28),IF(MONTH(Factores!$D$2)=8,SUM($F28:L28),IF(MONTH(Factores!$D$2)=9,SUM($F28:M28),IF(MONTH(Factores!$D$2)=10,SUM($F28:N28),IF(MONTH(Factores!$D$2)=11,SUM($F28:O28),IF(MONTH(Factores!$D$2)=12,SUM($F28:P28)))))))))))))</f>
        <v>0</v>
      </c>
    </row>
    <row r="29" spans="3:23" s="77" customFormat="1" ht="30" hidden="1" customHeight="1">
      <c r="C29" s="417" t="s">
        <v>220</v>
      </c>
      <c r="D29" s="423" t="s">
        <v>218</v>
      </c>
      <c r="E29" s="424"/>
      <c r="F29" s="1543"/>
      <c r="G29" s="2708"/>
      <c r="H29" s="2708"/>
      <c r="I29" s="2708"/>
      <c r="J29" s="2895"/>
      <c r="K29" s="2708"/>
      <c r="L29" s="2708"/>
      <c r="M29" s="2708"/>
      <c r="N29" s="2709"/>
      <c r="O29" s="1543"/>
      <c r="P29" s="1543"/>
      <c r="Q29" s="1543"/>
      <c r="R29" s="696"/>
      <c r="S29" s="425"/>
      <c r="U29" s="728">
        <f>IF(MONTH(Factores!$D$2)=1,SUM($F29:F29),IF(MONTH(Factores!$D$2)=2,SUM($F29:G29),IF(MONTH(Factores!$D$2)=3,SUM($F29:H29),IF(MONTH(Factores!$D$2)=4,SUM($F29:I29),IF(MONTH(Factores!$D$2)=5,SUM($F29:J29),IF(MONTH(Factores!$D$2)=6,SUM($F29:K29),IF(MONTH(Factores!$D$2)=7,SUM($F29:L29),IF(MONTH(Factores!$D$2)=8,SUM($F29:M29),IF(MONTH(Factores!$D$2)=9,SUM($F29:N29),IF(MONTH(Factores!$D$2)=10,SUM($F29:O29),IF(MONTH(Factores!$D$2)=11,SUM($F29:P29),IF(MONTH(Factores!$D$2)=12,SUM($F29:Q29)))))))))))))</f>
        <v>0</v>
      </c>
      <c r="V29" s="728">
        <f>IF(MONTH(Factores!$D$2)=1,SUM($F29:F29),IF(MONTH(Factores!$D$2)=2,SUM($F29:F29),IF(MONTH(Factores!$D$2)=3,SUM($F29:G29),IF(MONTH(Factores!$D$2)=4,SUM($F29:H29),IF(MONTH(Factores!$D$2)=5,SUM($F29:I29),IF(MONTH(Factores!$D$2)=6,SUM($F29:J29),IF(MONTH(Factores!$D$2)=7,SUM($F29:K29),IF(MONTH(Factores!$D$2)=8,SUM($F29:L29),IF(MONTH(Factores!$D$2)=9,SUM($F29:M29),IF(MONTH(Factores!$D$2)=10,SUM($F29:N29),IF(MONTH(Factores!$D$2)=11,SUM($F29:O29),IF(MONTH(Factores!$D$2)=12,SUM($F29:P29)))))))))))))</f>
        <v>0</v>
      </c>
    </row>
    <row r="30" spans="3:23" s="77" customFormat="1" ht="30" hidden="1" customHeight="1">
      <c r="C30" s="417" t="s">
        <v>221</v>
      </c>
      <c r="D30" s="423" t="s">
        <v>218</v>
      </c>
      <c r="E30" s="424"/>
      <c r="F30" s="1547"/>
      <c r="G30" s="2703"/>
      <c r="H30" s="2703"/>
      <c r="I30" s="2703"/>
      <c r="J30" s="2899"/>
      <c r="K30" s="2703"/>
      <c r="L30" s="2703"/>
      <c r="M30" s="2703"/>
      <c r="N30" s="2704"/>
      <c r="O30" s="1547"/>
      <c r="P30" s="1547"/>
      <c r="Q30" s="1547"/>
      <c r="R30" s="145"/>
      <c r="S30" s="425"/>
      <c r="U30" s="728">
        <f>IF(MONTH(Factores!$D$2)=1,SUM($F30:F30),IF(MONTH(Factores!$D$2)=2,SUM($F30:G30),IF(MONTH(Factores!$D$2)=3,SUM($F30:H30),IF(MONTH(Factores!$D$2)=4,SUM($F30:I30),IF(MONTH(Factores!$D$2)=5,SUM($F30:J30),IF(MONTH(Factores!$D$2)=6,SUM($F30:K30),IF(MONTH(Factores!$D$2)=7,SUM($F30:L30),IF(MONTH(Factores!$D$2)=8,SUM($F30:M30),IF(MONTH(Factores!$D$2)=9,SUM($F30:N30),IF(MONTH(Factores!$D$2)=10,SUM($F30:O30),IF(MONTH(Factores!$D$2)=11,SUM($F30:P30),IF(MONTH(Factores!$D$2)=12,SUM($F30:Q30)))))))))))))</f>
        <v>0</v>
      </c>
      <c r="V30" s="728">
        <f>IF(MONTH(Factores!$D$2)=1,SUM($F30:F30),IF(MONTH(Factores!$D$2)=2,SUM($F30:F30),IF(MONTH(Factores!$D$2)=3,SUM($F30:G30),IF(MONTH(Factores!$D$2)=4,SUM($F30:H30),IF(MONTH(Factores!$D$2)=5,SUM($F30:I30),IF(MONTH(Factores!$D$2)=6,SUM($F30:J30),IF(MONTH(Factores!$D$2)=7,SUM($F30:K30),IF(MONTH(Factores!$D$2)=8,SUM($F30:L30),IF(MONTH(Factores!$D$2)=9,SUM($F30:M30),IF(MONTH(Factores!$D$2)=10,SUM($F30:N30),IF(MONTH(Factores!$D$2)=11,SUM($F30:O30),IF(MONTH(Factores!$D$2)=12,SUM($F30:P30)))))))))))))</f>
        <v>0</v>
      </c>
    </row>
    <row r="31" spans="3:23" s="77" customFormat="1" ht="30" customHeight="1">
      <c r="C31" s="78" t="s">
        <v>222</v>
      </c>
      <c r="D31" s="103" t="s">
        <v>218</v>
      </c>
      <c r="E31" s="104"/>
      <c r="F31" s="1547">
        <v>667.2912</v>
      </c>
      <c r="G31" s="2703">
        <v>623.03000000000031</v>
      </c>
      <c r="H31" s="2703">
        <v>545.64960000000008</v>
      </c>
      <c r="I31" s="2703">
        <v>684.35970999999995</v>
      </c>
      <c r="J31" s="2899">
        <v>721.89912000000004</v>
      </c>
      <c r="K31" s="2703">
        <v>689.12036000000001</v>
      </c>
      <c r="L31" s="2703">
        <v>636.09401000000003</v>
      </c>
      <c r="M31" s="2703">
        <v>670.55015000000003</v>
      </c>
      <c r="N31" s="2704">
        <v>627.74463000000003</v>
      </c>
      <c r="O31" s="1547">
        <v>706.97811000000002</v>
      </c>
      <c r="P31" s="1547">
        <v>696.59403999999995</v>
      </c>
      <c r="Q31" s="1547">
        <v>726.53961483870967</v>
      </c>
      <c r="R31" s="145"/>
      <c r="S31" s="425">
        <f>SUM(F31:Q31)</f>
        <v>7995.8505448387104</v>
      </c>
      <c r="U31" s="728">
        <f>IF(MONTH(Factores!$D$2)=1,SUM($F31:F31),IF(MONTH(Factores!$D$2)=2,SUM($F31:G31),IF(MONTH(Factores!$D$2)=3,SUM($F31:H31),IF(MONTH(Factores!$D$2)=4,SUM($F31:I31),IF(MONTH(Factores!$D$2)=5,SUM($F31:J31),IF(MONTH(Factores!$D$2)=6,SUM($F31:K31),IF(MONTH(Factores!$D$2)=7,SUM($F31:L31),IF(MONTH(Factores!$D$2)=8,SUM($F31:M31),IF(MONTH(Factores!$D$2)=9,SUM($F31:N31),IF(MONTH(Factores!$D$2)=10,SUM($F31:O31),IF(MONTH(Factores!$D$2)=11,SUM($F31:P31),IF(MONTH(Factores!$D$2)=12,SUM($F31:Q31)))))))))))))</f>
        <v>1835.9708000000005</v>
      </c>
      <c r="V31" s="728">
        <f>IF(MONTH(Factores!$D$2)=1,SUM($F31:F31),IF(MONTH(Factores!$D$2)=2,SUM($F31:F31),IF(MONTH(Factores!$D$2)=3,SUM($F31:G31),IF(MONTH(Factores!$D$2)=4,SUM($F31:H31),IF(MONTH(Factores!$D$2)=5,SUM($F31:I31),IF(MONTH(Factores!$D$2)=6,SUM($F31:J31),IF(MONTH(Factores!$D$2)=7,SUM($F31:K31),IF(MONTH(Factores!$D$2)=8,SUM($F31:L31),IF(MONTH(Factores!$D$2)=9,SUM($F31:M31),IF(MONTH(Factores!$D$2)=10,SUM($F31:N31),IF(MONTH(Factores!$D$2)=11,SUM($F31:O31),IF(MONTH(Factores!$D$2)=12,SUM($F31:P31)))))))))))))</f>
        <v>1290.3212000000003</v>
      </c>
    </row>
    <row r="32" spans="3:23" s="77" customFormat="1" ht="14.25" customHeight="1">
      <c r="C32" s="111"/>
      <c r="D32" s="107"/>
      <c r="E32" s="104"/>
      <c r="F32" s="295"/>
      <c r="G32" s="295"/>
      <c r="H32" s="295"/>
      <c r="I32" s="295"/>
      <c r="J32" s="2899"/>
      <c r="K32" s="295"/>
      <c r="L32" s="295"/>
      <c r="M32" s="295"/>
      <c r="N32" s="295"/>
      <c r="O32" s="295"/>
      <c r="P32" s="295"/>
      <c r="Q32" s="295"/>
      <c r="R32" s="145"/>
      <c r="S32" s="108"/>
      <c r="U32" s="422"/>
      <c r="V32" s="422"/>
    </row>
    <row r="33" spans="1:22" s="77" customFormat="1" ht="30" customHeight="1">
      <c r="C33" s="78" t="s">
        <v>223</v>
      </c>
      <c r="D33" s="87" t="s">
        <v>48</v>
      </c>
      <c r="E33" s="104"/>
      <c r="F33" s="1546">
        <v>0.49031747591557562</v>
      </c>
      <c r="G33" s="2701">
        <v>0.49938371274346111</v>
      </c>
      <c r="H33" s="2701">
        <v>0.59420757096832733</v>
      </c>
      <c r="I33" s="2701">
        <v>0.49221088111767047</v>
      </c>
      <c r="J33" s="2898">
        <v>0.53455049307843194</v>
      </c>
      <c r="K33" s="2701">
        <v>0.54026213065681161</v>
      </c>
      <c r="L33" s="2701">
        <v>0.49845912961910688</v>
      </c>
      <c r="M33" s="2701">
        <v>0.52605656043602012</v>
      </c>
      <c r="N33" s="2702">
        <v>0.53914476533648825</v>
      </c>
      <c r="O33" s="1546">
        <v>0.51866699397752947</v>
      </c>
      <c r="P33" s="1546">
        <v>0.5782931228694308</v>
      </c>
      <c r="Q33" s="1546">
        <v>0.56944060540413033</v>
      </c>
      <c r="R33" s="617"/>
      <c r="S33" s="112">
        <f>SUMPRODUCT(F33:Q33,F20:Q20)/SUM(F20:Q20)</f>
        <v>0.53201555644307785</v>
      </c>
      <c r="T33" s="695"/>
      <c r="U33" s="294">
        <f>IF(MONTH(Factores!$D$2)=1,SUMPRODUCT($F$20:$F$20,$F33:F33)/SUM($F$20:$F$20),IF(MONTH(Factores!$D$2)=2,SUMPRODUCT($F$20:$G$20,$F33:G33)/SUM($F$20:$G$20),IF(MONTH(Factores!$D$2)=3,SUMPRODUCT($F$20:$H$20,$F33:H33)/SUM($F$20:$H$20),IF(MONTH(Factores!$D$2)=4,SUMPRODUCT($F$20:$I$20,$F33:I33)/SUM($F$20:$I$20),IF(MONTH(Factores!$D$2)=5,SUMPRODUCT($F$20:$J$20,$F33:J33)/SUM($F$20:$J$20),IF(MONTH(Factores!$D$2)=6,SUMPRODUCT($F$20:$K$20,$F33:K33)/SUM($F$20:$K$20),IF(MONTH(Factores!$D$2)=7,SUMPRODUCT($F$20:$L$20,$F33:L33)/SUM($F$20:$L$20),IF(MONTH(Factores!$D$2)=8,SUMPRODUCT($F$20:$M$20,$F33:M33)/SUM($F$20:$M$20),IF(MONTH(Factores!$D$2)=9,SUMPRODUCT($F$20:$N$20,$F33:N33)/SUM($F$20:$N$20),IF(MONTH(Factores!$D$2)=10,SUMPRODUCT($F$20:$O$20,$F33:O33)/SUM($F$20:$O$20),IF(MONTH(Factores!$D$2)=11,SUMPRODUCT($F$20:$P$20,$F33:P33)/SUM($F$20:$P$20),IF(MONTH(Factores!$D$2)=12,SUMPRODUCT($F$20:$Q$20,$F33:Q33)/SUM($F$20:$Q$20)))))))))))))</f>
        <v>0.52661481339809368</v>
      </c>
      <c r="V33" s="294">
        <f>IF(MONTH(Factores!$D$2)=1,SUMPRODUCT($F$20:$F$20,$F33:F33)/SUM($F$20:$F$20),IF(MONTH(Factores!$D$2)=2,SUMPRODUCT($F$20:$F$20,$F33:F33)/SUM($F$20:$F$20),IF(MONTH(Factores!$D$2)=3,SUMPRODUCT($F$20:$G$20,$F33:G33)/SUM($F$20:$G$20),IF(MONTH(Factores!$D$2)=4,SUMPRODUCT($F$20:$H$20,$F33:H33)/SUM($F$20:$H$20),IF(MONTH(Factores!$D$2)=5,SUMPRODUCT($F$20:$I$20,$F33:I33)/SUM($F$20:$I$20),IF(MONTH(Factores!$D$2)=6,SUMPRODUCT($F$20:$J$20,$F33:J33)/SUM($F$20:$J$20),IF(MONTH(Factores!$D$2)=7,SUMPRODUCT($F$20:$K$20,$F33:K33)/SUM($F$20:$K$20),IF(MONTH(Factores!$D$2)=8,SUMPRODUCT($F$20:$L$20,$F33:L33)/SUM($F$20:$L$20),IF(MONTH(Factores!$D$2)=9,SUMPRODUCT($F$20:$M$20,$F33:M33)/SUM($F$20:$M$20),IF(MONTH(Factores!$D$2)=10,SUMPRODUCT($F$20:$N$20,$F33:N33)/SUM($F$20:$N$20),IF(MONTH(Factores!$D$2)=11,SUMPRODUCT($F$20:$O$20,$F33:O33)/SUM($F$20:$O$20),IF(MONTH(Factores!$D$2)=12,SUMPRODUCT($F$20:$P$20,$F33:P33)/SUM($F$20:$P$20)))))))))))))</f>
        <v>0.494689442035678</v>
      </c>
    </row>
    <row r="34" spans="1:22" s="77" customFormat="1" ht="30" customHeight="1">
      <c r="C34" s="78" t="s">
        <v>224</v>
      </c>
      <c r="D34" s="87" t="s">
        <v>48</v>
      </c>
      <c r="E34" s="104"/>
      <c r="F34" s="1548">
        <v>89.520023362040547</v>
      </c>
      <c r="G34" s="2710">
        <v>89.928393748868103</v>
      </c>
      <c r="H34" s="2710">
        <v>89.737258494021916</v>
      </c>
      <c r="I34" s="2710">
        <v>90.750864490139435</v>
      </c>
      <c r="J34" s="2901">
        <v>89.659343148711756</v>
      </c>
      <c r="K34" s="2710">
        <v>89.798756882131713</v>
      </c>
      <c r="L34" s="2710">
        <v>90.726507181987699</v>
      </c>
      <c r="M34" s="2710">
        <v>89.208497482534312</v>
      </c>
      <c r="N34" s="2711">
        <v>89.798086694093115</v>
      </c>
      <c r="O34" s="1548">
        <v>89.458980226259229</v>
      </c>
      <c r="P34" s="1548">
        <v>89.195801655315307</v>
      </c>
      <c r="Q34" s="1548">
        <v>89.388366524107909</v>
      </c>
      <c r="R34" s="697"/>
      <c r="S34" s="106">
        <f>SUMPRODUCT(F20:Q20,F33:Q33,F34:Q34)/SUMPRODUCT(F20:Q20,F33:Q33)</f>
        <v>89.739334094639133</v>
      </c>
      <c r="T34" s="698"/>
      <c r="U34" s="174">
        <f>IF(MONTH(Factores!$D$2)=1,SUMPRODUCT($F$20:$F$20,$F$33:$F$33,$F34:F34)/SUMPRODUCT($F$20:$F$20,$F$33:$F$33),IF(MONTH(Factores!$D$2)=2,SUMPRODUCT($F$20:$G$20,$F$33:$G$33,$F34:G34)/SUMPRODUCT($F$20:$G$20,$F$33:$G$33),IF(MONTH(Factores!$D$2)=3,SUMPRODUCT($F$20:$H$20,$F$33:$H$33,$F34:H34)/SUMPRODUCT($F$20:$H$20,$F$33:$H$33),IF(MONTH(Factores!$D$2)=4,SUMPRODUCT($F$20:$I$20,$F$33:$I$33,$F34:I34)/SUMPRODUCT($F$20:$I$20,$F$33:$I$33),IF(MONTH(Factores!$D$2)=5,SUMPRODUCT($F$20:$J$20,$F$33:$J$33,$F34:J34)/SUMPRODUCT($F$20:$J$20,$F$33:$J$33),IF(MONTH(Factores!$D$2)=6,SUMPRODUCT($F$20:$K$20,$F$33:$K$33,$F34:K34)/SUMPRODUCT($F$20:$K$20,$F$33:$K$33),IF(MONTH(Factores!$D$2)=7,SUMPRODUCT($F$20:$L$20,$F$33:$L$33,$F34:L34)/SUMPRODUCT($F$20:$L$20,$F$33:$L$33),IF(MONTH(Factores!$D$2)=8,SUMPRODUCT($F$20:$M$20,$F$33:$M$33,$F34:M34)/SUMPRODUCT($F$20:$M$20,$F$33:$M$33),IF(MONTH(Factores!$D$2)=9,SUMPRODUCT($F$20:$N$20,$F$33:$N$33,$F34:N34)/SUMPRODUCT($F$20:$N$20,$F$33:$N$33),IF(MONTH(Factores!$D$2)=10,SUMPRODUCT($F$20:$O$20,$F$33:$O$33,$F34:O34)/SUMPRODUCT($F$20:$O$20,$F$33:$O$33),IF(MONTH(Factores!$D$2)=11,SUMPRODUCT($F$20:$P$20,$F$33:$P$33,$F34:P34)/SUMPRODUCT($F$20:$P$20,$F$33:$P$33),IF(MONTH(Factores!$D$2)=12,SUMPRODUCT($F$20:$Q$20,$F$33:$Q$33,$F34:Q34)/SUMPRODUCT($F$20:$Q$20,$F$33:$Q$33)))))))))))))</f>
        <v>89.725493304837357</v>
      </c>
      <c r="V34" s="174">
        <f>IF(MONTH(Factores!$D$2)=1,SUMPRODUCT($F$20:$F$20,$F$33:$F$33,$F34:F34)/SUMPRODUCT($F$20:$F$20,$F$33:$F$33),IF(MONTH(Factores!$D$2)=2,SUMPRODUCT($F$20:$F$20,$F$33:$F$33,$F34:F34)/SUMPRODUCT($F$20:$F$20,$F$33:$F$33),IF(MONTH(Factores!$D$2)=3,SUMPRODUCT($F$20:$G$20,$F$33:$G$33,$F34:G34)/SUMPRODUCT($F$20:$G$20,$F$33:$G$33),IF(MONTH(Factores!$D$2)=4,SUMPRODUCT($F$20:$H$20,$F$33:$H$33,$F34:H34)/SUMPRODUCT($F$20:$H$20,$F$33:$H$33),IF(MONTH(Factores!$D$2)=5,SUMPRODUCT($F$20:$I$20,$F$33:$I$33,$F34:I34)/SUMPRODUCT($F$20:$I$20,$F$33:$I$33),IF(MONTH(Factores!$D$2)=6,SUMPRODUCT($F$20:$J$20,$F$33:$J$33,$F34:J34)/SUMPRODUCT($F$20:$J$20,$F$33:$J$33),IF(MONTH(Factores!$D$2)=7,SUMPRODUCT($F$20:$K$20,$F$33:$K$33,$F34:K34)/SUMPRODUCT($F$20:$K$20,$F$33:$K$33),IF(MONTH(Factores!$D$2)=8,SUMPRODUCT($F$20:$L$20,$F$33:$L$33,$F34:L34)/SUMPRODUCT($F$20:$L$20,$F$33:$L$33),IF(MONTH(Factores!$D$2)=9,SUMPRODUCT($F$20:$M$20,$F$33:$M$33,$F34:M34)/SUMPRODUCT($F$20:$M$20,$F$33:$M$33),IF(MONTH(Factores!$D$2)=10,SUMPRODUCT($F$20:$N$20,$F$33:$N$33,$F34:N34)/SUMPRODUCT($F$20:$N$20,$F$33:$N$33),IF(MONTH(Factores!$D$2)=11,SUMPRODUCT($F$20:$O$20,$F$33:$O$33,$F34:O34)/SUMPRODUCT($F$20:$O$20,$F$33:$O$33),IF(MONTH(Factores!$D$2)=12,SUMPRODUCT($F$20:$P$20,$F$33:$P$33,$F34:P34)/SUMPRODUCT($F$20:$P$20,$F$33:$P$33)))))))))))))</f>
        <v>89.718818474246646</v>
      </c>
    </row>
    <row r="35" spans="1:22" s="77" customFormat="1" ht="30" customHeight="1">
      <c r="C35" s="78" t="s">
        <v>225</v>
      </c>
      <c r="D35" s="87" t="s">
        <v>204</v>
      </c>
      <c r="E35" s="104"/>
      <c r="F35" s="1543">
        <v>89.11092735475755</v>
      </c>
      <c r="G35" s="2708">
        <v>84.171300878399222</v>
      </c>
      <c r="H35" s="2708">
        <v>90.892580732383408</v>
      </c>
      <c r="I35" s="2708">
        <v>92.263072270425269</v>
      </c>
      <c r="J35" s="2895">
        <v>101.86318524868834</v>
      </c>
      <c r="K35" s="2708">
        <v>103.56013482676403</v>
      </c>
      <c r="L35" s="2708">
        <v>76.758647584070843</v>
      </c>
      <c r="M35" s="2708">
        <v>81.551769236556154</v>
      </c>
      <c r="N35" s="2709">
        <v>94.318199382728992</v>
      </c>
      <c r="O35" s="1543">
        <v>97.434661370598718</v>
      </c>
      <c r="P35" s="1543">
        <v>98.533999336655853</v>
      </c>
      <c r="Q35" s="1543">
        <v>102.64167515608214</v>
      </c>
      <c r="R35" s="693"/>
      <c r="S35" s="105">
        <f>SUM(F35:Q35)</f>
        <v>1113.1001533781107</v>
      </c>
      <c r="T35" s="690"/>
      <c r="U35" s="224">
        <f>IF(MONTH(Factores!$D$2)=1,SUM($F35:F35),IF(MONTH(Factores!$D$2)=2,SUM($F35:G35),IF(MONTH(Factores!$D$2)=3,SUM($F35:H35),IF(MONTH(Factores!$D$2)=4,SUM($F35:I35),IF(MONTH(Factores!$D$2)=5,SUM($F35:J35),IF(MONTH(Factores!$D$2)=6,SUM($F35:K35),IF(MONTH(Factores!$D$2)=7,SUM($F35:L35),IF(MONTH(Factores!$D$2)=8,SUM($F35:M35),IF(MONTH(Factores!$D$2)=9,SUM($F35:N35),IF(MONTH(Factores!$D$2)=10,SUM($F35:O35),IF(MONTH(Factores!$D$2)=11,SUM($F35:P35),IF(MONTH(Factores!$D$2)=12,SUM($F35:Q35)))))))))))))</f>
        <v>264.17480896554019</v>
      </c>
      <c r="V35" s="224">
        <f>IF(MONTH(Factores!$D$2)=1,SUM($F35:F35),IF(MONTH(Factores!$D$2)=2,SUM($F35:F35),IF(MONTH(Factores!$D$2)=3,SUM($F35:G35),IF(MONTH(Factores!$D$2)=4,SUM($F35:H35),IF(MONTH(Factores!$D$2)=5,SUM($F35:I35),IF(MONTH(Factores!$D$2)=6,SUM($F35:J35),IF(MONTH(Factores!$D$2)=7,SUM($F35:K35),IF(MONTH(Factores!$D$2)=8,SUM($F35:L35),IF(MONTH(Factores!$D$2)=9,SUM($F35:M35),IF(MONTH(Factores!$D$2)=10,SUM($F35:N35),IF(MONTH(Factores!$D$2)=11,SUM($F35:O35),IF(MONTH(Factores!$D$2)=12,SUM($F35:P35)))))))))))))</f>
        <v>173.28222823315679</v>
      </c>
    </row>
    <row r="36" spans="1:22" s="77" customFormat="1" ht="30" customHeight="1">
      <c r="C36" s="78" t="s">
        <v>226</v>
      </c>
      <c r="D36" s="89" t="s">
        <v>48</v>
      </c>
      <c r="E36" s="104"/>
      <c r="F36" s="1543">
        <v>27.622768306670931</v>
      </c>
      <c r="G36" s="2708">
        <v>27.866115470198878</v>
      </c>
      <c r="H36" s="2708">
        <v>30.010820565835544</v>
      </c>
      <c r="I36" s="2708">
        <v>28.463206079497354</v>
      </c>
      <c r="J36" s="2895">
        <v>29.261931517688012</v>
      </c>
      <c r="K36" s="2708">
        <v>28.215153095936081</v>
      </c>
      <c r="L36" s="2708">
        <v>30.124781212825528</v>
      </c>
      <c r="M36" s="2708">
        <v>30.579689950242212</v>
      </c>
      <c r="N36" s="2709">
        <v>30.173201882386536</v>
      </c>
      <c r="O36" s="1543">
        <v>29.587612567144657</v>
      </c>
      <c r="P36" s="1543">
        <v>30.266127783738927</v>
      </c>
      <c r="Q36" s="1543">
        <v>30.664962859698932</v>
      </c>
      <c r="R36" s="145"/>
      <c r="S36" s="105">
        <f>S15/S35*100</f>
        <v>29.402755993895401</v>
      </c>
      <c r="U36" s="224">
        <f>U15/U35*100</f>
        <v>28.521942156776642</v>
      </c>
      <c r="V36" s="224">
        <f>V15/V35*100</f>
        <v>27.740973430924381</v>
      </c>
    </row>
    <row r="37" spans="1:22">
      <c r="C37" s="428"/>
      <c r="D37" s="428"/>
      <c r="E37" s="428"/>
      <c r="F37" s="1546"/>
      <c r="G37" s="2701"/>
      <c r="H37" s="2701"/>
      <c r="I37" s="2701"/>
      <c r="J37" s="2898"/>
      <c r="K37" s="2701"/>
      <c r="L37" s="2701"/>
      <c r="M37" s="2701"/>
      <c r="N37" s="2702"/>
      <c r="O37" s="1546"/>
      <c r="P37" s="1546"/>
      <c r="Q37" s="1546"/>
      <c r="R37" s="428"/>
      <c r="S37" s="428"/>
      <c r="U37" s="430"/>
      <c r="V37" s="430"/>
    </row>
    <row r="38" spans="1:22" s="77" customFormat="1" ht="30" customHeight="1">
      <c r="C38" s="78" t="s">
        <v>227</v>
      </c>
      <c r="D38" s="87" t="s">
        <v>95</v>
      </c>
      <c r="E38" s="104"/>
      <c r="F38" s="1549">
        <v>179.78397628857874</v>
      </c>
      <c r="G38" s="2712">
        <v>209.52560917366011</v>
      </c>
      <c r="H38" s="2712">
        <v>231.98671732114204</v>
      </c>
      <c r="I38" s="2712">
        <v>236.94844908987045</v>
      </c>
      <c r="J38" s="2902">
        <v>229.03082924103231</v>
      </c>
      <c r="K38" s="2712">
        <v>240.44485534408358</v>
      </c>
      <c r="L38" s="2712">
        <v>194.46640610588946</v>
      </c>
      <c r="M38" s="2712">
        <v>235.97812226955699</v>
      </c>
      <c r="N38" s="2713">
        <v>273.69761485409612</v>
      </c>
      <c r="O38" s="1549">
        <v>208.13684906333785</v>
      </c>
      <c r="P38" s="1549">
        <v>263.55913283560085</v>
      </c>
      <c r="Q38" s="1549">
        <v>259.99785906934301</v>
      </c>
      <c r="R38" s="693"/>
      <c r="S38" s="110">
        <f>SUMPRODUCT(F38:Q38,F20:Q20)/SUM(F20:Q20)</f>
        <v>231.0207855105557</v>
      </c>
      <c r="T38" s="253"/>
      <c r="U38" s="689">
        <f>IF(MONTH(Factores!$D$2)=1,SUMPRODUCT($F$20:$F$20,$F38:F38)/SUM($F$20:$F$20),IF(MONTH(Factores!$D$2)=2,SUMPRODUCT($F$20:$G$20,$F38:G38)/SUM($F$20:$G$20),IF(MONTH(Factores!$D$2)=3,SUMPRODUCT($F$20:$H$20,$F38:H38)/SUM($F$20:$H$20),IF(MONTH(Factores!$D$2)=4,SUMPRODUCT($F$20:$I$20,$F38:I38)/SUM($F$20:$I$20),IF(MONTH(Factores!$D$2)=5,SUMPRODUCT($F$20:$J$20,$F38:J38)/SUM($F$20:$J$20),IF(MONTH(Factores!$D$2)=6,SUMPRODUCT($F$20:$K$20,$F38:K38)/SUM($F$20:$K$20),IF(MONTH(Factores!$D$2)=7,SUMPRODUCT($F$20:$L$20,$F38:L38)/SUM($F$20:$L$20),IF(MONTH(Factores!$D$2)=8,SUMPRODUCT($F$20:$M$20,$F38:M38)/SUM($F$20:$M$20),IF(MONTH(Factores!$D$2)=9,SUMPRODUCT($F$20:$N$20,$F38:N38)/SUM($F$20:$N$20),IF(MONTH(Factores!$D$2)=10,SUMPRODUCT($F$20:$O$20,$F38:O38)/SUM($F$20:$O$20),IF(MONTH(Factores!$D$2)=11,SUMPRODUCT($F$20:$P$20,$F38:P38)/SUM($F$20:$P$20),IF(MONTH(Factores!$D$2)=12,SUMPRODUCT($F$20:$Q$20,$F38:Q38)/SUM($F$20:$Q$20)))))))))))))</f>
        <v>206.27179320430957</v>
      </c>
      <c r="V38" s="689">
        <f>IF(MONTH(Factores!$D$2)=1,SUMPRODUCT($F$20:$F$20,$F38:F38)/SUM($F$20:$F$20),IF(MONTH(Factores!$D$2)=2,SUMPRODUCT($F$20:$F$20,$F38:F38)/SUM($F$20:$F$20),IF(MONTH(Factores!$D$2)=3,SUMPRODUCT($F$20:$G$20,$F38:G38)/SUM($F$20:$G$20),IF(MONTH(Factores!$D$2)=4,SUMPRODUCT($F$20:$H$20,$F38:H38)/SUM($F$20:$H$20),IF(MONTH(Factores!$D$2)=5,SUMPRODUCT($F$20:$I$20,$F38:I38)/SUM($F$20:$I$20),IF(MONTH(Factores!$D$2)=6,SUMPRODUCT($F$20:$J$20,$F38:J38)/SUM($F$20:$J$20),IF(MONTH(Factores!$D$2)=7,SUMPRODUCT($F$20:$K$20,$F38:K38)/SUM($F$20:$K$20),IF(MONTH(Factores!$D$2)=8,SUMPRODUCT($F$20:$L$20,$F38:L38)/SUM($F$20:$L$20),IF(MONTH(Factores!$D$2)=9,SUMPRODUCT($F$20:$M$20,$F38:M38)/SUM($F$20:$M$20),IF(MONTH(Factores!$D$2)=10,SUMPRODUCT($F$20:$N$20,$F38:N38)/SUM($F$20:$N$20),IF(MONTH(Factores!$D$2)=11,SUMPRODUCT($F$20:$O$20,$F38:O38)/SUM($F$20:$O$20),IF(MONTH(Factores!$D$2)=12,SUMPRODUCT($F$20:$P$20,$F38:P38)/SUM($F$20:$P$20)))))))))))))</f>
        <v>194.12613542236184</v>
      </c>
    </row>
    <row r="39" spans="1:22" s="698" customFormat="1" ht="30" customHeight="1">
      <c r="C39" s="638" t="s">
        <v>228</v>
      </c>
      <c r="D39" s="714" t="s">
        <v>48</v>
      </c>
      <c r="E39" s="713"/>
      <c r="F39" s="1548">
        <v>83.302040814644869</v>
      </c>
      <c r="G39" s="2710">
        <v>83.405538772070827</v>
      </c>
      <c r="H39" s="2710">
        <v>83.860718495296993</v>
      </c>
      <c r="I39" s="2710">
        <v>83.910666263861373</v>
      </c>
      <c r="J39" s="2901">
        <v>84.148912742288658</v>
      </c>
      <c r="K39" s="2710">
        <v>84.236978581179088</v>
      </c>
      <c r="L39" s="2710">
        <v>82.956375584547132</v>
      </c>
      <c r="M39" s="2710">
        <v>84.271234903153072</v>
      </c>
      <c r="N39" s="2711">
        <v>84.407831294944202</v>
      </c>
      <c r="O39" s="1548">
        <v>83.611842596672005</v>
      </c>
      <c r="P39" s="1548">
        <v>84.231725320036091</v>
      </c>
      <c r="Q39" s="1548">
        <v>84.264052418560993</v>
      </c>
      <c r="R39" s="697"/>
      <c r="S39" s="106">
        <f>SUMPRODUCT(F20:Q20,F38:Q38,F39:Q39)/SUMPRODUCT(F20:Q20,F38:Q38)</f>
        <v>83.946046590693186</v>
      </c>
      <c r="U39" s="174">
        <f>IF(MONTH(Factores!$D$2)=1,SUMPRODUCT($F$20:$F$20,$F$38:$F$38,$F39:F39)/SUMPRODUCT($F$20:$F$20,$F$38:$F$38),IF(MONTH(Factores!$D$2)=2,SUMPRODUCT($F$20:$G$20,$F$38:$G$38,$F39:G39)/SUMPRODUCT($F$20:$G$20,$F$38:$G$38),IF(MONTH(Factores!$D$2)=3,SUMPRODUCT($F$20:$H$20,$F$38:$H$38,$F39:H39)/SUMPRODUCT($F$20:$H$20,$F$38:$H$38),IF(MONTH(Factores!$D$2)=4,SUMPRODUCT($F$20:$I$20,$F$38:$I$38,$F39:I39)/SUMPRODUCT($F$20:$I$20,$F$38:$I$38),IF(MONTH(Factores!$D$2)=5,SUMPRODUCT($F$20:$J$20,$F$38:$J$38,$F39:J39)/SUMPRODUCT($F$20:$J$20,$F$38:$J$38),IF(MONTH(Factores!$D$2)=6,SUMPRODUCT($F$20:$K$20,$F$38:$K$38,$F39:K39)/SUMPRODUCT($F$20:$K$20,$F$38:$K$38),IF(MONTH(Factores!$D$2)=7,SUMPRODUCT($F$20:$L$20,$F$38:$L$38,$F39:L39)/SUMPRODUCT($F$20:$L$20,$F$38:$L$38),IF(MONTH(Factores!$D$2)=8,SUMPRODUCT($F$20:$M$20,$F$38:$M$38,$F39:M39)/SUMPRODUCT($F$20:$M$20,$F$38:$M$38),IF(MONTH(Factores!$D$2)=9,SUMPRODUCT($F$20:$N$20,$F$38:$N$38,$F39:N39)/SUMPRODUCT($F$20:$N$20,$F$38:$N$38),IF(MONTH(Factores!$D$2)=10,SUMPRODUCT($F$20:$O$20,$F$38:$O$38,$F39:O39)/SUMPRODUCT($F$20:$O$20,$F$38:$O$38),IF(MONTH(Factores!$D$2)=11,SUMPRODUCT($F$20:$P$20,$F$38:$P$38,$F39:P39)/SUMPRODUCT($F$20:$P$20,$F$38:$P$38),IF(MONTH(Factores!$D$2)=12,SUMPRODUCT($F$20:$Q$20,$F$38:$Q$38,$F39:Q39)/SUMPRODUCT($F$20:$Q$20,$F$38:$Q$38)))))))))))))</f>
        <v>83.538040462286077</v>
      </c>
      <c r="V39" s="174">
        <f>IF(MONTH(Factores!$D$2)=1,SUMPRODUCT($F$20:$F$20,$F$38:$F$38,$F39:F39)/SUMPRODUCT($F$20:$F$20,$F$38:$F$38),IF(MONTH(Factores!$D$2)=2,SUMPRODUCT($F$20:$F$20,$F$38:$F$38,$F39:F39)/SUMPRODUCT($F$20:$F$20,$F$38:$F$38),IF(MONTH(Factores!$D$2)=3,SUMPRODUCT($F$20:$G$20,$F$38:$G$38,$F39:G39)/SUMPRODUCT($F$20:$G$20,$F$38:$G$38),IF(MONTH(Factores!$D$2)=4,SUMPRODUCT($F$20:$H$20,$F$38:$H$38,$F39:H39)/SUMPRODUCT($F$20:$H$20,$F$38:$H$38),IF(MONTH(Factores!$D$2)=5,SUMPRODUCT($F$20:$I$20,$F$38:$I$38,$F39:I39)/SUMPRODUCT($F$20:$I$20,$F$38:$I$38),IF(MONTH(Factores!$D$2)=6,SUMPRODUCT($F$20:$J$20,$F$38:$J$38,$F39:J39)/SUMPRODUCT($F$20:$J$20,$F$38:$J$38),IF(MONTH(Factores!$D$2)=7,SUMPRODUCT($F$20:$K$20,$F$38:$K$38,$F39:K39)/SUMPRODUCT($F$20:$K$20,$F$38:$K$38),IF(MONTH(Factores!$D$2)=8,SUMPRODUCT($F$20:$L$20,$F$38:$L$38,$F39:L39)/SUMPRODUCT($F$20:$L$20,$F$38:$L$38),IF(MONTH(Factores!$D$2)=9,SUMPRODUCT($F$20:$M$20,$F$38:$M$38,$F39:M39)/SUMPRODUCT($F$20:$M$20,$F$38:$M$38),IF(MONTH(Factores!$D$2)=10,SUMPRODUCT($F$20:$N$20,$F$38:$N$38,$F39:N39)/SUMPRODUCT($F$20:$N$20,$F$38:$N$38),IF(MONTH(Factores!$D$2)=11,SUMPRODUCT($F$20:$O$20,$F$38:$O$38,$F39:O39)/SUMPRODUCT($F$20:$O$20,$F$38:$O$38),IF(MONTH(Factores!$D$2)=12,SUMPRODUCT($F$20:$P$20,$F$38:$P$38,$F39:P39)/SUMPRODUCT($F$20:$P$20,$F$38:$P$38)))))))))))))</f>
        <v>83.355909280879231</v>
      </c>
    </row>
    <row r="40" spans="1:22" s="698" customFormat="1" ht="30" customHeight="1">
      <c r="C40" s="638" t="s">
        <v>229</v>
      </c>
      <c r="D40" s="714" t="s">
        <v>48</v>
      </c>
      <c r="E40" s="713"/>
      <c r="F40" s="1548">
        <f t="shared" ref="F40:K40" si="1">IF(F38&gt;0,3.3127*LN(F38)+75.778,3.3127*LN(F38)+75.778)</f>
        <v>92.976730095983498</v>
      </c>
      <c r="G40" s="2710">
        <f t="shared" si="1"/>
        <v>93.483871249403677</v>
      </c>
      <c r="H40" s="2710">
        <f t="shared" si="1"/>
        <v>93.82121722392111</v>
      </c>
      <c r="I40" s="2710">
        <f t="shared" si="1"/>
        <v>93.891322191245365</v>
      </c>
      <c r="J40" s="2901">
        <f t="shared" si="1"/>
        <v>93.778736825073111</v>
      </c>
      <c r="K40" s="2710">
        <f t="shared" si="1"/>
        <v>93.939847178899981</v>
      </c>
      <c r="L40" s="2710">
        <f t="shared" ref="L40:Q40" si="2">IF(L38&gt;0,3.3127*LN(L38)+75.778,3.3127*LN(L38)+75.778)</f>
        <v>93.236788410086859</v>
      </c>
      <c r="M40" s="2710">
        <f t="shared" si="2"/>
        <v>93.877728511537526</v>
      </c>
      <c r="N40" s="2711">
        <f t="shared" si="2"/>
        <v>94.368951578682015</v>
      </c>
      <c r="O40" s="1548">
        <f t="shared" si="2"/>
        <v>93.461841198669603</v>
      </c>
      <c r="P40" s="1548">
        <f t="shared" si="2"/>
        <v>94.243909921780812</v>
      </c>
      <c r="Q40" s="1548">
        <f t="shared" si="2"/>
        <v>94.198842761025958</v>
      </c>
      <c r="R40" s="697"/>
      <c r="S40" s="106">
        <f>SUMPRODUCT(F20:Q20,F38:Q38,F40:Q40)/SUMPRODUCT(F20:Q20,F38:Q38)</f>
        <v>93.830423645303412</v>
      </c>
      <c r="U40" s="174">
        <f>IF(MONTH(Factores!$D$2)=1,SUMPRODUCT($F$20:$F$20,$F$38:$F$38,$F40:F40)/SUMPRODUCT($F$20:$F$20,$F$38:$F$38),IF(MONTH(Factores!$D$2)=2,SUMPRODUCT($F$20:$G$20,$F$38:$G$38,$F40:G40)/SUMPRODUCT($F$20:$G$20,$F$38:$G$38),IF(MONTH(Factores!$D$2)=3,SUMPRODUCT($F$20:$H$20,$F$38:$H$38,$F40:H40)/SUMPRODUCT($F$20:$H$20,$F$38:$H$38),IF(MONTH(Factores!$D$2)=4,SUMPRODUCT($F$20:$I$20,$F$38:$I$38,$F40:I40)/SUMPRODUCT($F$20:$I$20,$F$38:$I$38),IF(MONTH(Factores!$D$2)=5,SUMPRODUCT($F$20:$J$20,$F$38:$J$38,$F40:J40)/SUMPRODUCT($F$20:$J$20,$F$38:$J$38),IF(MONTH(Factores!$D$2)=6,SUMPRODUCT($F$20:$K$20,$F$38:$K$38,$F40:K40)/SUMPRODUCT($F$20:$K$20,$F$38:$K$38),IF(MONTH(Factores!$D$2)=7,SUMPRODUCT($F$20:$L$20,$F$38:$L$38,$F40:L40)/SUMPRODUCT($F$20:$L$20,$F$38:$L$38),IF(MONTH(Factores!$D$2)=8,SUMPRODUCT($F$20:$M$20,$F$38:$M$38,$F40:M40)/SUMPRODUCT($F$20:$M$20,$F$38:$M$38),IF(MONTH(Factores!$D$2)=9,SUMPRODUCT($F$20:$N$20,$F$38:$N$38,$F40:N40)/SUMPRODUCT($F$20:$N$20,$F$38:$N$38),IF(MONTH(Factores!$D$2)=10,SUMPRODUCT($F$20:$O$20,$F$38:$O$38,$F40:O40)/SUMPRODUCT($F$20:$O$20,$F$38:$O$38),IF(MONTH(Factores!$D$2)=11,SUMPRODUCT($F$20:$P$20,$F$38:$P$38,$F40:P40)/SUMPRODUCT($F$20:$P$20,$F$38:$P$38),IF(MONTH(Factores!$D$2)=12,SUMPRODUCT($F$20:$Q$20,$F$38:$Q$38,$F40:Q40)/SUMPRODUCT($F$20:$Q$20,$F$38:$Q$38)))))))))))))</f>
        <v>93.450137203431481</v>
      </c>
      <c r="V40" s="174">
        <f>IF(MONTH(Factores!$D$2)=1,SUMPRODUCT($F$20:$F$20,$F$38:$F$38,$F40:F40)/SUMPRODUCT($F$20:$F$20,$F$38:$F$38),IF(MONTH(Factores!$D$2)=2,SUMPRODUCT($F$20:$F$20,$F$38:$F$38,$F40:F40)/SUMPRODUCT($F$20:$F$20,$F$38:$F$38),IF(MONTH(Factores!$D$2)=3,SUMPRODUCT($F$20:$G$20,$F$38:$G$38,$F40:G40)/SUMPRODUCT($F$20:$G$20,$F$38:$G$38),IF(MONTH(Factores!$D$2)=4,SUMPRODUCT($F$20:$H$20,$F$38:$H$38,$F40:H40)/SUMPRODUCT($F$20:$H$20,$F$38:$H$38),IF(MONTH(Factores!$D$2)=5,SUMPRODUCT($F$20:$I$20,$F$38:$I$38,$F40:I40)/SUMPRODUCT($F$20:$I$20,$F$38:$I$38),IF(MONTH(Factores!$D$2)=6,SUMPRODUCT($F$20:$J$20,$F$38:$J$38,$F40:J40)/SUMPRODUCT($F$20:$J$20,$F$38:$J$38),IF(MONTH(Factores!$D$2)=7,SUMPRODUCT($F$20:$K$20,$F$38:$K$38,$F40:K40)/SUMPRODUCT($F$20:$K$20,$F$38:$K$38),IF(MONTH(Factores!$D$2)=8,SUMPRODUCT($F$20:$L$20,$F$38:$L$38,$F40:L40)/SUMPRODUCT($F$20:$L$20,$F$38:$L$38),IF(MONTH(Factores!$D$2)=9,SUMPRODUCT($F$20:$M$20,$F$38:$M$38,$F40:M40)/SUMPRODUCT($F$20:$M$20,$F$38:$M$38),IF(MONTH(Factores!$D$2)=10,SUMPRODUCT($F$20:$N$20,$F$38:$N$38,$F40:N40)/SUMPRODUCT($F$20:$N$20,$F$38:$N$38),IF(MONTH(Factores!$D$2)=11,SUMPRODUCT($F$20:$O$20,$F$38:$O$38,$F40:O40)/SUMPRODUCT($F$20:$O$20,$F$38:$O$38),IF(MONTH(Factores!$D$2)=12,SUMPRODUCT($F$20:$P$20,$F$38:$P$38,$F40:P40)/SUMPRODUCT($F$20:$P$20,$F$38:$P$38)))))))))))))</f>
        <v>93.240686185345098</v>
      </c>
    </row>
    <row r="41" spans="1:22" s="698" customFormat="1" ht="30" customHeight="1">
      <c r="C41" s="638" t="s">
        <v>230</v>
      </c>
      <c r="D41" s="714" t="s">
        <v>48</v>
      </c>
      <c r="E41" s="713"/>
      <c r="F41" s="1548">
        <f t="shared" ref="F41:K41" si="3">IF(F38&gt;0,2.5316*LN(F38)+77.156,2.5316*LN(F38)+77.156)</f>
        <v>90.299449485613493</v>
      </c>
      <c r="G41" s="2710">
        <f t="shared" si="3"/>
        <v>90.687012061155656</v>
      </c>
      <c r="H41" s="2710">
        <f t="shared" si="3"/>
        <v>90.944815384453378</v>
      </c>
      <c r="I41" s="2710">
        <f t="shared" si="3"/>
        <v>90.998390333974328</v>
      </c>
      <c r="J41" s="2901">
        <f t="shared" si="3"/>
        <v>90.912351419191324</v>
      </c>
      <c r="K41" s="2710">
        <f t="shared" si="3"/>
        <v>91.035473637245502</v>
      </c>
      <c r="L41" s="2710">
        <f t="shared" ref="L41:Q41" si="4">IF(L38&gt;0,2.5316*LN(L38)+77.156,2.5316*LN(L38)+77.156)</f>
        <v>90.498188770180178</v>
      </c>
      <c r="M41" s="2710">
        <f t="shared" si="4"/>
        <v>90.988001901714128</v>
      </c>
      <c r="N41" s="2711">
        <f t="shared" si="4"/>
        <v>91.36339970917723</v>
      </c>
      <c r="O41" s="1548">
        <f t="shared" si="4"/>
        <v>90.670176465889455</v>
      </c>
      <c r="P41" s="1548">
        <f t="shared" si="4"/>
        <v>91.267841566691914</v>
      </c>
      <c r="Q41" s="1548">
        <f t="shared" si="4"/>
        <v>91.233400770915964</v>
      </c>
      <c r="R41" s="697"/>
      <c r="S41" s="106">
        <f>SUMPRODUCT(F20:Q20,F38:Q38,F40:Q40,F41:Q41)/SUMPRODUCT(F20:Q20,F38:Q38,F40:Q40)</f>
        <v>90.953068256595287</v>
      </c>
      <c r="U41" s="174">
        <f>IF(MONTH(Factores!$D$2)=1,SUMPRODUCT($F$20:$F$20,$F$38:$F$38,$F$40:$F$40,$F41:F41)/SUMPRODUCT($F$20:$F$20,$F$38:$F$38,$F$40:$F$40),IF(MONTH(Factores!$D$2)=2,SUMPRODUCT($F$20:$G$20,$F$38:$G$38,$F$40:$G$40,$F41:G41)/SUMPRODUCT($F$20:$G$20,$F$38:$G$38,$F$40:$G$40),IF(MONTH(Factores!$D$2)=3,SUMPRODUCT($F$20:$H$20,$F$38:$H$38,$F$40:$H$40,$F41:H41)/SUMPRODUCT($F$20:$H$20,$F$38:$H$38,$F$40:$H$40),IF(MONTH(Factores!$D$2)=4,SUMPRODUCT($F$20:$I$20,$F$38:$I$38,$F$40:$I$40,$F41:I41)/SUMPRODUCT($F$20:$I$20,$F$38:$I$38,$F$40:$I$40),IF(MONTH(Factores!$D$2)=5,SUMPRODUCT($F$20:$J$20,$F$38:$J$38,$F$40:$J$40,$F41:J41)/SUMPRODUCT($F$20:$J$20,$F$38:$J$38,$F$40:$J$40),IF(MONTH(Factores!$D$2)=6,SUMPRODUCT($F$20:$K$20,$F$38:$K$38,$F$40:$K$40,$F41:K41)/SUMPRODUCT($F$20:$K$20,$F$38:$K$38,$F$40:$K$40),IF(MONTH(Factores!$D$2)=7,SUMPRODUCT($F$20:$L$20,$F$38:$L$38,$F$40:$L$40,$F41:L41)/SUMPRODUCT($F$20:$L$20,$F$38:$L$38,$F$40:$L$40),IF(MONTH(Factores!$D$2)=8,SUMPRODUCT($F$20:$M$20,$F$38:$M$38,$F$40:$M$40,$F41:M41)/SUMPRODUCT($F$20:$M$20,$F$38:$M$38,$F$40:$M$40),IF(MONTH(Factores!$D$2)=9,SUMPRODUCT($F$20:$N$20,$F$38:$N$38,$F$40:$N$40,$F41:N41)/SUMPRODUCT($F$20:$N$20,$F$38:$N$38,$F$40:$N$40),IF(MONTH(Factores!$D$2)=10,SUMPRODUCT($F$20:$O$20,$F$38:$O$38,$F$40:$O$40,$F41:O41)/SUMPRODUCT($F$20:$O$20,$F$38:$O$38,$F$40:$O$40),IF(MONTH(Factores!$D$2)=11,SUMPRODUCT($F$20:$P$20,$F$38:$P$38,$F$40:$P$40,$F41:P41)/SUMPRODUCT($F$20:$P$20,$F$38:$P$38,$F$40:$P$40),IF(MONTH(Factores!$D$2)=12,SUMPRODUCT($F$20:$Q$20,$F$38:$Q$38,$F$40:$Q$40,$F41:Q41)/SUMPRODUCT($F$20:$Q$20,$F$38:$Q$38,$F$40:$Q$40)))))))))))))</f>
        <v>90.662203288666532</v>
      </c>
      <c r="V41" s="174">
        <f>IF(MONTH(Factores!$D$2)=1,SUMPRODUCT($F$20:$F$20,$F$38:$F$38,$F$40:$F$40,$F41:F41)/SUMPRODUCT($F$20:$F$20,$F$38:$F$38,$F$40:$F$40),IF(MONTH(Factores!$D$2)=2,SUMPRODUCT($F$20:$F$20,$F$38:$F$38,$F$40:$F$40,$F41:F41)/SUMPRODUCT($F$20:$F$20,$F$38:$F$38,$F$40:$F$40),IF(MONTH(Factores!$D$2)=3,SUMPRODUCT($F$20:$G$20,$F$38:$G$38,$F$40:$G$40,$F41:G41)/SUMPRODUCT($F$20:$G$20,$F$38:$G$38,$F$40:$G$40),IF(MONTH(Factores!$D$2)=4,SUMPRODUCT($F$20:$H$20,$F$38:$H$38,$F$40:$H$40,$F41:H41)/SUMPRODUCT($F$20:$H$20,$F$38:$H$38,$F$40:$H$40),IF(MONTH(Factores!$D$2)=5,SUMPRODUCT($F$20:$I$20,$F$38:$I$38,$F$40:$I$40,$F41:I41)/SUMPRODUCT($F$20:$I$20,$F$38:$I$38,$F$40:$I$40),IF(MONTH(Factores!$D$2)=6,SUMPRODUCT($F$20:$J$20,$F$38:$J$38,$F$40:$J$40,$F41:J41)/SUMPRODUCT($F$20:$J$20,$F$38:$J$38,$F$40:$J$40),IF(MONTH(Factores!$D$2)=7,SUMPRODUCT($F$20:$K$20,$F$38:$K$38,$F$40:$K$40,$F41:K41)/SUMPRODUCT($F$20:$K$20,$F$38:$K$38,$F$40:$K$40),IF(MONTH(Factores!$D$2)=8,SUMPRODUCT($F$20:$L$20,$F$38:$L$38,$F$40:$L$40,$F41:L41)/SUMPRODUCT($F$20:$L$20,$F$38:$L$38,$F$40:$L$40),IF(MONTH(Factores!$D$2)=9,SUMPRODUCT($F$20:$M$20,$F$38:$M$38,$F$40:$M$40,$F41:M41)/SUMPRODUCT($F$20:$M$20,$F$38:$M$38,$F$40:$M$40),IF(MONTH(Factores!$D$2)=10,SUMPRODUCT($F$20:$N$20,$F$38:$N$38,$F$40:$N$40,$F41:N41)/SUMPRODUCT($F$20:$N$20,$F$38:$N$38,$F$40:$N$40),IF(MONTH(Factores!$D$2)=11,SUMPRODUCT($F$20:$O$20,$F$38:$O$38,$F$40:$O$40,$F41:O41)/SUMPRODUCT($F$20:$O$20,$F$38:$O$38,$F$40:$O$40),IF(MONTH(Factores!$D$2)=12,SUMPRODUCT($F$20:$P$20,$F$38:$P$38,$F$40:$P$40,$F41:P41)/SUMPRODUCT($F$20:$P$20,$F$38:$P$38,$F$40:$P$40)))))))))))))</f>
        <v>90.501693600262882</v>
      </c>
    </row>
    <row r="42" spans="1:22" s="77" customFormat="1" ht="30" customHeight="1">
      <c r="C42" s="78" t="s">
        <v>231</v>
      </c>
      <c r="D42" s="87" t="s">
        <v>204</v>
      </c>
      <c r="E42" s="104"/>
      <c r="F42" s="1546">
        <f>+F17/F43*100</f>
        <v>1.555297476776585</v>
      </c>
      <c r="G42" s="2701">
        <f t="shared" ref="G42:Q42" si="5">+G17/G43*100</f>
        <v>1.6902366162300047</v>
      </c>
      <c r="H42" s="2701">
        <f t="shared" si="5"/>
        <v>1.8429912148387491</v>
      </c>
      <c r="I42" s="2701">
        <f t="shared" si="5"/>
        <v>2.1646467231614177</v>
      </c>
      <c r="J42" s="2898">
        <f t="shared" si="5"/>
        <v>2.2196507671696684</v>
      </c>
      <c r="K42" s="2701">
        <f t="shared" si="5"/>
        <v>2.2590439339043908</v>
      </c>
      <c r="L42" s="2701">
        <f t="shared" si="5"/>
        <v>1.5275240857604309</v>
      </c>
      <c r="M42" s="2701">
        <f t="shared" si="5"/>
        <v>1.9569743734988927</v>
      </c>
      <c r="N42" s="2702">
        <f t="shared" si="5"/>
        <v>2.5148055973468977</v>
      </c>
      <c r="O42" s="1546">
        <f t="shared" si="5"/>
        <v>2.0023217194388678</v>
      </c>
      <c r="P42" s="1546">
        <f t="shared" si="5"/>
        <v>2.3768979583937573</v>
      </c>
      <c r="Q42" s="1546">
        <f t="shared" si="5"/>
        <v>2.508736764056243</v>
      </c>
      <c r="R42" s="696"/>
      <c r="S42" s="112">
        <f>SUM(F42:Q42)</f>
        <v>24.619127230575906</v>
      </c>
      <c r="T42" s="690"/>
      <c r="U42" s="294">
        <f>IF(MONTH(Factores!$D$2)=1,SUM($F42:F42),IF(MONTH(Factores!$D$2)=2,SUM($F42:G42),IF(MONTH(Factores!$D$2)=3,SUM($F42:H42),IF(MONTH(Factores!$D$2)=4,SUM($F42:I42),IF(MONTH(Factores!$D$2)=5,SUM($F42:J42),IF(MONTH(Factores!$D$2)=6,SUM($F42:K42),IF(MONTH(Factores!$D$2)=7,SUM($F42:L42),IF(MONTH(Factores!$D$2)=8,SUM($F42:M42),IF(MONTH(Factores!$D$2)=9,SUM($F42:N42),IF(MONTH(Factores!$D$2)=10,SUM($F42:O42),IF(MONTH(Factores!$D$2)=11,SUM($F42:P42),IF(MONTH(Factores!$D$2)=12,SUM($F42:Q42)))))))))))))</f>
        <v>5.0885253078453392</v>
      </c>
      <c r="V42" s="294">
        <f>IF(MONTH(Factores!$D$2)=1,SUM($F42:F42),IF(MONTH(Factores!$D$2)=2,SUM($F42:F42),IF(MONTH(Factores!$D$2)=3,SUM($F42:G42),IF(MONTH(Factores!$D$2)=4,SUM($F42:H42),IF(MONTH(Factores!$D$2)=5,SUM($F42:I42),IF(MONTH(Factores!$D$2)=6,SUM($F42:J42),IF(MONTH(Factores!$D$2)=7,SUM($F42:K42),IF(MONTH(Factores!$D$2)=8,SUM($F42:L42),IF(MONTH(Factores!$D$2)=9,SUM($F42:M42),IF(MONTH(Factores!$D$2)=10,SUM($F42:N42),IF(MONTH(Factores!$D$2)=11,SUM($F42:O42),IF(MONTH(Factores!$D$2)=12,SUM($F42:P42)))))))))))))</f>
        <v>3.2455340930065897</v>
      </c>
    </row>
    <row r="43" spans="1:22" s="77" customFormat="1" ht="30" customHeight="1">
      <c r="C43" s="78" t="s">
        <v>232</v>
      </c>
      <c r="D43" s="87" t="s">
        <v>48</v>
      </c>
      <c r="E43" s="104"/>
      <c r="F43" s="1543">
        <v>54</v>
      </c>
      <c r="G43" s="2708">
        <v>54</v>
      </c>
      <c r="H43" s="2708">
        <v>54</v>
      </c>
      <c r="I43" s="2708">
        <v>54</v>
      </c>
      <c r="J43" s="2895">
        <v>54</v>
      </c>
      <c r="K43" s="2708">
        <v>54</v>
      </c>
      <c r="L43" s="2708">
        <v>54</v>
      </c>
      <c r="M43" s="2708">
        <v>54</v>
      </c>
      <c r="N43" s="2709">
        <v>54</v>
      </c>
      <c r="O43" s="1543">
        <v>54</v>
      </c>
      <c r="P43" s="1543">
        <v>54</v>
      </c>
      <c r="Q43" s="1543">
        <v>54</v>
      </c>
      <c r="R43" s="696"/>
      <c r="S43" s="105">
        <f>S17/S42*100</f>
        <v>54</v>
      </c>
      <c r="T43" s="690"/>
      <c r="U43" s="224">
        <f>U17/U42*100</f>
        <v>54</v>
      </c>
      <c r="V43" s="224">
        <f>V17/V42*100</f>
        <v>54</v>
      </c>
    </row>
    <row r="44" spans="1:22">
      <c r="C44" s="428"/>
      <c r="D44" s="428"/>
      <c r="E44" s="428"/>
      <c r="F44" s="1550"/>
      <c r="G44" s="1550"/>
      <c r="H44" s="1550"/>
      <c r="I44" s="1550"/>
      <c r="J44" s="2903"/>
      <c r="K44" s="1550"/>
      <c r="L44" s="1550"/>
      <c r="M44" s="1550"/>
      <c r="N44" s="1550"/>
      <c r="O44" s="1550"/>
      <c r="P44" s="1550"/>
      <c r="Q44" s="1550"/>
      <c r="R44" s="428"/>
      <c r="S44" s="428"/>
      <c r="U44" s="430"/>
      <c r="V44" s="430"/>
    </row>
    <row r="45" spans="1:22" ht="30" customHeight="1">
      <c r="C45" s="90" t="s">
        <v>233</v>
      </c>
      <c r="D45" s="113" t="s">
        <v>234</v>
      </c>
      <c r="E45" s="428"/>
      <c r="F45" s="1546">
        <v>3.5325722546084383E-2</v>
      </c>
      <c r="G45" s="2701">
        <v>3.2482592190983886E-2</v>
      </c>
      <c r="H45" s="2701">
        <v>4.2501892337673639E-2</v>
      </c>
      <c r="I45" s="2701">
        <v>3.5471027282374605E-2</v>
      </c>
      <c r="J45" s="2898">
        <v>4.094412896695019E-2</v>
      </c>
      <c r="K45" s="2701">
        <v>3.3668505685159576E-2</v>
      </c>
      <c r="L45" s="2701">
        <v>5.0833500184374353E-2</v>
      </c>
      <c r="M45" s="2701">
        <v>5.2105841124201115E-2</v>
      </c>
      <c r="N45" s="2702">
        <v>4.4304228017525656E-2</v>
      </c>
      <c r="O45" s="1546">
        <v>4.8711774597106745E-2</v>
      </c>
      <c r="P45" s="1546">
        <v>5.2945086827765768E-2</v>
      </c>
      <c r="Q45" s="1546">
        <v>5.4842407443664851E-2</v>
      </c>
      <c r="R45" s="145"/>
      <c r="S45" s="112">
        <f>SUMPRODUCT(F45:Q45,F20:Q20)/SUM(F20:Q20)</f>
        <v>4.3708333190229549E-2</v>
      </c>
      <c r="U45" s="294">
        <f>IF(MONTH(Factores!$D$2)=1,SUMPRODUCT($F$20:$F$20,$F45:F45)/SUM($F$20:$F$20),IF(MONTH(Factores!$D$2)=2,SUMPRODUCT($F$20:$G$20,$F45:G45)/SUM($F$20:$G$20),IF(MONTH(Factores!$D$2)=3,SUMPRODUCT($F$20:$H$20,$F45:H45)/SUM($F$20:$H$20),IF(MONTH(Factores!$D$2)=4,SUMPRODUCT($F$20:$I$20,$F45:I45)/SUM($F$20:$I$20),IF(MONTH(Factores!$D$2)=5,SUMPRODUCT($F$20:$J$20,$F45:J45)/SUM($F$20:$J$20),IF(MONTH(Factores!$D$2)=6,SUMPRODUCT($F$20:$K$20,$F45:K45)/SUM($F$20:$K$20),IF(MONTH(Factores!$D$2)=7,SUMPRODUCT($F$20:$L$20,$F45:L45)/SUM($F$20:$L$20),IF(MONTH(Factores!$D$2)=8,SUMPRODUCT($F$20:$M$20,$F45:M45)/SUM($F$20:$M$20),IF(MONTH(Factores!$D$2)=9,SUMPRODUCT($F$20:$N$20,$F45:N45)/SUM($F$20:$N$20),IF(MONTH(Factores!$D$2)=10,SUMPRODUCT($F$20:$O$20,$F45:O45)/SUM($F$20:$O$20),IF(MONTH(Factores!$D$2)=11,SUMPRODUCT($F$20:$P$20,$F45:P45)/SUM($F$20:$P$20),IF(MONTH(Factores!$D$2)=12,SUMPRODUCT($F$20:$Q$20,$F45:Q45)/SUM($F$20:$Q$20)))))))))))))</f>
        <v>3.6696631406651962E-2</v>
      </c>
      <c r="V45" s="294">
        <f>IF(MONTH(Factores!$D$2)=1,SUMPRODUCT($F$20:$F$20,$F45:F45)/SUM($F$20:$F$20),IF(MONTH(Factores!$D$2)=2,SUMPRODUCT($F$20:$F$20,$F45:F45)/SUM($F$20:$F$20),IF(MONTH(Factores!$D$2)=3,SUMPRODUCT($F$20:$G$20,$F45:G45)/SUM($F$20:$G$20),IF(MONTH(Factores!$D$2)=4,SUMPRODUCT($F$20:$H$20,$F45:H45)/SUM($F$20:$H$20),IF(MONTH(Factores!$D$2)=5,SUMPRODUCT($F$20:$I$20,$F45:I45)/SUM($F$20:$I$20),IF(MONTH(Factores!$D$2)=6,SUMPRODUCT($F$20:$J$20,$F45:J45)/SUM($F$20:$J$20),IF(MONTH(Factores!$D$2)=7,SUMPRODUCT($F$20:$K$20,$F45:K45)/SUM($F$20:$K$20),IF(MONTH(Factores!$D$2)=8,SUMPRODUCT($F$20:$L$20,$F45:L45)/SUM($F$20:$L$20),IF(MONTH(Factores!$D$2)=9,SUMPRODUCT($F$20:$M$20,$F45:M45)/SUM($F$20:$M$20),IF(MONTH(Factores!$D$2)=10,SUMPRODUCT($F$20:$N$20,$F45:N45)/SUM($F$20:$N$20),IF(MONTH(Factores!$D$2)=11,SUMPRODUCT($F$20:$O$20,$F45:O45)/SUM($F$20:$O$20),IF(MONTH(Factores!$D$2)=12,SUMPRODUCT($F$20:$P$20,$F45:P45)/SUM($F$20:$P$20)))))))))))))</f>
        <v>3.3954693989969205E-2</v>
      </c>
    </row>
    <row r="46" spans="1:22" ht="30" customHeight="1">
      <c r="C46" s="90" t="s">
        <v>235</v>
      </c>
      <c r="D46" s="113" t="s">
        <v>234</v>
      </c>
      <c r="E46" s="428"/>
      <c r="F46" s="1548">
        <v>1.5561760774065052</v>
      </c>
      <c r="G46" s="2710">
        <v>1.410892555408447</v>
      </c>
      <c r="H46" s="2710">
        <v>1.6744539124369735</v>
      </c>
      <c r="I46" s="2710">
        <v>1.5821718106352487</v>
      </c>
      <c r="J46" s="2901">
        <v>1.7498804483680206</v>
      </c>
      <c r="K46" s="2710">
        <v>1.3706590595752124</v>
      </c>
      <c r="L46" s="2710">
        <v>2.3703267052335715</v>
      </c>
      <c r="M46" s="2710">
        <v>2.3767246089462293</v>
      </c>
      <c r="N46" s="2711">
        <v>1.9328232265364491</v>
      </c>
      <c r="O46" s="1548">
        <v>2.1743495331978351</v>
      </c>
      <c r="P46" s="1548">
        <v>2.1746437721795009</v>
      </c>
      <c r="Q46" s="1548">
        <v>2.3127439872531403</v>
      </c>
      <c r="R46" s="145"/>
      <c r="S46" s="106">
        <f>SUMPRODUCT(F46:Q46,F35:Q35)/SUM(F35:Q35)</f>
        <v>1.8842700746025038</v>
      </c>
      <c r="U46" s="174">
        <f>IF(MONTH(Factores!$D$2)=1,SUMPRODUCT($F$35:$F$35,$F46:F46)/SUM($F$35:$F$35),IF(MONTH(Factores!$D$2)=2,SUMPRODUCT($F$35:$G$35,$F46:G46)/SUM($F$35:$G$35),IF(MONTH(Factores!$D$2)=3,SUMPRODUCT($F$35:$H$35,$F46:H46)/SUM($F$35:$H$35),IF(MONTH(Factores!$D$2)=4,SUMPRODUCT($F$35:$I$35,$F46:I46)/SUM($F$35:$I$35),IF(MONTH(Factores!$D$2)=5,SUMPRODUCT($F$35:$J$35,$F46:J46)/SUM($F$35:$J$35),IF(MONTH(Factores!$D$2)=6,SUMPRODUCT($F$35:$K$35,$F46:K46)/SUM($F$35:$K$35),IF(MONTH(Factores!$D$2)=7,SUMPRODUCT($F$35:$L$35,$F46:L46)/SUM($F$35:$L$35),IF(MONTH(Factores!$D$2)=8,SUMPRODUCT($F$35:$M$35,$F46:M46)/SUM($F$35:$M$35),IF(MONTH(Factores!$D$2)=9,SUMPRODUCT($F$35:$N$35,$F46:N46)/SUM($F$35:$N$35),IF(MONTH(Factores!$D$2)=10,SUMPRODUCT($F$35:$O$35,$F46:O46)/SUM($F$35:$O$35),IF(MONTH(Factores!$D$2)=11,SUMPRODUCT($F$35:$P$35,$F46:P46)/SUM($F$35:$P$35),IF(MONTH(Factores!$D$2)=12,SUMPRODUCT($F$35:$Q$35,$F46:Q46)/SUM($F$35:$Q$35)))))))))))))</f>
        <v>1.5505808225856468</v>
      </c>
      <c r="V46" s="174">
        <f>IF(MONTH(Factores!$D$2)=1,SUMPRODUCT($F$35:$F$35,$F46:F46)/SUM($F$35:$F$35),IF(MONTH(Factores!$D$2)=2,SUMPRODUCT($F$35:$F$35,$F46:F46)/SUM($F$35:$F$35),IF(MONTH(Factores!$D$2)=3,SUMPRODUCT($F$35:$G$35,$F46:G46)/SUM($F$35:$G$35),IF(MONTH(Factores!$D$2)=4,SUMPRODUCT($F$35:$H$35,$F46:H46)/SUM($F$35:$H$35),IF(MONTH(Factores!$D$2)=5,SUMPRODUCT($F$35:$I$35,$F46:I46)/SUM($F$35:$I$35),IF(MONTH(Factores!$D$2)=6,SUMPRODUCT($F$35:$J$35,$F46:J46)/SUM($F$35:$J$35),IF(MONTH(Factores!$D$2)=7,SUMPRODUCT($F$35:$K$35,$F46:K46)/SUM($F$35:$K$35),IF(MONTH(Factores!$D$2)=8,SUMPRODUCT($F$35:$L$35,$F46:L46)/SUM($F$35:$L$35),IF(MONTH(Factores!$D$2)=9,SUMPRODUCT($F$35:$M$35,$F46:M46)/SUM($F$35:$M$35),IF(MONTH(Factores!$D$2)=10,SUMPRODUCT($F$35:$N$35,$F46:N46)/SUM($F$35:$N$35),IF(MONTH(Factores!$D$2)=11,SUMPRODUCT($F$35:$O$35,$F46:O46)/SUM($F$35:$O$35),IF(MONTH(Factores!$D$2)=12,SUMPRODUCT($F$35:$P$35,$F46:P46)/SUM($F$35:$P$35)))))))))))))</f>
        <v>1.4856050605892583</v>
      </c>
    </row>
    <row r="47" spans="1:22" s="719" customFormat="1" ht="30" customHeight="1">
      <c r="A47" s="715"/>
      <c r="B47" s="715"/>
      <c r="C47" s="639" t="s">
        <v>236</v>
      </c>
      <c r="D47" s="716" t="s">
        <v>237</v>
      </c>
      <c r="E47" s="717"/>
      <c r="F47" s="1547">
        <v>4012.5755718165419</v>
      </c>
      <c r="G47" s="2703">
        <v>3436.3034493098567</v>
      </c>
      <c r="H47" s="2703">
        <v>4403.8767905375735</v>
      </c>
      <c r="I47" s="2703">
        <v>4223.9141375171721</v>
      </c>
      <c r="J47" s="2899">
        <v>5157.7365827763497</v>
      </c>
      <c r="K47" s="2703">
        <v>4107.2919592926946</v>
      </c>
      <c r="L47" s="2703">
        <v>5264.644502914849</v>
      </c>
      <c r="M47" s="2703">
        <v>5608.4877693063399</v>
      </c>
      <c r="N47" s="2704">
        <v>5274.9842077745298</v>
      </c>
      <c r="O47" s="1547">
        <v>6130.2243164303609</v>
      </c>
      <c r="P47" s="1547">
        <v>6200.2294664409883</v>
      </c>
      <c r="Q47" s="1547">
        <v>6868.8624344586879</v>
      </c>
      <c r="R47" s="718"/>
      <c r="S47" s="109">
        <f>SUM(F47:Q47)</f>
        <v>60689.131188575935</v>
      </c>
      <c r="T47" s="715"/>
      <c r="U47" s="225">
        <f>IF(MONTH(Factores!$D$2)=1,SUM($F47:F47),IF(MONTH(Factores!$D$2)=2,SUM($F47:G47),IF(MONTH(Factores!$D$2)=3,SUM($F47:H47),IF(MONTH(Factores!$D$2)=4,SUM($F47:I47),IF(MONTH(Factores!$D$2)=5,SUM($F47:J47),IF(MONTH(Factores!$D$2)=6,SUM($F47:K47),IF(MONTH(Factores!$D$2)=7,SUM($F47:L47),IF(MONTH(Factores!$D$2)=8,SUM($F47:M47),IF(MONTH(Factores!$D$2)=9,SUM($F47:N47),IF(MONTH(Factores!$D$2)=10,SUM($F47:O47),IF(MONTH(Factores!$D$2)=11,SUM($F47:P47),IF(MONTH(Factores!$D$2)=12,SUM($F47:Q47)))))))))))))</f>
        <v>11852.755811663972</v>
      </c>
      <c r="V47" s="225">
        <f>IF(MONTH(Factores!$D$2)=1,SUM($F47:F47),IF(MONTH(Factores!$D$2)=2,SUM($F47:F47),IF(MONTH(Factores!$D$2)=3,SUM($F47:G47),IF(MONTH(Factores!$D$2)=4,SUM($F47:H47),IF(MONTH(Factores!$D$2)=5,SUM($F47:I47),IF(MONTH(Factores!$D$2)=6,SUM($F47:J47),IF(MONTH(Factores!$D$2)=7,SUM($F47:K47),IF(MONTH(Factores!$D$2)=8,SUM($F47:L47),IF(MONTH(Factores!$D$2)=9,SUM($F47:M47),IF(MONTH(Factores!$D$2)=10,SUM($F47:N47),IF(MONTH(Factores!$D$2)=11,SUM($F47:O47),IF(MONTH(Factores!$D$2)=12,SUM($F47:P47)))))))))))))</f>
        <v>7448.8790211263986</v>
      </c>
    </row>
    <row r="48" spans="1:22">
      <c r="C48" s="428"/>
      <c r="D48" s="428"/>
      <c r="E48" s="428"/>
      <c r="F48" s="1550"/>
      <c r="G48" s="1550"/>
      <c r="H48" s="1550"/>
      <c r="I48" s="1550"/>
      <c r="J48" s="2903"/>
      <c r="K48" s="1550"/>
      <c r="L48" s="1550"/>
      <c r="M48" s="1550"/>
      <c r="N48" s="1550"/>
      <c r="O48" s="1550"/>
      <c r="P48" s="1550"/>
      <c r="Q48" s="1550"/>
      <c r="R48" s="428"/>
      <c r="S48" s="428"/>
      <c r="U48" s="430"/>
      <c r="V48" s="430"/>
    </row>
    <row r="49" spans="1:22" ht="30" customHeight="1">
      <c r="C49" s="90" t="s">
        <v>238</v>
      </c>
      <c r="D49" s="113" t="s">
        <v>234</v>
      </c>
      <c r="E49" s="428"/>
      <c r="F49" s="1548">
        <v>1.2239937769585794</v>
      </c>
      <c r="G49" s="2710">
        <v>1.1931733639460775</v>
      </c>
      <c r="H49" s="2710">
        <v>1.536172821572473</v>
      </c>
      <c r="I49" s="2710">
        <v>1.372541730121521</v>
      </c>
      <c r="J49" s="2901">
        <v>1.4068097040599208</v>
      </c>
      <c r="K49" s="2710">
        <v>1.3427446130246679</v>
      </c>
      <c r="L49" s="2710">
        <v>1.5981504140776852</v>
      </c>
      <c r="M49" s="2710">
        <v>1.5891755322800414</v>
      </c>
      <c r="N49" s="2711">
        <v>1.4615151357470832</v>
      </c>
      <c r="O49" s="1548">
        <v>1.5574568767629429</v>
      </c>
      <c r="P49" s="1548">
        <v>1.6507955258231712</v>
      </c>
      <c r="Q49" s="1548">
        <v>1.6938528713416563</v>
      </c>
      <c r="R49" s="697"/>
      <c r="S49" s="106">
        <f>SUMPRODUCT(F49:Q49,F20:Q20)/SUM(F20:Q20)</f>
        <v>1.4698871865022414</v>
      </c>
      <c r="T49" s="698"/>
      <c r="U49" s="174">
        <f>IF(MONTH(Factores!$D$2)=1,SUMPRODUCT($F$20:$F$20,$F49:F49)/SUM($F$20:$F$20),IF(MONTH(Factores!$D$2)=2,SUMPRODUCT($F$20:$G$20,$F49:G49)/SUM($F$20:$G$20),IF(MONTH(Factores!$D$2)=3,SUMPRODUCT($F$20:$H$20,$F49:H49)/SUM($F$20:$H$20),IF(MONTH(Factores!$D$2)=4,SUMPRODUCT($F$20:$I$20,$F49:I49)/SUM($F$20:$I$20),IF(MONTH(Factores!$D$2)=5,SUMPRODUCT($F$20:$J$20,$F49:J49)/SUM($F$20:$J$20),IF(MONTH(Factores!$D$2)=6,SUMPRODUCT($F$20:$K$20,$F49:K49)/SUM($F$20:$K$20),IF(MONTH(Factores!$D$2)=7,SUMPRODUCT($F$20:$L$20,$F49:L49)/SUM($F$20:$L$20),IF(MONTH(Factores!$D$2)=8,SUMPRODUCT($F$20:$M$20,$F49:M49)/SUM($F$20:$M$20),IF(MONTH(Factores!$D$2)=9,SUMPRODUCT($F$20:$N$20,$F49:N49)/SUM($F$20:$N$20),IF(MONTH(Factores!$D$2)=10,SUMPRODUCT($F$20:$O$20,$F49:O49)/SUM($F$20:$O$20),IF(MONTH(Factores!$D$2)=11,SUMPRODUCT($F$20:$P$20,$F49:P49)/SUM($F$20:$P$20),IF(MONTH(Factores!$D$2)=12,SUMPRODUCT($F$20:$Q$20,$F49:Q49)/SUM($F$20:$Q$20)))))))))))))</f>
        <v>1.3140461442188249</v>
      </c>
      <c r="V49" s="174">
        <f>IF(MONTH(Factores!$D$2)=1,SUMPRODUCT($F$20:$F$20,$F49:F49)/SUM($F$20:$F$20),IF(MONTH(Factores!$D$2)=2,SUMPRODUCT($F$20:$F$20,$F49:F49)/SUM($F$20:$F$20),IF(MONTH(Factores!$D$2)=3,SUMPRODUCT($F$20:$G$20,$F49:G49)/SUM($F$20:$G$20),IF(MONTH(Factores!$D$2)=4,SUMPRODUCT($F$20:$H$20,$F49:H49)/SUM($F$20:$H$20),IF(MONTH(Factores!$D$2)=5,SUMPRODUCT($F$20:$I$20,$F49:I49)/SUM($F$20:$I$20),IF(MONTH(Factores!$D$2)=6,SUMPRODUCT($F$20:$J$20,$F49:J49)/SUM($F$20:$J$20),IF(MONTH(Factores!$D$2)=7,SUMPRODUCT($F$20:$K$20,$F49:K49)/SUM($F$20:$K$20),IF(MONTH(Factores!$D$2)=8,SUMPRODUCT($F$20:$L$20,$F49:L49)/SUM($F$20:$L$20),IF(MONTH(Factores!$D$2)=9,SUMPRODUCT($F$20:$M$20,$F49:M49)/SUM($F$20:$M$20),IF(MONTH(Factores!$D$2)=10,SUMPRODUCT($F$20:$N$20,$F49:N49)/SUM($F$20:$N$20),IF(MONTH(Factores!$D$2)=11,SUMPRODUCT($F$20:$O$20,$F49:O49)/SUM($F$20:$O$20),IF(MONTH(Factores!$D$2)=12,SUMPRODUCT($F$20:$P$20,$F49:P49)/SUM($F$20:$P$20)))))))))))))</f>
        <v>1.2091314030700242</v>
      </c>
    </row>
    <row r="50" spans="1:22" s="690" customFormat="1" ht="30" customHeight="1">
      <c r="C50" s="720" t="s">
        <v>239</v>
      </c>
      <c r="D50" s="721" t="s">
        <v>234</v>
      </c>
      <c r="E50" s="631"/>
      <c r="F50" s="1543">
        <v>61.622432520261682</v>
      </c>
      <c r="G50" s="2708">
        <v>59.229594436491261</v>
      </c>
      <c r="H50" s="2708">
        <v>69.166684111046237</v>
      </c>
      <c r="I50" s="2708">
        <v>69.967664983314776</v>
      </c>
      <c r="J50" s="2895">
        <v>68.713812360419595</v>
      </c>
      <c r="K50" s="2708">
        <v>62.472799128179432</v>
      </c>
      <c r="L50" s="2708">
        <v>85.166302687991333</v>
      </c>
      <c r="M50" s="2708">
        <v>82.843086061851778</v>
      </c>
      <c r="N50" s="2709">
        <v>72.868902178277565</v>
      </c>
      <c r="O50" s="1543">
        <v>79.451735049969471</v>
      </c>
      <c r="P50" s="1543">
        <v>77.490362173090787</v>
      </c>
      <c r="Q50" s="1543">
        <v>81.635429350355707</v>
      </c>
      <c r="R50" s="696"/>
      <c r="S50" s="105">
        <f>SUMPRODUCT(F50:Q50,F35:Q35)/SUM(F35:Q35)</f>
        <v>72.419389070692105</v>
      </c>
      <c r="U50" s="224">
        <f>IF(MONTH(Factores!$D$2)=1,SUMPRODUCT($F$35:$F$35,$F50:F50)/SUM($F$35:$F$35),IF(MONTH(Factores!$D$2)=2,SUMPRODUCT($F$35:$G$35,$F50:G50)/SUM($F$35:$G$35),IF(MONTH(Factores!$D$2)=3,SUMPRODUCT($F$35:$H$35,$F50:H50)/SUM($F$35:$H$35),IF(MONTH(Factores!$D$2)=4,SUMPRODUCT($F$35:$I$35,$F50:I50)/SUM($F$35:$I$35),IF(MONTH(Factores!$D$2)=5,SUMPRODUCT($F$35:$J$35,$F50:J50)/SUM($F$35:$J$35),IF(MONTH(Factores!$D$2)=6,SUMPRODUCT($F$35:$K$35,$F50:K50)/SUM($F$35:$K$35),IF(MONTH(Factores!$D$2)=7,SUMPRODUCT($F$35:$L$35,$F50:L50)/SUM($F$35:$L$35),IF(MONTH(Factores!$D$2)=8,SUMPRODUCT($F$35:$M$35,$F50:M50)/SUM($F$35:$M$35),IF(MONTH(Factores!$D$2)=9,SUMPRODUCT($F$35:$N$35,$F50:N50)/SUM($F$35:$N$35),IF(MONTH(Factores!$D$2)=10,SUMPRODUCT($F$35:$O$35,$F50:O50)/SUM($F$35:$O$35),IF(MONTH(Factores!$D$2)=11,SUMPRODUCT($F$35:$P$35,$F50:P50)/SUM($F$35:$P$35),IF(MONTH(Factores!$D$2)=12,SUMPRODUCT($F$35:$Q$35,$F50:Q50)/SUM($F$35:$Q$35)))))))))))))</f>
        <v>63.455719366857409</v>
      </c>
      <c r="V50" s="224">
        <f>IF(MONTH(Factores!$D$2)=1,SUMPRODUCT($F$35:$F$35,$F50:F50)/SUM($F$35:$F$35),IF(MONTH(Factores!$D$2)=2,SUMPRODUCT($F$35:$F$35,$F50:F50)/SUM($F$35:$F$35),IF(MONTH(Factores!$D$2)=3,SUMPRODUCT($F$35:$G$35,$F50:G50)/SUM($F$35:$G$35),IF(MONTH(Factores!$D$2)=4,SUMPRODUCT($F$35:$H$35,$F50:H50)/SUM($F$35:$H$35),IF(MONTH(Factores!$D$2)=5,SUMPRODUCT($F$35:$I$35,$F50:I50)/SUM($F$35:$I$35),IF(MONTH(Factores!$D$2)=6,SUMPRODUCT($F$35:$J$35,$F50:J50)/SUM($F$35:$J$35),IF(MONTH(Factores!$D$2)=7,SUMPRODUCT($F$35:$K$35,$F50:K50)/SUM($F$35:$K$35),IF(MONTH(Factores!$D$2)=8,SUMPRODUCT($F$35:$L$35,$F50:L50)/SUM($F$35:$L$35),IF(MONTH(Factores!$D$2)=9,SUMPRODUCT($F$35:$M$35,$F50:M50)/SUM($F$35:$M$35),IF(MONTH(Factores!$D$2)=10,SUMPRODUCT($F$35:$N$35,$F50:N50)/SUM($F$35:$N$35),IF(MONTH(Factores!$D$2)=11,SUMPRODUCT($F$35:$O$35,$F50:O50)/SUM($F$35:$O$35),IF(MONTH(Factores!$D$2)=12,SUMPRODUCT($F$35:$P$35,$F50:P50)/SUM($F$35:$P$35)))))))))))))</f>
        <v>60.460118898397738</v>
      </c>
    </row>
    <row r="51" spans="1:22" s="719" customFormat="1" ht="30" customHeight="1">
      <c r="A51" s="715"/>
      <c r="B51" s="715"/>
      <c r="C51" s="639" t="s">
        <v>240</v>
      </c>
      <c r="D51" s="716" t="s">
        <v>241</v>
      </c>
      <c r="E51" s="717"/>
      <c r="F51" s="1547">
        <v>158.89247431357643</v>
      </c>
      <c r="G51" s="2703">
        <v>144.25681026037986</v>
      </c>
      <c r="H51" s="2703">
        <v>181.9109815878827</v>
      </c>
      <c r="I51" s="2703">
        <v>186.79223539789206</v>
      </c>
      <c r="J51" s="2899">
        <v>202.53254677134933</v>
      </c>
      <c r="K51" s="2703">
        <v>187.20485137507595</v>
      </c>
      <c r="L51" s="2703">
        <v>189.15970793812298</v>
      </c>
      <c r="M51" s="2703">
        <v>195.4893861916502</v>
      </c>
      <c r="N51" s="2704">
        <v>198.87090704982921</v>
      </c>
      <c r="O51" s="1547">
        <v>224.00122461892605</v>
      </c>
      <c r="P51" s="1547">
        <v>220.93642786802292</v>
      </c>
      <c r="Q51" s="1547">
        <v>242.45767671481948</v>
      </c>
      <c r="R51" s="718"/>
      <c r="S51" s="109">
        <f>SUM(F51:Q51)</f>
        <v>2332.5052300875273</v>
      </c>
      <c r="T51" s="715"/>
      <c r="U51" s="225">
        <f>IF(MONTH(Factores!$D$2)=1,SUM($F51:F51),IF(MONTH(Factores!$D$2)=2,SUM($F51:G51),IF(MONTH(Factores!$D$2)=3,SUM($F51:H51),IF(MONTH(Factores!$D$2)=4,SUM($F51:I51),IF(MONTH(Factores!$D$2)=5,SUM($F51:J51),IF(MONTH(Factores!$D$2)=6,SUM($F51:K51),IF(MONTH(Factores!$D$2)=7,SUM($F51:L51),IF(MONTH(Factores!$D$2)=8,SUM($F51:M51),IF(MONTH(Factores!$D$2)=9,SUM($F51:N51),IF(MONTH(Factores!$D$2)=10,SUM($F51:O51),IF(MONTH(Factores!$D$2)=11,SUM($F51:P51),IF(MONTH(Factores!$D$2)=12,SUM($F51:Q51)))))))))))))</f>
        <v>485.06026616183897</v>
      </c>
      <c r="V51" s="225">
        <f>IF(MONTH(Factores!$D$2)=1,SUM($F51:F51),IF(MONTH(Factores!$D$2)=2,SUM($F51:F51),IF(MONTH(Factores!$D$2)=3,SUM($F51:G51),IF(MONTH(Factores!$D$2)=4,SUM($F51:H51),IF(MONTH(Factores!$D$2)=5,SUM($F51:I51),IF(MONTH(Factores!$D$2)=6,SUM($F51:J51),IF(MONTH(Factores!$D$2)=7,SUM($F51:K51),IF(MONTH(Factores!$D$2)=8,SUM($F51:L51),IF(MONTH(Factores!$D$2)=9,SUM($F51:M51),IF(MONTH(Factores!$D$2)=10,SUM($F51:N51),IF(MONTH(Factores!$D$2)=11,SUM($F51:O51),IF(MONTH(Factores!$D$2)=12,SUM($F51:P51)))))))))))))</f>
        <v>303.14928457395627</v>
      </c>
    </row>
    <row r="52" spans="1:22">
      <c r="C52" s="268"/>
      <c r="D52" s="268"/>
      <c r="E52" s="268"/>
      <c r="F52" s="1545"/>
      <c r="G52" s="1545"/>
      <c r="H52" s="1545"/>
      <c r="I52" s="1545"/>
      <c r="J52" s="2897"/>
      <c r="K52" s="1545"/>
      <c r="L52" s="1545"/>
      <c r="M52" s="1545"/>
      <c r="N52" s="1545"/>
      <c r="O52" s="1545"/>
      <c r="P52" s="1545"/>
      <c r="Q52" s="1545"/>
      <c r="R52" s="268"/>
      <c r="S52" s="268"/>
      <c r="U52" s="430"/>
      <c r="V52" s="430"/>
    </row>
    <row r="53" spans="1:22" ht="30" customHeight="1">
      <c r="C53" s="90" t="s">
        <v>242</v>
      </c>
      <c r="D53" s="113" t="s">
        <v>95</v>
      </c>
      <c r="E53" s="428"/>
      <c r="F53" s="1543">
        <v>37.982095786104345</v>
      </c>
      <c r="G53" s="2708">
        <v>26.012162217135181</v>
      </c>
      <c r="H53" s="2708">
        <v>39.398148266040359</v>
      </c>
      <c r="I53" s="2708">
        <v>19.755105675637211</v>
      </c>
      <c r="J53" s="2895">
        <v>34.418888211207168</v>
      </c>
      <c r="K53" s="2708">
        <v>31.313809364317276</v>
      </c>
      <c r="L53" s="2708">
        <v>30.01441351448025</v>
      </c>
      <c r="M53" s="2708">
        <v>40.47637144927841</v>
      </c>
      <c r="N53" s="2709">
        <v>32.27889553051503</v>
      </c>
      <c r="O53" s="1543">
        <v>40.986268643881473</v>
      </c>
      <c r="P53" s="1543">
        <v>37.559730591423218</v>
      </c>
      <c r="Q53" s="1543">
        <v>25.040698017427651</v>
      </c>
      <c r="R53" s="696"/>
      <c r="S53" s="105">
        <f>SUMPRODUCT(F$20:Q$20,F53:Q53)/SUM(F$20:Q$20)</f>
        <v>32.882789122806983</v>
      </c>
      <c r="T53" s="690"/>
      <c r="U53" s="224">
        <f>IF(MONTH(Factores!$D$2)=1,SUMPRODUCT($F$20:$F$20,$F53:F53)/SUM($F$20:$F$20),IF(MONTH(Factores!$D$2)=2,SUMPRODUCT($F$20:$G$20,$F53:G53)/SUM($F$20:$G$20),IF(MONTH(Factores!$D$2)=3,SUMPRODUCT($F$20:$H$20,$F53:H53)/SUM($F$20:$H$20),IF(MONTH(Factores!$D$2)=4,SUMPRODUCT($F$20:$I$20,$F53:I53)/SUM($F$20:$I$20),IF(MONTH(Factores!$D$2)=5,SUMPRODUCT($F$20:$J$20,$F53:J53)/SUM($F$20:$J$20),IF(MONTH(Factores!$D$2)=6,SUMPRODUCT($F$20:$K$20,$F53:K53)/SUM($F$20:$K$20),IF(MONTH(Factores!$D$2)=7,SUMPRODUCT($F$20:$L$20,$F53:L53)/SUM($F$20:$L$20),IF(MONTH(Factores!$D$2)=8,SUMPRODUCT($F$20:$M$20,$F53:M53)/SUM($F$20:$M$20),IF(MONTH(Factores!$D$2)=9,SUMPRODUCT($F$20:$N$20,$F53:N53)/SUM($F$20:$N$20),IF(MONTH(Factores!$D$2)=10,SUMPRODUCT($F$20:$O$20,$F53:O53)/SUM($F$20:$O$20),IF(MONTH(Factores!$D$2)=11,SUMPRODUCT($F$20:$P$20,$F53:P53)/SUM($F$20:$P$20),IF(MONTH(Factores!$D$2)=12,SUMPRODUCT($F$20:$Q$20,$F53:Q53)/SUM($F$20:$Q$20)))))))))))))</f>
        <v>34.515883090276787</v>
      </c>
      <c r="V53" s="224">
        <f>IF(MONTH(Factores!$D$2)=1,SUMPRODUCT($F$20:$F$20,$F53:F53)/SUM($F$20:$F$20),IF(MONTH(Factores!$D$2)=2,SUMPRODUCT($F$20:$F$20,$F53:F53)/SUM($F$20:$F$20),IF(MONTH(Factores!$D$2)=3,SUMPRODUCT($F$20:$G$20,$F53:G53)/SUM($F$20:$G$20),IF(MONTH(Factores!$D$2)=4,SUMPRODUCT($F$20:$H$20,$F53:H53)/SUM($F$20:$H$20),IF(MONTH(Factores!$D$2)=5,SUMPRODUCT($F$20:$I$20,$F53:I53)/SUM($F$20:$I$20),IF(MONTH(Factores!$D$2)=6,SUMPRODUCT($F$20:$J$20,$F53:J53)/SUM($F$20:$J$20),IF(MONTH(Factores!$D$2)=7,SUMPRODUCT($F$20:$K$20,$F53:K53)/SUM($F$20:$K$20),IF(MONTH(Factores!$D$2)=8,SUMPRODUCT($F$20:$L$20,$F53:L53)/SUM($F$20:$L$20),IF(MONTH(Factores!$D$2)=9,SUMPRODUCT($F$20:$M$20,$F53:M53)/SUM($F$20:$M$20),IF(MONTH(Factores!$D$2)=10,SUMPRODUCT($F$20:$N$20,$F53:N53)/SUM($F$20:$N$20),IF(MONTH(Factores!$D$2)=11,SUMPRODUCT($F$20:$O$20,$F53:O53)/SUM($F$20:$O$20),IF(MONTH(Factores!$D$2)=12,SUMPRODUCT($F$20:$P$20,$F53:P53)/SUM($F$20:$P$20)))))))))))))</f>
        <v>32.20989448396665</v>
      </c>
    </row>
    <row r="54" spans="1:22" s="719" customFormat="1" ht="30" customHeight="1">
      <c r="A54" s="715"/>
      <c r="B54" s="715"/>
      <c r="C54" s="639" t="s">
        <v>243</v>
      </c>
      <c r="D54" s="716" t="s">
        <v>95</v>
      </c>
      <c r="E54" s="717"/>
      <c r="F54" s="1547">
        <v>1519.2838314441738</v>
      </c>
      <c r="G54" s="2703">
        <v>1040.4864886854073</v>
      </c>
      <c r="H54" s="2703">
        <v>1575.9259306416143</v>
      </c>
      <c r="I54" s="2703">
        <v>790.20422702548842</v>
      </c>
      <c r="J54" s="2899">
        <v>1376.7555284482867</v>
      </c>
      <c r="K54" s="2703">
        <v>1252.552374572691</v>
      </c>
      <c r="L54" s="2703">
        <v>1200.5765405792099</v>
      </c>
      <c r="M54" s="2703">
        <v>1619.0548579711365</v>
      </c>
      <c r="N54" s="2704">
        <v>1291.1558212206012</v>
      </c>
      <c r="O54" s="1547">
        <v>1639.450745755259</v>
      </c>
      <c r="P54" s="1547">
        <v>1502.3892236569286</v>
      </c>
      <c r="Q54" s="1547">
        <v>1001.627920697106</v>
      </c>
      <c r="R54" s="718"/>
      <c r="S54" s="109">
        <f>SUMPRODUCT(F$35:Q$35,F54:Q54)/SUM(F$35:Q$35)</f>
        <v>1316.701965576319</v>
      </c>
      <c r="T54" s="715"/>
      <c r="U54" s="225">
        <f>IF(MONTH(Factores!$D$2)=1,SUMPRODUCT($F$35:$F$35,$F54:F54)/SUM($F$35:$F$35),IF(MONTH(Factores!$D$2)=2,SUMPRODUCT($F$35:$G$35,$F54:G54)/SUM($F$35:$G$35),IF(MONTH(Factores!$D$2)=3,SUMPRODUCT($F$35:$H$35,$F54:H54)/SUM($F$35:$H$35),IF(MONTH(Factores!$D$2)=4,SUMPRODUCT($F$35:$I$35,$F54:I54)/SUM($F$35:$I$35),IF(MONTH(Factores!$D$2)=5,SUMPRODUCT($F$35:$J$35,$F54:J54)/SUM($F$35:$J$35),IF(MONTH(Factores!$D$2)=6,SUMPRODUCT($F$35:$K$35,$F54:K54)/SUM($F$35:$K$35),IF(MONTH(Factores!$D$2)=7,SUMPRODUCT($F$35:$L$35,$F54:L54)/SUM($F$35:$L$35),IF(MONTH(Factores!$D$2)=8,SUMPRODUCT($F$35:$M$35,$F54:M54)/SUM($F$35:$M$35),IF(MONTH(Factores!$D$2)=9,SUMPRODUCT($F$35:$N$35,$F54:N54)/SUM($F$35:$N$35),IF(MONTH(Factores!$D$2)=10,SUMPRODUCT($F$35:$O$35,$F54:O54)/SUM($F$35:$O$35),IF(MONTH(Factores!$D$2)=11,SUMPRODUCT($F$35:$P$35,$F54:P54)/SUM($F$35:$P$35),IF(MONTH(Factores!$D$2)=12,SUMPRODUCT($F$35:$Q$35,$F54:Q54)/SUM($F$35:$Q$35)))))))))))))</f>
        <v>1386.2179696361441</v>
      </c>
      <c r="V54" s="225">
        <f>IF(MONTH(Factores!$D$2)=1,SUMPRODUCT($F$35:$F$35,$F54:F54)/SUM($F$35:$F$35),IF(MONTH(Factores!$D$2)=2,SUMPRODUCT($F$35:$F$35,$F54:F54)/SUM($F$35:$F$35),IF(MONTH(Factores!$D$2)=3,SUMPRODUCT($F$35:$G$35,$F54:G54)/SUM($F$35:$G$35),IF(MONTH(Factores!$D$2)=4,SUMPRODUCT($F$35:$H$35,$F54:H54)/SUM($F$35:$H$35),IF(MONTH(Factores!$D$2)=5,SUMPRODUCT($F$35:$I$35,$F54:I54)/SUM($F$35:$I$35),IF(MONTH(Factores!$D$2)=6,SUMPRODUCT($F$35:$J$35,$F54:J54)/SUM($F$35:$J$35),IF(MONTH(Factores!$D$2)=7,SUMPRODUCT($F$35:$K$35,$F54:K54)/SUM($F$35:$K$35),IF(MONTH(Factores!$D$2)=8,SUMPRODUCT($F$35:$L$35,$F54:L54)/SUM($F$35:$L$35),IF(MONTH(Factores!$D$2)=9,SUMPRODUCT($F$35:$M$35,$F54:M54)/SUM($F$35:$M$35),IF(MONTH(Factores!$D$2)=10,SUMPRODUCT($F$35:$N$35,$F54:N54)/SUM($F$35:$N$35),IF(MONTH(Factores!$D$2)=11,SUMPRODUCT($F$35:$O$35,$F54:O54)/SUM($F$35:$O$35),IF(MONTH(Factores!$D$2)=12,SUMPRODUCT($F$35:$P$35,$F54:P54)/SUM($F$35:$P$35)))))))))))))</f>
        <v>1286.7095183824795</v>
      </c>
    </row>
    <row r="55" spans="1:22" ht="12.75" customHeight="1">
      <c r="C55" s="426"/>
      <c r="D55" s="426"/>
      <c r="E55" s="426"/>
      <c r="F55" s="436"/>
      <c r="G55" s="436"/>
      <c r="H55" s="1551"/>
      <c r="I55" s="1551"/>
      <c r="J55" s="2904"/>
      <c r="K55" s="1551"/>
      <c r="L55" s="1551"/>
      <c r="M55" s="1551"/>
      <c r="N55" s="1551"/>
      <c r="O55" s="1551"/>
      <c r="P55" s="1551"/>
      <c r="Q55" s="1551"/>
      <c r="R55" s="426"/>
      <c r="S55" s="431"/>
    </row>
    <row r="56" spans="1:22" ht="30" customHeight="1">
      <c r="C56" s="92" t="s">
        <v>244</v>
      </c>
      <c r="D56" s="432">
        <f>Factores!$F$9</f>
        <v>2.899</v>
      </c>
      <c r="E56" s="426"/>
      <c r="F56" s="1553"/>
      <c r="G56" s="1553"/>
      <c r="H56" s="1552"/>
      <c r="I56" s="1552"/>
      <c r="J56" s="2905"/>
      <c r="K56" s="1552"/>
      <c r="L56" s="1552"/>
      <c r="M56" s="1552"/>
      <c r="N56" s="1552"/>
      <c r="O56" s="1552"/>
      <c r="P56" s="1552"/>
      <c r="Q56" s="1552"/>
    </row>
    <row r="57" spans="1:22" ht="30" customHeight="1">
      <c r="C57" s="93" t="s">
        <v>245</v>
      </c>
      <c r="D57" s="432">
        <f>Factores!$F$7</f>
        <v>0.96199999999999997</v>
      </c>
      <c r="F57" s="1553"/>
      <c r="G57" s="1553"/>
      <c r="H57" s="1553"/>
      <c r="I57" s="1553"/>
      <c r="K57" s="1553"/>
      <c r="L57" s="1553"/>
      <c r="M57" s="1553"/>
      <c r="N57" s="1553"/>
      <c r="O57" s="1553"/>
      <c r="P57" s="1553"/>
      <c r="Q57" s="1553"/>
    </row>
    <row r="58" spans="1:22" ht="30" customHeight="1">
      <c r="C58" s="93" t="s">
        <v>71</v>
      </c>
      <c r="D58" s="432">
        <f>Factores!$F$8</f>
        <v>0.995</v>
      </c>
      <c r="E58" s="426"/>
      <c r="F58" s="1553"/>
      <c r="G58" s="434"/>
      <c r="H58" s="434"/>
      <c r="I58" s="434"/>
      <c r="J58" s="2907"/>
      <c r="K58" s="434"/>
      <c r="L58" s="434"/>
      <c r="M58" s="434"/>
      <c r="N58" s="434"/>
      <c r="O58" s="434"/>
      <c r="P58" s="434"/>
      <c r="Q58" s="434"/>
      <c r="R58" s="426"/>
      <c r="S58" s="426"/>
    </row>
    <row r="59" spans="1:22">
      <c r="F59" s="1553"/>
      <c r="G59" s="504"/>
      <c r="H59" s="504"/>
      <c r="I59" s="504"/>
      <c r="J59" s="2908"/>
      <c r="K59" s="504"/>
      <c r="L59" s="504"/>
      <c r="M59" s="504"/>
      <c r="N59" s="504"/>
      <c r="O59" s="504"/>
      <c r="P59" s="504"/>
      <c r="Q59" s="504"/>
      <c r="R59" s="426"/>
      <c r="S59" s="426"/>
    </row>
    <row r="60" spans="1:22" ht="30" customHeight="1">
      <c r="C60" s="478" t="s">
        <v>246</v>
      </c>
      <c r="D60" s="479" t="s">
        <v>247</v>
      </c>
      <c r="E60" s="520"/>
      <c r="F60" s="2714">
        <v>4.0515644460904392</v>
      </c>
      <c r="G60" s="2715">
        <v>4.048177915140915</v>
      </c>
      <c r="H60" s="2715">
        <v>4.0564913485125116</v>
      </c>
      <c r="I60" s="2715">
        <v>4.0004373635097021</v>
      </c>
      <c r="J60" s="2909">
        <v>4.0298930022124999</v>
      </c>
      <c r="K60" s="2715">
        <v>3.9363241195053256</v>
      </c>
      <c r="L60" s="2715">
        <v>4.0151167430794672</v>
      </c>
      <c r="M60" s="2715">
        <v>3.9721026502277104</v>
      </c>
      <c r="N60" s="2716">
        <v>4.0573848664623284</v>
      </c>
      <c r="O60" s="2714">
        <v>3.9664332130116553</v>
      </c>
      <c r="P60" s="2714">
        <v>3.9527435345757529</v>
      </c>
      <c r="Q60" s="2714">
        <v>4.0187891097187416</v>
      </c>
      <c r="R60" s="699">
        <v>0</v>
      </c>
      <c r="S60" s="700">
        <f>SUMPRODUCT(F$20:Q$20,F60:Q60)/SUM(F$20:Q$20)</f>
        <v>4.007812106201242</v>
      </c>
      <c r="T60" s="701"/>
      <c r="U60" s="700">
        <f>IF(MONTH(Factores!$D$2)=1,SUMPRODUCT($F$20:$F$20,$F60:F60)/SUM($F$20:$F$20),IF(MONTH(Factores!$D$2)=2,SUMPRODUCT($F$20:$G$20,$F60:G60)/SUM($F$20:$G$20),IF(MONTH(Factores!$D$2)=3,SUMPRODUCT($F$20:$H$20,$F60:H60)/SUM($F$20:$H$20),IF(MONTH(Factores!$D$2)=4,SUMPRODUCT($F$20:$I$20,$F60:I60)/SUM($F$20:$I$20),IF(MONTH(Factores!$D$2)=5,SUMPRODUCT($F$20:$J$20,$F60:J60)/SUM($F$20:$J$20),IF(MONTH(Factores!$D$2)=6,SUMPRODUCT($F$20:$K$20,$F60:K60)/SUM($F$20:$K$20),IF(MONTH(Factores!$D$2)=7,SUMPRODUCT($F$20:$L$20,$F60:L60)/SUM($F$20:$L$20),IF(MONTH(Factores!$D$2)=8,SUMPRODUCT($F$20:$M$20,$F60:M60)/SUM($F$20:$M$20),IF(MONTH(Factores!$D$2)=9,SUMPRODUCT($F$20:$N$20,$F60:N60)/SUM($F$20:$N$20),IF(MONTH(Factores!$D$2)=10,SUMPRODUCT($F$20:$O$20,$F60:O60)/SUM($F$20:$O$20),IF(MONTH(Factores!$D$2)=11,SUMPRODUCT($F$20:$P$20,$F60:P60)/SUM($F$20:$P$20),IF(MONTH(Factores!$D$2)=12,SUMPRODUCT($F$20:$Q$20,$F60:Q60)/SUM($F$20:$Q$20)))))))))))))</f>
        <v>4.0520358123767339</v>
      </c>
      <c r="V60" s="700">
        <f>IF(MONTH(Factores!$D$2)=1,SUMPRODUCT($F$20:$F$20,$F60:F60)/SUM($F$20:$F$20),IF(MONTH(Factores!$D$2)=2,SUMPRODUCT($F$20:$F$20,$F60:F60)/SUM($F$20:$F$20),IF(MONTH(Factores!$D$2)=3,SUMPRODUCT($F$20:$G$20,$F60:G60)/SUM($F$20:$G$20),IF(MONTH(Factores!$D$2)=4,SUMPRODUCT($F$20:$H$20,$F60:H60)/SUM($F$20:$H$20),IF(MONTH(Factores!$D$2)=5,SUMPRODUCT($F$20:$I$20,$F60:I60)/SUM($F$20:$I$20),IF(MONTH(Factores!$D$2)=6,SUMPRODUCT($F$20:$J$20,$F60:J60)/SUM($F$20:$J$20),IF(MONTH(Factores!$D$2)=7,SUMPRODUCT($F$20:$K$20,$F60:K60)/SUM($F$20:$K$20),IF(MONTH(Factores!$D$2)=8,SUMPRODUCT($F$20:$L$20,$F60:L60)/SUM($F$20:$L$20),IF(MONTH(Factores!$D$2)=9,SUMPRODUCT($F$20:$M$20,$F60:M60)/SUM($F$20:$M$20),IF(MONTH(Factores!$D$2)=10,SUMPRODUCT($F$20:$N$20,$F60:N60)/SUM($F$20:$N$20),IF(MONTH(Factores!$D$2)=11,SUMPRODUCT($F$20:$O$20,$F60:O60)/SUM($F$20:$O$20),IF(MONTH(Factores!$D$2)=12,SUMPRODUCT($F$20:$P$20,$F60:P60)/SUM($F$20:$P$20)))))))))))))</f>
        <v>4.0499313761787352</v>
      </c>
    </row>
  </sheetData>
  <phoneticPr fontId="0" type="noConversion"/>
  <printOptions horizontalCentered="1"/>
  <pageMargins left="0.39370078740157483" right="0.19685039370078741" top="0.39370078740157483" bottom="0.59055118110236227" header="0.59055118110236227" footer="0"/>
  <pageSetup scale="35" orientation="landscape" horizontalDpi="300" verticalDpi="300" r:id="rId1"/>
  <headerFooter alignWithMargins="0">
    <oddHeader>&amp;C&amp;A</oddHeader>
    <oddFooter>Respaldo Costos Abril 2000.xls&amp;RPágina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62A93-6FE3-4975-8658-0621F3180C09}">
  <sheetPr codeName="Hoja6">
    <pageSetUpPr fitToPage="1"/>
  </sheetPr>
  <dimension ref="A1:AU80"/>
  <sheetViews>
    <sheetView zoomScaleNormal="100" workbookViewId="0">
      <selection activeCell="H22" sqref="H22"/>
    </sheetView>
  </sheetViews>
  <sheetFormatPr baseColWidth="10" defaultColWidth="11.453125" defaultRowHeight="17.25" customHeight="1" outlineLevelRow="1" outlineLevelCol="1"/>
  <cols>
    <col min="1" max="1" width="7.54296875" style="981" customWidth="1"/>
    <col min="2" max="2" width="26.81640625" style="981" bestFit="1" customWidth="1"/>
    <col min="3" max="3" width="9.54296875" style="982" customWidth="1"/>
    <col min="4" max="4" width="17" style="981" customWidth="1"/>
    <col min="5" max="5" width="9.81640625" style="981" bestFit="1" customWidth="1"/>
    <col min="6" max="6" width="8" style="981" customWidth="1"/>
    <col min="7" max="8" width="7.81640625" style="981" customWidth="1"/>
    <col min="9" max="9" width="7.1796875" style="981" customWidth="1"/>
    <col min="10" max="10" width="7" style="981" customWidth="1"/>
    <col min="11" max="11" width="11.81640625" style="981" hidden="1" customWidth="1"/>
    <col min="12" max="12" width="7.453125" style="981" hidden="1" customWidth="1"/>
    <col min="13" max="13" width="12.54296875" style="981" hidden="1" customWidth="1"/>
    <col min="14" max="16" width="9.81640625" style="981" customWidth="1"/>
    <col min="17" max="17" width="15.54296875" style="981" customWidth="1"/>
    <col min="18" max="18" width="9.81640625" style="981" customWidth="1"/>
    <col min="19" max="19" width="8.1796875" style="981" customWidth="1"/>
    <col min="20" max="20" width="6.81640625" style="981" customWidth="1"/>
    <col min="21" max="23" width="14.1796875" style="981" hidden="1" customWidth="1" outlineLevel="1"/>
    <col min="24" max="24" width="13.453125" style="981" customWidth="1" collapsed="1"/>
    <col min="25" max="26" width="14.1796875" style="981" customWidth="1"/>
    <col min="27" max="27" width="10.1796875" style="981" customWidth="1"/>
    <col min="28" max="43" width="11.54296875" style="981" customWidth="1"/>
    <col min="44" max="44" width="2.54296875" style="981" customWidth="1"/>
    <col min="45" max="45" width="26" style="981" customWidth="1"/>
    <col min="46" max="46" width="5.81640625" style="981" customWidth="1"/>
    <col min="47" max="47" width="19.1796875" style="981" customWidth="1"/>
    <col min="48" max="16384" width="11.453125" style="981"/>
  </cols>
  <sheetData>
    <row r="1" spans="1:47" ht="17.25" customHeight="1">
      <c r="A1" s="980" t="s">
        <v>179</v>
      </c>
      <c r="D1" s="1468"/>
      <c r="E1" s="1468"/>
      <c r="K1" s="1468"/>
      <c r="T1" s="1468"/>
      <c r="U1" s="1468"/>
      <c r="V1" s="1468"/>
      <c r="W1" s="1468"/>
      <c r="Z1" s="1468"/>
    </row>
    <row r="2" spans="1:47" ht="17.25" customHeight="1">
      <c r="A2" s="1031"/>
      <c r="B2" s="2329" t="str">
        <f>CONCATENATE("Inventario cierre mes CuF= ",A2,"TMF")</f>
        <v>Inventario cierre mes CuF= TMF</v>
      </c>
      <c r="C2" s="1841"/>
      <c r="D2" s="1854"/>
      <c r="E2" s="4488" t="s">
        <v>180</v>
      </c>
      <c r="F2" s="4489"/>
      <c r="G2" s="4490"/>
      <c r="H2" s="4491" t="s">
        <v>1506</v>
      </c>
      <c r="I2" s="4492"/>
      <c r="J2" s="4492"/>
      <c r="K2" s="2309" t="s">
        <v>1172</v>
      </c>
      <c r="L2" s="2309"/>
      <c r="M2" s="2309"/>
      <c r="N2" s="4493" t="s">
        <v>183</v>
      </c>
      <c r="O2" s="4493"/>
      <c r="P2" s="4493"/>
      <c r="Q2" s="1841"/>
      <c r="R2" s="4491" t="s">
        <v>1507</v>
      </c>
      <c r="S2" s="4492"/>
      <c r="T2" s="4494"/>
      <c r="U2" s="1939" t="s">
        <v>1173</v>
      </c>
      <c r="V2" s="1939"/>
      <c r="W2" s="1939"/>
      <c r="X2" s="1102" t="s">
        <v>1174</v>
      </c>
      <c r="Y2" s="1941"/>
      <c r="Z2" s="1940"/>
      <c r="AB2" s="1919"/>
      <c r="AC2" s="1920"/>
      <c r="AD2" s="1921"/>
      <c r="AE2" s="1922"/>
      <c r="AF2" s="1923"/>
      <c r="AG2" s="1922"/>
      <c r="AH2" s="1922"/>
      <c r="AI2" s="1923"/>
      <c r="AJ2" s="1922"/>
      <c r="AK2" s="1922"/>
      <c r="AL2" s="1923"/>
      <c r="AM2" s="1923"/>
      <c r="AN2" s="1923"/>
      <c r="AO2" s="1923"/>
      <c r="AP2" s="1921"/>
      <c r="AQ2" s="1942"/>
    </row>
    <row r="3" spans="1:47" ht="17.25" customHeight="1">
      <c r="A3" s="1005"/>
      <c r="B3" s="1854"/>
      <c r="C3" s="2310" t="s">
        <v>159</v>
      </c>
      <c r="D3" s="2311" t="s">
        <v>1529</v>
      </c>
      <c r="E3" s="2312" t="s">
        <v>186</v>
      </c>
      <c r="F3" s="2312" t="s">
        <v>10</v>
      </c>
      <c r="G3" s="2312" t="s">
        <v>161</v>
      </c>
      <c r="H3" s="2311" t="s">
        <v>187</v>
      </c>
      <c r="I3" s="2311" t="s">
        <v>10</v>
      </c>
      <c r="J3" s="2311" t="s">
        <v>161</v>
      </c>
      <c r="K3" s="2313" t="s">
        <v>188</v>
      </c>
      <c r="L3" s="2313" t="s">
        <v>10</v>
      </c>
      <c r="M3" s="2313" t="s">
        <v>161</v>
      </c>
      <c r="N3" s="2314" t="s">
        <v>47</v>
      </c>
      <c r="O3" s="2315" t="s">
        <v>10</v>
      </c>
      <c r="P3" s="2315" t="s">
        <v>161</v>
      </c>
      <c r="Q3" s="2312" t="s">
        <v>1175</v>
      </c>
      <c r="R3" s="2311" t="s">
        <v>189</v>
      </c>
      <c r="S3" s="2311" t="s">
        <v>10</v>
      </c>
      <c r="T3" s="2311" t="s">
        <v>161</v>
      </c>
      <c r="U3" s="1943" t="s">
        <v>188</v>
      </c>
      <c r="V3" s="1943" t="s">
        <v>10</v>
      </c>
      <c r="W3" s="1943" t="s">
        <v>161</v>
      </c>
      <c r="X3" s="1262" t="s">
        <v>1176</v>
      </c>
      <c r="Y3" s="1262" t="s">
        <v>10</v>
      </c>
      <c r="Z3" s="1262" t="s">
        <v>161</v>
      </c>
      <c r="AB3" s="1924"/>
      <c r="AC3" s="1925" t="s">
        <v>1177</v>
      </c>
      <c r="AD3" s="1926"/>
      <c r="AE3" s="1926"/>
      <c r="AF3" s="1926"/>
      <c r="AG3" s="1926"/>
      <c r="AH3" s="1926"/>
      <c r="AI3" s="1926"/>
      <c r="AJ3" s="1926"/>
      <c r="AK3" s="1926"/>
      <c r="AL3" s="1926"/>
      <c r="AM3" s="1926"/>
      <c r="AN3" s="1926"/>
      <c r="AO3" s="1926"/>
      <c r="AP3" s="1926"/>
      <c r="AQ3" s="1944"/>
    </row>
    <row r="4" spans="1:47" ht="12" customHeight="1">
      <c r="B4" s="1861" t="s">
        <v>59</v>
      </c>
      <c r="C4" s="1862" t="s">
        <v>53</v>
      </c>
      <c r="D4" s="1863">
        <f>'R+RP+B'!$M$10</f>
        <v>35.774530485678795</v>
      </c>
      <c r="E4" s="1864">
        <f>+'Comparacion (Sin BM)'!R14</f>
        <v>28.318351668204937</v>
      </c>
      <c r="F4" s="1864">
        <f t="shared" ref="F4:F9" si="0">D4-E4</f>
        <v>7.4561788174738588</v>
      </c>
      <c r="G4" s="1866">
        <f t="shared" ref="G4:G9" si="1">F4/E4</f>
        <v>0.26329847530799083</v>
      </c>
      <c r="H4" s="1864">
        <f>+'TP sin BM'!M5</f>
        <v>28.864859795966947</v>
      </c>
      <c r="I4" s="1864">
        <f t="shared" ref="I4:I9" si="2">+D4-H4</f>
        <v>6.9096706897118487</v>
      </c>
      <c r="J4" s="1866">
        <f t="shared" ref="J4:J9" si="3">I4/H4</f>
        <v>0.2393800191150515</v>
      </c>
      <c r="K4" s="1864">
        <f>'BDGT ORI'!$G$15</f>
        <v>23.455271895543248</v>
      </c>
      <c r="L4" s="1864">
        <f t="shared" ref="L4:L9" si="4">+D4-K4</f>
        <v>12.319258590135547</v>
      </c>
      <c r="M4" s="1865">
        <f>L4/K4</f>
        <v>0.52522343995834631</v>
      </c>
      <c r="N4" s="2949">
        <f>+'TP sin BM'!J5</f>
        <v>29.514270813981621</v>
      </c>
      <c r="O4" s="1864">
        <f>D4-N4</f>
        <v>6.2602596716971739</v>
      </c>
      <c r="P4" s="1865">
        <f>O4/N4</f>
        <v>0.21210958289139023</v>
      </c>
      <c r="Q4" s="1863">
        <f>'R+RP+B'!$U$10</f>
        <v>69.24782651706704</v>
      </c>
      <c r="R4" s="1864">
        <f>'0+12'!$T$15</f>
        <v>70.975674202806275</v>
      </c>
      <c r="S4" s="1864">
        <f>Q4-R4</f>
        <v>-1.7278476857392349</v>
      </c>
      <c r="T4" s="1866">
        <f>S4/R4</f>
        <v>-2.4344223639243968E-2</v>
      </c>
      <c r="U4" s="1945">
        <f>'BDGT ORI'!$U$15</f>
        <v>75.347786205926568</v>
      </c>
      <c r="V4" s="1946">
        <f>Q4-U4</f>
        <v>-6.0999596888595278</v>
      </c>
      <c r="W4" s="1782">
        <f>V4/U4</f>
        <v>-8.0957384364130511E-2</v>
      </c>
      <c r="X4" s="1279">
        <f>BDGT!$T$7</f>
        <v>71.201971836811452</v>
      </c>
      <c r="Y4" s="1279">
        <f>Q4-X4</f>
        <v>-1.9541453197444127</v>
      </c>
      <c r="Z4" s="1280">
        <f t="shared" ref="Z4:Z9" si="5">Y4/X4</f>
        <v>-2.7445101158478293E-2</v>
      </c>
      <c r="AB4" s="1924"/>
      <c r="AC4" s="1927"/>
      <c r="AD4" s="1928"/>
      <c r="AE4" s="1916"/>
      <c r="AF4" s="1914"/>
      <c r="AG4" s="1916"/>
      <c r="AH4" s="1916"/>
      <c r="AI4" s="1914"/>
      <c r="AJ4" s="1916"/>
      <c r="AK4" s="1916"/>
      <c r="AL4" s="1914"/>
      <c r="AM4" s="1914"/>
      <c r="AN4" s="1914"/>
      <c r="AO4" s="1914"/>
      <c r="AP4" s="1928"/>
      <c r="AQ4" s="1947"/>
    </row>
    <row r="5" spans="1:47" ht="12" hidden="1" customHeight="1" outlineLevel="1">
      <c r="B5" s="1868" t="s">
        <v>61</v>
      </c>
      <c r="C5" s="1869" t="s">
        <v>53</v>
      </c>
      <c r="D5" s="1870">
        <f>'R+RP+B'!$M$11</f>
        <v>30.012663141192068</v>
      </c>
      <c r="E5" s="1871">
        <f>+'Comparacion (Sin BM)'!R15</f>
        <v>27.229795292946367</v>
      </c>
      <c r="F5" s="1871">
        <f t="shared" si="0"/>
        <v>2.7828678482457008</v>
      </c>
      <c r="G5" s="1873">
        <f t="shared" si="1"/>
        <v>0.10219936721179015</v>
      </c>
      <c r="H5" s="1871" t="e">
        <f>#REF!</f>
        <v>#REF!</v>
      </c>
      <c r="I5" s="1871" t="e">
        <f t="shared" si="2"/>
        <v>#REF!</v>
      </c>
      <c r="J5" s="1873" t="e">
        <f t="shared" si="3"/>
        <v>#REF!</v>
      </c>
      <c r="K5" s="1871" t="e">
        <f>#REF!</f>
        <v>#REF!</v>
      </c>
      <c r="L5" s="1871" t="e">
        <f t="shared" si="4"/>
        <v>#REF!</v>
      </c>
      <c r="M5" s="1872" t="e">
        <f t="shared" ref="M5:M11" si="6">L5/K5</f>
        <v>#REF!</v>
      </c>
      <c r="N5" s="2950">
        <f>+N4*Factores!$D$7</f>
        <v>28.392728523050319</v>
      </c>
      <c r="O5" s="1871"/>
      <c r="P5" s="1872"/>
      <c r="Q5" s="1870">
        <f>'R+RP+B'!$U$11</f>
        <v>66.124566055788577</v>
      </c>
      <c r="R5" s="1871" t="e">
        <f>#REF!</f>
        <v>#REF!</v>
      </c>
      <c r="S5" s="1871"/>
      <c r="T5" s="1873" t="e">
        <f t="shared" ref="T5:T32" si="7">S5/R5</f>
        <v>#REF!</v>
      </c>
      <c r="U5" s="1948" t="e">
        <f>#REF!</f>
        <v>#REF!</v>
      </c>
      <c r="V5" s="1949"/>
      <c r="W5" s="1784"/>
      <c r="X5" s="997" t="e">
        <f>#REF!</f>
        <v>#REF!</v>
      </c>
      <c r="Y5" s="997" t="e">
        <f>#REF!-X5</f>
        <v>#REF!</v>
      </c>
      <c r="Z5" s="999" t="e">
        <f t="shared" si="5"/>
        <v>#REF!</v>
      </c>
      <c r="AB5" s="1924"/>
      <c r="AC5" s="1918"/>
      <c r="AD5" s="1918"/>
      <c r="AE5" s="1916"/>
      <c r="AF5" s="1914"/>
      <c r="AG5" s="1928"/>
      <c r="AH5" s="1916"/>
      <c r="AI5" s="1914"/>
      <c r="AJ5" s="1916"/>
      <c r="AK5" s="1916"/>
      <c r="AL5" s="1914"/>
      <c r="AM5" s="1914"/>
      <c r="AN5" s="1914"/>
      <c r="AO5" s="1914"/>
      <c r="AP5" s="1916"/>
      <c r="AQ5" s="1950"/>
    </row>
    <row r="6" spans="1:47" ht="12" customHeight="1" collapsed="1">
      <c r="B6" s="1868" t="s">
        <v>63</v>
      </c>
      <c r="C6" s="1869" t="s">
        <v>53</v>
      </c>
      <c r="D6" s="1870">
        <f>'R+RP+B'!$M$11</f>
        <v>30.012663141192068</v>
      </c>
      <c r="E6" s="1871">
        <f>+'Comparacion (Sin BM)'!R16</f>
        <v>27.229795292946367</v>
      </c>
      <c r="F6" s="1871">
        <f t="shared" si="0"/>
        <v>2.7828678482457008</v>
      </c>
      <c r="G6" s="1873">
        <f t="shared" si="1"/>
        <v>0.10219936721179015</v>
      </c>
      <c r="H6" s="1871">
        <f>+'TP sin BM'!M6</f>
        <v>28.232331384020735</v>
      </c>
      <c r="I6" s="1871">
        <f t="shared" si="2"/>
        <v>1.7803317571713322</v>
      </c>
      <c r="J6" s="1873">
        <f t="shared" si="3"/>
        <v>6.306003329852472E-2</v>
      </c>
      <c r="K6" s="1871">
        <f>'BDGT ORI'!$G$16</f>
        <v>22.657792651094777</v>
      </c>
      <c r="L6" s="1871">
        <f t="shared" si="4"/>
        <v>7.3548704900972908</v>
      </c>
      <c r="M6" s="1872">
        <f t="shared" si="6"/>
        <v>0.32460666417749739</v>
      </c>
      <c r="N6" s="2950">
        <f>+'TP sin BM'!J6</f>
        <v>28.422384713002526</v>
      </c>
      <c r="O6" s="1871">
        <f t="shared" ref="O6:O32" si="8">D6-N6</f>
        <v>1.5902784281895421</v>
      </c>
      <c r="P6" s="1872">
        <f t="shared" ref="P6:P32" si="9">O6/N6</f>
        <v>5.595161856570148E-2</v>
      </c>
      <c r="Q6" s="1870">
        <f>'R+RP+B'!$U$11</f>
        <v>66.124566055788577</v>
      </c>
      <c r="R6" s="1871">
        <f>'0+12'!$T$16</f>
        <v>67.898280892432524</v>
      </c>
      <c r="S6" s="1871">
        <f t="shared" ref="S6:S32" si="10">Q6-R6</f>
        <v>-1.773714836643947</v>
      </c>
      <c r="T6" s="1873">
        <f t="shared" si="7"/>
        <v>-2.6123118484456843E-2</v>
      </c>
      <c r="U6" s="1948">
        <f>'BDGT ORI'!$U$16</f>
        <v>72.78596147492506</v>
      </c>
      <c r="V6" s="1949">
        <f t="shared" ref="V6:V32" si="11">Q6-U6</f>
        <v>-6.6613954191364826</v>
      </c>
      <c r="W6" s="1784">
        <f t="shared" ref="W6:W32" si="12">V6/U6</f>
        <v>-9.1520332824501463E-2</v>
      </c>
      <c r="X6" s="997">
        <f>BDGT!$T$8</f>
        <v>68.58901260981412</v>
      </c>
      <c r="Y6" s="997">
        <f t="shared" ref="Y6:Y32" si="13">Q6-X6</f>
        <v>-2.4644465540255425</v>
      </c>
      <c r="Z6" s="999">
        <f t="shared" si="5"/>
        <v>-3.5930631747757728E-2</v>
      </c>
      <c r="AB6" s="1924"/>
      <c r="AC6" s="1918"/>
      <c r="AD6" s="1918"/>
      <c r="AE6" s="1931"/>
      <c r="AF6" s="1914"/>
      <c r="AG6" s="1916"/>
      <c r="AH6" s="1916"/>
      <c r="AI6" s="1914"/>
      <c r="AJ6" s="1916"/>
      <c r="AK6" s="1916"/>
      <c r="AL6" s="1932"/>
      <c r="AM6" s="1932"/>
      <c r="AN6" s="1932"/>
      <c r="AO6" s="1932"/>
      <c r="AP6" s="1916"/>
      <c r="AQ6" s="1950"/>
    </row>
    <row r="7" spans="1:47" ht="12" customHeight="1">
      <c r="B7" s="1861" t="s">
        <v>66</v>
      </c>
      <c r="C7" s="1862" t="s">
        <v>53</v>
      </c>
      <c r="D7" s="1863">
        <f>'R+RP+B'!$M$12</f>
        <v>0.83457857628211296</v>
      </c>
      <c r="E7" s="1864">
        <f>+'Comparacion (Sin BM)'!R18</f>
        <v>0.80794675396342897</v>
      </c>
      <c r="F7" s="1864">
        <f t="shared" si="0"/>
        <v>2.6631822318683995E-2</v>
      </c>
      <c r="G7" s="1866">
        <f t="shared" si="1"/>
        <v>3.2962348308276587E-2</v>
      </c>
      <c r="H7" s="1864">
        <f>+'TP sin BM'!M7</f>
        <v>1.0136223971677061</v>
      </c>
      <c r="I7" s="1864">
        <f t="shared" si="2"/>
        <v>-0.17904382088559312</v>
      </c>
      <c r="J7" s="1866">
        <f t="shared" si="3"/>
        <v>-0.17663759343309965</v>
      </c>
      <c r="K7" s="1864">
        <f>'BDGT ORI'!$G$17</f>
        <v>0.91272777276420258</v>
      </c>
      <c r="L7" s="1864">
        <f t="shared" si="4"/>
        <v>-7.8149196482089622E-2</v>
      </c>
      <c r="M7" s="1865">
        <f t="shared" si="6"/>
        <v>-8.5621582704133378E-2</v>
      </c>
      <c r="N7" s="2949">
        <f>+'TP sin BM'!J7</f>
        <v>1.0603706209881529</v>
      </c>
      <c r="O7" s="1864">
        <f t="shared" si="8"/>
        <v>-0.22579204470603997</v>
      </c>
      <c r="P7" s="1865">
        <f t="shared" si="9"/>
        <v>-0.21293691114869417</v>
      </c>
      <c r="Q7" s="1863">
        <f>'R+RP+B'!$U$12</f>
        <v>2.3019281722102938</v>
      </c>
      <c r="R7" s="1864">
        <f>'0+12'!$T$17</f>
        <v>2.4060426499877794</v>
      </c>
      <c r="S7" s="1864">
        <f t="shared" si="10"/>
        <v>-0.10411447777748561</v>
      </c>
      <c r="T7" s="1866">
        <f t="shared" si="7"/>
        <v>-4.3272083218480945E-2</v>
      </c>
      <c r="U7" s="1945">
        <f>'BDGT ORI'!$U$17</f>
        <v>2.7478036662364831</v>
      </c>
      <c r="V7" s="1946">
        <f t="shared" si="11"/>
        <v>-0.44587549402618931</v>
      </c>
      <c r="W7" s="1782">
        <f t="shared" si="12"/>
        <v>-0.16226613986467259</v>
      </c>
      <c r="X7" s="1279">
        <f>'TP sin BM'!$W$7</f>
        <v>2.5089172333808136</v>
      </c>
      <c r="Y7" s="1279">
        <f t="shared" si="13"/>
        <v>-0.20698906117051985</v>
      </c>
      <c r="Z7" s="1280">
        <f t="shared" si="5"/>
        <v>-8.2501350947953814E-2</v>
      </c>
      <c r="AB7" s="1924"/>
      <c r="AC7" s="1918"/>
      <c r="AD7" s="1916"/>
      <c r="AE7" s="1913"/>
      <c r="AF7" s="1933"/>
      <c r="AG7" s="1916"/>
      <c r="AH7" s="1916"/>
      <c r="AI7" s="1914"/>
      <c r="AJ7" s="1916"/>
      <c r="AK7" s="1916"/>
      <c r="AL7" s="1932"/>
      <c r="AM7" s="1932"/>
      <c r="AN7" s="1932"/>
      <c r="AO7" s="1932"/>
      <c r="AP7" s="1928"/>
      <c r="AQ7" s="1947"/>
    </row>
    <row r="8" spans="1:47" ht="12" hidden="1" customHeight="1">
      <c r="B8" s="1868" t="s">
        <v>68</v>
      </c>
      <c r="C8" s="1869" t="s">
        <v>53</v>
      </c>
      <c r="D8" s="1870">
        <f>'R+RP+B'!$M$13</f>
        <v>0.83040568340070242</v>
      </c>
      <c r="E8" s="1871">
        <f>+'Comparacion (Sin BM)'!R19</f>
        <v>0.8767887836467676</v>
      </c>
      <c r="F8" s="1871">
        <f t="shared" si="0"/>
        <v>-4.6383100246065179E-2</v>
      </c>
      <c r="G8" s="1873">
        <f t="shared" si="1"/>
        <v>-5.2901110405572389E-2</v>
      </c>
      <c r="H8" s="1871" t="e">
        <f>#REF!</f>
        <v>#REF!</v>
      </c>
      <c r="I8" s="1871" t="e">
        <f t="shared" si="2"/>
        <v>#REF!</v>
      </c>
      <c r="J8" s="1873" t="e">
        <f t="shared" si="3"/>
        <v>#REF!</v>
      </c>
      <c r="K8" s="1871" t="e">
        <f>#REF!</f>
        <v>#REF!</v>
      </c>
      <c r="L8" s="1878" t="e">
        <f t="shared" si="4"/>
        <v>#REF!</v>
      </c>
      <c r="M8" s="1872" t="e">
        <f t="shared" si="6"/>
        <v>#REF!</v>
      </c>
      <c r="N8" s="2950">
        <f>+N7*Factores!$D$8</f>
        <v>1.0550687678832122</v>
      </c>
      <c r="O8" s="1871">
        <f t="shared" si="8"/>
        <v>-0.22466308448250982</v>
      </c>
      <c r="P8" s="1872">
        <f t="shared" si="9"/>
        <v>-0.2129369111486942</v>
      </c>
      <c r="Q8" s="1870">
        <f>'R+RP+B'!$U$13</f>
        <v>2.1888169452353146</v>
      </c>
      <c r="R8" s="1871" t="e">
        <f>#REF!</f>
        <v>#REF!</v>
      </c>
      <c r="S8" s="1871" t="e">
        <f t="shared" si="10"/>
        <v>#REF!</v>
      </c>
      <c r="T8" s="1873" t="e">
        <f t="shared" si="7"/>
        <v>#REF!</v>
      </c>
      <c r="U8" s="1951" t="e">
        <f>#REF!</f>
        <v>#REF!</v>
      </c>
      <c r="V8" s="1952" t="e">
        <f t="shared" si="11"/>
        <v>#REF!</v>
      </c>
      <c r="W8" s="1784" t="e">
        <f t="shared" si="12"/>
        <v>#REF!</v>
      </c>
      <c r="X8" s="997" t="e">
        <f>#REF!</f>
        <v>#REF!</v>
      </c>
      <c r="Y8" s="997" t="e">
        <f t="shared" si="13"/>
        <v>#REF!</v>
      </c>
      <c r="Z8" s="998" t="e">
        <f t="shared" si="5"/>
        <v>#REF!</v>
      </c>
      <c r="AB8" s="1924"/>
      <c r="AC8" s="1918"/>
      <c r="AD8" s="1916"/>
      <c r="AE8" s="1916"/>
      <c r="AF8" s="1914"/>
      <c r="AG8" s="1916"/>
      <c r="AH8" s="1916"/>
      <c r="AI8" s="1914"/>
      <c r="AJ8" s="1916"/>
      <c r="AK8" s="1916"/>
      <c r="AL8" s="1914"/>
      <c r="AM8" s="1914"/>
      <c r="AN8" s="1914"/>
      <c r="AO8" s="1914"/>
      <c r="AP8" s="1916"/>
      <c r="AQ8" s="1950"/>
    </row>
    <row r="9" spans="1:47" ht="12" customHeight="1">
      <c r="B9" s="1868" t="s">
        <v>69</v>
      </c>
      <c r="C9" s="1869" t="s">
        <v>53</v>
      </c>
      <c r="D9" s="1870">
        <f>'R+RP+B'!$M$13</f>
        <v>0.83040568340070242</v>
      </c>
      <c r="E9" s="1871">
        <f>+'Comparacion (Sin BM)'!R20</f>
        <v>0.8767887836467676</v>
      </c>
      <c r="F9" s="1871">
        <f t="shared" si="0"/>
        <v>-4.6383100246065179E-2</v>
      </c>
      <c r="G9" s="1873">
        <f t="shared" si="1"/>
        <v>-5.2901110405572389E-2</v>
      </c>
      <c r="H9" s="1871">
        <f>+'TP sin BM'!M8</f>
        <v>1.0085542851818676</v>
      </c>
      <c r="I9" s="1871">
        <f t="shared" si="2"/>
        <v>-0.17814860178116521</v>
      </c>
      <c r="J9" s="1873">
        <f t="shared" si="3"/>
        <v>-0.17663759343309968</v>
      </c>
      <c r="K9" s="1871">
        <f>'BDGT ORI'!$G$18</f>
        <v>0.90816413390038153</v>
      </c>
      <c r="L9" s="1871">
        <f t="shared" si="4"/>
        <v>-7.775845049967911E-2</v>
      </c>
      <c r="M9" s="1872">
        <f t="shared" si="6"/>
        <v>-8.5621582704133309E-2</v>
      </c>
      <c r="N9" s="2950">
        <f>+'TP sin BM'!J8</f>
        <v>1.0550687678832122</v>
      </c>
      <c r="O9" s="1871">
        <f t="shared" si="8"/>
        <v>-0.22466308448250982</v>
      </c>
      <c r="P9" s="1872">
        <f t="shared" si="9"/>
        <v>-0.2129369111486942</v>
      </c>
      <c r="Q9" s="1870">
        <f>'R+RP+B'!$U$13</f>
        <v>2.1888169452353146</v>
      </c>
      <c r="R9" s="1871">
        <f>'0+12'!$T$18</f>
        <v>2.3877798675943156</v>
      </c>
      <c r="S9" s="1871">
        <f t="shared" si="10"/>
        <v>-0.19896292235900104</v>
      </c>
      <c r="T9" s="1873">
        <f t="shared" si="7"/>
        <v>-8.3325487855568467E-2</v>
      </c>
      <c r="U9" s="1951">
        <f>'BDGT ORI'!$U$18</f>
        <v>2.7340646479053001</v>
      </c>
      <c r="V9" s="1952">
        <f t="shared" si="11"/>
        <v>-0.54524770266998557</v>
      </c>
      <c r="W9" s="1784">
        <f t="shared" si="12"/>
        <v>-0.19942750918041618</v>
      </c>
      <c r="X9" s="997">
        <f>BDGT!$T$10</f>
        <v>2.4963726472139101</v>
      </c>
      <c r="Y9" s="997">
        <f t="shared" si="13"/>
        <v>-0.3075557019785955</v>
      </c>
      <c r="Z9" s="998">
        <f t="shared" si="5"/>
        <v>-0.1232010382431664</v>
      </c>
      <c r="AB9" s="1934"/>
      <c r="AC9" s="1841"/>
      <c r="AD9" s="1841"/>
      <c r="AE9" s="1841"/>
      <c r="AF9" s="1841"/>
      <c r="AG9" s="1841"/>
      <c r="AH9" s="1841"/>
      <c r="AI9" s="1841"/>
      <c r="AJ9" s="1841"/>
      <c r="AK9" s="1841"/>
      <c r="AL9" s="1841"/>
      <c r="AM9" s="1841"/>
      <c r="AN9" s="1841"/>
      <c r="AO9" s="1841"/>
      <c r="AP9" s="1841"/>
      <c r="AQ9" s="1853"/>
    </row>
    <row r="10" spans="1:47" ht="12" customHeight="1">
      <c r="B10" s="1868"/>
      <c r="C10" s="1869"/>
      <c r="D10" s="1879"/>
      <c r="E10" s="1885"/>
      <c r="F10" s="1878"/>
      <c r="G10" s="1873"/>
      <c r="H10" s="1885"/>
      <c r="I10" s="1878"/>
      <c r="J10" s="1872"/>
      <c r="K10" s="1885"/>
      <c r="L10" s="1878"/>
      <c r="M10" s="1872"/>
      <c r="N10" s="2945"/>
      <c r="O10" s="1885"/>
      <c r="P10" s="1885"/>
      <c r="Q10" s="1879"/>
      <c r="R10" s="1885"/>
      <c r="S10" s="1878"/>
      <c r="T10" s="1873"/>
      <c r="U10" s="1952"/>
      <c r="V10" s="1952">
        <f t="shared" si="11"/>
        <v>0</v>
      </c>
      <c r="W10" s="1784" t="e">
        <f t="shared" si="12"/>
        <v>#DIV/0!</v>
      </c>
      <c r="X10" s="1009"/>
      <c r="Y10" s="1002"/>
      <c r="Z10" s="998"/>
      <c r="AB10" s="1934"/>
      <c r="AC10" s="1841"/>
      <c r="AD10" s="1841"/>
      <c r="AE10" s="1841"/>
      <c r="AF10" s="1841"/>
      <c r="AG10" s="1841"/>
      <c r="AH10" s="1841"/>
      <c r="AI10" s="1841"/>
      <c r="AJ10" s="1841"/>
      <c r="AK10" s="1841"/>
      <c r="AL10" s="1841"/>
      <c r="AM10" s="1841"/>
      <c r="AN10" s="1841"/>
      <c r="AO10" s="1841"/>
      <c r="AP10" s="1841"/>
      <c r="AQ10" s="1853"/>
    </row>
    <row r="11" spans="1:47" ht="12" hidden="1" customHeight="1">
      <c r="B11" s="1868" t="s">
        <v>118</v>
      </c>
      <c r="C11" s="1869" t="s">
        <v>53</v>
      </c>
      <c r="D11" s="1881" t="e">
        <f>'R+RP+B'!#REF!</f>
        <v>#REF!</v>
      </c>
      <c r="E11" s="1881" t="e">
        <f>#REF!</f>
        <v>#REF!</v>
      </c>
      <c r="F11" s="1881" t="e">
        <f t="shared" ref="F11:F17" si="14">D11-E11</f>
        <v>#REF!</v>
      </c>
      <c r="G11" s="1873" t="e">
        <f t="shared" ref="G11:G17" si="15">F11/E11</f>
        <v>#REF!</v>
      </c>
      <c r="H11" s="1881" t="e">
        <f>#REF!</f>
        <v>#REF!</v>
      </c>
      <c r="I11" s="1881" t="e">
        <f t="shared" ref="I11:I17" si="16">+D11-H11</f>
        <v>#REF!</v>
      </c>
      <c r="J11" s="1872" t="e">
        <f t="shared" ref="J11:J17" si="17">I11/H11</f>
        <v>#REF!</v>
      </c>
      <c r="K11" s="1881" t="e">
        <f>#REF!</f>
        <v>#REF!</v>
      </c>
      <c r="L11" s="1881" t="e">
        <f t="shared" ref="L11:L17" si="18">+D11-K11</f>
        <v>#REF!</v>
      </c>
      <c r="M11" s="1872" t="e">
        <f t="shared" si="6"/>
        <v>#REF!</v>
      </c>
      <c r="N11" s="2943" t="e">
        <f>+BDGT!#REF!</f>
        <v>#REF!</v>
      </c>
      <c r="O11" s="1881" t="e">
        <f t="shared" si="8"/>
        <v>#REF!</v>
      </c>
      <c r="P11" s="1872" t="e">
        <f t="shared" si="9"/>
        <v>#REF!</v>
      </c>
      <c r="Q11" s="1881" t="e">
        <f>'R+RP+B'!#REF!</f>
        <v>#REF!</v>
      </c>
      <c r="R11" s="1881" t="e">
        <f>#REF!</f>
        <v>#REF!</v>
      </c>
      <c r="S11" s="1881" t="e">
        <f t="shared" si="10"/>
        <v>#REF!</v>
      </c>
      <c r="T11" s="1873" t="e">
        <f t="shared" si="7"/>
        <v>#REF!</v>
      </c>
      <c r="U11" s="1949" t="e">
        <f>#REF!</f>
        <v>#REF!</v>
      </c>
      <c r="V11" s="1949" t="e">
        <f t="shared" si="11"/>
        <v>#REF!</v>
      </c>
      <c r="W11" s="1784" t="e">
        <f t="shared" si="12"/>
        <v>#REF!</v>
      </c>
      <c r="X11" s="1006" t="e">
        <f>#REF!</f>
        <v>#REF!</v>
      </c>
      <c r="Y11" s="1006" t="e">
        <f t="shared" si="13"/>
        <v>#REF!</v>
      </c>
      <c r="Z11" s="999" t="e">
        <f t="shared" ref="Z11:Z17" si="19">Y11/X11</f>
        <v>#REF!</v>
      </c>
      <c r="AB11" s="1934"/>
      <c r="AC11" s="1841"/>
      <c r="AD11" s="1841"/>
      <c r="AE11" s="1841"/>
      <c r="AF11" s="1841"/>
      <c r="AG11" s="1841"/>
      <c r="AH11" s="1841"/>
      <c r="AI11" s="1841"/>
      <c r="AJ11" s="1841"/>
      <c r="AK11" s="1841"/>
      <c r="AL11" s="1841"/>
      <c r="AM11" s="1841"/>
      <c r="AN11" s="1841"/>
      <c r="AO11" s="1841"/>
      <c r="AP11" s="1841"/>
      <c r="AQ11" s="1853"/>
    </row>
    <row r="12" spans="1:47" ht="12" customHeight="1">
      <c r="B12" s="1868" t="s">
        <v>78</v>
      </c>
      <c r="C12" s="1869" t="s">
        <v>53</v>
      </c>
      <c r="D12" s="1881">
        <f>'R+RP+B'!$M$15</f>
        <v>5718.2081153361341</v>
      </c>
      <c r="E12" s="1881">
        <f>+'Comparacion (Sin BM)'!R27</f>
        <v>5857.198775683828</v>
      </c>
      <c r="F12" s="1881">
        <f t="shared" si="14"/>
        <v>-138.99066034769385</v>
      </c>
      <c r="G12" s="1873">
        <f t="shared" si="15"/>
        <v>-2.372988619145279E-2</v>
      </c>
      <c r="H12" s="1881">
        <f>+'TP sin BM'!M10</f>
        <v>5652.5026555182458</v>
      </c>
      <c r="I12" s="1881">
        <f t="shared" si="16"/>
        <v>65.705459817888368</v>
      </c>
      <c r="J12" s="1873">
        <f t="shared" si="17"/>
        <v>1.1624136037113318E-2</v>
      </c>
      <c r="K12" s="1881">
        <f>'BDGT ORI'!$G$20</f>
        <v>5222.8705451188425</v>
      </c>
      <c r="L12" s="1881">
        <f t="shared" si="18"/>
        <v>495.33757021729161</v>
      </c>
      <c r="M12" s="1872">
        <f t="shared" ref="M12:M17" si="20">L12/K12</f>
        <v>9.4840101039881428E-2</v>
      </c>
      <c r="N12" s="2943">
        <f>+'TP sin BM'!J10</f>
        <v>5835.7550737654183</v>
      </c>
      <c r="O12" s="1881">
        <f t="shared" si="8"/>
        <v>-117.54695842928413</v>
      </c>
      <c r="P12" s="1872">
        <f t="shared" si="9"/>
        <v>-2.0142544870965434E-2</v>
      </c>
      <c r="Q12" s="1881">
        <f>'R+RP+B'!$U$15</f>
        <v>14929.683820629605</v>
      </c>
      <c r="R12" s="1881">
        <f>'0+12'!$T$20</f>
        <v>14823.126246610424</v>
      </c>
      <c r="S12" s="1881">
        <f t="shared" si="10"/>
        <v>106.55757401918163</v>
      </c>
      <c r="T12" s="1873">
        <f t="shared" si="7"/>
        <v>7.1886032842463279E-3</v>
      </c>
      <c r="U12" s="1952">
        <f>'BDGT ORI'!$U$20</f>
        <v>15946.360231774815</v>
      </c>
      <c r="V12" s="1952">
        <f t="shared" si="11"/>
        <v>-1016.6764111452103</v>
      </c>
      <c r="W12" s="1784">
        <f t="shared" si="12"/>
        <v>-6.3756016819397729E-2</v>
      </c>
      <c r="X12" s="1006">
        <f>BDGT!$T$12</f>
        <v>15189.938313137327</v>
      </c>
      <c r="Y12" s="1006">
        <f t="shared" si="13"/>
        <v>-260.25449250772181</v>
      </c>
      <c r="Z12" s="998">
        <f t="shared" si="19"/>
        <v>-1.7133347558273847E-2</v>
      </c>
      <c r="AB12" s="1934"/>
      <c r="AC12" s="1841"/>
      <c r="AD12" s="1841"/>
      <c r="AE12" s="1841"/>
      <c r="AF12" s="1841"/>
      <c r="AG12" s="1841"/>
      <c r="AH12" s="1841"/>
      <c r="AI12" s="1841"/>
      <c r="AJ12" s="1841"/>
      <c r="AK12" s="1841"/>
      <c r="AL12" s="1841"/>
      <c r="AM12" s="1841"/>
      <c r="AN12" s="1841"/>
      <c r="AO12" s="1841"/>
      <c r="AP12" s="1841"/>
      <c r="AQ12" s="1853"/>
    </row>
    <row r="13" spans="1:47" ht="12" customHeight="1">
      <c r="B13" s="1868" t="s">
        <v>79</v>
      </c>
      <c r="C13" s="1869" t="s">
        <v>75</v>
      </c>
      <c r="D13" s="1881">
        <f>'R+RP+B'!$M$16</f>
        <v>184.45832630116561</v>
      </c>
      <c r="E13" s="1881">
        <f>+'Comparacion (Sin BM)'!R28</f>
        <v>188.94189598980088</v>
      </c>
      <c r="F13" s="1881">
        <f t="shared" si="14"/>
        <v>-4.4835696886352707</v>
      </c>
      <c r="G13" s="1873">
        <f t="shared" si="15"/>
        <v>-2.3729886191452713E-2</v>
      </c>
      <c r="H13" s="1881">
        <f>+'TP sin BM'!M11</f>
        <v>182.33879533929826</v>
      </c>
      <c r="I13" s="1881">
        <f t="shared" si="16"/>
        <v>2.1195309618673548</v>
      </c>
      <c r="J13" s="1873">
        <f t="shared" si="17"/>
        <v>1.1624136037113252E-2</v>
      </c>
      <c r="K13" s="1881">
        <f>'BDGT ORI'!$G$21</f>
        <v>186.53109089710151</v>
      </c>
      <c r="L13" s="1881">
        <f t="shared" si="18"/>
        <v>-2.0727645959358938</v>
      </c>
      <c r="M13" s="1872">
        <f t="shared" si="20"/>
        <v>-1.1112166802687702E-2</v>
      </c>
      <c r="N13" s="2943">
        <f>+'TP sin BM'!J11</f>
        <v>188.25016366985221</v>
      </c>
      <c r="O13" s="1881">
        <f t="shared" si="8"/>
        <v>-3.7918373686866005</v>
      </c>
      <c r="P13" s="1872">
        <f t="shared" si="9"/>
        <v>-2.0142544870965517E-2</v>
      </c>
      <c r="Q13" s="1881">
        <f>'R+RP+B'!$U$16</f>
        <v>165.8853757847734</v>
      </c>
      <c r="R13" s="1881">
        <f>'0+12'!$T$21</f>
        <v>165.62152230849634</v>
      </c>
      <c r="S13" s="1881">
        <f t="shared" si="10"/>
        <v>0.26385347627706324</v>
      </c>
      <c r="T13" s="1873">
        <f t="shared" si="7"/>
        <v>1.5931110437784428E-3</v>
      </c>
      <c r="U13" s="1952">
        <f>'BDGT ORI'!$U$21</f>
        <v>175.23472782170126</v>
      </c>
      <c r="V13" s="1952">
        <f t="shared" si="11"/>
        <v>-9.3493520369278542</v>
      </c>
      <c r="W13" s="1784">
        <f t="shared" si="12"/>
        <v>-5.3353305895168686E-2</v>
      </c>
      <c r="X13" s="1006">
        <f>BDGT!$T$13</f>
        <v>168.77709236819251</v>
      </c>
      <c r="Y13" s="1006">
        <f t="shared" si="13"/>
        <v>-2.891716583419111</v>
      </c>
      <c r="Z13" s="998">
        <f t="shared" si="19"/>
        <v>-1.7133347558273729E-2</v>
      </c>
      <c r="AB13" s="1934"/>
      <c r="AC13" s="1841"/>
      <c r="AD13" s="1841"/>
      <c r="AE13" s="1841"/>
      <c r="AF13" s="1841"/>
      <c r="AG13" s="1841"/>
      <c r="AH13" s="1841"/>
      <c r="AI13" s="1841"/>
      <c r="AJ13" s="1841"/>
      <c r="AK13" s="1841"/>
      <c r="AL13" s="1841"/>
      <c r="AM13" s="1841"/>
      <c r="AN13" s="1841"/>
      <c r="AO13" s="1841"/>
      <c r="AP13" s="1841"/>
      <c r="AQ13" s="1853"/>
    </row>
    <row r="14" spans="1:47" ht="12" customHeight="1">
      <c r="B14" s="1868" t="s">
        <v>80</v>
      </c>
      <c r="C14" s="1869" t="s">
        <v>81</v>
      </c>
      <c r="D14" s="1881">
        <f>'R+RP+B'!$M$17</f>
        <v>8482.9059760188811</v>
      </c>
      <c r="E14" s="1881">
        <f>+'Comparacion (Sin BM)'!R29</f>
        <v>8502.7681772494343</v>
      </c>
      <c r="F14" s="1881">
        <f t="shared" si="14"/>
        <v>-19.862201230553183</v>
      </c>
      <c r="G14" s="1873">
        <f t="shared" si="15"/>
        <v>-2.3359688064526793E-3</v>
      </c>
      <c r="H14" s="1881">
        <f>+'TP sin BM'!M12</f>
        <v>8052.7227724777731</v>
      </c>
      <c r="I14" s="1881">
        <f t="shared" si="16"/>
        <v>430.18320354110801</v>
      </c>
      <c r="J14" s="1873">
        <f t="shared" si="17"/>
        <v>5.3420838602735519E-2</v>
      </c>
      <c r="K14" s="1881">
        <f>'BDGT ORI'!$G$22</f>
        <v>8684.4808664178126</v>
      </c>
      <c r="L14" s="1881">
        <f t="shared" si="18"/>
        <v>-201.57489039893153</v>
      </c>
      <c r="M14" s="1872">
        <f t="shared" si="20"/>
        <v>-2.3210931487960943E-2</v>
      </c>
      <c r="N14" s="2943">
        <f>+'TP sin BM'!J12</f>
        <v>8256.2174112377379</v>
      </c>
      <c r="O14" s="1881">
        <f t="shared" si="8"/>
        <v>226.68856478114321</v>
      </c>
      <c r="P14" s="1872">
        <f t="shared" si="9"/>
        <v>2.7456709712197248E-2</v>
      </c>
      <c r="Q14" s="1881">
        <f>'R+RP+B'!$U$17</f>
        <v>8426.8957127773465</v>
      </c>
      <c r="R14" s="1881">
        <f>'0+12'!$T$22</f>
        <v>8223.3351187254375</v>
      </c>
      <c r="S14" s="1881">
        <f t="shared" si="10"/>
        <v>203.56059405190899</v>
      </c>
      <c r="T14" s="1873">
        <f>S14/R14</f>
        <v>2.4754019034002293E-2</v>
      </c>
      <c r="U14" s="1952">
        <f>'BDGT ORI'!$U$22</f>
        <v>8685.5195255691488</v>
      </c>
      <c r="V14" s="1952">
        <f t="shared" si="11"/>
        <v>-258.62381279180227</v>
      </c>
      <c r="W14" s="1784">
        <f t="shared" si="12"/>
        <v>-2.9776435598405388E-2</v>
      </c>
      <c r="X14" s="1006">
        <f>BDGT!$T$14</f>
        <v>8151.9777351096309</v>
      </c>
      <c r="Y14" s="1006">
        <f t="shared" si="13"/>
        <v>274.9179776677156</v>
      </c>
      <c r="Z14" s="998">
        <f t="shared" si="19"/>
        <v>3.3724083480217992E-2</v>
      </c>
      <c r="AB14" s="1934"/>
      <c r="AC14" s="1841"/>
      <c r="AD14" s="1841"/>
      <c r="AE14" s="1841"/>
      <c r="AF14" s="1841"/>
      <c r="AG14" s="1841"/>
      <c r="AH14" s="1841"/>
      <c r="AI14" s="1841"/>
      <c r="AJ14" s="1841"/>
      <c r="AK14" s="1841"/>
      <c r="AL14" s="1841"/>
      <c r="AM14" s="1841"/>
      <c r="AN14" s="1841"/>
      <c r="AO14" s="1841"/>
      <c r="AP14" s="1841"/>
      <c r="AQ14" s="1853"/>
      <c r="AR14" s="1399"/>
      <c r="AS14" s="1953"/>
      <c r="AT14" s="4486" t="s">
        <v>1178</v>
      </c>
      <c r="AU14" s="4487"/>
    </row>
    <row r="15" spans="1:47" ht="12" hidden="1" customHeight="1" outlineLevel="1">
      <c r="B15" s="1868" t="s">
        <v>82</v>
      </c>
      <c r="C15" s="1869" t="s">
        <v>48</v>
      </c>
      <c r="D15" s="1910">
        <f>'R+RP+B'!$M$18</f>
        <v>0</v>
      </c>
      <c r="E15" s="1910">
        <f>+'Comparacion (Sin BM)'!R30</f>
        <v>73.985882319413648</v>
      </c>
      <c r="F15" s="1910">
        <f t="shared" si="14"/>
        <v>-73.985882319413648</v>
      </c>
      <c r="G15" s="1873">
        <f t="shared" si="15"/>
        <v>-1</v>
      </c>
      <c r="H15" s="1910"/>
      <c r="I15" s="1910">
        <f t="shared" si="16"/>
        <v>0</v>
      </c>
      <c r="J15" s="1873" t="e">
        <f t="shared" si="17"/>
        <v>#DIV/0!</v>
      </c>
      <c r="K15" s="1875">
        <f>'BDGT ORI'!$G$23</f>
        <v>31.029228514158781</v>
      </c>
      <c r="L15" s="1881">
        <f t="shared" si="18"/>
        <v>-31.029228514158781</v>
      </c>
      <c r="M15" s="1872">
        <f t="shared" si="20"/>
        <v>-1</v>
      </c>
      <c r="N15" s="2947">
        <f>+BDGT!$L$17</f>
        <v>0</v>
      </c>
      <c r="O15" s="1875">
        <f t="shared" si="8"/>
        <v>0</v>
      </c>
      <c r="P15" s="1872" t="e">
        <f t="shared" si="9"/>
        <v>#DIV/0!</v>
      </c>
      <c r="Q15" s="1910">
        <f>'R+RP+B'!$U$18</f>
        <v>0</v>
      </c>
      <c r="R15" s="1910">
        <f>'0+12'!$T$23</f>
        <v>0</v>
      </c>
      <c r="S15" s="1878">
        <f t="shared" si="10"/>
        <v>0</v>
      </c>
      <c r="T15" s="1873" t="e">
        <f t="shared" si="7"/>
        <v>#DIV/0!</v>
      </c>
      <c r="U15" s="1952">
        <f>'BDGT ORI'!$U$23</f>
        <v>34.170972947338875</v>
      </c>
      <c r="V15" s="1952">
        <f t="shared" si="11"/>
        <v>-34.170972947338875</v>
      </c>
      <c r="W15" s="1784">
        <f t="shared" si="12"/>
        <v>-1</v>
      </c>
      <c r="X15" s="1002">
        <f>BDGT!$T$17</f>
        <v>0</v>
      </c>
      <c r="Y15" s="1002">
        <f t="shared" si="13"/>
        <v>0</v>
      </c>
      <c r="Z15" s="998" t="e">
        <f t="shared" si="19"/>
        <v>#DIV/0!</v>
      </c>
      <c r="AB15" s="1934"/>
      <c r="AC15" s="1841"/>
      <c r="AD15" s="1841"/>
      <c r="AE15" s="1841"/>
      <c r="AF15" s="1841"/>
      <c r="AG15" s="1841"/>
      <c r="AI15" s="1841"/>
      <c r="AJ15" s="1841"/>
      <c r="AK15" s="1841"/>
      <c r="AL15" s="1841"/>
      <c r="AM15" s="1841"/>
      <c r="AN15" s="1841"/>
      <c r="AO15" s="1841"/>
      <c r="AP15" s="1841"/>
      <c r="AQ15" s="1853"/>
      <c r="AR15" s="1399"/>
      <c r="AS15" s="1954" t="s">
        <v>1179</v>
      </c>
      <c r="AT15" s="1821">
        <f>BDGT!J5</f>
        <v>30</v>
      </c>
      <c r="AU15" s="1955" t="s">
        <v>1180</v>
      </c>
    </row>
    <row r="16" spans="1:47" ht="12" customHeight="1" collapsed="1">
      <c r="B16" s="1868" t="s">
        <v>83</v>
      </c>
      <c r="C16" s="1869" t="s">
        <v>84</v>
      </c>
      <c r="D16" s="1887">
        <f>'R+RP+B'!$M$20</f>
        <v>4.1248689581482569</v>
      </c>
      <c r="E16" s="1887">
        <f>+'Comparacion (Sin BM)'!R31</f>
        <v>4.202866572472935</v>
      </c>
      <c r="F16" s="1878">
        <f t="shared" si="14"/>
        <v>-7.7997614324678111E-2</v>
      </c>
      <c r="G16" s="1873">
        <f t="shared" si="15"/>
        <v>-1.8558194265678271E-2</v>
      </c>
      <c r="H16" s="1885">
        <f>+'TP sin BM'!M15</f>
        <v>4.1562992310862015</v>
      </c>
      <c r="I16" s="1878">
        <f t="shared" si="16"/>
        <v>-3.1430272937944537E-2</v>
      </c>
      <c r="J16" s="1873">
        <f t="shared" si="17"/>
        <v>-7.5620813590292421E-3</v>
      </c>
      <c r="K16" s="1885">
        <f>'BDGT ORI'!$G$60</f>
        <v>4.048177915140915</v>
      </c>
      <c r="L16" s="1878">
        <f t="shared" si="18"/>
        <v>7.6691043007341975E-2</v>
      </c>
      <c r="M16" s="1872">
        <f t="shared" si="20"/>
        <v>1.8944583122323663E-2</v>
      </c>
      <c r="N16" s="2944">
        <f>+'TP sin BM'!J15</f>
        <v>4.1504745365351701</v>
      </c>
      <c r="O16" s="1885">
        <f t="shared" si="8"/>
        <v>-2.560557838691313E-2</v>
      </c>
      <c r="P16" s="1872">
        <f t="shared" si="9"/>
        <v>-6.1693134511526847E-3</v>
      </c>
      <c r="Q16" s="1887">
        <f>'R+RP+B'!$U$20</f>
        <v>4.6985318387907373</v>
      </c>
      <c r="R16" s="1878">
        <f>'0+12'!$T$64</f>
        <v>4.2460434358007078</v>
      </c>
      <c r="S16" s="1878">
        <f t="shared" si="10"/>
        <v>0.45248840299002957</v>
      </c>
      <c r="T16" s="1873">
        <f t="shared" si="7"/>
        <v>0.10656706880924795</v>
      </c>
      <c r="U16" s="1952">
        <f>'BDGT ORI'!$U$60</f>
        <v>4.0520358123767339</v>
      </c>
      <c r="V16" s="1952">
        <f t="shared" si="11"/>
        <v>0.64649602641400339</v>
      </c>
      <c r="W16" s="1784">
        <f t="shared" si="12"/>
        <v>0.15954844832301696</v>
      </c>
      <c r="X16" s="1002">
        <f>BDGT!$T$19</f>
        <v>4.1523938558931004</v>
      </c>
      <c r="Y16" s="1002">
        <f t="shared" si="13"/>
        <v>0.54613798289763693</v>
      </c>
      <c r="Z16" s="998">
        <f t="shared" si="19"/>
        <v>0.13152364680497608</v>
      </c>
      <c r="AB16" s="1934"/>
      <c r="AC16" s="1841"/>
      <c r="AD16" s="1841"/>
      <c r="AE16" s="1841"/>
      <c r="AF16" s="1841"/>
      <c r="AG16" s="1841"/>
      <c r="AH16" s="1841"/>
      <c r="AI16" s="1841"/>
      <c r="AJ16" s="1841"/>
      <c r="AK16" s="1841"/>
      <c r="AL16" s="1841"/>
      <c r="AM16" s="1841"/>
      <c r="AN16" s="1841"/>
      <c r="AO16" s="1841"/>
      <c r="AP16" s="1841"/>
      <c r="AQ16" s="1853"/>
      <c r="AR16" s="1399"/>
      <c r="AS16" s="1954" t="s">
        <v>1181</v>
      </c>
      <c r="AT16" s="1399">
        <f>BDGT!T5</f>
        <v>90</v>
      </c>
      <c r="AU16" s="1955" t="s">
        <v>1182</v>
      </c>
    </row>
    <row r="17" spans="2:47" ht="12" customHeight="1">
      <c r="B17" s="1868" t="s">
        <v>85</v>
      </c>
      <c r="C17" s="1869" t="s">
        <v>48</v>
      </c>
      <c r="D17" s="1887">
        <f>'R+RP+B'!$M$21</f>
        <v>0.91154292765382017</v>
      </c>
      <c r="E17" s="1887">
        <f>+'Comparacion (Sin BM)'!R32</f>
        <v>92.650688634835248</v>
      </c>
      <c r="F17" s="1878">
        <f t="shared" si="14"/>
        <v>-91.739145707181422</v>
      </c>
      <c r="G17" s="1873">
        <f t="shared" si="15"/>
        <v>-0.99016150941687553</v>
      </c>
      <c r="H17" s="1878">
        <f>+'TP sin BM'!M16</f>
        <v>94.409794889038338</v>
      </c>
      <c r="I17" s="1878">
        <f t="shared" si="16"/>
        <v>-93.498251961384511</v>
      </c>
      <c r="J17" s="1873">
        <f t="shared" si="17"/>
        <v>-0.99034482673407798</v>
      </c>
      <c r="K17" s="1878">
        <f>'BDGT ORI'!$G$25</f>
        <v>89.561092330603131</v>
      </c>
      <c r="L17" s="1878">
        <f t="shared" si="18"/>
        <v>-88.649549402949305</v>
      </c>
      <c r="M17" s="1872">
        <f t="shared" si="20"/>
        <v>-0.98982211020507671</v>
      </c>
      <c r="N17" s="2951">
        <f>+'TP sin BM'!J16</f>
        <v>95.068132481506382</v>
      </c>
      <c r="O17" s="1878">
        <f t="shared" si="8"/>
        <v>-94.156589553852555</v>
      </c>
      <c r="P17" s="1872">
        <f t="shared" si="9"/>
        <v>-0.99041168787205169</v>
      </c>
      <c r="Q17" s="1887">
        <f>Q12*100000/($AT$16*24*Q14)</f>
        <v>82.021789438057056</v>
      </c>
      <c r="R17" s="1887">
        <f t="shared" ref="R17:W17" si="21">R12*100000/($AT$16*24*R14)</f>
        <v>83.452253233338709</v>
      </c>
      <c r="S17" s="1878">
        <f t="shared" si="10"/>
        <v>-1.4304637952816535</v>
      </c>
      <c r="T17" s="1873">
        <f>T12*100000/($AT$16*24*T14)/100</f>
        <v>0.13444512066782063</v>
      </c>
      <c r="U17" s="1011">
        <f t="shared" si="21"/>
        <v>84.998648148148177</v>
      </c>
      <c r="V17" s="1011">
        <f t="shared" si="21"/>
        <v>181.99543135544462</v>
      </c>
      <c r="W17" s="1011">
        <f t="shared" si="21"/>
        <v>99.127628476141624</v>
      </c>
      <c r="X17" s="1011">
        <f>X12*100000/($AT$16*24*X14)</f>
        <v>86.265923156132303</v>
      </c>
      <c r="Y17" s="1002">
        <f t="shared" si="13"/>
        <v>-4.244133718075247</v>
      </c>
      <c r="Z17" s="998">
        <f t="shared" si="19"/>
        <v>-4.9198264654211239E-2</v>
      </c>
      <c r="AB17" s="1934"/>
      <c r="AC17" s="1841"/>
      <c r="AD17" s="1841"/>
      <c r="AE17" s="1841"/>
      <c r="AF17" s="1841"/>
      <c r="AG17" s="1841"/>
      <c r="AH17" s="1841"/>
      <c r="AI17" s="1841"/>
      <c r="AJ17" s="1841"/>
      <c r="AK17" s="1841"/>
      <c r="AL17" s="1841"/>
      <c r="AM17" s="1841"/>
      <c r="AN17" s="1841"/>
      <c r="AO17" s="1841"/>
      <c r="AP17" s="1841"/>
      <c r="AQ17" s="1853"/>
      <c r="AR17" s="1399"/>
      <c r="AS17" s="1954" t="s">
        <v>1144</v>
      </c>
      <c r="AT17" s="1821">
        <f>+'TP sin BM'!E2</f>
        <v>14.5</v>
      </c>
      <c r="AU17" s="1955" t="s">
        <v>1180</v>
      </c>
    </row>
    <row r="18" spans="2:47" ht="12" customHeight="1">
      <c r="B18" s="1868"/>
      <c r="C18" s="1869"/>
      <c r="D18" s="1887"/>
      <c r="E18" s="1887"/>
      <c r="F18" s="1878"/>
      <c r="G18" s="1882"/>
      <c r="H18" s="1878"/>
      <c r="I18" s="1875"/>
      <c r="J18" s="1873"/>
      <c r="K18" s="1878"/>
      <c r="L18" s="1875"/>
      <c r="M18" s="1872"/>
      <c r="N18" s="2951"/>
      <c r="O18" s="1878"/>
      <c r="P18" s="1878"/>
      <c r="Q18" s="1887"/>
      <c r="R18" s="1878"/>
      <c r="S18" s="1878"/>
      <c r="T18" s="1873"/>
      <c r="U18" s="1952"/>
      <c r="V18" s="1952">
        <f t="shared" si="11"/>
        <v>0</v>
      </c>
      <c r="W18" s="1784" t="e">
        <f t="shared" si="12"/>
        <v>#DIV/0!</v>
      </c>
      <c r="X18" s="1002"/>
      <c r="Y18" s="1002"/>
      <c r="Z18" s="998"/>
      <c r="AB18" s="1934"/>
      <c r="AC18" s="1956"/>
      <c r="AD18" s="1956" t="s">
        <v>120</v>
      </c>
      <c r="AE18" s="1956" t="s">
        <v>24</v>
      </c>
      <c r="AF18" s="1956" t="s">
        <v>25</v>
      </c>
      <c r="AG18" s="1956" t="s">
        <v>28</v>
      </c>
      <c r="AH18" s="1956" t="s">
        <v>29</v>
      </c>
      <c r="AI18" s="1841"/>
      <c r="AJ18" s="1956"/>
      <c r="AK18" s="1956" t="s">
        <v>22</v>
      </c>
      <c r="AL18" s="1956" t="s">
        <v>23</v>
      </c>
      <c r="AM18" s="1956" t="s">
        <v>1183</v>
      </c>
      <c r="AN18" s="1956" t="s">
        <v>25</v>
      </c>
      <c r="AO18" s="1956" t="s">
        <v>28</v>
      </c>
      <c r="AP18" s="1956" t="s">
        <v>29</v>
      </c>
      <c r="AQ18" s="1957"/>
      <c r="AR18" s="1399"/>
      <c r="AS18" s="1958" t="s">
        <v>1184</v>
      </c>
      <c r="AT18" s="1959">
        <f>'R+RP+B'!$U$6</f>
        <v>90</v>
      </c>
      <c r="AU18" s="1960" t="s">
        <v>1182</v>
      </c>
    </row>
    <row r="19" spans="2:47" ht="12" customHeight="1">
      <c r="B19" s="1868" t="s">
        <v>89</v>
      </c>
      <c r="C19" s="1869" t="s">
        <v>48</v>
      </c>
      <c r="D19" s="1870">
        <f>'R+RP+B'!$M$29</f>
        <v>0.6886811649345963</v>
      </c>
      <c r="E19" s="1870">
        <f>+'Comparacion (Sin BM)'!R34</f>
        <v>0.5354493276828427</v>
      </c>
      <c r="F19" s="1871">
        <f>D19-E19</f>
        <v>0.1532318372517536</v>
      </c>
      <c r="G19" s="1873">
        <f>F19/E19</f>
        <v>0.28617430133840016</v>
      </c>
      <c r="H19" s="1870">
        <f>+'TP sin BM'!M20</f>
        <v>0.56467653298977216</v>
      </c>
      <c r="I19" s="1878">
        <f>+D19-H19</f>
        <v>0.12400463194482414</v>
      </c>
      <c r="J19" s="1873">
        <f>I19/H19</f>
        <v>0.21960294912250267</v>
      </c>
      <c r="K19" s="1885">
        <f>'BDGT ORI'!$G$33</f>
        <v>0.49938371274346111</v>
      </c>
      <c r="L19" s="1878">
        <f>+D19-K19</f>
        <v>0.1892974521911352</v>
      </c>
      <c r="M19" s="1872">
        <f>L19/K19</f>
        <v>0.37906212669851203</v>
      </c>
      <c r="N19" s="2942">
        <f>+'TP sin BM'!J20</f>
        <v>0.56048276877845449</v>
      </c>
      <c r="O19" s="1871">
        <f t="shared" si="8"/>
        <v>0.12819839615614181</v>
      </c>
      <c r="P19" s="1872">
        <f t="shared" si="9"/>
        <v>0.22872852351115827</v>
      </c>
      <c r="Q19" s="1870">
        <f>'R+RP+B'!$U$29</f>
        <v>0.51253836495611338</v>
      </c>
      <c r="R19" s="1870">
        <f>'0+12'!$T$33</f>
        <v>0.53035654056792547</v>
      </c>
      <c r="S19" s="1878">
        <f t="shared" si="10"/>
        <v>-1.7818175611812093E-2</v>
      </c>
      <c r="T19" s="1873">
        <f t="shared" si="7"/>
        <v>-3.359659822943209E-2</v>
      </c>
      <c r="U19" s="1952">
        <f>'BDGT ORI'!$U$33</f>
        <v>0.52661481339809368</v>
      </c>
      <c r="V19" s="1952">
        <f t="shared" si="11"/>
        <v>-1.4076448441980305E-2</v>
      </c>
      <c r="W19" s="1784">
        <f t="shared" si="12"/>
        <v>-2.6730065474514546E-2</v>
      </c>
      <c r="X19" s="996">
        <f>BDGT!$T$29</f>
        <v>0.52083855986685346</v>
      </c>
      <c r="Y19" s="997">
        <f t="shared" si="13"/>
        <v>-8.3001949107400774E-3</v>
      </c>
      <c r="Z19" s="998">
        <f>Y19/X19</f>
        <v>-1.5936214309597064E-2</v>
      </c>
      <c r="AB19" s="1934"/>
      <c r="AC19" s="1843" t="s">
        <v>174</v>
      </c>
      <c r="AD19" s="1961">
        <f>+$E$12</f>
        <v>5857.198775683828</v>
      </c>
      <c r="AE19" s="1962">
        <f>+$E$19</f>
        <v>0.5354493276828427</v>
      </c>
      <c r="AF19" s="1962">
        <f>+$E$20</f>
        <v>90.294153352101702</v>
      </c>
      <c r="AG19" s="1908">
        <f>+AD19*AE19*AF19/10</f>
        <v>28318.35166820493</v>
      </c>
      <c r="AH19" s="1908">
        <f>+AG19</f>
        <v>28318.35166820493</v>
      </c>
      <c r="AI19" s="1841"/>
      <c r="AJ19" s="1843" t="s">
        <v>174</v>
      </c>
      <c r="AK19" s="1961">
        <f>$E$14</f>
        <v>8502.7681772494343</v>
      </c>
      <c r="AL19" s="1962">
        <f>$E$17</f>
        <v>92.650688634835248</v>
      </c>
      <c r="AM19" s="1962">
        <f>+$E$19</f>
        <v>0.5354493276828427</v>
      </c>
      <c r="AN19" s="1962">
        <f>+$E$20</f>
        <v>90.294153352101702</v>
      </c>
      <c r="AO19" s="1908">
        <f>+(AK19*AL19*24*$AT$15/1000000)*AM19*AN19</f>
        <v>27423.28608084406</v>
      </c>
      <c r="AP19" s="1908">
        <f>+AO19</f>
        <v>27423.28608084406</v>
      </c>
      <c r="AQ19" s="1957"/>
      <c r="AR19" s="1963"/>
      <c r="AS19" s="1963"/>
      <c r="AT19" s="1964"/>
      <c r="AU19" s="1963"/>
    </row>
    <row r="20" spans="2:47" ht="12" customHeight="1">
      <c r="B20" s="1868" t="s">
        <v>90</v>
      </c>
      <c r="C20" s="1869" t="s">
        <v>48</v>
      </c>
      <c r="D20" s="1887">
        <f>'R+RP+B'!$M$30</f>
        <v>90.843901915011372</v>
      </c>
      <c r="E20" s="1887">
        <f>+'Comparacion (Sin BM)'!R35</f>
        <v>90.294153352101702</v>
      </c>
      <c r="F20" s="1887">
        <f>D20-E20</f>
        <v>0.54974856290967011</v>
      </c>
      <c r="G20" s="1873">
        <f>F20/E20</f>
        <v>6.0884181588804287E-3</v>
      </c>
      <c r="H20" s="1870">
        <f>+'TP sin BM'!M21</f>
        <v>90.433416356934018</v>
      </c>
      <c r="I20" s="1885">
        <f>+D20-H20</f>
        <v>0.41048555807735454</v>
      </c>
      <c r="J20" s="1873">
        <f>I20/H20</f>
        <v>4.5390915727124403E-3</v>
      </c>
      <c r="K20" s="1870">
        <f>'BDGT ORI'!$G$34</f>
        <v>89.928393748868103</v>
      </c>
      <c r="L20" s="1871">
        <f>+D20-K20</f>
        <v>0.91550816614326891</v>
      </c>
      <c r="M20" s="1872">
        <f>L20/K20</f>
        <v>1.0180412748168229E-2</v>
      </c>
      <c r="N20" s="2944">
        <f>+'TP sin BM'!J21</f>
        <v>90.23452493939709</v>
      </c>
      <c r="O20" s="1887">
        <f t="shared" si="8"/>
        <v>0.60937697561428195</v>
      </c>
      <c r="P20" s="1872">
        <f t="shared" si="9"/>
        <v>6.7532574258417051E-3</v>
      </c>
      <c r="Q20" s="1887">
        <f>'R+RP+B'!$U$30</f>
        <v>90.504839111115729</v>
      </c>
      <c r="R20" s="1887">
        <f>'0+12'!$T$34</f>
        <v>90.282128614267677</v>
      </c>
      <c r="S20" s="1887">
        <f t="shared" si="10"/>
        <v>0.22271049684805178</v>
      </c>
      <c r="T20" s="1873">
        <f t="shared" si="7"/>
        <v>2.4668281559862984E-3</v>
      </c>
      <c r="U20" s="1011">
        <f>'BDGT ORI'!$U$34</f>
        <v>89.725493304837357</v>
      </c>
      <c r="V20" s="1011">
        <f t="shared" si="11"/>
        <v>0.77934580627837136</v>
      </c>
      <c r="W20" s="1965">
        <f t="shared" si="12"/>
        <v>8.6858904595886414E-3</v>
      </c>
      <c r="X20" s="1011">
        <f>BDGT!$T$30</f>
        <v>89.998004776086447</v>
      </c>
      <c r="Y20" s="1011">
        <f t="shared" si="13"/>
        <v>0.5068343350292821</v>
      </c>
      <c r="Z20" s="999">
        <f>Y20/X20</f>
        <v>5.6316174596345503E-3</v>
      </c>
      <c r="AB20" s="1934"/>
      <c r="AC20" s="1843" t="s">
        <v>173</v>
      </c>
      <c r="AD20" s="1966">
        <f>$D$12</f>
        <v>5718.2081153361341</v>
      </c>
      <c r="AE20" s="1962">
        <f>AE19</f>
        <v>0.5354493276828427</v>
      </c>
      <c r="AF20" s="1962">
        <f>AF19</f>
        <v>90.294153352101702</v>
      </c>
      <c r="AG20" s="1908">
        <f>+AD20*AE20*AF20/10</f>
        <v>27646.360405988893</v>
      </c>
      <c r="AH20" s="1908">
        <f>+AG20-AG19</f>
        <v>-671.99126221603728</v>
      </c>
      <c r="AI20" s="1841"/>
      <c r="AJ20" s="1967" t="s">
        <v>36</v>
      </c>
      <c r="AK20" s="1968">
        <f>$D$14</f>
        <v>8482.9059760188811</v>
      </c>
      <c r="AL20" s="1962">
        <f>+AL19</f>
        <v>92.650688634835248</v>
      </c>
      <c r="AM20" s="1962">
        <f>AM19</f>
        <v>0.5354493276828427</v>
      </c>
      <c r="AN20" s="1962">
        <f>AN19</f>
        <v>90.294153352101702</v>
      </c>
      <c r="AO20" s="1908">
        <f>+(AK20*AL20*24*$AT$15/1000000)*AM20*AN20</f>
        <v>27359.226139988776</v>
      </c>
      <c r="AP20" s="1908">
        <f>+AO20-AO19</f>
        <v>-64.059940855284367</v>
      </c>
      <c r="AQ20" s="1957"/>
      <c r="AR20" s="1963"/>
      <c r="AS20" s="1963"/>
      <c r="AT20" s="1963"/>
      <c r="AU20" s="1963"/>
    </row>
    <row r="21" spans="2:47" ht="12" customHeight="1">
      <c r="B21" s="1868" t="s">
        <v>92</v>
      </c>
      <c r="C21" s="1869" t="s">
        <v>53</v>
      </c>
      <c r="D21" s="1887">
        <f>'R+RP+B'!$M$31</f>
        <v>124.87632373805671</v>
      </c>
      <c r="E21" s="1887">
        <f>+'Comparacion (Sin BM)'!R36</f>
        <v>105.7534669311305</v>
      </c>
      <c r="F21" s="1878">
        <f>D21-E21</f>
        <v>19.122856806926208</v>
      </c>
      <c r="G21" s="1873">
        <f>F21/E21</f>
        <v>0.18082486902655898</v>
      </c>
      <c r="H21" s="1887">
        <f>+'TP sin BM'!M22</f>
        <v>102.13915892162728</v>
      </c>
      <c r="I21" s="1875">
        <f>+D21-H21</f>
        <v>22.737164816429427</v>
      </c>
      <c r="J21" s="1873">
        <f>I21/H21</f>
        <v>0.22260967347377467</v>
      </c>
      <c r="K21" s="1878">
        <f>'BDGT ORI'!$G$35</f>
        <v>84.171300878399222</v>
      </c>
      <c r="L21" s="1875">
        <f>+D21-K21</f>
        <v>40.70502285965749</v>
      </c>
      <c r="M21" s="1872">
        <f>L21/K21</f>
        <v>0.48359740713124194</v>
      </c>
      <c r="N21" s="2944">
        <f>+'TP sin BM'!J22</f>
        <v>105.71507194799014</v>
      </c>
      <c r="O21" s="1885">
        <f t="shared" si="8"/>
        <v>19.161251790066572</v>
      </c>
      <c r="P21" s="1872">
        <f t="shared" si="9"/>
        <v>0.18125373645390463</v>
      </c>
      <c r="Q21" s="1887">
        <f>'R+RP+B'!$U$31</f>
        <v>259.00300763005976</v>
      </c>
      <c r="R21" s="1887">
        <f>'0+12'!$T$35</f>
        <v>262.54122660054128</v>
      </c>
      <c r="S21" s="1875">
        <f t="shared" si="10"/>
        <v>-3.5382189704815232</v>
      </c>
      <c r="T21" s="1873">
        <f t="shared" si="7"/>
        <v>-1.3476812827819052E-2</v>
      </c>
      <c r="U21" s="1952">
        <f>'BDGT ORI'!$U$35</f>
        <v>264.17480896554019</v>
      </c>
      <c r="V21" s="1952">
        <f t="shared" si="11"/>
        <v>-5.1718013354804384</v>
      </c>
      <c r="W21" s="1784">
        <f t="shared" si="12"/>
        <v>-1.957719343389424E-2</v>
      </c>
      <c r="X21" s="1002">
        <f>BDGT!$T$32</f>
        <v>254.52677203830268</v>
      </c>
      <c r="Y21" s="1010">
        <f t="shared" si="13"/>
        <v>4.4762355917570744</v>
      </c>
      <c r="Z21" s="998">
        <f>Y21/X21</f>
        <v>1.7586502024562918E-2</v>
      </c>
      <c r="AB21" s="1934"/>
      <c r="AC21" s="1967" t="s">
        <v>1167</v>
      </c>
      <c r="AD21" s="1966">
        <f>AD20</f>
        <v>5718.2081153361341</v>
      </c>
      <c r="AE21" s="1969">
        <f>$D$19</f>
        <v>0.6886811649345963</v>
      </c>
      <c r="AF21" s="1962">
        <f>AF19</f>
        <v>90.294153352101702</v>
      </c>
      <c r="AG21" s="1908">
        <f>+AD21*AE21*AF21/10</f>
        <v>35558.038279722372</v>
      </c>
      <c r="AH21" s="1908">
        <f>+AG21-AG20</f>
        <v>7911.6778737334789</v>
      </c>
      <c r="AI21" s="1841"/>
      <c r="AJ21" s="1967" t="s">
        <v>41</v>
      </c>
      <c r="AK21" s="1968">
        <f>AK20</f>
        <v>8482.9059760188811</v>
      </c>
      <c r="AL21" s="1969">
        <f>$D$17</f>
        <v>0.91154292765382017</v>
      </c>
      <c r="AM21" s="1962">
        <f>AM19</f>
        <v>0.5354493276828427</v>
      </c>
      <c r="AN21" s="1962">
        <f>AN19</f>
        <v>90.294153352101702</v>
      </c>
      <c r="AO21" s="1908">
        <f>+(AK21*AL21*24*$AT$15/1000000)*AM21*AN21</f>
        <v>269.17348873985122</v>
      </c>
      <c r="AP21" s="1908">
        <f>+AO21-AO20</f>
        <v>-27090.052651248923</v>
      </c>
      <c r="AQ21" s="1957"/>
      <c r="AR21" s="1963"/>
      <c r="AS21" s="1963"/>
      <c r="AT21" s="1963"/>
      <c r="AU21" s="1963"/>
    </row>
    <row r="22" spans="2:47" ht="12" customHeight="1">
      <c r="B22" s="1868" t="s">
        <v>93</v>
      </c>
      <c r="C22" s="1869" t="s">
        <v>48</v>
      </c>
      <c r="D22" s="1885">
        <f>'R+RP+B'!$M$32</f>
        <v>28.647968978267031</v>
      </c>
      <c r="E22" s="1875">
        <f>+'Comparacion (Sin BM)'!R37</f>
        <v>26.777705251636434</v>
      </c>
      <c r="F22" s="1878">
        <f>D22-E22</f>
        <v>1.870263726630597</v>
      </c>
      <c r="G22" s="1873">
        <f>F22/E22</f>
        <v>6.9844062777421972E-2</v>
      </c>
      <c r="H22" s="1875">
        <f>+'TP sin BM'!M23</f>
        <v>28.260326500353631</v>
      </c>
      <c r="I22" s="1875">
        <f>+D22-H22</f>
        <v>0.38764247791339912</v>
      </c>
      <c r="J22" s="1873">
        <f>I22/H22</f>
        <v>1.3716843572509624E-2</v>
      </c>
      <c r="K22" s="1875">
        <f>'BDGT ORI'!$G$36</f>
        <v>27.866115470198878</v>
      </c>
      <c r="L22" s="1875">
        <f>+D22-K22</f>
        <v>0.78185350806815279</v>
      </c>
      <c r="M22" s="1872">
        <f>L22/K22</f>
        <v>2.8057499040521013E-2</v>
      </c>
      <c r="N22" s="2947">
        <f>+'TP sin BM'!J23</f>
        <v>27.918697183029963</v>
      </c>
      <c r="O22" s="1875">
        <f t="shared" si="8"/>
        <v>0.72927179523706798</v>
      </c>
      <c r="P22" s="1872">
        <f t="shared" si="9"/>
        <v>2.6121268856354331E-2</v>
      </c>
      <c r="Q22" s="1885">
        <f>'R+RP+B'!$U$32</f>
        <v>26.736302080312278</v>
      </c>
      <c r="R22" s="1875">
        <f>'0+12'!$T$36</f>
        <v>27.034106270401626</v>
      </c>
      <c r="S22" s="1875">
        <f t="shared" si="10"/>
        <v>-0.297804190089348</v>
      </c>
      <c r="T22" s="1873">
        <f t="shared" si="7"/>
        <v>-1.1015869624489855E-2</v>
      </c>
      <c r="U22" s="1952">
        <f>'BDGT ORI'!$U$36</f>
        <v>28.521942156776642</v>
      </c>
      <c r="V22" s="1952">
        <f t="shared" si="11"/>
        <v>-1.7856400764643645</v>
      </c>
      <c r="W22" s="1784">
        <f t="shared" si="12"/>
        <v>-6.2605837521485436E-2</v>
      </c>
      <c r="X22" s="1010">
        <f>BDGT!$T$33</f>
        <v>27.974256407925751</v>
      </c>
      <c r="Y22" s="1010">
        <f t="shared" si="13"/>
        <v>-1.2379543276134726</v>
      </c>
      <c r="Z22" s="998">
        <f>Y22/X22</f>
        <v>-4.4253341699646807E-2</v>
      </c>
      <c r="AB22" s="1934"/>
      <c r="AC22" s="1967" t="s">
        <v>51</v>
      </c>
      <c r="AD22" s="1966">
        <f>AD20</f>
        <v>5718.2081153361341</v>
      </c>
      <c r="AE22" s="1969">
        <f>AE21</f>
        <v>0.6886811649345963</v>
      </c>
      <c r="AF22" s="1969">
        <f>$D$20</f>
        <v>90.843901915011372</v>
      </c>
      <c r="AG22" s="1908">
        <f>+AD22*AE22*AF22/10</f>
        <v>35774.530485678799</v>
      </c>
      <c r="AH22" s="1908">
        <f>+AG22-AG21</f>
        <v>216.49220595642691</v>
      </c>
      <c r="AI22" s="1841"/>
      <c r="AJ22" s="1967" t="s">
        <v>1167</v>
      </c>
      <c r="AK22" s="1968">
        <f>AK20</f>
        <v>8482.9059760188811</v>
      </c>
      <c r="AL22" s="1969">
        <f>AL21</f>
        <v>0.91154292765382017</v>
      </c>
      <c r="AM22" s="1969">
        <f>$D$19</f>
        <v>0.6886811649345963</v>
      </c>
      <c r="AN22" s="1962">
        <f>AN19</f>
        <v>90.294153352101702</v>
      </c>
      <c r="AO22" s="1908">
        <f>+(AK22*AL22*24*$AT$15/1000000)*AM22*AN22</f>
        <v>346.20402381879791</v>
      </c>
      <c r="AP22" s="1908">
        <f>+AO22-AO21</f>
        <v>77.030535078946684</v>
      </c>
      <c r="AQ22" s="1957"/>
      <c r="AR22" s="1963"/>
      <c r="AS22" s="1963"/>
      <c r="AT22" s="1963"/>
      <c r="AU22" s="1963"/>
    </row>
    <row r="23" spans="2:47" ht="12" customHeight="1">
      <c r="B23" s="1868"/>
      <c r="C23" s="1869"/>
      <c r="D23" s="1885"/>
      <c r="E23" s="1885"/>
      <c r="F23" s="1878"/>
      <c r="G23" s="1873"/>
      <c r="H23" s="1875"/>
      <c r="I23" s="1875"/>
      <c r="J23" s="1873"/>
      <c r="K23" s="1878"/>
      <c r="L23" s="1875"/>
      <c r="M23" s="1872"/>
      <c r="N23" s="2945"/>
      <c r="O23" s="1885"/>
      <c r="P23" s="1885"/>
      <c r="Q23" s="1885"/>
      <c r="R23" s="1878"/>
      <c r="S23" s="1878"/>
      <c r="T23" s="1873"/>
      <c r="U23" s="1952"/>
      <c r="V23" s="1952">
        <f t="shared" si="11"/>
        <v>0</v>
      </c>
      <c r="W23" s="1784" t="e">
        <f t="shared" si="12"/>
        <v>#DIV/0!</v>
      </c>
      <c r="X23" s="1002"/>
      <c r="Y23" s="1002"/>
      <c r="Z23" s="998"/>
      <c r="AB23" s="1934"/>
      <c r="AC23" s="1967" t="s">
        <v>1144</v>
      </c>
      <c r="AD23" s="1966">
        <f>AD20</f>
        <v>5718.2081153361341</v>
      </c>
      <c r="AE23" s="1969">
        <f>AE21</f>
        <v>0.6886811649345963</v>
      </c>
      <c r="AF23" s="1969">
        <f>AF22</f>
        <v>90.843901915011372</v>
      </c>
      <c r="AG23" s="1908">
        <f>+AD23*AE23*AF23/10</f>
        <v>35774.530485678799</v>
      </c>
      <c r="AH23" s="1908">
        <f>+SUM(AH19:AH22)</f>
        <v>35774.530485678799</v>
      </c>
      <c r="AI23" s="1841"/>
      <c r="AJ23" s="1967" t="s">
        <v>51</v>
      </c>
      <c r="AK23" s="1968">
        <f>AK20</f>
        <v>8482.9059760188811</v>
      </c>
      <c r="AL23" s="1969">
        <f>AL21</f>
        <v>0.91154292765382017</v>
      </c>
      <c r="AM23" s="1969">
        <f>AM22</f>
        <v>0.6886811649345963</v>
      </c>
      <c r="AN23" s="1969">
        <f>$D$20</f>
        <v>90.843901915011372</v>
      </c>
      <c r="AO23" s="1908">
        <f>+(AK23*AL23*24*$AT$15/1000000)*AM23*AN23</f>
        <v>348.31185868409375</v>
      </c>
      <c r="AP23" s="1908">
        <f>+AO23-AO22</f>
        <v>2.1078348652958425</v>
      </c>
      <c r="AQ23" s="1957"/>
      <c r="AR23" s="1963"/>
      <c r="AS23" s="1963"/>
      <c r="AT23" s="1963"/>
      <c r="AU23" s="1963"/>
    </row>
    <row r="24" spans="2:47" ht="12" customHeight="1">
      <c r="B24" s="1868" t="s">
        <v>94</v>
      </c>
      <c r="C24" s="1869" t="s">
        <v>95</v>
      </c>
      <c r="D24" s="1881">
        <f>'R+RP+B'!$M$34</f>
        <v>175.85869940108665</v>
      </c>
      <c r="E24" s="1881">
        <f>+'Comparacion (Sin BM)'!R39</f>
        <v>171.18629045307489</v>
      </c>
      <c r="F24" s="1875">
        <f t="shared" ref="F24:F29" si="22">D24-E24</f>
        <v>4.6724089480117641</v>
      </c>
      <c r="G24" s="1873">
        <f t="shared" ref="G24:G29" si="23">F24/E24</f>
        <v>2.7294294044490391E-2</v>
      </c>
      <c r="H24" s="1875">
        <f>+'TP sin BM'!M25</f>
        <v>213.48422346499791</v>
      </c>
      <c r="I24" s="1878">
        <f t="shared" ref="I24:I29" si="24">+D24-H24</f>
        <v>-37.625524063911257</v>
      </c>
      <c r="J24" s="1873">
        <f t="shared" ref="J24:J29" si="25">I24/H24</f>
        <v>-0.17624498641268543</v>
      </c>
      <c r="K24" s="1875">
        <f>'BDGT ORI'!$G$38</f>
        <v>209.52560917366011</v>
      </c>
      <c r="L24" s="1878">
        <f t="shared" ref="L24:L29" si="26">+D24-K24</f>
        <v>-33.666909772573462</v>
      </c>
      <c r="M24" s="1872">
        <f t="shared" ref="M24:M29" si="27">L24/K24</f>
        <v>-0.16068159832753179</v>
      </c>
      <c r="N24" s="2947">
        <f>+'TP sin BM'!J25</f>
        <v>216.46396510270179</v>
      </c>
      <c r="O24" s="1875">
        <f t="shared" si="8"/>
        <v>-40.605265701615139</v>
      </c>
      <c r="P24" s="1873">
        <f t="shared" si="9"/>
        <v>-0.18758441240947371</v>
      </c>
      <c r="Q24" s="1881">
        <f>'R+RP+B'!$U$34</f>
        <v>192.66735748300661</v>
      </c>
      <c r="R24" s="1881">
        <f>'0+12'!$T$38</f>
        <v>195.69437804771576</v>
      </c>
      <c r="S24" s="1878">
        <f t="shared" si="10"/>
        <v>-3.0270205647091473</v>
      </c>
      <c r="T24" s="1873">
        <f t="shared" si="7"/>
        <v>-1.5468101817268737E-2</v>
      </c>
      <c r="U24" s="1952">
        <f>'BDGT ORI'!$U$38</f>
        <v>206.27179320430957</v>
      </c>
      <c r="V24" s="1952">
        <f t="shared" si="11"/>
        <v>-13.604435721302963</v>
      </c>
      <c r="W24" s="1784">
        <f t="shared" si="12"/>
        <v>-6.5953931509326352E-2</v>
      </c>
      <c r="X24" s="1006">
        <f>BDGT!$T$35</f>
        <v>197.52627780568733</v>
      </c>
      <c r="Y24" s="1002">
        <f t="shared" si="13"/>
        <v>-4.8589203226807172</v>
      </c>
      <c r="Z24" s="1013">
        <f t="shared" ref="Z24:Z29" si="28">Y24/X24</f>
        <v>-2.4598855284766651E-2</v>
      </c>
      <c r="AB24" s="1934"/>
      <c r="AC24" s="1841"/>
      <c r="AD24" s="1841"/>
      <c r="AE24" s="1841"/>
      <c r="AF24" s="1841"/>
      <c r="AG24" s="1841"/>
      <c r="AH24" s="1841"/>
      <c r="AI24" s="1841"/>
      <c r="AJ24" s="1970" t="s">
        <v>1185</v>
      </c>
      <c r="AK24" s="1968">
        <f>AK21</f>
        <v>8482.9059760188811</v>
      </c>
      <c r="AL24" s="1969">
        <f>AL22</f>
        <v>0.91154292765382017</v>
      </c>
      <c r="AM24" s="1969">
        <f>AM23</f>
        <v>0.6886811649345963</v>
      </c>
      <c r="AN24" s="1969">
        <f>$D$20</f>
        <v>90.843901915011372</v>
      </c>
      <c r="AO24" s="1908">
        <f>+(AK24*AL24*24*$AT$17/1000000)*AM24*AN24</f>
        <v>168.350731697312</v>
      </c>
      <c r="AP24" s="1908">
        <f>+AO24-AO23</f>
        <v>-179.96112698678175</v>
      </c>
      <c r="AQ24" s="1957"/>
      <c r="AR24" s="1963"/>
      <c r="AS24" s="1963"/>
      <c r="AT24" s="1963"/>
      <c r="AU24" s="1963"/>
    </row>
    <row r="25" spans="2:47" ht="12" customHeight="1">
      <c r="B25" s="1868" t="s">
        <v>96</v>
      </c>
      <c r="C25" s="1869" t="s">
        <v>48</v>
      </c>
      <c r="D25" s="1885">
        <f>'R+RP+B'!$M$35</f>
        <v>82.993373423166616</v>
      </c>
      <c r="E25" s="1885">
        <f>+'Comparacion (Sin BM)'!R40</f>
        <v>80.57935681068416</v>
      </c>
      <c r="F25" s="1875">
        <f t="shared" si="22"/>
        <v>2.414016612482456</v>
      </c>
      <c r="G25" s="1873">
        <f t="shared" si="23"/>
        <v>2.9958251195204094E-2</v>
      </c>
      <c r="H25" s="1885">
        <f>+'TP sin BM'!M26</f>
        <v>83.99813374525263</v>
      </c>
      <c r="I25" s="1881">
        <f t="shared" si="24"/>
        <v>-1.004760322086014</v>
      </c>
      <c r="J25" s="1873">
        <f t="shared" si="25"/>
        <v>-1.1961698162642817E-2</v>
      </c>
      <c r="K25" s="1881">
        <f>'BDGT ORI'!$G$39</f>
        <v>83.405538772070827</v>
      </c>
      <c r="L25" s="1881">
        <f t="shared" si="26"/>
        <v>-0.4121653489042103</v>
      </c>
      <c r="M25" s="1872">
        <f t="shared" si="27"/>
        <v>-4.941702373394751E-3</v>
      </c>
      <c r="N25" s="2947">
        <f>+'TP sin BM'!J26</f>
        <v>83.941170489613725</v>
      </c>
      <c r="O25" s="1881">
        <f t="shared" si="8"/>
        <v>-0.9477970664471087</v>
      </c>
      <c r="P25" s="1872">
        <f t="shared" si="9"/>
        <v>-1.1291206221199671E-2</v>
      </c>
      <c r="Q25" s="1885">
        <f>'R+RP+B'!$U$35</f>
        <v>80.026351406553701</v>
      </c>
      <c r="R25" s="1885">
        <f>'0+12'!$T$39</f>
        <v>82.944036127337341</v>
      </c>
      <c r="S25" s="1875">
        <f t="shared" si="10"/>
        <v>-2.9176847207836403</v>
      </c>
      <c r="T25" s="1873">
        <f t="shared" si="7"/>
        <v>-3.5176546223339704E-2</v>
      </c>
      <c r="U25" s="1949">
        <f>'BDGT ORI'!$U$39</f>
        <v>83.538040462286077</v>
      </c>
      <c r="V25" s="1949">
        <f t="shared" si="11"/>
        <v>-3.5116890557323757</v>
      </c>
      <c r="W25" s="1784">
        <f t="shared" si="12"/>
        <v>-4.2037005372633274E-2</v>
      </c>
      <c r="X25" s="1010">
        <f>BDGT!$T$36</f>
        <v>83.619091451728735</v>
      </c>
      <c r="Y25" s="1006">
        <f t="shared" si="13"/>
        <v>-3.5927400451750344</v>
      </c>
      <c r="Z25" s="999">
        <f t="shared" si="28"/>
        <v>-4.2965547494007821E-2</v>
      </c>
      <c r="AB25" s="1934"/>
      <c r="AC25" s="1841"/>
      <c r="AD25" s="1841"/>
      <c r="AE25" s="1841"/>
      <c r="AF25" s="1841"/>
      <c r="AG25" s="1841"/>
      <c r="AH25" s="1841"/>
      <c r="AI25" s="1841"/>
      <c r="AJ25" s="1967" t="s">
        <v>1144</v>
      </c>
      <c r="AK25" s="1968">
        <f>AK20</f>
        <v>8482.9059760188811</v>
      </c>
      <c r="AL25" s="1969">
        <f>AL21</f>
        <v>0.91154292765382017</v>
      </c>
      <c r="AM25" s="1969">
        <f>AM22</f>
        <v>0.6886811649345963</v>
      </c>
      <c r="AN25" s="1969">
        <f>AN23</f>
        <v>90.843901915011372</v>
      </c>
      <c r="AO25" s="1908">
        <f>+(AK25*AL25*24*$AT$15/1000000)*AM25*AN25</f>
        <v>348.31185868409375</v>
      </c>
      <c r="AP25" s="1908">
        <f>SUM(AP19:AP24)</f>
        <v>168.35073169731325</v>
      </c>
      <c r="AQ25" s="1853"/>
      <c r="AR25" s="1963"/>
      <c r="AS25" s="1963"/>
      <c r="AT25" s="1963"/>
      <c r="AU25" s="1963"/>
    </row>
    <row r="26" spans="2:47" ht="12" hidden="1" customHeight="1">
      <c r="B26" s="2316" t="s">
        <v>97</v>
      </c>
      <c r="C26" s="2317" t="s">
        <v>48</v>
      </c>
      <c r="D26" s="2318">
        <f>'R+RP+B'!$M$36</f>
        <v>93.257257915025974</v>
      </c>
      <c r="E26" s="2318">
        <f>+'Comparacion (Sin BM)'!R41</f>
        <v>91.633786719447059</v>
      </c>
      <c r="F26" s="2319">
        <f t="shared" si="22"/>
        <v>1.6234711955789152</v>
      </c>
      <c r="G26" s="2320">
        <f t="shared" si="23"/>
        <v>1.7716949759475263E-2</v>
      </c>
      <c r="H26" s="2321">
        <f>H87</f>
        <v>0</v>
      </c>
      <c r="I26" s="2321">
        <f t="shared" si="24"/>
        <v>93.257257915025974</v>
      </c>
      <c r="J26" s="2320" t="e">
        <f t="shared" si="25"/>
        <v>#DIV/0!</v>
      </c>
      <c r="K26" s="2321" t="e">
        <f>#REF!</f>
        <v>#REF!</v>
      </c>
      <c r="L26" s="2321" t="e">
        <f t="shared" si="26"/>
        <v>#REF!</v>
      </c>
      <c r="M26" s="2322" t="e">
        <f t="shared" si="27"/>
        <v>#REF!</v>
      </c>
      <c r="N26" s="2952">
        <f>+BDGT!$L$37</f>
        <v>93.257257915025974</v>
      </c>
      <c r="O26" s="2321">
        <f t="shared" si="8"/>
        <v>0</v>
      </c>
      <c r="P26" s="2322">
        <f t="shared" si="9"/>
        <v>0</v>
      </c>
      <c r="Q26" s="2318">
        <f>'R+RP+B'!$U$36</f>
        <v>90.314190671165463</v>
      </c>
      <c r="R26" s="2321">
        <f>R87</f>
        <v>0</v>
      </c>
      <c r="S26" s="2321">
        <f t="shared" si="10"/>
        <v>90.314190671165463</v>
      </c>
      <c r="T26" s="2320" t="e">
        <f t="shared" si="7"/>
        <v>#DIV/0!</v>
      </c>
      <c r="U26" s="1952" t="e">
        <f>#REF!</f>
        <v>#REF!</v>
      </c>
      <c r="V26" s="1952" t="e">
        <f t="shared" si="11"/>
        <v>#REF!</v>
      </c>
      <c r="W26" s="1784" t="e">
        <f t="shared" si="12"/>
        <v>#REF!</v>
      </c>
      <c r="X26" s="1010" t="e">
        <f>#REF!</f>
        <v>#REF!</v>
      </c>
      <c r="Y26" s="1010" t="e">
        <f t="shared" si="13"/>
        <v>#REF!</v>
      </c>
      <c r="Z26" s="998" t="e">
        <f t="shared" si="28"/>
        <v>#REF!</v>
      </c>
      <c r="AB26" s="1934"/>
      <c r="AC26" s="1841"/>
      <c r="AD26" s="1841"/>
      <c r="AE26" s="1841"/>
      <c r="AF26" s="1841"/>
      <c r="AG26" s="1841"/>
      <c r="AH26" s="1841"/>
      <c r="AI26" s="1841"/>
      <c r="AJ26" s="1841"/>
      <c r="AK26" s="1841"/>
      <c r="AL26" s="1841"/>
      <c r="AM26" s="1841"/>
      <c r="AN26" s="1841"/>
      <c r="AO26" s="1841"/>
      <c r="AP26" s="1841"/>
      <c r="AQ26" s="1853"/>
    </row>
    <row r="27" spans="2:47" ht="12" hidden="1" customHeight="1">
      <c r="B27" s="2316" t="s">
        <v>98</v>
      </c>
      <c r="C27" s="2317" t="s">
        <v>48</v>
      </c>
      <c r="D27" s="2318">
        <f>'R+RP+B'!$M$37</f>
        <v>88.994009987714207</v>
      </c>
      <c r="E27" s="2321">
        <f>+'Comparacion (Sin BM)'!R42</f>
        <v>87.936294783268124</v>
      </c>
      <c r="F27" s="2319">
        <f t="shared" si="22"/>
        <v>1.0577152044460831</v>
      </c>
      <c r="G27" s="2320">
        <f t="shared" si="23"/>
        <v>1.2028198448126307E-2</v>
      </c>
      <c r="H27" s="2321">
        <f>H88</f>
        <v>0</v>
      </c>
      <c r="I27" s="2321">
        <f t="shared" si="24"/>
        <v>88.994009987714207</v>
      </c>
      <c r="J27" s="2320" t="e">
        <f t="shared" si="25"/>
        <v>#DIV/0!</v>
      </c>
      <c r="K27" s="2321" t="e">
        <f>#REF!</f>
        <v>#REF!</v>
      </c>
      <c r="L27" s="2321" t="e">
        <f t="shared" si="26"/>
        <v>#REF!</v>
      </c>
      <c r="M27" s="2322" t="e">
        <f t="shared" si="27"/>
        <v>#REF!</v>
      </c>
      <c r="N27" s="2952">
        <f>+BDGT!$L$38</f>
        <v>88.994009987714207</v>
      </c>
      <c r="O27" s="2321">
        <f t="shared" si="8"/>
        <v>0</v>
      </c>
      <c r="P27" s="2322">
        <f t="shared" si="9"/>
        <v>0</v>
      </c>
      <c r="Q27" s="2318">
        <f>'R+RP+B'!$U$37</f>
        <v>88.630655454756081</v>
      </c>
      <c r="R27" s="2321">
        <f>R88</f>
        <v>0</v>
      </c>
      <c r="S27" s="2321">
        <f t="shared" si="10"/>
        <v>88.630655454756081</v>
      </c>
      <c r="T27" s="2320" t="e">
        <f t="shared" si="7"/>
        <v>#DIV/0!</v>
      </c>
      <c r="U27" s="1952" t="e">
        <f>#REF!</f>
        <v>#REF!</v>
      </c>
      <c r="V27" s="1952" t="e">
        <f t="shared" si="11"/>
        <v>#REF!</v>
      </c>
      <c r="W27" s="1784" t="e">
        <f t="shared" si="12"/>
        <v>#REF!</v>
      </c>
      <c r="X27" s="1010" t="e">
        <f>#REF!</f>
        <v>#REF!</v>
      </c>
      <c r="Y27" s="1010" t="e">
        <f t="shared" si="13"/>
        <v>#REF!</v>
      </c>
      <c r="Z27" s="998" t="e">
        <f t="shared" si="28"/>
        <v>#REF!</v>
      </c>
      <c r="AB27" s="1934"/>
      <c r="AC27" s="1841"/>
      <c r="AD27" s="1841"/>
      <c r="AE27" s="1841"/>
      <c r="AF27" s="1841"/>
      <c r="AG27" s="1841"/>
      <c r="AH27" s="1841"/>
      <c r="AI27" s="1841"/>
      <c r="AJ27" s="1841"/>
      <c r="AK27" s="1841"/>
      <c r="AL27" s="1841"/>
      <c r="AM27" s="1841"/>
      <c r="AN27" s="1841"/>
      <c r="AO27" s="1841"/>
      <c r="AP27" s="1841"/>
      <c r="AQ27" s="1853"/>
    </row>
    <row r="28" spans="2:47" ht="12" customHeight="1">
      <c r="B28" s="1868" t="s">
        <v>175</v>
      </c>
      <c r="C28" s="1869" t="s">
        <v>100</v>
      </c>
      <c r="D28" s="2323">
        <f>'R+RP+B'!$M$38*1000</f>
        <v>1545.515882003913</v>
      </c>
      <c r="E28" s="2324">
        <f>+'Comparacion (Sin BM)'!R43</f>
        <v>1615.8935079268579</v>
      </c>
      <c r="F28" s="2323">
        <f t="shared" si="22"/>
        <v>-70.377625922944844</v>
      </c>
      <c r="G28" s="1873">
        <f t="shared" si="23"/>
        <v>-4.3553381196040075E-2</v>
      </c>
      <c r="H28" s="1875">
        <f>+'TP sin BM'!M29</f>
        <v>1877.0785132735298</v>
      </c>
      <c r="I28" s="1875">
        <f t="shared" si="24"/>
        <v>-331.56263126961676</v>
      </c>
      <c r="J28" s="1873">
        <f t="shared" si="25"/>
        <v>-0.17663759343309957</v>
      </c>
      <c r="K28" s="1875">
        <f>'BDGT ORI'!$G$42</f>
        <v>1.6902366162300047</v>
      </c>
      <c r="L28" s="1875">
        <f t="shared" si="26"/>
        <v>1543.8256453876829</v>
      </c>
      <c r="M28" s="1872">
        <f t="shared" si="27"/>
        <v>913.37841729586671</v>
      </c>
      <c r="N28" s="2946">
        <f>+'TP sin BM'!J29</f>
        <v>1963.649298126209</v>
      </c>
      <c r="O28" s="2323">
        <f t="shared" si="8"/>
        <v>-418.13341612229601</v>
      </c>
      <c r="P28" s="1872">
        <f t="shared" si="9"/>
        <v>-0.21293691114869406</v>
      </c>
      <c r="Q28" s="2323">
        <f>'R+RP+B'!$U$38*1000</f>
        <v>4717.8739097350453</v>
      </c>
      <c r="R28" s="2323">
        <f>'0+12'!$T$42*1000</f>
        <v>4455.6345370144054</v>
      </c>
      <c r="S28" s="2323">
        <f t="shared" si="10"/>
        <v>262.23937272063995</v>
      </c>
      <c r="T28" s="1873">
        <f t="shared" si="7"/>
        <v>5.885567376366535E-2</v>
      </c>
      <c r="U28" s="1972">
        <f>'BDGT ORI'!$U$42</f>
        <v>5.0885253078453392</v>
      </c>
      <c r="V28" s="1972">
        <f t="shared" si="11"/>
        <v>4712.7853844272004</v>
      </c>
      <c r="W28" s="1972">
        <f t="shared" si="12"/>
        <v>926.15936824784308</v>
      </c>
      <c r="X28" s="1971">
        <f>BDGT!$T$39*1000</f>
        <v>4646.143024779285</v>
      </c>
      <c r="Y28" s="1010">
        <f t="shared" si="13"/>
        <v>71.730884955760303</v>
      </c>
      <c r="Z28" s="998">
        <f>Y28/X28</f>
        <v>1.5438802588124776E-2</v>
      </c>
      <c r="AB28" s="1938"/>
      <c r="AC28" s="1905"/>
      <c r="AD28" s="1905"/>
      <c r="AE28" s="1905"/>
      <c r="AF28" s="1905"/>
      <c r="AG28" s="1905"/>
      <c r="AH28" s="1905"/>
      <c r="AI28" s="1905"/>
      <c r="AJ28" s="1905"/>
      <c r="AK28" s="1905"/>
      <c r="AL28" s="1905"/>
      <c r="AM28" s="1905"/>
      <c r="AN28" s="1905"/>
      <c r="AO28" s="1905"/>
      <c r="AP28" s="1905"/>
      <c r="AQ28" s="1906"/>
    </row>
    <row r="29" spans="2:47" ht="12" customHeight="1">
      <c r="B29" s="1868" t="s">
        <v>102</v>
      </c>
      <c r="C29" s="1869" t="s">
        <v>48</v>
      </c>
      <c r="D29" s="1875">
        <f>'R+RP+B'!$M$39</f>
        <v>54</v>
      </c>
      <c r="E29" s="1881">
        <f>+'Comparacion (Sin BM)'!R44</f>
        <v>50</v>
      </c>
      <c r="F29" s="1878">
        <f t="shared" si="22"/>
        <v>4</v>
      </c>
      <c r="G29" s="1873">
        <f t="shared" si="23"/>
        <v>0.08</v>
      </c>
      <c r="H29" s="1881">
        <f>+'TP sin BM'!M30</f>
        <v>0</v>
      </c>
      <c r="I29" s="1881">
        <f t="shared" si="24"/>
        <v>54</v>
      </c>
      <c r="J29" s="1873" t="e">
        <f t="shared" si="25"/>
        <v>#DIV/0!</v>
      </c>
      <c r="K29" s="1881">
        <f>'BDGT ORI'!$G$43</f>
        <v>54</v>
      </c>
      <c r="L29" s="1881">
        <f t="shared" si="26"/>
        <v>0</v>
      </c>
      <c r="M29" s="1872">
        <f t="shared" si="27"/>
        <v>0</v>
      </c>
      <c r="N29" s="2947">
        <f>+'TP sin BM'!J30</f>
        <v>0</v>
      </c>
      <c r="O29" s="1881">
        <f t="shared" si="8"/>
        <v>54</v>
      </c>
      <c r="P29" s="1872" t="e">
        <f t="shared" si="9"/>
        <v>#DIV/0!</v>
      </c>
      <c r="Q29" s="1881">
        <f>'R+RP+B'!$U$39</f>
        <v>48.79164251211558</v>
      </c>
      <c r="R29" s="1881">
        <f>'0+12'!$T$43</f>
        <v>54.000000000000014</v>
      </c>
      <c r="S29" s="1875">
        <f t="shared" si="10"/>
        <v>-5.2083574878844345</v>
      </c>
      <c r="T29" s="1873">
        <f t="shared" si="7"/>
        <v>-9.6451064590452468E-2</v>
      </c>
      <c r="U29" s="1952">
        <f>'BDGT ORI'!$U$43</f>
        <v>54</v>
      </c>
      <c r="V29" s="1952">
        <f t="shared" si="11"/>
        <v>-5.2083574878844203</v>
      </c>
      <c r="W29" s="1784">
        <f t="shared" si="12"/>
        <v>-9.6451064590452232E-2</v>
      </c>
      <c r="X29" s="1006">
        <f>BDGT!$T$40</f>
        <v>53.999999999999993</v>
      </c>
      <c r="Y29" s="1006">
        <f t="shared" si="13"/>
        <v>-5.2083574878844132</v>
      </c>
      <c r="Z29" s="998">
        <f t="shared" si="28"/>
        <v>-9.6451064590452107E-2</v>
      </c>
    </row>
    <row r="30" spans="2:47" ht="12" customHeight="1">
      <c r="B30" s="1868"/>
      <c r="C30" s="1869"/>
      <c r="D30" s="1885"/>
      <c r="E30" s="1875"/>
      <c r="F30" s="1878"/>
      <c r="G30" s="1873"/>
      <c r="H30" s="1875"/>
      <c r="I30" s="1875"/>
      <c r="J30" s="1873"/>
      <c r="K30" s="1875"/>
      <c r="L30" s="1875"/>
      <c r="M30" s="1872"/>
      <c r="N30" s="2947"/>
      <c r="O30" s="1875"/>
      <c r="P30" s="1875"/>
      <c r="Q30" s="1885"/>
      <c r="R30" s="1875"/>
      <c r="S30" s="1875"/>
      <c r="T30" s="1873"/>
      <c r="U30" s="1952"/>
      <c r="V30" s="1952">
        <f t="shared" si="11"/>
        <v>0</v>
      </c>
      <c r="W30" s="1784" t="e">
        <f t="shared" si="12"/>
        <v>#DIV/0!</v>
      </c>
      <c r="X30" s="1010"/>
      <c r="Y30" s="1010"/>
      <c r="Z30" s="998"/>
      <c r="AB30" s="1844"/>
      <c r="AC30" s="1845"/>
      <c r="AD30" s="1845"/>
      <c r="AE30" s="1845"/>
      <c r="AF30" s="1845"/>
      <c r="AG30" s="1845"/>
      <c r="AH30" s="1845"/>
      <c r="AI30" s="1845"/>
      <c r="AJ30" s="1845"/>
      <c r="AK30" s="1845"/>
      <c r="AL30" s="1845"/>
      <c r="AM30" s="1845"/>
      <c r="AN30" s="1845"/>
      <c r="AO30" s="1845"/>
      <c r="AP30" s="1845"/>
      <c r="AQ30" s="1846"/>
    </row>
    <row r="31" spans="2:47" ht="12" customHeight="1">
      <c r="B31" s="1868" t="s">
        <v>176</v>
      </c>
      <c r="C31" s="1869" t="s">
        <v>177</v>
      </c>
      <c r="D31" s="1910">
        <f>+'Comparacion (Sin BM)'!Q46</f>
        <v>20.726944183805845</v>
      </c>
      <c r="E31" s="1875">
        <f>+'Comparacion (Sin BM)'!R46</f>
        <v>27.44514654815184</v>
      </c>
      <c r="F31" s="1878">
        <f>D31-E31</f>
        <v>-6.7182023643459949</v>
      </c>
      <c r="G31" s="1874">
        <f>F31/E31</f>
        <v>-0.244786536393933</v>
      </c>
      <c r="H31" s="1875">
        <f>+'TP sin BM'!M31</f>
        <v>31.625551520365899</v>
      </c>
      <c r="I31" s="1878">
        <f>+D31-H31</f>
        <v>-10.898607336560055</v>
      </c>
      <c r="J31" s="1873">
        <f>I31/H31</f>
        <v>-0.34461398497799101</v>
      </c>
      <c r="K31" s="1875">
        <f>'BDGT ORI'!$G$53</f>
        <v>26.012162217135181</v>
      </c>
      <c r="L31" s="1878">
        <f>+D31-K31</f>
        <v>-5.2852180333293362</v>
      </c>
      <c r="M31" s="1872">
        <f>L31/K31</f>
        <v>-0.20318257241405968</v>
      </c>
      <c r="N31" s="2947">
        <f>+'TP sin BM'!J31</f>
        <v>34.290586186974402</v>
      </c>
      <c r="O31" s="1875">
        <f t="shared" si="8"/>
        <v>-13.563642003168557</v>
      </c>
      <c r="P31" s="1872">
        <f t="shared" si="9"/>
        <v>-0.39555001857392663</v>
      </c>
      <c r="Q31" s="1910">
        <f>'R+RP+B'!$U$49</f>
        <v>11.311252594606758</v>
      </c>
      <c r="R31" s="1875">
        <f>'0+12'!$T$57</f>
        <v>27.29009528920237</v>
      </c>
      <c r="S31" s="1875">
        <f t="shared" si="10"/>
        <v>-15.978842694595611</v>
      </c>
      <c r="T31" s="1873">
        <f t="shared" si="7"/>
        <v>-0.58551802495602934</v>
      </c>
      <c r="U31" s="1949">
        <f>'BDGT ORI'!$U$53</f>
        <v>34.515883090276787</v>
      </c>
      <c r="V31" s="1949">
        <f t="shared" si="11"/>
        <v>-23.204630495670031</v>
      </c>
      <c r="W31" s="1784">
        <f t="shared" si="12"/>
        <v>-0.6722884775967628</v>
      </c>
      <c r="X31" s="1010">
        <f>BDGT!$T$54</f>
        <v>29.280536525130788</v>
      </c>
      <c r="Y31" s="1002">
        <f t="shared" si="13"/>
        <v>-17.969283930524028</v>
      </c>
      <c r="Z31" s="999">
        <f>Y31/X31</f>
        <v>-0.61369380697998543</v>
      </c>
      <c r="AB31" s="1850"/>
      <c r="AC31" s="1851" t="s">
        <v>1186</v>
      </c>
      <c r="AD31" s="1852"/>
      <c r="AE31" s="1852"/>
      <c r="AF31" s="1852"/>
      <c r="AG31" s="1852"/>
      <c r="AH31" s="1852"/>
      <c r="AI31" s="1852"/>
      <c r="AJ31" s="1852"/>
      <c r="AK31" s="1852"/>
      <c r="AL31" s="1852"/>
      <c r="AM31" s="1852"/>
      <c r="AN31" s="1852"/>
      <c r="AO31" s="1852"/>
      <c r="AP31" s="1852"/>
      <c r="AQ31" s="1853"/>
    </row>
    <row r="32" spans="2:47" ht="12" customHeight="1">
      <c r="B32" s="2325" t="s">
        <v>178</v>
      </c>
      <c r="C32" s="2326" t="s">
        <v>177</v>
      </c>
      <c r="D32" s="2327">
        <f>+'Comparacion (Sin BM)'!Q47</f>
        <v>978.90255714948728</v>
      </c>
      <c r="E32" s="2327">
        <f>+'Comparacion (Sin BM)'!R47</f>
        <v>1264.0913954643502</v>
      </c>
      <c r="F32" s="2327">
        <f>D32-E32</f>
        <v>-285.18883831486289</v>
      </c>
      <c r="G32" s="2328">
        <f>F32/E32</f>
        <v>-0.22560776802859409</v>
      </c>
      <c r="H32" s="2327">
        <f>+'TP sin BM'!M32</f>
        <v>1415.243430536374</v>
      </c>
      <c r="I32" s="2327">
        <f>+D32-H32</f>
        <v>-436.34087338688676</v>
      </c>
      <c r="J32" s="2328">
        <f>I32/H32</f>
        <v>-0.30831506719767254</v>
      </c>
      <c r="K32" s="2327">
        <f>'BDGT ORI'!$G$54</f>
        <v>1040.4864886854073</v>
      </c>
      <c r="L32" s="2327">
        <f>+D32-K32</f>
        <v>-61.583931535919987</v>
      </c>
      <c r="M32" s="2328">
        <f>L32/K32</f>
        <v>-5.9187632137085812E-2</v>
      </c>
      <c r="N32" s="2948">
        <f>+'TP sin BM'!J32</f>
        <v>1371.3752065384699</v>
      </c>
      <c r="O32" s="2327">
        <f t="shared" si="8"/>
        <v>-392.47264938898263</v>
      </c>
      <c r="P32" s="2327">
        <f t="shared" si="9"/>
        <v>-0.28618910967453964</v>
      </c>
      <c r="Q32" s="2327">
        <f>'R+RP+B'!$U$50</f>
        <v>631.80418480531466</v>
      </c>
      <c r="R32" s="2327">
        <f>'0+12'!$T$58</f>
        <v>1275.7294159215703</v>
      </c>
      <c r="S32" s="2327">
        <f t="shared" si="10"/>
        <v>-643.92523111625565</v>
      </c>
      <c r="T32" s="2328">
        <f t="shared" si="7"/>
        <v>-0.50475063370008788</v>
      </c>
      <c r="U32" s="1952">
        <f>'BDGT ORI'!$U$54</f>
        <v>1386.2179696361441</v>
      </c>
      <c r="V32" s="1952">
        <f t="shared" si="11"/>
        <v>-754.4137848308294</v>
      </c>
      <c r="W32" s="1784">
        <f t="shared" si="12"/>
        <v>-0.54422450246323728</v>
      </c>
      <c r="X32" s="1006">
        <f>BDGT!$T$55</f>
        <v>1181.6240851300038</v>
      </c>
      <c r="Y32" s="1006">
        <f t="shared" si="13"/>
        <v>-549.81990032468912</v>
      </c>
      <c r="Z32" s="998">
        <f>Y32/X32</f>
        <v>-0.46530864362348984</v>
      </c>
      <c r="AB32" s="1850"/>
      <c r="AC32" s="1859"/>
      <c r="AD32" s="1859"/>
      <c r="AE32" s="1859"/>
      <c r="AF32" s="1859"/>
      <c r="AG32" s="1859"/>
      <c r="AH32" s="1859"/>
      <c r="AI32" s="1859"/>
      <c r="AJ32" s="1859"/>
      <c r="AK32" s="1859"/>
      <c r="AL32" s="1859"/>
      <c r="AM32" s="1859"/>
      <c r="AN32" s="1859"/>
      <c r="AO32" s="1859"/>
      <c r="AP32" s="1859"/>
      <c r="AQ32" s="1860"/>
    </row>
    <row r="33" spans="2:43" ht="17.25" customHeight="1" thickBot="1">
      <c r="B33" s="1017"/>
      <c r="C33" s="1018"/>
      <c r="D33" s="1019"/>
      <c r="E33" s="1019"/>
      <c r="F33" s="1019"/>
      <c r="G33" s="1020"/>
      <c r="H33" s="1019"/>
      <c r="I33" s="1019"/>
      <c r="J33" s="1020"/>
      <c r="K33" s="1019"/>
      <c r="L33" s="1019"/>
      <c r="M33" s="1020"/>
      <c r="N33" s="1019"/>
      <c r="O33" s="1019"/>
      <c r="P33" s="1019"/>
      <c r="Q33" s="1019"/>
      <c r="R33" s="1019"/>
      <c r="S33" s="1019"/>
      <c r="T33" s="1973"/>
      <c r="U33" s="1020"/>
      <c r="V33" s="1020"/>
      <c r="W33" s="1020"/>
      <c r="X33" s="1019"/>
      <c r="Y33" s="1019"/>
      <c r="Z33" s="1020"/>
      <c r="AB33" s="1850"/>
      <c r="AC33" s="1841"/>
      <c r="AD33" s="1841"/>
      <c r="AE33" s="1841"/>
      <c r="AF33" s="1841"/>
      <c r="AG33" s="1841"/>
      <c r="AH33" s="1841"/>
      <c r="AI33" s="1841"/>
      <c r="AJ33" s="1841"/>
      <c r="AK33" s="1841"/>
      <c r="AL33" s="1841"/>
      <c r="AM33" s="1841"/>
      <c r="AN33" s="1841"/>
      <c r="AO33" s="1841"/>
      <c r="AP33" s="1841"/>
      <c r="AQ33" s="1853"/>
    </row>
    <row r="34" spans="2:43" ht="17.25" customHeight="1" thickBot="1">
      <c r="C34" s="1033" t="s">
        <v>159</v>
      </c>
      <c r="D34" s="1044"/>
      <c r="E34" s="1044"/>
      <c r="F34" s="1044"/>
      <c r="G34" s="1044"/>
      <c r="H34" s="1044" t="s">
        <v>190</v>
      </c>
      <c r="AB34" s="1877"/>
      <c r="AC34" s="1859"/>
      <c r="AD34" s="1859"/>
      <c r="AE34" s="1859"/>
      <c r="AF34" s="1859"/>
      <c r="AG34" s="1859"/>
      <c r="AH34" s="1859"/>
      <c r="AI34" s="1859"/>
      <c r="AJ34" s="1859"/>
      <c r="AK34" s="1859"/>
      <c r="AL34" s="1859"/>
      <c r="AM34" s="1859"/>
      <c r="AN34" s="1859"/>
      <c r="AO34" s="1859"/>
      <c r="AP34" s="1859"/>
      <c r="AQ34" s="1860"/>
    </row>
    <row r="35" spans="2:43" ht="17.25" customHeight="1">
      <c r="B35" s="1034" t="s">
        <v>59</v>
      </c>
      <c r="C35" s="1035" t="s">
        <v>53</v>
      </c>
      <c r="D35" s="1045"/>
      <c r="G35" s="1046"/>
      <c r="H35" s="1047"/>
      <c r="N35" s="1956"/>
      <c r="O35" s="1956" t="s">
        <v>36</v>
      </c>
      <c r="P35" s="1956" t="s">
        <v>1345</v>
      </c>
      <c r="Q35" s="1956" t="s">
        <v>24</v>
      </c>
      <c r="R35" s="1956" t="s">
        <v>25</v>
      </c>
      <c r="S35" s="1956" t="s">
        <v>1346</v>
      </c>
      <c r="T35" s="1956" t="s">
        <v>28</v>
      </c>
      <c r="U35" s="1956" t="s">
        <v>1321</v>
      </c>
      <c r="AB35" s="1850"/>
      <c r="AC35" s="1841"/>
      <c r="AD35" s="1841"/>
      <c r="AE35" s="1841"/>
      <c r="AF35" s="1841"/>
      <c r="AG35" s="1841"/>
      <c r="AH35" s="1841"/>
      <c r="AI35" s="1841"/>
      <c r="AJ35" s="1841"/>
      <c r="AK35" s="1841"/>
      <c r="AL35" s="1841"/>
      <c r="AM35" s="1841"/>
      <c r="AN35" s="1841"/>
      <c r="AO35" s="1841"/>
      <c r="AP35" s="1841"/>
      <c r="AQ35" s="1853"/>
    </row>
    <row r="36" spans="2:43" ht="17.25" customHeight="1">
      <c r="B36" s="1036" t="s">
        <v>61</v>
      </c>
      <c r="C36" s="1037" t="s">
        <v>53</v>
      </c>
      <c r="D36" s="1001"/>
      <c r="G36" s="1048"/>
      <c r="H36" s="1049">
        <f>'0+12'!$P$16</f>
        <v>37.025684957446998</v>
      </c>
      <c r="N36" s="2330" t="s">
        <v>174</v>
      </c>
      <c r="O36" s="2331">
        <f>+E14</f>
        <v>8502.7681772494343</v>
      </c>
      <c r="P36" s="2332">
        <f>+E17</f>
        <v>92.650688634835248</v>
      </c>
      <c r="Q36" s="2333">
        <f>+E19</f>
        <v>0.5354493276828427</v>
      </c>
      <c r="R36" s="2334">
        <f>+E20</f>
        <v>90.294153352101702</v>
      </c>
      <c r="S36" s="2335">
        <f>+(E6-E4)*10^3</f>
        <v>-1088.5563752585697</v>
      </c>
      <c r="T36" s="2336">
        <f>O36*P36*24*$AT$17/100*Q36/100*R36/100+S36</f>
        <v>12166.031897149391</v>
      </c>
      <c r="U36" s="2337">
        <f>T36</f>
        <v>12166.031897149391</v>
      </c>
      <c r="AB36" s="1877"/>
      <c r="AC36" s="1859"/>
      <c r="AD36" s="1859"/>
      <c r="AE36" s="1859"/>
      <c r="AF36" s="1859"/>
      <c r="AG36" s="1859"/>
      <c r="AH36" s="1859"/>
      <c r="AI36" s="1859"/>
      <c r="AJ36" s="1859"/>
      <c r="AK36" s="1859"/>
      <c r="AL36" s="1859"/>
      <c r="AM36" s="1859"/>
      <c r="AN36" s="1859"/>
      <c r="AO36" s="1859"/>
      <c r="AP36" s="1859"/>
      <c r="AQ36" s="1860"/>
    </row>
    <row r="37" spans="2:43" ht="17.25" customHeight="1">
      <c r="B37" s="1036" t="s">
        <v>63</v>
      </c>
      <c r="C37" s="1037" t="s">
        <v>53</v>
      </c>
      <c r="D37" s="1001"/>
      <c r="G37" s="1048"/>
      <c r="H37" s="1049">
        <f>H36/Factores!D7*Factores!F7</f>
        <v>37.025684957446998</v>
      </c>
      <c r="N37" s="2338" t="s">
        <v>36</v>
      </c>
      <c r="O37" s="1916">
        <f>+D14</f>
        <v>8482.9059760188811</v>
      </c>
      <c r="P37" s="2334">
        <f>P36</f>
        <v>92.650688634835248</v>
      </c>
      <c r="Q37" s="2333">
        <f>Q36</f>
        <v>0.5354493276828427</v>
      </c>
      <c r="R37" s="2334">
        <f>R36</f>
        <v>90.294153352101702</v>
      </c>
      <c r="S37" s="2335">
        <f>S36</f>
        <v>-1088.5563752585697</v>
      </c>
      <c r="T37" s="2337">
        <f t="shared" ref="T37:T42" si="29">O37*P37*24*$AT$17/100*Q37/100*R37/100+S37</f>
        <v>12135.069592402668</v>
      </c>
      <c r="U37" s="2337">
        <f>T37-T36</f>
        <v>-30.962304746723021</v>
      </c>
      <c r="AB37" s="1877"/>
      <c r="AC37" s="1841"/>
      <c r="AD37" s="1841"/>
      <c r="AE37" s="1841"/>
      <c r="AF37" s="1841"/>
      <c r="AG37" s="1841"/>
      <c r="AH37" s="1841"/>
      <c r="AI37" s="1841"/>
      <c r="AJ37" s="1841"/>
      <c r="AK37" s="1841"/>
      <c r="AL37" s="1841"/>
      <c r="AM37" s="1841"/>
      <c r="AN37" s="1841"/>
      <c r="AO37" s="1841"/>
      <c r="AP37" s="1841"/>
      <c r="AQ37" s="1853"/>
    </row>
    <row r="38" spans="2:43" ht="17.25" customHeight="1">
      <c r="B38" s="1038" t="s">
        <v>66</v>
      </c>
      <c r="C38" s="1039" t="s">
        <v>53</v>
      </c>
      <c r="G38" s="1048"/>
      <c r="H38" s="1049">
        <f>'0+12'!$P$17</f>
        <v>0.90859130168825741</v>
      </c>
      <c r="N38" s="2338" t="s">
        <v>1345</v>
      </c>
      <c r="O38" s="2339">
        <f>O37</f>
        <v>8482.9059760188811</v>
      </c>
      <c r="P38" s="2340">
        <f>+D17</f>
        <v>0.91154292765382017</v>
      </c>
      <c r="Q38" s="2333">
        <f>Q36</f>
        <v>0.5354493276828427</v>
      </c>
      <c r="R38" s="2334">
        <f>R36</f>
        <v>90.294153352101702</v>
      </c>
      <c r="S38" s="2335">
        <f>S36</f>
        <v>-1088.5563752585697</v>
      </c>
      <c r="T38" s="2337">
        <f t="shared" si="29"/>
        <v>-958.45585570097489</v>
      </c>
      <c r="U38" s="2337">
        <f>T38-T37</f>
        <v>-13093.525448103643</v>
      </c>
      <c r="AB38" s="1850"/>
      <c r="AC38" s="1841"/>
      <c r="AD38" s="1841"/>
      <c r="AE38" s="1841"/>
      <c r="AF38" s="1841"/>
      <c r="AG38" s="1841"/>
      <c r="AH38" s="1841"/>
      <c r="AI38" s="1841"/>
      <c r="AJ38" s="1841"/>
      <c r="AK38" s="1841"/>
      <c r="AL38" s="1841"/>
      <c r="AM38" s="1841"/>
      <c r="AN38" s="1841"/>
      <c r="AO38" s="1841"/>
      <c r="AP38" s="1841"/>
      <c r="AQ38" s="1853"/>
    </row>
    <row r="39" spans="2:43" ht="17.25" customHeight="1">
      <c r="B39" s="1036" t="s">
        <v>68</v>
      </c>
      <c r="C39" s="1037" t="s">
        <v>53</v>
      </c>
      <c r="G39" s="1048"/>
      <c r="H39" s="1049">
        <f>'0+12'!$P$18</f>
        <v>0.90404834517981614</v>
      </c>
      <c r="N39" s="2338" t="s">
        <v>1167</v>
      </c>
      <c r="O39" s="1916">
        <f>O37</f>
        <v>8482.9059760188811</v>
      </c>
      <c r="P39" s="2340">
        <f>P38</f>
        <v>0.91154292765382017</v>
      </c>
      <c r="Q39" s="2341">
        <f>+D19</f>
        <v>0.6886811649345963</v>
      </c>
      <c r="R39" s="2334">
        <f>R36</f>
        <v>90.294153352101702</v>
      </c>
      <c r="S39" s="2335">
        <f>S36</f>
        <v>-1088.5563752585697</v>
      </c>
      <c r="T39" s="2337">
        <f t="shared" si="29"/>
        <v>-921.22443041281736</v>
      </c>
      <c r="U39" s="2337">
        <f>T39-T38</f>
        <v>37.231425288157538</v>
      </c>
      <c r="AB39" s="1883"/>
      <c r="AC39" s="1841"/>
      <c r="AD39" s="1841"/>
      <c r="AE39" s="1841"/>
      <c r="AF39" s="1841"/>
      <c r="AG39" s="1841"/>
      <c r="AH39" s="1841"/>
      <c r="AI39" s="1841"/>
      <c r="AJ39" s="1841"/>
      <c r="AK39" s="1841"/>
      <c r="AL39" s="1841"/>
      <c r="AM39" s="1841"/>
      <c r="AN39" s="1841"/>
      <c r="AO39" s="1841"/>
      <c r="AP39" s="1841"/>
      <c r="AQ39" s="1853"/>
    </row>
    <row r="40" spans="2:43" ht="17.25" customHeight="1">
      <c r="B40" s="1036" t="s">
        <v>69</v>
      </c>
      <c r="C40" s="1050" t="s">
        <v>53</v>
      </c>
      <c r="D40" s="1044"/>
      <c r="E40" s="1044"/>
      <c r="F40" s="1044"/>
      <c r="G40" s="1051"/>
      <c r="H40" s="1049">
        <f>H39</f>
        <v>0.90404834517981614</v>
      </c>
      <c r="N40" s="2338" t="s">
        <v>51</v>
      </c>
      <c r="O40" s="2339">
        <f>O37</f>
        <v>8482.9059760188811</v>
      </c>
      <c r="P40" s="2340">
        <f>P38</f>
        <v>0.91154292765382017</v>
      </c>
      <c r="Q40" s="2341">
        <f>Q39</f>
        <v>0.6886811649345963</v>
      </c>
      <c r="R40" s="2340">
        <f>+D20</f>
        <v>90.843901915011372</v>
      </c>
      <c r="S40" s="2335">
        <f>S36</f>
        <v>-1088.5563752585697</v>
      </c>
      <c r="T40" s="2337">
        <f t="shared" si="29"/>
        <v>-920.20564356125772</v>
      </c>
      <c r="U40" s="2337">
        <f>T40-T39</f>
        <v>1.0187868515596392</v>
      </c>
      <c r="AB40" s="1883"/>
      <c r="AC40" s="1841"/>
      <c r="AD40" s="1841"/>
      <c r="AE40" s="1841"/>
      <c r="AF40" s="1841"/>
      <c r="AG40" s="1841"/>
      <c r="AH40" s="1841"/>
      <c r="AI40" s="1841"/>
      <c r="AJ40" s="1841"/>
      <c r="AK40" s="1841"/>
      <c r="AL40" s="1841"/>
      <c r="AM40" s="1841"/>
      <c r="AN40" s="1841"/>
      <c r="AO40" s="1841"/>
      <c r="AP40" s="1841"/>
      <c r="AQ40" s="1853"/>
    </row>
    <row r="41" spans="2:43" ht="17.25" customHeight="1">
      <c r="B41" s="1052"/>
      <c r="C41" s="1053"/>
      <c r="D41" s="1054"/>
      <c r="E41" s="1054"/>
      <c r="F41" s="1054"/>
      <c r="G41" s="1055"/>
      <c r="H41" s="1056"/>
      <c r="N41" s="2338" t="s">
        <v>1347</v>
      </c>
      <c r="O41" s="2339">
        <f>O37</f>
        <v>8482.9059760188811</v>
      </c>
      <c r="P41" s="2340">
        <f>P38</f>
        <v>0.91154292765382017</v>
      </c>
      <c r="Q41" s="2341">
        <f>Q39</f>
        <v>0.6886811649345963</v>
      </c>
      <c r="R41" s="2340">
        <f>R40</f>
        <v>90.843901915011372</v>
      </c>
      <c r="S41" s="2337">
        <f>(D6-D4)*1000</f>
        <v>-5761.8673444867272</v>
      </c>
      <c r="T41" s="2337">
        <f t="shared" si="29"/>
        <v>-5593.5166127894154</v>
      </c>
      <c r="U41" s="2337">
        <f>+U42-SUM(U36:U40)</f>
        <v>34232.205643561261</v>
      </c>
      <c r="AB41" s="1883"/>
      <c r="AC41" s="1841"/>
      <c r="AD41" s="1841"/>
      <c r="AE41" s="1884"/>
      <c r="AF41" s="1841"/>
      <c r="AG41" s="1841"/>
      <c r="AH41" s="1841"/>
      <c r="AI41" s="1841"/>
      <c r="AJ41" s="1841"/>
      <c r="AK41" s="1841"/>
      <c r="AL41" s="1841"/>
      <c r="AM41" s="1841"/>
      <c r="AN41" s="1841"/>
      <c r="AO41" s="1841"/>
      <c r="AP41" s="1841"/>
      <c r="AQ41" s="1853"/>
    </row>
    <row r="42" spans="2:43" ht="17.25" customHeight="1">
      <c r="B42" s="1036" t="s">
        <v>78</v>
      </c>
      <c r="C42" s="1037" t="s">
        <v>53</v>
      </c>
      <c r="D42" s="1005"/>
      <c r="G42" s="1048"/>
      <c r="H42" s="1057">
        <f>'0+12'!$P$20</f>
        <v>6276.6827295932371</v>
      </c>
      <c r="N42" s="2342" t="s">
        <v>1348</v>
      </c>
      <c r="O42" s="2343">
        <f>O37</f>
        <v>8482.9059760188811</v>
      </c>
      <c r="P42" s="2344">
        <f>P38</f>
        <v>0.91154292765382017</v>
      </c>
      <c r="Q42" s="2345">
        <f>Q39</f>
        <v>0.6886811649345963</v>
      </c>
      <c r="R42" s="2344">
        <f>R40</f>
        <v>90.843901915011372</v>
      </c>
      <c r="S42" s="2346">
        <f>S41</f>
        <v>-5761.8673444867272</v>
      </c>
      <c r="T42" s="2337">
        <f t="shared" si="29"/>
        <v>-5593.5166127894154</v>
      </c>
      <c r="U42" s="2336">
        <v>33312</v>
      </c>
      <c r="AB42" s="1883"/>
      <c r="AC42" s="1841"/>
      <c r="AD42" s="1841"/>
      <c r="AE42" s="1884"/>
      <c r="AF42" s="1841"/>
      <c r="AG42" s="1841"/>
      <c r="AH42" s="1841"/>
      <c r="AI42" s="1841"/>
      <c r="AJ42" s="1841"/>
      <c r="AK42" s="1841"/>
      <c r="AL42" s="1841"/>
      <c r="AM42" s="1841"/>
      <c r="AN42" s="1841"/>
      <c r="AO42" s="1841"/>
      <c r="AP42" s="1841"/>
      <c r="AQ42" s="1853"/>
    </row>
    <row r="43" spans="2:43" ht="17.25" customHeight="1">
      <c r="B43" s="1036" t="s">
        <v>79</v>
      </c>
      <c r="C43" s="1037" t="s">
        <v>75</v>
      </c>
      <c r="D43" s="1005"/>
      <c r="G43" s="1048"/>
      <c r="H43" s="1058">
        <f>'0+12'!$P$21</f>
        <v>202.47363643849152</v>
      </c>
      <c r="AB43" s="1883"/>
      <c r="AC43" s="1841"/>
      <c r="AD43" s="1841"/>
      <c r="AE43" s="1884"/>
      <c r="AF43" s="1841"/>
      <c r="AG43" s="1841"/>
      <c r="AH43" s="1841"/>
      <c r="AI43" s="1841"/>
      <c r="AJ43" s="1841"/>
      <c r="AK43" s="1841"/>
      <c r="AL43" s="1841"/>
      <c r="AM43" s="1841"/>
      <c r="AN43" s="1841"/>
      <c r="AO43" s="1841"/>
      <c r="AP43" s="1841"/>
      <c r="AQ43" s="1853"/>
    </row>
    <row r="44" spans="2:43" ht="17.25" customHeight="1">
      <c r="B44" s="1036" t="s">
        <v>80</v>
      </c>
      <c r="C44" s="1037" t="s">
        <v>81</v>
      </c>
      <c r="D44" s="1005"/>
      <c r="G44" s="1048"/>
      <c r="H44" s="1057">
        <f>'0+12'!$P$22</f>
        <v>8785.766581685104</v>
      </c>
      <c r="AB44" s="1886"/>
      <c r="AC44" s="1841"/>
      <c r="AD44" s="1841"/>
      <c r="AE44" s="1884"/>
      <c r="AF44" s="1841"/>
      <c r="AG44" s="1841"/>
      <c r="AH44" s="1841"/>
      <c r="AI44" s="1841"/>
      <c r="AJ44" s="1841"/>
      <c r="AK44" s="1841"/>
      <c r="AL44" s="1841"/>
      <c r="AM44" s="1841"/>
      <c r="AN44" s="1841"/>
      <c r="AO44" s="1841"/>
      <c r="AP44" s="1841"/>
      <c r="AQ44" s="1853"/>
    </row>
    <row r="45" spans="2:43" ht="17.25" customHeight="1">
      <c r="B45" s="1036" t="s">
        <v>82</v>
      </c>
      <c r="C45" s="1037" t="s">
        <v>48</v>
      </c>
      <c r="D45" s="993"/>
      <c r="G45" s="1048"/>
      <c r="H45" s="1059">
        <f>'0+12'!$P$23</f>
        <v>0</v>
      </c>
      <c r="AB45" s="1883"/>
      <c r="AC45" s="1841"/>
      <c r="AD45" s="1841"/>
      <c r="AE45" s="1884"/>
      <c r="AF45" s="1841"/>
      <c r="AG45" s="1841"/>
      <c r="AH45" s="1841"/>
      <c r="AI45" s="1841"/>
      <c r="AJ45" s="1841"/>
      <c r="AK45" s="1841"/>
      <c r="AL45" s="1841"/>
      <c r="AM45" s="1841"/>
      <c r="AN45" s="1841"/>
      <c r="AO45" s="1841"/>
      <c r="AP45" s="1841"/>
      <c r="AQ45" s="1853"/>
    </row>
    <row r="46" spans="2:43" ht="17.25" customHeight="1">
      <c r="B46" s="1060" t="s">
        <v>85</v>
      </c>
      <c r="C46" s="1050" t="s">
        <v>48</v>
      </c>
      <c r="D46" s="1061"/>
      <c r="E46" s="1044"/>
      <c r="F46" s="1044"/>
      <c r="G46" s="1051"/>
      <c r="H46" s="1062">
        <f>'0+12'!$P$25</f>
        <v>0.96088086079354407</v>
      </c>
      <c r="AB46" s="1888"/>
      <c r="AC46" s="1889"/>
      <c r="AD46" s="1889" t="s">
        <v>120</v>
      </c>
      <c r="AE46" s="1889" t="s">
        <v>24</v>
      </c>
      <c r="AF46" s="1889" t="s">
        <v>25</v>
      </c>
      <c r="AG46" s="1889" t="s">
        <v>28</v>
      </c>
      <c r="AH46" s="1889" t="s">
        <v>29</v>
      </c>
      <c r="AI46" s="1841"/>
      <c r="AJ46" s="1889"/>
      <c r="AK46" s="1889" t="s">
        <v>22</v>
      </c>
      <c r="AL46" s="1889" t="s">
        <v>23</v>
      </c>
      <c r="AM46" s="1889" t="s">
        <v>24</v>
      </c>
      <c r="AN46" s="1889" t="s">
        <v>25</v>
      </c>
      <c r="AO46" s="1889" t="s">
        <v>28</v>
      </c>
      <c r="AP46" s="1890" t="s">
        <v>29</v>
      </c>
      <c r="AQ46" s="1974"/>
    </row>
    <row r="47" spans="2:43" ht="17.25" customHeight="1">
      <c r="B47" s="1036" t="s">
        <v>83</v>
      </c>
      <c r="C47" s="1037" t="s">
        <v>191</v>
      </c>
      <c r="D47" s="1014"/>
      <c r="G47" s="1048"/>
      <c r="H47" s="1063">
        <f>'0+12'!$P$64</f>
        <v>4.1365251822582652</v>
      </c>
      <c r="AB47" s="1888"/>
      <c r="AC47" s="1891" t="s">
        <v>171</v>
      </c>
      <c r="AD47" s="1892">
        <f>$N$12</f>
        <v>5835.7550737654183</v>
      </c>
      <c r="AE47" s="1893">
        <f>$N$19</f>
        <v>0.56048276877845449</v>
      </c>
      <c r="AF47" s="1893">
        <f>$N$20</f>
        <v>90.23452493939709</v>
      </c>
      <c r="AG47" s="1894">
        <f>+AD47*AE47*AF47/10</f>
        <v>29514.270813981613</v>
      </c>
      <c r="AH47" s="1894">
        <f>+AG47</f>
        <v>29514.270813981613</v>
      </c>
      <c r="AI47" s="1841"/>
      <c r="AJ47" s="1891" t="s">
        <v>171</v>
      </c>
      <c r="AK47" s="1892">
        <f>$N$14</f>
        <v>8256.2174112377379</v>
      </c>
      <c r="AL47" s="1893">
        <f>$N$17</f>
        <v>95.068132481506382</v>
      </c>
      <c r="AM47" s="1893">
        <f>$N$19</f>
        <v>0.56048276877845449</v>
      </c>
      <c r="AN47" s="1893">
        <f>$N$20</f>
        <v>90.23452493939709</v>
      </c>
      <c r="AO47" s="1894">
        <f>+(AK47*AL47*24*$AT$15/1000000)*AM47*AN47</f>
        <v>28581.405495718584</v>
      </c>
      <c r="AP47" s="1894">
        <f>+AO47</f>
        <v>28581.405495718584</v>
      </c>
      <c r="AQ47" s="1853"/>
    </row>
    <row r="48" spans="2:43" ht="17.25" customHeight="1">
      <c r="B48" s="1036" t="s">
        <v>88</v>
      </c>
      <c r="C48" s="1037"/>
      <c r="D48" s="1044"/>
      <c r="E48" s="1044"/>
      <c r="F48" s="1044"/>
      <c r="G48" s="1051"/>
      <c r="H48" s="1064">
        <f>'0+12'!$P$24</f>
        <v>39.751021567414178</v>
      </c>
      <c r="AB48" s="1888"/>
      <c r="AC48" s="1891" t="s">
        <v>173</v>
      </c>
      <c r="AD48" s="1966">
        <f>$D$12</f>
        <v>5718.2081153361341</v>
      </c>
      <c r="AE48" s="1893">
        <f>AE47</f>
        <v>0.56048276877845449</v>
      </c>
      <c r="AF48" s="1893">
        <f>AF47</f>
        <v>90.23452493939709</v>
      </c>
      <c r="AG48" s="1894">
        <f>+AD48*AE48*AF48/10</f>
        <v>28919.778289777161</v>
      </c>
      <c r="AH48" s="1894">
        <f>+AG48-AG47</f>
        <v>-594.49252420445191</v>
      </c>
      <c r="AI48" s="1841"/>
      <c r="AJ48" s="1896" t="s">
        <v>36</v>
      </c>
      <c r="AK48" s="1968">
        <f>$D$14</f>
        <v>8482.9059760188811</v>
      </c>
      <c r="AL48" s="1893">
        <f>+AL47</f>
        <v>95.068132481506382</v>
      </c>
      <c r="AM48" s="1893">
        <f>$N$19</f>
        <v>0.56048276877845449</v>
      </c>
      <c r="AN48" s="1893">
        <f>$N$20</f>
        <v>90.23452493939709</v>
      </c>
      <c r="AO48" s="1894">
        <f>+(AK48*AL48*24*$AT$15/1000000)*AM48*AN48</f>
        <v>29366.156849581119</v>
      </c>
      <c r="AP48" s="1894">
        <f>+AO48-AO47</f>
        <v>784.75135386253532</v>
      </c>
      <c r="AQ48" s="1853"/>
    </row>
    <row r="49" spans="2:43" ht="17.25" customHeight="1">
      <c r="B49" s="1040" t="s">
        <v>89</v>
      </c>
      <c r="C49" s="1041" t="s">
        <v>48</v>
      </c>
      <c r="D49" s="1012"/>
      <c r="G49" s="1048"/>
      <c r="H49" s="1049">
        <f>'0+12'!$P$33</f>
        <v>0.67740650217743448</v>
      </c>
      <c r="AB49" s="1888"/>
      <c r="AC49" s="1896" t="s">
        <v>1167</v>
      </c>
      <c r="AD49" s="1895">
        <f>AD48</f>
        <v>5718.2081153361341</v>
      </c>
      <c r="AE49" s="1969">
        <f>$D$19</f>
        <v>0.6886811649345963</v>
      </c>
      <c r="AF49" s="1893">
        <f>AF47</f>
        <v>90.23452493939709</v>
      </c>
      <c r="AG49" s="1894">
        <f>+AD49*AE49*AF49/10</f>
        <v>35534.55647826795</v>
      </c>
      <c r="AH49" s="1894">
        <f>+AG49-AG48</f>
        <v>6614.778188490789</v>
      </c>
      <c r="AI49" s="1841"/>
      <c r="AJ49" s="1896" t="s">
        <v>41</v>
      </c>
      <c r="AK49" s="1897">
        <f>AK48</f>
        <v>8482.9059760188811</v>
      </c>
      <c r="AL49" s="1969">
        <f>$D$17</f>
        <v>0.91154292765382017</v>
      </c>
      <c r="AM49" s="1893">
        <f>$N$19</f>
        <v>0.56048276877845449</v>
      </c>
      <c r="AN49" s="1893">
        <f>$N$20</f>
        <v>90.23452493939709</v>
      </c>
      <c r="AO49" s="1894">
        <f>+(AK49*AL49*24*$AT$15/1000000)*AM49*AN49</f>
        <v>281.57187787206971</v>
      </c>
      <c r="AP49" s="1894">
        <f>+AO49-AO48</f>
        <v>-29084.58497170905</v>
      </c>
      <c r="AQ49" s="1853"/>
    </row>
    <row r="50" spans="2:43" ht="17.25" customHeight="1">
      <c r="B50" s="1036" t="s">
        <v>90</v>
      </c>
      <c r="C50" s="1037" t="s">
        <v>48</v>
      </c>
      <c r="D50" s="1012"/>
      <c r="G50" s="1048"/>
      <c r="H50" s="1063">
        <f>'0+12'!$P$34</f>
        <v>91.307937278112178</v>
      </c>
      <c r="AB50" s="1850"/>
      <c r="AC50" s="1896" t="s">
        <v>51</v>
      </c>
      <c r="AD50" s="1895">
        <f>AD48</f>
        <v>5718.2081153361341</v>
      </c>
      <c r="AE50" s="1898">
        <f>AE49</f>
        <v>0.6886811649345963</v>
      </c>
      <c r="AF50" s="1969">
        <f>$D$20</f>
        <v>90.843901915011372</v>
      </c>
      <c r="AG50" s="1894">
        <f>+AD50*AE50*AF50/10</f>
        <v>35774.530485678799</v>
      </c>
      <c r="AH50" s="1894">
        <f>+AG50-AG49</f>
        <v>239.97400741084857</v>
      </c>
      <c r="AI50" s="1841"/>
      <c r="AJ50" s="1896" t="s">
        <v>1167</v>
      </c>
      <c r="AK50" s="1897">
        <f>AK48</f>
        <v>8482.9059760188811</v>
      </c>
      <c r="AL50" s="1898">
        <f>AL49</f>
        <v>0.91154292765382017</v>
      </c>
      <c r="AM50" s="1969">
        <f>$D$19</f>
        <v>0.6886811649345963</v>
      </c>
      <c r="AN50" s="1893">
        <f>$N$20</f>
        <v>90.23452493939709</v>
      </c>
      <c r="AO50" s="1894">
        <f>+(AK50*AL50*24*$AT$15/1000000)*AM50*AN50</f>
        <v>345.97539776001241</v>
      </c>
      <c r="AP50" s="1894">
        <f>+AO50-AO49</f>
        <v>64.403519887942707</v>
      </c>
      <c r="AQ50" s="1853"/>
    </row>
    <row r="51" spans="2:43" ht="17.25" customHeight="1">
      <c r="B51" s="1036" t="s">
        <v>92</v>
      </c>
      <c r="C51" s="1037" t="s">
        <v>53</v>
      </c>
      <c r="D51" s="1012"/>
      <c r="G51" s="1048"/>
      <c r="H51" s="1063">
        <f>'0+12'!$P$35</f>
        <v>142.47260790759987</v>
      </c>
      <c r="AB51" s="1850"/>
      <c r="AC51" s="1896" t="s">
        <v>1144</v>
      </c>
      <c r="AD51" s="1895">
        <f>AD48</f>
        <v>5718.2081153361341</v>
      </c>
      <c r="AE51" s="1898">
        <f>AE49</f>
        <v>0.6886811649345963</v>
      </c>
      <c r="AF51" s="1898">
        <f>AF50</f>
        <v>90.843901915011372</v>
      </c>
      <c r="AG51" s="1894">
        <f>+AD51*AE51*AF51/10</f>
        <v>35774.530485678799</v>
      </c>
      <c r="AH51" s="1894">
        <f>+SUM(AH47:AH50)</f>
        <v>35774.530485678799</v>
      </c>
      <c r="AI51" s="1841"/>
      <c r="AJ51" s="1896" t="s">
        <v>51</v>
      </c>
      <c r="AK51" s="1897">
        <f>AK48</f>
        <v>8482.9059760188811</v>
      </c>
      <c r="AL51" s="1898">
        <f>AL49</f>
        <v>0.91154292765382017</v>
      </c>
      <c r="AM51" s="1898">
        <f>AM50</f>
        <v>0.6886811649345963</v>
      </c>
      <c r="AN51" s="1969">
        <f>$D$20</f>
        <v>90.843901915011372</v>
      </c>
      <c r="AO51" s="1894">
        <f>+(AK51*AL51*24*$AT$15/1000000)*AM51*AN51</f>
        <v>348.31185868409375</v>
      </c>
      <c r="AP51" s="1894">
        <f>+AO51-AO50</f>
        <v>2.3364609240813365</v>
      </c>
      <c r="AQ51" s="1853"/>
    </row>
    <row r="52" spans="2:43" ht="17.25" customHeight="1">
      <c r="B52" s="1060" t="s">
        <v>93</v>
      </c>
      <c r="C52" s="1050" t="s">
        <v>48</v>
      </c>
      <c r="D52" s="1065"/>
      <c r="E52" s="1044"/>
      <c r="F52" s="1044"/>
      <c r="G52" s="1051"/>
      <c r="H52" s="1062">
        <f>'0+12'!$P$36</f>
        <v>27.249384406241184</v>
      </c>
      <c r="AB52" s="1850"/>
      <c r="AC52" s="1841"/>
      <c r="AD52" s="1841"/>
      <c r="AE52" s="1841"/>
      <c r="AF52" s="1841"/>
      <c r="AG52" s="1841"/>
      <c r="AH52" s="1841"/>
      <c r="AI52" s="1841"/>
      <c r="AJ52" s="981" t="s">
        <v>1187</v>
      </c>
      <c r="AK52" s="1897">
        <f>AK49</f>
        <v>8482.9059760188811</v>
      </c>
      <c r="AL52" s="1898">
        <f>AL50</f>
        <v>0.91154292765382017</v>
      </c>
      <c r="AM52" s="1898">
        <f>AM51</f>
        <v>0.6886811649345963</v>
      </c>
      <c r="AN52" s="1969">
        <f>$D$20</f>
        <v>90.843901915011372</v>
      </c>
      <c r="AO52" s="1894">
        <f>+(AK52*AL52*24*$AT$17/1000000)*AM52*AN52</f>
        <v>168.350731697312</v>
      </c>
      <c r="AP52" s="1894">
        <f>+AO52-AO51</f>
        <v>-179.96112698678175</v>
      </c>
      <c r="AQ52" s="1853"/>
    </row>
    <row r="53" spans="2:43" ht="17.25" customHeight="1">
      <c r="B53" s="1036"/>
      <c r="C53" s="1066"/>
      <c r="D53" s="1054"/>
      <c r="E53" s="1054"/>
      <c r="F53" s="1054"/>
      <c r="G53" s="1055"/>
      <c r="H53" s="1056"/>
      <c r="AB53" s="1850"/>
      <c r="AC53" s="1841"/>
      <c r="AD53" s="1841"/>
      <c r="AE53" s="1841"/>
      <c r="AF53" s="1841"/>
      <c r="AG53" s="1841"/>
      <c r="AH53" s="1841"/>
      <c r="AI53" s="1841"/>
      <c r="AJ53" s="1896" t="s">
        <v>1144</v>
      </c>
      <c r="AK53" s="1897">
        <f>AK48</f>
        <v>8482.9059760188811</v>
      </c>
      <c r="AL53" s="1898">
        <f>AL49</f>
        <v>0.91154292765382017</v>
      </c>
      <c r="AM53" s="1898">
        <f>AM50</f>
        <v>0.6886811649345963</v>
      </c>
      <c r="AN53" s="1898">
        <f>AN51</f>
        <v>90.843901915011372</v>
      </c>
      <c r="AO53" s="1894">
        <f>+(AK53*AL53*24*$AT$15/1000000)*AM53*AN53</f>
        <v>348.31185868409375</v>
      </c>
      <c r="AP53" s="1894">
        <f>SUM(AP47:AP52)</f>
        <v>168.3507316973116</v>
      </c>
      <c r="AQ53" s="1853"/>
    </row>
    <row r="54" spans="2:43" ht="17.25" customHeight="1">
      <c r="B54" s="1040" t="s">
        <v>94</v>
      </c>
      <c r="C54" s="1037" t="s">
        <v>95</v>
      </c>
      <c r="D54" s="1007"/>
      <c r="G54" s="1048"/>
      <c r="H54" s="1058">
        <f>'0+12'!$P$38</f>
        <v>174.50350866208188</v>
      </c>
      <c r="AB54" s="1900"/>
      <c r="AC54" s="1905"/>
      <c r="AD54" s="1905"/>
      <c r="AE54" s="1905"/>
      <c r="AF54" s="1905"/>
      <c r="AG54" s="1905"/>
      <c r="AH54" s="1905"/>
      <c r="AI54" s="1905"/>
      <c r="AJ54" s="1902"/>
      <c r="AK54" s="1903"/>
      <c r="AL54" s="1904"/>
      <c r="AM54" s="1904"/>
      <c r="AN54" s="1904"/>
      <c r="AO54" s="1903"/>
      <c r="AP54" s="1903"/>
      <c r="AQ54" s="1975"/>
    </row>
    <row r="55" spans="2:43" ht="17.25" customHeight="1">
      <c r="B55" s="1036" t="s">
        <v>96</v>
      </c>
      <c r="C55" s="1037" t="s">
        <v>48</v>
      </c>
      <c r="D55" s="1012"/>
      <c r="G55" s="1048"/>
      <c r="H55" s="1063">
        <f>'0+12'!$P$39</f>
        <v>82.953408301814221</v>
      </c>
    </row>
    <row r="56" spans="2:43" ht="17.25" customHeight="1">
      <c r="B56" s="1036" t="s">
        <v>153</v>
      </c>
      <c r="C56" s="1037" t="s">
        <v>100</v>
      </c>
      <c r="D56" s="1012"/>
      <c r="G56" s="1048"/>
      <c r="H56" s="1057">
        <f>'0+12'!$P$42*1000</f>
        <v>1682.5764846078841</v>
      </c>
      <c r="AB56" s="1844"/>
      <c r="AC56" s="1845"/>
      <c r="AD56" s="1845"/>
      <c r="AE56" s="1845"/>
      <c r="AF56" s="1845"/>
      <c r="AG56" s="1845"/>
      <c r="AH56" s="1845"/>
      <c r="AI56" s="1845"/>
      <c r="AJ56" s="1845"/>
      <c r="AK56" s="1845"/>
      <c r="AL56" s="1845"/>
      <c r="AM56" s="1845"/>
      <c r="AN56" s="1845"/>
      <c r="AO56" s="1845"/>
      <c r="AP56" s="1845"/>
      <c r="AQ56" s="1846"/>
    </row>
    <row r="57" spans="2:43" ht="17.25" customHeight="1">
      <c r="B57" s="1060" t="s">
        <v>102</v>
      </c>
      <c r="C57" s="1050" t="s">
        <v>48</v>
      </c>
      <c r="D57" s="1044"/>
      <c r="E57" s="1044"/>
      <c r="F57" s="1044"/>
      <c r="G57" s="1051"/>
      <c r="H57" s="1067">
        <f>'0+12'!$P$43</f>
        <v>54</v>
      </c>
      <c r="AB57" s="1850"/>
      <c r="AC57" s="1976" t="s">
        <v>1188</v>
      </c>
      <c r="AD57" s="1977"/>
      <c r="AE57" s="1977"/>
      <c r="AF57" s="1977"/>
      <c r="AG57" s="1977"/>
      <c r="AH57" s="1977"/>
      <c r="AI57" s="1977"/>
      <c r="AJ57" s="1977"/>
      <c r="AK57" s="1977"/>
      <c r="AL57" s="1977"/>
      <c r="AM57" s="1977"/>
      <c r="AN57" s="1977"/>
      <c r="AO57" s="1977"/>
      <c r="AP57" s="1977"/>
      <c r="AQ57" s="1853"/>
    </row>
    <row r="58" spans="2:43" ht="17.25" customHeight="1">
      <c r="B58" s="1036"/>
      <c r="C58" s="1066"/>
      <c r="D58" s="1054"/>
      <c r="E58" s="1054"/>
      <c r="F58" s="1054"/>
      <c r="G58" s="1055"/>
      <c r="H58" s="1056"/>
      <c r="AB58" s="1850"/>
      <c r="AC58" s="1859"/>
      <c r="AD58" s="1859"/>
      <c r="AE58" s="1859"/>
      <c r="AF58" s="1859"/>
      <c r="AG58" s="1859"/>
      <c r="AH58" s="1859"/>
      <c r="AI58" s="1859"/>
      <c r="AJ58" s="1859"/>
      <c r="AK58" s="1859"/>
      <c r="AL58" s="1859"/>
      <c r="AM58" s="1859"/>
      <c r="AN58" s="1859"/>
      <c r="AO58" s="1859"/>
      <c r="AP58" s="1859"/>
      <c r="AQ58" s="1860"/>
    </row>
    <row r="59" spans="2:43" ht="17.25" customHeight="1">
      <c r="B59" s="1040" t="s">
        <v>105</v>
      </c>
      <c r="C59" s="1037" t="s">
        <v>95</v>
      </c>
      <c r="D59" s="1014"/>
      <c r="G59" s="1048"/>
      <c r="H59" s="1063">
        <f>'0+12'!$P$57</f>
        <v>25.724093489482975</v>
      </c>
      <c r="AB59" s="1850"/>
      <c r="AC59" s="1841"/>
      <c r="AD59" s="1841"/>
      <c r="AE59" s="1841"/>
      <c r="AF59" s="1841"/>
      <c r="AG59" s="1841"/>
      <c r="AH59" s="1841"/>
      <c r="AI59" s="1841"/>
      <c r="AJ59" s="1841"/>
      <c r="AK59" s="1841"/>
      <c r="AL59" s="1841"/>
      <c r="AM59" s="1841"/>
      <c r="AN59" s="1841"/>
      <c r="AO59" s="1841"/>
      <c r="AP59" s="1841"/>
      <c r="AQ59" s="1853"/>
    </row>
    <row r="60" spans="2:43" ht="17.25" customHeight="1" thickBot="1">
      <c r="B60" s="1042" t="s">
        <v>107</v>
      </c>
      <c r="C60" s="1043" t="s">
        <v>95</v>
      </c>
      <c r="D60" s="1068"/>
      <c r="E60" s="1044"/>
      <c r="F60" s="1044"/>
      <c r="G60" s="1051"/>
      <c r="H60" s="1069">
        <f>'0+12'!$P$58</f>
        <v>1151.1531836543631</v>
      </c>
      <c r="AB60" s="1877"/>
      <c r="AC60" s="1859"/>
      <c r="AD60" s="1859"/>
      <c r="AE60" s="1859"/>
      <c r="AF60" s="1859"/>
      <c r="AG60" s="1859"/>
      <c r="AH60" s="1859"/>
      <c r="AI60" s="1859"/>
      <c r="AJ60" s="1859"/>
      <c r="AK60" s="1859"/>
      <c r="AL60" s="1859"/>
      <c r="AM60" s="1859"/>
      <c r="AN60" s="1859"/>
      <c r="AO60" s="1859"/>
      <c r="AP60" s="1859"/>
      <c r="AQ60" s="1860"/>
    </row>
    <row r="61" spans="2:43" ht="17.25" customHeight="1" thickBot="1">
      <c r="AB61" s="1850"/>
      <c r="AC61" s="1841"/>
      <c r="AD61" s="1841"/>
      <c r="AE61" s="1841"/>
      <c r="AF61" s="1841"/>
      <c r="AG61" s="1841"/>
      <c r="AH61" s="1841"/>
      <c r="AI61" s="1841"/>
      <c r="AJ61" s="1841"/>
      <c r="AK61" s="1841"/>
      <c r="AL61" s="1841"/>
      <c r="AM61" s="1841"/>
      <c r="AN61" s="1841"/>
      <c r="AO61" s="1841"/>
      <c r="AP61" s="1841"/>
      <c r="AQ61" s="1853"/>
    </row>
    <row r="62" spans="2:43" ht="17.25" customHeight="1" thickBot="1">
      <c r="B62" s="1070" t="s">
        <v>118</v>
      </c>
      <c r="C62" s="1071" t="s">
        <v>53</v>
      </c>
      <c r="D62" s="1054"/>
      <c r="E62" s="1054"/>
      <c r="F62" s="1054"/>
      <c r="G62" s="1054"/>
      <c r="H62" s="1072">
        <f>'0+12'!$N$11</f>
        <v>0</v>
      </c>
      <c r="AB62" s="1877"/>
      <c r="AC62" s="1859"/>
      <c r="AD62" s="1859"/>
      <c r="AE62" s="1859"/>
      <c r="AF62" s="1859"/>
      <c r="AG62" s="1859"/>
      <c r="AH62" s="1859"/>
      <c r="AI62" s="1859"/>
      <c r="AJ62" s="1859"/>
      <c r="AK62" s="1859"/>
      <c r="AL62" s="1859"/>
      <c r="AM62" s="1859"/>
      <c r="AN62" s="1859"/>
      <c r="AO62" s="1859"/>
      <c r="AP62" s="1859"/>
      <c r="AQ62" s="1860"/>
    </row>
    <row r="63" spans="2:43" ht="17.25" customHeight="1">
      <c r="AB63" s="1877"/>
      <c r="AC63" s="1841"/>
      <c r="AD63" s="1841"/>
      <c r="AE63" s="1841"/>
      <c r="AF63" s="1841"/>
      <c r="AG63" s="1841"/>
      <c r="AH63" s="1841"/>
      <c r="AI63" s="1841"/>
      <c r="AJ63" s="1841"/>
      <c r="AK63" s="1841"/>
      <c r="AL63" s="1841"/>
      <c r="AM63" s="1841"/>
      <c r="AN63" s="1841"/>
      <c r="AO63" s="1841"/>
      <c r="AP63" s="1841"/>
      <c r="AQ63" s="1853"/>
    </row>
    <row r="64" spans="2:43" ht="17.25" customHeight="1">
      <c r="AB64" s="1850"/>
      <c r="AC64" s="1841"/>
      <c r="AD64" s="1841"/>
      <c r="AE64" s="1841"/>
      <c r="AF64" s="1841"/>
      <c r="AG64" s="1841"/>
      <c r="AH64" s="1841"/>
      <c r="AI64" s="1841"/>
      <c r="AJ64" s="1841"/>
      <c r="AK64" s="1841"/>
      <c r="AL64" s="1841"/>
      <c r="AM64" s="1841"/>
      <c r="AN64" s="1841"/>
      <c r="AO64" s="1841"/>
      <c r="AP64" s="1841"/>
      <c r="AQ64" s="1853"/>
    </row>
    <row r="65" spans="28:43" ht="17.25" customHeight="1">
      <c r="AB65" s="1883"/>
      <c r="AC65" s="1841"/>
      <c r="AD65" s="1841"/>
      <c r="AE65" s="1841"/>
      <c r="AF65" s="1841"/>
      <c r="AG65" s="1841"/>
      <c r="AH65" s="1841"/>
      <c r="AI65" s="1841"/>
      <c r="AJ65" s="1841"/>
      <c r="AK65" s="1841"/>
      <c r="AL65" s="1841"/>
      <c r="AM65" s="1841"/>
      <c r="AN65" s="1841"/>
      <c r="AO65" s="1841"/>
      <c r="AP65" s="1841"/>
      <c r="AQ65" s="1853"/>
    </row>
    <row r="66" spans="28:43" ht="17.25" customHeight="1">
      <c r="AB66" s="1883"/>
      <c r="AC66" s="1841"/>
      <c r="AD66" s="1841"/>
      <c r="AE66" s="1841"/>
      <c r="AF66" s="1841"/>
      <c r="AG66" s="1841"/>
      <c r="AH66" s="1841"/>
      <c r="AI66" s="1841"/>
      <c r="AJ66" s="1841"/>
      <c r="AK66" s="1841"/>
      <c r="AL66" s="1841"/>
      <c r="AM66" s="1841"/>
      <c r="AN66" s="1841"/>
      <c r="AO66" s="1841"/>
      <c r="AP66" s="1841"/>
      <c r="AQ66" s="1853"/>
    </row>
    <row r="67" spans="28:43" ht="17.25" customHeight="1">
      <c r="AB67" s="1883"/>
      <c r="AC67" s="1841"/>
      <c r="AD67" s="1841"/>
      <c r="AE67" s="1884"/>
      <c r="AF67" s="1841"/>
      <c r="AG67" s="1841"/>
      <c r="AH67" s="1841"/>
      <c r="AI67" s="1841"/>
      <c r="AJ67" s="1841"/>
      <c r="AK67" s="1841"/>
      <c r="AL67" s="1841"/>
      <c r="AM67" s="1841"/>
      <c r="AN67" s="1841"/>
      <c r="AO67" s="1841"/>
      <c r="AP67" s="1841"/>
      <c r="AQ67" s="1853"/>
    </row>
    <row r="68" spans="28:43" ht="17.25" customHeight="1">
      <c r="AB68" s="1883"/>
      <c r="AC68" s="1841"/>
      <c r="AD68" s="1841"/>
      <c r="AE68" s="1884"/>
      <c r="AF68" s="1841"/>
      <c r="AG68" s="1841"/>
      <c r="AH68" s="1841"/>
      <c r="AI68" s="1841"/>
      <c r="AJ68" s="1841"/>
      <c r="AK68" s="1841"/>
      <c r="AL68" s="1841"/>
      <c r="AM68" s="1841"/>
      <c r="AN68" s="1841"/>
      <c r="AO68" s="1841"/>
      <c r="AP68" s="1841"/>
      <c r="AQ68" s="1853"/>
    </row>
    <row r="69" spans="28:43" ht="17.25" customHeight="1">
      <c r="AB69" s="1883"/>
      <c r="AC69" s="1841"/>
      <c r="AD69" s="1841"/>
      <c r="AE69" s="1884"/>
      <c r="AF69" s="1841"/>
      <c r="AG69" s="1841"/>
      <c r="AH69" s="1841"/>
      <c r="AI69" s="1841"/>
      <c r="AJ69" s="1841"/>
      <c r="AK69" s="1841"/>
      <c r="AL69" s="1841"/>
      <c r="AM69" s="1841"/>
      <c r="AN69" s="1841"/>
      <c r="AO69" s="1841"/>
      <c r="AP69" s="1841"/>
      <c r="AQ69" s="1853"/>
    </row>
    <row r="70" spans="28:43" ht="17.25" customHeight="1">
      <c r="AB70" s="1886"/>
      <c r="AC70" s="1841"/>
      <c r="AD70" s="1841"/>
      <c r="AE70" s="1884"/>
      <c r="AF70" s="1841"/>
      <c r="AG70" s="1841"/>
      <c r="AH70" s="1841"/>
      <c r="AI70" s="1841"/>
      <c r="AJ70" s="1841"/>
      <c r="AK70" s="1841"/>
      <c r="AL70" s="1841"/>
      <c r="AM70" s="1841"/>
      <c r="AN70" s="1841"/>
      <c r="AO70" s="1841"/>
      <c r="AP70" s="1841"/>
      <c r="AQ70" s="1853"/>
    </row>
    <row r="71" spans="28:43" ht="17.25" customHeight="1">
      <c r="AB71" s="1883"/>
      <c r="AC71" s="1841"/>
      <c r="AD71" s="1841"/>
      <c r="AE71" s="1884"/>
      <c r="AF71" s="1841"/>
      <c r="AG71" s="1841"/>
      <c r="AH71" s="1841"/>
      <c r="AI71" s="1841"/>
      <c r="AJ71" s="1841"/>
      <c r="AK71" s="1841"/>
      <c r="AL71" s="1841"/>
      <c r="AM71" s="1841"/>
      <c r="AN71" s="1841"/>
      <c r="AO71" s="1841"/>
      <c r="AP71" s="1841"/>
      <c r="AQ71" s="1853"/>
    </row>
    <row r="72" spans="28:43" ht="17.25" customHeight="1">
      <c r="AB72" s="1888"/>
      <c r="AC72" s="1889"/>
      <c r="AD72" s="1889" t="s">
        <v>120</v>
      </c>
      <c r="AE72" s="1889" t="s">
        <v>24</v>
      </c>
      <c r="AF72" s="1889" t="s">
        <v>25</v>
      </c>
      <c r="AG72" s="1889" t="s">
        <v>28</v>
      </c>
      <c r="AH72" s="1889" t="s">
        <v>29</v>
      </c>
      <c r="AI72" s="1841"/>
      <c r="AJ72" s="1889"/>
      <c r="AK72" s="1889" t="s">
        <v>22</v>
      </c>
      <c r="AL72" s="1889" t="s">
        <v>23</v>
      </c>
      <c r="AM72" s="1889" t="s">
        <v>24</v>
      </c>
      <c r="AN72" s="1889" t="s">
        <v>25</v>
      </c>
      <c r="AO72" s="1889" t="s">
        <v>28</v>
      </c>
      <c r="AP72" s="1890" t="s">
        <v>29</v>
      </c>
      <c r="AQ72" s="1974"/>
    </row>
    <row r="73" spans="28:43" ht="17.25" customHeight="1">
      <c r="AB73" s="1888"/>
      <c r="AC73" s="1891" t="s">
        <v>171</v>
      </c>
      <c r="AD73" s="1892">
        <f>$X$12</f>
        <v>15189.938313137327</v>
      </c>
      <c r="AE73" s="1893">
        <f>$X$19</f>
        <v>0.52083855986685346</v>
      </c>
      <c r="AF73" s="1893">
        <f>$X$20</f>
        <v>89.998004776086447</v>
      </c>
      <c r="AG73" s="1894">
        <f>+AD73*AE73*AF73/10</f>
        <v>71201.971836811441</v>
      </c>
      <c r="AH73" s="1894">
        <f>+AG73</f>
        <v>71201.971836811441</v>
      </c>
      <c r="AI73" s="1841"/>
      <c r="AJ73" s="1891" t="s">
        <v>171</v>
      </c>
      <c r="AK73" s="1892">
        <f>$X$14</f>
        <v>8151.9777351096309</v>
      </c>
      <c r="AL73" s="1893">
        <f>$X$17</f>
        <v>86.265923156132303</v>
      </c>
      <c r="AM73" s="1893">
        <f>$X$19</f>
        <v>0.52083855986685346</v>
      </c>
      <c r="AN73" s="1893">
        <f>$X$20</f>
        <v>89.998004776086447</v>
      </c>
      <c r="AO73" s="1894">
        <f>+(AK73*AL73*24*$AT$16/1000000)*AM73*AN73</f>
        <v>71201.971836811455</v>
      </c>
      <c r="AP73" s="1894">
        <f>+AO73</f>
        <v>71201.971836811455</v>
      </c>
      <c r="AQ73" s="1853"/>
    </row>
    <row r="74" spans="28:43" ht="17.25" customHeight="1">
      <c r="AB74" s="1888"/>
      <c r="AC74" s="1891" t="s">
        <v>173</v>
      </c>
      <c r="AD74" s="1966">
        <f>$Q$12</f>
        <v>14929.683820629605</v>
      </c>
      <c r="AE74" s="1893">
        <f>AE73</f>
        <v>0.52083855986685346</v>
      </c>
      <c r="AF74" s="1893">
        <f>AF73</f>
        <v>89.998004776086447</v>
      </c>
      <c r="AG74" s="1894">
        <f>+AD74*AE74*AF74/10</f>
        <v>69982.04370649693</v>
      </c>
      <c r="AH74" s="1894">
        <f>+AG74-AG73</f>
        <v>-1219.9281303145108</v>
      </c>
      <c r="AI74" s="1841"/>
      <c r="AJ74" s="1896" t="s">
        <v>36</v>
      </c>
      <c r="AK74" s="1968">
        <f>$Q$14</f>
        <v>8426.8957127773465</v>
      </c>
      <c r="AL74" s="1893">
        <f>+AL73</f>
        <v>86.265923156132303</v>
      </c>
      <c r="AM74" s="1893">
        <f>AM73</f>
        <v>0.52083855986685346</v>
      </c>
      <c r="AN74" s="1893">
        <f>AN73</f>
        <v>89.998004776086447</v>
      </c>
      <c r="AO74" s="1894">
        <f>+(AK74*AL74*24*$AT$16/1000000)*AM74*AN74</f>
        <v>73603.193078992219</v>
      </c>
      <c r="AP74" s="1894">
        <f>+AO74-AO73</f>
        <v>2401.2212421807635</v>
      </c>
      <c r="AQ74" s="1853"/>
    </row>
    <row r="75" spans="28:43" ht="17.25" customHeight="1">
      <c r="AB75" s="1888"/>
      <c r="AC75" s="1896" t="s">
        <v>1167</v>
      </c>
      <c r="AD75" s="1895">
        <f>AD74</f>
        <v>14929.683820629605</v>
      </c>
      <c r="AE75" s="1969">
        <f>$Q$19</f>
        <v>0.51253836495611338</v>
      </c>
      <c r="AF75" s="1893">
        <f>AF73</f>
        <v>89.998004776086447</v>
      </c>
      <c r="AG75" s="1894">
        <f>+AD75*AE75*AF75/10</f>
        <v>68866.794860166599</v>
      </c>
      <c r="AH75" s="1894">
        <f>+AG75-AG74</f>
        <v>-1115.2488463303307</v>
      </c>
      <c r="AI75" s="1841"/>
      <c r="AJ75" s="1896" t="s">
        <v>41</v>
      </c>
      <c r="AK75" s="1897">
        <f>AK74</f>
        <v>8426.8957127773465</v>
      </c>
      <c r="AL75" s="1969">
        <f>$Q$17</f>
        <v>82.021789438057056</v>
      </c>
      <c r="AM75" s="1893">
        <f>AM73</f>
        <v>0.52083855986685346</v>
      </c>
      <c r="AN75" s="1893">
        <f>AN73</f>
        <v>89.998004776086447</v>
      </c>
      <c r="AO75" s="1894">
        <f>+(AK75*AL75*24*$AT$16/1000000)*AM75*AN75</f>
        <v>69982.043706496959</v>
      </c>
      <c r="AP75" s="1894">
        <f>+AO75-AO74</f>
        <v>-3621.1493724952597</v>
      </c>
      <c r="AQ75" s="1853"/>
    </row>
    <row r="76" spans="28:43" ht="17.25" customHeight="1">
      <c r="AB76" s="1850"/>
      <c r="AC76" s="1896" t="s">
        <v>51</v>
      </c>
      <c r="AD76" s="1895">
        <f>AD74</f>
        <v>14929.683820629605</v>
      </c>
      <c r="AE76" s="1898">
        <f>AE75</f>
        <v>0.51253836495611338</v>
      </c>
      <c r="AF76" s="1969">
        <f>$Q$20</f>
        <v>90.504839111115729</v>
      </c>
      <c r="AG76" s="1894">
        <f>+AD76*AE76*AF76/10</f>
        <v>69254.626304490186</v>
      </c>
      <c r="AH76" s="1894">
        <f>+AG76-AG75</f>
        <v>387.83144432358677</v>
      </c>
      <c r="AI76" s="1841"/>
      <c r="AJ76" s="1896" t="s">
        <v>1167</v>
      </c>
      <c r="AK76" s="1897">
        <f>AK74</f>
        <v>8426.8957127773465</v>
      </c>
      <c r="AL76" s="1898">
        <f>AL75</f>
        <v>82.021789438057056</v>
      </c>
      <c r="AM76" s="1969">
        <f>$Q$19</f>
        <v>0.51253836495611338</v>
      </c>
      <c r="AN76" s="1893">
        <f>AN73</f>
        <v>89.998004776086447</v>
      </c>
      <c r="AO76" s="1894">
        <f>+(AK76*AL76*24*$AT$16/1000000)*AM76*AN76</f>
        <v>68866.794860166628</v>
      </c>
      <c r="AP76" s="1894">
        <f>+AO76-AO75</f>
        <v>-1115.2488463303307</v>
      </c>
      <c r="AQ76" s="1853"/>
    </row>
    <row r="77" spans="28:43" ht="17.25" customHeight="1">
      <c r="AB77" s="1850"/>
      <c r="AC77" s="1896" t="s">
        <v>1144</v>
      </c>
      <c r="AD77" s="1895">
        <f>AD74</f>
        <v>14929.683820629605</v>
      </c>
      <c r="AE77" s="1898">
        <f>AE75</f>
        <v>0.51253836495611338</v>
      </c>
      <c r="AF77" s="1898">
        <f>AF76</f>
        <v>90.504839111115729</v>
      </c>
      <c r="AG77" s="1894">
        <f>+AD77*AE77*AF77/10</f>
        <v>69254.626304490186</v>
      </c>
      <c r="AH77" s="1894">
        <f>+SUM(AH73:AH76)</f>
        <v>69254.626304490186</v>
      </c>
      <c r="AI77" s="1841"/>
      <c r="AJ77" s="1896" t="s">
        <v>51</v>
      </c>
      <c r="AK77" s="1897">
        <f>AK74</f>
        <v>8426.8957127773465</v>
      </c>
      <c r="AL77" s="1898">
        <f>AL75</f>
        <v>82.021789438057056</v>
      </c>
      <c r="AM77" s="1898">
        <f>AM76</f>
        <v>0.51253836495611338</v>
      </c>
      <c r="AN77" s="1969">
        <f>$Q$20</f>
        <v>90.504839111115729</v>
      </c>
      <c r="AO77" s="1894">
        <f>+(AK77*AL77*24*$AT$16/1000000)*AM77*AN77</f>
        <v>69254.626304490215</v>
      </c>
      <c r="AP77" s="1894">
        <f>+AO77-AO76</f>
        <v>387.83144432358677</v>
      </c>
      <c r="AQ77" s="1853"/>
    </row>
    <row r="78" spans="28:43" ht="17.25" customHeight="1">
      <c r="AB78" s="1850"/>
      <c r="AC78" s="1841"/>
      <c r="AD78" s="1841"/>
      <c r="AE78" s="1841"/>
      <c r="AF78" s="1841"/>
      <c r="AG78" s="1841"/>
      <c r="AH78" s="1841"/>
      <c r="AI78" s="1841"/>
      <c r="AJ78" s="1896" t="s">
        <v>1144</v>
      </c>
      <c r="AK78" s="1897">
        <f>AK74</f>
        <v>8426.8957127773465</v>
      </c>
      <c r="AL78" s="1898">
        <f>AL75</f>
        <v>82.021789438057056</v>
      </c>
      <c r="AM78" s="1898">
        <f>AM76</f>
        <v>0.51253836495611338</v>
      </c>
      <c r="AN78" s="1898">
        <f>AN77</f>
        <v>90.504839111115729</v>
      </c>
      <c r="AO78" s="1894">
        <f>+(AK78*AL78*24*$AT$18/1000000)*AM78*AN78</f>
        <v>69254.626304490215</v>
      </c>
      <c r="AP78" s="1894">
        <f>SUM(AP73:AP77)</f>
        <v>69254.626304490215</v>
      </c>
      <c r="AQ78" s="1853"/>
    </row>
    <row r="79" spans="28:43" ht="17.25" customHeight="1">
      <c r="AB79" s="1850"/>
      <c r="AC79" s="1841"/>
      <c r="AD79" s="1841"/>
      <c r="AE79" s="1841"/>
      <c r="AF79" s="1841"/>
      <c r="AG79" s="1841"/>
      <c r="AH79" s="1841"/>
      <c r="AI79" s="1841"/>
      <c r="AJ79" s="1907"/>
      <c r="AK79" s="1908"/>
      <c r="AL79" s="1909"/>
      <c r="AM79" s="1909"/>
      <c r="AN79" s="1909"/>
      <c r="AO79" s="1908"/>
      <c r="AP79" s="1908"/>
      <c r="AQ79" s="1974"/>
    </row>
    <row r="80" spans="28:43" ht="17.25" customHeight="1">
      <c r="AB80" s="1900"/>
      <c r="AC80" s="1905"/>
      <c r="AD80" s="1905"/>
      <c r="AE80" s="1905"/>
      <c r="AF80" s="1905"/>
      <c r="AG80" s="1905"/>
      <c r="AH80" s="1905"/>
      <c r="AI80" s="1905"/>
      <c r="AJ80" s="1978"/>
      <c r="AK80" s="1978"/>
      <c r="AL80" s="1978"/>
      <c r="AM80" s="1978"/>
      <c r="AN80" s="1978"/>
      <c r="AO80" s="1978"/>
      <c r="AP80" s="1978"/>
      <c r="AQ80" s="1975"/>
    </row>
  </sheetData>
  <mergeCells count="5">
    <mergeCell ref="AT14:AU14"/>
    <mergeCell ref="E2:G2"/>
    <mergeCell ref="H2:J2"/>
    <mergeCell ref="N2:P2"/>
    <mergeCell ref="R2:T2"/>
  </mergeCells>
  <phoneticPr fontId="273"/>
  <conditionalFormatting sqref="F4:G14 I4:J14 L4:M16">
    <cfRule type="cellIs" dxfId="289" priority="6" operator="lessThan">
      <formula>0</formula>
    </cfRule>
  </conditionalFormatting>
  <conditionalFormatting sqref="F16:G16">
    <cfRule type="cellIs" dxfId="288" priority="8" operator="lessThan">
      <formula>0</formula>
    </cfRule>
  </conditionalFormatting>
  <conditionalFormatting sqref="F17:G17">
    <cfRule type="cellIs" dxfId="287" priority="25" operator="greaterThan">
      <formula>0</formula>
    </cfRule>
  </conditionalFormatting>
  <conditionalFormatting sqref="F18:G31 I18:J31 L18:M31">
    <cfRule type="cellIs" dxfId="286" priority="26" operator="lessThan">
      <formula>0</formula>
    </cfRule>
  </conditionalFormatting>
  <conditionalFormatting sqref="F32:G33">
    <cfRule type="cellIs" dxfId="285" priority="22" operator="greaterThan">
      <formula>0</formula>
    </cfRule>
  </conditionalFormatting>
  <conditionalFormatting sqref="H4:H14 K4:K14 D4:E31">
    <cfRule type="cellIs" dxfId="284" priority="7" operator="lessThan">
      <formula>0</formula>
    </cfRule>
  </conditionalFormatting>
  <conditionalFormatting sqref="H18:H31 K18:K31">
    <cfRule type="cellIs" dxfId="283" priority="27" operator="lessThan">
      <formula>0</formula>
    </cfRule>
  </conditionalFormatting>
  <conditionalFormatting sqref="I15:J15">
    <cfRule type="cellIs" dxfId="282" priority="9" operator="greaterThan">
      <formula>0</formula>
    </cfRule>
  </conditionalFormatting>
  <conditionalFormatting sqref="I16:J16">
    <cfRule type="cellIs" dxfId="281" priority="18" operator="lessThan">
      <formula>0</formula>
    </cfRule>
  </conditionalFormatting>
  <conditionalFormatting sqref="I17:J17">
    <cfRule type="cellIs" dxfId="280" priority="24" operator="greaterThan">
      <formula>0</formula>
    </cfRule>
  </conditionalFormatting>
  <conditionalFormatting sqref="I32:J33">
    <cfRule type="cellIs" dxfId="279" priority="21" operator="greaterThan">
      <formula>0</formula>
    </cfRule>
  </conditionalFormatting>
  <conditionalFormatting sqref="L17:M17">
    <cfRule type="cellIs" dxfId="278" priority="19" operator="greaterThan">
      <formula>0</formula>
    </cfRule>
  </conditionalFormatting>
  <conditionalFormatting sqref="L32:M33">
    <cfRule type="cellIs" dxfId="277" priority="20" operator="greaterThan">
      <formula>0</formula>
    </cfRule>
  </conditionalFormatting>
  <conditionalFormatting sqref="N4:P14 R4:R14">
    <cfRule type="cellIs" dxfId="276" priority="5" operator="lessThan">
      <formula>0</formula>
    </cfRule>
  </conditionalFormatting>
  <conditionalFormatting sqref="N18:P31">
    <cfRule type="cellIs" dxfId="275" priority="17" operator="lessThan">
      <formula>0</formula>
    </cfRule>
  </conditionalFormatting>
  <conditionalFormatting sqref="Q4:Q31 R17:R31">
    <cfRule type="cellIs" dxfId="274" priority="3" operator="lessThan">
      <formula>0</formula>
    </cfRule>
  </conditionalFormatting>
  <conditionalFormatting sqref="S17:T17">
    <cfRule type="cellIs" dxfId="273" priority="2" operator="greaterThan">
      <formula>0</formula>
    </cfRule>
    <cfRule type="cellIs" dxfId="272" priority="1" operator="lessThan">
      <formula>0</formula>
    </cfRule>
  </conditionalFormatting>
  <conditionalFormatting sqref="S4:W14">
    <cfRule type="cellIs" dxfId="271" priority="4" operator="lessThan">
      <formula>0</formula>
    </cfRule>
  </conditionalFormatting>
  <conditionalFormatting sqref="S16:W16">
    <cfRule type="cellIs" dxfId="270" priority="14" operator="greaterThan">
      <formula>0</formula>
    </cfRule>
    <cfRule type="cellIs" dxfId="269" priority="13" operator="lessThan">
      <formula>0</formula>
    </cfRule>
  </conditionalFormatting>
  <conditionalFormatting sqref="S18:W31">
    <cfRule type="cellIs" dxfId="268" priority="16" operator="lessThan">
      <formula>0</formula>
    </cfRule>
  </conditionalFormatting>
  <conditionalFormatting sqref="S32:W33">
    <cfRule type="cellIs" dxfId="267" priority="15" operator="greaterThan">
      <formula>0</formula>
    </cfRule>
  </conditionalFormatting>
  <conditionalFormatting sqref="U17:X17">
    <cfRule type="cellIs" dxfId="266" priority="28" operator="lessThan">
      <formula>0</formula>
    </cfRule>
  </conditionalFormatting>
  <conditionalFormatting sqref="X4:X14">
    <cfRule type="cellIs" dxfId="265" priority="29" operator="lessThan">
      <formula>0</formula>
    </cfRule>
  </conditionalFormatting>
  <conditionalFormatting sqref="X18:X31">
    <cfRule type="cellIs" dxfId="264" priority="30" operator="lessThan">
      <formula>0</formula>
    </cfRule>
  </conditionalFormatting>
  <conditionalFormatting sqref="Y4:Z14">
    <cfRule type="cellIs" dxfId="263" priority="35" operator="lessThan">
      <formula>0</formula>
    </cfRule>
  </conditionalFormatting>
  <conditionalFormatting sqref="Y16:Z16">
    <cfRule type="cellIs" dxfId="262" priority="45" operator="lessThan">
      <formula>0</formula>
    </cfRule>
    <cfRule type="cellIs" dxfId="261" priority="46" operator="greaterThan">
      <formula>0</formula>
    </cfRule>
  </conditionalFormatting>
  <conditionalFormatting sqref="Y17:Z17">
    <cfRule type="cellIs" dxfId="260" priority="44" operator="greaterThan">
      <formula>0</formula>
    </cfRule>
  </conditionalFormatting>
  <conditionalFormatting sqref="Y18:Z31">
    <cfRule type="cellIs" dxfId="259" priority="48" operator="lessThan">
      <formula>0</formula>
    </cfRule>
  </conditionalFormatting>
  <conditionalFormatting sqref="Y32:Z33">
    <cfRule type="cellIs" dxfId="258" priority="47" operator="greaterThan">
      <formula>0</formula>
    </cfRule>
  </conditionalFormatting>
  <conditionalFormatting sqref="AC2:AD2 AJ2 AP2:AQ2 AC4:AD8 AJ4:AJ8 AP4:AQ8">
    <cfRule type="cellIs" dxfId="257" priority="34" operator="lessThan">
      <formula>0</formula>
    </cfRule>
  </conditionalFormatting>
  <conditionalFormatting sqref="AE2:AF2 AH2:AI2 AK2:AO2 AE4:AF6 AH4:AI8 AK4:AO8 AE7 AE8:AF8">
    <cfRule type="cellIs" dxfId="256" priority="33" operator="lessThan">
      <formula>0</formula>
    </cfRule>
  </conditionalFormatting>
  <conditionalFormatting sqref="AF7">
    <cfRule type="cellIs" dxfId="255" priority="31" operator="lessThan">
      <formula>0</formula>
    </cfRule>
  </conditionalFormatting>
  <conditionalFormatting sqref="AG2 AG4:AG8">
    <cfRule type="cellIs" dxfId="254" priority="32" operator="lessThan">
      <formula>0</formula>
    </cfRule>
  </conditionalFormatting>
  <pageMargins left="0.7" right="0.7" top="0.75" bottom="0.75" header="0.3" footer="0.3"/>
  <pageSetup scale="29" orientation="landscape" r:id="rId1"/>
  <ignoredErrors>
    <ignoredError sqref="T17" formula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D89A-3AA6-4B62-AD24-08C0DC83C101}">
  <sheetPr codeName="Hoja9">
    <pageSetUpPr fitToPage="1"/>
  </sheetPr>
  <dimension ref="A1:BD112"/>
  <sheetViews>
    <sheetView showGridLines="0" zoomScale="130" zoomScaleNormal="130" workbookViewId="0">
      <pane ySplit="4" topLeftCell="A5" activePane="bottomLeft" state="frozen"/>
      <selection pane="bottomLeft" activeCell="K39" sqref="K39"/>
    </sheetView>
  </sheetViews>
  <sheetFormatPr baseColWidth="10" defaultColWidth="11.453125" defaultRowHeight="12" outlineLevelRow="1"/>
  <cols>
    <col min="1" max="1" width="2.1796875" style="1841" customWidth="1"/>
    <col min="2" max="2" width="19.81640625" style="1841" customWidth="1"/>
    <col min="3" max="3" width="9" style="1917" customWidth="1"/>
    <col min="4" max="4" width="10.81640625" style="1841" customWidth="1"/>
    <col min="5" max="5" width="8.1796875" style="1841" customWidth="1"/>
    <col min="6" max="6" width="6.81640625" style="1841" customWidth="1"/>
    <col min="7" max="7" width="7.81640625" style="1841" customWidth="1"/>
    <col min="8" max="8" width="7.54296875" style="1841" customWidth="1"/>
    <col min="9" max="10" width="6.81640625" style="1841" customWidth="1"/>
    <col min="11" max="11" width="9.81640625" style="1841" customWidth="1"/>
    <col min="12" max="12" width="8" style="1841" customWidth="1"/>
    <col min="13" max="13" width="8.453125" style="1841" customWidth="1"/>
    <col min="14" max="14" width="8.1796875" style="1841" customWidth="1"/>
    <col min="15" max="15" width="11.81640625" style="1841" hidden="1" customWidth="1"/>
    <col min="16" max="16" width="7.453125" style="1841" hidden="1" customWidth="1"/>
    <col min="17" max="17" width="6.81640625" style="1841" hidden="1" customWidth="1"/>
    <col min="18" max="18" width="8.81640625" style="1841" customWidth="1"/>
    <col min="19" max="19" width="7.1796875" style="1841" customWidth="1"/>
    <col min="20" max="20" width="8" style="1841" customWidth="1"/>
    <col min="21" max="21" width="14.1796875" style="1841" customWidth="1"/>
    <col min="22" max="22" width="8.453125" style="1841" customWidth="1"/>
    <col min="23" max="23" width="15.453125" style="1841" customWidth="1"/>
    <col min="24" max="24" width="9.81640625" style="1841" customWidth="1"/>
    <col min="25" max="26" width="8.453125" style="1841" customWidth="1"/>
    <col min="27" max="28" width="6.54296875" style="1843" customWidth="1"/>
    <col min="29" max="29" width="8.81640625" style="1841" bestFit="1" customWidth="1"/>
    <col min="30" max="30" width="9.453125" style="1841" customWidth="1"/>
    <col min="31" max="31" width="9.1796875" style="1841" customWidth="1"/>
    <col min="32" max="32" width="7.453125" style="1841" customWidth="1"/>
    <col min="33" max="33" width="6.453125" style="1841" bestFit="1" customWidth="1"/>
    <col min="34" max="34" width="16.1796875" style="1841" customWidth="1"/>
    <col min="35" max="35" width="6.54296875" style="1841" customWidth="1"/>
    <col min="36" max="36" width="8.81640625" style="1841" customWidth="1"/>
    <col min="37" max="37" width="5.54296875" style="1841" bestFit="1" customWidth="1"/>
    <col min="38" max="38" width="9.1796875" style="1841" customWidth="1"/>
    <col min="39" max="39" width="6.453125" style="1841" bestFit="1" customWidth="1"/>
    <col min="40" max="40" width="9" style="1841" bestFit="1" customWidth="1"/>
    <col min="41" max="41" width="9.81640625" style="1841" bestFit="1" customWidth="1"/>
    <col min="42" max="42" width="6.453125" style="1841" bestFit="1" customWidth="1"/>
    <col min="43" max="43" width="4.81640625" style="1841" bestFit="1" customWidth="1"/>
    <col min="44" max="44" width="7" style="1841" bestFit="1" customWidth="1"/>
    <col min="45" max="45" width="7.54296875" style="1841" customWidth="1"/>
    <col min="46" max="46" width="9.54296875" style="1841" customWidth="1"/>
    <col min="47" max="47" width="8.453125" style="1841" customWidth="1"/>
    <col min="48" max="48" width="8.81640625" style="1841" customWidth="1"/>
    <col min="49" max="54" width="6.453125" style="1841" customWidth="1"/>
    <col min="55" max="56" width="5.1796875" style="1841" customWidth="1"/>
    <col min="57" max="16384" width="11.453125" style="1841"/>
  </cols>
  <sheetData>
    <row r="1" spans="1:56">
      <c r="C1" s="2341"/>
      <c r="D1" s="2303" t="s">
        <v>1656</v>
      </c>
      <c r="E1" s="3618">
        <f>+'ST Original'!AR35</f>
        <v>2904.6839337255205</v>
      </c>
      <c r="R1" s="1843"/>
      <c r="S1" s="1843"/>
      <c r="V1" s="1841">
        <f>+DAY(EOMONTH(D4,0))</f>
        <v>31</v>
      </c>
      <c r="AA1" s="1841"/>
      <c r="AB1" s="1841"/>
    </row>
    <row r="2" spans="1:56">
      <c r="A2" s="2666" t="s">
        <v>154</v>
      </c>
      <c r="B2" s="1841">
        <v>23278</v>
      </c>
      <c r="D2" s="2296"/>
      <c r="E2" s="2296"/>
      <c r="H2" s="2296"/>
      <c r="K2" s="2303"/>
      <c r="L2" s="2303"/>
      <c r="R2" s="1843"/>
      <c r="S2" s="1843"/>
      <c r="V2" s="1844"/>
      <c r="W2" s="1845"/>
      <c r="X2" s="1845"/>
      <c r="Y2" s="1845"/>
      <c r="Z2" s="1845"/>
      <c r="AA2" s="1845"/>
      <c r="AB2" s="1845"/>
      <c r="AC2" s="1845"/>
      <c r="AD2" s="1845"/>
      <c r="AE2" s="1845"/>
      <c r="AF2" s="1845"/>
      <c r="AG2" s="1845"/>
      <c r="AH2" s="1845"/>
      <c r="AI2" s="1845"/>
      <c r="AJ2" s="1845"/>
      <c r="AK2" s="1845"/>
      <c r="AL2" s="1846"/>
      <c r="AN2" s="1844"/>
      <c r="AO2" s="1845"/>
      <c r="AP2" s="1845"/>
      <c r="AQ2" s="1845"/>
      <c r="AR2" s="1845"/>
      <c r="AS2" s="1845"/>
      <c r="AT2" s="1845"/>
      <c r="AU2" s="1845"/>
      <c r="AV2" s="1845"/>
      <c r="AW2" s="1845"/>
      <c r="AX2" s="1845"/>
      <c r="AY2" s="1845"/>
      <c r="AZ2" s="1845"/>
      <c r="BA2" s="1845"/>
      <c r="BB2" s="1845"/>
      <c r="BC2" s="1845"/>
      <c r="BD2" s="1846"/>
    </row>
    <row r="3" spans="1:56" ht="12" customHeight="1">
      <c r="A3" s="2667"/>
      <c r="B3" s="1847"/>
      <c r="D3" s="2932" t="s">
        <v>155</v>
      </c>
      <c r="E3" s="4471" t="s">
        <v>1460</v>
      </c>
      <c r="F3" s="4472"/>
      <c r="G3" s="4473"/>
      <c r="H3" s="4496" t="s">
        <v>1639</v>
      </c>
      <c r="I3" s="4497"/>
      <c r="J3" s="4498"/>
      <c r="K3" s="1848"/>
      <c r="L3" s="4471" t="s">
        <v>1459</v>
      </c>
      <c r="M3" s="4472"/>
      <c r="N3" s="4473"/>
      <c r="O3" s="4465" t="s">
        <v>1418</v>
      </c>
      <c r="P3" s="4466"/>
      <c r="Q3" s="4467"/>
      <c r="R3" s="4496" t="s">
        <v>1647</v>
      </c>
      <c r="S3" s="4497"/>
      <c r="T3" s="4498"/>
      <c r="U3" s="1849"/>
      <c r="V3" s="1850"/>
      <c r="W3" s="1851" t="s">
        <v>1166</v>
      </c>
      <c r="X3" s="1852"/>
      <c r="Y3" s="1852"/>
      <c r="Z3" s="1852"/>
      <c r="AA3" s="1852"/>
      <c r="AB3" s="1852"/>
      <c r="AC3" s="1852"/>
      <c r="AD3" s="1852"/>
      <c r="AE3" s="1852"/>
      <c r="AF3" s="1852"/>
      <c r="AG3" s="1852"/>
      <c r="AH3" s="1852"/>
      <c r="AI3" s="1852"/>
      <c r="AJ3" s="1852"/>
      <c r="AL3" s="1853"/>
      <c r="AN3" s="1850"/>
      <c r="AO3" s="1851" t="s">
        <v>1505</v>
      </c>
      <c r="AP3" s="1852"/>
      <c r="AQ3" s="1852"/>
      <c r="AR3" s="1852"/>
      <c r="AS3" s="1852"/>
      <c r="AT3" s="1852"/>
      <c r="AU3" s="1852"/>
      <c r="AV3" s="1852"/>
      <c r="AW3" s="1852"/>
      <c r="AX3" s="1852"/>
      <c r="AY3" s="1852"/>
      <c r="AZ3" s="1852"/>
      <c r="BA3" s="1852"/>
      <c r="BB3" s="1852"/>
      <c r="BD3" s="1853"/>
    </row>
    <row r="4" spans="1:56" ht="12" customHeight="1">
      <c r="A4" s="2668" t="s">
        <v>1433</v>
      </c>
      <c r="B4" s="1854"/>
      <c r="C4" s="1855" t="s">
        <v>159</v>
      </c>
      <c r="D4" s="3913">
        <v>46082</v>
      </c>
      <c r="E4" s="1856" t="s">
        <v>171</v>
      </c>
      <c r="F4" s="1856" t="s">
        <v>10</v>
      </c>
      <c r="G4" s="1856" t="s">
        <v>161</v>
      </c>
      <c r="H4" s="3696" t="s">
        <v>1646</v>
      </c>
      <c r="I4" s="3696" t="s">
        <v>10</v>
      </c>
      <c r="J4" s="3696" t="s">
        <v>161</v>
      </c>
      <c r="K4" s="2664" t="s">
        <v>162</v>
      </c>
      <c r="L4" s="1856" t="s">
        <v>47</v>
      </c>
      <c r="M4" s="1856" t="s">
        <v>10</v>
      </c>
      <c r="N4" s="1856" t="s">
        <v>161</v>
      </c>
      <c r="O4" s="2665" t="s">
        <v>47</v>
      </c>
      <c r="P4" s="2665" t="s">
        <v>10</v>
      </c>
      <c r="Q4" s="2665" t="s">
        <v>161</v>
      </c>
      <c r="R4" s="3696" t="s">
        <v>1646</v>
      </c>
      <c r="S4" s="3696" t="s">
        <v>10</v>
      </c>
      <c r="T4" s="3696" t="s">
        <v>161</v>
      </c>
      <c r="U4" s="3634" t="s">
        <v>1663</v>
      </c>
      <c r="V4" s="1850"/>
      <c r="W4" s="1859"/>
      <c r="X4" s="1859"/>
      <c r="Y4" s="1859"/>
      <c r="Z4" s="1859"/>
      <c r="AA4" s="1859"/>
      <c r="AB4" s="1859"/>
      <c r="AC4" s="1859"/>
      <c r="AD4" s="1859"/>
      <c r="AE4" s="1859"/>
      <c r="AF4" s="1859"/>
      <c r="AG4" s="1859"/>
      <c r="AH4" s="1859"/>
      <c r="AI4" s="1859"/>
      <c r="AJ4" s="1859"/>
      <c r="AK4" s="1859"/>
      <c r="AL4" s="1853"/>
      <c r="AN4" s="1850"/>
      <c r="AO4" s="1859"/>
      <c r="AP4" s="1859"/>
      <c r="AQ4" s="1859"/>
      <c r="AR4" s="1859"/>
      <c r="AS4" s="1859"/>
      <c r="AT4" s="1859"/>
      <c r="AU4" s="1859"/>
      <c r="AV4" s="1859"/>
      <c r="AW4" s="1859"/>
      <c r="AX4" s="1859"/>
      <c r="AY4" s="1859"/>
      <c r="AZ4" s="1859"/>
      <c r="BA4" s="1859"/>
      <c r="BB4" s="1859"/>
      <c r="BC4" s="1859"/>
      <c r="BD4" s="1853"/>
    </row>
    <row r="5" spans="1:56" s="1859" customFormat="1" ht="10.4" customHeight="1">
      <c r="A5" s="2669">
        <v>23.953989577355799</v>
      </c>
      <c r="B5" s="2724" t="s">
        <v>59</v>
      </c>
      <c r="C5" s="2725" t="s">
        <v>53</v>
      </c>
      <c r="D5" s="2727">
        <f>+'Comparacion (Sin BM)'!R14</f>
        <v>28.318351668204937</v>
      </c>
      <c r="E5" s="2727">
        <f>+'TP sin BM'!J5</f>
        <v>29.514270813981621</v>
      </c>
      <c r="F5" s="2728">
        <f>D5-E5</f>
        <v>-1.1959191457766849</v>
      </c>
      <c r="G5" s="2729">
        <f>F5/E5</f>
        <v>-4.052003023602227E-2</v>
      </c>
      <c r="H5" s="2727">
        <f>+'0+12'!$G$15</f>
        <v>28.864859795966947</v>
      </c>
      <c r="I5" s="2728">
        <f>D5-H5</f>
        <v>-0.54650812776201008</v>
      </c>
      <c r="J5" s="2729">
        <f>I5/H5</f>
        <v>-1.8933337339070298E-2</v>
      </c>
      <c r="K5" s="2728">
        <f>+'R+RP+B'!U10</f>
        <v>69.24782651706704</v>
      </c>
      <c r="L5" s="2728">
        <f>BDGT!$T$7</f>
        <v>71.201971836811452</v>
      </c>
      <c r="M5" s="2728">
        <f>K5-L5</f>
        <v>-1.9541453197444127</v>
      </c>
      <c r="N5" s="2729">
        <f>M5/L5</f>
        <v>-2.7445101158478293E-2</v>
      </c>
      <c r="O5" s="2728"/>
      <c r="P5" s="2728">
        <f>K5-O5</f>
        <v>69.24782651706704</v>
      </c>
      <c r="Q5" s="2729" t="e">
        <f>P5/O5</f>
        <v>#DIV/0!</v>
      </c>
      <c r="R5" s="2728">
        <f>+'0+12'!$T$15</f>
        <v>70.975674202806275</v>
      </c>
      <c r="S5" s="2728">
        <f>K5-R5</f>
        <v>-1.7278476857392349</v>
      </c>
      <c r="T5" s="2729">
        <f>S5/R5</f>
        <v>-2.4344223639243968E-2</v>
      </c>
      <c r="U5" s="2727">
        <v>18.9589961662154</v>
      </c>
      <c r="V5" s="1850"/>
      <c r="W5" s="1841"/>
      <c r="X5" s="1841"/>
      <c r="Y5" s="1841"/>
      <c r="Z5" s="1841"/>
      <c r="AA5" s="1841"/>
      <c r="AB5" s="1841"/>
      <c r="AC5" s="1841"/>
      <c r="AD5" s="1841"/>
      <c r="AE5" s="1841"/>
      <c r="AF5" s="1841"/>
      <c r="AG5" s="1841"/>
      <c r="AH5" s="1841"/>
      <c r="AI5" s="1841"/>
      <c r="AJ5" s="1841"/>
      <c r="AK5" s="1841"/>
      <c r="AL5" s="1860"/>
      <c r="AN5" s="1850"/>
      <c r="AO5" s="1841"/>
      <c r="AP5" s="1841"/>
      <c r="AQ5" s="1841"/>
      <c r="AR5" s="1841"/>
      <c r="AS5" s="1841"/>
      <c r="AT5" s="1841"/>
      <c r="AU5" s="1841"/>
      <c r="AV5" s="1841"/>
      <c r="AW5" s="1841"/>
      <c r="AX5" s="1841"/>
      <c r="AY5" s="1841"/>
      <c r="AZ5" s="1841"/>
      <c r="BA5" s="1841"/>
      <c r="BB5" s="1841"/>
      <c r="BC5" s="1841"/>
      <c r="BD5" s="1860"/>
    </row>
    <row r="6" spans="1:56" ht="10.4" customHeight="1">
      <c r="A6" s="2669">
        <v>22.734986998209401</v>
      </c>
      <c r="B6" s="1868" t="s">
        <v>1203</v>
      </c>
      <c r="C6" s="1869" t="s">
        <v>53</v>
      </c>
      <c r="D6" s="1871">
        <f>+'Comparacion (Sin BM)'!R16</f>
        <v>27.229795292946367</v>
      </c>
      <c r="E6" s="1871">
        <f>+'TP sin BM'!J6</f>
        <v>28.422384713002526</v>
      </c>
      <c r="F6" s="1871">
        <f>D6-E6</f>
        <v>-1.1925894200561586</v>
      </c>
      <c r="G6" s="1873">
        <f t="shared" ref="G6:G29" si="0">F6/E6</f>
        <v>-4.1959512971850632E-2</v>
      </c>
      <c r="H6" s="1871">
        <f>+'0+12'!$G$16</f>
        <v>28.232331384020735</v>
      </c>
      <c r="I6" s="1871">
        <f>D6-H6</f>
        <v>-1.0025360910743686</v>
      </c>
      <c r="J6" s="1872">
        <f>I6/H6</f>
        <v>-3.551021265079779E-2</v>
      </c>
      <c r="K6" s="1871">
        <f>+'R+RP+B'!U11</f>
        <v>66.124566055788577</v>
      </c>
      <c r="L6" s="1871">
        <f>BDGT!$T$8</f>
        <v>68.58901260981412</v>
      </c>
      <c r="M6" s="1871">
        <f>K6-L6</f>
        <v>-2.4644465540255425</v>
      </c>
      <c r="N6" s="1874">
        <f t="shared" ref="N6:N31" si="1">M6/L6</f>
        <v>-3.5930631747757728E-2</v>
      </c>
      <c r="O6" s="1871"/>
      <c r="P6" s="1871">
        <f>K6-O6</f>
        <v>66.124566055788577</v>
      </c>
      <c r="Q6" s="1874" t="e">
        <f>P6/O6</f>
        <v>#DIV/0!</v>
      </c>
      <c r="R6" s="1871">
        <f>+'0+12'!$T$16</f>
        <v>67.898280892432524</v>
      </c>
      <c r="S6" s="1871">
        <f>K6-R6</f>
        <v>-1.773714836643947</v>
      </c>
      <c r="T6" s="1874">
        <f>S6/R6</f>
        <v>-2.6123118484456843E-2</v>
      </c>
      <c r="U6" s="1871">
        <v>17.847496</v>
      </c>
      <c r="V6" s="1877"/>
      <c r="W6" s="1859"/>
      <c r="X6" s="1859"/>
      <c r="Y6" s="1859"/>
      <c r="Z6" s="1859"/>
      <c r="AA6" s="1859"/>
      <c r="AB6" s="1859"/>
      <c r="AC6" s="1859"/>
      <c r="AD6" s="1859"/>
      <c r="AE6" s="1859"/>
      <c r="AF6" s="1859"/>
      <c r="AG6" s="1859"/>
      <c r="AH6" s="1859"/>
      <c r="AI6" s="1859"/>
      <c r="AJ6" s="1859"/>
      <c r="AK6" s="1859"/>
      <c r="AL6" s="1853"/>
      <c r="AN6" s="1877"/>
      <c r="AO6" s="1859"/>
      <c r="AP6" s="1859"/>
      <c r="AQ6" s="1859"/>
      <c r="AR6" s="1859"/>
      <c r="AS6" s="1859"/>
      <c r="AT6" s="1859"/>
      <c r="AU6" s="1859"/>
      <c r="AV6" s="1859"/>
      <c r="AW6" s="1859"/>
      <c r="AX6" s="1859"/>
      <c r="AY6" s="1859"/>
      <c r="AZ6" s="1859"/>
      <c r="BA6" s="1859"/>
      <c r="BB6" s="1859"/>
      <c r="BC6" s="1859"/>
      <c r="BD6" s="1853"/>
    </row>
    <row r="7" spans="1:56" s="1859" customFormat="1" ht="10.4" customHeight="1">
      <c r="A7" s="2669">
        <v>0.68774586682823602</v>
      </c>
      <c r="B7" s="2724" t="s">
        <v>66</v>
      </c>
      <c r="C7" s="2725" t="s">
        <v>53</v>
      </c>
      <c r="D7" s="2728">
        <f>+'Comparacion (Sin BM)'!R18</f>
        <v>0.80794675396342897</v>
      </c>
      <c r="E7" s="2728">
        <f>+'TP sin BM'!J7</f>
        <v>1.0603706209881529</v>
      </c>
      <c r="F7" s="2728">
        <f>D7-E7</f>
        <v>-0.25242386702472397</v>
      </c>
      <c r="G7" s="2729">
        <f t="shared" si="0"/>
        <v>-0.23805249035426096</v>
      </c>
      <c r="H7" s="2728">
        <f>+'0+12'!$G$17</f>
        <v>1.0136223971677061</v>
      </c>
      <c r="I7" s="2728">
        <f>D7-H7</f>
        <v>-0.20567564320427711</v>
      </c>
      <c r="J7" s="2730">
        <f>I7/H7</f>
        <v>-0.20291150213233461</v>
      </c>
      <c r="K7" s="2728">
        <f>+'R+RP+B'!U12</f>
        <v>2.3019281722102938</v>
      </c>
      <c r="L7" s="2728">
        <f>BDGT!$T$9</f>
        <v>2.5089172333808136</v>
      </c>
      <c r="M7" s="2728">
        <f>K7-L7</f>
        <v>-0.20698906117051985</v>
      </c>
      <c r="N7" s="2729">
        <f t="shared" si="1"/>
        <v>-8.2501350947953814E-2</v>
      </c>
      <c r="O7" s="2728"/>
      <c r="P7" s="2728">
        <f>K7-O7</f>
        <v>2.3019281722102938</v>
      </c>
      <c r="Q7" s="2729" t="e">
        <f>P7/O7</f>
        <v>#DIV/0!</v>
      </c>
      <c r="R7" s="2728">
        <f>+'0+12'!$T$17</f>
        <v>2.4060426499877794</v>
      </c>
      <c r="S7" s="2728">
        <f>K7-R7</f>
        <v>-0.10411447777748561</v>
      </c>
      <c r="T7" s="2729">
        <f>S7/R7</f>
        <v>-4.3272083218480945E-2</v>
      </c>
      <c r="U7" s="2728">
        <v>0.62602000000000002</v>
      </c>
      <c r="V7" s="1850"/>
      <c r="W7" s="1841"/>
      <c r="X7" s="1841"/>
      <c r="Y7" s="1841"/>
      <c r="Z7" s="1841"/>
      <c r="AA7" s="1841"/>
      <c r="AB7" s="1841"/>
      <c r="AC7" s="1841"/>
      <c r="AD7" s="1841"/>
      <c r="AE7" s="1841"/>
      <c r="AF7" s="1841"/>
      <c r="AG7" s="1841"/>
      <c r="AH7" s="1841"/>
      <c r="AI7" s="1841"/>
      <c r="AJ7" s="1841"/>
      <c r="AK7" s="1841"/>
      <c r="AL7" s="1860"/>
      <c r="AN7" s="1850"/>
      <c r="AO7" s="1841"/>
      <c r="AP7" s="1841"/>
      <c r="AQ7" s="1841"/>
      <c r="AR7" s="1841"/>
      <c r="AS7" s="1841"/>
      <c r="AT7" s="1841"/>
      <c r="AU7" s="1841"/>
      <c r="AV7" s="1841"/>
      <c r="AW7" s="1841"/>
      <c r="AX7" s="1841"/>
      <c r="AY7" s="1841"/>
      <c r="AZ7" s="1841"/>
      <c r="BA7" s="1841"/>
      <c r="BB7" s="1841"/>
      <c r="BC7" s="1841"/>
      <c r="BD7" s="1860"/>
    </row>
    <row r="8" spans="1:56" s="1859" customFormat="1" ht="10.4" customHeight="1">
      <c r="A8" s="2669">
        <v>0.5638197903103972</v>
      </c>
      <c r="B8" s="1868" t="s">
        <v>1202</v>
      </c>
      <c r="C8" s="1869" t="s">
        <v>53</v>
      </c>
      <c r="D8" s="1871">
        <f>+'Comparacion (Sin BM)'!R20</f>
        <v>0.8767887836467676</v>
      </c>
      <c r="E8" s="1871">
        <f>+'TP sin BM'!J8</f>
        <v>1.0550687678832122</v>
      </c>
      <c r="F8" s="1871">
        <f>D8-E8</f>
        <v>-0.17827998423644464</v>
      </c>
      <c r="G8" s="1873">
        <f t="shared" si="0"/>
        <v>-0.16897475279656732</v>
      </c>
      <c r="H8" s="1871">
        <f>+'0+12'!$G$18</f>
        <v>1.0085542851818676</v>
      </c>
      <c r="I8" s="1871">
        <f>D8-H8</f>
        <v>-0.13176550153510003</v>
      </c>
      <c r="J8" s="1872">
        <f>I8/H8</f>
        <v>-0.13064790212193625</v>
      </c>
      <c r="K8" s="1871">
        <f>+'R+RP+B'!U13</f>
        <v>2.1888169452353146</v>
      </c>
      <c r="L8" s="1871">
        <f>BDGT!$T$10</f>
        <v>2.4963726472139101</v>
      </c>
      <c r="M8" s="1871">
        <f t="shared" ref="M8:M31" si="2">K8-L8</f>
        <v>-0.3075557019785955</v>
      </c>
      <c r="N8" s="1873">
        <f t="shared" si="1"/>
        <v>-0.1232010382431664</v>
      </c>
      <c r="O8" s="1871"/>
      <c r="P8" s="1871">
        <f>K8-O8</f>
        <v>2.1888169452353146</v>
      </c>
      <c r="Q8" s="1873" t="e">
        <f>P8/O8</f>
        <v>#DIV/0!</v>
      </c>
      <c r="R8" s="1871">
        <f>+'0+12'!$T$18</f>
        <v>2.3877798675943156</v>
      </c>
      <c r="S8" s="1871">
        <f>K8-R8</f>
        <v>-0.19896292235900104</v>
      </c>
      <c r="T8" s="1873">
        <f>S8/R8</f>
        <v>-8.3325487855568467E-2</v>
      </c>
      <c r="U8" s="1871">
        <v>0.64316799999999996</v>
      </c>
      <c r="V8" s="1877"/>
      <c r="W8" s="1841"/>
      <c r="X8" s="1841"/>
      <c r="Y8" s="1841"/>
      <c r="Z8" s="1841"/>
      <c r="AA8" s="1841"/>
      <c r="AB8" s="1841"/>
      <c r="AC8" s="1841"/>
      <c r="AD8" s="1841"/>
      <c r="AE8" s="1841"/>
      <c r="AF8" s="1841"/>
      <c r="AG8" s="1841"/>
      <c r="AH8" s="1841"/>
      <c r="AI8" s="1841"/>
      <c r="AJ8" s="1841"/>
      <c r="AK8" s="1841"/>
      <c r="AL8" s="1860"/>
      <c r="AN8" s="1877"/>
      <c r="AO8" s="1841"/>
      <c r="AP8" s="1841"/>
      <c r="AQ8" s="1841"/>
      <c r="AR8" s="1841"/>
      <c r="AS8" s="1841"/>
      <c r="AT8" s="1841"/>
      <c r="AU8" s="1841"/>
      <c r="AV8" s="1841"/>
      <c r="AW8" s="1841"/>
      <c r="AX8" s="1841"/>
      <c r="AY8" s="1841"/>
      <c r="AZ8" s="1841"/>
      <c r="BA8" s="1841"/>
      <c r="BB8" s="1841"/>
      <c r="BC8" s="1841"/>
      <c r="BD8" s="1860"/>
    </row>
    <row r="9" spans="1:56" ht="10.4" customHeight="1">
      <c r="A9" s="2670"/>
      <c r="B9" s="1868"/>
      <c r="C9" s="1869"/>
      <c r="D9" s="1880"/>
      <c r="E9" s="1880"/>
      <c r="F9" s="1878"/>
      <c r="G9" s="1873"/>
      <c r="H9" s="1880"/>
      <c r="I9" s="1878"/>
      <c r="J9" s="1872"/>
      <c r="K9" s="1880"/>
      <c r="L9" s="1880"/>
      <c r="M9" s="1878"/>
      <c r="N9" s="1873"/>
      <c r="O9" s="1880"/>
      <c r="P9" s="1878"/>
      <c r="Q9" s="1873"/>
      <c r="R9" s="1880"/>
      <c r="S9" s="1878"/>
      <c r="T9" s="1873"/>
      <c r="U9" s="1880"/>
      <c r="V9" s="1850"/>
      <c r="AA9" s="1841"/>
      <c r="AB9" s="1841"/>
      <c r="AL9" s="1853"/>
      <c r="AN9" s="1850"/>
      <c r="BD9" s="1853"/>
    </row>
    <row r="10" spans="1:56" ht="10.4" customHeight="1">
      <c r="A10" s="2671">
        <v>5276.81233061289</v>
      </c>
      <c r="B10" s="1868" t="s">
        <v>78</v>
      </c>
      <c r="C10" s="1869" t="s">
        <v>53</v>
      </c>
      <c r="D10" s="1881">
        <f>+'Comparacion (Sin BM)'!R27</f>
        <v>5857.198775683828</v>
      </c>
      <c r="E10" s="1881">
        <f>+'TP sin BM'!J10</f>
        <v>5835.7550737654183</v>
      </c>
      <c r="F10" s="1881">
        <f t="shared" ref="F10:F16" si="3">D10-E10</f>
        <v>21.443701918409715</v>
      </c>
      <c r="G10" s="1873">
        <f t="shared" si="0"/>
        <v>3.6745376814749601E-3</v>
      </c>
      <c r="H10" s="1881">
        <f>+'0+12'!$G$20</f>
        <v>5652.5026555182458</v>
      </c>
      <c r="I10" s="1881">
        <f t="shared" ref="I10:I18" si="4">D10-H10</f>
        <v>204.69612016558222</v>
      </c>
      <c r="J10" s="1873">
        <f t="shared" ref="J10:J18" si="5">I10/H10</f>
        <v>3.6213361167685254E-2</v>
      </c>
      <c r="K10" s="1881">
        <f>+'R+RP+B'!U15</f>
        <v>14929.683820629605</v>
      </c>
      <c r="L10" s="1881">
        <f>BDGT!$T$12</f>
        <v>15189.938313137327</v>
      </c>
      <c r="M10" s="1881">
        <f>K10-L10</f>
        <v>-260.25449250772181</v>
      </c>
      <c r="N10" s="1873">
        <f>M10/L10</f>
        <v>-1.7133347558273847E-2</v>
      </c>
      <c r="O10" s="1881"/>
      <c r="P10" s="1875">
        <f t="shared" ref="P10:P16" si="6">K10-O10</f>
        <v>14929.683820629605</v>
      </c>
      <c r="Q10" s="1873" t="e">
        <f t="shared" ref="Q10:Q16" si="7">P10/O10</f>
        <v>#DIV/0!</v>
      </c>
      <c r="R10" s="1881">
        <f>+'0+12'!$T$20</f>
        <v>14823.126246610424</v>
      </c>
      <c r="S10" s="1881">
        <f t="shared" ref="S10:S18" si="8">K10-R10</f>
        <v>106.55757401918163</v>
      </c>
      <c r="T10" s="1873">
        <f t="shared" ref="T10:T18" si="9">S10/R10</f>
        <v>7.1886032842463279E-3</v>
      </c>
      <c r="U10" s="1881">
        <v>3982</v>
      </c>
      <c r="V10" s="1883"/>
      <c r="AA10" s="1841"/>
      <c r="AB10" s="1841"/>
      <c r="AL10" s="1853"/>
      <c r="AN10" s="1883"/>
      <c r="BD10" s="1853"/>
    </row>
    <row r="11" spans="1:56" ht="10.4" customHeight="1">
      <c r="A11" s="2671">
        <v>173.01024034796362</v>
      </c>
      <c r="B11" s="1868" t="s">
        <v>79</v>
      </c>
      <c r="C11" s="1869" t="s">
        <v>75</v>
      </c>
      <c r="D11" s="1881">
        <f>+'Comparacion (Sin BM)'!R28</f>
        <v>188.94189598980088</v>
      </c>
      <c r="E11" s="1881">
        <f>+'TP sin BM'!J11</f>
        <v>188.25016366985221</v>
      </c>
      <c r="F11" s="1875">
        <f t="shared" si="3"/>
        <v>0.69173231994867024</v>
      </c>
      <c r="G11" s="1873">
        <f t="shared" si="0"/>
        <v>3.6745376814747992E-3</v>
      </c>
      <c r="H11" s="1881">
        <f>+'0+12'!$G$21</f>
        <v>182.33879533929826</v>
      </c>
      <c r="I11" s="1881">
        <f t="shared" si="4"/>
        <v>6.6031006505026255</v>
      </c>
      <c r="J11" s="1873">
        <f t="shared" si="5"/>
        <v>3.6213361167685108E-2</v>
      </c>
      <c r="K11" s="1881">
        <f>+'R+RP+B'!U16</f>
        <v>165.8853757847734</v>
      </c>
      <c r="L11" s="1881">
        <f>+BDGT!$T$13</f>
        <v>168.77709236819251</v>
      </c>
      <c r="M11" s="1875">
        <f>K11-L11</f>
        <v>-2.891716583419111</v>
      </c>
      <c r="N11" s="1873">
        <f>M11/L11</f>
        <v>-1.7133347558273729E-2</v>
      </c>
      <c r="O11" s="1881"/>
      <c r="P11" s="1881">
        <f t="shared" si="6"/>
        <v>165.8853757847734</v>
      </c>
      <c r="Q11" s="1873" t="e">
        <f t="shared" si="7"/>
        <v>#DIV/0!</v>
      </c>
      <c r="R11" s="1881">
        <f>+'0+12'!$T$21</f>
        <v>165.62152230849634</v>
      </c>
      <c r="S11" s="1881">
        <f t="shared" si="8"/>
        <v>0.26385347627706324</v>
      </c>
      <c r="T11" s="1873">
        <f t="shared" si="9"/>
        <v>1.5931110437784428E-3</v>
      </c>
      <c r="U11" s="1881">
        <v>130.55737704918033</v>
      </c>
      <c r="V11" s="1883"/>
      <c r="AA11" s="1841"/>
      <c r="AB11" s="1841"/>
      <c r="AL11" s="1853"/>
      <c r="AN11" s="1883"/>
      <c r="BD11" s="1853"/>
    </row>
    <row r="12" spans="1:56" ht="10.4" customHeight="1">
      <c r="A12" s="2671">
        <v>8149.1747846467151</v>
      </c>
      <c r="B12" s="1868" t="s">
        <v>283</v>
      </c>
      <c r="C12" s="1869" t="s">
        <v>81</v>
      </c>
      <c r="D12" s="1881">
        <f>+'ST Original'!BT39</f>
        <v>8502.7681772494343</v>
      </c>
      <c r="E12" s="1881">
        <f>+'TP sin BM'!J12</f>
        <v>8256.2174112377379</v>
      </c>
      <c r="F12" s="1881">
        <f t="shared" si="3"/>
        <v>246.5507660116964</v>
      </c>
      <c r="G12" s="1873">
        <f t="shared" si="0"/>
        <v>2.9862436238187014E-2</v>
      </c>
      <c r="H12" s="1881">
        <f>+'0+12'!$G$22</f>
        <v>8052.7227724777731</v>
      </c>
      <c r="I12" s="1881">
        <f t="shared" si="4"/>
        <v>450.0454047716612</v>
      </c>
      <c r="J12" s="1873">
        <f t="shared" si="5"/>
        <v>5.5887358535401936E-2</v>
      </c>
      <c r="K12" s="1881">
        <f>+K10*1000/K17</f>
        <v>8426.8957127773465</v>
      </c>
      <c r="L12" s="1881">
        <f>+BDGT!T14</f>
        <v>8151.9777351096309</v>
      </c>
      <c r="M12" s="1881">
        <f>K12-L12</f>
        <v>274.9179776677156</v>
      </c>
      <c r="N12" s="1873">
        <f>M12/L12</f>
        <v>3.3724083480217992E-2</v>
      </c>
      <c r="O12" s="1881"/>
      <c r="P12" s="1881">
        <f t="shared" si="6"/>
        <v>8426.8957127773465</v>
      </c>
      <c r="Q12" s="1873" t="e">
        <f t="shared" si="7"/>
        <v>#DIV/0!</v>
      </c>
      <c r="R12" s="1881">
        <f>+'0+12'!$T$22</f>
        <v>8223.3351187254375</v>
      </c>
      <c r="S12" s="1881">
        <f t="shared" si="8"/>
        <v>203.56059405190899</v>
      </c>
      <c r="T12" s="1873">
        <f t="shared" si="9"/>
        <v>2.4754019034002293E-2</v>
      </c>
      <c r="U12" s="1881">
        <v>8118.1266983370151</v>
      </c>
      <c r="V12" s="1883"/>
      <c r="Y12" s="1884"/>
      <c r="AA12" s="1841"/>
      <c r="AB12" s="1841"/>
      <c r="AL12" s="1853"/>
      <c r="AN12" s="1883"/>
      <c r="AQ12" s="1884"/>
      <c r="BD12" s="1853"/>
    </row>
    <row r="13" spans="1:56" ht="10.4" customHeight="1">
      <c r="A13" s="2672">
        <v>37.515526829719157</v>
      </c>
      <c r="B13" s="1868" t="s">
        <v>86</v>
      </c>
      <c r="C13" s="1869" t="s">
        <v>167</v>
      </c>
      <c r="D13" s="1875">
        <f>+'Comparacion (Sin BM)'!R33</f>
        <v>37.368348754344872</v>
      </c>
      <c r="E13" s="1875">
        <f>+'TP sin BM'!J13</f>
        <v>37.853336158564218</v>
      </c>
      <c r="F13" s="1878">
        <f t="shared" si="3"/>
        <v>-0.48498740421934627</v>
      </c>
      <c r="G13" s="2482">
        <f t="shared" si="0"/>
        <v>-1.2812276365490684E-2</v>
      </c>
      <c r="H13" s="1875">
        <f>+'0+12'!$G$24</f>
        <v>38.199062859458614</v>
      </c>
      <c r="I13" s="1875">
        <f t="shared" si="4"/>
        <v>-0.83071410511374211</v>
      </c>
      <c r="J13" s="1873">
        <f t="shared" si="5"/>
        <v>-2.1746976049388758E-2</v>
      </c>
      <c r="K13" s="1910">
        <f>+'R+RP+B'!U19</f>
        <v>37.842009965997548</v>
      </c>
      <c r="L13" s="1910">
        <f>+BDGT!$T$18</f>
        <v>38.202371254596507</v>
      </c>
      <c r="M13" s="1878">
        <f t="shared" si="2"/>
        <v>-0.36036128859895911</v>
      </c>
      <c r="N13" s="1873">
        <f t="shared" si="1"/>
        <v>-9.4329560381831122E-3</v>
      </c>
      <c r="O13" s="1910"/>
      <c r="P13" s="1875">
        <f t="shared" si="6"/>
        <v>37.842009965997548</v>
      </c>
      <c r="Q13" s="1873" t="e">
        <f t="shared" si="7"/>
        <v>#DIV/0!</v>
      </c>
      <c r="R13" s="1910">
        <f>+'0+12'!$T$24</f>
        <v>37.648150755573589</v>
      </c>
      <c r="S13" s="1878">
        <f t="shared" si="8"/>
        <v>0.19385921042395893</v>
      </c>
      <c r="T13" s="1873">
        <f t="shared" si="9"/>
        <v>5.1492359261565909E-3</v>
      </c>
      <c r="U13" s="1875">
        <v>37.060370010467217</v>
      </c>
      <c r="V13" s="1883"/>
      <c r="Y13" s="1884"/>
      <c r="AA13" s="1841"/>
      <c r="AB13" s="1841"/>
      <c r="AL13" s="1853"/>
      <c r="AN13" s="1883"/>
      <c r="AQ13" s="1884"/>
      <c r="BD13" s="1853"/>
    </row>
    <row r="14" spans="1:56" ht="10.4" customHeight="1">
      <c r="A14" s="2671">
        <v>78.664563675131092</v>
      </c>
      <c r="B14" s="1868" t="s">
        <v>580</v>
      </c>
      <c r="C14" s="1869" t="s">
        <v>167</v>
      </c>
      <c r="D14" s="1881">
        <f>+'ST Original'!AU39</f>
        <v>82.923534192742608</v>
      </c>
      <c r="E14" s="1881">
        <f>+'TP sin BM'!J14</f>
        <v>81.009536238720671</v>
      </c>
      <c r="F14" s="1875">
        <f t="shared" si="3"/>
        <v>1.9139979540219372</v>
      </c>
      <c r="G14" s="1873">
        <f t="shared" si="0"/>
        <v>2.3626822753085835E-2</v>
      </c>
      <c r="H14" s="1881">
        <f>+'0+12'!$G$65</f>
        <v>82.367317304526793</v>
      </c>
      <c r="I14" s="1875">
        <f>+H14-D14</f>
        <v>-0.55621688821581472</v>
      </c>
      <c r="J14" s="1873">
        <f t="shared" si="5"/>
        <v>-6.7528833816376558E-3</v>
      </c>
      <c r="K14" s="1881">
        <f>+'R+RP+B'!U53</f>
        <v>82.461030958530728</v>
      </c>
      <c r="L14" s="2659">
        <f>BDGT!T57</f>
        <v>82.672478294258525</v>
      </c>
      <c r="M14" s="1875">
        <f>K14-L14</f>
        <v>-0.21144733572779728</v>
      </c>
      <c r="N14" s="1873">
        <f t="shared" si="1"/>
        <v>-2.557650866291763E-3</v>
      </c>
      <c r="O14" s="2659"/>
      <c r="P14" s="1881">
        <f t="shared" si="6"/>
        <v>82.461030958530728</v>
      </c>
      <c r="Q14" s="1873" t="e">
        <f t="shared" si="7"/>
        <v>#DIV/0!</v>
      </c>
      <c r="R14" s="1910">
        <f>+'0+12'!T65</f>
        <v>84.107513922834841</v>
      </c>
      <c r="S14" s="1878">
        <f t="shared" si="8"/>
        <v>-1.6464829643041128</v>
      </c>
      <c r="T14" s="1873">
        <f t="shared" si="9"/>
        <v>-1.9575931893727031E-2</v>
      </c>
      <c r="U14" s="1881">
        <v>87.482340543465142</v>
      </c>
      <c r="V14" s="1883"/>
      <c r="Y14" s="1884"/>
      <c r="AA14" s="1841"/>
      <c r="AB14" s="1841"/>
      <c r="AL14" s="1853"/>
      <c r="AN14" s="1883"/>
      <c r="AQ14" s="1884"/>
      <c r="BD14" s="1853"/>
    </row>
    <row r="15" spans="1:56" ht="10.4" customHeight="1">
      <c r="A15" s="2673">
        <v>4.1622031091308767</v>
      </c>
      <c r="B15" s="1868" t="s">
        <v>83</v>
      </c>
      <c r="C15" s="1869" t="s">
        <v>84</v>
      </c>
      <c r="D15" s="1878">
        <f>+'ST Original'!AX39</f>
        <v>4.202866572472935</v>
      </c>
      <c r="E15" s="1878">
        <f>+'TP sin BM'!J15</f>
        <v>4.1504745365351701</v>
      </c>
      <c r="F15" s="1878">
        <f>+E15-D15</f>
        <v>-5.239203593776498E-2</v>
      </c>
      <c r="G15" s="1873">
        <f>F15/E15</f>
        <v>-1.2623143565049318E-2</v>
      </c>
      <c r="H15" s="1878">
        <f>+'0+12'!$G$64</f>
        <v>4.1562992310862015</v>
      </c>
      <c r="I15" s="1878">
        <f>+H15-D15</f>
        <v>-4.6567341386733574E-2</v>
      </c>
      <c r="J15" s="1873">
        <f t="shared" si="5"/>
        <v>-1.1204039651053644E-2</v>
      </c>
      <c r="K15" s="1878">
        <f>+'R+RP+B'!U20</f>
        <v>4.6985318387907373</v>
      </c>
      <c r="L15" s="1878">
        <f>+BDGT!$T$19</f>
        <v>4.1523938558931004</v>
      </c>
      <c r="M15" s="1878">
        <f t="shared" si="2"/>
        <v>0.54613798289763693</v>
      </c>
      <c r="N15" s="1873">
        <f t="shared" si="1"/>
        <v>0.13152364680497608</v>
      </c>
      <c r="O15" s="1878"/>
      <c r="P15" s="1878">
        <f t="shared" si="6"/>
        <v>4.6985318387907373</v>
      </c>
      <c r="Q15" s="1873" t="e">
        <f t="shared" si="7"/>
        <v>#DIV/0!</v>
      </c>
      <c r="R15" s="1878">
        <f>+'0+12'!$T$64</f>
        <v>4.2460434358007078</v>
      </c>
      <c r="S15" s="1878">
        <f t="shared" si="8"/>
        <v>0.45248840299002957</v>
      </c>
      <c r="T15" s="1873">
        <f t="shared" si="9"/>
        <v>0.10656706880924795</v>
      </c>
      <c r="U15" s="1878">
        <v>4.903292918675187</v>
      </c>
      <c r="V15" s="1886"/>
      <c r="Y15" s="1884"/>
      <c r="AA15" s="1841"/>
      <c r="AB15" s="1841"/>
      <c r="AL15" s="1853"/>
      <c r="AN15" s="1886"/>
      <c r="AQ15" s="1884"/>
      <c r="BD15" s="1853"/>
    </row>
    <row r="16" spans="1:56" ht="10.4" customHeight="1">
      <c r="A16" s="2673">
        <v>88.46</v>
      </c>
      <c r="B16" s="1868" t="s">
        <v>170</v>
      </c>
      <c r="C16" s="1869" t="s">
        <v>48</v>
      </c>
      <c r="D16" s="1875">
        <f>+'ST Original'!CB39</f>
        <v>92.650688634835248</v>
      </c>
      <c r="E16" s="1875">
        <f>+'TP sin BM'!J16</f>
        <v>95.068132481506382</v>
      </c>
      <c r="F16" s="1875">
        <f t="shared" si="3"/>
        <v>-2.4174438466711337</v>
      </c>
      <c r="G16" s="3694">
        <f t="shared" si="0"/>
        <v>-2.5428540390665604E-2</v>
      </c>
      <c r="H16" s="1875">
        <f>+'0+12'!$G$25*100</f>
        <v>94.409794889038338</v>
      </c>
      <c r="I16" s="1875">
        <f t="shared" si="4"/>
        <v>-1.7591062542030897</v>
      </c>
      <c r="J16" s="3694">
        <f t="shared" si="5"/>
        <v>-1.8632666835793905E-2</v>
      </c>
      <c r="K16" s="1875">
        <f>+K17*100/K18</f>
        <v>82.040780359436553</v>
      </c>
      <c r="L16" s="1878">
        <f>+L17/L18*100</f>
        <v>86.325871678131008</v>
      </c>
      <c r="M16" s="1875">
        <f t="shared" si="2"/>
        <v>-4.2850913186944553</v>
      </c>
      <c r="N16" s="1873">
        <f t="shared" si="1"/>
        <v>-4.9638552561294326E-2</v>
      </c>
      <c r="O16" s="1878"/>
      <c r="P16" s="1875">
        <f t="shared" si="6"/>
        <v>82.040780359436553</v>
      </c>
      <c r="Q16" s="1873" t="e">
        <f t="shared" si="7"/>
        <v>#DIV/0!</v>
      </c>
      <c r="R16" s="1875">
        <f>+'0+12'!T25*100</f>
        <v>83.915863352909724</v>
      </c>
      <c r="S16" s="1878">
        <f t="shared" si="8"/>
        <v>-1.8750829934731712</v>
      </c>
      <c r="T16" s="1873">
        <f t="shared" si="9"/>
        <v>-2.234479773612618E-2</v>
      </c>
      <c r="U16" s="1875">
        <v>65.928393784871432</v>
      </c>
      <c r="V16" s="1883"/>
      <c r="Y16" s="1884"/>
      <c r="AA16" s="1841"/>
      <c r="AB16" s="1841"/>
      <c r="AL16" s="1853"/>
      <c r="AN16" s="1883"/>
      <c r="AQ16" s="1884"/>
      <c r="BD16" s="1853"/>
    </row>
    <row r="17" spans="1:56" ht="11.5" hidden="1" customHeight="1">
      <c r="A17" s="2673"/>
      <c r="B17" s="1868" t="s">
        <v>1666</v>
      </c>
      <c r="C17" s="1869" t="s">
        <v>218</v>
      </c>
      <c r="D17" s="1881">
        <f>+'ST Original'!CB40</f>
        <v>688.85787000000016</v>
      </c>
      <c r="E17" s="1881">
        <f>+'TP sin BM'!J17</f>
        <v>706.83156499999996</v>
      </c>
      <c r="F17" s="1881">
        <f>D17-E17</f>
        <v>-17.973694999999793</v>
      </c>
      <c r="G17" s="3695">
        <f>F17/E17</f>
        <v>-2.5428540390665482E-2</v>
      </c>
      <c r="H17" s="1881">
        <f>+'0+12'!$G$26</f>
        <v>701.936825</v>
      </c>
      <c r="I17" s="1881">
        <f t="shared" si="4"/>
        <v>-13.078954999999837</v>
      </c>
      <c r="J17" s="3695">
        <f t="shared" si="5"/>
        <v>-1.8632666835793715E-2</v>
      </c>
      <c r="K17" s="1881">
        <f>+'R+RP+B'!U27</f>
        <v>1771.6706518620322</v>
      </c>
      <c r="L17" s="1881">
        <f>+BDGT!T22</f>
        <v>1863.3439401724577</v>
      </c>
      <c r="M17" s="1875">
        <f>K17-L17</f>
        <v>-91.673288310425505</v>
      </c>
      <c r="N17" s="1873">
        <f>M17/L17</f>
        <v>-4.9198264654211336E-2</v>
      </c>
      <c r="O17" s="1878"/>
      <c r="P17" s="1875"/>
      <c r="Q17" s="1873"/>
      <c r="R17" s="1881">
        <f>+'0+12'!T26</f>
        <v>1801.2575295658096</v>
      </c>
      <c r="S17" s="1875">
        <f t="shared" si="8"/>
        <v>-29.586877703777418</v>
      </c>
      <c r="T17" s="1873">
        <f t="shared" si="9"/>
        <v>-1.6425678848326197E-2</v>
      </c>
      <c r="U17" s="1881">
        <v>482.27151734228494</v>
      </c>
      <c r="V17" s="1883"/>
      <c r="Y17" s="1884"/>
      <c r="AA17" s="1841"/>
      <c r="AB17" s="1841"/>
      <c r="AL17" s="1853"/>
      <c r="AN17" s="1883"/>
      <c r="AQ17" s="1884"/>
      <c r="BD17" s="1853"/>
    </row>
    <row r="18" spans="1:56" ht="11.5" hidden="1" customHeight="1">
      <c r="A18" s="2673"/>
      <c r="B18" s="1868" t="s">
        <v>1667</v>
      </c>
      <c r="C18" s="1869"/>
      <c r="D18" s="1881">
        <f>(V1*24-0.5)</f>
        <v>743.5</v>
      </c>
      <c r="E18" s="1881">
        <f>+'TP sin BM'!J18</f>
        <v>743.5</v>
      </c>
      <c r="F18" s="1881">
        <f>D18-E18</f>
        <v>0</v>
      </c>
      <c r="G18" s="3695">
        <f>F18/E18</f>
        <v>0</v>
      </c>
      <c r="H18" s="1881">
        <f>+'0+12'!$G$27</f>
        <v>743.5</v>
      </c>
      <c r="I18" s="1881">
        <f t="shared" si="4"/>
        <v>0</v>
      </c>
      <c r="J18" s="3695">
        <f t="shared" si="5"/>
        <v>0</v>
      </c>
      <c r="K18" s="1881">
        <f>+'R+RP+B'!U23</f>
        <v>2159.5</v>
      </c>
      <c r="L18" s="1881">
        <f>+BDGT!T27</f>
        <v>2158.5</v>
      </c>
      <c r="M18" s="1875">
        <f>K18-L18</f>
        <v>1</v>
      </c>
      <c r="N18" s="1873">
        <f>M18/L18</f>
        <v>4.6328468844104701E-4</v>
      </c>
      <c r="O18" s="1878"/>
      <c r="P18" s="1875"/>
      <c r="Q18" s="1873"/>
      <c r="R18" s="1881">
        <f>+'0+12'!T27</f>
        <v>2146.5080645161288</v>
      </c>
      <c r="S18" s="1878">
        <f t="shared" si="8"/>
        <v>12.991935483871202</v>
      </c>
      <c r="T18" s="1873">
        <f t="shared" si="9"/>
        <v>6.0525910424659305E-3</v>
      </c>
      <c r="U18" s="1875">
        <v>731.50806451612902</v>
      </c>
      <c r="V18" s="1883"/>
      <c r="Y18" s="1884"/>
      <c r="AA18" s="1841"/>
      <c r="AB18" s="1841"/>
      <c r="AL18" s="1853"/>
      <c r="AN18" s="1883"/>
      <c r="AQ18" s="1884"/>
      <c r="BD18" s="1853"/>
    </row>
    <row r="19" spans="1:56" ht="9.75" customHeight="1">
      <c r="A19" s="2671"/>
      <c r="B19" s="1868"/>
      <c r="C19" s="1869"/>
      <c r="D19" s="1878"/>
      <c r="E19" s="1881"/>
      <c r="F19" s="1875"/>
      <c r="G19" s="1873"/>
      <c r="H19" s="1881"/>
      <c r="I19" s="1881"/>
      <c r="J19" s="1873"/>
      <c r="K19" s="1881"/>
      <c r="L19" s="1881"/>
      <c r="M19" s="1875"/>
      <c r="N19" s="1873"/>
      <c r="O19" s="1881"/>
      <c r="P19" s="1875"/>
      <c r="Q19" s="1873"/>
      <c r="R19" s="1880"/>
      <c r="S19" s="1878"/>
      <c r="T19" s="1873"/>
      <c r="U19" s="1881"/>
      <c r="V19" s="1883"/>
      <c r="Y19" s="1884"/>
      <c r="AA19" s="1841"/>
      <c r="AB19" s="1841"/>
      <c r="AL19" s="1853"/>
      <c r="AN19" s="1883"/>
      <c r="AQ19" s="1884"/>
      <c r="BD19" s="1853"/>
    </row>
    <row r="20" spans="1:56" ht="10.4" customHeight="1">
      <c r="A20" s="2674">
        <v>0.51308140927737755</v>
      </c>
      <c r="B20" s="1868" t="s">
        <v>89</v>
      </c>
      <c r="C20" s="1869" t="s">
        <v>48</v>
      </c>
      <c r="D20" s="1871">
        <f>+'Comparacion (Sin BM)'!R34</f>
        <v>0.5354493276828427</v>
      </c>
      <c r="E20" s="1871">
        <f>+'TP sin BM'!J20</f>
        <v>0.56048276877845449</v>
      </c>
      <c r="F20" s="1878">
        <f>D20-E20</f>
        <v>-2.5033441095611786E-2</v>
      </c>
      <c r="G20" s="1873">
        <f t="shared" si="0"/>
        <v>-4.4664069067049068E-2</v>
      </c>
      <c r="H20" s="1871">
        <f>+'0+12'!$G$33</f>
        <v>0.56467653298977216</v>
      </c>
      <c r="I20" s="1878">
        <f>D20-H20</f>
        <v>-2.922720530692946E-2</v>
      </c>
      <c r="J20" s="1873">
        <f>I20/H20</f>
        <v>-5.175919946979423E-2</v>
      </c>
      <c r="K20" s="1871">
        <f>+'R+RP+B'!U29</f>
        <v>0.51253836495611338</v>
      </c>
      <c r="L20" s="1871">
        <f>+BDGT!$T$29</f>
        <v>0.52083855986685346</v>
      </c>
      <c r="M20" s="1878">
        <f t="shared" si="2"/>
        <v>-8.3001949107400774E-3</v>
      </c>
      <c r="N20" s="1873">
        <f t="shared" si="1"/>
        <v>-1.5936214309597064E-2</v>
      </c>
      <c r="O20" s="1871"/>
      <c r="P20" s="1871">
        <f>K20-O20</f>
        <v>0.51253836495611338</v>
      </c>
      <c r="Q20" s="1873" t="e">
        <f>P20/O20</f>
        <v>#DIV/0!</v>
      </c>
      <c r="R20" s="1870">
        <f>+'0+12'!$T$33</f>
        <v>0.53035654056792547</v>
      </c>
      <c r="S20" s="1870">
        <f>K20-R20</f>
        <v>-1.7818175611812093E-2</v>
      </c>
      <c r="T20" s="1874">
        <f>S20/R20</f>
        <v>-3.359659822943209E-2</v>
      </c>
      <c r="U20" s="1871">
        <v>0.52516576586130848</v>
      </c>
      <c r="V20" s="1888"/>
      <c r="W20" s="1889"/>
      <c r="X20" s="1889" t="s">
        <v>120</v>
      </c>
      <c r="Y20" s="1889" t="s">
        <v>24</v>
      </c>
      <c r="Z20" s="1889" t="s">
        <v>25</v>
      </c>
      <c r="AA20" s="1889" t="s">
        <v>28</v>
      </c>
      <c r="AB20" s="1889" t="s">
        <v>29</v>
      </c>
      <c r="AD20" s="1889"/>
      <c r="AE20" s="1889" t="s">
        <v>22</v>
      </c>
      <c r="AF20" s="1889" t="s">
        <v>23</v>
      </c>
      <c r="AG20" s="1889" t="s">
        <v>24</v>
      </c>
      <c r="AH20" s="1889" t="s">
        <v>25</v>
      </c>
      <c r="AI20" s="1889" t="s">
        <v>28</v>
      </c>
      <c r="AJ20" s="1890" t="s">
        <v>29</v>
      </c>
      <c r="AK20" s="1843">
        <f>+DAY(EOMONTH(Factores!D2,0))</f>
        <v>31</v>
      </c>
      <c r="AL20" s="1853"/>
      <c r="AN20" s="1888"/>
      <c r="AO20" s="1889"/>
      <c r="AP20" s="1889" t="s">
        <v>120</v>
      </c>
      <c r="AQ20" s="1889" t="s">
        <v>24</v>
      </c>
      <c r="AR20" s="1889" t="s">
        <v>25</v>
      </c>
      <c r="AS20" s="1889" t="s">
        <v>28</v>
      </c>
      <c r="AT20" s="1889" t="s">
        <v>29</v>
      </c>
      <c r="AV20" s="1889"/>
      <c r="AW20" s="1889" t="s">
        <v>22</v>
      </c>
      <c r="AX20" s="1889" t="s">
        <v>23</v>
      </c>
      <c r="AY20" s="1889" t="s">
        <v>24</v>
      </c>
      <c r="AZ20" s="1889" t="s">
        <v>25</v>
      </c>
      <c r="BA20" s="1889" t="s">
        <v>28</v>
      </c>
      <c r="BB20" s="1890" t="s">
        <v>29</v>
      </c>
      <c r="BD20" s="1853"/>
    </row>
    <row r="21" spans="1:56" ht="10.4" customHeight="1">
      <c r="A21" s="2673">
        <v>88.474869047378618</v>
      </c>
      <c r="B21" s="1868" t="s">
        <v>90</v>
      </c>
      <c r="C21" s="1869" t="s">
        <v>48</v>
      </c>
      <c r="D21" s="1875">
        <f>D5*1000/(D10*1000*D20/100)*100</f>
        <v>90.294153352101716</v>
      </c>
      <c r="E21" s="1875">
        <f>E5*1000/(E10*1000*E20/100)*100</f>
        <v>90.234524939397105</v>
      </c>
      <c r="F21" s="1875">
        <f>D21-E21</f>
        <v>5.9628412704611833E-2</v>
      </c>
      <c r="G21" s="1873">
        <f t="shared" si="0"/>
        <v>6.6081594317318336E-4</v>
      </c>
      <c r="H21" s="1875">
        <f>+'0+12'!$G$34</f>
        <v>90.433416356934018</v>
      </c>
      <c r="I21" s="1875">
        <f>D21-H21</f>
        <v>-0.13926300483230136</v>
      </c>
      <c r="J21" s="1873">
        <f>I21/H21</f>
        <v>-1.5399507222268432E-3</v>
      </c>
      <c r="K21" s="1878">
        <f>+K5*100/(K10*K20%)</f>
        <v>90.495952864816218</v>
      </c>
      <c r="L21" s="1878">
        <f>L5/(L10*L20/100)*100</f>
        <v>89.998004776086447</v>
      </c>
      <c r="M21" s="1875">
        <f>K21-L21</f>
        <v>0.49794808872977114</v>
      </c>
      <c r="N21" s="1873">
        <f t="shared" si="1"/>
        <v>5.5328792006962575E-3</v>
      </c>
      <c r="O21" s="1878"/>
      <c r="P21" s="1878">
        <f>K21-O21</f>
        <v>90.495952864816218</v>
      </c>
      <c r="Q21" s="1873" t="e">
        <f>P21/O21</f>
        <v>#DIV/0!</v>
      </c>
      <c r="R21" s="1878">
        <f>R5/(R10*R20/100)*100</f>
        <v>90.282128614267663</v>
      </c>
      <c r="S21" s="1878">
        <f>K21-R21</f>
        <v>0.21382425054855503</v>
      </c>
      <c r="T21" s="1873">
        <f>S21/R21</f>
        <v>2.3684006328885281E-3</v>
      </c>
      <c r="U21" s="1871">
        <v>90.686648677377747</v>
      </c>
      <c r="V21" s="1888"/>
      <c r="W21" s="1891" t="s">
        <v>1406</v>
      </c>
      <c r="X21" s="1892">
        <f>+$E$10</f>
        <v>5835.7550737654183</v>
      </c>
      <c r="Y21" s="2618">
        <f>+$E$20</f>
        <v>0.56048276877845449</v>
      </c>
      <c r="Z21" s="1893">
        <f>+$E$21</f>
        <v>90.234524939397105</v>
      </c>
      <c r="AA21" s="1894">
        <f>+X21*Y21*Z21/10</f>
        <v>29514.270813981617</v>
      </c>
      <c r="AB21" s="1894">
        <f>+AA21</f>
        <v>29514.270813981617</v>
      </c>
      <c r="AD21" s="1891" t="s">
        <v>171</v>
      </c>
      <c r="AE21" s="1892">
        <f>E12</f>
        <v>8256.2174112377379</v>
      </c>
      <c r="AF21" s="1893">
        <f>+E16</f>
        <v>95.068132481506382</v>
      </c>
      <c r="AG21" s="1893">
        <f>+$E$20</f>
        <v>0.56048276877845449</v>
      </c>
      <c r="AH21" s="1893">
        <f>+$E$21</f>
        <v>90.234524939397105</v>
      </c>
      <c r="AI21" s="1894">
        <f>+E10*E20*E21/10</f>
        <v>29514.270813981617</v>
      </c>
      <c r="AJ21" s="1894">
        <f>+AI21</f>
        <v>29514.270813981617</v>
      </c>
      <c r="AL21" s="1853"/>
      <c r="AN21" s="1888"/>
      <c r="AO21" s="1891" t="s">
        <v>1263</v>
      </c>
      <c r="AP21" s="1892">
        <f>+H10</f>
        <v>5652.5026555182458</v>
      </c>
      <c r="AQ21" s="2618">
        <f>+H20</f>
        <v>0.56467653298977216</v>
      </c>
      <c r="AR21" s="1893">
        <f>+$H$21</f>
        <v>90.433416356934018</v>
      </c>
      <c r="AS21" s="1894">
        <f>+AP21*AQ21*AR21/10</f>
        <v>28864.859795966942</v>
      </c>
      <c r="AT21" s="1894">
        <f>+AS21</f>
        <v>28864.859795966942</v>
      </c>
      <c r="AV21" s="1891" t="str">
        <f>+AO21</f>
        <v>OL 6+6</v>
      </c>
      <c r="AW21" s="1892">
        <f>H12</f>
        <v>8052.7227724777731</v>
      </c>
      <c r="AX21" s="1893">
        <f>+H16</f>
        <v>94.409794889038338</v>
      </c>
      <c r="AY21" s="1893">
        <f>+$H$20</f>
        <v>0.56467653298977216</v>
      </c>
      <c r="AZ21" s="1893">
        <f>+$H$21</f>
        <v>90.433416356934018</v>
      </c>
      <c r="BA21" s="1894">
        <f>+H10*H20*H21/10</f>
        <v>28864.859795966942</v>
      </c>
      <c r="BB21" s="1894">
        <f>+BA21</f>
        <v>28864.859795966942</v>
      </c>
      <c r="BD21" s="1853"/>
    </row>
    <row r="22" spans="1:56" ht="10.4" customHeight="1">
      <c r="A22" s="2673">
        <v>90.493144321009851</v>
      </c>
      <c r="B22" s="1868" t="s">
        <v>92</v>
      </c>
      <c r="C22" s="1869" t="s">
        <v>53</v>
      </c>
      <c r="D22" s="1881">
        <f>+'Comparacion (Sin BM)'!R36</f>
        <v>105.7534669311305</v>
      </c>
      <c r="E22" s="1881">
        <f>+'TP sin BM'!J22</f>
        <v>105.71507194799014</v>
      </c>
      <c r="F22" s="1875">
        <f>D22-E22</f>
        <v>3.8394983140364047E-2</v>
      </c>
      <c r="G22" s="1873">
        <f t="shared" si="0"/>
        <v>3.6319308527031668E-4</v>
      </c>
      <c r="H22" s="1881">
        <f>+'0+12'!$G$35</f>
        <v>102.13915892162728</v>
      </c>
      <c r="I22" s="1881">
        <f>D22-H22</f>
        <v>3.614308009503219</v>
      </c>
      <c r="J22" s="1873">
        <f>I22/H22</f>
        <v>3.5386114861945601E-2</v>
      </c>
      <c r="K22" s="1881">
        <f>+K5/K23%</f>
        <v>259.00300763005976</v>
      </c>
      <c r="L22" s="1881">
        <f>+BDGT!$T$32</f>
        <v>254.52677203830268</v>
      </c>
      <c r="M22" s="1875">
        <f t="shared" si="2"/>
        <v>4.4762355917570744</v>
      </c>
      <c r="N22" s="1873">
        <f t="shared" si="1"/>
        <v>1.7586502024562918E-2</v>
      </c>
      <c r="O22" s="1881"/>
      <c r="P22" s="1878">
        <f>K22-O22</f>
        <v>259.00300763005976</v>
      </c>
      <c r="Q22" s="1873" t="e">
        <f>P22/O22</f>
        <v>#DIV/0!</v>
      </c>
      <c r="R22" s="1881">
        <f>+'0+12'!$T$35</f>
        <v>262.54122660054128</v>
      </c>
      <c r="S22" s="1875">
        <f>K22-R22</f>
        <v>-3.5382189704815232</v>
      </c>
      <c r="T22" s="1873">
        <f>S22/R22</f>
        <v>-1.3476812827819052E-2</v>
      </c>
      <c r="U22" s="1871">
        <v>70.931306150247394</v>
      </c>
      <c r="V22" s="1888"/>
      <c r="W22" s="1891" t="s">
        <v>173</v>
      </c>
      <c r="X22" s="1895">
        <f>D10</f>
        <v>5857.198775683828</v>
      </c>
      <c r="Y22" s="2618">
        <f>Y21</f>
        <v>0.56048276877845449</v>
      </c>
      <c r="Z22" s="1893">
        <f>Z21</f>
        <v>90.234524939397105</v>
      </c>
      <c r="AA22" s="1894">
        <f>+X22*Y22*Z22/10</f>
        <v>29622.722114228854</v>
      </c>
      <c r="AB22" s="1894">
        <f>+AA22-AA21</f>
        <v>108.45130024723767</v>
      </c>
      <c r="AD22" s="1896" t="s">
        <v>36</v>
      </c>
      <c r="AE22" s="1897">
        <f>D12</f>
        <v>8502.7681772494343</v>
      </c>
      <c r="AF22" s="1893">
        <f>+AF21</f>
        <v>95.068132481506382</v>
      </c>
      <c r="AG22" s="1893">
        <f>+AG21</f>
        <v>0.56048276877845449</v>
      </c>
      <c r="AH22" s="1893">
        <f>+AH21</f>
        <v>90.234524939397105</v>
      </c>
      <c r="AI22" s="1894">
        <f>+(AE22*AF22*24*$AK$20/1000000)*AG22*AH22</f>
        <v>30416.079758096654</v>
      </c>
      <c r="AJ22" s="1894">
        <f>+AI22-AI21</f>
        <v>901.80894411503687</v>
      </c>
      <c r="AK22" s="2611"/>
      <c r="AL22" s="1853"/>
      <c r="AN22" s="1888"/>
      <c r="AO22" s="1891" t="s">
        <v>173</v>
      </c>
      <c r="AP22" s="1895">
        <f>D10</f>
        <v>5857.198775683828</v>
      </c>
      <c r="AQ22" s="2618">
        <f>AQ21</f>
        <v>0.56467653298977216</v>
      </c>
      <c r="AR22" s="1893">
        <f>AR21</f>
        <v>90.433416356934018</v>
      </c>
      <c r="AS22" s="1894">
        <f>+AP22*AQ22*AR22/10</f>
        <v>29910.153388812894</v>
      </c>
      <c r="AT22" s="1894">
        <f>+AS22-AS21</f>
        <v>1045.2935928459519</v>
      </c>
      <c r="AV22" s="1896" t="s">
        <v>36</v>
      </c>
      <c r="AW22" s="1897">
        <f>D12</f>
        <v>8502.7681772494343</v>
      </c>
      <c r="AX22" s="1893">
        <f>+AX21</f>
        <v>94.409794889038338</v>
      </c>
      <c r="AY22" s="1893">
        <f>+AY21</f>
        <v>0.56467653298977216</v>
      </c>
      <c r="AZ22" s="1893">
        <f>+AZ21</f>
        <v>90.433416356934018</v>
      </c>
      <c r="BA22" s="1894">
        <f>+(AW22*AX22*24*$AK$20/1000000)*AY22*AZ22</f>
        <v>30498.5368930154</v>
      </c>
      <c r="BB22" s="1894">
        <f>+BA22-BA21</f>
        <v>1633.6770970484577</v>
      </c>
      <c r="BC22" s="2611"/>
      <c r="BD22" s="1853"/>
    </row>
    <row r="23" spans="1:56" ht="10.4" customHeight="1">
      <c r="A23" s="2672">
        <v>26.470502</v>
      </c>
      <c r="B23" s="1868" t="s">
        <v>93</v>
      </c>
      <c r="C23" s="1869" t="s">
        <v>48</v>
      </c>
      <c r="D23" s="1875">
        <f>+'Comparacion (Sin BM)'!R37</f>
        <v>26.777705251636434</v>
      </c>
      <c r="E23" s="1875">
        <f>+'TP sin BM'!J23</f>
        <v>27.918697183029963</v>
      </c>
      <c r="F23" s="1875">
        <f>D23-E23</f>
        <v>-1.1409919313935291</v>
      </c>
      <c r="G23" s="1873">
        <f t="shared" si="0"/>
        <v>-4.0868380208194922E-2</v>
      </c>
      <c r="H23" s="1875">
        <f>+'0+12'!$G$36</f>
        <v>28.260326500353631</v>
      </c>
      <c r="I23" s="1875">
        <f>D23-H23</f>
        <v>-1.4826212487171979</v>
      </c>
      <c r="J23" s="1873">
        <f>I23/H23</f>
        <v>-5.2462990783161877E-2</v>
      </c>
      <c r="K23" s="1875">
        <f>+'R+RP+B'!U32</f>
        <v>26.736302080312278</v>
      </c>
      <c r="L23" s="1875">
        <f>+BDGT!$T$33</f>
        <v>27.974256407925751</v>
      </c>
      <c r="M23" s="1875">
        <f t="shared" si="2"/>
        <v>-1.2379543276134726</v>
      </c>
      <c r="N23" s="1873">
        <f t="shared" si="1"/>
        <v>-4.4253341699646807E-2</v>
      </c>
      <c r="O23" s="1875"/>
      <c r="P23" s="1875">
        <f>K23-O23</f>
        <v>26.736302080312278</v>
      </c>
      <c r="Q23" s="1873" t="e">
        <f>P23/O23</f>
        <v>#DIV/0!</v>
      </c>
      <c r="R23" s="1878">
        <f>+'0+12'!$T$36</f>
        <v>27.034106270401626</v>
      </c>
      <c r="S23" s="1878">
        <f>K23-R23</f>
        <v>-0.297804190089348</v>
      </c>
      <c r="T23" s="1873">
        <f>S23/R23</f>
        <v>-1.1015869624489855E-2</v>
      </c>
      <c r="U23" s="1871">
        <v>26.728671999999996</v>
      </c>
      <c r="V23" s="1888"/>
      <c r="W23" s="1896" t="s">
        <v>1167</v>
      </c>
      <c r="X23" s="1895">
        <f>X22</f>
        <v>5857.198775683828</v>
      </c>
      <c r="Y23" s="2619">
        <f>D20</f>
        <v>0.5354493276828427</v>
      </c>
      <c r="Z23" s="1893">
        <f>Z21</f>
        <v>90.234524939397105</v>
      </c>
      <c r="AA23" s="1894">
        <f>+X23*Y23*Z23/10</f>
        <v>28299.650807764934</v>
      </c>
      <c r="AB23" s="1894">
        <f>+AA23-AA22</f>
        <v>-1323.0713064639203</v>
      </c>
      <c r="AD23" s="1896" t="s">
        <v>41</v>
      </c>
      <c r="AE23" s="1897">
        <f>AE22</f>
        <v>8502.7681772494343</v>
      </c>
      <c r="AF23" s="1898">
        <f>D16</f>
        <v>92.650688634835248</v>
      </c>
      <c r="AG23" s="1893">
        <f>+AG22</f>
        <v>0.56048276877845449</v>
      </c>
      <c r="AH23" s="1893">
        <f>+AH22</f>
        <v>90.234524939397105</v>
      </c>
      <c r="AI23" s="1894">
        <f>+(AE23*AF23*24*$AK$20/1000000)*AG23*AH23</f>
        <v>29642.643245442196</v>
      </c>
      <c r="AJ23" s="1894">
        <f>+AI23-AI22</f>
        <v>-773.43651265445806</v>
      </c>
      <c r="AL23" s="1853"/>
      <c r="AN23" s="1888"/>
      <c r="AO23" s="1896" t="s">
        <v>1167</v>
      </c>
      <c r="AP23" s="1895">
        <f>AP22</f>
        <v>5857.198775683828</v>
      </c>
      <c r="AQ23" s="2619">
        <f>D20</f>
        <v>0.5354493276828427</v>
      </c>
      <c r="AR23" s="1893">
        <f>AR21</f>
        <v>90.433416356934018</v>
      </c>
      <c r="AS23" s="1894">
        <f>+AP23*AQ23*AR23/10</f>
        <v>28362.027793389185</v>
      </c>
      <c r="AT23" s="1894">
        <f>+AS23-AS22</f>
        <v>-1548.1255954237095</v>
      </c>
      <c r="AV23" s="1896" t="s">
        <v>41</v>
      </c>
      <c r="AW23" s="1897">
        <f>AW22</f>
        <v>8502.7681772494343</v>
      </c>
      <c r="AX23" s="1898">
        <f>D16</f>
        <v>92.650688634835248</v>
      </c>
      <c r="AY23" s="1893">
        <f>+AY22</f>
        <v>0.56467653298977216</v>
      </c>
      <c r="AZ23" s="1893">
        <f>+AZ22</f>
        <v>90.433416356934018</v>
      </c>
      <c r="BA23" s="1894">
        <f>+(AW23*AX23*24*$AK$20/1000000)*AY23*AZ23</f>
        <v>29930.267816108673</v>
      </c>
      <c r="BB23" s="1894">
        <f>+BA23-BA22</f>
        <v>-568.2690769067267</v>
      </c>
      <c r="BD23" s="1853"/>
    </row>
    <row r="24" spans="1:56" ht="10.4" customHeight="1">
      <c r="A24" s="2671"/>
      <c r="B24" s="1868"/>
      <c r="C24" s="1869"/>
      <c r="D24" s="1881"/>
      <c r="E24" s="1881"/>
      <c r="F24" s="1875"/>
      <c r="G24" s="1873"/>
      <c r="H24" s="1881"/>
      <c r="I24" s="1881"/>
      <c r="J24" s="1873"/>
      <c r="K24" s="1881"/>
      <c r="L24" s="1881"/>
      <c r="M24" s="1875"/>
      <c r="N24" s="1873"/>
      <c r="O24" s="1881"/>
      <c r="P24" s="1875"/>
      <c r="Q24" s="1873"/>
      <c r="R24" s="1875"/>
      <c r="S24" s="1878"/>
      <c r="T24" s="1873"/>
      <c r="U24" s="1881"/>
      <c r="V24" s="1850"/>
      <c r="W24" s="1896" t="s">
        <v>51</v>
      </c>
      <c r="X24" s="1895">
        <f>X22</f>
        <v>5857.198775683828</v>
      </c>
      <c r="Y24" s="2619">
        <f>Y23</f>
        <v>0.5354493276828427</v>
      </c>
      <c r="Z24" s="1898">
        <f>D21</f>
        <v>90.294153352101716</v>
      </c>
      <c r="AA24" s="1894">
        <f>+X24*Y24*Z24/10</f>
        <v>28318.351668204938</v>
      </c>
      <c r="AB24" s="1894">
        <f>+AA24-AA23</f>
        <v>18.700860440003453</v>
      </c>
      <c r="AD24" s="1896" t="s">
        <v>1167</v>
      </c>
      <c r="AE24" s="1897">
        <f>AE22</f>
        <v>8502.7681772494343</v>
      </c>
      <c r="AF24" s="1898">
        <f>AF23</f>
        <v>92.650688634835248</v>
      </c>
      <c r="AG24" s="1898">
        <f>D20</f>
        <v>0.5354493276828427</v>
      </c>
      <c r="AH24" s="1893">
        <f>+AH23</f>
        <v>90.234524939397105</v>
      </c>
      <c r="AI24" s="1894">
        <f>+(AE24*AF24*24*$AK$20/1000000)*AG24*AH24</f>
        <v>28318.682180197866</v>
      </c>
      <c r="AJ24" s="1894">
        <f>+AI24-AI23</f>
        <v>-1323.9610652443298</v>
      </c>
      <c r="AL24" s="1853"/>
      <c r="AN24" s="1850"/>
      <c r="AO24" s="1896" t="s">
        <v>51</v>
      </c>
      <c r="AP24" s="1895">
        <f>AP22</f>
        <v>5857.198775683828</v>
      </c>
      <c r="AQ24" s="2619">
        <f>AQ23</f>
        <v>0.5354493276828427</v>
      </c>
      <c r="AR24" s="1898">
        <f>D21</f>
        <v>90.294153352101716</v>
      </c>
      <c r="AS24" s="1894">
        <f>+AP24*AQ24*AR24/10</f>
        <v>28318.351668204938</v>
      </c>
      <c r="AT24" s="1894">
        <f>+AS24-AS23</f>
        <v>-43.676125184247212</v>
      </c>
      <c r="AV24" s="1896" t="s">
        <v>1167</v>
      </c>
      <c r="AW24" s="1897">
        <f>AW22</f>
        <v>8502.7681772494343</v>
      </c>
      <c r="AX24" s="1898">
        <f>AX23</f>
        <v>92.650688634835248</v>
      </c>
      <c r="AY24" s="1898">
        <f>D20</f>
        <v>0.5354493276828427</v>
      </c>
      <c r="AZ24" s="1893">
        <f>+AZ23</f>
        <v>90.433416356934018</v>
      </c>
      <c r="BA24" s="1894">
        <f>+(AW24*AX24*24*$AK$20/1000000)*AY24*AZ24</f>
        <v>28381.101114030338</v>
      </c>
      <c r="BB24" s="1894">
        <f>+BA24-BA23</f>
        <v>-1549.1667020783352</v>
      </c>
      <c r="BD24" s="1853"/>
    </row>
    <row r="25" spans="1:56" ht="10.4" customHeight="1">
      <c r="A25" s="2671">
        <v>174.765009308234</v>
      </c>
      <c r="B25" s="1868" t="s">
        <v>94</v>
      </c>
      <c r="C25" s="1869" t="s">
        <v>95</v>
      </c>
      <c r="D25" s="1881">
        <f>+'Comparacion (Sin BM)'!R39</f>
        <v>171.18629045307489</v>
      </c>
      <c r="E25" s="1881">
        <f>+'TP sin BM'!J25</f>
        <v>216.46396510270179</v>
      </c>
      <c r="F25" s="1881">
        <f>D25-E25</f>
        <v>-45.277674649626903</v>
      </c>
      <c r="G25" s="1873">
        <f t="shared" si="0"/>
        <v>-0.20916957068648731</v>
      </c>
      <c r="H25" s="1881">
        <f>+'0+12'!$G$38</f>
        <v>213.48422346499791</v>
      </c>
      <c r="I25" s="1881">
        <f>D25-H25</f>
        <v>-42.297933011923021</v>
      </c>
      <c r="J25" s="1873">
        <f t="shared" ref="J25:J32" si="10">I25/H25</f>
        <v>-0.1981314231346844</v>
      </c>
      <c r="K25" s="1881">
        <f>+'R+RP+B'!U34</f>
        <v>192.66735748300661</v>
      </c>
      <c r="L25" s="1881">
        <f>+BDGT!$T$35</f>
        <v>197.52627780568733</v>
      </c>
      <c r="M25" s="1881">
        <f t="shared" si="2"/>
        <v>-4.8589203226807172</v>
      </c>
      <c r="N25" s="1873">
        <f t="shared" si="1"/>
        <v>-2.4598855284766651E-2</v>
      </c>
      <c r="O25" s="1881"/>
      <c r="P25" s="1881">
        <f t="shared" ref="P25:P36" si="11">K25-O25</f>
        <v>192.66735748300661</v>
      </c>
      <c r="Q25" s="1873" t="e">
        <f>P25/O25</f>
        <v>#DIV/0!</v>
      </c>
      <c r="R25" s="1881">
        <f>+'0+12'!$T$38</f>
        <v>195.69437804771576</v>
      </c>
      <c r="S25" s="1881">
        <f>K25-R25</f>
        <v>-3.0270205647091473</v>
      </c>
      <c r="T25" s="1874">
        <f>S25/R25</f>
        <v>-1.5468101817268737E-2</v>
      </c>
      <c r="U25" s="1881">
        <v>192.60869814129401</v>
      </c>
      <c r="V25" s="1850"/>
      <c r="W25" s="1896" t="s">
        <v>174</v>
      </c>
      <c r="X25" s="1895">
        <f>X22</f>
        <v>5857.198775683828</v>
      </c>
      <c r="Y25" s="2619">
        <f>Y23</f>
        <v>0.5354493276828427</v>
      </c>
      <c r="Z25" s="1898">
        <f>Z24</f>
        <v>90.294153352101716</v>
      </c>
      <c r="AA25" s="1894">
        <f>+X25*Y25*Z25/10</f>
        <v>28318.351668204938</v>
      </c>
      <c r="AB25" s="1894">
        <f>+SUM(AB21:AB24)</f>
        <v>28318.351668204938</v>
      </c>
      <c r="AD25" s="1896" t="s">
        <v>51</v>
      </c>
      <c r="AE25" s="1897">
        <f>AE22</f>
        <v>8502.7681772494343</v>
      </c>
      <c r="AF25" s="1898">
        <f>AF23</f>
        <v>92.650688634835248</v>
      </c>
      <c r="AG25" s="1898">
        <f>AG24</f>
        <v>0.5354493276828427</v>
      </c>
      <c r="AH25" s="1898">
        <f>D21</f>
        <v>90.294153352101716</v>
      </c>
      <c r="AI25" s="1894">
        <f>+(AE25*AF25*24*$AK$20/1000000)*AG25*AH25</f>
        <v>28337.395616872196</v>
      </c>
      <c r="AJ25" s="1894">
        <f>+AI25-AI24</f>
        <v>18.713436674330296</v>
      </c>
      <c r="AL25" s="1853"/>
      <c r="AN25" s="1850"/>
      <c r="AO25" s="1896" t="s">
        <v>174</v>
      </c>
      <c r="AP25" s="1895">
        <f>AP22</f>
        <v>5857.198775683828</v>
      </c>
      <c r="AQ25" s="2619">
        <f>AQ23</f>
        <v>0.5354493276828427</v>
      </c>
      <c r="AR25" s="1898">
        <f>AR24</f>
        <v>90.294153352101716</v>
      </c>
      <c r="AS25" s="1894">
        <f>+AP25*AQ25*AR25/10</f>
        <v>28318.351668204938</v>
      </c>
      <c r="AT25" s="1894">
        <f>+SUM(AT21:AT24)</f>
        <v>28318.351668204938</v>
      </c>
      <c r="AV25" s="1896" t="s">
        <v>51</v>
      </c>
      <c r="AW25" s="1897">
        <f>AW22</f>
        <v>8502.7681772494343</v>
      </c>
      <c r="AX25" s="1898">
        <f>AX23</f>
        <v>92.650688634835248</v>
      </c>
      <c r="AY25" s="1898">
        <f>AY24</f>
        <v>0.5354493276828427</v>
      </c>
      <c r="AZ25" s="1898">
        <f>D21</f>
        <v>90.294153352101716</v>
      </c>
      <c r="BA25" s="1894">
        <f>+(AW25*AX25*24*$AK$20/1000000)*AY25*AZ25</f>
        <v>28337.395616872196</v>
      </c>
      <c r="BB25" s="1894">
        <f>+BA25-BA24</f>
        <v>-43.705497158141952</v>
      </c>
      <c r="BD25" s="1853"/>
    </row>
    <row r="26" spans="1:56" ht="10.4" customHeight="1">
      <c r="A26" s="2672">
        <v>74.576475699601076</v>
      </c>
      <c r="B26" s="1868" t="s">
        <v>96</v>
      </c>
      <c r="C26" s="1869" t="s">
        <v>48</v>
      </c>
      <c r="D26" s="1875">
        <f>+'Comparacion (Sin BM)'!R40</f>
        <v>80.57935681068416</v>
      </c>
      <c r="E26" s="1875">
        <f>+'TP sin BM'!J26</f>
        <v>83.941170489613725</v>
      </c>
      <c r="F26" s="1875">
        <f>D26-E26</f>
        <v>-3.3618136789295647</v>
      </c>
      <c r="G26" s="1873">
        <f t="shared" si="0"/>
        <v>-4.004964023399616E-2</v>
      </c>
      <c r="H26" s="1875">
        <f>+'0+12'!$G$39</f>
        <v>83.99813374525263</v>
      </c>
      <c r="I26" s="1875">
        <f>D26-H26</f>
        <v>-3.41877693456847</v>
      </c>
      <c r="J26" s="1873">
        <f t="shared" si="10"/>
        <v>-4.0700629670378727E-2</v>
      </c>
      <c r="K26" s="1875">
        <f>+K7*100/(K10*K25/1000000)</f>
        <v>80.026351406553729</v>
      </c>
      <c r="L26" s="1875">
        <f>+BDGT!$T$36</f>
        <v>83.619091451728735</v>
      </c>
      <c r="M26" s="1875">
        <f t="shared" si="2"/>
        <v>-3.592740045175006</v>
      </c>
      <c r="N26" s="1873">
        <f t="shared" si="1"/>
        <v>-4.2965547494007481E-2</v>
      </c>
      <c r="O26" s="1875"/>
      <c r="P26" s="1875">
        <f t="shared" si="11"/>
        <v>80.026351406553729</v>
      </c>
      <c r="Q26" s="1873" t="e">
        <f>P26/O26</f>
        <v>#DIV/0!</v>
      </c>
      <c r="R26" s="1881">
        <f>+'0+12'!$T$39</f>
        <v>82.944036127337341</v>
      </c>
      <c r="S26" s="1881">
        <f>K26-R26</f>
        <v>-2.9176847207836119</v>
      </c>
      <c r="T26" s="1874">
        <f>S26/R26</f>
        <v>-3.5176546223339364E-2</v>
      </c>
      <c r="U26" s="1875">
        <v>82.368785493675759</v>
      </c>
      <c r="V26" s="1850"/>
      <c r="AA26" s="2611">
        <f>SUM(AB22:AB24)</f>
        <v>-1195.9191457766792</v>
      </c>
      <c r="AB26" s="1841"/>
      <c r="AD26" s="1899" t="s">
        <v>174</v>
      </c>
      <c r="AE26" s="1897">
        <f>AE22</f>
        <v>8502.7681772494343</v>
      </c>
      <c r="AF26" s="1898">
        <f>AF23</f>
        <v>92.650688634835248</v>
      </c>
      <c r="AG26" s="1898">
        <f>AG24</f>
        <v>0.5354493276828427</v>
      </c>
      <c r="AH26" s="1898">
        <f>AH25</f>
        <v>90.294153352101716</v>
      </c>
      <c r="AI26" s="1894">
        <f>+(AE26*AF26*24*$AK$20/1000000)*AG26*AH26</f>
        <v>28337.395616872196</v>
      </c>
      <c r="AJ26" s="1894">
        <f>SUM(AJ21:AJ25)</f>
        <v>28337.395616872196</v>
      </c>
      <c r="AL26" s="1853"/>
      <c r="AN26" s="1850"/>
      <c r="AS26" s="2611">
        <f>SUM(AT22:AT24)</f>
        <v>-546.50812776200473</v>
      </c>
      <c r="AV26" s="1899" t="s">
        <v>174</v>
      </c>
      <c r="AW26" s="1897">
        <f>AW22</f>
        <v>8502.7681772494343</v>
      </c>
      <c r="AX26" s="1898">
        <f>AX23</f>
        <v>92.650688634835248</v>
      </c>
      <c r="AY26" s="1898">
        <f>AY24</f>
        <v>0.5354493276828427</v>
      </c>
      <c r="AZ26" s="1898">
        <f>AZ25</f>
        <v>90.294153352101716</v>
      </c>
      <c r="BA26" s="1894">
        <f>+(AW26*AX26*24*$AK$20/1000000)*AY26*AZ26</f>
        <v>28337.395616872196</v>
      </c>
      <c r="BB26" s="1894">
        <f>SUM(BB21:BB25)</f>
        <v>28337.395616872196</v>
      </c>
      <c r="BD26" s="1853"/>
    </row>
    <row r="27" spans="1:56" ht="11.25" customHeight="1">
      <c r="A27" s="2671">
        <v>1323.5878807578001</v>
      </c>
      <c r="B27" s="1868" t="s">
        <v>175</v>
      </c>
      <c r="C27" s="1869" t="s">
        <v>1168</v>
      </c>
      <c r="D27" s="1881">
        <f>+'Comparacion (Sin BM)'!R43</f>
        <v>1615.8935079268579</v>
      </c>
      <c r="E27" s="1881">
        <f>+'TP sin BM'!J29</f>
        <v>1963.649298126209</v>
      </c>
      <c r="F27" s="1881">
        <f>D27-E27</f>
        <v>-347.75579019935117</v>
      </c>
      <c r="G27" s="1873">
        <f>F27/E27</f>
        <v>-0.1770966895826018</v>
      </c>
      <c r="H27" s="1881">
        <f>+'0+12'!$G$42*1000</f>
        <v>1877.0785132735298</v>
      </c>
      <c r="I27" s="1881">
        <f>D27-H27</f>
        <v>-261.18500534667191</v>
      </c>
      <c r="J27" s="1873">
        <f t="shared" si="10"/>
        <v>-0.13914442230292143</v>
      </c>
      <c r="K27" s="1881">
        <f>+'R+RP+B'!U38*1000</f>
        <v>4717.8739097350453</v>
      </c>
      <c r="L27" s="1881">
        <f>BDGT!$T$39*1000</f>
        <v>4646.143024779285</v>
      </c>
      <c r="M27" s="1881">
        <f t="shared" si="2"/>
        <v>71.730884955760303</v>
      </c>
      <c r="N27" s="1873">
        <f t="shared" si="1"/>
        <v>1.5438802588124776E-2</v>
      </c>
      <c r="O27" s="1881"/>
      <c r="P27" s="1881">
        <f t="shared" si="11"/>
        <v>4717.8739097350453</v>
      </c>
      <c r="Q27" s="1873" t="e">
        <f>P27/O27</f>
        <v>#DIV/0!</v>
      </c>
      <c r="R27" s="1881">
        <f>'0+12'!$T$42*1000</f>
        <v>4455.6345370144054</v>
      </c>
      <c r="S27" s="1881">
        <f>K27-R27</f>
        <v>262.23937272063995</v>
      </c>
      <c r="T27" s="1874">
        <f>S27/R27</f>
        <v>5.885567376366535E-2</v>
      </c>
      <c r="U27" s="1881">
        <v>0</v>
      </c>
      <c r="V27" s="1900"/>
      <c r="W27" s="1901"/>
      <c r="X27" s="1901"/>
      <c r="Y27" s="1901"/>
      <c r="Z27" s="1901"/>
      <c r="AA27" s="1901"/>
      <c r="AB27" s="1901"/>
      <c r="AC27" s="1901"/>
      <c r="AD27" s="1902"/>
      <c r="AE27" s="1903"/>
      <c r="AF27" s="1904"/>
      <c r="AG27" s="1904"/>
      <c r="AH27" s="1904"/>
      <c r="AI27" s="1903"/>
      <c r="AJ27" s="1903"/>
      <c r="AK27" s="1905"/>
      <c r="AL27" s="1906"/>
      <c r="AN27" s="1900"/>
      <c r="AO27" s="1901"/>
      <c r="AP27" s="1901"/>
      <c r="AQ27" s="1901"/>
      <c r="AR27" s="1901"/>
      <c r="AS27" s="1901"/>
      <c r="AT27" s="1901"/>
      <c r="AU27" s="1901"/>
      <c r="AV27" s="1902"/>
      <c r="AW27" s="1903"/>
      <c r="AX27" s="1904"/>
      <c r="AY27" s="1904"/>
      <c r="AZ27" s="1904"/>
      <c r="BA27" s="1903"/>
      <c r="BB27" s="1903"/>
      <c r="BC27" s="1905"/>
      <c r="BD27" s="1906"/>
    </row>
    <row r="28" spans="1:56" ht="12" customHeight="1">
      <c r="A28" s="2675">
        <v>26.762132499426379</v>
      </c>
      <c r="B28" s="1868" t="s">
        <v>176</v>
      </c>
      <c r="C28" s="1869" t="s">
        <v>177</v>
      </c>
      <c r="D28" s="1910">
        <f>+'Comparacion (Sin BM)'!R46</f>
        <v>27.44514654815184</v>
      </c>
      <c r="E28" s="1910">
        <f>+'TP sin BM'!J31</f>
        <v>34.290586186974402</v>
      </c>
      <c r="F28" s="1881">
        <f>D28-E28</f>
        <v>-6.8454396388225618</v>
      </c>
      <c r="G28" s="1873">
        <f t="shared" si="0"/>
        <v>-0.19963028924314119</v>
      </c>
      <c r="H28" s="1910">
        <f>+'0+12'!$G$57</f>
        <v>31.625551520365899</v>
      </c>
      <c r="I28" s="1881">
        <f>D28-H28</f>
        <v>-4.1804049722140597</v>
      </c>
      <c r="J28" s="1873">
        <f t="shared" si="10"/>
        <v>-0.13218441327488012</v>
      </c>
      <c r="K28" s="1881">
        <f>+'R+RP+B'!U49</f>
        <v>11.311252594606758</v>
      </c>
      <c r="L28" s="1881">
        <f>BDGT!$T$54</f>
        <v>29.280536525130788</v>
      </c>
      <c r="M28" s="1881">
        <f t="shared" si="2"/>
        <v>-17.969283930524028</v>
      </c>
      <c r="N28" s="1874">
        <f t="shared" si="1"/>
        <v>-0.61369380697998543</v>
      </c>
      <c r="O28" s="1881"/>
      <c r="P28" s="1881">
        <f t="shared" si="11"/>
        <v>11.311252594606758</v>
      </c>
      <c r="Q28" s="1874" t="e">
        <f>P28/O28</f>
        <v>#DIV/0!</v>
      </c>
      <c r="R28" s="1881">
        <f>+'0+12'!$T$57</f>
        <v>27.29009528920237</v>
      </c>
      <c r="S28" s="1881">
        <f>K28-R28</f>
        <v>-15.978842694595611</v>
      </c>
      <c r="T28" s="1874">
        <f>S28/R28</f>
        <v>-0.58551802495602934</v>
      </c>
      <c r="U28" s="1910">
        <v>0</v>
      </c>
      <c r="W28" s="1843"/>
      <c r="X28" s="1843"/>
      <c r="Y28" s="1843"/>
      <c r="Z28" s="1843"/>
      <c r="AC28" s="1843"/>
      <c r="AD28" s="1907"/>
      <c r="AE28" s="1908"/>
      <c r="AF28" s="1909"/>
      <c r="AG28" s="1909"/>
      <c r="AH28" s="1909"/>
      <c r="AI28" s="1908"/>
      <c r="AJ28" s="1908"/>
    </row>
    <row r="29" spans="1:56" ht="10.4" customHeight="1">
      <c r="A29" s="2676">
        <v>1684.0908736100514</v>
      </c>
      <c r="B29" s="2001" t="s">
        <v>178</v>
      </c>
      <c r="C29" s="2002" t="s">
        <v>177</v>
      </c>
      <c r="D29" s="2003">
        <f>+'Comparacion (Sin BM)'!R47</f>
        <v>1264.0913954643502</v>
      </c>
      <c r="E29" s="2003">
        <f>+'TP sin BM'!J32</f>
        <v>1371.3752065384699</v>
      </c>
      <c r="F29" s="2005">
        <f>D29-E29</f>
        <v>-107.28381107411974</v>
      </c>
      <c r="G29" s="2004">
        <f t="shared" si="0"/>
        <v>-7.8230823018098805E-2</v>
      </c>
      <c r="H29" s="2003">
        <f>+'0+12'!$G$58</f>
        <v>1415.243430536374</v>
      </c>
      <c r="I29" s="2005">
        <f>D29-H29</f>
        <v>-151.15203507202386</v>
      </c>
      <c r="J29" s="2004">
        <f t="shared" si="10"/>
        <v>-0.10680285229427816</v>
      </c>
      <c r="K29" s="1881">
        <f>+'R+RP+B'!U50</f>
        <v>631.80418480531466</v>
      </c>
      <c r="L29" s="2005">
        <f>BDGT!$T$55</f>
        <v>1181.6240851300038</v>
      </c>
      <c r="M29" s="2005">
        <f t="shared" si="2"/>
        <v>-549.81990032468912</v>
      </c>
      <c r="N29" s="2006">
        <f t="shared" si="1"/>
        <v>-0.46530864362348984</v>
      </c>
      <c r="O29" s="2005"/>
      <c r="P29" s="2005">
        <f t="shared" si="11"/>
        <v>631.80418480531466</v>
      </c>
      <c r="Q29" s="2006" t="e">
        <f>P29/O29</f>
        <v>#DIV/0!</v>
      </c>
      <c r="R29" s="2005">
        <f>+'0+12'!$T$58</f>
        <v>1275.7294159215703</v>
      </c>
      <c r="S29" s="2005">
        <f>K29-R29</f>
        <v>-643.92523111625565</v>
      </c>
      <c r="T29" s="2006">
        <f>S29/R29</f>
        <v>-0.50475063370008788</v>
      </c>
      <c r="U29" s="1910">
        <v>1144.6291405441225</v>
      </c>
      <c r="W29" s="1843"/>
      <c r="X29" s="1843"/>
      <c r="Y29" s="1843"/>
      <c r="Z29" s="1843"/>
      <c r="AA29" s="1907"/>
      <c r="AB29" s="1908"/>
      <c r="AC29" s="1909"/>
      <c r="AD29" s="1909"/>
      <c r="AE29" s="1909"/>
      <c r="AF29" s="1908"/>
      <c r="AG29" s="1908"/>
    </row>
    <row r="30" spans="1:56" ht="11.25" hidden="1" customHeight="1">
      <c r="A30" s="2677"/>
      <c r="B30" s="2495" t="s">
        <v>164</v>
      </c>
      <c r="C30" s="2496" t="s">
        <v>81</v>
      </c>
      <c r="D30" s="2497">
        <f>+'ST Original'!BR39</f>
        <v>6726.6134284650625</v>
      </c>
      <c r="E30" s="2497"/>
      <c r="F30" s="2500"/>
      <c r="G30" s="2501"/>
      <c r="H30" s="2497" t="e">
        <f>+#REF!</f>
        <v>#REF!</v>
      </c>
      <c r="I30" s="2500" t="e">
        <f>+D30-H30</f>
        <v>#REF!</v>
      </c>
      <c r="J30" s="2501" t="e">
        <f t="shared" si="10"/>
        <v>#REF!</v>
      </c>
      <c r="K30" s="2497">
        <f>'Comparacion (Sin BM)'!Q106</f>
        <v>8426.8957127773465</v>
      </c>
      <c r="L30" s="2497">
        <f>+BDGT!$T$13</f>
        <v>168.77709236819251</v>
      </c>
      <c r="M30" s="2500">
        <f t="shared" si="2"/>
        <v>8258.1186204091537</v>
      </c>
      <c r="N30" s="2501">
        <f t="shared" si="1"/>
        <v>48.929143786846439</v>
      </c>
      <c r="O30" s="2047"/>
      <c r="P30" s="2047">
        <f t="shared" si="11"/>
        <v>8426.8957127773465</v>
      </c>
      <c r="Q30" s="2048"/>
      <c r="R30" s="2488"/>
      <c r="S30" s="1876"/>
      <c r="T30" s="1850"/>
      <c r="U30" s="1852"/>
      <c r="V30" s="1852"/>
      <c r="W30" s="1852"/>
      <c r="X30" s="1852"/>
      <c r="Y30" s="1852"/>
      <c r="Z30" s="1852"/>
      <c r="AA30" s="1852"/>
      <c r="AB30" s="1852"/>
      <c r="AC30" s="1852"/>
      <c r="AD30" s="1852"/>
    </row>
    <row r="31" spans="1:56" ht="8.5" hidden="1" customHeight="1" outlineLevel="1">
      <c r="A31" s="2677"/>
      <c r="B31" s="2495" t="s">
        <v>165</v>
      </c>
      <c r="C31" s="2496" t="s">
        <v>81</v>
      </c>
      <c r="D31" s="2497">
        <f>+'ST Original'!BS39</f>
        <v>1748.4423441398249</v>
      </c>
      <c r="E31" s="2497"/>
      <c r="F31" s="2500"/>
      <c r="G31" s="2501"/>
      <c r="H31" s="2497" t="e">
        <f>+#REF!</f>
        <v>#REF!</v>
      </c>
      <c r="I31" s="2500" t="e">
        <f>+D31-H31</f>
        <v>#REF!</v>
      </c>
      <c r="J31" s="2501" t="e">
        <f t="shared" si="10"/>
        <v>#REF!</v>
      </c>
      <c r="K31" s="2497">
        <f>'Comparacion (Sin BM)'!Q106</f>
        <v>8426.8957127773465</v>
      </c>
      <c r="L31" s="2497">
        <f>+BDGT!$T$13</f>
        <v>168.77709236819251</v>
      </c>
      <c r="M31" s="2500">
        <f t="shared" si="2"/>
        <v>8258.1186204091537</v>
      </c>
      <c r="N31" s="2501">
        <f t="shared" si="1"/>
        <v>48.929143786846439</v>
      </c>
      <c r="O31" s="2047"/>
      <c r="P31" s="2047">
        <f t="shared" si="11"/>
        <v>8426.8957127773465</v>
      </c>
      <c r="Q31" s="2048"/>
      <c r="R31" s="2488"/>
      <c r="S31" s="1876"/>
      <c r="T31" s="1850"/>
      <c r="U31" s="1841">
        <v>12.036679627829974</v>
      </c>
      <c r="AA31" s="1841"/>
      <c r="AB31" s="1841"/>
    </row>
    <row r="32" spans="1:56" ht="9.75" hidden="1" customHeight="1" outlineLevel="1">
      <c r="A32" s="2677"/>
      <c r="B32" s="2495" t="s">
        <v>82</v>
      </c>
      <c r="C32" s="2496" t="s">
        <v>48</v>
      </c>
      <c r="D32" s="2497">
        <f>+'Comparacion (Sin BM)'!R30</f>
        <v>73.985882319413648</v>
      </c>
      <c r="E32" s="2497">
        <f>+'BDGT ORI'!M23</f>
        <v>36.101779603582344</v>
      </c>
      <c r="F32" s="2500">
        <f>+D32-E32</f>
        <v>37.884102715831304</v>
      </c>
      <c r="G32" s="2501">
        <f>F32/E32</f>
        <v>1.0493693976258196</v>
      </c>
      <c r="H32" s="2497" t="e">
        <f>+#REF!</f>
        <v>#REF!</v>
      </c>
      <c r="I32" s="2500" t="e">
        <f>+D32-H32</f>
        <v>#REF!</v>
      </c>
      <c r="J32" s="2501" t="e">
        <f t="shared" si="10"/>
        <v>#REF!</v>
      </c>
      <c r="K32" s="2497">
        <f>'Comparacion (Sin BM)'!Q107</f>
        <v>0</v>
      </c>
      <c r="L32" s="2497">
        <f>+BDGT!$T$17</f>
        <v>0</v>
      </c>
      <c r="M32" s="2500">
        <f>K32-L32</f>
        <v>0</v>
      </c>
      <c r="N32" s="2501" t="e">
        <f>M32/L32</f>
        <v>#DIV/0!</v>
      </c>
      <c r="O32" s="2052">
        <f>+'0+12'!$T$23</f>
        <v>0</v>
      </c>
      <c r="P32" s="2052">
        <f t="shared" si="11"/>
        <v>0</v>
      </c>
      <c r="Q32" s="2053" t="e">
        <f>P32/O32</f>
        <v>#DIV/0!</v>
      </c>
      <c r="R32" s="2488"/>
      <c r="S32" s="1911"/>
      <c r="T32" s="1850"/>
      <c r="U32" s="1841">
        <v>877.00005194965081</v>
      </c>
      <c r="Y32" s="2612"/>
      <c r="Z32" s="1842"/>
      <c r="AA32" s="1841"/>
      <c r="AB32" s="1841"/>
    </row>
    <row r="33" spans="1:32" ht="9" hidden="1" customHeight="1" collapsed="1">
      <c r="A33" s="2677"/>
      <c r="B33" s="2495" t="s">
        <v>168</v>
      </c>
      <c r="C33" s="2496" t="s">
        <v>48</v>
      </c>
      <c r="D33" s="2500">
        <f>+'ST Original'!H39</f>
        <v>93.142816386542236</v>
      </c>
      <c r="E33" s="2497"/>
      <c r="F33" s="2500"/>
      <c r="G33" s="2501"/>
      <c r="H33" s="2497"/>
      <c r="I33" s="2500"/>
      <c r="J33" s="2501"/>
      <c r="K33" s="2497"/>
      <c r="L33" s="2497"/>
      <c r="M33" s="2500"/>
      <c r="N33" s="2501"/>
      <c r="O33" s="2096"/>
      <c r="P33" s="2096">
        <f t="shared" si="11"/>
        <v>0</v>
      </c>
      <c r="Q33" s="2097"/>
      <c r="R33" s="2488"/>
      <c r="S33" s="1911"/>
      <c r="T33" s="1912"/>
      <c r="U33" s="1914"/>
      <c r="V33" s="2613"/>
      <c r="W33" s="2613"/>
      <c r="AA33" s="1841"/>
      <c r="AB33" s="1841"/>
    </row>
    <row r="34" spans="1:32" ht="9" hidden="1" customHeight="1">
      <c r="A34" s="2677"/>
      <c r="B34" s="2495" t="s">
        <v>169</v>
      </c>
      <c r="C34" s="2496" t="s">
        <v>48</v>
      </c>
      <c r="D34" s="2500">
        <f>+'ST Original'!I39</f>
        <v>98.723712855664047</v>
      </c>
      <c r="E34" s="2497"/>
      <c r="F34" s="2500"/>
      <c r="G34" s="2501"/>
      <c r="H34" s="2497"/>
      <c r="I34" s="2500"/>
      <c r="J34" s="2501"/>
      <c r="K34" s="2497"/>
      <c r="L34" s="2497"/>
      <c r="M34" s="2500"/>
      <c r="N34" s="2501"/>
      <c r="O34" s="2096"/>
      <c r="P34" s="2096">
        <f t="shared" si="11"/>
        <v>0</v>
      </c>
      <c r="Q34" s="2097"/>
      <c r="R34" s="1911"/>
      <c r="S34" s="1911"/>
      <c r="T34" s="1912"/>
      <c r="U34" s="1914"/>
      <c r="V34" s="2613"/>
      <c r="W34" s="2613"/>
      <c r="AA34" s="1841"/>
      <c r="AB34" s="1841"/>
    </row>
    <row r="35" spans="1:32" ht="12" hidden="1" customHeight="1">
      <c r="A35" s="2667"/>
      <c r="B35" s="2495" t="s">
        <v>97</v>
      </c>
      <c r="C35" s="2496" t="s">
        <v>48</v>
      </c>
      <c r="D35" s="2500">
        <f>'Comparacion (Sin BM)'!R41</f>
        <v>91.633786719447059</v>
      </c>
      <c r="E35" s="2497">
        <f>+'BDGT ORI'!M40</f>
        <v>93.877728511537526</v>
      </c>
      <c r="F35" s="2500">
        <f>+D35-E35</f>
        <v>-2.2439417920904674</v>
      </c>
      <c r="G35" s="2501">
        <f>F35/E35</f>
        <v>-2.3902813027849176E-2</v>
      </c>
      <c r="H35" s="2500" t="e">
        <f>+#REF!</f>
        <v>#REF!</v>
      </c>
      <c r="I35" s="2500" t="e">
        <f>+D35-H35</f>
        <v>#REF!</v>
      </c>
      <c r="J35" s="2501" t="e">
        <f>I35/H35</f>
        <v>#REF!</v>
      </c>
      <c r="K35" s="2500">
        <f>'Comparacion (Sin BM)'!Q117</f>
        <v>90.314190671165463</v>
      </c>
      <c r="L35" s="2500">
        <f>BDGT!$F$37</f>
        <v>94.176551941871423</v>
      </c>
      <c r="M35" s="2500">
        <f>K35-L35</f>
        <v>-3.8623612707059607</v>
      </c>
      <c r="N35" s="2501">
        <f>M35/L35</f>
        <v>-4.1011920600893578E-2</v>
      </c>
      <c r="O35" s="2049">
        <f>'0+12'!$F$43</f>
        <v>54</v>
      </c>
      <c r="P35" s="2047">
        <f t="shared" si="11"/>
        <v>36.314190671165463</v>
      </c>
      <c r="Q35" s="2050">
        <f>P35/O35</f>
        <v>0.67248501242899006</v>
      </c>
      <c r="R35" s="1911"/>
      <c r="S35" s="1911"/>
      <c r="T35" s="1912"/>
      <c r="U35" s="1914"/>
      <c r="V35" s="2613"/>
      <c r="W35" s="2613"/>
      <c r="AA35" s="1841"/>
      <c r="AB35" s="1841"/>
    </row>
    <row r="36" spans="1:32" ht="6.65" hidden="1" customHeight="1">
      <c r="A36" s="2667"/>
      <c r="B36" s="2495" t="s">
        <v>98</v>
      </c>
      <c r="C36" s="2496" t="s">
        <v>48</v>
      </c>
      <c r="D36" s="2500">
        <f>'Comparacion (Sin BM)'!R42</f>
        <v>87.936294783268124</v>
      </c>
      <c r="E36" s="2497">
        <f>+'BDGT ORI'!M41</f>
        <v>90.988001901714128</v>
      </c>
      <c r="F36" s="2500">
        <f>+D36-E36</f>
        <v>-3.0517071184460036</v>
      </c>
      <c r="G36" s="2501">
        <f>F36/E36</f>
        <v>-3.3539665171925401E-2</v>
      </c>
      <c r="H36" s="2500" t="e">
        <f>+#REF!</f>
        <v>#REF!</v>
      </c>
      <c r="I36" s="2500" t="e">
        <f>+D36-H36</f>
        <v>#REF!</v>
      </c>
      <c r="J36" s="2501" t="e">
        <f>I36/H36</f>
        <v>#REF!</v>
      </c>
      <c r="K36" s="2500">
        <f>'Comparacion (Sin BM)'!Q118</f>
        <v>88.630655454756081</v>
      </c>
      <c r="L36" s="2500">
        <f>BDGT!$T$38</f>
        <v>89.277430646272748</v>
      </c>
      <c r="M36" s="2500">
        <f>K36-L36</f>
        <v>-0.64677519151666729</v>
      </c>
      <c r="N36" s="2501">
        <f>M36/L36</f>
        <v>-7.2445542712722497E-3</v>
      </c>
      <c r="O36" s="2049">
        <f>'0+12'!$T$44</f>
        <v>0</v>
      </c>
      <c r="P36" s="2047">
        <f t="shared" si="11"/>
        <v>88.630655454756081</v>
      </c>
      <c r="Q36" s="2050" t="e">
        <f>P36/O36</f>
        <v>#DIV/0!</v>
      </c>
      <c r="R36" s="1911"/>
      <c r="S36" s="1911"/>
      <c r="T36" s="1915"/>
      <c r="U36" s="1914"/>
      <c r="V36" s="2614"/>
      <c r="W36" s="2614"/>
      <c r="AA36" s="1841"/>
      <c r="AB36" s="1841"/>
    </row>
    <row r="37" spans="1:32" s="1843" customFormat="1" ht="6.65" customHeight="1">
      <c r="A37" s="2667"/>
      <c r="C37" s="2330"/>
      <c r="D37" s="3378"/>
      <c r="E37" s="1929"/>
      <c r="F37" s="3378"/>
      <c r="G37" s="1867"/>
      <c r="H37" s="3378"/>
      <c r="I37" s="3378"/>
      <c r="J37" s="1867"/>
      <c r="K37" s="3378"/>
      <c r="L37" s="3378"/>
      <c r="M37" s="3378"/>
      <c r="N37" s="1867"/>
      <c r="O37" s="3379"/>
      <c r="P37" s="1929"/>
      <c r="Q37" s="1876"/>
      <c r="R37" s="1911"/>
      <c r="S37" s="1911"/>
      <c r="T37" s="1929"/>
      <c r="U37" s="1867"/>
      <c r="V37" s="3384"/>
      <c r="W37" s="3380"/>
    </row>
    <row r="38" spans="1:32">
      <c r="A38" s="2667"/>
      <c r="B38" s="3130"/>
      <c r="D38" s="2337"/>
      <c r="E38" s="2337"/>
      <c r="F38" s="2502"/>
      <c r="G38" s="3409"/>
      <c r="H38" s="3409"/>
      <c r="I38" s="2502"/>
      <c r="J38" s="2502"/>
      <c r="K38" s="3101">
        <f>K6/0.964-K5</f>
        <v>-0.65387832641498278</v>
      </c>
      <c r="L38" s="2614"/>
      <c r="M38" s="2614"/>
      <c r="N38" s="2614"/>
      <c r="O38" s="2614"/>
      <c r="P38" s="2614"/>
      <c r="Q38" s="2614"/>
      <c r="R38" s="2614"/>
      <c r="S38" s="2614"/>
      <c r="T38" s="1916"/>
      <c r="U38" s="3385">
        <f>-D16-G41+G40+G39</f>
        <v>-92.650688634835248</v>
      </c>
      <c r="V38" s="2614"/>
      <c r="W38" s="2614"/>
      <c r="AA38" s="1841"/>
      <c r="AB38" s="1841"/>
    </row>
    <row r="39" spans="1:32">
      <c r="A39" s="2667"/>
      <c r="B39" s="4495"/>
      <c r="C39" s="4495"/>
      <c r="D39" s="1928"/>
      <c r="E39" s="1928"/>
      <c r="F39" s="3382"/>
      <c r="G39" s="1928"/>
      <c r="H39" s="3338"/>
      <c r="I39" s="3132"/>
      <c r="J39" s="2614">
        <v>209</v>
      </c>
      <c r="K39" s="1916"/>
      <c r="L39" s="1916"/>
      <c r="M39" s="3140"/>
      <c r="N39" s="2614"/>
      <c r="O39" s="2614"/>
      <c r="P39" s="2614"/>
      <c r="Q39" s="2614"/>
      <c r="R39" s="2614"/>
      <c r="S39" s="3135"/>
      <c r="T39" s="1916"/>
      <c r="U39" s="1928" t="s">
        <v>429</v>
      </c>
      <c r="V39" s="1928"/>
      <c r="W39" s="1928"/>
      <c r="AA39" s="1841"/>
      <c r="AB39" s="1841"/>
    </row>
    <row r="40" spans="1:32">
      <c r="B40" s="4495"/>
      <c r="C40" s="4495"/>
      <c r="D40" s="2337"/>
      <c r="E40" s="2337"/>
      <c r="F40" s="2614"/>
      <c r="G40" s="3382"/>
      <c r="H40" s="3339"/>
      <c r="I40" s="3132"/>
      <c r="J40" s="1917"/>
      <c r="K40" s="1928"/>
      <c r="L40" s="1928"/>
      <c r="M40" s="1916"/>
      <c r="N40" s="2614"/>
      <c r="O40" s="2614"/>
      <c r="P40" s="2614"/>
      <c r="Q40" s="2614"/>
      <c r="R40" s="2614"/>
      <c r="S40" s="3135"/>
      <c r="T40" s="1916"/>
      <c r="U40" s="1914" t="s">
        <v>1617</v>
      </c>
      <c r="V40" s="1914"/>
      <c r="W40" s="1916"/>
      <c r="X40" s="1911"/>
      <c r="AA40" s="1841"/>
      <c r="AB40" s="1841"/>
    </row>
    <row r="41" spans="1:32">
      <c r="B41" s="3131"/>
      <c r="D41" s="2339"/>
      <c r="E41" s="2337"/>
      <c r="F41" s="3130"/>
      <c r="G41" s="3383"/>
      <c r="H41" s="1854"/>
      <c r="I41" s="3136">
        <v>34.535923273116907</v>
      </c>
      <c r="J41" s="2303"/>
      <c r="K41" s="2625"/>
      <c r="N41" s="3130"/>
      <c r="O41" s="3130"/>
      <c r="P41" s="3130"/>
      <c r="Q41" s="3130"/>
      <c r="R41" s="3130"/>
      <c r="S41" s="3130"/>
      <c r="U41" s="1917" t="s">
        <v>1618</v>
      </c>
      <c r="X41" s="1911"/>
      <c r="AA41" s="1841"/>
      <c r="AB41" s="1841"/>
      <c r="AD41" s="2984"/>
    </row>
    <row r="42" spans="1:32">
      <c r="B42" s="2341"/>
      <c r="D42" s="1842"/>
      <c r="G42" s="3383"/>
      <c r="I42" s="3130"/>
      <c r="K42" s="2625"/>
      <c r="L42" s="2303"/>
      <c r="N42" s="3130"/>
      <c r="O42" s="3130"/>
      <c r="P42" s="3130"/>
      <c r="Q42" s="3130"/>
      <c r="R42" s="3130"/>
      <c r="S42" s="3130"/>
      <c r="U42" s="1841" t="s">
        <v>1619</v>
      </c>
      <c r="X42" s="1911"/>
      <c r="Y42" s="1930"/>
      <c r="AA42" s="1841"/>
      <c r="AB42" s="1841"/>
    </row>
    <row r="43" spans="1:32">
      <c r="C43" s="2626" t="s">
        <v>36</v>
      </c>
      <c r="D43" s="2626" t="s">
        <v>1835</v>
      </c>
      <c r="E43" s="2626" t="s">
        <v>24</v>
      </c>
      <c r="F43" s="2626" t="s">
        <v>25</v>
      </c>
      <c r="G43" s="2626" t="s">
        <v>1346</v>
      </c>
      <c r="H43" s="2626" t="s">
        <v>28</v>
      </c>
      <c r="I43" s="2626" t="s">
        <v>1321</v>
      </c>
      <c r="X43" s="1911"/>
      <c r="Y43" s="2615" t="s">
        <v>22</v>
      </c>
      <c r="Z43" s="2615" t="s">
        <v>23</v>
      </c>
      <c r="AA43" s="2615" t="s">
        <v>24</v>
      </c>
      <c r="AB43" s="2615" t="s">
        <v>25</v>
      </c>
      <c r="AC43" s="2615" t="s">
        <v>797</v>
      </c>
      <c r="AD43" s="2615" t="s">
        <v>28</v>
      </c>
      <c r="AE43" s="2615" t="s">
        <v>29</v>
      </c>
    </row>
    <row r="44" spans="1:32">
      <c r="B44" s="2657" t="s">
        <v>1406</v>
      </c>
      <c r="C44" s="2620">
        <f>E12</f>
        <v>8256.2174112377379</v>
      </c>
      <c r="D44" s="2620">
        <f>+E17</f>
        <v>706.83156499999996</v>
      </c>
      <c r="E44" s="2621">
        <f>+$E$20</f>
        <v>0.56048276877845449</v>
      </c>
      <c r="F44" s="2621">
        <f>+$E$21</f>
        <v>90.234524939397105</v>
      </c>
      <c r="G44" s="2620">
        <f>+($E$6-$E$5)*1000</f>
        <v>-1091.8861009790958</v>
      </c>
      <c r="H44" s="2339">
        <f>C44*D44*E44%*F44%+G44</f>
        <v>28422.384713002528</v>
      </c>
      <c r="I44" s="2339">
        <f>H44</f>
        <v>28422.384713002528</v>
      </c>
      <c r="X44" s="2995" t="s">
        <v>1478</v>
      </c>
      <c r="Y44" s="3007">
        <f>L12</f>
        <v>8151.9777351096309</v>
      </c>
      <c r="Z44" s="1962">
        <f>L16</f>
        <v>86.325871678131008</v>
      </c>
      <c r="AA44" s="2998">
        <f>L20</f>
        <v>0.52083855986685346</v>
      </c>
      <c r="AB44" s="1962">
        <f>L21</f>
        <v>89.998004776086447</v>
      </c>
      <c r="AC44" s="3001">
        <f>(L6-L5)*1000</f>
        <v>-2612.9592269973327</v>
      </c>
      <c r="AD44" s="3003">
        <f>+(Y44*Z44*24*(31+28+31+30+31+30+31+31+30+31+30+31)/1000000)*AA44*AB44+AC44</f>
        <v>286351.26282093796</v>
      </c>
      <c r="AE44" s="3003">
        <f>+AD44</f>
        <v>286351.26282093796</v>
      </c>
      <c r="AF44" s="1917"/>
    </row>
    <row r="45" spans="1:32">
      <c r="B45" s="2657" t="s">
        <v>36</v>
      </c>
      <c r="C45" s="2339">
        <f>+D12</f>
        <v>8502.7681772494343</v>
      </c>
      <c r="D45" s="2620">
        <f>D44</f>
        <v>706.83156499999996</v>
      </c>
      <c r="E45" s="2621">
        <f>E44</f>
        <v>0.56048276877845449</v>
      </c>
      <c r="F45" s="2621">
        <f>F44</f>
        <v>90.234524939397105</v>
      </c>
      <c r="G45" s="2620">
        <f>G44</f>
        <v>-1091.8861009790958</v>
      </c>
      <c r="H45" s="2339">
        <f t="shared" ref="H45:H50" si="12">C45*D45*E45%*F45%+G45</f>
        <v>29303.752743301644</v>
      </c>
      <c r="I45" s="2339">
        <f>H45-H44</f>
        <v>881.36803029911607</v>
      </c>
      <c r="N45" s="1842"/>
      <c r="X45" s="2657" t="s">
        <v>36</v>
      </c>
      <c r="Y45" s="3008">
        <f>K12</f>
        <v>8426.8957127773465</v>
      </c>
      <c r="Z45" s="1962">
        <f>+Z44</f>
        <v>86.325871678131008</v>
      </c>
      <c r="AA45" s="2998">
        <f>+$AA$44</f>
        <v>0.52083855986685346</v>
      </c>
      <c r="AB45" s="1962">
        <f>+$AB$44</f>
        <v>89.998004776086447</v>
      </c>
      <c r="AC45" s="3001">
        <f>AC44</f>
        <v>-2612.9592269973327</v>
      </c>
      <c r="AD45" s="3003">
        <f t="shared" ref="AD45:AD50" si="13">+(Y45*Z45*24*(31+28+31+30+31+30+31+31+30+31+30+31)/1000000)*AA45*AB45+AC45</f>
        <v>296096.31636807875</v>
      </c>
      <c r="AE45" s="3003">
        <f>+AD45-AD44</f>
        <v>9745.0535471407929</v>
      </c>
      <c r="AF45" s="1917"/>
    </row>
    <row r="46" spans="1:32">
      <c r="B46" s="2657" t="s">
        <v>1345</v>
      </c>
      <c r="C46" s="2339">
        <f>C45</f>
        <v>8502.7681772494343</v>
      </c>
      <c r="D46" s="2339">
        <f>+D17</f>
        <v>688.85787000000016</v>
      </c>
      <c r="E46" s="2621">
        <f>E44</f>
        <v>0.56048276877845449</v>
      </c>
      <c r="F46" s="2621">
        <f>F44</f>
        <v>90.234524939397105</v>
      </c>
      <c r="G46" s="2620">
        <f>G44</f>
        <v>-1091.8861009790958</v>
      </c>
      <c r="H46" s="2339">
        <f t="shared" si="12"/>
        <v>28530.836013249766</v>
      </c>
      <c r="I46" s="2339">
        <f>H46-H45</f>
        <v>-772.9167300518784</v>
      </c>
      <c r="J46" s="2984">
        <f>SUM(I45:I46)</f>
        <v>108.45130024723767</v>
      </c>
      <c r="X46" s="2657" t="s">
        <v>1345</v>
      </c>
      <c r="Y46" s="3008">
        <f>Y45</f>
        <v>8426.8957127773465</v>
      </c>
      <c r="Z46" s="1969">
        <f>K16</f>
        <v>82.040780359436553</v>
      </c>
      <c r="AA46" s="2998">
        <f>+$AA$44</f>
        <v>0.52083855986685346</v>
      </c>
      <c r="AB46" s="1962">
        <f>+$AB$44</f>
        <v>89.998004776086447</v>
      </c>
      <c r="AC46" s="3001">
        <f>AC44</f>
        <v>-2612.9592269973327</v>
      </c>
      <c r="AD46" s="3003">
        <f t="shared" si="13"/>
        <v>281268.82029090641</v>
      </c>
      <c r="AE46" s="3003">
        <f>+AD46-AD45</f>
        <v>-14827.496077172342</v>
      </c>
      <c r="AF46" s="3002">
        <f>AE46+AE45</f>
        <v>-5082.4425300315488</v>
      </c>
    </row>
    <row r="47" spans="1:32">
      <c r="B47" s="2657" t="s">
        <v>1167</v>
      </c>
      <c r="C47" s="2339">
        <f>C45</f>
        <v>8502.7681772494343</v>
      </c>
      <c r="D47" s="2339">
        <f>D46</f>
        <v>688.85787000000016</v>
      </c>
      <c r="E47" s="2624">
        <f>+D20</f>
        <v>0.5354493276828427</v>
      </c>
      <c r="F47" s="2621">
        <f>F44</f>
        <v>90.234524939397105</v>
      </c>
      <c r="G47" s="2620">
        <f>G44</f>
        <v>-1091.8861009790958</v>
      </c>
      <c r="H47" s="2339">
        <f t="shared" si="12"/>
        <v>27207.764706785845</v>
      </c>
      <c r="I47" s="2339">
        <f>H47-H46</f>
        <v>-1323.0713064639203</v>
      </c>
      <c r="X47" s="2657" t="s">
        <v>1167</v>
      </c>
      <c r="Y47" s="3008">
        <f>Y45</f>
        <v>8426.8957127773465</v>
      </c>
      <c r="Z47" s="1969">
        <f>Z46</f>
        <v>82.040780359436553</v>
      </c>
      <c r="AA47" s="2999">
        <f>K20</f>
        <v>0.51253836495611338</v>
      </c>
      <c r="AB47" s="1962">
        <f>+$AB$44</f>
        <v>89.998004776086447</v>
      </c>
      <c r="AC47" s="3001">
        <f>AC44</f>
        <v>-2612.9592269973327</v>
      </c>
      <c r="AD47" s="3003">
        <f t="shared" si="13"/>
        <v>276744.81941391929</v>
      </c>
      <c r="AE47" s="3003">
        <f>+AD47-AD46</f>
        <v>-4524.0008769871201</v>
      </c>
      <c r="AF47" s="1917"/>
    </row>
    <row r="48" spans="1:32">
      <c r="B48" s="2657" t="s">
        <v>51</v>
      </c>
      <c r="C48" s="2339">
        <f>C45</f>
        <v>8502.7681772494343</v>
      </c>
      <c r="D48" s="2339">
        <f>D46</f>
        <v>688.85787000000016</v>
      </c>
      <c r="E48" s="2624">
        <f>E47</f>
        <v>0.5354493276828427</v>
      </c>
      <c r="F48" s="2624">
        <f>+D21</f>
        <v>90.294153352101716</v>
      </c>
      <c r="G48" s="2620">
        <f>G44</f>
        <v>-1091.8861009790958</v>
      </c>
      <c r="H48" s="2339">
        <f t="shared" si="12"/>
        <v>27226.465567225849</v>
      </c>
      <c r="I48" s="2339">
        <f>H48-H47</f>
        <v>18.700860440003453</v>
      </c>
      <c r="X48" s="2657" t="s">
        <v>51</v>
      </c>
      <c r="Y48" s="3008">
        <f>Y45</f>
        <v>8426.8957127773465</v>
      </c>
      <c r="Z48" s="1969">
        <f>Z46</f>
        <v>82.040780359436553</v>
      </c>
      <c r="AA48" s="2999">
        <f>AA47</f>
        <v>0.51253836495611338</v>
      </c>
      <c r="AB48" s="1969">
        <f>K21</f>
        <v>90.495952864816218</v>
      </c>
      <c r="AC48" s="3001">
        <f>AC47</f>
        <v>-2612.9592269973327</v>
      </c>
      <c r="AD48" s="3003">
        <f t="shared" si="13"/>
        <v>278290.47225691436</v>
      </c>
      <c r="AE48" s="3003">
        <f>+AD48-AD47</f>
        <v>1545.6528429950704</v>
      </c>
      <c r="AF48" s="1917"/>
    </row>
    <row r="49" spans="2:41">
      <c r="B49" s="2658" t="s">
        <v>1378</v>
      </c>
      <c r="C49" s="2343">
        <f>C45</f>
        <v>8502.7681772494343</v>
      </c>
      <c r="D49" s="2343">
        <f>D46</f>
        <v>688.85787000000016</v>
      </c>
      <c r="E49" s="2628">
        <f>E47</f>
        <v>0.5354493276828427</v>
      </c>
      <c r="F49" s="2628">
        <f>F48</f>
        <v>90.294153352101716</v>
      </c>
      <c r="G49" s="2343">
        <f>+(D6-D5)*1000</f>
        <v>-1088.5563752585697</v>
      </c>
      <c r="H49" s="2343">
        <f t="shared" si="12"/>
        <v>27229.795292946375</v>
      </c>
      <c r="I49" s="2343">
        <f>H49-H48</f>
        <v>3.329725720526767</v>
      </c>
      <c r="X49" s="2658" t="s">
        <v>1378</v>
      </c>
      <c r="Y49" s="3009">
        <f>Y45</f>
        <v>8426.8957127773465</v>
      </c>
      <c r="Z49" s="2997">
        <f>Z46</f>
        <v>82.040780359436553</v>
      </c>
      <c r="AA49" s="3000">
        <f>AA47</f>
        <v>0.51253836495611338</v>
      </c>
      <c r="AB49" s="2997">
        <f>AB48</f>
        <v>90.495952864816218</v>
      </c>
      <c r="AC49" s="2346">
        <f>(K6-K5)*1000</f>
        <v>-3123.2604612784626</v>
      </c>
      <c r="AD49" s="3005">
        <f t="shared" si="13"/>
        <v>277780.17102263327</v>
      </c>
      <c r="AE49" s="3005">
        <f>+AD49-AD48</f>
        <v>-510.301234281098</v>
      </c>
      <c r="AF49" s="1917"/>
    </row>
    <row r="50" spans="2:41">
      <c r="B50" s="2657" t="s">
        <v>174</v>
      </c>
      <c r="C50" s="2339">
        <f>C45</f>
        <v>8502.7681772494343</v>
      </c>
      <c r="D50" s="2339">
        <f>D46</f>
        <v>688.85787000000016</v>
      </c>
      <c r="E50" s="2624">
        <f>E47</f>
        <v>0.5354493276828427</v>
      </c>
      <c r="F50" s="2624">
        <f>F48</f>
        <v>90.294153352101716</v>
      </c>
      <c r="G50" s="2339">
        <f>G49</f>
        <v>-1088.5563752585697</v>
      </c>
      <c r="H50" s="2339">
        <f t="shared" si="12"/>
        <v>27229.795292946375</v>
      </c>
      <c r="I50" s="2339">
        <f>+SUM(I44:I49)</f>
        <v>27229.795292946375</v>
      </c>
      <c r="X50" s="2657" t="s">
        <v>1479</v>
      </c>
      <c r="Y50" s="3002">
        <f>Y49</f>
        <v>8426.8957127773465</v>
      </c>
      <c r="Z50" s="2340">
        <f>Z49</f>
        <v>82.040780359436553</v>
      </c>
      <c r="AA50" s="2341">
        <f>AA49</f>
        <v>0.51253836495611338</v>
      </c>
      <c r="AB50" s="2340">
        <f>AB49</f>
        <v>90.495952864816218</v>
      </c>
      <c r="AC50" s="2337">
        <f>AC49</f>
        <v>-3123.2604612784626</v>
      </c>
      <c r="AD50" s="3004">
        <f t="shared" si="13"/>
        <v>277780.17102263327</v>
      </c>
      <c r="AE50" s="2337">
        <f>AD50</f>
        <v>277780.17102263327</v>
      </c>
      <c r="AF50" s="1917"/>
    </row>
    <row r="51" spans="2:41">
      <c r="C51" s="1841"/>
      <c r="X51" s="1843"/>
      <c r="Y51" s="1917"/>
      <c r="Z51" s="1917"/>
      <c r="AA51" s="1917"/>
      <c r="AB51" s="1917"/>
      <c r="AC51" s="1917"/>
      <c r="AD51" s="1917"/>
      <c r="AE51" s="1917"/>
      <c r="AF51" s="1917"/>
    </row>
    <row r="52" spans="2:41">
      <c r="C52" s="1841"/>
      <c r="I52" s="2337">
        <f>I50-I44</f>
        <v>-1192.5894200561524</v>
      </c>
      <c r="X52" s="1843"/>
      <c r="Y52" s="2330"/>
      <c r="Z52" s="2330"/>
      <c r="AA52" s="2330"/>
      <c r="AB52" s="2330"/>
      <c r="AC52" s="2330"/>
      <c r="AD52" s="2330"/>
      <c r="AE52" s="3002">
        <f>AE50-AE44</f>
        <v>-8571.0917983046966</v>
      </c>
      <c r="AF52" s="1917"/>
    </row>
    <row r="53" spans="2:41">
      <c r="C53" s="1841"/>
      <c r="X53" s="1843"/>
      <c r="Y53" s="3006"/>
      <c r="Z53" s="3006"/>
      <c r="AA53" s="3006"/>
      <c r="AB53" s="3006"/>
      <c r="AC53" s="3006"/>
      <c r="AD53" s="3006"/>
    </row>
    <row r="54" spans="2:41">
      <c r="C54" s="1841"/>
      <c r="X54" s="1843"/>
      <c r="Y54" s="1843"/>
      <c r="Z54" s="1843"/>
      <c r="AC54" s="1843"/>
      <c r="AD54" s="1843"/>
    </row>
    <row r="55" spans="2:41">
      <c r="C55" s="1841"/>
      <c r="X55" s="1843"/>
      <c r="Y55" s="1843"/>
      <c r="AA55" s="1841"/>
      <c r="AB55" s="1841"/>
    </row>
    <row r="56" spans="2:41">
      <c r="C56" s="1841"/>
      <c r="H56" s="1841">
        <f>C59*D59*24*31/100*E59/100*F59/100</f>
        <v>214754.55688199413</v>
      </c>
      <c r="X56" s="1843"/>
      <c r="Y56" s="1843"/>
      <c r="AA56" s="1841"/>
      <c r="AB56" s="1841"/>
    </row>
    <row r="57" spans="2:41">
      <c r="C57" s="1841"/>
      <c r="X57" s="1843"/>
      <c r="Y57" s="1843"/>
      <c r="AA57" s="1841"/>
      <c r="AB57" s="1841"/>
    </row>
    <row r="58" spans="2:41">
      <c r="B58" s="2660" t="s">
        <v>11</v>
      </c>
      <c r="C58" s="2626" t="s">
        <v>36</v>
      </c>
      <c r="D58" s="2626" t="s">
        <v>1345</v>
      </c>
      <c r="E58" s="2626" t="s">
        <v>24</v>
      </c>
      <c r="F58" s="2626" t="s">
        <v>25</v>
      </c>
      <c r="G58" s="2626" t="s">
        <v>1346</v>
      </c>
      <c r="H58" s="2626" t="s">
        <v>28</v>
      </c>
      <c r="I58" s="2626" t="s">
        <v>1321</v>
      </c>
      <c r="X58" s="1843"/>
      <c r="Y58" s="1843"/>
      <c r="AA58" s="1841"/>
      <c r="AB58" s="1841"/>
    </row>
    <row r="59" spans="2:41">
      <c r="B59" s="2657" t="s">
        <v>1646</v>
      </c>
      <c r="C59" s="2620">
        <f>H12</f>
        <v>8052.7227724777731</v>
      </c>
      <c r="D59" s="2621">
        <f>+H17</f>
        <v>701.936825</v>
      </c>
      <c r="E59" s="2622">
        <f>H20</f>
        <v>0.56467653298977216</v>
      </c>
      <c r="F59" s="2621">
        <f>H21</f>
        <v>90.433416356934018</v>
      </c>
      <c r="G59" s="2623">
        <f>+(H6-H5)*1000</f>
        <v>-632.52841194621112</v>
      </c>
      <c r="H59" s="2337">
        <f>C59*D59*E59/100*F59/100+G59</f>
        <v>28232.331384020737</v>
      </c>
      <c r="I59" s="2339">
        <f>H59</f>
        <v>28232.331384020737</v>
      </c>
      <c r="X59" s="1843"/>
      <c r="Y59" s="1935"/>
      <c r="AA59" s="1841"/>
      <c r="AB59" s="1841"/>
    </row>
    <row r="60" spans="2:41">
      <c r="B60" s="2657" t="s">
        <v>36</v>
      </c>
      <c r="C60" s="2339">
        <f>D12</f>
        <v>8502.7681772494343</v>
      </c>
      <c r="D60" s="2621">
        <f>D59</f>
        <v>701.936825</v>
      </c>
      <c r="E60" s="2622">
        <f>E59</f>
        <v>0.56467653298977216</v>
      </c>
      <c r="F60" s="2621">
        <f>F59</f>
        <v>90.433416356934018</v>
      </c>
      <c r="G60" s="2623">
        <f>G59</f>
        <v>-632.52841194621112</v>
      </c>
      <c r="H60" s="2337">
        <f t="shared" ref="H60:H65" si="14">C60*D60*E60/100*F60/100+G60</f>
        <v>29845.512152512041</v>
      </c>
      <c r="I60" s="2339">
        <f>H60-H59</f>
        <v>1613.1807684913038</v>
      </c>
      <c r="X60" s="1843"/>
      <c r="Y60" s="1908"/>
      <c r="AA60" s="1841"/>
      <c r="AB60" s="1841"/>
    </row>
    <row r="61" spans="2:41">
      <c r="B61" s="2657" t="s">
        <v>1345</v>
      </c>
      <c r="C61" s="2337">
        <f>C60</f>
        <v>8502.7681772494343</v>
      </c>
      <c r="D61" s="2624">
        <f>+D46</f>
        <v>688.85787000000016</v>
      </c>
      <c r="E61" s="2622">
        <f>E59</f>
        <v>0.56467653298977216</v>
      </c>
      <c r="F61" s="2621">
        <f>F59</f>
        <v>90.433416356934018</v>
      </c>
      <c r="G61" s="2623">
        <f>G59</f>
        <v>-632.52841194621112</v>
      </c>
      <c r="H61" s="2337">
        <f t="shared" si="14"/>
        <v>29277.624976866689</v>
      </c>
      <c r="I61" s="2339">
        <f>H61-H60</f>
        <v>-567.88717564535182</v>
      </c>
      <c r="J61" s="3155">
        <f>I61+I60</f>
        <v>1045.2935928459519</v>
      </c>
      <c r="X61" s="1911"/>
      <c r="Y61" s="2615" t="s">
        <v>22</v>
      </c>
      <c r="Z61" s="2615" t="s">
        <v>23</v>
      </c>
      <c r="AA61" s="2615" t="s">
        <v>24</v>
      </c>
      <c r="AB61" s="2615" t="s">
        <v>25</v>
      </c>
      <c r="AC61" s="2615" t="s">
        <v>797</v>
      </c>
      <c r="AD61" s="2615" t="s">
        <v>28</v>
      </c>
      <c r="AE61" s="2615" t="s">
        <v>29</v>
      </c>
    </row>
    <row r="62" spans="2:41">
      <c r="B62" s="2657" t="s">
        <v>1167</v>
      </c>
      <c r="C62" s="2337">
        <f>C60</f>
        <v>8502.7681772494343</v>
      </c>
      <c r="D62" s="2340">
        <f>D61</f>
        <v>688.85787000000016</v>
      </c>
      <c r="E62" s="2625">
        <f>D20</f>
        <v>0.5354493276828427</v>
      </c>
      <c r="F62" s="2621">
        <f>F59</f>
        <v>90.433416356934018</v>
      </c>
      <c r="G62" s="2623">
        <f>G59</f>
        <v>-632.52841194621112</v>
      </c>
      <c r="H62" s="2337">
        <f t="shared" si="14"/>
        <v>27729.49938144298</v>
      </c>
      <c r="I62" s="2339">
        <f>H62-H61</f>
        <v>-1548.1255954237095</v>
      </c>
      <c r="X62" s="2995" t="s">
        <v>1504</v>
      </c>
      <c r="Y62" s="1961">
        <f>R12</f>
        <v>8223.3351187254375</v>
      </c>
      <c r="Z62" s="1962">
        <f>R16</f>
        <v>83.915863352909724</v>
      </c>
      <c r="AA62" s="2998">
        <f>R20</f>
        <v>0.53035654056792547</v>
      </c>
      <c r="AB62" s="1962">
        <f>R21</f>
        <v>90.282128614267663</v>
      </c>
      <c r="AC62" s="3001">
        <f>(R6-R5)*1000</f>
        <v>-3077.3933103737504</v>
      </c>
      <c r="AD62" s="3003">
        <f t="shared" ref="AD62:AD68" si="15">+(Y62*Z62*24*(31+28+31+30+31+30+31+31+30+31+30+31)/1000000)*AA62*AB62+AC62</f>
        <v>286367.49319156312</v>
      </c>
      <c r="AE62" s="1908">
        <f>+AD62</f>
        <v>286367.49319156312</v>
      </c>
    </row>
    <row r="63" spans="2:41">
      <c r="B63" s="2657" t="s">
        <v>51</v>
      </c>
      <c r="C63" s="2337">
        <f>C60</f>
        <v>8502.7681772494343</v>
      </c>
      <c r="D63" s="2340">
        <f>D61</f>
        <v>688.85787000000016</v>
      </c>
      <c r="E63" s="2625">
        <f>E62</f>
        <v>0.5354493276828427</v>
      </c>
      <c r="F63" s="2624">
        <f>D21</f>
        <v>90.294153352101716</v>
      </c>
      <c r="G63" s="2623">
        <f>G59</f>
        <v>-632.52841194621112</v>
      </c>
      <c r="H63" s="2337">
        <f t="shared" si="14"/>
        <v>27685.823256258733</v>
      </c>
      <c r="I63" s="2339">
        <f>H63-H62</f>
        <v>-43.676125184247212</v>
      </c>
      <c r="X63" s="2657" t="s">
        <v>36</v>
      </c>
      <c r="Y63" s="1968">
        <f>Y45</f>
        <v>8426.8957127773465</v>
      </c>
      <c r="Z63" s="1962">
        <f>+Z62</f>
        <v>83.915863352909724</v>
      </c>
      <c r="AA63" s="2998">
        <f>+$AA$62</f>
        <v>0.53035654056792547</v>
      </c>
      <c r="AB63" s="1962">
        <f>+$AB$44</f>
        <v>89.998004776086447</v>
      </c>
      <c r="AC63" s="3001">
        <f>AC62</f>
        <v>-3077.3933103737504</v>
      </c>
      <c r="AD63" s="3003">
        <f t="shared" si="15"/>
        <v>292598.96670233272</v>
      </c>
      <c r="AE63" s="1908">
        <f>+AD63-AD62</f>
        <v>6231.4735107696033</v>
      </c>
    </row>
    <row r="64" spans="2:41">
      <c r="B64" s="2658" t="s">
        <v>1378</v>
      </c>
      <c r="C64" s="2346">
        <f>C60</f>
        <v>8502.7681772494343</v>
      </c>
      <c r="D64" s="2344">
        <f>D61</f>
        <v>688.85787000000016</v>
      </c>
      <c r="E64" s="2627">
        <f>E62</f>
        <v>0.5354493276828427</v>
      </c>
      <c r="F64" s="2628">
        <f>F63</f>
        <v>90.294153352101716</v>
      </c>
      <c r="G64" s="2346">
        <f>+(D6-D5)*1000</f>
        <v>-1088.5563752585697</v>
      </c>
      <c r="H64" s="2346">
        <f t="shared" si="14"/>
        <v>27229.795292946375</v>
      </c>
      <c r="I64" s="2343">
        <f>H64-H63</f>
        <v>-456.02796331235731</v>
      </c>
      <c r="X64" s="2657" t="s">
        <v>1345</v>
      </c>
      <c r="Y64" s="1968">
        <f>Y63</f>
        <v>8426.8957127773465</v>
      </c>
      <c r="Z64" s="1969">
        <f>Z46</f>
        <v>82.040780359436553</v>
      </c>
      <c r="AA64" s="2998">
        <f>+$AA$62</f>
        <v>0.53035654056792547</v>
      </c>
      <c r="AB64" s="1962">
        <f>+$AB$44</f>
        <v>89.998004776086447</v>
      </c>
      <c r="AC64" s="3001">
        <f>AC62</f>
        <v>-3077.3933103737504</v>
      </c>
      <c r="AD64" s="3003">
        <f t="shared" si="15"/>
        <v>285992.13824249472</v>
      </c>
      <c r="AE64" s="1908">
        <f>+AD64-AD63</f>
        <v>-6606.8284598379978</v>
      </c>
      <c r="AF64" s="2611">
        <f>AE64+AE63</f>
        <v>-375.35494906839449</v>
      </c>
      <c r="AG64" s="1935"/>
      <c r="AH64" s="1935"/>
      <c r="AI64" s="1935"/>
      <c r="AJ64" s="1935"/>
      <c r="AK64" s="1935"/>
      <c r="AL64" s="1935"/>
      <c r="AM64" s="1935"/>
      <c r="AN64" s="1843"/>
      <c r="AO64" s="1843"/>
    </row>
    <row r="65" spans="2:41">
      <c r="B65" s="2657" t="s">
        <v>174</v>
      </c>
      <c r="C65" s="2337">
        <f>C60</f>
        <v>8502.7681772494343</v>
      </c>
      <c r="D65" s="2340">
        <f>D61</f>
        <v>688.85787000000016</v>
      </c>
      <c r="E65" s="2625">
        <f>E62</f>
        <v>0.5354493276828427</v>
      </c>
      <c r="F65" s="2624">
        <f>F63</f>
        <v>90.294153352101716</v>
      </c>
      <c r="G65" s="2337">
        <f>G64</f>
        <v>-1088.5563752585697</v>
      </c>
      <c r="H65" s="2337">
        <f t="shared" si="14"/>
        <v>27229.795292946375</v>
      </c>
      <c r="I65" s="2339">
        <f>+SUM(I59:I64)</f>
        <v>27229.795292946375</v>
      </c>
      <c r="X65" s="2657" t="s">
        <v>1167</v>
      </c>
      <c r="Y65" s="1968">
        <f>Y63</f>
        <v>8426.8957127773465</v>
      </c>
      <c r="Z65" s="1969">
        <f>Z64</f>
        <v>82.040780359436553</v>
      </c>
      <c r="AA65" s="2999">
        <f>AA47</f>
        <v>0.51253836495611338</v>
      </c>
      <c r="AB65" s="1962">
        <f>+$AB$44</f>
        <v>89.998004776086447</v>
      </c>
      <c r="AC65" s="3001">
        <f>AC62</f>
        <v>-3077.3933103737504</v>
      </c>
      <c r="AD65" s="3003">
        <f t="shared" si="15"/>
        <v>276280.38533054286</v>
      </c>
      <c r="AE65" s="1908">
        <f>+AD65-AD64</f>
        <v>-9711.7529119518586</v>
      </c>
      <c r="AG65" s="1843"/>
      <c r="AH65" s="1908"/>
      <c r="AI65" s="1909"/>
      <c r="AJ65" s="1909"/>
      <c r="AK65" s="1909"/>
      <c r="AL65" s="1908"/>
      <c r="AM65" s="1908"/>
      <c r="AN65" s="1843"/>
      <c r="AO65" s="1843"/>
    </row>
    <row r="66" spans="2:41">
      <c r="C66" s="1841"/>
      <c r="X66" s="2657" t="s">
        <v>51</v>
      </c>
      <c r="Y66" s="1968">
        <f>Y63</f>
        <v>8426.8957127773465</v>
      </c>
      <c r="Z66" s="1969">
        <f>Z64</f>
        <v>82.040780359436553</v>
      </c>
      <c r="AA66" s="2999">
        <f>AA65</f>
        <v>0.51253836495611338</v>
      </c>
      <c r="AB66" s="1969">
        <f>AB48</f>
        <v>90.495952864816218</v>
      </c>
      <c r="AC66" s="3001">
        <f>AC65</f>
        <v>-3077.3933103737504</v>
      </c>
      <c r="AD66" s="3003">
        <f t="shared" si="15"/>
        <v>277826.03817353793</v>
      </c>
      <c r="AE66" s="1908">
        <f>+AD66-AD65</f>
        <v>1545.6528429950704</v>
      </c>
      <c r="AG66" s="1967"/>
      <c r="AH66" s="1908"/>
      <c r="AI66" s="1909"/>
      <c r="AJ66" s="1909"/>
      <c r="AK66" s="1909"/>
      <c r="AL66" s="1908"/>
      <c r="AM66" s="1908"/>
      <c r="AN66" s="1843"/>
      <c r="AO66" s="1843"/>
    </row>
    <row r="67" spans="2:41">
      <c r="C67" s="1841"/>
      <c r="I67" s="2337">
        <f>I65-I59</f>
        <v>-1002.536091074362</v>
      </c>
      <c r="X67" s="2658" t="s">
        <v>1378</v>
      </c>
      <c r="Y67" s="2996">
        <f>Y63</f>
        <v>8426.8957127773465</v>
      </c>
      <c r="Z67" s="2997">
        <f>Z64</f>
        <v>82.040780359436553</v>
      </c>
      <c r="AA67" s="3000">
        <f>AA65</f>
        <v>0.51253836495611338</v>
      </c>
      <c r="AB67" s="2997">
        <f>AB66</f>
        <v>90.495952864816218</v>
      </c>
      <c r="AC67" s="2346">
        <f>AC49</f>
        <v>-3123.2604612784626</v>
      </c>
      <c r="AD67" s="3005">
        <f t="shared" si="15"/>
        <v>277780.17102263327</v>
      </c>
      <c r="AE67" s="1903">
        <f>+AD67-AD66</f>
        <v>-45.867150904668961</v>
      </c>
      <c r="AG67" s="1967"/>
      <c r="AH67" s="1908"/>
      <c r="AI67" s="1909"/>
      <c r="AJ67" s="1909"/>
      <c r="AK67" s="1909"/>
      <c r="AL67" s="1908"/>
      <c r="AM67" s="1908"/>
      <c r="AN67" s="1843"/>
      <c r="AO67" s="1843"/>
    </row>
    <row r="68" spans="2:41">
      <c r="B68" s="1841" t="s">
        <v>1557</v>
      </c>
      <c r="C68" s="1841"/>
      <c r="H68" s="1841" t="s">
        <v>1556</v>
      </c>
      <c r="X68" s="2657" t="s">
        <v>1479</v>
      </c>
      <c r="Y68" s="3002">
        <f>Y67</f>
        <v>8426.8957127773465</v>
      </c>
      <c r="Z68" s="2340">
        <f>Z67</f>
        <v>82.040780359436553</v>
      </c>
      <c r="AA68" s="2341">
        <f>AA67</f>
        <v>0.51253836495611338</v>
      </c>
      <c r="AB68" s="2340">
        <f>AB67</f>
        <v>90.495952864816218</v>
      </c>
      <c r="AC68" s="2337">
        <f>AC67</f>
        <v>-3123.2604612784626</v>
      </c>
      <c r="AD68" s="3003">
        <f t="shared" si="15"/>
        <v>277780.17102263327</v>
      </c>
      <c r="AE68" s="2337">
        <f>AD68</f>
        <v>277780.17102263327</v>
      </c>
      <c r="AG68" s="1967"/>
      <c r="AH68" s="1908"/>
      <c r="AI68" s="1909"/>
      <c r="AJ68" s="1909"/>
      <c r="AK68" s="1909"/>
      <c r="AL68" s="1908"/>
      <c r="AM68" s="1908"/>
      <c r="AN68" s="1843"/>
      <c r="AO68" s="1843"/>
    </row>
    <row r="69" spans="2:41">
      <c r="B69" s="1841" t="s">
        <v>1561</v>
      </c>
      <c r="C69" s="1841"/>
      <c r="G69" s="2341"/>
      <c r="H69" s="1917" t="s">
        <v>1560</v>
      </c>
      <c r="I69" s="1927"/>
      <c r="X69" s="1843"/>
      <c r="AA69" s="1841"/>
      <c r="AB69" s="1841"/>
      <c r="AG69" s="1967"/>
      <c r="AH69" s="1908"/>
      <c r="AI69" s="1909"/>
      <c r="AJ69" s="1909"/>
      <c r="AK69" s="1909"/>
      <c r="AL69" s="1908"/>
      <c r="AM69" s="1908"/>
      <c r="AN69" s="1843"/>
      <c r="AO69" s="1843"/>
    </row>
    <row r="70" spans="2:41">
      <c r="B70" s="1843" t="s">
        <v>1558</v>
      </c>
      <c r="C70" s="1843"/>
      <c r="G70" s="2341"/>
      <c r="H70" s="1917" t="s">
        <v>1553</v>
      </c>
      <c r="I70" s="2341"/>
      <c r="J70" s="1843"/>
      <c r="X70" s="1843"/>
      <c r="Y70" s="1843"/>
      <c r="Z70" s="1843"/>
      <c r="AC70" s="1843"/>
      <c r="AD70" s="1843"/>
      <c r="AE70" s="2611">
        <f>AE68-AE62</f>
        <v>-8587.3221689298516</v>
      </c>
      <c r="AG70" s="1967"/>
      <c r="AH70" s="1908"/>
      <c r="AI70" s="1909"/>
      <c r="AJ70" s="1909"/>
      <c r="AK70" s="1909"/>
      <c r="AL70" s="1908"/>
      <c r="AM70" s="1908"/>
      <c r="AN70" s="1843"/>
      <c r="AO70" s="1843"/>
    </row>
    <row r="71" spans="2:41">
      <c r="B71" s="1843" t="s">
        <v>1559</v>
      </c>
      <c r="C71" s="1843"/>
      <c r="G71" s="2341"/>
      <c r="H71" s="1917" t="s">
        <v>1555</v>
      </c>
      <c r="J71" s="1843"/>
      <c r="X71" s="1843"/>
      <c r="Y71" s="3006"/>
      <c r="Z71" s="3006"/>
      <c r="AA71" s="3006"/>
      <c r="AB71" s="3006"/>
      <c r="AC71" s="3006"/>
      <c r="AD71" s="3006"/>
      <c r="AG71" s="1843"/>
      <c r="AH71" s="1843"/>
      <c r="AI71" s="1843"/>
      <c r="AJ71" s="1843"/>
      <c r="AK71" s="1843"/>
      <c r="AL71" s="1843"/>
      <c r="AM71" s="1843"/>
      <c r="AN71" s="1843"/>
      <c r="AO71" s="1843"/>
    </row>
    <row r="72" spans="2:41">
      <c r="B72" s="2989"/>
      <c r="C72" s="2330"/>
      <c r="D72" s="2330"/>
      <c r="E72" s="2330"/>
      <c r="F72" s="2330"/>
      <c r="G72" s="2330"/>
      <c r="H72" s="2330"/>
      <c r="I72" s="2330"/>
      <c r="J72" s="1843"/>
      <c r="X72" s="1843"/>
      <c r="Y72" s="1843"/>
      <c r="AA72" s="1841"/>
      <c r="AB72" s="1841"/>
    </row>
    <row r="73" spans="2:41">
      <c r="B73" s="2990"/>
      <c r="C73" s="2991"/>
      <c r="D73" s="2992"/>
      <c r="E73" s="2993"/>
      <c r="F73" s="2992"/>
      <c r="G73" s="2994"/>
      <c r="H73" s="2994"/>
      <c r="I73" s="2994"/>
      <c r="J73" s="1843"/>
      <c r="L73" s="1841">
        <v>24485</v>
      </c>
      <c r="X73" s="1843"/>
      <c r="Y73" s="1843"/>
      <c r="AA73" s="1841"/>
      <c r="AB73" s="1841"/>
    </row>
    <row r="74" spans="2:41">
      <c r="B74" s="2990"/>
      <c r="C74" s="2991"/>
      <c r="D74" s="2992"/>
      <c r="E74" s="2993"/>
      <c r="F74" s="2992"/>
      <c r="G74" s="2994"/>
      <c r="H74" s="2994">
        <f>75+12+242</f>
        <v>329</v>
      </c>
      <c r="I74" s="2994"/>
      <c r="J74" s="1843"/>
      <c r="X74" s="1843"/>
      <c r="Y74" s="1843"/>
      <c r="AA74" s="1841"/>
      <c r="AB74" s="1841"/>
    </row>
    <row r="75" spans="2:41">
      <c r="B75" s="2990"/>
      <c r="C75" s="2994"/>
      <c r="D75" s="2992"/>
      <c r="E75" s="2993"/>
      <c r="F75" s="2992"/>
      <c r="G75" s="2994"/>
      <c r="H75" s="2994"/>
      <c r="I75" s="2994"/>
      <c r="J75" s="1843"/>
      <c r="X75" s="1843"/>
      <c r="Y75" s="1843"/>
      <c r="AA75" s="1841"/>
      <c r="AB75" s="1841"/>
    </row>
    <row r="76" spans="2:41">
      <c r="B76" s="2990"/>
      <c r="C76" s="2994"/>
      <c r="D76" s="1909"/>
      <c r="E76" s="2993"/>
      <c r="F76" s="2992"/>
      <c r="G76" s="2994"/>
      <c r="H76" s="2994"/>
      <c r="I76" s="2994"/>
      <c r="J76" s="1843"/>
      <c r="X76" s="1843"/>
      <c r="Y76" s="1843"/>
      <c r="AA76" s="1841"/>
      <c r="AB76" s="1841"/>
    </row>
    <row r="77" spans="2:41">
      <c r="B77" s="2990"/>
      <c r="C77" s="2994"/>
      <c r="D77" s="1909"/>
      <c r="E77" s="2993"/>
      <c r="F77" s="2992"/>
      <c r="G77" s="2994"/>
      <c r="H77" s="2994"/>
      <c r="I77" s="2994"/>
      <c r="J77" s="1843"/>
      <c r="X77" s="1843"/>
      <c r="Y77" s="1843"/>
      <c r="AA77" s="1841"/>
      <c r="AB77" s="1841"/>
    </row>
    <row r="78" spans="2:41">
      <c r="B78" s="2990"/>
      <c r="C78" s="2994"/>
      <c r="D78" s="1909"/>
      <c r="E78" s="2993"/>
      <c r="F78" s="2992"/>
      <c r="G78" s="2994"/>
      <c r="H78" s="2994"/>
      <c r="I78" s="2994"/>
      <c r="J78" s="1843"/>
      <c r="X78" s="1843"/>
      <c r="Y78" s="1843"/>
      <c r="AA78" s="1841"/>
      <c r="AB78" s="1841"/>
    </row>
    <row r="79" spans="2:41">
      <c r="B79" s="2989"/>
      <c r="C79" s="2330"/>
      <c r="D79" s="2330"/>
      <c r="E79" s="2330"/>
      <c r="F79" s="2330"/>
      <c r="G79" s="2330"/>
      <c r="H79" s="2330"/>
      <c r="I79" s="2330"/>
      <c r="J79" s="1843"/>
      <c r="X79" s="1843"/>
      <c r="Y79" s="1843"/>
      <c r="AA79" s="1841"/>
      <c r="AB79" s="1841"/>
    </row>
    <row r="80" spans="2:41">
      <c r="B80" s="2990"/>
      <c r="C80" s="2991"/>
      <c r="D80" s="2992"/>
      <c r="E80" s="2993"/>
      <c r="F80" s="2992"/>
      <c r="G80" s="2994"/>
      <c r="H80" s="2994"/>
      <c r="I80" s="2994"/>
      <c r="J80" s="1843"/>
      <c r="X80" s="1843"/>
      <c r="Y80" s="1843"/>
      <c r="AA80" s="1841"/>
      <c r="AB80" s="1841"/>
    </row>
    <row r="81" spans="2:39">
      <c r="B81" s="2990"/>
      <c r="C81" s="2991"/>
      <c r="D81" s="2992"/>
      <c r="E81" s="2993"/>
      <c r="F81" s="2992"/>
      <c r="G81" s="2994"/>
      <c r="H81" s="2994"/>
      <c r="I81" s="2994"/>
      <c r="J81" s="1843"/>
      <c r="X81" s="1843"/>
      <c r="Y81" s="1843"/>
      <c r="AA81" s="1841"/>
      <c r="AB81" s="1841"/>
    </row>
    <row r="82" spans="2:39">
      <c r="B82" s="2990"/>
      <c r="C82" s="2994"/>
      <c r="D82" s="2992"/>
      <c r="E82" s="2993"/>
      <c r="F82" s="2992"/>
      <c r="G82" s="2994"/>
      <c r="H82" s="2994"/>
      <c r="I82" s="2994"/>
      <c r="J82" s="3045"/>
      <c r="X82" s="1843"/>
      <c r="Y82" s="1843"/>
      <c r="AA82" s="1841"/>
      <c r="AB82" s="1841"/>
    </row>
    <row r="83" spans="2:39">
      <c r="B83" s="2990"/>
      <c r="C83" s="2994"/>
      <c r="D83" s="1909"/>
      <c r="E83" s="2993"/>
      <c r="F83" s="2992"/>
      <c r="G83" s="2994"/>
      <c r="H83" s="2994"/>
      <c r="I83" s="2994"/>
      <c r="J83" s="1843"/>
      <c r="X83" s="1843"/>
      <c r="Y83" s="1843"/>
      <c r="AA83" s="1841"/>
      <c r="AB83" s="1841"/>
    </row>
    <row r="84" spans="2:39">
      <c r="B84" s="2990"/>
      <c r="C84" s="2994"/>
      <c r="D84" s="1909"/>
      <c r="E84" s="2993"/>
      <c r="F84" s="2992"/>
      <c r="G84" s="2994"/>
      <c r="H84" s="2994"/>
      <c r="I84" s="2994"/>
      <c r="J84" s="1843"/>
      <c r="X84" s="1843"/>
      <c r="Y84" s="1843"/>
      <c r="AA84" s="1841"/>
      <c r="AB84" s="1841"/>
    </row>
    <row r="85" spans="2:39">
      <c r="B85" s="2990"/>
      <c r="C85" s="2994"/>
      <c r="D85" s="1909"/>
      <c r="E85" s="2993"/>
      <c r="F85" s="2992"/>
      <c r="G85" s="2994"/>
      <c r="H85" s="2994"/>
      <c r="I85" s="2994"/>
      <c r="J85" s="1843"/>
      <c r="X85" s="1843"/>
      <c r="Y85" s="1843"/>
      <c r="AA85" s="1841"/>
      <c r="AB85" s="1841"/>
    </row>
    <row r="86" spans="2:39">
      <c r="B86" s="2990"/>
      <c r="C86" s="2994"/>
      <c r="D86" s="1909"/>
      <c r="E86" s="2993"/>
      <c r="F86" s="2992"/>
      <c r="G86" s="2994"/>
      <c r="H86" s="2994"/>
      <c r="I86" s="2994"/>
      <c r="J86" s="1843"/>
      <c r="X86" s="1843"/>
      <c r="Y86" s="1843"/>
      <c r="AA86" s="1841"/>
      <c r="AB86" s="1841"/>
    </row>
    <row r="87" spans="2:39">
      <c r="B87" s="1843"/>
      <c r="C87" s="1843"/>
      <c r="D87" s="1843"/>
      <c r="E87" s="1843"/>
      <c r="F87" s="1843"/>
      <c r="G87" s="1843"/>
      <c r="H87" s="1843"/>
      <c r="I87" s="1843"/>
      <c r="J87" s="1843"/>
      <c r="X87" s="1843"/>
      <c r="Y87" s="1843"/>
      <c r="AA87" s="1841"/>
      <c r="AB87" s="1841"/>
    </row>
    <row r="88" spans="2:39">
      <c r="B88" s="1843"/>
      <c r="C88" s="1843"/>
      <c r="D88" s="1843"/>
      <c r="E88" s="1843"/>
      <c r="F88" s="1843"/>
      <c r="G88" s="1843"/>
      <c r="H88" s="1843"/>
      <c r="I88" s="2994"/>
      <c r="J88" s="1843"/>
      <c r="X88" s="1843"/>
      <c r="Y88" s="1843"/>
      <c r="AA88" s="1841"/>
      <c r="AB88" s="1841"/>
    </row>
    <row r="89" spans="2:39">
      <c r="B89" s="1843"/>
      <c r="C89" s="2330"/>
      <c r="D89" s="1843"/>
      <c r="E89" s="1843"/>
      <c r="F89" s="1843"/>
      <c r="G89" s="1843"/>
      <c r="H89" s="1843"/>
      <c r="I89" s="1843"/>
      <c r="J89" s="1843"/>
      <c r="X89" s="1843"/>
      <c r="Y89" s="1843"/>
      <c r="AA89" s="1841"/>
      <c r="AB89" s="1841"/>
      <c r="AE89" s="1905"/>
      <c r="AF89" s="2626"/>
      <c r="AG89" s="2626" t="s">
        <v>36</v>
      </c>
      <c r="AH89" s="2626" t="s">
        <v>1345</v>
      </c>
      <c r="AI89" s="2626" t="s">
        <v>24</v>
      </c>
      <c r="AJ89" s="2626" t="s">
        <v>25</v>
      </c>
      <c r="AK89" s="2626" t="s">
        <v>1346</v>
      </c>
      <c r="AL89" s="2626" t="s">
        <v>28</v>
      </c>
      <c r="AM89" s="2626" t="s">
        <v>1321</v>
      </c>
    </row>
    <row r="90" spans="2:39" ht="13.4" customHeight="1">
      <c r="B90" s="1843"/>
      <c r="C90" s="2330"/>
      <c r="D90" s="1843"/>
      <c r="E90" s="1843"/>
      <c r="F90" s="1843"/>
      <c r="G90" s="1843"/>
      <c r="H90" s="1843"/>
      <c r="I90" s="1843"/>
      <c r="J90" s="1843"/>
      <c r="X90" s="1843"/>
      <c r="Y90" s="1843"/>
      <c r="AA90" s="1841"/>
      <c r="AB90" s="1841"/>
      <c r="AE90" s="2657" t="s">
        <v>1431</v>
      </c>
      <c r="AF90" s="2113"/>
      <c r="AG90" s="2620" t="e">
        <f>+#REF!</f>
        <v>#REF!</v>
      </c>
      <c r="AH90" s="2621" t="e">
        <f>+#REF!</f>
        <v>#REF!</v>
      </c>
      <c r="AI90" s="2622" t="e">
        <f>+#REF!</f>
        <v>#REF!</v>
      </c>
      <c r="AJ90" s="2621" t="e">
        <f>+#REF!</f>
        <v>#REF!</v>
      </c>
      <c r="AK90" s="2623" t="e">
        <f>+(#REF!-#REF!)*1000</f>
        <v>#REF!</v>
      </c>
      <c r="AL90" s="2337" t="e">
        <f t="shared" ref="AL90:AL95" si="16">AG90*AH90*24*$AK$20/100*AI90/100*AJ90/100+AK90</f>
        <v>#REF!</v>
      </c>
      <c r="AM90" s="2337" t="e">
        <f>AL90</f>
        <v>#REF!</v>
      </c>
    </row>
    <row r="91" spans="2:39" ht="13.4" customHeight="1">
      <c r="B91" s="1843"/>
      <c r="C91" s="2330"/>
      <c r="D91" s="1843"/>
      <c r="E91" s="1843"/>
      <c r="F91" s="1843"/>
      <c r="G91" s="1843"/>
      <c r="H91" s="1843"/>
      <c r="I91" s="1843"/>
      <c r="J91" s="1843"/>
      <c r="X91" s="1843"/>
      <c r="Y91" s="1843"/>
      <c r="AA91" s="1841"/>
      <c r="AB91" s="1841"/>
      <c r="AE91" s="2657" t="s">
        <v>36</v>
      </c>
      <c r="AF91" s="2113"/>
      <c r="AG91" s="2339" t="e">
        <f>+#REF!</f>
        <v>#REF!</v>
      </c>
      <c r="AH91" s="2621" t="e">
        <f>AH90</f>
        <v>#REF!</v>
      </c>
      <c r="AI91" s="2622" t="e">
        <f>AI90</f>
        <v>#REF!</v>
      </c>
      <c r="AJ91" s="2621" t="e">
        <f>AJ90</f>
        <v>#REF!</v>
      </c>
      <c r="AK91" s="2623" t="e">
        <f>AK90</f>
        <v>#REF!</v>
      </c>
      <c r="AL91" s="2337" t="e">
        <f t="shared" si="16"/>
        <v>#REF!</v>
      </c>
      <c r="AM91" s="2337" t="e">
        <f>AL91-AL90</f>
        <v>#REF!</v>
      </c>
    </row>
    <row r="92" spans="2:39" ht="13.4" customHeight="1">
      <c r="B92" s="1843"/>
      <c r="C92" s="2330"/>
      <c r="D92" s="1843"/>
      <c r="E92" s="1843"/>
      <c r="F92" s="1843"/>
      <c r="G92" s="1843"/>
      <c r="H92" s="1843"/>
      <c r="I92" s="1843"/>
      <c r="J92" s="1843"/>
      <c r="X92" s="1843"/>
      <c r="Y92" s="1843"/>
      <c r="AA92" s="1841"/>
      <c r="AB92" s="1841"/>
      <c r="AE92" s="2657" t="s">
        <v>1345</v>
      </c>
      <c r="AF92" s="2113"/>
      <c r="AG92" s="2337" t="e">
        <f>AG91</f>
        <v>#REF!</v>
      </c>
      <c r="AH92" s="2624" t="e">
        <f>+#REF!</f>
        <v>#REF!</v>
      </c>
      <c r="AI92" s="2622" t="e">
        <f>AI90</f>
        <v>#REF!</v>
      </c>
      <c r="AJ92" s="2621" t="e">
        <f>AJ90</f>
        <v>#REF!</v>
      </c>
      <c r="AK92" s="2623" t="e">
        <f>AK90</f>
        <v>#REF!</v>
      </c>
      <c r="AL92" s="2337" t="e">
        <f t="shared" si="16"/>
        <v>#REF!</v>
      </c>
      <c r="AM92" s="2337" t="e">
        <f>AL92-AL91</f>
        <v>#REF!</v>
      </c>
    </row>
    <row r="93" spans="2:39" ht="13.4" customHeight="1">
      <c r="X93" s="1843"/>
      <c r="Y93" s="1843"/>
      <c r="AA93" s="1841"/>
      <c r="AB93" s="1841"/>
      <c r="AE93" s="2657" t="s">
        <v>1167</v>
      </c>
      <c r="AF93" s="2113"/>
      <c r="AG93" s="2337" t="e">
        <f>AG91</f>
        <v>#REF!</v>
      </c>
      <c r="AH93" s="2340" t="e">
        <f>AH92</f>
        <v>#REF!</v>
      </c>
      <c r="AI93" s="2625" t="e">
        <f>+#REF!</f>
        <v>#REF!</v>
      </c>
      <c r="AJ93" s="2621" t="e">
        <f>AJ90</f>
        <v>#REF!</v>
      </c>
      <c r="AK93" s="2623" t="e">
        <f>AK90</f>
        <v>#REF!</v>
      </c>
      <c r="AL93" s="2337" t="e">
        <f t="shared" si="16"/>
        <v>#REF!</v>
      </c>
      <c r="AM93" s="2337" t="e">
        <f>AL93-AL92</f>
        <v>#REF!</v>
      </c>
    </row>
    <row r="94" spans="2:39" ht="13.4" customHeight="1">
      <c r="X94" s="1843"/>
      <c r="Y94" s="1843"/>
      <c r="AA94" s="1841"/>
      <c r="AB94" s="1841"/>
      <c r="AE94" s="2657" t="s">
        <v>51</v>
      </c>
      <c r="AF94" s="2113"/>
      <c r="AG94" s="2337" t="e">
        <f>AG91</f>
        <v>#REF!</v>
      </c>
      <c r="AH94" s="2340" t="e">
        <f>AH92</f>
        <v>#REF!</v>
      </c>
      <c r="AI94" s="2625" t="e">
        <f>AI93</f>
        <v>#REF!</v>
      </c>
      <c r="AJ94" s="2624" t="e">
        <f>+#REF!</f>
        <v>#REF!</v>
      </c>
      <c r="AK94" s="2623" t="e">
        <f>AK90</f>
        <v>#REF!</v>
      </c>
      <c r="AL94" s="2337" t="e">
        <f t="shared" si="16"/>
        <v>#REF!</v>
      </c>
      <c r="AM94" s="2337" t="e">
        <f>AL94-AL93</f>
        <v>#REF!</v>
      </c>
    </row>
    <row r="95" spans="2:39" ht="13.4" customHeight="1">
      <c r="X95" s="1843"/>
      <c r="Y95" s="1843"/>
      <c r="AA95" s="1841"/>
      <c r="AB95" s="1841"/>
      <c r="AE95" s="2658" t="s">
        <v>1378</v>
      </c>
      <c r="AF95" s="2629"/>
      <c r="AG95" s="2346" t="e">
        <f>AG91</f>
        <v>#REF!</v>
      </c>
      <c r="AH95" s="2344" t="e">
        <f>AH92</f>
        <v>#REF!</v>
      </c>
      <c r="AI95" s="2627" t="e">
        <f>AI93</f>
        <v>#REF!</v>
      </c>
      <c r="AJ95" s="2628" t="e">
        <f>AJ94</f>
        <v>#REF!</v>
      </c>
      <c r="AK95" s="2346" t="e">
        <f>+(#REF!-#REF!)*1000</f>
        <v>#REF!</v>
      </c>
      <c r="AL95" s="2346" t="e">
        <f t="shared" si="16"/>
        <v>#REF!</v>
      </c>
      <c r="AM95" s="2346" t="e">
        <f>AL95-AL94</f>
        <v>#REF!</v>
      </c>
    </row>
    <row r="96" spans="2:39" ht="13.4" customHeight="1">
      <c r="X96" s="1843"/>
      <c r="Y96" s="1843"/>
      <c r="AA96" s="1841"/>
      <c r="AB96" s="1841"/>
      <c r="AE96" s="2657" t="s">
        <v>50</v>
      </c>
      <c r="AF96" s="2113"/>
      <c r="AG96" s="2337" t="e">
        <f>AG91</f>
        <v>#REF!</v>
      </c>
      <c r="AH96" s="2340" t="e">
        <f>AH92</f>
        <v>#REF!</v>
      </c>
      <c r="AI96" s="2625" t="e">
        <f>AI93</f>
        <v>#REF!</v>
      </c>
      <c r="AJ96" s="2624" t="e">
        <f>AJ94</f>
        <v>#REF!</v>
      </c>
      <c r="AK96" s="2337" t="e">
        <f>AK95</f>
        <v>#REF!</v>
      </c>
      <c r="AL96" s="2337"/>
      <c r="AM96" s="2337" t="e">
        <f>+SUM(AM90:AM95)</f>
        <v>#REF!</v>
      </c>
    </row>
    <row r="97" spans="24:40">
      <c r="X97" s="1843"/>
      <c r="Y97" s="1843"/>
      <c r="AA97" s="1841"/>
      <c r="AB97" s="1841"/>
    </row>
    <row r="98" spans="24:40">
      <c r="X98" s="1843"/>
      <c r="Y98" s="1843"/>
      <c r="AA98" s="1841"/>
      <c r="AB98" s="1841"/>
      <c r="AM98" s="2337" t="e">
        <f>AM96-AM90</f>
        <v>#REF!</v>
      </c>
    </row>
    <row r="99" spans="24:40">
      <c r="X99" s="1843"/>
      <c r="Y99" s="1843"/>
      <c r="AA99" s="1841"/>
      <c r="AB99" s="1841"/>
    </row>
    <row r="100" spans="24:40">
      <c r="X100" s="1843"/>
      <c r="Y100" s="1843"/>
      <c r="AA100" s="1841"/>
      <c r="AB100" s="1841"/>
    </row>
    <row r="101" spans="24:40">
      <c r="X101" s="1843"/>
      <c r="Y101" s="1843"/>
      <c r="AA101" s="1841"/>
      <c r="AB101" s="1841"/>
    </row>
    <row r="102" spans="24:40">
      <c r="X102" s="1843"/>
      <c r="Y102" s="1843"/>
      <c r="AA102" s="1841"/>
      <c r="AB102" s="1841"/>
    </row>
    <row r="103" spans="24:40">
      <c r="X103" s="1843"/>
      <c r="Y103" s="1843"/>
      <c r="AA103" s="1841"/>
      <c r="AB103" s="1841"/>
    </row>
    <row r="104" spans="24:40">
      <c r="X104" s="1843"/>
      <c r="Y104" s="1843"/>
      <c r="AA104" s="1841"/>
      <c r="AB104" s="1841"/>
    </row>
    <row r="105" spans="24:40">
      <c r="X105" s="1843"/>
      <c r="Y105" s="1843"/>
      <c r="AA105" s="1841"/>
      <c r="AB105" s="1841"/>
      <c r="AE105" s="1905"/>
      <c r="AF105" s="2626"/>
      <c r="AG105" s="2626" t="s">
        <v>36</v>
      </c>
      <c r="AH105" s="2626" t="s">
        <v>1345</v>
      </c>
      <c r="AI105" s="2626" t="s">
        <v>24</v>
      </c>
      <c r="AJ105" s="2626" t="s">
        <v>25</v>
      </c>
      <c r="AK105" s="2626" t="s">
        <v>1346</v>
      </c>
      <c r="AL105" s="2626" t="s">
        <v>28</v>
      </c>
      <c r="AM105" s="2626" t="s">
        <v>1321</v>
      </c>
    </row>
    <row r="106" spans="24:40">
      <c r="X106" s="1843"/>
      <c r="Y106" s="1843"/>
      <c r="AA106" s="1841"/>
      <c r="AB106" s="1841"/>
      <c r="AE106" s="2657" t="s">
        <v>174</v>
      </c>
      <c r="AF106" s="2113"/>
      <c r="AG106" s="2620">
        <f>+$D$12</f>
        <v>8502.7681772494343</v>
      </c>
      <c r="AH106" s="2621">
        <f>+$D$16</f>
        <v>92.650688634835248</v>
      </c>
      <c r="AI106" s="2622">
        <f>+$D$20</f>
        <v>0.5354493276828427</v>
      </c>
      <c r="AJ106" s="2621">
        <f>+$D$21</f>
        <v>90.294153352101716</v>
      </c>
      <c r="AK106" s="2623">
        <f>+($D$6-$D$5)*1000</f>
        <v>-1088.5563752585697</v>
      </c>
      <c r="AL106" s="2337">
        <f t="shared" ref="AL106:AL111" si="17">AG106*AH106*24*$AK$20/100*AI106/100*AJ106/100+AK106</f>
        <v>27248.839241613623</v>
      </c>
      <c r="AM106" s="2337">
        <f>AL106</f>
        <v>27248.839241613623</v>
      </c>
    </row>
    <row r="107" spans="24:40">
      <c r="X107" s="1843"/>
      <c r="Y107" s="1843"/>
      <c r="AA107" s="1841"/>
      <c r="AB107" s="1841"/>
      <c r="AE107" s="2657" t="s">
        <v>36</v>
      </c>
      <c r="AF107" s="2113"/>
      <c r="AG107" s="2339" t="e">
        <f>+#REF!</f>
        <v>#REF!</v>
      </c>
      <c r="AH107" s="2621">
        <f>AH106</f>
        <v>92.650688634835248</v>
      </c>
      <c r="AI107" s="2622">
        <f>AI106</f>
        <v>0.5354493276828427</v>
      </c>
      <c r="AJ107" s="2621">
        <f>AJ106</f>
        <v>90.294153352101716</v>
      </c>
      <c r="AK107" s="2623">
        <f>AK106</f>
        <v>-1088.5563752585697</v>
      </c>
      <c r="AL107" s="2337" t="e">
        <f t="shared" si="17"/>
        <v>#REF!</v>
      </c>
      <c r="AM107" s="2337" t="e">
        <f>AL107-AL106</f>
        <v>#REF!</v>
      </c>
    </row>
    <row r="108" spans="24:40">
      <c r="X108" s="1843"/>
      <c r="Y108" s="1843"/>
      <c r="AA108" s="1841"/>
      <c r="AB108" s="1841"/>
      <c r="AE108" s="2657" t="s">
        <v>1345</v>
      </c>
      <c r="AF108" s="2113"/>
      <c r="AG108" s="2337" t="e">
        <f>AG107</f>
        <v>#REF!</v>
      </c>
      <c r="AH108" s="2624" t="e">
        <f>+#REF!</f>
        <v>#REF!</v>
      </c>
      <c r="AI108" s="2622">
        <f>AI106</f>
        <v>0.5354493276828427</v>
      </c>
      <c r="AJ108" s="2621">
        <f>AJ106</f>
        <v>90.294153352101716</v>
      </c>
      <c r="AK108" s="2623">
        <f>AK106</f>
        <v>-1088.5563752585697</v>
      </c>
      <c r="AL108" s="2337" t="e">
        <f t="shared" si="17"/>
        <v>#REF!</v>
      </c>
      <c r="AM108" s="2337" t="e">
        <f>AL108-AL107</f>
        <v>#REF!</v>
      </c>
    </row>
    <row r="109" spans="24:40">
      <c r="X109" s="1843"/>
      <c r="Y109" s="1843"/>
      <c r="AA109" s="1841"/>
      <c r="AB109" s="1841"/>
      <c r="AE109" s="2657" t="s">
        <v>1167</v>
      </c>
      <c r="AF109" s="2113"/>
      <c r="AG109" s="2337" t="e">
        <f>AG107</f>
        <v>#REF!</v>
      </c>
      <c r="AH109" s="2340" t="e">
        <f>AH108</f>
        <v>#REF!</v>
      </c>
      <c r="AI109" s="2625" t="e">
        <f>+#REF!</f>
        <v>#REF!</v>
      </c>
      <c r="AJ109" s="2621">
        <f>AJ106</f>
        <v>90.294153352101716</v>
      </c>
      <c r="AK109" s="2623">
        <f>AK106</f>
        <v>-1088.5563752585697</v>
      </c>
      <c r="AL109" s="2337" t="e">
        <f t="shared" si="17"/>
        <v>#REF!</v>
      </c>
      <c r="AM109" s="2337" t="e">
        <f>AL109-AL108</f>
        <v>#REF!</v>
      </c>
    </row>
    <row r="110" spans="24:40">
      <c r="X110" s="1843"/>
      <c r="Y110" s="1843"/>
      <c r="AA110" s="1841"/>
      <c r="AB110" s="1841"/>
      <c r="AE110" s="2657" t="s">
        <v>51</v>
      </c>
      <c r="AF110" s="2113"/>
      <c r="AG110" s="2337" t="e">
        <f>AG107</f>
        <v>#REF!</v>
      </c>
      <c r="AH110" s="2340" t="e">
        <f>AH108</f>
        <v>#REF!</v>
      </c>
      <c r="AI110" s="2625" t="e">
        <f>AI109</f>
        <v>#REF!</v>
      </c>
      <c r="AJ110" s="2624" t="e">
        <f>+#REF!</f>
        <v>#REF!</v>
      </c>
      <c r="AK110" s="2623">
        <f>AK106</f>
        <v>-1088.5563752585697</v>
      </c>
      <c r="AL110" s="2337" t="e">
        <f t="shared" si="17"/>
        <v>#REF!</v>
      </c>
      <c r="AM110" s="2337" t="e">
        <f>AL110-AL109</f>
        <v>#REF!</v>
      </c>
    </row>
    <row r="111" spans="24:40">
      <c r="X111" s="1843"/>
      <c r="Y111" s="1843"/>
      <c r="AA111" s="1841"/>
      <c r="AB111" s="1841"/>
      <c r="AE111" s="2658" t="s">
        <v>1378</v>
      </c>
      <c r="AF111" s="2629"/>
      <c r="AG111" s="2346" t="e">
        <f>AG107</f>
        <v>#REF!</v>
      </c>
      <c r="AH111" s="2344" t="e">
        <f>AH108</f>
        <v>#REF!</v>
      </c>
      <c r="AI111" s="2627" t="e">
        <f>AI109</f>
        <v>#REF!</v>
      </c>
      <c r="AJ111" s="2628" t="e">
        <f>AJ110</f>
        <v>#REF!</v>
      </c>
      <c r="AK111" s="2346" t="e">
        <f>+(#REF!-#REF!)*1000</f>
        <v>#REF!</v>
      </c>
      <c r="AL111" s="2346" t="e">
        <f t="shared" si="17"/>
        <v>#REF!</v>
      </c>
      <c r="AM111" s="2346" t="e">
        <f>AL111-AL110</f>
        <v>#REF!</v>
      </c>
    </row>
    <row r="112" spans="24:40">
      <c r="X112" s="1843"/>
      <c r="Y112" s="1843"/>
      <c r="AA112" s="1841"/>
      <c r="AB112" s="1841"/>
      <c r="AE112" s="2657" t="s">
        <v>50</v>
      </c>
      <c r="AF112" s="2113"/>
      <c r="AG112" s="2337" t="e">
        <f>AG107</f>
        <v>#REF!</v>
      </c>
      <c r="AH112" s="2340" t="e">
        <f>AH108</f>
        <v>#REF!</v>
      </c>
      <c r="AI112" s="2625" t="e">
        <f>AI109</f>
        <v>#REF!</v>
      </c>
      <c r="AJ112" s="2624" t="e">
        <f>AJ110</f>
        <v>#REF!</v>
      </c>
      <c r="AK112" s="2337" t="e">
        <f>AK111</f>
        <v>#REF!</v>
      </c>
      <c r="AL112" s="2337"/>
      <c r="AM112" s="2337" t="e">
        <f>+SUM(AM106:AM111)</f>
        <v>#REF!</v>
      </c>
      <c r="AN112" s="2337" t="e">
        <f>AM112-AM106</f>
        <v>#REF!</v>
      </c>
    </row>
  </sheetData>
  <mergeCells count="7">
    <mergeCell ref="B39:C39"/>
    <mergeCell ref="B40:C40"/>
    <mergeCell ref="O3:Q3"/>
    <mergeCell ref="R3:T3"/>
    <mergeCell ref="E3:G3"/>
    <mergeCell ref="H3:J3"/>
    <mergeCell ref="L3:N3"/>
  </mergeCells>
  <conditionalFormatting sqref="A5:A29 D5:E37 U39:W39 W40">
    <cfRule type="cellIs" dxfId="253" priority="16" operator="lessThan">
      <formula>0</formula>
    </cfRule>
  </conditionalFormatting>
  <conditionalFormatting sqref="F39:G39 I39 F40:I40">
    <cfRule type="cellIs" dxfId="252" priority="12" operator="lessThan">
      <formula>0</formula>
    </cfRule>
  </conditionalFormatting>
  <conditionalFormatting sqref="H5:H37">
    <cfRule type="cellIs" dxfId="251" priority="3" operator="lessThan">
      <formula>0</formula>
    </cfRule>
  </conditionalFormatting>
  <conditionalFormatting sqref="H39">
    <cfRule type="cellIs" dxfId="250" priority="10" operator="lessThan">
      <formula>0</formula>
    </cfRule>
  </conditionalFormatting>
  <conditionalFormatting sqref="I69">
    <cfRule type="cellIs" dxfId="249" priority="11" operator="lessThan">
      <formula>0</formula>
    </cfRule>
  </conditionalFormatting>
  <conditionalFormatting sqref="J39">
    <cfRule type="cellIs" dxfId="248" priority="8" operator="lessThan">
      <formula>0</formula>
    </cfRule>
  </conditionalFormatting>
  <conditionalFormatting sqref="K39:K40">
    <cfRule type="cellIs" dxfId="247" priority="4" operator="lessThan">
      <formula>0</formula>
    </cfRule>
  </conditionalFormatting>
  <conditionalFormatting sqref="K40 S5:T12 F5:G20 I5:J37 M5:N37 P5:Q37 S16:T29 F22:G37 R30:S37 U33:U35 U40:V40 X40:X44">
    <cfRule type="cellIs" dxfId="246" priority="27" operator="lessThan">
      <formula>0</formula>
    </cfRule>
  </conditionalFormatting>
  <conditionalFormatting sqref="K5:L37 O5:O37 R16:R29 D39:E39">
    <cfRule type="cellIs" dxfId="245" priority="28" operator="lessThan">
      <formula>0</formula>
    </cfRule>
  </conditionalFormatting>
  <conditionalFormatting sqref="L38:T40">
    <cfRule type="cellIs" dxfId="244" priority="6" operator="lessThan">
      <formula>0</formula>
    </cfRule>
  </conditionalFormatting>
  <conditionalFormatting sqref="R5:R12 T33:T35 V33:W35">
    <cfRule type="cellIs" dxfId="243" priority="25" operator="lessThan">
      <formula>0</formula>
    </cfRule>
  </conditionalFormatting>
  <conditionalFormatting sqref="S13:T14">
    <cfRule type="cellIs" dxfId="242" priority="22" operator="greaterThan">
      <formula>0</formula>
    </cfRule>
  </conditionalFormatting>
  <conditionalFormatting sqref="S15:T15">
    <cfRule type="cellIs" dxfId="241" priority="23" operator="greaterThan">
      <formula>0</formula>
    </cfRule>
  </conditionalFormatting>
  <conditionalFormatting sqref="U5:U29">
    <cfRule type="cellIs" dxfId="240" priority="1" operator="lessThan">
      <formula>0</formula>
    </cfRule>
  </conditionalFormatting>
  <conditionalFormatting sqref="U36:U38">
    <cfRule type="cellIs" dxfId="239" priority="24" operator="greaterThan">
      <formula>0</formula>
    </cfRule>
  </conditionalFormatting>
  <conditionalFormatting sqref="X61:X62">
    <cfRule type="cellIs" dxfId="238" priority="15" operator="lessThan">
      <formula>0</formula>
    </cfRule>
  </conditionalFormatting>
  <pageMargins left="0.7" right="0.7" top="0.75" bottom="0.75" header="0.3" footer="0.3"/>
  <pageSetup orientation="landscape" r:id="rId1"/>
  <ignoredErrors>
    <ignoredError sqref="F15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23AC0-DCB9-4ED7-9174-2FD2899C4269}">
  <dimension ref="A2:AD189"/>
  <sheetViews>
    <sheetView topLeftCell="E1" zoomScaleNormal="100" workbookViewId="0">
      <selection activeCell="H105" sqref="H105"/>
    </sheetView>
  </sheetViews>
  <sheetFormatPr baseColWidth="10" defaultColWidth="11.453125" defaultRowHeight="9" customHeight="1" outlineLevelRow="2" outlineLevelCol="1"/>
  <cols>
    <col min="1" max="1" width="8.81640625" style="3476" hidden="1" customWidth="1" outlineLevel="1"/>
    <col min="2" max="3" width="0.54296875" style="3476" hidden="1" customWidth="1" outlineLevel="1"/>
    <col min="4" max="4" width="13.1796875" style="3476" hidden="1" customWidth="1" outlineLevel="1"/>
    <col min="5" max="5" width="24" style="3477" customWidth="1" collapsed="1"/>
    <col min="6" max="6" width="5" style="3477" customWidth="1"/>
    <col min="7" max="7" width="6.54296875" style="3478" customWidth="1"/>
    <col min="8" max="8" width="8.81640625" style="3479" customWidth="1"/>
    <col min="9" max="23" width="7.81640625" style="3479" customWidth="1"/>
    <col min="24" max="28" width="7.81640625" style="3477" customWidth="1"/>
    <col min="29" max="16384" width="11.453125" style="3477"/>
  </cols>
  <sheetData>
    <row r="2" spans="1:30" ht="9" customHeight="1">
      <c r="E2" s="3480"/>
      <c r="F2" s="3481"/>
      <c r="G2" s="3481"/>
      <c r="H2" s="3481"/>
      <c r="I2" s="3481"/>
      <c r="J2" s="3481"/>
      <c r="K2" s="3481"/>
      <c r="L2" s="3481"/>
      <c r="M2" s="3481"/>
      <c r="N2" s="3481"/>
      <c r="O2" s="3481"/>
      <c r="P2" s="3481"/>
      <c r="Q2" s="3481"/>
      <c r="R2" s="3481"/>
      <c r="S2" s="3481"/>
      <c r="T2" s="3481"/>
      <c r="U2" s="3481"/>
      <c r="V2" s="3481"/>
      <c r="W2" s="3481"/>
      <c r="X2" s="3481"/>
      <c r="Y2" s="3481"/>
      <c r="Z2" s="3482"/>
      <c r="AA2" s="3482"/>
      <c r="AB2" s="3482"/>
      <c r="AC2" s="3483"/>
    </row>
    <row r="3" spans="1:30" ht="9" customHeight="1">
      <c r="E3" s="3484"/>
      <c r="F3" s="3485"/>
      <c r="H3" s="3486"/>
      <c r="I3" s="3486"/>
      <c r="J3" s="3486"/>
      <c r="K3" s="3486"/>
      <c r="L3" s="3486"/>
      <c r="M3" s="3486"/>
      <c r="N3" s="3486"/>
      <c r="O3" s="3486"/>
      <c r="P3" s="3486"/>
      <c r="Q3" s="3486"/>
      <c r="R3" s="3486"/>
      <c r="S3" s="3486"/>
      <c r="T3" s="3487"/>
      <c r="U3" s="3486"/>
      <c r="V3" s="3486"/>
      <c r="W3" s="3486"/>
      <c r="X3" s="3486"/>
      <c r="Y3" s="3486"/>
      <c r="Z3" s="3486"/>
      <c r="AA3" s="3486"/>
      <c r="AB3" s="3486"/>
    </row>
    <row r="4" spans="1:30" ht="9" customHeight="1">
      <c r="A4" s="3488"/>
      <c r="B4" s="3488"/>
      <c r="C4" s="3488"/>
      <c r="D4" s="3488"/>
      <c r="E4" s="3489"/>
      <c r="F4" s="3490"/>
      <c r="G4" s="3491"/>
      <c r="H4" s="3492"/>
      <c r="I4" s="3492"/>
      <c r="J4" s="3492"/>
      <c r="K4" s="3492"/>
      <c r="L4" s="3492"/>
      <c r="M4" s="3492"/>
      <c r="N4" s="3492"/>
      <c r="O4" s="3492"/>
      <c r="P4" s="3492"/>
      <c r="Q4" s="3492"/>
      <c r="R4" s="3492"/>
      <c r="S4" s="3492"/>
      <c r="T4" s="3493"/>
      <c r="U4" s="3494" t="s">
        <v>1712</v>
      </c>
      <c r="V4" s="3494" t="s">
        <v>1698</v>
      </c>
      <c r="W4" s="3494" t="s">
        <v>1713</v>
      </c>
      <c r="X4" s="3495"/>
      <c r="Y4" s="3494" t="s">
        <v>1714</v>
      </c>
      <c r="Z4" s="3494" t="s">
        <v>1715</v>
      </c>
      <c r="AA4" s="3494" t="s">
        <v>1716</v>
      </c>
      <c r="AB4" s="3494" t="s">
        <v>1717</v>
      </c>
    </row>
    <row r="5" spans="1:30" s="3502" customFormat="1" ht="9" customHeight="1">
      <c r="A5" s="3488"/>
      <c r="B5" s="3488"/>
      <c r="C5" s="3488"/>
      <c r="D5" s="3488"/>
      <c r="E5" s="3496" t="s">
        <v>1718</v>
      </c>
      <c r="F5" s="3497"/>
      <c r="G5" s="3498"/>
      <c r="H5" s="3499">
        <v>46023</v>
      </c>
      <c r="I5" s="3499">
        <v>46054</v>
      </c>
      <c r="J5" s="3499">
        <v>46082</v>
      </c>
      <c r="K5" s="3499">
        <v>46113</v>
      </c>
      <c r="L5" s="3499">
        <v>46143</v>
      </c>
      <c r="M5" s="3499">
        <v>46174</v>
      </c>
      <c r="N5" s="3499">
        <v>46204</v>
      </c>
      <c r="O5" s="3499">
        <v>46235</v>
      </c>
      <c r="P5" s="3499">
        <v>46266</v>
      </c>
      <c r="Q5" s="3499">
        <v>46296</v>
      </c>
      <c r="R5" s="3499">
        <v>46327</v>
      </c>
      <c r="S5" s="3499">
        <v>46357</v>
      </c>
      <c r="T5" s="3500">
        <v>0</v>
      </c>
      <c r="U5" s="3501">
        <v>46023</v>
      </c>
      <c r="V5" s="3501">
        <v>46023</v>
      </c>
      <c r="W5" s="3501">
        <v>46357</v>
      </c>
      <c r="X5" s="3495">
        <v>0</v>
      </c>
      <c r="Y5" s="3501">
        <v>46082</v>
      </c>
      <c r="Z5" s="3501">
        <v>46174</v>
      </c>
      <c r="AA5" s="3501">
        <v>46266</v>
      </c>
      <c r="AB5" s="3501">
        <v>46357</v>
      </c>
    </row>
    <row r="6" spans="1:30" ht="12.75" customHeight="1">
      <c r="E6" s="3503"/>
      <c r="F6" s="3504"/>
      <c r="G6" s="3505"/>
      <c r="H6" s="3506"/>
      <c r="I6" s="3506"/>
      <c r="J6" s="3506"/>
      <c r="K6" s="3506"/>
      <c r="L6" s="3506"/>
      <c r="M6" s="3506"/>
      <c r="N6" s="3507"/>
      <c r="O6" s="3506"/>
      <c r="P6" s="3506"/>
      <c r="Q6" s="3506"/>
      <c r="R6" s="3506"/>
      <c r="S6" s="3506"/>
      <c r="U6" s="3508"/>
      <c r="V6" s="3508"/>
      <c r="W6" s="3508"/>
    </row>
    <row r="7" spans="1:30" ht="12.75" customHeight="1">
      <c r="E7" s="4503" t="s">
        <v>1719</v>
      </c>
      <c r="F7" s="4505" t="s">
        <v>1720</v>
      </c>
      <c r="G7" s="3509" t="s">
        <v>57</v>
      </c>
      <c r="H7" s="3510">
        <v>3982.3933587000001</v>
      </c>
      <c r="I7" s="3510">
        <v>0</v>
      </c>
      <c r="J7" s="3510">
        <v>0</v>
      </c>
      <c r="K7" s="3510">
        <v>0</v>
      </c>
      <c r="L7" s="3510">
        <v>0</v>
      </c>
      <c r="M7" s="3510">
        <v>0</v>
      </c>
      <c r="N7" s="3510">
        <v>0</v>
      </c>
      <c r="O7" s="3510">
        <v>0</v>
      </c>
      <c r="P7" s="3510">
        <v>0</v>
      </c>
      <c r="Q7" s="3510">
        <v>0</v>
      </c>
      <c r="R7" s="3510">
        <v>0</v>
      </c>
      <c r="S7" s="3510">
        <v>0</v>
      </c>
      <c r="T7" s="3511"/>
      <c r="U7" s="3510">
        <v>3982.3933587000001</v>
      </c>
      <c r="V7" s="3510">
        <v>3982.3933587000001</v>
      </c>
      <c r="W7" s="3510">
        <v>3982.3933587000001</v>
      </c>
      <c r="X7" s="3511"/>
      <c r="Y7" s="3510">
        <v>3982.3933587000001</v>
      </c>
      <c r="Z7" s="3510">
        <v>0</v>
      </c>
      <c r="AA7" s="3510">
        <v>0</v>
      </c>
      <c r="AB7" s="3510">
        <v>0</v>
      </c>
      <c r="AD7" s="3512"/>
    </row>
    <row r="8" spans="1:30" ht="12.75" customHeight="1">
      <c r="E8" s="4504"/>
      <c r="F8" s="4506"/>
      <c r="G8" s="3513" t="s">
        <v>1096</v>
      </c>
      <c r="H8" s="3514">
        <v>4946.1054922000003</v>
      </c>
      <c r="I8" s="3514">
        <v>4408.0777472</v>
      </c>
      <c r="J8" s="3514">
        <v>5835.7550738</v>
      </c>
      <c r="K8" s="3514">
        <v>3980.5481482999999</v>
      </c>
      <c r="L8" s="3514">
        <v>6129.4208066000001</v>
      </c>
      <c r="M8" s="3514">
        <v>5958.2514527000003</v>
      </c>
      <c r="N8" s="3514">
        <v>5834.3369893999998</v>
      </c>
      <c r="O8" s="3514">
        <v>5718.2081152999999</v>
      </c>
      <c r="P8" s="3514">
        <v>5688.8212959000002</v>
      </c>
      <c r="Q8" s="3514">
        <v>5994.4699651999999</v>
      </c>
      <c r="R8" s="3514">
        <v>5578.2795626999996</v>
      </c>
      <c r="S8" s="3514">
        <v>6159.8946341999999</v>
      </c>
      <c r="T8" s="3511"/>
      <c r="U8" s="3514">
        <v>4946.1054922000003</v>
      </c>
      <c r="V8" s="3514">
        <v>4946.1054922000003</v>
      </c>
      <c r="W8" s="3514">
        <v>66232.169283499999</v>
      </c>
      <c r="X8" s="3511"/>
      <c r="Y8" s="3514">
        <v>15189.9383132</v>
      </c>
      <c r="Z8" s="3514">
        <v>16068.2204076</v>
      </c>
      <c r="AA8" s="3514">
        <v>17241.3664006</v>
      </c>
      <c r="AB8" s="3514">
        <v>17732.644162099998</v>
      </c>
    </row>
    <row r="9" spans="1:30" ht="12.75" customHeight="1">
      <c r="E9" s="4523" t="s">
        <v>1721</v>
      </c>
      <c r="F9" s="4501" t="s">
        <v>48</v>
      </c>
      <c r="G9" s="3515" t="s">
        <v>57</v>
      </c>
      <c r="H9" s="3516">
        <v>0.52516580000000002</v>
      </c>
      <c r="I9" s="3517">
        <v>0</v>
      </c>
      <c r="J9" s="3517">
        <v>0</v>
      </c>
      <c r="K9" s="3517">
        <v>0</v>
      </c>
      <c r="L9" s="3517">
        <v>0</v>
      </c>
      <c r="M9" s="3516">
        <v>0</v>
      </c>
      <c r="N9" s="3517">
        <v>0</v>
      </c>
      <c r="O9" s="3516">
        <v>0</v>
      </c>
      <c r="P9" s="3517">
        <v>0</v>
      </c>
      <c r="Q9" s="3517">
        <v>0</v>
      </c>
      <c r="R9" s="3517">
        <v>0</v>
      </c>
      <c r="S9" s="3516">
        <v>0</v>
      </c>
      <c r="T9" s="3518"/>
      <c r="U9" s="3516">
        <v>0.52516580000000002</v>
      </c>
      <c r="V9" s="3516">
        <v>0.52516580000000002</v>
      </c>
      <c r="W9" s="3517">
        <v>0.52516580000000002</v>
      </c>
      <c r="X9" s="3519"/>
      <c r="Y9" s="3517">
        <v>0.52516580000000002</v>
      </c>
      <c r="Z9" s="3517">
        <v>0</v>
      </c>
      <c r="AA9" s="3517">
        <v>0</v>
      </c>
      <c r="AB9" s="3517">
        <v>0</v>
      </c>
    </row>
    <row r="10" spans="1:30" ht="12.75" customHeight="1">
      <c r="E10" s="4524"/>
      <c r="F10" s="4502"/>
      <c r="G10" s="3520" t="s">
        <v>1096</v>
      </c>
      <c r="H10" s="3521">
        <v>0.47367571505916883</v>
      </c>
      <c r="I10" s="3522">
        <v>0.52127378640788191</v>
      </c>
      <c r="J10" s="3522">
        <v>0.56048276877845449</v>
      </c>
      <c r="K10" s="3522">
        <v>0.63704189198698991</v>
      </c>
      <c r="L10" s="3522">
        <v>0.59109678083398087</v>
      </c>
      <c r="M10" s="3521">
        <v>0.60545287776415124</v>
      </c>
      <c r="N10" s="3522">
        <v>0.54789445382078417</v>
      </c>
      <c r="O10" s="3521">
        <v>0.6886811649345963</v>
      </c>
      <c r="P10" s="3521">
        <v>0.60633707854687813</v>
      </c>
      <c r="Q10" s="3522">
        <v>0.63541411872800913</v>
      </c>
      <c r="R10" s="3521">
        <v>0.67569467246353854</v>
      </c>
      <c r="S10" s="3521">
        <v>0.69002820599001813</v>
      </c>
      <c r="T10" s="3518"/>
      <c r="U10" s="3521">
        <v>0.47367571505916883</v>
      </c>
      <c r="V10" s="3521">
        <v>0.47367571505916889</v>
      </c>
      <c r="W10" s="3522">
        <v>0.60530185578172813</v>
      </c>
      <c r="X10" s="3519"/>
      <c r="Y10" s="3522">
        <v>0.52083855986699146</v>
      </c>
      <c r="Z10" s="3522">
        <v>0.60780205096992435</v>
      </c>
      <c r="AA10" s="3522">
        <v>0.61387051022591377</v>
      </c>
      <c r="AB10" s="3522">
        <v>0.66705707099304079</v>
      </c>
    </row>
    <row r="11" spans="1:30" ht="12.75" customHeight="1">
      <c r="E11" s="4523" t="s">
        <v>1722</v>
      </c>
      <c r="F11" s="4501" t="s">
        <v>234</v>
      </c>
      <c r="G11" s="3515" t="s">
        <v>57</v>
      </c>
      <c r="H11" s="3517">
        <v>4.1603099999999997E-2</v>
      </c>
      <c r="I11" s="3517">
        <v>0</v>
      </c>
      <c r="J11" s="3517">
        <v>0</v>
      </c>
      <c r="K11" s="3517">
        <v>0</v>
      </c>
      <c r="L11" s="3517">
        <v>0</v>
      </c>
      <c r="M11" s="3517">
        <v>0</v>
      </c>
      <c r="N11" s="3517">
        <v>0</v>
      </c>
      <c r="O11" s="3517">
        <v>0</v>
      </c>
      <c r="P11" s="3517">
        <v>0</v>
      </c>
      <c r="Q11" s="3517">
        <v>0</v>
      </c>
      <c r="R11" s="3517">
        <v>0</v>
      </c>
      <c r="S11" s="3517">
        <v>0</v>
      </c>
      <c r="T11" s="3518"/>
      <c r="U11" s="3517">
        <v>4.1603099999999997E-2</v>
      </c>
      <c r="V11" s="3517">
        <v>4.1603099999999997E-2</v>
      </c>
      <c r="W11" s="3517">
        <v>4.1603099999999997E-2</v>
      </c>
      <c r="X11" s="3519"/>
      <c r="Y11" s="3517">
        <v>4.1603099999999997E-2</v>
      </c>
      <c r="Z11" s="3517">
        <v>0</v>
      </c>
      <c r="AA11" s="3517">
        <v>0</v>
      </c>
      <c r="AB11" s="3517">
        <v>0</v>
      </c>
    </row>
    <row r="12" spans="1:30" ht="12.75" customHeight="1">
      <c r="E12" s="4524"/>
      <c r="F12" s="4502"/>
      <c r="G12" s="3520" t="s">
        <v>1096</v>
      </c>
      <c r="H12" s="3522">
        <v>4.0613200000000002E-2</v>
      </c>
      <c r="I12" s="3522">
        <v>3.9184400000000001E-2</v>
      </c>
      <c r="J12" s="3522">
        <v>5.1404499999999999E-2</v>
      </c>
      <c r="K12" s="3522">
        <v>4.6736699999999999E-2</v>
      </c>
      <c r="L12" s="3522">
        <v>4.7295799999999999E-2</v>
      </c>
      <c r="M12" s="3522">
        <v>4.6584199999999999E-2</v>
      </c>
      <c r="N12" s="3522">
        <v>4.0333300000000002E-2</v>
      </c>
      <c r="O12" s="3522">
        <v>5.9984700000000002E-2</v>
      </c>
      <c r="P12" s="3522">
        <v>4.5816700000000002E-2</v>
      </c>
      <c r="Q12" s="3522">
        <v>4.8860500000000001E-2</v>
      </c>
      <c r="R12" s="3522">
        <v>5.2935500000000003E-2</v>
      </c>
      <c r="S12" s="3522">
        <v>5.12424E-2</v>
      </c>
      <c r="T12" s="3518"/>
      <c r="U12" s="3522">
        <v>4.0613200000000002E-2</v>
      </c>
      <c r="V12" s="3522">
        <v>4.0613200000000002E-2</v>
      </c>
      <c r="W12" s="3522">
        <v>4.7860107334731554E-2</v>
      </c>
      <c r="X12" s="3519"/>
      <c r="Y12" s="3522">
        <v>4.4344427940106013E-2</v>
      </c>
      <c r="Z12" s="3522">
        <v>4.6893427114923204E-2</v>
      </c>
      <c r="AA12" s="3522">
        <v>4.8660069138549748E-2</v>
      </c>
      <c r="AB12" s="3522">
        <v>5.0969815559782493E-2</v>
      </c>
    </row>
    <row r="13" spans="1:30" ht="12.75" customHeight="1">
      <c r="E13" s="4523" t="s">
        <v>1723</v>
      </c>
      <c r="F13" s="4501" t="s">
        <v>95</v>
      </c>
      <c r="G13" s="3515" t="s">
        <v>57</v>
      </c>
      <c r="H13" s="3523">
        <v>192.6086981</v>
      </c>
      <c r="I13" s="3523">
        <v>0</v>
      </c>
      <c r="J13" s="3523">
        <v>0</v>
      </c>
      <c r="K13" s="3523">
        <v>0</v>
      </c>
      <c r="L13" s="3523">
        <v>0</v>
      </c>
      <c r="M13" s="3523">
        <v>0</v>
      </c>
      <c r="N13" s="3523">
        <v>0</v>
      </c>
      <c r="O13" s="3523">
        <v>0</v>
      </c>
      <c r="P13" s="3523">
        <v>0</v>
      </c>
      <c r="Q13" s="3523">
        <v>0</v>
      </c>
      <c r="R13" s="3523">
        <v>0</v>
      </c>
      <c r="S13" s="3523">
        <v>0</v>
      </c>
      <c r="T13" s="3524"/>
      <c r="U13" s="3523">
        <v>192.6086981</v>
      </c>
      <c r="V13" s="3523">
        <v>192.6086981</v>
      </c>
      <c r="W13" s="3523">
        <v>192.6086981</v>
      </c>
      <c r="X13" s="3524"/>
      <c r="Y13" s="3523">
        <v>192.6086981</v>
      </c>
      <c r="Z13" s="3523">
        <v>0</v>
      </c>
      <c r="AA13" s="3523">
        <v>0</v>
      </c>
      <c r="AB13" s="3523">
        <v>0</v>
      </c>
    </row>
    <row r="14" spans="1:30" ht="12.75" customHeight="1">
      <c r="D14" s="3477"/>
      <c r="E14" s="4524"/>
      <c r="F14" s="4502"/>
      <c r="G14" s="3520" t="s">
        <v>1096</v>
      </c>
      <c r="H14" s="3525">
        <v>133.45504969999999</v>
      </c>
      <c r="I14" s="3525">
        <v>244.34653829999999</v>
      </c>
      <c r="J14" s="3525">
        <v>216.4639651</v>
      </c>
      <c r="K14" s="3525">
        <v>151.1183542</v>
      </c>
      <c r="L14" s="3525">
        <v>252.62383170000001</v>
      </c>
      <c r="M14" s="3525">
        <v>148.2893129</v>
      </c>
      <c r="N14" s="3525">
        <v>151.2335338</v>
      </c>
      <c r="O14" s="3525">
        <v>175.85869940000001</v>
      </c>
      <c r="P14" s="3525">
        <v>218.50604799999999</v>
      </c>
      <c r="Q14" s="3525">
        <v>183.38989609999999</v>
      </c>
      <c r="R14" s="3525">
        <v>134.74752580000001</v>
      </c>
      <c r="S14" s="3525">
        <v>170.13401959999999</v>
      </c>
      <c r="T14" s="3524"/>
      <c r="U14" s="3525">
        <v>133.45504969999999</v>
      </c>
      <c r="V14" s="3525">
        <v>133.45504969999999</v>
      </c>
      <c r="W14" s="3525">
        <v>182.14572924400693</v>
      </c>
      <c r="X14" s="3524"/>
      <c r="Y14" s="3525">
        <v>197.52627779853594</v>
      </c>
      <c r="Z14" s="3525">
        <v>188.78983436283067</v>
      </c>
      <c r="AA14" s="3525">
        <v>181.59731826002999</v>
      </c>
      <c r="AB14" s="3525">
        <v>163.48335878819847</v>
      </c>
    </row>
    <row r="15" spans="1:30" ht="12.75" customHeight="1">
      <c r="E15" s="4523" t="s">
        <v>1724</v>
      </c>
      <c r="F15" s="4501" t="s">
        <v>234</v>
      </c>
      <c r="G15" s="3515" t="s">
        <v>57</v>
      </c>
      <c r="H15" s="3526">
        <v>1.5106607999999999</v>
      </c>
      <c r="I15" s="3526">
        <v>0</v>
      </c>
      <c r="J15" s="3526">
        <v>0</v>
      </c>
      <c r="K15" s="3526">
        <v>0</v>
      </c>
      <c r="L15" s="3526">
        <v>0</v>
      </c>
      <c r="M15" s="3526">
        <v>0</v>
      </c>
      <c r="N15" s="3526">
        <v>0</v>
      </c>
      <c r="O15" s="3526">
        <v>0</v>
      </c>
      <c r="P15" s="3526">
        <v>0</v>
      </c>
      <c r="Q15" s="3526">
        <v>0</v>
      </c>
      <c r="R15" s="3526">
        <v>0</v>
      </c>
      <c r="S15" s="3526">
        <v>0</v>
      </c>
      <c r="T15" s="3518"/>
      <c r="U15" s="3526">
        <v>1.5106607999999999</v>
      </c>
      <c r="V15" s="3527">
        <v>1.5106607999999997</v>
      </c>
      <c r="W15" s="3526">
        <v>1.5106607999999997</v>
      </c>
      <c r="X15" s="3519"/>
      <c r="Y15" s="3526">
        <v>1.5106607999999997</v>
      </c>
      <c r="Z15" s="3526">
        <v>0</v>
      </c>
      <c r="AA15" s="3526">
        <v>0</v>
      </c>
      <c r="AB15" s="3526">
        <v>0</v>
      </c>
    </row>
    <row r="16" spans="1:30" ht="12.75" customHeight="1">
      <c r="E16" s="4524"/>
      <c r="F16" s="4502"/>
      <c r="G16" s="3520" t="s">
        <v>1096</v>
      </c>
      <c r="H16" s="3522">
        <v>1.3598056000000001</v>
      </c>
      <c r="I16" s="3522">
        <v>1.2570858</v>
      </c>
      <c r="J16" s="3522">
        <v>1.5117586999999999</v>
      </c>
      <c r="K16" s="3522">
        <v>1.4837750999999999</v>
      </c>
      <c r="L16" s="3522">
        <v>1.4509920000000001</v>
      </c>
      <c r="M16" s="3522">
        <v>1.3994230000000001</v>
      </c>
      <c r="N16" s="3522">
        <v>1.312424</v>
      </c>
      <c r="O16" s="3522">
        <v>1.7066892</v>
      </c>
      <c r="P16" s="3522">
        <v>1.4462223999999999</v>
      </c>
      <c r="Q16" s="3522">
        <v>1.4883363000000001</v>
      </c>
      <c r="R16" s="3522">
        <v>1.5800658999999999</v>
      </c>
      <c r="S16" s="3522">
        <v>1.6059821000000001</v>
      </c>
      <c r="T16" s="3518"/>
      <c r="U16" s="3522">
        <v>1.3598056000000001</v>
      </c>
      <c r="V16" s="3522">
        <v>1.3598056000000001</v>
      </c>
      <c r="W16" s="3522">
        <v>1.472087765627025</v>
      </c>
      <c r="X16" s="3519"/>
      <c r="Y16" s="3522">
        <v>1.3883747884180129</v>
      </c>
      <c r="Z16" s="3522">
        <v>1.4399910081863614</v>
      </c>
      <c r="AA16" s="3522">
        <v>1.4873315788675765</v>
      </c>
      <c r="AB16" s="3522">
        <v>1.558059634762073</v>
      </c>
    </row>
    <row r="17" spans="4:28" ht="12.75" customHeight="1">
      <c r="E17" s="4523" t="s">
        <v>1725</v>
      </c>
      <c r="F17" s="4501" t="s">
        <v>48</v>
      </c>
      <c r="G17" s="3515" t="s">
        <v>57</v>
      </c>
      <c r="H17" s="3517">
        <v>90.487726800000004</v>
      </c>
      <c r="I17" s="3517">
        <v>0</v>
      </c>
      <c r="J17" s="3517">
        <v>0</v>
      </c>
      <c r="K17" s="3517">
        <v>0</v>
      </c>
      <c r="L17" s="3517">
        <v>0</v>
      </c>
      <c r="M17" s="3528">
        <v>0</v>
      </c>
      <c r="N17" s="3517">
        <v>0</v>
      </c>
      <c r="O17" s="3517">
        <v>0</v>
      </c>
      <c r="P17" s="3517">
        <v>0</v>
      </c>
      <c r="Q17" s="3517">
        <v>0</v>
      </c>
      <c r="R17" s="3517">
        <v>0</v>
      </c>
      <c r="S17" s="3517">
        <v>0</v>
      </c>
      <c r="T17" s="3518"/>
      <c r="U17" s="3517">
        <v>90.487726800000004</v>
      </c>
      <c r="V17" s="3528">
        <v>90.487726800000019</v>
      </c>
      <c r="W17" s="3517">
        <v>90.487726800000019</v>
      </c>
      <c r="X17" s="3519"/>
      <c r="Y17" s="3517">
        <v>90.487726800000019</v>
      </c>
      <c r="Z17" s="3517">
        <v>0</v>
      </c>
      <c r="AA17" s="3517">
        <v>0</v>
      </c>
      <c r="AB17" s="3517">
        <v>0</v>
      </c>
    </row>
    <row r="18" spans="4:28" ht="12.75" customHeight="1">
      <c r="E18" s="4524"/>
      <c r="F18" s="4502"/>
      <c r="G18" s="3520" t="s">
        <v>1096</v>
      </c>
      <c r="H18" s="3522">
        <v>89.702625819593862</v>
      </c>
      <c r="I18" s="3522">
        <v>89.962496682058472</v>
      </c>
      <c r="J18" s="3522">
        <v>90.234524939397105</v>
      </c>
      <c r="K18" s="3522">
        <v>90.440219377357522</v>
      </c>
      <c r="L18" s="3522">
        <v>90.080086556341016</v>
      </c>
      <c r="M18" s="3529">
        <v>90.14666755520922</v>
      </c>
      <c r="N18" s="3522">
        <v>90.688579548038263</v>
      </c>
      <c r="O18" s="3522">
        <v>90.843901915011358</v>
      </c>
      <c r="P18" s="3522">
        <v>90.564675720886868</v>
      </c>
      <c r="Q18" s="3522">
        <v>90.725115448434224</v>
      </c>
      <c r="R18" s="3522">
        <v>91.141794753803609</v>
      </c>
      <c r="S18" s="3522">
        <v>91.282874122910926</v>
      </c>
      <c r="T18" s="3518"/>
      <c r="U18" s="3522">
        <v>89.702625819593862</v>
      </c>
      <c r="V18" s="3529">
        <v>89.702625819593848</v>
      </c>
      <c r="W18" s="3522">
        <v>90.546524499481137</v>
      </c>
      <c r="X18" s="3519"/>
      <c r="Y18" s="3522">
        <v>26.563818904938458</v>
      </c>
      <c r="Z18" s="3522">
        <v>90.198186905961279</v>
      </c>
      <c r="AA18" s="3522">
        <v>90.705990421469167</v>
      </c>
      <c r="AB18" s="3522">
        <v>91.058314530431019</v>
      </c>
    </row>
    <row r="19" spans="4:28" ht="12.75" customHeight="1">
      <c r="E19" s="4523" t="s">
        <v>1726</v>
      </c>
      <c r="F19" s="4501" t="s">
        <v>48</v>
      </c>
      <c r="G19" s="3515" t="s">
        <v>57</v>
      </c>
      <c r="H19" s="3517">
        <v>70.391484399999996</v>
      </c>
      <c r="I19" s="3517">
        <v>0</v>
      </c>
      <c r="J19" s="3517">
        <v>0</v>
      </c>
      <c r="K19" s="3517">
        <v>0</v>
      </c>
      <c r="L19" s="3517">
        <v>0</v>
      </c>
      <c r="M19" s="3517">
        <v>0</v>
      </c>
      <c r="N19" s="3517">
        <v>0</v>
      </c>
      <c r="O19" s="3517">
        <v>0</v>
      </c>
      <c r="P19" s="3517">
        <v>0</v>
      </c>
      <c r="Q19" s="3517">
        <v>0</v>
      </c>
      <c r="R19" s="3517">
        <v>0</v>
      </c>
      <c r="S19" s="3517">
        <v>0</v>
      </c>
      <c r="T19" s="3518"/>
      <c r="U19" s="3517">
        <v>70.391484399999996</v>
      </c>
      <c r="V19" s="3517">
        <v>70.391484399999996</v>
      </c>
      <c r="W19" s="3517">
        <v>70.391484399999996</v>
      </c>
      <c r="X19" s="3519"/>
      <c r="Y19" s="3517">
        <v>70.391484399999996</v>
      </c>
      <c r="Z19" s="3517">
        <v>0</v>
      </c>
      <c r="AA19" s="3517">
        <v>0</v>
      </c>
      <c r="AB19" s="3517">
        <v>0</v>
      </c>
    </row>
    <row r="20" spans="4:28" ht="12.75" customHeight="1">
      <c r="E20" s="4524"/>
      <c r="F20" s="4502"/>
      <c r="G20" s="3520" t="s">
        <v>1096</v>
      </c>
      <c r="H20" s="3522">
        <v>69.999985300000006</v>
      </c>
      <c r="I20" s="3522">
        <v>69.999985300000006</v>
      </c>
      <c r="J20" s="3522">
        <v>69.999985300000006</v>
      </c>
      <c r="K20" s="3522">
        <v>69.999985300000006</v>
      </c>
      <c r="L20" s="3522">
        <v>69.999985300000006</v>
      </c>
      <c r="M20" s="3522">
        <v>69.999985300000006</v>
      </c>
      <c r="N20" s="3522">
        <v>69.999985300000006</v>
      </c>
      <c r="O20" s="3522">
        <v>69.999985300000006</v>
      </c>
      <c r="P20" s="3522">
        <v>69.999985300000006</v>
      </c>
      <c r="Q20" s="3522">
        <v>69.999985300000006</v>
      </c>
      <c r="R20" s="3522">
        <v>69.999985300000006</v>
      </c>
      <c r="S20" s="3522">
        <v>69.999985300000006</v>
      </c>
      <c r="T20" s="3518"/>
      <c r="U20" s="3522">
        <v>69.999985300000006</v>
      </c>
      <c r="V20" s="3522">
        <v>69.999985300000006</v>
      </c>
      <c r="W20" s="3522">
        <v>69.999985299999992</v>
      </c>
      <c r="X20" s="3519"/>
      <c r="Y20" s="3522">
        <v>69.999985299999992</v>
      </c>
      <c r="Z20" s="3522">
        <v>69.99998530000002</v>
      </c>
      <c r="AA20" s="3522">
        <v>69.999985299999992</v>
      </c>
      <c r="AB20" s="3522">
        <v>69.999985299999992</v>
      </c>
    </row>
    <row r="21" spans="4:28" ht="12.75" customHeight="1">
      <c r="E21" s="4523" t="s">
        <v>1727</v>
      </c>
      <c r="F21" s="4501" t="s">
        <v>48</v>
      </c>
      <c r="G21" s="3515" t="s">
        <v>57</v>
      </c>
      <c r="H21" s="3517">
        <v>81.615070099999997</v>
      </c>
      <c r="I21" s="3517">
        <v>0</v>
      </c>
      <c r="J21" s="3517">
        <v>0</v>
      </c>
      <c r="K21" s="3517">
        <v>0</v>
      </c>
      <c r="L21" s="3517">
        <v>0</v>
      </c>
      <c r="M21" s="3517">
        <v>0</v>
      </c>
      <c r="N21" s="3517">
        <v>0</v>
      </c>
      <c r="O21" s="3517">
        <v>0</v>
      </c>
      <c r="P21" s="3517">
        <v>0</v>
      </c>
      <c r="Q21" s="3517">
        <v>0</v>
      </c>
      <c r="R21" s="3517">
        <v>0</v>
      </c>
      <c r="S21" s="3517">
        <v>0</v>
      </c>
      <c r="T21" s="3519"/>
      <c r="U21" s="3517">
        <v>81.615070099999997</v>
      </c>
      <c r="V21" s="3517">
        <v>81.615070099999983</v>
      </c>
      <c r="W21" s="3517">
        <v>81.615070099999997</v>
      </c>
      <c r="X21" s="3519"/>
      <c r="Y21" s="3517">
        <v>81.615070099999983</v>
      </c>
      <c r="Z21" s="3517">
        <v>0</v>
      </c>
      <c r="AA21" s="3517">
        <v>0</v>
      </c>
      <c r="AB21" s="3517">
        <v>0</v>
      </c>
    </row>
    <row r="22" spans="4:28" ht="12.75" customHeight="1">
      <c r="D22" s="3477"/>
      <c r="E22" s="4524"/>
      <c r="F22" s="4502"/>
      <c r="G22" s="3520" t="s">
        <v>1096</v>
      </c>
      <c r="H22" s="3522">
        <v>81.448699099999999</v>
      </c>
      <c r="I22" s="3522">
        <v>84.571444799999995</v>
      </c>
      <c r="J22" s="3522">
        <v>83.941170499999998</v>
      </c>
      <c r="K22" s="3522">
        <v>82.085673299999996</v>
      </c>
      <c r="L22" s="3522">
        <v>84.745152599999997</v>
      </c>
      <c r="M22" s="3522">
        <v>81.988669099999996</v>
      </c>
      <c r="N22" s="3522">
        <v>82.215766700000003</v>
      </c>
      <c r="O22" s="3522">
        <v>82.993373399999996</v>
      </c>
      <c r="P22" s="3522">
        <v>84.119032200000007</v>
      </c>
      <c r="Q22" s="3522">
        <v>83.210175500000005</v>
      </c>
      <c r="R22" s="3522">
        <v>81.623273699999999</v>
      </c>
      <c r="S22" s="3522">
        <v>82.822470899999999</v>
      </c>
      <c r="T22" s="3519"/>
      <c r="U22" s="3522">
        <v>81.448699099999999</v>
      </c>
      <c r="V22" s="3522">
        <v>81.448699099999999</v>
      </c>
      <c r="W22" s="3522">
        <v>83.233653897272177</v>
      </c>
      <c r="X22" s="3530"/>
      <c r="Y22" s="3522">
        <v>83.61909144298582</v>
      </c>
      <c r="Z22" s="3522">
        <v>83.414932723881421</v>
      </c>
      <c r="AA22" s="3522">
        <v>83.221136085544444</v>
      </c>
      <c r="AB22" s="3522">
        <v>82.658560710736396</v>
      </c>
    </row>
    <row r="23" spans="4:28" ht="12.75" customHeight="1">
      <c r="E23" s="4523" t="s">
        <v>1728</v>
      </c>
      <c r="F23" s="4501" t="s">
        <v>48</v>
      </c>
      <c r="G23" s="3515" t="s">
        <v>57</v>
      </c>
      <c r="H23" s="3517">
        <v>79.762663200000006</v>
      </c>
      <c r="I23" s="3517">
        <v>0</v>
      </c>
      <c r="J23" s="3517">
        <v>0</v>
      </c>
      <c r="K23" s="3517">
        <v>0</v>
      </c>
      <c r="L23" s="3517">
        <v>0</v>
      </c>
      <c r="M23" s="3517">
        <v>0</v>
      </c>
      <c r="N23" s="3517">
        <v>0</v>
      </c>
      <c r="O23" s="3517">
        <v>0</v>
      </c>
      <c r="P23" s="3517">
        <v>0</v>
      </c>
      <c r="Q23" s="3517">
        <v>0</v>
      </c>
      <c r="R23" s="3517">
        <v>0</v>
      </c>
      <c r="S23" s="3517">
        <v>0</v>
      </c>
      <c r="T23" s="3518"/>
      <c r="U23" s="3517">
        <v>79.762663200000006</v>
      </c>
      <c r="V23" s="3517">
        <v>79.76266320000002</v>
      </c>
      <c r="W23" s="3517">
        <v>79.762663200000006</v>
      </c>
      <c r="X23" s="3519"/>
      <c r="Y23" s="3517">
        <v>79.762663200000006</v>
      </c>
      <c r="Z23" s="3517">
        <v>0</v>
      </c>
      <c r="AA23" s="3517">
        <v>0</v>
      </c>
      <c r="AB23" s="3517">
        <v>0</v>
      </c>
    </row>
    <row r="24" spans="4:28" ht="12.75" customHeight="1">
      <c r="E24" s="4524"/>
      <c r="F24" s="4502"/>
      <c r="G24" s="3520" t="s">
        <v>1096</v>
      </c>
      <c r="H24" s="3522">
        <v>79.999983200000003</v>
      </c>
      <c r="I24" s="3522">
        <v>79.999983200000003</v>
      </c>
      <c r="J24" s="3522">
        <v>79.999983200000003</v>
      </c>
      <c r="K24" s="3522">
        <v>79.999983200000003</v>
      </c>
      <c r="L24" s="3522">
        <v>79.999983200000003</v>
      </c>
      <c r="M24" s="3522">
        <v>79.999983200000003</v>
      </c>
      <c r="N24" s="3522">
        <v>79.999983200000003</v>
      </c>
      <c r="O24" s="3522">
        <v>79.999983200000003</v>
      </c>
      <c r="P24" s="3522">
        <v>79.999983200000003</v>
      </c>
      <c r="Q24" s="3522">
        <v>79.999983200000003</v>
      </c>
      <c r="R24" s="3522">
        <v>79.999983200000003</v>
      </c>
      <c r="S24" s="3522">
        <v>79.999983200000003</v>
      </c>
      <c r="T24" s="3518"/>
      <c r="U24" s="3522">
        <v>79.999983200000003</v>
      </c>
      <c r="V24" s="3522">
        <v>79.999983200000003</v>
      </c>
      <c r="W24" s="3522">
        <v>79.999983200000003</v>
      </c>
      <c r="X24" s="3519"/>
      <c r="Y24" s="3522">
        <v>79.999983200000003</v>
      </c>
      <c r="Z24" s="3522">
        <v>79.999983199999988</v>
      </c>
      <c r="AA24" s="3522">
        <v>79.999983199999988</v>
      </c>
      <c r="AB24" s="3522">
        <v>79.999983199999988</v>
      </c>
    </row>
    <row r="25" spans="4:28" ht="12.75" customHeight="1">
      <c r="E25" s="4503" t="s">
        <v>1729</v>
      </c>
      <c r="F25" s="4505" t="s">
        <v>1720</v>
      </c>
      <c r="G25" s="3509" t="s">
        <v>57</v>
      </c>
      <c r="H25" s="3531">
        <v>70.931306199999995</v>
      </c>
      <c r="I25" s="3531">
        <v>0</v>
      </c>
      <c r="J25" s="3531">
        <v>0</v>
      </c>
      <c r="K25" s="3531">
        <v>0</v>
      </c>
      <c r="L25" s="3531">
        <v>0</v>
      </c>
      <c r="M25" s="3531">
        <v>0</v>
      </c>
      <c r="N25" s="3531">
        <v>0</v>
      </c>
      <c r="O25" s="3531">
        <v>0</v>
      </c>
      <c r="P25" s="3531">
        <v>0</v>
      </c>
      <c r="Q25" s="3531">
        <v>0</v>
      </c>
      <c r="R25" s="3531">
        <v>0</v>
      </c>
      <c r="S25" s="3531">
        <v>0</v>
      </c>
      <c r="T25" s="3532"/>
      <c r="U25" s="3531">
        <v>70.931306199999995</v>
      </c>
      <c r="V25" s="3531">
        <v>70.931306199999995</v>
      </c>
      <c r="W25" s="3531">
        <v>70.931306199999995</v>
      </c>
      <c r="X25" s="3511"/>
      <c r="Y25" s="3531">
        <v>70.931306199999995</v>
      </c>
      <c r="Z25" s="3531">
        <v>0</v>
      </c>
      <c r="AA25" s="3531">
        <v>0</v>
      </c>
      <c r="AB25" s="3531">
        <v>0</v>
      </c>
    </row>
    <row r="26" spans="4:28" ht="12.75" customHeight="1">
      <c r="E26" s="4504"/>
      <c r="F26" s="4506"/>
      <c r="G26" s="3513" t="s">
        <v>1096</v>
      </c>
      <c r="H26" s="3533">
        <v>75.828368499999996</v>
      </c>
      <c r="I26" s="3533">
        <v>72.983331500000006</v>
      </c>
      <c r="J26" s="3533">
        <v>105.7150719</v>
      </c>
      <c r="K26" s="3533">
        <v>78.0455386</v>
      </c>
      <c r="L26" s="3533">
        <v>114.67985590000001</v>
      </c>
      <c r="M26" s="3533">
        <v>117.1285798</v>
      </c>
      <c r="N26" s="3533">
        <v>109.4474343</v>
      </c>
      <c r="O26" s="3533">
        <v>124.8763237</v>
      </c>
      <c r="P26" s="3533">
        <v>113.59857599999999</v>
      </c>
      <c r="Q26" s="3533">
        <v>126.9961108</v>
      </c>
      <c r="R26" s="3533">
        <v>125.9115972</v>
      </c>
      <c r="S26" s="3533">
        <v>142.3432244</v>
      </c>
      <c r="T26" s="3532"/>
      <c r="U26" s="3533">
        <v>75.828368499999996</v>
      </c>
      <c r="V26" s="3533">
        <v>75.828368499999996</v>
      </c>
      <c r="W26" s="3533">
        <v>1307.5540126000001</v>
      </c>
      <c r="X26" s="3511"/>
      <c r="Y26" s="3533">
        <v>254.5267719</v>
      </c>
      <c r="Z26" s="3533">
        <v>309.8539743</v>
      </c>
      <c r="AA26" s="3533">
        <v>347.92233399999998</v>
      </c>
      <c r="AB26" s="3533">
        <v>395.25093240000001</v>
      </c>
    </row>
    <row r="27" spans="4:28" ht="12.75" customHeight="1">
      <c r="E27" s="4523" t="s">
        <v>1730</v>
      </c>
      <c r="F27" s="4501" t="s">
        <v>48</v>
      </c>
      <c r="G27" s="3515" t="s">
        <v>57</v>
      </c>
      <c r="H27" s="3517">
        <v>26.728672</v>
      </c>
      <c r="I27" s="3517">
        <v>0</v>
      </c>
      <c r="J27" s="3517">
        <v>0</v>
      </c>
      <c r="K27" s="3517">
        <v>0</v>
      </c>
      <c r="L27" s="3517">
        <v>0</v>
      </c>
      <c r="M27" s="3517">
        <v>0</v>
      </c>
      <c r="N27" s="3517">
        <v>0</v>
      </c>
      <c r="O27" s="3517">
        <v>0</v>
      </c>
      <c r="P27" s="3517">
        <v>0</v>
      </c>
      <c r="Q27" s="3517">
        <v>0</v>
      </c>
      <c r="R27" s="3517">
        <v>0</v>
      </c>
      <c r="S27" s="3517">
        <v>0</v>
      </c>
      <c r="T27" s="3519"/>
      <c r="U27" s="3517">
        <v>26.728672</v>
      </c>
      <c r="V27" s="3517">
        <v>26.728672</v>
      </c>
      <c r="W27" s="3517">
        <v>26.728672</v>
      </c>
      <c r="X27" s="3519"/>
      <c r="Y27" s="3517">
        <v>26.728672</v>
      </c>
      <c r="Z27" s="3517">
        <v>0</v>
      </c>
      <c r="AA27" s="3517">
        <v>0</v>
      </c>
      <c r="AB27" s="3517">
        <v>0</v>
      </c>
    </row>
    <row r="28" spans="4:28" ht="12.75" customHeight="1">
      <c r="E28" s="4524"/>
      <c r="F28" s="4502"/>
      <c r="G28" s="3520" t="s">
        <v>1096</v>
      </c>
      <c r="H28" s="3522">
        <v>27.715195000000001</v>
      </c>
      <c r="I28" s="3522">
        <v>28.323893099999999</v>
      </c>
      <c r="J28" s="3522">
        <v>27.9186972</v>
      </c>
      <c r="K28" s="3522">
        <v>29.3849123</v>
      </c>
      <c r="L28" s="3522">
        <v>28.459003500000001</v>
      </c>
      <c r="M28" s="3522">
        <v>27.7642518</v>
      </c>
      <c r="N28" s="3522">
        <v>26.487162099999999</v>
      </c>
      <c r="O28" s="3522">
        <v>28.647969</v>
      </c>
      <c r="P28" s="3522">
        <v>27.4993461</v>
      </c>
      <c r="Q28" s="3522">
        <v>27.211016000000001</v>
      </c>
      <c r="R28" s="3522">
        <v>27.283659100000001</v>
      </c>
      <c r="S28" s="3522">
        <v>27.257915000000001</v>
      </c>
      <c r="T28" s="3519"/>
      <c r="U28" s="3522">
        <v>27.715195000000001</v>
      </c>
      <c r="V28" s="3522">
        <v>27.715195000000001</v>
      </c>
      <c r="W28" s="3522">
        <v>27.762152302841653</v>
      </c>
      <c r="X28" s="3519"/>
      <c r="Y28" s="3522">
        <v>27.974256412001228</v>
      </c>
      <c r="Z28" s="3522">
        <v>28.429595360360214</v>
      </c>
      <c r="AA28" s="3522">
        <v>27.593202860658895</v>
      </c>
      <c r="AB28" s="3522">
        <v>27.251047186091377</v>
      </c>
    </row>
    <row r="29" spans="4:28" ht="12.75" customHeight="1">
      <c r="E29" s="4523" t="s">
        <v>1731</v>
      </c>
      <c r="F29" s="4501" t="s">
        <v>234</v>
      </c>
      <c r="G29" s="3515" t="s">
        <v>57</v>
      </c>
      <c r="H29" s="3517">
        <v>1.642463</v>
      </c>
      <c r="I29" s="3517">
        <v>0</v>
      </c>
      <c r="J29" s="3517">
        <v>0</v>
      </c>
      <c r="K29" s="3517">
        <v>0</v>
      </c>
      <c r="L29" s="3517">
        <v>0</v>
      </c>
      <c r="M29" s="3517">
        <v>0</v>
      </c>
      <c r="N29" s="3517">
        <v>0</v>
      </c>
      <c r="O29" s="3517">
        <v>0</v>
      </c>
      <c r="P29" s="3517">
        <v>0</v>
      </c>
      <c r="Q29" s="3517">
        <v>0</v>
      </c>
      <c r="R29" s="3517">
        <v>0</v>
      </c>
      <c r="S29" s="3517">
        <v>0</v>
      </c>
      <c r="T29" s="3519"/>
      <c r="U29" s="3517">
        <v>1.642463</v>
      </c>
      <c r="V29" s="3517">
        <v>1.642463</v>
      </c>
      <c r="W29" s="3517">
        <v>1.642463</v>
      </c>
      <c r="X29" s="3519"/>
      <c r="Y29" s="3517">
        <v>1.642463</v>
      </c>
      <c r="Z29" s="3517">
        <v>0</v>
      </c>
      <c r="AA29" s="3517">
        <v>0</v>
      </c>
      <c r="AB29" s="3517">
        <v>0</v>
      </c>
    </row>
    <row r="30" spans="4:28" ht="12.75" customHeight="1">
      <c r="E30" s="4524"/>
      <c r="F30" s="4502"/>
      <c r="G30" s="3520" t="s">
        <v>1096</v>
      </c>
      <c r="H30" s="3522">
        <v>1.8543726</v>
      </c>
      <c r="I30" s="3522">
        <v>1.6566732</v>
      </c>
      <c r="J30" s="3522">
        <v>1.9863659</v>
      </c>
      <c r="K30" s="3522">
        <v>1.6685932000000001</v>
      </c>
      <c r="L30" s="3522">
        <v>1.7695107000000001</v>
      </c>
      <c r="M30" s="3522">
        <v>1.6587949</v>
      </c>
      <c r="N30" s="3522">
        <v>1.5050384999999999</v>
      </c>
      <c r="O30" s="3522">
        <v>1.9227299</v>
      </c>
      <c r="P30" s="3522">
        <v>1.6060954999999999</v>
      </c>
      <c r="Q30" s="3522">
        <v>1.61442</v>
      </c>
      <c r="R30" s="3522">
        <v>1.6416469</v>
      </c>
      <c r="S30" s="3522">
        <v>1.5522578</v>
      </c>
      <c r="T30" s="3519"/>
      <c r="U30" s="3522">
        <v>1.8543726</v>
      </c>
      <c r="V30" s="3522">
        <v>1.8543725999999998</v>
      </c>
      <c r="W30" s="3522">
        <v>1.6969969721076272</v>
      </c>
      <c r="X30" s="3519"/>
      <c r="Y30" s="3522">
        <v>1.8525060786742216</v>
      </c>
      <c r="Z30" s="3522">
        <v>1.7022398344118597</v>
      </c>
      <c r="AA30" s="3522">
        <v>1.6879520170377942</v>
      </c>
      <c r="AB30" s="3522">
        <v>1.6007067230063667</v>
      </c>
    </row>
    <row r="31" spans="4:28" ht="12.75" customHeight="1">
      <c r="E31" s="4523" t="s">
        <v>1732</v>
      </c>
      <c r="F31" s="4501" t="s">
        <v>234</v>
      </c>
      <c r="G31" s="3515" t="s">
        <v>57</v>
      </c>
      <c r="H31" s="3517">
        <v>67.665048600000006</v>
      </c>
      <c r="I31" s="3517">
        <v>0</v>
      </c>
      <c r="J31" s="3517">
        <v>0</v>
      </c>
      <c r="K31" s="3517">
        <v>0</v>
      </c>
      <c r="L31" s="3517">
        <v>0</v>
      </c>
      <c r="M31" s="3517">
        <v>0</v>
      </c>
      <c r="N31" s="3517">
        <v>0</v>
      </c>
      <c r="O31" s="3517">
        <v>0</v>
      </c>
      <c r="P31" s="3517">
        <v>0</v>
      </c>
      <c r="Q31" s="3517">
        <v>0</v>
      </c>
      <c r="R31" s="3517">
        <v>0</v>
      </c>
      <c r="S31" s="3517">
        <v>0</v>
      </c>
      <c r="T31" s="3519"/>
      <c r="U31" s="3517">
        <v>67.665048600000006</v>
      </c>
      <c r="V31" s="3517">
        <v>67.665048600000006</v>
      </c>
      <c r="W31" s="3517">
        <v>67.665048600000006</v>
      </c>
      <c r="X31" s="3519"/>
      <c r="Y31" s="3517">
        <v>67.665048600000006</v>
      </c>
      <c r="Z31" s="3517">
        <v>0</v>
      </c>
      <c r="AA31" s="3517">
        <v>0</v>
      </c>
      <c r="AB31" s="3517">
        <v>0</v>
      </c>
    </row>
    <row r="32" spans="4:28" ht="12.75" customHeight="1">
      <c r="E32" s="4524"/>
      <c r="F32" s="4502"/>
      <c r="G32" s="3520" t="s">
        <v>1096</v>
      </c>
      <c r="H32" s="3522">
        <v>70.957530000000006</v>
      </c>
      <c r="I32" s="3522">
        <v>60.740792900000002</v>
      </c>
      <c r="J32" s="3522">
        <v>66.762504800000002</v>
      </c>
      <c r="K32" s="3522">
        <v>60.541457299999998</v>
      </c>
      <c r="L32" s="3522">
        <v>62.042215499999998</v>
      </c>
      <c r="M32" s="3522">
        <v>56.9501597</v>
      </c>
      <c r="N32" s="3522">
        <v>55.969327800000002</v>
      </c>
      <c r="O32" s="3522">
        <v>62.520766100000003</v>
      </c>
      <c r="P32" s="3522">
        <v>57.939462399999996</v>
      </c>
      <c r="Q32" s="3522">
        <v>56.201955300000002</v>
      </c>
      <c r="R32" s="3522">
        <v>56.001507699999998</v>
      </c>
      <c r="S32" s="3522">
        <v>55.5990258</v>
      </c>
      <c r="T32" s="3519"/>
      <c r="U32" s="3522">
        <v>70.957530000000006</v>
      </c>
      <c r="V32" s="3522">
        <v>70.957530000000006</v>
      </c>
      <c r="W32" s="3522">
        <v>59.653102284790407</v>
      </c>
      <c r="X32" s="3519"/>
      <c r="Y32" s="3522">
        <v>66.285609272835188</v>
      </c>
      <c r="Z32" s="3522">
        <v>59.739347680551418</v>
      </c>
      <c r="AA32" s="3522">
        <v>58.964030677969625</v>
      </c>
      <c r="AB32" s="3522">
        <v>55.920965180856165</v>
      </c>
    </row>
    <row r="33" spans="5:28" ht="12.75" customHeight="1">
      <c r="E33" s="4525" t="s">
        <v>1733</v>
      </c>
      <c r="F33" s="4527" t="s">
        <v>1720</v>
      </c>
      <c r="G33" s="3515" t="s">
        <v>57</v>
      </c>
      <c r="H33" s="3534">
        <v>1.1851012999999999</v>
      </c>
      <c r="I33" s="3534">
        <v>0</v>
      </c>
      <c r="J33" s="3534">
        <v>0</v>
      </c>
      <c r="K33" s="3534">
        <v>0</v>
      </c>
      <c r="L33" s="3534">
        <v>0</v>
      </c>
      <c r="M33" s="3534">
        <v>0</v>
      </c>
      <c r="N33" s="3534">
        <v>0</v>
      </c>
      <c r="O33" s="3534">
        <v>0</v>
      </c>
      <c r="P33" s="3534">
        <v>0</v>
      </c>
      <c r="Q33" s="3534">
        <v>0</v>
      </c>
      <c r="R33" s="3534">
        <v>0</v>
      </c>
      <c r="S33" s="3534">
        <v>0</v>
      </c>
      <c r="T33" s="3535"/>
      <c r="U33" s="3534">
        <v>1.1851012999999999</v>
      </c>
      <c r="V33" s="3534">
        <v>1.1851012999999999</v>
      </c>
      <c r="W33" s="3534">
        <v>1.1851012999999999</v>
      </c>
      <c r="X33" s="3535"/>
      <c r="Y33" s="3534">
        <v>1.1851012999999999</v>
      </c>
      <c r="Z33" s="3534">
        <v>0</v>
      </c>
      <c r="AA33" s="3534">
        <v>0</v>
      </c>
      <c r="AB33" s="3534">
        <v>0</v>
      </c>
    </row>
    <row r="34" spans="5:28" ht="12.75" customHeight="1">
      <c r="E34" s="4526"/>
      <c r="F34" s="4528"/>
      <c r="G34" s="3520" t="s">
        <v>1096</v>
      </c>
      <c r="H34" s="3536">
        <v>0.99560890000000002</v>
      </c>
      <c r="I34" s="3536">
        <v>1.6868848000000001</v>
      </c>
      <c r="J34" s="3536">
        <v>1.9636492999999999</v>
      </c>
      <c r="K34" s="3536">
        <v>0.9143947</v>
      </c>
      <c r="L34" s="3536">
        <v>2.4300481</v>
      </c>
      <c r="M34" s="3536">
        <v>1.3414941</v>
      </c>
      <c r="N34" s="3536">
        <v>1.3433864</v>
      </c>
      <c r="O34" s="3536">
        <v>1.5455159000000001</v>
      </c>
      <c r="P34" s="3536">
        <v>1.9363607</v>
      </c>
      <c r="Q34" s="3536">
        <v>1.6939823000000001</v>
      </c>
      <c r="R34" s="3536">
        <v>1.1361648</v>
      </c>
      <c r="S34" s="3536">
        <v>1.6073811</v>
      </c>
      <c r="T34" s="3537"/>
      <c r="U34" s="3536">
        <v>0.99560890000000002</v>
      </c>
      <c r="V34" s="3536">
        <v>0.99560890000000002</v>
      </c>
      <c r="W34" s="3536">
        <v>18.594871100000002</v>
      </c>
      <c r="X34" s="3538"/>
      <c r="Y34" s="3536">
        <v>4.6461430000000004</v>
      </c>
      <c r="Z34" s="3536">
        <v>4.6859368999999997</v>
      </c>
      <c r="AA34" s="3536">
        <v>4.8252629999999996</v>
      </c>
      <c r="AB34" s="3536">
        <v>4.4375282</v>
      </c>
    </row>
    <row r="35" spans="5:28" ht="12.75" customHeight="1">
      <c r="E35" s="4523" t="s">
        <v>1734</v>
      </c>
      <c r="F35" s="4501" t="s">
        <v>48</v>
      </c>
      <c r="G35" s="3515" t="s">
        <v>57</v>
      </c>
      <c r="H35" s="3517">
        <v>54.5426687</v>
      </c>
      <c r="I35" s="3517">
        <v>0</v>
      </c>
      <c r="J35" s="3517">
        <v>0</v>
      </c>
      <c r="K35" s="3517">
        <v>0</v>
      </c>
      <c r="L35" s="3517">
        <v>0</v>
      </c>
      <c r="M35" s="3517">
        <v>0</v>
      </c>
      <c r="N35" s="3517">
        <v>0</v>
      </c>
      <c r="O35" s="3517">
        <v>0</v>
      </c>
      <c r="P35" s="3517">
        <v>0</v>
      </c>
      <c r="Q35" s="3517">
        <v>0</v>
      </c>
      <c r="R35" s="3517">
        <v>0</v>
      </c>
      <c r="S35" s="3517">
        <v>0</v>
      </c>
      <c r="T35" s="3519"/>
      <c r="U35" s="3517">
        <v>54.5426687</v>
      </c>
      <c r="V35" s="3517">
        <v>54.5426687</v>
      </c>
      <c r="W35" s="3517">
        <v>54.5426687</v>
      </c>
      <c r="X35" s="3519"/>
      <c r="Y35" s="3517">
        <v>54.5426687</v>
      </c>
      <c r="Z35" s="3517">
        <v>0</v>
      </c>
      <c r="AA35" s="3517">
        <v>0</v>
      </c>
      <c r="AB35" s="3517">
        <v>0</v>
      </c>
    </row>
    <row r="36" spans="5:28" ht="12.75" customHeight="1">
      <c r="E36" s="4524"/>
      <c r="F36" s="4502"/>
      <c r="G36" s="3520" t="s">
        <v>1096</v>
      </c>
      <c r="H36" s="3522">
        <v>54</v>
      </c>
      <c r="I36" s="3522">
        <v>54</v>
      </c>
      <c r="J36" s="3522">
        <v>54</v>
      </c>
      <c r="K36" s="3522">
        <v>54</v>
      </c>
      <c r="L36" s="3522">
        <v>54</v>
      </c>
      <c r="M36" s="3522">
        <v>54</v>
      </c>
      <c r="N36" s="3522">
        <v>54</v>
      </c>
      <c r="O36" s="3522">
        <v>54</v>
      </c>
      <c r="P36" s="3522">
        <v>54</v>
      </c>
      <c r="Q36" s="3522">
        <v>54</v>
      </c>
      <c r="R36" s="3522">
        <v>54</v>
      </c>
      <c r="S36" s="3522">
        <v>54</v>
      </c>
      <c r="T36" s="3519"/>
      <c r="U36" s="3522">
        <v>54</v>
      </c>
      <c r="V36" s="3522">
        <v>54</v>
      </c>
      <c r="W36" s="3522">
        <v>53.999999999999993</v>
      </c>
      <c r="X36" s="3519"/>
      <c r="Y36" s="3522">
        <v>54</v>
      </c>
      <c r="Z36" s="3522">
        <v>54.000000000000007</v>
      </c>
      <c r="AA36" s="3522">
        <v>54.000000000000007</v>
      </c>
      <c r="AB36" s="3522">
        <v>53.999999999999993</v>
      </c>
    </row>
    <row r="37" spans="5:28" ht="12.75" customHeight="1">
      <c r="E37" s="4525" t="s">
        <v>1735</v>
      </c>
      <c r="F37" s="4527" t="s">
        <v>1736</v>
      </c>
      <c r="G37" s="3515" t="s">
        <v>57</v>
      </c>
      <c r="H37" s="3539">
        <v>18958.996166199999</v>
      </c>
      <c r="I37" s="3539">
        <v>0</v>
      </c>
      <c r="J37" s="3539">
        <v>0</v>
      </c>
      <c r="K37" s="3539">
        <v>0</v>
      </c>
      <c r="L37" s="3539">
        <v>0</v>
      </c>
      <c r="M37" s="3539">
        <v>0</v>
      </c>
      <c r="N37" s="3539">
        <v>0</v>
      </c>
      <c r="O37" s="3539">
        <v>0</v>
      </c>
      <c r="P37" s="3539">
        <v>0</v>
      </c>
      <c r="Q37" s="3539">
        <v>0</v>
      </c>
      <c r="R37" s="3539">
        <v>0</v>
      </c>
      <c r="S37" s="3539">
        <v>0</v>
      </c>
      <c r="T37" s="3540"/>
      <c r="U37" s="3539">
        <v>18958.996166199999</v>
      </c>
      <c r="V37" s="3539">
        <v>18958.996166199999</v>
      </c>
      <c r="W37" s="3539">
        <v>18958.996166199999</v>
      </c>
      <c r="X37" s="3540"/>
      <c r="Y37" s="3539">
        <v>18958.996166199999</v>
      </c>
      <c r="Z37" s="3539">
        <v>0</v>
      </c>
      <c r="AA37" s="3539">
        <v>0</v>
      </c>
      <c r="AB37" s="3539">
        <v>0</v>
      </c>
    </row>
    <row r="38" spans="5:28" ht="12.75" customHeight="1">
      <c r="E38" s="4526"/>
      <c r="F38" s="4528"/>
      <c r="G38" s="3520" t="s">
        <v>1096</v>
      </c>
      <c r="H38" s="3525">
        <v>21015.980190531805</v>
      </c>
      <c r="I38" s="3525">
        <v>20671.720832298026</v>
      </c>
      <c r="J38" s="3525">
        <v>29514.27081398162</v>
      </c>
      <c r="K38" s="3525">
        <v>22933.613081531072</v>
      </c>
      <c r="L38" s="3525">
        <v>32636.744171986003</v>
      </c>
      <c r="M38" s="3525">
        <v>32519.873843953483</v>
      </c>
      <c r="N38" s="3525">
        <v>28989.51930273883</v>
      </c>
      <c r="O38" s="3525">
        <v>35774.530485678792</v>
      </c>
      <c r="P38" s="3525">
        <v>31238.86560475556</v>
      </c>
      <c r="Q38" s="3525">
        <v>34556.932012049911</v>
      </c>
      <c r="R38" s="3525">
        <v>34353.290890419863</v>
      </c>
      <c r="S38" s="3525">
        <v>38799.795171415295</v>
      </c>
      <c r="T38" s="3541"/>
      <c r="U38" s="3525">
        <v>21015.980190531805</v>
      </c>
      <c r="V38" s="3525">
        <v>21015.980190531805</v>
      </c>
      <c r="W38" s="3525">
        <v>363005.13640134025</v>
      </c>
      <c r="X38" s="3541"/>
      <c r="Y38" s="3525">
        <v>71201.971836811455</v>
      </c>
      <c r="Z38" s="3525">
        <v>88090.231097470562</v>
      </c>
      <c r="AA38" s="3525">
        <v>96002.915393173185</v>
      </c>
      <c r="AB38" s="3525">
        <v>107710.01807388506</v>
      </c>
    </row>
    <row r="39" spans="5:28" ht="12.75" customHeight="1">
      <c r="E39" s="4525" t="s">
        <v>1737</v>
      </c>
      <c r="F39" s="4527" t="s">
        <v>241</v>
      </c>
      <c r="G39" s="3515" t="s">
        <v>57</v>
      </c>
      <c r="H39" s="3528">
        <v>3.6585852999999999</v>
      </c>
      <c r="I39" s="3528">
        <v>0</v>
      </c>
      <c r="J39" s="3528">
        <v>0</v>
      </c>
      <c r="K39" s="3528">
        <v>0</v>
      </c>
      <c r="L39" s="3528">
        <v>0</v>
      </c>
      <c r="M39" s="3528">
        <v>0</v>
      </c>
      <c r="N39" s="3528">
        <v>0</v>
      </c>
      <c r="O39" s="3528">
        <v>0</v>
      </c>
      <c r="P39" s="3528">
        <v>0</v>
      </c>
      <c r="Q39" s="3528">
        <v>0</v>
      </c>
      <c r="R39" s="3528">
        <v>0</v>
      </c>
      <c r="S39" s="3528">
        <v>0</v>
      </c>
      <c r="T39" s="3541"/>
      <c r="U39" s="3528">
        <v>3.6585852999999999</v>
      </c>
      <c r="V39" s="3528">
        <v>3.6585852999999999</v>
      </c>
      <c r="W39" s="3528">
        <v>3.6585852999999999</v>
      </c>
      <c r="X39" s="3541"/>
      <c r="Y39" s="3528">
        <v>3.6585852999999999</v>
      </c>
      <c r="Z39" s="3528">
        <v>0</v>
      </c>
      <c r="AA39" s="3528">
        <v>0</v>
      </c>
      <c r="AB39" s="3528">
        <v>0</v>
      </c>
    </row>
    <row r="40" spans="5:28" ht="12.75" customHeight="1">
      <c r="E40" s="4526"/>
      <c r="F40" s="4528"/>
      <c r="G40" s="3520" t="s">
        <v>1096</v>
      </c>
      <c r="H40" s="3529">
        <v>4.5208461</v>
      </c>
      <c r="I40" s="3529">
        <v>3.8873312000000002</v>
      </c>
      <c r="J40" s="3529">
        <v>6.7512964999999996</v>
      </c>
      <c r="K40" s="3529">
        <v>4.1868708999999997</v>
      </c>
      <c r="L40" s="3529">
        <v>6.5242614000000003</v>
      </c>
      <c r="M40" s="3529">
        <v>6.2466416000000002</v>
      </c>
      <c r="N40" s="3529">
        <v>5.2959540000000001</v>
      </c>
      <c r="O40" s="3529">
        <v>7.7195041</v>
      </c>
      <c r="P40" s="3529">
        <v>5.8659084999999997</v>
      </c>
      <c r="Q40" s="3529">
        <v>6.5917079000000003</v>
      </c>
      <c r="R40" s="3529">
        <v>6.6456352000000001</v>
      </c>
      <c r="S40" s="3529">
        <v>7.1038155999999999</v>
      </c>
      <c r="T40" s="3542"/>
      <c r="U40" s="3529">
        <v>4.5208461</v>
      </c>
      <c r="V40" s="3529">
        <v>4.5208461</v>
      </c>
      <c r="W40" s="3529">
        <v>71.339773000000008</v>
      </c>
      <c r="X40" s="3542"/>
      <c r="Y40" s="3529">
        <v>15.159473800000001</v>
      </c>
      <c r="Z40" s="3529">
        <v>16.957773899999999</v>
      </c>
      <c r="AA40" s="3529">
        <v>18.8813666</v>
      </c>
      <c r="AB40" s="3529">
        <v>20.341158700000001</v>
      </c>
    </row>
    <row r="41" spans="5:28" ht="12.75" customHeight="1">
      <c r="E41" s="4525" t="s">
        <v>1738</v>
      </c>
      <c r="F41" s="4527" t="s">
        <v>1720</v>
      </c>
      <c r="G41" s="3515" t="s">
        <v>57</v>
      </c>
      <c r="H41" s="3543">
        <v>0.6260232</v>
      </c>
      <c r="I41" s="3543">
        <v>0</v>
      </c>
      <c r="J41" s="3543">
        <v>0</v>
      </c>
      <c r="K41" s="3543">
        <v>0</v>
      </c>
      <c r="L41" s="3543">
        <v>0</v>
      </c>
      <c r="M41" s="3543">
        <v>0</v>
      </c>
      <c r="N41" s="3543">
        <v>0</v>
      </c>
      <c r="O41" s="3543">
        <v>0</v>
      </c>
      <c r="P41" s="3543">
        <v>0</v>
      </c>
      <c r="Q41" s="3543">
        <v>0</v>
      </c>
      <c r="R41" s="3543">
        <v>0</v>
      </c>
      <c r="S41" s="3543">
        <v>0</v>
      </c>
      <c r="T41" s="3544"/>
      <c r="U41" s="3543">
        <v>0.6260232</v>
      </c>
      <c r="V41" s="3543">
        <v>0.6260232</v>
      </c>
      <c r="W41" s="3543">
        <v>0.6260232</v>
      </c>
      <c r="X41" s="3545"/>
      <c r="Y41" s="3543">
        <v>0.6260232</v>
      </c>
      <c r="Z41" s="3543">
        <v>0</v>
      </c>
      <c r="AA41" s="3543">
        <v>0</v>
      </c>
      <c r="AB41" s="3543">
        <v>0</v>
      </c>
    </row>
    <row r="42" spans="5:28" ht="12.75" customHeight="1">
      <c r="E42" s="4526"/>
      <c r="F42" s="4528"/>
      <c r="G42" s="3520" t="s">
        <v>1096</v>
      </c>
      <c r="H42" s="3521">
        <v>0.53762880000000002</v>
      </c>
      <c r="I42" s="3521">
        <v>0.9109178</v>
      </c>
      <c r="J42" s="3521">
        <v>1.0603705999999999</v>
      </c>
      <c r="K42" s="3521">
        <v>0.49377310000000002</v>
      </c>
      <c r="L42" s="3521">
        <v>1.3122259999999999</v>
      </c>
      <c r="M42" s="3521">
        <v>0.72440680000000002</v>
      </c>
      <c r="N42" s="3521">
        <v>0.72542870000000004</v>
      </c>
      <c r="O42" s="3521">
        <v>0.83457859999999995</v>
      </c>
      <c r="P42" s="3521">
        <v>1.0456348</v>
      </c>
      <c r="Q42" s="3521">
        <v>0.91475039999999996</v>
      </c>
      <c r="R42" s="3521">
        <v>0.61352899999999999</v>
      </c>
      <c r="S42" s="3521">
        <v>0.86798580000000003</v>
      </c>
      <c r="T42" s="3518"/>
      <c r="U42" s="3521">
        <v>0.53762880000000002</v>
      </c>
      <c r="V42" s="3521">
        <v>0.53762880000000002</v>
      </c>
      <c r="W42" s="3521">
        <v>10.0412304</v>
      </c>
      <c r="X42" s="3546"/>
      <c r="Y42" s="3521">
        <v>2.5089172</v>
      </c>
      <c r="Z42" s="3521">
        <v>2.5304058999999999</v>
      </c>
      <c r="AA42" s="3521">
        <v>2.6056420999999999</v>
      </c>
      <c r="AB42" s="3521">
        <v>2.3962652000000002</v>
      </c>
    </row>
    <row r="43" spans="5:28" ht="12.75" customHeight="1">
      <c r="E43" s="4525" t="s">
        <v>1739</v>
      </c>
      <c r="F43" s="4527" t="s">
        <v>241</v>
      </c>
      <c r="G43" s="3515" t="s">
        <v>57</v>
      </c>
      <c r="H43" s="3547">
        <v>150.7238524</v>
      </c>
      <c r="I43" s="3547">
        <v>0</v>
      </c>
      <c r="J43" s="3547">
        <v>0</v>
      </c>
      <c r="K43" s="3547">
        <v>0</v>
      </c>
      <c r="L43" s="3547">
        <v>0</v>
      </c>
      <c r="M43" s="3547">
        <v>0</v>
      </c>
      <c r="N43" s="3547">
        <v>0</v>
      </c>
      <c r="O43" s="3547">
        <v>0</v>
      </c>
      <c r="P43" s="3547">
        <v>0</v>
      </c>
      <c r="Q43" s="3547">
        <v>0</v>
      </c>
      <c r="R43" s="3547">
        <v>0</v>
      </c>
      <c r="S43" s="3547">
        <v>0</v>
      </c>
      <c r="T43" s="3518"/>
      <c r="U43" s="3523">
        <v>150.7238524</v>
      </c>
      <c r="V43" s="3523">
        <v>150.7238524</v>
      </c>
      <c r="W43" s="3523">
        <v>150.7238524</v>
      </c>
      <c r="X43" s="3541"/>
      <c r="Y43" s="3523">
        <v>150.7238524</v>
      </c>
      <c r="Z43" s="3523">
        <v>0</v>
      </c>
      <c r="AA43" s="3523">
        <v>0</v>
      </c>
      <c r="AB43" s="3523">
        <v>0</v>
      </c>
    </row>
    <row r="44" spans="5:28" ht="12.75" customHeight="1">
      <c r="E44" s="4526"/>
      <c r="F44" s="4528"/>
      <c r="G44" s="3520" t="s">
        <v>1096</v>
      </c>
      <c r="H44" s="3525">
        <v>172.9900877</v>
      </c>
      <c r="I44" s="3525">
        <v>142.52634839999999</v>
      </c>
      <c r="J44" s="3525">
        <v>226.91361219999999</v>
      </c>
      <c r="K44" s="3525">
        <v>151.91196110000001</v>
      </c>
      <c r="L44" s="3525">
        <v>228.7522917</v>
      </c>
      <c r="M44" s="3525">
        <v>214.4612539</v>
      </c>
      <c r="N44" s="3525">
        <v>196.94578630000001</v>
      </c>
      <c r="O44" s="3525">
        <v>251.01253729999999</v>
      </c>
      <c r="P44" s="3525">
        <v>211.61106150000001</v>
      </c>
      <c r="Q44" s="3525">
        <v>229.47367120000001</v>
      </c>
      <c r="R44" s="3525">
        <v>226.70258369999999</v>
      </c>
      <c r="S44" s="3525">
        <v>254.44563149999999</v>
      </c>
      <c r="T44" s="3518"/>
      <c r="U44" s="3525">
        <v>172.9900877</v>
      </c>
      <c r="V44" s="3525">
        <v>172.9900877</v>
      </c>
      <c r="W44" s="3525">
        <v>2507.7468264999998</v>
      </c>
      <c r="X44" s="3541"/>
      <c r="Y44" s="3525">
        <v>542.43004829999995</v>
      </c>
      <c r="Z44" s="3525">
        <v>595.12550669999996</v>
      </c>
      <c r="AA44" s="3525">
        <v>659.56938509999998</v>
      </c>
      <c r="AB44" s="3525">
        <v>710.62188639999999</v>
      </c>
    </row>
    <row r="45" spans="5:28" ht="12.75" customHeight="1">
      <c r="E45" s="3548"/>
      <c r="F45" s="3478"/>
      <c r="G45" s="3549"/>
      <c r="H45" s="3550"/>
      <c r="I45" s="3550"/>
      <c r="J45" s="3550"/>
      <c r="K45" s="3550"/>
      <c r="L45" s="3550"/>
      <c r="M45" s="3550"/>
      <c r="N45" s="3551"/>
      <c r="O45" s="3551"/>
      <c r="P45" s="3551"/>
      <c r="Q45" s="3551"/>
      <c r="R45" s="3551"/>
      <c r="S45" s="3551"/>
      <c r="T45" s="3518"/>
      <c r="U45" s="3550"/>
      <c r="V45" s="3550"/>
      <c r="W45" s="3550"/>
      <c r="Y45" s="3550"/>
      <c r="Z45" s="3550"/>
      <c r="AA45" s="3550"/>
      <c r="AB45" s="3550"/>
    </row>
    <row r="46" spans="5:28" ht="12.75" customHeight="1">
      <c r="E46" s="3496" t="s">
        <v>1740</v>
      </c>
      <c r="F46" s="3497"/>
      <c r="G46" s="3549"/>
      <c r="H46" s="3552"/>
      <c r="I46" s="3552"/>
      <c r="J46" s="3552"/>
      <c r="K46" s="3552"/>
      <c r="L46" s="3552"/>
      <c r="M46" s="3552"/>
      <c r="N46" s="3552"/>
      <c r="O46" s="3550"/>
      <c r="P46" s="3550"/>
      <c r="Q46" s="3550"/>
      <c r="R46" s="3550"/>
      <c r="S46" s="3550"/>
      <c r="T46" s="3550"/>
      <c r="U46" s="3550"/>
      <c r="V46" s="3550"/>
      <c r="W46" s="3550"/>
      <c r="X46" s="3550"/>
      <c r="Y46" s="3550"/>
      <c r="Z46" s="3550"/>
      <c r="AA46" s="3550"/>
      <c r="AB46" s="3550"/>
    </row>
    <row r="47" spans="5:28" ht="12.75" customHeight="1">
      <c r="E47" s="3548"/>
      <c r="F47" s="3478"/>
      <c r="G47" s="3549"/>
      <c r="H47" s="3550"/>
      <c r="I47" s="3550"/>
      <c r="J47" s="3550"/>
      <c r="K47" s="3550"/>
      <c r="L47" s="3550"/>
      <c r="N47" s="3550"/>
      <c r="O47" s="3550"/>
      <c r="P47" s="3550"/>
      <c r="Q47" s="3550"/>
      <c r="R47" s="3550"/>
      <c r="S47" s="3550"/>
      <c r="T47" s="3550"/>
      <c r="U47" s="3550"/>
      <c r="V47" s="3550"/>
      <c r="W47" s="3550"/>
      <c r="Y47" s="3550"/>
      <c r="Z47" s="3550"/>
      <c r="AA47" s="3550"/>
      <c r="AB47" s="3550"/>
    </row>
    <row r="48" spans="5:28" ht="12.75" customHeight="1">
      <c r="E48" s="4503" t="s">
        <v>1741</v>
      </c>
      <c r="F48" s="4505" t="s">
        <v>1720</v>
      </c>
      <c r="G48" s="3509" t="s">
        <v>57</v>
      </c>
      <c r="H48" s="3531">
        <v>69.282981699999993</v>
      </c>
      <c r="I48" s="3531">
        <v>0</v>
      </c>
      <c r="J48" s="3531">
        <v>0</v>
      </c>
      <c r="K48" s="3531">
        <v>0</v>
      </c>
      <c r="L48" s="3531">
        <v>0</v>
      </c>
      <c r="M48" s="3531">
        <v>0</v>
      </c>
      <c r="N48" s="3531">
        <v>0</v>
      </c>
      <c r="O48" s="3531">
        <v>0</v>
      </c>
      <c r="P48" s="3531">
        <v>0</v>
      </c>
      <c r="Q48" s="3531">
        <v>0</v>
      </c>
      <c r="R48" s="3531">
        <v>0</v>
      </c>
      <c r="S48" s="3531">
        <v>0</v>
      </c>
      <c r="T48" s="3532"/>
      <c r="U48" s="3531">
        <v>69.282981699999993</v>
      </c>
      <c r="V48" s="3531">
        <v>69.282981699999993</v>
      </c>
      <c r="W48" s="3531">
        <v>69.282981699999993</v>
      </c>
      <c r="X48" s="3511"/>
      <c r="Y48" s="3531">
        <v>69.282981699999993</v>
      </c>
      <c r="Z48" s="3531">
        <v>0</v>
      </c>
      <c r="AA48" s="3531">
        <v>0</v>
      </c>
      <c r="AB48" s="3531">
        <v>0</v>
      </c>
    </row>
    <row r="49" spans="5:30" ht="12.75" customHeight="1">
      <c r="E49" s="4504"/>
      <c r="F49" s="4506"/>
      <c r="G49" s="3513" t="s">
        <v>1096</v>
      </c>
      <c r="H49" s="3533">
        <v>73.254600699999997</v>
      </c>
      <c r="I49" s="3533">
        <v>75.459790100000006</v>
      </c>
      <c r="J49" s="3533">
        <v>105.646209</v>
      </c>
      <c r="K49" s="3533">
        <v>77.995139399999999</v>
      </c>
      <c r="L49" s="3533">
        <v>114.6051533</v>
      </c>
      <c r="M49" s="3533">
        <v>117.0522821</v>
      </c>
      <c r="N49" s="3533">
        <v>109.4474343</v>
      </c>
      <c r="O49" s="3533">
        <v>108.6776254</v>
      </c>
      <c r="P49" s="3533">
        <v>125.4900904</v>
      </c>
      <c r="Q49" s="3533">
        <v>131.3030187</v>
      </c>
      <c r="R49" s="3533">
        <v>123.88030980000001</v>
      </c>
      <c r="S49" s="3533">
        <v>141.84416200000001</v>
      </c>
      <c r="T49" s="3532"/>
      <c r="U49" s="3533">
        <v>73.254600699999997</v>
      </c>
      <c r="V49" s="3533">
        <v>73.254600699999997</v>
      </c>
      <c r="W49" s="3533">
        <v>1304.6558152</v>
      </c>
      <c r="X49" s="3511"/>
      <c r="Y49" s="3533">
        <v>254.36059979999999</v>
      </c>
      <c r="Z49" s="3533">
        <v>309.65257480000002</v>
      </c>
      <c r="AA49" s="3533">
        <v>343.61515009999999</v>
      </c>
      <c r="AB49" s="3533">
        <v>397.0274905</v>
      </c>
    </row>
    <row r="50" spans="5:30" ht="12.75" customHeight="1">
      <c r="E50" s="4523" t="s">
        <v>1730</v>
      </c>
      <c r="F50" s="4501" t="s">
        <v>48</v>
      </c>
      <c r="G50" s="3515" t="s">
        <v>57</v>
      </c>
      <c r="H50" s="3517">
        <v>26.7225219</v>
      </c>
      <c r="I50" s="3517">
        <v>0</v>
      </c>
      <c r="J50" s="3517">
        <v>0</v>
      </c>
      <c r="K50" s="3517">
        <v>0</v>
      </c>
      <c r="L50" s="3517">
        <v>0</v>
      </c>
      <c r="M50" s="3517">
        <v>0</v>
      </c>
      <c r="N50" s="3517">
        <v>0</v>
      </c>
      <c r="O50" s="3517">
        <v>0</v>
      </c>
      <c r="P50" s="3517">
        <v>0</v>
      </c>
      <c r="Q50" s="3517">
        <v>0</v>
      </c>
      <c r="R50" s="3517">
        <v>0</v>
      </c>
      <c r="S50" s="3517">
        <v>0</v>
      </c>
      <c r="T50" s="3519"/>
      <c r="U50" s="3517">
        <v>26.7225219</v>
      </c>
      <c r="V50" s="3517">
        <v>26.722521889527748</v>
      </c>
      <c r="W50" s="3517">
        <v>26.722521889527748</v>
      </c>
      <c r="X50" s="3519"/>
      <c r="Y50" s="3517">
        <v>26.7225219</v>
      </c>
      <c r="Z50" s="3517">
        <v>0</v>
      </c>
      <c r="AA50" s="3517">
        <v>0</v>
      </c>
      <c r="AB50" s="3517">
        <v>0</v>
      </c>
    </row>
    <row r="51" spans="5:30" ht="12.75" customHeight="1">
      <c r="E51" s="4524"/>
      <c r="F51" s="4502"/>
      <c r="G51" s="3520" t="s">
        <v>1096</v>
      </c>
      <c r="H51" s="3522">
        <v>27.733260457513403</v>
      </c>
      <c r="I51" s="3522">
        <v>28.32211936211247</v>
      </c>
      <c r="J51" s="3522">
        <v>27.937034806572008</v>
      </c>
      <c r="K51" s="3522">
        <v>29.404212976634774</v>
      </c>
      <c r="L51" s="3522">
        <v>28.477553780135544</v>
      </c>
      <c r="M51" s="3522">
        <v>27.782349277091413</v>
      </c>
      <c r="N51" s="3522">
        <v>26.487162070958938</v>
      </c>
      <c r="O51" s="3522">
        <v>28.647541630231508</v>
      </c>
      <c r="P51" s="3522">
        <v>27.648181639322434</v>
      </c>
      <c r="Q51" s="3522">
        <v>27.220237802898414</v>
      </c>
      <c r="R51" s="3522">
        <v>27.281675444452031</v>
      </c>
      <c r="S51" s="3522">
        <v>27.2614800131104</v>
      </c>
      <c r="T51" s="3519"/>
      <c r="U51" s="3522">
        <v>27.733260457513403</v>
      </c>
      <c r="V51" s="3522">
        <v>27.733260439982164</v>
      </c>
      <c r="W51" s="3522">
        <v>27.771136355626307</v>
      </c>
      <c r="X51" s="3519"/>
      <c r="Y51" s="3522">
        <v>27.992589759539396</v>
      </c>
      <c r="Z51" s="3522">
        <v>28.448164841883891</v>
      </c>
      <c r="AA51" s="3522">
        <v>27.594451347767066</v>
      </c>
      <c r="AB51" s="3522">
        <v>27.254141955980206</v>
      </c>
    </row>
    <row r="52" spans="5:30" ht="12.75" customHeight="1" outlineLevel="1">
      <c r="E52" s="4523" t="s">
        <v>1731</v>
      </c>
      <c r="F52" s="4501" t="s">
        <v>234</v>
      </c>
      <c r="G52" s="3515" t="s">
        <v>57</v>
      </c>
      <c r="H52" s="3528">
        <v>0</v>
      </c>
      <c r="I52" s="3528">
        <v>0</v>
      </c>
      <c r="J52" s="3528">
        <v>0</v>
      </c>
      <c r="K52" s="3528">
        <v>0</v>
      </c>
      <c r="L52" s="3528">
        <v>0</v>
      </c>
      <c r="M52" s="3528">
        <v>0</v>
      </c>
      <c r="N52" s="3528">
        <v>0</v>
      </c>
      <c r="O52" s="3528">
        <v>0</v>
      </c>
      <c r="P52" s="3528">
        <v>0</v>
      </c>
      <c r="Q52" s="3528">
        <v>0</v>
      </c>
      <c r="R52" s="3528">
        <v>0</v>
      </c>
      <c r="S52" s="3528">
        <v>0</v>
      </c>
      <c r="T52" s="3542"/>
      <c r="U52" s="3528">
        <v>0</v>
      </c>
      <c r="V52" s="3528">
        <v>0</v>
      </c>
      <c r="W52" s="3528">
        <v>0</v>
      </c>
      <c r="X52" s="3542"/>
      <c r="Y52" s="3528">
        <v>0</v>
      </c>
      <c r="Z52" s="3528">
        <v>0</v>
      </c>
      <c r="AA52" s="3528">
        <v>0</v>
      </c>
      <c r="AB52" s="3528">
        <v>0</v>
      </c>
    </row>
    <row r="53" spans="5:30" ht="12.75" customHeight="1" outlineLevel="1">
      <c r="E53" s="4524"/>
      <c r="F53" s="4502"/>
      <c r="G53" s="3520" t="s">
        <v>1096</v>
      </c>
      <c r="H53" s="3553">
        <v>0</v>
      </c>
      <c r="I53" s="3553">
        <v>0</v>
      </c>
      <c r="J53" s="3553">
        <v>0</v>
      </c>
      <c r="K53" s="3553">
        <v>0</v>
      </c>
      <c r="L53" s="3553">
        <v>0</v>
      </c>
      <c r="M53" s="3553">
        <v>0</v>
      </c>
      <c r="N53" s="3553">
        <v>0</v>
      </c>
      <c r="O53" s="3553">
        <v>0</v>
      </c>
      <c r="P53" s="3553">
        <v>0</v>
      </c>
      <c r="Q53" s="3553">
        <v>0</v>
      </c>
      <c r="R53" s="3553">
        <v>0</v>
      </c>
      <c r="S53" s="3553">
        <v>0</v>
      </c>
      <c r="T53" s="3542"/>
      <c r="U53" s="3553">
        <v>0</v>
      </c>
      <c r="V53" s="3553">
        <v>0</v>
      </c>
      <c r="W53" s="3553">
        <v>0</v>
      </c>
      <c r="X53" s="3542"/>
      <c r="Y53" s="3553">
        <v>0</v>
      </c>
      <c r="Z53" s="3553">
        <v>0</v>
      </c>
      <c r="AA53" s="3553">
        <v>0</v>
      </c>
      <c r="AB53" s="3553">
        <v>0</v>
      </c>
    </row>
    <row r="54" spans="5:30" ht="12.75" customHeight="1" outlineLevel="1">
      <c r="E54" s="4523" t="s">
        <v>1732</v>
      </c>
      <c r="F54" s="4501" t="s">
        <v>234</v>
      </c>
      <c r="G54" s="3515" t="s">
        <v>57</v>
      </c>
      <c r="H54" s="3528">
        <v>0</v>
      </c>
      <c r="I54" s="3528">
        <v>0</v>
      </c>
      <c r="J54" s="3528">
        <v>0</v>
      </c>
      <c r="K54" s="3528">
        <v>0</v>
      </c>
      <c r="L54" s="3528">
        <v>0</v>
      </c>
      <c r="M54" s="3528">
        <v>0</v>
      </c>
      <c r="N54" s="3528">
        <v>0</v>
      </c>
      <c r="O54" s="3528">
        <v>0</v>
      </c>
      <c r="P54" s="3528">
        <v>0</v>
      </c>
      <c r="Q54" s="3528">
        <v>0</v>
      </c>
      <c r="R54" s="3528">
        <v>0</v>
      </c>
      <c r="S54" s="3528">
        <v>0</v>
      </c>
      <c r="T54" s="3542"/>
      <c r="U54" s="3528">
        <v>0</v>
      </c>
      <c r="V54" s="3528">
        <v>0</v>
      </c>
      <c r="W54" s="3528">
        <v>0</v>
      </c>
      <c r="X54" s="3542"/>
      <c r="Y54" s="3528">
        <v>0</v>
      </c>
      <c r="Z54" s="3528">
        <v>0</v>
      </c>
      <c r="AA54" s="3528">
        <v>0</v>
      </c>
      <c r="AB54" s="3528">
        <v>0</v>
      </c>
    </row>
    <row r="55" spans="5:30" ht="12.75" customHeight="1" outlineLevel="1">
      <c r="E55" s="4524"/>
      <c r="F55" s="4502"/>
      <c r="G55" s="3520" t="s">
        <v>1096</v>
      </c>
      <c r="H55" s="3553">
        <v>0</v>
      </c>
      <c r="I55" s="3553">
        <v>0</v>
      </c>
      <c r="J55" s="3553">
        <v>0</v>
      </c>
      <c r="K55" s="3553">
        <v>0</v>
      </c>
      <c r="L55" s="3553">
        <v>0</v>
      </c>
      <c r="M55" s="3553">
        <v>0</v>
      </c>
      <c r="N55" s="3553">
        <v>0</v>
      </c>
      <c r="O55" s="3553">
        <v>0</v>
      </c>
      <c r="P55" s="3553">
        <v>0</v>
      </c>
      <c r="Q55" s="3553">
        <v>0</v>
      </c>
      <c r="R55" s="3553">
        <v>0</v>
      </c>
      <c r="S55" s="3553">
        <v>0</v>
      </c>
      <c r="T55" s="3542"/>
      <c r="U55" s="3553">
        <v>0</v>
      </c>
      <c r="V55" s="3553">
        <v>0</v>
      </c>
      <c r="W55" s="3553">
        <v>0</v>
      </c>
      <c r="X55" s="3542"/>
      <c r="Y55" s="3553">
        <v>0</v>
      </c>
      <c r="Z55" s="3553">
        <v>0</v>
      </c>
      <c r="AA55" s="3553">
        <v>0</v>
      </c>
      <c r="AB55" s="3553">
        <v>0</v>
      </c>
    </row>
    <row r="56" spans="5:30" ht="12.75" customHeight="1">
      <c r="E56" s="4525" t="s">
        <v>1742</v>
      </c>
      <c r="F56" s="4527" t="s">
        <v>1736</v>
      </c>
      <c r="G56" s="3515" t="s">
        <v>57</v>
      </c>
      <c r="H56" s="3523">
        <v>18514.159950500001</v>
      </c>
      <c r="I56" s="3523">
        <v>0</v>
      </c>
      <c r="J56" s="3523">
        <v>0</v>
      </c>
      <c r="K56" s="3523">
        <v>0</v>
      </c>
      <c r="L56" s="3523">
        <v>0</v>
      </c>
      <c r="M56" s="3523">
        <v>0</v>
      </c>
      <c r="N56" s="3523">
        <v>0</v>
      </c>
      <c r="O56" s="3523">
        <v>0</v>
      </c>
      <c r="P56" s="3523">
        <v>0</v>
      </c>
      <c r="Q56" s="3523">
        <v>0</v>
      </c>
      <c r="R56" s="3523">
        <v>0</v>
      </c>
      <c r="S56" s="3523">
        <v>0</v>
      </c>
      <c r="T56" s="3542"/>
      <c r="U56" s="3523">
        <v>18514.159950500001</v>
      </c>
      <c r="V56" s="3523">
        <v>18514.159950500001</v>
      </c>
      <c r="W56" s="3523">
        <v>18514.159950500001</v>
      </c>
      <c r="X56" s="3524"/>
      <c r="Y56" s="3523">
        <v>18514.159950500001</v>
      </c>
      <c r="Z56" s="3523">
        <v>0</v>
      </c>
      <c r="AA56" s="3523">
        <v>0</v>
      </c>
      <c r="AB56" s="3523">
        <v>0</v>
      </c>
    </row>
    <row r="57" spans="5:30" ht="12.75" customHeight="1">
      <c r="E57" s="4526"/>
      <c r="F57" s="4528"/>
      <c r="G57" s="3520" t="s">
        <v>1096</v>
      </c>
      <c r="H57" s="3525">
        <v>20315.889196399999</v>
      </c>
      <c r="I57" s="3525">
        <v>21371.811826500001</v>
      </c>
      <c r="J57" s="3525">
        <v>29514.418185899998</v>
      </c>
      <c r="K57" s="3525">
        <v>22933.856891399999</v>
      </c>
      <c r="L57" s="3525">
        <v>32636.744171999999</v>
      </c>
      <c r="M57" s="3525">
        <v>32519.873844000002</v>
      </c>
      <c r="N57" s="3525">
        <v>28989.519302699999</v>
      </c>
      <c r="O57" s="3525">
        <v>31133.467988799999</v>
      </c>
      <c r="P57" s="3525">
        <v>34695.728139500003</v>
      </c>
      <c r="Q57" s="3525">
        <v>35740.993930899996</v>
      </c>
      <c r="R57" s="3525">
        <v>33796.624049099999</v>
      </c>
      <c r="S57" s="3525">
        <v>38668.817883600001</v>
      </c>
      <c r="T57" s="3554"/>
      <c r="U57" s="3525">
        <v>20315.889196399999</v>
      </c>
      <c r="V57" s="3525">
        <v>20315.889196399999</v>
      </c>
      <c r="W57" s="3525">
        <v>362317.74541079998</v>
      </c>
      <c r="X57" s="3537"/>
      <c r="Y57" s="3525">
        <v>71202.119208799995</v>
      </c>
      <c r="Z57" s="3525">
        <v>88090.474907399999</v>
      </c>
      <c r="AA57" s="3525">
        <v>94818.715431000004</v>
      </c>
      <c r="AB57" s="3525">
        <v>108206.4358636</v>
      </c>
    </row>
    <row r="58" spans="5:30" ht="12.75" customHeight="1">
      <c r="E58" s="4525" t="s">
        <v>1743</v>
      </c>
      <c r="F58" s="4527" t="s">
        <v>241</v>
      </c>
      <c r="G58" s="3515" t="s">
        <v>57</v>
      </c>
      <c r="H58" s="3528">
        <v>3.6585852999999999</v>
      </c>
      <c r="I58" s="3528">
        <v>0</v>
      </c>
      <c r="J58" s="3528">
        <v>0</v>
      </c>
      <c r="K58" s="3528">
        <v>0</v>
      </c>
      <c r="L58" s="3528">
        <v>0</v>
      </c>
      <c r="M58" s="3528">
        <v>0</v>
      </c>
      <c r="N58" s="3528">
        <v>0</v>
      </c>
      <c r="O58" s="3528">
        <v>0</v>
      </c>
      <c r="P58" s="3528">
        <v>0</v>
      </c>
      <c r="Q58" s="3528">
        <v>0</v>
      </c>
      <c r="R58" s="3528">
        <v>0</v>
      </c>
      <c r="S58" s="3528">
        <v>0</v>
      </c>
      <c r="T58" s="3542"/>
      <c r="U58" s="3528">
        <v>3.6585852999999999</v>
      </c>
      <c r="V58" s="3528">
        <v>3.6585852999999999</v>
      </c>
      <c r="W58" s="3528">
        <v>3.6585852999999999</v>
      </c>
      <c r="X58" s="3541"/>
      <c r="Y58" s="3528">
        <v>3.6585852999999999</v>
      </c>
      <c r="Z58" s="3528">
        <v>0</v>
      </c>
      <c r="AA58" s="3528">
        <v>0</v>
      </c>
      <c r="AB58" s="3528">
        <v>0</v>
      </c>
    </row>
    <row r="59" spans="5:30" ht="12.75" customHeight="1">
      <c r="E59" s="4526"/>
      <c r="F59" s="4528"/>
      <c r="G59" s="3520" t="s">
        <v>1096</v>
      </c>
      <c r="H59" s="3529">
        <v>4.3724315999999996</v>
      </c>
      <c r="I59" s="3529">
        <v>4.0238664999999996</v>
      </c>
      <c r="J59" s="3529">
        <v>6.7546724999999999</v>
      </c>
      <c r="K59" s="3529">
        <v>4.1889881999999998</v>
      </c>
      <c r="L59" s="3529">
        <v>6.5275239000000003</v>
      </c>
      <c r="M59" s="3529">
        <v>6.2497651999999997</v>
      </c>
      <c r="N59" s="3529">
        <v>5.2959540000000001</v>
      </c>
      <c r="O59" s="3529">
        <v>6.718146</v>
      </c>
      <c r="P59" s="3529">
        <v>6.4799525999999998</v>
      </c>
      <c r="Q59" s="3529">
        <v>6.8152571000000002</v>
      </c>
      <c r="R59" s="3529">
        <v>6.5384235000000004</v>
      </c>
      <c r="S59" s="3529">
        <v>7.0789093000000003</v>
      </c>
      <c r="T59" s="3542"/>
      <c r="U59" s="3529">
        <v>4.3724315999999996</v>
      </c>
      <c r="V59" s="3529">
        <v>4.3724315999999996</v>
      </c>
      <c r="W59" s="3529">
        <v>71.043890399999995</v>
      </c>
      <c r="X59" s="3511"/>
      <c r="Y59" s="3529">
        <v>15.150970599999999</v>
      </c>
      <c r="Z59" s="3529">
        <v>16.966277299999998</v>
      </c>
      <c r="AA59" s="3529">
        <v>18.4940526</v>
      </c>
      <c r="AB59" s="3529">
        <v>20.4325899</v>
      </c>
    </row>
    <row r="60" spans="5:30" ht="12.75" customHeight="1">
      <c r="E60" s="4525" t="s">
        <v>1744</v>
      </c>
      <c r="F60" s="4527" t="s">
        <v>241</v>
      </c>
      <c r="G60" s="3515" t="s">
        <v>57</v>
      </c>
      <c r="H60" s="3528">
        <v>150.7238524</v>
      </c>
      <c r="I60" s="3528">
        <v>0</v>
      </c>
      <c r="J60" s="3528">
        <v>0</v>
      </c>
      <c r="K60" s="3528">
        <v>0</v>
      </c>
      <c r="L60" s="3528">
        <v>0</v>
      </c>
      <c r="M60" s="3528">
        <v>0</v>
      </c>
      <c r="N60" s="3528">
        <v>0</v>
      </c>
      <c r="O60" s="3528">
        <v>0</v>
      </c>
      <c r="P60" s="3528">
        <v>0</v>
      </c>
      <c r="Q60" s="3528">
        <v>0</v>
      </c>
      <c r="R60" s="3528">
        <v>0</v>
      </c>
      <c r="S60" s="3528">
        <v>0</v>
      </c>
      <c r="T60" s="3542"/>
      <c r="U60" s="3528">
        <v>150.7238524</v>
      </c>
      <c r="V60" s="3528">
        <v>150.7238524</v>
      </c>
      <c r="W60" s="3528">
        <v>150.7238524</v>
      </c>
      <c r="X60" s="3541"/>
      <c r="Y60" s="3528">
        <v>150.7238524</v>
      </c>
      <c r="Z60" s="3528">
        <v>0</v>
      </c>
      <c r="AA60" s="3528">
        <v>0</v>
      </c>
      <c r="AB60" s="3528">
        <v>0</v>
      </c>
    </row>
    <row r="61" spans="5:30" ht="12.75" customHeight="1">
      <c r="E61" s="4526"/>
      <c r="F61" s="4528"/>
      <c r="G61" s="3520" t="s">
        <v>1096</v>
      </c>
      <c r="H61" s="3529">
        <v>167.34943340000001</v>
      </c>
      <c r="I61" s="3529">
        <v>147.56620269999999</v>
      </c>
      <c r="J61" s="3529">
        <v>227.0792189</v>
      </c>
      <c r="K61" s="3529">
        <v>152.023687</v>
      </c>
      <c r="L61" s="3529">
        <v>228.91924030000001</v>
      </c>
      <c r="M61" s="3529">
        <v>214.6177726</v>
      </c>
      <c r="N61" s="3529">
        <v>196.94578630000001</v>
      </c>
      <c r="O61" s="3529">
        <v>218.4517104</v>
      </c>
      <c r="P61" s="3529">
        <v>233.76253639999999</v>
      </c>
      <c r="Q61" s="3529">
        <v>237.2559722</v>
      </c>
      <c r="R61" s="3529">
        <v>223.0452708</v>
      </c>
      <c r="S61" s="3529">
        <v>253.55353260000001</v>
      </c>
      <c r="T61" s="3542"/>
      <c r="U61" s="3529">
        <v>167.34943340000001</v>
      </c>
      <c r="V61" s="3529">
        <v>167.34943340000001</v>
      </c>
      <c r="W61" s="3529">
        <v>2500.5703635999998</v>
      </c>
      <c r="X61" s="3511"/>
      <c r="Y61" s="3529">
        <v>541.99485500000003</v>
      </c>
      <c r="Z61" s="3529">
        <v>595.56069990000003</v>
      </c>
      <c r="AA61" s="3529">
        <v>649.16003309999996</v>
      </c>
      <c r="AB61" s="3529">
        <v>713.85477560000004</v>
      </c>
    </row>
    <row r="62" spans="5:30" ht="12.75" customHeight="1">
      <c r="E62" s="4503" t="s">
        <v>1745</v>
      </c>
      <c r="F62" s="4505" t="s">
        <v>1720</v>
      </c>
      <c r="G62" s="3509" t="s">
        <v>57</v>
      </c>
      <c r="H62" s="3555">
        <v>17.834986793799999</v>
      </c>
      <c r="I62" s="3531">
        <v>0</v>
      </c>
      <c r="J62" s="3531">
        <v>0</v>
      </c>
      <c r="K62" s="3531">
        <v>0</v>
      </c>
      <c r="L62" s="3531">
        <v>0</v>
      </c>
      <c r="M62" s="3531">
        <v>0</v>
      </c>
      <c r="N62" s="3531">
        <v>0</v>
      </c>
      <c r="O62" s="3531">
        <v>0</v>
      </c>
      <c r="P62" s="3555">
        <v>0</v>
      </c>
      <c r="Q62" s="3531">
        <v>0</v>
      </c>
      <c r="R62" s="3555">
        <v>0</v>
      </c>
      <c r="S62" s="3531">
        <v>0</v>
      </c>
      <c r="T62" s="3511"/>
      <c r="U62" s="3555">
        <v>17.834986793799999</v>
      </c>
      <c r="V62" s="3555">
        <v>17.834986793799999</v>
      </c>
      <c r="W62" s="3531">
        <v>17.834986793799999</v>
      </c>
      <c r="X62" s="3511"/>
      <c r="Y62" s="3531">
        <v>17.834986793799999</v>
      </c>
      <c r="Z62" s="3531">
        <v>0</v>
      </c>
      <c r="AA62" s="3531">
        <v>0</v>
      </c>
      <c r="AB62" s="3531">
        <v>0</v>
      </c>
      <c r="AD62" s="3556"/>
    </row>
    <row r="63" spans="5:30" ht="12.75" customHeight="1">
      <c r="E63" s="4504"/>
      <c r="F63" s="4506"/>
      <c r="G63" s="3513" t="s">
        <v>1096</v>
      </c>
      <c r="H63" s="3557">
        <v>19.564201296099998</v>
      </c>
      <c r="I63" s="3558">
        <v>20.602426600699999</v>
      </c>
      <c r="J63" s="3558">
        <v>28.422384713</v>
      </c>
      <c r="K63" s="3558">
        <v>22.131171900199998</v>
      </c>
      <c r="L63" s="3558">
        <v>31.4618213818</v>
      </c>
      <c r="M63" s="3558">
        <v>31.316638511699999</v>
      </c>
      <c r="N63" s="3558">
        <v>27.887917569199999</v>
      </c>
      <c r="O63" s="3558">
        <v>30.012663141199997</v>
      </c>
      <c r="P63" s="3558">
        <v>33.411986198299999</v>
      </c>
      <c r="Q63" s="3558">
        <v>34.418577155500003</v>
      </c>
      <c r="R63" s="3557">
        <v>32.546148959299998</v>
      </c>
      <c r="S63" s="3558">
        <v>37.238071621900005</v>
      </c>
      <c r="T63" s="3559"/>
      <c r="U63" s="3560">
        <v>19.564201296099998</v>
      </c>
      <c r="V63" s="3560">
        <v>19.564201296099998</v>
      </c>
      <c r="W63" s="3558">
        <v>349.01400904890005</v>
      </c>
      <c r="X63" s="3559"/>
      <c r="Y63" s="3558">
        <v>68.589012609799994</v>
      </c>
      <c r="Z63" s="3558">
        <v>84.909631793699987</v>
      </c>
      <c r="AA63" s="3558">
        <v>91.312566908699992</v>
      </c>
      <c r="AB63" s="3558">
        <v>104.20279773670001</v>
      </c>
    </row>
    <row r="64" spans="5:30" ht="12.75" customHeight="1">
      <c r="E64" s="4503" t="s">
        <v>1746</v>
      </c>
      <c r="F64" s="4505" t="s">
        <v>1720</v>
      </c>
      <c r="G64" s="3509" t="s">
        <v>57</v>
      </c>
      <c r="H64" s="3555">
        <v>0.64356690000000005</v>
      </c>
      <c r="I64" s="3555">
        <v>0</v>
      </c>
      <c r="J64" s="3555">
        <v>0</v>
      </c>
      <c r="K64" s="3555">
        <v>0</v>
      </c>
      <c r="L64" s="3555">
        <v>0</v>
      </c>
      <c r="M64" s="3555">
        <v>0</v>
      </c>
      <c r="N64" s="3555">
        <v>0</v>
      </c>
      <c r="O64" s="3555">
        <v>0</v>
      </c>
      <c r="P64" s="3555">
        <v>0</v>
      </c>
      <c r="Q64" s="3555">
        <v>0</v>
      </c>
      <c r="R64" s="3555">
        <v>0</v>
      </c>
      <c r="S64" s="3555">
        <v>0</v>
      </c>
      <c r="T64" s="3511"/>
      <c r="U64" s="3555">
        <v>0.64356690000000005</v>
      </c>
      <c r="V64" s="3555">
        <v>0.64356690000000005</v>
      </c>
      <c r="W64" s="3555">
        <v>0.64356690000000005</v>
      </c>
      <c r="X64" s="3511"/>
      <c r="Y64" s="3555">
        <v>0.64356690000000005</v>
      </c>
      <c r="Z64" s="3555">
        <v>0</v>
      </c>
      <c r="AA64" s="3555">
        <v>0</v>
      </c>
      <c r="AB64" s="3555">
        <v>0</v>
      </c>
      <c r="AC64" s="3512"/>
    </row>
    <row r="65" spans="5:28" ht="12.75" customHeight="1">
      <c r="E65" s="4504"/>
      <c r="F65" s="4506"/>
      <c r="G65" s="3513" t="s">
        <v>1096</v>
      </c>
      <c r="H65" s="3560">
        <v>0.53494070000000005</v>
      </c>
      <c r="I65" s="3560">
        <v>0.90636320000000004</v>
      </c>
      <c r="J65" s="3560">
        <v>1.0550687999999999</v>
      </c>
      <c r="K65" s="3560">
        <v>0.49130430000000003</v>
      </c>
      <c r="L65" s="3560">
        <v>1.3056648</v>
      </c>
      <c r="M65" s="3560">
        <v>0.7207848</v>
      </c>
      <c r="N65" s="3560">
        <v>0.72180149999999998</v>
      </c>
      <c r="O65" s="3560">
        <v>0.83040570000000002</v>
      </c>
      <c r="P65" s="3560">
        <v>1.0404066000000001</v>
      </c>
      <c r="Q65" s="3560">
        <v>0.91017669999999995</v>
      </c>
      <c r="R65" s="3560">
        <v>0.61046129999999998</v>
      </c>
      <c r="S65" s="3560">
        <v>0.86364589999999997</v>
      </c>
      <c r="T65" s="3559"/>
      <c r="U65" s="3560">
        <v>0.53494070000000005</v>
      </c>
      <c r="V65" s="3560">
        <v>0.53494070000000005</v>
      </c>
      <c r="W65" s="3560">
        <v>9.9910242999999994</v>
      </c>
      <c r="X65" s="3559"/>
      <c r="Y65" s="3560">
        <v>2.4963727000000002</v>
      </c>
      <c r="Z65" s="3560">
        <v>2.5177539000000002</v>
      </c>
      <c r="AA65" s="3560">
        <v>2.5926138000000001</v>
      </c>
      <c r="AB65" s="3560">
        <v>2.3842838999999998</v>
      </c>
    </row>
    <row r="66" spans="5:28" ht="12.75" customHeight="1">
      <c r="E66" s="4503" t="s">
        <v>1747</v>
      </c>
      <c r="F66" s="4505" t="s">
        <v>241</v>
      </c>
      <c r="G66" s="3509" t="s">
        <v>57</v>
      </c>
      <c r="H66" s="3531">
        <v>3.4617675999999999</v>
      </c>
      <c r="I66" s="3531">
        <v>0</v>
      </c>
      <c r="J66" s="3531">
        <v>0</v>
      </c>
      <c r="K66" s="3531">
        <v>0</v>
      </c>
      <c r="L66" s="3531">
        <v>0</v>
      </c>
      <c r="M66" s="3531">
        <v>0</v>
      </c>
      <c r="N66" s="3531">
        <v>0</v>
      </c>
      <c r="O66" s="3531">
        <v>0</v>
      </c>
      <c r="P66" s="3555">
        <v>0</v>
      </c>
      <c r="Q66" s="3531">
        <v>0</v>
      </c>
      <c r="R66" s="3531">
        <v>0</v>
      </c>
      <c r="S66" s="3531">
        <v>0</v>
      </c>
      <c r="T66" s="3532"/>
      <c r="U66" s="3555">
        <v>3.4617675999999999</v>
      </c>
      <c r="V66" s="3555">
        <v>3.4617675999999999</v>
      </c>
      <c r="W66" s="3531">
        <v>3.4617675999999999</v>
      </c>
      <c r="X66" s="3511"/>
      <c r="Y66" s="3531">
        <v>3.4617675999999999</v>
      </c>
      <c r="Z66" s="3531">
        <v>0</v>
      </c>
      <c r="AA66" s="3531">
        <v>0</v>
      </c>
      <c r="AB66" s="3531">
        <v>0</v>
      </c>
    </row>
    <row r="67" spans="5:28" ht="12.75" customHeight="1">
      <c r="E67" s="4504"/>
      <c r="F67" s="4506"/>
      <c r="G67" s="3513" t="s">
        <v>1096</v>
      </c>
      <c r="H67" s="3533">
        <v>3.9351883999999999</v>
      </c>
      <c r="I67" s="3533">
        <v>3.6214797999999999</v>
      </c>
      <c r="J67" s="3533">
        <v>6.0792051999999996</v>
      </c>
      <c r="K67" s="3533">
        <v>3.7700893</v>
      </c>
      <c r="L67" s="3533">
        <v>5.8747714999999996</v>
      </c>
      <c r="M67" s="3533">
        <v>5.6247886999999999</v>
      </c>
      <c r="N67" s="3533">
        <v>4.7663586000000002</v>
      </c>
      <c r="O67" s="3533">
        <v>6.0463313999999997</v>
      </c>
      <c r="P67" s="3533">
        <v>5.8319573</v>
      </c>
      <c r="Q67" s="3533">
        <v>6.1337314000000003</v>
      </c>
      <c r="R67" s="3533">
        <v>5.8845812000000004</v>
      </c>
      <c r="S67" s="3533">
        <v>6.3710183999999996</v>
      </c>
      <c r="T67" s="3532"/>
      <c r="U67" s="3560">
        <v>3.9351883999999999</v>
      </c>
      <c r="V67" s="3560">
        <v>3.9351883999999999</v>
      </c>
      <c r="W67" s="3533">
        <v>63.939501199999995</v>
      </c>
      <c r="X67" s="3511"/>
      <c r="Y67" s="3533">
        <v>13.635873399999999</v>
      </c>
      <c r="Z67" s="3533">
        <v>15.2696495</v>
      </c>
      <c r="AA67" s="3533">
        <v>16.644647299999999</v>
      </c>
      <c r="AB67" s="3533">
        <v>18.389331000000002</v>
      </c>
    </row>
    <row r="68" spans="5:28" ht="12.75" customHeight="1">
      <c r="E68" s="4503" t="s">
        <v>1748</v>
      </c>
      <c r="F68" s="4505" t="s">
        <v>241</v>
      </c>
      <c r="G68" s="3509" t="s">
        <v>57</v>
      </c>
      <c r="H68" s="3531">
        <v>143.22585119999999</v>
      </c>
      <c r="I68" s="3531">
        <v>0</v>
      </c>
      <c r="J68" s="3531">
        <v>0</v>
      </c>
      <c r="K68" s="3531">
        <v>0</v>
      </c>
      <c r="L68" s="3531">
        <v>0</v>
      </c>
      <c r="M68" s="3531">
        <v>0</v>
      </c>
      <c r="N68" s="3531">
        <v>0</v>
      </c>
      <c r="O68" s="3531">
        <v>0</v>
      </c>
      <c r="P68" s="3531">
        <v>0</v>
      </c>
      <c r="Q68" s="3531">
        <v>0</v>
      </c>
      <c r="R68" s="3531">
        <v>0</v>
      </c>
      <c r="S68" s="3531">
        <v>0</v>
      </c>
      <c r="T68" s="3532"/>
      <c r="U68" s="3531">
        <v>143.22585119999999</v>
      </c>
      <c r="V68" s="3531">
        <v>143.22585119999999</v>
      </c>
      <c r="W68" s="3531">
        <v>143.22585119999999</v>
      </c>
      <c r="X68" s="3532"/>
      <c r="Y68" s="3531">
        <v>143.22585119999999</v>
      </c>
      <c r="Z68" s="3531">
        <v>0</v>
      </c>
      <c r="AA68" s="3531">
        <v>0</v>
      </c>
      <c r="AB68" s="3531">
        <v>0</v>
      </c>
    </row>
    <row r="69" spans="5:28" ht="12.75" customHeight="1">
      <c r="E69" s="4504"/>
      <c r="F69" s="4506"/>
      <c r="G69" s="3513" t="s">
        <v>1096</v>
      </c>
      <c r="H69" s="3533">
        <v>150.61449010000001</v>
      </c>
      <c r="I69" s="3533">
        <v>132.80958240000001</v>
      </c>
      <c r="J69" s="3533">
        <v>204.371297</v>
      </c>
      <c r="K69" s="3533">
        <v>136.8213183</v>
      </c>
      <c r="L69" s="3533">
        <v>206.0273163</v>
      </c>
      <c r="M69" s="3533">
        <v>193.15599539999999</v>
      </c>
      <c r="N69" s="3533">
        <v>177.25120759999999</v>
      </c>
      <c r="O69" s="3533">
        <v>196.60653930000001</v>
      </c>
      <c r="P69" s="3533">
        <v>210.38628270000001</v>
      </c>
      <c r="Q69" s="3533">
        <v>213.5303749</v>
      </c>
      <c r="R69" s="3533">
        <v>200.7407437</v>
      </c>
      <c r="S69" s="3533">
        <v>228.19817929999999</v>
      </c>
      <c r="T69" s="3532"/>
      <c r="U69" s="3533">
        <v>150.61449010000001</v>
      </c>
      <c r="V69" s="3533">
        <v>150.61449010000001</v>
      </c>
      <c r="W69" s="3533">
        <v>2250.5133270000001</v>
      </c>
      <c r="X69" s="3532"/>
      <c r="Y69" s="3533">
        <v>487.79536949999999</v>
      </c>
      <c r="Z69" s="3533">
        <v>536.00462999999991</v>
      </c>
      <c r="AA69" s="3533">
        <v>584.24402959999998</v>
      </c>
      <c r="AB69" s="3533">
        <v>642.46929790000002</v>
      </c>
    </row>
    <row r="70" spans="5:28" ht="12.75" customHeight="1">
      <c r="E70" s="3548"/>
      <c r="F70" s="3478"/>
      <c r="G70" s="3549"/>
      <c r="H70" s="3550"/>
      <c r="I70" s="3550"/>
      <c r="J70" s="3550"/>
      <c r="K70" s="3550"/>
      <c r="L70" s="3550"/>
      <c r="M70" s="3550"/>
      <c r="N70" s="3550"/>
      <c r="O70" s="3550"/>
      <c r="P70" s="3550"/>
      <c r="Q70" s="3550"/>
      <c r="R70" s="3550"/>
      <c r="S70" s="3550"/>
      <c r="T70" s="3550"/>
      <c r="U70" s="3550"/>
      <c r="V70" s="3550"/>
      <c r="W70" s="3550"/>
      <c r="Y70" s="3550"/>
      <c r="Z70" s="3550"/>
      <c r="AA70" s="3550"/>
      <c r="AB70" s="3550"/>
    </row>
    <row r="71" spans="5:28" ht="12.75" customHeight="1">
      <c r="E71" s="4503" t="s">
        <v>1749</v>
      </c>
      <c r="F71" s="4505" t="s">
        <v>1720</v>
      </c>
      <c r="G71" s="3509" t="s">
        <v>57</v>
      </c>
      <c r="H71" s="3531">
        <v>59.134070999999999</v>
      </c>
      <c r="I71" s="3531">
        <v>0</v>
      </c>
      <c r="J71" s="3531">
        <v>0</v>
      </c>
      <c r="K71" s="3531">
        <v>0</v>
      </c>
      <c r="L71" s="3531">
        <v>0</v>
      </c>
      <c r="M71" s="3531">
        <v>0</v>
      </c>
      <c r="N71" s="3531">
        <v>0</v>
      </c>
      <c r="O71" s="3531">
        <v>0</v>
      </c>
      <c r="P71" s="3531">
        <v>0</v>
      </c>
      <c r="Q71" s="3531">
        <v>0</v>
      </c>
      <c r="R71" s="3531">
        <v>0</v>
      </c>
      <c r="S71" s="3531">
        <v>0</v>
      </c>
      <c r="T71" s="3532"/>
      <c r="U71" s="3531">
        <v>59.134070999999999</v>
      </c>
      <c r="V71" s="3531">
        <v>59.134070999999999</v>
      </c>
      <c r="W71" s="3531">
        <v>59.134070999999999</v>
      </c>
      <c r="X71" s="3511"/>
      <c r="Y71" s="3531">
        <v>59.134070999999999</v>
      </c>
      <c r="Z71" s="3531">
        <v>0</v>
      </c>
      <c r="AA71" s="3531">
        <v>0</v>
      </c>
      <c r="AB71" s="3531">
        <v>0</v>
      </c>
    </row>
    <row r="72" spans="5:28" ht="12.75" customHeight="1">
      <c r="E72" s="4504"/>
      <c r="F72" s="4506"/>
      <c r="G72" s="3513" t="s">
        <v>1096</v>
      </c>
      <c r="H72" s="3533">
        <v>80</v>
      </c>
      <c r="I72" s="3533">
        <v>70</v>
      </c>
      <c r="J72" s="3533">
        <v>105</v>
      </c>
      <c r="K72" s="3533">
        <v>80</v>
      </c>
      <c r="L72" s="3533">
        <v>110</v>
      </c>
      <c r="M72" s="3533">
        <v>120</v>
      </c>
      <c r="N72" s="3533">
        <v>110</v>
      </c>
      <c r="O72" s="3533">
        <v>110</v>
      </c>
      <c r="P72" s="3533">
        <v>130</v>
      </c>
      <c r="Q72" s="3533">
        <v>120</v>
      </c>
      <c r="R72" s="3533">
        <v>133.16100639999999</v>
      </c>
      <c r="S72" s="3533">
        <v>137.54569269999999</v>
      </c>
      <c r="T72" s="3532"/>
      <c r="U72" s="3533">
        <v>80</v>
      </c>
      <c r="V72" s="3533">
        <v>80</v>
      </c>
      <c r="W72" s="3533">
        <v>1305.7066990999999</v>
      </c>
      <c r="X72" s="3511"/>
      <c r="Y72" s="3533">
        <v>255</v>
      </c>
      <c r="Z72" s="3533">
        <v>310</v>
      </c>
      <c r="AA72" s="3533">
        <v>350</v>
      </c>
      <c r="AB72" s="3533">
        <v>390.70669909999998</v>
      </c>
    </row>
    <row r="73" spans="5:28" ht="12.75" customHeight="1">
      <c r="E73" s="3561"/>
      <c r="F73" s="3478"/>
      <c r="G73" s="3549"/>
      <c r="H73" s="3562"/>
      <c r="I73" s="3563"/>
      <c r="J73" s="3563"/>
      <c r="K73" s="3564"/>
      <c r="L73" s="3550"/>
      <c r="M73" s="3550"/>
      <c r="N73" s="3550"/>
      <c r="O73" s="3550"/>
      <c r="P73" s="3550"/>
      <c r="Q73" s="3550"/>
      <c r="R73" s="3550"/>
      <c r="S73" s="3550"/>
      <c r="T73" s="3550"/>
      <c r="U73" s="3550"/>
      <c r="V73" s="3550"/>
      <c r="W73" s="3550"/>
      <c r="Y73" s="3550"/>
      <c r="Z73" s="3550"/>
      <c r="AA73" s="3550"/>
      <c r="AB73" s="3550"/>
    </row>
    <row r="74" spans="5:28" ht="12.75" customHeight="1">
      <c r="E74" s="3496" t="s">
        <v>1750</v>
      </c>
      <c r="F74" s="3497"/>
      <c r="G74" s="3549"/>
      <c r="H74" s="3565"/>
      <c r="I74" s="3565"/>
      <c r="J74" s="3565"/>
      <c r="K74" s="3565"/>
      <c r="L74" s="3565"/>
      <c r="M74" s="3565"/>
      <c r="N74" s="3565"/>
      <c r="O74" s="3565"/>
      <c r="P74" s="3565"/>
      <c r="Q74" s="3565"/>
      <c r="R74" s="3565"/>
      <c r="S74" s="3565"/>
      <c r="T74" s="3550"/>
      <c r="U74" s="3550"/>
      <c r="V74" s="3550"/>
      <c r="W74" s="3550"/>
      <c r="Y74" s="3550"/>
      <c r="Z74" s="3550"/>
      <c r="AA74" s="3550"/>
      <c r="AB74" s="3550"/>
    </row>
    <row r="75" spans="5:28" ht="12.75" customHeight="1">
      <c r="E75" s="3566" t="s">
        <v>1751</v>
      </c>
      <c r="F75" s="3567"/>
      <c r="G75" s="3568"/>
      <c r="H75" s="3565"/>
      <c r="I75" s="3565"/>
      <c r="J75" s="3565"/>
      <c r="K75" s="3565"/>
      <c r="L75" s="3565"/>
      <c r="M75" s="3565"/>
      <c r="N75" s="3565"/>
      <c r="O75" s="3565"/>
      <c r="P75" s="3565"/>
      <c r="Q75" s="3565"/>
      <c r="R75" s="3565"/>
      <c r="S75" s="3565"/>
      <c r="T75" s="3569"/>
      <c r="U75" s="3569"/>
      <c r="V75" s="3569"/>
      <c r="W75" s="3569"/>
      <c r="Y75" s="3569"/>
      <c r="Z75" s="3569"/>
      <c r="AA75" s="3569"/>
      <c r="AB75" s="3569"/>
    </row>
    <row r="76" spans="5:28" ht="12.75" customHeight="1">
      <c r="E76" s="4523" t="s">
        <v>1751</v>
      </c>
      <c r="F76" s="4501" t="s">
        <v>119</v>
      </c>
      <c r="G76" s="3515" t="s">
        <v>57</v>
      </c>
      <c r="H76" s="3570">
        <v>4250.5285502999996</v>
      </c>
      <c r="I76" s="3570">
        <v>0</v>
      </c>
      <c r="J76" s="3570">
        <v>0</v>
      </c>
      <c r="K76" s="3570">
        <v>0</v>
      </c>
      <c r="L76" s="3570">
        <v>0</v>
      </c>
      <c r="M76" s="3570">
        <v>0</v>
      </c>
      <c r="N76" s="3570">
        <v>0</v>
      </c>
      <c r="O76" s="3570">
        <v>0</v>
      </c>
      <c r="P76" s="3570">
        <v>0</v>
      </c>
      <c r="Q76" s="3570">
        <v>0</v>
      </c>
      <c r="R76" s="3570">
        <v>0</v>
      </c>
      <c r="S76" s="3570">
        <v>0</v>
      </c>
      <c r="T76" s="3571"/>
      <c r="U76" s="3570">
        <v>4250.5285502999996</v>
      </c>
      <c r="V76" s="3570">
        <v>4250.5285502999996</v>
      </c>
      <c r="W76" s="3570">
        <v>4250.5285502999996</v>
      </c>
      <c r="X76" s="3572"/>
      <c r="Y76" s="3570">
        <v>4250.5285502999996</v>
      </c>
      <c r="Z76" s="3570">
        <v>0</v>
      </c>
      <c r="AA76" s="3570">
        <v>0</v>
      </c>
      <c r="AB76" s="3570">
        <v>0</v>
      </c>
    </row>
    <row r="77" spans="5:28" ht="12.75" customHeight="1">
      <c r="E77" s="4524"/>
      <c r="F77" s="4502"/>
      <c r="G77" s="3520" t="s">
        <v>1096</v>
      </c>
      <c r="H77" s="3573">
        <v>5868</v>
      </c>
      <c r="I77" s="3573">
        <v>4312</v>
      </c>
      <c r="J77" s="3573">
        <v>5716.8861334000003</v>
      </c>
      <c r="K77" s="3573">
        <v>3831</v>
      </c>
      <c r="L77" s="3573">
        <v>6017.5727637999998</v>
      </c>
      <c r="M77" s="3573">
        <v>5751</v>
      </c>
      <c r="N77" s="3573">
        <v>5822.2340366999997</v>
      </c>
      <c r="O77" s="3573">
        <v>5438</v>
      </c>
      <c r="P77" s="3573">
        <v>5887.0549348000004</v>
      </c>
      <c r="Q77" s="3573">
        <v>5960</v>
      </c>
      <c r="R77" s="3573">
        <v>5515.0000000999999</v>
      </c>
      <c r="S77" s="3573">
        <v>6168</v>
      </c>
      <c r="T77" s="3571"/>
      <c r="U77" s="3573">
        <v>5868</v>
      </c>
      <c r="V77" s="3573">
        <v>5868</v>
      </c>
      <c r="W77" s="3573">
        <v>66286.747868799997</v>
      </c>
      <c r="X77" s="3572"/>
      <c r="Y77" s="3573">
        <v>15896.886133399999</v>
      </c>
      <c r="Z77" s="3573">
        <v>15599.572763799999</v>
      </c>
      <c r="AA77" s="3573">
        <v>17147.288971499998</v>
      </c>
      <c r="AB77" s="3573">
        <v>17643.000000100001</v>
      </c>
    </row>
    <row r="78" spans="5:28" ht="12.75" customHeight="1">
      <c r="E78" s="4523" t="s">
        <v>1752</v>
      </c>
      <c r="F78" s="4501" t="s">
        <v>48</v>
      </c>
      <c r="G78" s="3515" t="s">
        <v>57</v>
      </c>
      <c r="H78" s="3574">
        <v>72.521505399999995</v>
      </c>
      <c r="I78" s="3574">
        <v>0</v>
      </c>
      <c r="J78" s="3574">
        <v>0</v>
      </c>
      <c r="K78" s="3574">
        <v>0</v>
      </c>
      <c r="L78" s="3574">
        <v>0</v>
      </c>
      <c r="M78" s="3574">
        <v>0</v>
      </c>
      <c r="N78" s="3574">
        <v>0</v>
      </c>
      <c r="O78" s="3574">
        <v>0</v>
      </c>
      <c r="P78" s="3574">
        <v>0</v>
      </c>
      <c r="Q78" s="3574">
        <v>0</v>
      </c>
      <c r="R78" s="3574">
        <v>0</v>
      </c>
      <c r="S78" s="3574">
        <v>0</v>
      </c>
      <c r="T78" s="3575"/>
      <c r="U78" s="3574">
        <v>72.521505399999995</v>
      </c>
      <c r="V78" s="3574">
        <v>72.521505376344081</v>
      </c>
      <c r="W78" s="3574">
        <v>6.1593607305936073</v>
      </c>
      <c r="X78" s="3576"/>
      <c r="Y78" s="3574">
        <v>24.979629629629628</v>
      </c>
      <c r="Z78" s="3574">
        <v>0</v>
      </c>
      <c r="AA78" s="3574">
        <v>0</v>
      </c>
      <c r="AB78" s="3574">
        <v>0</v>
      </c>
    </row>
    <row r="79" spans="5:28" ht="12.75" customHeight="1">
      <c r="E79" s="4524"/>
      <c r="F79" s="4502"/>
      <c r="G79" s="3520" t="s">
        <v>1096</v>
      </c>
      <c r="H79" s="3577">
        <v>88.844089999999994</v>
      </c>
      <c r="I79" s="3577">
        <v>77.380949999999999</v>
      </c>
      <c r="J79" s="3577">
        <v>92.069890000000001</v>
      </c>
      <c r="K79" s="3577">
        <v>86.111109999999996</v>
      </c>
      <c r="L79" s="3577">
        <v>93.279570000000007</v>
      </c>
      <c r="M79" s="3577">
        <v>87.777780000000007</v>
      </c>
      <c r="N79" s="3577">
        <v>91.935479999999998</v>
      </c>
      <c r="O79" s="3577">
        <v>78.897850000000005</v>
      </c>
      <c r="P79" s="3577">
        <v>90.416669999999996</v>
      </c>
      <c r="Q79" s="3577">
        <v>86.155910000000006</v>
      </c>
      <c r="R79" s="3577">
        <v>91.527780000000007</v>
      </c>
      <c r="S79" s="3577">
        <v>89.247309999999999</v>
      </c>
      <c r="T79" s="3575"/>
      <c r="U79" s="3577">
        <v>88.844089999999994</v>
      </c>
      <c r="V79" s="3577">
        <v>88.844086021505376</v>
      </c>
      <c r="W79" s="3577">
        <v>89.103652968036528</v>
      </c>
      <c r="X79" s="3576"/>
      <c r="Y79" s="3577">
        <v>89.166666666666671</v>
      </c>
      <c r="Z79" s="3577">
        <v>87.980769230769226</v>
      </c>
      <c r="AA79" s="3577">
        <v>90.828804347826093</v>
      </c>
      <c r="AB79" s="3577">
        <v>88.427536231884062</v>
      </c>
    </row>
    <row r="80" spans="5:28" ht="12.75" customHeight="1">
      <c r="E80" s="4523" t="s">
        <v>1753</v>
      </c>
      <c r="F80" s="4501" t="s">
        <v>48</v>
      </c>
      <c r="G80" s="3515" t="s">
        <v>57</v>
      </c>
      <c r="H80" s="3574">
        <v>96.289781683223367</v>
      </c>
      <c r="I80" s="3574">
        <v>0</v>
      </c>
      <c r="J80" s="3574">
        <v>0</v>
      </c>
      <c r="K80" s="3574">
        <v>0</v>
      </c>
      <c r="L80" s="3574">
        <v>0</v>
      </c>
      <c r="M80" s="3574">
        <v>0</v>
      </c>
      <c r="N80" s="3574">
        <v>0</v>
      </c>
      <c r="O80" s="3574">
        <v>0</v>
      </c>
      <c r="P80" s="3574">
        <v>0</v>
      </c>
      <c r="Q80" s="3574">
        <v>0</v>
      </c>
      <c r="R80" s="3574">
        <v>0</v>
      </c>
      <c r="S80" s="3574">
        <v>0</v>
      </c>
      <c r="T80" s="3575"/>
      <c r="U80" s="3574">
        <v>96.289781683223367</v>
      </c>
      <c r="V80" s="3574">
        <v>96.289781683223367</v>
      </c>
      <c r="W80" s="3574">
        <v>96.289781683223367</v>
      </c>
      <c r="X80" s="3576"/>
      <c r="Y80" s="3574">
        <v>96.289781683223367</v>
      </c>
      <c r="Z80" s="3574">
        <v>0</v>
      </c>
      <c r="AA80" s="3574">
        <v>0</v>
      </c>
      <c r="AB80" s="3574">
        <v>0</v>
      </c>
    </row>
    <row r="81" spans="5:28" ht="12.75" customHeight="1">
      <c r="E81" s="4524"/>
      <c r="F81" s="4502"/>
      <c r="G81" s="3520" t="s">
        <v>1096</v>
      </c>
      <c r="H81" s="3577">
        <v>73.827534039334338</v>
      </c>
      <c r="I81" s="3577">
        <v>60.519698239731767</v>
      </c>
      <c r="J81" s="3577">
        <v>71.204188481675388</v>
      </c>
      <c r="K81" s="3577">
        <v>48.731744811683321</v>
      </c>
      <c r="L81" s="3577">
        <v>74.277242401779091</v>
      </c>
      <c r="M81" s="3577">
        <v>76.948868398994136</v>
      </c>
      <c r="N81" s="3577">
        <v>70.324909747292423</v>
      </c>
      <c r="O81" s="3577">
        <v>64.921465968586389</v>
      </c>
      <c r="P81" s="3577">
        <v>74.786656322730806</v>
      </c>
      <c r="Q81" s="3577">
        <v>70.469314079422389</v>
      </c>
      <c r="R81" s="3577">
        <v>78.593078170155778</v>
      </c>
      <c r="S81" s="3577">
        <v>71.768953068592054</v>
      </c>
      <c r="T81" s="3575"/>
      <c r="U81" s="3577">
        <v>73.827534039334338</v>
      </c>
      <c r="V81" s="3577">
        <v>73.827534039334338</v>
      </c>
      <c r="W81" s="3577">
        <v>69.643378754413561</v>
      </c>
      <c r="X81" s="3576"/>
      <c r="Y81" s="3577">
        <v>68.795430944963655</v>
      </c>
      <c r="Z81" s="3577">
        <v>66.458495966692681</v>
      </c>
      <c r="AA81" s="3577">
        <v>69.957616554475194</v>
      </c>
      <c r="AB81" s="3577">
        <v>73.291403753175445</v>
      </c>
    </row>
    <row r="82" spans="5:28" ht="12.75" customHeight="1">
      <c r="E82" s="4523" t="s">
        <v>1754</v>
      </c>
      <c r="F82" s="4501" t="s">
        <v>48</v>
      </c>
      <c r="G82" s="3515" t="s">
        <v>57</v>
      </c>
      <c r="H82" s="3574">
        <v>69.830799223047038</v>
      </c>
      <c r="I82" s="3574">
        <v>0</v>
      </c>
      <c r="J82" s="3574">
        <v>0</v>
      </c>
      <c r="K82" s="3574">
        <v>0</v>
      </c>
      <c r="L82" s="3574">
        <v>0</v>
      </c>
      <c r="M82" s="3574">
        <v>0</v>
      </c>
      <c r="N82" s="3574">
        <v>0</v>
      </c>
      <c r="O82" s="3574">
        <v>0</v>
      </c>
      <c r="P82" s="3574">
        <v>0</v>
      </c>
      <c r="Q82" s="3574">
        <v>0</v>
      </c>
      <c r="R82" s="3574">
        <v>0</v>
      </c>
      <c r="S82" s="3574">
        <v>0</v>
      </c>
      <c r="T82" s="3575"/>
      <c r="U82" s="3574">
        <v>69.830799223047038</v>
      </c>
      <c r="V82" s="3574">
        <v>69.830799200268814</v>
      </c>
      <c r="W82" s="3574">
        <v>5.9308350005707773</v>
      </c>
      <c r="X82" s="3576"/>
      <c r="Y82" s="3574">
        <v>24.052830835648148</v>
      </c>
      <c r="Z82" s="3574">
        <v>0</v>
      </c>
      <c r="AA82" s="3574">
        <v>0</v>
      </c>
      <c r="AB82" s="3574">
        <v>0</v>
      </c>
    </row>
    <row r="83" spans="5:28" ht="12.75" customHeight="1">
      <c r="E83" s="4524"/>
      <c r="F83" s="4502"/>
      <c r="G83" s="3520" t="s">
        <v>1096</v>
      </c>
      <c r="H83" s="3577">
        <v>65.591400786686833</v>
      </c>
      <c r="I83" s="3577">
        <v>46.830717435037712</v>
      </c>
      <c r="J83" s="3577">
        <v>65.557618010471202</v>
      </c>
      <c r="K83" s="3577">
        <v>41.963446379707911</v>
      </c>
      <c r="L83" s="3577">
        <v>69.285492320237211</v>
      </c>
      <c r="M83" s="3577">
        <v>67.544008415758597</v>
      </c>
      <c r="N83" s="3577">
        <v>64.653543335740082</v>
      </c>
      <c r="O83" s="3577">
        <v>51.221640837696341</v>
      </c>
      <c r="P83" s="3577">
        <v>67.619604251357643</v>
      </c>
      <c r="Q83" s="3577">
        <v>60.713478815884486</v>
      </c>
      <c r="R83" s="3577">
        <v>71.934499682808209</v>
      </c>
      <c r="S83" s="3577">
        <v>64.051860028880867</v>
      </c>
      <c r="T83" s="3575"/>
      <c r="U83" s="3577">
        <v>65.591400786686833</v>
      </c>
      <c r="V83" s="3577">
        <v>65.591397849462368</v>
      </c>
      <c r="W83" s="3577">
        <v>62.054794520547937</v>
      </c>
      <c r="X83" s="3576"/>
      <c r="Y83" s="3577">
        <v>61.342592592592602</v>
      </c>
      <c r="Z83" s="3577">
        <v>58.470695970695964</v>
      </c>
      <c r="AA83" s="3577">
        <v>63.541666666666671</v>
      </c>
      <c r="AB83" s="3577">
        <v>64.809782608695656</v>
      </c>
    </row>
    <row r="84" spans="5:28" ht="12.75" customHeight="1">
      <c r="E84" s="4523" t="s">
        <v>1755</v>
      </c>
      <c r="F84" s="4501" t="s">
        <v>1756</v>
      </c>
      <c r="G84" s="3515" t="s">
        <v>57</v>
      </c>
      <c r="H84" s="3570">
        <v>1079.1199999999999</v>
      </c>
      <c r="I84" s="3570">
        <v>0</v>
      </c>
      <c r="J84" s="3570">
        <v>0</v>
      </c>
      <c r="K84" s="3570">
        <v>0</v>
      </c>
      <c r="L84" s="3570">
        <v>0</v>
      </c>
      <c r="M84" s="3570">
        <v>0</v>
      </c>
      <c r="N84" s="3570">
        <v>0</v>
      </c>
      <c r="O84" s="3570">
        <v>0</v>
      </c>
      <c r="P84" s="3570">
        <v>0</v>
      </c>
      <c r="Q84" s="3570">
        <v>0</v>
      </c>
      <c r="R84" s="3570">
        <v>0</v>
      </c>
      <c r="S84" s="3570">
        <v>0</v>
      </c>
      <c r="T84" s="3571"/>
      <c r="U84" s="3570">
        <v>1079.1199999999999</v>
      </c>
      <c r="V84" s="3570">
        <v>1079.1199999999999</v>
      </c>
      <c r="W84" s="3570">
        <v>1079.1199999999999</v>
      </c>
      <c r="X84" s="3572"/>
      <c r="Y84" s="3570">
        <v>1079.1199999999999</v>
      </c>
      <c r="Z84" s="3570">
        <v>0</v>
      </c>
      <c r="AA84" s="3570">
        <v>0</v>
      </c>
      <c r="AB84" s="3570">
        <v>0</v>
      </c>
    </row>
    <row r="85" spans="5:28" ht="12.75" customHeight="1">
      <c r="E85" s="4524"/>
      <c r="F85" s="4502"/>
      <c r="G85" s="3520" t="s">
        <v>1096</v>
      </c>
      <c r="H85" s="3573">
        <v>1322</v>
      </c>
      <c r="I85" s="3573">
        <v>1193</v>
      </c>
      <c r="J85" s="3573">
        <v>1337</v>
      </c>
      <c r="K85" s="3573">
        <v>1301</v>
      </c>
      <c r="L85" s="3573">
        <v>1349</v>
      </c>
      <c r="M85" s="3573">
        <v>1193</v>
      </c>
      <c r="N85" s="3573">
        <v>1385</v>
      </c>
      <c r="O85" s="3573">
        <v>1337</v>
      </c>
      <c r="P85" s="3573">
        <v>1289</v>
      </c>
      <c r="Q85" s="3573">
        <v>1385</v>
      </c>
      <c r="R85" s="3573">
        <v>1134.96</v>
      </c>
      <c r="S85" s="3573">
        <v>1385</v>
      </c>
      <c r="T85" s="3571"/>
      <c r="U85" s="3573">
        <v>1322</v>
      </c>
      <c r="V85" s="3573">
        <v>1322</v>
      </c>
      <c r="W85" s="3573">
        <v>15610.96</v>
      </c>
      <c r="X85" s="3572"/>
      <c r="Y85" s="3573">
        <v>3852</v>
      </c>
      <c r="Z85" s="3573">
        <v>3843</v>
      </c>
      <c r="AA85" s="3573">
        <v>4011</v>
      </c>
      <c r="AB85" s="3573">
        <v>3904.96</v>
      </c>
    </row>
    <row r="86" spans="5:28" ht="12.75" customHeight="1">
      <c r="E86" s="4523" t="s">
        <v>1757</v>
      </c>
      <c r="F86" s="4501" t="s">
        <v>1756</v>
      </c>
      <c r="G86" s="3515" t="s">
        <v>57</v>
      </c>
      <c r="H86" s="3570">
        <v>1039.0822920999999</v>
      </c>
      <c r="I86" s="3570">
        <v>0</v>
      </c>
      <c r="J86" s="3570">
        <v>0</v>
      </c>
      <c r="K86" s="3570">
        <v>0</v>
      </c>
      <c r="L86" s="3570">
        <v>0</v>
      </c>
      <c r="M86" s="3570">
        <v>0</v>
      </c>
      <c r="N86" s="3570">
        <v>0</v>
      </c>
      <c r="O86" s="3570">
        <v>0</v>
      </c>
      <c r="P86" s="3570">
        <v>0</v>
      </c>
      <c r="Q86" s="3570">
        <v>0</v>
      </c>
      <c r="R86" s="3570">
        <v>0</v>
      </c>
      <c r="S86" s="3570">
        <v>0</v>
      </c>
      <c r="T86" s="3571"/>
      <c r="U86" s="3570">
        <v>1039.0822920999999</v>
      </c>
      <c r="V86" s="3570">
        <v>1039.0822920999999</v>
      </c>
      <c r="W86" s="3570">
        <v>1039.0822920999999</v>
      </c>
      <c r="X86" s="3572"/>
      <c r="Y86" s="3570">
        <v>1039.0822920999999</v>
      </c>
      <c r="Z86" s="3570">
        <v>0</v>
      </c>
      <c r="AA86" s="3570">
        <v>0</v>
      </c>
      <c r="AB86" s="3570">
        <v>0</v>
      </c>
    </row>
    <row r="87" spans="5:28" ht="12.75" customHeight="1">
      <c r="E87" s="4524"/>
      <c r="F87" s="4502"/>
      <c r="G87" s="3520" t="s">
        <v>1096</v>
      </c>
      <c r="H87" s="3573">
        <v>976</v>
      </c>
      <c r="I87" s="3573">
        <v>722</v>
      </c>
      <c r="J87" s="3573">
        <v>952</v>
      </c>
      <c r="K87" s="3573">
        <v>634</v>
      </c>
      <c r="L87" s="3573">
        <v>1002</v>
      </c>
      <c r="M87" s="3573">
        <v>918</v>
      </c>
      <c r="N87" s="3573">
        <v>974</v>
      </c>
      <c r="O87" s="3573">
        <v>868</v>
      </c>
      <c r="P87" s="3573">
        <v>964</v>
      </c>
      <c r="Q87" s="3573">
        <v>976</v>
      </c>
      <c r="R87" s="3573">
        <v>892</v>
      </c>
      <c r="S87" s="3573">
        <v>994</v>
      </c>
      <c r="T87" s="3571"/>
      <c r="U87" s="3573">
        <v>976</v>
      </c>
      <c r="V87" s="3573">
        <v>976</v>
      </c>
      <c r="W87" s="3573">
        <v>10872</v>
      </c>
      <c r="X87" s="3572"/>
      <c r="Y87" s="3573">
        <v>2650</v>
      </c>
      <c r="Z87" s="3573">
        <v>2554</v>
      </c>
      <c r="AA87" s="3573">
        <v>2806</v>
      </c>
      <c r="AB87" s="3573">
        <v>2862</v>
      </c>
    </row>
    <row r="88" spans="5:28" ht="12.75" customHeight="1">
      <c r="E88" s="4499" t="s">
        <v>1758</v>
      </c>
      <c r="F88" s="4501" t="s">
        <v>121</v>
      </c>
      <c r="G88" s="3515" t="s">
        <v>57</v>
      </c>
      <c r="H88" s="3523">
        <v>7953.5303524000001</v>
      </c>
      <c r="I88" s="3523">
        <v>0</v>
      </c>
      <c r="J88" s="3523">
        <v>0</v>
      </c>
      <c r="K88" s="3523">
        <v>0</v>
      </c>
      <c r="L88" s="3523">
        <v>0</v>
      </c>
      <c r="M88" s="3523">
        <v>0</v>
      </c>
      <c r="N88" s="3523">
        <v>0</v>
      </c>
      <c r="O88" s="3523">
        <v>0</v>
      </c>
      <c r="P88" s="3523">
        <v>0</v>
      </c>
      <c r="Q88" s="3523">
        <v>0</v>
      </c>
      <c r="R88" s="3523">
        <v>0</v>
      </c>
      <c r="S88" s="3523">
        <v>0</v>
      </c>
      <c r="T88" s="3542"/>
      <c r="U88" s="3523">
        <v>7953.5303524000001</v>
      </c>
      <c r="V88" s="3523">
        <v>8181.3126498568681</v>
      </c>
      <c r="W88" s="3523">
        <v>8181.3126498568681</v>
      </c>
      <c r="Y88" s="3523">
        <v>8181.3126498568681</v>
      </c>
      <c r="Z88" s="3523">
        <v>0</v>
      </c>
      <c r="AA88" s="3523">
        <v>0</v>
      </c>
      <c r="AB88" s="3523">
        <v>0</v>
      </c>
    </row>
    <row r="89" spans="5:28" ht="12.75" customHeight="1">
      <c r="E89" s="4524"/>
      <c r="F89" s="4502"/>
      <c r="G89" s="3520" t="s">
        <v>1096</v>
      </c>
      <c r="H89" s="3525">
        <v>6012.2950819999996</v>
      </c>
      <c r="I89" s="3525">
        <v>5972.2991689999999</v>
      </c>
      <c r="J89" s="3525">
        <v>6005.1324930000001</v>
      </c>
      <c r="K89" s="3525">
        <v>6042.5867508000001</v>
      </c>
      <c r="L89" s="3525">
        <v>6005.5616405999999</v>
      </c>
      <c r="M89" s="3525">
        <v>6264.7058823999996</v>
      </c>
      <c r="N89" s="3525">
        <v>5977.6530150999997</v>
      </c>
      <c r="O89" s="3525">
        <v>6264.9769586000002</v>
      </c>
      <c r="P89" s="3525">
        <v>6106.9034592999997</v>
      </c>
      <c r="Q89" s="3525">
        <v>6106.5573770000001</v>
      </c>
      <c r="R89" s="3525">
        <v>6182.7354261</v>
      </c>
      <c r="S89" s="3525">
        <v>6205.2313882999997</v>
      </c>
      <c r="T89" s="3542"/>
      <c r="U89" s="3525">
        <v>12024.590163934427</v>
      </c>
      <c r="V89" s="3525">
        <v>12024.590163934427</v>
      </c>
      <c r="W89" s="3525">
        <v>12194.030145106695</v>
      </c>
      <c r="Y89" s="3525">
        <v>11997.649911999999</v>
      </c>
      <c r="Z89" s="3525">
        <v>12215.796995927954</v>
      </c>
      <c r="AA89" s="3525">
        <v>12221.873821454026</v>
      </c>
      <c r="AB89" s="3525">
        <v>12329.140461285815</v>
      </c>
    </row>
    <row r="90" spans="5:28" ht="12.75" customHeight="1">
      <c r="E90" s="3566" t="str">
        <f>'[19]P. Conc'!E90</f>
        <v>Molienda</v>
      </c>
      <c r="F90" s="3567"/>
      <c r="G90" s="3568"/>
      <c r="H90" s="3578"/>
      <c r="I90" s="3578"/>
      <c r="J90" s="3578"/>
      <c r="K90" s="3578"/>
      <c r="L90" s="3578"/>
      <c r="M90" s="3578"/>
      <c r="N90" s="3578"/>
      <c r="O90" s="3578"/>
      <c r="P90" s="3578"/>
      <c r="Q90" s="3578"/>
      <c r="R90" s="3578"/>
      <c r="S90" s="3578"/>
      <c r="T90" s="3578"/>
      <c r="U90" s="3578"/>
      <c r="V90" s="3578"/>
      <c r="W90" s="3578"/>
      <c r="Y90" s="3578"/>
      <c r="Z90" s="3578"/>
      <c r="AA90" s="3578"/>
      <c r="AB90" s="3578"/>
    </row>
    <row r="91" spans="5:28" ht="12.75" customHeight="1">
      <c r="E91" s="4499" t="s">
        <v>120</v>
      </c>
      <c r="F91" s="4501" t="s">
        <v>119</v>
      </c>
      <c r="G91" s="3515" t="s">
        <v>57</v>
      </c>
      <c r="H91" s="3570">
        <v>3982.3933587000001</v>
      </c>
      <c r="I91" s="3570">
        <v>0</v>
      </c>
      <c r="J91" s="3570">
        <v>0</v>
      </c>
      <c r="K91" s="3570">
        <v>0</v>
      </c>
      <c r="L91" s="3570">
        <v>0</v>
      </c>
      <c r="M91" s="3570">
        <v>0</v>
      </c>
      <c r="N91" s="3570">
        <v>0</v>
      </c>
      <c r="O91" s="3570">
        <v>0</v>
      </c>
      <c r="P91" s="3570">
        <v>0</v>
      </c>
      <c r="Q91" s="3570">
        <v>0</v>
      </c>
      <c r="R91" s="3570">
        <v>0</v>
      </c>
      <c r="S91" s="3570">
        <v>0</v>
      </c>
      <c r="T91" s="3571"/>
      <c r="U91" s="3570">
        <v>3982.3933587000001</v>
      </c>
      <c r="V91" s="3570">
        <v>3982.3933587000001</v>
      </c>
      <c r="W91" s="3570">
        <v>3982.3933587000001</v>
      </c>
      <c r="X91" s="3572"/>
      <c r="Y91" s="3570">
        <v>3982.3933587000001</v>
      </c>
      <c r="Z91" s="3570">
        <v>0</v>
      </c>
      <c r="AA91" s="3570">
        <v>0</v>
      </c>
      <c r="AB91" s="3570">
        <v>0</v>
      </c>
    </row>
    <row r="92" spans="5:28" ht="12.75" customHeight="1">
      <c r="E92" s="4500"/>
      <c r="F92" s="4502"/>
      <c r="G92" s="3520" t="s">
        <v>1096</v>
      </c>
      <c r="H92" s="3573">
        <v>4946.1054922000003</v>
      </c>
      <c r="I92" s="3573">
        <v>4408.0777472</v>
      </c>
      <c r="J92" s="3573">
        <v>5835.7550738</v>
      </c>
      <c r="K92" s="3573">
        <v>3980.5481482999999</v>
      </c>
      <c r="L92" s="3573">
        <v>6129.4208066000001</v>
      </c>
      <c r="M92" s="3573">
        <v>5958.2514527000003</v>
      </c>
      <c r="N92" s="3573">
        <v>5834.3369893999998</v>
      </c>
      <c r="O92" s="3573">
        <v>5718.2081152999999</v>
      </c>
      <c r="P92" s="3573">
        <v>5688.8212959000002</v>
      </c>
      <c r="Q92" s="3573">
        <v>5994.4699651999999</v>
      </c>
      <c r="R92" s="3573">
        <v>5578.2795626999996</v>
      </c>
      <c r="S92" s="3573">
        <v>6159.8946341999999</v>
      </c>
      <c r="T92" s="3571"/>
      <c r="U92" s="3573">
        <v>4946.1054922000003</v>
      </c>
      <c r="V92" s="3573">
        <v>4946.1054922000003</v>
      </c>
      <c r="W92" s="3573">
        <v>66232.169283499999</v>
      </c>
      <c r="X92" s="3572"/>
      <c r="Y92" s="3573">
        <v>15189.9383132</v>
      </c>
      <c r="Z92" s="3573">
        <v>16068.2204076</v>
      </c>
      <c r="AA92" s="3573">
        <v>17241.3664006</v>
      </c>
      <c r="AB92" s="3573">
        <v>17732.644162099998</v>
      </c>
    </row>
    <row r="93" spans="5:28" ht="12.75" customHeight="1">
      <c r="E93" s="4523" t="s">
        <v>1764</v>
      </c>
      <c r="F93" s="4501" t="s">
        <v>48</v>
      </c>
      <c r="G93" s="3515" t="s">
        <v>57</v>
      </c>
      <c r="H93" s="3579">
        <v>68.643442622950815</v>
      </c>
      <c r="I93" s="3579">
        <v>0</v>
      </c>
      <c r="J93" s="3579">
        <v>0</v>
      </c>
      <c r="K93" s="3574">
        <v>0</v>
      </c>
      <c r="L93" s="3574">
        <v>0</v>
      </c>
      <c r="M93" s="3574">
        <v>0</v>
      </c>
      <c r="N93" s="3574">
        <v>0</v>
      </c>
      <c r="O93" s="3574">
        <v>0</v>
      </c>
      <c r="P93" s="3574">
        <v>0</v>
      </c>
      <c r="Q93" s="3579">
        <v>0</v>
      </c>
      <c r="R93" s="3574">
        <v>0</v>
      </c>
      <c r="S93" s="3574">
        <v>0</v>
      </c>
      <c r="T93" s="3575"/>
      <c r="U93" s="3574">
        <v>68.643442622950815</v>
      </c>
      <c r="V93" s="3574">
        <v>68.643442622950815</v>
      </c>
      <c r="W93" s="3574">
        <v>68.643442622950815</v>
      </c>
      <c r="X93" s="3576"/>
      <c r="Y93" s="3574">
        <v>68.643442622950815</v>
      </c>
      <c r="Z93" s="3574">
        <v>0</v>
      </c>
      <c r="AA93" s="3574">
        <v>0</v>
      </c>
      <c r="AB93" s="3574">
        <v>0</v>
      </c>
    </row>
    <row r="94" spans="5:28" ht="12.75" customHeight="1">
      <c r="E94" s="4524"/>
      <c r="F94" s="4502"/>
      <c r="G94" s="3520" t="s">
        <v>1096</v>
      </c>
      <c r="H94" s="3577">
        <v>92.677479838709672</v>
      </c>
      <c r="I94" s="3577">
        <v>85.017221726190471</v>
      </c>
      <c r="J94" s="3577">
        <v>96.116297043010761</v>
      </c>
      <c r="K94" s="3577">
        <v>87.640994444444445</v>
      </c>
      <c r="L94" s="3577">
        <v>96.728212365591389</v>
      </c>
      <c r="M94" s="3577">
        <v>97.508527777777772</v>
      </c>
      <c r="N94" s="3577">
        <v>95.18407392473118</v>
      </c>
      <c r="O94" s="3577">
        <v>92.425961021505373</v>
      </c>
      <c r="P94" s="3577">
        <v>95.60915972222223</v>
      </c>
      <c r="Q94" s="3577">
        <v>97.432551075268819</v>
      </c>
      <c r="R94" s="3577">
        <v>97.659599999999998</v>
      </c>
      <c r="S94" s="3577">
        <v>97.093709677419355</v>
      </c>
      <c r="T94" s="3575"/>
      <c r="U94" s="3577">
        <v>92.677479838709672</v>
      </c>
      <c r="V94" s="3577">
        <v>92.677479838709672</v>
      </c>
      <c r="W94" s="3577">
        <v>94.329965753424659</v>
      </c>
      <c r="X94" s="3576"/>
      <c r="Y94" s="3577">
        <v>91.478769907407411</v>
      </c>
      <c r="Z94" s="3577">
        <v>93.989673076923069</v>
      </c>
      <c r="AA94" s="3577">
        <v>94.393324728260879</v>
      </c>
      <c r="AB94" s="3577">
        <v>97.392413949275351</v>
      </c>
    </row>
    <row r="95" spans="5:28" ht="12.75" customHeight="1">
      <c r="E95" s="4523" t="s">
        <v>1765</v>
      </c>
      <c r="F95" s="4501" t="s">
        <v>48</v>
      </c>
      <c r="G95" s="3515" t="s">
        <v>57</v>
      </c>
      <c r="H95" s="3579">
        <v>94.431508348757148</v>
      </c>
      <c r="I95" s="3579">
        <v>0</v>
      </c>
      <c r="J95" s="3579">
        <v>0</v>
      </c>
      <c r="K95" s="3579">
        <v>0</v>
      </c>
      <c r="L95" s="3579">
        <v>0</v>
      </c>
      <c r="M95" s="3579">
        <v>0</v>
      </c>
      <c r="N95" s="3579">
        <v>0</v>
      </c>
      <c r="O95" s="3579">
        <v>0</v>
      </c>
      <c r="P95" s="3579">
        <v>0</v>
      </c>
      <c r="Q95" s="3579">
        <v>0</v>
      </c>
      <c r="R95" s="3579">
        <v>0</v>
      </c>
      <c r="S95" s="3579">
        <v>0</v>
      </c>
      <c r="T95" s="3542"/>
      <c r="U95" s="3528">
        <v>94.431508348757148</v>
      </c>
      <c r="V95" s="3528">
        <v>94.431508348757148</v>
      </c>
      <c r="W95" s="3528">
        <v>94.431508348757148</v>
      </c>
      <c r="Y95" s="3528">
        <v>94.431508348757148</v>
      </c>
      <c r="Z95" s="3528">
        <v>0</v>
      </c>
      <c r="AA95" s="3528">
        <v>0</v>
      </c>
      <c r="AB95" s="3528">
        <v>0</v>
      </c>
    </row>
    <row r="96" spans="5:28" ht="12.75" customHeight="1">
      <c r="E96" s="4524"/>
      <c r="F96" s="4502"/>
      <c r="G96" s="3520" t="s">
        <v>1096</v>
      </c>
      <c r="H96" s="3580">
        <v>86.853164423543618</v>
      </c>
      <c r="I96" s="3580">
        <v>97.78166706524955</v>
      </c>
      <c r="J96" s="3580">
        <v>98.912931348217612</v>
      </c>
      <c r="K96" s="3580">
        <v>77.685911775765774</v>
      </c>
      <c r="L96" s="3580">
        <v>98.963079540987465</v>
      </c>
      <c r="M96" s="3580">
        <v>98.989567009381247</v>
      </c>
      <c r="N96" s="3580">
        <v>98.902284708642711</v>
      </c>
      <c r="O96" s="3580">
        <v>98.682008841281927</v>
      </c>
      <c r="P96" s="3580">
        <v>98.870737411186255</v>
      </c>
      <c r="Q96" s="3580">
        <v>99.021399115666156</v>
      </c>
      <c r="R96" s="3580">
        <v>98.991130074940571</v>
      </c>
      <c r="S96" s="3580">
        <v>98.966982900346252</v>
      </c>
      <c r="T96" s="3542"/>
      <c r="U96" s="3580">
        <v>86.853164423543618</v>
      </c>
      <c r="V96" s="3529">
        <v>86.853164423543618</v>
      </c>
      <c r="W96" s="3580">
        <v>96.215564664038951</v>
      </c>
      <c r="Y96" s="3580">
        <v>94.377490742347433</v>
      </c>
      <c r="Z96" s="3580">
        <v>92.43148967691161</v>
      </c>
      <c r="AA96" s="3580">
        <v>98.819188630429139</v>
      </c>
      <c r="AB96" s="3580">
        <v>98.99322203592827</v>
      </c>
    </row>
    <row r="97" spans="4:29" ht="12.75" customHeight="1">
      <c r="E97" s="4523" t="s">
        <v>1766</v>
      </c>
      <c r="F97" s="4501" t="s">
        <v>48</v>
      </c>
      <c r="G97" s="3515" t="s">
        <v>57</v>
      </c>
      <c r="H97" s="3574">
        <v>64.821038251366119</v>
      </c>
      <c r="I97" s="3574">
        <v>0</v>
      </c>
      <c r="J97" s="3574">
        <v>0</v>
      </c>
      <c r="K97" s="3574">
        <v>0</v>
      </c>
      <c r="L97" s="3574">
        <v>0</v>
      </c>
      <c r="M97" s="3579">
        <v>0</v>
      </c>
      <c r="N97" s="3574">
        <v>0</v>
      </c>
      <c r="O97" s="3574">
        <v>0</v>
      </c>
      <c r="P97" s="3574">
        <v>0</v>
      </c>
      <c r="Q97" s="3574">
        <v>0</v>
      </c>
      <c r="R97" s="3574">
        <v>0</v>
      </c>
      <c r="S97" s="3574">
        <v>0</v>
      </c>
      <c r="T97" s="3575"/>
      <c r="U97" s="3574">
        <v>64.821038251366119</v>
      </c>
      <c r="V97" s="3574">
        <v>64.821038251366119</v>
      </c>
      <c r="W97" s="3574">
        <v>64.821038251366119</v>
      </c>
      <c r="X97" s="3576"/>
      <c r="Y97" s="3574">
        <v>64.821038251366119</v>
      </c>
      <c r="Z97" s="3574">
        <v>0</v>
      </c>
      <c r="AA97" s="3574">
        <v>0</v>
      </c>
      <c r="AB97" s="3574">
        <v>0</v>
      </c>
    </row>
    <row r="98" spans="4:29" ht="12.75" customHeight="1">
      <c r="E98" s="4524"/>
      <c r="F98" s="4502"/>
      <c r="G98" s="3520" t="s">
        <v>1096</v>
      </c>
      <c r="H98" s="3577">
        <v>80.493323947910994</v>
      </c>
      <c r="I98" s="3580">
        <v>83.131256696428565</v>
      </c>
      <c r="J98" s="3577">
        <v>95.071446908602155</v>
      </c>
      <c r="K98" s="3577">
        <v>68.084705623514893</v>
      </c>
      <c r="L98" s="3577">
        <v>95.725217741935481</v>
      </c>
      <c r="M98" s="3580">
        <v>96.523269444444452</v>
      </c>
      <c r="N98" s="3577">
        <v>94.139223790322575</v>
      </c>
      <c r="O98" s="3577">
        <v>91.207795026881726</v>
      </c>
      <c r="P98" s="3577">
        <v>94.529481250000003</v>
      </c>
      <c r="Q98" s="3577">
        <v>96.479075268817212</v>
      </c>
      <c r="R98" s="3577">
        <v>96.674341666666663</v>
      </c>
      <c r="S98" s="3577">
        <v>96.090715053763446</v>
      </c>
      <c r="T98" s="3575"/>
      <c r="U98" s="3577">
        <v>80.493323947910994</v>
      </c>
      <c r="V98" s="3577">
        <v>80.493323947910994</v>
      </c>
      <c r="W98" s="3577">
        <v>90.760109197052103</v>
      </c>
      <c r="X98" s="3576"/>
      <c r="Y98" s="3577">
        <v>86.335367600576745</v>
      </c>
      <c r="Z98" s="3577">
        <v>86.876054967459126</v>
      </c>
      <c r="AA98" s="3577">
        <v>93.278717617753628</v>
      </c>
      <c r="AB98" s="3577">
        <v>96.411888586956522</v>
      </c>
    </row>
    <row r="99" spans="4:29" ht="12.75" customHeight="1">
      <c r="E99" s="4499" t="s">
        <v>36</v>
      </c>
      <c r="F99" s="4501" t="s">
        <v>121</v>
      </c>
      <c r="G99" s="3515" t="s">
        <v>57</v>
      </c>
      <c r="H99" s="3570">
        <v>8392.997447153788</v>
      </c>
      <c r="I99" s="3570">
        <v>0</v>
      </c>
      <c r="J99" s="3570">
        <v>0</v>
      </c>
      <c r="K99" s="3570">
        <v>0</v>
      </c>
      <c r="L99" s="3570">
        <v>0</v>
      </c>
      <c r="M99" s="3570">
        <v>0</v>
      </c>
      <c r="N99" s="3570">
        <v>0</v>
      </c>
      <c r="O99" s="3570">
        <v>0</v>
      </c>
      <c r="P99" s="3570">
        <v>0</v>
      </c>
      <c r="Q99" s="3570">
        <v>0</v>
      </c>
      <c r="R99" s="3570">
        <v>0</v>
      </c>
      <c r="S99" s="3570">
        <v>0</v>
      </c>
      <c r="T99" s="3571"/>
      <c r="U99" s="3570">
        <v>8392.997447153788</v>
      </c>
      <c r="V99" s="3570">
        <v>8392.997447153788</v>
      </c>
      <c r="W99" s="3570">
        <v>8392.997447153788</v>
      </c>
      <c r="X99" s="3572"/>
      <c r="Y99" s="3570">
        <v>8392.997447153788</v>
      </c>
      <c r="Z99" s="3570">
        <v>0</v>
      </c>
      <c r="AA99" s="3570">
        <v>0</v>
      </c>
      <c r="AB99" s="3570">
        <v>0</v>
      </c>
    </row>
    <row r="100" spans="4:29" ht="12.75" customHeight="1">
      <c r="E100" s="4500"/>
      <c r="F100" s="4502"/>
      <c r="G100" s="3520" t="s">
        <v>1096</v>
      </c>
      <c r="H100" s="3573">
        <v>8259.0591702475249</v>
      </c>
      <c r="I100" s="3573">
        <v>7890.7017233190882</v>
      </c>
      <c r="J100" s="3573">
        <v>8250.3812392424497</v>
      </c>
      <c r="K100" s="3573">
        <v>8120.0895916801628</v>
      </c>
      <c r="L100" s="3573">
        <v>8606.3725112490865</v>
      </c>
      <c r="M100" s="3573">
        <v>8573.4240950303956</v>
      </c>
      <c r="N100" s="3573">
        <v>8330.0567781082918</v>
      </c>
      <c r="O100" s="3573">
        <v>8426.6521228455367</v>
      </c>
      <c r="P100" s="3573">
        <v>8358.3878640506155</v>
      </c>
      <c r="Q100" s="3573">
        <v>8351.1199336331665</v>
      </c>
      <c r="R100" s="3573">
        <v>8014.133192097418</v>
      </c>
      <c r="S100" s="3573">
        <v>8616.2625256163337</v>
      </c>
      <c r="T100" s="3571"/>
      <c r="U100" s="3573">
        <v>8259.0591702475249</v>
      </c>
      <c r="V100" s="3573">
        <v>8259.0591702475249</v>
      </c>
      <c r="W100" s="3573">
        <v>8330.4768858225816</v>
      </c>
      <c r="X100" s="3572"/>
      <c r="Y100" s="3573">
        <v>8145.4206359998461</v>
      </c>
      <c r="Z100" s="3573">
        <v>8468.6669751859754</v>
      </c>
      <c r="AA100" s="3573">
        <v>8371.2448613873348</v>
      </c>
      <c r="AB100" s="3573">
        <v>8329.9777229105275</v>
      </c>
    </row>
    <row r="101" spans="4:29" ht="12.75" customHeight="1">
      <c r="E101" s="4499" t="s">
        <v>1767</v>
      </c>
      <c r="F101" s="4501" t="s">
        <v>1756</v>
      </c>
      <c r="G101" s="3515" t="s">
        <v>57</v>
      </c>
      <c r="H101" s="3570">
        <v>229.53</v>
      </c>
      <c r="I101" s="3570">
        <v>0</v>
      </c>
      <c r="J101" s="3570">
        <v>0</v>
      </c>
      <c r="K101" s="3570">
        <v>0</v>
      </c>
      <c r="L101" s="3570">
        <v>0</v>
      </c>
      <c r="M101" s="3570">
        <v>0</v>
      </c>
      <c r="N101" s="3570">
        <v>0</v>
      </c>
      <c r="O101" s="3570">
        <v>0</v>
      </c>
      <c r="P101" s="3570">
        <v>0</v>
      </c>
      <c r="Q101" s="3570">
        <v>0</v>
      </c>
      <c r="R101" s="3570">
        <v>0</v>
      </c>
      <c r="S101" s="3570">
        <v>0</v>
      </c>
      <c r="T101" s="3571"/>
      <c r="U101" s="3570">
        <v>229.53</v>
      </c>
      <c r="V101" s="3570">
        <v>229.53</v>
      </c>
      <c r="W101" s="3570">
        <v>229.53</v>
      </c>
      <c r="X101" s="3572"/>
      <c r="Y101" s="3570">
        <v>229.53</v>
      </c>
      <c r="Z101" s="3570">
        <v>0</v>
      </c>
      <c r="AA101" s="3570">
        <v>0</v>
      </c>
      <c r="AB101" s="3570">
        <v>0</v>
      </c>
    </row>
    <row r="102" spans="4:29" ht="12.75" customHeight="1">
      <c r="E102" s="4500"/>
      <c r="F102" s="4502"/>
      <c r="G102" s="3520" t="s">
        <v>1096</v>
      </c>
      <c r="H102" s="3573">
        <v>54.479550000000003</v>
      </c>
      <c r="I102" s="3573">
        <v>100.68427</v>
      </c>
      <c r="J102" s="3573">
        <v>28.894750000000002</v>
      </c>
      <c r="K102" s="3573">
        <v>88.984840000000005</v>
      </c>
      <c r="L102" s="3573">
        <v>24.342100000000002</v>
      </c>
      <c r="M102" s="3573">
        <v>17.938600000000001</v>
      </c>
      <c r="N102" s="3573">
        <v>35.830489999999998</v>
      </c>
      <c r="O102" s="3573">
        <v>56.350850000000001</v>
      </c>
      <c r="P102" s="3573">
        <v>31.614049999999999</v>
      </c>
      <c r="Q102" s="3573">
        <v>19.10182</v>
      </c>
      <c r="R102" s="3573">
        <v>16.85088</v>
      </c>
      <c r="S102" s="3573">
        <v>21.622800000000002</v>
      </c>
      <c r="T102" s="3571"/>
      <c r="U102" s="3573">
        <v>54.479550000000003</v>
      </c>
      <c r="V102" s="3573">
        <v>54.479550000000003</v>
      </c>
      <c r="W102" s="3573">
        <v>496.69499999999999</v>
      </c>
      <c r="X102" s="3572"/>
      <c r="Y102" s="3573">
        <v>184.05856999999997</v>
      </c>
      <c r="Z102" s="3573">
        <v>131.26554000000002</v>
      </c>
      <c r="AA102" s="3573">
        <v>123.79539</v>
      </c>
      <c r="AB102" s="3573">
        <v>57.575500000000005</v>
      </c>
    </row>
    <row r="103" spans="4:29" ht="12.75" customHeight="1">
      <c r="E103" s="4499" t="s">
        <v>1768</v>
      </c>
      <c r="F103" s="4501" t="s">
        <v>1756</v>
      </c>
      <c r="G103" s="3515" t="s">
        <v>57</v>
      </c>
      <c r="H103" s="3570">
        <v>27.98</v>
      </c>
      <c r="I103" s="3570">
        <v>0</v>
      </c>
      <c r="J103" s="3570">
        <v>0</v>
      </c>
      <c r="K103" s="3570">
        <v>0</v>
      </c>
      <c r="L103" s="3570">
        <v>0</v>
      </c>
      <c r="M103" s="3570">
        <v>0</v>
      </c>
      <c r="N103" s="3570">
        <v>0</v>
      </c>
      <c r="O103" s="3570">
        <v>0</v>
      </c>
      <c r="P103" s="3570">
        <v>0</v>
      </c>
      <c r="Q103" s="3570">
        <v>0</v>
      </c>
      <c r="R103" s="3570">
        <v>0</v>
      </c>
      <c r="S103" s="3570">
        <v>0</v>
      </c>
      <c r="T103" s="3571"/>
      <c r="U103" s="3570">
        <v>27.98</v>
      </c>
      <c r="V103" s="3570">
        <v>27.98</v>
      </c>
      <c r="W103" s="3570">
        <v>27.98</v>
      </c>
      <c r="X103" s="3572"/>
      <c r="Y103" s="3570">
        <v>27.98</v>
      </c>
      <c r="Z103" s="3570">
        <v>0</v>
      </c>
      <c r="AA103" s="3570">
        <v>0</v>
      </c>
      <c r="AB103" s="3570">
        <v>0</v>
      </c>
    </row>
    <row r="104" spans="4:29" ht="12.75" customHeight="1">
      <c r="E104" s="4500"/>
      <c r="F104" s="4502"/>
      <c r="G104" s="3520" t="s">
        <v>1096</v>
      </c>
      <c r="H104" s="3573">
        <v>90.650119827542156</v>
      </c>
      <c r="I104" s="3573">
        <v>12.673685000000006</v>
      </c>
      <c r="J104" s="3573">
        <v>7.7736850000000004</v>
      </c>
      <c r="K104" s="3573">
        <v>140.80527951069274</v>
      </c>
      <c r="L104" s="3573">
        <v>7.4622799999999927</v>
      </c>
      <c r="M104" s="3573">
        <v>7.0938599999999994</v>
      </c>
      <c r="N104" s="3573">
        <v>7.7736850000000004</v>
      </c>
      <c r="O104" s="3573">
        <v>9.0631550000000018</v>
      </c>
      <c r="P104" s="3573">
        <v>7.7736850000000004</v>
      </c>
      <c r="Q104" s="3573">
        <v>7.0938599999999994</v>
      </c>
      <c r="R104" s="3573">
        <v>7.0938599999999994</v>
      </c>
      <c r="S104" s="3573">
        <v>7.4622799999999998</v>
      </c>
      <c r="T104" s="3571"/>
      <c r="U104" s="3573">
        <v>90.650119827542156</v>
      </c>
      <c r="V104" s="3573">
        <v>90.650119827542156</v>
      </c>
      <c r="W104" s="3573">
        <v>312.71943433823498</v>
      </c>
      <c r="X104" s="3572"/>
      <c r="Y104" s="3573">
        <v>111.09748982754216</v>
      </c>
      <c r="Z104" s="3573">
        <v>155.36141951069274</v>
      </c>
      <c r="AA104" s="3573">
        <v>24.610525000000003</v>
      </c>
      <c r="AB104" s="3573">
        <v>21.65</v>
      </c>
    </row>
    <row r="105" spans="4:29" ht="12.75" customHeight="1">
      <c r="E105" s="4499" t="s">
        <v>1769</v>
      </c>
      <c r="F105" s="4501" t="s">
        <v>1756</v>
      </c>
      <c r="G105" s="3515" t="s">
        <v>57</v>
      </c>
      <c r="H105" s="3570">
        <v>732</v>
      </c>
      <c r="I105" s="3570">
        <v>0</v>
      </c>
      <c r="J105" s="3570">
        <v>0</v>
      </c>
      <c r="K105" s="3570">
        <v>0</v>
      </c>
      <c r="L105" s="3570">
        <v>0</v>
      </c>
      <c r="M105" s="3570">
        <v>0</v>
      </c>
      <c r="N105" s="3570">
        <v>0</v>
      </c>
      <c r="O105" s="3570">
        <v>0</v>
      </c>
      <c r="P105" s="3570">
        <v>0</v>
      </c>
      <c r="Q105" s="3570">
        <v>0</v>
      </c>
      <c r="R105" s="3570">
        <v>0</v>
      </c>
      <c r="S105" s="3570">
        <v>0</v>
      </c>
      <c r="T105" s="3571"/>
      <c r="U105" s="3570">
        <v>732</v>
      </c>
      <c r="V105" s="3570">
        <v>732</v>
      </c>
      <c r="W105" s="3570">
        <v>732</v>
      </c>
      <c r="X105" s="3572"/>
      <c r="Y105" s="3570">
        <v>732</v>
      </c>
      <c r="Z105" s="3570">
        <v>0</v>
      </c>
      <c r="AA105" s="3570">
        <v>0</v>
      </c>
      <c r="AB105" s="3570">
        <v>0</v>
      </c>
    </row>
    <row r="106" spans="4:29" ht="12.75" customHeight="1">
      <c r="E106" s="4500"/>
      <c r="F106" s="4502"/>
      <c r="G106" s="3520" t="s">
        <v>1096</v>
      </c>
      <c r="H106" s="3809">
        <v>744</v>
      </c>
      <c r="I106" s="3809">
        <v>672</v>
      </c>
      <c r="J106" s="3809">
        <v>744</v>
      </c>
      <c r="K106" s="3809">
        <v>720</v>
      </c>
      <c r="L106" s="3809">
        <v>744</v>
      </c>
      <c r="M106" s="3809">
        <v>720</v>
      </c>
      <c r="N106" s="3809">
        <v>744</v>
      </c>
      <c r="O106" s="3809">
        <v>744</v>
      </c>
      <c r="P106" s="3809">
        <v>720</v>
      </c>
      <c r="Q106" s="3809">
        <v>744</v>
      </c>
      <c r="R106" s="3809">
        <v>720</v>
      </c>
      <c r="S106" s="3809">
        <v>744</v>
      </c>
      <c r="T106" s="3571"/>
      <c r="U106" s="3573">
        <v>744</v>
      </c>
      <c r="V106" s="3573">
        <v>744</v>
      </c>
      <c r="W106" s="3573">
        <v>8760</v>
      </c>
      <c r="X106" s="3572"/>
      <c r="Y106" s="3573">
        <v>2160</v>
      </c>
      <c r="Z106" s="3573">
        <v>2184</v>
      </c>
      <c r="AA106" s="3573">
        <v>2208</v>
      </c>
      <c r="AB106" s="3573">
        <v>2208</v>
      </c>
    </row>
    <row r="107" spans="4:29" ht="12.75" customHeight="1" outlineLevel="2">
      <c r="E107" s="3566" t="str">
        <f>'[19]P. Conc'!E107</f>
        <v>Recuperación Mo</v>
      </c>
      <c r="F107" s="3567"/>
      <c r="G107" s="3568"/>
      <c r="H107" s="3569"/>
      <c r="I107" s="3569"/>
      <c r="J107" s="3569"/>
      <c r="K107" s="3569"/>
      <c r="L107" s="3569"/>
      <c r="M107" s="3569"/>
      <c r="N107" s="3569"/>
      <c r="O107" s="3569"/>
      <c r="P107" s="3569"/>
      <c r="Q107" s="3569"/>
      <c r="R107" s="3569"/>
      <c r="S107" s="3569"/>
      <c r="T107" s="3569"/>
      <c r="U107" s="3569"/>
      <c r="V107" s="3569"/>
      <c r="W107" s="3569"/>
      <c r="Y107" s="3569"/>
      <c r="Z107" s="3569"/>
      <c r="AA107" s="3569"/>
      <c r="AB107" s="3569"/>
    </row>
    <row r="108" spans="4:29" ht="12.75" customHeight="1">
      <c r="E108" s="4519" t="str">
        <f>'[19]P. Conc'!E108</f>
        <v>Recuperación Mo Colectiva</v>
      </c>
      <c r="F108" s="4521" t="str">
        <f>'[19]P. Conc'!F108</f>
        <v>%</v>
      </c>
      <c r="G108" s="3515" t="s">
        <v>57</v>
      </c>
      <c r="H108" s="3581">
        <v>90.25</v>
      </c>
      <c r="I108" s="3581">
        <v>90.35</v>
      </c>
      <c r="J108" s="3581">
        <v>92.34</v>
      </c>
      <c r="K108" s="3581">
        <v>93.617970954529866</v>
      </c>
      <c r="L108" s="3581">
        <v>94.314784604002568</v>
      </c>
      <c r="M108" s="3581">
        <v>93.123551330945162</v>
      </c>
      <c r="N108" s="3581">
        <v>91.047308131362172</v>
      </c>
      <c r="O108" s="3581">
        <v>91.805482586656197</v>
      </c>
      <c r="P108" s="3581">
        <v>90.096054563425369</v>
      </c>
      <c r="Q108" s="3581">
        <v>90.777197873788651</v>
      </c>
      <c r="R108" s="3581">
        <v>90.576861371413059</v>
      </c>
      <c r="S108" s="3581">
        <v>92.81635</v>
      </c>
      <c r="T108" s="3541">
        <v>0</v>
      </c>
      <c r="U108" s="3517">
        <v>90.25</v>
      </c>
      <c r="V108" s="3517">
        <v>90.249999999999986</v>
      </c>
      <c r="W108" s="3517">
        <v>90.249999999999986</v>
      </c>
      <c r="X108" s="3519"/>
      <c r="Y108" s="3517">
        <v>90.249999999999986</v>
      </c>
      <c r="Z108" s="3517">
        <v>0</v>
      </c>
      <c r="AA108" s="3517">
        <v>0</v>
      </c>
      <c r="AB108" s="3517">
        <v>0</v>
      </c>
    </row>
    <row r="109" spans="4:29" ht="12.75" customHeight="1">
      <c r="E109" s="4520"/>
      <c r="F109" s="4522"/>
      <c r="G109" s="3520" t="s">
        <v>1096</v>
      </c>
      <c r="H109" s="3582">
        <v>92.788436889648395</v>
      </c>
      <c r="I109" s="3582">
        <v>93.2</v>
      </c>
      <c r="J109" s="3582">
        <v>93.4</v>
      </c>
      <c r="K109" s="3582">
        <v>90.986027827009849</v>
      </c>
      <c r="L109" s="3582">
        <v>89.749748229980469</v>
      </c>
      <c r="M109" s="3582">
        <v>89.887542724609375</v>
      </c>
      <c r="N109" s="3582">
        <v>89.286224365234361</v>
      </c>
      <c r="O109" s="3582">
        <v>89.83441162109375</v>
      </c>
      <c r="P109" s="3582">
        <v>90.301033020019531</v>
      </c>
      <c r="Q109" s="3582">
        <v>89.478706359863281</v>
      </c>
      <c r="R109" s="3582">
        <v>90.189224243164063</v>
      </c>
      <c r="S109" s="3582">
        <v>90.1</v>
      </c>
      <c r="T109" s="3583">
        <v>0</v>
      </c>
      <c r="U109" s="3522">
        <v>92.788436889648395</v>
      </c>
      <c r="V109" s="3522">
        <v>92.788436889648409</v>
      </c>
      <c r="W109" s="3522">
        <v>5.0769662048441955</v>
      </c>
      <c r="X109" s="3530"/>
      <c r="Y109" s="3522">
        <v>20.413212418211096</v>
      </c>
      <c r="Z109" s="3522">
        <v>0</v>
      </c>
      <c r="AA109" s="3522">
        <v>0</v>
      </c>
      <c r="AB109" s="3522">
        <v>0</v>
      </c>
    </row>
    <row r="110" spans="4:29" ht="12.75" customHeight="1">
      <c r="E110" s="4519" t="str">
        <f>'[19]P. Conc'!E110</f>
        <v>Recuperación Mo Selectiva</v>
      </c>
      <c r="F110" s="4521" t="str">
        <f>'[19]P. Conc'!F110</f>
        <v>%</v>
      </c>
      <c r="G110" s="3515" t="s">
        <v>57</v>
      </c>
      <c r="H110" s="3581">
        <v>82.637669748873464</v>
      </c>
      <c r="I110" s="3581">
        <v>85.5</v>
      </c>
      <c r="J110" s="3581">
        <v>81.64</v>
      </c>
      <c r="K110" s="3581">
        <v>88.05062400754035</v>
      </c>
      <c r="L110" s="3581">
        <v>90.671322560635502</v>
      </c>
      <c r="M110" s="3581">
        <v>91.701922591233412</v>
      </c>
      <c r="N110" s="3581">
        <v>89.899403002275037</v>
      </c>
      <c r="O110" s="3581">
        <v>91.081428846141506</v>
      </c>
      <c r="P110" s="3581">
        <v>89.072894202508522</v>
      </c>
      <c r="Q110" s="3581">
        <v>92.353815589462229</v>
      </c>
      <c r="R110" s="3581">
        <v>91.771485395650032</v>
      </c>
      <c r="S110" s="3581">
        <v>92.736009999999993</v>
      </c>
      <c r="T110" s="3542">
        <v>0</v>
      </c>
      <c r="U110" s="3517">
        <v>82.637669748873464</v>
      </c>
      <c r="V110" s="3517">
        <v>82.637669748873449</v>
      </c>
      <c r="W110" s="3517">
        <v>82.637669748873449</v>
      </c>
      <c r="X110" s="3519"/>
      <c r="Y110" s="3517">
        <v>82.637669748873449</v>
      </c>
      <c r="Z110" s="3517">
        <v>0</v>
      </c>
      <c r="AA110" s="3517">
        <v>0</v>
      </c>
      <c r="AB110" s="3517">
        <v>0</v>
      </c>
    </row>
    <row r="111" spans="4:29" ht="12.75" customHeight="1">
      <c r="D111" s="3477"/>
      <c r="E111" s="4520"/>
      <c r="F111" s="4522"/>
      <c r="G111" s="3520" t="s">
        <v>1096</v>
      </c>
      <c r="H111" s="3582">
        <v>83.918688639167996</v>
      </c>
      <c r="I111" s="3582">
        <v>89.5</v>
      </c>
      <c r="J111" s="3582">
        <v>89.8</v>
      </c>
      <c r="K111" s="3582">
        <v>92.223679862296478</v>
      </c>
      <c r="L111" s="3582">
        <v>93.759498596191449</v>
      </c>
      <c r="M111" s="3582">
        <v>93.713745117187472</v>
      </c>
      <c r="N111" s="3582">
        <v>92.91060638427733</v>
      </c>
      <c r="O111" s="3582">
        <v>93.807296752929673</v>
      </c>
      <c r="P111" s="3582">
        <v>93.57881927490233</v>
      </c>
      <c r="Q111" s="3582">
        <v>93.443283081054688</v>
      </c>
      <c r="R111" s="3582">
        <v>93.488494873046875</v>
      </c>
      <c r="S111" s="3582">
        <v>93.6</v>
      </c>
      <c r="T111" s="3542">
        <v>0</v>
      </c>
      <c r="U111" s="3522">
        <v>83.918688639167996</v>
      </c>
      <c r="V111" s="3522">
        <v>83.918688639167996</v>
      </c>
      <c r="W111" s="3522">
        <v>4.5916534479678193</v>
      </c>
      <c r="X111" s="3530"/>
      <c r="Y111" s="3522">
        <v>18.46189109841729</v>
      </c>
      <c r="Z111" s="3522">
        <v>0</v>
      </c>
      <c r="AA111" s="3522">
        <v>0</v>
      </c>
      <c r="AB111" s="3522">
        <v>0</v>
      </c>
    </row>
    <row r="112" spans="4:29" ht="12.75" customHeight="1">
      <c r="E112" s="3566" t="str">
        <f>'[19]P. Conc'!E112</f>
        <v>Pebbles y Gravillas</v>
      </c>
      <c r="F112" s="3584"/>
      <c r="G112" s="3585"/>
      <c r="H112" s="3508"/>
      <c r="I112" s="3508"/>
      <c r="J112" s="3508"/>
      <c r="K112" s="3508"/>
      <c r="L112" s="3508"/>
      <c r="M112" s="3508"/>
      <c r="N112" s="3508"/>
      <c r="O112" s="3508"/>
      <c r="P112" s="3508"/>
      <c r="Q112" s="3508"/>
      <c r="R112" s="3508"/>
      <c r="S112" s="3508"/>
      <c r="T112" s="3542"/>
      <c r="U112" s="3508"/>
      <c r="V112" s="3508"/>
      <c r="W112" s="3508"/>
      <c r="Y112" s="3508"/>
      <c r="Z112" s="3508"/>
      <c r="AA112" s="3508"/>
      <c r="AB112" s="3508"/>
      <c r="AC112"/>
    </row>
    <row r="113" spans="5:29" ht="12.75" customHeight="1">
      <c r="E113" s="4507" t="str">
        <f>'[19]P. Conc'!E113</f>
        <v>Mineral Tratado Pebbles y Gravillas (Chancado)</v>
      </c>
      <c r="F113" s="4509" t="str">
        <f>'[19]P. Conc'!F113</f>
        <v>kt</v>
      </c>
      <c r="G113" s="3586" t="s">
        <v>57</v>
      </c>
      <c r="H113" s="3528">
        <v>493.15061144812807</v>
      </c>
      <c r="I113" s="3528">
        <v>581.54486032884893</v>
      </c>
      <c r="J113" s="3528">
        <v>395.03444770258204</v>
      </c>
      <c r="K113" s="3528">
        <v>510.37289493111621</v>
      </c>
      <c r="L113" s="3528">
        <v>493.47018859851568</v>
      </c>
      <c r="M113" s="3528">
        <v>526.74889104643705</v>
      </c>
      <c r="N113" s="3528">
        <v>545.78818504349579</v>
      </c>
      <c r="O113" s="3528">
        <v>509.83747212749716</v>
      </c>
      <c r="P113" s="3528">
        <v>384.77920818798054</v>
      </c>
      <c r="Q113" s="3528">
        <v>398.85149184466025</v>
      </c>
      <c r="R113" s="3528">
        <v>504.82582046385937</v>
      </c>
      <c r="S113" s="3528">
        <v>388.72813938732759</v>
      </c>
      <c r="T113" s="3542">
        <v>0</v>
      </c>
      <c r="U113" s="3570">
        <v>493.15061144812807</v>
      </c>
      <c r="V113" s="3570">
        <v>493.15061144812807</v>
      </c>
      <c r="W113" s="3570">
        <v>5733.1322111104482</v>
      </c>
      <c r="X113" s="3572"/>
      <c r="Y113" s="3570">
        <v>1469.7299194795592</v>
      </c>
      <c r="Z113" s="3570">
        <v>1530.5919745760689</v>
      </c>
      <c r="AA113" s="3570">
        <v>1440.4048653589734</v>
      </c>
      <c r="AB113" s="3570">
        <v>1292.4054516958472</v>
      </c>
      <c r="AC113"/>
    </row>
    <row r="114" spans="5:29" ht="12.75" customHeight="1">
      <c r="E114" s="4515"/>
      <c r="F114" s="4516"/>
      <c r="G114" s="3587" t="s">
        <v>1096</v>
      </c>
      <c r="H114" s="3529">
        <v>0</v>
      </c>
      <c r="I114" s="3529">
        <v>0</v>
      </c>
      <c r="J114" s="3529">
        <v>0</v>
      </c>
      <c r="K114" s="3529">
        <v>0</v>
      </c>
      <c r="L114" s="3529">
        <v>0</v>
      </c>
      <c r="M114" s="3529">
        <v>0</v>
      </c>
      <c r="N114" s="3529">
        <v>0</v>
      </c>
      <c r="O114" s="3529">
        <v>0</v>
      </c>
      <c r="P114" s="3529">
        <v>0</v>
      </c>
      <c r="Q114" s="3529">
        <v>0</v>
      </c>
      <c r="R114" s="3529">
        <v>0</v>
      </c>
      <c r="S114" s="3529">
        <v>0</v>
      </c>
      <c r="T114" s="3541">
        <v>0</v>
      </c>
      <c r="U114" s="3573">
        <v>0</v>
      </c>
      <c r="V114" s="3573">
        <v>0</v>
      </c>
      <c r="W114" s="3573">
        <v>0</v>
      </c>
      <c r="X114" s="3572"/>
      <c r="Y114" s="3573">
        <v>0</v>
      </c>
      <c r="Z114" s="3573">
        <v>0</v>
      </c>
      <c r="AA114" s="3573">
        <v>0</v>
      </c>
      <c r="AB114" s="3573">
        <v>0</v>
      </c>
      <c r="AC114"/>
    </row>
    <row r="115" spans="5:29" ht="12.75" customHeight="1">
      <c r="E115" s="4507" t="str">
        <f>'[19]P. Conc'!E115</f>
        <v>Disponibilidad Pebbles y Gravillas</v>
      </c>
      <c r="F115" s="4509" t="str">
        <f>'[19]P. Conc'!F115</f>
        <v>%</v>
      </c>
      <c r="G115" s="3586" t="s">
        <v>57</v>
      </c>
      <c r="H115" s="3528">
        <v>83.04</v>
      </c>
      <c r="I115" s="3528">
        <v>83.59</v>
      </c>
      <c r="J115" s="3528">
        <v>84.350806451612897</v>
      </c>
      <c r="K115" s="3528">
        <v>93.547850208044409</v>
      </c>
      <c r="L115" s="3528">
        <v>82.06</v>
      </c>
      <c r="M115" s="3528">
        <v>90.99</v>
      </c>
      <c r="N115" s="3528">
        <v>87.06</v>
      </c>
      <c r="O115" s="3528">
        <v>91.62</v>
      </c>
      <c r="P115" s="3528">
        <v>89.31</v>
      </c>
      <c r="Q115" s="3528">
        <v>89.21</v>
      </c>
      <c r="R115" s="3528">
        <v>82.07</v>
      </c>
      <c r="S115" s="3528">
        <v>91.17</v>
      </c>
      <c r="T115" s="3541">
        <v>0</v>
      </c>
      <c r="U115" s="3574">
        <v>83.04</v>
      </c>
      <c r="V115" s="3574">
        <v>84.344590163934427</v>
      </c>
      <c r="W115" s="3574">
        <v>43.606933094832328</v>
      </c>
      <c r="X115" s="3576"/>
      <c r="Y115" s="3574">
        <v>83.604513702210284</v>
      </c>
      <c r="Z115" s="3574">
        <v>88.329859535113528</v>
      </c>
      <c r="AA115" s="3574">
        <v>88.866976902173917</v>
      </c>
      <c r="AB115" s="3574">
        <v>87.987780797101451</v>
      </c>
      <c r="AC115"/>
    </row>
    <row r="116" spans="5:29" ht="12.75" customHeight="1">
      <c r="E116" s="4508"/>
      <c r="F116" s="4510"/>
      <c r="G116" s="3588" t="s">
        <v>1096</v>
      </c>
      <c r="H116" s="3529">
        <v>83.443335574983195</v>
      </c>
      <c r="I116" s="3529">
        <v>87.759954728220407</v>
      </c>
      <c r="J116" s="3529">
        <v>83.443335574983195</v>
      </c>
      <c r="K116" s="3529">
        <v>89.637274774148722</v>
      </c>
      <c r="L116" s="3529">
        <v>86.009357674104109</v>
      </c>
      <c r="M116" s="3529">
        <v>88.250889418360202</v>
      </c>
      <c r="N116" s="3529">
        <v>84.492366101694913</v>
      </c>
      <c r="O116" s="3529">
        <v>90.508194185260308</v>
      </c>
      <c r="P116" s="3529">
        <v>82.891063238359976</v>
      </c>
      <c r="Q116" s="3529">
        <v>89.971781035642238</v>
      </c>
      <c r="R116" s="3529">
        <v>85.620458651841545</v>
      </c>
      <c r="S116" s="3529">
        <v>88.724962474781449</v>
      </c>
      <c r="T116" s="3542">
        <v>0</v>
      </c>
      <c r="U116" s="3577">
        <v>83.443335574983195</v>
      </c>
      <c r="V116" s="3577">
        <v>83.443335574983195</v>
      </c>
      <c r="W116" s="3577">
        <v>43.361181679638925</v>
      </c>
      <c r="X116" s="3576"/>
      <c r="Y116" s="3577">
        <v>84.786283755990326</v>
      </c>
      <c r="Z116" s="3577">
        <v>87.944340809587857</v>
      </c>
      <c r="AA116" s="3577">
        <v>85.997274630939245</v>
      </c>
      <c r="AB116" s="3577">
        <v>88.132747917156308</v>
      </c>
      <c r="AC116"/>
    </row>
    <row r="117" spans="5:29" ht="12.75" customHeight="1">
      <c r="E117" s="4517" t="str">
        <f>'[19]P. Conc'!E117</f>
        <v>Utilización Pebbles y Gravillas</v>
      </c>
      <c r="F117" s="4509" t="str">
        <f>'[19]P. Conc'!F117</f>
        <v>%</v>
      </c>
      <c r="G117" s="3586" t="s">
        <v>57</v>
      </c>
      <c r="H117" s="3528">
        <v>64.507361811356731</v>
      </c>
      <c r="I117" s="3528">
        <v>56.699824703724879</v>
      </c>
      <c r="J117" s="3528">
        <v>44.499845418423575</v>
      </c>
      <c r="K117" s="3528">
        <v>45.492580947130058</v>
      </c>
      <c r="L117" s="3528">
        <v>55.577005693652147</v>
      </c>
      <c r="M117" s="3528">
        <v>46.990694049639899</v>
      </c>
      <c r="N117" s="3528">
        <v>47.090064518138675</v>
      </c>
      <c r="O117" s="3528">
        <v>34.922444013171969</v>
      </c>
      <c r="P117" s="3528">
        <v>41.020225403485242</v>
      </c>
      <c r="Q117" s="3528">
        <v>46.854547471070283</v>
      </c>
      <c r="R117" s="3528">
        <v>46.986110688912568</v>
      </c>
      <c r="S117" s="3528">
        <v>35.445950015855296</v>
      </c>
      <c r="T117" s="3542">
        <v>0</v>
      </c>
      <c r="U117" s="3574">
        <v>64.507361811356731</v>
      </c>
      <c r="V117" s="3574">
        <v>64.507361811356731</v>
      </c>
      <c r="W117" s="3574">
        <v>46.86440592495623</v>
      </c>
      <c r="X117" s="3576"/>
      <c r="Y117" s="3574">
        <v>55.132257236413984</v>
      </c>
      <c r="Z117" s="3574">
        <v>49.168945851879059</v>
      </c>
      <c r="AA117" s="3574">
        <v>40.900877306108342</v>
      </c>
      <c r="AB117" s="3574">
        <v>42.913979224099691</v>
      </c>
      <c r="AC117"/>
    </row>
    <row r="118" spans="5:29" ht="12.75" customHeight="1">
      <c r="E118" s="4518"/>
      <c r="F118" s="4510"/>
      <c r="G118" s="3588" t="s">
        <v>1096</v>
      </c>
      <c r="H118" s="3529">
        <v>77.643669557907089</v>
      </c>
      <c r="I118" s="3529">
        <v>75.444754213810356</v>
      </c>
      <c r="J118" s="3529">
        <v>77.643669557907089</v>
      </c>
      <c r="K118" s="3529">
        <v>78.489977349196849</v>
      </c>
      <c r="L118" s="3529">
        <v>77.771013842259023</v>
      </c>
      <c r="M118" s="3529">
        <v>77.319821306870509</v>
      </c>
      <c r="N118" s="3529">
        <v>62.240177842145052</v>
      </c>
      <c r="O118" s="3529">
        <v>78.845872366812557</v>
      </c>
      <c r="P118" s="3529">
        <v>76.745004243787562</v>
      </c>
      <c r="Q118" s="3529">
        <v>79.260991597133355</v>
      </c>
      <c r="R118" s="3529">
        <v>75.714348232854164</v>
      </c>
      <c r="S118" s="3529">
        <v>78.970498501146793</v>
      </c>
      <c r="T118" s="3578">
        <v>0</v>
      </c>
      <c r="U118" s="3577">
        <v>77.643669557907089</v>
      </c>
      <c r="V118" s="3577">
        <v>77.643669557907089</v>
      </c>
      <c r="W118" s="3577">
        <v>76.391106727832835</v>
      </c>
      <c r="X118" s="3576"/>
      <c r="Y118" s="3577">
        <v>76.935569186792321</v>
      </c>
      <c r="Z118" s="3577">
        <v>77.863334172868733</v>
      </c>
      <c r="AA118" s="3577">
        <v>72.688070698602758</v>
      </c>
      <c r="AB118" s="3577">
        <v>78.038903469927078</v>
      </c>
      <c r="AC118"/>
    </row>
    <row r="119" spans="5:29" ht="12.75" customHeight="1">
      <c r="E119" s="4515" t="str">
        <f>'[19]P. Conc'!E119</f>
        <v>Coeficiente de Marcha Pebbles y Gravillas</v>
      </c>
      <c r="F119" s="4516" t="str">
        <f>'[19]P. Conc'!F119</f>
        <v>%</v>
      </c>
      <c r="G119" s="3589" t="s">
        <v>57</v>
      </c>
      <c r="H119" s="3528">
        <v>53.566913248150634</v>
      </c>
      <c r="I119" s="3528">
        <v>47.39538346984363</v>
      </c>
      <c r="J119" s="3528">
        <v>37.535978480161397</v>
      </c>
      <c r="K119" s="3528">
        <v>42.557331480194577</v>
      </c>
      <c r="L119" s="3528">
        <v>45.606490872210955</v>
      </c>
      <c r="M119" s="3528">
        <v>42.756832515767336</v>
      </c>
      <c r="N119" s="3528">
        <v>40.996610169491532</v>
      </c>
      <c r="O119" s="3528">
        <v>31.995943204868158</v>
      </c>
      <c r="P119" s="3528">
        <v>36.635163307852672</v>
      </c>
      <c r="Q119" s="3528">
        <v>41.798941798941797</v>
      </c>
      <c r="R119" s="3528">
        <v>38.561501042390539</v>
      </c>
      <c r="S119" s="3528">
        <v>32.316072629455277</v>
      </c>
      <c r="T119" s="3542">
        <v>0</v>
      </c>
      <c r="U119" s="3574">
        <v>53.566913248150634</v>
      </c>
      <c r="V119" s="3574">
        <v>54.408469945355179</v>
      </c>
      <c r="W119" s="3574">
        <v>20.4361301369863</v>
      </c>
      <c r="X119" s="3576"/>
      <c r="Y119" s="3574">
        <v>46.093055555555544</v>
      </c>
      <c r="Z119" s="3574">
        <v>43.430860805860803</v>
      </c>
      <c r="AA119" s="3574">
        <v>36.347373188405797</v>
      </c>
      <c r="AB119" s="3574">
        <v>37.759057971014492</v>
      </c>
      <c r="AC119"/>
    </row>
    <row r="120" spans="5:29" ht="12.75" customHeight="1">
      <c r="E120" s="4508"/>
      <c r="F120" s="4510"/>
      <c r="G120" s="3588" t="s">
        <v>1096</v>
      </c>
      <c r="H120" s="3529">
        <v>64.788467741935477</v>
      </c>
      <c r="I120" s="3529">
        <v>66.210282142857125</v>
      </c>
      <c r="J120" s="3529">
        <v>64.788467741935477</v>
      </c>
      <c r="K120" s="3529">
        <v>70.356276666666673</v>
      </c>
      <c r="L120" s="3529">
        <v>66.890349462365577</v>
      </c>
      <c r="M120" s="3529">
        <v>68.235430000000008</v>
      </c>
      <c r="N120" s="3529">
        <v>52.588198924731195</v>
      </c>
      <c r="O120" s="3529">
        <v>71.361975268817204</v>
      </c>
      <c r="P120" s="3529">
        <v>63.614749999999994</v>
      </c>
      <c r="Q120" s="3529">
        <v>71.312525806451617</v>
      </c>
      <c r="R120" s="3529">
        <v>64.826972222222224</v>
      </c>
      <c r="S120" s="3529">
        <v>70.066545161290335</v>
      </c>
      <c r="T120" s="3542">
        <v>0</v>
      </c>
      <c r="U120" s="3577">
        <v>64.788467741935477</v>
      </c>
      <c r="V120" s="3577">
        <v>64.788467741935477</v>
      </c>
      <c r="W120" s="3577">
        <v>33.124086575342474</v>
      </c>
      <c r="X120" s="3576"/>
      <c r="Y120" s="3577">
        <v>65.230809999999991</v>
      </c>
      <c r="Z120" s="3577">
        <v>68.476395970695961</v>
      </c>
      <c r="AA120" s="3577">
        <v>62.50975978260869</v>
      </c>
      <c r="AB120" s="3577">
        <v>68.777830072463772</v>
      </c>
      <c r="AC120"/>
    </row>
    <row r="121" spans="5:29" ht="12.75" customHeight="1">
      <c r="E121" s="4515" t="str">
        <f>'[19]P. Conc'!E121</f>
        <v>Horas disponibles</v>
      </c>
      <c r="F121" s="4501" t="str">
        <f>'[19]P. Conc'!F121</f>
        <v>h</v>
      </c>
      <c r="G121" s="3589" t="s">
        <v>57</v>
      </c>
      <c r="H121" s="3528">
        <v>617.40240000000006</v>
      </c>
      <c r="I121" s="3528">
        <v>561.30685000000005</v>
      </c>
      <c r="J121" s="3528">
        <v>627.1482459677419</v>
      </c>
      <c r="K121" s="3528">
        <v>673.07678224687959</v>
      </c>
      <c r="L121" s="3528">
        <v>606.83370000000002</v>
      </c>
      <c r="M121" s="3528">
        <v>649.21365000000003</v>
      </c>
      <c r="N121" s="3528">
        <v>642.0675</v>
      </c>
      <c r="O121" s="3528">
        <v>677.5299</v>
      </c>
      <c r="P121" s="3528">
        <v>642.58545000000004</v>
      </c>
      <c r="Q121" s="3528">
        <v>674.42759999999998</v>
      </c>
      <c r="R121" s="3528">
        <v>590.49365</v>
      </c>
      <c r="S121" s="3528">
        <v>677.84895000000006</v>
      </c>
      <c r="T121" s="3542">
        <v>0</v>
      </c>
      <c r="U121" s="3570">
        <v>617.40240000000006</v>
      </c>
      <c r="V121" s="3570">
        <v>617.40240000000006</v>
      </c>
      <c r="W121" s="3570">
        <v>7639.934678214624</v>
      </c>
      <c r="X121" s="3572"/>
      <c r="Y121" s="3570">
        <v>1805.8574959677421</v>
      </c>
      <c r="Z121" s="3570">
        <v>1929.1241322468795</v>
      </c>
      <c r="AA121" s="3570">
        <v>1962.1828500000001</v>
      </c>
      <c r="AB121" s="3570">
        <v>1942.7701999999999</v>
      </c>
      <c r="AC121"/>
    </row>
    <row r="122" spans="5:29" ht="12.75" customHeight="1">
      <c r="E122" s="4508"/>
      <c r="F122" s="4502"/>
      <c r="G122" s="3588" t="s">
        <v>1096</v>
      </c>
      <c r="H122" s="3529">
        <v>620.81841667787501</v>
      </c>
      <c r="I122" s="3529">
        <v>589.7468957736412</v>
      </c>
      <c r="J122" s="3529">
        <v>620.81841667787501</v>
      </c>
      <c r="K122" s="3529">
        <v>645.38837837387075</v>
      </c>
      <c r="L122" s="3529">
        <v>639.90962109533461</v>
      </c>
      <c r="M122" s="3529">
        <v>635.4064038121935</v>
      </c>
      <c r="N122" s="3529">
        <v>628.62320379661014</v>
      </c>
      <c r="O122" s="3529">
        <v>673.38096473833662</v>
      </c>
      <c r="P122" s="3529">
        <v>596.81565531619185</v>
      </c>
      <c r="Q122" s="3529">
        <v>669.39005090517821</v>
      </c>
      <c r="R122" s="3529">
        <v>616.46730229325908</v>
      </c>
      <c r="S122" s="3529">
        <v>660.11372081237391</v>
      </c>
      <c r="T122" s="3542">
        <v>0</v>
      </c>
      <c r="U122" s="3573">
        <v>620.81841667787501</v>
      </c>
      <c r="V122" s="3573">
        <v>620.81841667787501</v>
      </c>
      <c r="W122" s="3573">
        <v>7596.8790302727393</v>
      </c>
      <c r="X122" s="3572"/>
      <c r="Y122" s="3573">
        <v>1831.3837291293912</v>
      </c>
      <c r="Z122" s="3573">
        <v>1920.704403281399</v>
      </c>
      <c r="AA122" s="3573">
        <v>1898.8198238511386</v>
      </c>
      <c r="AB122" s="3573">
        <v>1945.9710740108112</v>
      </c>
      <c r="AC122"/>
    </row>
    <row r="123" spans="5:29" ht="12.75" customHeight="1">
      <c r="E123" s="4515" t="str">
        <f>'[19]P. Conc'!E123</f>
        <v>Horas de uso</v>
      </c>
      <c r="F123" s="4501" t="str">
        <f>'[19]P. Conc'!F123</f>
        <v>h</v>
      </c>
      <c r="G123" s="3586" t="s">
        <v>57</v>
      </c>
      <c r="H123" s="3528">
        <v>398.27</v>
      </c>
      <c r="I123" s="3528">
        <v>318.26</v>
      </c>
      <c r="J123" s="3528">
        <v>279.08</v>
      </c>
      <c r="K123" s="3528">
        <v>306.2</v>
      </c>
      <c r="L123" s="3528">
        <v>337.26</v>
      </c>
      <c r="M123" s="3528">
        <v>305.07</v>
      </c>
      <c r="N123" s="3528">
        <v>302.35000000000002</v>
      </c>
      <c r="O123" s="3528">
        <v>236.61</v>
      </c>
      <c r="P123" s="3528">
        <v>263.58999999999997</v>
      </c>
      <c r="Q123" s="3528">
        <v>316</v>
      </c>
      <c r="R123" s="3528">
        <v>277.45</v>
      </c>
      <c r="S123" s="3528">
        <v>240.27</v>
      </c>
      <c r="T123" s="3542">
        <v>0</v>
      </c>
      <c r="U123" s="3570">
        <v>398.27</v>
      </c>
      <c r="V123" s="3570">
        <v>398.27</v>
      </c>
      <c r="W123" s="3570">
        <v>3580.41</v>
      </c>
      <c r="X123" s="3572"/>
      <c r="Y123" s="3570">
        <v>995.6099999999999</v>
      </c>
      <c r="Z123" s="3570">
        <v>948.53</v>
      </c>
      <c r="AA123" s="3570">
        <v>802.55</v>
      </c>
      <c r="AB123" s="3570">
        <v>833.72</v>
      </c>
      <c r="AC123"/>
    </row>
    <row r="124" spans="5:29" ht="12.75" customHeight="1">
      <c r="E124" s="4508"/>
      <c r="F124" s="4502"/>
      <c r="G124" s="3588" t="s">
        <v>1096</v>
      </c>
      <c r="H124" s="3529">
        <v>482.02620000000002</v>
      </c>
      <c r="I124" s="3529">
        <v>444.93309599999998</v>
      </c>
      <c r="J124" s="3529">
        <v>482.02620000000002</v>
      </c>
      <c r="K124" s="3529">
        <v>506.56519200000002</v>
      </c>
      <c r="L124" s="3529">
        <v>497.66419999999994</v>
      </c>
      <c r="M124" s="3529">
        <v>491.29509600000006</v>
      </c>
      <c r="N124" s="3529">
        <v>391.25620000000004</v>
      </c>
      <c r="O124" s="3529">
        <v>530.93309599999998</v>
      </c>
      <c r="P124" s="3529">
        <v>458.02620000000002</v>
      </c>
      <c r="Q124" s="3529">
        <v>530.56519200000002</v>
      </c>
      <c r="R124" s="3529">
        <v>466.75419999999997</v>
      </c>
      <c r="S124" s="3529">
        <v>521.29509600000006</v>
      </c>
      <c r="T124" s="3542">
        <v>0</v>
      </c>
      <c r="U124" s="3573">
        <v>482.02620000000002</v>
      </c>
      <c r="V124" s="3573">
        <v>482.02620000000002</v>
      </c>
      <c r="W124" s="3573">
        <v>5803.3399680000002</v>
      </c>
      <c r="X124" s="3572"/>
      <c r="Y124" s="3573">
        <v>1408.985496</v>
      </c>
      <c r="Z124" s="3573">
        <v>1495.524488</v>
      </c>
      <c r="AA124" s="3573">
        <v>1380.215496</v>
      </c>
      <c r="AB124" s="3573">
        <v>1518.6144880000002</v>
      </c>
      <c r="AC124"/>
    </row>
    <row r="125" spans="5:29" ht="12.75" customHeight="1">
      <c r="E125" s="4507" t="str">
        <f>'[19]P. Conc'!E125</f>
        <v>TPH Recirculado (Sin chancar)</v>
      </c>
      <c r="F125" s="4509" t="str">
        <f>'[19]P. Conc'!F125</f>
        <v>TPH</v>
      </c>
      <c r="G125" s="3586" t="s">
        <v>57</v>
      </c>
      <c r="H125" s="3528">
        <v>98.853245184511849</v>
      </c>
      <c r="I125" s="3528">
        <v>95.838024363754386</v>
      </c>
      <c r="J125" s="3528">
        <v>42.566323019912566</v>
      </c>
      <c r="K125" s="3528">
        <v>13.144043583493861</v>
      </c>
      <c r="L125" s="3528">
        <v>65.969148575592641</v>
      </c>
      <c r="M125" s="3528">
        <v>41.264711104569542</v>
      </c>
      <c r="N125" s="3528">
        <v>52.652743704766898</v>
      </c>
      <c r="O125" s="3528">
        <v>18.885362761802188</v>
      </c>
      <c r="P125" s="3528">
        <v>17.097459185577446</v>
      </c>
      <c r="Q125" s="3528">
        <v>45.314373117379851</v>
      </c>
      <c r="R125" s="3528">
        <v>62.175093380933312</v>
      </c>
      <c r="S125" s="3528">
        <v>22.589247882355618</v>
      </c>
      <c r="T125" s="3542">
        <v>0</v>
      </c>
      <c r="U125" s="3523">
        <v>2476.4637630156831</v>
      </c>
      <c r="V125" s="3523">
        <v>2476.4637630156831</v>
      </c>
      <c r="W125" s="3523">
        <v>3202.5003902404746</v>
      </c>
      <c r="Y125" s="3523">
        <v>2952.4209670042674</v>
      </c>
      <c r="Z125" s="3523">
        <v>3227.2927046610416</v>
      </c>
      <c r="AA125" s="3523">
        <v>3589.570407722817</v>
      </c>
      <c r="AB125" s="3523">
        <v>3100.3345288486471</v>
      </c>
      <c r="AC125"/>
    </row>
    <row r="126" spans="5:29" ht="12.75" customHeight="1">
      <c r="E126" s="4508"/>
      <c r="F126" s="4510"/>
      <c r="G126" s="3588" t="s">
        <v>1096</v>
      </c>
      <c r="H126" s="3529">
        <v>96.637329865525317</v>
      </c>
      <c r="I126" s="3529">
        <v>96.274002896945603</v>
      </c>
      <c r="J126" s="3529">
        <v>93.434996130097716</v>
      </c>
      <c r="K126" s="3529">
        <v>41.119745789246736</v>
      </c>
      <c r="L126" s="3529">
        <v>71.35865323631333</v>
      </c>
      <c r="M126" s="3529">
        <v>61.953124537580152</v>
      </c>
      <c r="N126" s="3529">
        <v>145.37609589074418</v>
      </c>
      <c r="O126" s="3529">
        <v>23.455169488915999</v>
      </c>
      <c r="P126" s="3529">
        <v>22.747186986171073</v>
      </c>
      <c r="Q126" s="3529">
        <v>38.582798538900533</v>
      </c>
      <c r="R126" s="3529">
        <v>117.40749556426817</v>
      </c>
      <c r="S126" s="3529">
        <v>69.478378014871851</v>
      </c>
      <c r="T126" s="3542">
        <v>0</v>
      </c>
      <c r="U126" s="3525">
        <v>0</v>
      </c>
      <c r="V126" s="3525">
        <v>0</v>
      </c>
      <c r="W126" s="3525">
        <v>0</v>
      </c>
      <c r="Y126" s="3525">
        <v>0</v>
      </c>
      <c r="Z126" s="3525">
        <v>0</v>
      </c>
      <c r="AA126" s="3525">
        <v>0</v>
      </c>
      <c r="AB126" s="3525">
        <v>0</v>
      </c>
      <c r="AC126"/>
    </row>
    <row r="127" spans="5:29" ht="12.75" customHeight="1" outlineLevel="1">
      <c r="E127" s="4511"/>
      <c r="F127" s="4513"/>
      <c r="G127" s="3585"/>
      <c r="H127" s="3590"/>
      <c r="I127" s="3590"/>
      <c r="J127" s="3590"/>
      <c r="K127" s="3590"/>
      <c r="L127" s="3590"/>
      <c r="M127" s="3590"/>
      <c r="N127" s="3590"/>
      <c r="O127" s="3590"/>
      <c r="P127" s="3590"/>
      <c r="Q127" s="3590"/>
      <c r="R127" s="3590"/>
      <c r="S127" s="3590"/>
      <c r="T127" s="3541"/>
      <c r="U127" s="3590"/>
      <c r="V127" s="3590"/>
      <c r="W127" s="3590"/>
      <c r="Y127" s="3590"/>
      <c r="Z127" s="3590"/>
      <c r="AA127" s="3590"/>
      <c r="AB127" s="3590"/>
      <c r="AC127"/>
    </row>
    <row r="128" spans="5:29" ht="12.75" customHeight="1" outlineLevel="1">
      <c r="E128" s="4512"/>
      <c r="F128" s="4514"/>
      <c r="G128" s="3591"/>
      <c r="H128" s="3592"/>
      <c r="I128" s="3592"/>
      <c r="J128" s="3592"/>
      <c r="K128" s="3592"/>
      <c r="L128" s="3592"/>
      <c r="M128" s="3592"/>
      <c r="N128" s="3592"/>
      <c r="O128" s="3592"/>
      <c r="P128" s="3592"/>
      <c r="Q128" s="3592"/>
      <c r="R128" s="3592"/>
      <c r="S128" s="3592"/>
      <c r="T128" s="3583"/>
      <c r="U128" s="3592"/>
      <c r="V128" s="3592"/>
      <c r="W128" s="3592"/>
      <c r="Y128" s="3592"/>
      <c r="Z128" s="3592"/>
      <c r="AA128" s="3592"/>
      <c r="AB128" s="3592"/>
      <c r="AC128"/>
    </row>
    <row r="129" spans="1:29" ht="12.75" customHeight="1" outlineLevel="1" collapsed="1">
      <c r="E129" s="4511"/>
      <c r="F129" s="4513"/>
      <c r="G129" s="3585"/>
      <c r="H129" s="3590"/>
      <c r="I129" s="3590"/>
      <c r="J129" s="3590"/>
      <c r="K129" s="3590"/>
      <c r="L129" s="3590"/>
      <c r="M129" s="3590"/>
      <c r="N129" s="3590"/>
      <c r="O129" s="3590"/>
      <c r="P129" s="3590"/>
      <c r="Q129" s="3590"/>
      <c r="R129" s="3590"/>
      <c r="S129" s="3590"/>
      <c r="T129" s="3524"/>
      <c r="U129" s="3590"/>
      <c r="V129" s="3590"/>
      <c r="W129" s="3590"/>
      <c r="Y129" s="3590"/>
      <c r="Z129" s="3590"/>
      <c r="AA129" s="3590"/>
      <c r="AB129" s="3590"/>
      <c r="AC129"/>
    </row>
    <row r="130" spans="1:29" ht="12.75" customHeight="1" outlineLevel="1">
      <c r="E130" s="4512"/>
      <c r="F130" s="4514"/>
      <c r="G130" s="3591"/>
      <c r="H130" s="3593"/>
      <c r="I130" s="3593"/>
      <c r="J130" s="3593"/>
      <c r="K130" s="3593"/>
      <c r="L130" s="3593"/>
      <c r="M130" s="3593"/>
      <c r="N130" s="3593"/>
      <c r="O130" s="3593"/>
      <c r="P130" s="3593"/>
      <c r="Q130" s="3593"/>
      <c r="R130" s="3593"/>
      <c r="S130" s="3593"/>
      <c r="T130" s="3524"/>
      <c r="U130" s="3593"/>
      <c r="V130" s="3593"/>
      <c r="W130" s="3593"/>
      <c r="Y130" s="3593"/>
      <c r="Z130" s="3593"/>
      <c r="AA130" s="3593"/>
      <c r="AB130" s="3593"/>
      <c r="AC130"/>
    </row>
    <row r="131" spans="1:29" ht="12.75" customHeight="1">
      <c r="E131" s="3594"/>
      <c r="F131" s="3584"/>
      <c r="G131" s="3585"/>
      <c r="H131" s="3590"/>
      <c r="I131" s="3590"/>
      <c r="J131" s="3590"/>
      <c r="K131" s="3590"/>
      <c r="L131" s="3590"/>
      <c r="M131" s="3590"/>
      <c r="N131" s="3590"/>
      <c r="O131" s="3590"/>
      <c r="P131" s="3590"/>
      <c r="Q131" s="3590"/>
      <c r="R131" s="3590"/>
      <c r="S131" s="3590"/>
      <c r="T131" s="3524"/>
      <c r="U131" s="3590"/>
      <c r="V131" s="3590"/>
      <c r="W131" s="3590"/>
      <c r="Y131" s="3590"/>
      <c r="Z131" s="3590"/>
      <c r="AA131" s="3590"/>
      <c r="AB131" s="3590"/>
      <c r="AC131"/>
    </row>
    <row r="132" spans="1:29" ht="12.75" customHeight="1">
      <c r="E132" s="4499" t="s">
        <v>83</v>
      </c>
      <c r="F132" s="4501" t="s">
        <v>303</v>
      </c>
      <c r="G132" s="3515" t="s">
        <v>57</v>
      </c>
      <c r="H132" s="3579">
        <v>4.903292918675187</v>
      </c>
      <c r="I132" s="3579">
        <v>0</v>
      </c>
      <c r="J132" s="3579">
        <v>0</v>
      </c>
      <c r="K132" s="3579">
        <v>0</v>
      </c>
      <c r="L132" s="3579">
        <v>0</v>
      </c>
      <c r="M132" s="3579">
        <v>0</v>
      </c>
      <c r="N132" s="3579">
        <v>0</v>
      </c>
      <c r="O132" s="3579">
        <v>0</v>
      </c>
      <c r="P132" s="3579">
        <v>0</v>
      </c>
      <c r="Q132" s="3579">
        <v>0</v>
      </c>
      <c r="R132" s="3579">
        <v>0</v>
      </c>
      <c r="S132" s="3579">
        <v>0</v>
      </c>
      <c r="T132" s="3571"/>
      <c r="U132" s="3579">
        <v>4.903292918675187</v>
      </c>
      <c r="V132" s="3579">
        <v>4.903292918675187</v>
      </c>
      <c r="W132" s="3579">
        <v>4.903292918675187</v>
      </c>
      <c r="X132" s="3595"/>
      <c r="Y132" s="3579">
        <v>4.903292918675187</v>
      </c>
      <c r="Z132" s="3579">
        <v>0</v>
      </c>
      <c r="AA132" s="3579">
        <v>0</v>
      </c>
      <c r="AB132" s="3579">
        <v>0</v>
      </c>
      <c r="AC132"/>
    </row>
    <row r="133" spans="1:29" ht="12.75" customHeight="1">
      <c r="E133" s="4500"/>
      <c r="F133" s="4502"/>
      <c r="G133" s="3520" t="s">
        <v>1096</v>
      </c>
      <c r="H133" s="3580">
        <v>4.1268847263814763</v>
      </c>
      <c r="I133" s="3580">
        <v>4.1835574449084891</v>
      </c>
      <c r="J133" s="3580">
        <v>4.1504745365351701</v>
      </c>
      <c r="K133" s="3580">
        <v>4.07400549699606</v>
      </c>
      <c r="L133" s="3580">
        <v>4.2016067113902942</v>
      </c>
      <c r="M133" s="3580">
        <v>4.1464879403675798</v>
      </c>
      <c r="N133" s="3580">
        <v>4.0484953134678117</v>
      </c>
      <c r="O133" s="3580">
        <v>4.1248689581482569</v>
      </c>
      <c r="P133" s="3580">
        <v>4.112501213934566</v>
      </c>
      <c r="Q133" s="3580">
        <v>4.1223747873045244</v>
      </c>
      <c r="R133" s="3580">
        <v>4.1120914909760256</v>
      </c>
      <c r="S133" s="3580">
        <v>4.187087295920759</v>
      </c>
      <c r="T133" s="3571"/>
      <c r="U133" s="3580">
        <v>4.1268847263814763</v>
      </c>
      <c r="V133" s="3580">
        <v>4.1268847263814763</v>
      </c>
      <c r="W133" s="3580">
        <v>4.1338659423132755</v>
      </c>
      <c r="X133" s="3595"/>
      <c r="Y133" s="3580">
        <v>4.1523938558932096</v>
      </c>
      <c r="Z133" s="3580">
        <v>4.1495577442999894</v>
      </c>
      <c r="AA133" s="3580">
        <v>4.0949439826647858</v>
      </c>
      <c r="AB133" s="3580">
        <v>4.1416194712740859</v>
      </c>
    </row>
    <row r="134" spans="1:29" s="3596" customFormat="1" ht="12.75" customHeight="1">
      <c r="A134" s="3476"/>
      <c r="B134" s="3476"/>
      <c r="C134" s="3476"/>
      <c r="D134" s="3476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1:29" ht="12.75" customHeight="1">
      <c r="E135" s="4499" t="s">
        <v>290</v>
      </c>
      <c r="F135" s="4501" t="s">
        <v>305</v>
      </c>
      <c r="G135" s="3515" t="s">
        <v>57</v>
      </c>
      <c r="H135" s="3574">
        <v>186.32021836193738</v>
      </c>
      <c r="I135" s="3574">
        <v>0</v>
      </c>
      <c r="J135" s="3574">
        <v>0</v>
      </c>
      <c r="K135" s="3574">
        <v>0</v>
      </c>
      <c r="L135" s="3574">
        <v>0</v>
      </c>
      <c r="M135" s="3574">
        <v>0</v>
      </c>
      <c r="N135" s="3574">
        <v>0</v>
      </c>
      <c r="O135" s="3574">
        <v>0</v>
      </c>
      <c r="P135" s="3574">
        <v>0</v>
      </c>
      <c r="Q135" s="3574">
        <v>0</v>
      </c>
      <c r="R135" s="3574">
        <v>0</v>
      </c>
      <c r="S135" s="3574">
        <v>0</v>
      </c>
      <c r="T135" s="3575"/>
      <c r="U135" s="3574">
        <v>186.32021836193738</v>
      </c>
      <c r="V135" s="3574">
        <v>186.32021836193738</v>
      </c>
      <c r="W135" s="3574">
        <v>186.32021836193738</v>
      </c>
      <c r="X135" s="3576"/>
      <c r="Y135" s="3574">
        <v>186.32021836193738</v>
      </c>
      <c r="Z135" s="3574">
        <v>0</v>
      </c>
      <c r="AA135" s="3574">
        <v>0</v>
      </c>
      <c r="AB135" s="3574">
        <v>0</v>
      </c>
    </row>
    <row r="136" spans="1:29" ht="12.75" customHeight="1">
      <c r="E136" s="4500"/>
      <c r="F136" s="4502"/>
      <c r="G136" s="3520" t="s">
        <v>1096</v>
      </c>
      <c r="H136" s="3577">
        <v>186.60499999999999</v>
      </c>
      <c r="I136" s="3577">
        <v>186.255</v>
      </c>
      <c r="J136" s="3577">
        <v>186.66677021919605</v>
      </c>
      <c r="K136" s="3577">
        <v>183.00800800800801</v>
      </c>
      <c r="L136" s="3577">
        <v>187.84546833937438</v>
      </c>
      <c r="M136" s="3577">
        <v>187.30015387247312</v>
      </c>
      <c r="N136" s="3577">
        <v>186.69975001244205</v>
      </c>
      <c r="O136" s="3577">
        <v>186.55581322886673</v>
      </c>
      <c r="P136" s="3577">
        <v>185.61763209856858</v>
      </c>
      <c r="Q136" s="3577">
        <v>185.67938719945457</v>
      </c>
      <c r="R136" s="3577">
        <v>184.33066933066931</v>
      </c>
      <c r="S136" s="3577">
        <v>183.48583162141628</v>
      </c>
      <c r="T136" s="3575"/>
      <c r="U136" s="3577">
        <v>186.60499999999999</v>
      </c>
      <c r="V136" s="3577">
        <v>186.60499999999999</v>
      </c>
      <c r="W136" s="3577">
        <v>185.90217427563246</v>
      </c>
      <c r="X136" s="3576"/>
      <c r="Y136" s="3577">
        <v>186.52716220256738</v>
      </c>
      <c r="Z136" s="3577">
        <v>186.44488607772934</v>
      </c>
      <c r="AA136" s="3577">
        <v>186.29496562616475</v>
      </c>
      <c r="AB136" s="3577">
        <v>184.49312324660147</v>
      </c>
    </row>
    <row r="137" spans="1:29" ht="12.75" customHeight="1">
      <c r="E137" s="3597"/>
      <c r="F137" s="3598"/>
      <c r="G137" s="3591"/>
      <c r="H137" s="3592"/>
      <c r="I137" s="3592"/>
      <c r="J137" s="3592"/>
      <c r="K137" s="3592"/>
      <c r="L137" s="3592"/>
      <c r="M137" s="3592"/>
      <c r="N137" s="3592"/>
      <c r="O137" s="3592"/>
      <c r="P137" s="3592"/>
      <c r="Q137" s="3592"/>
      <c r="R137" s="3592"/>
      <c r="S137" s="3592"/>
      <c r="T137" s="3583"/>
      <c r="U137" s="3592"/>
      <c r="V137" s="3592"/>
      <c r="W137" s="3592"/>
    </row>
    <row r="138" spans="1:29" ht="12.75" customHeight="1">
      <c r="E138" s="4499" t="s">
        <v>1759</v>
      </c>
      <c r="F138" s="4501" t="s">
        <v>1760</v>
      </c>
      <c r="G138" s="3515" t="s">
        <v>57</v>
      </c>
      <c r="H138" s="3579">
        <v>23.707113978270606</v>
      </c>
      <c r="I138" s="3579" t="s">
        <v>342</v>
      </c>
      <c r="J138" s="3579" t="s">
        <v>342</v>
      </c>
      <c r="K138" s="3579" t="s">
        <v>342</v>
      </c>
      <c r="L138" s="3579" t="s">
        <v>342</v>
      </c>
      <c r="M138" s="3579" t="s">
        <v>342</v>
      </c>
      <c r="N138" s="3579" t="s">
        <v>342</v>
      </c>
      <c r="O138" s="3579" t="s">
        <v>342</v>
      </c>
      <c r="P138" s="3579" t="s">
        <v>342</v>
      </c>
      <c r="Q138" s="3579" t="s">
        <v>342</v>
      </c>
      <c r="R138" s="3579" t="s">
        <v>342</v>
      </c>
      <c r="S138" s="3579" t="s">
        <v>342</v>
      </c>
      <c r="T138" s="3571"/>
      <c r="U138" s="3579">
        <v>23.707113978270606</v>
      </c>
      <c r="V138" s="3579">
        <v>23.707113978270606</v>
      </c>
      <c r="W138" s="3579">
        <v>23.707113978270606</v>
      </c>
      <c r="X138" s="3595"/>
      <c r="Y138" s="3579">
        <v>23.707113978270606</v>
      </c>
      <c r="Z138" s="3579">
        <v>0</v>
      </c>
      <c r="AA138" s="3579">
        <v>0</v>
      </c>
      <c r="AB138" s="3579">
        <v>0</v>
      </c>
      <c r="AC138"/>
    </row>
    <row r="139" spans="1:29" ht="12.75" customHeight="1">
      <c r="E139" s="4500"/>
      <c r="F139" s="4502"/>
      <c r="G139" s="3520" t="s">
        <v>1096</v>
      </c>
      <c r="H139" s="3580">
        <v>21.668039229775975</v>
      </c>
      <c r="I139" s="3580">
        <v>22.358216994812086</v>
      </c>
      <c r="J139" s="3580">
        <v>21.700328300539649</v>
      </c>
      <c r="K139" s="3580">
        <v>21.970673493260005</v>
      </c>
      <c r="L139" s="3580">
        <v>20.930573649529528</v>
      </c>
      <c r="M139" s="3580">
        <v>21.009641765617992</v>
      </c>
      <c r="N139" s="3580">
        <v>21.414898421191289</v>
      </c>
      <c r="O139" s="3580">
        <v>21.285360285564629</v>
      </c>
      <c r="P139" s="3580">
        <v>21.514010891642428</v>
      </c>
      <c r="Q139" s="3580">
        <v>21.525829899440463</v>
      </c>
      <c r="R139" s="3580">
        <v>22.169412678277926</v>
      </c>
      <c r="S139" s="3580">
        <v>21.067227541588259</v>
      </c>
      <c r="T139" s="3571"/>
      <c r="U139" s="3580">
        <v>21.668039229775975</v>
      </c>
      <c r="V139" s="3580">
        <v>21.668039229775975</v>
      </c>
      <c r="W139" s="3580">
        <v>21.512439808417319</v>
      </c>
      <c r="X139" s="3595"/>
      <c r="Y139" s="3580">
        <v>21.880731887875694</v>
      </c>
      <c r="Z139" s="3580">
        <v>21.21755472817927</v>
      </c>
      <c r="AA139" s="3580">
        <v>21.40463862613332</v>
      </c>
      <c r="AB139" s="3580">
        <v>21.568978707465654</v>
      </c>
      <c r="AC139"/>
    </row>
    <row r="140" spans="1:29" customFormat="1" ht="12.75" customHeight="1"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U140">
        <v>0</v>
      </c>
      <c r="V140">
        <v>0</v>
      </c>
      <c r="W140">
        <v>0</v>
      </c>
      <c r="Y140">
        <v>0</v>
      </c>
      <c r="Z140">
        <v>0</v>
      </c>
      <c r="AA140">
        <v>0</v>
      </c>
      <c r="AB140">
        <v>0</v>
      </c>
    </row>
    <row r="141" spans="1:29" ht="12.75" customHeight="1">
      <c r="E141" s="4499" t="s">
        <v>1761</v>
      </c>
      <c r="F141" s="4501" t="s">
        <v>48</v>
      </c>
      <c r="G141" s="3515" t="s">
        <v>57</v>
      </c>
      <c r="H141" s="3579">
        <v>0</v>
      </c>
      <c r="I141" s="3579">
        <v>0</v>
      </c>
      <c r="J141" s="3579">
        <v>0</v>
      </c>
      <c r="K141" s="3579">
        <v>0</v>
      </c>
      <c r="L141" s="3579">
        <v>0</v>
      </c>
      <c r="M141" s="3579">
        <v>0</v>
      </c>
      <c r="N141" s="3579">
        <v>0</v>
      </c>
      <c r="O141" s="3579">
        <v>0</v>
      </c>
      <c r="P141" s="3579">
        <v>0</v>
      </c>
      <c r="Q141" s="3579">
        <v>0</v>
      </c>
      <c r="R141" s="3579">
        <v>0</v>
      </c>
      <c r="S141" s="3579">
        <v>0</v>
      </c>
      <c r="T141" s="3571"/>
      <c r="U141" s="3579">
        <v>0</v>
      </c>
      <c r="V141" s="3579">
        <v>0</v>
      </c>
      <c r="W141" s="3579">
        <v>0</v>
      </c>
      <c r="X141" s="3595"/>
      <c r="Y141" s="3579">
        <v>0</v>
      </c>
      <c r="Z141" s="3579">
        <v>0</v>
      </c>
      <c r="AA141" s="3579">
        <v>0</v>
      </c>
      <c r="AB141" s="3579">
        <v>0</v>
      </c>
      <c r="AC141"/>
    </row>
    <row r="142" spans="1:29" ht="12.75" customHeight="1">
      <c r="E142" s="4500"/>
      <c r="F142" s="4502"/>
      <c r="G142" s="3520" t="s">
        <v>1096</v>
      </c>
      <c r="H142" s="3580">
        <v>0</v>
      </c>
      <c r="I142" s="3580">
        <v>0</v>
      </c>
      <c r="J142" s="3580">
        <v>0</v>
      </c>
      <c r="K142" s="3580">
        <v>0</v>
      </c>
      <c r="L142" s="3580">
        <v>0</v>
      </c>
      <c r="M142" s="3580">
        <v>0</v>
      </c>
      <c r="N142" s="3580">
        <v>0</v>
      </c>
      <c r="O142" s="3580">
        <v>0</v>
      </c>
      <c r="P142" s="3580">
        <v>0</v>
      </c>
      <c r="Q142" s="3580">
        <v>0</v>
      </c>
      <c r="R142" s="3580">
        <v>0</v>
      </c>
      <c r="S142" s="3580">
        <v>0</v>
      </c>
      <c r="T142" s="3571"/>
      <c r="U142" s="3580">
        <v>0</v>
      </c>
      <c r="V142" s="3580">
        <v>0</v>
      </c>
      <c r="W142" s="3580">
        <v>0</v>
      </c>
      <c r="X142" s="3595"/>
      <c r="Y142" s="3580">
        <v>0</v>
      </c>
      <c r="Z142" s="3580">
        <v>0</v>
      </c>
      <c r="AA142" s="3580">
        <v>0</v>
      </c>
      <c r="AB142" s="3580">
        <v>0</v>
      </c>
      <c r="AC142"/>
    </row>
    <row r="143" spans="1:29" customFormat="1" ht="12.75" customHeight="1"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U143">
        <v>0</v>
      </c>
      <c r="V143">
        <v>0</v>
      </c>
      <c r="W143">
        <v>0</v>
      </c>
      <c r="Y143">
        <v>0</v>
      </c>
      <c r="Z143">
        <v>0</v>
      </c>
      <c r="AA143">
        <v>0</v>
      </c>
      <c r="AB143">
        <v>0</v>
      </c>
    </row>
    <row r="144" spans="1:29" ht="12.75" customHeight="1">
      <c r="E144" s="4499" t="s">
        <v>1762</v>
      </c>
      <c r="F144" s="4501" t="s">
        <v>48</v>
      </c>
      <c r="G144" s="3515" t="s">
        <v>57</v>
      </c>
      <c r="H144" s="3579">
        <v>8.1337470771052054</v>
      </c>
      <c r="I144" s="3579">
        <v>0</v>
      </c>
      <c r="J144" s="3579">
        <v>0</v>
      </c>
      <c r="K144" s="3579">
        <v>0</v>
      </c>
      <c r="L144" s="3579">
        <v>0</v>
      </c>
      <c r="M144" s="3579">
        <v>0</v>
      </c>
      <c r="N144" s="3579">
        <v>0</v>
      </c>
      <c r="O144" s="3579">
        <v>0</v>
      </c>
      <c r="P144" s="3579">
        <v>0</v>
      </c>
      <c r="Q144" s="3579">
        <v>0</v>
      </c>
      <c r="R144" s="3579">
        <v>0</v>
      </c>
      <c r="S144" s="3579">
        <v>0</v>
      </c>
      <c r="T144" s="3571"/>
      <c r="U144" s="3579">
        <v>8.1337470771052054</v>
      </c>
      <c r="V144" s="3579">
        <v>8.1337470771052054</v>
      </c>
      <c r="W144" s="3579">
        <v>8.1337470771052054</v>
      </c>
      <c r="X144" s="3595"/>
      <c r="Y144" s="3579">
        <v>8.1337470771052054</v>
      </c>
      <c r="Z144" s="3579">
        <v>0</v>
      </c>
      <c r="AA144" s="3579">
        <v>0</v>
      </c>
      <c r="AB144" s="3579">
        <v>0</v>
      </c>
      <c r="AC144"/>
    </row>
    <row r="145" spans="1:29" ht="12.75" customHeight="1">
      <c r="E145" s="4500"/>
      <c r="F145" s="4502"/>
      <c r="G145" s="3520" t="s">
        <v>1096</v>
      </c>
      <c r="H145" s="3580">
        <v>8.5</v>
      </c>
      <c r="I145" s="3580">
        <v>8.5</v>
      </c>
      <c r="J145" s="3580">
        <v>8.5</v>
      </c>
      <c r="K145" s="3580">
        <v>8.5</v>
      </c>
      <c r="L145" s="3580">
        <v>8.5</v>
      </c>
      <c r="M145" s="3580">
        <v>8.5</v>
      </c>
      <c r="N145" s="3580">
        <v>8.5</v>
      </c>
      <c r="O145" s="3580">
        <v>8.5</v>
      </c>
      <c r="P145" s="3580">
        <v>8.5</v>
      </c>
      <c r="Q145" s="3580">
        <v>8.5</v>
      </c>
      <c r="R145" s="3580">
        <v>8.5</v>
      </c>
      <c r="S145" s="3580">
        <v>8.5</v>
      </c>
      <c r="T145" s="3571"/>
      <c r="U145" s="3580">
        <v>8.5</v>
      </c>
      <c r="V145" s="3580">
        <v>8.5</v>
      </c>
      <c r="W145" s="3580">
        <v>8.5</v>
      </c>
      <c r="X145" s="3595"/>
      <c r="Y145" s="3580">
        <v>8.5</v>
      </c>
      <c r="Z145" s="3580">
        <v>8.5</v>
      </c>
      <c r="AA145" s="3580">
        <v>8.5</v>
      </c>
      <c r="AB145" s="3580">
        <v>8.5</v>
      </c>
      <c r="AC145"/>
    </row>
    <row r="146" spans="1:29" customFormat="1" ht="12.75" customHeight="1"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U146">
        <v>0</v>
      </c>
      <c r="V146">
        <v>0</v>
      </c>
      <c r="W146">
        <v>0</v>
      </c>
      <c r="Y146">
        <v>0</v>
      </c>
      <c r="Z146">
        <v>0</v>
      </c>
      <c r="AA146">
        <v>0</v>
      </c>
      <c r="AB146">
        <v>0</v>
      </c>
    </row>
    <row r="147" spans="1:29" ht="12.75" customHeight="1">
      <c r="E147" s="4499" t="s">
        <v>1763</v>
      </c>
      <c r="F147" s="4501" t="s">
        <v>211</v>
      </c>
      <c r="G147" s="3515" t="s">
        <v>57</v>
      </c>
      <c r="H147" s="3570">
        <v>128.4643018935484</v>
      </c>
      <c r="I147" s="3570">
        <v>0</v>
      </c>
      <c r="J147" s="3570">
        <v>0</v>
      </c>
      <c r="K147" s="3570">
        <v>0</v>
      </c>
      <c r="L147" s="3570">
        <v>0</v>
      </c>
      <c r="M147" s="3570">
        <v>0</v>
      </c>
      <c r="N147" s="3570">
        <v>0</v>
      </c>
      <c r="O147" s="3570">
        <v>0</v>
      </c>
      <c r="P147" s="3570">
        <v>0</v>
      </c>
      <c r="Q147" s="3570">
        <v>0</v>
      </c>
      <c r="R147" s="3570">
        <v>0</v>
      </c>
      <c r="S147" s="3570">
        <v>0</v>
      </c>
      <c r="T147" s="3571"/>
      <c r="U147" s="3570">
        <v>128.4643018935484</v>
      </c>
      <c r="V147" s="3570">
        <v>128.4643018935484</v>
      </c>
      <c r="W147" s="3574">
        <v>10.910666736164384</v>
      </c>
      <c r="X147" s="3572"/>
      <c r="Y147" s="3574">
        <v>44.248815096666668</v>
      </c>
      <c r="Z147" s="3574">
        <v>0</v>
      </c>
      <c r="AA147" s="3574">
        <v>0</v>
      </c>
      <c r="AB147" s="3574">
        <v>0</v>
      </c>
      <c r="AC147"/>
    </row>
    <row r="148" spans="1:29" ht="12.75" customHeight="1">
      <c r="E148" s="4500"/>
      <c r="F148" s="4502"/>
      <c r="G148" s="3520" t="s">
        <v>1096</v>
      </c>
      <c r="H148" s="3573">
        <v>159.55179007096774</v>
      </c>
      <c r="I148" s="3573">
        <v>157.43134811428573</v>
      </c>
      <c r="J148" s="3573">
        <v>188.25016367096774</v>
      </c>
      <c r="K148" s="3573">
        <v>132.68493827666666</v>
      </c>
      <c r="L148" s="3573">
        <v>197.72325182580644</v>
      </c>
      <c r="M148" s="3573">
        <v>198.60838175666669</v>
      </c>
      <c r="N148" s="3573">
        <v>188.20441901290323</v>
      </c>
      <c r="O148" s="3573">
        <v>184.45832630000001</v>
      </c>
      <c r="P148" s="3573">
        <v>189.62737653000002</v>
      </c>
      <c r="Q148" s="3573">
        <v>193.36999887741936</v>
      </c>
      <c r="R148" s="3573">
        <v>185.94265209</v>
      </c>
      <c r="S148" s="3573">
        <v>198.70627852258065</v>
      </c>
      <c r="T148" s="3571"/>
      <c r="U148" s="3573">
        <v>159.55179007096774</v>
      </c>
      <c r="V148" s="3573">
        <v>159.55179007096774</v>
      </c>
      <c r="W148" s="3573">
        <v>181.45799803698631</v>
      </c>
      <c r="X148" s="3572"/>
      <c r="Y148" s="3573">
        <v>168.7770923688889</v>
      </c>
      <c r="Z148" s="3573">
        <v>176.57385063296704</v>
      </c>
      <c r="AA148" s="3573">
        <v>187.40615652826088</v>
      </c>
      <c r="AB148" s="3573">
        <v>192.7461321967391</v>
      </c>
      <c r="AC148"/>
    </row>
    <row r="149" spans="1:29" customFormat="1" ht="12.75" customHeight="1"/>
    <row r="150" spans="1:29" s="3479" customFormat="1" ht="12.75" customHeight="1">
      <c r="A150" s="3476"/>
      <c r="B150" s="3476"/>
      <c r="C150" s="3476"/>
      <c r="D150" s="3476"/>
      <c r="E150" s="3477"/>
      <c r="F150" s="3477"/>
      <c r="G150" s="3478"/>
      <c r="H150" s="3565"/>
      <c r="I150" s="3565"/>
      <c r="J150" s="3565"/>
      <c r="K150" s="3565"/>
      <c r="L150" s="3565"/>
      <c r="M150" s="3565"/>
      <c r="N150" s="3565"/>
      <c r="O150" s="3565"/>
      <c r="P150" s="3565"/>
      <c r="Q150" s="3565"/>
      <c r="R150" s="3565"/>
      <c r="S150" s="3565"/>
      <c r="T150" s="3565"/>
      <c r="X150" s="3477"/>
    </row>
    <row r="151" spans="1:29" ht="12.75" customHeight="1">
      <c r="E151" s="3599" t="s">
        <v>1770</v>
      </c>
      <c r="F151" s="3599" t="s">
        <v>1771</v>
      </c>
      <c r="G151" s="3515" t="s">
        <v>57</v>
      </c>
      <c r="H151" s="3570">
        <v>0</v>
      </c>
      <c r="I151" s="3570">
        <v>0</v>
      </c>
      <c r="J151" s="3570">
        <v>0</v>
      </c>
      <c r="K151" s="3570">
        <v>0</v>
      </c>
      <c r="L151" s="3570">
        <v>0</v>
      </c>
      <c r="M151" s="3570">
        <v>0</v>
      </c>
      <c r="N151" s="3570">
        <v>0</v>
      </c>
      <c r="O151" s="3570">
        <v>0</v>
      </c>
      <c r="P151" s="3570">
        <v>0</v>
      </c>
      <c r="Q151" s="3570">
        <v>0</v>
      </c>
      <c r="R151" s="3570">
        <v>0</v>
      </c>
      <c r="S151" s="3570">
        <v>0</v>
      </c>
      <c r="T151" s="3571">
        <v>0</v>
      </c>
      <c r="U151" s="3570">
        <v>0</v>
      </c>
      <c r="V151" s="3570">
        <v>0</v>
      </c>
      <c r="W151" s="3570">
        <v>0</v>
      </c>
      <c r="X151" s="3572">
        <v>0</v>
      </c>
      <c r="Y151" s="3570">
        <v>0</v>
      </c>
      <c r="Z151" s="3570">
        <v>0</v>
      </c>
      <c r="AA151" s="3570">
        <v>0</v>
      </c>
      <c r="AB151" s="3570">
        <v>0</v>
      </c>
      <c r="AC151"/>
    </row>
    <row r="152" spans="1:29" s="3479" customFormat="1" ht="12.75" customHeight="1">
      <c r="A152" s="3476"/>
      <c r="B152" s="3476"/>
      <c r="C152" s="3476"/>
      <c r="D152" s="3476"/>
      <c r="E152" s="3477"/>
      <c r="F152" s="3477"/>
      <c r="G152" s="3478"/>
      <c r="H152" s="3565"/>
      <c r="I152" s="3565"/>
      <c r="J152" s="3565"/>
      <c r="K152" s="3565"/>
      <c r="L152" s="3565"/>
      <c r="M152" s="3565"/>
      <c r="N152" s="3565"/>
      <c r="O152" s="3565"/>
      <c r="P152" s="3565"/>
      <c r="Q152" s="3565"/>
      <c r="R152" s="3565"/>
      <c r="S152" s="3565"/>
      <c r="T152" s="3565"/>
      <c r="X152" s="3477"/>
    </row>
    <row r="153" spans="1:29" s="3479" customFormat="1" ht="12.75" customHeight="1">
      <c r="A153" s="3476"/>
      <c r="B153" s="3476"/>
      <c r="C153" s="3476"/>
      <c r="D153" s="3476"/>
      <c r="E153" s="3477"/>
      <c r="F153" s="3477"/>
      <c r="G153" s="3478"/>
      <c r="H153" s="3565"/>
      <c r="I153" s="3565"/>
      <c r="J153" s="3565"/>
      <c r="K153" s="3565"/>
      <c r="L153" s="3565"/>
      <c r="M153" s="3565"/>
      <c r="N153" s="3565"/>
      <c r="O153" s="3565"/>
      <c r="P153" s="3565"/>
      <c r="Q153" s="3565"/>
      <c r="R153" s="3565"/>
      <c r="S153" s="3565"/>
      <c r="T153" s="3565"/>
      <c r="V153" s="3512"/>
      <c r="W153" s="3600"/>
      <c r="X153" s="3477"/>
    </row>
    <row r="154" spans="1:29" s="3479" customFormat="1" ht="12.75" customHeight="1">
      <c r="A154" s="3476"/>
      <c r="B154" s="3476"/>
      <c r="C154" s="3476"/>
      <c r="D154" s="3476"/>
      <c r="E154" s="4503" t="s">
        <v>1772</v>
      </c>
      <c r="F154" s="4505" t="s">
        <v>1720</v>
      </c>
      <c r="G154" s="3509" t="s">
        <v>57</v>
      </c>
      <c r="H154" s="3531">
        <v>19.996058591197251</v>
      </c>
      <c r="I154" s="3531">
        <v>0</v>
      </c>
      <c r="J154" s="3531">
        <v>0</v>
      </c>
      <c r="K154" s="3531">
        <v>0</v>
      </c>
      <c r="L154" s="3531">
        <v>0</v>
      </c>
      <c r="M154" s="3531">
        <v>0</v>
      </c>
      <c r="N154" s="3531">
        <v>0</v>
      </c>
      <c r="O154" s="3531">
        <v>0</v>
      </c>
      <c r="P154" s="3531">
        <v>0</v>
      </c>
      <c r="Q154" s="3531">
        <v>0</v>
      </c>
      <c r="R154" s="3531">
        <v>0</v>
      </c>
      <c r="S154" s="3531">
        <v>0</v>
      </c>
      <c r="T154" s="3511">
        <v>0</v>
      </c>
      <c r="U154" s="3531">
        <v>19.996058591197251</v>
      </c>
      <c r="V154" s="3531">
        <v>19.996058591197251</v>
      </c>
      <c r="W154" s="3531">
        <v>19.996058591197251</v>
      </c>
      <c r="X154" s="3511">
        <v>0</v>
      </c>
      <c r="Y154" s="3531">
        <v>19.996058591197251</v>
      </c>
      <c r="Z154" s="3531">
        <v>0</v>
      </c>
      <c r="AA154" s="3531">
        <v>0</v>
      </c>
      <c r="AB154" s="3531">
        <v>0</v>
      </c>
    </row>
    <row r="155" spans="1:29" s="3479" customFormat="1" ht="12.75" customHeight="1">
      <c r="A155" s="3476"/>
      <c r="B155" s="3476"/>
      <c r="C155" s="3476"/>
      <c r="D155" s="3476"/>
      <c r="E155" s="4504"/>
      <c r="F155" s="4506"/>
      <c r="G155" s="3513" t="s">
        <v>1096</v>
      </c>
      <c r="H155" s="3558">
        <v>21.360510677533295</v>
      </c>
      <c r="I155" s="3558">
        <v>23.645957816675718</v>
      </c>
      <c r="J155" s="3558">
        <v>31.965263360105315</v>
      </c>
      <c r="K155" s="3558">
        <v>23.780952003356326</v>
      </c>
      <c r="L155" s="3558">
        <v>35.846191330183487</v>
      </c>
      <c r="M155" s="3558">
        <v>33.73700491536777</v>
      </c>
      <c r="N155" s="3558">
        <v>30.311698010625793</v>
      </c>
      <c r="O155" s="3558">
        <v>32.801132123473515</v>
      </c>
      <c r="P155" s="3558">
        <v>36.905629766802299</v>
      </c>
      <c r="Q155" s="3558">
        <v>37.474913951283156</v>
      </c>
      <c r="R155" s="3558">
        <v>34.596053481786257</v>
      </c>
      <c r="S155" s="3558">
        <v>40.138159860477479</v>
      </c>
      <c r="T155" s="3559">
        <v>0</v>
      </c>
      <c r="U155" s="3558">
        <v>21.360510677533295</v>
      </c>
      <c r="V155" s="3533">
        <v>21.360510677533295</v>
      </c>
      <c r="W155" s="3558">
        <v>382.56346729767046</v>
      </c>
      <c r="X155" s="3559">
        <v>0</v>
      </c>
      <c r="Y155" s="3558">
        <v>76.971731854314328</v>
      </c>
      <c r="Z155" s="3558">
        <v>93.364148248907583</v>
      </c>
      <c r="AA155" s="3558">
        <v>100.0184599009016</v>
      </c>
      <c r="AB155" s="3558">
        <v>112.20912729354689</v>
      </c>
    </row>
    <row r="156" spans="1:29" s="3479" customFormat="1" ht="12.75" customHeight="1">
      <c r="A156" s="3476"/>
      <c r="B156" s="3476"/>
      <c r="C156" s="3476"/>
      <c r="D156" s="3476"/>
      <c r="E156" s="3496"/>
      <c r="F156" s="3497"/>
      <c r="G156" s="3549"/>
      <c r="H156" s="3565"/>
      <c r="I156" s="3565"/>
      <c r="J156" s="3565"/>
      <c r="K156" s="3565"/>
      <c r="L156" s="3565"/>
      <c r="M156" s="3565"/>
      <c r="N156" s="3565"/>
      <c r="O156" s="3565"/>
      <c r="P156" s="3565"/>
      <c r="Q156" s="3565"/>
      <c r="R156" s="3565"/>
      <c r="S156" s="3565"/>
      <c r="T156" s="3550"/>
      <c r="U156" s="3550"/>
      <c r="V156" s="3550"/>
      <c r="W156" s="3550"/>
      <c r="X156" s="3477"/>
      <c r="Y156" s="3550"/>
      <c r="Z156" s="3550"/>
      <c r="AA156" s="3550"/>
      <c r="AB156" s="3550"/>
    </row>
    <row r="157" spans="1:29" s="3479" customFormat="1" ht="9" customHeight="1">
      <c r="A157" s="3476"/>
      <c r="B157" s="3476"/>
      <c r="C157" s="3476"/>
      <c r="D157" s="3476"/>
      <c r="E157" s="3566"/>
      <c r="F157" s="3549"/>
      <c r="G157" s="3549"/>
      <c r="H157" s="3565"/>
      <c r="I157" s="3565"/>
      <c r="J157" s="3565"/>
      <c r="K157" s="3565"/>
      <c r="L157" s="3565"/>
      <c r="M157" s="3565"/>
      <c r="N157" s="3565"/>
      <c r="O157" s="3565"/>
      <c r="P157" s="3565"/>
      <c r="Q157" s="3565"/>
      <c r="R157" s="3565"/>
      <c r="S157" s="3565"/>
      <c r="T157" s="3550"/>
      <c r="U157" s="3550"/>
      <c r="V157" s="3550"/>
      <c r="W157" s="3550"/>
      <c r="X157" s="3477"/>
      <c r="Y157" s="3550"/>
      <c r="Z157" s="3550"/>
      <c r="AA157" s="3550"/>
      <c r="AB157" s="3550"/>
    </row>
    <row r="158" spans="1:29" s="3479" customFormat="1" ht="9" customHeight="1">
      <c r="A158" s="3476"/>
      <c r="B158" s="3476"/>
      <c r="C158" s="3476"/>
      <c r="D158" s="3476"/>
      <c r="E158" s="4499"/>
      <c r="F158" s="4501"/>
      <c r="G158" s="3515"/>
      <c r="H158" s="3601"/>
      <c r="I158" s="3601"/>
      <c r="J158" s="3601"/>
      <c r="K158" s="3601"/>
      <c r="L158" s="3601"/>
      <c r="M158" s="3601"/>
      <c r="N158" s="3601"/>
      <c r="O158" s="3601"/>
      <c r="P158" s="3601"/>
      <c r="Q158" s="3601"/>
      <c r="R158" s="3601"/>
      <c r="S158" s="3601"/>
      <c r="T158" s="3571"/>
      <c r="U158" s="3601"/>
      <c r="V158" s="3601"/>
      <c r="W158" s="3601"/>
      <c r="X158" s="3572"/>
      <c r="Y158" s="3601"/>
      <c r="Z158" s="3601"/>
      <c r="AA158" s="3601"/>
      <c r="AB158" s="3601"/>
    </row>
    <row r="159" spans="1:29" s="3479" customFormat="1" ht="9" customHeight="1">
      <c r="A159" s="3476"/>
      <c r="B159" s="3476"/>
      <c r="C159" s="3476"/>
      <c r="D159" s="3476"/>
      <c r="E159" s="4500"/>
      <c r="F159" s="4502"/>
      <c r="G159" s="3520"/>
      <c r="H159" s="3602"/>
      <c r="I159" s="3602"/>
      <c r="J159" s="3602"/>
      <c r="K159" s="3602"/>
      <c r="L159" s="3602"/>
      <c r="M159" s="3602"/>
      <c r="N159" s="3602"/>
      <c r="O159" s="3602"/>
      <c r="P159" s="3602"/>
      <c r="Q159" s="3602"/>
      <c r="R159" s="3602"/>
      <c r="S159" s="3602"/>
      <c r="T159" s="3571"/>
      <c r="U159" s="3602"/>
      <c r="V159" s="3602"/>
      <c r="W159" s="3602"/>
      <c r="X159" s="3572"/>
      <c r="Y159" s="3602"/>
      <c r="Z159" s="3602"/>
      <c r="AA159" s="3602"/>
      <c r="AB159" s="3602"/>
    </row>
    <row r="160" spans="1:29" s="3479" customFormat="1" ht="9" customHeight="1">
      <c r="A160" s="3476"/>
      <c r="B160" s="3476"/>
      <c r="C160" s="3476"/>
      <c r="D160" s="3476"/>
      <c r="E160" s="4499"/>
      <c r="F160" s="4501"/>
      <c r="G160" s="3515"/>
      <c r="H160" s="3601"/>
      <c r="I160" s="3601"/>
      <c r="J160" s="3601"/>
      <c r="K160" s="3601"/>
      <c r="L160" s="3601"/>
      <c r="M160" s="3601"/>
      <c r="N160" s="3601"/>
      <c r="O160" s="3601"/>
      <c r="P160" s="3601"/>
      <c r="Q160" s="3601"/>
      <c r="R160" s="3601"/>
      <c r="S160" s="3601"/>
      <c r="T160" s="3571"/>
      <c r="U160" s="3601"/>
      <c r="V160" s="3601"/>
      <c r="W160" s="3601"/>
      <c r="X160" s="3572"/>
      <c r="Y160" s="3601"/>
      <c r="Z160" s="3601"/>
      <c r="AA160" s="3601"/>
      <c r="AB160" s="3601"/>
    </row>
    <row r="161" spans="1:28" s="3479" customFormat="1" ht="9" customHeight="1">
      <c r="A161" s="3476"/>
      <c r="B161" s="3476"/>
      <c r="C161" s="3476"/>
      <c r="D161" s="3476"/>
      <c r="E161" s="4500"/>
      <c r="F161" s="4502"/>
      <c r="G161" s="3520"/>
      <c r="H161" s="3602"/>
      <c r="I161" s="3602"/>
      <c r="J161" s="3602"/>
      <c r="K161" s="3602"/>
      <c r="L161" s="3602"/>
      <c r="M161" s="3602"/>
      <c r="N161" s="3602"/>
      <c r="O161" s="3602"/>
      <c r="P161" s="3602"/>
      <c r="Q161" s="3602"/>
      <c r="R161" s="3602"/>
      <c r="S161" s="3602"/>
      <c r="T161" s="3571"/>
      <c r="U161" s="3602"/>
      <c r="V161" s="3602"/>
      <c r="W161" s="3602"/>
      <c r="X161" s="3572"/>
      <c r="Y161" s="3602"/>
      <c r="Z161" s="3602"/>
      <c r="AA161" s="3602"/>
      <c r="AB161" s="3602"/>
    </row>
    <row r="162" spans="1:28" s="3479" customFormat="1" ht="9" customHeight="1">
      <c r="A162" s="3476"/>
      <c r="B162" s="3476"/>
      <c r="C162" s="3476"/>
      <c r="D162" s="3476"/>
      <c r="E162" s="4499"/>
      <c r="F162" s="4501"/>
      <c r="G162" s="3515"/>
      <c r="H162" s="3601"/>
      <c r="I162" s="3601"/>
      <c r="J162" s="3601"/>
      <c r="K162" s="3601"/>
      <c r="L162" s="3601"/>
      <c r="M162" s="3601"/>
      <c r="N162" s="3601"/>
      <c r="O162" s="3601"/>
      <c r="P162" s="3601"/>
      <c r="Q162" s="3601"/>
      <c r="R162" s="3601"/>
      <c r="S162" s="3601"/>
      <c r="T162" s="3571"/>
      <c r="U162" s="3601"/>
      <c r="V162" s="3601"/>
      <c r="W162" s="3601"/>
      <c r="X162" s="3572"/>
      <c r="Y162" s="3601"/>
      <c r="Z162" s="3601"/>
      <c r="AA162" s="3601"/>
      <c r="AB162" s="3601"/>
    </row>
    <row r="163" spans="1:28" s="3479" customFormat="1" ht="9" customHeight="1">
      <c r="A163" s="3476"/>
      <c r="B163" s="3476"/>
      <c r="C163" s="3476"/>
      <c r="D163" s="3476"/>
      <c r="E163" s="4500"/>
      <c r="F163" s="4502"/>
      <c r="G163" s="3520"/>
      <c r="H163" s="3602"/>
      <c r="I163" s="3602"/>
      <c r="J163" s="3602"/>
      <c r="K163" s="3602"/>
      <c r="L163" s="3602"/>
      <c r="M163" s="3602"/>
      <c r="N163" s="3602"/>
      <c r="O163" s="3602"/>
      <c r="P163" s="3602"/>
      <c r="Q163" s="3602"/>
      <c r="R163" s="3602"/>
      <c r="S163" s="3602"/>
      <c r="T163" s="3571"/>
      <c r="U163" s="3602"/>
      <c r="V163" s="3602"/>
      <c r="W163" s="3602"/>
      <c r="X163" s="3572"/>
      <c r="Y163" s="3602"/>
      <c r="Z163" s="3602"/>
      <c r="AA163" s="3602"/>
      <c r="AB163" s="3602"/>
    </row>
    <row r="164" spans="1:28" s="3479" customFormat="1" ht="9" customHeight="1">
      <c r="A164" s="3476"/>
      <c r="B164" s="3476"/>
      <c r="C164" s="3476"/>
      <c r="D164" s="3476"/>
      <c r="E164" s="4499"/>
      <c r="F164" s="4501"/>
      <c r="G164" s="3515"/>
      <c r="H164" s="3601"/>
      <c r="I164" s="3601"/>
      <c r="J164" s="3601"/>
      <c r="K164" s="3601"/>
      <c r="L164" s="3601"/>
      <c r="M164" s="3601"/>
      <c r="N164" s="3601"/>
      <c r="O164" s="3601"/>
      <c r="P164" s="3601"/>
      <c r="Q164" s="3601"/>
      <c r="R164" s="3601"/>
      <c r="S164" s="3601"/>
      <c r="T164" s="3571"/>
      <c r="U164" s="3601"/>
      <c r="V164" s="3601"/>
      <c r="W164" s="3601"/>
      <c r="X164" s="3572"/>
      <c r="Y164" s="3601"/>
      <c r="Z164" s="3601"/>
      <c r="AA164" s="3601"/>
      <c r="AB164" s="3601"/>
    </row>
    <row r="165" spans="1:28" s="3479" customFormat="1" ht="9" customHeight="1">
      <c r="A165" s="3476"/>
      <c r="B165" s="3476"/>
      <c r="C165" s="3476"/>
      <c r="D165" s="3476"/>
      <c r="E165" s="4500"/>
      <c r="F165" s="4502"/>
      <c r="G165" s="3520"/>
      <c r="H165" s="3602"/>
      <c r="I165" s="3602"/>
      <c r="J165" s="3602"/>
      <c r="K165" s="3602"/>
      <c r="L165" s="3602"/>
      <c r="M165" s="3602"/>
      <c r="N165" s="3602"/>
      <c r="O165" s="3602"/>
      <c r="P165" s="3602"/>
      <c r="Q165" s="3602"/>
      <c r="R165" s="3602"/>
      <c r="S165" s="3602"/>
      <c r="T165" s="3571"/>
      <c r="U165" s="3602"/>
      <c r="V165" s="3602"/>
      <c r="W165" s="3602"/>
      <c r="X165" s="3572"/>
      <c r="Y165" s="3602"/>
      <c r="Z165" s="3602"/>
      <c r="AA165" s="3602"/>
      <c r="AB165" s="3602"/>
    </row>
    <row r="166" spans="1:28" s="3479" customFormat="1" ht="9" customHeight="1">
      <c r="A166" s="3476"/>
      <c r="B166" s="3476"/>
      <c r="C166" s="3476"/>
      <c r="D166" s="3476"/>
      <c r="E166" s="4499"/>
      <c r="F166" s="4501"/>
      <c r="G166" s="3515"/>
      <c r="H166" s="3570"/>
      <c r="I166" s="3570"/>
      <c r="J166" s="3570"/>
      <c r="K166" s="3570"/>
      <c r="L166" s="3570"/>
      <c r="M166" s="3570"/>
      <c r="N166" s="3570"/>
      <c r="O166" s="3570"/>
      <c r="P166" s="3570"/>
      <c r="Q166" s="3570"/>
      <c r="R166" s="3570"/>
      <c r="S166" s="3570"/>
      <c r="T166" s="3571"/>
      <c r="U166" s="3570"/>
      <c r="V166" s="3570"/>
      <c r="W166" s="3570"/>
      <c r="X166" s="3572"/>
      <c r="Y166" s="3570"/>
      <c r="Z166" s="3570"/>
      <c r="AA166" s="3570"/>
      <c r="AB166" s="3570"/>
    </row>
    <row r="167" spans="1:28" s="3479" customFormat="1" ht="9" customHeight="1">
      <c r="A167" s="3476"/>
      <c r="B167" s="3476"/>
      <c r="C167" s="3476"/>
      <c r="D167" s="3476"/>
      <c r="E167" s="4500"/>
      <c r="F167" s="4502"/>
      <c r="G167" s="3520"/>
      <c r="H167" s="3573"/>
      <c r="I167" s="3573"/>
      <c r="J167" s="3573"/>
      <c r="K167" s="3573"/>
      <c r="L167" s="3573"/>
      <c r="M167" s="3573"/>
      <c r="N167" s="3573"/>
      <c r="O167" s="3573"/>
      <c r="P167" s="3573"/>
      <c r="Q167" s="3573"/>
      <c r="R167" s="3573"/>
      <c r="S167" s="3573"/>
      <c r="T167" s="3571"/>
      <c r="U167" s="3573"/>
      <c r="V167" s="3573"/>
      <c r="W167" s="3573"/>
      <c r="X167" s="3572"/>
      <c r="Y167" s="3573"/>
      <c r="Z167" s="3573"/>
      <c r="AA167" s="3573"/>
      <c r="AB167" s="3573"/>
    </row>
    <row r="168" spans="1:28" s="3479" customFormat="1" ht="9" customHeight="1">
      <c r="A168" s="3476"/>
      <c r="B168" s="3476"/>
      <c r="C168" s="3476"/>
      <c r="D168" s="3476"/>
      <c r="E168" s="4499"/>
      <c r="F168" s="4501"/>
      <c r="G168" s="3515"/>
      <c r="H168" s="3579"/>
      <c r="I168" s="3579"/>
      <c r="J168" s="3579"/>
      <c r="K168" s="3579"/>
      <c r="L168" s="3579"/>
      <c r="M168" s="3579"/>
      <c r="N168" s="3579"/>
      <c r="O168" s="3579"/>
      <c r="P168" s="3579"/>
      <c r="Q168" s="3579"/>
      <c r="R168" s="3579"/>
      <c r="S168" s="3579"/>
      <c r="T168" s="3603"/>
      <c r="U168" s="3579"/>
      <c r="V168" s="3579"/>
      <c r="W168" s="3579"/>
      <c r="X168" s="3595"/>
      <c r="Y168" s="3579"/>
      <c r="Z168" s="3579"/>
      <c r="AA168" s="3579"/>
      <c r="AB168" s="3579"/>
    </row>
    <row r="169" spans="1:28" s="3479" customFormat="1" ht="9" customHeight="1">
      <c r="A169" s="3476"/>
      <c r="B169" s="3476"/>
      <c r="C169" s="3476"/>
      <c r="D169" s="3476"/>
      <c r="E169" s="4500"/>
      <c r="F169" s="4502"/>
      <c r="G169" s="3520"/>
      <c r="H169" s="3580"/>
      <c r="I169" s="3580"/>
      <c r="J169" s="3580"/>
      <c r="K169" s="3580"/>
      <c r="L169" s="3580"/>
      <c r="M169" s="3580"/>
      <c r="N169" s="3580"/>
      <c r="O169" s="3580"/>
      <c r="P169" s="3580"/>
      <c r="Q169" s="3580"/>
      <c r="R169" s="3580"/>
      <c r="S169" s="3580"/>
      <c r="T169" s="3603"/>
      <c r="U169" s="3580"/>
      <c r="V169" s="3580"/>
      <c r="W169" s="3580"/>
      <c r="X169" s="3595"/>
      <c r="Y169" s="3580"/>
      <c r="Z169" s="3580"/>
      <c r="AA169" s="3580"/>
      <c r="AB169" s="3580"/>
    </row>
    <row r="170" spans="1:28" s="3479" customFormat="1" ht="9" customHeight="1">
      <c r="A170" s="3476"/>
      <c r="B170" s="3476"/>
      <c r="C170" s="3476"/>
      <c r="D170" s="3476"/>
      <c r="E170" s="3566"/>
      <c r="F170" s="3549"/>
      <c r="G170" s="3549"/>
      <c r="H170" s="3565"/>
      <c r="I170" s="3565"/>
      <c r="J170" s="3565"/>
      <c r="K170" s="3565"/>
      <c r="L170" s="3565"/>
      <c r="M170" s="3565"/>
      <c r="N170" s="3565"/>
      <c r="O170" s="3565"/>
      <c r="P170" s="3565"/>
      <c r="Q170" s="3565"/>
      <c r="R170" s="3565"/>
      <c r="S170" s="3565"/>
      <c r="T170" s="3550"/>
      <c r="U170" s="3565"/>
      <c r="V170" s="3565"/>
      <c r="W170" s="3565"/>
      <c r="X170" s="3477"/>
      <c r="Y170" s="3565"/>
      <c r="Z170" s="3565"/>
      <c r="AA170" s="3565"/>
      <c r="AB170" s="3565"/>
    </row>
    <row r="171" spans="1:28" s="3479" customFormat="1" ht="9" customHeight="1">
      <c r="A171" s="3476"/>
      <c r="B171" s="3476"/>
      <c r="C171" s="3476"/>
      <c r="D171" s="3476"/>
      <c r="E171" s="4499"/>
      <c r="F171" s="4501"/>
      <c r="G171" s="3515"/>
      <c r="H171" s="3601"/>
      <c r="I171" s="3601"/>
      <c r="J171" s="3601"/>
      <c r="K171" s="3601"/>
      <c r="L171" s="3601"/>
      <c r="M171" s="3601"/>
      <c r="N171" s="3601"/>
      <c r="O171" s="3601"/>
      <c r="P171" s="3601"/>
      <c r="Q171" s="3601"/>
      <c r="R171" s="3601"/>
      <c r="S171" s="3601"/>
      <c r="T171" s="3571"/>
      <c r="U171" s="3601"/>
      <c r="V171" s="3601"/>
      <c r="W171" s="3601"/>
      <c r="X171" s="3595"/>
      <c r="Y171" s="3601"/>
      <c r="Z171" s="3601"/>
      <c r="AA171" s="3601"/>
      <c r="AB171" s="3601"/>
    </row>
    <row r="172" spans="1:28" s="3479" customFormat="1" ht="9" customHeight="1">
      <c r="A172" s="3476"/>
      <c r="B172" s="3476"/>
      <c r="C172" s="3476"/>
      <c r="D172" s="3476"/>
      <c r="E172" s="4500"/>
      <c r="F172" s="4502"/>
      <c r="G172" s="3520"/>
      <c r="H172" s="3602"/>
      <c r="I172" s="3602"/>
      <c r="J172" s="3602"/>
      <c r="K172" s="3602"/>
      <c r="L172" s="3602"/>
      <c r="M172" s="3602"/>
      <c r="N172" s="3602"/>
      <c r="O172" s="3602"/>
      <c r="P172" s="3602"/>
      <c r="Q172" s="3602"/>
      <c r="R172" s="3602"/>
      <c r="S172" s="3602"/>
      <c r="T172" s="3571"/>
      <c r="U172" s="3602"/>
      <c r="V172" s="3602"/>
      <c r="W172" s="3602"/>
      <c r="X172" s="3595"/>
      <c r="Y172" s="3602"/>
      <c r="Z172" s="3602"/>
      <c r="AA172" s="3602"/>
      <c r="AB172" s="3602"/>
    </row>
    <row r="173" spans="1:28" s="3479" customFormat="1" ht="9" customHeight="1">
      <c r="A173" s="3476"/>
      <c r="B173" s="3476"/>
      <c r="C173" s="3476"/>
      <c r="D173" s="3476"/>
      <c r="E173" s="4499"/>
      <c r="F173" s="4501"/>
      <c r="G173" s="3515"/>
      <c r="H173" s="3601"/>
      <c r="I173" s="3601"/>
      <c r="J173" s="3601"/>
      <c r="K173" s="3601"/>
      <c r="L173" s="3601"/>
      <c r="M173" s="3601"/>
      <c r="N173" s="3601"/>
      <c r="O173" s="3601"/>
      <c r="P173" s="3601"/>
      <c r="Q173" s="3601"/>
      <c r="R173" s="3601"/>
      <c r="S173" s="3601"/>
      <c r="T173" s="3571"/>
      <c r="U173" s="3601"/>
      <c r="V173" s="3601"/>
      <c r="W173" s="3601"/>
      <c r="X173" s="3595"/>
      <c r="Y173" s="3601"/>
      <c r="Z173" s="3601"/>
      <c r="AA173" s="3601"/>
      <c r="AB173" s="3601"/>
    </row>
    <row r="174" spans="1:28" s="3479" customFormat="1" ht="9" customHeight="1">
      <c r="A174" s="3476"/>
      <c r="B174" s="3476"/>
      <c r="C174" s="3476"/>
      <c r="D174" s="3476"/>
      <c r="E174" s="4500"/>
      <c r="F174" s="4502"/>
      <c r="G174" s="3520"/>
      <c r="H174" s="3602"/>
      <c r="I174" s="3602"/>
      <c r="J174" s="3602"/>
      <c r="K174" s="3602"/>
      <c r="L174" s="3602"/>
      <c r="M174" s="3602"/>
      <c r="N174" s="3602"/>
      <c r="O174" s="3602"/>
      <c r="P174" s="3602"/>
      <c r="Q174" s="3602"/>
      <c r="R174" s="3602"/>
      <c r="S174" s="3602"/>
      <c r="T174" s="3571"/>
      <c r="U174" s="3602"/>
      <c r="V174" s="3602"/>
      <c r="W174" s="3602"/>
      <c r="X174" s="3595"/>
      <c r="Y174" s="3602"/>
      <c r="Z174" s="3602"/>
      <c r="AA174" s="3602"/>
      <c r="AB174" s="3602"/>
    </row>
    <row r="175" spans="1:28" s="3479" customFormat="1" ht="9" customHeight="1">
      <c r="A175" s="3476"/>
      <c r="B175" s="3476"/>
      <c r="C175" s="3476"/>
      <c r="D175" s="3476"/>
      <c r="E175" s="4499"/>
      <c r="F175" s="4501"/>
      <c r="G175" s="3515"/>
      <c r="H175" s="3601"/>
      <c r="I175" s="3601"/>
      <c r="J175" s="3601"/>
      <c r="K175" s="3601"/>
      <c r="L175" s="3601"/>
      <c r="M175" s="3601"/>
      <c r="N175" s="3601"/>
      <c r="O175" s="3601"/>
      <c r="P175" s="3601"/>
      <c r="Q175" s="3601"/>
      <c r="R175" s="3601"/>
      <c r="S175" s="3601"/>
      <c r="T175" s="3571"/>
      <c r="U175" s="3601"/>
      <c r="V175" s="3601"/>
      <c r="W175" s="3601"/>
      <c r="X175" s="3595"/>
      <c r="Y175" s="3601"/>
      <c r="Z175" s="3601"/>
      <c r="AA175" s="3601"/>
      <c r="AB175" s="3601"/>
    </row>
    <row r="176" spans="1:28" s="3479" customFormat="1" ht="9" customHeight="1">
      <c r="A176" s="3476"/>
      <c r="B176" s="3476"/>
      <c r="C176" s="3476"/>
      <c r="D176" s="3476"/>
      <c r="E176" s="4500"/>
      <c r="F176" s="4502"/>
      <c r="G176" s="3520"/>
      <c r="H176" s="3602"/>
      <c r="I176" s="3602"/>
      <c r="J176" s="3602"/>
      <c r="K176" s="3602"/>
      <c r="L176" s="3602"/>
      <c r="M176" s="3602"/>
      <c r="N176" s="3602"/>
      <c r="O176" s="3602"/>
      <c r="P176" s="3602"/>
      <c r="Q176" s="3602"/>
      <c r="R176" s="3602"/>
      <c r="S176" s="3602"/>
      <c r="T176" s="3571"/>
      <c r="U176" s="3602"/>
      <c r="V176" s="3602"/>
      <c r="W176" s="3602"/>
      <c r="X176" s="3595"/>
      <c r="Y176" s="3602"/>
      <c r="Z176" s="3602"/>
      <c r="AA176" s="3602"/>
      <c r="AB176" s="3602"/>
    </row>
    <row r="177" spans="1:28" s="3479" customFormat="1" ht="9" customHeight="1">
      <c r="A177" s="3476"/>
      <c r="B177" s="3476"/>
      <c r="C177" s="3476"/>
      <c r="D177" s="3476"/>
      <c r="E177" s="4499"/>
      <c r="F177" s="4501"/>
      <c r="G177" s="3515"/>
      <c r="H177" s="3601"/>
      <c r="I177" s="3601"/>
      <c r="J177" s="3601"/>
      <c r="K177" s="3601"/>
      <c r="L177" s="3601"/>
      <c r="M177" s="3601"/>
      <c r="N177" s="3601"/>
      <c r="O177" s="3601"/>
      <c r="P177" s="3601"/>
      <c r="Q177" s="3601"/>
      <c r="R177" s="3601"/>
      <c r="S177" s="3601"/>
      <c r="T177" s="3571"/>
      <c r="U177" s="3601"/>
      <c r="V177" s="3601"/>
      <c r="W177" s="3601"/>
      <c r="X177" s="3595"/>
      <c r="Y177" s="3601"/>
      <c r="Z177" s="3601"/>
      <c r="AA177" s="3601"/>
      <c r="AB177" s="3601"/>
    </row>
    <row r="178" spans="1:28" s="3479" customFormat="1" ht="9" customHeight="1">
      <c r="A178" s="3476"/>
      <c r="B178" s="3476"/>
      <c r="C178" s="3476"/>
      <c r="D178" s="3476"/>
      <c r="E178" s="4500"/>
      <c r="F178" s="4502"/>
      <c r="G178" s="3520"/>
      <c r="H178" s="3602"/>
      <c r="I178" s="3602"/>
      <c r="J178" s="3602"/>
      <c r="K178" s="3602"/>
      <c r="L178" s="3602"/>
      <c r="M178" s="3602"/>
      <c r="N178" s="3602"/>
      <c r="O178" s="3602"/>
      <c r="P178" s="3602"/>
      <c r="Q178" s="3602"/>
      <c r="R178" s="3602"/>
      <c r="S178" s="3602"/>
      <c r="T178" s="3571"/>
      <c r="U178" s="3602"/>
      <c r="V178" s="3602"/>
      <c r="W178" s="3602"/>
      <c r="X178" s="3595"/>
      <c r="Y178" s="3602"/>
      <c r="Z178" s="3602"/>
      <c r="AA178" s="3602"/>
      <c r="AB178" s="3602"/>
    </row>
    <row r="179" spans="1:28" s="3479" customFormat="1" ht="9" customHeight="1">
      <c r="A179" s="3476"/>
      <c r="B179" s="3476"/>
      <c r="C179" s="3476"/>
      <c r="D179" s="3476"/>
      <c r="E179" s="4499"/>
      <c r="F179" s="4501"/>
      <c r="G179" s="3515"/>
      <c r="H179" s="3570"/>
      <c r="I179" s="3570"/>
      <c r="J179" s="3570"/>
      <c r="K179" s="3570"/>
      <c r="L179" s="3570"/>
      <c r="M179" s="3570"/>
      <c r="N179" s="3570"/>
      <c r="O179" s="3570"/>
      <c r="P179" s="3570"/>
      <c r="Q179" s="3570"/>
      <c r="R179" s="3570"/>
      <c r="S179" s="3570"/>
      <c r="T179" s="3571"/>
      <c r="U179" s="3570"/>
      <c r="V179" s="3570"/>
      <c r="W179" s="3570"/>
      <c r="X179" s="3595"/>
      <c r="Y179" s="3570"/>
      <c r="Z179" s="3570"/>
      <c r="AA179" s="3570"/>
      <c r="AB179" s="3570"/>
    </row>
    <row r="180" spans="1:28" s="3479" customFormat="1" ht="9" customHeight="1">
      <c r="A180" s="3476"/>
      <c r="B180" s="3476"/>
      <c r="C180" s="3476"/>
      <c r="D180" s="3476"/>
      <c r="E180" s="4500"/>
      <c r="F180" s="4502"/>
      <c r="G180" s="3520"/>
      <c r="H180" s="3573"/>
      <c r="I180" s="3573"/>
      <c r="J180" s="3573"/>
      <c r="K180" s="3573"/>
      <c r="L180" s="3573"/>
      <c r="M180" s="3573"/>
      <c r="N180" s="3573"/>
      <c r="O180" s="3573"/>
      <c r="P180" s="3573"/>
      <c r="Q180" s="3573"/>
      <c r="R180" s="3573"/>
      <c r="S180" s="3573"/>
      <c r="T180" s="3571"/>
      <c r="U180" s="3573"/>
      <c r="V180" s="3573"/>
      <c r="W180" s="3573"/>
      <c r="X180" s="3595"/>
      <c r="Y180" s="3573"/>
      <c r="Z180" s="3573"/>
      <c r="AA180" s="3573"/>
      <c r="AB180" s="3573"/>
    </row>
    <row r="181" spans="1:28" s="3479" customFormat="1" ht="9" customHeight="1">
      <c r="A181" s="3476"/>
      <c r="B181" s="3476"/>
      <c r="C181" s="3476"/>
      <c r="D181" s="3476"/>
      <c r="E181" s="4499"/>
      <c r="F181" s="4501"/>
      <c r="G181" s="3515"/>
      <c r="H181" s="3579"/>
      <c r="I181" s="3579"/>
      <c r="J181" s="3579"/>
      <c r="K181" s="3579"/>
      <c r="L181" s="3579"/>
      <c r="M181" s="3579"/>
      <c r="N181" s="3579"/>
      <c r="O181" s="3579"/>
      <c r="P181" s="3579"/>
      <c r="Q181" s="3579"/>
      <c r="R181" s="3579"/>
      <c r="S181" s="3579"/>
      <c r="T181" s="3603"/>
      <c r="U181" s="3579"/>
      <c r="V181" s="3579"/>
      <c r="W181" s="3579"/>
      <c r="X181" s="3595"/>
      <c r="Y181" s="3579"/>
      <c r="Z181" s="3579"/>
      <c r="AA181" s="3579"/>
      <c r="AB181" s="3579"/>
    </row>
    <row r="182" spans="1:28" s="3479" customFormat="1" ht="9" customHeight="1">
      <c r="A182" s="3476"/>
      <c r="B182" s="3476"/>
      <c r="C182" s="3476"/>
      <c r="D182" s="3476"/>
      <c r="E182" s="4500"/>
      <c r="F182" s="4502"/>
      <c r="G182" s="3520"/>
      <c r="H182" s="3580"/>
      <c r="I182" s="3580"/>
      <c r="J182" s="3580"/>
      <c r="K182" s="3580"/>
      <c r="L182" s="3580"/>
      <c r="M182" s="3580"/>
      <c r="N182" s="3580"/>
      <c r="O182" s="3580"/>
      <c r="P182" s="3580"/>
      <c r="Q182" s="3580"/>
      <c r="R182" s="3580"/>
      <c r="S182" s="3580"/>
      <c r="T182" s="3603"/>
      <c r="U182" s="3580"/>
      <c r="V182" s="3580"/>
      <c r="W182" s="3580"/>
      <c r="X182" s="3595"/>
      <c r="Y182" s="3580"/>
      <c r="Z182" s="3580"/>
      <c r="AA182" s="3580"/>
      <c r="AB182" s="3580"/>
    </row>
    <row r="183" spans="1:28" s="3479" customFormat="1" ht="9" customHeight="1">
      <c r="A183" s="3476"/>
      <c r="B183" s="3476"/>
      <c r="C183" s="3476"/>
      <c r="D183" s="3476"/>
      <c r="E183" s="3604"/>
      <c r="F183" s="3605"/>
      <c r="G183" s="3515"/>
      <c r="H183" s="3579"/>
      <c r="I183" s="3579"/>
      <c r="J183" s="3579"/>
      <c r="K183" s="3579"/>
      <c r="L183" s="3579"/>
      <c r="M183" s="3579"/>
      <c r="N183" s="3579"/>
      <c r="O183" s="3579"/>
      <c r="P183" s="3579"/>
      <c r="Q183" s="3579"/>
      <c r="R183" s="3579"/>
      <c r="S183" s="3579"/>
      <c r="T183" s="3571"/>
      <c r="U183" s="3579"/>
      <c r="V183" s="3579"/>
      <c r="W183" s="3579"/>
      <c r="X183" s="3595"/>
      <c r="Y183" s="3579"/>
      <c r="Z183" s="3579"/>
      <c r="AA183" s="3579"/>
      <c r="AB183" s="3579"/>
    </row>
    <row r="184" spans="1:28" s="3479" customFormat="1" ht="9" customHeight="1">
      <c r="A184" s="3476"/>
      <c r="B184" s="3476"/>
      <c r="C184" s="3476"/>
      <c r="D184" s="3476"/>
      <c r="E184" s="4499"/>
      <c r="F184" s="4501"/>
      <c r="G184" s="3515"/>
      <c r="H184" s="3579"/>
      <c r="I184" s="3579"/>
      <c r="J184" s="3579"/>
      <c r="K184" s="3579"/>
      <c r="L184" s="3579"/>
      <c r="M184" s="3579"/>
      <c r="N184" s="3579"/>
      <c r="O184" s="3579"/>
      <c r="P184" s="3579"/>
      <c r="Q184" s="3579"/>
      <c r="R184" s="3579"/>
      <c r="S184" s="3579"/>
      <c r="T184" s="3603"/>
      <c r="U184" s="3579"/>
      <c r="V184" s="3579"/>
      <c r="W184" s="3579"/>
      <c r="X184" s="3595"/>
      <c r="Y184" s="3579"/>
      <c r="Z184" s="3579"/>
      <c r="AA184" s="3579"/>
      <c r="AB184" s="3579"/>
    </row>
    <row r="185" spans="1:28" s="3479" customFormat="1" ht="9" customHeight="1">
      <c r="A185" s="3476"/>
      <c r="B185" s="3476"/>
      <c r="C185" s="3476"/>
      <c r="D185" s="3476"/>
      <c r="E185" s="4500"/>
      <c r="F185" s="4502"/>
      <c r="G185" s="3520"/>
      <c r="H185" s="3580"/>
      <c r="I185" s="3580"/>
      <c r="J185" s="3580"/>
      <c r="K185" s="3580"/>
      <c r="L185" s="3580"/>
      <c r="M185" s="3580"/>
      <c r="N185" s="3580"/>
      <c r="O185" s="3580"/>
      <c r="P185" s="3580"/>
      <c r="Q185" s="3580"/>
      <c r="R185" s="3580"/>
      <c r="S185" s="3580"/>
      <c r="T185" s="3603"/>
      <c r="U185" s="3580"/>
      <c r="V185" s="3580"/>
      <c r="W185" s="3580"/>
      <c r="X185" s="3595"/>
      <c r="Y185" s="3580"/>
      <c r="Z185" s="3580"/>
      <c r="AA185" s="3580"/>
      <c r="AB185" s="3580"/>
    </row>
    <row r="186" spans="1:28" ht="9" customHeight="1">
      <c r="E186" s="3604"/>
      <c r="F186" s="3605"/>
      <c r="G186" s="3515"/>
      <c r="H186" s="3579"/>
      <c r="I186" s="3579"/>
      <c r="J186" s="3579"/>
      <c r="K186" s="3579"/>
      <c r="L186" s="3579"/>
      <c r="M186" s="3579"/>
      <c r="N186" s="3579"/>
      <c r="O186" s="3579"/>
      <c r="P186" s="3579"/>
      <c r="Q186" s="3579"/>
      <c r="R186" s="3579"/>
      <c r="S186" s="3579"/>
      <c r="T186" s="3571"/>
      <c r="U186" s="3579"/>
      <c r="V186" s="3579"/>
      <c r="W186" s="3579"/>
      <c r="X186" s="3595"/>
      <c r="Y186" s="3579"/>
      <c r="Z186" s="3579"/>
      <c r="AA186" s="3579"/>
      <c r="AB186" s="3579"/>
    </row>
    <row r="187" spans="1:28" s="3479" customFormat="1" ht="9" customHeight="1">
      <c r="A187" s="3476"/>
      <c r="B187" s="3476"/>
      <c r="C187" s="3476"/>
      <c r="D187" s="3476"/>
      <c r="E187" s="4499"/>
      <c r="F187" s="4501"/>
      <c r="G187" s="3515"/>
      <c r="H187" s="3570"/>
      <c r="I187" s="3570"/>
      <c r="J187" s="3570"/>
      <c r="K187" s="3570"/>
      <c r="L187" s="3570"/>
      <c r="M187" s="3570"/>
      <c r="N187" s="3570"/>
      <c r="O187" s="3570"/>
      <c r="P187" s="3570"/>
      <c r="Q187" s="3570"/>
      <c r="R187" s="3570"/>
      <c r="S187" s="3570"/>
      <c r="T187" s="3571"/>
      <c r="U187" s="3570"/>
      <c r="V187" s="3570"/>
      <c r="W187" s="3570"/>
      <c r="X187" s="3595"/>
      <c r="Y187" s="3570"/>
      <c r="Z187" s="3570"/>
      <c r="AA187" s="3570"/>
      <c r="AB187" s="3570"/>
    </row>
    <row r="188" spans="1:28" s="3479" customFormat="1" ht="9" customHeight="1">
      <c r="A188" s="3476"/>
      <c r="B188" s="3476"/>
      <c r="C188" s="3476"/>
      <c r="D188" s="3476"/>
      <c r="E188" s="4500"/>
      <c r="F188" s="4502"/>
      <c r="G188" s="3520"/>
      <c r="H188" s="3573"/>
      <c r="I188" s="3573"/>
      <c r="J188" s="3573"/>
      <c r="K188" s="3573"/>
      <c r="L188" s="3573"/>
      <c r="M188" s="3573"/>
      <c r="N188" s="3573"/>
      <c r="O188" s="3573"/>
      <c r="P188" s="3573"/>
      <c r="Q188" s="3573"/>
      <c r="R188" s="3573"/>
      <c r="S188" s="3573"/>
      <c r="T188" s="3571"/>
      <c r="U188" s="3573"/>
      <c r="V188" s="3573"/>
      <c r="W188" s="3573"/>
      <c r="X188" s="3595"/>
      <c r="Y188" s="3573"/>
      <c r="Z188" s="3573"/>
      <c r="AA188" s="3573"/>
      <c r="AB188" s="3573"/>
    </row>
    <row r="189" spans="1:28" ht="9" customHeight="1">
      <c r="E189" s="3604"/>
      <c r="F189" s="3606"/>
      <c r="G189" s="3515"/>
      <c r="H189" s="3570"/>
      <c r="I189" s="3570"/>
      <c r="J189" s="3570"/>
      <c r="K189" s="3570"/>
      <c r="L189" s="3570"/>
      <c r="M189" s="3570"/>
      <c r="N189" s="3570"/>
      <c r="O189" s="3570"/>
      <c r="P189" s="3570"/>
      <c r="Q189" s="3570"/>
      <c r="R189" s="3570"/>
      <c r="S189" s="3570"/>
      <c r="T189" s="3571"/>
      <c r="U189" s="3570"/>
      <c r="V189" s="3570"/>
      <c r="W189" s="3570"/>
      <c r="X189" s="3595"/>
      <c r="Y189" s="3570"/>
      <c r="Z189" s="3570"/>
      <c r="AA189" s="3570"/>
      <c r="AB189" s="3570"/>
    </row>
  </sheetData>
  <mergeCells count="156">
    <mergeCell ref="E13:E14"/>
    <mergeCell ref="F13:F14"/>
    <mergeCell ref="E15:E16"/>
    <mergeCell ref="F15:F16"/>
    <mergeCell ref="E17:E18"/>
    <mergeCell ref="F17:F18"/>
    <mergeCell ref="E7:E8"/>
    <mergeCell ref="F7:F8"/>
    <mergeCell ref="E9:E10"/>
    <mergeCell ref="F9:F10"/>
    <mergeCell ref="E11:E12"/>
    <mergeCell ref="F11:F12"/>
    <mergeCell ref="E25:E26"/>
    <mergeCell ref="F25:F26"/>
    <mergeCell ref="E27:E28"/>
    <mergeCell ref="F27:F28"/>
    <mergeCell ref="E29:E30"/>
    <mergeCell ref="F29:F30"/>
    <mergeCell ref="E19:E20"/>
    <mergeCell ref="F19:F20"/>
    <mergeCell ref="E21:E22"/>
    <mergeCell ref="F21:F22"/>
    <mergeCell ref="E23:E24"/>
    <mergeCell ref="F23:F24"/>
    <mergeCell ref="E37:E38"/>
    <mergeCell ref="F37:F38"/>
    <mergeCell ref="E39:E40"/>
    <mergeCell ref="F39:F40"/>
    <mergeCell ref="E41:E42"/>
    <mergeCell ref="F41:F42"/>
    <mergeCell ref="E31:E32"/>
    <mergeCell ref="F31:F32"/>
    <mergeCell ref="E33:E34"/>
    <mergeCell ref="F33:F34"/>
    <mergeCell ref="E35:E36"/>
    <mergeCell ref="F35:F36"/>
    <mergeCell ref="E52:E53"/>
    <mergeCell ref="F52:F53"/>
    <mergeCell ref="E54:E55"/>
    <mergeCell ref="F54:F55"/>
    <mergeCell ref="E56:E57"/>
    <mergeCell ref="F56:F57"/>
    <mergeCell ref="E43:E44"/>
    <mergeCell ref="F43:F44"/>
    <mergeCell ref="E48:E49"/>
    <mergeCell ref="F48:F49"/>
    <mergeCell ref="E50:E51"/>
    <mergeCell ref="F50:F51"/>
    <mergeCell ref="E64:E65"/>
    <mergeCell ref="F64:F65"/>
    <mergeCell ref="E66:E67"/>
    <mergeCell ref="F66:F67"/>
    <mergeCell ref="E68:E69"/>
    <mergeCell ref="F68:F69"/>
    <mergeCell ref="E58:E59"/>
    <mergeCell ref="F58:F59"/>
    <mergeCell ref="E60:E61"/>
    <mergeCell ref="F60:F61"/>
    <mergeCell ref="E62:E63"/>
    <mergeCell ref="F62:F63"/>
    <mergeCell ref="E80:E81"/>
    <mergeCell ref="F80:F81"/>
    <mergeCell ref="E82:E83"/>
    <mergeCell ref="F82:F83"/>
    <mergeCell ref="E84:E85"/>
    <mergeCell ref="F84:F85"/>
    <mergeCell ref="E71:E72"/>
    <mergeCell ref="F71:F72"/>
    <mergeCell ref="E76:E77"/>
    <mergeCell ref="F76:F77"/>
    <mergeCell ref="E78:E79"/>
    <mergeCell ref="F78:F79"/>
    <mergeCell ref="E93:E94"/>
    <mergeCell ref="F93:F94"/>
    <mergeCell ref="E95:E96"/>
    <mergeCell ref="F95:F96"/>
    <mergeCell ref="E97:E98"/>
    <mergeCell ref="F97:F98"/>
    <mergeCell ref="E86:E87"/>
    <mergeCell ref="F86:F87"/>
    <mergeCell ref="E88:E89"/>
    <mergeCell ref="F88:F89"/>
    <mergeCell ref="E91:E92"/>
    <mergeCell ref="F91:F92"/>
    <mergeCell ref="E105:E106"/>
    <mergeCell ref="F105:F106"/>
    <mergeCell ref="E108:E109"/>
    <mergeCell ref="F108:F109"/>
    <mergeCell ref="E110:E111"/>
    <mergeCell ref="F110:F111"/>
    <mergeCell ref="E99:E100"/>
    <mergeCell ref="F99:F100"/>
    <mergeCell ref="E101:E102"/>
    <mergeCell ref="F101:F102"/>
    <mergeCell ref="E103:E104"/>
    <mergeCell ref="F103:F104"/>
    <mergeCell ref="E119:E120"/>
    <mergeCell ref="F119:F120"/>
    <mergeCell ref="E121:E122"/>
    <mergeCell ref="F121:F122"/>
    <mergeCell ref="E123:E124"/>
    <mergeCell ref="F123:F124"/>
    <mergeCell ref="E113:E114"/>
    <mergeCell ref="F113:F114"/>
    <mergeCell ref="E115:E116"/>
    <mergeCell ref="F115:F116"/>
    <mergeCell ref="E117:E118"/>
    <mergeCell ref="F117:F118"/>
    <mergeCell ref="E132:E133"/>
    <mergeCell ref="F132:F133"/>
    <mergeCell ref="E135:E136"/>
    <mergeCell ref="F135:F136"/>
    <mergeCell ref="E138:E139"/>
    <mergeCell ref="F138:F139"/>
    <mergeCell ref="E125:E126"/>
    <mergeCell ref="F125:F126"/>
    <mergeCell ref="E127:E128"/>
    <mergeCell ref="F127:F128"/>
    <mergeCell ref="E129:E130"/>
    <mergeCell ref="F129:F130"/>
    <mergeCell ref="E154:E155"/>
    <mergeCell ref="F154:F155"/>
    <mergeCell ref="E158:E159"/>
    <mergeCell ref="F158:F159"/>
    <mergeCell ref="E160:E161"/>
    <mergeCell ref="F160:F161"/>
    <mergeCell ref="E141:E142"/>
    <mergeCell ref="F141:F142"/>
    <mergeCell ref="E144:E145"/>
    <mergeCell ref="F144:F145"/>
    <mergeCell ref="E147:E148"/>
    <mergeCell ref="F147:F148"/>
    <mergeCell ref="E168:E169"/>
    <mergeCell ref="F168:F169"/>
    <mergeCell ref="E171:E172"/>
    <mergeCell ref="F171:F172"/>
    <mergeCell ref="E173:E174"/>
    <mergeCell ref="F173:F174"/>
    <mergeCell ref="E162:E163"/>
    <mergeCell ref="F162:F163"/>
    <mergeCell ref="E164:E165"/>
    <mergeCell ref="F164:F165"/>
    <mergeCell ref="E166:E167"/>
    <mergeCell ref="F166:F167"/>
    <mergeCell ref="E181:E182"/>
    <mergeCell ref="F181:F182"/>
    <mergeCell ref="E184:E185"/>
    <mergeCell ref="F184:F185"/>
    <mergeCell ref="E187:E188"/>
    <mergeCell ref="F187:F188"/>
    <mergeCell ref="E175:E176"/>
    <mergeCell ref="F175:F176"/>
    <mergeCell ref="E177:E178"/>
    <mergeCell ref="F177:F178"/>
    <mergeCell ref="E179:E180"/>
    <mergeCell ref="F179:F18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22">
    <tabColor indexed="58"/>
    <pageSetUpPr fitToPage="1"/>
  </sheetPr>
  <dimension ref="A1:CI103"/>
  <sheetViews>
    <sheetView zoomScale="85" zoomScaleNormal="85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H12" sqref="H12"/>
    </sheetView>
  </sheetViews>
  <sheetFormatPr baseColWidth="10" defaultColWidth="13" defaultRowHeight="15.5"/>
  <cols>
    <col min="1" max="1" width="7.453125" style="426" customWidth="1"/>
    <col min="2" max="2" width="39.81640625" style="426" bestFit="1" customWidth="1"/>
    <col min="3" max="3" width="9.1796875" style="426" bestFit="1" customWidth="1"/>
    <col min="4" max="4" width="8.81640625" style="426" bestFit="1" customWidth="1"/>
    <col min="5" max="5" width="11.1796875" style="426" customWidth="1"/>
    <col min="6" max="6" width="13.453125" style="426" customWidth="1"/>
    <col min="7" max="16" width="11.1796875" style="426" customWidth="1"/>
    <col min="17" max="17" width="3.81640625" style="426" customWidth="1"/>
    <col min="18" max="18" width="11.453125" style="426" bestFit="1" customWidth="1"/>
    <col min="19" max="19" width="11.81640625" style="426" customWidth="1"/>
    <col min="20" max="20" width="16.54296875" style="426" bestFit="1" customWidth="1"/>
    <col min="21" max="21" width="22.453125" style="426" customWidth="1"/>
    <col min="22" max="22" width="6.1796875" style="426" customWidth="1"/>
    <col min="23" max="23" width="19.81640625" style="426" customWidth="1"/>
    <col min="24" max="24" width="10" style="426" customWidth="1"/>
    <col min="25" max="25" width="9.453125" style="426" bestFit="1" customWidth="1"/>
    <col min="26" max="26" width="9.54296875" style="426" bestFit="1" customWidth="1"/>
    <col min="27" max="28" width="13.453125" style="426" bestFit="1" customWidth="1"/>
    <col min="29" max="29" width="17.453125" style="220" bestFit="1" customWidth="1"/>
    <col min="30" max="30" width="15" style="220" bestFit="1" customWidth="1"/>
    <col min="31" max="31" width="13.453125" style="220" bestFit="1" customWidth="1"/>
    <col min="32" max="33" width="9.54296875" style="220" bestFit="1" customWidth="1"/>
    <col min="34" max="34" width="15.453125" style="220" bestFit="1" customWidth="1"/>
    <col min="35" max="38" width="9.54296875" style="220" bestFit="1" customWidth="1"/>
    <col min="39" max="39" width="15.1796875" style="220" bestFit="1" customWidth="1"/>
    <col min="40" max="40" width="17.1796875" style="220" bestFit="1" customWidth="1"/>
    <col min="41" max="41" width="10.81640625" style="220" bestFit="1" customWidth="1"/>
    <col min="42" max="42" width="19.54296875" style="220" bestFit="1" customWidth="1"/>
    <col min="43" max="43" width="15.81640625" style="220" bestFit="1" customWidth="1"/>
    <col min="44" max="44" width="2.453125" style="220" bestFit="1" customWidth="1"/>
    <col min="45" max="49" width="13" style="220"/>
    <col min="50" max="50" width="13.453125" style="220" bestFit="1" customWidth="1"/>
    <col min="51" max="85" width="13.1796875" style="220" bestFit="1" customWidth="1"/>
    <col min="86" max="16384" width="13" style="220"/>
  </cols>
  <sheetData>
    <row r="1" spans="1:87" ht="28.5" customHeight="1" thickBot="1">
      <c r="B1" s="563">
        <v>100</v>
      </c>
      <c r="C1" s="563"/>
      <c r="D1" s="563"/>
      <c r="E1" s="564"/>
      <c r="F1" s="564">
        <v>28</v>
      </c>
      <c r="G1" s="564">
        <v>31</v>
      </c>
      <c r="H1" s="564">
        <v>30</v>
      </c>
      <c r="I1" s="564">
        <v>31</v>
      </c>
      <c r="J1" s="564">
        <v>30</v>
      </c>
      <c r="K1" s="564">
        <v>31</v>
      </c>
      <c r="L1" s="564">
        <v>31</v>
      </c>
      <c r="M1" s="564">
        <v>30</v>
      </c>
      <c r="N1" s="564">
        <v>31</v>
      </c>
      <c r="O1" s="564">
        <v>30</v>
      </c>
      <c r="P1" s="564"/>
      <c r="Q1" s="564"/>
      <c r="R1" s="564"/>
      <c r="AB1" s="2779" t="s">
        <v>1438</v>
      </c>
      <c r="AC1" s="2779" t="s">
        <v>1438</v>
      </c>
      <c r="AD1" s="2779" t="s">
        <v>1438</v>
      </c>
      <c r="AE1" s="2779" t="s">
        <v>1438</v>
      </c>
      <c r="AH1" s="2773" t="s">
        <v>1437</v>
      </c>
      <c r="AI1" s="220">
        <v>100</v>
      </c>
      <c r="AO1" s="2773" t="s">
        <v>1437</v>
      </c>
      <c r="AP1" s="2773" t="s">
        <v>1437</v>
      </c>
      <c r="AQ1" s="2773" t="s">
        <v>1437</v>
      </c>
      <c r="AW1" s="2551"/>
      <c r="AX1" s="3763"/>
      <c r="AY1" s="3764"/>
      <c r="AZ1" s="3764"/>
      <c r="BA1" s="3764"/>
      <c r="BB1" s="3765"/>
      <c r="BC1" s="3766"/>
      <c r="BD1" s="3764"/>
      <c r="BE1" s="3764"/>
      <c r="BF1" s="3764"/>
      <c r="BG1" s="3764"/>
      <c r="BH1" s="3764"/>
      <c r="BI1" s="3765"/>
      <c r="BJ1" s="3766"/>
      <c r="BK1" s="3764"/>
      <c r="BL1" s="3764"/>
      <c r="BM1" s="3764"/>
      <c r="BN1" s="3764"/>
      <c r="BO1" s="3764"/>
      <c r="BP1" s="3765"/>
      <c r="BQ1" s="3766"/>
      <c r="BR1" s="3764"/>
      <c r="BS1" s="3764"/>
      <c r="BT1" s="3764"/>
      <c r="BU1" s="3764"/>
      <c r="BV1" s="3764"/>
      <c r="BW1" s="3765"/>
      <c r="BX1" s="3766"/>
      <c r="BY1" s="3764"/>
      <c r="BZ1" s="3764"/>
      <c r="CA1" s="3764"/>
      <c r="CB1" s="3764"/>
      <c r="CC1" s="3764"/>
      <c r="CD1" s="3764"/>
      <c r="CE1" s="188"/>
      <c r="CF1" s="188"/>
      <c r="CG1" s="188"/>
      <c r="CH1" s="188"/>
      <c r="CI1" s="426"/>
    </row>
    <row r="2" spans="1:87" ht="30" customHeight="1" thickBot="1">
      <c r="B2" s="2410" t="s">
        <v>1637</v>
      </c>
      <c r="C2" s="2411"/>
      <c r="D2" s="2411"/>
      <c r="E2" s="2411"/>
      <c r="F2" s="2411"/>
      <c r="G2" s="2411"/>
      <c r="H2" s="2411"/>
      <c r="I2" s="2411"/>
      <c r="J2" s="2411"/>
      <c r="K2" s="2411"/>
      <c r="L2" s="2411"/>
      <c r="M2" s="2411"/>
      <c r="N2" s="2411"/>
      <c r="O2" s="2411"/>
      <c r="P2" s="2411"/>
      <c r="Q2" s="2411"/>
      <c r="R2" s="2412"/>
      <c r="S2" s="565"/>
      <c r="W2" s="4543" t="s">
        <v>844</v>
      </c>
      <c r="X2" s="4543"/>
      <c r="Y2" s="4543"/>
      <c r="AA2" s="4538" t="s">
        <v>1439</v>
      </c>
      <c r="AB2" s="4538"/>
      <c r="AC2" s="4538"/>
      <c r="AD2" s="4538"/>
      <c r="AE2" s="4538"/>
      <c r="AF2" s="4538"/>
      <c r="AG2" s="4538"/>
      <c r="AH2" s="4538"/>
      <c r="AI2" s="4538"/>
      <c r="AJ2" s="4538"/>
      <c r="AK2" s="4538"/>
      <c r="AL2" s="4538"/>
      <c r="AM2" s="4538"/>
      <c r="AN2" s="4538"/>
      <c r="AO2" s="4538"/>
      <c r="AP2" s="4538"/>
      <c r="AQ2" s="4538"/>
      <c r="AW2" s="2551"/>
      <c r="AX2" s="3767"/>
      <c r="AY2" s="3764"/>
      <c r="AZ2" s="3764"/>
      <c r="BA2" s="3764"/>
      <c r="BB2" s="3768"/>
      <c r="BC2" s="3769"/>
      <c r="BD2" s="3764"/>
      <c r="BE2" s="3764"/>
      <c r="BF2" s="3764"/>
      <c r="BG2" s="3764"/>
      <c r="BH2" s="3764"/>
      <c r="BI2" s="3768"/>
      <c r="BJ2" s="3769"/>
      <c r="BK2" s="3764"/>
      <c r="BL2" s="3764"/>
      <c r="BM2" s="3764"/>
      <c r="BN2" s="3764"/>
      <c r="BO2" s="3764"/>
      <c r="BP2" s="3768"/>
      <c r="BQ2" s="3769"/>
      <c r="BR2" s="3764"/>
      <c r="BS2" s="3764"/>
      <c r="BT2" s="3764"/>
      <c r="BU2" s="3764"/>
      <c r="BV2" s="3764"/>
      <c r="BW2" s="3768"/>
      <c r="BX2" s="3769"/>
      <c r="BY2" s="3764"/>
      <c r="BZ2" s="3765"/>
      <c r="CA2" s="3770"/>
      <c r="CB2" s="3771"/>
      <c r="CC2" s="3764"/>
      <c r="CD2" s="3764"/>
      <c r="CE2" s="3770"/>
      <c r="CF2" s="188"/>
      <c r="CG2" s="188"/>
      <c r="CH2" s="188"/>
      <c r="CI2" s="426"/>
    </row>
    <row r="3" spans="1:87" ht="18.75" customHeight="1" thickBot="1">
      <c r="B3" s="4539"/>
      <c r="C3" s="4541" t="s">
        <v>159</v>
      </c>
      <c r="D3" s="2413"/>
      <c r="E3" s="2405">
        <f>'R+RP+B'!F4</f>
        <v>46023</v>
      </c>
      <c r="F3" s="2405">
        <f>'R+RP+B'!G4</f>
        <v>46054</v>
      </c>
      <c r="G3" s="2405">
        <f>'R+RP+B'!H4</f>
        <v>46082</v>
      </c>
      <c r="H3" s="2405">
        <f>'R+RP+B'!I4</f>
        <v>46113</v>
      </c>
      <c r="I3" s="2405">
        <f>'R+RP+B'!J4</f>
        <v>46143</v>
      </c>
      <c r="J3" s="2405">
        <f>'R+RP+B'!K4</f>
        <v>46174</v>
      </c>
      <c r="K3" s="2405">
        <f>'R+RP+B'!L4</f>
        <v>46204</v>
      </c>
      <c r="L3" s="2405">
        <f>'R+RP+B'!M4</f>
        <v>46235</v>
      </c>
      <c r="M3" s="2405">
        <f>'R+RP+B'!N4</f>
        <v>46266</v>
      </c>
      <c r="N3" s="2405">
        <f>'R+RP+B'!O4</f>
        <v>46296</v>
      </c>
      <c r="O3" s="2405">
        <f>'R+RP+B'!P4</f>
        <v>46327</v>
      </c>
      <c r="P3" s="2405">
        <f>'R+RP+B'!Q4</f>
        <v>46357</v>
      </c>
      <c r="Q3" s="2414"/>
      <c r="R3" s="2415" t="s">
        <v>192</v>
      </c>
      <c r="T3" s="2409" t="s">
        <v>193</v>
      </c>
      <c r="U3" s="2409" t="s">
        <v>193</v>
      </c>
      <c r="W3" s="4544" t="s">
        <v>845</v>
      </c>
      <c r="X3" s="4545" t="s">
        <v>846</v>
      </c>
      <c r="Y3" s="4545" t="s">
        <v>498</v>
      </c>
      <c r="AA3" s="2774" t="s">
        <v>258</v>
      </c>
      <c r="AB3" s="2775" t="s">
        <v>1422</v>
      </c>
      <c r="AC3" s="2734" t="s">
        <v>1423</v>
      </c>
      <c r="AD3" s="2733" t="s">
        <v>120</v>
      </c>
      <c r="AE3" s="2776" t="s">
        <v>1424</v>
      </c>
      <c r="AF3" s="2777" t="s">
        <v>1099</v>
      </c>
      <c r="AG3" s="2778" t="s">
        <v>25</v>
      </c>
      <c r="AH3" s="2778" t="s">
        <v>1425</v>
      </c>
      <c r="AI3" s="2734" t="s">
        <v>23</v>
      </c>
      <c r="AJ3" s="2778" t="s">
        <v>83</v>
      </c>
      <c r="AK3" s="2734" t="s">
        <v>86</v>
      </c>
      <c r="AL3" s="2734" t="s">
        <v>580</v>
      </c>
      <c r="AM3" s="2776" t="s">
        <v>1426</v>
      </c>
      <c r="AN3" s="2734" t="s">
        <v>1021</v>
      </c>
      <c r="AO3" s="2734" t="s">
        <v>1427</v>
      </c>
      <c r="AP3" s="2734" t="s">
        <v>1428</v>
      </c>
      <c r="AQ3" s="2734" t="s">
        <v>36</v>
      </c>
      <c r="AR3"/>
      <c r="AW3" s="2551"/>
      <c r="AX3" s="3772"/>
      <c r="AY3" s="4529" t="s">
        <v>62</v>
      </c>
      <c r="AZ3" s="4530"/>
      <c r="BA3" s="4531"/>
      <c r="BB3" s="3765"/>
      <c r="BC3" s="3766"/>
      <c r="BD3" s="3764"/>
      <c r="BE3" s="3764"/>
      <c r="BF3" s="4529" t="s">
        <v>225</v>
      </c>
      <c r="BG3" s="4530"/>
      <c r="BH3" s="4531"/>
      <c r="BI3" s="3765"/>
      <c r="BJ3" s="3766"/>
      <c r="BK3" s="3764"/>
      <c r="BL3" s="3764"/>
      <c r="BM3" s="4529" t="s">
        <v>1699</v>
      </c>
      <c r="BN3" s="4530"/>
      <c r="BO3" s="4531"/>
      <c r="BP3" s="3765"/>
      <c r="BQ3" s="3766"/>
      <c r="BR3" s="3764"/>
      <c r="BS3" s="3764"/>
      <c r="BT3" s="4529" t="s">
        <v>120</v>
      </c>
      <c r="BU3" s="4530"/>
      <c r="BV3" s="4531"/>
      <c r="BW3" s="3765"/>
      <c r="BX3" s="3766"/>
      <c r="BY3" s="3764"/>
      <c r="BZ3" s="3768"/>
      <c r="CA3" s="3773"/>
      <c r="CB3" s="3774"/>
      <c r="CC3" s="3764"/>
      <c r="CD3" s="3764"/>
      <c r="CE3" s="188"/>
      <c r="CF3" s="188"/>
      <c r="CG3" s="188"/>
      <c r="CH3" s="188"/>
      <c r="CI3" s="426"/>
    </row>
    <row r="4" spans="1:87" ht="19.5" customHeight="1" thickBot="1">
      <c r="B4" s="4540"/>
      <c r="C4" s="4542"/>
      <c r="D4" s="2405">
        <f>'R+RP+B'!E5</f>
        <v>0</v>
      </c>
      <c r="E4" s="2405" t="s">
        <v>1366</v>
      </c>
      <c r="F4" s="2405" t="s">
        <v>1366</v>
      </c>
      <c r="G4" s="2405" t="s">
        <v>1366</v>
      </c>
      <c r="H4" s="2405" t="s">
        <v>1366</v>
      </c>
      <c r="I4" s="2405" t="s">
        <v>1366</v>
      </c>
      <c r="J4" s="2405" t="s">
        <v>1366</v>
      </c>
      <c r="K4" s="2405" t="s">
        <v>1366</v>
      </c>
      <c r="L4" s="2405" t="s">
        <v>1366</v>
      </c>
      <c r="M4" s="2405" t="s">
        <v>1366</v>
      </c>
      <c r="N4" s="2405" t="s">
        <v>1366</v>
      </c>
      <c r="O4" s="2405" t="s">
        <v>1366</v>
      </c>
      <c r="P4" s="2405" t="s">
        <v>1366</v>
      </c>
      <c r="Q4" s="2416"/>
      <c r="R4" s="2417"/>
      <c r="T4" s="2408" t="s">
        <v>847</v>
      </c>
      <c r="U4" s="2408" t="s">
        <v>195</v>
      </c>
      <c r="W4" s="4544"/>
      <c r="X4" s="4544"/>
      <c r="Y4" s="4544"/>
      <c r="AA4" s="2644"/>
      <c r="AB4" s="84"/>
      <c r="AC4" s="426"/>
      <c r="AE4" s="2645"/>
      <c r="AF4" s="2646"/>
      <c r="AG4" s="2647"/>
      <c r="AH4" s="2647"/>
      <c r="AI4" s="2643"/>
      <c r="AJ4" s="2647"/>
      <c r="AM4" s="2645"/>
      <c r="AR4"/>
      <c r="AW4" s="2551"/>
      <c r="AX4" s="3772"/>
      <c r="AY4" s="4532"/>
      <c r="AZ4" s="4533"/>
      <c r="BA4" s="4534"/>
      <c r="BB4" s="3768"/>
      <c r="BC4" s="3769"/>
      <c r="BD4" s="3764"/>
      <c r="BE4" s="3764"/>
      <c r="BF4" s="4532"/>
      <c r="BG4" s="4533"/>
      <c r="BH4" s="4534"/>
      <c r="BI4" s="3768"/>
      <c r="BJ4" s="3766"/>
      <c r="BK4" s="3764"/>
      <c r="BL4" s="3764"/>
      <c r="BM4" s="4532"/>
      <c r="BN4" s="4533"/>
      <c r="BO4" s="4534"/>
      <c r="BP4" s="3768"/>
      <c r="BQ4" s="3769"/>
      <c r="BR4" s="3764"/>
      <c r="BS4" s="3764"/>
      <c r="BT4" s="4532"/>
      <c r="BU4" s="4533"/>
      <c r="BV4" s="4534"/>
      <c r="BW4" s="3768"/>
      <c r="BX4" s="3769"/>
      <c r="BY4" s="3764"/>
      <c r="BZ4" s="3768"/>
      <c r="CA4" s="3773"/>
      <c r="CB4" s="3774"/>
      <c r="CC4" s="3764"/>
      <c r="CD4" s="3764"/>
      <c r="CE4" s="3774"/>
      <c r="CF4" s="188"/>
      <c r="CG4" s="188"/>
      <c r="CH4" s="188"/>
      <c r="CI4" s="426"/>
    </row>
    <row r="5" spans="1:87" s="3263" customFormat="1" ht="30" customHeight="1">
      <c r="A5" s="427"/>
      <c r="B5" s="3264" t="s">
        <v>196</v>
      </c>
      <c r="C5" s="3264"/>
      <c r="D5" s="427"/>
      <c r="E5" s="1391">
        <f>+DAY(EOMONTH(E3,0))</f>
        <v>31</v>
      </c>
      <c r="F5" s="1391">
        <f t="shared" ref="F5:P5" si="0">+DAY(EOMONTH(F3,0))</f>
        <v>28</v>
      </c>
      <c r="G5" s="1391">
        <f t="shared" si="0"/>
        <v>31</v>
      </c>
      <c r="H5" s="1391">
        <f t="shared" si="0"/>
        <v>30</v>
      </c>
      <c r="I5" s="1391">
        <f t="shared" si="0"/>
        <v>31</v>
      </c>
      <c r="J5" s="1391">
        <f t="shared" si="0"/>
        <v>30</v>
      </c>
      <c r="K5" s="1391">
        <f t="shared" si="0"/>
        <v>31</v>
      </c>
      <c r="L5" s="1391">
        <f t="shared" si="0"/>
        <v>31</v>
      </c>
      <c r="M5" s="1391">
        <f t="shared" si="0"/>
        <v>30</v>
      </c>
      <c r="N5" s="1391">
        <f t="shared" si="0"/>
        <v>31</v>
      </c>
      <c r="O5" s="1391">
        <f t="shared" si="0"/>
        <v>30</v>
      </c>
      <c r="P5" s="1391">
        <f t="shared" si="0"/>
        <v>31</v>
      </c>
      <c r="Q5" s="427"/>
      <c r="R5" s="1391">
        <f>SUM(E5:P5)</f>
        <v>365</v>
      </c>
      <c r="S5" s="427"/>
      <c r="T5" s="1391">
        <f>IF(MONTH(Factores!$D$2)=1,SUM($E5:E5),IF(MONTH(Factores!$D$2)=2,SUM($E5:F5),IF(MONTH(Factores!$D$2)=3,SUM($E5:G5),IF(MONTH(Factores!$D$2)=4,SUM($E5:H5),IF(MONTH(Factores!$D$2)=5,SUM($E5:I5),IF(MONTH(Factores!$D$2)=6,SUM($E5:J5),IF(MONTH(Factores!$D$2)=7,SUM($E5:K5),IF(MONTH(Factores!$D$2)=8,SUM($E5:L5),IF(MONTH(Factores!$D$2)=9,SUM($E5:M5),IF(MONTH(Factores!$D$2)=10,SUM($E5:N5),IF(MONTH(Factores!$D$2)=11,SUM($E5:O5),IF(MONTH(Factores!$D$2)=12,SUM($E5:P5)))))))))))))</f>
        <v>90</v>
      </c>
      <c r="U5" s="1411">
        <f>IF(MONTH(Factores!$D$2)=1,SUM($E5:E5),IF(MONTH(Factores!$D$2)=2,SUM($E5:E5),IF(MONTH(Factores!$D$2)=3,SUM($E5:F5),IF(MONTH(Factores!$D$2)=4,SUM($E5:G5),IF(MONTH(Factores!$D$2)=5,SUM($E5:H5),IF(MONTH(Factores!$D$2)=6,SUM($E5:I5),IF(MONTH(Factores!$D$2)=7,SUM($E5:J5),IF(MONTH(Factores!$D$2)=8,SUM($E5:K5),IF(MONTH(Factores!$D$2)=9,SUM($E5:L5),IF(MONTH(Factores!$D$2)=10,SUM($E5:M5),IF(MONTH(Factores!$D$2)=11,SUM($E5:N5),IF(MONTH(Factores!$D$2)=12,SUM($E5:O5)))))))))))))</f>
        <v>59</v>
      </c>
      <c r="V5" s="427"/>
      <c r="W5" s="2107">
        <f>SUMIF($E$4:$P$4,"=REAL",E5:P5)</f>
        <v>0</v>
      </c>
      <c r="X5" s="2107">
        <f>COUNT(Real!C9:C39)</f>
        <v>17</v>
      </c>
      <c r="Y5" s="2107">
        <f>SUM(W5:X5)</f>
        <v>17</v>
      </c>
      <c r="Z5" s="427"/>
      <c r="AA5" s="3309">
        <v>45809</v>
      </c>
      <c r="AB5" s="1428"/>
      <c r="AC5" s="1428"/>
      <c r="AD5" s="1428"/>
      <c r="AE5" s="1428"/>
      <c r="AF5" s="1420"/>
      <c r="AG5" s="3303"/>
      <c r="AH5" s="3303" t="e">
        <f>+AE5/AC5*100</f>
        <v>#DIV/0!</v>
      </c>
      <c r="AI5" s="3303"/>
      <c r="AJ5" s="3303"/>
      <c r="AK5" s="3303"/>
      <c r="AL5" s="3303"/>
      <c r="AM5" s="1428"/>
      <c r="AN5" s="3303"/>
      <c r="AO5" s="1420">
        <f>+$J$9/30*1000</f>
        <v>24.146893258401185</v>
      </c>
      <c r="AP5" s="1420">
        <f>+$J$10/30*1000</f>
        <v>24.026158792109179</v>
      </c>
      <c r="AQ5" s="1428" t="e">
        <f>AD5/(24*AI5/100)</f>
        <v>#DIV/0!</v>
      </c>
      <c r="AR5" s="273"/>
      <c r="AW5" s="2551"/>
      <c r="AX5" s="3772"/>
      <c r="AY5" s="4535"/>
      <c r="AZ5" s="4536"/>
      <c r="BA5" s="4537"/>
      <c r="BB5" s="3775"/>
      <c r="BC5" s="3776"/>
      <c r="BD5" s="3764"/>
      <c r="BE5" s="3764"/>
      <c r="BF5" s="4535"/>
      <c r="BG5" s="4536"/>
      <c r="BH5" s="4537"/>
      <c r="BI5" s="3775"/>
      <c r="BJ5" s="3776"/>
      <c r="BK5" s="3764"/>
      <c r="BL5" s="3764"/>
      <c r="BM5" s="4535"/>
      <c r="BN5" s="4536"/>
      <c r="BO5" s="4537"/>
      <c r="BP5" s="3775"/>
      <c r="BQ5" s="3776"/>
      <c r="BR5" s="3764"/>
      <c r="BS5" s="3764"/>
      <c r="BT5" s="4535"/>
      <c r="BU5" s="4536"/>
      <c r="BV5" s="4537"/>
      <c r="BW5" s="3775"/>
      <c r="BX5" s="3776"/>
      <c r="BY5" s="3764"/>
      <c r="BZ5" s="3777"/>
      <c r="CA5" s="3778"/>
      <c r="CB5" s="3779"/>
      <c r="CC5" s="3764"/>
      <c r="CD5" s="3764"/>
      <c r="CE5" s="3779"/>
      <c r="CF5" s="188"/>
      <c r="CG5" s="188"/>
      <c r="CH5" s="188"/>
      <c r="CI5" s="427"/>
    </row>
    <row r="6" spans="1:87" s="3263" customFormat="1">
      <c r="A6" s="427"/>
      <c r="B6" s="427"/>
      <c r="C6" s="427"/>
      <c r="D6" s="427"/>
      <c r="E6" s="427"/>
      <c r="F6" s="427"/>
      <c r="G6" s="427"/>
      <c r="H6" s="427"/>
      <c r="I6" s="427"/>
      <c r="J6" s="427"/>
      <c r="K6" s="427"/>
      <c r="L6" s="427"/>
      <c r="M6" s="427"/>
      <c r="N6" s="427"/>
      <c r="O6" s="427"/>
      <c r="P6" s="427"/>
      <c r="Q6" s="427"/>
      <c r="R6" s="427"/>
      <c r="S6" s="427"/>
      <c r="T6" s="427"/>
      <c r="U6" s="427"/>
      <c r="V6" s="427"/>
      <c r="W6" s="427"/>
      <c r="X6" s="427"/>
      <c r="Y6" s="427"/>
      <c r="Z6" s="1398"/>
      <c r="AA6" s="3309">
        <f>AA5+1</f>
        <v>45810</v>
      </c>
      <c r="AB6" s="1428"/>
      <c r="AC6" s="1428"/>
      <c r="AD6" s="1428"/>
      <c r="AE6" s="1428"/>
      <c r="AF6" s="1420"/>
      <c r="AG6" s="3303"/>
      <c r="AH6" s="3303" t="e">
        <f t="shared" ref="AH6:AH34" si="1">+AE6/AC6*100</f>
        <v>#DIV/0!</v>
      </c>
      <c r="AI6" s="3303"/>
      <c r="AJ6" s="3303"/>
      <c r="AK6" s="3303"/>
      <c r="AL6" s="3303"/>
      <c r="AM6" s="1428"/>
      <c r="AN6" s="3303"/>
      <c r="AO6" s="1420">
        <f t="shared" ref="AO6:AO34" si="2">+$J$9/30*1000</f>
        <v>24.146893258401185</v>
      </c>
      <c r="AP6" s="1420">
        <f t="shared" ref="AP6:AP34" si="3">+$J$10/30*1000</f>
        <v>24.026158792109179</v>
      </c>
      <c r="AQ6" s="1428" t="e">
        <f t="shared" ref="AQ6:AQ34" si="4">AD6/(24*AI6/100)</f>
        <v>#DIV/0!</v>
      </c>
      <c r="AR6" s="273"/>
      <c r="AW6" s="2551"/>
      <c r="AX6" s="3780"/>
      <c r="AY6" s="3781">
        <v>22284.981723907418</v>
      </c>
      <c r="AZ6" s="3782"/>
      <c r="BA6" s="3782">
        <v>19927.538625527828</v>
      </c>
      <c r="BB6" s="3782"/>
      <c r="BC6" s="3782">
        <v>-84.19439637069965</v>
      </c>
      <c r="BD6" s="3783"/>
      <c r="BE6" s="3784"/>
      <c r="BF6" s="3781">
        <v>89632.55322265625</v>
      </c>
      <c r="BG6" s="3782"/>
      <c r="BH6" s="3782">
        <v>72983.333007812485</v>
      </c>
      <c r="BI6" s="3782"/>
      <c r="BJ6" s="3782">
        <v>-594.61500767299162</v>
      </c>
      <c r="BK6" s="3783"/>
      <c r="BL6" s="3784"/>
      <c r="BM6" s="3781">
        <v>23217.981154353729</v>
      </c>
      <c r="BN6" s="3782"/>
      <c r="BO6" s="3782">
        <v>20671.720852204431</v>
      </c>
      <c r="BP6" s="3782"/>
      <c r="BQ6" s="3782">
        <v>-90.93786793390349</v>
      </c>
      <c r="BR6" s="3783"/>
      <c r="BS6" s="3784"/>
      <c r="BT6" s="3781">
        <v>5163015.7217677832</v>
      </c>
      <c r="BU6" s="3782"/>
      <c r="BV6" s="3782">
        <v>4408077.625</v>
      </c>
      <c r="BW6" s="3782"/>
      <c r="BX6" s="3782">
        <v>-26962.074884563684</v>
      </c>
      <c r="BY6" s="3782"/>
      <c r="BZ6" s="3782"/>
      <c r="CA6" s="3782"/>
      <c r="CB6" s="3782"/>
      <c r="CC6" s="3782"/>
      <c r="CD6" s="3783"/>
      <c r="CE6" s="188"/>
      <c r="CF6" s="188"/>
      <c r="CG6" s="188"/>
      <c r="CH6" s="188"/>
      <c r="CI6" s="427"/>
    </row>
    <row r="7" spans="1:87" s="427" customFormat="1" ht="16.5" customHeight="1">
      <c r="B7" s="1417" t="s">
        <v>206</v>
      </c>
      <c r="C7" s="1418" t="s">
        <v>204</v>
      </c>
      <c r="D7" s="1419"/>
      <c r="E7" s="1392">
        <v>21.015980190531806</v>
      </c>
      <c r="F7" s="1392">
        <v>20.671720832298025</v>
      </c>
      <c r="G7" s="3460">
        <v>29.514270813981621</v>
      </c>
      <c r="H7" s="1392">
        <v>22.933613081531071</v>
      </c>
      <c r="I7" s="1392">
        <v>32.636744171986003</v>
      </c>
      <c r="J7" s="1392">
        <v>32.519873843953484</v>
      </c>
      <c r="K7" s="1392">
        <v>28.989519302738831</v>
      </c>
      <c r="L7" s="1392">
        <v>35.774530485678795</v>
      </c>
      <c r="M7" s="1392">
        <v>31.23886560475556</v>
      </c>
      <c r="N7" s="1392">
        <v>34.556932012049913</v>
      </c>
      <c r="O7" s="1392">
        <v>34.353290890419864</v>
      </c>
      <c r="P7" s="1392">
        <v>38.799795171415298</v>
      </c>
      <c r="Q7" s="1420"/>
      <c r="R7" s="1422">
        <v>363.00513640134034</v>
      </c>
      <c r="S7" s="1398"/>
      <c r="T7" s="1421">
        <f>IF(MONTH(Factores!$D$2)=1,SUM($E7:E7),IF(MONTH(Factores!$D$2)=2,SUM($E7:F7),IF(MONTH(Factores!$D$2)=3,SUM($E7:G7),IF(MONTH(Factores!$D$2)=4,SUM($E7:H7),IF(MONTH(Factores!$D$2)=5,SUM($E7:I7),IF(MONTH(Factores!$D$2)=6,SUM($E7:J7),IF(MONTH(Factores!$D$2)=7,SUM($E7:K7),IF(MONTH(Factores!$D$2)=8,SUM($E7:L7),IF(MONTH(Factores!$D$2)=9,SUM($E7:M7),IF(MONTH(Factores!$D$2)=10,SUM($E7:N7),IF(MONTH(Factores!$D$2)=11,SUM($E7:O7),IF(MONTH(Factores!$D$2)=12,SUM($E7:P7)))))))))))))</f>
        <v>71.201971836811452</v>
      </c>
      <c r="U7" s="1421">
        <f>IF(MONTH(Factores!$D$2)=1,SUM($E7:E7),IF(MONTH(Factores!$D$2)=2,SUM($E7:E7),IF(MONTH(Factores!$D$2)=3,SUM($E7:F7),IF(MONTH(Factores!$D$2)=4,SUM($E7:G7),IF(MONTH(Factores!$D$2)=5,SUM($E7:H7),IF(MONTH(Factores!$D$2)=6,SUM($E7:I7),IF(MONTH(Factores!$D$2)=7,SUM($E7:J7),IF(MONTH(Factores!$D$2)=8,SUM($E7:K7),IF(MONTH(Factores!$D$2)=9,SUM($E7:L7),IF(MONTH(Factores!$D$2)=10,SUM($E7:M7),IF(MONTH(Factores!$D$2)=11,SUM($E7:N7),IF(MONTH(Factores!$D$2)=12,SUM($E7:O7)))))))))))))</f>
        <v>41.687701022829827</v>
      </c>
      <c r="W7" s="3276">
        <f>SUMIF($E$4:$P$4,"=REAL",E8:P8)*$C$67</f>
        <v>0</v>
      </c>
      <c r="X7" s="3310" t="e">
        <f>VLOOKUP(Factores!$D$3,BDGT!#REF!,BDGT!#REF!,FALSE)/1000</f>
        <v>#REF!</v>
      </c>
      <c r="Y7" s="3276" t="e">
        <f>SUM(W7:X7)</f>
        <v>#REF!</v>
      </c>
      <c r="AA7" s="3309">
        <f t="shared" ref="AA7:AA34" si="5">AA6+1</f>
        <v>45811</v>
      </c>
      <c r="AB7" s="1428"/>
      <c r="AC7" s="1428"/>
      <c r="AD7" s="1428"/>
      <c r="AE7" s="1428"/>
      <c r="AF7" s="1420"/>
      <c r="AG7" s="3303"/>
      <c r="AH7" s="3303" t="e">
        <f t="shared" si="1"/>
        <v>#DIV/0!</v>
      </c>
      <c r="AI7" s="3303"/>
      <c r="AJ7" s="3303"/>
      <c r="AK7" s="3303"/>
      <c r="AL7" s="3303"/>
      <c r="AM7" s="1428"/>
      <c r="AN7" s="3303"/>
      <c r="AO7" s="1420">
        <f t="shared" si="2"/>
        <v>24.146893258401185</v>
      </c>
      <c r="AP7" s="1420">
        <f t="shared" si="3"/>
        <v>24.026158792109179</v>
      </c>
      <c r="AQ7" s="1428" t="e">
        <f t="shared" si="4"/>
        <v>#DIV/0!</v>
      </c>
      <c r="AR7" s="273"/>
      <c r="AW7" s="2551"/>
      <c r="AX7" s="3785"/>
      <c r="AY7" s="3786" t="s">
        <v>1700</v>
      </c>
      <c r="AZ7" s="3786" t="s">
        <v>1701</v>
      </c>
      <c r="BA7" s="3786" t="s">
        <v>1702</v>
      </c>
      <c r="BB7" s="3786" t="s">
        <v>1703</v>
      </c>
      <c r="BC7" s="3786" t="s">
        <v>1704</v>
      </c>
      <c r="BD7" s="3787" t="s">
        <v>1705</v>
      </c>
      <c r="BE7" s="3788"/>
      <c r="BF7" s="3789" t="s">
        <v>1706</v>
      </c>
      <c r="BG7" s="3786" t="s">
        <v>1707</v>
      </c>
      <c r="BH7" s="3786" t="s">
        <v>1708</v>
      </c>
      <c r="BI7" s="3786" t="s">
        <v>1703</v>
      </c>
      <c r="BJ7" s="3786" t="s">
        <v>1704</v>
      </c>
      <c r="BK7" s="3787" t="s">
        <v>1705</v>
      </c>
      <c r="BL7" s="3788"/>
      <c r="BM7" s="3789" t="s">
        <v>1709</v>
      </c>
      <c r="BN7" s="3786" t="s">
        <v>1707</v>
      </c>
      <c r="BO7" s="3786" t="s">
        <v>1708</v>
      </c>
      <c r="BP7" s="3786" t="s">
        <v>1703</v>
      </c>
      <c r="BQ7" s="3786" t="s">
        <v>1704</v>
      </c>
      <c r="BR7" s="3787" t="s">
        <v>1705</v>
      </c>
      <c r="BS7" s="3788"/>
      <c r="BT7" s="3789" t="s">
        <v>1710</v>
      </c>
      <c r="BU7" s="3786" t="s">
        <v>1707</v>
      </c>
      <c r="BV7" s="3786" t="s">
        <v>1711</v>
      </c>
      <c r="BW7" s="3786" t="s">
        <v>1703</v>
      </c>
      <c r="BX7" s="3786" t="s">
        <v>1704</v>
      </c>
      <c r="BY7" s="3786" t="s">
        <v>1705</v>
      </c>
      <c r="BZ7" s="3786"/>
      <c r="CA7" s="3786"/>
      <c r="CB7" s="3786"/>
      <c r="CC7" s="3786"/>
      <c r="CD7" s="3787"/>
      <c r="CE7" s="3790" t="s">
        <v>342</v>
      </c>
      <c r="CF7" s="188"/>
      <c r="CG7" s="188"/>
      <c r="CH7" s="188"/>
    </row>
    <row r="8" spans="1:87" s="427" customFormat="1" ht="16.5" customHeight="1">
      <c r="B8" s="1417" t="s">
        <v>848</v>
      </c>
      <c r="C8" s="1418" t="s">
        <v>204</v>
      </c>
      <c r="D8" s="1419"/>
      <c r="E8" s="1392">
        <v>19.564201296092122</v>
      </c>
      <c r="F8" s="1392">
        <v>20.602426600719475</v>
      </c>
      <c r="G8" s="3460">
        <v>28.422384713002526</v>
      </c>
      <c r="H8" s="1392">
        <v>22.131171900236232</v>
      </c>
      <c r="I8" s="1392">
        <v>31.461821381794522</v>
      </c>
      <c r="J8" s="1392">
        <v>31.316638511727174</v>
      </c>
      <c r="K8" s="1392">
        <v>27.887917569234752</v>
      </c>
      <c r="L8" s="1392">
        <v>30.012663141192068</v>
      </c>
      <c r="M8" s="1392">
        <v>33.41198619831448</v>
      </c>
      <c r="N8" s="1392">
        <v>34.41857715547512</v>
      </c>
      <c r="O8" s="1392">
        <v>32.546148959292516</v>
      </c>
      <c r="P8" s="1392">
        <v>37.238071621863909</v>
      </c>
      <c r="Q8" s="1420"/>
      <c r="R8" s="1422">
        <v>349.0140090489449</v>
      </c>
      <c r="S8" s="1398"/>
      <c r="T8" s="1421">
        <f>IF(MONTH(Factores!$D$2)=1,SUM($E8:E8),IF(MONTH(Factores!$D$2)=2,SUM($E8:F8),IF(MONTH(Factores!$D$2)=3,SUM($E8:G8),IF(MONTH(Factores!$D$2)=4,SUM($E8:H8),IF(MONTH(Factores!$D$2)=5,SUM($E8:I8),IF(MONTH(Factores!$D$2)=6,SUM($E8:J8),IF(MONTH(Factores!$D$2)=7,SUM($E8:K8),IF(MONTH(Factores!$D$2)=8,SUM($E8:L8),IF(MONTH(Factores!$D$2)=9,SUM($E8:M8),IF(MONTH(Factores!$D$2)=10,SUM($E8:N8),IF(MONTH(Factores!$D$2)=11,SUM($E8:O8),IF(MONTH(Factores!$D$2)=12,SUM($E8:P8)))))))))))))</f>
        <v>68.58901260981412</v>
      </c>
      <c r="U8" s="1421">
        <f>IF(MONTH(Factores!$D$2)=1,SUM($E8:E8),IF(MONTH(Factores!$D$2)=2,SUM($E8:E8),IF(MONTH(Factores!$D$2)=3,SUM($E8:F8),IF(MONTH(Factores!$D$2)=4,SUM($E8:G8),IF(MONTH(Factores!$D$2)=5,SUM($E8:H8),IF(MONTH(Factores!$D$2)=6,SUM($E8:I8),IF(MONTH(Factores!$D$2)=7,SUM($E8:J8),IF(MONTH(Factores!$D$2)=8,SUM($E8:K8),IF(MONTH(Factores!$D$2)=9,SUM($E8:L8),IF(MONTH(Factores!$D$2)=10,SUM($E8:M8),IF(MONTH(Factores!$D$2)=11,SUM($E8:N8),IF(MONTH(Factores!$D$2)=12,SUM($E8:O8)))))))))))))</f>
        <v>40.166627896811598</v>
      </c>
      <c r="W8" s="3276">
        <f>SUMIF($E$4:$P$4,"=REAL",E8:P8)</f>
        <v>0</v>
      </c>
      <c r="X8" s="3310" t="e">
        <f>VLOOKUP(Factores!$D$3,BDGT!#REF!,BDGT!#REF!,FALSE)/1000</f>
        <v>#REF!</v>
      </c>
      <c r="Y8" s="3276" t="e">
        <f>SUM(W8:X8)</f>
        <v>#REF!</v>
      </c>
      <c r="Z8" s="1398"/>
      <c r="AA8" s="3309">
        <f t="shared" si="5"/>
        <v>45812</v>
      </c>
      <c r="AB8" s="1428"/>
      <c r="AC8" s="1428"/>
      <c r="AD8" s="1428"/>
      <c r="AE8" s="1428"/>
      <c r="AF8" s="1420"/>
      <c r="AG8" s="3303"/>
      <c r="AH8" s="3303" t="e">
        <f t="shared" si="1"/>
        <v>#DIV/0!</v>
      </c>
      <c r="AI8" s="3303"/>
      <c r="AJ8" s="3303"/>
      <c r="AK8" s="3303"/>
      <c r="AL8" s="3303"/>
      <c r="AM8" s="1428"/>
      <c r="AN8" s="3303"/>
      <c r="AO8" s="1420">
        <f t="shared" si="2"/>
        <v>24.146893258401185</v>
      </c>
      <c r="AP8" s="1420">
        <f t="shared" si="3"/>
        <v>24.026158792109179</v>
      </c>
      <c r="AQ8" s="1428" t="e">
        <f t="shared" si="4"/>
        <v>#DIV/0!</v>
      </c>
      <c r="AR8" s="273"/>
      <c r="AW8" s="2551"/>
      <c r="AX8" s="3791">
        <v>46054</v>
      </c>
      <c r="AY8" s="3792">
        <v>320.69625587785401</v>
      </c>
      <c r="AZ8" s="3790">
        <v>320.69625587785401</v>
      </c>
      <c r="BA8" s="3790">
        <v>711.69780805456503</v>
      </c>
      <c r="BB8" s="3790">
        <v>711.69780805456503</v>
      </c>
      <c r="BC8" s="3793">
        <v>236.50185950715436</v>
      </c>
      <c r="BD8" s="3774">
        <v>236.50185950715436</v>
      </c>
      <c r="BE8" s="3784"/>
      <c r="BF8" s="3794">
        <v>3405.2421875</v>
      </c>
      <c r="BG8" s="3790">
        <v>3405.2421875</v>
      </c>
      <c r="BH8" s="3790">
        <v>2606.5476074218745</v>
      </c>
      <c r="BI8" s="3790">
        <v>2606.5476074218745</v>
      </c>
      <c r="BJ8" s="3795">
        <v>2810.6271798270081</v>
      </c>
      <c r="BK8" s="3774">
        <v>2810.6271798270081</v>
      </c>
      <c r="BL8" s="3784"/>
      <c r="BM8" s="3794">
        <v>717.44784622572899</v>
      </c>
      <c r="BN8" s="3790">
        <v>717.44784622572899</v>
      </c>
      <c r="BO8" s="3790">
        <v>738.27574472158676</v>
      </c>
      <c r="BP8" s="3790">
        <v>738.27574472158676</v>
      </c>
      <c r="BQ8" s="3796">
        <v>626.50997829182552</v>
      </c>
      <c r="BR8" s="3774">
        <v>626.50997829182552</v>
      </c>
      <c r="BS8" s="3784"/>
      <c r="BT8" s="3794">
        <v>184810.161802118</v>
      </c>
      <c r="BU8" s="3790">
        <v>184810.161802118</v>
      </c>
      <c r="BV8" s="3790">
        <v>157431.34375</v>
      </c>
      <c r="BW8" s="3790">
        <v>157431.34375</v>
      </c>
      <c r="BX8" s="3790">
        <v>157848.08691755432</v>
      </c>
      <c r="BY8" s="3790">
        <v>157848.08691755432</v>
      </c>
      <c r="BZ8" s="3790" t="s">
        <v>342</v>
      </c>
      <c r="CA8" s="3790">
        <v>157848.08691755432</v>
      </c>
      <c r="CB8" s="3790" t="s">
        <v>342</v>
      </c>
      <c r="CC8" s="3790">
        <v>157848.08691755432</v>
      </c>
      <c r="CD8" s="3774">
        <v>157848.08691755432</v>
      </c>
      <c r="CE8" s="3790" t="s">
        <v>342</v>
      </c>
      <c r="CF8" s="3774">
        <v>154612.63793140667</v>
      </c>
      <c r="CG8" s="3774">
        <v>154612.63793140667</v>
      </c>
      <c r="CH8" s="188"/>
    </row>
    <row r="9" spans="1:87" s="427" customFormat="1" ht="16.5" customHeight="1">
      <c r="B9" s="1417" t="s">
        <v>849</v>
      </c>
      <c r="C9" s="1418" t="s">
        <v>204</v>
      </c>
      <c r="D9" s="1419"/>
      <c r="E9" s="1392">
        <v>0.53762881629602677</v>
      </c>
      <c r="F9" s="1392">
        <v>0.91091779609663404</v>
      </c>
      <c r="G9" s="3460">
        <v>1.0603706209881529</v>
      </c>
      <c r="H9" s="1392">
        <v>0.49377313963876424</v>
      </c>
      <c r="I9" s="1392">
        <v>1.312225951063223</v>
      </c>
      <c r="J9" s="1392">
        <v>0.72440679775203554</v>
      </c>
      <c r="K9" s="1392">
        <v>0.72542867986757742</v>
      </c>
      <c r="L9" s="1392">
        <v>0.83457857628211296</v>
      </c>
      <c r="M9" s="1392">
        <v>1.0456347812116198</v>
      </c>
      <c r="N9" s="1392">
        <v>0.91475044848823694</v>
      </c>
      <c r="O9" s="1392">
        <v>0.61352898372549314</v>
      </c>
      <c r="P9" s="1392">
        <v>0.86798581804628094</v>
      </c>
      <c r="Q9" s="1428"/>
      <c r="R9" s="1422">
        <v>10.041230409456157</v>
      </c>
      <c r="S9" s="1398"/>
      <c r="T9" s="1421">
        <f>IF(MONTH(Factores!$D$2)=1,SUM($E9:E9),IF(MONTH(Factores!$D$2)=2,SUM($E9:F9),IF(MONTH(Factores!$D$2)=3,SUM($E9:G9),IF(MONTH(Factores!$D$2)=4,SUM($E9:H9),IF(MONTH(Factores!$D$2)=5,SUM($E9:I9),IF(MONTH(Factores!$D$2)=6,SUM($E9:J9),IF(MONTH(Factores!$D$2)=7,SUM($E9:K9),IF(MONTH(Factores!$D$2)=8,SUM($E9:L9),IF(MONTH(Factores!$D$2)=9,SUM($E9:M9),IF(MONTH(Factores!$D$2)=10,SUM($E9:N9),IF(MONTH(Factores!$D$2)=11,SUM($E9:O9),IF(MONTH(Factores!$D$2)=12,SUM($E9:P9)))))))))))))</f>
        <v>2.5089172333808136</v>
      </c>
      <c r="U9" s="1421">
        <f>IF(MONTH(Factores!$D$2)=1,SUM($E9:E9),IF(MONTH(Factores!$D$2)=2,SUM($E9:E9),IF(MONTH(Factores!$D$2)=3,SUM($E9:F9),IF(MONTH(Factores!$D$2)=4,SUM($E9:G9),IF(MONTH(Factores!$D$2)=5,SUM($E9:H9),IF(MONTH(Factores!$D$2)=6,SUM($E9:I9),IF(MONTH(Factores!$D$2)=7,SUM($E9:J9),IF(MONTH(Factores!$D$2)=8,SUM($E9:K9),IF(MONTH(Factores!$D$2)=9,SUM($E9:L9),IF(MONTH(Factores!$D$2)=10,SUM($E9:M9),IF(MONTH(Factores!$D$2)=11,SUM($E9:N9),IF(MONTH(Factores!$D$2)=12,SUM($E9:O9)))))))))))))</f>
        <v>1.4485466123926609</v>
      </c>
      <c r="W9" s="3276">
        <f>SUMIF($E$4:$P$4,"=REAL",E9:P9)</f>
        <v>0</v>
      </c>
      <c r="X9" s="3311" t="e">
        <f>VLOOKUP(Factores!$D$3,BDGT!#REF!,BDGT!#REF!,FALSE)/1000</f>
        <v>#REF!</v>
      </c>
      <c r="Y9" s="3276" t="e">
        <f>SUM(W9:X9)</f>
        <v>#REF!</v>
      </c>
      <c r="Z9" s="1398"/>
      <c r="AA9" s="3309">
        <f t="shared" si="5"/>
        <v>45813</v>
      </c>
      <c r="AB9" s="1428"/>
      <c r="AC9" s="1428"/>
      <c r="AD9" s="1428"/>
      <c r="AE9" s="1428"/>
      <c r="AF9" s="1420"/>
      <c r="AG9" s="3303"/>
      <c r="AH9" s="3303" t="e">
        <f>+AE9/AC9*100</f>
        <v>#DIV/0!</v>
      </c>
      <c r="AI9" s="3303"/>
      <c r="AJ9" s="3303"/>
      <c r="AK9" s="3303"/>
      <c r="AL9" s="3303"/>
      <c r="AM9" s="1428"/>
      <c r="AN9" s="3303"/>
      <c r="AO9" s="1420">
        <f t="shared" si="2"/>
        <v>24.146893258401185</v>
      </c>
      <c r="AP9" s="1420">
        <f t="shared" si="3"/>
        <v>24.026158792109179</v>
      </c>
      <c r="AQ9" s="1428" t="e">
        <f t="shared" si="4"/>
        <v>#DIV/0!</v>
      </c>
      <c r="AR9" s="273"/>
      <c r="AW9" s="2551"/>
      <c r="AX9" s="3791">
        <v>46055</v>
      </c>
      <c r="AY9" s="3797">
        <v>778.707378502334</v>
      </c>
      <c r="AZ9" s="3790">
        <v>1099.4036343801881</v>
      </c>
      <c r="BA9" s="3790">
        <v>711.69780805456503</v>
      </c>
      <c r="BB9" s="3790">
        <v>1423.3956161091301</v>
      </c>
      <c r="BC9" s="3793">
        <v>694.51298213163432</v>
      </c>
      <c r="BD9" s="3774">
        <v>931.01484163878865</v>
      </c>
      <c r="BE9" s="3784"/>
      <c r="BF9" s="3798">
        <v>3555.953857421875</v>
      </c>
      <c r="BG9" s="3790">
        <v>6961.196044921875</v>
      </c>
      <c r="BH9" s="3790">
        <v>2606.5476074218745</v>
      </c>
      <c r="BI9" s="3790">
        <v>5213.0952148437491</v>
      </c>
      <c r="BJ9" s="3795">
        <v>2961.3388497488831</v>
      </c>
      <c r="BK9" s="3774">
        <v>5771.9660295758913</v>
      </c>
      <c r="BL9" s="3784"/>
      <c r="BM9" s="3798">
        <v>791.03029815717298</v>
      </c>
      <c r="BN9" s="3790">
        <v>1508.478144382902</v>
      </c>
      <c r="BO9" s="3790">
        <v>738.27574472158676</v>
      </c>
      <c r="BP9" s="3790">
        <v>1476.5514894431735</v>
      </c>
      <c r="BQ9" s="3796">
        <v>700.0924302232695</v>
      </c>
      <c r="BR9" s="3774">
        <v>1326.602408515095</v>
      </c>
      <c r="BS9" s="3784"/>
      <c r="BT9" s="3798">
        <v>201422.92586206799</v>
      </c>
      <c r="BU9" s="3790">
        <v>386233.08766418602</v>
      </c>
      <c r="BV9" s="3790">
        <v>157431.34375</v>
      </c>
      <c r="BW9" s="3790">
        <v>314862.6875</v>
      </c>
      <c r="BX9" s="3790">
        <v>174460.85097750431</v>
      </c>
      <c r="BY9" s="3790">
        <v>332308.93789505865</v>
      </c>
      <c r="BZ9" s="3790" t="s">
        <v>342</v>
      </c>
      <c r="CA9" s="3790">
        <v>174460.85097750431</v>
      </c>
      <c r="CB9" s="3790" t="s">
        <v>342</v>
      </c>
      <c r="CC9" s="3790">
        <v>174460.85097750431</v>
      </c>
      <c r="CD9" s="3774">
        <v>332308.93789505865</v>
      </c>
      <c r="CE9" s="3790" t="s">
        <v>342</v>
      </c>
      <c r="CF9" s="3774">
        <v>171225.40199135666</v>
      </c>
      <c r="CG9" s="3774">
        <v>325838.03992276336</v>
      </c>
      <c r="CH9" s="188"/>
    </row>
    <row r="10" spans="1:87" s="427" customFormat="1" ht="16.5" customHeight="1">
      <c r="B10" s="1423" t="s">
        <v>850</v>
      </c>
      <c r="C10" s="1424" t="s">
        <v>204</v>
      </c>
      <c r="D10" s="1419"/>
      <c r="E10" s="1392">
        <v>0.53494067221454666</v>
      </c>
      <c r="F10" s="1392">
        <v>0.90636320711615082</v>
      </c>
      <c r="G10" s="3460">
        <v>1.0550687678832122</v>
      </c>
      <c r="H10" s="1392">
        <v>0.49130427394057041</v>
      </c>
      <c r="I10" s="1392">
        <v>1.305664821307907</v>
      </c>
      <c r="J10" s="1392">
        <v>0.72078476376327538</v>
      </c>
      <c r="K10" s="1392">
        <v>0.72180153646823952</v>
      </c>
      <c r="L10" s="1392">
        <v>0.83040568340070242</v>
      </c>
      <c r="M10" s="1392">
        <v>1.0404066073055618</v>
      </c>
      <c r="N10" s="1392">
        <v>0.91017669624579578</v>
      </c>
      <c r="O10" s="1392">
        <v>0.61046133880686571</v>
      </c>
      <c r="P10" s="1392">
        <v>0.86364588895604955</v>
      </c>
      <c r="Q10" s="1428"/>
      <c r="R10" s="1422">
        <v>9.9910242574088777</v>
      </c>
      <c r="S10" s="1398"/>
      <c r="T10" s="1421">
        <f>IF(MONTH(Factores!$D$2)=1,SUM($E10:E10),IF(MONTH(Factores!$D$2)=2,SUM($E10:F10),IF(MONTH(Factores!$D$2)=3,SUM($E10:G10),IF(MONTH(Factores!$D$2)=4,SUM($E10:H10),IF(MONTH(Factores!$D$2)=5,SUM($E10:I10),IF(MONTH(Factores!$D$2)=6,SUM($E10:J10),IF(MONTH(Factores!$D$2)=7,SUM($E10:K10),IF(MONTH(Factores!$D$2)=8,SUM($E10:L10),IF(MONTH(Factores!$D$2)=9,SUM($E10:M10),IF(MONTH(Factores!$D$2)=10,SUM($E10:N10),IF(MONTH(Factores!$D$2)=11,SUM($E10:O10),IF(MONTH(Factores!$D$2)=12,SUM($E10:P10)))))))))))))</f>
        <v>2.4963726472139101</v>
      </c>
      <c r="U10" s="1421">
        <f>IF(MONTH(Factores!$D$2)=1,SUM($E10:E10),IF(MONTH(Factores!$D$2)=2,SUM($E10:E10),IF(MONTH(Factores!$D$2)=3,SUM($E10:F10),IF(MONTH(Factores!$D$2)=4,SUM($E10:G10),IF(MONTH(Factores!$D$2)=5,SUM($E10:H10),IF(MONTH(Factores!$D$2)=6,SUM($E10:I10),IF(MONTH(Factores!$D$2)=7,SUM($E10:J10),IF(MONTH(Factores!$D$2)=8,SUM($E10:K10),IF(MONTH(Factores!$D$2)=9,SUM($E10:L10),IF(MONTH(Factores!$D$2)=10,SUM($E10:M10),IF(MONTH(Factores!$D$2)=11,SUM($E10:N10),IF(MONTH(Factores!$D$2)=12,SUM($E10:O10)))))))))))))</f>
        <v>1.4413038793306976</v>
      </c>
      <c r="W10" s="3276">
        <f>SUMIF($E$4:$P$4,"=REAL",E10:P10)</f>
        <v>0</v>
      </c>
      <c r="X10" s="3311" t="e">
        <f>SUMIF($E$4:$P$4,"R+P",E9:P9)/SUMIF($E$4:$P$4,"R+P",$E$5:$P$5)*$X$5*$C$68</f>
        <v>#DIV/0!</v>
      </c>
      <c r="Y10" s="3258" t="e">
        <f>SUM(W10:X10)</f>
        <v>#DIV/0!</v>
      </c>
      <c r="Z10" s="1398"/>
      <c r="AA10" s="3309">
        <f t="shared" si="5"/>
        <v>45814</v>
      </c>
      <c r="AB10" s="1428"/>
      <c r="AC10" s="1428"/>
      <c r="AD10" s="1428"/>
      <c r="AE10" s="1428"/>
      <c r="AF10" s="1420"/>
      <c r="AG10" s="3303"/>
      <c r="AH10" s="3303" t="e">
        <f t="shared" si="1"/>
        <v>#DIV/0!</v>
      </c>
      <c r="AI10" s="3303"/>
      <c r="AJ10" s="3303"/>
      <c r="AK10" s="3303"/>
      <c r="AL10" s="3303"/>
      <c r="AM10" s="1428"/>
      <c r="AN10" s="3303"/>
      <c r="AO10" s="1420">
        <f t="shared" si="2"/>
        <v>24.146893258401185</v>
      </c>
      <c r="AP10" s="1420">
        <f t="shared" si="3"/>
        <v>24.026158792109179</v>
      </c>
      <c r="AQ10" s="1428" t="e">
        <f t="shared" si="4"/>
        <v>#DIV/0!</v>
      </c>
      <c r="AR10" s="273"/>
      <c r="AW10" s="2551"/>
      <c r="AX10" s="3791">
        <v>46056</v>
      </c>
      <c r="AY10" s="3797">
        <v>932.377864855025</v>
      </c>
      <c r="AZ10" s="3790">
        <v>2031.7814992352132</v>
      </c>
      <c r="BA10" s="3790">
        <v>711.69780805456503</v>
      </c>
      <c r="BB10" s="3790">
        <v>2135.0934241636951</v>
      </c>
      <c r="BC10" s="3793">
        <v>848.18346848432532</v>
      </c>
      <c r="BD10" s="3774">
        <v>1779.198310123114</v>
      </c>
      <c r="BE10" s="3784"/>
      <c r="BF10" s="3798">
        <v>3339.604736328125</v>
      </c>
      <c r="BG10" s="3790">
        <v>10300.80078125</v>
      </c>
      <c r="BH10" s="3790">
        <v>2606.5476074218745</v>
      </c>
      <c r="BI10" s="3790">
        <v>7819.6428222656232</v>
      </c>
      <c r="BJ10" s="3795">
        <v>2744.9897286551331</v>
      </c>
      <c r="BK10" s="3774">
        <v>8516.9557582310244</v>
      </c>
      <c r="BL10" s="3784"/>
      <c r="BM10" s="3798">
        <v>773.35106270733695</v>
      </c>
      <c r="BN10" s="3790">
        <v>2281.8292070902389</v>
      </c>
      <c r="BO10" s="3790">
        <v>738.27574472158676</v>
      </c>
      <c r="BP10" s="3790">
        <v>2214.8272341647603</v>
      </c>
      <c r="BQ10" s="3796">
        <v>682.41319477343347</v>
      </c>
      <c r="BR10" s="3774">
        <v>2009.0156032885284</v>
      </c>
      <c r="BS10" s="3784"/>
      <c r="BT10" s="3798">
        <v>201531.930561396</v>
      </c>
      <c r="BU10" s="3790">
        <v>587765.01822558208</v>
      </c>
      <c r="BV10" s="3790">
        <v>157431.34375</v>
      </c>
      <c r="BW10" s="3790">
        <v>472294.03125</v>
      </c>
      <c r="BX10" s="3790">
        <v>174569.85567683232</v>
      </c>
      <c r="BY10" s="3790">
        <v>506878.79357189097</v>
      </c>
      <c r="BZ10" s="3790" t="s">
        <v>342</v>
      </c>
      <c r="CA10" s="3790">
        <v>174569.85567683232</v>
      </c>
      <c r="CB10" s="3790" t="s">
        <v>342</v>
      </c>
      <c r="CC10" s="3790">
        <v>174569.85567683232</v>
      </c>
      <c r="CD10" s="3774">
        <v>506878.79357189097</v>
      </c>
      <c r="CE10" s="3790" t="s">
        <v>342</v>
      </c>
      <c r="CF10" s="3774">
        <v>171334.40669068467</v>
      </c>
      <c r="CG10" s="3774">
        <v>497172.44661344803</v>
      </c>
      <c r="CH10" s="188"/>
    </row>
    <row r="11" spans="1:87" s="427" customFormat="1" ht="16.5" customHeight="1">
      <c r="B11" s="1425"/>
      <c r="C11" s="1426"/>
      <c r="D11" s="1419"/>
      <c r="E11" s="1393"/>
      <c r="F11" s="1393">
        <f>+F8/28*10</f>
        <v>7.3580095002569559</v>
      </c>
      <c r="G11" s="3461">
        <f>+F7/28*10</f>
        <v>7.3827574401064382</v>
      </c>
      <c r="H11" s="1393"/>
      <c r="I11" s="1393"/>
      <c r="J11" s="1393"/>
      <c r="K11" s="1393"/>
      <c r="L11" s="1393"/>
      <c r="M11" s="1393"/>
      <c r="N11" s="1393"/>
      <c r="O11" s="1393"/>
      <c r="P11" s="1393"/>
      <c r="Q11" s="1428"/>
      <c r="R11" s="1427"/>
      <c r="S11" s="1427"/>
      <c r="T11" s="1427"/>
      <c r="U11" s="1427"/>
      <c r="AA11" s="3309">
        <f t="shared" si="5"/>
        <v>45815</v>
      </c>
      <c r="AB11" s="1428"/>
      <c r="AC11" s="1428"/>
      <c r="AD11" s="1428"/>
      <c r="AE11" s="1428"/>
      <c r="AF11" s="1420"/>
      <c r="AG11" s="3303"/>
      <c r="AH11" s="3303" t="e">
        <f t="shared" si="1"/>
        <v>#DIV/0!</v>
      </c>
      <c r="AI11" s="3303"/>
      <c r="AJ11" s="3303"/>
      <c r="AK11" s="3303"/>
      <c r="AL11" s="3303"/>
      <c r="AM11" s="1428"/>
      <c r="AN11" s="3303"/>
      <c r="AO11" s="1420">
        <f t="shared" si="2"/>
        <v>24.146893258401185</v>
      </c>
      <c r="AP11" s="1420">
        <f t="shared" si="3"/>
        <v>24.026158792109179</v>
      </c>
      <c r="AQ11" s="1428" t="e">
        <f t="shared" si="4"/>
        <v>#DIV/0!</v>
      </c>
      <c r="AR11" s="273"/>
      <c r="AW11" s="2551"/>
      <c r="AX11" s="3791">
        <v>46057</v>
      </c>
      <c r="AY11" s="3797">
        <v>817.86690884559096</v>
      </c>
      <c r="AZ11" s="3790">
        <v>2849.6484080808041</v>
      </c>
      <c r="BA11" s="3790">
        <v>711.69780805456503</v>
      </c>
      <c r="BB11" s="3790">
        <v>2846.7912322182601</v>
      </c>
      <c r="BC11" s="3793">
        <v>733.67251247489128</v>
      </c>
      <c r="BD11" s="3774">
        <v>2512.8708225980054</v>
      </c>
      <c r="BE11" s="3784"/>
      <c r="BF11" s="3798">
        <v>2968.18701171875</v>
      </c>
      <c r="BG11" s="3790">
        <v>13268.98779296875</v>
      </c>
      <c r="BH11" s="3790">
        <v>2606.5476074218745</v>
      </c>
      <c r="BI11" s="3790">
        <v>10426.190429687498</v>
      </c>
      <c r="BJ11" s="3795">
        <v>2373.5720040457581</v>
      </c>
      <c r="BK11" s="3774">
        <v>10890.527762276783</v>
      </c>
      <c r="BL11" s="3784"/>
      <c r="BM11" s="3798">
        <v>789.18855544077701</v>
      </c>
      <c r="BN11" s="3790">
        <v>3071.0177625310162</v>
      </c>
      <c r="BO11" s="3790">
        <v>738.27574472158676</v>
      </c>
      <c r="BP11" s="3790">
        <v>2953.102978886347</v>
      </c>
      <c r="BQ11" s="3796">
        <v>698.25068750687353</v>
      </c>
      <c r="BR11" s="3774">
        <v>2707.2662907954018</v>
      </c>
      <c r="BS11" s="3784"/>
      <c r="BT11" s="3798">
        <v>194246.906994541</v>
      </c>
      <c r="BU11" s="3790">
        <v>782011.92522012303</v>
      </c>
      <c r="BV11" s="3790">
        <v>157431.34375</v>
      </c>
      <c r="BW11" s="3790">
        <v>629725.375</v>
      </c>
      <c r="BX11" s="3790">
        <v>167284.83210997732</v>
      </c>
      <c r="BY11" s="3790">
        <v>674163.62568186829</v>
      </c>
      <c r="BZ11" s="3790" t="s">
        <v>342</v>
      </c>
      <c r="CA11" s="3790">
        <v>167284.83210997732</v>
      </c>
      <c r="CB11" s="3790" t="s">
        <v>342</v>
      </c>
      <c r="CC11" s="3790">
        <v>167284.83210997732</v>
      </c>
      <c r="CD11" s="3774">
        <v>674163.62568186829</v>
      </c>
      <c r="CE11" s="3790" t="s">
        <v>342</v>
      </c>
      <c r="CF11" s="3774">
        <v>164049.38312382967</v>
      </c>
      <c r="CG11" s="3774">
        <v>661221.8297372777</v>
      </c>
      <c r="CH11" s="188"/>
    </row>
    <row r="12" spans="1:87" s="427" customFormat="1" ht="16.5" customHeight="1">
      <c r="B12" s="1417" t="s">
        <v>210</v>
      </c>
      <c r="C12" s="1418" t="s">
        <v>204</v>
      </c>
      <c r="D12" s="1419"/>
      <c r="E12" s="1394">
        <v>4946.105492214976</v>
      </c>
      <c r="F12" s="1394">
        <v>4408.0777471569336</v>
      </c>
      <c r="G12" s="3462">
        <v>5835.7550737654183</v>
      </c>
      <c r="H12" s="1394">
        <v>3980.5481482771197</v>
      </c>
      <c r="I12" s="1394">
        <v>6129.4208066457013</v>
      </c>
      <c r="J12" s="1394">
        <v>5958.2514526882424</v>
      </c>
      <c r="K12" s="1394">
        <v>5834.336989403525</v>
      </c>
      <c r="L12" s="1394">
        <v>5718.2081153361341</v>
      </c>
      <c r="M12" s="1394">
        <v>5688.8212958587765</v>
      </c>
      <c r="N12" s="1394">
        <v>5994.4699651701922</v>
      </c>
      <c r="O12" s="1394">
        <v>5578.2795626892439</v>
      </c>
      <c r="P12" s="1394">
        <v>6159.894634180926</v>
      </c>
      <c r="Q12" s="1428"/>
      <c r="R12" s="1394">
        <v>66232.169283387193</v>
      </c>
      <c r="T12" s="1394">
        <f>IF(MONTH(Factores!$D$2)=1,SUM($E12:E12),IF(MONTH(Factores!$D$2)=2,SUM($E12:F12),IF(MONTH(Factores!$D$2)=3,SUM($E12:G12),IF(MONTH(Factores!$D$2)=4,SUM($E12:H12),IF(MONTH(Factores!$D$2)=5,SUM($E12:I12),IF(MONTH(Factores!$D$2)=6,SUM($E12:J12),IF(MONTH(Factores!$D$2)=7,SUM($E12:K12),IF(MONTH(Factores!$D$2)=8,SUM($E12:L12),IF(MONTH(Factores!$D$2)=9,SUM($E12:M12),IF(MONTH(Factores!$D$2)=10,SUM($E12:N12),IF(MONTH(Factores!$D$2)=11,SUM($E12:O12),IF(MONTH(Factores!$D$2)=12,SUM($E12:P12)))))))))))))</f>
        <v>15189.938313137327</v>
      </c>
      <c r="U12" s="1414">
        <f>IF(MONTH(Factores!$D$2)=1,SUM($E12:E12),IF(MONTH(Factores!$D$2)=2,SUM($E12:E12),IF(MONTH(Factores!$D$2)=3,SUM($E12:F12),IF(MONTH(Factores!$D$2)=4,SUM($E12:G12),IF(MONTH(Factores!$D$2)=5,SUM($E12:H12),IF(MONTH(Factores!$D$2)=6,SUM($E12:I12),IF(MONTH(Factores!$D$2)=7,SUM($E12:J12),IF(MONTH(Factores!$D$2)=8,SUM($E12:K12),IF(MONTH(Factores!$D$2)=9,SUM($E12:L12),IF(MONTH(Factores!$D$2)=10,SUM($E12:M12),IF(MONTH(Factores!$D$2)=11,SUM($E12:N12),IF(MONTH(Factores!$D$2)=12,SUM($E12:O12)))))))))))))</f>
        <v>9354.1832393719087</v>
      </c>
      <c r="W12" s="2107">
        <f>SUMIF($E$4:$P$4,"=REAL",E12:P12)</f>
        <v>0</v>
      </c>
      <c r="X12" s="3312" t="e">
        <f>VLOOKUP(Factores!$D$3,BDGT!#REF!,BDGT!#REF!,FALSE)/1000</f>
        <v>#REF!</v>
      </c>
      <c r="Y12" s="2107" t="e">
        <f>SUM(W12:X12)</f>
        <v>#REF!</v>
      </c>
      <c r="Z12" s="1398"/>
      <c r="AA12" s="3309">
        <f t="shared" si="5"/>
        <v>45816</v>
      </c>
      <c r="AB12" s="1428"/>
      <c r="AC12" s="1428"/>
      <c r="AD12" s="1428"/>
      <c r="AE12" s="1428"/>
      <c r="AF12" s="1420"/>
      <c r="AG12" s="3303"/>
      <c r="AH12" s="3303" t="e">
        <f t="shared" si="1"/>
        <v>#DIV/0!</v>
      </c>
      <c r="AI12" s="3303"/>
      <c r="AJ12" s="3303"/>
      <c r="AK12" s="3303"/>
      <c r="AL12" s="3303"/>
      <c r="AM12" s="1428"/>
      <c r="AN12" s="3303"/>
      <c r="AO12" s="1420">
        <f t="shared" si="2"/>
        <v>24.146893258401185</v>
      </c>
      <c r="AP12" s="1420">
        <f t="shared" si="3"/>
        <v>24.026158792109179</v>
      </c>
      <c r="AQ12" s="1428" t="e">
        <f t="shared" si="4"/>
        <v>#DIV/0!</v>
      </c>
      <c r="AR12" s="273"/>
      <c r="AW12" s="2551"/>
      <c r="AX12" s="3791">
        <v>46058</v>
      </c>
      <c r="AY12" s="3797">
        <v>191.435295012897</v>
      </c>
      <c r="AZ12" s="3790">
        <v>3041.0837030937009</v>
      </c>
      <c r="BA12" s="3790">
        <v>711.69780805456503</v>
      </c>
      <c r="BB12" s="3790">
        <v>3558.4890402728252</v>
      </c>
      <c r="BC12" s="3793">
        <v>107.24089864219735</v>
      </c>
      <c r="BD12" s="3774">
        <v>2620.1117212402028</v>
      </c>
      <c r="BE12" s="3784"/>
      <c r="BF12" s="3798">
        <v>3196.937255859375</v>
      </c>
      <c r="BG12" s="3790">
        <v>16465.925048828125</v>
      </c>
      <c r="BH12" s="3790">
        <v>2606.5476074218745</v>
      </c>
      <c r="BI12" s="3790">
        <v>13032.738037109373</v>
      </c>
      <c r="BJ12" s="3795">
        <v>2602.3222481863831</v>
      </c>
      <c r="BK12" s="3774">
        <v>13492.850010463166</v>
      </c>
      <c r="BL12" s="3784"/>
      <c r="BM12" s="3798">
        <v>836.64904397271403</v>
      </c>
      <c r="BN12" s="3790">
        <v>3907.6668065037302</v>
      </c>
      <c r="BO12" s="3790">
        <v>738.27574472158676</v>
      </c>
      <c r="BP12" s="3790">
        <v>3691.3787236079338</v>
      </c>
      <c r="BQ12" s="3796">
        <v>745.71117603881055</v>
      </c>
      <c r="BR12" s="3774">
        <v>3452.9774668342125</v>
      </c>
      <c r="BS12" s="3784"/>
      <c r="BT12" s="3798">
        <v>198653.33436339701</v>
      </c>
      <c r="BU12" s="3790">
        <v>980665.25958352</v>
      </c>
      <c r="BV12" s="3790">
        <v>157431.34375</v>
      </c>
      <c r="BW12" s="3790">
        <v>787156.71875</v>
      </c>
      <c r="BX12" s="3790">
        <v>171691.25947883332</v>
      </c>
      <c r="BY12" s="3790">
        <v>845854.88516070158</v>
      </c>
      <c r="BZ12" s="3790" t="s">
        <v>342</v>
      </c>
      <c r="CA12" s="3790">
        <v>171691.25947883332</v>
      </c>
      <c r="CB12" s="3790" t="s">
        <v>342</v>
      </c>
      <c r="CC12" s="3790">
        <v>171691.25947883332</v>
      </c>
      <c r="CD12" s="3774">
        <v>845854.88516070158</v>
      </c>
      <c r="CE12" s="3790" t="s">
        <v>342</v>
      </c>
      <c r="CF12" s="3774">
        <v>168455.81049268568</v>
      </c>
      <c r="CG12" s="3774">
        <v>829677.64022996335</v>
      </c>
      <c r="CH12" s="188"/>
    </row>
    <row r="13" spans="1:87" s="427" customFormat="1" ht="16.5" customHeight="1">
      <c r="B13" s="1417" t="s">
        <v>210</v>
      </c>
      <c r="C13" s="1418" t="s">
        <v>211</v>
      </c>
      <c r="D13" s="1419"/>
      <c r="E13" s="1395">
        <v>159.55179007145085</v>
      </c>
      <c r="F13" s="1395">
        <v>157.43134811274763</v>
      </c>
      <c r="G13" s="3463">
        <v>188.25016366985221</v>
      </c>
      <c r="H13" s="1395">
        <v>132.68493827590399</v>
      </c>
      <c r="I13" s="1395">
        <v>197.72325182728068</v>
      </c>
      <c r="J13" s="1395">
        <v>198.60838175627475</v>
      </c>
      <c r="K13" s="1395">
        <v>188.20441901301695</v>
      </c>
      <c r="L13" s="1395">
        <v>184.45832630116561</v>
      </c>
      <c r="M13" s="1395">
        <v>189.62737652862589</v>
      </c>
      <c r="N13" s="1395">
        <v>193.3699988764578</v>
      </c>
      <c r="O13" s="1395">
        <v>185.94265208964146</v>
      </c>
      <c r="P13" s="1395">
        <v>198.70627852196534</v>
      </c>
      <c r="Q13" s="1428"/>
      <c r="R13" s="1395">
        <v>181.45799803667725</v>
      </c>
      <c r="T13" s="1395">
        <f>T12/T5</f>
        <v>168.77709236819251</v>
      </c>
      <c r="U13" s="1395">
        <f>U12/U5</f>
        <v>158.54547863342219</v>
      </c>
      <c r="W13" s="2107" t="e">
        <f>W12/W5</f>
        <v>#DIV/0!</v>
      </c>
      <c r="X13" s="2107" t="e">
        <f>X12/X5</f>
        <v>#REF!</v>
      </c>
      <c r="Y13" s="2107" t="e">
        <f>Y12/Y5</f>
        <v>#REF!</v>
      </c>
      <c r="Z13" s="1398"/>
      <c r="AA13" s="3309">
        <f t="shared" si="5"/>
        <v>45817</v>
      </c>
      <c r="AB13" s="1428"/>
      <c r="AC13" s="1428"/>
      <c r="AD13" s="1428"/>
      <c r="AE13" s="1428"/>
      <c r="AF13" s="1420"/>
      <c r="AG13" s="3303"/>
      <c r="AH13" s="3303" t="e">
        <f t="shared" si="1"/>
        <v>#DIV/0!</v>
      </c>
      <c r="AI13" s="3303"/>
      <c r="AJ13" s="3303"/>
      <c r="AK13" s="3303"/>
      <c r="AL13" s="3303"/>
      <c r="AM13" s="1428"/>
      <c r="AN13" s="3303"/>
      <c r="AO13" s="1420">
        <f t="shared" si="2"/>
        <v>24.146893258401185</v>
      </c>
      <c r="AP13" s="1420">
        <f t="shared" si="3"/>
        <v>24.026158792109179</v>
      </c>
      <c r="AQ13" s="1428" t="e">
        <f t="shared" si="4"/>
        <v>#DIV/0!</v>
      </c>
      <c r="AR13" s="273"/>
      <c r="AW13" s="2551"/>
      <c r="AX13" s="3791">
        <v>46059</v>
      </c>
      <c r="AY13" s="3797">
        <v>924.294217877493</v>
      </c>
      <c r="AZ13" s="3790">
        <v>3965.3779209711938</v>
      </c>
      <c r="BA13" s="3790">
        <v>711.69780805456503</v>
      </c>
      <c r="BB13" s="3790">
        <v>4270.1868483273902</v>
      </c>
      <c r="BC13" s="3793">
        <v>840.09982150679332</v>
      </c>
      <c r="BD13" s="3774">
        <v>3460.2115427469962</v>
      </c>
      <c r="BE13" s="3784"/>
      <c r="BF13" s="3798">
        <v>3259.729248046875</v>
      </c>
      <c r="BG13" s="3790">
        <v>19725.654296875</v>
      </c>
      <c r="BH13" s="3790">
        <v>2606.5476074218745</v>
      </c>
      <c r="BI13" s="3790">
        <v>15639.285644531248</v>
      </c>
      <c r="BJ13" s="3795">
        <v>2665.1142403738831</v>
      </c>
      <c r="BK13" s="3774">
        <v>16157.964250837049</v>
      </c>
      <c r="BL13" s="3784"/>
      <c r="BM13" s="3798">
        <v>822.02026198842202</v>
      </c>
      <c r="BN13" s="3790">
        <v>4729.6870684921523</v>
      </c>
      <c r="BO13" s="3790">
        <v>738.27574472158676</v>
      </c>
      <c r="BP13" s="3790">
        <v>4429.6544683295206</v>
      </c>
      <c r="BQ13" s="3796">
        <v>731.08239405451855</v>
      </c>
      <c r="BR13" s="3774">
        <v>4184.0598608887312</v>
      </c>
      <c r="BS13" s="3784"/>
      <c r="BT13" s="3798">
        <v>198662.462028996</v>
      </c>
      <c r="BU13" s="3790">
        <v>1179327.7216125161</v>
      </c>
      <c r="BV13" s="3790">
        <v>157431.34375</v>
      </c>
      <c r="BW13" s="3790">
        <v>944588.0625</v>
      </c>
      <c r="BX13" s="3790">
        <v>171700.38714443232</v>
      </c>
      <c r="BY13" s="3790">
        <v>1017555.2723051339</v>
      </c>
      <c r="BZ13" s="3790" t="s">
        <v>342</v>
      </c>
      <c r="CA13" s="3790">
        <v>171700.38714443232</v>
      </c>
      <c r="CB13" s="3790" t="s">
        <v>342</v>
      </c>
      <c r="CC13" s="3790">
        <v>171700.38714443232</v>
      </c>
      <c r="CD13" s="3774">
        <v>1017555.2723051339</v>
      </c>
      <c r="CE13" s="3790" t="s">
        <v>342</v>
      </c>
      <c r="CF13" s="3774">
        <v>168464.93815828467</v>
      </c>
      <c r="CG13" s="3774">
        <v>998142.57838824799</v>
      </c>
      <c r="CH13" s="188"/>
    </row>
    <row r="14" spans="1:87" s="427" customFormat="1" ht="16.5" customHeight="1">
      <c r="B14" s="1417" t="s">
        <v>1357</v>
      </c>
      <c r="C14" s="1418" t="s">
        <v>81</v>
      </c>
      <c r="D14" s="1419"/>
      <c r="E14" s="1394">
        <v>8265.9604642988343</v>
      </c>
      <c r="F14" s="1394">
        <v>7897.7704450789643</v>
      </c>
      <c r="G14" s="3462">
        <v>8256.2174112377379</v>
      </c>
      <c r="H14" s="1394">
        <v>8128.380306110721</v>
      </c>
      <c r="I14" s="1394">
        <v>8661.0975586449185</v>
      </c>
      <c r="J14" s="1394">
        <v>8654.3680079502974</v>
      </c>
      <c r="K14" s="1394">
        <v>8408.087754964552</v>
      </c>
      <c r="L14" s="1394">
        <v>8482.9059760188829</v>
      </c>
      <c r="M14" s="1394">
        <v>8364.5327229303493</v>
      </c>
      <c r="N14" s="1394">
        <v>8356.9411169448867</v>
      </c>
      <c r="O14" s="1394">
        <v>8019.8941528948317</v>
      </c>
      <c r="P14" s="1394">
        <v>8622.2928185499331</v>
      </c>
      <c r="Q14" s="1428"/>
      <c r="R14" s="1411">
        <v>8357.8085862785792</v>
      </c>
      <c r="T14" s="1394">
        <f>T12*1000/T22</f>
        <v>8151.9777351096309</v>
      </c>
      <c r="U14" s="1395">
        <f>U12*1000/U22</f>
        <v>8088.2690407675273</v>
      </c>
      <c r="W14" s="2107" t="e">
        <f>W12*1000/(24*W5*W20%)</f>
        <v>#DIV/0!</v>
      </c>
      <c r="X14" s="2107" t="e">
        <f>X12*1000/(24*X5*X20%)</f>
        <v>#REF!</v>
      </c>
      <c r="Y14" s="2107" t="e">
        <f>Y12*1000/(24*Y5*Y20%)</f>
        <v>#REF!</v>
      </c>
      <c r="Z14" s="1398"/>
      <c r="AA14" s="3309">
        <f t="shared" si="5"/>
        <v>45818</v>
      </c>
      <c r="AB14" s="1428"/>
      <c r="AC14" s="1428"/>
      <c r="AD14" s="1428"/>
      <c r="AE14" s="1428"/>
      <c r="AF14" s="1420"/>
      <c r="AG14" s="3303"/>
      <c r="AH14" s="3303" t="e">
        <f t="shared" si="1"/>
        <v>#DIV/0!</v>
      </c>
      <c r="AI14" s="3303"/>
      <c r="AJ14" s="3303"/>
      <c r="AK14" s="3303"/>
      <c r="AL14" s="3303"/>
      <c r="AM14" s="1428"/>
      <c r="AN14" s="3303"/>
      <c r="AO14" s="1420">
        <f t="shared" si="2"/>
        <v>24.146893258401185</v>
      </c>
      <c r="AP14" s="1420">
        <f t="shared" si="3"/>
        <v>24.026158792109179</v>
      </c>
      <c r="AQ14" s="1428" t="e">
        <f t="shared" si="4"/>
        <v>#DIV/0!</v>
      </c>
      <c r="AR14" s="273"/>
      <c r="AW14" s="2551"/>
      <c r="AX14" s="3791">
        <v>46060</v>
      </c>
      <c r="AY14" s="3797">
        <v>890.63964251771097</v>
      </c>
      <c r="AZ14" s="3790">
        <v>4856.0175634889047</v>
      </c>
      <c r="BA14" s="3790">
        <v>711.69780805456503</v>
      </c>
      <c r="BB14" s="3790">
        <v>4981.8846563819552</v>
      </c>
      <c r="BC14" s="3793">
        <v>806.44524614701129</v>
      </c>
      <c r="BD14" s="3774">
        <v>4266.6567888940071</v>
      </c>
      <c r="BE14" s="3784"/>
      <c r="BF14" s="3798">
        <v>3337.6181640625</v>
      </c>
      <c r="BG14" s="3790">
        <v>23063.2724609375</v>
      </c>
      <c r="BH14" s="3790">
        <v>2606.5476074218745</v>
      </c>
      <c r="BI14" s="3790">
        <v>18245.833251953121</v>
      </c>
      <c r="BJ14" s="3795">
        <v>2743.0031563895081</v>
      </c>
      <c r="BK14" s="3774">
        <v>18900.967407226555</v>
      </c>
      <c r="BL14" s="3784"/>
      <c r="BM14" s="3798">
        <v>823.92553154926702</v>
      </c>
      <c r="BN14" s="3790">
        <v>5553.6126000414197</v>
      </c>
      <c r="BO14" s="3790">
        <v>738.27574472158676</v>
      </c>
      <c r="BP14" s="3790">
        <v>5167.9302130511078</v>
      </c>
      <c r="BQ14" s="3796">
        <v>732.98766361536354</v>
      </c>
      <c r="BR14" s="3774">
        <v>4917.0475245040943</v>
      </c>
      <c r="BS14" s="3784"/>
      <c r="BT14" s="3798">
        <v>195065.910179484</v>
      </c>
      <c r="BU14" s="3790">
        <v>1374393.631792</v>
      </c>
      <c r="BV14" s="3790">
        <v>157431.34375</v>
      </c>
      <c r="BW14" s="3790">
        <v>1102019.40625</v>
      </c>
      <c r="BX14" s="3790">
        <v>168103.83529492031</v>
      </c>
      <c r="BY14" s="3790">
        <v>1185659.1076000542</v>
      </c>
      <c r="BZ14" s="3790" t="s">
        <v>342</v>
      </c>
      <c r="CA14" s="3790">
        <v>168103.83529492031</v>
      </c>
      <c r="CB14" s="3790" t="s">
        <v>342</v>
      </c>
      <c r="CC14" s="3790">
        <v>168103.83529492031</v>
      </c>
      <c r="CD14" s="3774">
        <v>1185659.1076000542</v>
      </c>
      <c r="CE14" s="3790" t="s">
        <v>342</v>
      </c>
      <c r="CF14" s="3774">
        <v>164868.38630877266</v>
      </c>
      <c r="CG14" s="3774">
        <v>1163010.9646970206</v>
      </c>
      <c r="CH14" s="188"/>
    </row>
    <row r="15" spans="1:87" s="427" customFormat="1" ht="16.5" hidden="1" customHeight="1">
      <c r="B15" s="1417" t="s">
        <v>281</v>
      </c>
      <c r="C15" s="1418" t="s">
        <v>81</v>
      </c>
      <c r="D15" s="1419"/>
      <c r="E15" s="1394">
        <v>6221.7976669764121</v>
      </c>
      <c r="F15" s="1394">
        <v>6872.4808664178126</v>
      </c>
      <c r="G15" s="3462">
        <v>6933.2728220546342</v>
      </c>
      <c r="H15" s="1394">
        <v>6700.048219524555</v>
      </c>
      <c r="I15" s="1394">
        <v>6890.6721007996803</v>
      </c>
      <c r="J15" s="1394">
        <v>6938.6559138617758</v>
      </c>
      <c r="K15" s="1394">
        <v>6620.7098306746757</v>
      </c>
      <c r="L15" s="1394">
        <v>7260.7109461265136</v>
      </c>
      <c r="M15" s="1394">
        <v>6816.0742127316207</v>
      </c>
      <c r="N15" s="1394">
        <v>6872.6606862984409</v>
      </c>
      <c r="O15" s="1394">
        <v>6424.0166790322492</v>
      </c>
      <c r="P15" s="1394">
        <v>6897.1353516513682</v>
      </c>
      <c r="Q15" s="1428"/>
      <c r="R15" s="3302">
        <f>((SUMPRODUCT(E12:P12,E15:P15)/SUM(E12:P12))*100)/100</f>
        <v>6797.5519657230598</v>
      </c>
      <c r="T15" s="1394">
        <f>T12*1000/T22</f>
        <v>8151.9777351096309</v>
      </c>
      <c r="U15" s="1395">
        <f>U12*1000/U22</f>
        <v>8088.2690407675273</v>
      </c>
      <c r="W15" s="2107" t="e">
        <f>W12*1000/(24*W5*W20%)</f>
        <v>#DIV/0!</v>
      </c>
      <c r="X15" s="2107" t="e">
        <f>X12*1000/(24*X5*X20%)</f>
        <v>#REF!</v>
      </c>
      <c r="Y15" s="2107" t="e">
        <f>Y12*1000/(24*Y5*Y20%)</f>
        <v>#REF!</v>
      </c>
      <c r="Z15" s="1398"/>
      <c r="AA15" s="3309">
        <f t="shared" si="5"/>
        <v>45819</v>
      </c>
      <c r="AB15" s="1428"/>
      <c r="AC15" s="1428"/>
      <c r="AD15" s="1428"/>
      <c r="AE15" s="1428"/>
      <c r="AF15" s="1420"/>
      <c r="AG15" s="3303"/>
      <c r="AH15" s="3303" t="e">
        <f t="shared" si="1"/>
        <v>#DIV/0!</v>
      </c>
      <c r="AI15" s="3303"/>
      <c r="AJ15" s="3303"/>
      <c r="AK15" s="3303"/>
      <c r="AL15" s="3303"/>
      <c r="AM15" s="1428"/>
      <c r="AN15" s="3303"/>
      <c r="AO15" s="1420">
        <f t="shared" si="2"/>
        <v>24.146893258401185</v>
      </c>
      <c r="AP15" s="1420">
        <f t="shared" si="3"/>
        <v>24.026158792109179</v>
      </c>
      <c r="AQ15" s="1428" t="e">
        <f t="shared" si="4"/>
        <v>#DIV/0!</v>
      </c>
      <c r="AR15" s="273"/>
      <c r="AW15" s="2551"/>
      <c r="AX15" s="3791">
        <v>46061</v>
      </c>
      <c r="AY15" s="3797">
        <v>871.87118370584597</v>
      </c>
      <c r="AZ15" s="3790">
        <v>5727.888747194751</v>
      </c>
      <c r="BA15" s="3790">
        <v>711.69780805456503</v>
      </c>
      <c r="BB15" s="3790">
        <v>5693.5824644365202</v>
      </c>
      <c r="BC15" s="3793">
        <v>787.67678733514629</v>
      </c>
      <c r="BD15" s="3774">
        <v>5054.3335762291536</v>
      </c>
      <c r="BE15" s="3784"/>
      <c r="BF15" s="3798">
        <v>3387.442138671875</v>
      </c>
      <c r="BG15" s="3790">
        <v>26450.714599609375</v>
      </c>
      <c r="BH15" s="3790">
        <v>2606.5476074218745</v>
      </c>
      <c r="BI15" s="3790">
        <v>20852.380859374996</v>
      </c>
      <c r="BJ15" s="3795">
        <v>2792.8271309988831</v>
      </c>
      <c r="BK15" s="3774">
        <v>21693.79453822544</v>
      </c>
      <c r="BL15" s="3784"/>
      <c r="BM15" s="3798">
        <v>899.03576841178403</v>
      </c>
      <c r="BN15" s="3790">
        <v>6452.6483684532041</v>
      </c>
      <c r="BO15" s="3790">
        <v>738.27574472158676</v>
      </c>
      <c r="BP15" s="3790">
        <v>5906.2059577726941</v>
      </c>
      <c r="BQ15" s="3796">
        <v>808.09790047788056</v>
      </c>
      <c r="BR15" s="3774">
        <v>5725.1454249819744</v>
      </c>
      <c r="BS15" s="3784"/>
      <c r="BT15" s="3798">
        <v>197868.232156885</v>
      </c>
      <c r="BU15" s="3790">
        <v>1572261.8639488851</v>
      </c>
      <c r="BV15" s="3790">
        <v>157431.34375</v>
      </c>
      <c r="BW15" s="3790">
        <v>1259450.75</v>
      </c>
      <c r="BX15" s="3790">
        <v>170906.15727232132</v>
      </c>
      <c r="BY15" s="3790">
        <v>1356565.2648723756</v>
      </c>
      <c r="BZ15" s="3790" t="s">
        <v>342</v>
      </c>
      <c r="CA15" s="3790">
        <v>170906.15727232132</v>
      </c>
      <c r="CB15" s="3790" t="s">
        <v>342</v>
      </c>
      <c r="CC15" s="3790">
        <v>170906.15727232132</v>
      </c>
      <c r="CD15" s="3774">
        <v>1356565.2648723756</v>
      </c>
      <c r="CE15" s="3790" t="s">
        <v>342</v>
      </c>
      <c r="CF15" s="3774">
        <v>167670.70828617367</v>
      </c>
      <c r="CG15" s="3774">
        <v>1330681.6729831942</v>
      </c>
      <c r="CH15" s="188"/>
    </row>
    <row r="16" spans="1:87" s="427" customFormat="1" ht="16.5" hidden="1" customHeight="1">
      <c r="B16" s="1417" t="s">
        <v>851</v>
      </c>
      <c r="C16" s="1418" t="s">
        <v>81</v>
      </c>
      <c r="D16" s="1419"/>
      <c r="E16" s="1394">
        <v>1812</v>
      </c>
      <c r="F16" s="1394">
        <v>1812</v>
      </c>
      <c r="G16" s="3462">
        <v>1812</v>
      </c>
      <c r="H16" s="1394">
        <v>1812</v>
      </c>
      <c r="I16" s="1394">
        <v>1812</v>
      </c>
      <c r="J16" s="1394">
        <v>1812</v>
      </c>
      <c r="K16" s="1394">
        <v>1812</v>
      </c>
      <c r="L16" s="1394">
        <v>1812</v>
      </c>
      <c r="M16" s="1394">
        <v>1812</v>
      </c>
      <c r="N16" s="1394">
        <v>1812</v>
      </c>
      <c r="O16" s="1394">
        <v>1812</v>
      </c>
      <c r="P16" s="1394">
        <v>1812</v>
      </c>
      <c r="Q16" s="1428"/>
      <c r="R16" s="3302">
        <f>((SUMPRODUCT(E12:P12,E16:P16)/SUM(E12:P12))*100)/100</f>
        <v>1811.9999999999998</v>
      </c>
      <c r="T16" s="1394" t="e">
        <f>T13*1000/T23</f>
        <v>#DIV/0!</v>
      </c>
      <c r="U16" s="1395" t="e">
        <f>U13*1000/U23</f>
        <v>#DIV/0!</v>
      </c>
      <c r="W16" s="2107" t="e">
        <f>W13*1000/(24*#REF!*W21%)</f>
        <v>#DIV/0!</v>
      </c>
      <c r="X16" s="2107" t="e">
        <f>X13*1000/(24*#REF!*X21%)</f>
        <v>#REF!</v>
      </c>
      <c r="Y16" s="2107" t="e">
        <f>Y13*1000/(24*#REF!*Y21%)</f>
        <v>#REF!</v>
      </c>
      <c r="Z16" s="1398"/>
      <c r="AA16" s="3309">
        <f t="shared" si="5"/>
        <v>45820</v>
      </c>
      <c r="AB16" s="1428"/>
      <c r="AC16" s="1428"/>
      <c r="AD16" s="1428"/>
      <c r="AE16" s="1428"/>
      <c r="AF16" s="1420"/>
      <c r="AG16" s="3303"/>
      <c r="AH16" s="3303" t="e">
        <f t="shared" si="1"/>
        <v>#DIV/0!</v>
      </c>
      <c r="AI16" s="3303"/>
      <c r="AJ16" s="3303"/>
      <c r="AK16" s="3303"/>
      <c r="AL16" s="3303"/>
      <c r="AM16" s="1428"/>
      <c r="AN16" s="3303"/>
      <c r="AO16" s="1420">
        <f t="shared" si="2"/>
        <v>24.146893258401185</v>
      </c>
      <c r="AP16" s="1420">
        <f t="shared" si="3"/>
        <v>24.026158792109179</v>
      </c>
      <c r="AQ16" s="1428" t="e">
        <f t="shared" si="4"/>
        <v>#DIV/0!</v>
      </c>
      <c r="AR16" s="273"/>
      <c r="AW16" s="2551"/>
      <c r="AX16" s="3791">
        <v>46062</v>
      </c>
      <c r="AY16" s="3797">
        <v>937.35934330851796</v>
      </c>
      <c r="AZ16" s="3790">
        <v>6665.2480905032689</v>
      </c>
      <c r="BA16" s="3790">
        <v>711.69780805456503</v>
      </c>
      <c r="BB16" s="3790">
        <v>6405.2802724910853</v>
      </c>
      <c r="BC16" s="3793">
        <v>853.16494693781829</v>
      </c>
      <c r="BD16" s="3774">
        <v>5907.4985231669716</v>
      </c>
      <c r="BE16" s="3784"/>
      <c r="BF16" s="3798">
        <v>3169.912353515625</v>
      </c>
      <c r="BG16" s="3790">
        <v>29620.626953125</v>
      </c>
      <c r="BH16" s="3790">
        <v>2606.5476074218745</v>
      </c>
      <c r="BI16" s="3790">
        <v>23458.928466796871</v>
      </c>
      <c r="BJ16" s="3795">
        <v>2575.2973458426331</v>
      </c>
      <c r="BK16" s="3774">
        <v>24269.091884068075</v>
      </c>
      <c r="BL16" s="3784"/>
      <c r="BM16" s="3798">
        <v>831.69274643895994</v>
      </c>
      <c r="BN16" s="3790">
        <v>7284.3411148921641</v>
      </c>
      <c r="BO16" s="3790">
        <v>738.27574472158676</v>
      </c>
      <c r="BP16" s="3790">
        <v>6644.4817024942804</v>
      </c>
      <c r="BQ16" s="3796">
        <v>740.75487850505647</v>
      </c>
      <c r="BR16" s="3774">
        <v>6465.9003034870311</v>
      </c>
      <c r="BS16" s="3784"/>
      <c r="BT16" s="3798">
        <v>198818.88937401201</v>
      </c>
      <c r="BU16" s="3790">
        <v>1771080.753322897</v>
      </c>
      <c r="BV16" s="3790">
        <v>157431.34375</v>
      </c>
      <c r="BW16" s="3790">
        <v>1416882.09375</v>
      </c>
      <c r="BX16" s="3790">
        <v>171856.81448944833</v>
      </c>
      <c r="BY16" s="3790">
        <v>1528422.0793618239</v>
      </c>
      <c r="BZ16" s="3790" t="s">
        <v>342</v>
      </c>
      <c r="CA16" s="3790">
        <v>171856.81448944833</v>
      </c>
      <c r="CB16" s="3790" t="s">
        <v>342</v>
      </c>
      <c r="CC16" s="3790">
        <v>171856.81448944833</v>
      </c>
      <c r="CD16" s="3774">
        <v>1528422.0793618239</v>
      </c>
      <c r="CE16" s="3790" t="s">
        <v>342</v>
      </c>
      <c r="CF16" s="3774">
        <v>168621.36550330068</v>
      </c>
      <c r="CG16" s="3774">
        <v>1499303.0384864949</v>
      </c>
      <c r="CH16" s="188"/>
    </row>
    <row r="17" spans="2:86" s="427" customFormat="1" ht="16.5" customHeight="1">
      <c r="B17" s="1417" t="s">
        <v>213</v>
      </c>
      <c r="C17" s="1418" t="s">
        <v>48</v>
      </c>
      <c r="D17" s="1419"/>
      <c r="E17" s="1411"/>
      <c r="F17" s="1411"/>
      <c r="G17" s="3464"/>
      <c r="H17" s="1411"/>
      <c r="I17" s="1411"/>
      <c r="J17" s="1411"/>
      <c r="K17" s="1411"/>
      <c r="L17" s="1411"/>
      <c r="M17" s="1411"/>
      <c r="N17" s="1411"/>
      <c r="O17" s="1411"/>
      <c r="P17" s="3307"/>
      <c r="Q17" s="1428"/>
      <c r="R17" s="1432">
        <f>((SUMPRODUCT(E12:P12,E17:P17)/SUM(E12:P12))*100)/100</f>
        <v>0</v>
      </c>
      <c r="T17" s="1430">
        <f>((IF(MONTH(Factores!$D$2)=1,SUMPRODUCT($E$12:$E$12,$E17:E17)/SUM($E$12:$E$12),IF(MONTH(Factores!$D$2)=2,SUMPRODUCT($E$12:$F$12,$E17:F17)/SUM($E$12:$F$12),IF(MONTH(Factores!$D$2)=3,SUMPRODUCT($E$12:$G$12,$E17:G17)/SUM($E$12:$G$12),IF(MONTH(Factores!$D$2)=4,SUMPRODUCT($E$12:$H$12,$E17:H17)/SUM($E$12:$H$12),IF(MONTH(Factores!$D$2)=5,SUMPRODUCT($E$12:$I$12,$E17:I17)/SUM($E$12:$I$12),IF(MONTH(Factores!$D$2)=6,SUMPRODUCT($E$12:$J$12,$E17:J17)/SUM($E$12:$J$12),IF(MONTH(Factores!$D$2)=7,SUMPRODUCT($E$12:$K$12,$E17:K17)/SUM($E$12:$K$12),IF(MONTH(Factores!$D$2)=8,SUMPRODUCT($E$12:$L$12,$E17:L17)/SUM($E$12:$L$12),IF(MONTH(Factores!$D$2)=9,SUMPRODUCT($E$12:$M$12,$E17:M17)/SUM($E$12:$M$12),IF(MONTH(Factores!$D$2)=10,SUMPRODUCT($E$12:$N$12,$E17:N17)/SUM($E$12:$N$12),IF(MONTH(Factores!$D$2)=11,SUMPRODUCT($E$12:$O$12,$E17:O17)/SUM($E$12:$O$12),IF(MONTH(Factores!$D$2)=12,SUMPRODUCT($E$12:$P$12,$E17:P17)/SUM($E$12:$P$12))))))))))))))*100)/100</f>
        <v>0</v>
      </c>
      <c r="U17" s="1431">
        <f>((IF(MONTH(Factores!$D$2)=1,SUMPRODUCT($E$12:$E$12,$E17:E17)/SUM($E$12:$E$12),IF(MONTH(Factores!$D$2)=2,SUMPRODUCT($E$12:$E$12,$E17:E17)/SUM($E$12:$E$12),IF(MONTH(Factores!$D$2)=3,SUMPRODUCT($E$12:$F$12,$E17:F17)/SUM($E$12:$F$12),IF(MONTH(Factores!$D$2)=4,SUMPRODUCT($E$12:$G$12,$E17:G17)/SUM($E$12:$G$12),IF(MONTH(Factores!$D$2)=5,SUMPRODUCT($E$12:$H$12,$E17:H17)/SUM($E$12:$H$12),IF(MONTH(Factores!$D$2)=6,SUMPRODUCT($E$12:$I$12,$E17:I17)/SUM($E$12:$I$12),IF(MONTH(Factores!$D$2)=7,SUMPRODUCT($E$12:$J$12,$E17:J17)/SUM($E$12:$J$12),IF(MONTH(Factores!$D$2)=8,SUMPRODUCT($E$12:$K$12,$E17:K17)/SUM($E$12:$K$12),IF(MONTH(Factores!$D$2)=9,SUMPRODUCT($E$12:$L$12,$E17:L17)/SUM($E$12:$L$12),IF(MONTH(Factores!$D$2)=10,SUMPRODUCT($E$12:$M$12,$E17:M17)/SUM($E$12:$M$12),IF(MONTH(Factores!$D$2)=11,SUMPRODUCT($E$12:$N$12,$E17:N17)/SUM($E$12:$N$12),IF(MONTH(Factores!$D$2)=12,SUMPRODUCT($E$12:$O$12,$E17:O17)/SUM($E$12:$O$12))))))))))))))*100)/100</f>
        <v>0</v>
      </c>
      <c r="W17" s="3283" t="e">
        <f>(IF(E4="REAL",E17*E12,0)+IF(F4="REAL",F17*F12,0)+IF(G4="REAL",G17*G12,0)+IF(H4="REAL",H17*H12,0)+IF(I4="REAL",I17*I12,0)+IF(J4="REAL",J17*J12,0)+IF(K4="REAL",K17*K12,0)+IF(L4="REAL",L17*L12,0)+IF(M4="REAL",M17*M12,0)+IF(N4="REAL",N17*N12,0)+IF(O4="REAL",O17*O12,0)+IF(P4="REAL",P17*P12,0))/W12</f>
        <v>#DIV/0!</v>
      </c>
      <c r="X17" s="3283">
        <f>SUMIF($E$4:$P$4,"R+P",E17:P17)</f>
        <v>0</v>
      </c>
      <c r="Y17" s="3283" t="e">
        <f>(IF(E4="REAL",E17*E12,0)+IF(F4="REAL",F17*F12,0)+IF(G4="REAL",G17*G12,0)+IF(H4="REAL",H17*H12,0)+IF(I4="REAL",I17*I12,0)+IF(J4="REAL",J17*J12,0)+IF(K4="REAL",K17*K12,0)+IF(L4="REAL",L17*L12,0)+IF(M4="REAL",M17*M12,0)+IF(N4="REAL",N17*N12,0)+IF(O4="REAL",O17*O12,0)+IF(P4="REAL",P17*P12,0)+X12*X17)/Y12</f>
        <v>#REF!</v>
      </c>
      <c r="Z17" s="1398"/>
      <c r="AA17" s="3309">
        <f t="shared" si="5"/>
        <v>45821</v>
      </c>
      <c r="AB17" s="1428"/>
      <c r="AC17" s="1428"/>
      <c r="AD17" s="1428"/>
      <c r="AE17" s="1428"/>
      <c r="AF17" s="1420"/>
      <c r="AG17" s="3303"/>
      <c r="AH17" s="3303" t="e">
        <f t="shared" si="1"/>
        <v>#DIV/0!</v>
      </c>
      <c r="AI17" s="3303"/>
      <c r="AJ17" s="3303"/>
      <c r="AK17" s="3303"/>
      <c r="AL17" s="3303"/>
      <c r="AM17" s="1428"/>
      <c r="AN17" s="3303"/>
      <c r="AO17" s="1420">
        <f t="shared" si="2"/>
        <v>24.146893258401185</v>
      </c>
      <c r="AP17" s="1420">
        <f t="shared" si="3"/>
        <v>24.026158792109179</v>
      </c>
      <c r="AQ17" s="1428" t="e">
        <f t="shared" si="4"/>
        <v>#DIV/0!</v>
      </c>
      <c r="AR17" s="273"/>
      <c r="AW17" s="2551"/>
      <c r="AX17" s="3791">
        <v>46063</v>
      </c>
      <c r="AY17" s="3797">
        <v>962.67027847556596</v>
      </c>
      <c r="AZ17" s="3790">
        <v>7627.9183689788351</v>
      </c>
      <c r="BA17" s="3790">
        <v>711.69780805456503</v>
      </c>
      <c r="BB17" s="3790">
        <v>7116.9780805456503</v>
      </c>
      <c r="BC17" s="3793">
        <v>878.47588210486629</v>
      </c>
      <c r="BD17" s="3774">
        <v>6785.9744052718379</v>
      </c>
      <c r="BE17" s="3784"/>
      <c r="BF17" s="3798">
        <v>3520.8232421875</v>
      </c>
      <c r="BG17" s="3790">
        <v>33141.4501953125</v>
      </c>
      <c r="BH17" s="3790">
        <v>2606.5476074218745</v>
      </c>
      <c r="BI17" s="3790">
        <v>26065.476074218746</v>
      </c>
      <c r="BJ17" s="3795">
        <v>2926.2082345145081</v>
      </c>
      <c r="BK17" s="3774">
        <v>27195.300118582585</v>
      </c>
      <c r="BL17" s="3784"/>
      <c r="BM17" s="3798">
        <v>862.23350470500702</v>
      </c>
      <c r="BN17" s="3790">
        <v>8146.5746195971715</v>
      </c>
      <c r="BO17" s="3790">
        <v>738.27574472158676</v>
      </c>
      <c r="BP17" s="3790">
        <v>7382.7574472158667</v>
      </c>
      <c r="BQ17" s="3796">
        <v>771.29563677110355</v>
      </c>
      <c r="BR17" s="3774">
        <v>7237.1959402581342</v>
      </c>
      <c r="BS17" s="3784"/>
      <c r="BT17" s="3798">
        <v>204689.126491164</v>
      </c>
      <c r="BU17" s="3790">
        <v>1975769.8798140611</v>
      </c>
      <c r="BV17" s="3790">
        <v>157431.34375</v>
      </c>
      <c r="BW17" s="3790">
        <v>1574313.4375</v>
      </c>
      <c r="BX17" s="3790">
        <v>177727.05160660032</v>
      </c>
      <c r="BY17" s="3790">
        <v>1706149.1309684243</v>
      </c>
      <c r="BZ17" s="3790" t="s">
        <v>342</v>
      </c>
      <c r="CA17" s="3790">
        <v>177727.05160660032</v>
      </c>
      <c r="CB17" s="3790" t="s">
        <v>342</v>
      </c>
      <c r="CC17" s="3790">
        <v>177727.05160660032</v>
      </c>
      <c r="CD17" s="3774">
        <v>1706149.1309684243</v>
      </c>
      <c r="CE17" s="3790" t="s">
        <v>342</v>
      </c>
      <c r="CF17" s="3774">
        <v>174491.60262045267</v>
      </c>
      <c r="CG17" s="3774">
        <v>1673794.6411069476</v>
      </c>
      <c r="CH17" s="188"/>
    </row>
    <row r="18" spans="2:86" s="427" customFormat="1" ht="16.5" customHeight="1">
      <c r="B18" s="1417" t="s">
        <v>88</v>
      </c>
      <c r="C18" s="1418" t="s">
        <v>214</v>
      </c>
      <c r="D18" s="1419"/>
      <c r="E18" s="1410">
        <v>38.619772174655267</v>
      </c>
      <c r="F18" s="1410">
        <v>38.196104203026593</v>
      </c>
      <c r="G18" s="3465">
        <v>37.853336158564218</v>
      </c>
      <c r="H18" s="1410">
        <v>38.632785314390482</v>
      </c>
      <c r="I18" s="1410">
        <v>38.520013706286214</v>
      </c>
      <c r="J18" s="1410">
        <v>37.153993002975291</v>
      </c>
      <c r="K18" s="1410">
        <v>38.66808848460073</v>
      </c>
      <c r="L18" s="1410">
        <v>39.59523776241894</v>
      </c>
      <c r="M18" s="1410">
        <v>38.826739279076349</v>
      </c>
      <c r="N18" s="1410">
        <v>39.415801618901426</v>
      </c>
      <c r="O18" s="1410">
        <v>38.445227586824721</v>
      </c>
      <c r="P18" s="1410">
        <v>38.733096261656463</v>
      </c>
      <c r="Q18" s="1428"/>
      <c r="R18" s="1429">
        <v>38.557867980903005</v>
      </c>
      <c r="T18" s="1430">
        <f>IF(MONTH(Factores!$D$2)=1,SUMPRODUCT($E$12:$E$12,$E18:E18)/SUM($E$12:$E$12),IF(MONTH(Factores!$D$2)=2,SUMPRODUCT($E$12:$F$12,$E18:F18)/SUM($E$12:$F$12),IF(MONTH(Factores!$D$2)=3,SUMPRODUCT($E$12:$G$12,$E18:G18)/SUM($E$12:$G$12),IF(MONTH(Factores!$D$2)=4,SUMPRODUCT($E$12:$H$12,$E18:H18)/SUM($E$12:$H$12),IF(MONTH(Factores!$D$2)=5,SUMPRODUCT($E$12:$I$12,$E18:I18)/SUM($E$12:$I$12),IF(MONTH(Factores!$D$2)=6,SUMPRODUCT($E$12:$J$12,$E18:J18)/SUM($E$12:$J$12),IF(MONTH(Factores!$D$2)=7,SUMPRODUCT($E$12:$K$12,$E18:K18)/SUM($E$12:$K$12),IF(MONTH(Factores!$D$2)=8,SUMPRODUCT($E$12:$L$12,$E18:L18)/SUM($E$12:$L$12),IF(MONTH(Factores!$D$2)=9,SUMPRODUCT($E$12:$M$12,$E18:M18)/SUM($E$12:$M$12),IF(MONTH(Factores!$D$2)=10,SUMPRODUCT($E$12:$N$12,$E18:N18)/SUM($E$12:$N$12),IF(MONTH(Factores!$D$2)=11,SUMPRODUCT($E$12:$O$12,$E18:O18)/SUM($E$12:$O$12),IF(MONTH(Factores!$D$2)=12,SUMPRODUCT($E$12:$P$12,$E18:P18)/SUM($E$12:$P$12)))))))))))))</f>
        <v>38.202371254596507</v>
      </c>
      <c r="U18" s="1431">
        <f>IF(MONTH(Factores!$D$2)=1,SUMPRODUCT($E$12:$E$12,$E18:E18)/SUM($E$12:$E$12),IF(MONTH(Factores!$D$2)=2,SUMPRODUCT($E$12:$E$12,$E18:E18)/SUM($E$12:$E$12),IF(MONTH(Factores!$D$2)=3,SUMPRODUCT($E$12:$F$12,$E18:F18)/SUM($E$12:$F$12),IF(MONTH(Factores!$D$2)=4,SUMPRODUCT($E$12:$G$12,$E18:G18)/SUM($E$12:$G$12),IF(MONTH(Factores!$D$2)=5,SUMPRODUCT($E$12:$H$12,$E18:H18)/SUM($E$12:$H$12),IF(MONTH(Factores!$D$2)=6,SUMPRODUCT($E$12:$I$12,$E18:I18)/SUM($E$12:$I$12),IF(MONTH(Factores!$D$2)=7,SUMPRODUCT($E$12:$J$12,$E18:J18)/SUM($E$12:$J$12),IF(MONTH(Factores!$D$2)=8,SUMPRODUCT($E$12:$K$12,$E18:K18)/SUM($E$12:$K$12),IF(MONTH(Factores!$D$2)=9,SUMPRODUCT($E$12:$L$12,$E18:L18)/SUM($E$12:$L$12),IF(MONTH(Factores!$D$2)=10,SUMPRODUCT($E$12:$M$12,$E18:M18)/SUM($E$12:$M$12),IF(MONTH(Factores!$D$2)=11,SUMPRODUCT($E$12:$N$12,$E18:N18)/SUM($E$12:$N$12),IF(MONTH(Factores!$D$2)=12,SUMPRODUCT($E$12:$O$12,$E18:O18)/SUM($E$12:$O$12)))))))))))))</f>
        <v>38.420122316390909</v>
      </c>
      <c r="W18" s="3283" t="e">
        <f>(IF(E4="REAL",E18*E12,0)+IF(F4="REAL",F18*F12,0)+IF(G4="REAL",G18*G12,0)+IF(H4="REAL",H18*H12,0)+IF(I4="REAL",I18*I12,0)+IF(J4="REAL",J18*J12,0)+IF(K4="REAL",K18*K12,0)+IF(L4="REAL",L18*L12,0)+IF(M4="REAL",M18*M12,0)+IF(N4="REAL",N18*N12,0)+IF(O4="REAL",O18*O12,0)+IF(P4="REAL",P18*P12,0))/W12</f>
        <v>#DIV/0!</v>
      </c>
      <c r="X18" s="3283">
        <f>SUMIF($E$4:$P$4,"R+P",E18:P18)</f>
        <v>0</v>
      </c>
      <c r="Y18" s="3283" t="e">
        <f>(IF(E4="REAL",E18*E12,0)+IF(F4="REAL",F18*F12,0)+IF(G4="REAL",G18*G12,0)+IF(H4="REAL",H18*H12,0)+IF(I4="REAL",I18*I12,0)+IF(J4="REAL",J18*J12,0)+IF(K4="REAL",K18*K12,0)+IF(L4="REAL",L18*L12,0)+IF(M4="REAL",M18*M12,0)+IF(N4="REAL",N18*N12,0)+IF(O4="REAL",O18*O12,0)+IF(P4="REAL",P18*P12,0)+X12*X18)/Y12</f>
        <v>#REF!</v>
      </c>
      <c r="Z18" s="1398"/>
      <c r="AA18" s="3309">
        <f t="shared" si="5"/>
        <v>45822</v>
      </c>
      <c r="AB18" s="1428"/>
      <c r="AC18" s="1428"/>
      <c r="AD18" s="1428"/>
      <c r="AE18" s="1428"/>
      <c r="AF18" s="1420"/>
      <c r="AG18" s="3303"/>
      <c r="AH18" s="3303" t="e">
        <f t="shared" si="1"/>
        <v>#DIV/0!</v>
      </c>
      <c r="AI18" s="3303"/>
      <c r="AJ18" s="3303"/>
      <c r="AK18" s="3303"/>
      <c r="AL18" s="3303"/>
      <c r="AM18" s="1428"/>
      <c r="AN18" s="3303"/>
      <c r="AO18" s="1420">
        <f t="shared" si="2"/>
        <v>24.146893258401185</v>
      </c>
      <c r="AP18" s="1420">
        <f t="shared" si="3"/>
        <v>24.026158792109179</v>
      </c>
      <c r="AQ18" s="1428" t="e">
        <f t="shared" si="4"/>
        <v>#DIV/0!</v>
      </c>
      <c r="AR18" s="273"/>
      <c r="AW18" s="2551"/>
      <c r="AX18" s="3791">
        <v>46064</v>
      </c>
      <c r="AY18" s="3797">
        <v>0</v>
      </c>
      <c r="AZ18" s="3790">
        <v>7627.9183689788351</v>
      </c>
      <c r="BA18" s="3790">
        <v>711.69780805456503</v>
      </c>
      <c r="BB18" s="3790">
        <v>7828.6758886002153</v>
      </c>
      <c r="BC18" s="3793">
        <v>-84.19439637069965</v>
      </c>
      <c r="BD18" s="3774">
        <v>6701.780008901138</v>
      </c>
      <c r="BE18" s="3784"/>
      <c r="BF18" s="3798">
        <v>3403.109130859375</v>
      </c>
      <c r="BG18" s="3790">
        <v>36544.559326171875</v>
      </c>
      <c r="BH18" s="3790">
        <v>2606.5476074218745</v>
      </c>
      <c r="BI18" s="3790">
        <v>28672.023681640621</v>
      </c>
      <c r="BJ18" s="3795">
        <v>2808.4941231863831</v>
      </c>
      <c r="BK18" s="3774">
        <v>30003.79424176897</v>
      </c>
      <c r="BL18" s="3784"/>
      <c r="BM18" s="3798">
        <v>824.62103562058803</v>
      </c>
      <c r="BN18" s="3790">
        <v>8971.1956552177598</v>
      </c>
      <c r="BO18" s="3790">
        <v>738.27574472158676</v>
      </c>
      <c r="BP18" s="3790">
        <v>8121.033191937453</v>
      </c>
      <c r="BQ18" s="3796">
        <v>733.68316768668456</v>
      </c>
      <c r="BR18" s="3774">
        <v>7970.8791079448183</v>
      </c>
      <c r="BS18" s="3784"/>
      <c r="BT18" s="3798">
        <v>198526.98751521099</v>
      </c>
      <c r="BU18" s="3790">
        <v>2174296.867329272</v>
      </c>
      <c r="BV18" s="3790">
        <v>157431.34375</v>
      </c>
      <c r="BW18" s="3790">
        <v>1731744.78125</v>
      </c>
      <c r="BX18" s="3790">
        <v>171564.9126306473</v>
      </c>
      <c r="BY18" s="3790">
        <v>1877714.0435990714</v>
      </c>
      <c r="BZ18" s="3790" t="s">
        <v>342</v>
      </c>
      <c r="CA18" s="3790">
        <v>171564.9126306473</v>
      </c>
      <c r="CB18" s="3790" t="s">
        <v>342</v>
      </c>
      <c r="CC18" s="3790">
        <v>171564.9126306473</v>
      </c>
      <c r="CD18" s="3774">
        <v>1877714.0435990714</v>
      </c>
      <c r="CE18" s="3790" t="s">
        <v>342</v>
      </c>
      <c r="CF18" s="3774">
        <v>168329.46364449966</v>
      </c>
      <c r="CG18" s="3774">
        <v>1842124.1047514472</v>
      </c>
      <c r="CH18" s="188"/>
    </row>
    <row r="19" spans="2:86" s="427" customFormat="1" ht="16.5" customHeight="1">
      <c r="B19" s="1417" t="s">
        <v>83</v>
      </c>
      <c r="C19" s="1418" t="s">
        <v>84</v>
      </c>
      <c r="D19" s="1419"/>
      <c r="E19" s="1410">
        <v>4.1268847263814763</v>
      </c>
      <c r="F19" s="1410">
        <v>4.1835574449084891</v>
      </c>
      <c r="G19" s="3465">
        <v>4.1504745365351701</v>
      </c>
      <c r="H19" s="1410">
        <v>4.07400549699606</v>
      </c>
      <c r="I19" s="1410">
        <v>4.2016067113902942</v>
      </c>
      <c r="J19" s="1410">
        <v>4.1464879403675798</v>
      </c>
      <c r="K19" s="1410">
        <v>4.0484953134678117</v>
      </c>
      <c r="L19" s="1410">
        <v>4.1248689581482569</v>
      </c>
      <c r="M19" s="1410">
        <v>4.112501213934566</v>
      </c>
      <c r="N19" s="1410">
        <v>4.1223747873045244</v>
      </c>
      <c r="O19" s="1410">
        <v>4.1120914909760256</v>
      </c>
      <c r="P19" s="1410">
        <v>4.187087295920759</v>
      </c>
      <c r="Q19" s="1428"/>
      <c r="R19" s="1432">
        <v>4.133865942313296</v>
      </c>
      <c r="T19" s="1433">
        <f>IF(MONTH(Factores!$D$2)=1,SUMPRODUCT($E$12:$E$12,$E19:E19)/SUM($E$12:$E$12),IF(MONTH(Factores!$D$2)=2,SUMPRODUCT($E$12:$F$12,$E19:F19)/SUM($E$12:$F$12),IF(MONTH(Factores!$D$2)=3,SUMPRODUCT($E$12:$G$12,$E19:G19)/SUM($E$12:$G$12),IF(MONTH(Factores!$D$2)=4,SUMPRODUCT($E$12:$H$12,$E19:H19)/SUM($E$12:$H$12),IF(MONTH(Factores!$D$2)=5,SUMPRODUCT($E$12:$I$12,$E19:I19)/SUM($E$12:$I$12),IF(MONTH(Factores!$D$2)=6,SUMPRODUCT($E$12:$J$12,$E19:J19)/SUM($E$12:$J$12),IF(MONTH(Factores!$D$2)=7,SUMPRODUCT($E$12:$K$12,$E19:K19)/SUM($E$12:$K$12),IF(MONTH(Factores!$D$2)=8,SUMPRODUCT($E$12:$L$12,$E19:L19)/SUM($E$12:$L$12),IF(MONTH(Factores!$D$2)=9,SUMPRODUCT($E$12:$M$12,$E19:M19)/SUM($E$12:$M$12),IF(MONTH(Factores!$D$2)=10,SUMPRODUCT($E$12:$N$12,$E19:N19)/SUM($E$12:$N$12),IF(MONTH(Factores!$D$2)=11,SUMPRODUCT($E$12:$O$12,$E19:O19)/SUM($E$12:$O$12),IF(MONTH(Factores!$D$2)=12,SUMPRODUCT($E$12:$P$12,$E19:P19)/SUM($E$12:$P$12)))))))))))))</f>
        <v>4.1523938558931004</v>
      </c>
      <c r="U19" s="1434">
        <f>IF(MONTH(Factores!$D$2)=1,SUMPRODUCT($E$12:$E$12,$E19:E19)/SUM($E$12:$E$12),IF(MONTH(Factores!$D$2)=2,SUMPRODUCT($E$12:$E$12,$E19:E19)/SUM($E$12:$E$12),IF(MONTH(Factores!$D$2)=3,SUMPRODUCT($E$12:$F$12,$E19:F19)/SUM($E$12:$F$12),IF(MONTH(Factores!$D$2)=4,SUMPRODUCT($E$12:$G$12,$E19:G19)/SUM($E$12:$G$12),IF(MONTH(Factores!$D$2)=5,SUMPRODUCT($E$12:$H$12,$E19:H19)/SUM($E$12:$H$12),IF(MONTH(Factores!$D$2)=6,SUMPRODUCT($E$12:$I$12,$E19:I19)/SUM($E$12:$I$12),IF(MONTH(Factores!$D$2)=7,SUMPRODUCT($E$12:$J$12,$E19:J19)/SUM($E$12:$J$12),IF(MONTH(Factores!$D$2)=8,SUMPRODUCT($E$12:$K$12,$E19:K19)/SUM($E$12:$K$12),IF(MONTH(Factores!$D$2)=9,SUMPRODUCT($E$12:$L$12,$E19:L19)/SUM($E$12:$L$12),IF(MONTH(Factores!$D$2)=10,SUMPRODUCT($E$12:$M$12,$E19:M19)/SUM($E$12:$M$12),IF(MONTH(Factores!$D$2)=11,SUMPRODUCT($E$12:$N$12,$E19:N19)/SUM($E$12:$N$12),IF(MONTH(Factores!$D$2)=12,SUMPRODUCT($E$12:$O$12,$E19:O19)/SUM($E$12:$O$12)))))))))))))</f>
        <v>4.1535912536128796</v>
      </c>
      <c r="W19" s="3286" t="e">
        <f>(IF(E4="REAL",E19*E12,0)+IF(F4="REAL",F19*F12,0)+IF(G4="REAL",G19*G12,0)+IF(H4="REAL",H19*H12,0)+IF(I4="REAL",I19*I12,0)+IF(J4="REAL",J19*J12,0)+IF(K4="REAL",K19*K12,0)+IF(L4="REAL",L19*L12,0)+IF(M4="REAL",M19*M12,0)+IF(N4="REAL",N19*N12,0)+IF(O4="REAL",O19*O12,0)+IF(P4="REAL",P19*P12,0))/W12</f>
        <v>#DIV/0!</v>
      </c>
      <c r="X19" s="3286">
        <f>SUMIF($E$4:$P$4,"R+P",E19:P19)</f>
        <v>0</v>
      </c>
      <c r="Y19" s="3286" t="e">
        <f>(IF(E4="REAL",E19*E12,0)+IF(F4="REAL",F19*F12,0)+IF(G4="REAL",G19*G12,0)+IF(H4="REAL",H19*H12,0)+IF(I4="REAL",I19*I12,0)+IF(J4="REAL",J19*J12,0)+IF(K4="REAL",K19*K12,0)+IF(L4="REAL",L19*L12,0)+IF(M4="REAL",M19*M12,0)+IF(N4="REAL",N19*N12,0)+IF(O4="REAL",O19*O12,0)+IF(P4="REAL",P19*P12,0)+X12*X19)/Y12</f>
        <v>#REF!</v>
      </c>
      <c r="Z19" s="1398"/>
      <c r="AA19" s="3309">
        <f t="shared" si="5"/>
        <v>45823</v>
      </c>
      <c r="AB19" s="1428"/>
      <c r="AC19" s="1428"/>
      <c r="AD19" s="1428"/>
      <c r="AE19" s="1428"/>
      <c r="AF19" s="1420"/>
      <c r="AG19" s="3303"/>
      <c r="AH19" s="3303" t="e">
        <f t="shared" si="1"/>
        <v>#DIV/0!</v>
      </c>
      <c r="AI19" s="3303"/>
      <c r="AJ19" s="3303"/>
      <c r="AK19" s="3303"/>
      <c r="AL19" s="3303"/>
      <c r="AM19" s="1428"/>
      <c r="AN19" s="3303"/>
      <c r="AO19" s="1420">
        <f t="shared" si="2"/>
        <v>24.146893258401185</v>
      </c>
      <c r="AP19" s="1420">
        <f t="shared" si="3"/>
        <v>24.026158792109179</v>
      </c>
      <c r="AQ19" s="1428" t="e">
        <f t="shared" si="4"/>
        <v>#DIV/0!</v>
      </c>
      <c r="AR19" s="273"/>
      <c r="AW19" s="2551"/>
      <c r="AX19" s="3791">
        <v>46065</v>
      </c>
      <c r="AY19" s="3797">
        <v>0</v>
      </c>
      <c r="AZ19" s="3790">
        <v>7627.9183689788351</v>
      </c>
      <c r="BA19" s="3790">
        <v>711.69780805456503</v>
      </c>
      <c r="BB19" s="3790">
        <v>8540.3736966547804</v>
      </c>
      <c r="BC19" s="3793">
        <v>-84.19439637069965</v>
      </c>
      <c r="BD19" s="3774">
        <v>6617.5856125304381</v>
      </c>
      <c r="BE19" s="3784"/>
      <c r="BF19" s="3798">
        <v>3719.854736328125</v>
      </c>
      <c r="BG19" s="3790">
        <v>40264.4140625</v>
      </c>
      <c r="BH19" s="3790">
        <v>2606.5476074218745</v>
      </c>
      <c r="BI19" s="3790">
        <v>31278.571289062496</v>
      </c>
      <c r="BJ19" s="3795">
        <v>3125.2397286551331</v>
      </c>
      <c r="BK19" s="3774">
        <v>33129.033970424105</v>
      </c>
      <c r="BL19" s="3784"/>
      <c r="BM19" s="3798">
        <v>923.84927959803099</v>
      </c>
      <c r="BN19" s="3790">
        <v>9895.0449348157908</v>
      </c>
      <c r="BO19" s="3790">
        <v>738.27574472158676</v>
      </c>
      <c r="BP19" s="3790">
        <v>8859.3089366590393</v>
      </c>
      <c r="BQ19" s="3796">
        <v>832.91141166412751</v>
      </c>
      <c r="BR19" s="3774">
        <v>8803.790519608945</v>
      </c>
      <c r="BS19" s="3784"/>
      <c r="BT19" s="3798">
        <v>205449.09849639199</v>
      </c>
      <c r="BU19" s="3790">
        <v>2379745.9658256639</v>
      </c>
      <c r="BV19" s="3790">
        <v>157431.34375</v>
      </c>
      <c r="BW19" s="3790">
        <v>1889176.125</v>
      </c>
      <c r="BX19" s="3790">
        <v>178487.02361182831</v>
      </c>
      <c r="BY19" s="3790">
        <v>2056201.0672108997</v>
      </c>
      <c r="BZ19" s="3790" t="s">
        <v>342</v>
      </c>
      <c r="CA19" s="3790">
        <v>178487.02361182831</v>
      </c>
      <c r="CB19" s="3790" t="s">
        <v>342</v>
      </c>
      <c r="CC19" s="3790">
        <v>178487.02361182831</v>
      </c>
      <c r="CD19" s="3774">
        <v>2056201.0672108997</v>
      </c>
      <c r="CE19" s="3790" t="s">
        <v>342</v>
      </c>
      <c r="CF19" s="3774">
        <v>175251.57462568066</v>
      </c>
      <c r="CG19" s="3774">
        <v>2017375.6793771279</v>
      </c>
      <c r="CH19" s="188"/>
    </row>
    <row r="20" spans="2:86" s="427" customFormat="1" ht="16.5" customHeight="1">
      <c r="B20" s="1417" t="s">
        <v>215</v>
      </c>
      <c r="C20" s="1418" t="s">
        <v>48</v>
      </c>
      <c r="D20" s="1419"/>
      <c r="E20" s="2531">
        <v>0.80480205806652028</v>
      </c>
      <c r="F20" s="2531">
        <v>0.8311869620253165</v>
      </c>
      <c r="G20" s="3466">
        <v>0.95068132481506384</v>
      </c>
      <c r="H20" s="2531">
        <v>0.68062526822697333</v>
      </c>
      <c r="I20" s="2531">
        <v>0.95699204868154153</v>
      </c>
      <c r="J20" s="2531">
        <v>0.96491596355991593</v>
      </c>
      <c r="K20" s="2531">
        <v>0.94087569491525413</v>
      </c>
      <c r="L20" s="2531">
        <v>0.91154292765382017</v>
      </c>
      <c r="M20" s="2531">
        <v>0.94525679638637938</v>
      </c>
      <c r="N20" s="2531">
        <v>0.96476707464694011</v>
      </c>
      <c r="O20" s="2531">
        <v>0.96672030576789436</v>
      </c>
      <c r="P20" s="2531">
        <v>0.96088086079354407</v>
      </c>
      <c r="Q20" s="1428"/>
      <c r="R20" s="2531">
        <f>9073.26032248885%/100</f>
        <v>0.90732603224888497</v>
      </c>
      <c r="T20" s="1396">
        <f>IF(MONTH(Factores!$D$2)=1,SUMPRODUCT($E$5:$E$5,$E20:E20)/SUM($E$5:$E$5),IF(MONTH(Factores!$D$2)=2,SUMPRODUCT($E$5:$F$5,$E20:F20)/SUM($E$5:$F$5),IF(MONTH(Factores!$D$2)=3,SUMPRODUCT($E$5:$G$5,$E20:G20)/SUM($E$5:$G$5),IF(MONTH(Factores!$D$2)=4,SUMPRODUCT($E$5:$H$5,$E20:H20)/SUM($E$5:$H$5),IF(MONTH(Factores!$D$2)=5,SUMPRODUCT($E$5:$I$5,$E20:I20)/SUM($E$5:$I$5),IF(MONTH(Factores!$D$2)=6,SUMPRODUCT($E$5:$J$5,$E20:J20)/SUM($E$5:$J$5),IF(MONTH(Factores!$D$2)=7,SUMPRODUCT($E$5:$K$5,$E20:K20)/SUM($E$5:$K$5),IF(MONTH(Factores!$D$2)=8,SUMPRODUCT($E$5:$L$5,$E20:L20)/SUM($E$5:$L$5),IF(MONTH(Factores!$D$2)=9,SUMPRODUCT($E$5:$M$5,$E20:M20)/SUM($E$5:$M$5),IF(MONTH(Factores!$D$2)=10,SUMPRODUCT($E$5:$N$5,$E20:N20)/SUM($E$5:$N$5),IF(MONTH(Factores!$D$2)=11,SUMPRODUCT($E$5:$O$5,$E20:O20)/SUM($E$5:$O$5),IF(MONTH(Factores!$D$2)=12,SUMPRODUCT($E$5:$P$5,$E20:P20)/SUM($E$5:$P$5)))))))))))))*100</f>
        <v>86.325799784486634</v>
      </c>
      <c r="U20" s="1396">
        <f>IF(MONTH(Factores!$D$2)=1,SUMPRODUCT($E$5:$E$5,$E20:E20)/SUM($E$5:$E$5),IF(MONTH(Factores!$D$2)=2,SUMPRODUCT($E$5:$E$5,$E20:E20)/SUM($E$5:$E$5),IF(MONTH(Factores!$D$2)=3,SUMPRODUCT($E$5:$F$5,$E20:F20)/SUM($E$5:$F$5),IF(MONTH(Factores!$D$2)=4,SUMPRODUCT($E$5:$G$5,$E20:G20)/SUM($E$5:$G$5),IF(MONTH(Factores!$D$2)=5,SUMPRODUCT($E$5:$H$5,$E20:H20)/SUM($E$5:$H$5),IF(MONTH(Factores!$D$2)=6,SUMPRODUCT($E$5:$I$5,$E20:I20)/SUM($E$5:$I$5),IF(MONTH(Factores!$D$2)=7,SUMPRODUCT($E$5:$J$5,$E20:J20)/SUM($E$5:$J$5),IF(MONTH(Factores!$D$2)=8,SUMPRODUCT($E$5:$K$5,$E20:K20)/SUM($E$5:$K$5),IF(MONTH(Factores!$D$2)=9,SUMPRODUCT($E$5:$L$5,$E20:L20)/SUM($E$5:$L$5),IF(MONTH(Factores!$D$2)=10,SUMPRODUCT($E$5:$M$5,$E20:M20)/SUM($E$5:$M$5),IF(MONTH(Factores!$D$2)=11,SUMPRODUCT($E$5:$N$5,$E20:N20)/SUM($E$5:$N$5),IF(MONTH(Factores!$D$2)=12,SUMPRODUCT($E$5:$O$5,$E20:O20)/SUM($E$5:$O$5)))))))))))))</f>
        <v>0.81732370740289806</v>
      </c>
      <c r="W20" s="3286" t="e">
        <f>(IF(E4="REAL",E20*E5,0)+IF(F4="REAL",F20*F5,0)+IF(G4="REAL",G20*G5,0)+IF(H4="REAL",H20*H5,0)+IF(I4="REAL",I20*I5,0)+IF(J4="REAL",J20*J5,0)+IF(K4="REAL",K20*K5,0)+IF(L4="REAL",L20*L5,0)+IF(M4="REAL",M20*M5,0)+IF(N4="REAL",N20*N5,0)+IF(O4="REAL",O20*O5,0)+IF(P4="REAL",P20*P5,0))/W5</f>
        <v>#DIV/0!</v>
      </c>
      <c r="X20" s="3286">
        <f>SUMIF($E$4:$P$4,"R+P",E20:P20)</f>
        <v>0</v>
      </c>
      <c r="Y20" s="3286">
        <f>(IF(E4="REAL",E20*E5,0)+IF(F4="REAL",F20*F5,0)+IF(G4="REAL",G20*G5,0)+IF(H4="REAL",H20*H5,0)+IF(I4="REAL",I20*I5,0)+IF(J4="REAL",J20*J5,0)+IF(K4="REAL",K20*K5,0)+IF(L4="REAL",L20*L5,0)+IF(M4="REAL",M20*M5,0)+IF(N4="REAL",N20*N5,0)+IF(O4="REAL",O20*O5,0)+IF(P4="REAL",P20*P5,0)+X5*X20)/Y5</f>
        <v>0</v>
      </c>
      <c r="Z20" s="1398"/>
      <c r="AA20" s="3309">
        <f t="shared" si="5"/>
        <v>45824</v>
      </c>
      <c r="AB20" s="1428"/>
      <c r="AC20" s="1428"/>
      <c r="AD20" s="1428"/>
      <c r="AE20" s="1428"/>
      <c r="AF20" s="1420"/>
      <c r="AG20" s="3303"/>
      <c r="AH20" s="3303" t="e">
        <f t="shared" si="1"/>
        <v>#DIV/0!</v>
      </c>
      <c r="AI20" s="3303"/>
      <c r="AJ20" s="3303"/>
      <c r="AK20" s="3303"/>
      <c r="AL20" s="3303"/>
      <c r="AM20" s="1428"/>
      <c r="AN20" s="3303"/>
      <c r="AO20" s="1420">
        <f t="shared" si="2"/>
        <v>24.146893258401185</v>
      </c>
      <c r="AP20" s="1420">
        <f t="shared" si="3"/>
        <v>24.026158792109179</v>
      </c>
      <c r="AQ20" s="1428" t="e">
        <f t="shared" si="4"/>
        <v>#DIV/0!</v>
      </c>
      <c r="AR20" s="273"/>
      <c r="AW20" s="2551"/>
      <c r="AX20" s="3791">
        <v>46066</v>
      </c>
      <c r="AY20" s="3797">
        <v>0</v>
      </c>
      <c r="AZ20" s="3790">
        <v>7627.9183689788351</v>
      </c>
      <c r="BA20" s="3790">
        <v>711.69780805456503</v>
      </c>
      <c r="BB20" s="3790">
        <v>9252.0715047093454</v>
      </c>
      <c r="BC20" s="3793">
        <v>-84.19439637069965</v>
      </c>
      <c r="BD20" s="3774">
        <v>6533.3912161597382</v>
      </c>
      <c r="BE20" s="3784"/>
      <c r="BF20" s="3798">
        <v>3594.2041015625</v>
      </c>
      <c r="BG20" s="3790">
        <v>43858.6181640625</v>
      </c>
      <c r="BH20" s="3790">
        <v>2606.5476074218745</v>
      </c>
      <c r="BI20" s="3790">
        <v>33885.118896484368</v>
      </c>
      <c r="BJ20" s="3795">
        <v>2999.5890938895081</v>
      </c>
      <c r="BK20" s="3774">
        <v>36128.623064313615</v>
      </c>
      <c r="BL20" s="3784"/>
      <c r="BM20" s="3798">
        <v>848.30689398300296</v>
      </c>
      <c r="BN20" s="3790">
        <v>10743.351828798794</v>
      </c>
      <c r="BO20" s="3790">
        <v>738.27574472158676</v>
      </c>
      <c r="BP20" s="3807">
        <v>9597.5846813806256</v>
      </c>
      <c r="BQ20" s="3807">
        <v>757.36902604909949</v>
      </c>
      <c r="BR20" s="3808">
        <v>9561.1595456580453</v>
      </c>
      <c r="BS20" s="3784"/>
      <c r="BT20" s="3798">
        <v>194998.48910211501</v>
      </c>
      <c r="BU20" s="3790">
        <v>2574744.4549277788</v>
      </c>
      <c r="BV20" s="3790">
        <v>157431.34375</v>
      </c>
      <c r="BW20" s="3790">
        <v>2046607.46875</v>
      </c>
      <c r="BX20" s="3790">
        <v>168036.41421755133</v>
      </c>
      <c r="BY20" s="3790">
        <v>2224237.4814284509</v>
      </c>
      <c r="BZ20" s="3790" t="s">
        <v>342</v>
      </c>
      <c r="CA20" s="3790">
        <v>168036.41421755133</v>
      </c>
      <c r="CB20" s="3790" t="s">
        <v>342</v>
      </c>
      <c r="CC20" s="3790">
        <v>168036.41421755133</v>
      </c>
      <c r="CD20" s="3774">
        <v>2224237.4814284509</v>
      </c>
      <c r="CE20" s="3790" t="s">
        <v>342</v>
      </c>
      <c r="CF20" s="3774">
        <v>164800.96523140368</v>
      </c>
      <c r="CG20" s="3774">
        <v>2182176.6446085316</v>
      </c>
      <c r="CH20" s="188"/>
    </row>
    <row r="21" spans="2:86" s="427" customFormat="1" ht="16.5" hidden="1" customHeight="1">
      <c r="B21" s="1417" t="s">
        <v>216</v>
      </c>
      <c r="C21" s="1418" t="s">
        <v>48</v>
      </c>
      <c r="D21" s="1419"/>
      <c r="E21" s="1397"/>
      <c r="F21" s="1397"/>
      <c r="G21" s="3467"/>
      <c r="H21" s="1397"/>
      <c r="I21" s="1397"/>
      <c r="J21" s="1397"/>
      <c r="K21" s="1397"/>
      <c r="L21" s="1397"/>
      <c r="M21" s="1397"/>
      <c r="N21" s="1397"/>
      <c r="O21" s="1397"/>
      <c r="P21" s="1397"/>
      <c r="Q21" s="1428"/>
      <c r="R21" s="1397"/>
      <c r="T21" s="1397"/>
      <c r="U21" s="1435"/>
      <c r="W21" s="2107" t="e">
        <f>(IF(E4="REAL",E21*E14,0)+IF(F4="REAL",F21*F14,0)+IF(G4="REAL",G21*G14,0)+IF(H4="REAL",H21*H14,0)+IF(I4="REAL",I21*I14,0)+IF(J4="REAL",J21*J14,0)+IF(K4="REAL",K21*K14,0)+IF(L4="REAL",L21*L14,0)+IF(M4="REAL",M21*M14,0)+IF(N4="REAL",N21*N14,0)+IF(O4="REAL",O21*O14,0)+IF(P4="REAL",P21*P14,0))/W14</f>
        <v>#DIV/0!</v>
      </c>
      <c r="X21" s="3286">
        <f>SUMIF($E$4:$P$4,"R+P",E21:P21)</f>
        <v>0</v>
      </c>
      <c r="Y21" s="2107" t="e">
        <f>(IF(E4="REAL",E21*E14,0)+IF(F4="REAL",F21*F14,0)+IF(G4="REAL",G21*G14,0)+IF(H4="REAL",H21*H14,0)+IF(I4="REAL",I21*I14,0)+IF(J4="REAL",J21*J14,0)+IF(K4="REAL",K21*K14,0)+IF(L4="REAL",L21*L14,0)+IF(M4="REAL",M21*M14,0)+IF(N4="REAL",N21*N14,0)+IF(O4="REAL",O21*O14,0)+IF(P4="REAL",P21*P14,0)+X14*X21)/Y14</f>
        <v>#REF!</v>
      </c>
      <c r="Z21" s="1398" t="e">
        <f>U21-W21</f>
        <v>#DIV/0!</v>
      </c>
      <c r="AA21" s="3309">
        <f t="shared" si="5"/>
        <v>45825</v>
      </c>
      <c r="AB21" s="1428"/>
      <c r="AC21" s="1428"/>
      <c r="AD21" s="1428"/>
      <c r="AE21" s="1428"/>
      <c r="AF21" s="1420"/>
      <c r="AG21" s="3303"/>
      <c r="AH21" s="3303" t="e">
        <f t="shared" si="1"/>
        <v>#DIV/0!</v>
      </c>
      <c r="AI21" s="3303"/>
      <c r="AJ21" s="3303"/>
      <c r="AK21" s="3303"/>
      <c r="AL21" s="3303"/>
      <c r="AM21" s="1428"/>
      <c r="AN21" s="3303"/>
      <c r="AO21" s="1420">
        <f t="shared" si="2"/>
        <v>24.146893258401185</v>
      </c>
      <c r="AP21" s="1420">
        <f t="shared" si="3"/>
        <v>24.026158792109179</v>
      </c>
      <c r="AQ21" s="1428" t="e">
        <f t="shared" si="4"/>
        <v>#DIV/0!</v>
      </c>
      <c r="AR21" s="273"/>
      <c r="AW21" s="2551"/>
      <c r="AX21" s="3791">
        <v>46067</v>
      </c>
      <c r="AY21" s="3797">
        <v>373.177191106669</v>
      </c>
      <c r="AZ21" s="3790">
        <v>8001.0955600855041</v>
      </c>
      <c r="BA21" s="3790">
        <v>711.69780805456503</v>
      </c>
      <c r="BB21" s="3790">
        <v>9963.7693127639104</v>
      </c>
      <c r="BC21" s="3793">
        <v>288.98279473596938</v>
      </c>
      <c r="BD21" s="3774">
        <v>6822.3740108957072</v>
      </c>
      <c r="BE21" s="3784"/>
      <c r="BF21" s="3798">
        <v>3659.61181640625</v>
      </c>
      <c r="BG21" s="3790">
        <v>47518.22998046875</v>
      </c>
      <c r="BH21" s="3790">
        <v>2606.5476074218745</v>
      </c>
      <c r="BI21" s="3790">
        <v>36491.666503906243</v>
      </c>
      <c r="BJ21" s="3795">
        <v>3064.9968087332581</v>
      </c>
      <c r="BK21" s="3774">
        <v>39193.619873046875</v>
      </c>
      <c r="BL21" s="3784"/>
      <c r="BM21" s="3798">
        <v>895.04359063392201</v>
      </c>
      <c r="BN21" s="3790">
        <v>11638.395419432716</v>
      </c>
      <c r="BO21" s="3790">
        <v>738.27574472158676</v>
      </c>
      <c r="BP21" s="3790">
        <v>10335.860426102212</v>
      </c>
      <c r="BQ21" s="3796">
        <v>804.10572270001853</v>
      </c>
      <c r="BR21" s="3774">
        <v>10365.265268358064</v>
      </c>
      <c r="BS21" s="3784"/>
      <c r="BT21" s="3798">
        <v>198169.51746449599</v>
      </c>
      <c r="BU21" s="3790">
        <v>2772913.972392275</v>
      </c>
      <c r="BV21" s="3790">
        <v>157431.34375</v>
      </c>
      <c r="BW21" s="3790">
        <v>2204038.8125</v>
      </c>
      <c r="BX21" s="3790">
        <v>171207.44257993231</v>
      </c>
      <c r="BY21" s="3790">
        <v>2395444.9240083834</v>
      </c>
      <c r="BZ21" s="3790" t="s">
        <v>342</v>
      </c>
      <c r="CA21" s="3790">
        <v>171207.44257993231</v>
      </c>
      <c r="CB21" s="3790" t="s">
        <v>342</v>
      </c>
      <c r="CC21" s="3790">
        <v>171207.44257993231</v>
      </c>
      <c r="CD21" s="3774">
        <v>2395444.9240083834</v>
      </c>
      <c r="CE21" s="3790" t="s">
        <v>342</v>
      </c>
      <c r="CF21" s="3774">
        <v>167971.99359378466</v>
      </c>
      <c r="CG21" s="3774">
        <v>2350148.6382023161</v>
      </c>
      <c r="CH21" s="188"/>
    </row>
    <row r="22" spans="2:86" s="427" customFormat="1" ht="16.5" customHeight="1">
      <c r="B22" s="1417" t="s">
        <v>852</v>
      </c>
      <c r="C22" s="1418" t="s">
        <v>218</v>
      </c>
      <c r="D22" s="1419"/>
      <c r="E22" s="1396">
        <v>598.37033017245778</v>
      </c>
      <c r="F22" s="1396">
        <v>558.14204500000005</v>
      </c>
      <c r="G22" s="3468">
        <v>706.83156499999996</v>
      </c>
      <c r="H22" s="1396">
        <v>489.7098804893073</v>
      </c>
      <c r="I22" s="1396">
        <v>707.69561999999996</v>
      </c>
      <c r="J22" s="1396">
        <v>688.46753999999999</v>
      </c>
      <c r="K22" s="1396">
        <v>693.89582499999995</v>
      </c>
      <c r="L22" s="1396">
        <v>674.08599500000003</v>
      </c>
      <c r="M22" s="1396">
        <v>680.11226499999998</v>
      </c>
      <c r="N22" s="1396">
        <v>717.30431999999996</v>
      </c>
      <c r="O22" s="1396">
        <v>695.55525999999998</v>
      </c>
      <c r="P22" s="1396">
        <v>714.41492000000005</v>
      </c>
      <c r="Q22" s="1428"/>
      <c r="R22" s="1436">
        <v>7924.585565661765</v>
      </c>
      <c r="S22" s="1413"/>
      <c r="T22" s="1437">
        <f>IF(MONTH(Factores!$D$2)=1,SUM($E22:E22),IF(MONTH(Factores!$D$2)=2,SUM($E22:F22),IF(MONTH(Factores!$D$2)=3,SUM($E22:G22),IF(MONTH(Factores!$D$2)=4,SUM($E22:H22),IF(MONTH(Factores!$D$2)=5,SUM($E22:I22),IF(MONTH(Factores!$D$2)=6,SUM($E22:J22),IF(MONTH(Factores!$D$2)=7,SUM($E22:K22),IF(MONTH(Factores!$D$2)=8,SUM($E22:L22),IF(MONTH(Factores!$D$2)=9,SUM($E22:M22),IF(MONTH(Factores!$D$2)=10,SUM($E22:N22),IF(MONTH(Factores!$D$2)=11,SUM($E22:O22),IF(MONTH(Factores!$D$2)=12,SUM($E22:P22)))))))))))))</f>
        <v>1863.3439401724577</v>
      </c>
      <c r="U22" s="1437">
        <f>IF(MONTH(Factores!$D$2)=1,SUM($E22:E22),IF(MONTH(Factores!$D$2)=2,SUM($E22:E22),IF(MONTH(Factores!$D$2)=3,SUM($E22:F22),IF(MONTH(Factores!$D$2)=4,SUM($E22:G22),IF(MONTH(Factores!$D$2)=5,SUM($E22:H22),IF(MONTH(Factores!$D$2)=6,SUM($E22:I22),IF(MONTH(Factores!$D$2)=7,SUM($E22:J22),IF(MONTH(Factores!$D$2)=8,SUM($E22:K22),IF(MONTH(Factores!$D$2)=9,SUM($E22:L22),IF(MONTH(Factores!$D$2)=10,SUM($E22:M22),IF(MONTH(Factores!$D$2)=11,SUM($E22:N22),IF(MONTH(Factores!$D$2)=12,SUM($E22:O22)))))))))))))</f>
        <v>1156.5123751724577</v>
      </c>
      <c r="AA22" s="3309">
        <f t="shared" si="5"/>
        <v>45826</v>
      </c>
      <c r="AB22" s="1428"/>
      <c r="AC22" s="1428"/>
      <c r="AD22" s="1428"/>
      <c r="AE22" s="1428"/>
      <c r="AF22" s="1420"/>
      <c r="AG22" s="3303"/>
      <c r="AH22" s="3303" t="e">
        <f t="shared" si="1"/>
        <v>#DIV/0!</v>
      </c>
      <c r="AI22" s="3303"/>
      <c r="AJ22" s="3303"/>
      <c r="AK22" s="3303"/>
      <c r="AL22" s="3303"/>
      <c r="AM22" s="1428"/>
      <c r="AN22" s="3303"/>
      <c r="AO22" s="1420">
        <f t="shared" si="2"/>
        <v>24.146893258401185</v>
      </c>
      <c r="AP22" s="1420">
        <f t="shared" si="3"/>
        <v>24.026158792109179</v>
      </c>
      <c r="AQ22" s="1428" t="e">
        <f t="shared" si="4"/>
        <v>#DIV/0!</v>
      </c>
      <c r="AR22" s="273"/>
      <c r="AW22" s="2551"/>
      <c r="AX22" s="3791">
        <v>46068</v>
      </c>
      <c r="AY22" s="3797">
        <v>1013.19800719827</v>
      </c>
      <c r="AZ22" s="3790">
        <v>9014.2935672837739</v>
      </c>
      <c r="BA22" s="3790">
        <v>711.69780805456503</v>
      </c>
      <c r="BB22" s="3790">
        <v>10675.467120818475</v>
      </c>
      <c r="BC22" s="3793">
        <v>929.00361082757036</v>
      </c>
      <c r="BD22" s="3774">
        <v>7751.3776217232771</v>
      </c>
      <c r="BE22" s="3784"/>
      <c r="BF22" s="3798">
        <v>3203.6357421875</v>
      </c>
      <c r="BG22" s="3790">
        <v>50721.86572265625</v>
      </c>
      <c r="BH22" s="3790">
        <v>2606.5476074218745</v>
      </c>
      <c r="BI22" s="3790">
        <v>39098.214111328118</v>
      </c>
      <c r="BJ22" s="3795">
        <v>2609.0207345145081</v>
      </c>
      <c r="BK22" s="3774">
        <v>41802.640607561385</v>
      </c>
      <c r="BL22" s="3784"/>
      <c r="BM22" s="3798">
        <v>793.10795752331501</v>
      </c>
      <c r="BN22" s="3790">
        <v>12431.50337695603</v>
      </c>
      <c r="BO22" s="3790">
        <v>738.27574472158676</v>
      </c>
      <c r="BP22" s="3790">
        <v>11074.136170823798</v>
      </c>
      <c r="BQ22" s="3796">
        <v>702.17008958941153</v>
      </c>
      <c r="BR22" s="3774">
        <v>11067.435357947475</v>
      </c>
      <c r="BS22" s="3784"/>
      <c r="BT22" s="3798">
        <v>195063.18335573099</v>
      </c>
      <c r="BU22" s="3790">
        <v>2967977.155748006</v>
      </c>
      <c r="BV22" s="3790">
        <v>157431.34375</v>
      </c>
      <c r="BW22" s="3790">
        <v>2361470.15625</v>
      </c>
      <c r="BX22" s="3790">
        <v>168101.1084711673</v>
      </c>
      <c r="BY22" s="3790">
        <v>2563546.0324795507</v>
      </c>
      <c r="BZ22" s="3790" t="s">
        <v>342</v>
      </c>
      <c r="CA22" s="3790">
        <v>168101.1084711673</v>
      </c>
      <c r="CB22" s="3790" t="s">
        <v>342</v>
      </c>
      <c r="CC22" s="3790">
        <v>168101.1084711673</v>
      </c>
      <c r="CD22" s="3774">
        <v>2563546.0324795507</v>
      </c>
      <c r="CE22" s="3790" t="s">
        <v>342</v>
      </c>
      <c r="CF22" s="3774">
        <v>164865.65948501966</v>
      </c>
      <c r="CG22" s="3774">
        <v>2515014.2976873359</v>
      </c>
      <c r="CH22" s="188"/>
    </row>
    <row r="23" spans="2:86" s="427" customFormat="1" ht="16.5" hidden="1" customHeight="1">
      <c r="B23" s="1417" t="s">
        <v>853</v>
      </c>
      <c r="C23" s="1418" t="s">
        <v>218</v>
      </c>
      <c r="D23" s="1419"/>
      <c r="E23" s="1396">
        <v>598.37033017245778</v>
      </c>
      <c r="F23" s="1396">
        <v>558.14204500000005</v>
      </c>
      <c r="G23" s="3468">
        <v>706.83156499999996</v>
      </c>
      <c r="H23" s="1396">
        <v>489.7098804893073</v>
      </c>
      <c r="I23" s="1396">
        <v>707.69561999999996</v>
      </c>
      <c r="J23" s="1396">
        <v>688.46753999999999</v>
      </c>
      <c r="K23" s="1396">
        <v>693.89582499999995</v>
      </c>
      <c r="L23" s="1396">
        <v>674.08599500000003</v>
      </c>
      <c r="M23" s="1396">
        <v>680.11226499999998</v>
      </c>
      <c r="N23" s="1396">
        <v>717.30431999999996</v>
      </c>
      <c r="O23" s="1396">
        <v>695.55525999999998</v>
      </c>
      <c r="P23" s="1396">
        <v>714.41492000000005</v>
      </c>
      <c r="Q23" s="1428"/>
      <c r="R23" s="1436">
        <v>8734</v>
      </c>
      <c r="S23" s="1413"/>
      <c r="T23" s="1437"/>
      <c r="U23" s="1437"/>
      <c r="AA23" s="3309">
        <f t="shared" si="5"/>
        <v>45827</v>
      </c>
      <c r="AB23" s="1428"/>
      <c r="AC23" s="1428"/>
      <c r="AD23" s="1428"/>
      <c r="AE23" s="1428"/>
      <c r="AF23" s="1420"/>
      <c r="AG23" s="3303"/>
      <c r="AH23" s="3303" t="e">
        <f t="shared" si="1"/>
        <v>#DIV/0!</v>
      </c>
      <c r="AI23" s="3303"/>
      <c r="AJ23" s="3303"/>
      <c r="AK23" s="3303"/>
      <c r="AL23" s="3303"/>
      <c r="AM23" s="1428"/>
      <c r="AN23" s="3303"/>
      <c r="AO23" s="1420">
        <f t="shared" si="2"/>
        <v>24.146893258401185</v>
      </c>
      <c r="AP23" s="1420">
        <f t="shared" si="3"/>
        <v>24.026158792109179</v>
      </c>
      <c r="AQ23" s="1428" t="e">
        <f t="shared" si="4"/>
        <v>#DIV/0!</v>
      </c>
      <c r="AR23" s="273"/>
      <c r="AW23" s="2551"/>
      <c r="AX23" s="3791">
        <v>46069</v>
      </c>
      <c r="AY23" s="3797">
        <v>1025.59131885534</v>
      </c>
      <c r="AZ23" s="3790">
        <v>10039.884886139114</v>
      </c>
      <c r="BA23" s="3790">
        <v>711.69780805456503</v>
      </c>
      <c r="BB23" s="3790">
        <v>11387.16492887304</v>
      </c>
      <c r="BC23" s="3793">
        <v>941.3969224846403</v>
      </c>
      <c r="BD23" s="3774">
        <v>8692.7745442079176</v>
      </c>
      <c r="BE23" s="3784"/>
      <c r="BF23" s="3798">
        <v>2710.778564453125</v>
      </c>
      <c r="BG23" s="3790">
        <v>53432.644287109375</v>
      </c>
      <c r="BH23" s="3790">
        <v>2606.5476074218745</v>
      </c>
      <c r="BI23" s="3790">
        <v>41704.761718749993</v>
      </c>
      <c r="BJ23" s="3795">
        <v>2116.1635567801331</v>
      </c>
      <c r="BK23" s="3774">
        <v>43918.80416434152</v>
      </c>
      <c r="BL23" s="3784"/>
      <c r="BM23" s="3798">
        <v>721.50684052698705</v>
      </c>
      <c r="BN23" s="3790">
        <v>13153.010217483017</v>
      </c>
      <c r="BO23" s="3790">
        <v>738.27574472158676</v>
      </c>
      <c r="BP23" s="3790">
        <v>11812.411915545385</v>
      </c>
      <c r="BQ23" s="3796">
        <v>630.56897259308357</v>
      </c>
      <c r="BR23" s="3774">
        <v>11698.00433054056</v>
      </c>
      <c r="BS23" s="3784"/>
      <c r="BT23" s="3798">
        <v>163993.686234008</v>
      </c>
      <c r="BU23" s="3790">
        <v>3131970.841982014</v>
      </c>
      <c r="BV23" s="3790">
        <v>157431.34375</v>
      </c>
      <c r="BW23" s="3790">
        <v>2518901.5</v>
      </c>
      <c r="BX23" s="3790">
        <v>137031.61134944431</v>
      </c>
      <c r="BY23" s="3790">
        <v>2700577.6438289951</v>
      </c>
      <c r="BZ23" s="3790" t="s">
        <v>342</v>
      </c>
      <c r="CA23" s="3790">
        <v>137031.61134944431</v>
      </c>
      <c r="CB23" s="3790" t="s">
        <v>342</v>
      </c>
      <c r="CC23" s="3790">
        <v>137031.61134944431</v>
      </c>
      <c r="CD23" s="3774">
        <v>2700577.6438289951</v>
      </c>
      <c r="CE23" s="3790" t="s">
        <v>342</v>
      </c>
      <c r="CF23" s="3774">
        <v>133796.16236329667</v>
      </c>
      <c r="CG23" s="3774">
        <v>2648810.4600506327</v>
      </c>
      <c r="CH23" s="188"/>
    </row>
    <row r="24" spans="2:86" s="427" customFormat="1" ht="16.5" hidden="1" customHeight="1">
      <c r="B24" s="1417" t="s">
        <v>854</v>
      </c>
      <c r="C24" s="1418" t="s">
        <v>218</v>
      </c>
      <c r="D24" s="1419"/>
      <c r="E24" s="1396"/>
      <c r="F24" s="1396"/>
      <c r="G24" s="3468"/>
      <c r="H24" s="1396"/>
      <c r="I24" s="1396"/>
      <c r="J24" s="1396"/>
      <c r="K24" s="1396"/>
      <c r="L24" s="1396"/>
      <c r="M24" s="1396"/>
      <c r="N24" s="1396"/>
      <c r="O24" s="1396"/>
      <c r="P24" s="1396"/>
      <c r="Q24" s="1428"/>
      <c r="R24" s="1436"/>
      <c r="S24" s="1413"/>
      <c r="T24" s="1437"/>
      <c r="U24" s="1437"/>
      <c r="AA24" s="3309">
        <f t="shared" si="5"/>
        <v>45828</v>
      </c>
      <c r="AB24" s="1428"/>
      <c r="AC24" s="1428"/>
      <c r="AD24" s="1428"/>
      <c r="AE24" s="1428"/>
      <c r="AF24" s="1420"/>
      <c r="AG24" s="3303"/>
      <c r="AH24" s="3303" t="e">
        <f t="shared" si="1"/>
        <v>#DIV/0!</v>
      </c>
      <c r="AI24" s="3303"/>
      <c r="AJ24" s="3303"/>
      <c r="AK24" s="3303"/>
      <c r="AL24" s="3303"/>
      <c r="AM24" s="1428"/>
      <c r="AN24" s="3303"/>
      <c r="AO24" s="1420">
        <f t="shared" si="2"/>
        <v>24.146893258401185</v>
      </c>
      <c r="AP24" s="1420">
        <f t="shared" si="3"/>
        <v>24.026158792109179</v>
      </c>
      <c r="AQ24" s="1428" t="e">
        <f t="shared" si="4"/>
        <v>#DIV/0!</v>
      </c>
      <c r="AR24" s="273"/>
      <c r="AW24" s="2551"/>
      <c r="AX24" s="3791">
        <v>46070</v>
      </c>
      <c r="AY24" s="3797">
        <v>1102.63443701238</v>
      </c>
      <c r="AZ24" s="3790">
        <v>11142.519323151495</v>
      </c>
      <c r="BA24" s="3790">
        <v>711.69780805456503</v>
      </c>
      <c r="BB24" s="3790">
        <v>12098.862736927606</v>
      </c>
      <c r="BC24" s="3793">
        <v>1018.4400406416803</v>
      </c>
      <c r="BD24" s="3774">
        <v>9711.2145848495984</v>
      </c>
      <c r="BE24" s="3784"/>
      <c r="BF24" s="3798">
        <v>2460.066162109375</v>
      </c>
      <c r="BG24" s="3790">
        <v>55892.71044921875</v>
      </c>
      <c r="BH24" s="3790">
        <v>2606.5476074218745</v>
      </c>
      <c r="BI24" s="3790">
        <v>44311.309326171868</v>
      </c>
      <c r="BJ24" s="3795">
        <v>1865.4511544363834</v>
      </c>
      <c r="BK24" s="3774">
        <v>45784.255318777905</v>
      </c>
      <c r="BL24" s="3784"/>
      <c r="BM24" s="3798">
        <v>682.822151159025</v>
      </c>
      <c r="BN24" s="3790">
        <v>13835.832368642043</v>
      </c>
      <c r="BO24" s="3790">
        <v>738.27574472158676</v>
      </c>
      <c r="BP24" s="3790">
        <v>12550.687660266971</v>
      </c>
      <c r="BQ24" s="3796">
        <v>591.88428322512152</v>
      </c>
      <c r="BR24" s="3774">
        <v>12289.888613765681</v>
      </c>
      <c r="BS24" s="3784"/>
      <c r="BT24" s="3798">
        <v>144595.10975663399</v>
      </c>
      <c r="BU24" s="3790">
        <v>3276565.9517386481</v>
      </c>
      <c r="BV24" s="3790">
        <v>157431.34375</v>
      </c>
      <c r="BW24" s="3790">
        <v>2676332.84375</v>
      </c>
      <c r="BX24" s="3790">
        <v>117633.0348720703</v>
      </c>
      <c r="BY24" s="3790">
        <v>2818210.6787010655</v>
      </c>
      <c r="BZ24" s="3790" t="s">
        <v>342</v>
      </c>
      <c r="CA24" s="3790">
        <v>117633.0348720703</v>
      </c>
      <c r="CB24" s="3790" t="s">
        <v>342</v>
      </c>
      <c r="CC24" s="3790">
        <v>117633.0348720703</v>
      </c>
      <c r="CD24" s="3774">
        <v>2818210.6787010655</v>
      </c>
      <c r="CE24" s="3790" t="s">
        <v>342</v>
      </c>
      <c r="CF24" s="3774">
        <v>114397.58588592266</v>
      </c>
      <c r="CG24" s="3774">
        <v>2763208.0459365556</v>
      </c>
      <c r="CH24" s="188"/>
    </row>
    <row r="25" spans="2:86" s="427" customFormat="1" ht="16.5" hidden="1" customHeight="1">
      <c r="B25" s="1417" t="s">
        <v>220</v>
      </c>
      <c r="C25" s="1418" t="s">
        <v>218</v>
      </c>
      <c r="D25" s="1419"/>
      <c r="E25" s="1396"/>
      <c r="F25" s="1396"/>
      <c r="G25" s="3468"/>
      <c r="H25" s="1396"/>
      <c r="I25" s="1396"/>
      <c r="J25" s="1396"/>
      <c r="K25" s="1396"/>
      <c r="L25" s="1396"/>
      <c r="M25" s="1396"/>
      <c r="N25" s="1396"/>
      <c r="O25" s="1396"/>
      <c r="P25" s="1396"/>
      <c r="Q25" s="1428"/>
      <c r="R25" s="1436"/>
      <c r="S25" s="1413"/>
      <c r="T25" s="1437"/>
      <c r="U25" s="1437"/>
      <c r="AA25" s="3309">
        <f t="shared" si="5"/>
        <v>45829</v>
      </c>
      <c r="AB25" s="1428"/>
      <c r="AC25" s="1428"/>
      <c r="AD25" s="1428"/>
      <c r="AE25" s="1428"/>
      <c r="AF25" s="1420"/>
      <c r="AG25" s="3303"/>
      <c r="AH25" s="3303" t="e">
        <f t="shared" si="1"/>
        <v>#DIV/0!</v>
      </c>
      <c r="AI25" s="3303"/>
      <c r="AJ25" s="3303"/>
      <c r="AK25" s="3303"/>
      <c r="AL25" s="3303"/>
      <c r="AM25" s="1428"/>
      <c r="AN25" s="3303"/>
      <c r="AO25" s="1420">
        <f t="shared" si="2"/>
        <v>24.146893258401185</v>
      </c>
      <c r="AP25" s="1420">
        <f t="shared" si="3"/>
        <v>24.026158792109179</v>
      </c>
      <c r="AQ25" s="1428" t="e">
        <f t="shared" si="4"/>
        <v>#DIV/0!</v>
      </c>
      <c r="AR25" s="273"/>
      <c r="AW25" s="2551"/>
      <c r="AX25" s="3791">
        <v>46071</v>
      </c>
      <c r="AY25" s="3797">
        <v>1090.3416060948</v>
      </c>
      <c r="AZ25" s="3790">
        <v>12232.860929246295</v>
      </c>
      <c r="BA25" s="3790">
        <v>711.69780805456503</v>
      </c>
      <c r="BB25" s="3790">
        <v>12810.560544982171</v>
      </c>
      <c r="BC25" s="3793">
        <v>1006.1472097241003</v>
      </c>
      <c r="BD25" s="3774">
        <v>10717.361794573699</v>
      </c>
      <c r="BE25" s="3784"/>
      <c r="BF25" s="3798">
        <v>2702.33544921875</v>
      </c>
      <c r="BG25" s="3790">
        <v>58595.0458984375</v>
      </c>
      <c r="BH25" s="3790">
        <v>2606.5476074218745</v>
      </c>
      <c r="BI25" s="3790">
        <v>46917.856933593743</v>
      </c>
      <c r="BJ25" s="3795">
        <v>2107.7204415457581</v>
      </c>
      <c r="BK25" s="3774">
        <v>47891.975760323665</v>
      </c>
      <c r="BL25" s="3784"/>
      <c r="BM25" s="3798">
        <v>666.350695594998</v>
      </c>
      <c r="BN25" s="3790">
        <v>14502.183064237041</v>
      </c>
      <c r="BO25" s="3790">
        <v>738.27574472158676</v>
      </c>
      <c r="BP25" s="3790">
        <v>13288.963404988557</v>
      </c>
      <c r="BQ25" s="3796">
        <v>575.41282766109452</v>
      </c>
      <c r="BR25" s="3774">
        <v>12865.301441426775</v>
      </c>
      <c r="BS25" s="3784"/>
      <c r="BT25" s="3798">
        <v>134194.144529279</v>
      </c>
      <c r="BU25" s="3790">
        <v>3410760.096267927</v>
      </c>
      <c r="BV25" s="3790">
        <v>157431.34375</v>
      </c>
      <c r="BW25" s="3790">
        <v>2833764.1875</v>
      </c>
      <c r="BX25" s="3790">
        <v>107232.06964471532</v>
      </c>
      <c r="BY25" s="3790">
        <v>2925442.7483457807</v>
      </c>
      <c r="BZ25" s="3790" t="s">
        <v>342</v>
      </c>
      <c r="CA25" s="3790">
        <v>107232.06964471532</v>
      </c>
      <c r="CB25" s="3790" t="s">
        <v>342</v>
      </c>
      <c r="CC25" s="3790">
        <v>107232.06964471532</v>
      </c>
      <c r="CD25" s="3774">
        <v>2925442.7483457807</v>
      </c>
      <c r="CE25" s="3790" t="s">
        <v>342</v>
      </c>
      <c r="CF25" s="3774">
        <v>103996.62065856767</v>
      </c>
      <c r="CG25" s="3774">
        <v>2867204.6665951232</v>
      </c>
      <c r="CH25" s="188"/>
    </row>
    <row r="26" spans="2:86" s="427" customFormat="1" ht="16.5" hidden="1" customHeight="1">
      <c r="B26" s="1417" t="s">
        <v>221</v>
      </c>
      <c r="C26" s="1418" t="s">
        <v>218</v>
      </c>
      <c r="D26" s="1419"/>
      <c r="E26" s="1396"/>
      <c r="F26" s="1396"/>
      <c r="G26" s="3468"/>
      <c r="H26" s="1396"/>
      <c r="I26" s="1396"/>
      <c r="J26" s="1396"/>
      <c r="K26" s="1396"/>
      <c r="L26" s="1396"/>
      <c r="M26" s="1396"/>
      <c r="N26" s="1396"/>
      <c r="O26" s="1396"/>
      <c r="P26" s="1396"/>
      <c r="Q26" s="1428"/>
      <c r="R26" s="1436"/>
      <c r="S26" s="1413"/>
      <c r="T26" s="1437"/>
      <c r="U26" s="1437"/>
      <c r="AA26" s="3309">
        <f t="shared" si="5"/>
        <v>45830</v>
      </c>
      <c r="AB26" s="1428"/>
      <c r="AC26" s="1428"/>
      <c r="AD26" s="1428"/>
      <c r="AE26" s="1428"/>
      <c r="AF26" s="1420"/>
      <c r="AG26" s="3303"/>
      <c r="AH26" s="3303" t="e">
        <f t="shared" si="1"/>
        <v>#DIV/0!</v>
      </c>
      <c r="AI26" s="3303"/>
      <c r="AJ26" s="3303"/>
      <c r="AK26" s="3303"/>
      <c r="AL26" s="3303"/>
      <c r="AM26" s="1428"/>
      <c r="AN26" s="3303"/>
      <c r="AO26" s="1420">
        <f t="shared" si="2"/>
        <v>24.146893258401185</v>
      </c>
      <c r="AP26" s="1420">
        <f t="shared" si="3"/>
        <v>24.026158792109179</v>
      </c>
      <c r="AQ26" s="1428" t="e">
        <f t="shared" si="4"/>
        <v>#DIV/0!</v>
      </c>
      <c r="AR26" s="273"/>
      <c r="AW26" s="2551"/>
      <c r="AX26" s="3791">
        <v>46072</v>
      </c>
      <c r="AY26" s="3797">
        <v>304.21084175701901</v>
      </c>
      <c r="AZ26" s="3790">
        <v>12537.071771003315</v>
      </c>
      <c r="BA26" s="3790">
        <v>711.69780805456503</v>
      </c>
      <c r="BB26" s="3790">
        <v>13522.258353036736</v>
      </c>
      <c r="BC26" s="3793">
        <v>220.01644538631936</v>
      </c>
      <c r="BD26" s="3774">
        <v>10937.378239960019</v>
      </c>
      <c r="BE26" s="3784"/>
      <c r="BF26" s="3798">
        <v>2690.868896484375</v>
      </c>
      <c r="BG26" s="3790">
        <v>61285.914794921875</v>
      </c>
      <c r="BH26" s="3790">
        <v>2606.5476074218745</v>
      </c>
      <c r="BI26" s="3790">
        <v>49524.404541015618</v>
      </c>
      <c r="BJ26" s="3795">
        <v>2096.2538888113831</v>
      </c>
      <c r="BK26" s="3774">
        <v>49988.22964913505</v>
      </c>
      <c r="BL26" s="3784"/>
      <c r="BM26" s="3798">
        <v>620.88357848351802</v>
      </c>
      <c r="BN26" s="3790">
        <v>15123.066642720558</v>
      </c>
      <c r="BO26" s="3790">
        <v>738.27574472158676</v>
      </c>
      <c r="BP26" s="3790">
        <v>14027.239149710143</v>
      </c>
      <c r="BQ26" s="3796">
        <v>529.94571054961455</v>
      </c>
      <c r="BR26" s="3774">
        <v>13395.247151976389</v>
      </c>
      <c r="BS26" s="3784"/>
      <c r="BT26" s="3798">
        <v>133156.67827533901</v>
      </c>
      <c r="BU26" s="3790">
        <v>3543916.7745432658</v>
      </c>
      <c r="BV26" s="3790">
        <v>157431.34375</v>
      </c>
      <c r="BW26" s="3790">
        <v>2991195.53125</v>
      </c>
      <c r="BX26" s="3790">
        <v>106194.60339077533</v>
      </c>
      <c r="BY26" s="3790">
        <v>3031637.3517365558</v>
      </c>
      <c r="BZ26" s="3790" t="s">
        <v>342</v>
      </c>
      <c r="CA26" s="3790">
        <v>106194.60339077533</v>
      </c>
      <c r="CB26" s="3790" t="s">
        <v>342</v>
      </c>
      <c r="CC26" s="3790">
        <v>106194.60339077533</v>
      </c>
      <c r="CD26" s="3774">
        <v>3031637.3517365558</v>
      </c>
      <c r="CE26" s="3790" t="s">
        <v>342</v>
      </c>
      <c r="CF26" s="3774">
        <v>102959.15440462768</v>
      </c>
      <c r="CG26" s="3774">
        <v>2970163.8209997509</v>
      </c>
      <c r="CH26" s="188"/>
    </row>
    <row r="27" spans="2:86" s="427" customFormat="1" ht="16.5" customHeight="1">
      <c r="B27" s="1417" t="s">
        <v>217</v>
      </c>
      <c r="C27" s="1418" t="s">
        <v>218</v>
      </c>
      <c r="D27" s="1419"/>
      <c r="E27" s="1396">
        <v>743.5</v>
      </c>
      <c r="F27" s="1396">
        <v>671.5</v>
      </c>
      <c r="G27" s="3468">
        <v>743.5</v>
      </c>
      <c r="H27" s="1396">
        <v>719.5</v>
      </c>
      <c r="I27" s="1396">
        <v>739.5</v>
      </c>
      <c r="J27" s="1396">
        <v>713.5</v>
      </c>
      <c r="K27" s="1396">
        <v>737.5</v>
      </c>
      <c r="L27" s="1396">
        <v>739.5</v>
      </c>
      <c r="M27" s="1396">
        <v>719.5</v>
      </c>
      <c r="N27" s="1396">
        <v>743.5</v>
      </c>
      <c r="O27" s="1396">
        <v>719.5</v>
      </c>
      <c r="P27" s="1396">
        <v>743.5</v>
      </c>
      <c r="Q27" s="1428"/>
      <c r="R27" s="1436">
        <v>8734</v>
      </c>
      <c r="S27" s="1413"/>
      <c r="T27" s="1437">
        <f>IF(MONTH(Factores!$D$2)=1,SUM($E27:E27),IF(MONTH(Factores!$D$2)=2,SUM($E27:F27),IF(MONTH(Factores!$D$2)=3,SUM($E27:G27),IF(MONTH(Factores!$D$2)=4,SUM($E27:H27),IF(MONTH(Factores!$D$2)=5,SUM($E27:I27),IF(MONTH(Factores!$D$2)=6,SUM($E27:J27),IF(MONTH(Factores!$D$2)=7,SUM($E27:K27),IF(MONTH(Factores!$D$2)=8,SUM($E27:L27),IF(MONTH(Factores!$D$2)=9,SUM($E27:M27),IF(MONTH(Factores!$D$2)=10,SUM($E27:N27),IF(MONTH(Factores!$D$2)=11,SUM($E27:O27),IF(MONTH(Factores!$D$2)=12,SUM($E27:P27)))))))))))))</f>
        <v>2158.5</v>
      </c>
      <c r="U27" s="1437">
        <f>IF(MONTH(Factores!$D$2)=1,SUM($E27:E27),IF(MONTH(Factores!$D$2)=2,SUM($E27:E27),IF(MONTH(Factores!$D$2)=3,SUM($E27:F27),IF(MONTH(Factores!$D$2)=4,SUM($E27:G27),IF(MONTH(Factores!$D$2)=5,SUM($E27:H27),IF(MONTH(Factores!$D$2)=6,SUM($E27:I27),IF(MONTH(Factores!$D$2)=7,SUM($E27:J27),IF(MONTH(Factores!$D$2)=8,SUM($E27:K27),IF(MONTH(Factores!$D$2)=9,SUM($E27:L27),IF(MONTH(Factores!$D$2)=10,SUM($E27:M27),IF(MONTH(Factores!$D$2)=11,SUM($E27:N27),IF(MONTH(Factores!$D$2)=12,SUM($E27:O27)))))))))))))</f>
        <v>1415</v>
      </c>
      <c r="AA27" s="3309">
        <f t="shared" si="5"/>
        <v>45831</v>
      </c>
      <c r="AB27" s="1428"/>
      <c r="AC27" s="1428"/>
      <c r="AD27" s="1428"/>
      <c r="AE27" s="1428"/>
      <c r="AF27" s="1420"/>
      <c r="AG27" s="3303"/>
      <c r="AH27" s="3303" t="e">
        <f t="shared" si="1"/>
        <v>#DIV/0!</v>
      </c>
      <c r="AI27" s="3303"/>
      <c r="AJ27" s="3303"/>
      <c r="AK27" s="3303"/>
      <c r="AL27" s="3303"/>
      <c r="AM27" s="1428"/>
      <c r="AN27" s="3303"/>
      <c r="AO27" s="1420">
        <f t="shared" si="2"/>
        <v>24.146893258401185</v>
      </c>
      <c r="AP27" s="1420">
        <f t="shared" si="3"/>
        <v>24.026158792109179</v>
      </c>
      <c r="AQ27" s="1428" t="e">
        <f t="shared" si="4"/>
        <v>#DIV/0!</v>
      </c>
      <c r="AR27" s="273"/>
      <c r="AW27" s="2551"/>
      <c r="AX27" s="3791">
        <v>46073</v>
      </c>
      <c r="AY27" s="3797">
        <v>805.46900007030604</v>
      </c>
      <c r="AZ27" s="3790">
        <v>13342.540771073622</v>
      </c>
      <c r="BA27" s="3790">
        <v>711.69780805456503</v>
      </c>
      <c r="BB27" s="3790">
        <v>14233.956161091301</v>
      </c>
      <c r="BC27" s="3793">
        <v>721.27460369960636</v>
      </c>
      <c r="BD27" s="3774">
        <v>11658.652843659625</v>
      </c>
      <c r="BE27" s="3784"/>
      <c r="BF27" s="3798">
        <v>2674.103271484375</v>
      </c>
      <c r="BG27" s="3790">
        <v>63960.01806640625</v>
      </c>
      <c r="BH27" s="3790">
        <v>2606.5476074218745</v>
      </c>
      <c r="BI27" s="3790">
        <v>52130.952148437493</v>
      </c>
      <c r="BJ27" s="3795">
        <v>2079.4882638113831</v>
      </c>
      <c r="BK27" s="3774">
        <v>52067.717912946435</v>
      </c>
      <c r="BL27" s="3784"/>
      <c r="BM27" s="3798">
        <v>690.50777819206905</v>
      </c>
      <c r="BN27" s="3790">
        <v>15813.574420912628</v>
      </c>
      <c r="BO27" s="3790">
        <v>738.27574472158676</v>
      </c>
      <c r="BP27" s="3790">
        <v>14765.51489443173</v>
      </c>
      <c r="BQ27" s="3796">
        <v>599.56991025816558</v>
      </c>
      <c r="BR27" s="3774">
        <v>13994.817062234555</v>
      </c>
      <c r="BS27" s="3784"/>
      <c r="BT27" s="3798">
        <v>137706.411711553</v>
      </c>
      <c r="BU27" s="3790">
        <v>3681623.1862548189</v>
      </c>
      <c r="BV27" s="3790">
        <v>157431.34375</v>
      </c>
      <c r="BW27" s="3790">
        <v>3148626.875</v>
      </c>
      <c r="BX27" s="3790">
        <v>110744.33682698931</v>
      </c>
      <c r="BY27" s="3790">
        <v>3142381.6885635452</v>
      </c>
      <c r="BZ27" s="3790" t="s">
        <v>342</v>
      </c>
      <c r="CA27" s="3790">
        <v>110744.33682698931</v>
      </c>
      <c r="CB27" s="3790" t="s">
        <v>342</v>
      </c>
      <c r="CC27" s="3790">
        <v>110744.33682698931</v>
      </c>
      <c r="CD27" s="3774">
        <v>3142381.6885635452</v>
      </c>
      <c r="CE27" s="3790" t="s">
        <v>342</v>
      </c>
      <c r="CF27" s="3774">
        <v>107508.88784084166</v>
      </c>
      <c r="CG27" s="3774">
        <v>3077672.7088405928</v>
      </c>
      <c r="CH27" s="188"/>
    </row>
    <row r="28" spans="2:86" s="427" customFormat="1" ht="16.5" customHeight="1">
      <c r="B28" s="1425"/>
      <c r="C28" s="1426"/>
      <c r="D28" s="1426"/>
      <c r="E28" s="3388"/>
      <c r="F28" s="3388"/>
      <c r="G28" s="3469"/>
      <c r="H28" s="3388"/>
      <c r="I28" s="3388"/>
      <c r="J28" s="3388"/>
      <c r="K28" s="3388"/>
      <c r="L28" s="3388"/>
      <c r="M28" s="3388"/>
      <c r="N28" s="3388"/>
      <c r="O28" s="3388"/>
      <c r="P28" s="3388"/>
      <c r="Q28" s="1428"/>
      <c r="R28" s="3388"/>
      <c r="T28" s="1438"/>
      <c r="U28" s="1439"/>
      <c r="AA28" s="3309">
        <f t="shared" si="5"/>
        <v>45832</v>
      </c>
      <c r="AB28" s="1428"/>
      <c r="AC28" s="1428"/>
      <c r="AD28" s="1428"/>
      <c r="AE28" s="1428"/>
      <c r="AF28" s="1420"/>
      <c r="AG28" s="3303"/>
      <c r="AH28" s="3303" t="e">
        <f t="shared" si="1"/>
        <v>#DIV/0!</v>
      </c>
      <c r="AI28" s="3303"/>
      <c r="AJ28" s="3303"/>
      <c r="AK28" s="3303"/>
      <c r="AL28" s="3303"/>
      <c r="AM28" s="1428"/>
      <c r="AN28" s="3303"/>
      <c r="AO28" s="1420">
        <f t="shared" si="2"/>
        <v>24.146893258401185</v>
      </c>
      <c r="AP28" s="1420">
        <f t="shared" si="3"/>
        <v>24.026158792109179</v>
      </c>
      <c r="AQ28" s="1428" t="e">
        <f t="shared" si="4"/>
        <v>#DIV/0!</v>
      </c>
      <c r="AR28" s="273"/>
      <c r="AW28" s="2551"/>
      <c r="AX28" s="3791">
        <v>46074</v>
      </c>
      <c r="AY28" s="3797">
        <v>901.40846417415105</v>
      </c>
      <c r="AZ28" s="3790">
        <v>14243.949235247772</v>
      </c>
      <c r="BA28" s="3790">
        <v>711.69780805456503</v>
      </c>
      <c r="BB28" s="3790">
        <v>14945.653969145866</v>
      </c>
      <c r="BC28" s="3793">
        <v>817.21406780345137</v>
      </c>
      <c r="BD28" s="3774">
        <v>12475.866911463077</v>
      </c>
      <c r="BE28" s="3784"/>
      <c r="BF28" s="3798">
        <v>2736.11328125</v>
      </c>
      <c r="BG28" s="3790">
        <v>66696.13134765625</v>
      </c>
      <c r="BH28" s="3790">
        <v>2606.5476074218745</v>
      </c>
      <c r="BI28" s="3790">
        <v>54737.499755859368</v>
      </c>
      <c r="BJ28" s="3795">
        <v>2141.4982735770081</v>
      </c>
      <c r="BK28" s="3774">
        <v>54209.216186523445</v>
      </c>
      <c r="BL28" s="3784"/>
      <c r="BM28" s="3798">
        <v>750.78980992961397</v>
      </c>
      <c r="BN28" s="3790">
        <v>16564.364230842242</v>
      </c>
      <c r="BO28" s="3790">
        <v>738.27574472158676</v>
      </c>
      <c r="BP28" s="3790">
        <v>15503.790639153316</v>
      </c>
      <c r="BQ28" s="3796">
        <v>659.85194199571049</v>
      </c>
      <c r="BR28" s="3774">
        <v>14654.669004230265</v>
      </c>
      <c r="BS28" s="3784"/>
      <c r="BT28" s="3798">
        <v>149795.64670085601</v>
      </c>
      <c r="BU28" s="3790">
        <v>3831418.8329556747</v>
      </c>
      <c r="BV28" s="3790">
        <v>157431.34375</v>
      </c>
      <c r="BW28" s="3790">
        <v>3306058.21875</v>
      </c>
      <c r="BX28" s="3790">
        <v>122833.57181629233</v>
      </c>
      <c r="BY28" s="3790">
        <v>3265215.2603798374</v>
      </c>
      <c r="BZ28" s="3790" t="s">
        <v>342</v>
      </c>
      <c r="CA28" s="3790">
        <v>122833.57181629233</v>
      </c>
      <c r="CB28" s="3790" t="s">
        <v>342</v>
      </c>
      <c r="CC28" s="3790">
        <v>122833.57181629233</v>
      </c>
      <c r="CD28" s="3774">
        <v>3265215.2603798374</v>
      </c>
      <c r="CE28" s="3790" t="s">
        <v>342</v>
      </c>
      <c r="CF28" s="3774">
        <v>119598.12283014468</v>
      </c>
      <c r="CG28" s="3774">
        <v>3197270.8316707374</v>
      </c>
      <c r="CH28" s="188"/>
    </row>
    <row r="29" spans="2:86" s="427" customFormat="1" ht="16.5" customHeight="1">
      <c r="B29" s="1417" t="s">
        <v>223</v>
      </c>
      <c r="C29" s="1440" t="s">
        <v>48</v>
      </c>
      <c r="D29" s="1419"/>
      <c r="E29" s="1392">
        <v>0.47367571505916883</v>
      </c>
      <c r="F29" s="1392">
        <v>0.52127378640788191</v>
      </c>
      <c r="G29" s="3460">
        <v>0.56048276877845449</v>
      </c>
      <c r="H29" s="1392">
        <v>0.63704189198698991</v>
      </c>
      <c r="I29" s="1392">
        <v>0.59109678083398087</v>
      </c>
      <c r="J29" s="1392">
        <v>0.60545287776415124</v>
      </c>
      <c r="K29" s="1392">
        <v>0.54789445382078417</v>
      </c>
      <c r="L29" s="1392">
        <v>0.6886811649345963</v>
      </c>
      <c r="M29" s="1392">
        <v>0.60633707854687813</v>
      </c>
      <c r="N29" s="1392">
        <v>0.63541411872800913</v>
      </c>
      <c r="O29" s="1392">
        <v>0.67569467246353854</v>
      </c>
      <c r="P29" s="1392">
        <v>0.69002820599001813</v>
      </c>
      <c r="Q29" s="1428"/>
      <c r="R29" s="1422">
        <v>0.60530185578174789</v>
      </c>
      <c r="S29" s="1398"/>
      <c r="T29" s="1441">
        <f>IF(MONTH(Factores!$D$2)=1,SUMPRODUCT($E$12:$E$12,$E29:E29)/SUM($E$12:$E$12),IF(MONTH(Factores!$D$2)=2,SUMPRODUCT($E$12:$F$12,$E29:F29)/SUM($E$12:$F$12),IF(MONTH(Factores!$D$2)=3,SUMPRODUCT($E$12:$G$12,$E29:G29)/SUM($E$12:$G$12),IF(MONTH(Factores!$D$2)=4,SUMPRODUCT($E$12:$H$12,$E29:H29)/SUM($E$12:$H$12),IF(MONTH(Factores!$D$2)=5,SUMPRODUCT($E$12:$I$12,$E29:I29)/SUM($E$12:$I$12),IF(MONTH(Factores!$D$2)=6,SUMPRODUCT($E$12:$J$12,$E29:J29)/SUM($E$12:$J$12),IF(MONTH(Factores!$D$2)=7,SUMPRODUCT($E$12:$K$12,$E29:K29)/SUM($E$12:$K$12),IF(MONTH(Factores!$D$2)=8,SUMPRODUCT($E$12:$L$12,$E29:L29)/SUM($E$12:$L$12),IF(MONTH(Factores!$D$2)=9,SUMPRODUCT($E$12:$M$12,$E29:M29)/SUM($E$12:$M$12),IF(MONTH(Factores!$D$2)=10,SUMPRODUCT($E$12:$N$12,$E29:N29)/SUM($E$12:$N$12),IF(MONTH(Factores!$D$2)=11,SUMPRODUCT($E$12:$O$12,$E29:O29)/SUM($E$12:$O$12),IF(MONTH(Factores!$D$2)=12,SUMPRODUCT($E$12:$P$12,$E29:P29)/SUM($E$12:$P$12)))))))))))))</f>
        <v>0.52083855986685346</v>
      </c>
      <c r="U29" s="1441">
        <f>IF(MONTH(Factores!$D$2)=1,SUMPRODUCT($E$12:$E$12,$E29:E29)/SUM($E$12:$E$12),IF(MONTH(Factores!$D$2)=2,SUMPRODUCT($E$12:$E$12,$E29:E29)/SUM($E$12:$E$12),IF(MONTH(Factores!$D$2)=3,SUMPRODUCT($E$12:$F$12,$E29:F29)/SUM($E$12:$F$12),IF(MONTH(Factores!$D$2)=4,SUMPRODUCT($E$12:$G$12,$E29:G29)/SUM($E$12:$G$12),IF(MONTH(Factores!$D$2)=5,SUMPRODUCT($E$12:$H$12,$E29:H29)/SUM($E$12:$H$12),IF(MONTH(Factores!$D$2)=6,SUMPRODUCT($E$12:$I$12,$E29:I29)/SUM($E$12:$I$12),IF(MONTH(Factores!$D$2)=7,SUMPRODUCT($E$12:$J$12,$E29:J29)/SUM($E$12:$J$12),IF(MONTH(Factores!$D$2)=8,SUMPRODUCT($E$12:$K$12,$E29:K29)/SUM($E$12:$K$12),IF(MONTH(Factores!$D$2)=9,SUMPRODUCT($E$12:$L$12,$E29:L29)/SUM($E$12:$L$12),IF(MONTH(Factores!$D$2)=10,SUMPRODUCT($E$12:$M$12,$E29:M29)/SUM($E$12:$M$12),IF(MONTH(Factores!$D$2)=11,SUMPRODUCT($E$12:$N$12,$E29:N29)/SUM($E$12:$N$12),IF(MONTH(Factores!$D$2)=12,SUMPRODUCT($E$12:$O$12,$E29:O29)/SUM($E$12:$O$12)))))))))))))</f>
        <v>0.49610589348850848</v>
      </c>
      <c r="W29" s="3276" t="e">
        <f>(IF(E4="REAL",E29*E12,0)+IF(F4="REAL",F29*F12,0)+IF(G4="REAL",G29*G12,0)+IF(H4="REAL",H29*H12,0)+IF(I4="REAL",I29*I12,0)+IF(J4="REAL",J29*J12,0)+IF(K4="REAL",K29*K12,0)+IF(L4="REAL",L29*L12,0)+IF(M4="REAL",M29*M12,0)+IF(N4="REAL",N29*N12,0)+IF(O4="REAL",O29*O12,0)+IF(P4="REAL",P29*P12,0))/W12</f>
        <v>#DIV/0!</v>
      </c>
      <c r="X29" s="3286">
        <f>SUMIF($E$4:$P$4,"R+P",E29:P29)</f>
        <v>0</v>
      </c>
      <c r="Y29" s="3276" t="e">
        <f>(IF(E4="REAL",E29*E12,0)+IF(F4="REAL",F29*F12,0)+IF(G4="REAL",G29*G12,0)+IF(H4="REAL",H29*H12,0)+IF(I4="REAL",I29*I12,0)+IF(J4="REAL",J29*J12,0)+IF(K4="REAL",K29*K12,0)+IF(L4="REAL",L29*L12,0)+IF(M4="REAL",M29*M12,0)+IF(N4="REAL",N29*N12,0)+IF(O4="REAL",O29*O12,0)+IF(P4="REAL",P29*P12,0)+X12*X29)/Y12</f>
        <v>#REF!</v>
      </c>
      <c r="Z29" s="1398"/>
      <c r="AA29" s="3309">
        <f t="shared" si="5"/>
        <v>45833</v>
      </c>
      <c r="AB29" s="1428"/>
      <c r="AC29" s="1428"/>
      <c r="AD29" s="1428"/>
      <c r="AE29" s="1428"/>
      <c r="AF29" s="1420"/>
      <c r="AG29" s="3303"/>
      <c r="AH29" s="3303" t="e">
        <f t="shared" si="1"/>
        <v>#DIV/0!</v>
      </c>
      <c r="AI29" s="3303"/>
      <c r="AJ29" s="3303"/>
      <c r="AK29" s="3303"/>
      <c r="AL29" s="3303"/>
      <c r="AM29" s="1428"/>
      <c r="AN29" s="3303"/>
      <c r="AO29" s="1420">
        <f t="shared" si="2"/>
        <v>24.146893258401185</v>
      </c>
      <c r="AP29" s="1420">
        <f t="shared" si="3"/>
        <v>24.026158792109179</v>
      </c>
      <c r="AQ29" s="1428" t="e">
        <f t="shared" si="4"/>
        <v>#DIV/0!</v>
      </c>
      <c r="AR29" s="273"/>
      <c r="AW29" s="2551"/>
      <c r="AX29" s="3791">
        <v>46075</v>
      </c>
      <c r="AY29" s="3797">
        <v>1136.76172737006</v>
      </c>
      <c r="AZ29" s="3790">
        <v>15380.710962617832</v>
      </c>
      <c r="BA29" s="3790">
        <v>711.69780805456503</v>
      </c>
      <c r="BB29" s="3790">
        <v>15657.351777200431</v>
      </c>
      <c r="BC29" s="3793">
        <v>1052.5673309993604</v>
      </c>
      <c r="BD29" s="3774">
        <v>13528.434242462437</v>
      </c>
      <c r="BE29" s="3784"/>
      <c r="BF29" s="3798">
        <v>3255.607666015625</v>
      </c>
      <c r="BG29" s="3790">
        <v>69951.739013671875</v>
      </c>
      <c r="BH29" s="3790">
        <v>2606.5476074218745</v>
      </c>
      <c r="BI29" s="3790">
        <v>57344.047363281243</v>
      </c>
      <c r="BJ29" s="3795">
        <v>2660.9926583426331</v>
      </c>
      <c r="BK29" s="3774">
        <v>56870.20884486608</v>
      </c>
      <c r="BL29" s="3784"/>
      <c r="BM29" s="3798">
        <v>973.38557432213804</v>
      </c>
      <c r="BN29" s="3790">
        <v>17537.749805164382</v>
      </c>
      <c r="BO29" s="3790">
        <v>738.27574472158676</v>
      </c>
      <c r="BP29" s="3790">
        <v>16242.066383874902</v>
      </c>
      <c r="BQ29" s="3796">
        <v>882.44770638823456</v>
      </c>
      <c r="BR29" s="3774">
        <v>15537.1167106185</v>
      </c>
      <c r="BS29" s="3784"/>
      <c r="BT29" s="3798">
        <v>185336.24276138301</v>
      </c>
      <c r="BU29" s="3790">
        <v>4016755.0757170576</v>
      </c>
      <c r="BV29" s="3790">
        <v>157431.34375</v>
      </c>
      <c r="BW29" s="3790">
        <v>3463489.5625</v>
      </c>
      <c r="BX29" s="3790">
        <v>158374.16787681932</v>
      </c>
      <c r="BY29" s="3790">
        <v>3423589.4282566565</v>
      </c>
      <c r="BZ29" s="3790" t="s">
        <v>342</v>
      </c>
      <c r="CA29" s="3790">
        <v>158374.16787681932</v>
      </c>
      <c r="CB29" s="3790" t="s">
        <v>342</v>
      </c>
      <c r="CC29" s="3790">
        <v>158374.16787681932</v>
      </c>
      <c r="CD29" s="3774">
        <v>3423589.4282566565</v>
      </c>
      <c r="CE29" s="3790" t="s">
        <v>342</v>
      </c>
      <c r="CF29" s="3774">
        <v>155138.71889067168</v>
      </c>
      <c r="CG29" s="3774">
        <v>3352409.550561409</v>
      </c>
      <c r="CH29" s="188"/>
    </row>
    <row r="30" spans="2:86" s="427" customFormat="1" ht="16.5" customHeight="1">
      <c r="B30" s="1417" t="s">
        <v>224</v>
      </c>
      <c r="C30" s="1440" t="s">
        <v>48</v>
      </c>
      <c r="D30" s="1419"/>
      <c r="E30" s="1396">
        <f>+E7*100/(E12*E29%)</f>
        <v>89.702625819593848</v>
      </c>
      <c r="F30" s="1396">
        <f>+F7*100/(F12*F29%)</f>
        <v>89.962496682058458</v>
      </c>
      <c r="G30" s="3468">
        <f t="shared" ref="G30:P30" si="6">+G7*100/(G12*G29%)</f>
        <v>90.23452493939709</v>
      </c>
      <c r="H30" s="1396">
        <f t="shared" si="6"/>
        <v>90.440219377357522</v>
      </c>
      <c r="I30" s="1396">
        <f t="shared" si="6"/>
        <v>90.080086556341016</v>
      </c>
      <c r="J30" s="1396">
        <f t="shared" si="6"/>
        <v>90.14666755520922</v>
      </c>
      <c r="K30" s="1396">
        <f t="shared" si="6"/>
        <v>90.688579548038277</v>
      </c>
      <c r="L30" s="1396">
        <f t="shared" si="6"/>
        <v>90.843901915011372</v>
      </c>
      <c r="M30" s="1396">
        <f t="shared" si="6"/>
        <v>90.564675720886868</v>
      </c>
      <c r="N30" s="1396">
        <f t="shared" si="6"/>
        <v>90.725115448434224</v>
      </c>
      <c r="O30" s="1396">
        <f t="shared" si="6"/>
        <v>91.141794753803609</v>
      </c>
      <c r="P30" s="1396">
        <f t="shared" si="6"/>
        <v>91.28287412291094</v>
      </c>
      <c r="Q30" s="1428"/>
      <c r="R30" s="1442">
        <v>90.546524499481052</v>
      </c>
      <c r="T30" s="1434">
        <f>IF(MONTH(Factores!$D$2)=1,SUMPRODUCT($E$12:$E$12,$E$29:$E$29,$E30:E30)/SUMPRODUCT($E$12:$E$12,$E$29:$E$29),IF(MONTH(Factores!$D$2)=2,SUMPRODUCT($E$12:$F$12,$E$29:$F$29,$E30:F30)/SUMPRODUCT($E$12:$F$12,$E$29:$F$29),IF(MONTH(Factores!$D$2)=3,SUMPRODUCT($E$12:$G$12,$E$29:$G$29,$E30:G30)/SUMPRODUCT($E$12:$G$12,$E$29:$G$29),IF(MONTH(Factores!$D$2)=4,SUMPRODUCT($E$12:$H$12,$E$29:$H$29,$E30:H30)/SUMPRODUCT($E$12:$H$12,$E$29:$H$29),IF(MONTH(Factores!$D$2)=5,SUMPRODUCT($E$12:$I$12,$E$29:$I$29,$E30:I30)/SUMPRODUCT($E$12:$I$12,$E$29:$I$29),IF(MONTH(Factores!$D$2)=6,SUMPRODUCT($E$12:$J$12,$E$29:$J$29,$E30:J30)/SUMPRODUCT($E$12:$J$12,$E$29:$J$29),IF(MONTH(Factores!$D$2)=7,SUMPRODUCT($E$12:$K$12,$E$29:$K$29,$E30:K30)/SUMPRODUCT($E$12:$K$12,$E$29:$K$29),IF(MONTH(Factores!$D$2)=8,SUMPRODUCT($E$12:$L$12,$E$29:$L$29,$E30:L30)/SUMPRODUCT($E$12:$L$12,$E$29:$L$29),IF(MONTH(Factores!$D$2)=9,SUMPRODUCT($E$12:$M$12,$E$29:$M$29,$E30:M30)/SUMPRODUCT($E$12:$M$12,$E$29:$M$29),IF(MONTH(Factores!$D$2)=10,SUMPRODUCT($E$12:$N$12,$E$29:$N$29,$E30:N30)/SUMPRODUCT($E$12:$N$12,$E$29:$N$29),IF(MONTH(Factores!$D$2)=11,SUMPRODUCT($E$12:$O$12,$E$29:$O$29,$E30:O30)/SUMPRODUCT($E$12:$O$12,$E$29:$O$29),IF(MONTH(Factores!$D$2)=12,SUMPRODUCT($E$12:$P$12,$E$29:$P$29,$E30:P30)/SUMPRODUCT($E$12:$P$12,$E$29:$P$29)))))))))))))</f>
        <v>89.998004776086447</v>
      </c>
      <c r="U30" s="1434">
        <f>IF(MONTH(Factores!$D$2)=1,SUMPRODUCT($E$12:$E$12,$E$29:$E$29,$E30:E30)/SUMPRODUCT($E$12:$E$12,$E$29:$E$29),IF(MONTH(Factores!$D$2)=2,SUMPRODUCT($E$12:$E$12,$E$29:$E$29,$E30:E30)/SUMPRODUCT($E$12:$E$12,$E$29:$E$29),IF(MONTH(Factores!$D$2)=3,SUMPRODUCT($E$12:$F$12,$E$29:$F$29,$E30:F30)/SUMPRODUCT($E$12:$F$12,$E$29:$F$29),IF(MONTH(Factores!$D$2)=4,SUMPRODUCT($E$12:$G$12,$E$29:$G$29,$E30:G30)/SUMPRODUCT($E$12:$G$12,$E$29:$G$29),IF(MONTH(Factores!$D$2)=5,SUMPRODUCT($E$12:$H$12,$E$29:$H$29,$E30:H30)/SUMPRODUCT($E$12:$H$12,$E$29:$H$29),IF(MONTH(Factores!$D$2)=6,SUMPRODUCT($E$12:$I$12,$E$29:$I$29,$E30:I30)/SUMPRODUCT($E$12:$I$12,$E$29:$I$29),IF(MONTH(Factores!$D$2)=7,SUMPRODUCT($E$12:$J$12,$E$29:$J$29,$E30:J30)/SUMPRODUCT($E$12:$J$12,$E$29:$J$29),IF(MONTH(Factores!$D$2)=8,SUMPRODUCT($E$12:$K$12,$E$29:$K$29,$E30:K30)/SUMPRODUCT($E$12:$K$12,$E$29:$K$29),IF(MONTH(Factores!$D$2)=9,SUMPRODUCT($E$12:$L$12,$E$29:$L$29,$E30:L30)/SUMPRODUCT($E$12:$L$12,$E$29:$L$29),IF(MONTH(Factores!$D$2)=10,SUMPRODUCT($E$12:$M$12,$E$29:$M$29,$E30:M30)/SUMPRODUCT($E$12:$M$12,$E$29:$M$29),IF(MONTH(Factores!$D$2)=11,SUMPRODUCT($E$12:$N$12,$E$29:$N$29,$E30:N30)/SUMPRODUCT($E$12:$N$12,$E$29:$N$29),IF(MONTH(Factores!$D$2)=12,SUMPRODUCT($E$12:$O$12,$E$29:$O$29,$E30:O30)/SUMPRODUCT($E$12:$O$12,$E$29:$O$29)))))))))))))</f>
        <v>89.831300310912198</v>
      </c>
      <c r="W30" s="3276" t="e">
        <f>(IF(E4="REAL",E29*E12*E30,0)+IF(F4="REAL",F29*F12*F30,0)+IF(G4="REAL",G29*G12*G30,0)+IF(H4="REAL",H29*H12*H30,0)+IF(I4="REAL",I29*I12*I30,0)+IF(J4="REAL",J29*J12*J30,0)+IF(K4="REAL",K29*K12*K30,0)+IF(L4="REAL",L29*L12*L30,0)+IF(M4="REAL",M29*M12*M30,0)+IF(N4="REAL",N29*N12*N30,0)+IF(O4="REAL",O29*O12*O30,0)+IF(P4="REAL",P29*P12*P30,0))/(IF(E4="REAL",E29*E12,0)+IF(F4="REAL",F29*F12,0)+IF(G4="REAL",G29*G12,0)+IF(H4="REAL",H29*H12,0)+IF(I4="REAL",I29*I12,0)+IF(J4="REAL",J29*J12,0)+IF(K4="REAL",K29*K12,0)+IF(L4="REAL",L29*L12,0)+IF(M4="REAL",M29*M12,0)+IF(N4="REAL",N29*N12,0)+IF(O4="REAL",O29*O12,0)+IF(P4="REAL",P29*P12,0))</f>
        <v>#DIV/0!</v>
      </c>
      <c r="X30" s="3286">
        <f>SUMIF($E$4:$P$4,"R+P",E30:P30)</f>
        <v>0</v>
      </c>
      <c r="Y30" s="3276" t="e">
        <f>(IF(E4="REAL",E29*E12*E30,0)+IF(F4="REAL",F29*F12*F30,0)+IF(G4="REAL",G29*G12*G30,0)+IF(H4="REAL",H29*H12*H30,0)+IF(I4="REAL",I29*I12*I30,0)+IF(J4="REAL",J29*J12*J30,0)+IF(K4="REAL",K29*K12*K30,0)+IF(L4="REAL",L29*L12*L30,0)+IF(M4="REAL",M29*M12*M30,0)+IF(N4="REAL",N29*N12*N30,0)+IF(O4="REAL",O29*O12*O30,0)+IF(P4="REAL",P29*P12*P30,0)+X12*X29*X30)/(IF(E4="REAL",E29*E12,0)+IF(F4="REAL",F29*F12,0)+IF(G4="REAL",G29*G12,0)+IF(H4="REAL",H29*H12,0)+IF(I4="REAL",I29*I12,0)+IF(J4="REAL",J29*J12,0)+IF(K4="REAL",K29*K12,0)+IF(L4="REAL",L29*L12,0)+IF(M4="REAL",M29*M12,0)+IF(N4="REAL",N29*N12,0)+IF(O4="REAL",O29*O12,0)+IF(P4="REAL",P29*P12,0)+X12*X29)</f>
        <v>#REF!</v>
      </c>
      <c r="AA30" s="3309">
        <f t="shared" si="5"/>
        <v>45834</v>
      </c>
      <c r="AB30" s="1428"/>
      <c r="AC30" s="1428"/>
      <c r="AD30" s="1428"/>
      <c r="AE30" s="1428"/>
      <c r="AF30" s="1420"/>
      <c r="AG30" s="3303"/>
      <c r="AH30" s="3303" t="e">
        <f t="shared" si="1"/>
        <v>#DIV/0!</v>
      </c>
      <c r="AI30" s="3303"/>
      <c r="AJ30" s="3303"/>
      <c r="AK30" s="3303"/>
      <c r="AL30" s="3303"/>
      <c r="AM30" s="1428"/>
      <c r="AN30" s="3303"/>
      <c r="AO30" s="1420">
        <f t="shared" si="2"/>
        <v>24.146893258401185</v>
      </c>
      <c r="AP30" s="1420">
        <f t="shared" si="3"/>
        <v>24.026158792109179</v>
      </c>
      <c r="AQ30" s="1428" t="e">
        <f t="shared" si="4"/>
        <v>#DIV/0!</v>
      </c>
      <c r="AR30" s="273"/>
      <c r="AW30" s="2551"/>
      <c r="AX30" s="3791">
        <v>46076</v>
      </c>
      <c r="AY30" s="3797">
        <v>1177.34122718155</v>
      </c>
      <c r="AZ30" s="3790">
        <v>16558.052189799382</v>
      </c>
      <c r="BA30" s="3790">
        <v>711.69780805456503</v>
      </c>
      <c r="BB30" s="3790">
        <v>16369.049585254996</v>
      </c>
      <c r="BC30" s="3793">
        <v>1093.1468308108504</v>
      </c>
      <c r="BD30" s="3774">
        <v>14621.581073273288</v>
      </c>
      <c r="BE30" s="3784"/>
      <c r="BF30" s="3798">
        <v>2716.751953125</v>
      </c>
      <c r="BG30" s="3790">
        <v>72668.490966796875</v>
      </c>
      <c r="BH30" s="3790">
        <v>2606.5476074218745</v>
      </c>
      <c r="BI30" s="3790">
        <v>59950.594970703118</v>
      </c>
      <c r="BJ30" s="3795">
        <v>2122.1369454520081</v>
      </c>
      <c r="BK30" s="3774">
        <v>58992.34579031809</v>
      </c>
      <c r="BL30" s="3784"/>
      <c r="BM30" s="3798">
        <v>846.91142332065294</v>
      </c>
      <c r="BN30" s="3790">
        <v>18384.661228485034</v>
      </c>
      <c r="BO30" s="3790">
        <v>738.27574472158676</v>
      </c>
      <c r="BP30" s="3790">
        <v>16980.342128596491</v>
      </c>
      <c r="BQ30" s="3796">
        <v>755.97355538674947</v>
      </c>
      <c r="BR30" s="3774">
        <v>16293.090266005249</v>
      </c>
      <c r="BS30" s="3784"/>
      <c r="BT30" s="3798">
        <v>161888.11926105799</v>
      </c>
      <c r="BU30" s="3790">
        <v>4178643.1949781156</v>
      </c>
      <c r="BV30" s="3790">
        <v>157431.34375</v>
      </c>
      <c r="BW30" s="3790">
        <v>3620920.90625</v>
      </c>
      <c r="BX30" s="3790">
        <v>134926.0443764943</v>
      </c>
      <c r="BY30" s="3790">
        <v>3558515.4726331509</v>
      </c>
      <c r="BZ30" s="3790" t="s">
        <v>342</v>
      </c>
      <c r="CA30" s="3790">
        <v>134926.0443764943</v>
      </c>
      <c r="CB30" s="3790" t="s">
        <v>342</v>
      </c>
      <c r="CC30" s="3790">
        <v>134926.0443764943</v>
      </c>
      <c r="CD30" s="3774">
        <v>3558515.4726331509</v>
      </c>
      <c r="CE30" s="3790" t="s">
        <v>342</v>
      </c>
      <c r="CF30" s="3774">
        <v>131690.59539034666</v>
      </c>
      <c r="CG30" s="3774">
        <v>3484100.1459517558</v>
      </c>
      <c r="CH30" s="188"/>
    </row>
    <row r="31" spans="2:86" s="427" customFormat="1" ht="16.5" hidden="1" customHeight="1">
      <c r="B31" s="1417" t="s">
        <v>855</v>
      </c>
      <c r="C31" s="1440" t="s">
        <v>48</v>
      </c>
      <c r="D31" s="1419"/>
      <c r="E31" s="1396">
        <v>75.828368544702712</v>
      </c>
      <c r="F31" s="1396">
        <v>72.983331545609829</v>
      </c>
      <c r="G31" s="3468">
        <v>105.71507194799014</v>
      </c>
      <c r="H31" s="1391">
        <v>78.045538606281255</v>
      </c>
      <c r="I31" s="1391">
        <v>114.67985592043745</v>
      </c>
      <c r="J31" s="1391">
        <v>117.12857977934337</v>
      </c>
      <c r="K31" s="1391">
        <v>109.44743428939684</v>
      </c>
      <c r="L31" s="1391">
        <v>124.87632373805671</v>
      </c>
      <c r="M31" s="1391">
        <v>113.59857596095441</v>
      </c>
      <c r="N31" s="1391">
        <v>126.99611083551126</v>
      </c>
      <c r="O31" s="1391">
        <v>125.91159715948285</v>
      </c>
      <c r="P31" s="1396">
        <v>142.34322439793107</v>
      </c>
      <c r="Q31" s="1428"/>
      <c r="R31" s="1442">
        <v>1307.5540127256977</v>
      </c>
      <c r="T31" s="1434">
        <f>IF(MONTH(Factores!$D$2)=1,SUMPRODUCT($E$12:$E$12,$E$29:$E$29,$E31:E31)/SUMPRODUCT($E$12:$E$12,$E$29:$E$29),IF(MONTH(Factores!$D$2)=2,SUMPRODUCT($E$12:$F$12,$E$29:$F$29,$E31:F31)/SUMPRODUCT($E$12:$F$12,$E$29:$F$29),IF(MONTH(Factores!$D$2)=3,SUMPRODUCT($E$12:$G$12,$E$29:$G$29,$E31:G31)/SUMPRODUCT($E$12:$G$12,$E$29:$G$29),IF(MONTH(Factores!$D$2)=4,SUMPRODUCT($E$12:$H$12,$E$29:$H$29,$E31:H31)/SUMPRODUCT($E$12:$H$12,$E$29:$H$29),IF(MONTH(Factores!$D$2)=5,SUMPRODUCT($E$12:$I$12,$E$29:$I$29,$E31:I31)/SUMPRODUCT($E$12:$I$12,$E$29:$I$29),IF(MONTH(Factores!$D$2)=6,SUMPRODUCT($E$12:$J$12,$E$29:$J$29,$E31:J31)/SUMPRODUCT($E$12:$J$12,$E$29:$J$29),IF(MONTH(Factores!$D$2)=7,SUMPRODUCT($E$12:$K$12,$E$29:$K$29,$E31:K31)/SUMPRODUCT($E$12:$K$12,$E$29:$K$29),IF(MONTH(Factores!$D$2)=8,SUMPRODUCT($E$12:$L$12,$E$29:$L$29,$E31:L31)/SUMPRODUCT($E$12:$L$12,$E$29:$L$29),IF(MONTH(Factores!$D$2)=9,SUMPRODUCT($E$12:$M$12,$E$29:$M$29,$E31:M31)/SUMPRODUCT($E$12:$M$12,$E$29:$M$29),IF(MONTH(Factores!$D$2)=10,SUMPRODUCT($E$12:$N$12,$E$29:$N$29,$E31:N31)/SUMPRODUCT($E$12:$N$12,$E$29:$N$29),IF(MONTH(Factores!$D$2)=11,SUMPRODUCT($E$12:$O$12,$E$29:$O$29,$E31:O31)/SUMPRODUCT($E$12:$O$12,$E$29:$O$29),IF(MONTH(Factores!$D$2)=12,SUMPRODUCT($E$12:$P$12,$E$29:$P$29,$E31:P31)/SUMPRODUCT($E$12:$P$12,$E$29:$P$29)))))))))))))</f>
        <v>87.358065253189721</v>
      </c>
      <c r="U31" s="1434">
        <f>IF(MONTH(Factores!$D$2)=1,SUMPRODUCT($E$12:$E$12,$E$29:$E$29,$E31:E31)/SUMPRODUCT($E$12:$E$12,$E$29:$E$29),IF(MONTH(Factores!$D$2)=2,SUMPRODUCT($E$12:$E$12,$E$29:$E$29,$E31:E31)/SUMPRODUCT($E$12:$E$12,$E$29:$E$29),IF(MONTH(Factores!$D$2)=3,SUMPRODUCT($E$12:$F$12,$E$29:$F$29,$E31:F31)/SUMPRODUCT($E$12:$F$12,$E$29:$F$29),IF(MONTH(Factores!$D$2)=4,SUMPRODUCT($E$12:$G$12,$E$29:$G$29,$E31:G31)/SUMPRODUCT($E$12:$G$12,$E$29:$G$29),IF(MONTH(Factores!$D$2)=5,SUMPRODUCT($E$12:$H$12,$E$29:$H$29,$E31:H31)/SUMPRODUCT($E$12:$H$12,$E$29:$H$29),IF(MONTH(Factores!$D$2)=6,SUMPRODUCT($E$12:$I$12,$E$29:$I$29,$E31:I31)/SUMPRODUCT($E$12:$I$12,$E$29:$I$29),IF(MONTH(Factores!$D$2)=7,SUMPRODUCT($E$12:$J$12,$E$29:$J$29,$E31:J31)/SUMPRODUCT($E$12:$J$12,$E$29:$J$29),IF(MONTH(Factores!$D$2)=8,SUMPRODUCT($E$12:$K$12,$E$29:$K$29,$E31:K31)/SUMPRODUCT($E$12:$K$12,$E$29:$K$29),IF(MONTH(Factores!$D$2)=9,SUMPRODUCT($E$12:$L$12,$E$29:$L$29,$E31:L31)/SUMPRODUCT($E$12:$L$12,$E$29:$L$29),IF(MONTH(Factores!$D$2)=10,SUMPRODUCT($E$12:$M$12,$E$29:$M$29,$E31:M31)/SUMPRODUCT($E$12:$M$12,$E$29:$M$29),IF(MONTH(Factores!$D$2)=11,SUMPRODUCT($E$12:$N$12,$E$29:$N$29,$E31:N31)/SUMPRODUCT($E$12:$N$12,$E$29:$N$29),IF(MONTH(Factores!$D$2)=12,SUMPRODUCT($E$12:$O$12,$E$29:$O$29,$E31:O31)/SUMPRODUCT($E$12:$O$12,$E$29:$O$29)))))))))))))</f>
        <v>74.419654673635307</v>
      </c>
      <c r="W31" s="3276" t="e">
        <f>(IF(E5="REAL",E30*E13*E31,0)+IF(F5="REAL",F30*F13*F31,0)+IF(G5="REAL",G30*G13*G31,0)+IF(H5="REAL",H30*H13*H31,0)+IF(I5="REAL",I30*I13*I31,0)+IF(J5="REAL",J30*J13*J31,0)+IF(K5="REAL",K30*K13*K31,0)+IF(L5="REAL",L30*L13*L31,0)+IF(M5="REAL",M30*M13*M31,0)+IF(N5="REAL",N30*N13*N31,0)+IF(O5="REAL",O30*O13*O31,0)+IF(P5="REAL",P30*P13*P31,0))/(IF(E5="REAL",E30*E13,0)+IF(F5="REAL",F30*F13,0)+IF(G5="REAL",G30*G13,0)+IF(H5="REAL",H30*H13,0)+IF(I5="REAL",I30*I13,0)+IF(J5="REAL",J30*J13,0)+IF(K5="REAL",K30*K13,0)+IF(L5="REAL",L30*L13,0)+IF(M5="REAL",M30*M13,0)+IF(N5="REAL",N30*N13,0)+IF(O5="REAL",O30*O13,0)+IF(P5="REAL",P30*P13,0))</f>
        <v>#DIV/0!</v>
      </c>
      <c r="X31" s="3286">
        <f>SUMIF($E$4:$P$4,"R+P",E31:P31)</f>
        <v>0</v>
      </c>
      <c r="Y31" s="3276" t="e">
        <f>(IF(E5="REAL",E30*E13*E31,0)+IF(F5="REAL",F30*F13*F31,0)+IF(G5="REAL",G30*G13*G31,0)+IF(H5="REAL",H30*H13*H31,0)+IF(I5="REAL",I30*I13*I31,0)+IF(J5="REAL",J30*J13*J31,0)+IF(K5="REAL",K30*K13*K31,0)+IF(L5="REAL",L30*L13*L31,0)+IF(M5="REAL",M30*M13*M31,0)+IF(N5="REAL",N30*N13*N31,0)+IF(O5="REAL",O30*O13*O31,0)+IF(P5="REAL",P30*P13*P31,0)+X13*X30*X31)/(IF(E5="REAL",E30*E13,0)+IF(F5="REAL",F30*F13,0)+IF(G5="REAL",G30*G13,0)+IF(H5="REAL",H30*H13,0)+IF(I5="REAL",I30*I13,0)+IF(J5="REAL",J30*J13,0)+IF(K5="REAL",K30*K13,0)+IF(L5="REAL",L30*L13,0)+IF(M5="REAL",M30*M13,0)+IF(N5="REAL",N30*N13,0)+IF(O5="REAL",O30*O13,0)+IF(P5="REAL",P30*P13,0)+X13*X30)</f>
        <v>#REF!</v>
      </c>
      <c r="AA31" s="3309">
        <f t="shared" si="5"/>
        <v>45835</v>
      </c>
      <c r="AB31" s="1428"/>
      <c r="AC31" s="1428"/>
      <c r="AD31" s="1428"/>
      <c r="AE31" s="1428"/>
      <c r="AF31" s="1420"/>
      <c r="AG31" s="3303"/>
      <c r="AH31" s="3303" t="e">
        <f t="shared" si="1"/>
        <v>#DIV/0!</v>
      </c>
      <c r="AI31" s="3303"/>
      <c r="AJ31" s="3303"/>
      <c r="AK31" s="3303"/>
      <c r="AL31" s="3303"/>
      <c r="AM31" s="1428"/>
      <c r="AN31" s="3303"/>
      <c r="AO31" s="1420">
        <f t="shared" si="2"/>
        <v>24.146893258401185</v>
      </c>
      <c r="AP31" s="1420">
        <f t="shared" si="3"/>
        <v>24.026158792109179</v>
      </c>
      <c r="AQ31" s="1428" t="e">
        <f t="shared" si="4"/>
        <v>#DIV/0!</v>
      </c>
      <c r="AR31" s="273"/>
      <c r="AW31" s="2551"/>
      <c r="AX31" s="3791">
        <v>46077</v>
      </c>
      <c r="AY31" s="3797">
        <v>1088.2262969932301</v>
      </c>
      <c r="AZ31" s="3790">
        <v>17646.278486792613</v>
      </c>
      <c r="BA31" s="3790">
        <v>711.69780805456503</v>
      </c>
      <c r="BB31" s="3790">
        <v>17080.747393309561</v>
      </c>
      <c r="BC31" s="3793">
        <v>1004.0319006225304</v>
      </c>
      <c r="BD31" s="3774">
        <v>15625.612973895819</v>
      </c>
      <c r="BE31" s="3784"/>
      <c r="BF31" s="3798">
        <v>3592.02392578125</v>
      </c>
      <c r="BG31" s="3790">
        <v>76260.514892578125</v>
      </c>
      <c r="BH31" s="3790">
        <v>2606.5476074218745</v>
      </c>
      <c r="BI31" s="3790">
        <v>62557.142578124993</v>
      </c>
      <c r="BJ31" s="3795">
        <v>2997.4089181082581</v>
      </c>
      <c r="BK31" s="3774">
        <v>61989.75470842635</v>
      </c>
      <c r="BL31" s="3784"/>
      <c r="BM31" s="3798">
        <v>1045.7981620319599</v>
      </c>
      <c r="BN31" s="3790">
        <v>19430.459390516993</v>
      </c>
      <c r="BO31" s="3790">
        <v>738.27574472158676</v>
      </c>
      <c r="BP31" s="3790">
        <v>17718.617873318079</v>
      </c>
      <c r="BQ31" s="3796">
        <v>954.86029409805644</v>
      </c>
      <c r="BR31" s="3774">
        <v>17247.950560103305</v>
      </c>
      <c r="BS31" s="3784"/>
      <c r="BT31" s="3798">
        <v>188658.678627449</v>
      </c>
      <c r="BU31" s="3790">
        <v>4367301.8736055642</v>
      </c>
      <c r="BV31" s="3790">
        <v>157431.34375</v>
      </c>
      <c r="BW31" s="3790">
        <v>3778352.25</v>
      </c>
      <c r="BX31" s="3790">
        <v>161696.60374288532</v>
      </c>
      <c r="BY31" s="3790">
        <v>3720212.0763760363</v>
      </c>
      <c r="BZ31" s="3790" t="s">
        <v>342</v>
      </c>
      <c r="CA31" s="3790">
        <v>161696.60374288532</v>
      </c>
      <c r="CB31" s="3790" t="s">
        <v>342</v>
      </c>
      <c r="CC31" s="3790">
        <v>161696.60374288532</v>
      </c>
      <c r="CD31" s="3774">
        <v>3720212.0763760363</v>
      </c>
      <c r="CE31" s="3790" t="s">
        <v>342</v>
      </c>
      <c r="CF31" s="3774">
        <v>158461.15475673767</v>
      </c>
      <c r="CG31" s="3774">
        <v>3642561.3007084937</v>
      </c>
      <c r="CH31" s="188"/>
    </row>
    <row r="32" spans="2:86" s="427" customFormat="1" ht="16.5" customHeight="1">
      <c r="B32" s="1417" t="s">
        <v>225</v>
      </c>
      <c r="C32" s="1443" t="s">
        <v>204</v>
      </c>
      <c r="D32" s="1419"/>
      <c r="E32" s="1391">
        <f>+E7/E33%</f>
        <v>75.828368544702712</v>
      </c>
      <c r="F32" s="1391">
        <f t="shared" ref="F32:P32" si="7">+F7/F33%</f>
        <v>72.983331545609829</v>
      </c>
      <c r="G32" s="3470">
        <f t="shared" si="7"/>
        <v>105.71507194799014</v>
      </c>
      <c r="H32" s="1391">
        <f t="shared" si="7"/>
        <v>78.045538606281255</v>
      </c>
      <c r="I32" s="1391">
        <f t="shared" si="7"/>
        <v>114.67985592043745</v>
      </c>
      <c r="J32" s="1391">
        <f t="shared" si="7"/>
        <v>117.12857977934337</v>
      </c>
      <c r="K32" s="1391">
        <f t="shared" si="7"/>
        <v>109.44743428939684</v>
      </c>
      <c r="L32" s="1391">
        <f t="shared" si="7"/>
        <v>124.87632373805671</v>
      </c>
      <c r="M32" s="1391">
        <f t="shared" si="7"/>
        <v>113.59857596095441</v>
      </c>
      <c r="N32" s="1391">
        <f t="shared" si="7"/>
        <v>126.99611083551126</v>
      </c>
      <c r="O32" s="1391">
        <f t="shared" si="7"/>
        <v>125.91159715948285</v>
      </c>
      <c r="P32" s="1391">
        <f t="shared" si="7"/>
        <v>142.34322439793107</v>
      </c>
      <c r="Q32" s="1428"/>
      <c r="R32" s="2492">
        <v>27.762152298751158</v>
      </c>
      <c r="S32" s="1444"/>
      <c r="T32" s="1441">
        <f>IF(MONTH(Factores!$D$2)=1,SUM($E32:E32),IF(MONTH(Factores!$D$2)=2,SUM($E32:F32),IF(MONTH(Factores!$D$2)=3,SUM($E32:G32),IF(MONTH(Factores!$D$2)=4,SUM($E32:H32),IF(MONTH(Factores!$D$2)=5,SUM($E32:I32),IF(MONTH(Factores!$D$2)=6,SUM($E32:J32),IF(MONTH(Factores!$D$2)=7,SUM($E32:K32),IF(MONTH(Factores!$D$2)=8,SUM($E32:L32),IF(MONTH(Factores!$D$2)=9,SUM($E32:M32),IF(MONTH(Factores!$D$2)=10,SUM($E32:N32),IF(MONTH(Factores!$D$2)=11,SUM($E32:O32),IF(MONTH(Factores!$D$2)=12,SUM($E32:P32)))))))))))))</f>
        <v>254.52677203830268</v>
      </c>
      <c r="U32" s="1441">
        <f>IF(MONTH(Factores!$D$2)=1,SUM($E32:E32),IF(MONTH(Factores!$D$2)=2,SUM($E32:E32),IF(MONTH(Factores!$D$2)=3,SUM($E32:F32),IF(MONTH(Factores!$D$2)=4,SUM($E32:G32),IF(MONTH(Factores!$D$2)=5,SUM($E32:H32),IF(MONTH(Factores!$D$2)=6,SUM($E32:I32),IF(MONTH(Factores!$D$2)=7,SUM($E32:J32),IF(MONTH(Factores!$D$2)=8,SUM($E32:K32),IF(MONTH(Factores!$D$2)=9,SUM($E32:L32),IF(MONTH(Factores!$D$2)=10,SUM($E32:M32),IF(MONTH(Factores!$D$2)=11,SUM($E32:N32),IF(MONTH(Factores!$D$2)=12,SUM($E32:O32)))))))))))))</f>
        <v>148.81170009031254</v>
      </c>
      <c r="W32" s="3276">
        <f>SUMIF($E$4:$P$4,"=REAL",E32:P32)</f>
        <v>0</v>
      </c>
      <c r="X32" s="3276" t="e">
        <f>SUMIF($E$4:$P$4,"R+P",E32:P32)/SUMIF($E$4:$P$4,"R+P",$E$5:$P$5)*$X$5</f>
        <v>#DIV/0!</v>
      </c>
      <c r="Y32" s="3276" t="e">
        <f>SUM(W32:X32)</f>
        <v>#DIV/0!</v>
      </c>
      <c r="Z32" s="1398"/>
      <c r="AA32" s="3309">
        <f t="shared" si="5"/>
        <v>45836</v>
      </c>
      <c r="AB32" s="1428"/>
      <c r="AC32" s="1428"/>
      <c r="AD32" s="1428"/>
      <c r="AE32" s="1428"/>
      <c r="AF32" s="1420"/>
      <c r="AG32" s="3303"/>
      <c r="AH32" s="3303" t="e">
        <f t="shared" si="1"/>
        <v>#DIV/0!</v>
      </c>
      <c r="AI32" s="3303"/>
      <c r="AJ32" s="3303"/>
      <c r="AK32" s="3303"/>
      <c r="AL32" s="3303"/>
      <c r="AM32" s="1428"/>
      <c r="AN32" s="3303"/>
      <c r="AO32" s="1420">
        <f t="shared" si="2"/>
        <v>24.146893258401185</v>
      </c>
      <c r="AP32" s="1420">
        <f t="shared" si="3"/>
        <v>24.026158792109179</v>
      </c>
      <c r="AQ32" s="1428" t="e">
        <f t="shared" si="4"/>
        <v>#DIV/0!</v>
      </c>
      <c r="AR32" s="273"/>
      <c r="AW32" s="2551"/>
      <c r="AX32" s="3791">
        <v>46078</v>
      </c>
      <c r="AY32" s="3797">
        <v>1206.12910431215</v>
      </c>
      <c r="AZ32" s="3790">
        <v>18852.407591104762</v>
      </c>
      <c r="BA32" s="3790">
        <v>711.69780805456503</v>
      </c>
      <c r="BB32" s="3790">
        <v>17792.445201364128</v>
      </c>
      <c r="BC32" s="3793">
        <v>1121.9347079414504</v>
      </c>
      <c r="BD32" s="3774">
        <v>16747.54768183727</v>
      </c>
      <c r="BE32" s="3784"/>
      <c r="BF32" s="3798">
        <v>3551.42333984375</v>
      </c>
      <c r="BG32" s="3790">
        <v>79811.938232421875</v>
      </c>
      <c r="BH32" s="3790">
        <v>2606.5476074218745</v>
      </c>
      <c r="BI32" s="3790">
        <v>65163.690185546868</v>
      </c>
      <c r="BJ32" s="3795">
        <v>2956.8083321707581</v>
      </c>
      <c r="BK32" s="3774">
        <v>64946.56304059711</v>
      </c>
      <c r="BL32" s="3784"/>
      <c r="BM32" s="3798">
        <v>1033.4848509630799</v>
      </c>
      <c r="BN32" s="3790">
        <v>20463.944241480072</v>
      </c>
      <c r="BO32" s="3790">
        <v>738.27574472158676</v>
      </c>
      <c r="BP32" s="3790">
        <v>18456.893618039667</v>
      </c>
      <c r="BQ32" s="3796">
        <v>942.54698302917643</v>
      </c>
      <c r="BR32" s="3774">
        <v>18190.497543132482</v>
      </c>
      <c r="BS32" s="3784"/>
      <c r="BT32" s="3798">
        <v>200231.28127705399</v>
      </c>
      <c r="BU32" s="3790">
        <v>4567533.1548826182</v>
      </c>
      <c r="BV32" s="3790">
        <v>157431.34375</v>
      </c>
      <c r="BW32" s="3790">
        <v>3935783.59375</v>
      </c>
      <c r="BX32" s="3790">
        <v>173269.20639249031</v>
      </c>
      <c r="BY32" s="3790">
        <v>3893481.2827685266</v>
      </c>
      <c r="BZ32" s="3790" t="s">
        <v>342</v>
      </c>
      <c r="CA32" s="3790">
        <v>173269.20639249031</v>
      </c>
      <c r="CB32" s="3790" t="s">
        <v>342</v>
      </c>
      <c r="CC32" s="3790">
        <v>173269.20639249031</v>
      </c>
      <c r="CD32" s="3774">
        <v>3893481.2827685266</v>
      </c>
      <c r="CE32" s="3790" t="s">
        <v>342</v>
      </c>
      <c r="CF32" s="3774">
        <v>170033.75740634266</v>
      </c>
      <c r="CG32" s="3774">
        <v>3812595.0581148365</v>
      </c>
      <c r="CH32" s="188"/>
    </row>
    <row r="33" spans="1:87" s="427" customFormat="1" ht="16.5" customHeight="1">
      <c r="B33" s="1417" t="s">
        <v>226</v>
      </c>
      <c r="C33" s="1445" t="s">
        <v>48</v>
      </c>
      <c r="D33" s="1419"/>
      <c r="E33" s="1391">
        <v>27.715194977645293</v>
      </c>
      <c r="F33" s="1391">
        <v>28.323893133570564</v>
      </c>
      <c r="G33" s="3470">
        <v>27.918697183029963</v>
      </c>
      <c r="H33" s="1391">
        <v>29.384912310266678</v>
      </c>
      <c r="I33" s="1391">
        <v>28.459003466684429</v>
      </c>
      <c r="J33" s="1391">
        <v>27.764251820706054</v>
      </c>
      <c r="K33" s="1391">
        <v>26.487162070958941</v>
      </c>
      <c r="L33" s="1391">
        <v>28.647968978267031</v>
      </c>
      <c r="M33" s="1391">
        <v>27.499346132202255</v>
      </c>
      <c r="N33" s="1391">
        <v>27.211015978913693</v>
      </c>
      <c r="O33" s="1391">
        <v>27.283659063515099</v>
      </c>
      <c r="P33" s="1391">
        <v>27.257915039881059</v>
      </c>
      <c r="Q33" s="1428"/>
      <c r="R33" s="1429">
        <v>27.762152298751158</v>
      </c>
      <c r="S33" s="434"/>
      <c r="T33" s="1430">
        <f>T7/T32*100</f>
        <v>27.974256407925751</v>
      </c>
      <c r="U33" s="1430">
        <f>U7/U32*100</f>
        <v>28.013725397619893</v>
      </c>
      <c r="W33" s="3276" t="e">
        <f>W8/W32*100</f>
        <v>#DIV/0!</v>
      </c>
      <c r="X33" s="3286">
        <f>SUMIF($E$4:$P$4,"R+P",E33:P33)</f>
        <v>0</v>
      </c>
      <c r="Y33" s="3276" t="e">
        <f>Y8/Y32*100</f>
        <v>#REF!</v>
      </c>
      <c r="Z33" s="1398"/>
      <c r="AA33" s="3309">
        <f t="shared" si="5"/>
        <v>45837</v>
      </c>
      <c r="AB33" s="1428"/>
      <c r="AC33" s="1428"/>
      <c r="AD33" s="1428"/>
      <c r="AE33" s="1428"/>
      <c r="AF33" s="1420"/>
      <c r="AG33" s="3303"/>
      <c r="AH33" s="3303" t="e">
        <f t="shared" si="1"/>
        <v>#DIV/0!</v>
      </c>
      <c r="AI33" s="3303"/>
      <c r="AJ33" s="3303"/>
      <c r="AK33" s="3303"/>
      <c r="AL33" s="3303"/>
      <c r="AM33" s="1428"/>
      <c r="AN33" s="3303"/>
      <c r="AO33" s="1420">
        <f t="shared" si="2"/>
        <v>24.146893258401185</v>
      </c>
      <c r="AP33" s="1420">
        <f t="shared" si="3"/>
        <v>24.026158792109179</v>
      </c>
      <c r="AQ33" s="1428" t="e">
        <f t="shared" si="4"/>
        <v>#DIV/0!</v>
      </c>
      <c r="AR33" s="273"/>
      <c r="AW33" s="2551"/>
      <c r="AX33" s="3791">
        <v>46079</v>
      </c>
      <c r="AY33" s="3797">
        <v>1205.55445630401</v>
      </c>
      <c r="AZ33" s="3790">
        <v>20057.962047408771</v>
      </c>
      <c r="BA33" s="3790">
        <v>711.69780805456503</v>
      </c>
      <c r="BB33" s="3790">
        <v>18504.143009418694</v>
      </c>
      <c r="BC33" s="3793">
        <v>1121.3600599333104</v>
      </c>
      <c r="BD33" s="3774">
        <v>17868.907741770581</v>
      </c>
      <c r="BE33" s="3784"/>
      <c r="BF33" s="3798">
        <v>3269.14697265625</v>
      </c>
      <c r="BG33" s="3790">
        <v>83081.085205078125</v>
      </c>
      <c r="BH33" s="3790">
        <v>2606.5476074218745</v>
      </c>
      <c r="BI33" s="3790">
        <v>67770.237792968735</v>
      </c>
      <c r="BJ33" s="3795">
        <v>2674.5319649832581</v>
      </c>
      <c r="BK33" s="3774">
        <v>67621.09500558037</v>
      </c>
      <c r="BL33" s="3784"/>
      <c r="BM33" s="3798">
        <v>925.09285130377305</v>
      </c>
      <c r="BN33" s="3790">
        <v>21389.037092783845</v>
      </c>
      <c r="BO33" s="3790">
        <v>738.27574472158676</v>
      </c>
      <c r="BP33" s="3790">
        <v>19195.169362761255</v>
      </c>
      <c r="BQ33" s="3796">
        <v>834.15498336986957</v>
      </c>
      <c r="BR33" s="3774">
        <v>19024.652526502352</v>
      </c>
      <c r="BS33" s="3784"/>
      <c r="BT33" s="3798">
        <v>204243.40703495001</v>
      </c>
      <c r="BU33" s="3790">
        <v>4771776.5619175686</v>
      </c>
      <c r="BV33" s="3790">
        <v>157431.34375</v>
      </c>
      <c r="BW33" s="3790">
        <v>4093214.9375</v>
      </c>
      <c r="BX33" s="3790">
        <v>177281.33215038633</v>
      </c>
      <c r="BY33" s="3790">
        <v>4070762.6149189128</v>
      </c>
      <c r="BZ33" s="3790" t="s">
        <v>342</v>
      </c>
      <c r="CA33" s="3790">
        <v>177281.33215038633</v>
      </c>
      <c r="CB33" s="3790" t="s">
        <v>342</v>
      </c>
      <c r="CC33" s="3790">
        <v>177281.33215038633</v>
      </c>
      <c r="CD33" s="3774">
        <v>4070762.6149189128</v>
      </c>
      <c r="CE33" s="3790" t="s">
        <v>342</v>
      </c>
      <c r="CF33" s="3774">
        <v>174045.88316423868</v>
      </c>
      <c r="CG33" s="3774">
        <v>3986640.9412790751</v>
      </c>
      <c r="CH33" s="188"/>
    </row>
    <row r="34" spans="1:87" s="3263" customFormat="1" ht="16.5" customHeight="1">
      <c r="A34" s="427"/>
      <c r="B34" s="427"/>
      <c r="C34" s="427"/>
      <c r="D34" s="427"/>
      <c r="E34" s="1398"/>
      <c r="F34" s="1398"/>
      <c r="G34" s="3471"/>
      <c r="H34" s="1398"/>
      <c r="I34" s="1398"/>
      <c r="J34" s="1398"/>
      <c r="K34" s="1398"/>
      <c r="L34" s="1398"/>
      <c r="M34" s="1398"/>
      <c r="N34" s="1398"/>
      <c r="O34" s="1398"/>
      <c r="P34" s="1398"/>
      <c r="Q34" s="1428"/>
      <c r="R34" s="427"/>
      <c r="S34" s="427"/>
      <c r="T34" s="1415"/>
      <c r="U34" s="1416"/>
      <c r="V34" s="427"/>
      <c r="W34" s="427"/>
      <c r="X34" s="427"/>
      <c r="Y34" s="427"/>
      <c r="Z34" s="1398"/>
      <c r="AA34" s="3309">
        <f t="shared" si="5"/>
        <v>45838</v>
      </c>
      <c r="AB34" s="1428"/>
      <c r="AC34" s="1428"/>
      <c r="AD34" s="1428"/>
      <c r="AE34" s="1428"/>
      <c r="AF34" s="1420"/>
      <c r="AG34" s="3303"/>
      <c r="AH34" s="3303" t="e">
        <f t="shared" si="1"/>
        <v>#DIV/0!</v>
      </c>
      <c r="AI34" s="3303"/>
      <c r="AJ34" s="3303"/>
      <c r="AK34" s="3303"/>
      <c r="AL34" s="3303"/>
      <c r="AM34" s="1428"/>
      <c r="AN34" s="3303"/>
      <c r="AO34" s="1420">
        <f t="shared" si="2"/>
        <v>24.146893258401185</v>
      </c>
      <c r="AP34" s="1420">
        <f t="shared" si="3"/>
        <v>24.026158792109179</v>
      </c>
      <c r="AQ34" s="1428" t="e">
        <f t="shared" si="4"/>
        <v>#DIV/0!</v>
      </c>
      <c r="AR34" s="273"/>
      <c r="AW34" s="2551"/>
      <c r="AX34" s="3791">
        <v>46080</v>
      </c>
      <c r="AY34" s="3797">
        <v>1122.35074805196</v>
      </c>
      <c r="AZ34" s="3790">
        <v>21180.31279546073</v>
      </c>
      <c r="BA34" s="3790">
        <v>711.69780805456503</v>
      </c>
      <c r="BB34" s="3790">
        <v>19215.840817473261</v>
      </c>
      <c r="BC34" s="3793">
        <v>1038.1563516812603</v>
      </c>
      <c r="BD34" s="3774">
        <v>18907.064093451841</v>
      </c>
      <c r="BE34" s="3784"/>
      <c r="BF34" s="3798">
        <v>3213.7041015625</v>
      </c>
      <c r="BG34" s="3790">
        <v>86294.789306640625</v>
      </c>
      <c r="BH34" s="3790">
        <v>2606.5476074218745</v>
      </c>
      <c r="BI34" s="3790">
        <v>70376.78540039061</v>
      </c>
      <c r="BJ34" s="3795">
        <v>2619.0890938895081</v>
      </c>
      <c r="BK34" s="3774">
        <v>70240.184099469872</v>
      </c>
      <c r="BL34" s="3784"/>
      <c r="BM34" s="3798">
        <v>910.32145353155897</v>
      </c>
      <c r="BN34" s="3790">
        <v>22299.358546315405</v>
      </c>
      <c r="BO34" s="3790">
        <v>738.27574472158676</v>
      </c>
      <c r="BP34" s="3790">
        <v>19933.445107482843</v>
      </c>
      <c r="BQ34" s="3796">
        <v>819.3835855976555</v>
      </c>
      <c r="BR34" s="3774">
        <v>19844.036112100006</v>
      </c>
      <c r="BS34" s="3784"/>
      <c r="BT34" s="3798">
        <v>192145.655087313</v>
      </c>
      <c r="BU34" s="3790">
        <v>4963922.2170048812</v>
      </c>
      <c r="BV34" s="3790">
        <v>157431.34375</v>
      </c>
      <c r="BW34" s="3790">
        <v>4250646.28125</v>
      </c>
      <c r="BX34" s="3790">
        <v>165183.58020274932</v>
      </c>
      <c r="BY34" s="3790">
        <v>4235946.1951216618</v>
      </c>
      <c r="BZ34" s="3790" t="s">
        <v>342</v>
      </c>
      <c r="CA34" s="3790">
        <v>165183.58020274932</v>
      </c>
      <c r="CB34" s="3790" t="s">
        <v>342</v>
      </c>
      <c r="CC34" s="3790">
        <v>165183.58020274932</v>
      </c>
      <c r="CD34" s="3774">
        <v>4235946.1951216618</v>
      </c>
      <c r="CE34" s="3790" t="s">
        <v>342</v>
      </c>
      <c r="CF34" s="3774">
        <v>161948.13121660167</v>
      </c>
      <c r="CG34" s="3774">
        <v>4148589.0724956766</v>
      </c>
      <c r="CH34" s="188"/>
      <c r="CI34" s="427"/>
    </row>
    <row r="35" spans="1:87" s="427" customFormat="1" ht="16.5" customHeight="1">
      <c r="B35" s="1417" t="s">
        <v>227</v>
      </c>
      <c r="C35" s="1443" t="s">
        <v>95</v>
      </c>
      <c r="D35" s="1419"/>
      <c r="E35" s="1395">
        <v>133.45504967615474</v>
      </c>
      <c r="F35" s="1395">
        <v>244.34653834864565</v>
      </c>
      <c r="G35" s="3463">
        <v>216.46396510270179</v>
      </c>
      <c r="H35" s="1395">
        <v>151.11835423943415</v>
      </c>
      <c r="I35" s="1395">
        <v>252.62383173540093</v>
      </c>
      <c r="J35" s="1395">
        <v>148.28931286590435</v>
      </c>
      <c r="K35" s="1395">
        <v>151.23353377959347</v>
      </c>
      <c r="L35" s="1395">
        <v>175.85869940108665</v>
      </c>
      <c r="M35" s="1395">
        <v>218.50604796431512</v>
      </c>
      <c r="N35" s="1395">
        <v>183.38989605310553</v>
      </c>
      <c r="O35" s="1395">
        <v>134.74752575300215</v>
      </c>
      <c r="P35" s="1395">
        <v>170.13401958349039</v>
      </c>
      <c r="Q35" s="1428"/>
      <c r="R35" s="1436">
        <v>182.14572923375275</v>
      </c>
      <c r="T35" s="1437">
        <f>IF(MONTH(Factores!$D$2)=1,SUMPRODUCT($E$12:$E$12,$E35:E35)/SUM($E$12:$E$12),IF(MONTH(Factores!$D$2)=2,SUMPRODUCT($E$12:$F$12,$E35:F35)/SUM($E$12:$F$12),IF(MONTH(Factores!$D$2)=3,SUMPRODUCT($E$12:$G$12,$E35:G35)/SUM($E$12:$G$12),IF(MONTH(Factores!$D$2)=4,SUMPRODUCT($E$12:$H$12,$E35:H35)/SUM($E$12:$H$12),IF(MONTH(Factores!$D$2)=5,SUMPRODUCT($E$12:$I$12,$E35:I35)/SUM($E$12:$I$12),IF(MONTH(Factores!$D$2)=6,SUMPRODUCT($E$12:$J$12,$E35:J35)/SUM($E$12:$J$12),IF(MONTH(Factores!$D$2)=7,SUMPRODUCT($E$12:$K$12,$E35:K35)/SUM($E$12:$K$12),IF(MONTH(Factores!$D$2)=8,SUMPRODUCT($E$12:$L$12,$E35:L35)/SUM($E$12:$L$12),IF(MONTH(Factores!$D$2)=9,SUMPRODUCT($E$12:$M$12,$E35:M35)/SUM($E$12:$M$12),IF(MONTH(Factores!$D$2)=10,SUMPRODUCT($E$12:$N$12,$E35:N35)/SUM($E$12:$N$12),IF(MONTH(Factores!$D$2)=11,SUMPRODUCT($E$12:$O$12,$E35:O35)/SUM($E$12:$O$12),IF(MONTH(Factores!$D$2)=12,SUMPRODUCT($E$12:$P$12,$E35:P35)/SUM($E$12:$P$12)))))))))))))</f>
        <v>197.52627780568733</v>
      </c>
      <c r="U35" s="1437">
        <f>IF(MONTH(Factores!$D$2)=1,SUMPRODUCT($E$12:$E$12,$E35:E35)/SUM($E$12:$E$12),IF(MONTH(Factores!$D$2)=2,SUMPRODUCT($E$12:$E$12,$E35:E35)/SUM($E$12:$E$12),IF(MONTH(Factores!$D$2)=3,SUMPRODUCT($E$12:$F$12,$E35:F35)/SUM($E$12:$F$12),IF(MONTH(Factores!$D$2)=4,SUMPRODUCT($E$12:$G$12,$E35:G35)/SUM($E$12:$G$12),IF(MONTH(Factores!$D$2)=5,SUMPRODUCT($E$12:$H$12,$E35:H35)/SUM($E$12:$H$12),IF(MONTH(Factores!$D$2)=6,SUMPRODUCT($E$12:$I$12,$E35:I35)/SUM($E$12:$I$12),IF(MONTH(Factores!$D$2)=7,SUMPRODUCT($E$12:$J$12,$E35:J35)/SUM($E$12:$J$12),IF(MONTH(Factores!$D$2)=8,SUMPRODUCT($E$12:$K$12,$E35:K35)/SUM($E$12:$K$12),IF(MONTH(Factores!$D$2)=9,SUMPRODUCT($E$12:$L$12,$E35:L35)/SUM($E$12:$L$12),IF(MONTH(Factores!$D$2)=10,SUMPRODUCT($E$12:$M$12,$E35:M35)/SUM($E$12:$M$12),IF(MONTH(Factores!$D$2)=11,SUMPRODUCT($E$12:$N$12,$E35:N35)/SUM($E$12:$N$12),IF(MONTH(Factores!$D$2)=12,SUMPRODUCT($E$12:$O$12,$E35:O35)/SUM($E$12:$O$12)))))))))))))</f>
        <v>185.7117022408456</v>
      </c>
      <c r="W35" s="3276" t="e">
        <f>(IF(E4="REAL",E35*E12,0)+IF(F4="REAL",F35*F12,0)+IF(G4="REAL",G35*G12,0)+IF(H4="REAL",H35*H12,0)+IF(I4="REAL",I35*I12,0)+IF(J4="REAL",J35*J12,0)+IF(K4="REAL",K35*K12,0)+IF(L4="REAL",L35*L12,0)+IF(M4="REAL",M35*M12,0)+IF(N4="REAL",N35*N12,0)+IF(O4="REAL",O35*O12,0)+IF(P4="REAL",P35*P12,0))/W12</f>
        <v>#DIV/0!</v>
      </c>
      <c r="X35" s="3286">
        <f>SUMIF($E$4:$P$4,"R+P",E35:P35)</f>
        <v>0</v>
      </c>
      <c r="Y35" s="3276" t="e">
        <f>(IF(E4="REAL",E35*E12,0)+IF(F4="REAL",F35*F12,0)+IF(G4="REAL",G35*G12,0)+IF(H4="REAL",H35*H12,0)+IF(I4="REAL",I35*I12,0)+IF(J4="REAL",J35*J12,0)+IF(K4="REAL",K35*K12,0)+IF(L4="REAL",L35*L12,0)+IF(M4="REAL",M35*M12,0)+IF(N4="REAL",N35*N12,0)+IF(O4="REAL",O35*O12,0)+IF(P4="REAL",P35*P12,0)+X12*X35)/Y12</f>
        <v>#REF!</v>
      </c>
      <c r="Z35" s="1398"/>
      <c r="AA35" s="3309"/>
      <c r="AB35" s="1428"/>
      <c r="AC35" s="1428"/>
      <c r="AD35" s="1428"/>
      <c r="AE35" s="1428"/>
      <c r="AF35" s="1420"/>
      <c r="AG35" s="3303"/>
      <c r="AH35" s="3303"/>
      <c r="AI35" s="3303"/>
      <c r="AJ35" s="3303"/>
      <c r="AK35" s="3303"/>
      <c r="AL35" s="3303"/>
      <c r="AM35" s="1428"/>
      <c r="AN35" s="3303"/>
      <c r="AO35" s="1420"/>
      <c r="AP35" s="1420"/>
      <c r="AQ35" s="1428"/>
      <c r="AR35" s="273"/>
      <c r="AW35" s="2551"/>
      <c r="AX35" s="3791">
        <v>46081</v>
      </c>
      <c r="AY35" s="3797">
        <v>1104.66892844669</v>
      </c>
      <c r="AZ35" s="3790">
        <v>22284.981723907418</v>
      </c>
      <c r="BA35" s="3790">
        <v>711.69780805456503</v>
      </c>
      <c r="BB35" s="3790">
        <v>19927.538625527828</v>
      </c>
      <c r="BC35" s="3793">
        <v>1020.4745320759903</v>
      </c>
      <c r="BD35" s="3774">
        <v>19927.538625527832</v>
      </c>
      <c r="BE35" s="3784"/>
      <c r="BF35" s="3798">
        <v>3337.763916015625</v>
      </c>
      <c r="BG35" s="3790">
        <v>89632.55322265625</v>
      </c>
      <c r="BH35" s="3790">
        <v>2606.5476074218745</v>
      </c>
      <c r="BI35" s="3790">
        <v>72983.333007812485</v>
      </c>
      <c r="BJ35" s="3795">
        <v>2743.1489083426331</v>
      </c>
      <c r="BK35" s="3774">
        <v>72983.3330078125</v>
      </c>
      <c r="BL35" s="3784"/>
      <c r="BM35" s="3798">
        <v>918.62260803832305</v>
      </c>
      <c r="BN35" s="3790">
        <v>23217.981154353729</v>
      </c>
      <c r="BO35" s="3790">
        <v>738.27574472158676</v>
      </c>
      <c r="BP35" s="3790">
        <v>20671.720852204431</v>
      </c>
      <c r="BQ35" s="3796">
        <v>827.68474010441957</v>
      </c>
      <c r="BR35" s="3774">
        <v>20671.720852204424</v>
      </c>
      <c r="BS35" s="3784"/>
      <c r="BT35" s="3798">
        <v>199093.50476290201</v>
      </c>
      <c r="BU35" s="3790">
        <v>5163015.7217677832</v>
      </c>
      <c r="BV35" s="3790">
        <v>157431.34375</v>
      </c>
      <c r="BW35" s="3790">
        <v>4408077.625</v>
      </c>
      <c r="BX35" s="3790">
        <v>172131.42987833833</v>
      </c>
      <c r="BY35" s="3790">
        <v>4408077.625</v>
      </c>
      <c r="BZ35" s="3790" t="s">
        <v>342</v>
      </c>
      <c r="CA35" s="3790">
        <v>172131.42987833833</v>
      </c>
      <c r="CB35" s="3790" t="s">
        <v>342</v>
      </c>
      <c r="CC35" s="3790">
        <v>172131.42987833833</v>
      </c>
      <c r="CD35" s="3774">
        <v>4408077.625</v>
      </c>
      <c r="CE35" s="3790" t="s">
        <v>342</v>
      </c>
      <c r="CF35" s="3774">
        <v>168895.98089219068</v>
      </c>
      <c r="CG35" s="3774">
        <v>4317485.0533878673</v>
      </c>
      <c r="CH35" s="188"/>
    </row>
    <row r="36" spans="1:87" s="427" customFormat="1" ht="16.5" customHeight="1">
      <c r="B36" s="1417" t="s">
        <v>228</v>
      </c>
      <c r="C36" s="1443" t="s">
        <v>48</v>
      </c>
      <c r="D36" s="1419"/>
      <c r="E36" s="1391">
        <f>+E9*100/(E12*E35*10^-6)</f>
        <v>81.448699106591945</v>
      </c>
      <c r="F36" s="1391">
        <f t="shared" ref="F36:P36" si="8">+F9*100/(F12*F35*10^-6)</f>
        <v>84.571444832079564</v>
      </c>
      <c r="G36" s="3470">
        <f t="shared" si="8"/>
        <v>83.941170489613725</v>
      </c>
      <c r="H36" s="1391">
        <f t="shared" si="8"/>
        <v>82.085673282578924</v>
      </c>
      <c r="I36" s="1391">
        <f t="shared" si="8"/>
        <v>84.745152570450486</v>
      </c>
      <c r="J36" s="1391">
        <f t="shared" si="8"/>
        <v>81.988669104169929</v>
      </c>
      <c r="K36" s="1391">
        <f t="shared" si="8"/>
        <v>82.215766684307383</v>
      </c>
      <c r="L36" s="1391">
        <f t="shared" si="8"/>
        <v>82.993373423166616</v>
      </c>
      <c r="M36" s="1391">
        <f t="shared" si="8"/>
        <v>84.119032170717716</v>
      </c>
      <c r="N36" s="1391">
        <f t="shared" si="8"/>
        <v>83.210175540340757</v>
      </c>
      <c r="O36" s="1391">
        <f t="shared" si="8"/>
        <v>81.623273653396012</v>
      </c>
      <c r="P36" s="1391">
        <f t="shared" si="8"/>
        <v>82.822470907493127</v>
      </c>
      <c r="Q36" s="1428"/>
      <c r="R36" s="1447">
        <v>83.233653894351761</v>
      </c>
      <c r="T36" s="1430">
        <f>IF(MONTH(Factores!$D$2)=1,SUMPRODUCT($E$12:$E$12,$E$35:$E$35,$E36:E36)/SUMPRODUCT($E$12:$E$12,$E$35:$E$35),IF(MONTH(Factores!$D$2)=2,SUMPRODUCT($E$12:$F$12,$E$35:$F$35,$E36:F36)/SUMPRODUCT($E$12:$F$12,$E$35:$F$35),IF(MONTH(Factores!$D$2)=3,SUMPRODUCT($E$12:$G$12,$E$35:$G$35,$E36:G36)/SUMPRODUCT($E$12:$G$12,$E$35:$G$35),IF(MONTH(Factores!$D$2)=4,SUMPRODUCT($E$12:$H$12,$E$35:$H$35,$E36:H36)/SUMPRODUCT($E$12:$H$12,$E$35:$H$35),IF(MONTH(Factores!$D$2)=5,SUMPRODUCT($E$12:$I$12,$E$35:$I$35,$E36:I36)/SUMPRODUCT($E$12:$I$12,$E$35:$I$35),IF(MONTH(Factores!$D$2)=6,SUMPRODUCT($E$12:$J$12,$E$35:$J$35,$E36:J36)/SUMPRODUCT($E$12:$J$12,$E$35:$J$35),IF(MONTH(Factores!$D$2)=7,SUMPRODUCT($E$12:$K$12,$E$35:$K$35,$E36:K36)/SUMPRODUCT($E$12:$K$12,$E$35:$K$35),IF(MONTH(Factores!$D$2)=8,SUMPRODUCT($E$12:$L$12,$E$35:$L$35,$E36:L36)/SUMPRODUCT($E$12:$L$12,$E$35:$L$35),IF(MONTH(Factores!$D$2)=9,SUMPRODUCT($E$12:$M$12,$E$35:$M$35,$E36:M36)/SUMPRODUCT($E$12:$M$12,$E$35:$M$35),IF(MONTH(Factores!$D$2)=10,SUMPRODUCT($E$12:$N$12,$E$35:$N$35,$E36:N36)/SUMPRODUCT($E$12:$N$12,$E$35:$N$35),IF(MONTH(Factores!$D$2)=11,SUMPRODUCT($E$12:$O$12,$E$35:$O$35,$E36:O36)/SUMPRODUCT($E$12:$O$12,$E$35:$O$35),IF(MONTH(Factores!$D$2)=12,SUMPRODUCT($E$12:$P$12,$E$35:$P$35,$E36:P36)/SUMPRODUCT($E$12:$P$12,$E$35:$P$35)))))))))))))</f>
        <v>83.619091451728735</v>
      </c>
      <c r="U36" s="1431">
        <f>IF(MONTH(Factores!$D$2)=1,SUMPRODUCT($E$12:$E$12,$E$35:$E$35,$E36:E36)/SUMPRODUCT($E$12:$E$12,$E$35:$E$35),IF(MONTH(Factores!$D$2)=2,SUMPRODUCT($E$12:$E$12,$E$35:$E$35,$E36:E36)/SUMPRODUCT($E$12:$E$12,$E$35:$E$35),IF(MONTH(Factores!$D$2)=3,SUMPRODUCT($E$12:$F$12,$E$35:$F$35,$E36:F36)/SUMPRODUCT($E$12:$F$12,$E$35:$F$35),IF(MONTH(Factores!$D$2)=4,SUMPRODUCT($E$12:$G$12,$E$35:$G$35,$E36:G36)/SUMPRODUCT($E$12:$G$12,$E$35:$G$35),IF(MONTH(Factores!$D$2)=5,SUMPRODUCT($E$12:$H$12,$E$35:$H$35,$E36:H36)/SUMPRODUCT($E$12:$H$12,$E$35:$H$35),IF(MONTH(Factores!$D$2)=6,SUMPRODUCT($E$12:$I$12,$E$35:$I$35,$E36:I36)/SUMPRODUCT($E$12:$I$12,$E$35:$I$35),IF(MONTH(Factores!$D$2)=7,SUMPRODUCT($E$12:$J$12,$E$35:$J$35,$E36:J36)/SUMPRODUCT($E$12:$J$12,$E$35:$J$35),IF(MONTH(Factores!$D$2)=8,SUMPRODUCT($E$12:$K$12,$E$35:$K$35,$E36:K36)/SUMPRODUCT($E$12:$K$12,$E$35:$K$35),IF(MONTH(Factores!$D$2)=9,SUMPRODUCT($E$12:$L$12,$E$35:$L$35,$E36:L36)/SUMPRODUCT($E$12:$L$12,$E$35:$L$35),IF(MONTH(Factores!$D$2)=10,SUMPRODUCT($E$12:$M$12,$E$35:$M$35,$E36:M36)/SUMPRODUCT($E$12:$M$12,$E$35:$M$35),IF(MONTH(Factores!$D$2)=11,SUMPRODUCT($E$12:$N$12,$E$35:$N$35,$E36:N36)/SUMPRODUCT($E$12:$N$12,$E$35:$N$35),IF(MONTH(Factores!$D$2)=12,SUMPRODUCT($E$12:$O$12,$E$35:$O$35,$E36:O36)/SUMPRODUCT($E$12:$O$12,$E$35:$O$35)))))))))))))</f>
        <v>83.384884391903284</v>
      </c>
      <c r="W36" s="3276" t="e">
        <f>(IF(E4="REAL",E35*E12*E36,0)+IF(F4="REAL",F35*F12*F36,0)+IF(G4="REAL",G35*G12*G36,0)+IF(H4="REAL",H35*H12*H36,0)+IF(I4="REAL",I35*I12*I36,0)+IF(J4="REAL",J35*J12*J36,0)+IF(K4="REAL",K35*K12*K36,0)+IF(L4="REAL",L35*L12*L36,0)+IF(M4="REAL",M35*M12*M36,0)+IF(N4="REAL",N35*N12*N36,0)+IF(O4="REAL",O35*O12*O36,0)+IF(P4="REAL",P35*P12*P36,0))/(IF(E4="REAL",E35*E12,0)+IF(F4="REAL",F35*F12,0)+IF(G4="REAL",G35*G12,0)+IF(H4="REAL",H35*H12,0)+IF(I4="REAL",I35*I12,0)+IF(J4="REAL",J35*J12,0)+IF(K4="REAL",K35*K12,0)+IF(L4="REAL",L35*L12,0)+IF(M4="REAL",M35*M12,0)+IF(N4="REAL",N35*N12,0)+IF(O4="REAL",O35*O12,0)+IF(P4="REAL",P35*P12,0))</f>
        <v>#DIV/0!</v>
      </c>
      <c r="X36" s="3286">
        <f>SUMIF($E$4:$P$4,"R+P",E36:P36)</f>
        <v>0</v>
      </c>
      <c r="Y36" s="3276" t="e">
        <f>(IF(E4="REAL",E35*E12*E36,0)+IF(F4="REAL",F35*F12*F36,0)+IF(G4="REAL",G35*G12*G36,0)+IF(H4="REAL",H35*H12*H36,0)+IF(I4="REAL",I35*I12*I36,0)+IF(J4="REAL",J35*J12*J36,0)+IF(K4="REAL",K35*K12*K36,0)+IF(L4="REAL",L35*L12*L36,0)+IF(M4="REAL",M35*M12*M36,0)+IF(N4="REAL",N35*N12*N36,0)+IF(O4="REAL",O35*O12*O36,0)+IF(P4="REAL",P35*P12*P36,0)+X12*X35*X36)/(IF(E4="REAL",E35*E12,0)+IF(F4="REAL",F35*F12,0)+IF(G4="REAL",G35*G12,0)+IF(H4="REAL",H35*H12,0)+IF(I4="REAL",I35*I12,0)+IF(J4="REAL",J35*J12,0)+IF(K4="REAL",K35*K12,0)+IF(L4="REAL",L35*L12,0)+IF(M4="REAL",M35*M12,0)+IF(N4="REAL",N35*N12,0)+IF(O4="REAL",O35*O12,0)+IF(P4="REAL",P35*P12,0)+X12*X35)</f>
        <v>#REF!</v>
      </c>
      <c r="Z36" s="1398"/>
      <c r="AA36" s="3309"/>
      <c r="AB36" s="1428"/>
      <c r="AC36" s="1428"/>
      <c r="AD36" s="1428"/>
      <c r="AE36" s="1428"/>
      <c r="AF36" s="1420"/>
      <c r="AG36" s="3303"/>
      <c r="AH36" s="3303"/>
      <c r="AI36" s="3303"/>
      <c r="AJ36" s="3303"/>
      <c r="AK36" s="3303"/>
      <c r="AL36" s="3303"/>
      <c r="AM36" s="1428"/>
      <c r="AN36" s="3303"/>
      <c r="AO36" s="1420"/>
      <c r="AP36" s="1420"/>
      <c r="AQ36" s="1428"/>
      <c r="AR36" s="273"/>
      <c r="AW36" s="2551"/>
      <c r="AX36" s="3791" t="s">
        <v>167</v>
      </c>
      <c r="AY36" s="3797"/>
      <c r="AZ36" s="3790">
        <v>22284.981723907418</v>
      </c>
      <c r="BA36" s="3790">
        <v>0</v>
      </c>
      <c r="BB36" s="3790">
        <v>19927.538625527828</v>
      </c>
      <c r="BC36" s="3793">
        <v>-84.19439637069965</v>
      </c>
      <c r="BD36" s="3774">
        <v>19843.344229157134</v>
      </c>
      <c r="BE36" s="3784"/>
      <c r="BF36" s="3798"/>
      <c r="BG36" s="3790">
        <v>89632.55322265625</v>
      </c>
      <c r="BH36" s="3790">
        <v>0</v>
      </c>
      <c r="BI36" s="3790">
        <v>72983.333007812485</v>
      </c>
      <c r="BJ36" s="3795">
        <v>-594.61500767299162</v>
      </c>
      <c r="BK36" s="3774">
        <v>72388.718000139503</v>
      </c>
      <c r="BL36" s="3784"/>
      <c r="BM36" s="3798"/>
      <c r="BN36" s="3790">
        <v>23217.981154353729</v>
      </c>
      <c r="BO36" s="3790">
        <v>0</v>
      </c>
      <c r="BP36" s="3790">
        <v>20671.720852204431</v>
      </c>
      <c r="BQ36" s="3796">
        <v>-90.93786793390349</v>
      </c>
      <c r="BR36" s="3774">
        <v>20580.782984270521</v>
      </c>
      <c r="BS36" s="3784"/>
      <c r="BT36" s="3798"/>
      <c r="BU36" s="3790">
        <v>5163015.7217677832</v>
      </c>
      <c r="BV36" s="3790" t="s">
        <v>342</v>
      </c>
      <c r="BW36" s="3790" t="s">
        <v>342</v>
      </c>
      <c r="BX36" s="3790">
        <v>-26962.074884563684</v>
      </c>
      <c r="BY36" s="3790">
        <v>4381115.5501154363</v>
      </c>
      <c r="BZ36" s="3790" t="s">
        <v>342</v>
      </c>
      <c r="CA36" s="3790">
        <v>-26962.074884563684</v>
      </c>
      <c r="CB36" s="3790" t="s">
        <v>342</v>
      </c>
      <c r="CC36" s="3790">
        <v>-26962.074884563684</v>
      </c>
      <c r="CD36" s="3774">
        <v>4381115.5501154363</v>
      </c>
      <c r="CE36" s="3790">
        <v>-26962.074884563684</v>
      </c>
      <c r="CF36" s="3774">
        <v>0</v>
      </c>
      <c r="CG36" s="3774">
        <v>4317485.0533878673</v>
      </c>
      <c r="CH36" s="188"/>
    </row>
    <row r="37" spans="1:87" s="427" customFormat="1" ht="16.5" customHeight="1">
      <c r="B37" s="1417" t="s">
        <v>229</v>
      </c>
      <c r="C37" s="1443" t="s">
        <v>48</v>
      </c>
      <c r="D37" s="1419"/>
      <c r="E37" s="1391">
        <v>92.48607237729658</v>
      </c>
      <c r="F37" s="1391">
        <v>94.176551941871423</v>
      </c>
      <c r="G37" s="3470">
        <v>93.837900333354852</v>
      </c>
      <c r="H37" s="1391">
        <v>92.833487014930043</v>
      </c>
      <c r="I37" s="1391">
        <v>94.269664835637428</v>
      </c>
      <c r="J37" s="1391">
        <v>92.780666684410789</v>
      </c>
      <c r="K37" s="1391">
        <v>92.835616499435176</v>
      </c>
      <c r="L37" s="1391">
        <v>93.257257915025974</v>
      </c>
      <c r="M37" s="1391">
        <v>93.864144273676644</v>
      </c>
      <c r="N37" s="1391">
        <v>93.374462432192516</v>
      </c>
      <c r="O37" s="1391">
        <v>92.513010959773538</v>
      </c>
      <c r="P37" s="1391">
        <v>93.164759203093013</v>
      </c>
      <c r="Q37" s="1428"/>
      <c r="R37" s="1429">
        <f>SUMPRODUCT(E12:P12,E35:P35,E37:P37)/SUMPRODUCT(E12:P12,E35:P35)</f>
        <v>93.419816641434906</v>
      </c>
      <c r="T37" s="1430">
        <f>IF(MONTH(Factores!$D$2)=1,SUMPRODUCT($E$12:$E$12,$E$35:$E$35,$E37:E37)/SUMPRODUCT($E$12:$E$12,$E$35:$E$35),IF(MONTH(Factores!$D$2)=2,SUMPRODUCT($E$12:$F$12,$E$35:$F$35,$E37:F37)/SUMPRODUCT($E$12:$F$12,$E$35:$F$35),IF(MONTH(Factores!$D$2)=3,SUMPRODUCT($E$12:$G$12,$E$35:$G$35,$E37:G37)/SUMPRODUCT($E$12:$G$12,$E$35:$G$35),IF(MONTH(Factores!$D$2)=4,SUMPRODUCT($E$12:$H$12,$E$35:$H$35,$E37:H37)/SUMPRODUCT($E$12:$H$12,$E$35:$H$35),IF(MONTH(Factores!$D$2)=5,SUMPRODUCT($E$12:$I$12,$E$35:$I$35,$E37:I37)/SUMPRODUCT($E$12:$I$12,$E$35:$I$35),IF(MONTH(Factores!$D$2)=6,SUMPRODUCT($E$12:$J$12,$E$35:$J$35,$E37:J37)/SUMPRODUCT($E$12:$J$12,$E$35:$J$35),IF(MONTH(Factores!$D$2)=7,SUMPRODUCT($E$12:$K$12,$E$35:$K$35,$E37:K37)/SUMPRODUCT($E$12:$K$12,$E$35:$K$35),IF(MONTH(Factores!$D$2)=8,SUMPRODUCT($E$12:$L$12,$E$35:$L$35,$E37:L37)/SUMPRODUCT($E$12:$L$12,$E$35:$L$35),IF(MONTH(Factores!$D$2)=9,SUMPRODUCT($E$12:$M$12,$E$35:$M$35,$E37:M37)/SUMPRODUCT($E$12:$M$12,$E$35:$M$35),IF(MONTH(Factores!$D$2)=10,SUMPRODUCT($E$12:$N$12,$E$35:$N$35,$E37:N37)/SUMPRODUCT($E$12:$N$12,$E$35:$N$35),IF(MONTH(Factores!$D$2)=11,SUMPRODUCT($E$12:$O$12,$E$35:$O$35,$E37:O37)/SUMPRODUCT($E$12:$O$12,$E$35:$O$35),IF(MONTH(Factores!$D$2)=12,SUMPRODUCT($E$12:$P$12,$E$35:$P$35,$E37:P37)/SUMPRODUCT($E$12:$P$12,$E$35:$P$35)))))))))))))</f>
        <v>93.662072089683008</v>
      </c>
      <c r="U37" s="1431">
        <f>IF(MONTH(Factores!$D$2)=1,SUMPRODUCT($E$12:$E$12,$E$35:$E$35,$E37:E37)/SUMPRODUCT($E$12:$E$12,$E$35:$E$35),IF(MONTH(Factores!$D$2)=2,SUMPRODUCT($E$12:$E$12,$E$35:$E$35,$E37:E37)/SUMPRODUCT($E$12:$E$12,$E$35:$E$35),IF(MONTH(Factores!$D$2)=3,SUMPRODUCT($E$12:$F$12,$E$35:$F$35,$E37:F37)/SUMPRODUCT($E$12:$F$12,$E$35:$F$35),IF(MONTH(Factores!$D$2)=4,SUMPRODUCT($E$12:$G$12,$E$35:$G$35,$E37:G37)/SUMPRODUCT($E$12:$G$12,$E$35:$G$35),IF(MONTH(Factores!$D$2)=5,SUMPRODUCT($E$12:$H$12,$E$35:$H$35,$E37:H37)/SUMPRODUCT($E$12:$H$12,$E$35:$H$35),IF(MONTH(Factores!$D$2)=6,SUMPRODUCT($E$12:$I$12,$E$35:$I$35,$E37:I37)/SUMPRODUCT($E$12:$I$12,$E$35:$I$35),IF(MONTH(Factores!$D$2)=7,SUMPRODUCT($E$12:$J$12,$E$35:$J$35,$E37:J37)/SUMPRODUCT($E$12:$J$12,$E$35:$J$35),IF(MONTH(Factores!$D$2)=8,SUMPRODUCT($E$12:$K$12,$E$35:$K$35,$E37:K37)/SUMPRODUCT($E$12:$K$12,$E$35:$K$35),IF(MONTH(Factores!$D$2)=9,SUMPRODUCT($E$12:$L$12,$E$35:$L$35,$E37:L37)/SUMPRODUCT($E$12:$L$12,$E$35:$L$35),IF(MONTH(Factores!$D$2)=10,SUMPRODUCT($E$12:$M$12,$E$35:$M$35,$E37:M37)/SUMPRODUCT($E$12:$M$12,$E$35:$M$35),IF(MONTH(Factores!$D$2)=11,SUMPRODUCT($E$12:$N$12,$E$35:$N$35,$E37:N37)/SUMPRODUCT($E$12:$N$12,$E$35:$N$35),IF(MONTH(Factores!$D$2)=12,SUMPRODUCT($E$12:$O$12,$E$35:$O$35,$E37:O37)/SUMPRODUCT($E$12:$O$12,$E$35:$O$35)))))))))))))</f>
        <v>93.534214603970597</v>
      </c>
      <c r="W37" s="3276" t="e">
        <f>(IF(E4="REAL",E35*E12*E37,0)+IF(F4="REAL",F35*F12*F37,0)+IF(G4="REAL",G35*G12*G37,0)+IF(H4="REAL",H35*H12*H37,0)+IF(I4="REAL",I35*I12*I37,0)+IF(J4="REAL",J35*J12*J37,0)+IF(K4="REAL",K35*K12*K37,0)+IF(L4="REAL",L35*L12*L37,0)+IF(M4="REAL",M35*M12*M37,0)+IF(N4="REAL",N35*N12*N37,0)+IF(O4="REAL",O35*O12*O37,0)+IF(P4="REAL",P35*P12*P37,0))/(IF(E4="REAL",E35*E12,0)+IF(F4="REAL",F35*F12,0)+IF(G4="REAL",G35*G12,0)+IF(H4="REAL",H35*H12,0)+IF(I4="REAL",I35*I12,0)+IF(J4="REAL",J35*J12,0)+IF(K4="REAL",K35*K12,0)+IF(L4="REAL",L35*L12,0)+IF(M4="REAL",M35*M12,0)+IF(N4="REAL",N35*N12,0)+IF(O4="REAL",O35*O12,0)+IF(P4="REAL",P35*P12,0))</f>
        <v>#DIV/0!</v>
      </c>
      <c r="X37" s="3286">
        <f>SUMIF($E$4:$P$4,"R+P",E37:P37)</f>
        <v>0</v>
      </c>
      <c r="Y37" s="3276" t="e">
        <f>(IF(E4="REAL",E35*E12*E37,0)+IF(F4="REAL",F35*F12*F37,0)+IF(G4="REAL",G35*G12*G37,0)+IF(H4="REAL",H35*H12*H37,0)+IF(I4="REAL",I35*I12*I37,0)+IF(J4="REAL",J35*J12*J37,0)+IF(K4="REAL",K35*K12*K37,0)+IF(L4="REAL",L35*L12*L37,0)+IF(M4="REAL",M35*M12*M37,0)+IF(N4="REAL",N35*N12*N37,0)+IF(O4="REAL",O35*O12*O37,0)+IF(P4="REAL",P35*P12*P37,0)+X12*X35*X37)/(IF(E4="REAL",E35*E12,0)+IF(F4="REAL",F35*F12,0)+IF(G4="REAL",G35*G12,0)+IF(H4="REAL",H35*H12,0)+IF(I4="REAL",I35*I12,0)+IF(J4="REAL",J35*J12,0)+IF(K4="REAL",K35*K12,0)+IF(L4="REAL",L35*L12,0)+IF(M4="REAL",M35*M12,0)+IF(N4="REAL",N35*N12,0)+IF(O4="REAL",O35*O12,0)+IF(P4="REAL",P35*P12,0)+X12*X35)</f>
        <v>#REF!</v>
      </c>
      <c r="AA37" s="3309"/>
      <c r="AB37" s="3313">
        <f>SUM(AB5:AB36)</f>
        <v>0</v>
      </c>
      <c r="AC37" s="3314">
        <f>SUM(AC5:AC36)</f>
        <v>0</v>
      </c>
      <c r="AD37" s="3314">
        <f>SUM(AD5:AD36)</f>
        <v>0</v>
      </c>
      <c r="AE37" s="3314">
        <f>SUM(AE5:AE36)</f>
        <v>0</v>
      </c>
      <c r="AF37" s="3315" t="e">
        <f>SUMPRODUCT($AD$5:$AD$36,AF5:AF36)/$AD$37</f>
        <v>#DIV/0!</v>
      </c>
      <c r="AG37" s="3316" t="e">
        <f>AE37/(AD37*AF37/100)*100</f>
        <v>#DIV/0!</v>
      </c>
      <c r="AH37" s="3316" t="e">
        <f>AE37/AC37*100</f>
        <v>#DIV/0!</v>
      </c>
      <c r="AI37" s="3316" t="e">
        <f>AVERAGE(AI5:AI36)</f>
        <v>#DIV/0!</v>
      </c>
      <c r="AJ37" s="3316" t="e">
        <f>SUMPRODUCT($AD$5:$AD$36,AJ5:AJ36)/$AD$37</f>
        <v>#DIV/0!</v>
      </c>
      <c r="AK37" s="3316" t="e">
        <f>SUMPRODUCT($AD$5:$AD$36,AK5:AK36)/$AD$37</f>
        <v>#DIV/0!</v>
      </c>
      <c r="AL37" s="3316" t="e">
        <f>SUMPRODUCT($AD$5:$AD$36,AL5:AL36)/$AD$37</f>
        <v>#DIV/0!</v>
      </c>
      <c r="AM37" s="3314" t="e">
        <f>SUMPRODUCT($AD$5:$AD$36,AM5:AM36)/$AD$37</f>
        <v>#DIV/0!</v>
      </c>
      <c r="AN37" s="3316" t="e">
        <f>AO37/(AD37*AM37/10000)*10000</f>
        <v>#DIV/0!</v>
      </c>
      <c r="AO37" s="3315">
        <f>SUM(AO5:AO36)</f>
        <v>724.40679775203546</v>
      </c>
      <c r="AP37" s="3315">
        <f>SUM(AP5:AP36)</f>
        <v>720.78476376327546</v>
      </c>
      <c r="AQ37" s="3314" t="e">
        <f>AD37/(24*AR37*AI37/100)</f>
        <v>#DIV/0!</v>
      </c>
      <c r="AR37" s="273">
        <f>COUNT(AQ5:AQ36)</f>
        <v>0</v>
      </c>
      <c r="AW37" s="2551"/>
      <c r="AX37" s="3791" t="e">
        <v>#VALUE!</v>
      </c>
      <c r="AY37" s="3797"/>
      <c r="AZ37" s="3790">
        <v>22284.981723907418</v>
      </c>
      <c r="BA37" s="3790">
        <v>0</v>
      </c>
      <c r="BB37" s="3790">
        <v>19927.538625527828</v>
      </c>
      <c r="BC37" s="3793">
        <v>-84.19439637069965</v>
      </c>
      <c r="BD37" s="3774">
        <v>19759.149832786436</v>
      </c>
      <c r="BE37" s="3784"/>
      <c r="BF37" s="3798"/>
      <c r="BG37" s="3790">
        <v>89632.55322265625</v>
      </c>
      <c r="BH37" s="3790">
        <v>0</v>
      </c>
      <c r="BI37" s="3790">
        <v>72983.333007812485</v>
      </c>
      <c r="BJ37" s="3795">
        <v>-594.61500767299162</v>
      </c>
      <c r="BK37" s="3774">
        <v>71794.102992466505</v>
      </c>
      <c r="BL37" s="3784"/>
      <c r="BM37" s="3798"/>
      <c r="BN37" s="3790">
        <v>23217.981154353729</v>
      </c>
      <c r="BO37" s="3790">
        <v>0</v>
      </c>
      <c r="BP37" s="3790">
        <v>20671.720852204431</v>
      </c>
      <c r="BQ37" s="3796">
        <v>-90.93786793390349</v>
      </c>
      <c r="BR37" s="3774">
        <v>20489.845116336619</v>
      </c>
      <c r="BS37" s="3784"/>
      <c r="BT37" s="3798"/>
      <c r="BU37" s="3790">
        <v>5163015.7217677832</v>
      </c>
      <c r="BV37" s="3790" t="s">
        <v>342</v>
      </c>
      <c r="BW37" s="3790" t="s">
        <v>342</v>
      </c>
      <c r="BX37" s="3790">
        <v>-26962.074884563684</v>
      </c>
      <c r="BY37" s="3790">
        <v>4354153.4752308726</v>
      </c>
      <c r="BZ37" s="3790" t="s">
        <v>342</v>
      </c>
      <c r="CA37" s="3790">
        <v>-26962.074884563684</v>
      </c>
      <c r="CB37" s="3790" t="s">
        <v>342</v>
      </c>
      <c r="CC37" s="3790">
        <v>-26962.074884563684</v>
      </c>
      <c r="CD37" s="3774">
        <v>4354153.4752308726</v>
      </c>
      <c r="CE37" s="3790">
        <v>-26962.074884563684</v>
      </c>
      <c r="CF37" s="3774">
        <v>0</v>
      </c>
      <c r="CG37" s="3774">
        <v>4317485.0533878673</v>
      </c>
      <c r="CH37" s="188"/>
    </row>
    <row r="38" spans="1:87" s="427" customFormat="1" ht="16.5" customHeight="1">
      <c r="B38" s="1417" t="s">
        <v>230</v>
      </c>
      <c r="C38" s="1443" t="s">
        <v>48</v>
      </c>
      <c r="D38" s="1419"/>
      <c r="E38" s="1391">
        <f>+E36*100/E37</f>
        <v>88.065907669126972</v>
      </c>
      <c r="F38" s="1391">
        <f t="shared" ref="F38:P38" si="9">+F36*100/F37</f>
        <v>89.800956913648292</v>
      </c>
      <c r="G38" s="3470">
        <f t="shared" si="9"/>
        <v>89.453376718166709</v>
      </c>
      <c r="H38" s="1391">
        <f t="shared" si="9"/>
        <v>88.422481931953499</v>
      </c>
      <c r="I38" s="1391">
        <f t="shared" si="9"/>
        <v>89.896524739115947</v>
      </c>
      <c r="J38" s="1391">
        <f t="shared" si="9"/>
        <v>88.368268987601326</v>
      </c>
      <c r="K38" s="1391">
        <f t="shared" si="9"/>
        <v>88.560586749383617</v>
      </c>
      <c r="L38" s="1391">
        <f t="shared" si="9"/>
        <v>88.994009987714207</v>
      </c>
      <c r="M38" s="1391">
        <f t="shared" si="9"/>
        <v>89.6178544231486</v>
      </c>
      <c r="N38" s="1391">
        <f t="shared" si="9"/>
        <v>89.114489521979351</v>
      </c>
      <c r="O38" s="1391">
        <f t="shared" si="9"/>
        <v>88.228966722191544</v>
      </c>
      <c r="P38" s="1391">
        <f t="shared" si="9"/>
        <v>88.89892660694332</v>
      </c>
      <c r="Q38" s="1428"/>
      <c r="R38" s="1429">
        <f>SUMPRODUCT(E12:P12,E35:P35,E37:P37,E38:P38)/SUMPRODUCT(E12:P12,E35:P35,E37:P37)</f>
        <v>89.09635758954677</v>
      </c>
      <c r="T38" s="1430">
        <f>IF(MONTH(Factores!$D$2)=1,SUMPRODUCT($E$12:$E$12,$E$35:$E$35,$E$37:$E$37,$E38:E38)/SUMPRODUCT($E$12:$E$12,$E$35:$E$35,$E$37:$E$37),IF(MONTH(Factores!$D$2)=2,SUMPRODUCT($E$12:$F$12,$E$35:$F$35,$E$37:$F$37,$E38:F38)/SUMPRODUCT($E$12:$F$12,$E$35:$F$35,$E$37:$F$37),IF(MONTH(Factores!$D$2)=3,SUMPRODUCT($E$12:$G$12,$E$35:$G$35,$E$37:$G$37,$E38:G38)/SUMPRODUCT($E$12:$G$12,$E$35:$G$35,$E$37:$G$37),IF(MONTH(Factores!$D$2)=4,SUMPRODUCT($E$12:$H$12,$E$35:$H$35,$E$37:$H$37,$E38:H38)/SUMPRODUCT($E$12:$H$12,$E$35:$H$35,$E$37:$H$37),IF(MONTH(Factores!$D$2)=5,SUMPRODUCT($E$12:$I$12,$E$35:$I$35,$E$37:$I$37,$E38:I38)/SUMPRODUCT($E$12:$I$12,$E$35:$I$35,$E$37:$I$37),IF(MONTH(Factores!$D$2)=6,SUMPRODUCT($E$12:$J$12,$E$35:$J$35,$E$37:$J$37,$E38:J38)/SUMPRODUCT($E$12:$J$12,$E$35:$J$35,$E$37:$J$37),IF(MONTH(Factores!$D$2)=7,SUMPRODUCT($E$12:$K$12,$E$35:$K$35,$E$37:$K$37,$E38:K38)/SUMPRODUCT($E$12:$K$12,$E$35:$K$35,$E$37:$K$37),IF(MONTH(Factores!$D$2)=8,SUMPRODUCT($E$12:$L$12,$E$35:$L$35,$E$37:$L$37,$E38:L38)/SUMPRODUCT($E$12:$L$12,$E$35:$L$35,$E$37:$L$37),IF(MONTH(Factores!$D$2)=9,SUMPRODUCT($E$12:$M$12,$E$35:$M$35,$E$37:$M$37,$E38:M38)/SUMPRODUCT($E$12:$M$12,$E$35:$M$35,$E$37:$M$37),IF(MONTH(Factores!$D$2)=10,SUMPRODUCT($E$12:$N$12,$E$35:$N$35,$E$37:$N$37,$E38:N38)/SUMPRODUCT($E$12:$N$12,$E$35:$N$35,$E$37:$N$37),IF(MONTH(Factores!$D$2)=11,SUMPRODUCT($E$12:$O$12,$E$35:$O$35,$E$37:$O$37,$E38:O38)/SUMPRODUCT($E$12:$O$12,$E$35:$O$35,$E$37:$O$37),IF(MONTH(Factores!$D$2)=12,SUMPRODUCT($E$12:$P$12,$E$35:$P$35,$E$37:$P$37,$E38:P38)/SUMPRODUCT($E$12:$P$12,$E$35:$P$35,$E$37:$P$37)))))))))))))</f>
        <v>89.277430646272748</v>
      </c>
      <c r="U38" s="1431">
        <f>IF(MONTH(Factores!$D$2)=1,SUMPRODUCT($E$12:$E$12,$E$35:$E$35,$E$37:$E$37,$E38:E38)/SUMPRODUCT($E$12:$E$12,$E$35:$E$35,$E$37:$E$37),IF(MONTH(Factores!$D$2)=2,SUMPRODUCT($E$12:$E$12,$E$35:$E$35,$E$37:$E$37,$E38:E38)/SUMPRODUCT($E$12:$E$12,$E$35:$E$35,$E$37:$E$37),IF(MONTH(Factores!$D$2)=3,SUMPRODUCT($E$12:$F$12,$E$35:$F$35,$E$37:$F$37,$E38:F38)/SUMPRODUCT($E$12:$F$12,$E$35:$F$35,$E$37:$F$37),IF(MONTH(Factores!$D$2)=4,SUMPRODUCT($E$12:$G$12,$E$35:$G$35,$E$37:$G$37,$E38:G38)/SUMPRODUCT($E$12:$G$12,$E$35:$G$35,$E$37:$G$37),IF(MONTH(Factores!$D$2)=5,SUMPRODUCT($E$12:$H$12,$E$35:$H$35,$E$37:$H$37,$E38:H38)/SUMPRODUCT($E$12:$H$12,$E$35:$H$35,$E$37:$H$37),IF(MONTH(Factores!$D$2)=6,SUMPRODUCT($E$12:$I$12,$E$35:$I$35,$E$37:$I$37,$E38:I38)/SUMPRODUCT($E$12:$I$12,$E$35:$I$35,$E$37:$I$37),IF(MONTH(Factores!$D$2)=7,SUMPRODUCT($E$12:$J$12,$E$35:$J$35,$E$37:$J$37,$E38:J38)/SUMPRODUCT($E$12:$J$12,$E$35:$J$35,$E$37:$J$37),IF(MONTH(Factores!$D$2)=8,SUMPRODUCT($E$12:$K$12,$E$35:$K$35,$E$37:$K$37,$E38:K38)/SUMPRODUCT($E$12:$K$12,$E$35:$K$35,$E$37:$K$37),IF(MONTH(Factores!$D$2)=9,SUMPRODUCT($E$12:$L$12,$E$35:$L$35,$E$37:$L$37,$E38:L38)/SUMPRODUCT($E$12:$L$12,$E$35:$L$35,$E$37:$L$37),IF(MONTH(Factores!$D$2)=10,SUMPRODUCT($E$12:$M$12,$E$35:$M$35,$E$37:$M$37,$E38:M38)/SUMPRODUCT($E$12:$M$12,$E$35:$M$35,$E$37:$M$37),IF(MONTH(Factores!$D$2)=11,SUMPRODUCT($E$12:$N$12,$E$35:$N$35,$E$37:$N$37,$E38:N38)/SUMPRODUCT($E$12:$N$12,$E$35:$N$35,$E$37:$N$37),IF(MONTH(Factores!$D$2)=12,SUMPRODUCT($E$12:$O$12,$E$35:$O$35,$E$37:$O$37,$E38:O38)/SUMPRODUCT($E$12:$O$12,$E$35:$O$35,$E$37:$O$37)))))))))))))</f>
        <v>89.149072074812224</v>
      </c>
      <c r="W38" s="3276" t="e">
        <f>(IF(E4="REAL",E35*E12*E37*E38,0)+IF(F4="REAL",F35*F12*F37*F38,0)+IF(G4="REAL",G35*G12*G37*G38,0)+IF(H4="REAL",H35*H12*H37*H38,0)+IF(I4="REAL",I35*I12*I37*I38,0)+IF(J4="REAL",J35*J12*J37*J38,0)+IF(K4="REAL",K35*K12*K37*K38,0)+IF(L4="REAL",L35*L12*L37*L38,0)+IF(M4="REAL",M35*M12*M37*M38,0)+IF(N4="REAL",N35*N12*N37*N38,0)+IF(O4="REAL",O35*O12*O37*O38,0)+IF(P4="REAL",P35*P12*P37*P38,0))/(IF(E4="REAL",E35*E12*E37,0)+IF(F4="REAL",F35*F12*F37,0)+IF(G4="REAL",G35*G12*G37,0)+IF(H4="REAL",H35*H12*H37,0)+IF(I4="REAL",I35*I12*I37,0)+IF(J4="REAL",J35*J12*J37,0)+IF(K4="REAL",K35*K12*K37,0)+IF(L4="REAL",L35*L12*L37,0)+IF(M4="REAL",M35*M12*M37,0)+IF(N4="REAL",N35*N12*N37,0)+IF(O4="REAL",O35*O12*O37,0)+IF(P4="REAL",P35*P12*P37,0))</f>
        <v>#DIV/0!</v>
      </c>
      <c r="X38" s="3286">
        <f>SUMIF($E$4:$P$4,"R+P",E38:P38)</f>
        <v>0</v>
      </c>
      <c r="Y38" s="3276" t="e">
        <f>(IF(E4="REAL",E35*E12*E37*E38,0)+IF(F4="REAL",F35*F12*F37*F38,0)+IF(G4="REAL",G35*G12*G37*G38,0)+IF(H4="REAL",H35*H12*H37*H38,0)+IF(I4="REAL",I35*I12*I37*I38,0)+IF(J4="REAL",J35*J12*J37*J38,0)+IF(K4="REAL",K35*K12*K37*K38,0)+IF(L4="REAL",L35*L12*L37*L38,0)+IF(M4="REAL",M35*M12*M37*M38,0)+IF(N4="REAL",N35*N12*N37*N38,0)+IF(O4="REAL",O35*O12*O37*O38,0)+IF(P4="REAL",P35*P12*P37*P38,0)+X12*X35*X37*X38)/(IF(E4="REAL",E35*E12*E37,0)+IF(F4="REAL",F35*F12*F37,0)+IF(G4="REAL",G35*G12*G37,0)+IF(H4="REAL",H35*H12*H37,0)+IF(I4="REAL",I35*I12*I37,0)+IF(J4="REAL",J35*J12*J37,0)+IF(K4="REAL",K35*K12*K37,0)+IF(L4="REAL",L35*L12*L37,0)+IF(M4="REAL",M35*M12*M37,0)+IF(N4="REAL",N35*N12*N37,0)+IF(O4="REAL",O35*O12*O37,0)+IF(P4="REAL",P35*P12*P37,0)+X12*X35*X37)</f>
        <v>#REF!</v>
      </c>
      <c r="Z38" s="1398"/>
      <c r="AW38" s="2551"/>
      <c r="AX38" s="3799" t="e">
        <v>#VALUE!</v>
      </c>
      <c r="AY38" s="3800"/>
      <c r="AZ38" s="3801">
        <v>22284.981723907418</v>
      </c>
      <c r="BA38" s="3801">
        <v>0</v>
      </c>
      <c r="BB38" s="3801">
        <v>19927.538625527828</v>
      </c>
      <c r="BC38" s="3793">
        <v>-84.19439637069965</v>
      </c>
      <c r="BD38" s="3779">
        <v>19674.955436415737</v>
      </c>
      <c r="BE38" s="3784"/>
      <c r="BF38" s="3802"/>
      <c r="BG38" s="3801">
        <v>89632.55322265625</v>
      </c>
      <c r="BH38" s="3790">
        <v>0</v>
      </c>
      <c r="BI38" s="3803">
        <v>72983.333007812485</v>
      </c>
      <c r="BJ38" s="3795">
        <v>-594.61500767299162</v>
      </c>
      <c r="BK38" s="3779">
        <v>71199.487984793508</v>
      </c>
      <c r="BL38" s="3784"/>
      <c r="BM38" s="3802"/>
      <c r="BN38" s="3801">
        <v>23217.981154353729</v>
      </c>
      <c r="BO38" s="3801">
        <v>0</v>
      </c>
      <c r="BP38" s="3801">
        <v>20671.720852204431</v>
      </c>
      <c r="BQ38" s="3796">
        <v>-90.93786793390349</v>
      </c>
      <c r="BR38" s="3779">
        <v>20398.907248402717</v>
      </c>
      <c r="BS38" s="3784"/>
      <c r="BT38" s="3802"/>
      <c r="BU38" s="3801">
        <v>5163015.7217677832</v>
      </c>
      <c r="BV38" s="3801" t="s">
        <v>342</v>
      </c>
      <c r="BW38" s="3801" t="s">
        <v>342</v>
      </c>
      <c r="BX38" s="3790">
        <v>-26962.074884563684</v>
      </c>
      <c r="BY38" s="3801">
        <v>4327191.4003463089</v>
      </c>
      <c r="BZ38" s="3801" t="s">
        <v>342</v>
      </c>
      <c r="CA38" s="3801">
        <v>-26962.074884563684</v>
      </c>
      <c r="CB38" s="3801" t="s">
        <v>342</v>
      </c>
      <c r="CC38" s="3801">
        <v>-26962.074884563684</v>
      </c>
      <c r="CD38" s="3779">
        <v>4327191.4003463089</v>
      </c>
      <c r="CE38" s="3801">
        <v>-26962.074884563684</v>
      </c>
      <c r="CF38" s="3779">
        <v>0</v>
      </c>
      <c r="CG38" s="3779">
        <v>4317485.0533878673</v>
      </c>
      <c r="CH38" s="188"/>
    </row>
    <row r="39" spans="1:87" s="427" customFormat="1" ht="16.5" customHeight="1">
      <c r="B39" s="1417" t="s">
        <v>231</v>
      </c>
      <c r="C39" s="1443" t="s">
        <v>204</v>
      </c>
      <c r="D39" s="1419"/>
      <c r="E39" s="3431">
        <f>+E12*E35*10^-6*E36%/E40%</f>
        <v>0.99560891906671622</v>
      </c>
      <c r="F39" s="3431">
        <f t="shared" ref="F39:P39" si="10">+F12*F35*10^-6*F36%/F40%</f>
        <v>1.6868848075863592</v>
      </c>
      <c r="G39" s="3472">
        <f t="shared" si="10"/>
        <v>1.963649298126209</v>
      </c>
      <c r="H39" s="3431">
        <f t="shared" si="10"/>
        <v>0.91439470303474857</v>
      </c>
      <c r="I39" s="3431">
        <f t="shared" si="10"/>
        <v>2.4300480575244872</v>
      </c>
      <c r="J39" s="3431">
        <f t="shared" si="10"/>
        <v>1.3414940699111766</v>
      </c>
      <c r="K39" s="3431">
        <f t="shared" si="10"/>
        <v>1.3433864441992174</v>
      </c>
      <c r="L39" s="3431">
        <f t="shared" si="10"/>
        <v>1.545515882003913</v>
      </c>
      <c r="M39" s="3431">
        <f t="shared" si="10"/>
        <v>1.9363607059474439</v>
      </c>
      <c r="N39" s="3431">
        <f t="shared" si="10"/>
        <v>1.6939823120152537</v>
      </c>
      <c r="O39" s="3431">
        <f t="shared" si="10"/>
        <v>1.136164784676839</v>
      </c>
      <c r="P39" s="3431">
        <f t="shared" si="10"/>
        <v>1.60738114453015</v>
      </c>
      <c r="Q39" s="1428"/>
      <c r="R39" s="1447">
        <f>SUM(E39:P39)</f>
        <v>18.594871128622515</v>
      </c>
      <c r="T39" s="1449">
        <f>IF(MONTH(Factores!$D$2)=1,SUM($E39:E39),IF(MONTH(Factores!$D$2)=2,SUM($E39:F39),IF(MONTH(Factores!$D$2)=3,SUM($E39:G39),IF(MONTH(Factores!$D$2)=4,SUM($E39:H39),IF(MONTH(Factores!$D$2)=5,SUM($E39:I39),IF(MONTH(Factores!$D$2)=6,SUM($E39:J39),IF(MONTH(Factores!$D$2)=7,SUM($E39:K39),IF(MONTH(Factores!$D$2)=8,SUM($E39:L39),IF(MONTH(Factores!$D$2)=9,SUM($E39:M39),IF(MONTH(Factores!$D$2)=10,SUM($E39:N39),IF(MONTH(Factores!$D$2)=11,SUM($E39:O39),IF(MONTH(Factores!$D$2)=12,SUM($E39:P39)))))))))))))</f>
        <v>4.6461430247792848</v>
      </c>
      <c r="U39" s="1449">
        <f>IF(MONTH(Factores!$D$2)=1,SUM($E39:E39),IF(MONTH(Factores!$D$2)=2,SUM($E39:E39),IF(MONTH(Factores!$D$2)=3,SUM($E39:F39),IF(MONTH(Factores!$D$2)=4,SUM($E39:G39),IF(MONTH(Factores!$D$2)=5,SUM($E39:H39),IF(MONTH(Factores!$D$2)=6,SUM($E39:I39),IF(MONTH(Factores!$D$2)=7,SUM($E39:J39),IF(MONTH(Factores!$D$2)=8,SUM($E39:K39),IF(MONTH(Factores!$D$2)=9,SUM($E39:L39),IF(MONTH(Factores!$D$2)=10,SUM($E39:M39),IF(MONTH(Factores!$D$2)=11,SUM($E39:N39),IF(MONTH(Factores!$D$2)=12,SUM($E39:O39)))))))))))))</f>
        <v>2.6824937266530755</v>
      </c>
      <c r="W39" s="3276">
        <f>SUMIF($E$4:$P$4,"=REAL",E39:P39)</f>
        <v>0</v>
      </c>
      <c r="X39" s="3276" t="e">
        <f>SUMIF($E$4:$P$4,"R+P",E39:P39)/SUMIF($E$4:$P$4,"R+P",$E$5:$P$5)*$X$5</f>
        <v>#DIV/0!</v>
      </c>
      <c r="Y39" s="3276" t="e">
        <f>SUM(W39:X39)</f>
        <v>#DIV/0!</v>
      </c>
      <c r="Z39" s="1398"/>
      <c r="AA39" s="3309">
        <v>45809</v>
      </c>
      <c r="AB39" s="1428">
        <f>IF($AA39&lt;=Factores!$D$3,AB5,"")</f>
        <v>0</v>
      </c>
      <c r="AC39" s="1428">
        <f>IF($AA39&lt;=Factores!$D$3,AC5,"")</f>
        <v>0</v>
      </c>
      <c r="AD39" s="1428">
        <f>IF($AA39&lt;=Factores!$D$3,AD5,"")</f>
        <v>0</v>
      </c>
      <c r="AE39" s="1428">
        <f>IF($AA39&lt;=Factores!$D$3,AE5,"")</f>
        <v>0</v>
      </c>
      <c r="AF39" s="1420">
        <f>IF($AA39&lt;=Factores!$D$3,AF5,"")</f>
        <v>0</v>
      </c>
      <c r="AG39" s="3303">
        <f>IF($AA39&lt;=Factores!$D$3,AG5,"")</f>
        <v>0</v>
      </c>
      <c r="AH39" s="3303" t="e">
        <f>IF($AA39&lt;=Factores!$D$3,AH5,"")</f>
        <v>#DIV/0!</v>
      </c>
      <c r="AI39" s="3303">
        <f>IF($AA39&lt;=Factores!$D$3,AI5,"")</f>
        <v>0</v>
      </c>
      <c r="AJ39" s="3303">
        <f>IF($AA39&lt;=Factores!$D$3,AJ5,"")</f>
        <v>0</v>
      </c>
      <c r="AK39" s="3303">
        <f>IF($AA39&lt;=Factores!$D$3,AK5,"")</f>
        <v>0</v>
      </c>
      <c r="AL39" s="3303">
        <f>IF($AA39&lt;=Factores!$D$3,AL5,"")</f>
        <v>0</v>
      </c>
      <c r="AM39" s="1428">
        <f>IF($AA39&lt;=Factores!$D$3,AM5,"")</f>
        <v>0</v>
      </c>
      <c r="AN39" s="3303">
        <f>IF($AA39&lt;=Factores!$D$3,AN5,"")</f>
        <v>0</v>
      </c>
      <c r="AO39" s="1420">
        <f>IF($AA39&lt;=Factores!$D$3,AO5,"")</f>
        <v>24.146893258401185</v>
      </c>
      <c r="AP39" s="1420">
        <f>IF($AA39&lt;=Factores!$D$3,AP5,"")</f>
        <v>24.026158792109179</v>
      </c>
      <c r="AQ39" s="1428" t="e">
        <f>IF($AA39&lt;=Factores!$D$3,AQ5,"")</f>
        <v>#DIV/0!</v>
      </c>
      <c r="AR39" s="273"/>
      <c r="AW39" s="2551"/>
      <c r="AX39" s="188"/>
      <c r="AY39" s="3804"/>
      <c r="AZ39" s="3804"/>
      <c r="BA39" s="3804"/>
      <c r="BB39" s="3804"/>
      <c r="BC39" s="3804"/>
      <c r="BD39" s="3804"/>
      <c r="BE39" s="3804"/>
      <c r="BF39" s="3804"/>
      <c r="BG39" s="3804"/>
      <c r="BH39" s="3804"/>
      <c r="BI39" s="3804"/>
      <c r="BJ39" s="3804"/>
      <c r="BK39" s="3804"/>
      <c r="BL39" s="3804"/>
      <c r="BM39" s="3804"/>
      <c r="BN39" s="3804"/>
      <c r="BO39" s="3804"/>
      <c r="BP39" s="3804"/>
      <c r="BQ39" s="3804"/>
      <c r="BR39" s="3804"/>
      <c r="BS39" s="3804"/>
      <c r="BT39" s="3804"/>
      <c r="BU39" s="3804"/>
      <c r="BV39" s="3804"/>
      <c r="BW39" s="3804"/>
      <c r="BX39" s="3804"/>
      <c r="BY39" s="3804"/>
      <c r="BZ39" s="3804"/>
      <c r="CA39" s="3804"/>
      <c r="CB39" s="3804"/>
      <c r="CC39" s="3804"/>
      <c r="CD39" s="3804"/>
      <c r="CE39" s="188"/>
      <c r="CF39" s="188"/>
      <c r="CG39" s="188"/>
      <c r="CH39" s="188"/>
    </row>
    <row r="40" spans="1:87" s="427" customFormat="1" ht="16.5" customHeight="1">
      <c r="B40" s="1417" t="s">
        <v>232</v>
      </c>
      <c r="C40" s="1443" t="s">
        <v>48</v>
      </c>
      <c r="D40" s="1419"/>
      <c r="E40" s="1391">
        <v>54</v>
      </c>
      <c r="F40" s="1391">
        <v>54</v>
      </c>
      <c r="G40" s="3470">
        <v>54</v>
      </c>
      <c r="H40" s="1391">
        <v>54</v>
      </c>
      <c r="I40" s="1391">
        <v>54</v>
      </c>
      <c r="J40" s="1391">
        <v>54</v>
      </c>
      <c r="K40" s="1391">
        <v>54</v>
      </c>
      <c r="L40" s="1391">
        <v>54</v>
      </c>
      <c r="M40" s="1391">
        <v>54</v>
      </c>
      <c r="N40" s="1391">
        <v>54</v>
      </c>
      <c r="O40" s="1391">
        <v>54</v>
      </c>
      <c r="P40" s="1391">
        <v>54</v>
      </c>
      <c r="Q40" s="1428"/>
      <c r="R40" s="1447">
        <v>54</v>
      </c>
      <c r="T40" s="1431">
        <f>T9/T39*100</f>
        <v>53.999999999999993</v>
      </c>
      <c r="U40" s="1431">
        <f>U9/U39*100</f>
        <v>54</v>
      </c>
      <c r="W40" s="3276" t="e">
        <f>(IF(E4="REAL",E40*E39,0)+IF(F4="REAL",F40*F39,0)+IF(G4="REAL",G40*G39,0)+IF(H4="REAL",H40*H39,0)+IF(I4="REAL",I40*I39,0)+IF(J4="REAL",J40*J39,0)+IF(K4="REAL",K40*K39,0)+IF(L4="REAL",L40*L39,0)+IF(M4="REAL",M40*M39,0)+IF(N4="REAL",N40*N39,0)+IF(O4="REAL",O40*O39,0)+IF(P4="REAL",P40*P39,0))/W39</f>
        <v>#DIV/0!</v>
      </c>
      <c r="X40" s="3286">
        <f>SUMIF($E$4:$P$4,"R+P",E40:P40)</f>
        <v>0</v>
      </c>
      <c r="Y40" s="3276" t="e">
        <f>(IF(E4="REAL",E40*E39,0)+IF(F4="REAL",F40*F39,0)+IF(G4="REAL",G40*G39,0)+IF(H4="REAL",H40*H39,0)+IF(I4="REAL",I40*I39,0)+IF(J4="REAL",J40*J39,0)+IF(K4="REAL",K40*K39,0)+IF(L4="REAL",L40*L39,0)+IF(M4="REAL",M40*M39,0)+IF(N4="REAL",N40*N39,0)+IF(O4="REAL",O40*O39,0)+IF(P4="REAL",P40*P39,0)+X39*X40)/Y39</f>
        <v>#DIV/0!</v>
      </c>
      <c r="Z40" s="1398"/>
      <c r="AA40" s="3309">
        <v>45749</v>
      </c>
      <c r="AB40" s="1428">
        <f>IF($AA40&lt;=Factores!$D$3,AB6,"")</f>
        <v>0</v>
      </c>
      <c r="AC40" s="1428">
        <f>IF($AA40&lt;=Factores!$D$3,AC6,"")</f>
        <v>0</v>
      </c>
      <c r="AD40" s="1428">
        <f>IF($AA40&lt;=Factores!$D$3,AD6,"")</f>
        <v>0</v>
      </c>
      <c r="AE40" s="1428">
        <f>IF($AA40&lt;=Factores!$D$3,AE6,"")</f>
        <v>0</v>
      </c>
      <c r="AF40" s="1420">
        <f>IF($AA40&lt;=Factores!$D$3,AF6,"")</f>
        <v>0</v>
      </c>
      <c r="AG40" s="3303">
        <f>IF($AA40&lt;=Factores!$D$3,AG6,"")</f>
        <v>0</v>
      </c>
      <c r="AH40" s="3303" t="e">
        <f>IF($AA40&lt;=Factores!$D$3,AH6,"")</f>
        <v>#DIV/0!</v>
      </c>
      <c r="AI40" s="3303">
        <f>IF($AA40&lt;=Factores!$D$3,AI6,"")</f>
        <v>0</v>
      </c>
      <c r="AJ40" s="3303">
        <f>IF($AA40&lt;=Factores!$D$3,AJ6,"")</f>
        <v>0</v>
      </c>
      <c r="AK40" s="3303">
        <f>IF($AA40&lt;=Factores!$D$3,AK6,"")</f>
        <v>0</v>
      </c>
      <c r="AL40" s="3303">
        <f>IF($AA40&lt;=Factores!$D$3,AL6,"")</f>
        <v>0</v>
      </c>
      <c r="AM40" s="1428">
        <f>IF($AA40&lt;=Factores!$D$3,AM6,"")</f>
        <v>0</v>
      </c>
      <c r="AN40" s="3303">
        <f>IF($AA40&lt;=Factores!$D$3,AN6,"")</f>
        <v>0</v>
      </c>
      <c r="AO40" s="1420">
        <f>IF($AA40&lt;=Factores!$D$3,AO6,"")</f>
        <v>24.146893258401185</v>
      </c>
      <c r="AP40" s="1420">
        <f>IF($AA40&lt;=Factores!$D$3,AP6,"")</f>
        <v>24.026158792109179</v>
      </c>
      <c r="AQ40" s="1428" t="e">
        <f>IF($AA40&lt;=Factores!$D$3,AQ6,"")</f>
        <v>#DIV/0!</v>
      </c>
      <c r="AR40" s="273"/>
      <c r="AW40" s="3762"/>
      <c r="AX40" s="3805">
        <v>1</v>
      </c>
      <c r="AY40" s="3805">
        <v>2</v>
      </c>
      <c r="AZ40" s="3805">
        <v>3</v>
      </c>
      <c r="BA40" s="3805">
        <v>4</v>
      </c>
      <c r="BB40" s="3805">
        <v>5</v>
      </c>
      <c r="BC40" s="3805">
        <v>6</v>
      </c>
      <c r="BD40" s="3805">
        <v>7</v>
      </c>
      <c r="BE40" s="3805">
        <v>8</v>
      </c>
      <c r="BF40" s="3805">
        <v>9</v>
      </c>
      <c r="BG40" s="3805">
        <v>10</v>
      </c>
      <c r="BH40" s="3805">
        <v>11</v>
      </c>
      <c r="BI40" s="3805">
        <v>12</v>
      </c>
      <c r="BJ40" s="3805">
        <v>13</v>
      </c>
      <c r="BK40" s="3805">
        <v>14</v>
      </c>
      <c r="BL40" s="3805">
        <v>15</v>
      </c>
      <c r="BM40" s="3805">
        <v>16</v>
      </c>
      <c r="BN40" s="3805">
        <v>17</v>
      </c>
      <c r="BO40" s="3805">
        <v>18</v>
      </c>
      <c r="BP40" s="3805">
        <v>19</v>
      </c>
      <c r="BQ40" s="3805">
        <v>20</v>
      </c>
      <c r="BR40" s="3805">
        <v>21</v>
      </c>
      <c r="BS40" s="3805">
        <v>22</v>
      </c>
      <c r="BT40" s="3805">
        <v>23</v>
      </c>
      <c r="BU40" s="3805">
        <v>24</v>
      </c>
      <c r="BV40" s="3805">
        <v>25</v>
      </c>
      <c r="BW40" s="3805">
        <v>26</v>
      </c>
      <c r="BX40" s="3805">
        <v>27</v>
      </c>
      <c r="BY40" s="3805">
        <v>28</v>
      </c>
      <c r="BZ40" s="3805">
        <v>29</v>
      </c>
      <c r="CA40" s="3805">
        <v>30</v>
      </c>
      <c r="CB40" s="3805">
        <v>31</v>
      </c>
      <c r="CC40" s="3805">
        <v>32</v>
      </c>
      <c r="CD40" s="3805">
        <v>33</v>
      </c>
      <c r="CE40" s="3805">
        <v>34</v>
      </c>
      <c r="CF40" s="3805">
        <v>35</v>
      </c>
      <c r="CG40" s="3805">
        <v>36</v>
      </c>
      <c r="CH40" s="3806"/>
    </row>
    <row r="41" spans="1:87" s="3263" customFormat="1" ht="16.5" customHeight="1">
      <c r="A41" s="427"/>
      <c r="B41" s="427"/>
      <c r="C41" s="427"/>
      <c r="D41" s="427"/>
      <c r="E41" s="427"/>
      <c r="F41" s="427"/>
      <c r="G41" s="3473"/>
      <c r="H41" s="427"/>
      <c r="I41" s="427"/>
      <c r="J41" s="427"/>
      <c r="K41" s="427"/>
      <c r="L41" s="427"/>
      <c r="M41" s="427"/>
      <c r="N41" s="427"/>
      <c r="O41" s="427"/>
      <c r="P41" s="427"/>
      <c r="Q41" s="1428"/>
      <c r="R41" s="427"/>
      <c r="S41" s="427"/>
      <c r="T41" s="427"/>
      <c r="U41" s="427"/>
      <c r="V41" s="427"/>
      <c r="W41" s="427"/>
      <c r="X41" s="427"/>
      <c r="Y41" s="427"/>
      <c r="Z41" s="1398"/>
      <c r="AA41" s="3309">
        <v>45750</v>
      </c>
      <c r="AB41" s="1428">
        <f>IF($AA41&lt;=Factores!$D$3,AB7,"")</f>
        <v>0</v>
      </c>
      <c r="AC41" s="1428">
        <f>IF($AA41&lt;=Factores!$D$3,AC7,"")</f>
        <v>0</v>
      </c>
      <c r="AD41" s="1428">
        <f>IF($AA41&lt;=Factores!$D$3,AD7,"")</f>
        <v>0</v>
      </c>
      <c r="AE41" s="1428">
        <f>IF($AA41&lt;=Factores!$D$3,AE7,"")</f>
        <v>0</v>
      </c>
      <c r="AF41" s="1420">
        <f>IF($AA41&lt;=Factores!$D$3,AF7,"")</f>
        <v>0</v>
      </c>
      <c r="AG41" s="3303">
        <f>IF($AA41&lt;=Factores!$D$3,AG7,"")</f>
        <v>0</v>
      </c>
      <c r="AH41" s="3303" t="e">
        <f>IF($AA41&lt;=Factores!$D$3,AH7,"")</f>
        <v>#DIV/0!</v>
      </c>
      <c r="AI41" s="3303">
        <f>IF($AA41&lt;=Factores!$D$3,AI7,"")</f>
        <v>0</v>
      </c>
      <c r="AJ41" s="3303">
        <f>IF($AA41&lt;=Factores!$D$3,AJ7,"")</f>
        <v>0</v>
      </c>
      <c r="AK41" s="3303">
        <f>IF($AA41&lt;=Factores!$D$3,AK7,"")</f>
        <v>0</v>
      </c>
      <c r="AL41" s="3303">
        <f>IF($AA41&lt;=Factores!$D$3,AL7,"")</f>
        <v>0</v>
      </c>
      <c r="AM41" s="1428">
        <f>IF($AA41&lt;=Factores!$D$3,AM7,"")</f>
        <v>0</v>
      </c>
      <c r="AN41" s="3303">
        <f>IF($AA41&lt;=Factores!$D$3,AN7,"")</f>
        <v>0</v>
      </c>
      <c r="AO41" s="1420">
        <f>IF($AA41&lt;=Factores!$D$3,AO7,"")</f>
        <v>24.146893258401185</v>
      </c>
      <c r="AP41" s="1420">
        <f>IF($AA41&lt;=Factores!$D$3,AP7,"")</f>
        <v>24.026158792109179</v>
      </c>
      <c r="AQ41" s="1428" t="e">
        <f>IF($AA41&lt;=Factores!$D$3,AQ7,"")</f>
        <v>#DIV/0!</v>
      </c>
      <c r="AR41" s="273"/>
      <c r="AW41" s="2551"/>
      <c r="AX41" s="188"/>
      <c r="AY41" s="188"/>
      <c r="AZ41" s="188"/>
      <c r="BA41" s="188"/>
      <c r="BB41" s="188"/>
      <c r="BC41" s="188"/>
      <c r="BD41" s="188"/>
      <c r="BE41" s="188"/>
      <c r="BF41" s="188"/>
      <c r="BG41" s="188"/>
      <c r="BH41" s="188"/>
      <c r="BI41" s="188"/>
      <c r="BJ41" s="188"/>
      <c r="BK41" s="188"/>
      <c r="BL41" s="188"/>
      <c r="BM41" s="188"/>
      <c r="BN41" s="188"/>
      <c r="BO41" s="188"/>
      <c r="BP41" s="188"/>
      <c r="BQ41" s="188"/>
      <c r="BR41" s="188"/>
      <c r="BS41" s="188"/>
      <c r="BT41" s="188"/>
      <c r="BU41" s="188"/>
      <c r="BV41" s="188"/>
      <c r="BW41" s="188"/>
      <c r="BX41" s="188"/>
      <c r="BY41" s="188"/>
      <c r="BZ41" s="188"/>
      <c r="CA41" s="188"/>
      <c r="CB41" s="188"/>
      <c r="CC41" s="188"/>
      <c r="CD41" s="188"/>
      <c r="CE41" s="188"/>
      <c r="CF41" s="188"/>
      <c r="CG41" s="188"/>
      <c r="CH41" s="188"/>
      <c r="CI41" s="427"/>
    </row>
    <row r="42" spans="1:87" s="3263" customFormat="1" ht="16.5" customHeight="1">
      <c r="A42" s="427"/>
      <c r="B42" s="1450" t="s">
        <v>233</v>
      </c>
      <c r="C42" s="1451" t="s">
        <v>234</v>
      </c>
      <c r="D42" s="427"/>
      <c r="E42" s="1392">
        <v>4.0613207908088041E-2</v>
      </c>
      <c r="F42" s="1392">
        <v>3.9184403842763504E-2</v>
      </c>
      <c r="G42" s="3460">
        <v>5.1404491470992943E-2</v>
      </c>
      <c r="H42" s="1392">
        <v>4.6736655639521708E-2</v>
      </c>
      <c r="I42" s="1392">
        <v>4.7295830916229645E-2</v>
      </c>
      <c r="J42" s="1392">
        <v>4.6584206591493774E-2</v>
      </c>
      <c r="K42" s="1392">
        <v>4.0333289011960004E-2</v>
      </c>
      <c r="L42" s="1392">
        <v>5.99846853683874E-2</v>
      </c>
      <c r="M42" s="1392">
        <v>4.5816713418892381E-2</v>
      </c>
      <c r="N42" s="1392">
        <v>4.8860522928392977E-2</v>
      </c>
      <c r="O42" s="1392">
        <v>5.2935517706570026E-2</v>
      </c>
      <c r="P42" s="1392">
        <v>5.1242385456036425E-2</v>
      </c>
      <c r="Q42" s="1428"/>
      <c r="R42" s="1448">
        <v>4.7860109352840116E-2</v>
      </c>
      <c r="S42" s="427"/>
      <c r="T42" s="1449">
        <f>IF(MONTH(Factores!$D$2)=1,SUMPRODUCT($E$12:$E$12,$E42:E42)/SUM($E$12:$E$12),IF(MONTH(Factores!$D$2)=2,SUMPRODUCT($E$12:$F$12,$E42:F42)/SUM($E$12:$F$12),IF(MONTH(Factores!$D$2)=3,SUMPRODUCT($E$12:$G$12,$E42:G42)/SUM($E$12:$G$12),IF(MONTH(Factores!$D$2)=4,SUMPRODUCT($E$12:$H$12,$E42:H42)/SUM($E$12:$H$12),IF(MONTH(Factores!$D$2)=5,SUMPRODUCT($E$12:$I$12,$E42:I42)/SUM($E$12:$I$12),IF(MONTH(Factores!$D$2)=6,SUMPRODUCT($E$12:$J$12,$E42:J42)/SUM($E$12:$J$12),IF(MONTH(Factores!$D$2)=7,SUMPRODUCT($E$12:$K$12,$E42:K42)/SUM($E$12:$K$12),IF(MONTH(Factores!$D$2)=8,SUMPRODUCT($E$12:$L$12,$E42:L42)/SUM($E$12:$L$12),IF(MONTH(Factores!$D$2)=9,SUMPRODUCT($E$12:$M$12,$E42:M42)/SUM($E$12:$M$12),IF(MONTH(Factores!$D$2)=10,SUMPRODUCT($E$12:$N$12,$E42:N42)/SUM($E$12:$N$12),IF(MONTH(Factores!$D$2)=11,SUMPRODUCT($E$12:$O$12,$E42:O42)/SUM($E$12:$O$12),IF(MONTH(Factores!$D$2)=12,SUMPRODUCT($E$12:$P$12,$E42:P42)/SUM($E$12:$P$12)))))))))))))</f>
        <v>4.4344428353548369E-2</v>
      </c>
      <c r="U42" s="1449">
        <f>IF(MONTH(Factores!$D$2)=1,SUMPRODUCT($E$12:$E$12,$E42:E42)/SUM($E$12:$E$12),IF(MONTH(Factores!$D$2)=2,SUMPRODUCT($E$12:$E$12,$E42:E42)/SUM($E$12:$E$12),IF(MONTH(Factores!$D$2)=3,SUMPRODUCT($E$12:$F$12,$E42:F42)/SUM($E$12:$F$12),IF(MONTH(Factores!$D$2)=4,SUMPRODUCT($E$12:$G$12,$E42:G42)/SUM($E$12:$G$12),IF(MONTH(Factores!$D$2)=5,SUMPRODUCT($E$12:$H$12,$E42:H42)/SUM($E$12:$H$12),IF(MONTH(Factores!$D$2)=6,SUMPRODUCT($E$12:$I$12,$E42:I42)/SUM($E$12:$I$12),IF(MONTH(Factores!$D$2)=7,SUMPRODUCT($E$12:$J$12,$E42:J42)/SUM($E$12:$J$12),IF(MONTH(Factores!$D$2)=8,SUMPRODUCT($E$12:$K$12,$E42:K42)/SUM($E$12:$K$12),IF(MONTH(Factores!$D$2)=9,SUMPRODUCT($E$12:$L$12,$E42:L42)/SUM($E$12:$L$12),IF(MONTH(Factores!$D$2)=10,SUMPRODUCT($E$12:$M$12,$E42:M42)/SUM($E$12:$M$12),IF(MONTH(Factores!$D$2)=11,SUMPRODUCT($E$12:$N$12,$E42:N42)/SUM($E$12:$N$12),IF(MONTH(Factores!$D$2)=12,SUMPRODUCT($E$12:$O$12,$E42:O42)/SUM($E$12:$O$12)))))))))))))</f>
        <v>3.993989638058932E-2</v>
      </c>
      <c r="V42" s="427"/>
      <c r="W42" s="427"/>
      <c r="X42" s="427"/>
      <c r="Y42" s="427"/>
      <c r="Z42" s="1398"/>
      <c r="AA42" s="3309">
        <v>45751</v>
      </c>
      <c r="AB42" s="1428">
        <f>IF($AA42&lt;=Factores!$D$3,AB8,"")</f>
        <v>0</v>
      </c>
      <c r="AC42" s="1428">
        <f>IF($AA42&lt;=Factores!$D$3,AC8,"")</f>
        <v>0</v>
      </c>
      <c r="AD42" s="1428">
        <f>IF($AA42&lt;=Factores!$D$3,AD8,"")</f>
        <v>0</v>
      </c>
      <c r="AE42" s="1428">
        <f>IF($AA42&lt;=Factores!$D$3,AE8,"")</f>
        <v>0</v>
      </c>
      <c r="AF42" s="1420">
        <f>IF($AA42&lt;=Factores!$D$3,AF8,"")</f>
        <v>0</v>
      </c>
      <c r="AG42" s="3303">
        <f>IF($AA42&lt;=Factores!$D$3,AG8,"")</f>
        <v>0</v>
      </c>
      <c r="AH42" s="3303" t="e">
        <f>IF($AA42&lt;=Factores!$D$3,AH8,"")</f>
        <v>#DIV/0!</v>
      </c>
      <c r="AI42" s="3303">
        <f>IF($AA42&lt;=Factores!$D$3,AI8,"")</f>
        <v>0</v>
      </c>
      <c r="AJ42" s="3303">
        <f>IF($AA42&lt;=Factores!$D$3,AJ8,"")</f>
        <v>0</v>
      </c>
      <c r="AK42" s="3303">
        <f>IF($AA42&lt;=Factores!$D$3,AK8,"")</f>
        <v>0</v>
      </c>
      <c r="AL42" s="3303">
        <f>IF($AA42&lt;=Factores!$D$3,AL8,"")</f>
        <v>0</v>
      </c>
      <c r="AM42" s="1428">
        <f>IF($AA42&lt;=Factores!$D$3,AM8,"")</f>
        <v>0</v>
      </c>
      <c r="AN42" s="3303">
        <f>IF($AA42&lt;=Factores!$D$3,AN8,"")</f>
        <v>0</v>
      </c>
      <c r="AO42" s="1420">
        <f>IF($AA42&lt;=Factores!$D$3,AO8,"")</f>
        <v>24.146893258401185</v>
      </c>
      <c r="AP42" s="1420">
        <f>IF($AA42&lt;=Factores!$D$3,AP8,"")</f>
        <v>24.026158792109179</v>
      </c>
      <c r="AQ42" s="1428" t="e">
        <f>IF($AA42&lt;=Factores!$D$3,AQ8,"")</f>
        <v>#DIV/0!</v>
      </c>
      <c r="AR42" s="273"/>
      <c r="AW42" s="2551"/>
      <c r="AX42" s="188"/>
      <c r="AY42" s="188"/>
      <c r="AZ42" s="188"/>
      <c r="BA42" s="188"/>
      <c r="BB42" s="188"/>
      <c r="BC42" s="188"/>
      <c r="BD42" s="188"/>
      <c r="BE42" s="188"/>
      <c r="BF42" s="188"/>
      <c r="BG42" s="188"/>
      <c r="BH42" s="188"/>
      <c r="BI42" s="188"/>
      <c r="BJ42" s="188"/>
      <c r="BK42" s="188"/>
      <c r="BL42" s="188"/>
      <c r="BM42" s="188"/>
      <c r="BN42" s="188"/>
      <c r="BO42" s="188"/>
      <c r="BP42" s="188"/>
      <c r="BQ42" s="188"/>
      <c r="BR42" s="188"/>
      <c r="BS42" s="188"/>
      <c r="BT42" s="188"/>
      <c r="BU42" s="188"/>
      <c r="BV42" s="188"/>
      <c r="BW42" s="188"/>
      <c r="BX42" s="188"/>
      <c r="BY42" s="188"/>
      <c r="BZ42" s="188"/>
      <c r="CA42" s="188"/>
      <c r="CB42" s="188"/>
      <c r="CC42" s="188"/>
      <c r="CD42" s="188"/>
      <c r="CE42" s="188"/>
      <c r="CF42" s="188"/>
      <c r="CG42" s="188"/>
      <c r="CH42" s="188"/>
      <c r="CI42" s="427"/>
    </row>
    <row r="43" spans="1:87" s="3263" customFormat="1" ht="16.5" customHeight="1">
      <c r="A43" s="427"/>
      <c r="B43" s="1450" t="s">
        <v>235</v>
      </c>
      <c r="C43" s="1451" t="s">
        <v>234</v>
      </c>
      <c r="D43" s="427"/>
      <c r="E43" s="1396">
        <v>1.8543725808971954</v>
      </c>
      <c r="F43" s="1396">
        <v>1.6566731946851032</v>
      </c>
      <c r="G43" s="3468">
        <v>1.9863659123708997</v>
      </c>
      <c r="H43" s="1396">
        <v>1.6685932081364816</v>
      </c>
      <c r="I43" s="1396">
        <v>1.7695107255860287</v>
      </c>
      <c r="J43" s="1396">
        <v>1.6587949071293442</v>
      </c>
      <c r="K43" s="1396">
        <v>1.5050384786105933</v>
      </c>
      <c r="L43" s="1396">
        <v>1.9227298905133086</v>
      </c>
      <c r="M43" s="1396">
        <v>1.6060955426524752</v>
      </c>
      <c r="N43" s="1396">
        <v>1.6144199588071382</v>
      </c>
      <c r="O43" s="1396">
        <v>1.6416468876352937</v>
      </c>
      <c r="P43" s="1396">
        <v>1.5522578442623798</v>
      </c>
      <c r="Q43" s="1415"/>
      <c r="R43" s="1442">
        <v>1.6969969757345706</v>
      </c>
      <c r="S43" s="427"/>
      <c r="T43" s="1434">
        <f>IF(MONTH(Factores!$D$2)=1,SUMPRODUCT($E$32:$E$32,$E43:E43)/SUM($E$32:$E$32),IF(MONTH(Factores!$D$2)=2,SUMPRODUCT($E$32:$F$32,$E43:F43)/SUM($E$32:$F$32),IF(MONTH(Factores!$D$2)=3,SUMPRODUCT($E$32:$G$32,$E43:G43)/SUM($E$32:$G$32),IF(MONTH(Factores!$D$2)=4,SUMPRODUCT($E$32:$H$32,$E43:H43)/SUM($E$32:$H$32),IF(MONTH(Factores!$D$2)=5,SUMPRODUCT($E$32:$I$32,$E43:I43)/SUM($E$32:$I$32),IF(MONTH(Factores!$D$2)=6,SUMPRODUCT($E$32:$J$32,$E43:J43)/SUM($E$32:$J$32),IF(MONTH(Factores!$D$2)=7,SUMPRODUCT($E$32:$K$32,$E43:K43)/SUM($E$32:$K$32),IF(MONTH(Factores!$D$2)=8,SUMPRODUCT($E$32:$L$32,$E43:L43)/SUM($E$32:$L$32),IF(MONTH(Factores!$D$2)=9,SUMPRODUCT($E$32:$M$32,$E43:M43)/SUM($E$32:$M$32),IF(MONTH(Factores!$D$2)=10,SUMPRODUCT($E$32:$N$32,$E43:N43)/SUM($E$32:$N$32),IF(MONTH(Factores!$D$2)=11,SUMPRODUCT($E$32:$O$32,$E43:O43)/SUM($E$32:$O$32),IF(MONTH(Factores!$D$2)=12,SUMPRODUCT($E$32:$P$32,$E43:P43)/SUM($E$32:$P$32)))))))))))))</f>
        <v>1.8525060765877328</v>
      </c>
      <c r="U43" s="1434">
        <f>IF(MONTH(Factores!$D$2)=1,SUMPRODUCT($E$32:$E$32,$E43:E43)/SUM($E$32:$E$32),IF(MONTH(Factores!$D$2)=2,SUMPRODUCT($E$32:$E$32,$E43:E43)/SUM($E$32:$E$32),IF(MONTH(Factores!$D$2)=3,SUMPRODUCT($E$32:$F$32,$E43:F43)/SUM($E$32:$F$32),IF(MONTH(Factores!$D$2)=4,SUMPRODUCT($E$32:$G$32,$E43:G43)/SUM($E$32:$G$32),IF(MONTH(Factores!$D$2)=5,SUMPRODUCT($E$32:$H$32,$E43:H43)/SUM($E$32:$H$32),IF(MONTH(Factores!$D$2)=6,SUMPRODUCT($E$32:$I$32,$E43:I43)/SUM($E$32:$I$32),IF(MONTH(Factores!$D$2)=7,SUMPRODUCT($E$32:$J$32,$E43:J43)/SUM($E$32:$J$32),IF(MONTH(Factores!$D$2)=8,SUMPRODUCT($E$32:$K$32,$E43:K43)/SUM($E$32:$K$32),IF(MONTH(Factores!$D$2)=9,SUMPRODUCT($E$32:$L$32,$E43:L43)/SUM($E$32:$L$32),IF(MONTH(Factores!$D$2)=10,SUMPRODUCT($E$32:$M$32,$E43:M43)/SUM($E$32:$M$32),IF(MONTH(Factores!$D$2)=11,SUMPRODUCT($E$32:$N$32,$E43:N43)/SUM($E$32:$N$32),IF(MONTH(Factores!$D$2)=12,SUMPRODUCT($E$32:$O$32,$E43:O43)/SUM($E$32:$O$32)))))))))))))</f>
        <v>1.7574127327029743</v>
      </c>
      <c r="V43" s="427"/>
      <c r="W43" s="427"/>
      <c r="X43" s="427"/>
      <c r="Y43" s="427"/>
      <c r="Z43" s="1398"/>
      <c r="AA43" s="3309">
        <v>45752</v>
      </c>
      <c r="AB43" s="1428">
        <f>IF($AA43&lt;=Factores!$D$3,AB9,"")</f>
        <v>0</v>
      </c>
      <c r="AC43" s="1428">
        <f>IF($AA43&lt;=Factores!$D$3,AC9,"")</f>
        <v>0</v>
      </c>
      <c r="AD43" s="1428">
        <f>IF($AA43&lt;=Factores!$D$3,AD9,"")</f>
        <v>0</v>
      </c>
      <c r="AE43" s="1428">
        <f>IF($AA43&lt;=Factores!$D$3,AE9,"")</f>
        <v>0</v>
      </c>
      <c r="AF43" s="1420">
        <f>IF($AA43&lt;=Factores!$D$3,AF9,"")</f>
        <v>0</v>
      </c>
      <c r="AG43" s="3303">
        <f>IF($AA43&lt;=Factores!$D$3,AG9,"")</f>
        <v>0</v>
      </c>
      <c r="AH43" s="3303" t="e">
        <f>IF($AA43&lt;=Factores!$D$3,AH9,"")</f>
        <v>#DIV/0!</v>
      </c>
      <c r="AI43" s="3303">
        <f>IF($AA43&lt;=Factores!$D$3,AI9,"")</f>
        <v>0</v>
      </c>
      <c r="AJ43" s="3303">
        <f>IF($AA43&lt;=Factores!$D$3,AJ9,"")</f>
        <v>0</v>
      </c>
      <c r="AK43" s="3303">
        <f>IF($AA43&lt;=Factores!$D$3,AK9,"")</f>
        <v>0</v>
      </c>
      <c r="AL43" s="3303">
        <f>IF($AA43&lt;=Factores!$D$3,AL9,"")</f>
        <v>0</v>
      </c>
      <c r="AM43" s="1428">
        <f>IF($AA43&lt;=Factores!$D$3,AM9,"")</f>
        <v>0</v>
      </c>
      <c r="AN43" s="3303">
        <f>IF($AA43&lt;=Factores!$D$3,AN9,"")</f>
        <v>0</v>
      </c>
      <c r="AO43" s="1420">
        <f>IF($AA43&lt;=Factores!$D$3,AO9,"")</f>
        <v>24.146893258401185</v>
      </c>
      <c r="AP43" s="1420">
        <f>IF($AA43&lt;=Factores!$D$3,AP9,"")</f>
        <v>24.026158792109179</v>
      </c>
      <c r="AQ43" s="1428" t="e">
        <f>IF($AA43&lt;=Factores!$D$3,AQ9,"")</f>
        <v>#DIV/0!</v>
      </c>
      <c r="AR43" s="273"/>
      <c r="AW43" s="2551"/>
      <c r="AX43" s="188"/>
      <c r="AY43" s="188"/>
      <c r="AZ43" s="188"/>
      <c r="BA43" s="188"/>
      <c r="BB43" s="188"/>
      <c r="BC43" s="188"/>
      <c r="BD43" s="188"/>
      <c r="BE43" s="188"/>
      <c r="BF43" s="188"/>
      <c r="BG43" s="188"/>
      <c r="BH43" s="188"/>
      <c r="BI43" s="188"/>
      <c r="BJ43" s="188"/>
      <c r="BK43" s="188"/>
      <c r="BL43" s="188"/>
      <c r="BM43" s="188"/>
      <c r="BN43" s="188"/>
      <c r="BO43" s="188"/>
      <c r="BP43" s="188"/>
      <c r="BQ43" s="188"/>
      <c r="BR43" s="188"/>
      <c r="BS43" s="188"/>
      <c r="BT43" s="188"/>
      <c r="BU43" s="188"/>
      <c r="BV43" s="188"/>
      <c r="BW43" s="188"/>
      <c r="BX43" s="188"/>
      <c r="BY43" s="188"/>
      <c r="BZ43" s="188"/>
      <c r="CA43" s="188"/>
      <c r="CB43" s="188"/>
      <c r="CC43" s="188"/>
      <c r="CD43" s="188"/>
      <c r="CE43" s="188"/>
      <c r="CF43" s="188"/>
      <c r="CG43" s="188"/>
      <c r="CH43" s="188"/>
      <c r="CI43" s="427"/>
    </row>
    <row r="44" spans="1:87" s="3263" customFormat="1" ht="16.5" customHeight="1">
      <c r="A44" s="427"/>
      <c r="B44" s="1450" t="s">
        <v>856</v>
      </c>
      <c r="C44" s="1451" t="s">
        <v>237</v>
      </c>
      <c r="D44" s="427"/>
      <c r="E44" s="1394">
        <v>4520.8461395144232</v>
      </c>
      <c r="F44" s="1394">
        <v>3887.3312256515187</v>
      </c>
      <c r="G44" s="3462">
        <v>6751.2964896958383</v>
      </c>
      <c r="H44" s="1394">
        <v>4186.8709110297141</v>
      </c>
      <c r="I44" s="1394">
        <v>6524.2614350508202</v>
      </c>
      <c r="J44" s="1394">
        <v>6246.6415853553317</v>
      </c>
      <c r="K44" s="1394">
        <v>5295.9540215675761</v>
      </c>
      <c r="L44" s="1394">
        <v>7719.5040641297446</v>
      </c>
      <c r="M44" s="1394">
        <v>5865.9084611290273</v>
      </c>
      <c r="N44" s="1394">
        <v>6591.7079382671272</v>
      </c>
      <c r="O44" s="1394">
        <v>6645.6352020434342</v>
      </c>
      <c r="P44" s="1394">
        <v>7103.8156067838272</v>
      </c>
      <c r="Q44" s="1415"/>
      <c r="R44" s="1442">
        <v>71339.77308021838</v>
      </c>
      <c r="S44" s="427"/>
      <c r="T44" s="1434"/>
      <c r="U44" s="1434"/>
      <c r="V44" s="427"/>
      <c r="W44" s="427"/>
      <c r="X44" s="427"/>
      <c r="Y44" s="427"/>
      <c r="Z44" s="427"/>
      <c r="AA44" s="3309">
        <v>45753</v>
      </c>
      <c r="AB44" s="1428">
        <f>IF($AA44&lt;=Factores!$D$3,AB10,"")</f>
        <v>0</v>
      </c>
      <c r="AC44" s="1428">
        <f>IF($AA44&lt;=Factores!$D$3,AC10,"")</f>
        <v>0</v>
      </c>
      <c r="AD44" s="1428">
        <f>IF($AA44&lt;=Factores!$D$3,AD10,"")</f>
        <v>0</v>
      </c>
      <c r="AE44" s="1428">
        <f>IF($AA44&lt;=Factores!$D$3,AE10,"")</f>
        <v>0</v>
      </c>
      <c r="AF44" s="1420">
        <f>IF($AA44&lt;=Factores!$D$3,AF10,"")</f>
        <v>0</v>
      </c>
      <c r="AG44" s="3303">
        <f>IF($AA44&lt;=Factores!$D$3,AG10,"")</f>
        <v>0</v>
      </c>
      <c r="AH44" s="3303" t="e">
        <f>IF($AA44&lt;=Factores!$D$3,AH10,"")</f>
        <v>#DIV/0!</v>
      </c>
      <c r="AI44" s="3303">
        <f>IF($AA44&lt;=Factores!$D$3,AI10,"")</f>
        <v>0</v>
      </c>
      <c r="AJ44" s="3303">
        <f>IF($AA44&lt;=Factores!$D$3,AJ10,"")</f>
        <v>0</v>
      </c>
      <c r="AK44" s="3303">
        <f>IF($AA44&lt;=Factores!$D$3,AK10,"")</f>
        <v>0</v>
      </c>
      <c r="AL44" s="3303">
        <f>IF($AA44&lt;=Factores!$D$3,AL10,"")</f>
        <v>0</v>
      </c>
      <c r="AM44" s="1428">
        <f>IF($AA44&lt;=Factores!$D$3,AM10,"")</f>
        <v>0</v>
      </c>
      <c r="AN44" s="3303">
        <f>IF($AA44&lt;=Factores!$D$3,AN10,"")</f>
        <v>0</v>
      </c>
      <c r="AO44" s="1420">
        <f>IF($AA44&lt;=Factores!$D$3,AO10,"")</f>
        <v>24.146893258401185</v>
      </c>
      <c r="AP44" s="1420">
        <f>IF($AA44&lt;=Factores!$D$3,AP10,"")</f>
        <v>24.026158792109179</v>
      </c>
      <c r="AQ44" s="1428" t="e">
        <f>IF($AA44&lt;=Factores!$D$3,AQ10,"")</f>
        <v>#DIV/0!</v>
      </c>
      <c r="AR44" s="273"/>
      <c r="AW44" s="2551"/>
      <c r="AX44" s="188"/>
      <c r="AY44" s="188"/>
      <c r="AZ44" s="188"/>
      <c r="BA44" s="188"/>
      <c r="BB44" s="188"/>
      <c r="BC44" s="188"/>
      <c r="BD44" s="188"/>
      <c r="BE44" s="188"/>
      <c r="BF44" s="188"/>
      <c r="BG44" s="188"/>
      <c r="BH44" s="188"/>
      <c r="BI44" s="188"/>
      <c r="BJ44" s="188"/>
      <c r="BK44" s="188"/>
      <c r="BL44" s="188"/>
      <c r="BM44" s="188"/>
      <c r="BN44" s="188"/>
      <c r="BO44" s="188"/>
      <c r="BP44" s="188"/>
      <c r="BQ44" s="188"/>
      <c r="BR44" s="188"/>
      <c r="BS44" s="188"/>
      <c r="BT44" s="188"/>
      <c r="BU44" s="188"/>
      <c r="BV44" s="188"/>
      <c r="BW44" s="188"/>
      <c r="BX44" s="188"/>
      <c r="BY44" s="188"/>
      <c r="BZ44" s="188"/>
      <c r="CA44" s="188"/>
      <c r="CB44" s="188"/>
      <c r="CC44" s="188"/>
      <c r="CD44" s="188"/>
      <c r="CE44" s="188"/>
      <c r="CF44" s="188"/>
      <c r="CG44" s="188"/>
      <c r="CH44" s="188"/>
      <c r="CI44" s="427"/>
    </row>
    <row r="45" spans="1:87" s="3263" customFormat="1" ht="16.5" customHeight="1">
      <c r="A45" s="427"/>
      <c r="B45" s="1450" t="s">
        <v>857</v>
      </c>
      <c r="C45" s="1451" t="s">
        <v>237</v>
      </c>
      <c r="D45" s="427"/>
      <c r="E45" s="1394">
        <v>4372.4316102587645</v>
      </c>
      <c r="F45" s="1394">
        <v>4023.8664782661444</v>
      </c>
      <c r="G45" s="3462">
        <v>6754.6724582037486</v>
      </c>
      <c r="H45" s="1394">
        <v>4188.9881618358759</v>
      </c>
      <c r="I45" s="1394">
        <v>6527.5238752614869</v>
      </c>
      <c r="J45" s="1394">
        <v>6249.7652024716181</v>
      </c>
      <c r="K45" s="1394">
        <v>5295.954021567577</v>
      </c>
      <c r="L45" s="1394">
        <v>6718.1459711537764</v>
      </c>
      <c r="M45" s="1394">
        <v>6479.9525607837331</v>
      </c>
      <c r="N45" s="1394">
        <v>6815.2571362235803</v>
      </c>
      <c r="O45" s="1394">
        <v>6538.4235127915381</v>
      </c>
      <c r="P45" s="1394">
        <v>7078.9092791283492</v>
      </c>
      <c r="Q45" s="1415"/>
      <c r="R45" s="1436">
        <v>71043.890267946204</v>
      </c>
      <c r="S45" s="427"/>
      <c r="T45" s="1437">
        <f>IF(MONTH(Factores!$D$2)=1,SUM($E45:E45),IF(MONTH(Factores!$D$2)=2,SUM($E45:F45),IF(MONTH(Factores!$D$2)=3,SUM($E45:G45),IF(MONTH(Factores!$D$2)=4,SUM($E45:H45),IF(MONTH(Factores!$D$2)=5,SUM($E45:I45),IF(MONTH(Factores!$D$2)=6,SUM($E45:J45),IF(MONTH(Factores!$D$2)=7,SUM($E45:K45),IF(MONTH(Factores!$D$2)=8,SUM($E45:L45),IF(MONTH(Factores!$D$2)=9,SUM($E45:M45),IF(MONTH(Factores!$D$2)=10,SUM($E45:N45),IF(MONTH(Factores!$D$2)=11,SUM($E45:O45),IF(MONTH(Factores!$D$2)=12,SUM($E45:P45)))))))))))))</f>
        <v>15150.970546728659</v>
      </c>
      <c r="U45" s="1437">
        <f>IF(MONTH(Factores!$D$2)=1,SUM($E45:E45),IF(MONTH(Factores!$D$2)=2,SUM($E45:E45),IF(MONTH(Factores!$D$2)=3,SUM($E45:F45),IF(MONTH(Factores!$D$2)=4,SUM($E45:G45),IF(MONTH(Factores!$D$2)=5,SUM($E45:H45),IF(MONTH(Factores!$D$2)=6,SUM($E45:I45),IF(MONTH(Factores!$D$2)=7,SUM($E45:J45),IF(MONTH(Factores!$D$2)=8,SUM($E45:K45),IF(MONTH(Factores!$D$2)=9,SUM($E45:L45),IF(MONTH(Factores!$D$2)=10,SUM($E45:M45),IF(MONTH(Factores!$D$2)=11,SUM($E45:N45),IF(MONTH(Factores!$D$2)=12,SUM($E45:O45)))))))))))))</f>
        <v>8396.298088524909</v>
      </c>
      <c r="V45" s="427"/>
      <c r="W45" s="427"/>
      <c r="X45" s="427"/>
      <c r="Y45" s="427"/>
      <c r="Z45" s="427"/>
      <c r="AA45" s="3309">
        <v>45754</v>
      </c>
      <c r="AB45" s="1428">
        <f>IF($AA45&lt;=Factores!$D$3,AB11,"")</f>
        <v>0</v>
      </c>
      <c r="AC45" s="1428">
        <f>IF($AA45&lt;=Factores!$D$3,AC11,"")</f>
        <v>0</v>
      </c>
      <c r="AD45" s="1428">
        <f>IF($AA45&lt;=Factores!$D$3,AD11,"")</f>
        <v>0</v>
      </c>
      <c r="AE45" s="1428">
        <f>IF($AA45&lt;=Factores!$D$3,AE11,"")</f>
        <v>0</v>
      </c>
      <c r="AF45" s="1420">
        <f>IF($AA45&lt;=Factores!$D$3,AF11,"")</f>
        <v>0</v>
      </c>
      <c r="AG45" s="3303">
        <f>IF($AA45&lt;=Factores!$D$3,AG11,"")</f>
        <v>0</v>
      </c>
      <c r="AH45" s="3303" t="e">
        <f>IF($AA45&lt;=Factores!$D$3,AH11,"")</f>
        <v>#DIV/0!</v>
      </c>
      <c r="AI45" s="3303">
        <f>IF($AA45&lt;=Factores!$D$3,AI11,"")</f>
        <v>0</v>
      </c>
      <c r="AJ45" s="3303">
        <f>IF($AA45&lt;=Factores!$D$3,AJ11,"")</f>
        <v>0</v>
      </c>
      <c r="AK45" s="3303">
        <f>IF($AA45&lt;=Factores!$D$3,AK11,"")</f>
        <v>0</v>
      </c>
      <c r="AL45" s="3303">
        <f>IF($AA45&lt;=Factores!$D$3,AL11,"")</f>
        <v>0</v>
      </c>
      <c r="AM45" s="1428">
        <f>IF($AA45&lt;=Factores!$D$3,AM11,"")</f>
        <v>0</v>
      </c>
      <c r="AN45" s="3303">
        <f>IF($AA45&lt;=Factores!$D$3,AN11,"")</f>
        <v>0</v>
      </c>
      <c r="AO45" s="1420">
        <f>IF($AA45&lt;=Factores!$D$3,AO11,"")</f>
        <v>24.146893258401185</v>
      </c>
      <c r="AP45" s="1420">
        <f>IF($AA45&lt;=Factores!$D$3,AP11,"")</f>
        <v>24.026158792109179</v>
      </c>
      <c r="AQ45" s="1428" t="e">
        <f>IF($AA45&lt;=Factores!$D$3,AQ11,"")</f>
        <v>#DIV/0!</v>
      </c>
      <c r="AR45" s="273"/>
      <c r="AX45" s="427"/>
      <c r="AY45" s="427"/>
      <c r="AZ45" s="427"/>
      <c r="BA45" s="427"/>
      <c r="BB45" s="427"/>
      <c r="BC45" s="427"/>
      <c r="BD45" s="427"/>
      <c r="BE45" s="427"/>
      <c r="BF45" s="427"/>
      <c r="BG45" s="427">
        <v>21.015980190531806</v>
      </c>
      <c r="BH45" s="427"/>
      <c r="BI45" s="427"/>
      <c r="BJ45" s="427"/>
      <c r="BK45" s="427"/>
      <c r="BL45" s="427"/>
      <c r="BM45" s="427"/>
      <c r="BN45" s="427"/>
      <c r="BO45" s="427"/>
      <c r="BP45" s="427"/>
      <c r="BQ45" s="427"/>
      <c r="BR45" s="427"/>
      <c r="BS45" s="427"/>
      <c r="BT45" s="427"/>
      <c r="BU45" s="427"/>
      <c r="BV45" s="427"/>
      <c r="BW45" s="427"/>
      <c r="BX45" s="427"/>
      <c r="BY45" s="427"/>
      <c r="BZ45" s="427"/>
      <c r="CA45" s="427"/>
      <c r="CB45" s="427"/>
      <c r="CC45" s="427"/>
      <c r="CD45" s="427"/>
      <c r="CE45" s="427"/>
      <c r="CF45" s="427"/>
      <c r="CG45" s="427"/>
      <c r="CH45" s="427"/>
      <c r="CI45" s="427"/>
    </row>
    <row r="46" spans="1:87" s="3263" customFormat="1" ht="16.5" customHeight="1">
      <c r="A46" s="427"/>
      <c r="B46" s="1450" t="s">
        <v>858</v>
      </c>
      <c r="C46" s="1451" t="s">
        <v>237</v>
      </c>
      <c r="D46" s="427"/>
      <c r="E46" s="1394">
        <v>3935.1884492328882</v>
      </c>
      <c r="F46" s="1394">
        <v>3621.4798304395299</v>
      </c>
      <c r="G46" s="3462">
        <v>6079.2052123833737</v>
      </c>
      <c r="H46" s="1394">
        <v>3770.0893456522886</v>
      </c>
      <c r="I46" s="1394">
        <v>5874.7714877353383</v>
      </c>
      <c r="J46" s="1394">
        <v>5624.7886822244564</v>
      </c>
      <c r="K46" s="1394">
        <v>4766.3586194108193</v>
      </c>
      <c r="L46" s="1394">
        <v>6046.3313740383992</v>
      </c>
      <c r="M46" s="1394">
        <v>5831.95730470536</v>
      </c>
      <c r="N46" s="1394">
        <v>6133.7314226012222</v>
      </c>
      <c r="O46" s="1394">
        <v>5884.5811615123848</v>
      </c>
      <c r="P46" s="1394">
        <v>6371.0183512155145</v>
      </c>
      <c r="Q46" s="1415"/>
      <c r="R46" s="1760">
        <v>63939.501241151571</v>
      </c>
      <c r="S46" s="427"/>
      <c r="T46" s="1761"/>
      <c r="U46" s="1761"/>
      <c r="V46" s="427"/>
      <c r="W46" s="427"/>
      <c r="X46" s="427"/>
      <c r="Y46" s="427"/>
      <c r="Z46" s="427"/>
      <c r="AA46" s="3309">
        <v>45755</v>
      </c>
      <c r="AB46" s="1428">
        <f>IF($AA46&lt;=Factores!$D$3,AB12,"")</f>
        <v>0</v>
      </c>
      <c r="AC46" s="1428">
        <f>IF($AA46&lt;=Factores!$D$3,AC12,"")</f>
        <v>0</v>
      </c>
      <c r="AD46" s="1428">
        <f>IF($AA46&lt;=Factores!$D$3,AD12,"")</f>
        <v>0</v>
      </c>
      <c r="AE46" s="1428">
        <f>IF($AA46&lt;=Factores!$D$3,AE12,"")</f>
        <v>0</v>
      </c>
      <c r="AF46" s="1420">
        <f>IF($AA46&lt;=Factores!$D$3,AF12,"")</f>
        <v>0</v>
      </c>
      <c r="AG46" s="3303">
        <f>IF($AA46&lt;=Factores!$D$3,AG12,"")</f>
        <v>0</v>
      </c>
      <c r="AH46" s="3303" t="e">
        <f>IF($AA46&lt;=Factores!$D$3,AH12,"")</f>
        <v>#DIV/0!</v>
      </c>
      <c r="AI46" s="3303">
        <f>IF($AA46&lt;=Factores!$D$3,AI12,"")</f>
        <v>0</v>
      </c>
      <c r="AJ46" s="3303">
        <f>IF($AA46&lt;=Factores!$D$3,AJ12,"")</f>
        <v>0</v>
      </c>
      <c r="AK46" s="3303">
        <f>IF($AA46&lt;=Factores!$D$3,AK12,"")</f>
        <v>0</v>
      </c>
      <c r="AL46" s="3303">
        <f>IF($AA46&lt;=Factores!$D$3,AL12,"")</f>
        <v>0</v>
      </c>
      <c r="AM46" s="1428">
        <f>IF($AA46&lt;=Factores!$D$3,AM12,"")</f>
        <v>0</v>
      </c>
      <c r="AN46" s="3303">
        <f>IF($AA46&lt;=Factores!$D$3,AN12,"")</f>
        <v>0</v>
      </c>
      <c r="AO46" s="1420">
        <f>IF($AA46&lt;=Factores!$D$3,AO12,"")</f>
        <v>24.146893258401185</v>
      </c>
      <c r="AP46" s="1420">
        <f>IF($AA46&lt;=Factores!$D$3,AP12,"")</f>
        <v>24.026158792109179</v>
      </c>
      <c r="AQ46" s="1428" t="e">
        <f>IF($AA46&lt;=Factores!$D$3,AQ12,"")</f>
        <v>#DIV/0!</v>
      </c>
      <c r="AR46" s="273"/>
      <c r="AX46" s="427"/>
      <c r="AY46" s="427"/>
      <c r="AZ46" s="427"/>
      <c r="BA46" s="427"/>
      <c r="BB46" s="427"/>
      <c r="BC46" s="427"/>
      <c r="BD46" s="427"/>
      <c r="BE46" s="427"/>
      <c r="BF46" s="427"/>
      <c r="BG46" s="427">
        <v>19.564201296092122</v>
      </c>
      <c r="BH46" s="427"/>
      <c r="BI46" s="427"/>
      <c r="BJ46" s="427"/>
      <c r="BK46" s="427"/>
      <c r="BL46" s="427"/>
      <c r="BM46" s="427"/>
      <c r="BN46" s="427"/>
      <c r="BO46" s="427"/>
      <c r="BP46" s="427"/>
      <c r="BQ46" s="427"/>
      <c r="BR46" s="427"/>
      <c r="BS46" s="427"/>
      <c r="BT46" s="427"/>
      <c r="BU46" s="427"/>
      <c r="BV46" s="427"/>
      <c r="BW46" s="427"/>
      <c r="BX46" s="427"/>
      <c r="BY46" s="427"/>
      <c r="BZ46" s="427"/>
      <c r="CA46" s="427"/>
      <c r="CB46" s="427"/>
      <c r="CC46" s="427"/>
      <c r="CD46" s="427"/>
      <c r="CE46" s="427"/>
      <c r="CF46" s="427"/>
      <c r="CG46" s="427"/>
      <c r="CH46" s="427"/>
      <c r="CI46" s="427"/>
    </row>
    <row r="47" spans="1:87" s="3263" customFormat="1" ht="16.5" customHeight="1">
      <c r="A47" s="427"/>
      <c r="B47" s="427"/>
      <c r="C47" s="427"/>
      <c r="D47" s="427"/>
      <c r="E47" s="434"/>
      <c r="F47" s="434"/>
      <c r="G47" s="3474"/>
      <c r="H47" s="434"/>
      <c r="I47" s="434"/>
      <c r="J47" s="434"/>
      <c r="K47" s="434"/>
      <c r="L47" s="434"/>
      <c r="M47" s="434"/>
      <c r="N47" s="434"/>
      <c r="O47" s="434"/>
      <c r="P47" s="434"/>
      <c r="Q47" s="434"/>
      <c r="R47" s="434"/>
      <c r="S47" s="427"/>
      <c r="T47" s="1415"/>
      <c r="U47" s="1415"/>
      <c r="V47" s="427"/>
      <c r="W47" s="427"/>
      <c r="X47" s="427"/>
      <c r="Y47" s="427"/>
      <c r="Z47" s="427"/>
      <c r="AA47" s="3309">
        <v>45756</v>
      </c>
      <c r="AB47" s="1428">
        <f>IF($AA47&lt;=Factores!$D$3,AB13,"")</f>
        <v>0</v>
      </c>
      <c r="AC47" s="1428">
        <f>IF($AA47&lt;=Factores!$D$3,AC13,"")</f>
        <v>0</v>
      </c>
      <c r="AD47" s="1428">
        <f>IF($AA47&lt;=Factores!$D$3,AD13,"")</f>
        <v>0</v>
      </c>
      <c r="AE47" s="1428">
        <f>IF($AA47&lt;=Factores!$D$3,AE13,"")</f>
        <v>0</v>
      </c>
      <c r="AF47" s="1420">
        <f>IF($AA47&lt;=Factores!$D$3,AF13,"")</f>
        <v>0</v>
      </c>
      <c r="AG47" s="3303">
        <f>IF($AA47&lt;=Factores!$D$3,AG13,"")</f>
        <v>0</v>
      </c>
      <c r="AH47" s="3303" t="e">
        <f>IF($AA47&lt;=Factores!$D$3,AH13,"")</f>
        <v>#DIV/0!</v>
      </c>
      <c r="AI47" s="3303">
        <f>IF($AA47&lt;=Factores!$D$3,AI13,"")</f>
        <v>0</v>
      </c>
      <c r="AJ47" s="3303">
        <f>IF($AA47&lt;=Factores!$D$3,AJ13,"")</f>
        <v>0</v>
      </c>
      <c r="AK47" s="3303">
        <f>IF($AA47&lt;=Factores!$D$3,AK13,"")</f>
        <v>0</v>
      </c>
      <c r="AL47" s="3303">
        <f>IF($AA47&lt;=Factores!$D$3,AL13,"")</f>
        <v>0</v>
      </c>
      <c r="AM47" s="1428">
        <f>IF($AA47&lt;=Factores!$D$3,AM13,"")</f>
        <v>0</v>
      </c>
      <c r="AN47" s="3303">
        <f>IF($AA47&lt;=Factores!$D$3,AN13,"")</f>
        <v>0</v>
      </c>
      <c r="AO47" s="1420">
        <f>IF($AA47&lt;=Factores!$D$3,AO13,"")</f>
        <v>24.146893258401185</v>
      </c>
      <c r="AP47" s="1420">
        <f>IF($AA47&lt;=Factores!$D$3,AP13,"")</f>
        <v>24.026158792109179</v>
      </c>
      <c r="AQ47" s="1428" t="e">
        <f>IF($AA47&lt;=Factores!$D$3,AQ13,"")</f>
        <v>#DIV/0!</v>
      </c>
      <c r="AR47" s="273"/>
      <c r="AX47" s="427"/>
      <c r="AY47" s="427"/>
      <c r="AZ47" s="427"/>
      <c r="BA47" s="427"/>
      <c r="BB47" s="427"/>
      <c r="BC47" s="427"/>
      <c r="BD47" s="427"/>
      <c r="BE47" s="427"/>
      <c r="BF47" s="427"/>
      <c r="BG47" s="427"/>
      <c r="BH47" s="427"/>
      <c r="BI47" s="427"/>
      <c r="BJ47" s="427"/>
      <c r="BK47" s="427"/>
      <c r="BL47" s="427"/>
      <c r="BM47" s="427"/>
      <c r="BN47" s="427"/>
      <c r="BO47" s="427"/>
      <c r="BP47" s="427"/>
      <c r="BQ47" s="427"/>
      <c r="BR47" s="427"/>
      <c r="BS47" s="427"/>
      <c r="BT47" s="427"/>
      <c r="BU47" s="427"/>
      <c r="BV47" s="427"/>
      <c r="BW47" s="427"/>
      <c r="BX47" s="427"/>
      <c r="BY47" s="427"/>
      <c r="BZ47" s="427"/>
      <c r="CA47" s="427"/>
      <c r="CB47" s="427"/>
      <c r="CC47" s="427"/>
      <c r="CD47" s="427"/>
      <c r="CE47" s="427"/>
      <c r="CF47" s="427"/>
      <c r="CG47" s="427"/>
      <c r="CH47" s="427"/>
      <c r="CI47" s="427"/>
    </row>
    <row r="48" spans="1:87" s="3263" customFormat="1" ht="16.5" customHeight="1">
      <c r="A48" s="427"/>
      <c r="B48" s="1450" t="s">
        <v>238</v>
      </c>
      <c r="C48" s="1451" t="s">
        <v>234</v>
      </c>
      <c r="D48" s="427"/>
      <c r="E48" s="1396">
        <v>1.3598056442320934</v>
      </c>
      <c r="F48" s="1396">
        <v>1.2570857641175415</v>
      </c>
      <c r="G48" s="3468">
        <v>1.5117587416303118</v>
      </c>
      <c r="H48" s="1396">
        <v>1.4837751194889428</v>
      </c>
      <c r="I48" s="1396">
        <v>1.4509919767308952</v>
      </c>
      <c r="J48" s="1396">
        <v>1.3994230050471075</v>
      </c>
      <c r="K48" s="1396">
        <v>1.3124240456803287</v>
      </c>
      <c r="L48" s="1396">
        <v>1.7066892450978774</v>
      </c>
      <c r="M48" s="1396">
        <v>1.4462223538088381</v>
      </c>
      <c r="N48" s="1396">
        <v>1.4883362881514637</v>
      </c>
      <c r="O48" s="1396">
        <v>1.5800658602068305</v>
      </c>
      <c r="P48" s="1396">
        <v>1.6059821394643417</v>
      </c>
      <c r="Q48" s="1415"/>
      <c r="R48" s="1442">
        <v>1.4720877728787065</v>
      </c>
      <c r="S48" s="427"/>
      <c r="T48" s="1434">
        <f>IF(MONTH(Factores!$D$2)=1,SUMPRODUCT($E$12:$E$12,$E48:E48)/SUM($E$12:$E$12),IF(MONTH(Factores!$D$2)=2,SUMPRODUCT($E$12:$F$12,$E48:F48)/SUM($E$12:$F$12),IF(MONTH(Factores!$D$2)=3,SUMPRODUCT($E$12:$G$12,$E48:G48)/SUM($E$12:$G$12),IF(MONTH(Factores!$D$2)=4,SUMPRODUCT($E$12:$H$12,$E48:H48)/SUM($E$12:$H$12),IF(MONTH(Factores!$D$2)=5,SUMPRODUCT($E$12:$I$12,$E48:I48)/SUM($E$12:$I$12),IF(MONTH(Factores!$D$2)=6,SUMPRODUCT($E$12:$J$12,$E48:J48)/SUM($E$12:$J$12),IF(MONTH(Factores!$D$2)=7,SUMPRODUCT($E$12:$K$12,$E48:K48)/SUM($E$12:$K$12),IF(MONTH(Factores!$D$2)=8,SUMPRODUCT($E$12:$L$12,$E48:L48)/SUM($E$12:$L$12),IF(MONTH(Factores!$D$2)=9,SUMPRODUCT($E$12:$M$12,$E48:M48)/SUM($E$12:$M$12),IF(MONTH(Factores!$D$2)=10,SUMPRODUCT($E$12:$N$12,$E48:N48)/SUM($E$12:$N$12),IF(MONTH(Factores!$D$2)=11,SUMPRODUCT($E$12:$O$12,$E48:O48)/SUM($E$12:$O$12),IF(MONTH(Factores!$D$2)=12,SUMPRODUCT($E$12:$P$12,$E48:P48)/SUM($E$12:$P$12)))))))))))))</f>
        <v>1.3883748084015828</v>
      </c>
      <c r="U48" s="1434">
        <f>IF(MONTH(Factores!$D$2)=1,SUMPRODUCT($E$12:$E$12,$E48:E48)/SUM($E$12:$E$12),IF(MONTH(Factores!$D$2)=2,SUMPRODUCT($E$12:$E$12,$E48:E48)/SUM($E$12:$E$12),IF(MONTH(Factores!$D$2)=3,SUMPRODUCT($E$12:$F$12,$E48:F48)/SUM($E$12:$F$12),IF(MONTH(Factores!$D$2)=4,SUMPRODUCT($E$12:$G$12,$E48:G48)/SUM($E$12:$G$12),IF(MONTH(Factores!$D$2)=5,SUMPRODUCT($E$12:$H$12,$E48:H48)/SUM($E$12:$H$12),IF(MONTH(Factores!$D$2)=6,SUMPRODUCT($E$12:$I$12,$E48:I48)/SUM($E$12:$I$12),IF(MONTH(Factores!$D$2)=7,SUMPRODUCT($E$12:$J$12,$E48:J48)/SUM($E$12:$J$12),IF(MONTH(Factores!$D$2)=8,SUMPRODUCT($E$12:$K$12,$E48:K48)/SUM($E$12:$K$12),IF(MONTH(Factores!$D$2)=9,SUMPRODUCT($E$12:$L$12,$E48:L48)/SUM($E$12:$L$12),IF(MONTH(Factores!$D$2)=10,SUMPRODUCT($E$12:$M$12,$E48:M48)/SUM($E$12:$M$12),IF(MONTH(Factores!$D$2)=11,SUMPRODUCT($E$12:$N$12,$E48:N48)/SUM($E$12:$N$12),IF(MONTH(Factores!$D$2)=12,SUMPRODUCT($E$12:$O$12,$E48:O48)/SUM($E$12:$O$12)))))))))))))</f>
        <v>1.3113997913493154</v>
      </c>
      <c r="V48" s="427"/>
      <c r="W48" s="427"/>
      <c r="X48" s="427"/>
      <c r="Y48" s="427"/>
      <c r="Z48" s="427"/>
      <c r="AA48" s="3309">
        <v>45757</v>
      </c>
      <c r="AB48" s="1428">
        <f>IF($AA48&lt;=Factores!$D$3,AB14,"")</f>
        <v>0</v>
      </c>
      <c r="AC48" s="1428">
        <f>IF($AA48&lt;=Factores!$D$3,AC14,"")</f>
        <v>0</v>
      </c>
      <c r="AD48" s="1428">
        <f>IF($AA48&lt;=Factores!$D$3,AD14,"")</f>
        <v>0</v>
      </c>
      <c r="AE48" s="1428">
        <f>IF($AA48&lt;=Factores!$D$3,AE14,"")</f>
        <v>0</v>
      </c>
      <c r="AF48" s="1420">
        <f>IF($AA48&lt;=Factores!$D$3,AF14,"")</f>
        <v>0</v>
      </c>
      <c r="AG48" s="3303">
        <f>IF($AA48&lt;=Factores!$D$3,AG14,"")</f>
        <v>0</v>
      </c>
      <c r="AH48" s="3303" t="e">
        <f>IF($AA48&lt;=Factores!$D$3,AH14,"")</f>
        <v>#DIV/0!</v>
      </c>
      <c r="AI48" s="3303">
        <f>IF($AA48&lt;=Factores!$D$3,AI14,"")</f>
        <v>0</v>
      </c>
      <c r="AJ48" s="3303">
        <f>IF($AA48&lt;=Factores!$D$3,AJ14,"")</f>
        <v>0</v>
      </c>
      <c r="AK48" s="3303">
        <f>IF($AA48&lt;=Factores!$D$3,AK14,"")</f>
        <v>0</v>
      </c>
      <c r="AL48" s="3303">
        <f>IF($AA48&lt;=Factores!$D$3,AL14,"")</f>
        <v>0</v>
      </c>
      <c r="AM48" s="1428">
        <f>IF($AA48&lt;=Factores!$D$3,AM14,"")</f>
        <v>0</v>
      </c>
      <c r="AN48" s="3303">
        <f>IF($AA48&lt;=Factores!$D$3,AN14,"")</f>
        <v>0</v>
      </c>
      <c r="AO48" s="1420">
        <f>IF($AA48&lt;=Factores!$D$3,AO14,"")</f>
        <v>24.146893258401185</v>
      </c>
      <c r="AP48" s="1420">
        <f>IF($AA48&lt;=Factores!$D$3,AP14,"")</f>
        <v>24.026158792109179</v>
      </c>
      <c r="AQ48" s="1428" t="e">
        <f>IF($AA48&lt;=Factores!$D$3,AQ14,"")</f>
        <v>#DIV/0!</v>
      </c>
      <c r="AR48" s="273"/>
    </row>
    <row r="49" spans="1:59" s="427" customFormat="1" ht="16.5" customHeight="1">
      <c r="B49" s="1450" t="s">
        <v>239</v>
      </c>
      <c r="C49" s="1451" t="s">
        <v>234</v>
      </c>
      <c r="E49" s="1391">
        <v>70.957529952039394</v>
      </c>
      <c r="F49" s="1391">
        <v>60.740792898568451</v>
      </c>
      <c r="G49" s="3470">
        <v>66.762504791132926</v>
      </c>
      <c r="H49" s="1391">
        <v>60.541457306219705</v>
      </c>
      <c r="I49" s="1391">
        <v>62.042215460198143</v>
      </c>
      <c r="J49" s="1391">
        <v>56.950159685742371</v>
      </c>
      <c r="K49" s="1391">
        <v>55.969327779753556</v>
      </c>
      <c r="L49" s="1391">
        <v>62.52076614392783</v>
      </c>
      <c r="M49" s="1391">
        <v>57.939462394124213</v>
      </c>
      <c r="N49" s="1391">
        <v>56.201955280048374</v>
      </c>
      <c r="O49" s="1391">
        <v>56.001507689752593</v>
      </c>
      <c r="P49" s="1391">
        <v>55.59902583530679</v>
      </c>
      <c r="Q49" s="1415"/>
      <c r="R49" s="1447">
        <v>59.653102280684557</v>
      </c>
      <c r="T49" s="1431">
        <f>IF(MONTH(Factores!$D$2)=1,SUMPRODUCT($E$32:$E$32,$E49:E49)/SUM($E$32:$E$32),IF(MONTH(Factores!$D$2)=2,SUMPRODUCT($E$32:$F$32,$E49:F49)/SUM($E$32:$F$32),IF(MONTH(Factores!$D$2)=3,SUMPRODUCT($E$32:$G$32,$E49:G49)/SUM($E$32:$G$32),IF(MONTH(Factores!$D$2)=4,SUMPRODUCT($E$32:$H$32,$E49:H49)/SUM($E$32:$H$32),IF(MONTH(Factores!$D$2)=5,SUMPRODUCT($E$32:$I$32,$E49:I49)/SUM($E$32:$I$32),IF(MONTH(Factores!$D$2)=6,SUMPRODUCT($E$32:$J$32,$E49:J49)/SUM($E$32:$J$32),IF(MONTH(Factores!$D$2)=7,SUMPRODUCT($E$32:$K$32,$E49:K49)/SUM($E$32:$K$32),IF(MONTH(Factores!$D$2)=8,SUMPRODUCT($E$32:$L$32,$E49:L49)/SUM($E$32:$L$32),IF(MONTH(Factores!$D$2)=9,SUMPRODUCT($E$32:$M$32,$E49:M49)/SUM($E$32:$M$32),IF(MONTH(Factores!$D$2)=10,SUMPRODUCT($E$32:$N$32,$E49:N49)/SUM($E$32:$N$32),IF(MONTH(Factores!$D$2)=11,SUMPRODUCT($E$32:$O$32,$E49:O49)/SUM($E$32:$O$32),IF(MONTH(Factores!$D$2)=12,SUMPRODUCT($E$32:$P$32,$E49:P49)/SUM($E$32:$P$32)))))))))))))</f>
        <v>66.285609254370343</v>
      </c>
      <c r="U49" s="1431">
        <f>IF(MONTH(Factores!$D$2)=1,SUMPRODUCT($E$32:$E$32,$E49:E49)/SUM($E$32:$E$32),IF(MONTH(Factores!$D$2)=2,SUMPRODUCT($E$32:$E$32,$E49:E49)/SUM($E$32:$E$32),IF(MONTH(Factores!$D$2)=3,SUMPRODUCT($E$32:$F$32,$E49:F49)/SUM($E$32:$F$32),IF(MONTH(Factores!$D$2)=4,SUMPRODUCT($E$32:$G$32,$E49:G49)/SUM($E$32:$G$32),IF(MONTH(Factores!$D$2)=5,SUMPRODUCT($E$32:$H$32,$E49:H49)/SUM($E$32:$H$32),IF(MONTH(Factores!$D$2)=6,SUMPRODUCT($E$32:$I$32,$E49:I49)/SUM($E$32:$I$32),IF(MONTH(Factores!$D$2)=7,SUMPRODUCT($E$32:$J$32,$E49:J49)/SUM($E$32:$J$32),IF(MONTH(Factores!$D$2)=8,SUMPRODUCT($E$32:$K$32,$E49:K49)/SUM($E$32:$K$32),IF(MONTH(Factores!$D$2)=9,SUMPRODUCT($E$32:$L$32,$E49:L49)/SUM($E$32:$L$32),IF(MONTH(Factores!$D$2)=10,SUMPRODUCT($E$32:$M$32,$E49:M49)/SUM($E$32:$M$32),IF(MONTH(Factores!$D$2)=11,SUMPRODUCT($E$32:$N$32,$E49:N49)/SUM($E$32:$N$32),IF(MONTH(Factores!$D$2)=12,SUMPRODUCT($E$32:$O$32,$E49:O49)/SUM($E$32:$O$32)))))))))))))</f>
        <v>65.946825099966233</v>
      </c>
      <c r="AA49" s="3309">
        <v>45758</v>
      </c>
      <c r="AB49" s="1428">
        <f>IF($AA49&lt;=Factores!$D$3,AB15,"")</f>
        <v>0</v>
      </c>
      <c r="AC49" s="1428">
        <f>IF($AA49&lt;=Factores!$D$3,AC15,"")</f>
        <v>0</v>
      </c>
      <c r="AD49" s="1428">
        <f>IF($AA49&lt;=Factores!$D$3,AD15,"")</f>
        <v>0</v>
      </c>
      <c r="AE49" s="1428">
        <f>IF($AA49&lt;=Factores!$D$3,AE15,"")</f>
        <v>0</v>
      </c>
      <c r="AF49" s="1420">
        <f>IF($AA49&lt;=Factores!$D$3,AF15,"")</f>
        <v>0</v>
      </c>
      <c r="AG49" s="3303">
        <f>IF($AA49&lt;=Factores!$D$3,AG15,"")</f>
        <v>0</v>
      </c>
      <c r="AH49" s="3303" t="e">
        <f>IF($AA49&lt;=Factores!$D$3,AH15,"")</f>
        <v>#DIV/0!</v>
      </c>
      <c r="AI49" s="3303">
        <f>IF($AA49&lt;=Factores!$D$3,AI15,"")</f>
        <v>0</v>
      </c>
      <c r="AJ49" s="3303">
        <f>IF($AA49&lt;=Factores!$D$3,AJ15,"")</f>
        <v>0</v>
      </c>
      <c r="AK49" s="3303">
        <f>IF($AA49&lt;=Factores!$D$3,AK15,"")</f>
        <v>0</v>
      </c>
      <c r="AL49" s="3303">
        <f>IF($AA49&lt;=Factores!$D$3,AL15,"")</f>
        <v>0</v>
      </c>
      <c r="AM49" s="1428">
        <f>IF($AA49&lt;=Factores!$D$3,AM15,"")</f>
        <v>0</v>
      </c>
      <c r="AN49" s="3303">
        <f>IF($AA49&lt;=Factores!$D$3,AN15,"")</f>
        <v>0</v>
      </c>
      <c r="AO49" s="1420">
        <f>IF($AA49&lt;=Factores!$D$3,AO15,"")</f>
        <v>24.146893258401185</v>
      </c>
      <c r="AP49" s="1420">
        <f>IF($AA49&lt;=Factores!$D$3,AP15,"")</f>
        <v>24.026158792109179</v>
      </c>
      <c r="AQ49" s="1428" t="e">
        <f>IF($AA49&lt;=Factores!$D$3,AQ15,"")</f>
        <v>#DIV/0!</v>
      </c>
      <c r="AR49" s="273"/>
    </row>
    <row r="50" spans="1:59" s="427" customFormat="1" ht="16.5" customHeight="1">
      <c r="B50" s="1452" t="s">
        <v>859</v>
      </c>
      <c r="C50" s="1453" t="s">
        <v>241</v>
      </c>
      <c r="D50" s="1413"/>
      <c r="E50" s="1394">
        <v>172.99008767588143</v>
      </c>
      <c r="F50" s="1394">
        <v>142.5263483847931</v>
      </c>
      <c r="G50" s="3462">
        <v>226.91361215602413</v>
      </c>
      <c r="H50" s="1394">
        <v>151.91196108837656</v>
      </c>
      <c r="I50" s="1394">
        <v>228.75229170370196</v>
      </c>
      <c r="J50" s="1394">
        <v>214.4612539239281</v>
      </c>
      <c r="K50" s="1394">
        <v>196.94578627202776</v>
      </c>
      <c r="L50" s="1394">
        <v>251.01253728973307</v>
      </c>
      <c r="M50" s="1394">
        <v>211.61106152481267</v>
      </c>
      <c r="N50" s="1394">
        <v>229.47367117497691</v>
      </c>
      <c r="O50" s="1394">
        <v>226.70258365159813</v>
      </c>
      <c r="P50" s="1394">
        <v>254.44563151073257</v>
      </c>
      <c r="Q50" s="1415"/>
      <c r="R50" s="1447">
        <v>2507.7468263565866</v>
      </c>
      <c r="T50" s="1431"/>
      <c r="U50" s="1431"/>
      <c r="AA50" s="3309">
        <v>45759</v>
      </c>
      <c r="AB50" s="1428">
        <f>IF($AA50&lt;=Factores!$D$3,AB16,"")</f>
        <v>0</v>
      </c>
      <c r="AC50" s="1428">
        <f>IF($AA50&lt;=Factores!$D$3,AC16,"")</f>
        <v>0</v>
      </c>
      <c r="AD50" s="1428">
        <f>IF($AA50&lt;=Factores!$D$3,AD16,"")</f>
        <v>0</v>
      </c>
      <c r="AE50" s="1428">
        <f>IF($AA50&lt;=Factores!$D$3,AE16,"")</f>
        <v>0</v>
      </c>
      <c r="AF50" s="1420">
        <f>IF($AA50&lt;=Factores!$D$3,AF16,"")</f>
        <v>0</v>
      </c>
      <c r="AG50" s="3303">
        <f>IF($AA50&lt;=Factores!$D$3,AG16,"")</f>
        <v>0</v>
      </c>
      <c r="AH50" s="3303" t="e">
        <f>IF($AA50&lt;=Factores!$D$3,AH16,"")</f>
        <v>#DIV/0!</v>
      </c>
      <c r="AI50" s="3303">
        <f>IF($AA50&lt;=Factores!$D$3,AI16,"")</f>
        <v>0</v>
      </c>
      <c r="AJ50" s="3303">
        <f>IF($AA50&lt;=Factores!$D$3,AJ16,"")</f>
        <v>0</v>
      </c>
      <c r="AK50" s="3303">
        <f>IF($AA50&lt;=Factores!$D$3,AK16,"")</f>
        <v>0</v>
      </c>
      <c r="AL50" s="3303">
        <f>IF($AA50&lt;=Factores!$D$3,AL16,"")</f>
        <v>0</v>
      </c>
      <c r="AM50" s="1428">
        <f>IF($AA50&lt;=Factores!$D$3,AM16,"")</f>
        <v>0</v>
      </c>
      <c r="AN50" s="3303">
        <f>IF($AA50&lt;=Factores!$D$3,AN16,"")</f>
        <v>0</v>
      </c>
      <c r="AO50" s="1420">
        <f>IF($AA50&lt;=Factores!$D$3,AO16,"")</f>
        <v>24.146893258401185</v>
      </c>
      <c r="AP50" s="1420">
        <f>IF($AA50&lt;=Factores!$D$3,AP16,"")</f>
        <v>24.026158792109179</v>
      </c>
      <c r="AQ50" s="1428" t="e">
        <f>IF($AA50&lt;=Factores!$D$3,AQ16,"")</f>
        <v>#DIV/0!</v>
      </c>
      <c r="AR50" s="273"/>
      <c r="BF50" s="427">
        <v>21.015980190531806</v>
      </c>
      <c r="BG50" s="427">
        <v>20.671720832298025</v>
      </c>
    </row>
    <row r="51" spans="1:59" s="3317" customFormat="1" ht="16.5" customHeight="1">
      <c r="A51" s="1413"/>
      <c r="B51" s="1452" t="s">
        <v>860</v>
      </c>
      <c r="C51" s="1453" t="s">
        <v>241</v>
      </c>
      <c r="D51" s="1413"/>
      <c r="E51" s="1394">
        <v>167.34943340171847</v>
      </c>
      <c r="F51" s="1394">
        <v>147.56620266397243</v>
      </c>
      <c r="G51" s="3462">
        <v>227.07921888994454</v>
      </c>
      <c r="H51" s="1394">
        <v>152.02368698658188</v>
      </c>
      <c r="I51" s="1394">
        <v>228.91924034792791</v>
      </c>
      <c r="J51" s="1394">
        <v>214.61777264255997</v>
      </c>
      <c r="K51" s="1394">
        <v>196.94578627202782</v>
      </c>
      <c r="L51" s="1394">
        <v>218.45171038098496</v>
      </c>
      <c r="M51" s="1394">
        <v>233.7625363751329</v>
      </c>
      <c r="N51" s="1394">
        <v>237.25597215428499</v>
      </c>
      <c r="O51" s="1394">
        <v>223.04527081209955</v>
      </c>
      <c r="P51" s="1394">
        <v>253.55353258535231</v>
      </c>
      <c r="Q51" s="1412"/>
      <c r="R51" s="1436">
        <v>2500.5703635125878</v>
      </c>
      <c r="S51" s="1413"/>
      <c r="T51" s="1437">
        <f>IF(MONTH(Factores!$D$2)=1,SUM($E51:E51),IF(MONTH(Factores!$D$2)=2,SUM($E51:F51),IF(MONTH(Factores!$D$2)=3,SUM($E51:G51),IF(MONTH(Factores!$D$2)=4,SUM($E51:H51),IF(MONTH(Factores!$D$2)=5,SUM($E51:I51),IF(MONTH(Factores!$D$2)=6,SUM($E51:J51),IF(MONTH(Factores!$D$2)=7,SUM($E51:K51),IF(MONTH(Factores!$D$2)=8,SUM($E51:L51),IF(MONTH(Factores!$D$2)=9,SUM($E51:M51),IF(MONTH(Factores!$D$2)=10,SUM($E51:N51),IF(MONTH(Factores!$D$2)=11,SUM($E51:O51),IF(MONTH(Factores!$D$2)=12,SUM($E51:P51)))))))))))))</f>
        <v>541.99485495563545</v>
      </c>
      <c r="U51" s="1437">
        <f>IF(MONTH(Factores!$D$2)=1,SUM($E51:E51),IF(MONTH(Factores!$D$2)=2,SUM($E51:E51),IF(MONTH(Factores!$D$2)=3,SUM($E51:F51),IF(MONTH(Factores!$D$2)=4,SUM($E51:G51),IF(MONTH(Factores!$D$2)=5,SUM($E51:H51),IF(MONTH(Factores!$D$2)=6,SUM($E51:I51),IF(MONTH(Factores!$D$2)=7,SUM($E51:J51),IF(MONTH(Factores!$D$2)=8,SUM($E51:K51),IF(MONTH(Factores!$D$2)=9,SUM($E51:L51),IF(MONTH(Factores!$D$2)=10,SUM($E51:M51),IF(MONTH(Factores!$D$2)=11,SUM($E51:N51),IF(MONTH(Factores!$D$2)=12,SUM($E51:O51)))))))))))))</f>
        <v>314.91563606569093</v>
      </c>
      <c r="V51" s="1413"/>
      <c r="W51" s="1413"/>
      <c r="X51" s="1413"/>
      <c r="Y51" s="1413"/>
      <c r="Z51" s="427"/>
      <c r="AA51" s="3309">
        <v>45760</v>
      </c>
      <c r="AB51" s="1428">
        <f>IF($AA51&lt;=Factores!$D$3,AB17,"")</f>
        <v>0</v>
      </c>
      <c r="AC51" s="1428">
        <f>IF($AA51&lt;=Factores!$D$3,AC17,"")</f>
        <v>0</v>
      </c>
      <c r="AD51" s="1428">
        <f>IF($AA51&lt;=Factores!$D$3,AD17,"")</f>
        <v>0</v>
      </c>
      <c r="AE51" s="1428">
        <f>IF($AA51&lt;=Factores!$D$3,AE17,"")</f>
        <v>0</v>
      </c>
      <c r="AF51" s="1420">
        <f>IF($AA51&lt;=Factores!$D$3,AF17,"")</f>
        <v>0</v>
      </c>
      <c r="AG51" s="3303">
        <f>IF($AA51&lt;=Factores!$D$3,AG17,"")</f>
        <v>0</v>
      </c>
      <c r="AH51" s="3303" t="e">
        <f>IF($AA51&lt;=Factores!$D$3,AH17,"")</f>
        <v>#DIV/0!</v>
      </c>
      <c r="AI51" s="3303">
        <f>IF($AA51&lt;=Factores!$D$3,AI17,"")</f>
        <v>0</v>
      </c>
      <c r="AJ51" s="3303">
        <f>IF($AA51&lt;=Factores!$D$3,AJ17,"")</f>
        <v>0</v>
      </c>
      <c r="AK51" s="3303">
        <f>IF($AA51&lt;=Factores!$D$3,AK17,"")</f>
        <v>0</v>
      </c>
      <c r="AL51" s="3303">
        <f>IF($AA51&lt;=Factores!$D$3,AL17,"")</f>
        <v>0</v>
      </c>
      <c r="AM51" s="1428">
        <f>IF($AA51&lt;=Factores!$D$3,AM17,"")</f>
        <v>0</v>
      </c>
      <c r="AN51" s="3303">
        <f>IF($AA51&lt;=Factores!$D$3,AN17,"")</f>
        <v>0</v>
      </c>
      <c r="AO51" s="1420">
        <f>IF($AA51&lt;=Factores!$D$3,AO17,"")</f>
        <v>24.146893258401185</v>
      </c>
      <c r="AP51" s="1420">
        <f>IF($AA51&lt;=Factores!$D$3,AP17,"")</f>
        <v>24.026158792109179</v>
      </c>
      <c r="AQ51" s="1428" t="e">
        <f>IF($AA51&lt;=Factores!$D$3,AQ17,"")</f>
        <v>#DIV/0!</v>
      </c>
      <c r="AR51" s="273"/>
    </row>
    <row r="52" spans="1:59" s="3317" customFormat="1" ht="16.5" customHeight="1">
      <c r="A52" s="1413"/>
      <c r="B52" s="1452" t="s">
        <v>861</v>
      </c>
      <c r="C52" s="1453" t="s">
        <v>241</v>
      </c>
      <c r="D52" s="1413"/>
      <c r="E52" s="1394">
        <v>150.61449006154663</v>
      </c>
      <c r="F52" s="1394">
        <v>132.80958239757518</v>
      </c>
      <c r="G52" s="3462">
        <v>204.37129700095008</v>
      </c>
      <c r="H52" s="1394">
        <v>136.8213182879237</v>
      </c>
      <c r="I52" s="1394">
        <v>206.02731631313512</v>
      </c>
      <c r="J52" s="1394">
        <v>193.15599537830397</v>
      </c>
      <c r="K52" s="1394">
        <v>177.25120764482503</v>
      </c>
      <c r="L52" s="1394">
        <v>196.60653934288646</v>
      </c>
      <c r="M52" s="1394">
        <v>210.38628273761961</v>
      </c>
      <c r="N52" s="1394">
        <v>213.53037493885648</v>
      </c>
      <c r="O52" s="1394">
        <v>200.74074373088959</v>
      </c>
      <c r="P52" s="1394">
        <v>228.1981793268171</v>
      </c>
      <c r="Q52" s="1412"/>
      <c r="R52" s="1760">
        <v>2250.513327161329</v>
      </c>
      <c r="S52" s="1413"/>
      <c r="T52" s="1761"/>
      <c r="U52" s="1761"/>
      <c r="V52" s="1413"/>
      <c r="W52" s="1413"/>
      <c r="X52" s="1413"/>
      <c r="Y52" s="1413"/>
      <c r="Z52" s="427"/>
      <c r="AA52" s="3309">
        <v>45761</v>
      </c>
      <c r="AB52" s="1428">
        <f>IF($AA52&lt;=Factores!$D$3,AB18,"")</f>
        <v>0</v>
      </c>
      <c r="AC52" s="1428">
        <f>IF($AA52&lt;=Factores!$D$3,AC18,"")</f>
        <v>0</v>
      </c>
      <c r="AD52" s="1428">
        <f>IF($AA52&lt;=Factores!$D$3,AD18,"")</f>
        <v>0</v>
      </c>
      <c r="AE52" s="1428">
        <f>IF($AA52&lt;=Factores!$D$3,AE18,"")</f>
        <v>0</v>
      </c>
      <c r="AF52" s="1420">
        <f>IF($AA52&lt;=Factores!$D$3,AF18,"")</f>
        <v>0</v>
      </c>
      <c r="AG52" s="3303">
        <f>IF($AA52&lt;=Factores!$D$3,AG18,"")</f>
        <v>0</v>
      </c>
      <c r="AH52" s="3303" t="e">
        <f>IF($AA52&lt;=Factores!$D$3,AH18,"")</f>
        <v>#DIV/0!</v>
      </c>
      <c r="AI52" s="3303">
        <f>IF($AA52&lt;=Factores!$D$3,AI18,"")</f>
        <v>0</v>
      </c>
      <c r="AJ52" s="3303">
        <f>IF($AA52&lt;=Factores!$D$3,AJ18,"")</f>
        <v>0</v>
      </c>
      <c r="AK52" s="3303">
        <f>IF($AA52&lt;=Factores!$D$3,AK18,"")</f>
        <v>0</v>
      </c>
      <c r="AL52" s="3303">
        <f>IF($AA52&lt;=Factores!$D$3,AL18,"")</f>
        <v>0</v>
      </c>
      <c r="AM52" s="1428">
        <f>IF($AA52&lt;=Factores!$D$3,AM18,"")</f>
        <v>0</v>
      </c>
      <c r="AN52" s="3303">
        <f>IF($AA52&lt;=Factores!$D$3,AN18,"")</f>
        <v>0</v>
      </c>
      <c r="AO52" s="1420">
        <f>IF($AA52&lt;=Factores!$D$3,AO18,"")</f>
        <v>24.146893258401185</v>
      </c>
      <c r="AP52" s="1420">
        <f>IF($AA52&lt;=Factores!$D$3,AP18,"")</f>
        <v>24.026158792109179</v>
      </c>
      <c r="AQ52" s="1428" t="e">
        <f>IF($AA52&lt;=Factores!$D$3,AQ18,"")</f>
        <v>#DIV/0!</v>
      </c>
      <c r="AR52" s="273"/>
    </row>
    <row r="53" spans="1:59" s="3263" customFormat="1" ht="16.5" customHeight="1">
      <c r="A53" s="427"/>
      <c r="B53" s="427"/>
      <c r="C53" s="427"/>
      <c r="D53" s="427"/>
      <c r="E53" s="1454"/>
      <c r="F53" s="1454"/>
      <c r="G53" s="3474"/>
      <c r="H53" s="434"/>
      <c r="I53" s="434"/>
      <c r="J53" s="434"/>
      <c r="K53" s="434"/>
      <c r="L53" s="434"/>
      <c r="M53" s="434"/>
      <c r="N53" s="434"/>
      <c r="O53" s="434"/>
      <c r="P53" s="434"/>
      <c r="Q53" s="434"/>
      <c r="R53" s="434"/>
      <c r="S53" s="1444"/>
      <c r="T53" s="1428"/>
      <c r="U53" s="1428"/>
      <c r="V53" s="427"/>
      <c r="W53" s="427"/>
      <c r="X53" s="427"/>
      <c r="Y53" s="427"/>
      <c r="Z53" s="427"/>
      <c r="AA53" s="3309">
        <v>45762</v>
      </c>
      <c r="AB53" s="1428">
        <f>IF($AA53&lt;=Factores!$D$3,AB19,"")</f>
        <v>0</v>
      </c>
      <c r="AC53" s="1428">
        <f>IF($AA53&lt;=Factores!$D$3,AC19,"")</f>
        <v>0</v>
      </c>
      <c r="AD53" s="1428">
        <f>IF($AA53&lt;=Factores!$D$3,AD19,"")</f>
        <v>0</v>
      </c>
      <c r="AE53" s="1428">
        <f>IF($AA53&lt;=Factores!$D$3,AE19,"")</f>
        <v>0</v>
      </c>
      <c r="AF53" s="1420">
        <f>IF($AA53&lt;=Factores!$D$3,AF19,"")</f>
        <v>0</v>
      </c>
      <c r="AG53" s="3303">
        <f>IF($AA53&lt;=Factores!$D$3,AG19,"")</f>
        <v>0</v>
      </c>
      <c r="AH53" s="3303" t="e">
        <f>IF($AA53&lt;=Factores!$D$3,AH19,"")</f>
        <v>#DIV/0!</v>
      </c>
      <c r="AI53" s="3303">
        <f>IF($AA53&lt;=Factores!$D$3,AI19,"")</f>
        <v>0</v>
      </c>
      <c r="AJ53" s="3303">
        <f>IF($AA53&lt;=Factores!$D$3,AJ19,"")</f>
        <v>0</v>
      </c>
      <c r="AK53" s="3303">
        <f>IF($AA53&lt;=Factores!$D$3,AK19,"")</f>
        <v>0</v>
      </c>
      <c r="AL53" s="3303">
        <f>IF($AA53&lt;=Factores!$D$3,AL19,"")</f>
        <v>0</v>
      </c>
      <c r="AM53" s="1428">
        <f>IF($AA53&lt;=Factores!$D$3,AM19,"")</f>
        <v>0</v>
      </c>
      <c r="AN53" s="3303">
        <f>IF($AA53&lt;=Factores!$D$3,AN19,"")</f>
        <v>0</v>
      </c>
      <c r="AO53" s="1420">
        <f>IF($AA53&lt;=Factores!$D$3,AO19,"")</f>
        <v>24.146893258401185</v>
      </c>
      <c r="AP53" s="1420">
        <f>IF($AA53&lt;=Factores!$D$3,AP19,"")</f>
        <v>24.026158792109179</v>
      </c>
      <c r="AQ53" s="1428" t="e">
        <f>IF($AA53&lt;=Factores!$D$3,AQ19,"")</f>
        <v>#DIV/0!</v>
      </c>
      <c r="AR53" s="273"/>
    </row>
    <row r="54" spans="1:59" s="3263" customFormat="1" ht="16.5" customHeight="1">
      <c r="A54" s="427"/>
      <c r="B54" s="1450" t="s">
        <v>242</v>
      </c>
      <c r="C54" s="1451" t="s">
        <v>95</v>
      </c>
      <c r="D54" s="427"/>
      <c r="E54" s="1391">
        <v>25.653104200253246</v>
      </c>
      <c r="F54" s="1391">
        <v>26.718022786236094</v>
      </c>
      <c r="G54" s="3470">
        <v>34.290586186974402</v>
      </c>
      <c r="H54" s="1391">
        <v>24.957699004762887</v>
      </c>
      <c r="I54" s="1391">
        <v>20.00231618587987</v>
      </c>
      <c r="J54" s="1391">
        <v>26.348003550125103</v>
      </c>
      <c r="K54" s="1391">
        <v>20.013305077124766</v>
      </c>
      <c r="L54" s="1391">
        <v>26.469868818010202</v>
      </c>
      <c r="M54" s="1391">
        <v>15.672033075573559</v>
      </c>
      <c r="N54" s="1391">
        <v>19.493722559906317</v>
      </c>
      <c r="O54" s="1391">
        <v>23.812871604670281</v>
      </c>
      <c r="P54" s="1391">
        <v>21.80157746890206</v>
      </c>
      <c r="Q54" s="1415"/>
      <c r="R54" s="1447">
        <v>23.628552654610321</v>
      </c>
      <c r="S54" s="427"/>
      <c r="T54" s="1431">
        <f>IF(MONTH(Factores!$D$2)=1,SUMPRODUCT($E$12:$E$12,$E54:E54)/SUM($E$12:$E$12),IF(MONTH(Factores!$D$2)=2,SUMPRODUCT($E$12:$F$12,$E54:F54)/SUM($E$12:$F$12),IF(MONTH(Factores!$D$2)=3,SUMPRODUCT($E$12:$G$12,$E54:G54)/SUM($E$12:$G$12),IF(MONTH(Factores!$D$2)=4,SUMPRODUCT($E$12:$H$12,$E54:H54)/SUM($E$12:$H$12),IF(MONTH(Factores!$D$2)=5,SUMPRODUCT($E$12:$I$12,$E54:I54)/SUM($E$12:$I$12),IF(MONTH(Factores!$D$2)=6,SUMPRODUCT($E$12:$J$12,$E54:J54)/SUM($E$12:$J$12),IF(MONTH(Factores!$D$2)=7,SUMPRODUCT($E$12:$K$12,$E54:K54)/SUM($E$12:$K$12),IF(MONTH(Factores!$D$2)=8,SUMPRODUCT($E$12:$L$12,$E54:L54)/SUM($E$12:$L$12),IF(MONTH(Factores!$D$2)=9,SUMPRODUCT($E$12:$M$12,$E54:M54)/SUM($E$12:$M$12),IF(MONTH(Factores!$D$2)=10,SUMPRODUCT($E$12:$N$12,$E54:N54)/SUM($E$12:$N$12),IF(MONTH(Factores!$D$2)=11,SUMPRODUCT($E$12:$O$12,$E54:O54)/SUM($E$12:$O$12),IF(MONTH(Factores!$D$2)=12,SUMPRODUCT($E$12:$P$12,$E54:P54)/SUM($E$12:$P$12)))))))))))))</f>
        <v>29.280536525130788</v>
      </c>
      <c r="U54" s="1431">
        <f>IF(MONTH(Factores!$D$2)=1,SUMPRODUCT($E$12:$E$12,$E54:E54)/SUM($E$12:$E$12),IF(MONTH(Factores!$D$2)=2,SUMPRODUCT($E$12:$E$12,$E54:E54)/SUM($E$12:$E$12),IF(MONTH(Factores!$D$2)=3,SUMPRODUCT($E$12:$F$12,$E54:F54)/SUM($E$12:$F$12),IF(MONTH(Factores!$D$2)=4,SUMPRODUCT($E$12:$G$12,$E54:G54)/SUM($E$12:$G$12),IF(MONTH(Factores!$D$2)=5,SUMPRODUCT($E$12:$H$12,$E54:H54)/SUM($E$12:$H$12),IF(MONTH(Factores!$D$2)=6,SUMPRODUCT($E$12:$I$12,$E54:I54)/SUM($E$12:$I$12),IF(MONTH(Factores!$D$2)=7,SUMPRODUCT($E$12:$J$12,$E54:J54)/SUM($E$12:$J$12),IF(MONTH(Factores!$D$2)=8,SUMPRODUCT($E$12:$K$12,$E54:K54)/SUM($E$12:$K$12),IF(MONTH(Factores!$D$2)=9,SUMPRODUCT($E$12:$L$12,$E54:L54)/SUM($E$12:$L$12),IF(MONTH(Factores!$D$2)=10,SUMPRODUCT($E$12:$M$12,$E54:M54)/SUM($E$12:$M$12),IF(MONTH(Factores!$D$2)=11,SUMPRODUCT($E$12:$N$12,$E54:N54)/SUM($E$12:$N$12),IF(MONTH(Factores!$D$2)=12,SUMPRODUCT($E$12:$O$12,$E54:O54)/SUM($E$12:$O$12)))))))))))))</f>
        <v>26.154937850640454</v>
      </c>
      <c r="V54" s="427"/>
      <c r="W54" s="427"/>
      <c r="X54" s="427"/>
      <c r="Y54" s="427"/>
      <c r="Z54" s="1413"/>
      <c r="AA54" s="3309">
        <v>45763</v>
      </c>
      <c r="AB54" s="1428">
        <f>IF($AA54&lt;=Factores!$D$3,AB20,"")</f>
        <v>0</v>
      </c>
      <c r="AC54" s="1428">
        <f>IF($AA54&lt;=Factores!$D$3,AC20,"")</f>
        <v>0</v>
      </c>
      <c r="AD54" s="1428">
        <f>IF($AA54&lt;=Factores!$D$3,AD20,"")</f>
        <v>0</v>
      </c>
      <c r="AE54" s="1428">
        <f>IF($AA54&lt;=Factores!$D$3,AE20,"")</f>
        <v>0</v>
      </c>
      <c r="AF54" s="1420">
        <f>IF($AA54&lt;=Factores!$D$3,AF20,"")</f>
        <v>0</v>
      </c>
      <c r="AG54" s="3303">
        <f>IF($AA54&lt;=Factores!$D$3,AG20,"")</f>
        <v>0</v>
      </c>
      <c r="AH54" s="3303" t="e">
        <f>IF($AA54&lt;=Factores!$D$3,AH20,"")</f>
        <v>#DIV/0!</v>
      </c>
      <c r="AI54" s="3303">
        <f>IF($AA54&lt;=Factores!$D$3,AI20,"")</f>
        <v>0</v>
      </c>
      <c r="AJ54" s="3303">
        <f>IF($AA54&lt;=Factores!$D$3,AJ20,"")</f>
        <v>0</v>
      </c>
      <c r="AK54" s="3303">
        <f>IF($AA54&lt;=Factores!$D$3,AK20,"")</f>
        <v>0</v>
      </c>
      <c r="AL54" s="3303">
        <f>IF($AA54&lt;=Factores!$D$3,AL20,"")</f>
        <v>0</v>
      </c>
      <c r="AM54" s="1428">
        <f>IF($AA54&lt;=Factores!$D$3,AM20,"")</f>
        <v>0</v>
      </c>
      <c r="AN54" s="3303">
        <f>IF($AA54&lt;=Factores!$D$3,AN20,"")</f>
        <v>0</v>
      </c>
      <c r="AO54" s="1420">
        <f>IF($AA54&lt;=Factores!$D$3,AO20,"")</f>
        <v>24.146893258401185</v>
      </c>
      <c r="AP54" s="1420">
        <f>IF($AA54&lt;=Factores!$D$3,AP20,"")</f>
        <v>24.026158792109179</v>
      </c>
      <c r="AQ54" s="1428" t="e">
        <f>IF($AA54&lt;=Factores!$D$3,AQ20,"")</f>
        <v>#DIV/0!</v>
      </c>
      <c r="AR54" s="273"/>
    </row>
    <row r="55" spans="1:59" s="3263" customFormat="1" ht="16.5" customHeight="1">
      <c r="A55" s="427"/>
      <c r="B55" s="1450" t="s">
        <v>243</v>
      </c>
      <c r="C55" s="1451" t="s">
        <v>95</v>
      </c>
      <c r="D55" s="427"/>
      <c r="E55" s="1394">
        <v>1025.9384566700305</v>
      </c>
      <c r="F55" s="1394">
        <v>1068.5274908100662</v>
      </c>
      <c r="G55" s="3462">
        <v>1371.3752065384699</v>
      </c>
      <c r="H55" s="1394">
        <v>998.12728311955425</v>
      </c>
      <c r="I55" s="1394">
        <v>799.94784402602568</v>
      </c>
      <c r="J55" s="1394">
        <v>1053.7294000577515</v>
      </c>
      <c r="K55" s="1394">
        <v>800.53220308499067</v>
      </c>
      <c r="L55" s="1394">
        <v>1058.794752720408</v>
      </c>
      <c r="M55" s="1394">
        <v>626.8813230229423</v>
      </c>
      <c r="N55" s="1394">
        <v>779.74890239625267</v>
      </c>
      <c r="O55" s="1394">
        <v>952.51486418681122</v>
      </c>
      <c r="P55" s="1394">
        <v>872.06309875608235</v>
      </c>
      <c r="Q55" s="1415"/>
      <c r="R55" s="1436">
        <v>939.12106273256325</v>
      </c>
      <c r="S55" s="427"/>
      <c r="T55" s="1437">
        <f>IF(MONTH(Factores!$D$2)=1,SUMPRODUCT($E$32:$E$32,$E55:E55)/SUM($E$32:$E$32),IF(MONTH(Factores!$D$2)=2,SUMPRODUCT($E$32:$F$32,$E55:F55)/SUM($E$32:$F$32),IF(MONTH(Factores!$D$2)=3,SUMPRODUCT($E$32:$G$32,$E55:G55)/SUM($E$32:$G$32),IF(MONTH(Factores!$D$2)=4,SUMPRODUCT($E$32:$H$32,$E55:H55)/SUM($E$32:$H$32),IF(MONTH(Factores!$D$2)=5,SUMPRODUCT($E$32:$I$32,$E55:I55)/SUM($E$32:$I$32),IF(MONTH(Factores!$D$2)=6,SUMPRODUCT($E$32:$J$32,$E55:J55)/SUM($E$32:$J$32),IF(MONTH(Factores!$D$2)=7,SUMPRODUCT($E$32:$K$32,$E55:K55)/SUM($E$32:$K$32),IF(MONTH(Factores!$D$2)=8,SUMPRODUCT($E$32:$L$32,$E55:L55)/SUM($E$32:$L$32),IF(MONTH(Factores!$D$2)=9,SUMPRODUCT($E$32:$M$32,$E55:M55)/SUM($E$32:$M$32),IF(MONTH(Factores!$D$2)=10,SUMPRODUCT($E$32:$N$32,$E55:N55)/SUM($E$32:$N$32),IF(MONTH(Factores!$D$2)=11,SUMPRODUCT($E$32:$O$32,$E55:O55)/SUM($E$32:$O$32),IF(MONTH(Factores!$D$2)=12,SUMPRODUCT($E$32:$P$32,$E55:P55)/SUM($E$32:$P$32)))))))))))))</f>
        <v>1181.6240851300038</v>
      </c>
      <c r="U55" s="1437">
        <f>IF(MONTH(Factores!$D$2)=1,SUMPRODUCT($E$32:$E$32,$E55:E55)/SUM($E$32:$E$32),IF(MONTH(Factores!$D$2)=2,SUMPRODUCT($E$32:$E$32,$E55:E55)/SUM($E$32:$E$32),IF(MONTH(Factores!$D$2)=3,SUMPRODUCT($E$32:$F$32,$E55:F55)/SUM($E$32:$F$32),IF(MONTH(Factores!$D$2)=4,SUMPRODUCT($E$32:$G$32,$E55:G55)/SUM($E$32:$G$32),IF(MONTH(Factores!$D$2)=5,SUMPRODUCT($E$32:$H$32,$E55:H55)/SUM($E$32:$H$32),IF(MONTH(Factores!$D$2)=6,SUMPRODUCT($E$32:$I$32,$E55:I55)/SUM($E$32:$I$32),IF(MONTH(Factores!$D$2)=7,SUMPRODUCT($E$32:$J$32,$E55:J55)/SUM($E$32:$J$32),IF(MONTH(Factores!$D$2)=8,SUMPRODUCT($E$32:$K$32,$E55:K55)/SUM($E$32:$K$32),IF(MONTH(Factores!$D$2)=9,SUMPRODUCT($E$32:$L$32,$E55:L55)/SUM($E$32:$L$32),IF(MONTH(Factores!$D$2)=10,SUMPRODUCT($E$32:$M$32,$E55:M55)/SUM($E$32:$M$32),IF(MONTH(Factores!$D$2)=11,SUMPRODUCT($E$32:$N$32,$E55:N55)/SUM($E$32:$N$32),IF(MONTH(Factores!$D$2)=12,SUMPRODUCT($E$32:$O$32,$E55:O55)/SUM($E$32:$O$32)))))))))))))</f>
        <v>1046.825857304276</v>
      </c>
      <c r="V55" s="427"/>
      <c r="W55" s="427"/>
      <c r="X55" s="427"/>
      <c r="Y55" s="427"/>
      <c r="Z55" s="1413"/>
      <c r="AA55" s="3309">
        <v>45764</v>
      </c>
      <c r="AB55" s="1428">
        <f>IF($AA55&lt;=Factores!$D$3,AB21,"")</f>
        <v>0</v>
      </c>
      <c r="AC55" s="1428">
        <f>IF($AA55&lt;=Factores!$D$3,AC21,"")</f>
        <v>0</v>
      </c>
      <c r="AD55" s="1428">
        <f>IF($AA55&lt;=Factores!$D$3,AD21,"")</f>
        <v>0</v>
      </c>
      <c r="AE55" s="1428">
        <f>IF($AA55&lt;=Factores!$D$3,AE21,"")</f>
        <v>0</v>
      </c>
      <c r="AF55" s="1420">
        <f>IF($AA55&lt;=Factores!$D$3,AF21,"")</f>
        <v>0</v>
      </c>
      <c r="AG55" s="3303">
        <f>IF($AA55&lt;=Factores!$D$3,AG21,"")</f>
        <v>0</v>
      </c>
      <c r="AH55" s="3303" t="e">
        <f>IF($AA55&lt;=Factores!$D$3,AH21,"")</f>
        <v>#DIV/0!</v>
      </c>
      <c r="AI55" s="3303">
        <f>IF($AA55&lt;=Factores!$D$3,AI21,"")</f>
        <v>0</v>
      </c>
      <c r="AJ55" s="3303">
        <f>IF($AA55&lt;=Factores!$D$3,AJ21,"")</f>
        <v>0</v>
      </c>
      <c r="AK55" s="3303">
        <f>IF($AA55&lt;=Factores!$D$3,AK21,"")</f>
        <v>0</v>
      </c>
      <c r="AL55" s="3303">
        <f>IF($AA55&lt;=Factores!$D$3,AL21,"")</f>
        <v>0</v>
      </c>
      <c r="AM55" s="1428">
        <f>IF($AA55&lt;=Factores!$D$3,AM21,"")</f>
        <v>0</v>
      </c>
      <c r="AN55" s="3303">
        <f>IF($AA55&lt;=Factores!$D$3,AN21,"")</f>
        <v>0</v>
      </c>
      <c r="AO55" s="1420">
        <f>IF($AA55&lt;=Factores!$D$3,AO21,"")</f>
        <v>24.146893258401185</v>
      </c>
      <c r="AP55" s="1420">
        <f>IF($AA55&lt;=Factores!$D$3,AP21,"")</f>
        <v>24.026158792109179</v>
      </c>
      <c r="AQ55" s="1428" t="e">
        <f>IF($AA55&lt;=Factores!$D$3,AQ21,"")</f>
        <v>#DIV/0!</v>
      </c>
      <c r="AR55" s="273"/>
    </row>
    <row r="56" spans="1:59" s="3263" customFormat="1" ht="16.5" customHeight="1">
      <c r="A56" s="427"/>
      <c r="B56" s="2425"/>
      <c r="C56" s="2426"/>
      <c r="D56" s="427"/>
      <c r="E56" s="1412"/>
      <c r="F56" s="1412"/>
      <c r="G56" s="3475"/>
      <c r="H56" s="1412"/>
      <c r="I56" s="1412"/>
      <c r="J56" s="1412"/>
      <c r="K56" s="1412"/>
      <c r="L56" s="1412"/>
      <c r="M56" s="1412"/>
      <c r="N56" s="1412"/>
      <c r="O56" s="1412"/>
      <c r="P56" s="1412"/>
      <c r="Q56" s="1415"/>
      <c r="R56" s="1760"/>
      <c r="S56" s="427"/>
      <c r="T56" s="1761"/>
      <c r="U56" s="1761"/>
      <c r="V56" s="427"/>
      <c r="W56" s="427"/>
      <c r="X56" s="427"/>
      <c r="Y56" s="427"/>
      <c r="Z56" s="427"/>
      <c r="AA56" s="3309">
        <v>45765</v>
      </c>
      <c r="AB56" s="1428">
        <f>IF($AA56&lt;=Factores!$D$3,AB22,"")</f>
        <v>0</v>
      </c>
      <c r="AC56" s="1428">
        <f>IF($AA56&lt;=Factores!$D$3,AC22,"")</f>
        <v>0</v>
      </c>
      <c r="AD56" s="1428">
        <f>IF($AA56&lt;=Factores!$D$3,AD22,"")</f>
        <v>0</v>
      </c>
      <c r="AE56" s="1428">
        <f>IF($AA56&lt;=Factores!$D$3,AE22,"")</f>
        <v>0</v>
      </c>
      <c r="AF56" s="1420">
        <f>IF($AA56&lt;=Factores!$D$3,AF22,"")</f>
        <v>0</v>
      </c>
      <c r="AG56" s="3303">
        <f>IF($AA56&lt;=Factores!$D$3,AG22,"")</f>
        <v>0</v>
      </c>
      <c r="AH56" s="3303" t="e">
        <f>IF($AA56&lt;=Factores!$D$3,AH22,"")</f>
        <v>#DIV/0!</v>
      </c>
      <c r="AI56" s="3303">
        <f>IF($AA56&lt;=Factores!$D$3,AI22,"")</f>
        <v>0</v>
      </c>
      <c r="AJ56" s="3303">
        <f>IF($AA56&lt;=Factores!$D$3,AJ22,"")</f>
        <v>0</v>
      </c>
      <c r="AK56" s="3303">
        <f>IF($AA56&lt;=Factores!$D$3,AK22,"")</f>
        <v>0</v>
      </c>
      <c r="AL56" s="3303">
        <f>IF($AA56&lt;=Factores!$D$3,AL22,"")</f>
        <v>0</v>
      </c>
      <c r="AM56" s="1428">
        <f>IF($AA56&lt;=Factores!$D$3,AM22,"")</f>
        <v>0</v>
      </c>
      <c r="AN56" s="3303">
        <f>IF($AA56&lt;=Factores!$D$3,AN22,"")</f>
        <v>0</v>
      </c>
      <c r="AO56" s="1420">
        <f>IF($AA56&lt;=Factores!$D$3,AO22,"")</f>
        <v>24.146893258401185</v>
      </c>
      <c r="AP56" s="1420">
        <f>IF($AA56&lt;=Factores!$D$3,AP22,"")</f>
        <v>24.026158792109179</v>
      </c>
      <c r="AQ56" s="1428" t="e">
        <f>IF($AA56&lt;=Factores!$D$3,AQ22,"")</f>
        <v>#DIV/0!</v>
      </c>
      <c r="AR56" s="273"/>
    </row>
    <row r="57" spans="1:59" s="3263" customFormat="1" ht="16.5" customHeight="1">
      <c r="A57" s="427"/>
      <c r="B57" s="1450" t="s">
        <v>580</v>
      </c>
      <c r="C57" s="1451"/>
      <c r="D57" s="427"/>
      <c r="E57" s="1391">
        <v>84.498700878758328</v>
      </c>
      <c r="F57" s="1391">
        <v>83.183808197595312</v>
      </c>
      <c r="G57" s="3470">
        <v>81.009536238720671</v>
      </c>
      <c r="H57" s="1391">
        <v>76.33713761526711</v>
      </c>
      <c r="I57" s="1391">
        <v>82.561115512493771</v>
      </c>
      <c r="J57" s="1391">
        <v>83.115869984236838</v>
      </c>
      <c r="K57" s="1391">
        <v>73.987118768588786</v>
      </c>
      <c r="L57" s="1391">
        <v>78.771873018528936</v>
      </c>
      <c r="M57" s="1391">
        <v>80.018776984399281</v>
      </c>
      <c r="N57" s="1391">
        <v>79.190396099450012</v>
      </c>
      <c r="O57" s="1391">
        <v>79.588732339380542</v>
      </c>
      <c r="P57" s="1391">
        <v>81.584031662048034</v>
      </c>
      <c r="Q57" s="1415"/>
      <c r="R57" s="1447">
        <v>80.339308449178091</v>
      </c>
      <c r="S57" s="427"/>
      <c r="T57" s="1437">
        <f>IF(MONTH(Factores!$D$2)=1,SUMPRODUCT($E$32:$E$32,$E57:E57)/SUM($E$32:$E$32),IF(MONTH(Factores!$D$2)=2,SUMPRODUCT($E$32:$F$32,$E57:F57)/SUM($E$32:$F$32),IF(MONTH(Factores!$D$2)=3,SUMPRODUCT($E$32:$G$32,$E57:G57)/SUM($E$32:$G$32),IF(MONTH(Factores!$D$2)=4,SUMPRODUCT($E$32:$H$32,$E57:H57)/SUM($E$32:$H$32),IF(MONTH(Factores!$D$2)=5,SUMPRODUCT($E$32:$I$32,$E57:I57)/SUM($E$32:$I$32),IF(MONTH(Factores!$D$2)=6,SUMPRODUCT($E$32:$J$32,$E57:J57)/SUM($E$32:$J$32),IF(MONTH(Factores!$D$2)=7,SUMPRODUCT($E$32:$K$32,$E57:K57)/SUM($E$32:$K$32),IF(MONTH(Factores!$D$2)=8,SUMPRODUCT($E$32:$L$32,$E57:L57)/SUM($E$32:$L$32),IF(MONTH(Factores!$D$2)=9,SUMPRODUCT($E$32:$M$32,$E57:M57)/SUM($E$32:$M$32),IF(MONTH(Factores!$D$2)=10,SUMPRODUCT($E$32:$N$32,$E57:N57)/SUM($E$32:$N$32),IF(MONTH(Factores!$D$2)=11,SUMPRODUCT($E$32:$O$32,$E57:O57)/SUM($E$32:$O$32),IF(MONTH(Factores!$D$2)=12,SUMPRODUCT($E$32:$P$32,$E57:P57)/SUM($E$32:$P$32)))))))))))))</f>
        <v>82.672478294258525</v>
      </c>
      <c r="U57" s="1431"/>
      <c r="V57" s="427"/>
      <c r="W57" s="427"/>
      <c r="X57" s="427"/>
      <c r="Y57" s="427"/>
      <c r="Z57" s="427"/>
      <c r="AA57" s="3309">
        <v>45766</v>
      </c>
      <c r="AB57" s="1428">
        <f>IF($AA57&lt;=Factores!$D$3,AB23,"")</f>
        <v>0</v>
      </c>
      <c r="AC57" s="1428">
        <f>IF($AA57&lt;=Factores!$D$3,AC23,"")</f>
        <v>0</v>
      </c>
      <c r="AD57" s="1428">
        <f>IF($AA57&lt;=Factores!$D$3,AD23,"")</f>
        <v>0</v>
      </c>
      <c r="AE57" s="1428">
        <f>IF($AA57&lt;=Factores!$D$3,AE23,"")</f>
        <v>0</v>
      </c>
      <c r="AF57" s="1420">
        <f>IF($AA57&lt;=Factores!$D$3,AF23,"")</f>
        <v>0</v>
      </c>
      <c r="AG57" s="3303">
        <f>IF($AA57&lt;=Factores!$D$3,AG23,"")</f>
        <v>0</v>
      </c>
      <c r="AH57" s="3303" t="e">
        <f>IF($AA57&lt;=Factores!$D$3,AH23,"")</f>
        <v>#DIV/0!</v>
      </c>
      <c r="AI57" s="3303">
        <f>IF($AA57&lt;=Factores!$D$3,AI23,"")</f>
        <v>0</v>
      </c>
      <c r="AJ57" s="3303">
        <f>IF($AA57&lt;=Factores!$D$3,AJ23,"")</f>
        <v>0</v>
      </c>
      <c r="AK57" s="3303">
        <f>IF($AA57&lt;=Factores!$D$3,AK23,"")</f>
        <v>0</v>
      </c>
      <c r="AL57" s="3303">
        <f>IF($AA57&lt;=Factores!$D$3,AL23,"")</f>
        <v>0</v>
      </c>
      <c r="AM57" s="1428">
        <f>IF($AA57&lt;=Factores!$D$3,AM23,"")</f>
        <v>0</v>
      </c>
      <c r="AN57" s="3303">
        <f>IF($AA57&lt;=Factores!$D$3,AN23,"")</f>
        <v>0</v>
      </c>
      <c r="AO57" s="1420">
        <f>IF($AA57&lt;=Factores!$D$3,AO23,"")</f>
        <v>24.146893258401185</v>
      </c>
      <c r="AP57" s="1420">
        <f>IF($AA57&lt;=Factores!$D$3,AP23,"")</f>
        <v>24.026158792109179</v>
      </c>
      <c r="AQ57" s="1428" t="e">
        <f>IF($AA57&lt;=Factores!$D$3,AQ23,"")</f>
        <v>#DIV/0!</v>
      </c>
      <c r="AR57" s="273"/>
    </row>
    <row r="58" spans="1:59" s="3263" customFormat="1" ht="16.5" customHeight="1">
      <c r="A58" s="427"/>
      <c r="B58" s="1450" t="s">
        <v>1358</v>
      </c>
      <c r="C58" s="1451" t="s">
        <v>822</v>
      </c>
      <c r="D58" s="427"/>
      <c r="E58" s="1394">
        <v>186.60499999999999</v>
      </c>
      <c r="F58" s="1394">
        <v>186.255</v>
      </c>
      <c r="G58" s="3462">
        <v>186.66677021919605</v>
      </c>
      <c r="H58" s="1394">
        <v>183.00800800800801</v>
      </c>
      <c r="I58" s="1394">
        <v>187.84546833937438</v>
      </c>
      <c r="J58" s="1394">
        <v>187.30015387247312</v>
      </c>
      <c r="K58" s="1394">
        <v>186.69975001244205</v>
      </c>
      <c r="L58" s="1394">
        <v>186.55581322886673</v>
      </c>
      <c r="M58" s="1394">
        <v>185.61763209856858</v>
      </c>
      <c r="N58" s="1394">
        <v>185.67938719945457</v>
      </c>
      <c r="O58" s="1394">
        <v>184.33066933066931</v>
      </c>
      <c r="P58" s="1394">
        <v>183.48583162141628</v>
      </c>
      <c r="Q58" s="1415"/>
      <c r="R58" s="1436">
        <v>185.90217427563567</v>
      </c>
      <c r="S58" s="427"/>
      <c r="T58" s="1437">
        <f>IF(MONTH(Factores!$D$2)=1,SUMPRODUCT($E$32:$E$32,$E58:E58)/SUM($E$32:$E$32),IF(MONTH(Factores!$D$2)=2,SUMPRODUCT($E$32:$F$32,$E58:F58)/SUM($E$32:$F$32),IF(MONTH(Factores!$D$2)=3,SUMPRODUCT($E$32:$G$32,$E58:G58)/SUM($E$32:$G$32),IF(MONTH(Factores!$D$2)=4,SUMPRODUCT($E$32:$H$32,$E58:H58)/SUM($E$32:$H$32),IF(MONTH(Factores!$D$2)=5,SUMPRODUCT($E$32:$I$32,$E58:I58)/SUM($E$32:$I$32),IF(MONTH(Factores!$D$2)=6,SUMPRODUCT($E$32:$J$32,$E58:J58)/SUM($E$32:$J$32),IF(MONTH(Factores!$D$2)=7,SUMPRODUCT($E$32:$K$32,$E58:K58)/SUM($E$32:$K$32),IF(MONTH(Factores!$D$2)=8,SUMPRODUCT($E$32:$L$32,$E58:L58)/SUM($E$32:$L$32),IF(MONTH(Factores!$D$2)=9,SUMPRODUCT($E$32:$M$32,$E58:M58)/SUM($E$32:$M$32),IF(MONTH(Factores!$D$2)=10,SUMPRODUCT($E$32:$N$32,$E58:N58)/SUM($E$32:$N$32),IF(MONTH(Factores!$D$2)=11,SUMPRODUCT($E$32:$O$32,$E58:O58)/SUM($E$32:$O$32),IF(MONTH(Factores!$D$2)=12,SUMPRODUCT($E$32:$P$32,$E58:P58)/SUM($E$32:$P$32)))))))))))))</f>
        <v>186.53029617720705</v>
      </c>
      <c r="U58" s="1437"/>
      <c r="V58" s="427"/>
      <c r="W58" s="427"/>
      <c r="X58" s="427"/>
      <c r="Y58" s="427"/>
      <c r="Z58" s="427"/>
      <c r="AA58" s="3309">
        <v>45767</v>
      </c>
      <c r="AB58" s="1428">
        <f>IF($AA58&lt;=Factores!$D$3,AB24,"")</f>
        <v>0</v>
      </c>
      <c r="AC58" s="1428">
        <f>IF($AA58&lt;=Factores!$D$3,AC24,"")</f>
        <v>0</v>
      </c>
      <c r="AD58" s="1428">
        <f>IF($AA58&lt;=Factores!$D$3,AD24,"")</f>
        <v>0</v>
      </c>
      <c r="AE58" s="1428">
        <f>IF($AA58&lt;=Factores!$D$3,AE24,"")</f>
        <v>0</v>
      </c>
      <c r="AF58" s="1420">
        <f>IF($AA58&lt;=Factores!$D$3,AF24,"")</f>
        <v>0</v>
      </c>
      <c r="AG58" s="3303">
        <f>IF($AA58&lt;=Factores!$D$3,AG24,"")</f>
        <v>0</v>
      </c>
      <c r="AH58" s="3303" t="e">
        <f>IF($AA58&lt;=Factores!$D$3,AH24,"")</f>
        <v>#DIV/0!</v>
      </c>
      <c r="AI58" s="3303">
        <f>IF($AA58&lt;=Factores!$D$3,AI24,"")</f>
        <v>0</v>
      </c>
      <c r="AJ58" s="3303">
        <f>IF($AA58&lt;=Factores!$D$3,AJ24,"")</f>
        <v>0</v>
      </c>
      <c r="AK58" s="3303">
        <f>IF($AA58&lt;=Factores!$D$3,AK24,"")</f>
        <v>0</v>
      </c>
      <c r="AL58" s="3303">
        <f>IF($AA58&lt;=Factores!$D$3,AL24,"")</f>
        <v>0</v>
      </c>
      <c r="AM58" s="1428">
        <f>IF($AA58&lt;=Factores!$D$3,AM24,"")</f>
        <v>0</v>
      </c>
      <c r="AN58" s="3303">
        <f>IF($AA58&lt;=Factores!$D$3,AN24,"")</f>
        <v>0</v>
      </c>
      <c r="AO58" s="1420">
        <f>IF($AA58&lt;=Factores!$D$3,AO24,"")</f>
        <v>24.146893258401185</v>
      </c>
      <c r="AP58" s="1420">
        <f>IF($AA58&lt;=Factores!$D$3,AP24,"")</f>
        <v>24.026158792109179</v>
      </c>
      <c r="AQ58" s="1428" t="e">
        <f>IF($AA58&lt;=Factores!$D$3,AQ24,"")</f>
        <v>#DIV/0!</v>
      </c>
      <c r="AR58" s="273"/>
    </row>
    <row r="59" spans="1:59" s="3263" customFormat="1" ht="16.5" customHeight="1">
      <c r="A59" s="427"/>
      <c r="B59" s="1450" t="s">
        <v>1653</v>
      </c>
      <c r="C59" s="1451"/>
      <c r="D59" s="427"/>
      <c r="E59" s="3704">
        <v>0.96299999999999997</v>
      </c>
      <c r="F59" s="3704">
        <v>0.96399999999999997</v>
      </c>
      <c r="G59" s="3705">
        <v>0.96299999999999997</v>
      </c>
      <c r="H59" s="3704">
        <v>0.96499999999999997</v>
      </c>
      <c r="I59" s="3704">
        <v>0.96399999999999997</v>
      </c>
      <c r="J59" s="3704">
        <v>0.96299999999999997</v>
      </c>
      <c r="K59" s="3704">
        <v>0.96199999999999997</v>
      </c>
      <c r="L59" s="3704">
        <v>0.96399999999999997</v>
      </c>
      <c r="M59" s="3704">
        <v>0.96299999999999997</v>
      </c>
      <c r="N59" s="3704">
        <v>0.96299999999999997</v>
      </c>
      <c r="O59" s="3704">
        <v>0.96299999999999997</v>
      </c>
      <c r="P59" s="3704">
        <v>0.96299999999999997</v>
      </c>
      <c r="Q59" s="1415"/>
      <c r="R59" s="1436"/>
      <c r="S59" s="427"/>
      <c r="T59" s="1437"/>
      <c r="U59" s="1437"/>
      <c r="V59" s="427"/>
      <c r="W59" s="427"/>
      <c r="X59" s="427"/>
      <c r="Y59" s="427"/>
      <c r="Z59" s="427"/>
      <c r="AA59" s="3309">
        <v>45768</v>
      </c>
      <c r="AB59" s="1428">
        <f>IF($AA59&lt;=Factores!$D$3,AB25,"")</f>
        <v>0</v>
      </c>
      <c r="AC59" s="1428">
        <f>IF($AA59&lt;=Factores!$D$3,AC25,"")</f>
        <v>0</v>
      </c>
      <c r="AD59" s="1428">
        <f>IF($AA59&lt;=Factores!$D$3,AD25,"")</f>
        <v>0</v>
      </c>
      <c r="AE59" s="1428">
        <f>IF($AA59&lt;=Factores!$D$3,AE25,"")</f>
        <v>0</v>
      </c>
      <c r="AF59" s="1420">
        <f>IF($AA59&lt;=Factores!$D$3,AF25,"")</f>
        <v>0</v>
      </c>
      <c r="AG59" s="3303">
        <f>IF($AA59&lt;=Factores!$D$3,AG25,"")</f>
        <v>0</v>
      </c>
      <c r="AH59" s="3303" t="e">
        <f>IF($AA59&lt;=Factores!$D$3,AH25,"")</f>
        <v>#DIV/0!</v>
      </c>
      <c r="AI59" s="3303">
        <f>IF($AA59&lt;=Factores!$D$3,AI25,"")</f>
        <v>0</v>
      </c>
      <c r="AJ59" s="3303">
        <f>IF($AA59&lt;=Factores!$D$3,AJ25,"")</f>
        <v>0</v>
      </c>
      <c r="AK59" s="3303">
        <f>IF($AA59&lt;=Factores!$D$3,AK25,"")</f>
        <v>0</v>
      </c>
      <c r="AL59" s="3303">
        <f>IF($AA59&lt;=Factores!$D$3,AL25,"")</f>
        <v>0</v>
      </c>
      <c r="AM59" s="1428">
        <f>IF($AA59&lt;=Factores!$D$3,AM25,"")</f>
        <v>0</v>
      </c>
      <c r="AN59" s="3303">
        <f>IF($AA59&lt;=Factores!$D$3,AN25,"")</f>
        <v>0</v>
      </c>
      <c r="AO59" s="1420">
        <f>IF($AA59&lt;=Factores!$D$3,AO25,"")</f>
        <v>24.146893258401185</v>
      </c>
      <c r="AP59" s="1420">
        <f>IF($AA59&lt;=Factores!$D$3,AP25,"")</f>
        <v>24.026158792109179</v>
      </c>
      <c r="AQ59" s="1428" t="e">
        <f>IF($AA59&lt;=Factores!$D$3,AQ25,"")</f>
        <v>#DIV/0!</v>
      </c>
      <c r="AR59" s="273"/>
    </row>
    <row r="60" spans="1:59" ht="16.5" customHeight="1">
      <c r="P60" s="427"/>
      <c r="AA60" s="2644">
        <v>45769</v>
      </c>
      <c r="AB60" s="84">
        <f>IF($AA60&lt;=Factores!$D$3,AB26,"")</f>
        <v>0</v>
      </c>
      <c r="AC60" s="84">
        <f>IF($AA60&lt;=Factores!$D$3,AC26,"")</f>
        <v>0</v>
      </c>
      <c r="AD60" s="84">
        <f>IF($AA60&lt;=Factores!$D$3,AD26,"")</f>
        <v>0</v>
      </c>
      <c r="AE60" s="84">
        <f>IF($AA60&lt;=Factores!$D$3,AE26,"")</f>
        <v>0</v>
      </c>
      <c r="AF60" s="429">
        <f>IF($AA60&lt;=Factores!$D$3,AF26,"")</f>
        <v>0</v>
      </c>
      <c r="AG60" s="500">
        <f>IF($AA60&lt;=Factores!$D$3,AG26,"")</f>
        <v>0</v>
      </c>
      <c r="AH60" s="500" t="e">
        <f>IF($AA60&lt;=Factores!$D$3,AH26,"")</f>
        <v>#DIV/0!</v>
      </c>
      <c r="AI60" s="500">
        <f>IF($AA60&lt;=Factores!$D$3,AI26,"")</f>
        <v>0</v>
      </c>
      <c r="AJ60" s="500">
        <f>IF($AA60&lt;=Factores!$D$3,AJ26,"")</f>
        <v>0</v>
      </c>
      <c r="AK60" s="500">
        <f>IF($AA60&lt;=Factores!$D$3,AK26,"")</f>
        <v>0</v>
      </c>
      <c r="AL60" s="500">
        <f>IF($AA60&lt;=Factores!$D$3,AL26,"")</f>
        <v>0</v>
      </c>
      <c r="AM60" s="84">
        <f>IF($AA60&lt;=Factores!$D$3,AM26,"")</f>
        <v>0</v>
      </c>
      <c r="AN60" s="500">
        <f>IF($AA60&lt;=Factores!$D$3,AN26,"")</f>
        <v>0</v>
      </c>
      <c r="AO60" s="429">
        <f>IF($AA60&lt;=Factores!$D$3,AO26,"")</f>
        <v>24.146893258401185</v>
      </c>
      <c r="AP60" s="429">
        <f>IF($AA60&lt;=Factores!$D$3,AP26,"")</f>
        <v>24.026158792109179</v>
      </c>
      <c r="AQ60" s="84" t="e">
        <f>IF($AA60&lt;=Factores!$D$3,AQ26,"")</f>
        <v>#DIV/0!</v>
      </c>
      <c r="AR60"/>
    </row>
    <row r="61" spans="1:59" ht="16.5" customHeight="1">
      <c r="P61" s="427"/>
      <c r="AA61" s="2644">
        <v>45770</v>
      </c>
      <c r="AB61" s="84">
        <f>IF($AA61&lt;=Factores!$D$3,AB27,"")</f>
        <v>0</v>
      </c>
      <c r="AC61" s="84">
        <f>IF($AA61&lt;=Factores!$D$3,AC27,"")</f>
        <v>0</v>
      </c>
      <c r="AD61" s="84">
        <f>IF($AA61&lt;=Factores!$D$3,AD27,"")</f>
        <v>0</v>
      </c>
      <c r="AE61" s="84">
        <f>IF($AA61&lt;=Factores!$D$3,AE27,"")</f>
        <v>0</v>
      </c>
      <c r="AF61" s="429">
        <f>IF($AA61&lt;=Factores!$D$3,AF27,"")</f>
        <v>0</v>
      </c>
      <c r="AG61" s="500">
        <f>IF($AA61&lt;=Factores!$D$3,AG27,"")</f>
        <v>0</v>
      </c>
      <c r="AH61" s="500" t="e">
        <f>IF($AA61&lt;=Factores!$D$3,AH27,"")</f>
        <v>#DIV/0!</v>
      </c>
      <c r="AI61" s="500">
        <f>IF($AA61&lt;=Factores!$D$3,AI27,"")</f>
        <v>0</v>
      </c>
      <c r="AJ61" s="500">
        <f>IF($AA61&lt;=Factores!$D$3,AJ27,"")</f>
        <v>0</v>
      </c>
      <c r="AK61" s="500">
        <f>IF($AA61&lt;=Factores!$D$3,AK27,"")</f>
        <v>0</v>
      </c>
      <c r="AL61" s="500">
        <f>IF($AA61&lt;=Factores!$D$3,AL27,"")</f>
        <v>0</v>
      </c>
      <c r="AM61" s="84">
        <f>IF($AA61&lt;=Factores!$D$3,AM27,"")</f>
        <v>0</v>
      </c>
      <c r="AN61" s="500">
        <f>IF($AA61&lt;=Factores!$D$3,AN27,"")</f>
        <v>0</v>
      </c>
      <c r="AO61" s="429">
        <f>IF($AA61&lt;=Factores!$D$3,AO27,"")</f>
        <v>24.146893258401185</v>
      </c>
      <c r="AP61" s="429">
        <f>IF($AA61&lt;=Factores!$D$3,AP27,"")</f>
        <v>24.026158792109179</v>
      </c>
      <c r="AQ61" s="84" t="e">
        <f>IF($AA61&lt;=Factores!$D$3,AQ27,"")</f>
        <v>#DIV/0!</v>
      </c>
      <c r="AR61"/>
    </row>
    <row r="62" spans="1:59" ht="16.5" customHeight="1">
      <c r="F62" s="433"/>
      <c r="G62" s="433"/>
      <c r="H62" s="433"/>
      <c r="I62" s="433"/>
      <c r="J62" s="433"/>
      <c r="K62" s="433"/>
      <c r="L62" s="433"/>
      <c r="M62" s="433"/>
      <c r="N62" s="433"/>
      <c r="O62" s="433"/>
      <c r="P62" s="434"/>
      <c r="V62" s="220"/>
      <c r="W62" s="220"/>
      <c r="X62" s="220"/>
      <c r="Y62" s="220"/>
      <c r="AA62" s="2644">
        <v>45771</v>
      </c>
      <c r="AB62" s="84">
        <f>IF($AA62&lt;=Factores!$D$3,AB28,"")</f>
        <v>0</v>
      </c>
      <c r="AC62" s="84">
        <f>IF($AA62&lt;=Factores!$D$3,AC28,"")</f>
        <v>0</v>
      </c>
      <c r="AD62" s="84">
        <f>IF($AA62&lt;=Factores!$D$3,AD28,"")</f>
        <v>0</v>
      </c>
      <c r="AE62" s="84">
        <f>IF($AA62&lt;=Factores!$D$3,AE28,"")</f>
        <v>0</v>
      </c>
      <c r="AF62" s="429">
        <f>IF($AA62&lt;=Factores!$D$3,AF28,"")</f>
        <v>0</v>
      </c>
      <c r="AG62" s="500">
        <f>IF($AA62&lt;=Factores!$D$3,AG28,"")</f>
        <v>0</v>
      </c>
      <c r="AH62" s="500" t="e">
        <f>IF($AA62&lt;=Factores!$D$3,AH28,"")</f>
        <v>#DIV/0!</v>
      </c>
      <c r="AI62" s="500">
        <f>IF($AA62&lt;=Factores!$D$3,AI28,"")</f>
        <v>0</v>
      </c>
      <c r="AJ62" s="500">
        <f>IF($AA62&lt;=Factores!$D$3,AJ28,"")</f>
        <v>0</v>
      </c>
      <c r="AK62" s="500">
        <f>IF($AA62&lt;=Factores!$D$3,AK28,"")</f>
        <v>0</v>
      </c>
      <c r="AL62" s="500">
        <f>IF($AA62&lt;=Factores!$D$3,AL28,"")</f>
        <v>0</v>
      </c>
      <c r="AM62" s="84">
        <f>IF($AA62&lt;=Factores!$D$3,AM28,"")</f>
        <v>0</v>
      </c>
      <c r="AN62" s="500">
        <f>IF($AA62&lt;=Factores!$D$3,AN28,"")</f>
        <v>0</v>
      </c>
      <c r="AO62" s="429">
        <f>IF($AA62&lt;=Factores!$D$3,AO28,"")</f>
        <v>24.146893258401185</v>
      </c>
      <c r="AP62" s="429">
        <f>IF($AA62&lt;=Factores!$D$3,AP28,"")</f>
        <v>24.026158792109179</v>
      </c>
      <c r="AQ62" s="84" t="e">
        <f>IF($AA62&lt;=Factores!$D$3,AQ28,"")</f>
        <v>#DIV/0!</v>
      </c>
      <c r="AR62"/>
    </row>
    <row r="63" spans="1:59">
      <c r="F63" s="3756">
        <f>+F8/F59*1000</f>
        <v>21371.811826472484</v>
      </c>
      <c r="G63" s="503"/>
      <c r="H63" s="503"/>
      <c r="I63" s="503"/>
      <c r="J63" s="503"/>
      <c r="K63" s="503"/>
      <c r="L63" s="503"/>
      <c r="M63" s="503"/>
      <c r="N63" s="503"/>
      <c r="O63" s="503"/>
      <c r="P63" s="504"/>
      <c r="V63" s="220"/>
      <c r="W63" s="220"/>
      <c r="X63" s="220"/>
      <c r="Y63" s="220"/>
      <c r="AA63" s="2644">
        <v>45772</v>
      </c>
      <c r="AB63" s="84">
        <f>IF($AA63&lt;=Factores!$D$3,AB29,"")</f>
        <v>0</v>
      </c>
      <c r="AC63" s="84">
        <f>IF($AA63&lt;=Factores!$D$3,AC29,"")</f>
        <v>0</v>
      </c>
      <c r="AD63" s="84">
        <f>IF($AA63&lt;=Factores!$D$3,AD29,"")</f>
        <v>0</v>
      </c>
      <c r="AE63" s="84">
        <f>IF($AA63&lt;=Factores!$D$3,AE29,"")</f>
        <v>0</v>
      </c>
      <c r="AF63" s="429">
        <f>IF($AA63&lt;=Factores!$D$3,AF29,"")</f>
        <v>0</v>
      </c>
      <c r="AG63" s="500">
        <f>IF($AA63&lt;=Factores!$D$3,AG29,"")</f>
        <v>0</v>
      </c>
      <c r="AH63" s="500" t="e">
        <f>IF($AA63&lt;=Factores!$D$3,AH29,"")</f>
        <v>#DIV/0!</v>
      </c>
      <c r="AI63" s="500">
        <f>IF($AA63&lt;=Factores!$D$3,AI29,"")</f>
        <v>0</v>
      </c>
      <c r="AJ63" s="500">
        <f>IF($AA63&lt;=Factores!$D$3,AJ29,"")</f>
        <v>0</v>
      </c>
      <c r="AK63" s="500">
        <f>IF($AA63&lt;=Factores!$D$3,AK29,"")</f>
        <v>0</v>
      </c>
      <c r="AL63" s="500">
        <f>IF($AA63&lt;=Factores!$D$3,AL29,"")</f>
        <v>0</v>
      </c>
      <c r="AM63" s="84">
        <f>IF($AA63&lt;=Factores!$D$3,AM29,"")</f>
        <v>0</v>
      </c>
      <c r="AN63" s="500">
        <f>IF($AA63&lt;=Factores!$D$3,AN29,"")</f>
        <v>0</v>
      </c>
      <c r="AO63" s="429">
        <f>IF($AA63&lt;=Factores!$D$3,AO29,"")</f>
        <v>24.146893258401185</v>
      </c>
      <c r="AP63" s="429">
        <f>IF($AA63&lt;=Factores!$D$3,AP29,"")</f>
        <v>24.026158792109179</v>
      </c>
      <c r="AQ63" s="84" t="e">
        <f>IF($AA63&lt;=Factores!$D$3,AQ29,"")</f>
        <v>#DIV/0!</v>
      </c>
      <c r="AR63"/>
    </row>
    <row r="64" spans="1:59">
      <c r="E64" s="503"/>
      <c r="F64" s="503">
        <f>+F63/28</f>
        <v>763.27899380258873</v>
      </c>
      <c r="G64" s="503"/>
      <c r="H64" s="503"/>
      <c r="I64" s="503"/>
      <c r="J64" s="503"/>
      <c r="K64" s="503"/>
      <c r="L64" s="503"/>
      <c r="M64" s="503"/>
      <c r="N64" s="503"/>
      <c r="O64" s="503"/>
      <c r="P64" s="504"/>
      <c r="V64" s="220"/>
      <c r="W64" s="220"/>
      <c r="X64" s="220"/>
      <c r="Y64" s="220"/>
      <c r="AA64" s="2644">
        <v>45773</v>
      </c>
      <c r="AB64" s="84">
        <f>IF($AA64&lt;=Factores!$D$3,AB30,"")</f>
        <v>0</v>
      </c>
      <c r="AC64" s="84">
        <f>IF($AA64&lt;=Factores!$D$3,AC30,"")</f>
        <v>0</v>
      </c>
      <c r="AD64" s="84">
        <f>IF($AA64&lt;=Factores!$D$3,AD30,"")</f>
        <v>0</v>
      </c>
      <c r="AE64" s="84">
        <f>IF($AA64&lt;=Factores!$D$3,AE30,"")</f>
        <v>0</v>
      </c>
      <c r="AF64" s="429">
        <f>IF($AA64&lt;=Factores!$D$3,AF30,"")</f>
        <v>0</v>
      </c>
      <c r="AG64" s="500">
        <f>IF($AA64&lt;=Factores!$D$3,AG30,"")</f>
        <v>0</v>
      </c>
      <c r="AH64" s="500" t="e">
        <f>IF($AA64&lt;=Factores!$D$3,AH30,"")</f>
        <v>#DIV/0!</v>
      </c>
      <c r="AI64" s="500">
        <f>IF($AA64&lt;=Factores!$D$3,AI30,"")</f>
        <v>0</v>
      </c>
      <c r="AJ64" s="500">
        <f>IF($AA64&lt;=Factores!$D$3,AJ30,"")</f>
        <v>0</v>
      </c>
      <c r="AK64" s="500">
        <f>IF($AA64&lt;=Factores!$D$3,AK30,"")</f>
        <v>0</v>
      </c>
      <c r="AL64" s="500">
        <f>IF($AA64&lt;=Factores!$D$3,AL30,"")</f>
        <v>0</v>
      </c>
      <c r="AM64" s="84">
        <f>IF($AA64&lt;=Factores!$D$3,AM30,"")</f>
        <v>0</v>
      </c>
      <c r="AN64" s="500">
        <f>IF($AA64&lt;=Factores!$D$3,AN30,"")</f>
        <v>0</v>
      </c>
      <c r="AO64" s="429">
        <f>IF($AA64&lt;=Factores!$D$3,AO30,"")</f>
        <v>24.146893258401185</v>
      </c>
      <c r="AP64" s="429">
        <f>IF($AA64&lt;=Factores!$D$3,AP30,"")</f>
        <v>24.026158792109179</v>
      </c>
      <c r="AQ64" s="84" t="e">
        <f>IF($AA64&lt;=Factores!$D$3,AQ30,"")</f>
        <v>#DIV/0!</v>
      </c>
      <c r="AR64"/>
    </row>
    <row r="65" spans="2:44">
      <c r="E65" s="503"/>
      <c r="F65" s="503">
        <f>+F64*11</f>
        <v>8396.0689318284767</v>
      </c>
      <c r="G65" s="503"/>
      <c r="H65" s="503"/>
      <c r="I65" s="503"/>
      <c r="J65" s="503"/>
      <c r="K65" s="503"/>
      <c r="L65" s="503"/>
      <c r="M65" s="503"/>
      <c r="N65" s="503"/>
      <c r="O65" s="503"/>
      <c r="P65" s="504"/>
      <c r="V65" s="220"/>
      <c r="W65" s="220"/>
      <c r="X65" s="220"/>
      <c r="Y65" s="220"/>
      <c r="Z65" s="220"/>
      <c r="AA65" s="2644">
        <v>45774</v>
      </c>
      <c r="AB65" s="84">
        <f>IF($AA65&lt;=Factores!$D$3,AB31,"")</f>
        <v>0</v>
      </c>
      <c r="AC65" s="84">
        <f>IF($AA65&lt;=Factores!$D$3,AC31,"")</f>
        <v>0</v>
      </c>
      <c r="AD65" s="84">
        <f>IF($AA65&lt;=Factores!$D$3,AD31,"")</f>
        <v>0</v>
      </c>
      <c r="AE65" s="84">
        <f>IF($AA65&lt;=Factores!$D$3,AE31,"")</f>
        <v>0</v>
      </c>
      <c r="AF65" s="429">
        <f>IF($AA65&lt;=Factores!$D$3,AF31,"")</f>
        <v>0</v>
      </c>
      <c r="AG65" s="500">
        <f>IF($AA65&lt;=Factores!$D$3,AG31,"")</f>
        <v>0</v>
      </c>
      <c r="AH65" s="500" t="e">
        <f>IF($AA65&lt;=Factores!$D$3,AH31,"")</f>
        <v>#DIV/0!</v>
      </c>
      <c r="AI65" s="500">
        <f>IF($AA65&lt;=Factores!$D$3,AI31,"")</f>
        <v>0</v>
      </c>
      <c r="AJ65" s="500">
        <f>IF($AA65&lt;=Factores!$D$3,AJ31,"")</f>
        <v>0</v>
      </c>
      <c r="AK65" s="500">
        <f>IF($AA65&lt;=Factores!$D$3,AK31,"")</f>
        <v>0</v>
      </c>
      <c r="AL65" s="500">
        <f>IF($AA65&lt;=Factores!$D$3,AL31,"")</f>
        <v>0</v>
      </c>
      <c r="AM65" s="84">
        <f>IF($AA65&lt;=Factores!$D$3,AM31,"")</f>
        <v>0</v>
      </c>
      <c r="AN65" s="500">
        <f>IF($AA65&lt;=Factores!$D$3,AN31,"")</f>
        <v>0</v>
      </c>
      <c r="AO65" s="429">
        <f>IF($AA65&lt;=Factores!$D$3,AO31,"")</f>
        <v>24.146893258401185</v>
      </c>
      <c r="AP65" s="429">
        <f>IF($AA65&lt;=Factores!$D$3,AP31,"")</f>
        <v>24.026158792109179</v>
      </c>
      <c r="AQ65" s="84" t="e">
        <f>IF($AA65&lt;=Factores!$D$3,AQ31,"")</f>
        <v>#DIV/0!</v>
      </c>
      <c r="AR65"/>
    </row>
    <row r="66" spans="2:44" ht="13.5" customHeight="1">
      <c r="B66" s="2780" t="s">
        <v>244</v>
      </c>
      <c r="C66" s="2781">
        <f>Factores!D9</f>
        <v>2.899</v>
      </c>
      <c r="E66" s="503"/>
      <c r="F66" s="503"/>
      <c r="G66" s="503"/>
      <c r="H66" s="503"/>
      <c r="I66" s="503"/>
      <c r="J66" s="503"/>
      <c r="K66" s="503"/>
      <c r="L66" s="503"/>
      <c r="M66" s="503"/>
      <c r="N66" s="503"/>
      <c r="O66" s="503"/>
      <c r="P66" s="504"/>
      <c r="V66" s="220"/>
      <c r="W66" s="220"/>
      <c r="X66" s="220"/>
      <c r="Y66" s="220"/>
      <c r="Z66" s="220"/>
      <c r="AA66" s="2644">
        <v>45775</v>
      </c>
      <c r="AB66" s="84">
        <f>IF($AA66&lt;=Factores!$D$3,AB32,"")</f>
        <v>0</v>
      </c>
      <c r="AC66" s="84">
        <f>IF($AA66&lt;=Factores!$D$3,AC32,"")</f>
        <v>0</v>
      </c>
      <c r="AD66" s="84">
        <f>IF($AA66&lt;=Factores!$D$3,AD32,"")</f>
        <v>0</v>
      </c>
      <c r="AE66" s="84">
        <f>IF($AA66&lt;=Factores!$D$3,AE32,"")</f>
        <v>0</v>
      </c>
      <c r="AF66" s="429">
        <f>IF($AA66&lt;=Factores!$D$3,AF32,"")</f>
        <v>0</v>
      </c>
      <c r="AG66" s="500">
        <f>IF($AA66&lt;=Factores!$D$3,AG32,"")</f>
        <v>0</v>
      </c>
      <c r="AH66" s="500" t="e">
        <f>IF($AA66&lt;=Factores!$D$3,AH32,"")</f>
        <v>#DIV/0!</v>
      </c>
      <c r="AI66" s="500">
        <f>IF($AA66&lt;=Factores!$D$3,AI32,"")</f>
        <v>0</v>
      </c>
      <c r="AJ66" s="500">
        <f>IF($AA66&lt;=Factores!$D$3,AJ32,"")</f>
        <v>0</v>
      </c>
      <c r="AK66" s="500">
        <f>IF($AA66&lt;=Factores!$D$3,AK32,"")</f>
        <v>0</v>
      </c>
      <c r="AL66" s="500">
        <f>IF($AA66&lt;=Factores!$D$3,AL32,"")</f>
        <v>0</v>
      </c>
      <c r="AM66" s="84">
        <f>IF($AA66&lt;=Factores!$D$3,AM32,"")</f>
        <v>0</v>
      </c>
      <c r="AN66" s="500">
        <f>IF($AA66&lt;=Factores!$D$3,AN32,"")</f>
        <v>0</v>
      </c>
      <c r="AO66" s="429">
        <f>IF($AA66&lt;=Factores!$D$3,AO32,"")</f>
        <v>24.146893258401185</v>
      </c>
      <c r="AP66" s="429">
        <f>IF($AA66&lt;=Factores!$D$3,AP32,"")</f>
        <v>24.026158792109179</v>
      </c>
      <c r="AQ66" s="84" t="e">
        <f>IF($AA66&lt;=Factores!$D$3,AQ32,"")</f>
        <v>#DIV/0!</v>
      </c>
      <c r="AR66"/>
    </row>
    <row r="67" spans="2:44">
      <c r="B67" s="2782" t="s">
        <v>245</v>
      </c>
      <c r="C67" s="2783">
        <v>0.96599999999999997</v>
      </c>
      <c r="E67" s="505"/>
      <c r="F67" s="505"/>
      <c r="G67" s="505"/>
      <c r="H67" s="505"/>
      <c r="I67" s="505"/>
      <c r="J67" s="505"/>
      <c r="K67" s="505"/>
      <c r="L67" s="505"/>
      <c r="M67" s="505"/>
      <c r="N67" s="505"/>
      <c r="O67" s="505"/>
      <c r="P67" s="3308"/>
      <c r="V67" s="220"/>
      <c r="W67" s="220"/>
      <c r="X67" s="220"/>
      <c r="Y67" s="220"/>
      <c r="Z67" s="220"/>
      <c r="AA67" s="2644">
        <v>45776</v>
      </c>
      <c r="AB67" s="84">
        <f>IF($AA67&lt;=Factores!$D$3,AB33,"")</f>
        <v>0</v>
      </c>
      <c r="AC67" s="84">
        <f>IF($AA67&lt;=Factores!$D$3,AC33,"")</f>
        <v>0</v>
      </c>
      <c r="AD67" s="84">
        <f>IF($AA67&lt;=Factores!$D$3,AD33,"")</f>
        <v>0</v>
      </c>
      <c r="AE67" s="84">
        <f>IF($AA67&lt;=Factores!$D$3,AE33,"")</f>
        <v>0</v>
      </c>
      <c r="AF67" s="429">
        <f>IF($AA67&lt;=Factores!$D$3,AF33,"")</f>
        <v>0</v>
      </c>
      <c r="AG67" s="500">
        <f>IF($AA67&lt;=Factores!$D$3,AG33,"")</f>
        <v>0</v>
      </c>
      <c r="AH67" s="500" t="e">
        <f>IF($AA67&lt;=Factores!$D$3,AH33,"")</f>
        <v>#DIV/0!</v>
      </c>
      <c r="AI67" s="500">
        <f>IF($AA67&lt;=Factores!$D$3,AI33,"")</f>
        <v>0</v>
      </c>
      <c r="AJ67" s="500">
        <f>IF($AA67&lt;=Factores!$D$3,AJ33,"")</f>
        <v>0</v>
      </c>
      <c r="AK67" s="500">
        <f>IF($AA67&lt;=Factores!$D$3,AK33,"")</f>
        <v>0</v>
      </c>
      <c r="AL67" s="500">
        <f>IF($AA67&lt;=Factores!$D$3,AL33,"")</f>
        <v>0</v>
      </c>
      <c r="AM67" s="84">
        <f>IF($AA67&lt;=Factores!$D$3,AM33,"")</f>
        <v>0</v>
      </c>
      <c r="AN67" s="500">
        <f>IF($AA67&lt;=Factores!$D$3,AN33,"")</f>
        <v>0</v>
      </c>
      <c r="AO67" s="429">
        <f>IF($AA67&lt;=Factores!$D$3,AO33,"")</f>
        <v>24.146893258401185</v>
      </c>
      <c r="AP67" s="429">
        <f>IF($AA67&lt;=Factores!$D$3,AP33,"")</f>
        <v>24.026158792109179</v>
      </c>
      <c r="AQ67" s="84" t="e">
        <f>IF($AA67&lt;=Factores!$D$3,AQ33,"")</f>
        <v>#DIV/0!</v>
      </c>
      <c r="AR67"/>
    </row>
    <row r="68" spans="2:44">
      <c r="B68" s="2782" t="s">
        <v>71</v>
      </c>
      <c r="C68" s="2783">
        <v>0.995</v>
      </c>
      <c r="P68" s="427"/>
      <c r="V68" s="220"/>
      <c r="W68" s="220"/>
      <c r="X68" s="220"/>
      <c r="Y68" s="220"/>
      <c r="Z68" s="220"/>
      <c r="AA68" s="2644">
        <v>45777</v>
      </c>
      <c r="AB68" s="84">
        <f>IF($AA68&lt;=Factores!$D$3,AB34,"")</f>
        <v>0</v>
      </c>
      <c r="AC68" s="84">
        <f>IF($AA68&lt;=Factores!$D$3,AC34,"")</f>
        <v>0</v>
      </c>
      <c r="AD68" s="84">
        <f>IF($AA68&lt;=Factores!$D$3,AD34,"")</f>
        <v>0</v>
      </c>
      <c r="AE68" s="84">
        <f>IF($AA68&lt;=Factores!$D$3,AE34,"")</f>
        <v>0</v>
      </c>
      <c r="AF68" s="429">
        <f>IF($AA68&lt;=Factores!$D$3,AF34,"")</f>
        <v>0</v>
      </c>
      <c r="AG68" s="500">
        <f>IF($AA68&lt;=Factores!$D$3,AG34,"")</f>
        <v>0</v>
      </c>
      <c r="AH68" s="500" t="e">
        <f>IF($AA68&lt;=Factores!$D$3,AH34,"")</f>
        <v>#DIV/0!</v>
      </c>
      <c r="AI68" s="500">
        <f>IF($AA68&lt;=Factores!$D$3,AI34,"")</f>
        <v>0</v>
      </c>
      <c r="AJ68" s="500">
        <f>IF($AA68&lt;=Factores!$D$3,AJ34,"")</f>
        <v>0</v>
      </c>
      <c r="AK68" s="500">
        <f>IF($AA68&lt;=Factores!$D$3,AK34,"")</f>
        <v>0</v>
      </c>
      <c r="AL68" s="500">
        <f>IF($AA68&lt;=Factores!$D$3,AL34,"")</f>
        <v>0</v>
      </c>
      <c r="AM68" s="84">
        <f>IF($AA68&lt;=Factores!$D$3,AM34,"")</f>
        <v>0</v>
      </c>
      <c r="AN68" s="500">
        <f>IF($AA68&lt;=Factores!$D$3,AN34,"")</f>
        <v>0</v>
      </c>
      <c r="AO68" s="429">
        <f>IF($AA68&lt;=Factores!$D$3,AO34,"")</f>
        <v>24.146893258401185</v>
      </c>
      <c r="AP68" s="429">
        <f>IF($AA68&lt;=Factores!$D$3,AP34,"")</f>
        <v>24.026158792109179</v>
      </c>
      <c r="AQ68" s="84" t="e">
        <f>IF($AA68&lt;=Factores!$D$3,AQ34,"")</f>
        <v>#DIV/0!</v>
      </c>
      <c r="AR68"/>
    </row>
    <row r="69" spans="2:44">
      <c r="E69" s="503"/>
      <c r="P69" s="427"/>
      <c r="V69" s="220"/>
      <c r="W69" s="220"/>
      <c r="X69" s="220"/>
      <c r="Y69" s="220"/>
      <c r="Z69" s="220"/>
      <c r="AA69" s="2644"/>
      <c r="AB69" s="84"/>
      <c r="AC69" s="84"/>
      <c r="AD69" s="84"/>
      <c r="AE69" s="84"/>
      <c r="AF69" s="429"/>
      <c r="AG69" s="500"/>
      <c r="AH69" s="500"/>
      <c r="AI69" s="500"/>
      <c r="AJ69" s="500"/>
      <c r="AK69" s="500"/>
      <c r="AL69" s="500"/>
      <c r="AM69" s="84"/>
      <c r="AN69" s="500"/>
      <c r="AO69" s="429"/>
      <c r="AP69" s="429"/>
      <c r="AQ69" s="84"/>
      <c r="AR69"/>
    </row>
    <row r="70" spans="2:44">
      <c r="P70" s="427"/>
      <c r="V70" s="220"/>
      <c r="W70" s="220"/>
      <c r="X70" s="220"/>
      <c r="Y70" s="220"/>
      <c r="Z70" s="220"/>
      <c r="AA70" s="2644"/>
      <c r="AB70" s="84"/>
      <c r="AC70" s="84"/>
      <c r="AD70" s="84"/>
      <c r="AE70" s="84"/>
      <c r="AF70" s="429"/>
      <c r="AG70" s="500"/>
      <c r="AH70" s="500"/>
      <c r="AI70" s="500"/>
      <c r="AJ70" s="500"/>
      <c r="AK70" s="500"/>
      <c r="AL70" s="500"/>
      <c r="AM70" s="84"/>
      <c r="AN70" s="500"/>
      <c r="AO70" s="429"/>
      <c r="AP70" s="429"/>
      <c r="AQ70" s="84"/>
      <c r="AR70"/>
    </row>
    <row r="71" spans="2:44">
      <c r="P71" s="427"/>
      <c r="V71" s="220"/>
      <c r="W71" s="220"/>
      <c r="X71" s="220"/>
      <c r="Y71" s="220"/>
      <c r="Z71" s="220"/>
      <c r="AA71" s="2651" t="s">
        <v>1429</v>
      </c>
      <c r="AB71" s="2652">
        <f>SUM(AB39:AB70)</f>
        <v>0</v>
      </c>
      <c r="AC71" s="2653">
        <f>SUM(AC39:AC70)</f>
        <v>0</v>
      </c>
      <c r="AD71" s="2653">
        <f>SUM(AD39:AD70)</f>
        <v>0</v>
      </c>
      <c r="AE71" s="2653">
        <f>SUM(AE39:AE70)</f>
        <v>0</v>
      </c>
      <c r="AF71" s="2649" t="e">
        <f>SUMPRODUCT($AD$39:$AD$70,AF39:AF70)/$AD$71</f>
        <v>#DIV/0!</v>
      </c>
      <c r="AG71" s="2650" t="e">
        <f>AE71/(AD71*AF71/100)*100</f>
        <v>#DIV/0!</v>
      </c>
      <c r="AH71" s="2650" t="e">
        <f>AE71/AC71*100</f>
        <v>#DIV/0!</v>
      </c>
      <c r="AI71" s="2649" t="e">
        <f t="shared" ref="AI71:AN71" si="11">SUMPRODUCT($AD$39:$AD$70,AI39:AI70)/$AD$71</f>
        <v>#DIV/0!</v>
      </c>
      <c r="AJ71" s="2650" t="e">
        <f t="shared" si="11"/>
        <v>#DIV/0!</v>
      </c>
      <c r="AK71" s="2650" t="e">
        <f t="shared" si="11"/>
        <v>#DIV/0!</v>
      </c>
      <c r="AL71" s="2650" t="e">
        <f t="shared" si="11"/>
        <v>#DIV/0!</v>
      </c>
      <c r="AM71" s="2648" t="e">
        <f t="shared" si="11"/>
        <v>#DIV/0!</v>
      </c>
      <c r="AN71" s="2650" t="e">
        <f t="shared" si="11"/>
        <v>#DIV/0!</v>
      </c>
      <c r="AO71" s="2649">
        <f>SUM(AO39:AO70)</f>
        <v>724.40679775203546</v>
      </c>
      <c r="AP71" s="2649">
        <f>SUM(AP39:AP70)</f>
        <v>720.78476376327546</v>
      </c>
      <c r="AQ71" s="2648" t="e">
        <f>AD71/(24*AR71*AI71/100)</f>
        <v>#DIV/0!</v>
      </c>
      <c r="AR71">
        <f>COUNT(AQ39:AQ70)</f>
        <v>0</v>
      </c>
    </row>
    <row r="72" spans="2:44">
      <c r="P72" s="427"/>
      <c r="V72" s="220"/>
      <c r="W72" s="220"/>
      <c r="X72" s="220"/>
      <c r="Y72" s="220"/>
      <c r="Z72" s="220"/>
      <c r="AA72" s="2651"/>
      <c r="AB72" s="2645"/>
      <c r="AE72" s="2645">
        <f>AE71*0.9644</f>
        <v>0</v>
      </c>
      <c r="AF72" s="2646"/>
      <c r="AG72" s="2647"/>
      <c r="AH72" s="2647"/>
      <c r="AI72" s="2643"/>
      <c r="AJ72" s="2647"/>
      <c r="AM72" s="2645"/>
      <c r="AR72"/>
    </row>
    <row r="73" spans="2:44">
      <c r="P73" s="427"/>
      <c r="V73" s="220"/>
      <c r="W73" s="220"/>
      <c r="X73" s="220"/>
      <c r="Y73" s="220"/>
      <c r="Z73" s="220"/>
      <c r="AA73" s="2651"/>
      <c r="AB73" s="2645"/>
      <c r="AE73" s="2645"/>
      <c r="AF73" s="2646"/>
      <c r="AG73" s="2647"/>
      <c r="AH73" s="2647"/>
      <c r="AI73" s="2643"/>
      <c r="AJ73" s="2647"/>
      <c r="AM73" s="2645"/>
      <c r="AR73"/>
    </row>
    <row r="74" spans="2:44">
      <c r="V74" s="220"/>
      <c r="W74" s="220"/>
      <c r="X74" s="220"/>
      <c r="Y74" s="220"/>
      <c r="Z74" s="220"/>
      <c r="AA74" s="2651" t="s">
        <v>1430</v>
      </c>
      <c r="AB74" s="2652">
        <f>AB37-AB71</f>
        <v>0</v>
      </c>
      <c r="AC74" s="2653">
        <f>AC37-AC71</f>
        <v>0</v>
      </c>
      <c r="AD74" s="2653">
        <f>AD37-AD71</f>
        <v>0</v>
      </c>
      <c r="AE74" s="2653">
        <f>AE37-AE71</f>
        <v>0</v>
      </c>
      <c r="AF74" s="2649" t="e">
        <f>(AF37*AD37-AF71*AD71)/AD74</f>
        <v>#DIV/0!</v>
      </c>
      <c r="AG74" s="2650" t="e">
        <f>AE74/(AD74*AF74/100)*100</f>
        <v>#DIV/0!</v>
      </c>
      <c r="AH74" s="2650" t="e">
        <f>AE74/AC74*100</f>
        <v>#DIV/0!</v>
      </c>
      <c r="AI74" s="2650" t="e">
        <f t="shared" ref="AI74:AN74" si="12">AI71</f>
        <v>#DIV/0!</v>
      </c>
      <c r="AJ74" s="2650" t="e">
        <f t="shared" si="12"/>
        <v>#DIV/0!</v>
      </c>
      <c r="AK74" s="2650" t="e">
        <f t="shared" si="12"/>
        <v>#DIV/0!</v>
      </c>
      <c r="AL74" s="2650" t="e">
        <f t="shared" si="12"/>
        <v>#DIV/0!</v>
      </c>
      <c r="AM74" s="2648" t="e">
        <f t="shared" si="12"/>
        <v>#DIV/0!</v>
      </c>
      <c r="AN74" s="2650" t="e">
        <f t="shared" si="12"/>
        <v>#DIV/0!</v>
      </c>
      <c r="AO74" s="2649">
        <f>AO37-AO71</f>
        <v>0</v>
      </c>
      <c r="AP74" s="2654">
        <f>AP37-AP71</f>
        <v>0</v>
      </c>
      <c r="AQ74" s="2648" t="e">
        <f>AD74/(24*AR74*AI74/100)</f>
        <v>#DIV/0!</v>
      </c>
      <c r="AR74">
        <f>AR37-AR71</f>
        <v>0</v>
      </c>
    </row>
    <row r="75" spans="2:44">
      <c r="V75" s="220"/>
      <c r="W75" s="220"/>
      <c r="X75" s="220"/>
      <c r="Y75" s="220"/>
      <c r="Z75" s="220"/>
      <c r="AA75" s="220"/>
      <c r="AB75" s="220"/>
    </row>
    <row r="76" spans="2:44">
      <c r="V76" s="220"/>
      <c r="W76" s="220"/>
      <c r="X76" s="220"/>
      <c r="Y76" s="220"/>
      <c r="Z76" s="220"/>
      <c r="AA76" s="220"/>
      <c r="AB76" s="220"/>
      <c r="AE76" s="2661">
        <f>AB71-AE71</f>
        <v>0</v>
      </c>
    </row>
    <row r="77" spans="2:44">
      <c r="V77" s="220"/>
      <c r="W77" s="220"/>
      <c r="X77" s="220"/>
      <c r="Y77" s="220"/>
      <c r="Z77" s="220"/>
      <c r="AA77" s="220"/>
      <c r="AB77" s="220"/>
      <c r="AE77" s="2661"/>
    </row>
    <row r="78" spans="2:44">
      <c r="V78" s="220"/>
      <c r="W78" s="220"/>
      <c r="X78" s="220"/>
      <c r="Y78" s="220"/>
      <c r="Z78" s="220"/>
      <c r="AA78" s="220"/>
      <c r="AB78" s="220"/>
      <c r="AE78" s="2661">
        <f>AB74-AE74</f>
        <v>0</v>
      </c>
    </row>
    <row r="79" spans="2:44">
      <c r="V79" s="220"/>
      <c r="W79" s="220"/>
      <c r="X79" s="220"/>
      <c r="Y79" s="220"/>
      <c r="Z79" s="220"/>
      <c r="AA79" s="220"/>
      <c r="AB79" s="220"/>
    </row>
    <row r="80" spans="2:44">
      <c r="V80" s="220"/>
      <c r="W80" s="220"/>
      <c r="X80" s="220"/>
      <c r="Y80" s="220"/>
      <c r="Z80" s="220"/>
      <c r="AA80" s="220"/>
      <c r="AB80" s="220"/>
    </row>
    <row r="81" spans="22:28">
      <c r="V81" s="220"/>
      <c r="W81" s="220"/>
      <c r="X81" s="220"/>
      <c r="Y81" s="220"/>
      <c r="Z81" s="220"/>
      <c r="AA81" s="220"/>
      <c r="AB81" s="220"/>
    </row>
    <row r="82" spans="22:28">
      <c r="V82" s="220"/>
      <c r="W82" s="220"/>
      <c r="X82" s="220"/>
      <c r="Y82" s="220"/>
      <c r="Z82" s="220"/>
      <c r="AA82" s="220"/>
      <c r="AB82" s="220"/>
    </row>
    <row r="83" spans="22:28">
      <c r="V83" s="220"/>
      <c r="W83" s="220"/>
      <c r="X83" s="220"/>
      <c r="Y83" s="220"/>
      <c r="Z83" s="220"/>
      <c r="AA83" s="220"/>
      <c r="AB83" s="220"/>
    </row>
    <row r="84" spans="22:28">
      <c r="V84" s="220"/>
      <c r="W84" s="220"/>
      <c r="X84" s="220"/>
      <c r="Y84" s="220"/>
      <c r="Z84" s="220"/>
      <c r="AA84" s="220"/>
      <c r="AB84" s="220"/>
    </row>
    <row r="85" spans="22:28">
      <c r="V85" s="220"/>
      <c r="W85" s="220"/>
      <c r="X85" s="220"/>
      <c r="Y85" s="220"/>
      <c r="Z85" s="220"/>
      <c r="AA85" s="220"/>
      <c r="AB85" s="220"/>
    </row>
    <row r="86" spans="22:28">
      <c r="V86" s="220"/>
      <c r="W86" s="220"/>
      <c r="X86" s="220"/>
      <c r="Y86" s="220"/>
      <c r="Z86" s="220"/>
      <c r="AA86" s="220"/>
      <c r="AB86" s="220"/>
    </row>
    <row r="87" spans="22:28">
      <c r="V87" s="220"/>
      <c r="W87" s="220"/>
      <c r="X87" s="220"/>
      <c r="Y87" s="220"/>
      <c r="Z87" s="220"/>
      <c r="AA87" s="220"/>
      <c r="AB87" s="220"/>
    </row>
    <row r="88" spans="22:28">
      <c r="V88" s="220"/>
      <c r="W88" s="220"/>
      <c r="X88" s="220"/>
      <c r="Y88" s="220"/>
      <c r="Z88" s="220"/>
      <c r="AA88" s="220"/>
      <c r="AB88" s="220"/>
    </row>
    <row r="89" spans="22:28">
      <c r="V89" s="220"/>
      <c r="W89" s="220"/>
      <c r="X89" s="220"/>
      <c r="Y89" s="220"/>
      <c r="Z89" s="220"/>
      <c r="AA89" s="220"/>
      <c r="AB89" s="220"/>
    </row>
    <row r="90" spans="22:28">
      <c r="V90" s="220"/>
      <c r="W90" s="220"/>
      <c r="X90" s="220"/>
      <c r="Y90" s="220"/>
      <c r="Z90" s="220"/>
      <c r="AA90" s="220"/>
      <c r="AB90" s="220"/>
    </row>
    <row r="91" spans="22:28">
      <c r="V91" s="220"/>
      <c r="W91" s="220"/>
      <c r="X91" s="220"/>
      <c r="Y91" s="220"/>
      <c r="Z91" s="220"/>
      <c r="AA91" s="220"/>
      <c r="AB91" s="220"/>
    </row>
    <row r="92" spans="22:28">
      <c r="V92" s="220"/>
      <c r="W92" s="220"/>
      <c r="X92" s="220"/>
      <c r="Y92" s="220"/>
      <c r="Z92" s="220"/>
      <c r="AA92" s="220"/>
      <c r="AB92" s="220"/>
    </row>
    <row r="93" spans="22:28">
      <c r="V93" s="220"/>
      <c r="W93" s="220"/>
      <c r="X93" s="220"/>
      <c r="Y93" s="220"/>
      <c r="Z93" s="220"/>
      <c r="AA93" s="220"/>
      <c r="AB93" s="220"/>
    </row>
    <row r="94" spans="22:28">
      <c r="V94" s="220"/>
      <c r="W94" s="220"/>
      <c r="X94" s="220"/>
      <c r="Y94" s="220"/>
      <c r="Z94" s="220"/>
      <c r="AA94" s="220"/>
      <c r="AB94" s="220"/>
    </row>
    <row r="95" spans="22:28">
      <c r="V95" s="220"/>
      <c r="W95" s="220"/>
      <c r="X95" s="220"/>
      <c r="Y95" s="220"/>
      <c r="Z95" s="220"/>
      <c r="AA95" s="220"/>
      <c r="AB95" s="220"/>
    </row>
    <row r="96" spans="22:28">
      <c r="V96" s="220"/>
      <c r="W96" s="220"/>
      <c r="X96" s="220"/>
      <c r="Y96" s="220"/>
      <c r="Z96" s="220"/>
      <c r="AA96" s="220"/>
      <c r="AB96" s="220"/>
    </row>
    <row r="97" spans="22:28">
      <c r="V97" s="220"/>
      <c r="W97" s="220"/>
      <c r="X97" s="220"/>
      <c r="Y97" s="220"/>
      <c r="Z97" s="220"/>
      <c r="AA97" s="220"/>
      <c r="AB97" s="220"/>
    </row>
    <row r="98" spans="22:28">
      <c r="Z98" s="220"/>
      <c r="AA98" s="220"/>
      <c r="AB98" s="220"/>
    </row>
    <row r="99" spans="22:28">
      <c r="Z99" s="220"/>
    </row>
    <row r="100" spans="22:28">
      <c r="Z100" s="220"/>
    </row>
    <row r="101" spans="22:28">
      <c r="Z101" s="220"/>
    </row>
    <row r="102" spans="22:28">
      <c r="Z102" s="220"/>
    </row>
    <row r="103" spans="22:28">
      <c r="Z103" s="220"/>
    </row>
  </sheetData>
  <mergeCells count="11">
    <mergeCell ref="B3:B4"/>
    <mergeCell ref="C3:C4"/>
    <mergeCell ref="W2:Y2"/>
    <mergeCell ref="W3:W4"/>
    <mergeCell ref="X3:X4"/>
    <mergeCell ref="Y3:Y4"/>
    <mergeCell ref="AY3:BA5"/>
    <mergeCell ref="BF3:BH5"/>
    <mergeCell ref="BM3:BO5"/>
    <mergeCell ref="BT3:BV5"/>
    <mergeCell ref="AA2:AQ2"/>
  </mergeCells>
  <phoneticPr fontId="0" type="noConversion"/>
  <conditionalFormatting sqref="AX1 AX8:AX38">
    <cfRule type="expression" dxfId="237" priority="1" stopIfTrue="1">
      <formula>NOT(ISERROR(FIND("OFI",UPPER($DW1),1)))</formula>
    </cfRule>
    <cfRule type="expression" dxfId="236" priority="2" stopIfTrue="1">
      <formula>AW1="|"</formula>
    </cfRule>
  </conditionalFormatting>
  <printOptions horizontalCentered="1"/>
  <pageMargins left="0.16" right="0.2" top="0.2" bottom="0.21" header="0.59055118110236227" footer="0"/>
  <pageSetup scale="46" orientation="portrait" r:id="rId1"/>
  <headerFooter alignWithMargins="0">
    <oddHeader>&amp;C&amp;A</oddHeader>
    <oddFooter>Respaldo Costos Abril 2000.xls&amp;RPágina &amp;P</oddFooter>
  </headerFooter>
  <ignoredErrors>
    <ignoredError sqref="R16" formula="1"/>
  </ignoredError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6">
    <tabColor rgb="FF003300"/>
  </sheetPr>
  <dimension ref="A3:Y75"/>
  <sheetViews>
    <sheetView zoomScale="85" zoomScaleNormal="85" workbookViewId="0">
      <selection activeCell="H20" sqref="H20"/>
    </sheetView>
  </sheetViews>
  <sheetFormatPr baseColWidth="10" defaultColWidth="11.453125" defaultRowHeight="15.5" outlineLevelRow="1"/>
  <cols>
    <col min="1" max="1" width="11.453125" style="188"/>
    <col min="2" max="2" width="44.54296875" style="188" bestFit="1" customWidth="1"/>
    <col min="3" max="3" width="11.453125" style="188"/>
    <col min="4" max="4" width="9" style="188" customWidth="1"/>
    <col min="5" max="16" width="10.1796875" style="188" customWidth="1"/>
    <col min="17" max="17" width="10.81640625" style="188" customWidth="1"/>
    <col min="18" max="18" width="20" style="188" customWidth="1"/>
    <col min="19" max="19" width="4.81640625" style="188" customWidth="1"/>
    <col min="20" max="20" width="20.81640625" style="188" customWidth="1"/>
    <col min="21" max="21" width="11.54296875" style="188" bestFit="1" customWidth="1"/>
    <col min="24" max="24" width="28.81640625" bestFit="1" customWidth="1"/>
    <col min="25" max="25" width="12" style="102" bestFit="1" customWidth="1"/>
  </cols>
  <sheetData>
    <row r="3" spans="2:24" ht="16" thickBot="1">
      <c r="B3" s="3425" t="s">
        <v>1638</v>
      </c>
      <c r="C3" s="3425"/>
      <c r="D3" s="3425"/>
      <c r="E3" s="3425"/>
      <c r="F3" s="3425"/>
      <c r="G3" s="3425"/>
      <c r="H3" s="3425"/>
      <c r="I3" s="3425"/>
      <c r="J3" s="3425"/>
      <c r="K3" s="3425"/>
      <c r="L3" s="3425"/>
      <c r="M3" s="3425"/>
      <c r="N3" s="3425"/>
      <c r="O3" s="3425"/>
      <c r="P3" s="3425"/>
      <c r="Q3" s="3425"/>
      <c r="R3" s="3425"/>
      <c r="S3" s="502"/>
      <c r="T3" s="77"/>
      <c r="U3" s="77"/>
    </row>
    <row r="4" spans="2:24">
      <c r="B4" s="4546"/>
      <c r="C4" s="4548" t="s">
        <v>159</v>
      </c>
      <c r="D4" s="2402"/>
      <c r="E4" s="3415">
        <f>'R+RP+B'!F4</f>
        <v>46023</v>
      </c>
      <c r="F4" s="3415">
        <f>'R+RP+B'!G4</f>
        <v>46054</v>
      </c>
      <c r="G4" s="3420">
        <f>'R+RP+B'!H4</f>
        <v>46082</v>
      </c>
      <c r="H4" s="3416">
        <f>'R+RP+B'!I4</f>
        <v>46113</v>
      </c>
      <c r="I4" s="3416">
        <f>'R+RP+B'!J4</f>
        <v>46143</v>
      </c>
      <c r="J4" s="3416">
        <f>'R+RP+B'!K4</f>
        <v>46174</v>
      </c>
      <c r="K4" s="3416">
        <f>'R+RP+B'!L4</f>
        <v>46204</v>
      </c>
      <c r="L4" s="3416">
        <f>'R+RP+B'!M4</f>
        <v>46235</v>
      </c>
      <c r="M4" s="3416">
        <f>'R+RP+B'!N4</f>
        <v>46266</v>
      </c>
      <c r="N4" s="3416">
        <f>'R+RP+B'!O4</f>
        <v>46296</v>
      </c>
      <c r="O4" s="3416">
        <f>'R+RP+B'!P4</f>
        <v>46327</v>
      </c>
      <c r="P4" s="3415">
        <f>'R+RP+B'!Q4</f>
        <v>46357</v>
      </c>
      <c r="Q4" s="3417"/>
      <c r="R4" s="3413" t="s">
        <v>192</v>
      </c>
      <c r="S4" s="77"/>
      <c r="T4" s="188" t="s">
        <v>193</v>
      </c>
      <c r="U4" s="188" t="s">
        <v>193</v>
      </c>
    </row>
    <row r="5" spans="2:24" ht="16" thickBot="1">
      <c r="B5" s="4547"/>
      <c r="C5" s="4549"/>
      <c r="D5" s="2404"/>
      <c r="E5" s="3418"/>
      <c r="F5" s="3418"/>
      <c r="G5" s="3421"/>
      <c r="H5" s="3419"/>
      <c r="I5" s="3419"/>
      <c r="J5" s="3419"/>
      <c r="K5" s="3419"/>
      <c r="L5" s="3419"/>
      <c r="M5" s="3419"/>
      <c r="N5" s="3419"/>
      <c r="O5" s="3419"/>
      <c r="P5" s="3418"/>
      <c r="Q5" s="2406"/>
      <c r="R5" s="2407"/>
      <c r="S5" s="77"/>
      <c r="T5" s="188" t="s">
        <v>194</v>
      </c>
      <c r="U5" s="188" t="s">
        <v>195</v>
      </c>
    </row>
    <row r="6" spans="2:24">
      <c r="B6" s="437" t="s">
        <v>196</v>
      </c>
      <c r="C6" s="522"/>
      <c r="D6" s="268"/>
      <c r="E6" s="222">
        <v>30.5</v>
      </c>
      <c r="F6" s="222">
        <v>28</v>
      </c>
      <c r="G6" s="3432">
        <v>31</v>
      </c>
      <c r="H6" s="3433">
        <v>30</v>
      </c>
      <c r="I6" s="3433">
        <v>31</v>
      </c>
      <c r="J6" s="3433">
        <v>30</v>
      </c>
      <c r="K6" s="3433">
        <v>31</v>
      </c>
      <c r="L6" s="3433">
        <v>31</v>
      </c>
      <c r="M6" s="3433">
        <v>30</v>
      </c>
      <c r="N6" s="3433">
        <v>31</v>
      </c>
      <c r="O6" s="3433">
        <v>30</v>
      </c>
      <c r="P6" s="1391">
        <v>31.5</v>
      </c>
      <c r="Q6" s="690"/>
      <c r="R6" s="105">
        <f>SUM(E6:P6)</f>
        <v>365</v>
      </c>
      <c r="S6" s="690"/>
      <c r="T6" s="222">
        <f>IF(MONTH(Factores!$D$2)=1,SUM($E6:E6),IF(MONTH(Factores!$D$2)=2,SUM($E6:F6),IF(MONTH(Factores!$D$2)=3,SUM($E6:G6),IF(MONTH(Factores!$D$2)=4,SUM($E6:H6),IF(MONTH(Factores!$D$2)=5,SUM($E6:I6),IF(MONTH(Factores!$D$2)=6,SUM($E6:J6),IF(MONTH(Factores!$D$2)=7,SUM($E6:K6),IF(MONTH(Factores!$D$2)=8,SUM($E6:L6),IF(MONTH(Factores!$D$2)=9,SUM($E6:M6),IF(MONTH(Factores!$D$2)=10,SUM($E6:N6),IF(MONTH(Factores!$D$2)=11,SUM($E6:O6),IF(MONTH(Factores!$D$2)=12,SUM($E6:P6)))))))))))))</f>
        <v>89.5</v>
      </c>
      <c r="U6" s="222">
        <f>IF(MONTH(Factores!$D$2)=1,SUM($E6:E6),IF(MONTH(Factores!$D$2)=2,SUM($E6:E6),IF(MONTH(Factores!$D$2)=3,SUM($E6:F6),IF(MONTH(Factores!$D$2)=4,SUM($E6:G6),IF(MONTH(Factores!$D$2)=5,SUM($E6:H6),IF(MONTH(Factores!$D$2)=6,SUM($E6:I6),IF(MONTH(Factores!$D$2)=7,SUM($E6:J6),IF(MONTH(Factores!$D$2)=8,SUM($E6:K6),IF(MONTH(Factores!$D$2)=9,SUM($E6:L6),IF(MONTH(Factores!$D$2)=10,SUM($E6:M6),IF(MONTH(Factores!$D$2)=11,SUM($E6:N6),IF(MONTH(Factores!$D$2)=12,SUM($E6:O6)))))))))))))</f>
        <v>58.5</v>
      </c>
    </row>
    <row r="7" spans="2:24">
      <c r="B7" s="71" t="s">
        <v>1645</v>
      </c>
      <c r="C7" s="98" t="s">
        <v>198</v>
      </c>
      <c r="D7" s="99"/>
      <c r="E7" s="3434"/>
      <c r="F7" s="3434"/>
      <c r="G7" s="3435"/>
      <c r="H7" s="3436"/>
      <c r="I7" s="3436"/>
      <c r="J7" s="3436"/>
      <c r="K7" s="3436"/>
      <c r="L7" s="3436"/>
      <c r="M7" s="3436"/>
      <c r="N7" s="3436"/>
      <c r="O7" s="3436"/>
      <c r="P7" s="3260"/>
      <c r="Q7" s="84"/>
      <c r="R7" s="694"/>
      <c r="S7" s="253"/>
      <c r="T7" s="411"/>
      <c r="U7" s="411"/>
    </row>
    <row r="8" spans="2:24">
      <c r="B8" s="75" t="s">
        <v>199</v>
      </c>
      <c r="C8" s="101" t="s">
        <v>198</v>
      </c>
      <c r="D8" s="99"/>
      <c r="E8" s="3434"/>
      <c r="F8" s="3434"/>
      <c r="G8" s="3435"/>
      <c r="H8" s="3436"/>
      <c r="I8" s="3436"/>
      <c r="J8" s="3436"/>
      <c r="K8" s="3436"/>
      <c r="L8" s="3436"/>
      <c r="M8" s="3436"/>
      <c r="N8" s="3436"/>
      <c r="O8" s="3436"/>
      <c r="P8" s="3260"/>
      <c r="Q8" s="84"/>
      <c r="R8" s="694"/>
      <c r="S8" s="253"/>
      <c r="T8" s="411"/>
      <c r="U8" s="411"/>
    </row>
    <row r="9" spans="2:24">
      <c r="B9" s="71" t="s">
        <v>200</v>
      </c>
      <c r="C9" s="101" t="s">
        <v>198</v>
      </c>
      <c r="D9" s="102"/>
      <c r="E9" s="3434"/>
      <c r="F9" s="3434"/>
      <c r="G9" s="3435"/>
      <c r="H9" s="3436"/>
      <c r="I9" s="3436"/>
      <c r="J9" s="3436"/>
      <c r="K9" s="3436"/>
      <c r="L9" s="3436"/>
      <c r="M9" s="3436"/>
      <c r="N9" s="3436"/>
      <c r="O9" s="3436"/>
      <c r="P9" s="3260"/>
      <c r="Q9" s="84"/>
      <c r="R9" s="694"/>
      <c r="S9" s="253"/>
      <c r="T9" s="411"/>
      <c r="U9" s="411"/>
    </row>
    <row r="10" spans="2:24">
      <c r="B10" s="71" t="s">
        <v>201</v>
      </c>
      <c r="C10" s="101" t="s">
        <v>198</v>
      </c>
      <c r="D10" s="102"/>
      <c r="E10" s="3434"/>
      <c r="F10" s="3434"/>
      <c r="G10" s="3435"/>
      <c r="H10" s="3436"/>
      <c r="I10" s="3436"/>
      <c r="J10" s="3436"/>
      <c r="K10" s="3436"/>
      <c r="L10" s="3436"/>
      <c r="M10" s="3436"/>
      <c r="N10" s="3436"/>
      <c r="O10" s="3436"/>
      <c r="P10" s="3260"/>
      <c r="Q10" s="84"/>
      <c r="R10" s="419"/>
      <c r="S10" s="253"/>
      <c r="T10" s="411"/>
      <c r="U10" s="411"/>
    </row>
    <row r="11" spans="2:24">
      <c r="B11" s="71" t="s">
        <v>76</v>
      </c>
      <c r="C11" s="98" t="s">
        <v>202</v>
      </c>
      <c r="D11" s="99"/>
      <c r="E11" s="3434"/>
      <c r="F11" s="3434"/>
      <c r="G11" s="3435"/>
      <c r="H11" s="3436"/>
      <c r="I11" s="3436"/>
      <c r="J11" s="3436"/>
      <c r="K11" s="3436"/>
      <c r="L11" s="3436"/>
      <c r="M11" s="3436"/>
      <c r="N11" s="3436"/>
      <c r="O11" s="3436"/>
      <c r="P11" s="3260"/>
      <c r="Q11" s="84"/>
      <c r="R11" s="419"/>
      <c r="S11" s="253"/>
      <c r="T11" s="411"/>
      <c r="U11" s="411"/>
    </row>
    <row r="12" spans="2:24">
      <c r="B12" s="268"/>
      <c r="C12" s="3428"/>
      <c r="D12" s="268"/>
      <c r="E12" s="77"/>
      <c r="F12" s="77"/>
      <c r="G12" s="3437"/>
      <c r="H12" s="77"/>
      <c r="I12" s="77"/>
      <c r="J12" s="77"/>
      <c r="K12" s="77"/>
      <c r="L12" s="77"/>
      <c r="M12" s="77"/>
      <c r="N12" s="77"/>
      <c r="O12" s="77"/>
      <c r="P12" s="1553"/>
      <c r="Q12" s="268"/>
      <c r="R12" s="268"/>
      <c r="S12" s="268"/>
      <c r="T12" s="268"/>
      <c r="U12" s="77"/>
    </row>
    <row r="13" spans="2:24">
      <c r="B13" s="78" t="s">
        <v>203</v>
      </c>
      <c r="C13" s="103" t="s">
        <v>204</v>
      </c>
      <c r="D13" s="104"/>
      <c r="E13" s="620"/>
      <c r="F13" s="620"/>
      <c r="G13" s="3438"/>
      <c r="H13" s="3439"/>
      <c r="I13" s="3439"/>
      <c r="J13" s="3439"/>
      <c r="K13" s="3439"/>
      <c r="L13" s="3439"/>
      <c r="M13" s="3439"/>
      <c r="N13" s="3439"/>
      <c r="O13" s="3439"/>
      <c r="P13" s="1392"/>
      <c r="Q13" s="429"/>
      <c r="R13" s="112"/>
      <c r="S13" s="695"/>
      <c r="T13" s="416"/>
      <c r="U13" s="416"/>
    </row>
    <row r="14" spans="2:24" ht="18" customHeight="1">
      <c r="B14" s="78" t="s">
        <v>205</v>
      </c>
      <c r="C14" s="103" t="s">
        <v>204</v>
      </c>
      <c r="D14" s="104"/>
      <c r="E14" s="620"/>
      <c r="F14" s="620"/>
      <c r="G14" s="3460"/>
      <c r="H14" s="3439"/>
      <c r="I14" s="3439"/>
      <c r="J14" s="3439"/>
      <c r="K14" s="3439"/>
      <c r="L14" s="3439"/>
      <c r="M14" s="3439"/>
      <c r="N14" s="3439"/>
      <c r="O14" s="3439"/>
      <c r="P14" s="1392"/>
      <c r="Q14" s="429"/>
      <c r="R14" s="112"/>
      <c r="S14" s="695"/>
      <c r="T14" s="416"/>
      <c r="U14" s="416"/>
    </row>
    <row r="15" spans="2:24" ht="18" customHeight="1">
      <c r="B15" s="1417" t="s">
        <v>206</v>
      </c>
      <c r="C15" s="1418" t="s">
        <v>204</v>
      </c>
      <c r="D15" s="1419"/>
      <c r="E15" s="1392">
        <v>18.832808362240961</v>
      </c>
      <c r="F15" s="1392">
        <v>23.278006044598364</v>
      </c>
      <c r="G15" s="3460">
        <v>28.864859795966947</v>
      </c>
      <c r="H15" s="1392">
        <v>19.663616574677349</v>
      </c>
      <c r="I15" s="1392">
        <v>31.434188314483858</v>
      </c>
      <c r="J15" s="1392">
        <v>33.309476383993598</v>
      </c>
      <c r="K15" s="1392">
        <v>31.5915116284208</v>
      </c>
      <c r="L15" s="1392">
        <v>31.978332628052843</v>
      </c>
      <c r="M15" s="1392">
        <v>31.800524346124806</v>
      </c>
      <c r="N15" s="1392">
        <v>35.589943845908635</v>
      </c>
      <c r="O15" s="1392">
        <v>34.4305609479662</v>
      </c>
      <c r="P15" s="1392">
        <v>38.822908602338664</v>
      </c>
      <c r="Q15" s="429"/>
      <c r="R15" s="2720">
        <f>SUM(E15:P15)</f>
        <v>359.59673747477302</v>
      </c>
      <c r="S15" s="695"/>
      <c r="T15" s="416">
        <f>IF(MONTH(Factores!$D$2)=1,SUM($E15:E15),IF(MONTH(Factores!$D$2)=2,SUM($E15:F15),IF(MONTH(Factores!$D$2)=3,SUM($E15:G15),IF(MONTH(Factores!$D$2)=4,SUM($E15:H15),IF(MONTH(Factores!$D$2)=5,SUM($E15:I15),IF(MONTH(Factores!$D$2)=6,SUM($E15:J15),IF(MONTH(Factores!$D$2)=7,SUM($E15:K15),IF(MONTH(Factores!$D$2)=8,SUM($E15:L15),IF(MONTH(Factores!$D$2)=9,SUM($E15:M15),IF(MONTH(Factores!$D$2)=10,SUM($E15:N15),IF(MONTH(Factores!$D$2)=11,SUM($E15:O15),IF(MONTH(Factores!$D$2)=12,SUM($E15:P15)))))))))))))</f>
        <v>70.975674202806275</v>
      </c>
      <c r="U15" s="416">
        <f>IF(MONTH(Factores!$D$2)=1,SUM($E15:E15),IF(MONTH(Factores!$D$2)=2,SUM($E15:E15),IF(MONTH(Factores!$D$2)=3,SUM($E15:F15),IF(MONTH(Factores!$D$2)=4,SUM($E15:G15),IF(MONTH(Factores!$D$2)=5,SUM($E15:H15),IF(MONTH(Factores!$D$2)=6,SUM($E15:I15),IF(MONTH(Factores!$D$2)=7,SUM($E15:J15),IF(MONTH(Factores!$D$2)=8,SUM($E15:K15),IF(MONTH(Factores!$D$2)=9,SUM($E15:L15),IF(MONTH(Factores!$D$2)=10,SUM($E15:M15),IF(MONTH(Factores!$D$2)=11,SUM($E15:N15),IF(MONTH(Factores!$D$2)=12,SUM($E15:O15)))))))))))))</f>
        <v>42.110814406839324</v>
      </c>
      <c r="X15" s="2102"/>
    </row>
    <row r="16" spans="2:24" ht="18" customHeight="1">
      <c r="B16" s="1417" t="s">
        <v>207</v>
      </c>
      <c r="C16" s="1418" t="s">
        <v>204</v>
      </c>
      <c r="D16" s="1419"/>
      <c r="E16" s="1392">
        <v>17.327992218502537</v>
      </c>
      <c r="F16" s="1392">
        <v>22.337957289909252</v>
      </c>
      <c r="G16" s="3460">
        <v>28.232331384020735</v>
      </c>
      <c r="H16" s="1392">
        <v>18.936062761414277</v>
      </c>
      <c r="I16" s="1392">
        <v>30.271123346847936</v>
      </c>
      <c r="J16" s="1392">
        <v>32.110335234169845</v>
      </c>
      <c r="K16" s="1392">
        <v>30.391034186540807</v>
      </c>
      <c r="L16" s="1392">
        <v>26.532982695201575</v>
      </c>
      <c r="M16" s="1392">
        <v>33.447648311722219</v>
      </c>
      <c r="N16" s="1392">
        <v>35.594250528132356</v>
      </c>
      <c r="O16" s="1392">
        <v>33.147848648304254</v>
      </c>
      <c r="P16" s="1392">
        <v>37.025684957446998</v>
      </c>
      <c r="Q16" s="429"/>
      <c r="R16" s="2720">
        <f>SUM(E16:P16)</f>
        <v>345.35525156221274</v>
      </c>
      <c r="S16" s="695"/>
      <c r="T16" s="416">
        <f>IF(MONTH(Factores!$D$2)=1,SUM($E16:E16),IF(MONTH(Factores!$D$2)=2,SUM($E16:F16),IF(MONTH(Factores!$D$2)=3,SUM($E16:G16),IF(MONTH(Factores!$D$2)=4,SUM($E16:H16),IF(MONTH(Factores!$D$2)=5,SUM($E16:I16),IF(MONTH(Factores!$D$2)=6,SUM($E16:J16),IF(MONTH(Factores!$D$2)=7,SUM($E16:K16),IF(MONTH(Factores!$D$2)=8,SUM($E16:L16),IF(MONTH(Factores!$D$2)=9,SUM($E16:M16),IF(MONTH(Factores!$D$2)=10,SUM($E16:N16),IF(MONTH(Factores!$D$2)=11,SUM($E16:O16),IF(MONTH(Factores!$D$2)=12,SUM($E16:P16)))))))))))))</f>
        <v>67.898280892432524</v>
      </c>
      <c r="U16" s="416">
        <f>IF(MONTH(Factores!$D$2)=1,SUM($E16:E16),IF(MONTH(Factores!$D$2)=2,SUM($E16:E16),IF(MONTH(Factores!$D$2)=3,SUM($E16:F16),IF(MONTH(Factores!$D$2)=4,SUM($E16:G16),IF(MONTH(Factores!$D$2)=5,SUM($E16:H16),IF(MONTH(Factores!$D$2)=6,SUM($E16:I16),IF(MONTH(Factores!$D$2)=7,SUM($E16:J16),IF(MONTH(Factores!$D$2)=8,SUM($E16:K16),IF(MONTH(Factores!$D$2)=9,SUM($E16:L16),IF(MONTH(Factores!$D$2)=10,SUM($E16:M16),IF(MONTH(Factores!$D$2)=11,SUM($E16:N16),IF(MONTH(Factores!$D$2)=12,SUM($E16:O16)))))))))))))</f>
        <v>39.665949508411785</v>
      </c>
      <c r="X16" s="2102"/>
    </row>
    <row r="17" spans="1:25" ht="18" customHeight="1">
      <c r="B17" s="1417" t="s">
        <v>208</v>
      </c>
      <c r="C17" s="1418" t="s">
        <v>204</v>
      </c>
      <c r="D17" s="1419"/>
      <c r="E17" s="1392">
        <v>0.62895255575384912</v>
      </c>
      <c r="F17" s="1392">
        <v>0.76346769706622397</v>
      </c>
      <c r="G17" s="3460">
        <v>1.0136223971677061</v>
      </c>
      <c r="H17" s="1392">
        <v>0.51652967956409324</v>
      </c>
      <c r="I17" s="1392">
        <v>1.0272583272025355</v>
      </c>
      <c r="J17" s="1392">
        <v>1.0389453394682702</v>
      </c>
      <c r="K17" s="1392">
        <v>0.73207713260762108</v>
      </c>
      <c r="L17" s="1392">
        <v>0.76079883694354944</v>
      </c>
      <c r="M17" s="1392">
        <v>0.68781637747912783</v>
      </c>
      <c r="N17" s="1392">
        <v>1.0433497200782786</v>
      </c>
      <c r="O17" s="1392">
        <v>0.79078227292588044</v>
      </c>
      <c r="P17" s="1392">
        <v>0.90859130168825741</v>
      </c>
      <c r="Q17" s="429"/>
      <c r="R17" s="2720">
        <f>SUM(E17:P17)</f>
        <v>9.9121916379453943</v>
      </c>
      <c r="S17" s="695"/>
      <c r="T17" s="416">
        <f>IF(MONTH(Factores!$D$2)=1,SUM($E17:E17),IF(MONTH(Factores!$D$2)=2,SUM($E17:F17),IF(MONTH(Factores!$D$2)=3,SUM($E17:G17),IF(MONTH(Factores!$D$2)=4,SUM($E17:H17),IF(MONTH(Factores!$D$2)=5,SUM($E17:I17),IF(MONTH(Factores!$D$2)=6,SUM($E17:J17),IF(MONTH(Factores!$D$2)=7,SUM($E17:K17),IF(MONTH(Factores!$D$2)=8,SUM($E17:L17),IF(MONTH(Factores!$D$2)=9,SUM($E17:M17),IF(MONTH(Factores!$D$2)=10,SUM($E17:N17),IF(MONTH(Factores!$D$2)=11,SUM($E17:O17),IF(MONTH(Factores!$D$2)=12,SUM($E17:P17)))))))))))))</f>
        <v>2.4060426499877794</v>
      </c>
      <c r="U17" s="416">
        <f>IF(MONTH(Factores!$D$2)=1,SUM($E17:E17),IF(MONTH(Factores!$D$2)=2,SUM($E17:E17),IF(MONTH(Factores!$D$2)=3,SUM($E17:F17),IF(MONTH(Factores!$D$2)=4,SUM($E17:G17),IF(MONTH(Factores!$D$2)=5,SUM($E17:H17),IF(MONTH(Factores!$D$2)=6,SUM($E17:I17),IF(MONTH(Factores!$D$2)=7,SUM($E17:J17),IF(MONTH(Factores!$D$2)=8,SUM($E17:K17),IF(MONTH(Factores!$D$2)=9,SUM($E17:L17),IF(MONTH(Factores!$D$2)=10,SUM($E17:M17),IF(MONTH(Factores!$D$2)=11,SUM($E17:N17),IF(MONTH(Factores!$D$2)=12,SUM($E17:O17)))))))))))))</f>
        <v>1.3924202528200731</v>
      </c>
      <c r="X17" s="2102"/>
    </row>
    <row r="18" spans="1:25" ht="18" customHeight="1">
      <c r="B18" s="1423" t="s">
        <v>209</v>
      </c>
      <c r="C18" s="1424" t="s">
        <v>204</v>
      </c>
      <c r="D18" s="1419"/>
      <c r="E18" s="1392">
        <v>0.61839591046685538</v>
      </c>
      <c r="F18" s="1392">
        <v>0.76082967194559237</v>
      </c>
      <c r="G18" s="3460">
        <v>1.0085542851818676</v>
      </c>
      <c r="H18" s="1392">
        <v>0.51394703116627272</v>
      </c>
      <c r="I18" s="1392">
        <v>1.0221220355665228</v>
      </c>
      <c r="J18" s="1392">
        <v>1.0337506127709288</v>
      </c>
      <c r="K18" s="1392">
        <v>0.72841674694458303</v>
      </c>
      <c r="L18" s="1392">
        <v>0.75699484275883167</v>
      </c>
      <c r="M18" s="1392">
        <v>0.68437729559173222</v>
      </c>
      <c r="N18" s="1392">
        <v>1.0381329714778873</v>
      </c>
      <c r="O18" s="1392">
        <v>0.78682836156125102</v>
      </c>
      <c r="P18" s="1392">
        <v>0.90404834517981614</v>
      </c>
      <c r="Q18" s="429"/>
      <c r="R18" s="2720">
        <f>SUM(E18:P18)</f>
        <v>9.8563981106121403</v>
      </c>
      <c r="S18" s="695"/>
      <c r="T18" s="416">
        <f>IF(MONTH(Factores!$D$2)=1,SUM($E18:E18),IF(MONTH(Factores!$D$2)=2,SUM($E18:F18),IF(MONTH(Factores!$D$2)=3,SUM($E18:G18),IF(MONTH(Factores!$D$2)=4,SUM($E18:H18),IF(MONTH(Factores!$D$2)=5,SUM($E18:I18),IF(MONTH(Factores!$D$2)=6,SUM($E18:J18),IF(MONTH(Factores!$D$2)=7,SUM($E18:K18),IF(MONTH(Factores!$D$2)=8,SUM($E18:L18),IF(MONTH(Factores!$D$2)=9,SUM($E18:M18),IF(MONTH(Factores!$D$2)=10,SUM($E18:N18),IF(MONTH(Factores!$D$2)=11,SUM($E18:O18),IF(MONTH(Factores!$D$2)=12,SUM($E18:P18)))))))))))))</f>
        <v>2.3877798675943156</v>
      </c>
      <c r="U18" s="416">
        <f>IF(MONTH(Factores!$D$2)=1,SUM($E18:E18),IF(MONTH(Factores!$D$2)=2,SUM($E18:E18),IF(MONTH(Factores!$D$2)=3,SUM($E18:F18),IF(MONTH(Factores!$D$2)=4,SUM($E18:G18),IF(MONTH(Factores!$D$2)=5,SUM($E18:H18),IF(MONTH(Factores!$D$2)=6,SUM($E18:I18),IF(MONTH(Factores!$D$2)=7,SUM($E18:J18),IF(MONTH(Factores!$D$2)=8,SUM($E18:K18),IF(MONTH(Factores!$D$2)=9,SUM($E18:L18),IF(MONTH(Factores!$D$2)=10,SUM($E18:M18),IF(MONTH(Factores!$D$2)=11,SUM($E18:N18),IF(MONTH(Factores!$D$2)=12,SUM($E18:O18)))))))))))))</f>
        <v>1.3792255824124477</v>
      </c>
      <c r="X18" s="2102"/>
    </row>
    <row r="19" spans="1:25" ht="18" customHeight="1">
      <c r="B19" s="111"/>
      <c r="C19" s="107"/>
      <c r="D19" s="104"/>
      <c r="E19" s="1393"/>
      <c r="F19" s="1393"/>
      <c r="G19" s="3461"/>
      <c r="H19" s="1393"/>
      <c r="I19" s="1393"/>
      <c r="J19" s="1393"/>
      <c r="K19" s="1393"/>
      <c r="L19" s="1393"/>
      <c r="M19" s="1393"/>
      <c r="N19" s="1393"/>
      <c r="O19" s="1393"/>
      <c r="P19" s="1393"/>
      <c r="Q19" s="73"/>
      <c r="R19" s="108"/>
      <c r="S19" s="77"/>
      <c r="T19" s="221"/>
      <c r="U19" s="221"/>
      <c r="X19" s="2102"/>
    </row>
    <row r="20" spans="1:25" s="254" customFormat="1" ht="18" customHeight="1">
      <c r="A20" s="729"/>
      <c r="B20" s="637" t="s">
        <v>210</v>
      </c>
      <c r="C20" s="230" t="s">
        <v>204</v>
      </c>
      <c r="D20" s="730"/>
      <c r="E20" s="1394">
        <v>3991.4993031464674</v>
      </c>
      <c r="F20" s="1394">
        <v>5179.1242879457095</v>
      </c>
      <c r="G20" s="3444">
        <v>5652.5026555182458</v>
      </c>
      <c r="H20" s="3445">
        <v>3827.554399135377</v>
      </c>
      <c r="I20" s="3445">
        <v>5976.7522358809938</v>
      </c>
      <c r="J20" s="3445">
        <v>6087.7298116054353</v>
      </c>
      <c r="K20" s="3445">
        <v>5860.1413876909501</v>
      </c>
      <c r="L20" s="3445">
        <v>5586.3023885482107</v>
      </c>
      <c r="M20" s="3445">
        <v>5557.3565396405447</v>
      </c>
      <c r="N20" s="3445">
        <v>6021.9984567759284</v>
      </c>
      <c r="O20" s="3445">
        <v>5840.9901649243047</v>
      </c>
      <c r="P20" s="1394">
        <v>6276.6827295932371</v>
      </c>
      <c r="Q20" s="534"/>
      <c r="R20" s="634">
        <f>SUM(E20:P20)</f>
        <v>65858.634360405413</v>
      </c>
      <c r="S20" s="715"/>
      <c r="T20" s="526">
        <f>IF(MONTH(Factores!$D$2)=1,SUM($E20:E20),IF(MONTH(Factores!$D$2)=2,SUM($E20:F20),IF(MONTH(Factores!$D$2)=3,SUM($E20:G20),IF(MONTH(Factores!$D$2)=4,SUM($E20:H20),IF(MONTH(Factores!$D$2)=5,SUM($E20:I20),IF(MONTH(Factores!$D$2)=6,SUM($E20:J20),IF(MONTH(Factores!$D$2)=7,SUM($E20:K20),IF(MONTH(Factores!$D$2)=8,SUM($E20:L20),IF(MONTH(Factores!$D$2)=9,SUM($E20:M20),IF(MONTH(Factores!$D$2)=10,SUM($E20:N20),IF(MONTH(Factores!$D$2)=11,SUM($E20:O20),IF(MONTH(Factores!$D$2)=12,SUM($E20:P20)))))))))))))</f>
        <v>14823.126246610424</v>
      </c>
      <c r="U20" s="315">
        <f>IF(MONTH(Factores!$D$2)=1,SUM($E20:E20),IF(MONTH(Factores!$D$2)=2,SUM($E20:E20),IF(MONTH(Factores!$D$2)=3,SUM($E20:F20),IF(MONTH(Factores!$D$2)=4,SUM($E20:G20),IF(MONTH(Factores!$D$2)=5,SUM($E20:H20),IF(MONTH(Factores!$D$2)=6,SUM($E20:I20),IF(MONTH(Factores!$D$2)=7,SUM($E20:J20),IF(MONTH(Factores!$D$2)=8,SUM($E20:K20),IF(MONTH(Factores!$D$2)=9,SUM($E20:L20),IF(MONTH(Factores!$D$2)=10,SUM($E20:M20),IF(MONTH(Factores!$D$2)=11,SUM($E20:N20),IF(MONTH(Factores!$D$2)=12,SUM($E20:O20)))))))))))))</f>
        <v>9170.6235910921769</v>
      </c>
      <c r="X20" s="2103"/>
      <c r="Y20" s="2032"/>
    </row>
    <row r="21" spans="1:25" ht="18" customHeight="1">
      <c r="B21" s="78" t="s">
        <v>210</v>
      </c>
      <c r="C21" s="103" t="s">
        <v>211</v>
      </c>
      <c r="D21" s="104"/>
      <c r="E21" s="1394">
        <v>130.86882961135959</v>
      </c>
      <c r="F21" s="1394">
        <v>184.96872456948964</v>
      </c>
      <c r="G21" s="3444">
        <v>182.33879533929826</v>
      </c>
      <c r="H21" s="3445">
        <v>127.5851466378459</v>
      </c>
      <c r="I21" s="3445">
        <v>192.79845922196753</v>
      </c>
      <c r="J21" s="3445">
        <v>202.9243270535145</v>
      </c>
      <c r="K21" s="3445">
        <v>189.0368189577726</v>
      </c>
      <c r="L21" s="3445">
        <v>180.20330285639389</v>
      </c>
      <c r="M21" s="3445">
        <v>185.24521798801817</v>
      </c>
      <c r="N21" s="3445">
        <v>194.25801473470736</v>
      </c>
      <c r="O21" s="3445">
        <v>194.69967216414349</v>
      </c>
      <c r="P21" s="1394">
        <v>202.47363643849152</v>
      </c>
      <c r="Q21" s="84"/>
      <c r="R21" s="110">
        <v>184.38596733286485</v>
      </c>
      <c r="S21" s="77"/>
      <c r="T21" s="83">
        <f>T20/T6</f>
        <v>165.62152230849634</v>
      </c>
      <c r="U21" s="83">
        <f>U20/U6</f>
        <v>156.76279642892609</v>
      </c>
      <c r="X21" s="2102"/>
    </row>
    <row r="22" spans="1:25" s="254" customFormat="1" ht="18" customHeight="1">
      <c r="A22" s="729"/>
      <c r="B22" s="637" t="s">
        <v>212</v>
      </c>
      <c r="C22" s="230" t="s">
        <v>81</v>
      </c>
      <c r="D22" s="730"/>
      <c r="E22" s="1394">
        <v>8132.6948361426239</v>
      </c>
      <c r="F22" s="1394">
        <v>8510.9605241702011</v>
      </c>
      <c r="G22" s="3444">
        <v>8052.7227724777731</v>
      </c>
      <c r="H22" s="3445">
        <v>8476.6749120904951</v>
      </c>
      <c r="I22" s="3445">
        <v>8664.2481282027202</v>
      </c>
      <c r="J22" s="3445">
        <v>8842.4354931903326</v>
      </c>
      <c r="K22" s="3445">
        <v>8445.2754672373921</v>
      </c>
      <c r="L22" s="3445">
        <v>8355.7271404884959</v>
      </c>
      <c r="M22" s="3445">
        <v>8171.2341118279128</v>
      </c>
      <c r="N22" s="3445">
        <v>8395.3188191811369</v>
      </c>
      <c r="O22" s="3445">
        <v>8397.5932622870314</v>
      </c>
      <c r="P22" s="1394">
        <v>8785.766581685104</v>
      </c>
      <c r="Q22" s="534"/>
      <c r="R22" s="109">
        <v>8481.3114957317212</v>
      </c>
      <c r="S22" s="715"/>
      <c r="T22" s="81">
        <f>IF(MONTH(Factores!$D$2)=1,SUMPRODUCT($E$6:$E$6,$E22:E22)/SUM($E$6:$E$6),IF(MONTH(Factores!$D$2)=2,SUMPRODUCT($E$6:$F$6,$E22:F22)/SUM($E$6:$F$6),IF(MONTH(Factores!$D$2)=3,SUMPRODUCT($E$6:$G$6,$E22:G22)/SUM($E$6:$G$6),IF(MONTH(Factores!$D$2)=4,SUMPRODUCT($E$6:$H$6,$E22:H22)/SUM($E$6:$H$6),IF(MONTH(Factores!$D$2)=5,SUMPRODUCT($E$6:$I$6,$E22:I22)/SUM($E$6:$I$6),IF(MONTH(Factores!$D$2)=6,SUMPRODUCT($E$6:$J$6,$E22:J22)/SUM($E$6:$J$6),IF(MONTH(Factores!$D$2)=7,SUMPRODUCT($E$6:$K$6,$E22:K22)/SUM($E$6:$K$6),IF(MONTH(Factores!$D$2)=8,SUMPRODUCT($E$6:$L$6,$E22:L22)/SUM($E$6:$L$6),IF(MONTH(Factores!$D$2)=9,SUMPRODUCT($E$6:$M$6,$E22:M22)/SUM($E$6:$M$6),IF(MONTH(Factores!$D$2)=10,SUMPRODUCT($E$6:$N$6,$E22:N22)/SUM($E$6:$N$6),IF(MONTH(Factores!$D$2)=11,SUMPRODUCT($E$6:$O$6,$E22:O22)/SUM($E$6:$O$6),IF(MONTH(Factores!$D$2)=12,SUMPRODUCT($E$6:$P$6,$E22:P22)/SUM($E$6:$P$6)))))))))))))</f>
        <v>8223.3351187254375</v>
      </c>
      <c r="U22" s="223" t="e">
        <f>U20*1000/U31</f>
        <v>#DIV/0!</v>
      </c>
      <c r="X22" s="2103"/>
      <c r="Y22" s="2032"/>
    </row>
    <row r="23" spans="1:25" ht="18" customHeight="1">
      <c r="B23" s="78" t="s">
        <v>213</v>
      </c>
      <c r="C23" s="103" t="s">
        <v>48</v>
      </c>
      <c r="D23" s="104"/>
      <c r="E23" s="1391"/>
      <c r="F23" s="1391"/>
      <c r="G23" s="3432"/>
      <c r="H23" s="3446"/>
      <c r="I23" s="3446"/>
      <c r="J23" s="3446"/>
      <c r="K23" s="3446"/>
      <c r="L23" s="3446"/>
      <c r="M23" s="3446"/>
      <c r="N23" s="3446"/>
      <c r="O23" s="3446"/>
      <c r="P23" s="1391"/>
      <c r="Q23" s="86"/>
      <c r="R23" s="105">
        <f>SUMPRODUCT(E23:P23,E20:P20)/SUM(E20:P20)</f>
        <v>0</v>
      </c>
      <c r="S23" s="690"/>
      <c r="T23" s="224">
        <f>IF(MONTH(Factores!$D$2)=1,SUMPRODUCT($E$20:$E$20,$E23:E23)/SUM($E$20:$E$20),IF(MONTH(Factores!$D$2)=2,SUMPRODUCT($E$20:$F$20,$E23:F23)/SUM($E$20:$F$20),IF(MONTH(Factores!$D$2)=3,SUMPRODUCT($E$20:$G$20,$E23:G23)/SUM($E$20:$G$20),IF(MONTH(Factores!$D$2)=4,SUMPRODUCT($E$20:$H$20,$E23:H23)/SUM($E$20:$H$20),IF(MONTH(Factores!$D$2)=5,SUMPRODUCT($E$20:$I$20,$E23:I23)/SUM($E$20:$I$20),IF(MONTH(Factores!$D$2)=6,SUMPRODUCT($E$20:$J$20,$E23:J23)/SUM($E$20:$J$20),IF(MONTH(Factores!$D$2)=7,SUMPRODUCT($E$20:$K$20,$E23:K23)/SUM($E$20:$K$20),IF(MONTH(Factores!$D$2)=8,SUMPRODUCT($E$20:$L$20,$E23:L23)/SUM($E$20:$L$20),IF(MONTH(Factores!$D$2)=9,SUMPRODUCT($E$20:$M$20,$E23:M23)/SUM($E$20:$M$20),IF(MONTH(Factores!$D$2)=10,SUMPRODUCT($E$20:$N$20,$E23:N23)/SUM($E$20:$N$20),IF(MONTH(Factores!$D$2)=11,SUMPRODUCT($E$20:$O$20,$E23:O23)/SUM($E$20:$O$20),IF(MONTH(Factores!$D$2)=12,SUMPRODUCT($E$20:$P$20,$E23:P23)/SUM($E$20:$P$20)))))))))))))</f>
        <v>0</v>
      </c>
      <c r="U23" s="224">
        <f>IF(MONTH(Factores!$D$2)=1,SUMPRODUCT($E$20:$E$20,$E23:E23)/SUM($E$20:$E$20),IF(MONTH(Factores!$D$2)=2,SUMPRODUCT($E$20:$E$20,$E23:E23)/SUM($E$20:$E$20),IF(MONTH(Factores!$D$2)=3,SUMPRODUCT($E$20:$F$20,$E23:F23)/SUM($E$20:$F$20),IF(MONTH(Factores!$D$2)=4,SUMPRODUCT($E$20:$G$20,$E23:G23)/SUM($E$20:$G$20),IF(MONTH(Factores!$D$2)=5,SUMPRODUCT($E$20:$H$20,$E23:H23)/SUM($E$20:$H$20),IF(MONTH(Factores!$D$2)=6,SUMPRODUCT($E$20:$I$20,$E23:I23)/SUM($E$20:$I$20),IF(MONTH(Factores!$D$2)=7,SUMPRODUCT($E$20:$J$20,$E23:J23)/SUM($E$20:$J$20),IF(MONTH(Factores!$D$2)=8,SUMPRODUCT($E$20:$K$20,$E23:K23)/SUM($E$20:$K$20),IF(MONTH(Factores!$D$2)=9,SUMPRODUCT($E$20:$L$20,$E23:L23)/SUM($E$20:$L$20),IF(MONTH(Factores!$D$2)=10,SUMPRODUCT($E$20:$M$20,$E23:M23)/SUM($E$20:$M$20),IF(MONTH(Factores!$D$2)=11,SUMPRODUCT($E$20:$N$20,$E23:N23)/SUM($E$20:$N$20),IF(MONTH(Factores!$D$2)=12,SUMPRODUCT($E$20:$O$20,$E23:O23)/SUM($E$20:$O$20)))))))))))))</f>
        <v>0</v>
      </c>
      <c r="X23" s="2102"/>
    </row>
    <row r="24" spans="1:25" ht="18" customHeight="1">
      <c r="B24" s="78" t="s">
        <v>88</v>
      </c>
      <c r="C24" s="103" t="s">
        <v>214</v>
      </c>
      <c r="D24" s="104"/>
      <c r="E24" s="1391">
        <v>36.845132665683579</v>
      </c>
      <c r="F24" s="1391">
        <v>37.665762616376995</v>
      </c>
      <c r="G24" s="3432">
        <v>38.199062859458614</v>
      </c>
      <c r="H24" s="3446">
        <v>36.901884830506098</v>
      </c>
      <c r="I24" s="3446">
        <v>37.826236919894015</v>
      </c>
      <c r="J24" s="3446">
        <v>38.499030069188493</v>
      </c>
      <c r="K24" s="3446">
        <v>38.707358788663456</v>
      </c>
      <c r="L24" s="3446">
        <v>38.031369940431844</v>
      </c>
      <c r="M24" s="3446">
        <v>38.491546675638176</v>
      </c>
      <c r="N24" s="3446">
        <v>40.114388237046718</v>
      </c>
      <c r="O24" s="3446">
        <v>38.337301222928204</v>
      </c>
      <c r="P24" s="1391">
        <v>39.751021567414178</v>
      </c>
      <c r="Q24" s="86"/>
      <c r="R24" s="105">
        <f>SUMPRODUCT(E24:P24,E20:P20)/SUM(E20:P20)</f>
        <v>38.384560165214467</v>
      </c>
      <c r="S24" s="690"/>
      <c r="T24" s="224">
        <f>IF(MONTH(Factores!$D$2)=1,SUMPRODUCT($E$20:$E$20,$E24:E24)/SUM($E$20:$E$20),IF(MONTH(Factores!$D$2)=2,SUMPRODUCT($E$20:$F$20,$E24:F24)/SUM($E$20:$F$20),IF(MONTH(Factores!$D$2)=3,SUMPRODUCT($E$20:$G$20,$E24:G24)/SUM($E$20:$G$20),IF(MONTH(Factores!$D$2)=4,SUMPRODUCT($E$20:$H$20,$E24:H24)/SUM($E$20:$H$20),IF(MONTH(Factores!$D$2)=5,SUMPRODUCT($E$20:$I$20,$E24:I24)/SUM($E$20:$I$20),IF(MONTH(Factores!$D$2)=6,SUMPRODUCT($E$20:$J$20,$E24:J24)/SUM($E$20:$J$20),IF(MONTH(Factores!$D$2)=7,SUMPRODUCT($E$20:$K$20,$E24:K24)/SUM($E$20:$K$20),IF(MONTH(Factores!$D$2)=8,SUMPRODUCT($E$20:$L$20,$E24:L24)/SUM($E$20:$L$20),IF(MONTH(Factores!$D$2)=9,SUMPRODUCT($E$20:$M$20,$E24:M24)/SUM($E$20:$M$20),IF(MONTH(Factores!$D$2)=10,SUMPRODUCT($E$20:$N$20,$E24:N24)/SUM($E$20:$N$20),IF(MONTH(Factores!$D$2)=11,SUMPRODUCT($E$20:$O$20,$E24:O24)/SUM($E$20:$O$20),IF(MONTH(Factores!$D$2)=12,SUMPRODUCT($E$20:$P$20,$E24:P24)/SUM($E$20:$P$20)))))))))))))</f>
        <v>37.648150755573589</v>
      </c>
      <c r="U24" s="224">
        <f>IF(MONTH(Factores!$D$2)=1,SUMPRODUCT($E$20:$E$20,$E24:E24)/SUM($E$20:$E$20),IF(MONTH(Factores!$D$2)=2,SUMPRODUCT($E$20:$E$20,$E24:E24)/SUM($E$20:$E$20),IF(MONTH(Factores!$D$2)=3,SUMPRODUCT($E$20:$F$20,$E24:F24)/SUM($E$20:$F$20),IF(MONTH(Factores!$D$2)=4,SUMPRODUCT($E$20:$G$20,$E24:G24)/SUM($E$20:$G$20),IF(MONTH(Factores!$D$2)=5,SUMPRODUCT($E$20:$H$20,$E24:H24)/SUM($E$20:$H$20),IF(MONTH(Factores!$D$2)=6,SUMPRODUCT($E$20:$I$20,$E24:I24)/SUM($E$20:$I$20),IF(MONTH(Factores!$D$2)=7,SUMPRODUCT($E$20:$J$20,$E24:J24)/SUM($E$20:$J$20),IF(MONTH(Factores!$D$2)=8,SUMPRODUCT($E$20:$K$20,$E24:K24)/SUM($E$20:$K$20),IF(MONTH(Factores!$D$2)=9,SUMPRODUCT($E$20:$L$20,$E24:L24)/SUM($E$20:$L$20),IF(MONTH(Factores!$D$2)=10,SUMPRODUCT($E$20:$M$20,$E24:M24)/SUM($E$20:$M$20),IF(MONTH(Factores!$D$2)=11,SUMPRODUCT($E$20:$N$20,$E24:N24)/SUM($E$20:$N$20),IF(MONTH(Factores!$D$2)=12,SUMPRODUCT($E$20:$O$20,$E24:O24)/SUM($E$20:$O$20)))))))))))))</f>
        <v>37.308584738144638</v>
      </c>
      <c r="X24" s="2102"/>
    </row>
    <row r="25" spans="1:25" ht="18" customHeight="1">
      <c r="B25" s="78" t="s">
        <v>215</v>
      </c>
      <c r="C25" s="103" t="s">
        <v>48</v>
      </c>
      <c r="D25" s="104"/>
      <c r="E25" s="2531">
        <v>0.67093811295909245</v>
      </c>
      <c r="F25" s="2531">
        <v>0.90621602999999984</v>
      </c>
      <c r="G25" s="3447">
        <v>0.94409794889038334</v>
      </c>
      <c r="H25" s="3448">
        <v>0.62757414871438499</v>
      </c>
      <c r="I25" s="3448">
        <v>0.93281644354293447</v>
      </c>
      <c r="J25" s="3448">
        <v>0.96491596355991593</v>
      </c>
      <c r="K25" s="3448">
        <v>0.94087569491525413</v>
      </c>
      <c r="L25" s="3448">
        <v>0.90406990534144693</v>
      </c>
      <c r="M25" s="3448">
        <v>0.94525679638637938</v>
      </c>
      <c r="N25" s="3448">
        <v>0.96476707464694011</v>
      </c>
      <c r="O25" s="3448">
        <v>0.96672030576789436</v>
      </c>
      <c r="P25" s="2531">
        <v>0.96088086079354407</v>
      </c>
      <c r="Q25" s="86"/>
      <c r="R25" s="2721">
        <v>0.91207443025425516</v>
      </c>
      <c r="S25" s="690"/>
      <c r="T25" s="81">
        <f>IF(MONTH(Factores!$D$2)=1,SUMPRODUCT($E$6:$E$6,$E25:E25)/SUM($E$6:$E$6),IF(MONTH(Factores!$D$2)=2,SUMPRODUCT($E$6:$F$6,$E25:F25)/SUM($E$6:$F$6),IF(MONTH(Factores!$D$2)=3,SUMPRODUCT($E$6:$G$6,$E25:G25)/SUM($E$6:$G$6),IF(MONTH(Factores!$D$2)=4,SUMPRODUCT($E$6:$H$6,$E25:H25)/SUM($E$6:$H$6),IF(MONTH(Factores!$D$2)=5,SUMPRODUCT($E$6:$I$6,$E25:I25)/SUM($E$6:$I$6),IF(MONTH(Factores!$D$2)=6,SUMPRODUCT($E$6:$J$6,$E25:J25)/SUM($E$6:$J$6),IF(MONTH(Factores!$D$2)=7,SUMPRODUCT($E$6:$K$6,$E25:K25)/SUM($E$6:$K$6),IF(MONTH(Factores!$D$2)=8,SUMPRODUCT($E$6:$L$6,$E25:L25)/SUM($E$6:$L$6),IF(MONTH(Factores!$D$2)=9,SUMPRODUCT($E$6:$M$6,$E25:M25)/SUM($E$6:$M$6),IF(MONTH(Factores!$D$2)=10,SUMPRODUCT($E$6:$N$6,$E25:N25)/SUM($E$6:$N$6),IF(MONTH(Factores!$D$2)=11,SUMPRODUCT($E$6:$O$6,$E25:O25)/SUM($E$6:$O$6),IF(MONTH(Factores!$D$2)=12,SUMPRODUCT($E$6:$P$6,$E25:P25)/SUM($E$6:$P$6)))))))))))))</f>
        <v>0.83915863352909725</v>
      </c>
      <c r="U25" s="81">
        <f>IF(MONTH(Factores!$D$2)=1,SUMPRODUCT($E$6:$E$6,$E25:E25)/SUM($E$6:$E$6),IF(MONTH(Factores!$D$2)=2,SUMPRODUCT($E$6:$E$6,$E25:E25)/SUM($E$6:$E$6),IF(MONTH(Factores!$D$2)=3,SUMPRODUCT($E$6:$F$6,$E25:F25)/SUM($E$6:$F$6),IF(MONTH(Factores!$D$2)=4,SUMPRODUCT($E$6:$G$6,$E25:G25)/SUM($E$6:$G$6),IF(MONTH(Factores!$D$2)=5,SUMPRODUCT($E$6:$H$6,$E25:H25)/SUM($E$6:$H$6),IF(MONTH(Factores!$D$2)=6,SUMPRODUCT($E$6:$I$6,$E25:I25)/SUM($E$6:$I$6),IF(MONTH(Factores!$D$2)=7,SUMPRODUCT($E$6:$J$6,$E25:J25)/SUM($E$6:$J$6),IF(MONTH(Factores!$D$2)=8,SUMPRODUCT($E$6:$K$6,$E25:K25)/SUM($E$6:$K$6),IF(MONTH(Factores!$D$2)=9,SUMPRODUCT($E$6:$L$6,$E25:L25)/SUM($E$6:$L$6),IF(MONTH(Factores!$D$2)=10,SUMPRODUCT($E$6:$M$6,$E25:M25)/SUM($E$6:$M$6),IF(MONTH(Factores!$D$2)=11,SUMPRODUCT($E$6:$N$6,$E25:N25)/SUM($E$6:$N$6),IF(MONTH(Factores!$D$2)=12,SUMPRODUCT($E$6:$O$6,$E25:O25)/SUM($E$6:$O$6)))))))))))))</f>
        <v>0.78354976555986866</v>
      </c>
      <c r="X25" s="2102"/>
    </row>
    <row r="26" spans="1:25" ht="18" customHeight="1">
      <c r="B26" s="78" t="s">
        <v>1640</v>
      </c>
      <c r="C26" s="103" t="s">
        <v>218</v>
      </c>
      <c r="D26" s="104"/>
      <c r="E26" s="1395">
        <v>490.79664042080964</v>
      </c>
      <c r="F26" s="1395">
        <v>608.5240641449999</v>
      </c>
      <c r="G26" s="3449">
        <v>701.936825</v>
      </c>
      <c r="H26" s="3313">
        <v>451.53960000000001</v>
      </c>
      <c r="I26" s="3313">
        <v>689.81776000000002</v>
      </c>
      <c r="J26" s="3313">
        <v>688.46753999999999</v>
      </c>
      <c r="K26" s="3313">
        <v>693.89582499999995</v>
      </c>
      <c r="L26" s="3313">
        <v>668.55969500000003</v>
      </c>
      <c r="M26" s="3313">
        <v>680.11226499999998</v>
      </c>
      <c r="N26" s="3313">
        <v>717.30431999999996</v>
      </c>
      <c r="O26" s="3313">
        <v>695.55525999999998</v>
      </c>
      <c r="P26" s="3313">
        <v>714.41492000000005</v>
      </c>
      <c r="Q26" s="73"/>
      <c r="R26" s="681"/>
      <c r="S26" s="77"/>
      <c r="T26" s="225">
        <f>IF(MONTH(Factores!$D$2)=1,SUM($E26:E26),IF(MONTH(Factores!$D$2)=2,SUM($E26:F26),IF(MONTH(Factores!$D$2)=3,SUM($E26:G26),IF(MONTH(Factores!$D$2)=4,SUM($E26:H26),IF(MONTH(Factores!$D$2)=5,SUM($E26:I26),IF(MONTH(Factores!$D$2)=6,SUM($E26:J26),IF(MONTH(Factores!$D$2)=7,SUM($E26:K26),IF(MONTH(Factores!$D$2)=8,SUM($E26:L26),IF(MONTH(Factores!$D$2)=9,SUM($E26:M26),IF(MONTH(Factores!$D$2)=10,SUM($E26:N26),IF(MONTH(Factores!$D$2)=11,SUM($E26:O26),IF(MONTH(Factores!$D$2)=12,SUM($E26:P26)))))))))))))</f>
        <v>1801.2575295658096</v>
      </c>
      <c r="U26" s="551"/>
      <c r="X26" s="2102"/>
    </row>
    <row r="27" spans="1:25" ht="18" customHeight="1">
      <c r="B27" s="78" t="s">
        <v>217</v>
      </c>
      <c r="C27" s="103" t="s">
        <v>218</v>
      </c>
      <c r="D27" s="104"/>
      <c r="E27" s="1395">
        <v>731.50806451612902</v>
      </c>
      <c r="F27" s="1395">
        <v>671.5</v>
      </c>
      <c r="G27" s="3449">
        <v>743.5</v>
      </c>
      <c r="H27" s="3313">
        <v>719.5</v>
      </c>
      <c r="I27" s="3313">
        <v>739.5</v>
      </c>
      <c r="J27" s="3313">
        <v>713.5</v>
      </c>
      <c r="K27" s="3313">
        <v>737.5</v>
      </c>
      <c r="L27" s="3313">
        <v>739.5</v>
      </c>
      <c r="M27" s="3313">
        <v>719.5</v>
      </c>
      <c r="N27" s="3313">
        <v>743.5</v>
      </c>
      <c r="O27" s="3313">
        <v>719.5</v>
      </c>
      <c r="P27" s="1395">
        <v>743.5</v>
      </c>
      <c r="Q27" s="84"/>
      <c r="R27" s="425">
        <f>SUM(E27:P27)</f>
        <v>8722.0080645161288</v>
      </c>
      <c r="S27" s="715"/>
      <c r="T27" s="225">
        <f>IF(MONTH(Factores!$D$2)=1,SUM($E27:E27),IF(MONTH(Factores!$D$2)=2,SUM($E27:F27),IF(MONTH(Factores!$D$2)=3,SUM($E27:G27),IF(MONTH(Factores!$D$2)=4,SUM($E27:H27),IF(MONTH(Factores!$D$2)=5,SUM($E27:I27),IF(MONTH(Factores!$D$2)=6,SUM($E27:J27),IF(MONTH(Factores!$D$2)=7,SUM($E27:K27),IF(MONTH(Factores!$D$2)=8,SUM($E27:L27),IF(MONTH(Factores!$D$2)=9,SUM($E27:M27),IF(MONTH(Factores!$D$2)=10,SUM($E27:N27),IF(MONTH(Factores!$D$2)=11,SUM($E27:O27),IF(MONTH(Factores!$D$2)=12,SUM($E27:P27)))))))))))))</f>
        <v>2146.5080645161288</v>
      </c>
      <c r="U27" s="225">
        <f>IF(MONTH(Factores!$D$2)=1,SUM($E27:E27),IF(MONTH(Factores!$D$2)=2,SUM($E27:E27),IF(MONTH(Factores!$D$2)=3,SUM($E27:F27),IF(MONTH(Factores!$D$2)=4,SUM($E27:G27),IF(MONTH(Factores!$D$2)=5,SUM($E27:H27),IF(MONTH(Factores!$D$2)=6,SUM($E27:I27),IF(MONTH(Factores!$D$2)=7,SUM($E27:J27),IF(MONTH(Factores!$D$2)=8,SUM($E27:K27),IF(MONTH(Factores!$D$2)=9,SUM($E27:L27),IF(MONTH(Factores!$D$2)=10,SUM($E27:M27),IF(MONTH(Factores!$D$2)=11,SUM($E27:N27),IF(MONTH(Factores!$D$2)=12,SUM($E27:O27)))))))))))))</f>
        <v>1403.008064516129</v>
      </c>
      <c r="X27" s="2102"/>
    </row>
    <row r="28" spans="1:25" ht="18" customHeight="1" outlineLevel="1">
      <c r="B28" s="78" t="s">
        <v>219</v>
      </c>
      <c r="C28" s="87" t="s">
        <v>218</v>
      </c>
      <c r="D28" s="104"/>
      <c r="E28" s="1395"/>
      <c r="F28" s="1395"/>
      <c r="G28" s="3449"/>
      <c r="H28" s="3313"/>
      <c r="I28" s="3313"/>
      <c r="J28" s="3313"/>
      <c r="K28" s="3313"/>
      <c r="L28" s="3313"/>
      <c r="M28" s="3313"/>
      <c r="N28" s="3313"/>
      <c r="O28" s="3313"/>
      <c r="P28" s="1395"/>
      <c r="Q28" s="84"/>
      <c r="R28" s="425"/>
      <c r="S28" s="715"/>
      <c r="T28" s="225">
        <f>IF(MONTH(Factores!$D$2)=1,SUM($E28:E28),IF(MONTH(Factores!$D$2)=2,SUM($E28:F28),IF(MONTH(Factores!$D$2)=3,SUM($E28:G28),IF(MONTH(Factores!$D$2)=4,SUM($E28:H28),IF(MONTH(Factores!$D$2)=5,SUM($E28:I28),IF(MONTH(Factores!$D$2)=6,SUM($E28:J28),IF(MONTH(Factores!$D$2)=7,SUM($E28:K28),IF(MONTH(Factores!$D$2)=8,SUM($E28:L28),IF(MONTH(Factores!$D$2)=9,SUM($E28:M28),IF(MONTH(Factores!$D$2)=10,SUM($E28:N28),IF(MONTH(Factores!$D$2)=11,SUM($E28:O28),IF(MONTH(Factores!$D$2)=12,SUM($E28:P28)))))))))))))</f>
        <v>0</v>
      </c>
      <c r="U28" s="225">
        <f>IF(MONTH(Factores!$D$2)=1,SUM($E28:E28),IF(MONTH(Factores!$D$2)=2,SUM($E28:E28),IF(MONTH(Factores!$D$2)=3,SUM($E28:F28),IF(MONTH(Factores!$D$2)=4,SUM($E28:G28),IF(MONTH(Factores!$D$2)=5,SUM($E28:H28),IF(MONTH(Factores!$D$2)=6,SUM($E28:I28),IF(MONTH(Factores!$D$2)=7,SUM($E28:J28),IF(MONTH(Factores!$D$2)=8,SUM($E28:K28),IF(MONTH(Factores!$D$2)=9,SUM($E28:L28),IF(MONTH(Factores!$D$2)=10,SUM($E28:M28),IF(MONTH(Factores!$D$2)=11,SUM($E28:N28),IF(MONTH(Factores!$D$2)=12,SUM($E28:O28)))))))))))))</f>
        <v>0</v>
      </c>
      <c r="X28" s="2102"/>
    </row>
    <row r="29" spans="1:25" ht="18" customHeight="1" outlineLevel="1">
      <c r="B29" s="78" t="s">
        <v>220</v>
      </c>
      <c r="C29" s="87" t="s">
        <v>218</v>
      </c>
      <c r="D29" s="104"/>
      <c r="E29" s="1395"/>
      <c r="F29" s="1395"/>
      <c r="G29" s="3449"/>
      <c r="H29" s="3313"/>
      <c r="I29" s="3313"/>
      <c r="J29" s="3313"/>
      <c r="K29" s="3313"/>
      <c r="L29" s="3313"/>
      <c r="M29" s="3313"/>
      <c r="N29" s="3313"/>
      <c r="O29" s="3313"/>
      <c r="P29" s="1395"/>
      <c r="Q29" s="84"/>
      <c r="R29" s="425"/>
      <c r="S29" s="715"/>
      <c r="T29" s="225">
        <f>IF(MONTH(Factores!$D$2)=1,SUM($E29:E29),IF(MONTH(Factores!$D$2)=2,SUM($E29:F29),IF(MONTH(Factores!$D$2)=3,SUM($E29:G29),IF(MONTH(Factores!$D$2)=4,SUM($E29:H29),IF(MONTH(Factores!$D$2)=5,SUM($E29:I29),IF(MONTH(Factores!$D$2)=6,SUM($E29:J29),IF(MONTH(Factores!$D$2)=7,SUM($E29:K29),IF(MONTH(Factores!$D$2)=8,SUM($E29:L29),IF(MONTH(Factores!$D$2)=9,SUM($E29:M29),IF(MONTH(Factores!$D$2)=10,SUM($E29:N29),IF(MONTH(Factores!$D$2)=11,SUM($E29:O29),IF(MONTH(Factores!$D$2)=12,SUM($E29:P29)))))))))))))</f>
        <v>0</v>
      </c>
      <c r="U29" s="225">
        <f>IF(MONTH(Factores!$D$2)=1,SUM($E29:E29),IF(MONTH(Factores!$D$2)=2,SUM($E29:E29),IF(MONTH(Factores!$D$2)=3,SUM($E29:F29),IF(MONTH(Factores!$D$2)=4,SUM($E29:G29),IF(MONTH(Factores!$D$2)=5,SUM($E29:H29),IF(MONTH(Factores!$D$2)=6,SUM($E29:I29),IF(MONTH(Factores!$D$2)=7,SUM($E29:J29),IF(MONTH(Factores!$D$2)=8,SUM($E29:K29),IF(MONTH(Factores!$D$2)=9,SUM($E29:L29),IF(MONTH(Factores!$D$2)=10,SUM($E29:M29),IF(MONTH(Factores!$D$2)=11,SUM($E29:N29),IF(MONTH(Factores!$D$2)=12,SUM($E29:O29)))))))))))))</f>
        <v>0</v>
      </c>
      <c r="X29" s="2102"/>
    </row>
    <row r="30" spans="1:25" ht="18" customHeight="1" outlineLevel="1">
      <c r="B30" s="78" t="s">
        <v>221</v>
      </c>
      <c r="C30" s="87" t="s">
        <v>218</v>
      </c>
      <c r="D30" s="104"/>
      <c r="E30" s="1395"/>
      <c r="F30" s="1395"/>
      <c r="G30" s="3449"/>
      <c r="H30" s="3313"/>
      <c r="I30" s="3313"/>
      <c r="J30" s="3313"/>
      <c r="K30" s="3313"/>
      <c r="L30" s="3313"/>
      <c r="M30" s="3313"/>
      <c r="N30" s="3313"/>
      <c r="O30" s="3313"/>
      <c r="P30" s="1395"/>
      <c r="Q30" s="84"/>
      <c r="R30" s="425"/>
      <c r="S30" s="715"/>
      <c r="T30" s="225">
        <f>IF(MONTH(Factores!$D$2)=1,SUM($E30:E30),IF(MONTH(Factores!$D$2)=2,SUM($E30:F30),IF(MONTH(Factores!$D$2)=3,SUM($E30:G30),IF(MONTH(Factores!$D$2)=4,SUM($E30:H30),IF(MONTH(Factores!$D$2)=5,SUM($E30:I30),IF(MONTH(Factores!$D$2)=6,SUM($E30:J30),IF(MONTH(Factores!$D$2)=7,SUM($E30:K30),IF(MONTH(Factores!$D$2)=8,SUM($E30:L30),IF(MONTH(Factores!$D$2)=9,SUM($E30:M30),IF(MONTH(Factores!$D$2)=10,SUM($E30:N30),IF(MONTH(Factores!$D$2)=11,SUM($E30:O30),IF(MONTH(Factores!$D$2)=12,SUM($E30:P30)))))))))))))</f>
        <v>0</v>
      </c>
      <c r="U30" s="225">
        <f>IF(MONTH(Factores!$D$2)=1,SUM($E30:E30),IF(MONTH(Factores!$D$2)=2,SUM($E30:E30),IF(MONTH(Factores!$D$2)=3,SUM($E30:F30),IF(MONTH(Factores!$D$2)=4,SUM($E30:G30),IF(MONTH(Factores!$D$2)=5,SUM($E30:H30),IF(MONTH(Factores!$D$2)=6,SUM($E30:I30),IF(MONTH(Factores!$D$2)=7,SUM($E30:J30),IF(MONTH(Factores!$D$2)=8,SUM($E30:K30),IF(MONTH(Factores!$D$2)=9,SUM($E30:L30),IF(MONTH(Factores!$D$2)=10,SUM($E30:M30),IF(MONTH(Factores!$D$2)=11,SUM($E30:N30),IF(MONTH(Factores!$D$2)=12,SUM($E30:O30)))))))))))))</f>
        <v>0</v>
      </c>
      <c r="X30" s="2102"/>
    </row>
    <row r="31" spans="1:25" ht="18" customHeight="1">
      <c r="B31" s="78" t="s">
        <v>222</v>
      </c>
      <c r="C31" s="103" t="s">
        <v>218</v>
      </c>
      <c r="D31" s="104"/>
      <c r="E31" s="1395"/>
      <c r="F31" s="1395"/>
      <c r="G31" s="3449"/>
      <c r="H31" s="3313"/>
      <c r="I31" s="3313"/>
      <c r="J31" s="3313"/>
      <c r="K31" s="3313"/>
      <c r="L31" s="3313"/>
      <c r="M31" s="3313"/>
      <c r="N31" s="3313"/>
      <c r="O31" s="3313"/>
      <c r="P31" s="1395"/>
      <c r="Q31" s="84"/>
      <c r="R31" s="425">
        <f>SUM(E31:P31)</f>
        <v>0</v>
      </c>
      <c r="S31" s="715"/>
      <c r="T31" s="225">
        <f>IF(MONTH(Factores!$D$2)=1,SUM($E31:E31),IF(MONTH(Factores!$D$2)=2,SUM($E31:F31),IF(MONTH(Factores!$D$2)=3,SUM($E31:G31),IF(MONTH(Factores!$D$2)=4,SUM($E31:H31),IF(MONTH(Factores!$D$2)=5,SUM($E31:I31),IF(MONTH(Factores!$D$2)=6,SUM($E31:J31),IF(MONTH(Factores!$D$2)=7,SUM($E31:K31),IF(MONTH(Factores!$D$2)=8,SUM($E31:L31),IF(MONTH(Factores!$D$2)=9,SUM($E31:M31),IF(MONTH(Factores!$D$2)=10,SUM($E31:N31),IF(MONTH(Factores!$D$2)=11,SUM($E31:O31),IF(MONTH(Factores!$D$2)=12,SUM($E31:P31)))))))))))))</f>
        <v>0</v>
      </c>
      <c r="U31" s="225">
        <f>IF(MONTH(Factores!$D$2)=1,SUM($E31:E31),IF(MONTH(Factores!$D$2)=2,SUM($E31:E31),IF(MONTH(Factores!$D$2)=3,SUM($E31:F31),IF(MONTH(Factores!$D$2)=4,SUM($E31:G31),IF(MONTH(Factores!$D$2)=5,SUM($E31:H31),IF(MONTH(Factores!$D$2)=6,SUM($E31:I31),IF(MONTH(Factores!$D$2)=7,SUM($E31:J31),IF(MONTH(Factores!$D$2)=8,SUM($E31:K31),IF(MONTH(Factores!$D$2)=9,SUM($E31:L31),IF(MONTH(Factores!$D$2)=10,SUM($E31:M31),IF(MONTH(Factores!$D$2)=11,SUM($E31:N31),IF(MONTH(Factores!$D$2)=12,SUM($E31:O31)))))))))))))</f>
        <v>0</v>
      </c>
      <c r="X31" s="2102"/>
    </row>
    <row r="32" spans="1:25" ht="18" customHeight="1">
      <c r="B32" s="111"/>
      <c r="C32" s="107"/>
      <c r="D32" s="104"/>
      <c r="E32" s="80"/>
      <c r="F32" s="80"/>
      <c r="G32" s="3450"/>
      <c r="H32" s="80"/>
      <c r="I32" s="80"/>
      <c r="J32" s="80"/>
      <c r="K32" s="80"/>
      <c r="L32" s="80"/>
      <c r="M32" s="80"/>
      <c r="N32" s="80"/>
      <c r="O32" s="80"/>
      <c r="P32" s="3451"/>
      <c r="Q32" s="73"/>
      <c r="R32" s="108"/>
      <c r="S32" s="77"/>
      <c r="T32" s="227"/>
      <c r="U32" s="227"/>
      <c r="X32" s="2102"/>
    </row>
    <row r="33" spans="1:25" ht="18" customHeight="1">
      <c r="B33" s="78" t="s">
        <v>223</v>
      </c>
      <c r="C33" s="87" t="s">
        <v>48</v>
      </c>
      <c r="D33" s="104"/>
      <c r="E33" s="3440">
        <v>0.52004131783299257</v>
      </c>
      <c r="F33" s="3440">
        <v>0.5008494973986285</v>
      </c>
      <c r="G33" s="3441">
        <v>0.56467653298977216</v>
      </c>
      <c r="H33" s="3442">
        <v>0.56555995682340154</v>
      </c>
      <c r="I33" s="3442">
        <v>0.58200418918128904</v>
      </c>
      <c r="J33" s="3442">
        <v>0.60488230412852395</v>
      </c>
      <c r="K33" s="3442">
        <v>0.59565233586527477</v>
      </c>
      <c r="L33" s="3442">
        <v>0.62845308305274017</v>
      </c>
      <c r="M33" s="3442">
        <v>0.62878719848575193</v>
      </c>
      <c r="N33" s="3442">
        <v>0.64781711049991553</v>
      </c>
      <c r="O33" s="3442">
        <v>0.64506271653076974</v>
      </c>
      <c r="P33" s="1392">
        <v>0.67740650217743448</v>
      </c>
      <c r="Q33" s="73"/>
      <c r="R33" s="112">
        <f>SUMPRODUCT(E33:P33,E20:P20)/SUM(E20:P20)</f>
        <v>0.60134352232847987</v>
      </c>
      <c r="S33" s="77"/>
      <c r="T33" s="229">
        <f>IF(MONTH(Factores!$D$2)=1,SUMPRODUCT($E$20:$E$20,$E33:E33)/SUM($E$20:$E$20),IF(MONTH(Factores!$D$2)=2,SUMPRODUCT($E$20:$F$20,$E33:F33)/SUM($E$20:$F$20),IF(MONTH(Factores!$D$2)=3,SUMPRODUCT($E$20:$G$20,$E33:G33)/SUM($E$20:$G$20),IF(MONTH(Factores!$D$2)=4,SUMPRODUCT($E$20:$H$20,$E33:H33)/SUM($E$20:$H$20),IF(MONTH(Factores!$D$2)=5,SUMPRODUCT($E$20:$I$20,$E33:I33)/SUM($E$20:$I$20),IF(MONTH(Factores!$D$2)=6,SUMPRODUCT($E$20:$J$20,$E33:J33)/SUM($E$20:$J$20),IF(MONTH(Factores!$D$2)=7,SUMPRODUCT($E$20:$K$20,$E33:K33)/SUM($E$20:$K$20),IF(MONTH(Factores!$D$2)=8,SUMPRODUCT($E$20:$L$20,$E33:L33)/SUM($E$20:$L$20),IF(MONTH(Factores!$D$2)=9,SUMPRODUCT($E$20:$M$20,$E33:M33)/SUM($E$20:$M$20),IF(MONTH(Factores!$D$2)=10,SUMPRODUCT($E$20:$N$20,$E33:N33)/SUM($E$20:$N$20),IF(MONTH(Factores!$D$2)=11,SUMPRODUCT($E$20:$O$20,$E33:O33)/SUM($E$20:$O$20),IF(MONTH(Factores!$D$2)=12,SUMPRODUCT($E$20:$P$20,$E33:P33)/SUM($E$20:$P$20)))))))))))))</f>
        <v>0.53035654056792547</v>
      </c>
      <c r="U33" s="229">
        <f>IF(MONTH(Factores!$D$2)=1,SUMPRODUCT($E$20:$E$20,$E33:E33)/SUM($E$20:$E$20),IF(MONTH(Factores!$D$2)=2,SUMPRODUCT($E$20:$E$20,$E33:E33)/SUM($E$20:$E$20),IF(MONTH(Factores!$D$2)=3,SUMPRODUCT($E$20:$F$20,$E33:F33)/SUM($E$20:$F$20),IF(MONTH(Factores!$D$2)=4,SUMPRODUCT($E$20:$G$20,$E33:G33)/SUM($E$20:$G$20),IF(MONTH(Factores!$D$2)=5,SUMPRODUCT($E$20:$H$20,$E33:H33)/SUM($E$20:$H$20),IF(MONTH(Factores!$D$2)=6,SUMPRODUCT($E$20:$I$20,$E33:I33)/SUM($E$20:$I$20),IF(MONTH(Factores!$D$2)=7,SUMPRODUCT($E$20:$J$20,$E33:J33)/SUM($E$20:$J$20),IF(MONTH(Factores!$D$2)=8,SUMPRODUCT($E$20:$K$20,$E33:K33)/SUM($E$20:$K$20),IF(MONTH(Factores!$D$2)=9,SUMPRODUCT($E$20:$L$20,$E33:L33)/SUM($E$20:$L$20),IF(MONTH(Factores!$D$2)=10,SUMPRODUCT($E$20:$M$20,$E33:M33)/SUM($E$20:$M$20),IF(MONTH(Factores!$D$2)=11,SUMPRODUCT($E$20:$N$20,$E33:N33)/SUM($E$20:$N$20),IF(MONTH(Factores!$D$2)=12,SUMPRODUCT($E$20:$O$20,$E33:O33)/SUM($E$20:$O$20)))))))))))))</f>
        <v>0.50920270665740619</v>
      </c>
      <c r="X33" s="2102"/>
    </row>
    <row r="34" spans="1:25" s="154" customFormat="1" ht="18" customHeight="1">
      <c r="A34" s="731"/>
      <c r="B34" s="638" t="s">
        <v>224</v>
      </c>
      <c r="C34" s="714" t="s">
        <v>48</v>
      </c>
      <c r="D34" s="713"/>
      <c r="E34" s="1396">
        <v>90.727966945825955</v>
      </c>
      <c r="F34" s="1396">
        <v>89.73920153822425</v>
      </c>
      <c r="G34" s="3452">
        <v>90.433416356934018</v>
      </c>
      <c r="H34" s="3453">
        <v>90.83712341431891</v>
      </c>
      <c r="I34" s="3453">
        <v>90.367212744489493</v>
      </c>
      <c r="J34" s="3453">
        <v>90.456870225008117</v>
      </c>
      <c r="K34" s="3453">
        <v>90.504352046643305</v>
      </c>
      <c r="L34" s="3453">
        <v>91.087443667639775</v>
      </c>
      <c r="M34" s="3453">
        <v>91.004387126814208</v>
      </c>
      <c r="N34" s="3453">
        <v>91.229280189573089</v>
      </c>
      <c r="O34" s="3453">
        <v>91.38095284435218</v>
      </c>
      <c r="P34" s="1396">
        <v>91.307937278112178</v>
      </c>
      <c r="Q34" s="500"/>
      <c r="R34" s="106">
        <f>SUMPRODUCT(E20:P20,E33:P33,E34:P34)/SUMPRODUCT(E20:P20,E33:P33)</f>
        <v>90.798857672221473</v>
      </c>
      <c r="S34" s="698"/>
      <c r="T34" s="174">
        <f>IF(MONTH(Factores!$D$2)=1,SUMPRODUCT($E$20:$E$20,$E$33:$E$33,$E34:E34)/SUMPRODUCT($E$20:$E$20,$E$33:$E$33),IF(MONTH(Factores!$D$2)=2,SUMPRODUCT($E$20:$F$20,$E$33:$F$33,$E34:F34)/SUMPRODUCT($E$20:$F$20,$E$33:$F$33),IF(MONTH(Factores!$D$2)=3,SUMPRODUCT($E$20:$G$20,$E$33:$G$33,$E34:G34)/SUMPRODUCT($E$20:$G$20,$E$33:$G$33),IF(MONTH(Factores!$D$2)=4,SUMPRODUCT($E$20:$H$20,$E$33:$H$33,$E34:H34)/SUMPRODUCT($E$20:$H$20,$E$33:$H$33),IF(MONTH(Factores!$D$2)=5,SUMPRODUCT($E$20:$I$20,$E$33:$I$33,$E34:I34)/SUMPRODUCT($E$20:$I$20,$E$33:$I$33),IF(MONTH(Factores!$D$2)=6,SUMPRODUCT($E$20:$J$20,$E$33:$J$33,$E34:J34)/SUMPRODUCT($E$20:$J$20,$E$33:$J$33),IF(MONTH(Factores!$D$2)=7,SUMPRODUCT($E$20:$K$20,$E$33:$K$33,$E34:K34)/SUMPRODUCT($E$20:$K$20,$E$33:$K$33),IF(MONTH(Factores!$D$2)=8,SUMPRODUCT($E$20:$L$20,$E$33:$L$33,$E34:L34)/SUMPRODUCT($E$20:$L$20,$E$33:$L$33),IF(MONTH(Factores!$D$2)=9,SUMPRODUCT($E$20:$M$20,$E$33:$M$33,$E34:M34)/SUMPRODUCT($E$20:$M$20,$E$33:$M$33),IF(MONTH(Factores!$D$2)=10,SUMPRODUCT($E$20:$N$20,$E$33:$N$33,$E34:N34)/SUMPRODUCT($E$20:$N$20,$E$33:$N$33),IF(MONTH(Factores!$D$2)=11,SUMPRODUCT($E$20:$O$20,$E$33:$O$33,$E34:O34)/SUMPRODUCT($E$20:$O$20,$E$33:$O$33),IF(MONTH(Factores!$D$2)=12,SUMPRODUCT($E$20:$P$20,$E$33:$P$33,$E34:P34)/SUMPRODUCT($E$20:$P$20,$E$33:$P$33)))))))))))))</f>
        <v>90.282128614267677</v>
      </c>
      <c r="U34" s="174">
        <f>IF(MONTH(Factores!$D$2)=1,SUMPRODUCT($E$20:$E$20,$E$33:$E$33,$E34:E34)/SUMPRODUCT($E$20:$E$20,$E$33:$E$33),IF(MONTH(Factores!$D$2)=2,SUMPRODUCT($E$20:$E$20,$E$33:$E$33,$E34:E34)/SUMPRODUCT($E$20:$E$20,$E$33:$E$33),IF(MONTH(Factores!$D$2)=3,SUMPRODUCT($E$20:$F$20,$E$33:$F$33,$E34:F34)/SUMPRODUCT($E$20:$F$20,$E$33:$F$33),IF(MONTH(Factores!$D$2)=4,SUMPRODUCT($E$20:$G$20,$E$33:$G$33,$E34:G34)/SUMPRODUCT($E$20:$G$20,$E$33:$G$33),IF(MONTH(Factores!$D$2)=5,SUMPRODUCT($E$20:$H$20,$E$33:$H$33,$E34:H34)/SUMPRODUCT($E$20:$H$20,$E$33:$H$33),IF(MONTH(Factores!$D$2)=6,SUMPRODUCT($E$20:$I$20,$E$33:$I$33,$E34:I34)/SUMPRODUCT($E$20:$I$20,$E$33:$I$33),IF(MONTH(Factores!$D$2)=7,SUMPRODUCT($E$20:$J$20,$E$33:$J$33,$E34:J34)/SUMPRODUCT($E$20:$J$20,$E$33:$J$33),IF(MONTH(Factores!$D$2)=8,SUMPRODUCT($E$20:$K$20,$E$33:$K$33,$E34:K34)/SUMPRODUCT($E$20:$K$20,$E$33:$K$33),IF(MONTH(Factores!$D$2)=9,SUMPRODUCT($E$20:$L$20,$E$33:$L$33,$E34:L34)/SUMPRODUCT($E$20:$L$20,$E$33:$L$33),IF(MONTH(Factores!$D$2)=10,SUMPRODUCT($E$20:$M$20,$E$33:$M$33,$E34:M34)/SUMPRODUCT($E$20:$M$20,$E$33:$M$33),IF(MONTH(Factores!$D$2)=11,SUMPRODUCT($E$20:$N$20,$E$33:$N$33,$E34:N34)/SUMPRODUCT($E$20:$N$20,$E$33:$N$33),IF(MONTH(Factores!$D$2)=12,SUMPRODUCT($E$20:$O$20,$E$33:$O$33,$E34:O34)/SUMPRODUCT($E$20:$O$20,$E$33:$O$33)))))))))))))</f>
        <v>90.178720483951906</v>
      </c>
      <c r="X34" s="2104"/>
      <c r="Y34" s="2033"/>
    </row>
    <row r="35" spans="1:25" s="173" customFormat="1" ht="18" customHeight="1">
      <c r="A35" s="732"/>
      <c r="B35" s="733" t="s">
        <v>225</v>
      </c>
      <c r="C35" s="734" t="s">
        <v>204</v>
      </c>
      <c r="D35" s="735"/>
      <c r="E35" s="1392">
        <v>70.496442154828557</v>
      </c>
      <c r="F35" s="1392">
        <v>89.905625524085437</v>
      </c>
      <c r="G35" s="3438">
        <v>102.13915892162728</v>
      </c>
      <c r="H35" s="3443">
        <v>70.87650692356398</v>
      </c>
      <c r="I35" s="3443">
        <v>112.50429122388871</v>
      </c>
      <c r="J35" s="3443">
        <v>118.69799472259605</v>
      </c>
      <c r="K35" s="3443">
        <v>117.47342311961695</v>
      </c>
      <c r="L35" s="3443">
        <v>119.35977930980023</v>
      </c>
      <c r="M35" s="3443">
        <v>114.19734120036456</v>
      </c>
      <c r="N35" s="3443">
        <v>134.42215041934293</v>
      </c>
      <c r="O35" s="3443">
        <v>128.30356700260924</v>
      </c>
      <c r="P35" s="1392">
        <v>142.47260790759987</v>
      </c>
      <c r="Q35" s="429"/>
      <c r="R35" s="112">
        <f>SUM(E35:P35)</f>
        <v>1320.848888429924</v>
      </c>
      <c r="S35" s="695"/>
      <c r="T35" s="294">
        <f>IF(MONTH(Factores!$D$2)=1,SUM($E35:E35),IF(MONTH(Factores!$D$2)=2,SUM($E35:F35),IF(MONTH(Factores!$D$2)=3,SUM($E35:G35),IF(MONTH(Factores!$D$2)=4,SUM($E35:H35),IF(MONTH(Factores!$D$2)=5,SUM($E35:I35),IF(MONTH(Factores!$D$2)=6,SUM($E35:J35),IF(MONTH(Factores!$D$2)=7,SUM($E35:K35),IF(MONTH(Factores!$D$2)=8,SUM($E35:L35),IF(MONTH(Factores!$D$2)=9,SUM($E35:M35),IF(MONTH(Factores!$D$2)=10,SUM($E35:N35),IF(MONTH(Factores!$D$2)=11,SUM($E35:O35),IF(MONTH(Factores!$D$2)=12,SUM($E35:P35)))))))))))))</f>
        <v>262.54122660054128</v>
      </c>
      <c r="U35" s="294">
        <f>IF(MONTH(Factores!$D$2)=1,SUM($E35:E35),IF(MONTH(Factores!$D$2)=2,SUM($E35:E35),IF(MONTH(Factores!$D$2)=3,SUM($E35:F35),IF(MONTH(Factores!$D$2)=4,SUM($E35:G35),IF(MONTH(Factores!$D$2)=5,SUM($E35:H35),IF(MONTH(Factores!$D$2)=6,SUM($E35:I35),IF(MONTH(Factores!$D$2)=7,SUM($E35:J35),IF(MONTH(Factores!$D$2)=8,SUM($E35:K35),IF(MONTH(Factores!$D$2)=9,SUM($E35:L35),IF(MONTH(Factores!$D$2)=10,SUM($E35:M35),IF(MONTH(Factores!$D$2)=11,SUM($E35:N35),IF(MONTH(Factores!$D$2)=12,SUM($E35:O35)))))))))))))</f>
        <v>160.40206767891399</v>
      </c>
      <c r="X35" s="2105"/>
      <c r="Y35" s="2034"/>
    </row>
    <row r="36" spans="1:25" s="154" customFormat="1" ht="18" customHeight="1">
      <c r="A36" s="731"/>
      <c r="B36" s="638" t="s">
        <v>226</v>
      </c>
      <c r="C36" s="714" t="s">
        <v>48</v>
      </c>
      <c r="D36" s="713"/>
      <c r="E36" s="1396">
        <v>26.714551524287149</v>
      </c>
      <c r="F36" s="1396">
        <v>25.891601230628506</v>
      </c>
      <c r="G36" s="3452">
        <v>28.260326500353631</v>
      </c>
      <c r="H36" s="3453">
        <v>27.743489949192007</v>
      </c>
      <c r="I36" s="3453">
        <v>27.940434958101623</v>
      </c>
      <c r="J36" s="3453">
        <v>28.062374989434097</v>
      </c>
      <c r="K36" s="3706">
        <v>26.892475582543327</v>
      </c>
      <c r="L36" s="3706">
        <v>26.791548051586595</v>
      </c>
      <c r="M36" s="3453">
        <v>27.846991893033046</v>
      </c>
      <c r="N36" s="3706">
        <v>26.476249438714053</v>
      </c>
      <c r="O36" s="3706">
        <v>26.835232840616197</v>
      </c>
      <c r="P36" s="1396">
        <v>27.249384406241184</v>
      </c>
      <c r="Q36" s="500"/>
      <c r="R36" s="106">
        <f>R15/R35*100</f>
        <v>27.224668970439232</v>
      </c>
      <c r="S36" s="698"/>
      <c r="T36" s="174">
        <f>T15/T35*100</f>
        <v>27.034106270401626</v>
      </c>
      <c r="U36" s="174">
        <f>U15/U35*100</f>
        <v>26.253286516938768</v>
      </c>
      <c r="X36" s="2104"/>
      <c r="Y36" s="2033"/>
    </row>
    <row r="37" spans="1:25" ht="18" customHeight="1">
      <c r="B37" s="428"/>
      <c r="C37" s="145"/>
      <c r="D37" s="428"/>
      <c r="E37" s="427"/>
      <c r="F37" s="427"/>
      <c r="G37" s="3423"/>
      <c r="H37" s="427"/>
      <c r="I37" s="427"/>
      <c r="J37" s="427"/>
      <c r="K37" s="427"/>
      <c r="L37" s="427"/>
      <c r="M37" s="427"/>
      <c r="N37" s="427"/>
      <c r="O37" s="427"/>
      <c r="P37" s="427"/>
      <c r="Q37" s="428"/>
      <c r="R37" s="428"/>
      <c r="S37" s="77"/>
      <c r="T37" s="426"/>
      <c r="U37" s="426"/>
      <c r="X37" s="2102"/>
    </row>
    <row r="38" spans="1:25" ht="18" customHeight="1">
      <c r="B38" s="78" t="s">
        <v>227</v>
      </c>
      <c r="C38" s="87" t="s">
        <v>95</v>
      </c>
      <c r="D38" s="104"/>
      <c r="E38" s="1395">
        <v>191.65018604537889</v>
      </c>
      <c r="F38" s="1395">
        <v>179.39533708826207</v>
      </c>
      <c r="G38" s="3449">
        <v>213.48422346499791</v>
      </c>
      <c r="H38" s="3313">
        <v>163.35304328854889</v>
      </c>
      <c r="I38" s="3313">
        <v>205.12513984498059</v>
      </c>
      <c r="J38" s="3313">
        <v>203.76113279776612</v>
      </c>
      <c r="K38" s="3313">
        <v>151.90540572889478</v>
      </c>
      <c r="L38" s="3313">
        <v>164.7651999284308</v>
      </c>
      <c r="M38" s="3313">
        <v>150.57983657221325</v>
      </c>
      <c r="N38" s="3313">
        <v>206.67646552766698</v>
      </c>
      <c r="O38" s="3313">
        <v>163.84822863888047</v>
      </c>
      <c r="P38" s="1395">
        <v>174.50350866208188</v>
      </c>
      <c r="Q38" s="84"/>
      <c r="R38" s="110">
        <f>SUMPRODUCT(E38:P38,E20:P20)/SUM(E20:P20)</f>
        <v>181.24966816901954</v>
      </c>
      <c r="S38" s="77"/>
      <c r="T38" s="225">
        <f>IF(MONTH(Factores!$D$2)=1,SUMPRODUCT($E$20:$E$20,$E38:E38)/SUM($E$20:$E$20),IF(MONTH(Factores!$D$2)=2,SUMPRODUCT($E$20:$F$20,$E38:F38)/SUM($E$20:$F$20),IF(MONTH(Factores!$D$2)=3,SUMPRODUCT($E$20:$G$20,$E38:G38)/SUM($E$20:$G$20),IF(MONTH(Factores!$D$2)=4,SUMPRODUCT($E$20:$H$20,$E38:H38)/SUM($E$20:$H$20),IF(MONTH(Factores!$D$2)=5,SUMPRODUCT($E$20:$I$20,$E38:I38)/SUM($E$20:$I$20),IF(MONTH(Factores!$D$2)=6,SUMPRODUCT($E$20:$J$20,$E38:J38)/SUM($E$20:$J$20),IF(MONTH(Factores!$D$2)=7,SUMPRODUCT($E$20:$K$20,$E38:K38)/SUM($E$20:$K$20),IF(MONTH(Factores!$D$2)=8,SUMPRODUCT($E$20:$L$20,$E38:L38)/SUM($E$20:$L$20),IF(MONTH(Factores!$D$2)=9,SUMPRODUCT($E$20:$M$20,$E38:M38)/SUM($E$20:$M$20),IF(MONTH(Factores!$D$2)=10,SUMPRODUCT($E$20:$N$20,$E38:N38)/SUM($E$20:$N$20),IF(MONTH(Factores!$D$2)=11,SUMPRODUCT($E$20:$O$20,$E38:O38)/SUM($E$20:$O$20),IF(MONTH(Factores!$D$2)=12,SUMPRODUCT($E$20:$P$20,$E38:P38)/SUM($E$20:$P$20)))))))))))))</f>
        <v>195.69437804771576</v>
      </c>
      <c r="U38" s="225">
        <f>IF(MONTH(Factores!$D$2)=1,SUMPRODUCT($E$20:$E$20,$E38:E38)/SUM($E$20:$E$20),IF(MONTH(Factores!$D$2)=2,SUMPRODUCT($E$20:$E$20,$E38:E38)/SUM($E$20:$E$20),IF(MONTH(Factores!$D$2)=3,SUMPRODUCT($E$20:$F$20,$E38:F38)/SUM($E$20:$F$20),IF(MONTH(Factores!$D$2)=4,SUMPRODUCT($E$20:$G$20,$E38:G38)/SUM($E$20:$G$20),IF(MONTH(Factores!$D$2)=5,SUMPRODUCT($E$20:$H$20,$E38:H38)/SUM($E$20:$H$20),IF(MONTH(Factores!$D$2)=6,SUMPRODUCT($E$20:$I$20,$E38:I38)/SUM($E$20:$I$20),IF(MONTH(Factores!$D$2)=7,SUMPRODUCT($E$20:$J$20,$E38:J38)/SUM($E$20:$J$20),IF(MONTH(Factores!$D$2)=8,SUMPRODUCT($E$20:$K$20,$E38:K38)/SUM($E$20:$K$20),IF(MONTH(Factores!$D$2)=9,SUMPRODUCT($E$20:$L$20,$E38:L38)/SUM($E$20:$L$20),IF(MONTH(Factores!$D$2)=10,SUMPRODUCT($E$20:$M$20,$E38:M38)/SUM($E$20:$M$20),IF(MONTH(Factores!$D$2)=11,SUMPRODUCT($E$20:$N$20,$E38:N38)/SUM($E$20:$N$20),IF(MONTH(Factores!$D$2)=12,SUMPRODUCT($E$20:$O$20,$E38:O38)/SUM($E$20:$O$20)))))))))))))</f>
        <v>184.72924056675731</v>
      </c>
      <c r="X38" s="2102"/>
    </row>
    <row r="39" spans="1:25" s="154" customFormat="1" ht="18" customHeight="1">
      <c r="A39" s="731"/>
      <c r="B39" s="638" t="s">
        <v>228</v>
      </c>
      <c r="C39" s="714" t="s">
        <v>48</v>
      </c>
      <c r="D39" s="713"/>
      <c r="E39" s="1396">
        <v>82.219074390398134</v>
      </c>
      <c r="F39" s="1396">
        <v>82.171872315007846</v>
      </c>
      <c r="G39" s="3452">
        <v>83.99813374525263</v>
      </c>
      <c r="H39" s="3453">
        <v>82.612673936458705</v>
      </c>
      <c r="I39" s="3453">
        <v>83.790643859420996</v>
      </c>
      <c r="J39" s="3453">
        <v>83.756010701390693</v>
      </c>
      <c r="K39" s="3453">
        <v>82.238563923571476</v>
      </c>
      <c r="L39" s="3453">
        <v>82.657051600654668</v>
      </c>
      <c r="M39" s="3453">
        <v>82.193491764038257</v>
      </c>
      <c r="N39" s="3453">
        <v>83.829762957654282</v>
      </c>
      <c r="O39" s="3453">
        <v>82.628277530617396</v>
      </c>
      <c r="P39" s="1396">
        <v>82.953408301814221</v>
      </c>
      <c r="Q39" s="500"/>
      <c r="R39" s="106">
        <f>SUMPRODUCT(E20:P20,E38:P38,E39:P39)/SUMPRODUCT(E20:P20,E38:P38)</f>
        <v>83.038548427350662</v>
      </c>
      <c r="S39" s="698"/>
      <c r="T39" s="174">
        <f>IF(MONTH(Factores!$D$2)=1,SUMPRODUCT($E$20:$E$20,$E$38:$E$38,$E39:E39)/SUMPRODUCT($E$20:$E$20,$E$38:$E$38),IF(MONTH(Factores!$D$2)=2,SUMPRODUCT($E$20:$F$20,$E$38:$F$38,$E39:F39)/SUMPRODUCT($E$20:$F$20,$E$38:$F$38),IF(MONTH(Factores!$D$2)=3,SUMPRODUCT($E$20:$G$20,$E$38:$G$38,$E39:G39)/SUMPRODUCT($E$20:$G$20,$E$38:$G$38),IF(MONTH(Factores!$D$2)=4,SUMPRODUCT($E$20:$H$20,$E$38:$H$38,$E39:H39)/SUMPRODUCT($E$20:$H$20,$E$38:$H$38),IF(MONTH(Factores!$D$2)=5,SUMPRODUCT($E$20:$I$20,$E$38:$I$38,$E39:I39)/SUMPRODUCT($E$20:$I$20,$E$38:$I$38),IF(MONTH(Factores!$D$2)=6,SUMPRODUCT($E$20:$J$20,$E$38:$J$38,$E39:J39)/SUMPRODUCT($E$20:$J$20,$E$38:$J$38),IF(MONTH(Factores!$D$2)=7,SUMPRODUCT($E$20:$K$20,$E$38:$K$38,$E39:K39)/SUMPRODUCT($E$20:$K$20,$E$38:$K$38),IF(MONTH(Factores!$D$2)=8,SUMPRODUCT($E$20:$L$20,$E$38:$L$38,$E39:L39)/SUMPRODUCT($E$20:$L$20,$E$38:$L$38),IF(MONTH(Factores!$D$2)=9,SUMPRODUCT($E$20:$M$20,$E$38:$M$38,$E39:M39)/SUMPRODUCT($E$20:$M$20,$E$38:$M$38),IF(MONTH(Factores!$D$2)=10,SUMPRODUCT($E$20:$N$20,$E$38:$N$38,$E39:N39)/SUMPRODUCT($E$20:$N$20,$E$38:$N$38),IF(MONTH(Factores!$D$2)=11,SUMPRODUCT($E$20:$O$20,$E$38:$O$38,$E39:O39)/SUMPRODUCT($E$20:$O$20,$E$38:$O$38),IF(MONTH(Factores!$D$2)=12,SUMPRODUCT($E$20:$P$20,$E$38:$P$38,$E39:P39)/SUMPRODUCT($E$20:$P$20,$E$38:$P$38)))))))))))))</f>
        <v>82.944036127337341</v>
      </c>
      <c r="U39" s="174">
        <f>IF(MONTH(Factores!$D$2)=1,SUMPRODUCT($E$20:$E$20,$E$38:$E$38,$E39:E39)/SUMPRODUCT($E$20:$E$20,$E$38:$E$38),IF(MONTH(Factores!$D$2)=2,SUMPRODUCT($E$20:$E$20,$E$38:$E$38,$E39:E39)/SUMPRODUCT($E$20:$E$20,$E$38:$E$38),IF(MONTH(Factores!$D$2)=3,SUMPRODUCT($E$20:$F$20,$E$38:$F$38,$E39:F39)/SUMPRODUCT($E$20:$F$20,$E$38:$F$38),IF(MONTH(Factores!$D$2)=4,SUMPRODUCT($E$20:$G$20,$E$38:$G$38,$E39:G39)/SUMPRODUCT($E$20:$G$20,$E$38:$G$38),IF(MONTH(Factores!$D$2)=5,SUMPRODUCT($E$20:$H$20,$E$38:$H$38,$E39:H39)/SUMPRODUCT($E$20:$H$20,$E$38:$H$38),IF(MONTH(Factores!$D$2)=6,SUMPRODUCT($E$20:$I$20,$E$38:$I$38,$E39:I39)/SUMPRODUCT($E$20:$I$20,$E$38:$I$38),IF(MONTH(Factores!$D$2)=7,SUMPRODUCT($E$20:$J$20,$E$38:$J$38,$E39:J39)/SUMPRODUCT($E$20:$J$20,$E$38:$J$38),IF(MONTH(Factores!$D$2)=8,SUMPRODUCT($E$20:$K$20,$E$38:$K$38,$E39:K39)/SUMPRODUCT($E$20:$K$20,$E$38:$K$38),IF(MONTH(Factores!$D$2)=9,SUMPRODUCT($E$20:$L$20,$E$38:$L$38,$E39:L39)/SUMPRODUCT($E$20:$L$20,$E$38:$L$38),IF(MONTH(Factores!$D$2)=10,SUMPRODUCT($E$20:$M$20,$E$38:$M$38,$E39:M39)/SUMPRODUCT($E$20:$M$20,$E$38:$M$38),IF(MONTH(Factores!$D$2)=11,SUMPRODUCT($E$20:$N$20,$E$38:$N$38,$E39:N39)/SUMPRODUCT($E$20:$N$20,$E$38:$N$38),IF(MONTH(Factores!$D$2)=12,SUMPRODUCT($E$20:$O$20,$E$38:$O$38,$E39:O39)/SUMPRODUCT($E$20:$O$20,$E$38:$O$38)))))))))))))</f>
        <v>82.193186654759899</v>
      </c>
      <c r="X39" s="2104"/>
      <c r="Y39" s="2033"/>
    </row>
    <row r="40" spans="1:25" ht="18" customHeight="1" outlineLevel="1">
      <c r="B40" s="78" t="s">
        <v>229</v>
      </c>
      <c r="C40" s="87" t="s">
        <v>48</v>
      </c>
      <c r="D40" s="104"/>
      <c r="E40" s="1391"/>
      <c r="F40" s="1391"/>
      <c r="G40" s="3432"/>
      <c r="H40" s="3446"/>
      <c r="I40" s="3446"/>
      <c r="J40" s="3446"/>
      <c r="K40" s="3446"/>
      <c r="L40" s="3446"/>
      <c r="M40" s="3446"/>
      <c r="N40" s="3446"/>
      <c r="O40" s="3446"/>
      <c r="P40" s="1391"/>
      <c r="Q40" s="73"/>
      <c r="R40" s="105">
        <f>SUMPRODUCT(E20:P20,E38:P38,E40:P40)/SUMPRODUCT(E20:P20,E38:P38)</f>
        <v>0</v>
      </c>
      <c r="S40" s="77"/>
      <c r="T40" s="224">
        <f>IF(MONTH(Factores!$D$2)=1,SUMPRODUCT($E$20:$E$20,$E$38:$E$38,$E40:E40)/SUMPRODUCT($E$20:$E$20,$E$38:$E$38),IF(MONTH(Factores!$D$2)=2,SUMPRODUCT($E$20:$F$20,$E$38:$F$38,$E40:F40)/SUMPRODUCT($E$20:$F$20,$E$38:$F$38),IF(MONTH(Factores!$D$2)=3,SUMPRODUCT($E$20:$G$20,$E$38:$G$38,$E40:G40)/SUMPRODUCT($E$20:$G$20,$E$38:$G$38),IF(MONTH(Factores!$D$2)=4,SUMPRODUCT($E$20:$H$20,$E$38:$H$38,$E40:H40)/SUMPRODUCT($E$20:$H$20,$E$38:$H$38),IF(MONTH(Factores!$D$2)=5,SUMPRODUCT($E$20:$I$20,$E$38:$I$38,$E40:I40)/SUMPRODUCT($E$20:$I$20,$E$38:$I$38),IF(MONTH(Factores!$D$2)=6,SUMPRODUCT($E$20:$J$20,$E$38:$J$38,$E40:J40)/SUMPRODUCT($E$20:$J$20,$E$38:$J$38),IF(MONTH(Factores!$D$2)=7,SUMPRODUCT($E$20:$K$20,$E$38:$K$38,$E40:K40)/SUMPRODUCT($E$20:$K$20,$E$38:$K$38),IF(MONTH(Factores!$D$2)=8,SUMPRODUCT($E$20:$L$20,$E$38:$L$38,$E40:L40)/SUMPRODUCT($E$20:$L$20,$E$38:$L$38),IF(MONTH(Factores!$D$2)=9,SUMPRODUCT($E$20:$M$20,$E$38:$M$38,$E40:M40)/SUMPRODUCT($E$20:$M$20,$E$38:$M$38),IF(MONTH(Factores!$D$2)=10,SUMPRODUCT($E$20:$N$20,$E$38:$N$38,$E40:N40)/SUMPRODUCT($E$20:$N$20,$E$38:$N$38),IF(MONTH(Factores!$D$2)=11,SUMPRODUCT($E$20:$O$20,$E$38:$O$38,$E40:O40)/SUMPRODUCT($E$20:$O$20,$E$38:$O$38),IF(MONTH(Factores!$D$2)=12,SUMPRODUCT($E$20:$P$20,$E$38:$P$38,$E40:P40)/SUMPRODUCT($E$20:$P$20,$E$38:$P$38)))))))))))))</f>
        <v>0</v>
      </c>
      <c r="U40" s="224">
        <f>IF(MONTH(Factores!$D$2)=1,SUMPRODUCT($E$20:$E$20,$E$38:$E$38,$E40:E40)/SUMPRODUCT($E$20:$E$20,$E$38:$E$38),IF(MONTH(Factores!$D$2)=2,SUMPRODUCT($E$20:$E$20,$E$38:$E$38,$E40:E40)/SUMPRODUCT($E$20:$E$20,$E$38:$E$38),IF(MONTH(Factores!$D$2)=3,SUMPRODUCT($E$20:$F$20,$E$38:$F$38,$E40:F40)/SUMPRODUCT($E$20:$F$20,$E$38:$F$38),IF(MONTH(Factores!$D$2)=4,SUMPRODUCT($E$20:$G$20,$E$38:$G$38,$E40:G40)/SUMPRODUCT($E$20:$G$20,$E$38:$G$38),IF(MONTH(Factores!$D$2)=5,SUMPRODUCT($E$20:$H$20,$E$38:$H$38,$E40:H40)/SUMPRODUCT($E$20:$H$20,$E$38:$H$38),IF(MONTH(Factores!$D$2)=6,SUMPRODUCT($E$20:$I$20,$E$38:$I$38,$E40:I40)/SUMPRODUCT($E$20:$I$20,$E$38:$I$38),IF(MONTH(Factores!$D$2)=7,SUMPRODUCT($E$20:$J$20,$E$38:$J$38,$E40:J40)/SUMPRODUCT($E$20:$J$20,$E$38:$J$38),IF(MONTH(Factores!$D$2)=8,SUMPRODUCT($E$20:$K$20,$E$38:$K$38,$E40:K40)/SUMPRODUCT($E$20:$K$20,$E$38:$K$38),IF(MONTH(Factores!$D$2)=9,SUMPRODUCT($E$20:$L$20,$E$38:$L$38,$E40:L40)/SUMPRODUCT($E$20:$L$20,$E$38:$L$38),IF(MONTH(Factores!$D$2)=10,SUMPRODUCT($E$20:$M$20,$E$38:$M$38,$E40:M40)/SUMPRODUCT($E$20:$M$20,$E$38:$M$38),IF(MONTH(Factores!$D$2)=11,SUMPRODUCT($E$20:$N$20,$E$38:$N$38,$E40:N40)/SUMPRODUCT($E$20:$N$20,$E$38:$N$38),IF(MONTH(Factores!$D$2)=12,SUMPRODUCT($E$20:$O$20,$E$38:$O$38,$E40:O40)/SUMPRODUCT($E$20:$O$20,$E$38:$O$38)))))))))))))</f>
        <v>0</v>
      </c>
      <c r="X40" s="2102"/>
    </row>
    <row r="41" spans="1:25" ht="18" customHeight="1" outlineLevel="1">
      <c r="B41" s="78" t="s">
        <v>230</v>
      </c>
      <c r="C41" s="87" t="s">
        <v>48</v>
      </c>
      <c r="D41" s="104"/>
      <c r="E41" s="1391"/>
      <c r="F41" s="1391"/>
      <c r="G41" s="3432"/>
      <c r="H41" s="3446"/>
      <c r="I41" s="3446"/>
      <c r="J41" s="3446"/>
      <c r="K41" s="3446"/>
      <c r="L41" s="3446"/>
      <c r="M41" s="3446"/>
      <c r="N41" s="3446"/>
      <c r="O41" s="3446"/>
      <c r="P41" s="1391"/>
      <c r="Q41" s="73"/>
      <c r="R41" s="105" t="e">
        <f>SUMPRODUCT(E20:P20,E38:P38,E40:P40,E41:P41)/SUMPRODUCT(E20:P20,E38:P38,E40:P40)</f>
        <v>#DIV/0!</v>
      </c>
      <c r="S41" s="77"/>
      <c r="T41" s="224" t="e">
        <f>IF(MONTH(Factores!$D$2)=1,SUMPRODUCT($E$20:$E$20,$E$38:$E$38,$E$40:$E$40,$E41:E41)/SUMPRODUCT($E$20:$E$20,$E$38:$E$38,$E$40:$E$40),IF(MONTH(Factores!$D$2)=2,SUMPRODUCT($E$20:$F$20,$E$38:$F$38,$E$40:$F$40,$E41:F41)/SUMPRODUCT($E$20:$F$20,$E$38:$F$38,$E$40:$F$40),IF(MONTH(Factores!$D$2)=3,SUMPRODUCT($E$20:$G$20,$E$38:$G$38,$E$40:$G$40,$E41:G41)/SUMPRODUCT($E$20:$G$20,$E$38:$G$38,$E$40:$G$40),IF(MONTH(Factores!$D$2)=4,SUMPRODUCT($E$20:$H$20,$E$38:$H$38,$E$40:$H$40,$E41:H41)/SUMPRODUCT($E$20:$H$20,$E$38:$H$38,$E$40:$H$40),IF(MONTH(Factores!$D$2)=5,SUMPRODUCT($E$20:$I$20,$E$38:$I$38,$E$40:$I$40,$E41:I41)/SUMPRODUCT($E$20:$I$20,$E$38:$I$38,$E$40:$I$40),IF(MONTH(Factores!$D$2)=6,SUMPRODUCT($E$20:$J$20,$E$38:$J$38,$E$40:$J$40,$E41:J41)/SUMPRODUCT($E$20:$J$20,$E$38:$J$38,$E$40:$J$40),IF(MONTH(Factores!$D$2)=7,SUMPRODUCT($E$20:$K$20,$E$38:$K$38,$E$40:$K$40,$E41:K41)/SUMPRODUCT($E$20:$K$20,$E$38:$K$38,$E$40:$K$40),IF(MONTH(Factores!$D$2)=8,SUMPRODUCT($E$20:$L$20,$E$38:$L$38,$E$40:$L$40,$E41:L41)/SUMPRODUCT($E$20:$L$20,$E$38:$L$38,$E$40:$L$40),IF(MONTH(Factores!$D$2)=9,SUMPRODUCT($E$20:$M$20,$E$38:$M$38,$E$40:$M$40,$E41:M41)/SUMPRODUCT($E$20:$M$20,$E$38:$M$38,$E$40:$M$40),IF(MONTH(Factores!$D$2)=10,SUMPRODUCT($E$20:$N$20,$E$38:$N$38,$E$40:$N$40,$E41:N41)/SUMPRODUCT($E$20:$N$20,$E$38:$N$38,$E$40:$N$40),IF(MONTH(Factores!$D$2)=11,SUMPRODUCT($E$20:$O$20,$E$38:$O$38,$E$40:$O$40,$E41:O41)/SUMPRODUCT($E$20:$O$20,$E$38:$O$38,$E$40:$O$40),IF(MONTH(Factores!$D$2)=12,SUMPRODUCT($E$20:$P$20,$E$38:$P$38,$E$40:$P$40,$E41:P41)/SUMPRODUCT($E$20:$P$20,$E$38:$P$38,$E$40:$P$40)))))))))))))</f>
        <v>#DIV/0!</v>
      </c>
      <c r="U41" s="224" t="e">
        <f>IF(MONTH(Factores!$D$2)=1,SUMPRODUCT($E$20:$E$20,$E$38:$E$38,$E$40:$E$40,$E41:E41)/SUMPRODUCT($E$20:$E$20,$E$38:$E$38,$E$40:$E$40),IF(MONTH(Factores!$D$2)=2,SUMPRODUCT($E$20:$E$20,$E$38:$E$38,$E$40:$E$40,$E41:E41)/SUMPRODUCT($E$20:$E$20,$E$38:$E$38,$E$40:$E$40),IF(MONTH(Factores!$D$2)=3,SUMPRODUCT($E$20:$F$20,$E$38:$F$38,$E$40:$F$40,$E41:F41)/SUMPRODUCT($E$20:$F$20,$E$38:$F$38,$E$40:$F$40),IF(MONTH(Factores!$D$2)=4,SUMPRODUCT($E$20:$G$20,$E$38:$G$38,$E$40:$G$40,$E41:G41)/SUMPRODUCT($E$20:$G$20,$E$38:$G$38,$E$40:$G$40),IF(MONTH(Factores!$D$2)=5,SUMPRODUCT($E$20:$H$20,$E$38:$H$38,$E$40:$H$40,$E41:H41)/SUMPRODUCT($E$20:$H$20,$E$38:$H$38,$E$40:$H$40),IF(MONTH(Factores!$D$2)=6,SUMPRODUCT($E$20:$I$20,$E$38:$I$38,$E$40:$I$40,$E41:I41)/SUMPRODUCT($E$20:$I$20,$E$38:$I$38,$E$40:$I$40),IF(MONTH(Factores!$D$2)=7,SUMPRODUCT($E$20:$J$20,$E$38:$J$38,$E$40:$J$40,$E41:J41)/SUMPRODUCT($E$20:$J$20,$E$38:$J$38,$E$40:$J$40),IF(MONTH(Factores!$D$2)=8,SUMPRODUCT($E$20:$K$20,$E$38:$K$38,$E$40:$K$40,$E41:K41)/SUMPRODUCT($E$20:$K$20,$E$38:$K$38,$E$40:$K$40),IF(MONTH(Factores!$D$2)=9,SUMPRODUCT($E$20:$L$20,$E$38:$L$38,$E$40:$L$40,$E41:L41)/SUMPRODUCT($E$20:$L$20,$E$38:$L$38,$E$40:$L$40),IF(MONTH(Factores!$D$2)=10,SUMPRODUCT($E$20:$M$20,$E$38:$M$38,$E$40:$M$40,$E41:M41)/SUMPRODUCT($E$20:$M$20,$E$38:$M$38,$E$40:$M$40),IF(MONTH(Factores!$D$2)=11,SUMPRODUCT($E$20:$N$20,$E$38:$N$38,$E$40:$N$40,$E41:N41)/SUMPRODUCT($E$20:$N$20,$E$38:$N$38,$E$40:$N$40),IF(MONTH(Factores!$D$2)=12,SUMPRODUCT($E$20:$O$20,$E$38:$O$38,$E$40:$O$40,$E41:O41)/SUMPRODUCT($E$20:$O$20,$E$38:$O$38,$E$40:$O$40)))))))))))))</f>
        <v>#DIV/0!</v>
      </c>
      <c r="X41" s="2102"/>
    </row>
    <row r="42" spans="1:25" ht="18" customHeight="1">
      <c r="B42" s="78" t="s">
        <v>231</v>
      </c>
      <c r="C42" s="87" t="s">
        <v>204</v>
      </c>
      <c r="D42" s="104"/>
      <c r="E42" s="1396">
        <f>+E20*E38*10^-6*E39%/E43%</f>
        <v>1.1647269550997204</v>
      </c>
      <c r="F42" s="1396">
        <f t="shared" ref="F42:P42" si="0">+F20*F38*10^-6*F39%/F43%</f>
        <v>1.4138290686411554</v>
      </c>
      <c r="G42" s="3452">
        <f t="shared" si="0"/>
        <v>1.8770785132735297</v>
      </c>
      <c r="H42" s="3453">
        <f t="shared" si="0"/>
        <v>0.95653644363720969</v>
      </c>
      <c r="I42" s="3453">
        <f t="shared" si="0"/>
        <v>1.9023302355602509</v>
      </c>
      <c r="J42" s="3453">
        <f t="shared" si="0"/>
        <v>1.923972850867167</v>
      </c>
      <c r="K42" s="3453">
        <f t="shared" si="0"/>
        <v>1.3556983937178164</v>
      </c>
      <c r="L42" s="3453">
        <f t="shared" si="0"/>
        <v>1.4088867350806469</v>
      </c>
      <c r="M42" s="3453">
        <f t="shared" si="0"/>
        <v>1.2737340323687549</v>
      </c>
      <c r="N42" s="3453">
        <f t="shared" si="0"/>
        <v>1.9321291112560715</v>
      </c>
      <c r="O42" s="3453">
        <f t="shared" si="0"/>
        <v>1.4644116165294079</v>
      </c>
      <c r="P42" s="1396">
        <f t="shared" si="0"/>
        <v>1.6825764846078841</v>
      </c>
      <c r="Q42" s="73"/>
      <c r="R42" s="112">
        <f>SUM(E42:P42)</f>
        <v>18.355910440639612</v>
      </c>
      <c r="S42" s="77"/>
      <c r="T42" s="620">
        <f>IF(MONTH(Factores!$D$2)=1,SUM($E42:E42),IF(MONTH(Factores!$D$2)=2,SUM($E42:F42),IF(MONTH(Factores!$D$2)=3,SUM($E42:G42),IF(MONTH(Factores!$D$2)=4,SUM($E42:H42),IF(MONTH(Factores!$D$2)=5,SUM($E42:I42),IF(MONTH(Factores!$D$2)=6,SUM($E42:J42),IF(MONTH(Factores!$D$2)=7,SUM($E42:K42),IF(MONTH(Factores!$D$2)=8,SUM($E42:L42),IF(MONTH(Factores!$D$2)=9,SUM($E42:M42),IF(MONTH(Factores!$D$2)=10,SUM($E42:N42),IF(MONTH(Factores!$D$2)=11,SUM($E42:O42),IF(MONTH(Factores!$D$2)=12,SUM($E42:P42)))))))))))))</f>
        <v>4.4556345370144053</v>
      </c>
      <c r="U42" s="620">
        <f>IF(MONTH(Factores!$D$2)=1,SUM($E42:E42),IF(MONTH(Factores!$D$2)=2,SUM($E42:E42),IF(MONTH(Factores!$D$2)=3,SUM($E42:F42),IF(MONTH(Factores!$D$2)=4,SUM($E42:G42),IF(MONTH(Factores!$D$2)=5,SUM($E42:H42),IF(MONTH(Factores!$D$2)=6,SUM($E42:I42),IF(MONTH(Factores!$D$2)=7,SUM($E42:J42),IF(MONTH(Factores!$D$2)=8,SUM($E42:K42),IF(MONTH(Factores!$D$2)=9,SUM($E42:L42),IF(MONTH(Factores!$D$2)=10,SUM($E42:M42),IF(MONTH(Factores!$D$2)=11,SUM($E42:N42),IF(MONTH(Factores!$D$2)=12,SUM($E42:O42)))))))))))))</f>
        <v>2.5785560237408758</v>
      </c>
      <c r="X42" s="2102"/>
    </row>
    <row r="43" spans="1:25" ht="18" customHeight="1">
      <c r="B43" s="78" t="s">
        <v>232</v>
      </c>
      <c r="C43" s="87" t="s">
        <v>48</v>
      </c>
      <c r="D43" s="104"/>
      <c r="E43" s="1391">
        <v>54</v>
      </c>
      <c r="F43" s="1391">
        <v>54</v>
      </c>
      <c r="G43" s="3432">
        <v>54</v>
      </c>
      <c r="H43" s="3446">
        <v>54</v>
      </c>
      <c r="I43" s="3446">
        <v>54</v>
      </c>
      <c r="J43" s="3446">
        <v>54</v>
      </c>
      <c r="K43" s="3446">
        <v>54</v>
      </c>
      <c r="L43" s="3446">
        <v>54</v>
      </c>
      <c r="M43" s="3446">
        <v>54</v>
      </c>
      <c r="N43" s="3446">
        <v>54</v>
      </c>
      <c r="O43" s="3446">
        <v>54</v>
      </c>
      <c r="P43" s="1391">
        <v>54</v>
      </c>
      <c r="Q43" s="73"/>
      <c r="R43" s="105">
        <f>R17/R42*100</f>
        <v>54.000000000000028</v>
      </c>
      <c r="S43" s="77"/>
      <c r="T43" s="226">
        <f>T17/T42*100</f>
        <v>54.000000000000014</v>
      </c>
      <c r="U43" s="226">
        <f>U17/U42*100</f>
        <v>54</v>
      </c>
      <c r="X43" s="2102"/>
    </row>
    <row r="44" spans="1:25" ht="18" customHeight="1">
      <c r="B44" s="428"/>
      <c r="C44" s="145"/>
      <c r="D44" s="428"/>
      <c r="E44" s="427"/>
      <c r="F44" s="427"/>
      <c r="G44" s="3423"/>
      <c r="H44" s="427"/>
      <c r="I44" s="427"/>
      <c r="J44" s="427"/>
      <c r="K44" s="427"/>
      <c r="L44" s="427"/>
      <c r="M44" s="427"/>
      <c r="N44" s="427"/>
      <c r="O44" s="427"/>
      <c r="P44" s="427"/>
      <c r="Q44" s="426"/>
      <c r="R44" s="428"/>
      <c r="S44" s="77"/>
      <c r="T44" s="426"/>
      <c r="U44" s="426"/>
      <c r="X44" s="2102"/>
    </row>
    <row r="45" spans="1:25" ht="18" customHeight="1">
      <c r="B45" s="90" t="s">
        <v>233</v>
      </c>
      <c r="C45" s="113" t="s">
        <v>234</v>
      </c>
      <c r="D45" s="428"/>
      <c r="E45" s="1392">
        <v>3.7383760922160288E-2</v>
      </c>
      <c r="F45" s="1392">
        <v>4.122555437143427E-2</v>
      </c>
      <c r="G45" s="3438">
        <v>4.6700798759419564E-2</v>
      </c>
      <c r="H45" s="3443">
        <v>4.6913525675970333E-2</v>
      </c>
      <c r="I45" s="3443">
        <v>3.6995621606738534E-2</v>
      </c>
      <c r="J45" s="3443">
        <v>4.3680183417664754E-2</v>
      </c>
      <c r="K45" s="3443">
        <v>4.4712278349193023E-2</v>
      </c>
      <c r="L45" s="3443">
        <v>4.2554490210015582E-2</v>
      </c>
      <c r="M45" s="3443">
        <v>5.3613748846202791E-2</v>
      </c>
      <c r="N45" s="3443">
        <v>4.7223647555827482E-2</v>
      </c>
      <c r="O45" s="3443">
        <v>4.5649625049754422E-2</v>
      </c>
      <c r="P45" s="1392">
        <v>5.3004613843578713E-2</v>
      </c>
      <c r="Q45" s="73"/>
      <c r="R45" s="112">
        <f>SUMPRODUCT(E45:P45,E20:P20)/SUM(E20:P20)</f>
        <v>4.5168002083686681E-2</v>
      </c>
      <c r="S45" s="77"/>
      <c r="T45" s="229">
        <f>IF(MONTH(Factores!$D$2)=1,SUMPRODUCT($E$20:$E$20,$E45:E45)/SUM($E$20:$E$20),IF(MONTH(Factores!$D$2)=2,SUMPRODUCT($E$20:$F$20,$E45:F45)/SUM($E$20:$F$20),IF(MONTH(Factores!$D$2)=3,SUMPRODUCT($E$20:$G$20,$E45:G45)/SUM($E$20:$G$20),IF(MONTH(Factores!$D$2)=4,SUMPRODUCT($E$20:$H$20,$E45:H45)/SUM($E$20:$H$20),IF(MONTH(Factores!$D$2)=5,SUMPRODUCT($E$20:$I$20,$E45:I45)/SUM($E$20:$I$20),IF(MONTH(Factores!$D$2)=6,SUMPRODUCT($E$20:$J$20,$E45:J45)/SUM($E$20:$J$20),IF(MONTH(Factores!$D$2)=7,SUMPRODUCT($E$20:$K$20,$E45:K45)/SUM($E$20:$K$20),IF(MONTH(Factores!$D$2)=8,SUMPRODUCT($E$20:$L$20,$E45:L45)/SUM($E$20:$L$20),IF(MONTH(Factores!$D$2)=9,SUMPRODUCT($E$20:$M$20,$E45:M45)/SUM($E$20:$M$20),IF(MONTH(Factores!$D$2)=10,SUMPRODUCT($E$20:$N$20,$E45:N45)/SUM($E$20:$N$20),IF(MONTH(Factores!$D$2)=11,SUMPRODUCT($E$20:$O$20,$E45:O45)/SUM($E$20:$O$20),IF(MONTH(Factores!$D$2)=12,SUMPRODUCT($E$20:$P$20,$E45:P45)/SUM($E$20:$P$20)))))))))))))</f>
        <v>4.2278929840772861E-2</v>
      </c>
      <c r="U45" s="229">
        <f>IF(MONTH(Factores!$D$2)=1,SUMPRODUCT($E$20:$E$20,$E45:E45)/SUM($E$20:$E$20),IF(MONTH(Factores!$D$2)=2,SUMPRODUCT($E$20:$E$20,$E45:E45)/SUM($E$20:$E$20),IF(MONTH(Factores!$D$2)=3,SUMPRODUCT($E$20:$F$20,$E45:F45)/SUM($E$20:$F$20),IF(MONTH(Factores!$D$2)=4,SUMPRODUCT($E$20:$G$20,$E45:G45)/SUM($E$20:$G$20),IF(MONTH(Factores!$D$2)=5,SUMPRODUCT($E$20:$H$20,$E45:H45)/SUM($E$20:$H$20),IF(MONTH(Factores!$D$2)=6,SUMPRODUCT($E$20:$I$20,$E45:I45)/SUM($E$20:$I$20),IF(MONTH(Factores!$D$2)=7,SUMPRODUCT($E$20:$J$20,$E45:J45)/SUM($E$20:$J$20),IF(MONTH(Factores!$D$2)=8,SUMPRODUCT($E$20:$K$20,$E45:K45)/SUM($E$20:$K$20),IF(MONTH(Factores!$D$2)=9,SUMPRODUCT($E$20:$L$20,$E45:L45)/SUM($E$20:$L$20),IF(MONTH(Factores!$D$2)=10,SUMPRODUCT($E$20:$M$20,$E45:M45)/SUM($E$20:$M$20),IF(MONTH(Factores!$D$2)=11,SUMPRODUCT($E$20:$N$20,$E45:N45)/SUM($E$20:$N$20),IF(MONTH(Factores!$D$2)=12,SUMPRODUCT($E$20:$O$20,$E45:O45)/SUM($E$20:$O$20)))))))))))))</f>
        <v>3.955341989515887E-2</v>
      </c>
      <c r="X45" s="2102"/>
    </row>
    <row r="46" spans="1:25" ht="18" customHeight="1">
      <c r="B46" s="90" t="s">
        <v>235</v>
      </c>
      <c r="C46" s="113" t="s">
        <v>234</v>
      </c>
      <c r="D46" s="428"/>
      <c r="E46" s="1396">
        <v>1.58098162953813</v>
      </c>
      <c r="F46" s="1396">
        <v>1.6328627781362817</v>
      </c>
      <c r="G46" s="3452">
        <v>1.809134461773827</v>
      </c>
      <c r="H46" s="3453">
        <v>1.7734346056523604</v>
      </c>
      <c r="I46" s="3453">
        <v>1.3757658772419512</v>
      </c>
      <c r="J46" s="3453">
        <v>1.5681748354106204</v>
      </c>
      <c r="K46" s="3453">
        <v>1.5613249886970935</v>
      </c>
      <c r="L46" s="3453">
        <v>1.3941511636064163</v>
      </c>
      <c r="M46" s="3453">
        <v>1.8263604059714986</v>
      </c>
      <c r="N46" s="3453">
        <v>1.4809055819458259</v>
      </c>
      <c r="O46" s="3453">
        <v>1.4547320236223258</v>
      </c>
      <c r="P46" s="1396">
        <v>1.634596322975721</v>
      </c>
      <c r="Q46" s="73"/>
      <c r="R46" s="106">
        <f>SUMPRODUCT(E46:P46,E35:P35)/SUM(E35:P35)</f>
        <v>1.5797708077210275</v>
      </c>
      <c r="S46" s="77"/>
      <c r="T46" s="228">
        <f>IF(MONTH(Factores!$D$2)=1,SUMPRODUCT($E$35:$E$35,$E46:E46)/SUM($E$35:$E$35),IF(MONTH(Factores!$D$2)=2,SUMPRODUCT($E$35:$F$35,$E46:F46)/SUM($E$35:$F$35),IF(MONTH(Factores!$D$2)=3,SUMPRODUCT($E$35:$G$35,$E46:G46)/SUM($E$35:$G$35),IF(MONTH(Factores!$D$2)=4,SUMPRODUCT($E$35:$H$35,$E46:H46)/SUM($E$35:$H$35),IF(MONTH(Factores!$D$2)=5,SUMPRODUCT($E$35:$I$35,$E46:I46)/SUM($E$35:$I$35),IF(MONTH(Factores!$D$2)=6,SUMPRODUCT($E$35:$J$35,$E46:J46)/SUM($E$35:$J$35),IF(MONTH(Factores!$D$2)=7,SUMPRODUCT($E$35:$K$35,$E46:K46)/SUM($E$35:$K$35),IF(MONTH(Factores!$D$2)=8,SUMPRODUCT($E$35:$L$35,$E46:L46)/SUM($E$35:$L$35),IF(MONTH(Factores!$D$2)=9,SUMPRODUCT($E$35:$M$35,$E46:M46)/SUM($E$35:$M$35),IF(MONTH(Factores!$D$2)=10,SUMPRODUCT($E$35:$N$35,$E46:N46)/SUM($E$35:$N$35),IF(MONTH(Factores!$D$2)=11,SUMPRODUCT($E$35:$O$35,$E46:O46)/SUM($E$35:$O$35),IF(MONTH(Factores!$D$2)=12,SUMPRODUCT($E$35:$P$35,$E46:P46)/SUM($E$35:$P$35)))))))))))))</f>
        <v>1.687508691477698</v>
      </c>
      <c r="U46" s="228">
        <f>IF(MONTH(Factores!$D$2)=1,SUMPRODUCT($E$35:$E$35,$E46:E46)/SUM($E$35:$E$35),IF(MONTH(Factores!$D$2)=2,SUMPRODUCT($E$35:$E$35,$E46:E46)/SUM($E$35:$E$35),IF(MONTH(Factores!$D$2)=3,SUMPRODUCT($E$35:$F$35,$E46:F46)/SUM($E$35:$F$35),IF(MONTH(Factores!$D$2)=4,SUMPRODUCT($E$35:$G$35,$E46:G46)/SUM($E$35:$G$35),IF(MONTH(Factores!$D$2)=5,SUMPRODUCT($E$35:$H$35,$E46:H46)/SUM($E$35:$H$35),IF(MONTH(Factores!$D$2)=6,SUMPRODUCT($E$35:$I$35,$E46:I46)/SUM($E$35:$I$35),IF(MONTH(Factores!$D$2)=7,SUMPRODUCT($E$35:$J$35,$E46:J46)/SUM($E$35:$J$35),IF(MONTH(Factores!$D$2)=8,SUMPRODUCT($E$35:$K$35,$E46:K46)/SUM($E$35:$K$35),IF(MONTH(Factores!$D$2)=9,SUMPRODUCT($E$35:$L$35,$E46:L46)/SUM($E$35:$L$35),IF(MONTH(Factores!$D$2)=10,SUMPRODUCT($E$35:$M$35,$E46:M46)/SUM($E$35:$M$35),IF(MONTH(Factores!$D$2)=11,SUMPRODUCT($E$35:$N$35,$E46:N46)/SUM($E$35:$N$35),IF(MONTH(Factores!$D$2)=12,SUMPRODUCT($E$35:$O$35,$E46:O46)/SUM($E$35:$O$35)))))))))))))</f>
        <v>1.6100610995544506</v>
      </c>
      <c r="X46" s="2102"/>
    </row>
    <row r="47" spans="1:25" ht="18" customHeight="1">
      <c r="B47" s="90" t="s">
        <v>856</v>
      </c>
      <c r="C47" s="113" t="s">
        <v>237</v>
      </c>
      <c r="D47" s="428"/>
      <c r="E47" s="1395">
        <v>3496.1876264121311</v>
      </c>
      <c r="F47" s="1395">
        <v>4750.9430423805343</v>
      </c>
      <c r="G47" s="3449">
        <v>5940.9259768266938</v>
      </c>
      <c r="H47" s="3313">
        <v>4041.1828549733818</v>
      </c>
      <c r="I47" s="3313">
        <v>4976.2780534241565</v>
      </c>
      <c r="J47" s="3313">
        <v>5984.5138980486354</v>
      </c>
      <c r="K47" s="3313">
        <v>5896.9025660294219</v>
      </c>
      <c r="L47" s="3313">
        <v>5350.0629258386216</v>
      </c>
      <c r="M47" s="3313">
        <v>6705.5359218828107</v>
      </c>
      <c r="N47" s="3313">
        <v>6400.1363478673893</v>
      </c>
      <c r="O47" s="3313">
        <v>6000.8496690295879</v>
      </c>
      <c r="P47" s="1395">
        <v>7487.4323069484299</v>
      </c>
      <c r="Q47" s="73"/>
      <c r="R47" s="106"/>
      <c r="S47" s="77"/>
      <c r="T47" s="228"/>
      <c r="U47" s="228"/>
      <c r="X47" s="2102"/>
    </row>
    <row r="48" spans="1:25" ht="18" customHeight="1">
      <c r="B48" s="90" t="s">
        <v>857</v>
      </c>
      <c r="C48" s="113" t="s">
        <v>237</v>
      </c>
      <c r="D48" s="428"/>
      <c r="E48" s="1395">
        <v>3370.6301585107262</v>
      </c>
      <c r="F48" s="1395">
        <v>4750.9430423805334</v>
      </c>
      <c r="G48" s="3449">
        <v>5060.399587417488</v>
      </c>
      <c r="H48" s="3313">
        <v>4041.1828549733809</v>
      </c>
      <c r="I48" s="3313">
        <v>4976.2780534241556</v>
      </c>
      <c r="J48" s="3313">
        <v>5984.5138980486381</v>
      </c>
      <c r="K48" s="3313">
        <v>5896.9025660294219</v>
      </c>
      <c r="L48" s="3313">
        <v>5366.3231725139585</v>
      </c>
      <c r="M48" s="3313">
        <v>6214.7547836891608</v>
      </c>
      <c r="N48" s="3313">
        <v>5606.6161633627835</v>
      </c>
      <c r="O48" s="3313">
        <v>6984.5232672620896</v>
      </c>
      <c r="P48" s="1395">
        <v>8620.0004199801551</v>
      </c>
      <c r="Q48" s="73"/>
      <c r="R48" s="106"/>
      <c r="S48" s="77"/>
      <c r="T48" s="228"/>
      <c r="U48" s="228"/>
      <c r="X48" s="2102"/>
    </row>
    <row r="49" spans="1:25" s="254" customFormat="1" ht="18" customHeight="1">
      <c r="A49" s="729"/>
      <c r="B49" s="639" t="s">
        <v>858</v>
      </c>
      <c r="C49" s="716" t="s">
        <v>237</v>
      </c>
      <c r="D49" s="717"/>
      <c r="E49" s="1395">
        <v>3033.5671426596537</v>
      </c>
      <c r="F49" s="1395">
        <v>4275.8487381424802</v>
      </c>
      <c r="G49" s="3449">
        <v>4554.3596286757393</v>
      </c>
      <c r="H49" s="3313">
        <v>3637.0645694760428</v>
      </c>
      <c r="I49" s="3313">
        <v>4478.6502480817398</v>
      </c>
      <c r="J49" s="3313">
        <v>5386.0625082437746</v>
      </c>
      <c r="K49" s="3313">
        <v>5307.2123094264798</v>
      </c>
      <c r="L49" s="3313">
        <v>4829.6908552625628</v>
      </c>
      <c r="M49" s="3313">
        <v>5593.2793053202449</v>
      </c>
      <c r="N49" s="3313">
        <v>5045.9545470265057</v>
      </c>
      <c r="O49" s="3313">
        <v>6286.0709405358812</v>
      </c>
      <c r="P49" s="1395">
        <v>7758.00037798214</v>
      </c>
      <c r="Q49" s="534"/>
      <c r="R49" s="109">
        <f>SUM(E49:P49)</f>
        <v>60185.761170833248</v>
      </c>
      <c r="S49" s="715"/>
      <c r="T49" s="225">
        <f>IF(MONTH(Factores!$D$2)=1,SUM($E49:E49),IF(MONTH(Factores!$D$2)=2,SUM($E49:F49),IF(MONTH(Factores!$D$2)=3,SUM($E49:G49),IF(MONTH(Factores!$D$2)=4,SUM($E49:H49),IF(MONTH(Factores!$D$2)=5,SUM($E49:I49),IF(MONTH(Factores!$D$2)=6,SUM($E49:J49),IF(MONTH(Factores!$D$2)=7,SUM($E49:K49),IF(MONTH(Factores!$D$2)=8,SUM($E49:L49),IF(MONTH(Factores!$D$2)=9,SUM($E49:M49),IF(MONTH(Factores!$D$2)=10,SUM($E49:N49),IF(MONTH(Factores!$D$2)=11,SUM($E49:O49),IF(MONTH(Factores!$D$2)=12,SUM($E49:P49)))))))))))))</f>
        <v>11863.775509477873</v>
      </c>
      <c r="U49" s="225">
        <f>IF(MONTH(Factores!$D$2)=1,SUM($E49:E49),IF(MONTH(Factores!$D$2)=2,SUM($E49:E49),IF(MONTH(Factores!$D$2)=3,SUM($E49:F49),IF(MONTH(Factores!$D$2)=4,SUM($E49:G49),IF(MONTH(Factores!$D$2)=5,SUM($E49:H49),IF(MONTH(Factores!$D$2)=6,SUM($E49:I49),IF(MONTH(Factores!$D$2)=7,SUM($E49:J49),IF(MONTH(Factores!$D$2)=8,SUM($E49:K49),IF(MONTH(Factores!$D$2)=9,SUM($E49:L49),IF(MONTH(Factores!$D$2)=10,SUM($E49:M49),IF(MONTH(Factores!$D$2)=11,SUM($E49:N49),IF(MONTH(Factores!$D$2)=12,SUM($E49:O49)))))))))))))</f>
        <v>7309.4158808021339</v>
      </c>
      <c r="X49" s="2103"/>
      <c r="Y49" s="2032"/>
    </row>
    <row r="50" spans="1:25" ht="18" customHeight="1">
      <c r="B50" s="428"/>
      <c r="C50" s="145"/>
      <c r="D50" s="428"/>
      <c r="E50" s="427"/>
      <c r="F50" s="427"/>
      <c r="G50" s="3423"/>
      <c r="H50" s="427"/>
      <c r="I50" s="427"/>
      <c r="J50" s="427"/>
      <c r="K50" s="427"/>
      <c r="L50" s="427"/>
      <c r="M50" s="427"/>
      <c r="N50" s="427"/>
      <c r="O50" s="427"/>
      <c r="P50" s="427"/>
      <c r="Q50" s="426"/>
      <c r="R50" s="428"/>
      <c r="S50" s="77"/>
      <c r="T50" s="426"/>
      <c r="U50" s="426"/>
      <c r="X50" s="2102"/>
    </row>
    <row r="51" spans="1:25" s="409" customFormat="1" ht="18" customHeight="1">
      <c r="A51" s="736"/>
      <c r="B51" s="720" t="s">
        <v>238</v>
      </c>
      <c r="C51" s="721" t="s">
        <v>234</v>
      </c>
      <c r="D51" s="631"/>
      <c r="E51" s="1391">
        <v>1.3794995502181224</v>
      </c>
      <c r="F51" s="1391">
        <v>1.326030461594002</v>
      </c>
      <c r="G51" s="3432">
        <v>1.4841458880153098</v>
      </c>
      <c r="H51" s="3446">
        <v>1.4713735464265385</v>
      </c>
      <c r="I51" s="3446">
        <v>1.3103646623578253</v>
      </c>
      <c r="J51" s="3446">
        <v>1.404640536234097</v>
      </c>
      <c r="K51" s="3446">
        <v>1.4094010728728561</v>
      </c>
      <c r="L51" s="3446">
        <v>1.5458956985695411</v>
      </c>
      <c r="M51" s="3446">
        <v>1.6517927375715649</v>
      </c>
      <c r="N51" s="3446">
        <v>1.5133773307352025</v>
      </c>
      <c r="O51" s="3446">
        <v>1.4667861927781316</v>
      </c>
      <c r="P51" s="1391">
        <v>1.6752859145844661</v>
      </c>
      <c r="Q51" s="86"/>
      <c r="R51" s="105">
        <f>SUMPRODUCT(E51:P51,E20:P20)/SUM(E20:P20)</f>
        <v>1.4735904603908632</v>
      </c>
      <c r="S51" s="690"/>
      <c r="T51" s="224">
        <f>IF(MONTH(Factores!$D$2)=1,SUMPRODUCT($E$20:$E$20,$E51:E51)/SUM($E$20:$E$20),IF(MONTH(Factores!$D$2)=2,SUMPRODUCT($E$20:$F$20,$E51:F51)/SUM($E$20:$F$20),IF(MONTH(Factores!$D$2)=3,SUMPRODUCT($E$20:$G$20,$E51:G51)/SUM($E$20:$G$20),IF(MONTH(Factores!$D$2)=4,SUMPRODUCT($E$20:$H$20,$E51:H51)/SUM($E$20:$H$20),IF(MONTH(Factores!$D$2)=5,SUMPRODUCT($E$20:$I$20,$E51:I51)/SUM($E$20:$I$20),IF(MONTH(Factores!$D$2)=6,SUMPRODUCT($E$20:$J$20,$E51:J51)/SUM($E$20:$J$20),IF(MONTH(Factores!$D$2)=7,SUMPRODUCT($E$20:$K$20,$E51:K51)/SUM($E$20:$K$20),IF(MONTH(Factores!$D$2)=8,SUMPRODUCT($E$20:$L$20,$E51:L51)/SUM($E$20:$L$20),IF(MONTH(Factores!$D$2)=9,SUMPRODUCT($E$20:$M$20,$E51:M51)/SUM($E$20:$M$20),IF(MONTH(Factores!$D$2)=10,SUMPRODUCT($E$20:$N$20,$E51:N51)/SUM($E$20:$N$20),IF(MONTH(Factores!$D$2)=11,SUMPRODUCT($E$20:$O$20,$E51:O51)/SUM($E$20:$O$20),IF(MONTH(Factores!$D$2)=12,SUMPRODUCT($E$20:$P$20,$E51:P51)/SUM($E$20:$P$20)))))))))))))</f>
        <v>1.4007225123320213</v>
      </c>
      <c r="U51" s="224">
        <f>IF(MONTH(Factores!$D$2)=1,SUMPRODUCT($E$20:$E$20,$E51:E51)/SUM($E$20:$E$20),IF(MONTH(Factores!$D$2)=2,SUMPRODUCT($E$20:$E$20,$E51:E51)/SUM($E$20:$E$20),IF(MONTH(Factores!$D$2)=3,SUMPRODUCT($E$20:$F$20,$E51:F51)/SUM($E$20:$F$20),IF(MONTH(Factores!$D$2)=4,SUMPRODUCT($E$20:$G$20,$E51:G51)/SUM($E$20:$G$20),IF(MONTH(Factores!$D$2)=5,SUMPRODUCT($E$20:$H$20,$E51:H51)/SUM($E$20:$H$20),IF(MONTH(Factores!$D$2)=6,SUMPRODUCT($E$20:$I$20,$E51:I51)/SUM($E$20:$I$20),IF(MONTH(Factores!$D$2)=7,SUMPRODUCT($E$20:$J$20,$E51:J51)/SUM($E$20:$J$20),IF(MONTH(Factores!$D$2)=8,SUMPRODUCT($E$20:$K$20,$E51:K51)/SUM($E$20:$K$20),IF(MONTH(Factores!$D$2)=9,SUMPRODUCT($E$20:$L$20,$E51:L51)/SUM($E$20:$L$20),IF(MONTH(Factores!$D$2)=10,SUMPRODUCT($E$20:$M$20,$E51:M51)/SUM($E$20:$M$20),IF(MONTH(Factores!$D$2)=11,SUMPRODUCT($E$20:$N$20,$E51:N51)/SUM($E$20:$N$20),IF(MONTH(Factores!$D$2)=12,SUMPRODUCT($E$20:$O$20,$E51:O51)/SUM($E$20:$O$20)))))))))))))</f>
        <v>1.3493027972059835</v>
      </c>
      <c r="X51" s="2106"/>
      <c r="Y51" s="2035"/>
    </row>
    <row r="52" spans="1:25" s="254" customFormat="1" ht="18" customHeight="1">
      <c r="A52" s="729"/>
      <c r="B52" s="639" t="s">
        <v>239</v>
      </c>
      <c r="C52" s="716" t="s">
        <v>234</v>
      </c>
      <c r="D52" s="717"/>
      <c r="E52" s="1394">
        <v>66.674127804686506</v>
      </c>
      <c r="F52" s="1394">
        <v>60.024511257638274</v>
      </c>
      <c r="G52" s="3444">
        <v>65.707520302728312</v>
      </c>
      <c r="H52" s="3445">
        <v>63.567041151955557</v>
      </c>
      <c r="I52" s="3445">
        <v>55.690141880764955</v>
      </c>
      <c r="J52" s="3445">
        <v>57.632461859232578</v>
      </c>
      <c r="K52" s="3445">
        <v>56.246182938506912</v>
      </c>
      <c r="L52" s="3445">
        <v>57.881077752001993</v>
      </c>
      <c r="M52" s="3445">
        <v>64.306934475247061</v>
      </c>
      <c r="N52" s="3445">
        <v>54.238417830849706</v>
      </c>
      <c r="O52" s="3445">
        <v>53.420081303832191</v>
      </c>
      <c r="P52" s="1394">
        <v>59.044265822790322</v>
      </c>
      <c r="Q52" s="534"/>
      <c r="R52" s="109">
        <f>SUMPRODUCT(E52:P52,E35:P35)/SUM(E35:P35)</f>
        <v>58.929220835662093</v>
      </c>
      <c r="S52" s="715"/>
      <c r="T52" s="225">
        <f>IF(MONTH(Factores!$D$2)=1,SUMPRODUCT($E$35:$E$35,$E52:E52)/SUM($E$35:$E$35),IF(MONTH(Factores!$D$2)=2,SUMPRODUCT($E$35:$F$35,$E52:F52)/SUM($E$35:$F$35),IF(MONTH(Factores!$D$2)=3,SUMPRODUCT($E$35:$G$35,$E52:G52)/SUM($E$35:$G$35),IF(MONTH(Factores!$D$2)=4,SUMPRODUCT($E$35:$H$35,$E52:H52)/SUM($E$35:$H$35),IF(MONTH(Factores!$D$2)=5,SUMPRODUCT($E$35:$I$35,$E52:I52)/SUM($E$35:$I$35),IF(MONTH(Factores!$D$2)=6,SUMPRODUCT($E$35:$J$35,$E52:J52)/SUM($E$35:$J$35),IF(MONTH(Factores!$D$2)=7,SUMPRODUCT($E$35:$K$35,$E52:K52)/SUM($E$35:$K$35),IF(MONTH(Factores!$D$2)=8,SUMPRODUCT($E$35:$L$35,$E52:L52)/SUM($E$35:$L$35),IF(MONTH(Factores!$D$2)=9,SUMPRODUCT($E$35:$M$35,$E52:M52)/SUM($E$35:$M$35),IF(MONTH(Factores!$D$2)=10,SUMPRODUCT($E$35:$N$35,$E52:N52)/SUM($E$35:$N$35),IF(MONTH(Factores!$D$2)=11,SUMPRODUCT($E$35:$O$35,$E52:O52)/SUM($E$35:$O$35),IF(MONTH(Factores!$D$2)=12,SUMPRODUCT($E$35:$P$35,$E52:P52)/SUM($E$35:$P$35)))))))))))))</f>
        <v>64.020958161829398</v>
      </c>
      <c r="U52" s="225">
        <f>IF(MONTH(Factores!$D$2)=1,SUMPRODUCT($E$35:$E$35,$E52:E52)/SUM($E$35:$E$35),IF(MONTH(Factores!$D$2)=2,SUMPRODUCT($E$35:$E$35,$E52:E52)/SUM($E$35:$E$35),IF(MONTH(Factores!$D$2)=3,SUMPRODUCT($E$35:$F$35,$E52:F52)/SUM($E$35:$F$35),IF(MONTH(Factores!$D$2)=4,SUMPRODUCT($E$35:$G$35,$E52:G52)/SUM($E$35:$G$35),IF(MONTH(Factores!$D$2)=5,SUMPRODUCT($E$35:$H$35,$E52:H52)/SUM($E$35:$H$35),IF(MONTH(Factores!$D$2)=6,SUMPRODUCT($E$35:$I$35,$E52:I52)/SUM($E$35:$I$35),IF(MONTH(Factores!$D$2)=7,SUMPRODUCT($E$35:$J$35,$E52:J52)/SUM($E$35:$J$35),IF(MONTH(Factores!$D$2)=8,SUMPRODUCT($E$35:$K$35,$E52:K52)/SUM($E$35:$K$35),IF(MONTH(Factores!$D$2)=9,SUMPRODUCT($E$35:$L$35,$E52:L52)/SUM($E$35:$L$35),IF(MONTH(Factores!$D$2)=10,SUMPRODUCT($E$35:$M$35,$E52:M52)/SUM($E$35:$M$35),IF(MONTH(Factores!$D$2)=11,SUMPRODUCT($E$35:$N$35,$E52:N52)/SUM($E$35:$N$35),IF(MONTH(Factores!$D$2)=12,SUMPRODUCT($E$35:$O$35,$E52:O52)/SUM($E$35:$O$35)))))))))))))</f>
        <v>62.947006678327924</v>
      </c>
      <c r="X52" s="2103"/>
      <c r="Y52" s="2032"/>
    </row>
    <row r="53" spans="1:25" s="254" customFormat="1" ht="18" customHeight="1">
      <c r="A53" s="729"/>
      <c r="B53" s="639" t="s">
        <v>859</v>
      </c>
      <c r="C53" s="716" t="s">
        <v>241</v>
      </c>
      <c r="D53" s="717"/>
      <c r="E53" s="1394">
        <v>147.44337080037141</v>
      </c>
      <c r="F53" s="1394">
        <v>174.64604983969298</v>
      </c>
      <c r="G53" s="3444">
        <v>215.77363235710018</v>
      </c>
      <c r="H53" s="3445">
        <v>144.85227480388221</v>
      </c>
      <c r="I53" s="3445">
        <v>201.4366218973974</v>
      </c>
      <c r="J53" s="3445">
        <v>219.9386581056977</v>
      </c>
      <c r="K53" s="3445">
        <v>212.43383850291357</v>
      </c>
      <c r="L53" s="3445">
        <v>222.11896118030347</v>
      </c>
      <c r="M53" s="3445">
        <v>236.10480042166586</v>
      </c>
      <c r="N53" s="3445">
        <v>234.40607803903777</v>
      </c>
      <c r="O53" s="3445">
        <v>220.36077573477522</v>
      </c>
      <c r="P53" s="1394">
        <v>270.45817811262611</v>
      </c>
      <c r="Q53" s="534"/>
      <c r="R53" s="109"/>
      <c r="S53" s="715"/>
      <c r="T53" s="225"/>
      <c r="U53" s="225"/>
      <c r="X53" s="2103"/>
      <c r="Y53" s="2032"/>
    </row>
    <row r="54" spans="1:25" s="254" customFormat="1" ht="18" customHeight="1">
      <c r="A54" s="729"/>
      <c r="B54" s="639" t="s">
        <v>860</v>
      </c>
      <c r="C54" s="716" t="s">
        <v>241</v>
      </c>
      <c r="D54" s="717"/>
      <c r="E54" s="1394">
        <v>142.14828418754547</v>
      </c>
      <c r="F54" s="1394">
        <v>174.64604983969295</v>
      </c>
      <c r="G54" s="3444">
        <v>183.79303233444324</v>
      </c>
      <c r="H54" s="3445">
        <v>144.85227480388218</v>
      </c>
      <c r="I54" s="3445">
        <v>201.43662189739737</v>
      </c>
      <c r="J54" s="3445">
        <v>219.93865810569778</v>
      </c>
      <c r="K54" s="3445">
        <v>212.43383850291357</v>
      </c>
      <c r="L54" s="3445">
        <v>222.79403905324182</v>
      </c>
      <c r="M54" s="3445">
        <v>218.82418571258924</v>
      </c>
      <c r="N54" s="3445">
        <v>205.34326684494218</v>
      </c>
      <c r="O54" s="3445">
        <v>256.48283996428705</v>
      </c>
      <c r="P54" s="1394">
        <v>311.3683721393225</v>
      </c>
      <c r="Q54" s="534"/>
      <c r="R54" s="109"/>
      <c r="S54" s="715"/>
      <c r="T54" s="225"/>
      <c r="U54" s="225"/>
      <c r="X54" s="2103"/>
      <c r="Y54" s="2032"/>
    </row>
    <row r="55" spans="1:25" s="254" customFormat="1" ht="18" customHeight="1">
      <c r="A55" s="729"/>
      <c r="B55" s="639" t="s">
        <v>240</v>
      </c>
      <c r="C55" s="716" t="s">
        <v>241</v>
      </c>
      <c r="D55" s="717"/>
      <c r="E55" s="1394">
        <v>127.93345576879092</v>
      </c>
      <c r="F55" s="1394">
        <v>157.18144485572367</v>
      </c>
      <c r="G55" s="3444">
        <v>165.41372910099892</v>
      </c>
      <c r="H55" s="3445">
        <v>130.36704732349398</v>
      </c>
      <c r="I55" s="3445">
        <v>181.29295970765764</v>
      </c>
      <c r="J55" s="3445">
        <v>197.944792295128</v>
      </c>
      <c r="K55" s="3445">
        <v>191.19045465262221</v>
      </c>
      <c r="L55" s="3445">
        <v>200.51463514791763</v>
      </c>
      <c r="M55" s="3445">
        <v>196.94176714133033</v>
      </c>
      <c r="N55" s="3445">
        <v>184.80894016044797</v>
      </c>
      <c r="O55" s="3445">
        <v>230.83455596785836</v>
      </c>
      <c r="P55" s="1394">
        <v>280.23153492539024</v>
      </c>
      <c r="Q55" s="534"/>
      <c r="R55" s="109">
        <f>SUM(E55:P55)</f>
        <v>2244.6553170473599</v>
      </c>
      <c r="S55" s="715"/>
      <c r="T55" s="225">
        <f>IF(MONTH(Factores!$D$2)=1,SUM($E55:E55),IF(MONTH(Factores!$D$2)=2,SUM($E55:F55),IF(MONTH(Factores!$D$2)=3,SUM($E55:G55),IF(MONTH(Factores!$D$2)=4,SUM($E55:H55),IF(MONTH(Factores!$D$2)=5,SUM($E55:I55),IF(MONTH(Factores!$D$2)=6,SUM($E55:J55),IF(MONTH(Factores!$D$2)=7,SUM($E55:K55),IF(MONTH(Factores!$D$2)=8,SUM($E55:L55),IF(MONTH(Factores!$D$2)=9,SUM($E55:M55),IF(MONTH(Factores!$D$2)=10,SUM($E55:N55),IF(MONTH(Factores!$D$2)=11,SUM($E55:O55),IF(MONTH(Factores!$D$2)=12,SUM($E55:P55)))))))))))))</f>
        <v>450.5286297255135</v>
      </c>
      <c r="U55" s="225">
        <f>IF(MONTH(Factores!$D$2)=1,SUM($E55:E55),IF(MONTH(Factores!$D$2)=2,SUM($E55:E55),IF(MONTH(Factores!$D$2)=3,SUM($E55:F55),IF(MONTH(Factores!$D$2)=4,SUM($E55:G55),IF(MONTH(Factores!$D$2)=5,SUM($E55:H55),IF(MONTH(Factores!$D$2)=6,SUM($E55:I55),IF(MONTH(Factores!$D$2)=7,SUM($E55:J55),IF(MONTH(Factores!$D$2)=8,SUM($E55:K55),IF(MONTH(Factores!$D$2)=9,SUM($E55:L55),IF(MONTH(Factores!$D$2)=10,SUM($E55:M55),IF(MONTH(Factores!$D$2)=11,SUM($E55:N55),IF(MONTH(Factores!$D$2)=12,SUM($E55:O55)))))))))))))</f>
        <v>285.11490062451458</v>
      </c>
      <c r="X55" s="2103"/>
      <c r="Y55" s="2032"/>
    </row>
    <row r="56" spans="1:25" ht="18" customHeight="1">
      <c r="B56" s="268"/>
      <c r="C56" s="3428"/>
      <c r="D56" s="268"/>
      <c r="E56" s="1553"/>
      <c r="F56" s="1553"/>
      <c r="G56" s="3437"/>
      <c r="H56" s="1553"/>
      <c r="I56" s="1553"/>
      <c r="J56" s="1553"/>
      <c r="K56" s="1553"/>
      <c r="L56" s="1553"/>
      <c r="M56" s="1553"/>
      <c r="N56" s="1553"/>
      <c r="O56" s="1553"/>
      <c r="P56" s="1553"/>
      <c r="Q56" s="77"/>
      <c r="R56" s="268"/>
      <c r="S56" s="77"/>
      <c r="T56" s="426"/>
      <c r="U56" s="426"/>
      <c r="X56" s="2102"/>
    </row>
    <row r="57" spans="1:25" ht="18" customHeight="1">
      <c r="B57" s="90" t="s">
        <v>242</v>
      </c>
      <c r="C57" s="113" t="s">
        <v>95</v>
      </c>
      <c r="D57" s="428"/>
      <c r="E57" s="1391">
        <v>18.954673816576182</v>
      </c>
      <c r="F57" s="1391">
        <v>28.982398978512173</v>
      </c>
      <c r="G57" s="3432">
        <v>31.625551520365899</v>
      </c>
      <c r="H57" s="3446">
        <v>21.457678336416457</v>
      </c>
      <c r="I57" s="3446">
        <v>23.198657913709962</v>
      </c>
      <c r="J57" s="3446">
        <v>19.845261840285854</v>
      </c>
      <c r="K57" s="3446">
        <v>29.753494945361854</v>
      </c>
      <c r="L57" s="3446">
        <v>20.961608100149729</v>
      </c>
      <c r="M57" s="3446">
        <v>25.209714781354112</v>
      </c>
      <c r="N57" s="3446">
        <v>17.4400347775277</v>
      </c>
      <c r="O57" s="3446">
        <v>16.038738058233548</v>
      </c>
      <c r="P57" s="1391">
        <v>25.724093489482975</v>
      </c>
      <c r="Q57" s="73"/>
      <c r="R57" s="105">
        <f>SUMPRODUCT(E$20:P$20,E57:P57)/SUM(E$20:P$20)</f>
        <v>23.350697831049079</v>
      </c>
      <c r="S57" s="77"/>
      <c r="T57" s="226">
        <f>IF(MONTH(Factores!$D$2)=1,SUMPRODUCT($E$20:$E$20,$E57:E57)/SUM($E$20:$E$20),IF(MONTH(Factores!$D$2)=2,SUMPRODUCT($E$20:$F$20,$E57:F57)/SUM($E$20:$F$20),IF(MONTH(Factores!$D$2)=3,SUMPRODUCT($E$20:$G$20,$E57:G57)/SUM($E$20:$G$20),IF(MONTH(Factores!$D$2)=4,SUMPRODUCT($E$20:$H$20,$E57:H57)/SUM($E$20:$H$20),IF(MONTH(Factores!$D$2)=5,SUMPRODUCT($E$20:$I$20,$E57:I57)/SUM($E$20:$I$20),IF(MONTH(Factores!$D$2)=6,SUMPRODUCT($E$20:$J$20,$E57:J57)/SUM($E$20:$J$20),IF(MONTH(Factores!$D$2)=7,SUMPRODUCT($E$20:$K$20,$E57:K57)/SUM($E$20:$K$20),IF(MONTH(Factores!$D$2)=8,SUMPRODUCT($E$20:$L$20,$E57:L57)/SUM($E$20:$L$20),IF(MONTH(Factores!$D$2)=9,SUMPRODUCT($E$20:$M$20,$E57:M57)/SUM($E$20:$M$20),IF(MONTH(Factores!$D$2)=10,SUMPRODUCT($E$20:$N$20,$E57:N57)/SUM($E$20:$N$20),IF(MONTH(Factores!$D$2)=11,SUMPRODUCT($E$20:$O$20,$E57:O57)/SUM($E$20:$O$20),IF(MONTH(Factores!$D$2)=12,SUMPRODUCT($E$20:$P$20,$E57:P57)/SUM($E$20:$P$20)))))))))))))</f>
        <v>27.29009528920237</v>
      </c>
      <c r="U57" s="226">
        <f>IF(MONTH(Factores!$D$2)=1,SUMPRODUCT($E$20:$E$20,$E57:E57)/SUM($E$20:$E$20),IF(MONTH(Factores!$D$2)=2,SUMPRODUCT($E$20:$E$20,$E57:E57)/SUM($E$20:$E$20),IF(MONTH(Factores!$D$2)=3,SUMPRODUCT($E$20:$F$20,$E57:F57)/SUM($E$20:$F$20),IF(MONTH(Factores!$D$2)=4,SUMPRODUCT($E$20:$G$20,$E57:G57)/SUM($E$20:$G$20),IF(MONTH(Factores!$D$2)=5,SUMPRODUCT($E$20:$H$20,$E57:H57)/SUM($E$20:$H$20),IF(MONTH(Factores!$D$2)=6,SUMPRODUCT($E$20:$I$20,$E57:I57)/SUM($E$20:$I$20),IF(MONTH(Factores!$D$2)=7,SUMPRODUCT($E$20:$J$20,$E57:J57)/SUM($E$20:$J$20),IF(MONTH(Factores!$D$2)=8,SUMPRODUCT($E$20:$K$20,$E57:K57)/SUM($E$20:$K$20),IF(MONTH(Factores!$D$2)=9,SUMPRODUCT($E$20:$L$20,$E57:L57)/SUM($E$20:$L$20),IF(MONTH(Factores!$D$2)=10,SUMPRODUCT($E$20:$M$20,$E57:M57)/SUM($E$20:$M$20),IF(MONTH(Factores!$D$2)=11,SUMPRODUCT($E$20:$N$20,$E57:N57)/SUM($E$20:$N$20),IF(MONTH(Factores!$D$2)=12,SUMPRODUCT($E$20:$O$20,$E57:O57)/SUM($E$20:$O$20)))))))))))))</f>
        <v>24.617847582586332</v>
      </c>
      <c r="X57" s="2102"/>
    </row>
    <row r="58" spans="1:25" s="254" customFormat="1" ht="18" customHeight="1">
      <c r="A58" s="729"/>
      <c r="B58" s="639" t="s">
        <v>243</v>
      </c>
      <c r="C58" s="716" t="s">
        <v>95</v>
      </c>
      <c r="D58" s="717"/>
      <c r="E58" s="1394">
        <v>1046.5149446347402</v>
      </c>
      <c r="F58" s="1394">
        <v>1296.9623542884196</v>
      </c>
      <c r="G58" s="3444">
        <v>1415.243430536374</v>
      </c>
      <c r="H58" s="3445">
        <v>960.23110555463643</v>
      </c>
      <c r="I58" s="3445">
        <v>1038.1399416385209</v>
      </c>
      <c r="J58" s="3445">
        <v>888.07546735279197</v>
      </c>
      <c r="K58" s="3445">
        <v>1331.4688988049429</v>
      </c>
      <c r="L58" s="3445">
        <v>938.03196248170036</v>
      </c>
      <c r="M58" s="3445">
        <v>1128.1347364655965</v>
      </c>
      <c r="N58" s="3445">
        <v>780.44155629436455</v>
      </c>
      <c r="O58" s="3445">
        <v>717.73352810595134</v>
      </c>
      <c r="P58" s="1394">
        <v>1151.1531836543631</v>
      </c>
      <c r="Q58" s="534"/>
      <c r="R58" s="109">
        <f>SUMPRODUCT(E$35:P$35,E58:P58)/SUM(E$35:P$35)</f>
        <v>1047.3620903032806</v>
      </c>
      <c r="S58" s="715"/>
      <c r="T58" s="225">
        <f>IF(MONTH(Factores!$D$2)=1,SUMPRODUCT($E$35:$E$35,$E58:E58)/SUM($E$35:$E$35),IF(MONTH(Factores!$D$2)=2,SUMPRODUCT($E$35:$F$35,$E58:F58)/SUM($E$35:$F$35),IF(MONTH(Factores!$D$2)=3,SUMPRODUCT($E$35:$G$35,$E58:G58)/SUM($E$35:$G$35),IF(MONTH(Factores!$D$2)=4,SUMPRODUCT($E$35:$H$35,$E58:H58)/SUM($E$35:$H$35),IF(MONTH(Factores!$D$2)=5,SUMPRODUCT($E$35:$I$35,$E58:I58)/SUM($E$35:$I$35),IF(MONTH(Factores!$D$2)=6,SUMPRODUCT($E$35:$J$35,$E58:J58)/SUM($E$35:$J$35),IF(MONTH(Factores!$D$2)=7,SUMPRODUCT($E$35:$K$35,$E58:K58)/SUM($E$35:$K$35),IF(MONTH(Factores!$D$2)=8,SUMPRODUCT($E$35:$L$35,$E58:L58)/SUM($E$35:$L$35),IF(MONTH(Factores!$D$2)=9,SUMPRODUCT($E$35:$M$35,$E58:M58)/SUM($E$35:$M$35),IF(MONTH(Factores!$D$2)=10,SUMPRODUCT($E$35:$N$35,$E58:N58)/SUM($E$35:$N$35),IF(MONTH(Factores!$D$2)=11,SUMPRODUCT($E$35:$O$35,$E58:O58)/SUM($E$35:$O$35),IF(MONTH(Factores!$D$2)=12,SUMPRODUCT($E$35:$P$35,$E58:P58)/SUM($E$35:$P$35)))))))))))))</f>
        <v>1275.7294159215703</v>
      </c>
      <c r="U58" s="225">
        <f>IF(MONTH(Factores!$D$2)=1,SUMPRODUCT($E$35:$E$35,$E58:E58)/SUM($E$35:$E$35),IF(MONTH(Factores!$D$2)=2,SUMPRODUCT($E$35:$E$35,$E58:E58)/SUM($E$35:$E$35),IF(MONTH(Factores!$D$2)=3,SUMPRODUCT($E$35:$F$35,$E58:F58)/SUM($E$35:$F$35),IF(MONTH(Factores!$D$2)=4,SUMPRODUCT($E$35:$G$35,$E58:G58)/SUM($E$35:$G$35),IF(MONTH(Factores!$D$2)=5,SUMPRODUCT($E$35:$H$35,$E58:H58)/SUM($E$35:$H$35),IF(MONTH(Factores!$D$2)=6,SUMPRODUCT($E$35:$I$35,$E58:I58)/SUM($E$35:$I$35),IF(MONTH(Factores!$D$2)=7,SUMPRODUCT($E$35:$J$35,$E58:J58)/SUM($E$35:$J$35),IF(MONTH(Factores!$D$2)=8,SUMPRODUCT($E$35:$K$35,$E58:K58)/SUM($E$35:$K$35),IF(MONTH(Factores!$D$2)=9,SUMPRODUCT($E$35:$L$35,$E58:L58)/SUM($E$35:$L$35),IF(MONTH(Factores!$D$2)=10,SUMPRODUCT($E$35:$M$35,$E58:M58)/SUM($E$35:$M$35),IF(MONTH(Factores!$D$2)=11,SUMPRODUCT($E$35:$N$35,$E58:N58)/SUM($E$35:$N$35),IF(MONTH(Factores!$D$2)=12,SUMPRODUCT($E$35:$O$35,$E58:O58)/SUM($E$35:$O$35)))))))))))))</f>
        <v>1186.8911339920605</v>
      </c>
      <c r="X58" s="2103"/>
      <c r="Y58" s="2032"/>
    </row>
    <row r="59" spans="1:25" ht="18" customHeight="1">
      <c r="B59" s="426"/>
      <c r="C59" s="145"/>
      <c r="D59" s="426"/>
      <c r="E59" s="426"/>
      <c r="F59" s="426"/>
      <c r="G59" s="3423"/>
      <c r="H59" s="426"/>
      <c r="I59" s="426"/>
      <c r="J59" s="426"/>
      <c r="K59" s="426"/>
      <c r="L59" s="426"/>
      <c r="M59" s="426"/>
      <c r="N59" s="426"/>
      <c r="O59" s="426"/>
      <c r="P59" s="427"/>
      <c r="Q59" s="426"/>
      <c r="R59" s="426"/>
      <c r="S59" s="426"/>
      <c r="T59" s="426"/>
      <c r="U59" s="426"/>
      <c r="V59" s="426"/>
      <c r="W59" s="426"/>
      <c r="X59" s="2102"/>
    </row>
    <row r="60" spans="1:25" ht="18" customHeight="1">
      <c r="B60" s="92" t="s">
        <v>244</v>
      </c>
      <c r="C60" s="3429"/>
      <c r="D60" s="426"/>
      <c r="E60" s="3426"/>
      <c r="F60" s="3426"/>
      <c r="G60" s="3454"/>
      <c r="H60" s="3455"/>
      <c r="I60" s="3455"/>
      <c r="J60" s="3455"/>
      <c r="K60" s="3455"/>
      <c r="L60" s="3455"/>
      <c r="M60" s="3455"/>
      <c r="N60" s="3455"/>
      <c r="O60" s="3455"/>
      <c r="P60" s="3456"/>
      <c r="Q60" s="92"/>
      <c r="R60" s="92"/>
      <c r="S60" s="92"/>
      <c r="T60" s="92"/>
      <c r="U60" s="92"/>
      <c r="V60" s="92"/>
      <c r="W60" s="92"/>
      <c r="X60" s="2102"/>
    </row>
    <row r="61" spans="1:25" ht="18" customHeight="1">
      <c r="B61" s="93" t="s">
        <v>245</v>
      </c>
      <c r="C61" s="3429"/>
      <c r="D61" s="426"/>
      <c r="E61" s="3427"/>
      <c r="F61" s="3427"/>
      <c r="G61" s="3457"/>
      <c r="H61" s="3458"/>
      <c r="I61" s="3458"/>
      <c r="J61" s="3458"/>
      <c r="K61" s="3458"/>
      <c r="L61" s="3458"/>
      <c r="M61" s="3458"/>
      <c r="N61" s="3458"/>
      <c r="O61" s="3458"/>
      <c r="P61" s="3459"/>
      <c r="Q61" s="93"/>
      <c r="R61" s="93"/>
      <c r="S61" s="93"/>
      <c r="T61" s="93"/>
      <c r="U61" s="93"/>
      <c r="V61" s="93"/>
      <c r="W61" s="93"/>
      <c r="X61" s="2102"/>
    </row>
    <row r="62" spans="1:25" ht="18" customHeight="1">
      <c r="B62" s="93" t="s">
        <v>71</v>
      </c>
      <c r="C62" s="3429"/>
      <c r="D62" s="426"/>
      <c r="E62" s="3427"/>
      <c r="F62" s="3427"/>
      <c r="G62" s="3457"/>
      <c r="H62" s="3458"/>
      <c r="I62" s="3458"/>
      <c r="J62" s="3458"/>
      <c r="K62" s="3458"/>
      <c r="L62" s="3458"/>
      <c r="M62" s="3458"/>
      <c r="N62" s="3458"/>
      <c r="O62" s="3458"/>
      <c r="P62" s="3459"/>
      <c r="Q62" s="93"/>
      <c r="R62" s="93"/>
      <c r="S62" s="93"/>
      <c r="T62" s="93"/>
      <c r="U62" s="93"/>
      <c r="V62" s="93"/>
      <c r="W62" s="93"/>
      <c r="X62" s="2102"/>
    </row>
    <row r="63" spans="1:25" ht="18" customHeight="1">
      <c r="C63" s="3430"/>
      <c r="D63" s="426"/>
      <c r="G63" s="3424"/>
      <c r="P63" s="1304"/>
      <c r="V63" s="188"/>
      <c r="W63" s="188"/>
      <c r="X63" s="2102"/>
    </row>
    <row r="64" spans="1:25" ht="18" customHeight="1">
      <c r="B64" s="478" t="s">
        <v>246</v>
      </c>
      <c r="C64" s="479" t="s">
        <v>247</v>
      </c>
      <c r="D64" s="426"/>
      <c r="E64" s="1396">
        <v>4.5128217639682537</v>
      </c>
      <c r="F64" s="1396">
        <v>4.1383869818308847</v>
      </c>
      <c r="G64" s="3452">
        <v>4.1562992310862015</v>
      </c>
      <c r="H64" s="3453">
        <v>4.1762726797783118</v>
      </c>
      <c r="I64" s="3453">
        <v>4.1479349699894508</v>
      </c>
      <c r="J64" s="3453">
        <v>4.0567602647933514</v>
      </c>
      <c r="K64" s="3453">
        <v>3.983990607373646</v>
      </c>
      <c r="L64" s="3453">
        <v>4.1222805276878525</v>
      </c>
      <c r="M64" s="3453">
        <v>4.1365071034254317</v>
      </c>
      <c r="N64" s="3453">
        <v>4.102725115050216</v>
      </c>
      <c r="O64" s="3453">
        <v>4.1413260510181384</v>
      </c>
      <c r="P64" s="1396">
        <v>4.1365251822582652</v>
      </c>
      <c r="R64" s="106">
        <f>+SUMPRODUCT(E64:P64,E20:P20)/SUM(E20:P20)</f>
        <v>4.1397000597650004</v>
      </c>
      <c r="S64" s="698"/>
      <c r="T64" s="174">
        <f>IF(MONTH(Factores!$D$2)=1,SUMPRODUCT($E$20:$E$20,$E64:E64)/SUM($E$20:$E$20),IF(MONTH(Factores!$D$2)=2,SUMPRODUCT($E$20:$F$20,$E64:F64)/SUM($E$20:$F$20),IF(MONTH(Factores!$D$2)=3,SUMPRODUCT($E$20:$G$20,$E64:G64)/SUM($E$20:$G$20),IF(MONTH(Factores!$D$2)=4,SUMPRODUCT($E$20:$H$20,$E64:H64)/SUM($E$20:$H$20),IF(MONTH(Factores!$D$2)=5,SUMPRODUCT($E$20:$I$20,$E64:I64)/SUM($E$20:$I$20),IF(MONTH(Factores!$D$2)=6,SUMPRODUCT($E$20:$J$20,$E64:J64)/SUM($E$20:$J$20),IF(MONTH(Factores!$D$2)=7,SUMPRODUCT($E$20:$K$20,$E64:K64)/SUM($E$20:$K$20),IF(MONTH(Factores!$D$2)=8,SUMPRODUCT($E$20:$L$20,$E64:L64)/SUM($E$20:$L$20),IF(MONTH(Factores!$D$2)=9,SUMPRODUCT($E$20:$M$20,$E64:M64)/SUM($E$20:$M$20),IF(MONTH(Factores!$D$2)=10,SUMPRODUCT($E$20:$N$20,$E64:N64)/SUM($E$20:$N$20),IF(MONTH(Factores!$D$2)=11,SUMPRODUCT($E$20:$O$20,$E64:O64)/SUM($E$20:$O$20),IF(MONTH(Factores!$D$2)=12,SUMPRODUCT($E$20:$P$20,$E64:P64)/SUM($E$20:$P$20)))))))))))))</f>
        <v>4.2460434358007078</v>
      </c>
      <c r="U64" s="174">
        <f>IF(MONTH(Factores!$D$2)=1,SUMPRODUCT($E$20:$E$20,$E64:E64)/SUM($E$20:$E$20),IF(MONTH(Factores!$D$2)=2,SUMPRODUCT($E$20:$E$20,$E64:E64)/SUM($E$20:$E$20),IF(MONTH(Factores!$D$2)=3,SUMPRODUCT($E$20:$F$20,$E64:F64)/SUM($E$20:$F$20),IF(MONTH(Factores!$D$2)=4,SUMPRODUCT($E$20:$G$20,$E64:G64)/SUM($E$20:$G$20),IF(MONTH(Factores!$D$2)=5,SUMPRODUCT($E$20:$H$20,$E64:H64)/SUM($E$20:$H$20),IF(MONTH(Factores!$D$2)=6,SUMPRODUCT($E$20:$I$20,$E64:I64)/SUM($E$20:$I$20),IF(MONTH(Factores!$D$2)=7,SUMPRODUCT($E$20:$J$20,$E64:J64)/SUM($E$20:$J$20),IF(MONTH(Factores!$D$2)=8,SUMPRODUCT($E$20:$K$20,$E64:K64)/SUM($E$20:$K$20),IF(MONTH(Factores!$D$2)=9,SUMPRODUCT($E$20:$L$20,$E64:L64)/SUM($E$20:$L$20),IF(MONTH(Factores!$D$2)=10,SUMPRODUCT($E$20:$M$20,$E64:M64)/SUM($E$20:$M$20),IF(MONTH(Factores!$D$2)=11,SUMPRODUCT($E$20:$N$20,$E64:N64)/SUM($E$20:$N$20),IF(MONTH(Factores!$D$2)=12,SUMPRODUCT($E$20:$O$20,$E64:O64)/SUM($E$20:$O$20)))))))))))))</f>
        <v>4.3013591240336062</v>
      </c>
      <c r="X64" s="2102"/>
    </row>
    <row r="65" spans="2:24" ht="18" customHeight="1">
      <c r="B65" s="478" t="s">
        <v>580</v>
      </c>
      <c r="C65" s="479"/>
      <c r="D65" s="426"/>
      <c r="E65" s="1396">
        <v>89.567781091341658</v>
      </c>
      <c r="F65" s="1396">
        <v>81.798593354967636</v>
      </c>
      <c r="G65" s="3452">
        <v>82.367317304526793</v>
      </c>
      <c r="H65" s="3453">
        <v>84.239041254982652</v>
      </c>
      <c r="I65" s="3453">
        <v>80.41971566298939</v>
      </c>
      <c r="J65" s="3453">
        <v>75.991844663110129</v>
      </c>
      <c r="K65" s="3453">
        <v>72.220416960688041</v>
      </c>
      <c r="L65" s="3453">
        <v>77.599713059082944</v>
      </c>
      <c r="M65" s="3453">
        <v>80.606457044470716</v>
      </c>
      <c r="N65" s="3453">
        <v>76.582468230970491</v>
      </c>
      <c r="O65" s="3453">
        <v>79.86084482540511</v>
      </c>
      <c r="P65" s="1396">
        <v>79.571085170346734</v>
      </c>
      <c r="R65" s="106">
        <f>+SUMPRODUCT(E65:P65,E20:P20)/SUM(E20:P20)</f>
        <v>79.628083750157941</v>
      </c>
      <c r="S65" s="698"/>
      <c r="T65" s="174">
        <f>IF(MONTH(Factores!$D$2)=1,SUMPRODUCT($E$20:$E$20,$E65:E65)/SUM($E$20:$E$20),IF(MONTH(Factores!$D$2)=2,SUMPRODUCT($E$20:$F$20,$E65:F65)/SUM($E$20:$F$20),IF(MONTH(Factores!$D$2)=3,SUMPRODUCT($E$20:$G$20,$E65:G65)/SUM($E$20:$G$20),IF(MONTH(Factores!$D$2)=4,SUMPRODUCT($E$20:$H$20,$E65:H65)/SUM($E$20:$H$20),IF(MONTH(Factores!$D$2)=5,SUMPRODUCT($E$20:$I$20,$E65:I65)/SUM($E$20:$I$20),IF(MONTH(Factores!$D$2)=6,SUMPRODUCT($E$20:$J$20,$E65:J65)/SUM($E$20:$J$20),IF(MONTH(Factores!$D$2)=7,SUMPRODUCT($E$20:$K$20,$E65:K65)/SUM($E$20:$K$20),IF(MONTH(Factores!$D$2)=8,SUMPRODUCT($E$20:$L$20,$E65:L65)/SUM($E$20:$L$20),IF(MONTH(Factores!$D$2)=9,SUMPRODUCT($E$20:$M$20,$E65:M65)/SUM($E$20:$M$20),IF(MONTH(Factores!$D$2)=10,SUMPRODUCT($E$20:$N$20,$E65:N65)/SUM($E$20:$N$20),IF(MONTH(Factores!$D$2)=11,SUMPRODUCT($E$20:$O$20,$E65:O65)/SUM($E$20:$O$20),IF(MONTH(Factores!$D$2)=12,SUMPRODUCT($E$20:$P$20,$E65:P65)/SUM($E$20:$P$20)))))))))))))</f>
        <v>84.107513922834841</v>
      </c>
      <c r="U65" s="174"/>
      <c r="X65" s="2102"/>
    </row>
    <row r="66" spans="2:24" ht="18" customHeight="1">
      <c r="B66" s="478" t="s">
        <v>1358</v>
      </c>
      <c r="C66" s="479" t="s">
        <v>822</v>
      </c>
      <c r="D66" s="426"/>
      <c r="E66" s="1396">
        <v>191.19712351923587</v>
      </c>
      <c r="F66" s="1396">
        <v>182.28882630873363</v>
      </c>
      <c r="G66" s="3452">
        <v>181.93</v>
      </c>
      <c r="H66" s="3453">
        <v>181.56113411977768</v>
      </c>
      <c r="I66" s="3453">
        <v>183.53557781398931</v>
      </c>
      <c r="J66" s="3453">
        <v>183.92551631744027</v>
      </c>
      <c r="K66" s="3453">
        <v>182.26469471984882</v>
      </c>
      <c r="L66" s="3453">
        <v>182.30760477403831</v>
      </c>
      <c r="M66" s="3453">
        <v>181</v>
      </c>
      <c r="N66" s="3453">
        <v>181.27675738956879</v>
      </c>
      <c r="O66" s="3453">
        <v>180.82138683710542</v>
      </c>
      <c r="P66" s="1396">
        <v>181.07739016706452</v>
      </c>
      <c r="R66" s="106"/>
      <c r="S66" s="698"/>
      <c r="T66" s="174"/>
      <c r="U66" s="174"/>
      <c r="X66" s="2102"/>
    </row>
    <row r="67" spans="2:24" ht="18" customHeight="1">
      <c r="B67" s="478" t="s">
        <v>748</v>
      </c>
      <c r="C67" s="479" t="s">
        <v>1641</v>
      </c>
      <c r="E67" s="1396">
        <v>12.772475694025015</v>
      </c>
      <c r="F67" s="1396">
        <v>12.627418239447815</v>
      </c>
      <c r="G67" s="3452">
        <v>12.518670737300338</v>
      </c>
      <c r="H67" s="3453">
        <v>12.740592155805329</v>
      </c>
      <c r="I67" s="3453">
        <v>12.677647424760595</v>
      </c>
      <c r="J67" s="3453">
        <v>12.684980999027816</v>
      </c>
      <c r="K67" s="3453">
        <v>12.752742043204824</v>
      </c>
      <c r="L67" s="3453">
        <v>12.904435251571405</v>
      </c>
      <c r="M67" s="3453">
        <v>12.672478941755326</v>
      </c>
      <c r="N67" s="3453">
        <v>12.630476524678453</v>
      </c>
      <c r="O67" s="3453">
        <v>12.761268800576458</v>
      </c>
      <c r="P67" s="1396">
        <v>12.505802024626208</v>
      </c>
      <c r="R67" s="106"/>
      <c r="S67" s="698"/>
      <c r="T67" s="174"/>
      <c r="U67" s="174"/>
      <c r="X67" s="2102"/>
    </row>
    <row r="68" spans="2:24" ht="22.5">
      <c r="X68" s="2102"/>
    </row>
    <row r="69" spans="2:24" ht="22.5">
      <c r="X69" s="2102"/>
    </row>
    <row r="70" spans="2:24" ht="22.5">
      <c r="X70" s="2102"/>
    </row>
    <row r="71" spans="2:24" ht="22.5">
      <c r="X71" s="2102"/>
    </row>
    <row r="72" spans="2:24" ht="22.5">
      <c r="X72" s="2102"/>
    </row>
    <row r="73" spans="2:24" ht="22.5">
      <c r="B73" s="478" t="s">
        <v>1642</v>
      </c>
      <c r="C73" s="479" t="s">
        <v>48</v>
      </c>
      <c r="E73" s="1548">
        <v>19.564201296092122</v>
      </c>
      <c r="F73" s="1548">
        <v>20.602426600719475</v>
      </c>
      <c r="G73" s="3422">
        <v>28.422384713002526</v>
      </c>
      <c r="H73" s="2710">
        <v>22.131171900236232</v>
      </c>
      <c r="I73" s="2710">
        <v>31.461821381794522</v>
      </c>
      <c r="J73" s="2710">
        <v>31.316638511727174</v>
      </c>
      <c r="K73" s="2710">
        <v>27.887917569234752</v>
      </c>
      <c r="L73" s="2710">
        <v>30.012663141192068</v>
      </c>
      <c r="M73" s="2710">
        <v>33.41198619831448</v>
      </c>
      <c r="N73" s="2710">
        <v>34.41857715547512</v>
      </c>
      <c r="O73" s="2710">
        <v>32.546148959292516</v>
      </c>
      <c r="P73" s="1548">
        <v>37.238071621863909</v>
      </c>
      <c r="R73" s="106"/>
      <c r="S73" s="698"/>
      <c r="T73" s="174"/>
      <c r="U73" s="174"/>
      <c r="X73" s="2102"/>
    </row>
    <row r="74" spans="2:24" ht="22.5">
      <c r="B74" s="478" t="s">
        <v>1643</v>
      </c>
      <c r="C74" s="479" t="s">
        <v>48</v>
      </c>
      <c r="E74" s="1548">
        <v>73.254600653539214</v>
      </c>
      <c r="F74" s="1548">
        <v>75.459790113950064</v>
      </c>
      <c r="G74" s="3422">
        <v>105.64620902049708</v>
      </c>
      <c r="H74" s="2710">
        <v>77.995139368838935</v>
      </c>
      <c r="I74" s="2710">
        <v>114.60515332167228</v>
      </c>
      <c r="J74" s="2710">
        <v>117.05228207885385</v>
      </c>
      <c r="K74" s="2710">
        <v>109.44743428939685</v>
      </c>
      <c r="L74" s="2710">
        <v>108.67762543342836</v>
      </c>
      <c r="M74" s="2710">
        <v>125.49009042290616</v>
      </c>
      <c r="N74" s="2710">
        <v>131.30301869410349</v>
      </c>
      <c r="O74" s="2710">
        <v>123.88030976294901</v>
      </c>
      <c r="P74" s="1548">
        <v>141.84416203727429</v>
      </c>
      <c r="R74" s="106"/>
      <c r="S74" s="698"/>
      <c r="T74" s="174"/>
      <c r="U74" s="174"/>
      <c r="X74" s="2102"/>
    </row>
    <row r="75" spans="2:24" ht="22.5">
      <c r="B75" s="478" t="s">
        <v>1644</v>
      </c>
      <c r="C75" s="479" t="s">
        <v>48</v>
      </c>
      <c r="E75" s="1548">
        <v>20.25940490367266</v>
      </c>
      <c r="F75" s="1548">
        <v>19.927538882335295</v>
      </c>
      <c r="G75" s="3422">
        <v>28.451757064678283</v>
      </c>
      <c r="H75" s="2710">
        <v>22.108003010595951</v>
      </c>
      <c r="I75" s="2710">
        <v>31.461821381794504</v>
      </c>
      <c r="J75" s="2710">
        <v>31.28411863788325</v>
      </c>
      <c r="K75" s="2710">
        <v>27.945896607840233</v>
      </c>
      <c r="L75" s="2710">
        <v>34.450872857708681</v>
      </c>
      <c r="M75" s="2710">
        <v>30.083027577379603</v>
      </c>
      <c r="N75" s="2710">
        <v>33.278325527604068</v>
      </c>
      <c r="O75" s="2710">
        <v>33.082219127474325</v>
      </c>
      <c r="P75" s="1548">
        <v>37.364202750072927</v>
      </c>
      <c r="R75" s="106"/>
      <c r="S75" s="698"/>
      <c r="T75" s="174"/>
      <c r="U75" s="174"/>
      <c r="X75" s="2102"/>
    </row>
  </sheetData>
  <mergeCells count="2">
    <mergeCell ref="B4:B5"/>
    <mergeCell ref="C4:C5"/>
  </mergeCells>
  <phoneticPr fontId="273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B2A54-3A63-406B-82D1-A765BAAE4740}">
  <sheetPr>
    <tabColor rgb="FF0070C0"/>
  </sheetPr>
  <dimension ref="A1:BL33"/>
  <sheetViews>
    <sheetView topLeftCell="L1" zoomScale="85" zoomScaleNormal="85" workbookViewId="0">
      <selection activeCell="AA30" sqref="AA30"/>
    </sheetView>
  </sheetViews>
  <sheetFormatPr baseColWidth="10" defaultColWidth="6.453125" defaultRowHeight="12.5"/>
  <cols>
    <col min="2" max="2" width="12.81640625" customWidth="1"/>
    <col min="3" max="23" width="8.54296875" customWidth="1"/>
    <col min="24" max="24" width="13" customWidth="1"/>
    <col min="32" max="32" width="5.1796875" customWidth="1"/>
    <col min="33" max="33" width="7.1796875" customWidth="1"/>
    <col min="34" max="36" width="4.453125" bestFit="1" customWidth="1"/>
    <col min="37" max="37" width="12.54296875" bestFit="1" customWidth="1"/>
    <col min="38" max="38" width="12.54296875" customWidth="1"/>
    <col min="39" max="39" width="12.54296875" bestFit="1" customWidth="1"/>
    <col min="40" max="41" width="12.54296875" customWidth="1"/>
    <col min="42" max="43" width="3.1796875" bestFit="1" customWidth="1"/>
    <col min="44" max="46" width="4.453125" bestFit="1" customWidth="1"/>
    <col min="47" max="47" width="12.54296875" bestFit="1" customWidth="1"/>
    <col min="48" max="48" width="12.54296875" customWidth="1"/>
    <col min="49" max="49" width="12.453125" customWidth="1"/>
    <col min="50" max="50" width="12" customWidth="1"/>
    <col min="53" max="53" width="10.1796875" customWidth="1"/>
  </cols>
  <sheetData>
    <row r="1" spans="1:64">
      <c r="P1" s="157"/>
      <c r="Q1" s="157"/>
      <c r="R1" s="157"/>
      <c r="S1" s="157"/>
      <c r="T1" s="157"/>
      <c r="U1" s="157"/>
      <c r="V1" s="157"/>
      <c r="W1" s="157"/>
      <c r="X1" s="157"/>
    </row>
    <row r="2" spans="1:64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  <c r="AX2" s="157"/>
      <c r="AY2" s="157"/>
      <c r="AZ2" s="157"/>
      <c r="BA2" s="157"/>
      <c r="BB2" s="157"/>
      <c r="BC2" s="157"/>
      <c r="BD2" s="157"/>
      <c r="BE2" s="157"/>
      <c r="BF2" s="157"/>
      <c r="BG2" s="157"/>
      <c r="BH2" s="157"/>
      <c r="BI2" s="157"/>
      <c r="BJ2" s="157"/>
      <c r="BK2" s="157"/>
      <c r="BL2" s="157"/>
    </row>
    <row r="3" spans="1:64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7"/>
      <c r="AX3" s="157"/>
      <c r="AY3" s="157"/>
      <c r="AZ3" s="157"/>
      <c r="BA3" s="157"/>
      <c r="BB3" s="157"/>
      <c r="BC3" s="157"/>
      <c r="BD3" s="157"/>
      <c r="BE3" s="157"/>
      <c r="BF3" s="157"/>
      <c r="BG3" s="157"/>
      <c r="BH3" s="157"/>
      <c r="BI3" s="157"/>
      <c r="BJ3" s="157"/>
      <c r="BK3" s="157"/>
      <c r="BL3" s="157"/>
    </row>
    <row r="4" spans="1:64">
      <c r="A4" s="157"/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7"/>
      <c r="BD4" s="157"/>
      <c r="BE4" s="157"/>
      <c r="BF4" s="157"/>
      <c r="BG4" s="157"/>
      <c r="BH4" s="157"/>
      <c r="BI4" s="157"/>
      <c r="BJ4" s="157"/>
      <c r="BK4" s="157"/>
      <c r="BL4" s="157"/>
    </row>
    <row r="5" spans="1:64">
      <c r="A5" s="157"/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7"/>
      <c r="BD5" s="157"/>
      <c r="BE5" s="157"/>
      <c r="BF5" s="157"/>
      <c r="BG5" s="157"/>
      <c r="BH5" s="157"/>
      <c r="BI5" s="157"/>
      <c r="BJ5" s="157"/>
      <c r="BK5" s="157"/>
      <c r="BL5" s="157"/>
    </row>
    <row r="6" spans="1:64">
      <c r="A6" s="157"/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57"/>
      <c r="BE6" s="157"/>
      <c r="BF6" s="157"/>
      <c r="BG6" s="157"/>
      <c r="BH6" s="157"/>
      <c r="BI6" s="157"/>
      <c r="BJ6" s="157"/>
      <c r="BK6" s="157"/>
      <c r="BL6" s="157"/>
    </row>
    <row r="7" spans="1:64">
      <c r="A7" s="157"/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  <c r="AN7" s="157"/>
      <c r="AO7" s="157"/>
      <c r="AP7" s="157"/>
      <c r="AQ7" s="157"/>
      <c r="AR7" s="157"/>
      <c r="AS7" s="157"/>
      <c r="AT7" s="157"/>
      <c r="AU7" s="157"/>
      <c r="AV7" s="157"/>
      <c r="AW7" s="157"/>
      <c r="AX7" s="157"/>
      <c r="AY7" s="157"/>
      <c r="AZ7" s="157"/>
      <c r="BA7" s="157"/>
      <c r="BB7" s="157"/>
      <c r="BC7" s="157"/>
      <c r="BD7" s="157"/>
      <c r="BE7" s="157"/>
      <c r="BF7" s="157"/>
      <c r="BG7" s="157"/>
      <c r="BH7" s="157"/>
      <c r="BI7" s="157"/>
      <c r="BJ7" s="157"/>
      <c r="BK7" s="157"/>
      <c r="BL7" s="157"/>
    </row>
    <row r="8" spans="1:64">
      <c r="A8" s="157"/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  <c r="BI8" s="157"/>
      <c r="BJ8" s="157"/>
      <c r="BK8" s="157"/>
      <c r="BL8" s="157"/>
    </row>
    <row r="9" spans="1:64">
      <c r="A9" s="157"/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  <c r="BI9" s="157"/>
      <c r="BJ9" s="157"/>
      <c r="BK9" s="157"/>
      <c r="BL9" s="157"/>
    </row>
    <row r="10" spans="1:64">
      <c r="A10" s="157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  <c r="BI10" s="157"/>
      <c r="BJ10" s="157"/>
      <c r="BK10" s="157"/>
      <c r="BL10" s="157"/>
    </row>
    <row r="11" spans="1:64">
      <c r="A11" s="157"/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  <c r="BI11" s="157"/>
      <c r="BJ11" s="157"/>
      <c r="BK11" s="157"/>
      <c r="BL11" s="157"/>
    </row>
    <row r="12" spans="1:64">
      <c r="A12" s="157"/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  <c r="BI12" s="157"/>
      <c r="BJ12" s="157"/>
      <c r="BK12" s="157"/>
      <c r="BL12" s="157"/>
    </row>
    <row r="13" spans="1:64">
      <c r="A13" s="157"/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  <c r="BI13" s="157"/>
      <c r="BJ13" s="157"/>
      <c r="BK13" s="157"/>
      <c r="BL13" s="157"/>
    </row>
    <row r="14" spans="1:64">
      <c r="A14" s="157"/>
      <c r="B14" s="157"/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  <c r="BI14" s="157"/>
      <c r="BJ14" s="157"/>
      <c r="BK14" s="157"/>
      <c r="BL14" s="157"/>
    </row>
    <row r="15" spans="1:64">
      <c r="A15" s="157"/>
      <c r="B15" s="157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  <c r="BI15" s="157"/>
      <c r="BJ15" s="157"/>
      <c r="BK15" s="157"/>
      <c r="BL15" s="157"/>
    </row>
    <row r="16" spans="1:64">
      <c r="A16" s="157"/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  <c r="BI16" s="157"/>
      <c r="BJ16" s="157"/>
      <c r="BK16" s="157"/>
      <c r="BL16" s="157"/>
    </row>
    <row r="17" spans="1:64">
      <c r="A17" s="157"/>
      <c r="B17" s="157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  <c r="BI17" s="157"/>
      <c r="BJ17" s="157"/>
      <c r="BK17" s="157"/>
      <c r="BL17" s="157"/>
    </row>
    <row r="18" spans="1:64">
      <c r="A18" s="157"/>
      <c r="B18" s="157"/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  <c r="BI18" s="157"/>
      <c r="BJ18" s="157"/>
      <c r="BK18" s="157"/>
      <c r="BL18" s="157"/>
    </row>
    <row r="19" spans="1:64">
      <c r="A19" s="157"/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  <c r="BI19" s="157"/>
      <c r="BJ19" s="157"/>
      <c r="BK19" s="157"/>
      <c r="BL19" s="157"/>
    </row>
    <row r="20" spans="1:64">
      <c r="A20" s="157"/>
      <c r="B20" s="157"/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  <c r="BI20" s="157"/>
      <c r="BJ20" s="157"/>
      <c r="BK20" s="157"/>
      <c r="BL20" s="157"/>
    </row>
    <row r="21" spans="1:64">
      <c r="A21" s="157"/>
      <c r="B21" s="157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  <c r="BI21" s="157"/>
      <c r="BJ21" s="157"/>
      <c r="BK21" s="157"/>
      <c r="BL21" s="157"/>
    </row>
    <row r="22" spans="1:64">
      <c r="A22" s="157"/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  <c r="BI22" s="157"/>
      <c r="BJ22" s="157"/>
      <c r="BK22" s="157"/>
      <c r="BL22" s="157"/>
    </row>
    <row r="23" spans="1:64">
      <c r="A23" s="157"/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  <c r="BI23" s="157"/>
      <c r="BJ23" s="157"/>
      <c r="BK23" s="157"/>
      <c r="BL23" s="157"/>
    </row>
    <row r="24" spans="1:64">
      <c r="A24" s="157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  <c r="BI24" s="157"/>
      <c r="BJ24" s="157"/>
      <c r="BK24" s="157"/>
      <c r="BL24" s="157"/>
    </row>
    <row r="25" spans="1:64">
      <c r="A25" s="157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  <c r="BI25" s="157"/>
      <c r="BJ25" s="157"/>
      <c r="BK25" s="157"/>
      <c r="BL25" s="157"/>
    </row>
    <row r="26" spans="1:64">
      <c r="A26" s="157"/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7"/>
      <c r="AN26" s="157"/>
      <c r="AO26" s="157"/>
      <c r="AP26" s="157"/>
      <c r="AQ26" s="157"/>
      <c r="AR26" s="157"/>
      <c r="AS26" s="157"/>
      <c r="AT26" s="157"/>
      <c r="AU26" s="157"/>
      <c r="AV26" s="157"/>
      <c r="AW26" s="157"/>
      <c r="AX26" s="157"/>
      <c r="AY26" s="157"/>
      <c r="AZ26" s="157"/>
      <c r="BA26" s="157"/>
      <c r="BB26" s="157"/>
      <c r="BC26" s="157"/>
      <c r="BD26" s="157"/>
      <c r="BE26" s="157"/>
      <c r="BF26" s="157"/>
      <c r="BG26" s="157"/>
      <c r="BH26" s="157"/>
      <c r="BI26" s="157"/>
      <c r="BJ26" s="157"/>
      <c r="BK26" s="157"/>
      <c r="BL26" s="157"/>
    </row>
    <row r="27" spans="1:64">
      <c r="A27" s="157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  <c r="BB27" s="157"/>
      <c r="BC27" s="157"/>
      <c r="BD27" s="157"/>
      <c r="BE27" s="157"/>
      <c r="BF27" s="157"/>
      <c r="BG27" s="157"/>
      <c r="BH27" s="157"/>
      <c r="BI27" s="157"/>
      <c r="BJ27" s="157"/>
      <c r="BK27" s="157"/>
      <c r="BL27" s="157"/>
    </row>
    <row r="28" spans="1:64">
      <c r="A28" s="157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  <c r="AX28" s="157"/>
      <c r="AY28" s="157"/>
      <c r="AZ28" s="157"/>
      <c r="BA28" s="157"/>
      <c r="BB28" s="157"/>
      <c r="BC28" s="157"/>
      <c r="BD28" s="157"/>
      <c r="BE28" s="157"/>
      <c r="BF28" s="157"/>
      <c r="BG28" s="157"/>
      <c r="BH28" s="157"/>
      <c r="BI28" s="157"/>
      <c r="BJ28" s="157"/>
      <c r="BK28" s="157"/>
      <c r="BL28" s="157"/>
    </row>
    <row r="29" spans="1:64">
      <c r="A29" s="157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  <c r="BB29" s="157"/>
      <c r="BC29" s="157"/>
      <c r="BD29" s="157"/>
      <c r="BE29" s="157"/>
      <c r="BF29" s="157"/>
      <c r="BG29" s="157"/>
      <c r="BH29" s="157"/>
      <c r="BI29" s="157"/>
      <c r="BJ29" s="157"/>
      <c r="BK29" s="157"/>
      <c r="BL29" s="157"/>
    </row>
    <row r="30" spans="1:64">
      <c r="A30" s="157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  <c r="AX30" s="157"/>
      <c r="AY30" s="157"/>
      <c r="AZ30" s="157"/>
      <c r="BA30" s="157"/>
      <c r="BB30" s="157"/>
      <c r="BC30" s="157"/>
      <c r="BD30" s="157"/>
      <c r="BE30" s="157"/>
      <c r="BF30" s="157"/>
      <c r="BG30" s="157"/>
      <c r="BH30" s="157"/>
      <c r="BI30" s="157"/>
      <c r="BJ30" s="157"/>
      <c r="BK30" s="157"/>
      <c r="BL30" s="157"/>
    </row>
    <row r="31" spans="1:64">
      <c r="A31" s="157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7"/>
      <c r="AX31" s="157"/>
      <c r="AY31" s="157"/>
      <c r="AZ31" s="157"/>
      <c r="BA31" s="157"/>
      <c r="BB31" s="157"/>
      <c r="BC31" s="157"/>
      <c r="BD31" s="157"/>
      <c r="BE31" s="157"/>
      <c r="BF31" s="157"/>
      <c r="BG31" s="157"/>
      <c r="BH31" s="157"/>
      <c r="BI31" s="157"/>
      <c r="BJ31" s="157"/>
      <c r="BK31" s="157"/>
      <c r="BL31" s="157"/>
    </row>
    <row r="32" spans="1:64">
      <c r="A32" s="157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  <c r="AX32" s="157"/>
      <c r="AY32" s="157"/>
      <c r="AZ32" s="157"/>
      <c r="BA32" s="157"/>
      <c r="BB32" s="157"/>
      <c r="BC32" s="157"/>
      <c r="BD32" s="157"/>
      <c r="BE32" s="157"/>
      <c r="BF32" s="157"/>
      <c r="BG32" s="157"/>
      <c r="BH32" s="157"/>
      <c r="BI32" s="157"/>
      <c r="BJ32" s="157"/>
      <c r="BK32" s="157"/>
      <c r="BL32" s="157"/>
    </row>
    <row r="33" spans="1:64">
      <c r="A33" s="157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  <c r="AX33" s="157"/>
      <c r="AY33" s="157"/>
      <c r="AZ33" s="157"/>
      <c r="BA33" s="157"/>
      <c r="BB33" s="157"/>
      <c r="BC33" s="157"/>
      <c r="BD33" s="157"/>
      <c r="BE33" s="157"/>
      <c r="BF33" s="157"/>
      <c r="BG33" s="157"/>
      <c r="BH33" s="157"/>
      <c r="BI33" s="157"/>
      <c r="BJ33" s="157"/>
      <c r="BK33" s="157"/>
      <c r="BL33" s="157"/>
    </row>
  </sheetData>
  <phoneticPr fontId="5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0D5B9-816E-4507-9CCB-76E9812E2F48}">
  <sheetPr>
    <tabColor rgb="FF92D050"/>
  </sheetPr>
  <dimension ref="A1:AAV28"/>
  <sheetViews>
    <sheetView zoomScale="145" zoomScaleNormal="145" workbookViewId="0">
      <selection activeCell="C20" sqref="C20"/>
    </sheetView>
  </sheetViews>
  <sheetFormatPr baseColWidth="10" defaultColWidth="8.453125" defaultRowHeight="12.5"/>
  <cols>
    <col min="1" max="1" width="12" bestFit="1" customWidth="1"/>
    <col min="2" max="2" width="27.81640625" customWidth="1"/>
    <col min="3" max="3" width="23.1796875" customWidth="1"/>
    <col min="4" max="4" width="9.81640625" customWidth="1"/>
    <col min="5" max="5" width="22.54296875" hidden="1" customWidth="1"/>
    <col min="6" max="6" width="21" hidden="1" customWidth="1"/>
    <col min="7" max="7" width="21.81640625" hidden="1" customWidth="1"/>
    <col min="8" max="82" width="0.453125" hidden="1" customWidth="1"/>
    <col min="83" max="83" width="0.54296875" hidden="1" customWidth="1"/>
    <col min="84" max="724" width="0.453125" hidden="1" customWidth="1"/>
    <col min="725" max="726" width="0.81640625" customWidth="1"/>
  </cols>
  <sheetData>
    <row r="1" spans="1:724" s="3117" customFormat="1" ht="11.25" customHeight="1" thickBot="1">
      <c r="A1" s="4553" t="s">
        <v>1533</v>
      </c>
      <c r="B1" s="4555" t="s">
        <v>1534</v>
      </c>
      <c r="C1" s="4555" t="s">
        <v>1535</v>
      </c>
      <c r="D1" s="4555" t="s">
        <v>1545</v>
      </c>
      <c r="E1" s="4550">
        <v>45962</v>
      </c>
      <c r="F1" s="4551"/>
      <c r="G1" s="4551"/>
      <c r="H1" s="4551"/>
      <c r="I1" s="4551"/>
      <c r="J1" s="4551"/>
      <c r="K1" s="4551"/>
      <c r="L1" s="4551"/>
      <c r="M1" s="4551"/>
      <c r="N1" s="4551"/>
      <c r="O1" s="4551"/>
      <c r="P1" s="4551"/>
      <c r="Q1" s="4551"/>
      <c r="R1" s="4551"/>
      <c r="S1" s="4551"/>
      <c r="T1" s="4551"/>
      <c r="U1" s="4551"/>
      <c r="V1" s="4551"/>
      <c r="W1" s="4551"/>
      <c r="X1" s="4551"/>
      <c r="Y1" s="4551"/>
      <c r="Z1" s="4551"/>
      <c r="AA1" s="4551"/>
      <c r="AB1" s="4552"/>
      <c r="AC1" s="4550">
        <v>45963</v>
      </c>
      <c r="AD1" s="4551"/>
      <c r="AE1" s="4551"/>
      <c r="AF1" s="4551"/>
      <c r="AG1" s="4551"/>
      <c r="AH1" s="4551"/>
      <c r="AI1" s="4551"/>
      <c r="AJ1" s="4551"/>
      <c r="AK1" s="4551"/>
      <c r="AL1" s="4551"/>
      <c r="AM1" s="4551"/>
      <c r="AN1" s="4551"/>
      <c r="AO1" s="4551"/>
      <c r="AP1" s="4551"/>
      <c r="AQ1" s="4551"/>
      <c r="AR1" s="4551"/>
      <c r="AS1" s="4551"/>
      <c r="AT1" s="4551"/>
      <c r="AU1" s="4551"/>
      <c r="AV1" s="4551"/>
      <c r="AW1" s="4551"/>
      <c r="AX1" s="4551"/>
      <c r="AY1" s="4551"/>
      <c r="AZ1" s="4552"/>
      <c r="BA1" s="4550">
        <v>45964</v>
      </c>
      <c r="BB1" s="4551"/>
      <c r="BC1" s="4551"/>
      <c r="BD1" s="4551"/>
      <c r="BE1" s="4551"/>
      <c r="BF1" s="4551"/>
      <c r="BG1" s="4551"/>
      <c r="BH1" s="4551"/>
      <c r="BI1" s="4551"/>
      <c r="BJ1" s="4551"/>
      <c r="BK1" s="4551"/>
      <c r="BL1" s="4551"/>
      <c r="BM1" s="4551"/>
      <c r="BN1" s="4551"/>
      <c r="BO1" s="4551"/>
      <c r="BP1" s="4551"/>
      <c r="BQ1" s="4551"/>
      <c r="BR1" s="4551"/>
      <c r="BS1" s="4551"/>
      <c r="BT1" s="4551"/>
      <c r="BU1" s="4551"/>
      <c r="BV1" s="4551"/>
      <c r="BW1" s="4551"/>
      <c r="BX1" s="4552"/>
      <c r="BY1" s="4550">
        <v>45965</v>
      </c>
      <c r="BZ1" s="4551"/>
      <c r="CA1" s="4551"/>
      <c r="CB1" s="4551"/>
      <c r="CC1" s="4551"/>
      <c r="CD1" s="4551"/>
      <c r="CE1" s="4551"/>
      <c r="CF1" s="4551"/>
      <c r="CG1" s="4551"/>
      <c r="CH1" s="4551"/>
      <c r="CI1" s="4551"/>
      <c r="CJ1" s="4551"/>
      <c r="CK1" s="4551"/>
      <c r="CL1" s="4551"/>
      <c r="CM1" s="4551"/>
      <c r="CN1" s="4551"/>
      <c r="CO1" s="4551"/>
      <c r="CP1" s="4551"/>
      <c r="CQ1" s="4551"/>
      <c r="CR1" s="4551"/>
      <c r="CS1" s="4551"/>
      <c r="CT1" s="4551"/>
      <c r="CU1" s="4551"/>
      <c r="CV1" s="4552"/>
      <c r="CW1" s="4550">
        <v>45966</v>
      </c>
      <c r="CX1" s="4551"/>
      <c r="CY1" s="4551"/>
      <c r="CZ1" s="4551"/>
      <c r="DA1" s="4551"/>
      <c r="DB1" s="4551"/>
      <c r="DC1" s="4551"/>
      <c r="DD1" s="4551"/>
      <c r="DE1" s="4551"/>
      <c r="DF1" s="4551"/>
      <c r="DG1" s="4551"/>
      <c r="DH1" s="4551"/>
      <c r="DI1" s="4551"/>
      <c r="DJ1" s="4551"/>
      <c r="DK1" s="4551"/>
      <c r="DL1" s="4551"/>
      <c r="DM1" s="4551"/>
      <c r="DN1" s="4551"/>
      <c r="DO1" s="4551"/>
      <c r="DP1" s="4551"/>
      <c r="DQ1" s="4551"/>
      <c r="DR1" s="4551"/>
      <c r="DS1" s="4551"/>
      <c r="DT1" s="4552"/>
      <c r="DU1" s="4550">
        <v>45967</v>
      </c>
      <c r="DV1" s="4551"/>
      <c r="DW1" s="4551"/>
      <c r="DX1" s="4551"/>
      <c r="DY1" s="4551"/>
      <c r="DZ1" s="4551"/>
      <c r="EA1" s="4551"/>
      <c r="EB1" s="4551"/>
      <c r="EC1" s="4551"/>
      <c r="ED1" s="4551"/>
      <c r="EE1" s="4551"/>
      <c r="EF1" s="4551"/>
      <c r="EG1" s="4551"/>
      <c r="EH1" s="4551"/>
      <c r="EI1" s="4551"/>
      <c r="EJ1" s="4551"/>
      <c r="EK1" s="4551"/>
      <c r="EL1" s="4551"/>
      <c r="EM1" s="4551"/>
      <c r="EN1" s="4551"/>
      <c r="EO1" s="4551"/>
      <c r="EP1" s="4551"/>
      <c r="EQ1" s="4551"/>
      <c r="ER1" s="4552"/>
      <c r="ES1" s="4550">
        <v>45968</v>
      </c>
      <c r="ET1" s="4551"/>
      <c r="EU1" s="4551"/>
      <c r="EV1" s="4551"/>
      <c r="EW1" s="4551"/>
      <c r="EX1" s="4551"/>
      <c r="EY1" s="4551"/>
      <c r="EZ1" s="4551"/>
      <c r="FA1" s="4551"/>
      <c r="FB1" s="4551"/>
      <c r="FC1" s="4551"/>
      <c r="FD1" s="4551"/>
      <c r="FE1" s="4551"/>
      <c r="FF1" s="4551"/>
      <c r="FG1" s="4551"/>
      <c r="FH1" s="4551"/>
      <c r="FI1" s="4551"/>
      <c r="FJ1" s="4551"/>
      <c r="FK1" s="4551"/>
      <c r="FL1" s="4551"/>
      <c r="FM1" s="4551"/>
      <c r="FN1" s="4551"/>
      <c r="FO1" s="4551"/>
      <c r="FP1" s="4552"/>
      <c r="FQ1" s="4550">
        <v>45969</v>
      </c>
      <c r="FR1" s="4551"/>
      <c r="FS1" s="4551"/>
      <c r="FT1" s="4551"/>
      <c r="FU1" s="4551"/>
      <c r="FV1" s="4551"/>
      <c r="FW1" s="4551"/>
      <c r="FX1" s="4551"/>
      <c r="FY1" s="4551"/>
      <c r="FZ1" s="4551"/>
      <c r="GA1" s="4551"/>
      <c r="GB1" s="4551"/>
      <c r="GC1" s="4551"/>
      <c r="GD1" s="4551"/>
      <c r="GE1" s="4551"/>
      <c r="GF1" s="4551"/>
      <c r="GG1" s="4551"/>
      <c r="GH1" s="4551"/>
      <c r="GI1" s="4551"/>
      <c r="GJ1" s="4551"/>
      <c r="GK1" s="4551"/>
      <c r="GL1" s="4551"/>
      <c r="GM1" s="4551"/>
      <c r="GN1" s="4552"/>
      <c r="GO1" s="4550">
        <v>45970</v>
      </c>
      <c r="GP1" s="4551"/>
      <c r="GQ1" s="4551"/>
      <c r="GR1" s="4551"/>
      <c r="GS1" s="4551"/>
      <c r="GT1" s="4551"/>
      <c r="GU1" s="4551"/>
      <c r="GV1" s="4551"/>
      <c r="GW1" s="4551"/>
      <c r="GX1" s="4551"/>
      <c r="GY1" s="4551"/>
      <c r="GZ1" s="4551"/>
      <c r="HA1" s="4551"/>
      <c r="HB1" s="4551"/>
      <c r="HC1" s="4551"/>
      <c r="HD1" s="4551"/>
      <c r="HE1" s="4551"/>
      <c r="HF1" s="4551"/>
      <c r="HG1" s="4551"/>
      <c r="HH1" s="4551"/>
      <c r="HI1" s="4551"/>
      <c r="HJ1" s="4551"/>
      <c r="HK1" s="4551"/>
      <c r="HL1" s="4552"/>
      <c r="HM1" s="4550">
        <v>45971</v>
      </c>
      <c r="HN1" s="4551"/>
      <c r="HO1" s="4551"/>
      <c r="HP1" s="4551"/>
      <c r="HQ1" s="4551"/>
      <c r="HR1" s="4551"/>
      <c r="HS1" s="4551"/>
      <c r="HT1" s="4551"/>
      <c r="HU1" s="4551"/>
      <c r="HV1" s="4551"/>
      <c r="HW1" s="4551"/>
      <c r="HX1" s="4551"/>
      <c r="HY1" s="4551"/>
      <c r="HZ1" s="4551"/>
      <c r="IA1" s="4551"/>
      <c r="IB1" s="4551"/>
      <c r="IC1" s="4551"/>
      <c r="ID1" s="4551"/>
      <c r="IE1" s="4551"/>
      <c r="IF1" s="4551"/>
      <c r="IG1" s="4551"/>
      <c r="IH1" s="4551"/>
      <c r="II1" s="4551"/>
      <c r="IJ1" s="4552"/>
      <c r="IK1" s="4550">
        <v>45972</v>
      </c>
      <c r="IL1" s="4551"/>
      <c r="IM1" s="4551"/>
      <c r="IN1" s="4551"/>
      <c r="IO1" s="4551"/>
      <c r="IP1" s="4551"/>
      <c r="IQ1" s="4551"/>
      <c r="IR1" s="4551"/>
      <c r="IS1" s="4551"/>
      <c r="IT1" s="4551"/>
      <c r="IU1" s="4551"/>
      <c r="IV1" s="4551"/>
      <c r="IW1" s="4551"/>
      <c r="IX1" s="4551"/>
      <c r="IY1" s="4551"/>
      <c r="IZ1" s="4551"/>
      <c r="JA1" s="4551"/>
      <c r="JB1" s="4551"/>
      <c r="JC1" s="4551"/>
      <c r="JD1" s="4551"/>
      <c r="JE1" s="4551"/>
      <c r="JF1" s="4551"/>
      <c r="JG1" s="4551"/>
      <c r="JH1" s="4552"/>
      <c r="JI1" s="4550">
        <v>45973</v>
      </c>
      <c r="JJ1" s="4551"/>
      <c r="JK1" s="4551"/>
      <c r="JL1" s="4551"/>
      <c r="JM1" s="4551"/>
      <c r="JN1" s="4551"/>
      <c r="JO1" s="4551"/>
      <c r="JP1" s="4551"/>
      <c r="JQ1" s="4551"/>
      <c r="JR1" s="4551"/>
      <c r="JS1" s="4551"/>
      <c r="JT1" s="4551"/>
      <c r="JU1" s="4551"/>
      <c r="JV1" s="4551"/>
      <c r="JW1" s="4551"/>
      <c r="JX1" s="4551"/>
      <c r="JY1" s="4551"/>
      <c r="JZ1" s="4551"/>
      <c r="KA1" s="4551"/>
      <c r="KB1" s="4551"/>
      <c r="KC1" s="4551"/>
      <c r="KD1" s="4551"/>
      <c r="KE1" s="4551"/>
      <c r="KF1" s="4552"/>
      <c r="KG1" s="4550">
        <v>45974</v>
      </c>
      <c r="KH1" s="4551"/>
      <c r="KI1" s="4551"/>
      <c r="KJ1" s="4551"/>
      <c r="KK1" s="4551"/>
      <c r="KL1" s="4551"/>
      <c r="KM1" s="4551"/>
      <c r="KN1" s="4551"/>
      <c r="KO1" s="4551"/>
      <c r="KP1" s="4551"/>
      <c r="KQ1" s="4551"/>
      <c r="KR1" s="4551"/>
      <c r="KS1" s="4551"/>
      <c r="KT1" s="4551"/>
      <c r="KU1" s="4551"/>
      <c r="KV1" s="4551"/>
      <c r="KW1" s="4551"/>
      <c r="KX1" s="4551"/>
      <c r="KY1" s="4551"/>
      <c r="KZ1" s="4551"/>
      <c r="LA1" s="4551"/>
      <c r="LB1" s="4551"/>
      <c r="LC1" s="4551"/>
      <c r="LD1" s="4552"/>
      <c r="LE1" s="4550">
        <v>45975</v>
      </c>
      <c r="LF1" s="4551"/>
      <c r="LG1" s="4551"/>
      <c r="LH1" s="4551"/>
      <c r="LI1" s="4551"/>
      <c r="LJ1" s="4551"/>
      <c r="LK1" s="4551"/>
      <c r="LL1" s="4551"/>
      <c r="LM1" s="4551"/>
      <c r="LN1" s="4551"/>
      <c r="LO1" s="4551"/>
      <c r="LP1" s="4551"/>
      <c r="LQ1" s="4551"/>
      <c r="LR1" s="4551"/>
      <c r="LS1" s="4551"/>
      <c r="LT1" s="4551"/>
      <c r="LU1" s="4551"/>
      <c r="LV1" s="4551"/>
      <c r="LW1" s="4551"/>
      <c r="LX1" s="4551"/>
      <c r="LY1" s="4551"/>
      <c r="LZ1" s="4551"/>
      <c r="MA1" s="4551"/>
      <c r="MB1" s="4552"/>
      <c r="MC1" s="4550">
        <v>45976</v>
      </c>
      <c r="MD1" s="4551"/>
      <c r="ME1" s="4551"/>
      <c r="MF1" s="4551"/>
      <c r="MG1" s="4551"/>
      <c r="MH1" s="4551"/>
      <c r="MI1" s="4551"/>
      <c r="MJ1" s="4551"/>
      <c r="MK1" s="4551"/>
      <c r="ML1" s="4551"/>
      <c r="MM1" s="4551"/>
      <c r="MN1" s="4551"/>
      <c r="MO1" s="4551"/>
      <c r="MP1" s="4551"/>
      <c r="MQ1" s="4551"/>
      <c r="MR1" s="4551"/>
      <c r="MS1" s="4551"/>
      <c r="MT1" s="4551"/>
      <c r="MU1" s="4551"/>
      <c r="MV1" s="4551"/>
      <c r="MW1" s="4551"/>
      <c r="MX1" s="4551"/>
      <c r="MY1" s="4551"/>
      <c r="MZ1" s="4552"/>
      <c r="NA1" s="4550">
        <v>45977</v>
      </c>
      <c r="NB1" s="4551"/>
      <c r="NC1" s="4551"/>
      <c r="ND1" s="4551"/>
      <c r="NE1" s="4551"/>
      <c r="NF1" s="4551"/>
      <c r="NG1" s="4551"/>
      <c r="NH1" s="4551"/>
      <c r="NI1" s="4551"/>
      <c r="NJ1" s="4551"/>
      <c r="NK1" s="4551"/>
      <c r="NL1" s="4551"/>
      <c r="NM1" s="4551"/>
      <c r="NN1" s="4551"/>
      <c r="NO1" s="4551"/>
      <c r="NP1" s="4551"/>
      <c r="NQ1" s="4551"/>
      <c r="NR1" s="4551"/>
      <c r="NS1" s="4551"/>
      <c r="NT1" s="4551"/>
      <c r="NU1" s="4551"/>
      <c r="NV1" s="4551"/>
      <c r="NW1" s="4551"/>
      <c r="NX1" s="4552"/>
      <c r="NY1" s="4550">
        <v>45978</v>
      </c>
      <c r="NZ1" s="4551"/>
      <c r="OA1" s="4551"/>
      <c r="OB1" s="4551"/>
      <c r="OC1" s="4551"/>
      <c r="OD1" s="4551"/>
      <c r="OE1" s="4551"/>
      <c r="OF1" s="4551"/>
      <c r="OG1" s="4551"/>
      <c r="OH1" s="4551"/>
      <c r="OI1" s="4551"/>
      <c r="OJ1" s="4551"/>
      <c r="OK1" s="4551"/>
      <c r="OL1" s="4551"/>
      <c r="OM1" s="4551"/>
      <c r="ON1" s="4551"/>
      <c r="OO1" s="4551"/>
      <c r="OP1" s="4551"/>
      <c r="OQ1" s="4551"/>
      <c r="OR1" s="4551"/>
      <c r="OS1" s="4551"/>
      <c r="OT1" s="4551"/>
      <c r="OU1" s="4551"/>
      <c r="OV1" s="4552"/>
      <c r="OW1" s="4550">
        <v>45979</v>
      </c>
      <c r="OX1" s="4551"/>
      <c r="OY1" s="4551"/>
      <c r="OZ1" s="4551"/>
      <c r="PA1" s="4551"/>
      <c r="PB1" s="4551"/>
      <c r="PC1" s="4551"/>
      <c r="PD1" s="4551"/>
      <c r="PE1" s="4551"/>
      <c r="PF1" s="4551"/>
      <c r="PG1" s="4551"/>
      <c r="PH1" s="4551"/>
      <c r="PI1" s="4551"/>
      <c r="PJ1" s="4551"/>
      <c r="PK1" s="4551"/>
      <c r="PL1" s="4551"/>
      <c r="PM1" s="4551"/>
      <c r="PN1" s="4551"/>
      <c r="PO1" s="4551"/>
      <c r="PP1" s="4551"/>
      <c r="PQ1" s="4551"/>
      <c r="PR1" s="4551"/>
      <c r="PS1" s="4551"/>
      <c r="PT1" s="4552"/>
      <c r="PU1" s="4550">
        <v>45980</v>
      </c>
      <c r="PV1" s="4551"/>
      <c r="PW1" s="4551"/>
      <c r="PX1" s="4551"/>
      <c r="PY1" s="4551"/>
      <c r="PZ1" s="4551"/>
      <c r="QA1" s="4551"/>
      <c r="QB1" s="4551"/>
      <c r="QC1" s="4551"/>
      <c r="QD1" s="4551"/>
      <c r="QE1" s="4551"/>
      <c r="QF1" s="4551"/>
      <c r="QG1" s="4551"/>
      <c r="QH1" s="4551"/>
      <c r="QI1" s="4551"/>
      <c r="QJ1" s="4551"/>
      <c r="QK1" s="4551"/>
      <c r="QL1" s="4551"/>
      <c r="QM1" s="4551"/>
      <c r="QN1" s="4551"/>
      <c r="QO1" s="4551"/>
      <c r="QP1" s="4551"/>
      <c r="QQ1" s="4551"/>
      <c r="QR1" s="4552"/>
      <c r="QS1" s="4550">
        <v>45981</v>
      </c>
      <c r="QT1" s="4551"/>
      <c r="QU1" s="4551"/>
      <c r="QV1" s="4551"/>
      <c r="QW1" s="4551"/>
      <c r="QX1" s="4551"/>
      <c r="QY1" s="4551"/>
      <c r="QZ1" s="4551"/>
      <c r="RA1" s="4551"/>
      <c r="RB1" s="4551"/>
      <c r="RC1" s="4551"/>
      <c r="RD1" s="4551"/>
      <c r="RE1" s="4551"/>
      <c r="RF1" s="4551"/>
      <c r="RG1" s="4551"/>
      <c r="RH1" s="4551"/>
      <c r="RI1" s="4551"/>
      <c r="RJ1" s="4551"/>
      <c r="RK1" s="4551"/>
      <c r="RL1" s="4551"/>
      <c r="RM1" s="4551"/>
      <c r="RN1" s="4551"/>
      <c r="RO1" s="4551"/>
      <c r="RP1" s="4552"/>
      <c r="RQ1" s="4550">
        <v>45982</v>
      </c>
      <c r="RR1" s="4551"/>
      <c r="RS1" s="4551"/>
      <c r="RT1" s="4551"/>
      <c r="RU1" s="4551"/>
      <c r="RV1" s="4551"/>
      <c r="RW1" s="4551"/>
      <c r="RX1" s="4551"/>
      <c r="RY1" s="4551"/>
      <c r="RZ1" s="4551"/>
      <c r="SA1" s="4551"/>
      <c r="SB1" s="4551"/>
      <c r="SC1" s="4551"/>
      <c r="SD1" s="4551"/>
      <c r="SE1" s="4551"/>
      <c r="SF1" s="4551"/>
      <c r="SG1" s="4551"/>
      <c r="SH1" s="4551"/>
      <c r="SI1" s="4551"/>
      <c r="SJ1" s="4551"/>
      <c r="SK1" s="4551"/>
      <c r="SL1" s="4551"/>
      <c r="SM1" s="4551"/>
      <c r="SN1" s="4552"/>
      <c r="SO1" s="4550">
        <v>45983</v>
      </c>
      <c r="SP1" s="4551"/>
      <c r="SQ1" s="4551"/>
      <c r="SR1" s="4551"/>
      <c r="SS1" s="4551"/>
      <c r="ST1" s="4551"/>
      <c r="SU1" s="4551"/>
      <c r="SV1" s="4551"/>
      <c r="SW1" s="4551"/>
      <c r="SX1" s="4551"/>
      <c r="SY1" s="4551"/>
      <c r="SZ1" s="4551"/>
      <c r="TA1" s="4551"/>
      <c r="TB1" s="4551"/>
      <c r="TC1" s="4551"/>
      <c r="TD1" s="4551"/>
      <c r="TE1" s="4551"/>
      <c r="TF1" s="4551"/>
      <c r="TG1" s="4551"/>
      <c r="TH1" s="4551"/>
      <c r="TI1" s="4551"/>
      <c r="TJ1" s="4551"/>
      <c r="TK1" s="4551"/>
      <c r="TL1" s="4552"/>
      <c r="TM1" s="4550">
        <v>45984</v>
      </c>
      <c r="TN1" s="4551"/>
      <c r="TO1" s="4551"/>
      <c r="TP1" s="4551"/>
      <c r="TQ1" s="4551"/>
      <c r="TR1" s="4551"/>
      <c r="TS1" s="4551"/>
      <c r="TT1" s="4551"/>
      <c r="TU1" s="4551"/>
      <c r="TV1" s="4551"/>
      <c r="TW1" s="4551"/>
      <c r="TX1" s="4551"/>
      <c r="TY1" s="4551"/>
      <c r="TZ1" s="4551"/>
      <c r="UA1" s="4551"/>
      <c r="UB1" s="4551"/>
      <c r="UC1" s="4551"/>
      <c r="UD1" s="4551"/>
      <c r="UE1" s="4551"/>
      <c r="UF1" s="4551"/>
      <c r="UG1" s="4551"/>
      <c r="UH1" s="4551"/>
      <c r="UI1" s="4551"/>
      <c r="UJ1" s="4552"/>
      <c r="UK1" s="4550">
        <v>45985</v>
      </c>
      <c r="UL1" s="4551"/>
      <c r="UM1" s="4551"/>
      <c r="UN1" s="4551"/>
      <c r="UO1" s="4551"/>
      <c r="UP1" s="4551"/>
      <c r="UQ1" s="4551"/>
      <c r="UR1" s="4551"/>
      <c r="US1" s="4551"/>
      <c r="UT1" s="4551"/>
      <c r="UU1" s="4551"/>
      <c r="UV1" s="4551"/>
      <c r="UW1" s="4551"/>
      <c r="UX1" s="4551"/>
      <c r="UY1" s="4551"/>
      <c r="UZ1" s="4551"/>
      <c r="VA1" s="4551"/>
      <c r="VB1" s="4551"/>
      <c r="VC1" s="4551"/>
      <c r="VD1" s="4551"/>
      <c r="VE1" s="4551"/>
      <c r="VF1" s="4551"/>
      <c r="VG1" s="4551"/>
      <c r="VH1" s="4552"/>
      <c r="VI1" s="4550">
        <v>45986</v>
      </c>
      <c r="VJ1" s="4551"/>
      <c r="VK1" s="4551"/>
      <c r="VL1" s="4551"/>
      <c r="VM1" s="4551"/>
      <c r="VN1" s="4551"/>
      <c r="VO1" s="4551"/>
      <c r="VP1" s="4551"/>
      <c r="VQ1" s="4551"/>
      <c r="VR1" s="4551"/>
      <c r="VS1" s="4551"/>
      <c r="VT1" s="4551"/>
      <c r="VU1" s="4551"/>
      <c r="VV1" s="4551"/>
      <c r="VW1" s="4551"/>
      <c r="VX1" s="4551"/>
      <c r="VY1" s="4551"/>
      <c r="VZ1" s="4551"/>
      <c r="WA1" s="4551"/>
      <c r="WB1" s="4551"/>
      <c r="WC1" s="4551"/>
      <c r="WD1" s="4551"/>
      <c r="WE1" s="4551"/>
      <c r="WF1" s="4552"/>
      <c r="WG1" s="4550">
        <v>45987</v>
      </c>
      <c r="WH1" s="4551"/>
      <c r="WI1" s="4551"/>
      <c r="WJ1" s="4551"/>
      <c r="WK1" s="4551"/>
      <c r="WL1" s="4551"/>
      <c r="WM1" s="4551"/>
      <c r="WN1" s="4551"/>
      <c r="WO1" s="4551"/>
      <c r="WP1" s="4551"/>
      <c r="WQ1" s="4551"/>
      <c r="WR1" s="4551"/>
      <c r="WS1" s="4551"/>
      <c r="WT1" s="4551"/>
      <c r="WU1" s="4551"/>
      <c r="WV1" s="4551"/>
      <c r="WW1" s="4551"/>
      <c r="WX1" s="4551"/>
      <c r="WY1" s="4551"/>
      <c r="WZ1" s="4551"/>
      <c r="XA1" s="4551"/>
      <c r="XB1" s="4551"/>
      <c r="XC1" s="4551"/>
      <c r="XD1" s="4552"/>
      <c r="XE1" s="4550">
        <v>45988</v>
      </c>
      <c r="XF1" s="4551"/>
      <c r="XG1" s="4551"/>
      <c r="XH1" s="4551"/>
      <c r="XI1" s="4551"/>
      <c r="XJ1" s="4551"/>
      <c r="XK1" s="4551"/>
      <c r="XL1" s="4551"/>
      <c r="XM1" s="4551"/>
      <c r="XN1" s="4551"/>
      <c r="XO1" s="4551"/>
      <c r="XP1" s="4551"/>
      <c r="XQ1" s="4551"/>
      <c r="XR1" s="4551"/>
      <c r="XS1" s="4551"/>
      <c r="XT1" s="4551"/>
      <c r="XU1" s="4551"/>
      <c r="XV1" s="4551"/>
      <c r="XW1" s="4551"/>
      <c r="XX1" s="4551"/>
      <c r="XY1" s="4551"/>
      <c r="XZ1" s="4551"/>
      <c r="YA1" s="4551"/>
      <c r="YB1" s="4552"/>
      <c r="YC1" s="4550">
        <v>45989</v>
      </c>
      <c r="YD1" s="4551"/>
      <c r="YE1" s="4551"/>
      <c r="YF1" s="4551"/>
      <c r="YG1" s="4551"/>
      <c r="YH1" s="4551"/>
      <c r="YI1" s="4551"/>
      <c r="YJ1" s="4551"/>
      <c r="YK1" s="4551"/>
      <c r="YL1" s="4551"/>
      <c r="YM1" s="4551"/>
      <c r="YN1" s="4551"/>
      <c r="YO1" s="4551"/>
      <c r="YP1" s="4551"/>
      <c r="YQ1" s="4551"/>
      <c r="YR1" s="4551"/>
      <c r="YS1" s="4551"/>
      <c r="YT1" s="4551"/>
      <c r="YU1" s="4551"/>
      <c r="YV1" s="4551"/>
      <c r="YW1" s="4551"/>
      <c r="YX1" s="4551"/>
      <c r="YY1" s="4551"/>
      <c r="YZ1" s="4552"/>
      <c r="ZA1" s="4550">
        <v>45990</v>
      </c>
      <c r="ZB1" s="4551"/>
      <c r="ZC1" s="4551"/>
      <c r="ZD1" s="4551"/>
      <c r="ZE1" s="4551"/>
      <c r="ZF1" s="4551"/>
      <c r="ZG1" s="4551"/>
      <c r="ZH1" s="4551"/>
      <c r="ZI1" s="4551"/>
      <c r="ZJ1" s="4551"/>
      <c r="ZK1" s="4551"/>
      <c r="ZL1" s="4551"/>
      <c r="ZM1" s="4551"/>
      <c r="ZN1" s="4551"/>
      <c r="ZO1" s="4551"/>
      <c r="ZP1" s="4551"/>
      <c r="ZQ1" s="4551"/>
      <c r="ZR1" s="4551"/>
      <c r="ZS1" s="4551"/>
      <c r="ZT1" s="4551"/>
      <c r="ZU1" s="4551"/>
      <c r="ZV1" s="4551"/>
      <c r="ZW1" s="4551"/>
      <c r="ZX1" s="4552"/>
      <c r="ZY1" s="4550">
        <v>45991</v>
      </c>
      <c r="ZZ1" s="4551"/>
      <c r="AAA1" s="4551"/>
      <c r="AAB1" s="4551"/>
      <c r="AAC1" s="4551"/>
      <c r="AAD1" s="4551"/>
      <c r="AAE1" s="4551"/>
      <c r="AAF1" s="4551"/>
      <c r="AAG1" s="4551"/>
      <c r="AAH1" s="4551"/>
      <c r="AAI1" s="4551"/>
      <c r="AAJ1" s="4551"/>
      <c r="AAK1" s="4551"/>
      <c r="AAL1" s="4551"/>
      <c r="AAM1" s="4551"/>
      <c r="AAN1" s="4551"/>
      <c r="AAO1" s="4551"/>
      <c r="AAP1" s="4551"/>
      <c r="AAQ1" s="4551"/>
      <c r="AAR1" s="4551"/>
      <c r="AAS1" s="4551"/>
      <c r="AAT1" s="4551"/>
      <c r="AAU1" s="4551"/>
      <c r="AAV1" s="4552"/>
    </row>
    <row r="2" spans="1:724" s="3118" customFormat="1" ht="14.25" customHeight="1" thickTop="1">
      <c r="A2" s="4554"/>
      <c r="B2" s="4556"/>
      <c r="C2" s="4556"/>
      <c r="D2" s="4556"/>
      <c r="E2" s="3118">
        <v>1</v>
      </c>
      <c r="F2" s="3118">
        <v>2</v>
      </c>
      <c r="G2" s="3118">
        <v>3</v>
      </c>
      <c r="H2" s="3118">
        <v>4</v>
      </c>
      <c r="I2" s="3118">
        <v>5</v>
      </c>
      <c r="J2" s="3118">
        <v>6</v>
      </c>
      <c r="K2" s="3118">
        <v>7</v>
      </c>
      <c r="L2" s="3118">
        <v>8</v>
      </c>
      <c r="M2" s="3118">
        <v>9</v>
      </c>
      <c r="N2" s="3118">
        <v>10</v>
      </c>
      <c r="O2" s="3118">
        <v>11</v>
      </c>
      <c r="P2" s="3118">
        <v>12</v>
      </c>
      <c r="Q2" s="3118">
        <v>13</v>
      </c>
      <c r="R2" s="3118">
        <v>14</v>
      </c>
      <c r="S2" s="3118">
        <v>15</v>
      </c>
      <c r="T2" s="3118">
        <v>16</v>
      </c>
      <c r="U2" s="3118">
        <v>17</v>
      </c>
      <c r="V2" s="3118">
        <v>18</v>
      </c>
      <c r="W2" s="3118">
        <v>19</v>
      </c>
      <c r="X2" s="3118">
        <v>20</v>
      </c>
      <c r="Y2" s="3118">
        <v>21</v>
      </c>
      <c r="Z2" s="3118">
        <v>22</v>
      </c>
      <c r="AA2" s="3118">
        <v>23</v>
      </c>
      <c r="AB2" s="3118">
        <v>24</v>
      </c>
      <c r="AC2" s="3118">
        <v>1</v>
      </c>
      <c r="AD2" s="3118">
        <v>2</v>
      </c>
      <c r="AE2" s="3118">
        <v>3</v>
      </c>
      <c r="AF2" s="3118">
        <v>4</v>
      </c>
      <c r="AG2" s="3118">
        <v>5</v>
      </c>
      <c r="AH2" s="3118">
        <v>6</v>
      </c>
      <c r="AI2" s="3118">
        <v>7</v>
      </c>
      <c r="AJ2" s="3118">
        <v>8</v>
      </c>
      <c r="AK2" s="3118">
        <v>9</v>
      </c>
      <c r="AL2" s="3118">
        <v>10</v>
      </c>
      <c r="AM2" s="3118">
        <v>11</v>
      </c>
      <c r="AN2" s="3118">
        <v>12</v>
      </c>
      <c r="AO2" s="3118">
        <v>13</v>
      </c>
      <c r="AP2" s="3118">
        <v>14</v>
      </c>
      <c r="AQ2" s="3118">
        <v>15</v>
      </c>
      <c r="AR2" s="3118">
        <v>16</v>
      </c>
      <c r="AS2" s="3118">
        <v>17</v>
      </c>
      <c r="AT2" s="3118">
        <v>18</v>
      </c>
      <c r="AU2" s="3118">
        <v>19</v>
      </c>
      <c r="AV2" s="3118">
        <v>20</v>
      </c>
      <c r="AW2" s="3118">
        <v>21</v>
      </c>
      <c r="AX2" s="3118">
        <v>22</v>
      </c>
      <c r="AY2" s="3118">
        <v>23</v>
      </c>
      <c r="AZ2" s="3118">
        <v>24</v>
      </c>
      <c r="BA2" s="3118">
        <v>1</v>
      </c>
      <c r="BB2" s="3118">
        <v>2</v>
      </c>
      <c r="BC2" s="3118">
        <v>3</v>
      </c>
      <c r="BD2" s="3118">
        <v>4</v>
      </c>
      <c r="BE2" s="3118">
        <v>5</v>
      </c>
      <c r="BF2" s="3118">
        <v>6</v>
      </c>
      <c r="BG2" s="3118">
        <v>7</v>
      </c>
      <c r="BH2" s="3118">
        <v>8</v>
      </c>
      <c r="BI2" s="3118">
        <v>9</v>
      </c>
      <c r="BJ2" s="3118">
        <v>10</v>
      </c>
      <c r="BK2" s="3118">
        <v>11</v>
      </c>
      <c r="BL2" s="3118">
        <v>12</v>
      </c>
      <c r="BM2" s="3118">
        <v>13</v>
      </c>
      <c r="BN2" s="3118">
        <v>14</v>
      </c>
      <c r="BO2" s="3118">
        <v>15</v>
      </c>
      <c r="BP2" s="3118">
        <v>16</v>
      </c>
      <c r="BQ2" s="3118">
        <v>17</v>
      </c>
      <c r="BR2" s="3118">
        <v>18</v>
      </c>
      <c r="BS2" s="3118">
        <v>19</v>
      </c>
      <c r="BT2" s="3118">
        <v>20</v>
      </c>
      <c r="BU2" s="3118">
        <v>21</v>
      </c>
      <c r="BV2" s="3118">
        <v>22</v>
      </c>
      <c r="BW2" s="3118">
        <v>23</v>
      </c>
      <c r="BX2" s="3118">
        <v>24</v>
      </c>
      <c r="BY2" s="3118">
        <v>1</v>
      </c>
      <c r="BZ2" s="3118">
        <v>2</v>
      </c>
      <c r="CA2" s="3118">
        <v>3</v>
      </c>
      <c r="CB2" s="3118">
        <v>4</v>
      </c>
      <c r="CC2" s="3118">
        <v>5</v>
      </c>
      <c r="CD2" s="3118">
        <v>6</v>
      </c>
      <c r="CE2" s="3118">
        <v>7</v>
      </c>
      <c r="CF2" s="3118">
        <v>8</v>
      </c>
      <c r="CG2" s="3118">
        <v>9</v>
      </c>
      <c r="CH2" s="3118">
        <v>10</v>
      </c>
      <c r="CI2" s="3118">
        <v>11</v>
      </c>
      <c r="CJ2" s="3118">
        <v>12</v>
      </c>
      <c r="CK2" s="3118">
        <v>13</v>
      </c>
      <c r="CL2" s="3118">
        <v>14</v>
      </c>
      <c r="CM2" s="3118">
        <v>15</v>
      </c>
      <c r="CN2" s="3118">
        <v>16</v>
      </c>
      <c r="CO2" s="3118">
        <v>17</v>
      </c>
      <c r="CP2" s="3118">
        <v>18</v>
      </c>
      <c r="CQ2" s="3118">
        <v>19</v>
      </c>
      <c r="CR2" s="3118">
        <v>20</v>
      </c>
      <c r="CS2" s="3118">
        <v>21</v>
      </c>
      <c r="CT2" s="3118">
        <v>22</v>
      </c>
      <c r="CU2" s="3118">
        <v>23</v>
      </c>
      <c r="CV2" s="3118">
        <v>24</v>
      </c>
      <c r="CW2" s="3118">
        <v>1</v>
      </c>
      <c r="CX2" s="3118">
        <v>2</v>
      </c>
      <c r="CY2" s="3118">
        <v>3</v>
      </c>
      <c r="CZ2" s="3118">
        <v>4</v>
      </c>
      <c r="DA2" s="3118">
        <v>5</v>
      </c>
      <c r="DB2" s="3118">
        <v>6</v>
      </c>
      <c r="DC2" s="3118">
        <v>7</v>
      </c>
      <c r="DD2" s="3118">
        <v>8</v>
      </c>
      <c r="DE2" s="3118">
        <v>9</v>
      </c>
      <c r="DF2" s="3118">
        <v>10</v>
      </c>
      <c r="DG2" s="3118">
        <v>11</v>
      </c>
      <c r="DH2" s="3118">
        <v>12</v>
      </c>
      <c r="DI2" s="3118">
        <v>13</v>
      </c>
      <c r="DJ2" s="3118">
        <v>14</v>
      </c>
      <c r="DK2" s="3118">
        <v>15</v>
      </c>
      <c r="DL2" s="3118">
        <v>16</v>
      </c>
      <c r="DM2" s="3118">
        <v>17</v>
      </c>
      <c r="DN2" s="3118">
        <v>18</v>
      </c>
      <c r="DO2" s="3118">
        <v>19</v>
      </c>
      <c r="DP2" s="3118">
        <v>20</v>
      </c>
      <c r="DQ2" s="3118">
        <v>21</v>
      </c>
      <c r="DR2" s="3118">
        <v>22</v>
      </c>
      <c r="DS2" s="3118">
        <v>23</v>
      </c>
      <c r="DT2" s="3118">
        <v>24</v>
      </c>
      <c r="DU2" s="3118">
        <v>1</v>
      </c>
      <c r="DV2" s="3118">
        <v>2</v>
      </c>
      <c r="DW2" s="3118">
        <v>3</v>
      </c>
      <c r="DX2" s="3118">
        <v>4</v>
      </c>
      <c r="DY2" s="3118">
        <v>5</v>
      </c>
      <c r="DZ2" s="3118">
        <v>6</v>
      </c>
      <c r="EA2" s="3118">
        <v>7</v>
      </c>
      <c r="EB2" s="3118">
        <v>8</v>
      </c>
      <c r="EC2" s="3118">
        <v>9</v>
      </c>
      <c r="ED2" s="3118">
        <v>10</v>
      </c>
      <c r="EE2" s="3118">
        <v>11</v>
      </c>
      <c r="EF2" s="3118">
        <v>12</v>
      </c>
      <c r="EG2" s="3118">
        <v>13</v>
      </c>
      <c r="EH2" s="3118">
        <v>14</v>
      </c>
      <c r="EI2" s="3118">
        <v>15</v>
      </c>
      <c r="EJ2" s="3118">
        <v>16</v>
      </c>
      <c r="EK2" s="3118">
        <v>17</v>
      </c>
      <c r="EL2" s="3118">
        <v>18</v>
      </c>
      <c r="EM2" s="3118">
        <v>19</v>
      </c>
      <c r="EN2" s="3118">
        <v>20</v>
      </c>
      <c r="EO2" s="3118">
        <v>21</v>
      </c>
      <c r="EP2" s="3118">
        <v>22</v>
      </c>
      <c r="EQ2" s="3118">
        <v>23</v>
      </c>
      <c r="ER2" s="3118">
        <v>24</v>
      </c>
      <c r="ES2" s="3118">
        <v>1</v>
      </c>
      <c r="ET2" s="3118">
        <v>2</v>
      </c>
      <c r="EU2" s="3118">
        <v>3</v>
      </c>
      <c r="EV2" s="3118">
        <v>4</v>
      </c>
      <c r="EW2" s="3118">
        <v>5</v>
      </c>
      <c r="EX2" s="3118">
        <v>6</v>
      </c>
      <c r="EY2" s="3118">
        <v>7</v>
      </c>
      <c r="EZ2" s="3118">
        <v>8</v>
      </c>
      <c r="FA2" s="3118">
        <v>9</v>
      </c>
      <c r="FB2" s="3118">
        <v>10</v>
      </c>
      <c r="FC2" s="3118">
        <v>11</v>
      </c>
      <c r="FD2" s="3118">
        <v>12</v>
      </c>
      <c r="FE2" s="3118">
        <v>13</v>
      </c>
      <c r="FF2" s="3118">
        <v>14</v>
      </c>
      <c r="FG2" s="3118">
        <v>15</v>
      </c>
      <c r="FH2" s="3118">
        <v>16</v>
      </c>
      <c r="FI2" s="3118">
        <v>17</v>
      </c>
      <c r="FJ2" s="3118">
        <v>18</v>
      </c>
      <c r="FK2" s="3118">
        <v>19</v>
      </c>
      <c r="FL2" s="3118">
        <v>20</v>
      </c>
      <c r="FM2" s="3118">
        <v>21</v>
      </c>
      <c r="FN2" s="3118">
        <v>22</v>
      </c>
      <c r="FO2" s="3118">
        <v>23</v>
      </c>
      <c r="FP2" s="3118">
        <v>24</v>
      </c>
      <c r="FQ2" s="3118">
        <v>1</v>
      </c>
      <c r="FR2" s="3118">
        <v>2</v>
      </c>
      <c r="FS2" s="3118">
        <v>3</v>
      </c>
      <c r="FT2" s="3118">
        <v>4</v>
      </c>
      <c r="FU2" s="3118">
        <v>5</v>
      </c>
      <c r="FV2" s="3118">
        <v>6</v>
      </c>
      <c r="FW2" s="3118">
        <v>7</v>
      </c>
      <c r="FX2" s="3118">
        <v>8</v>
      </c>
      <c r="FY2" s="3118">
        <v>9</v>
      </c>
      <c r="FZ2" s="3118">
        <v>10</v>
      </c>
      <c r="GA2" s="3118">
        <v>11</v>
      </c>
      <c r="GB2" s="3118">
        <v>12</v>
      </c>
      <c r="GC2" s="3118">
        <v>13</v>
      </c>
      <c r="GD2" s="3118">
        <v>14</v>
      </c>
      <c r="GE2" s="3118">
        <v>15</v>
      </c>
      <c r="GF2" s="3118">
        <v>16</v>
      </c>
      <c r="GG2" s="3118">
        <v>17</v>
      </c>
      <c r="GH2" s="3118">
        <v>18</v>
      </c>
      <c r="GI2" s="3118">
        <v>19</v>
      </c>
      <c r="GJ2" s="3118">
        <v>20</v>
      </c>
      <c r="GK2" s="3118">
        <v>21</v>
      </c>
      <c r="GL2" s="3118">
        <v>22</v>
      </c>
      <c r="GM2" s="3118">
        <v>23</v>
      </c>
      <c r="GN2" s="3118">
        <v>24</v>
      </c>
      <c r="GO2" s="3118">
        <v>1</v>
      </c>
      <c r="GP2" s="3118">
        <v>2</v>
      </c>
      <c r="GQ2" s="3118">
        <v>3</v>
      </c>
      <c r="GR2" s="3118">
        <v>4</v>
      </c>
      <c r="GS2" s="3118">
        <v>5</v>
      </c>
      <c r="GT2" s="3118">
        <v>6</v>
      </c>
      <c r="GU2" s="3118">
        <v>7</v>
      </c>
      <c r="GV2" s="3118">
        <v>8</v>
      </c>
      <c r="GW2" s="3118">
        <v>9</v>
      </c>
      <c r="GX2" s="3118">
        <v>10</v>
      </c>
      <c r="GY2" s="3118">
        <v>11</v>
      </c>
      <c r="GZ2" s="3118">
        <v>12</v>
      </c>
      <c r="HA2" s="3118">
        <v>13</v>
      </c>
      <c r="HB2" s="3118">
        <v>14</v>
      </c>
      <c r="HC2" s="3118">
        <v>15</v>
      </c>
      <c r="HD2" s="3118">
        <v>16</v>
      </c>
      <c r="HE2" s="3118">
        <v>17</v>
      </c>
      <c r="HF2" s="3118">
        <v>18</v>
      </c>
      <c r="HG2" s="3118">
        <v>19</v>
      </c>
      <c r="HH2" s="3118">
        <v>20</v>
      </c>
      <c r="HI2" s="3118">
        <v>21</v>
      </c>
      <c r="HJ2" s="3118">
        <v>22</v>
      </c>
      <c r="HK2" s="3118">
        <v>23</v>
      </c>
      <c r="HL2" s="3118">
        <v>24</v>
      </c>
      <c r="HM2" s="3118">
        <v>1</v>
      </c>
      <c r="HN2" s="3118">
        <v>2</v>
      </c>
      <c r="HO2" s="3118">
        <v>3</v>
      </c>
      <c r="HP2" s="3118">
        <v>4</v>
      </c>
      <c r="HQ2" s="3118">
        <v>5</v>
      </c>
      <c r="HR2" s="3118">
        <v>6</v>
      </c>
      <c r="HS2" s="3118">
        <v>7</v>
      </c>
      <c r="HT2" s="3118">
        <v>8</v>
      </c>
      <c r="HU2" s="3118">
        <v>9</v>
      </c>
      <c r="HV2" s="3118">
        <v>10</v>
      </c>
      <c r="HW2" s="3118">
        <v>11</v>
      </c>
      <c r="HX2" s="3118">
        <v>12</v>
      </c>
      <c r="HY2" s="3118">
        <v>13</v>
      </c>
      <c r="HZ2" s="3118">
        <v>14</v>
      </c>
      <c r="IA2" s="3118">
        <v>15</v>
      </c>
      <c r="IB2" s="3118">
        <v>16</v>
      </c>
      <c r="IC2" s="3118">
        <v>17</v>
      </c>
      <c r="ID2" s="3118">
        <v>18</v>
      </c>
      <c r="IE2" s="3118">
        <v>19</v>
      </c>
      <c r="IF2" s="3118">
        <v>20</v>
      </c>
      <c r="IG2" s="3118">
        <v>21</v>
      </c>
      <c r="IH2" s="3118">
        <v>22</v>
      </c>
      <c r="II2" s="3118">
        <v>23</v>
      </c>
      <c r="IJ2" s="3118">
        <v>24</v>
      </c>
      <c r="IK2" s="3118">
        <v>1</v>
      </c>
      <c r="IL2" s="3118">
        <v>2</v>
      </c>
      <c r="IM2" s="3118">
        <v>3</v>
      </c>
      <c r="IN2" s="3118">
        <v>4</v>
      </c>
      <c r="IO2" s="3118">
        <v>5</v>
      </c>
      <c r="IP2" s="3118">
        <v>6</v>
      </c>
      <c r="IQ2" s="3118">
        <v>7</v>
      </c>
      <c r="IR2" s="3118">
        <v>8</v>
      </c>
      <c r="IS2" s="3118">
        <v>9</v>
      </c>
      <c r="IT2" s="3118">
        <v>10</v>
      </c>
      <c r="IU2" s="3118">
        <v>11</v>
      </c>
      <c r="IV2" s="3118">
        <v>12</v>
      </c>
      <c r="IW2" s="3118">
        <v>13</v>
      </c>
      <c r="IX2" s="3118">
        <v>14</v>
      </c>
      <c r="IY2" s="3118">
        <v>15</v>
      </c>
      <c r="IZ2" s="3118">
        <v>16</v>
      </c>
      <c r="JA2" s="3118">
        <v>17</v>
      </c>
      <c r="JB2" s="3118">
        <v>18</v>
      </c>
      <c r="JC2" s="3118">
        <v>19</v>
      </c>
      <c r="JD2" s="3118">
        <v>20</v>
      </c>
      <c r="JE2" s="3118">
        <v>21</v>
      </c>
      <c r="JF2" s="3118">
        <v>22</v>
      </c>
      <c r="JG2" s="3118">
        <v>23</v>
      </c>
      <c r="JH2" s="3118">
        <v>24</v>
      </c>
      <c r="JI2" s="3118">
        <v>1</v>
      </c>
      <c r="JJ2" s="3118">
        <v>2</v>
      </c>
      <c r="JK2" s="3118">
        <v>3</v>
      </c>
      <c r="JL2" s="3118">
        <v>4</v>
      </c>
      <c r="JM2" s="3118">
        <v>5</v>
      </c>
      <c r="JN2" s="3118">
        <v>6</v>
      </c>
      <c r="JO2" s="3118">
        <v>7</v>
      </c>
      <c r="JP2" s="3118">
        <v>8</v>
      </c>
      <c r="JQ2" s="3118">
        <v>9</v>
      </c>
      <c r="JR2" s="3118">
        <v>10</v>
      </c>
      <c r="JS2" s="3118">
        <v>11</v>
      </c>
      <c r="JT2" s="3118">
        <v>12</v>
      </c>
      <c r="JU2" s="3118">
        <v>13</v>
      </c>
      <c r="JV2" s="3118">
        <v>14</v>
      </c>
      <c r="JW2" s="3118">
        <v>15</v>
      </c>
      <c r="JX2" s="3118">
        <v>16</v>
      </c>
      <c r="JY2" s="3118">
        <v>17</v>
      </c>
      <c r="JZ2" s="3118">
        <v>18</v>
      </c>
      <c r="KA2" s="3118">
        <v>19</v>
      </c>
      <c r="KB2" s="3118">
        <v>20</v>
      </c>
      <c r="KC2" s="3118">
        <v>21</v>
      </c>
      <c r="KD2" s="3118">
        <v>22</v>
      </c>
      <c r="KE2" s="3118">
        <v>23</v>
      </c>
      <c r="KF2" s="3118">
        <v>24</v>
      </c>
      <c r="KG2" s="3118">
        <v>1</v>
      </c>
      <c r="KH2" s="3118">
        <v>2</v>
      </c>
      <c r="KI2" s="3118">
        <v>3</v>
      </c>
      <c r="KJ2" s="3118">
        <v>4</v>
      </c>
      <c r="KK2" s="3118">
        <v>5</v>
      </c>
      <c r="KL2" s="3118">
        <v>6</v>
      </c>
      <c r="KM2" s="3118">
        <v>7</v>
      </c>
      <c r="KN2" s="3118">
        <v>8</v>
      </c>
      <c r="KO2" s="3118">
        <v>9</v>
      </c>
      <c r="KP2" s="3118">
        <v>10</v>
      </c>
      <c r="KQ2" s="3118">
        <v>11</v>
      </c>
      <c r="KR2" s="3118">
        <v>12</v>
      </c>
      <c r="KS2" s="3118">
        <v>13</v>
      </c>
      <c r="KT2" s="3118">
        <v>14</v>
      </c>
      <c r="KU2" s="3118">
        <v>15</v>
      </c>
      <c r="KV2" s="3118">
        <v>16</v>
      </c>
      <c r="KW2" s="3118">
        <v>17</v>
      </c>
      <c r="KX2" s="3118">
        <v>18</v>
      </c>
      <c r="KY2" s="3118">
        <v>19</v>
      </c>
      <c r="KZ2" s="3118">
        <v>20</v>
      </c>
      <c r="LA2" s="3118">
        <v>21</v>
      </c>
      <c r="LB2" s="3118">
        <v>22</v>
      </c>
      <c r="LC2" s="3118">
        <v>23</v>
      </c>
      <c r="LD2" s="3118">
        <v>24</v>
      </c>
      <c r="LE2" s="3118">
        <v>1</v>
      </c>
      <c r="LF2" s="3118">
        <v>2</v>
      </c>
      <c r="LG2" s="3118">
        <v>3</v>
      </c>
      <c r="LH2" s="3118">
        <v>4</v>
      </c>
      <c r="LI2" s="3118">
        <v>5</v>
      </c>
      <c r="LJ2" s="3118">
        <v>6</v>
      </c>
      <c r="LK2" s="3118">
        <v>7</v>
      </c>
      <c r="LL2" s="3118">
        <v>8</v>
      </c>
      <c r="LM2" s="3118">
        <v>9</v>
      </c>
      <c r="LN2" s="3118">
        <v>10</v>
      </c>
      <c r="LO2" s="3118">
        <v>11</v>
      </c>
      <c r="LP2" s="3118">
        <v>12</v>
      </c>
      <c r="LQ2" s="3118">
        <v>13</v>
      </c>
      <c r="LR2" s="3118">
        <v>14</v>
      </c>
      <c r="LS2" s="3118">
        <v>15</v>
      </c>
      <c r="LT2" s="3118">
        <v>16</v>
      </c>
      <c r="LU2" s="3118">
        <v>17</v>
      </c>
      <c r="LV2" s="3118">
        <v>18</v>
      </c>
      <c r="LW2" s="3118">
        <v>19</v>
      </c>
      <c r="LX2" s="3118">
        <v>20</v>
      </c>
      <c r="LY2" s="3118">
        <v>21</v>
      </c>
      <c r="LZ2" s="3118">
        <v>22</v>
      </c>
      <c r="MA2" s="3118">
        <v>23</v>
      </c>
      <c r="MB2" s="3118">
        <v>24</v>
      </c>
      <c r="MC2" s="3118">
        <v>1</v>
      </c>
      <c r="MD2" s="3118">
        <v>2</v>
      </c>
      <c r="ME2" s="3118">
        <v>3</v>
      </c>
      <c r="MF2" s="3118">
        <v>4</v>
      </c>
      <c r="MG2" s="3118">
        <v>5</v>
      </c>
      <c r="MH2" s="3118">
        <v>6</v>
      </c>
      <c r="MI2" s="3118">
        <v>7</v>
      </c>
      <c r="MJ2" s="3118">
        <v>8</v>
      </c>
      <c r="MK2" s="3118">
        <v>9</v>
      </c>
      <c r="ML2" s="3118">
        <v>10</v>
      </c>
      <c r="MM2" s="3118">
        <v>11</v>
      </c>
      <c r="MN2" s="3118">
        <v>12</v>
      </c>
      <c r="MO2" s="3118">
        <v>13</v>
      </c>
      <c r="MP2" s="3118">
        <v>14</v>
      </c>
      <c r="MQ2" s="3118">
        <v>15</v>
      </c>
      <c r="MR2" s="3118">
        <v>16</v>
      </c>
      <c r="MS2" s="3118">
        <v>17</v>
      </c>
      <c r="MT2" s="3118">
        <v>18</v>
      </c>
      <c r="MU2" s="3118">
        <v>19</v>
      </c>
      <c r="MV2" s="3118">
        <v>20</v>
      </c>
      <c r="MW2" s="3118">
        <v>21</v>
      </c>
      <c r="MX2" s="3118">
        <v>22</v>
      </c>
      <c r="MY2" s="3118">
        <v>23</v>
      </c>
      <c r="MZ2" s="3118">
        <v>24</v>
      </c>
      <c r="NA2" s="3118">
        <v>1</v>
      </c>
      <c r="NB2" s="3118">
        <v>2</v>
      </c>
      <c r="NC2" s="3118">
        <v>3</v>
      </c>
      <c r="ND2" s="3118">
        <v>4</v>
      </c>
      <c r="NE2" s="3118">
        <v>5</v>
      </c>
      <c r="NF2" s="3118">
        <v>6</v>
      </c>
      <c r="NG2" s="3118">
        <v>7</v>
      </c>
      <c r="NH2" s="3118">
        <v>8</v>
      </c>
      <c r="NI2" s="3118">
        <v>9</v>
      </c>
      <c r="NJ2" s="3118">
        <v>10</v>
      </c>
      <c r="NK2" s="3118">
        <v>11</v>
      </c>
      <c r="NL2" s="3118">
        <v>12</v>
      </c>
      <c r="NM2" s="3118">
        <v>13</v>
      </c>
      <c r="NN2" s="3118">
        <v>14</v>
      </c>
      <c r="NO2" s="3118">
        <v>15</v>
      </c>
      <c r="NP2" s="3118">
        <v>16</v>
      </c>
      <c r="NQ2" s="3118">
        <v>17</v>
      </c>
      <c r="NR2" s="3118">
        <v>18</v>
      </c>
      <c r="NS2" s="3118">
        <v>19</v>
      </c>
      <c r="NT2" s="3118">
        <v>20</v>
      </c>
      <c r="NU2" s="3118">
        <v>21</v>
      </c>
      <c r="NV2" s="3118">
        <v>22</v>
      </c>
      <c r="NW2" s="3118">
        <v>23</v>
      </c>
      <c r="NX2" s="3118">
        <v>24</v>
      </c>
      <c r="NY2" s="3118">
        <v>1</v>
      </c>
      <c r="NZ2" s="3118">
        <v>2</v>
      </c>
      <c r="OA2" s="3118">
        <v>3</v>
      </c>
      <c r="OB2" s="3118">
        <v>4</v>
      </c>
      <c r="OC2" s="3118">
        <v>5</v>
      </c>
      <c r="OD2" s="3118">
        <v>6</v>
      </c>
      <c r="OE2" s="3118">
        <v>7</v>
      </c>
      <c r="OF2" s="3118">
        <v>8</v>
      </c>
      <c r="OG2" s="3118">
        <v>9</v>
      </c>
      <c r="OH2" s="3118">
        <v>10</v>
      </c>
      <c r="OI2" s="3118">
        <v>11</v>
      </c>
      <c r="OJ2" s="3118">
        <v>12</v>
      </c>
      <c r="OK2" s="3118">
        <v>13</v>
      </c>
      <c r="OL2" s="3118">
        <v>14</v>
      </c>
      <c r="OM2" s="3118">
        <v>15</v>
      </c>
      <c r="ON2" s="3118">
        <v>16</v>
      </c>
      <c r="OO2" s="3118">
        <v>17</v>
      </c>
      <c r="OP2" s="3118">
        <v>18</v>
      </c>
      <c r="OQ2" s="3118">
        <v>19</v>
      </c>
      <c r="OR2" s="3118">
        <v>20</v>
      </c>
      <c r="OS2" s="3118">
        <v>21</v>
      </c>
      <c r="OT2" s="3118">
        <v>22</v>
      </c>
      <c r="OU2" s="3118">
        <v>23</v>
      </c>
      <c r="OV2" s="3118">
        <v>24</v>
      </c>
      <c r="OW2" s="3118">
        <v>1</v>
      </c>
      <c r="OX2" s="3118">
        <v>2</v>
      </c>
      <c r="OY2" s="3118">
        <v>3</v>
      </c>
      <c r="OZ2" s="3118">
        <v>4</v>
      </c>
      <c r="PA2" s="3118">
        <v>5</v>
      </c>
      <c r="PB2" s="3118">
        <v>6</v>
      </c>
      <c r="PC2" s="3118">
        <v>7</v>
      </c>
      <c r="PD2" s="3118">
        <v>8</v>
      </c>
      <c r="PE2" s="3118">
        <v>9</v>
      </c>
      <c r="PF2" s="3118">
        <v>10</v>
      </c>
      <c r="PG2" s="3118">
        <v>11</v>
      </c>
      <c r="PH2" s="3118">
        <v>12</v>
      </c>
      <c r="PI2" s="3118">
        <v>13</v>
      </c>
      <c r="PJ2" s="3118">
        <v>14</v>
      </c>
      <c r="PK2" s="3118">
        <v>15</v>
      </c>
      <c r="PL2" s="3118">
        <v>16</v>
      </c>
      <c r="PM2" s="3118">
        <v>17</v>
      </c>
      <c r="PN2" s="3118">
        <v>18</v>
      </c>
      <c r="PO2" s="3118">
        <v>19</v>
      </c>
      <c r="PP2" s="3118">
        <v>20</v>
      </c>
      <c r="PQ2" s="3118">
        <v>21</v>
      </c>
      <c r="PR2" s="3118">
        <v>22</v>
      </c>
      <c r="PS2" s="3118">
        <v>23</v>
      </c>
      <c r="PT2" s="3118">
        <v>24</v>
      </c>
      <c r="PU2" s="3118">
        <v>1</v>
      </c>
      <c r="PV2" s="3118">
        <v>2</v>
      </c>
      <c r="PW2" s="3118">
        <v>3</v>
      </c>
      <c r="PX2" s="3118">
        <v>4</v>
      </c>
      <c r="PY2" s="3118">
        <v>5</v>
      </c>
      <c r="PZ2" s="3118">
        <v>6</v>
      </c>
      <c r="QA2" s="3118">
        <v>7</v>
      </c>
      <c r="QB2" s="3118">
        <v>8</v>
      </c>
      <c r="QC2" s="3118">
        <v>9</v>
      </c>
      <c r="QD2" s="3118">
        <v>10</v>
      </c>
      <c r="QE2" s="3118">
        <v>11</v>
      </c>
      <c r="QF2" s="3118">
        <v>12</v>
      </c>
      <c r="QG2" s="3118">
        <v>13</v>
      </c>
      <c r="QH2" s="3118">
        <v>14</v>
      </c>
      <c r="QI2" s="3118">
        <v>15</v>
      </c>
      <c r="QJ2" s="3118">
        <v>16</v>
      </c>
      <c r="QK2" s="3118">
        <v>17</v>
      </c>
      <c r="QL2" s="3118">
        <v>18</v>
      </c>
      <c r="QM2" s="3118">
        <v>19</v>
      </c>
      <c r="QN2" s="3118">
        <v>20</v>
      </c>
      <c r="QO2" s="3118">
        <v>21</v>
      </c>
      <c r="QP2" s="3118">
        <v>22</v>
      </c>
      <c r="QQ2" s="3118">
        <v>23</v>
      </c>
      <c r="QR2" s="3118">
        <v>24</v>
      </c>
      <c r="QS2" s="3118">
        <v>1</v>
      </c>
      <c r="QT2" s="3118">
        <v>2</v>
      </c>
      <c r="QU2" s="3118">
        <v>3</v>
      </c>
      <c r="QV2" s="3118">
        <v>4</v>
      </c>
      <c r="QW2" s="3118">
        <v>5</v>
      </c>
      <c r="QX2" s="3118">
        <v>6</v>
      </c>
      <c r="QY2" s="3118">
        <v>7</v>
      </c>
      <c r="QZ2" s="3118">
        <v>8</v>
      </c>
      <c r="RA2" s="3118">
        <v>9</v>
      </c>
      <c r="RB2" s="3118">
        <v>10</v>
      </c>
      <c r="RC2" s="3118">
        <v>11</v>
      </c>
      <c r="RD2" s="3118">
        <v>12</v>
      </c>
      <c r="RE2" s="3118">
        <v>13</v>
      </c>
      <c r="RF2" s="3118">
        <v>14</v>
      </c>
      <c r="RG2" s="3118">
        <v>15</v>
      </c>
      <c r="RH2" s="3118">
        <v>16</v>
      </c>
      <c r="RI2" s="3118">
        <v>17</v>
      </c>
      <c r="RJ2" s="3118">
        <v>18</v>
      </c>
      <c r="RK2" s="3118">
        <v>19</v>
      </c>
      <c r="RL2" s="3118">
        <v>20</v>
      </c>
      <c r="RM2" s="3118">
        <v>21</v>
      </c>
      <c r="RN2" s="3118">
        <v>22</v>
      </c>
      <c r="RO2" s="3118">
        <v>23</v>
      </c>
      <c r="RP2" s="3118">
        <v>24</v>
      </c>
      <c r="RQ2" s="3118">
        <v>1</v>
      </c>
      <c r="RR2" s="3118">
        <v>2</v>
      </c>
      <c r="RS2" s="3118">
        <v>3</v>
      </c>
      <c r="RT2" s="3118">
        <v>4</v>
      </c>
      <c r="RU2" s="3118">
        <v>5</v>
      </c>
      <c r="RV2" s="3118">
        <v>6</v>
      </c>
      <c r="RW2" s="3118">
        <v>7</v>
      </c>
      <c r="RX2" s="3118">
        <v>8</v>
      </c>
      <c r="RY2" s="3118">
        <v>9</v>
      </c>
      <c r="RZ2" s="3118">
        <v>10</v>
      </c>
      <c r="SA2" s="3118">
        <v>11</v>
      </c>
      <c r="SB2" s="3118">
        <v>12</v>
      </c>
      <c r="SC2" s="3118">
        <v>13</v>
      </c>
      <c r="SD2" s="3118">
        <v>14</v>
      </c>
      <c r="SE2" s="3118">
        <v>15</v>
      </c>
      <c r="SF2" s="3118">
        <v>16</v>
      </c>
      <c r="SG2" s="3118">
        <v>17</v>
      </c>
      <c r="SH2" s="3118">
        <v>18</v>
      </c>
      <c r="SI2" s="3118">
        <v>19</v>
      </c>
      <c r="SJ2" s="3118">
        <v>20</v>
      </c>
      <c r="SK2" s="3118">
        <v>21</v>
      </c>
      <c r="SL2" s="3118">
        <v>22</v>
      </c>
      <c r="SM2" s="3118">
        <v>23</v>
      </c>
      <c r="SN2" s="3118">
        <v>24</v>
      </c>
      <c r="SO2" s="3118">
        <v>1</v>
      </c>
      <c r="SP2" s="3118">
        <v>2</v>
      </c>
      <c r="SQ2" s="3118">
        <v>3</v>
      </c>
      <c r="SR2" s="3118">
        <v>4</v>
      </c>
      <c r="SS2" s="3118">
        <v>5</v>
      </c>
      <c r="ST2" s="3118">
        <v>6</v>
      </c>
      <c r="SU2" s="3118">
        <v>7</v>
      </c>
      <c r="SV2" s="3118">
        <v>8</v>
      </c>
      <c r="SW2" s="3118">
        <v>9</v>
      </c>
      <c r="SX2" s="3118">
        <v>10</v>
      </c>
      <c r="SY2" s="3118">
        <v>11</v>
      </c>
      <c r="SZ2" s="3118">
        <v>12</v>
      </c>
      <c r="TA2" s="3118">
        <v>13</v>
      </c>
      <c r="TB2" s="3118">
        <v>14</v>
      </c>
      <c r="TC2" s="3118">
        <v>15</v>
      </c>
      <c r="TD2" s="3118">
        <v>16</v>
      </c>
      <c r="TE2" s="3118">
        <v>17</v>
      </c>
      <c r="TF2" s="3118">
        <v>18</v>
      </c>
      <c r="TG2" s="3118">
        <v>19</v>
      </c>
      <c r="TH2" s="3118">
        <v>20</v>
      </c>
      <c r="TI2" s="3118">
        <v>21</v>
      </c>
      <c r="TJ2" s="3118">
        <v>22</v>
      </c>
      <c r="TK2" s="3118">
        <v>23</v>
      </c>
      <c r="TL2" s="3118">
        <v>24</v>
      </c>
      <c r="TM2" s="3118">
        <v>1</v>
      </c>
      <c r="TN2" s="3118">
        <v>2</v>
      </c>
      <c r="TO2" s="3118">
        <v>3</v>
      </c>
      <c r="TP2" s="3118">
        <v>4</v>
      </c>
      <c r="TQ2" s="3118">
        <v>5</v>
      </c>
      <c r="TR2" s="3118">
        <v>6</v>
      </c>
      <c r="TS2" s="3118">
        <v>7</v>
      </c>
      <c r="TT2" s="3118">
        <v>8</v>
      </c>
      <c r="TU2" s="3118">
        <v>9</v>
      </c>
      <c r="TV2" s="3118">
        <v>10</v>
      </c>
      <c r="TW2" s="3118">
        <v>11</v>
      </c>
      <c r="TX2" s="3118">
        <v>12</v>
      </c>
      <c r="TY2" s="3118">
        <v>13</v>
      </c>
      <c r="TZ2" s="3118">
        <v>14</v>
      </c>
      <c r="UA2" s="3118">
        <v>15</v>
      </c>
      <c r="UB2" s="3118">
        <v>16</v>
      </c>
      <c r="UC2" s="3118">
        <v>17</v>
      </c>
      <c r="UD2" s="3118">
        <v>18</v>
      </c>
      <c r="UE2" s="3118">
        <v>19</v>
      </c>
      <c r="UF2" s="3118">
        <v>20</v>
      </c>
      <c r="UG2" s="3118">
        <v>21</v>
      </c>
      <c r="UH2" s="3118">
        <v>22</v>
      </c>
      <c r="UI2" s="3118">
        <v>23</v>
      </c>
      <c r="UJ2" s="3118">
        <v>24</v>
      </c>
      <c r="UK2" s="3118">
        <v>1</v>
      </c>
      <c r="UL2" s="3118">
        <v>2</v>
      </c>
      <c r="UM2" s="3118">
        <v>3</v>
      </c>
      <c r="UN2" s="3118">
        <v>4</v>
      </c>
      <c r="UO2" s="3118">
        <v>5</v>
      </c>
      <c r="UP2" s="3118">
        <v>6</v>
      </c>
      <c r="UQ2" s="3118">
        <v>7</v>
      </c>
      <c r="UR2" s="3118">
        <v>8</v>
      </c>
      <c r="US2" s="3118">
        <v>9</v>
      </c>
      <c r="UT2" s="3118">
        <v>10</v>
      </c>
      <c r="UU2" s="3118">
        <v>11</v>
      </c>
      <c r="UV2" s="3118">
        <v>12</v>
      </c>
      <c r="UW2" s="3118">
        <v>13</v>
      </c>
      <c r="UX2" s="3118">
        <v>14</v>
      </c>
      <c r="UY2" s="3118">
        <v>15</v>
      </c>
      <c r="UZ2" s="3118">
        <v>16</v>
      </c>
      <c r="VA2" s="3118">
        <v>17</v>
      </c>
      <c r="VB2" s="3118">
        <v>18</v>
      </c>
      <c r="VC2" s="3118">
        <v>19</v>
      </c>
      <c r="VD2" s="3118">
        <v>20</v>
      </c>
      <c r="VE2" s="3118">
        <v>21</v>
      </c>
      <c r="VF2" s="3118">
        <v>22</v>
      </c>
      <c r="VG2" s="3118">
        <v>23</v>
      </c>
      <c r="VH2" s="3118">
        <v>24</v>
      </c>
      <c r="VI2" s="3118">
        <v>1</v>
      </c>
      <c r="VJ2" s="3118">
        <v>2</v>
      </c>
      <c r="VK2" s="3118">
        <v>3</v>
      </c>
      <c r="VL2" s="3118">
        <v>4</v>
      </c>
      <c r="VM2" s="3118">
        <v>5</v>
      </c>
      <c r="VN2" s="3118">
        <v>6</v>
      </c>
      <c r="VO2" s="3118">
        <v>7</v>
      </c>
      <c r="VP2" s="3118">
        <v>8</v>
      </c>
      <c r="VQ2" s="3118">
        <v>9</v>
      </c>
      <c r="VR2" s="3118">
        <v>10</v>
      </c>
      <c r="VS2" s="3118">
        <v>11</v>
      </c>
      <c r="VT2" s="3118">
        <v>12</v>
      </c>
      <c r="VU2" s="3118">
        <v>13</v>
      </c>
      <c r="VV2" s="3118">
        <v>14</v>
      </c>
      <c r="VW2" s="3118">
        <v>15</v>
      </c>
      <c r="VX2" s="3118">
        <v>16</v>
      </c>
      <c r="VY2" s="3118">
        <v>17</v>
      </c>
      <c r="VZ2" s="3118">
        <v>18</v>
      </c>
      <c r="WA2" s="3118">
        <v>19</v>
      </c>
      <c r="WB2" s="3118">
        <v>20</v>
      </c>
      <c r="WC2" s="3118">
        <v>21</v>
      </c>
      <c r="WD2" s="3118">
        <v>22</v>
      </c>
      <c r="WE2" s="3118">
        <v>23</v>
      </c>
      <c r="WF2" s="3118">
        <v>24</v>
      </c>
      <c r="WG2" s="3118">
        <v>1</v>
      </c>
      <c r="WH2" s="3118">
        <v>2</v>
      </c>
      <c r="WI2" s="3118">
        <v>3</v>
      </c>
      <c r="WJ2" s="3118">
        <v>4</v>
      </c>
      <c r="WK2" s="3118">
        <v>5</v>
      </c>
      <c r="WL2" s="3118">
        <v>6</v>
      </c>
      <c r="WM2" s="3118">
        <v>7</v>
      </c>
      <c r="WN2" s="3118">
        <v>8</v>
      </c>
      <c r="WO2" s="3118">
        <v>9</v>
      </c>
      <c r="WP2" s="3118">
        <v>10</v>
      </c>
      <c r="WQ2" s="3118">
        <v>11</v>
      </c>
      <c r="WR2" s="3118">
        <v>12</v>
      </c>
      <c r="WS2" s="3118">
        <v>13</v>
      </c>
      <c r="WT2" s="3118">
        <v>14</v>
      </c>
      <c r="WU2" s="3118">
        <v>15</v>
      </c>
      <c r="WV2" s="3118">
        <v>16</v>
      </c>
      <c r="WW2" s="3118">
        <v>17</v>
      </c>
      <c r="WX2" s="3118">
        <v>18</v>
      </c>
      <c r="WY2" s="3118">
        <v>19</v>
      </c>
      <c r="WZ2" s="3118">
        <v>20</v>
      </c>
      <c r="XA2" s="3118">
        <v>21</v>
      </c>
      <c r="XB2" s="3118">
        <v>22</v>
      </c>
      <c r="XC2" s="3118">
        <v>23</v>
      </c>
      <c r="XD2" s="3118">
        <v>24</v>
      </c>
      <c r="XE2" s="3118">
        <v>1</v>
      </c>
      <c r="XF2" s="3118">
        <v>2</v>
      </c>
      <c r="XG2" s="3118">
        <v>3</v>
      </c>
      <c r="XH2" s="3118">
        <v>4</v>
      </c>
      <c r="XI2" s="3118">
        <v>5</v>
      </c>
      <c r="XJ2" s="3118">
        <v>6</v>
      </c>
      <c r="XK2" s="3118">
        <v>7</v>
      </c>
      <c r="XL2" s="3118">
        <v>8</v>
      </c>
      <c r="XM2" s="3118">
        <v>9</v>
      </c>
      <c r="XN2" s="3118">
        <v>10</v>
      </c>
      <c r="XO2" s="3118">
        <v>11</v>
      </c>
      <c r="XP2" s="3118">
        <v>12</v>
      </c>
      <c r="XQ2" s="3118">
        <v>13</v>
      </c>
      <c r="XR2" s="3118">
        <v>14</v>
      </c>
      <c r="XS2" s="3118">
        <v>15</v>
      </c>
      <c r="XT2" s="3118">
        <v>16</v>
      </c>
      <c r="XU2" s="3118">
        <v>17</v>
      </c>
      <c r="XV2" s="3118">
        <v>18</v>
      </c>
      <c r="XW2" s="3118">
        <v>19</v>
      </c>
      <c r="XX2" s="3118">
        <v>20</v>
      </c>
      <c r="XY2" s="3118">
        <v>21</v>
      </c>
      <c r="XZ2" s="3118">
        <v>22</v>
      </c>
      <c r="YA2" s="3118">
        <v>23</v>
      </c>
      <c r="YB2" s="3118">
        <v>24</v>
      </c>
      <c r="YC2" s="3118">
        <v>1</v>
      </c>
      <c r="YD2" s="3118">
        <v>2</v>
      </c>
      <c r="YE2" s="3118">
        <v>3</v>
      </c>
      <c r="YF2" s="3118">
        <v>4</v>
      </c>
      <c r="YG2" s="3118">
        <v>5</v>
      </c>
      <c r="YH2" s="3118">
        <v>6</v>
      </c>
      <c r="YI2" s="3118">
        <v>7</v>
      </c>
      <c r="YJ2" s="3118">
        <v>8</v>
      </c>
      <c r="YK2" s="3118">
        <v>9</v>
      </c>
      <c r="YL2" s="3118">
        <v>10</v>
      </c>
      <c r="YM2" s="3118">
        <v>11</v>
      </c>
      <c r="YN2" s="3118">
        <v>12</v>
      </c>
      <c r="YO2" s="3118">
        <v>13</v>
      </c>
      <c r="YP2" s="3118">
        <v>14</v>
      </c>
      <c r="YQ2" s="3118">
        <v>15</v>
      </c>
      <c r="YR2" s="3118">
        <v>16</v>
      </c>
      <c r="YS2" s="3118">
        <v>17</v>
      </c>
      <c r="YT2" s="3118">
        <v>18</v>
      </c>
      <c r="YU2" s="3118">
        <v>19</v>
      </c>
      <c r="YV2" s="3118">
        <v>20</v>
      </c>
      <c r="YW2" s="3118">
        <v>21</v>
      </c>
      <c r="YX2" s="3118">
        <v>22</v>
      </c>
      <c r="YY2" s="3118">
        <v>23</v>
      </c>
      <c r="YZ2" s="3118">
        <v>24</v>
      </c>
      <c r="ZA2" s="3118">
        <v>1</v>
      </c>
      <c r="ZB2" s="3118">
        <v>2</v>
      </c>
      <c r="ZC2" s="3118">
        <v>3</v>
      </c>
      <c r="ZD2" s="3118">
        <v>4</v>
      </c>
      <c r="ZE2" s="3118">
        <v>5</v>
      </c>
      <c r="ZF2" s="3118">
        <v>6</v>
      </c>
      <c r="ZG2" s="3118">
        <v>7</v>
      </c>
      <c r="ZH2" s="3118">
        <v>8</v>
      </c>
      <c r="ZI2" s="3118">
        <v>9</v>
      </c>
      <c r="ZJ2" s="3118">
        <v>10</v>
      </c>
      <c r="ZK2" s="3118">
        <v>11</v>
      </c>
      <c r="ZL2" s="3118">
        <v>12</v>
      </c>
      <c r="ZM2" s="3118">
        <v>13</v>
      </c>
      <c r="ZN2" s="3118">
        <v>14</v>
      </c>
      <c r="ZO2" s="3118">
        <v>15</v>
      </c>
      <c r="ZP2" s="3118">
        <v>16</v>
      </c>
      <c r="ZQ2" s="3118">
        <v>17</v>
      </c>
      <c r="ZR2" s="3118">
        <v>18</v>
      </c>
      <c r="ZS2" s="3118">
        <v>19</v>
      </c>
      <c r="ZT2" s="3118">
        <v>20</v>
      </c>
      <c r="ZU2" s="3118">
        <v>21</v>
      </c>
      <c r="ZV2" s="3118">
        <v>22</v>
      </c>
      <c r="ZW2" s="3118">
        <v>23</v>
      </c>
      <c r="ZX2" s="3118">
        <v>24</v>
      </c>
      <c r="ZY2" s="3118">
        <v>1</v>
      </c>
      <c r="ZZ2" s="3118">
        <v>2</v>
      </c>
      <c r="AAA2" s="3118">
        <v>3</v>
      </c>
      <c r="AAB2" s="3118">
        <v>4</v>
      </c>
      <c r="AAC2" s="3118">
        <v>5</v>
      </c>
      <c r="AAD2" s="3118">
        <v>6</v>
      </c>
      <c r="AAE2" s="3118">
        <v>7</v>
      </c>
      <c r="AAF2" s="3118">
        <v>8</v>
      </c>
      <c r="AAG2" s="3118">
        <v>9</v>
      </c>
      <c r="AAH2" s="3118">
        <v>10</v>
      </c>
      <c r="AAI2" s="3118">
        <v>11</v>
      </c>
      <c r="AAJ2" s="3118">
        <v>12</v>
      </c>
      <c r="AAK2" s="3118">
        <v>13</v>
      </c>
      <c r="AAL2" s="3118">
        <v>14</v>
      </c>
      <c r="AAM2" s="3118">
        <v>15</v>
      </c>
      <c r="AAN2" s="3118">
        <v>16</v>
      </c>
      <c r="AAO2" s="3118">
        <v>17</v>
      </c>
      <c r="AAP2" s="3118">
        <v>18</v>
      </c>
      <c r="AAQ2" s="3118">
        <v>19</v>
      </c>
      <c r="AAR2" s="3118">
        <v>20</v>
      </c>
      <c r="AAS2" s="3118">
        <v>21</v>
      </c>
      <c r="AAT2" s="3118">
        <v>22</v>
      </c>
      <c r="AAU2" s="3118">
        <v>23</v>
      </c>
      <c r="AAV2" s="3118">
        <v>24</v>
      </c>
    </row>
    <row r="3" spans="1:724" s="282" customFormat="1" ht="13">
      <c r="A3" s="3115" t="s">
        <v>280</v>
      </c>
      <c r="B3" s="3119"/>
      <c r="C3" s="3119"/>
      <c r="D3" s="3116">
        <f t="shared" ref="D3:D28" si="0">+(C3-B3)*24</f>
        <v>0</v>
      </c>
      <c r="E3" s="3119">
        <v>45962</v>
      </c>
      <c r="F3" s="3119">
        <f>+E3+1/24</f>
        <v>45962.041666666664</v>
      </c>
      <c r="G3" s="3119">
        <f t="shared" ref="G3:BR6" si="1">+F3+1/24</f>
        <v>45962.083333333328</v>
      </c>
      <c r="H3" s="3119">
        <f t="shared" si="1"/>
        <v>45962.124999999993</v>
      </c>
      <c r="I3" s="3119">
        <f t="shared" si="1"/>
        <v>45962.166666666657</v>
      </c>
      <c r="J3" s="3119">
        <f t="shared" si="1"/>
        <v>45962.208333333321</v>
      </c>
      <c r="K3" s="3119">
        <f t="shared" si="1"/>
        <v>45962.249999999985</v>
      </c>
      <c r="L3" s="3119">
        <f t="shared" si="1"/>
        <v>45962.29166666665</v>
      </c>
      <c r="M3" s="3119">
        <f t="shared" si="1"/>
        <v>45962.333333333314</v>
      </c>
      <c r="N3" s="3119">
        <f t="shared" si="1"/>
        <v>45962.374999999978</v>
      </c>
      <c r="O3" s="3119">
        <f t="shared" si="1"/>
        <v>45962.416666666642</v>
      </c>
      <c r="P3" s="3119">
        <f t="shared" si="1"/>
        <v>45962.458333333307</v>
      </c>
      <c r="Q3" s="3119">
        <f t="shared" si="1"/>
        <v>45962.499999999971</v>
      </c>
      <c r="R3" s="3119">
        <f t="shared" si="1"/>
        <v>45962.541666666635</v>
      </c>
      <c r="S3" s="3119">
        <f t="shared" si="1"/>
        <v>45962.583333333299</v>
      </c>
      <c r="T3" s="3119">
        <f t="shared" si="1"/>
        <v>45962.624999999964</v>
      </c>
      <c r="U3" s="3119">
        <f t="shared" si="1"/>
        <v>45962.666666666628</v>
      </c>
      <c r="V3" s="3119">
        <f t="shared" si="1"/>
        <v>45962.708333333292</v>
      </c>
      <c r="W3" s="3119">
        <f t="shared" si="1"/>
        <v>45962.749999999956</v>
      </c>
      <c r="X3" s="3119">
        <f t="shared" si="1"/>
        <v>45962.791666666621</v>
      </c>
      <c r="Y3" s="3119">
        <f t="shared" si="1"/>
        <v>45962.833333333285</v>
      </c>
      <c r="Z3" s="3119">
        <f t="shared" si="1"/>
        <v>45962.874999999949</v>
      </c>
      <c r="AA3" s="3119">
        <f t="shared" si="1"/>
        <v>45962.916666666613</v>
      </c>
      <c r="AB3" s="3119">
        <f t="shared" si="1"/>
        <v>45962.958333333278</v>
      </c>
      <c r="AC3" s="3119">
        <f t="shared" si="1"/>
        <v>45962.999999999942</v>
      </c>
      <c r="AD3" s="3119">
        <f t="shared" si="1"/>
        <v>45963.041666666606</v>
      </c>
      <c r="AE3" s="3119">
        <f t="shared" si="1"/>
        <v>45963.08333333327</v>
      </c>
      <c r="AF3" s="3119">
        <f t="shared" si="1"/>
        <v>45963.124999999935</v>
      </c>
      <c r="AG3" s="3119">
        <f t="shared" si="1"/>
        <v>45963.166666666599</v>
      </c>
      <c r="AH3" s="3119">
        <f t="shared" si="1"/>
        <v>45963.208333333263</v>
      </c>
      <c r="AI3" s="3119">
        <f t="shared" si="1"/>
        <v>45963.249999999927</v>
      </c>
      <c r="AJ3" s="3119">
        <f t="shared" si="1"/>
        <v>45963.291666666591</v>
      </c>
      <c r="AK3" s="3119">
        <f t="shared" si="1"/>
        <v>45963.333333333256</v>
      </c>
      <c r="AL3" s="3119">
        <f t="shared" si="1"/>
        <v>45963.37499999992</v>
      </c>
      <c r="AM3" s="3119">
        <f t="shared" si="1"/>
        <v>45963.416666666584</v>
      </c>
      <c r="AN3" s="3119">
        <f t="shared" si="1"/>
        <v>45963.458333333248</v>
      </c>
      <c r="AO3" s="3119">
        <f t="shared" si="1"/>
        <v>45963.499999999913</v>
      </c>
      <c r="AP3" s="3119">
        <f t="shared" si="1"/>
        <v>45963.541666666577</v>
      </c>
      <c r="AQ3" s="3119">
        <f t="shared" si="1"/>
        <v>45963.583333333241</v>
      </c>
      <c r="AR3" s="3119">
        <f t="shared" si="1"/>
        <v>45963.624999999905</v>
      </c>
      <c r="AS3" s="3119">
        <f t="shared" si="1"/>
        <v>45963.66666666657</v>
      </c>
      <c r="AT3" s="3119">
        <f t="shared" si="1"/>
        <v>45963.708333333234</v>
      </c>
      <c r="AU3" s="3119">
        <f t="shared" si="1"/>
        <v>45963.749999999898</v>
      </c>
      <c r="AV3" s="3119">
        <f t="shared" si="1"/>
        <v>45963.791666666562</v>
      </c>
      <c r="AW3" s="3119">
        <f t="shared" si="1"/>
        <v>45963.833333333227</v>
      </c>
      <c r="AX3" s="3119">
        <f t="shared" si="1"/>
        <v>45963.874999999891</v>
      </c>
      <c r="AY3" s="3119">
        <f t="shared" si="1"/>
        <v>45963.916666666555</v>
      </c>
      <c r="AZ3" s="3119">
        <f t="shared" si="1"/>
        <v>45963.958333333219</v>
      </c>
      <c r="BA3" s="3119">
        <f t="shared" si="1"/>
        <v>45963.999999999884</v>
      </c>
      <c r="BB3" s="3119">
        <f t="shared" si="1"/>
        <v>45964.041666666548</v>
      </c>
      <c r="BC3" s="3119">
        <f t="shared" si="1"/>
        <v>45964.083333333212</v>
      </c>
      <c r="BD3" s="3119">
        <f t="shared" si="1"/>
        <v>45964.124999999876</v>
      </c>
      <c r="BE3" s="3119">
        <f t="shared" si="1"/>
        <v>45964.166666666541</v>
      </c>
      <c r="BF3" s="3119">
        <f t="shared" si="1"/>
        <v>45964.208333333205</v>
      </c>
      <c r="BG3" s="3119">
        <f t="shared" si="1"/>
        <v>45964.249999999869</v>
      </c>
      <c r="BH3" s="3119">
        <f t="shared" si="1"/>
        <v>45964.291666666533</v>
      </c>
      <c r="BI3" s="3119">
        <f t="shared" si="1"/>
        <v>45964.333333333198</v>
      </c>
      <c r="BJ3" s="3119">
        <f t="shared" si="1"/>
        <v>45964.374999999862</v>
      </c>
      <c r="BK3" s="3119">
        <f t="shared" si="1"/>
        <v>45964.416666666526</v>
      </c>
      <c r="BL3" s="3119">
        <f t="shared" si="1"/>
        <v>45964.45833333319</v>
      </c>
      <c r="BM3" s="3119">
        <f t="shared" si="1"/>
        <v>45964.499999999854</v>
      </c>
      <c r="BN3" s="3119">
        <f t="shared" si="1"/>
        <v>45964.541666666519</v>
      </c>
      <c r="BO3" s="3119">
        <f t="shared" si="1"/>
        <v>45964.583333333183</v>
      </c>
      <c r="BP3" s="3119">
        <f t="shared" si="1"/>
        <v>45964.624999999847</v>
      </c>
      <c r="BQ3" s="3119">
        <f t="shared" si="1"/>
        <v>45964.666666666511</v>
      </c>
      <c r="BR3" s="3119">
        <f t="shared" si="1"/>
        <v>45964.708333333176</v>
      </c>
      <c r="BS3" s="3119">
        <f t="shared" ref="BS3:ED6" si="2">+BR3+1/24</f>
        <v>45964.74999999984</v>
      </c>
      <c r="BT3" s="3119">
        <f t="shared" si="2"/>
        <v>45964.791666666504</v>
      </c>
      <c r="BU3" s="3119">
        <f t="shared" si="2"/>
        <v>45964.833333333168</v>
      </c>
      <c r="BV3" s="3119">
        <f t="shared" si="2"/>
        <v>45964.874999999833</v>
      </c>
      <c r="BW3" s="3119">
        <f t="shared" si="2"/>
        <v>45964.916666666497</v>
      </c>
      <c r="BX3" s="3119">
        <f t="shared" si="2"/>
        <v>45964.958333333161</v>
      </c>
      <c r="BY3" s="3119">
        <f t="shared" si="2"/>
        <v>45964.999999999825</v>
      </c>
      <c r="BZ3" s="3119">
        <f t="shared" si="2"/>
        <v>45965.04166666649</v>
      </c>
      <c r="CA3" s="3119">
        <f t="shared" si="2"/>
        <v>45965.083333333154</v>
      </c>
      <c r="CB3" s="3119">
        <f t="shared" si="2"/>
        <v>45965.124999999818</v>
      </c>
      <c r="CC3" s="3119">
        <f t="shared" si="2"/>
        <v>45965.166666666482</v>
      </c>
      <c r="CD3" s="3119">
        <f t="shared" si="2"/>
        <v>45965.208333333147</v>
      </c>
      <c r="CE3" s="3119">
        <f t="shared" si="2"/>
        <v>45965.249999999811</v>
      </c>
      <c r="CF3" s="3119">
        <f t="shared" si="2"/>
        <v>45965.291666666475</v>
      </c>
      <c r="CG3" s="3119">
        <f t="shared" si="2"/>
        <v>45965.333333333139</v>
      </c>
      <c r="CH3" s="3119">
        <f t="shared" si="2"/>
        <v>45965.374999999804</v>
      </c>
      <c r="CI3" s="3119">
        <f t="shared" si="2"/>
        <v>45965.416666666468</v>
      </c>
      <c r="CJ3" s="3119">
        <f t="shared" si="2"/>
        <v>45965.458333333132</v>
      </c>
      <c r="CK3" s="3119">
        <f t="shared" si="2"/>
        <v>45965.499999999796</v>
      </c>
      <c r="CL3" s="3119">
        <f t="shared" si="2"/>
        <v>45965.541666666461</v>
      </c>
      <c r="CM3" s="3119">
        <f t="shared" si="2"/>
        <v>45965.583333333125</v>
      </c>
      <c r="CN3" s="3119">
        <f t="shared" si="2"/>
        <v>45965.624999999789</v>
      </c>
      <c r="CO3" s="3119">
        <f t="shared" si="2"/>
        <v>45965.666666666453</v>
      </c>
      <c r="CP3" s="3119">
        <f t="shared" si="2"/>
        <v>45965.708333333117</v>
      </c>
      <c r="CQ3" s="3119">
        <f t="shared" si="2"/>
        <v>45965.749999999782</v>
      </c>
      <c r="CR3" s="3119">
        <f t="shared" si="2"/>
        <v>45965.791666666446</v>
      </c>
      <c r="CS3" s="3119">
        <f t="shared" si="2"/>
        <v>45965.83333333311</v>
      </c>
      <c r="CT3" s="3119">
        <f t="shared" si="2"/>
        <v>45965.874999999774</v>
      </c>
      <c r="CU3" s="3119">
        <f t="shared" si="2"/>
        <v>45965.916666666439</v>
      </c>
      <c r="CV3" s="3119">
        <f t="shared" si="2"/>
        <v>45965.958333333103</v>
      </c>
      <c r="CW3" s="3119">
        <f t="shared" si="2"/>
        <v>45965.999999999767</v>
      </c>
      <c r="CX3" s="3119">
        <f t="shared" si="2"/>
        <v>45966.041666666431</v>
      </c>
      <c r="CY3" s="3119">
        <f t="shared" si="2"/>
        <v>45966.083333333096</v>
      </c>
      <c r="CZ3" s="3119">
        <f t="shared" si="2"/>
        <v>45966.12499999976</v>
      </c>
      <c r="DA3" s="3119">
        <f t="shared" si="2"/>
        <v>45966.166666666424</v>
      </c>
      <c r="DB3" s="3119">
        <f t="shared" si="2"/>
        <v>45966.208333333088</v>
      </c>
      <c r="DC3" s="3119">
        <f t="shared" si="2"/>
        <v>45966.249999999753</v>
      </c>
      <c r="DD3" s="3119">
        <f t="shared" si="2"/>
        <v>45966.291666666417</v>
      </c>
      <c r="DE3" s="3119">
        <f t="shared" si="2"/>
        <v>45966.333333333081</v>
      </c>
      <c r="DF3" s="3119">
        <f t="shared" si="2"/>
        <v>45966.374999999745</v>
      </c>
      <c r="DG3" s="3119">
        <f t="shared" si="2"/>
        <v>45966.41666666641</v>
      </c>
      <c r="DH3" s="3119">
        <f t="shared" si="2"/>
        <v>45966.458333333074</v>
      </c>
      <c r="DI3" s="3119">
        <f t="shared" si="2"/>
        <v>45966.499999999738</v>
      </c>
      <c r="DJ3" s="3119">
        <f t="shared" si="2"/>
        <v>45966.541666666402</v>
      </c>
      <c r="DK3" s="3119">
        <f t="shared" si="2"/>
        <v>45966.583333333067</v>
      </c>
      <c r="DL3" s="3119">
        <f t="shared" si="2"/>
        <v>45966.624999999731</v>
      </c>
      <c r="DM3" s="3119">
        <f t="shared" si="2"/>
        <v>45966.666666666395</v>
      </c>
      <c r="DN3" s="3119">
        <f t="shared" si="2"/>
        <v>45966.708333333059</v>
      </c>
      <c r="DO3" s="3119">
        <f t="shared" si="2"/>
        <v>45966.749999999724</v>
      </c>
      <c r="DP3" s="3119">
        <f t="shared" si="2"/>
        <v>45966.791666666388</v>
      </c>
      <c r="DQ3" s="3119">
        <f t="shared" si="2"/>
        <v>45966.833333333052</v>
      </c>
      <c r="DR3" s="3119">
        <f t="shared" si="2"/>
        <v>45966.874999999716</v>
      </c>
      <c r="DS3" s="3119">
        <f t="shared" si="2"/>
        <v>45966.91666666638</v>
      </c>
      <c r="DT3" s="3119">
        <f t="shared" si="2"/>
        <v>45966.958333333045</v>
      </c>
      <c r="DU3" s="3119">
        <f t="shared" si="2"/>
        <v>45966.999999999709</v>
      </c>
      <c r="DV3" s="3119">
        <f t="shared" si="2"/>
        <v>45967.041666666373</v>
      </c>
      <c r="DW3" s="3119">
        <f t="shared" si="2"/>
        <v>45967.083333333037</v>
      </c>
      <c r="DX3" s="3119">
        <f t="shared" si="2"/>
        <v>45967.124999999702</v>
      </c>
      <c r="DY3" s="3119">
        <f t="shared" si="2"/>
        <v>45967.166666666366</v>
      </c>
      <c r="DZ3" s="3119">
        <f t="shared" si="2"/>
        <v>45967.20833333303</v>
      </c>
      <c r="EA3" s="3119">
        <f t="shared" si="2"/>
        <v>45967.249999999694</v>
      </c>
      <c r="EB3" s="3119">
        <f t="shared" si="2"/>
        <v>45967.291666666359</v>
      </c>
      <c r="EC3" s="3119">
        <f t="shared" si="2"/>
        <v>45967.333333333023</v>
      </c>
      <c r="ED3" s="3119">
        <f t="shared" si="2"/>
        <v>45967.374999999687</v>
      </c>
      <c r="EE3" s="3119">
        <f t="shared" ref="EE3:GP6" si="3">+ED3+1/24</f>
        <v>45967.416666666351</v>
      </c>
      <c r="EF3" s="3119">
        <f t="shared" si="3"/>
        <v>45967.458333333016</v>
      </c>
      <c r="EG3" s="3119">
        <f t="shared" si="3"/>
        <v>45967.49999999968</v>
      </c>
      <c r="EH3" s="3119">
        <f t="shared" si="3"/>
        <v>45967.541666666344</v>
      </c>
      <c r="EI3" s="3119">
        <f t="shared" si="3"/>
        <v>45967.583333333008</v>
      </c>
      <c r="EJ3" s="3119">
        <f t="shared" si="3"/>
        <v>45967.624999999673</v>
      </c>
      <c r="EK3" s="3119">
        <f t="shared" si="3"/>
        <v>45967.666666666337</v>
      </c>
      <c r="EL3" s="3119">
        <f t="shared" si="3"/>
        <v>45967.708333333001</v>
      </c>
      <c r="EM3" s="3119">
        <f t="shared" si="3"/>
        <v>45967.749999999665</v>
      </c>
      <c r="EN3" s="3119">
        <f t="shared" si="3"/>
        <v>45967.79166666633</v>
      </c>
      <c r="EO3" s="3119">
        <f t="shared" si="3"/>
        <v>45967.833333332994</v>
      </c>
      <c r="EP3" s="3119">
        <f t="shared" si="3"/>
        <v>45967.874999999658</v>
      </c>
      <c r="EQ3" s="3119">
        <f t="shared" si="3"/>
        <v>45967.916666666322</v>
      </c>
      <c r="ER3" s="3119">
        <f t="shared" si="3"/>
        <v>45967.958333332987</v>
      </c>
      <c r="ES3" s="3119">
        <f t="shared" si="3"/>
        <v>45967.999999999651</v>
      </c>
      <c r="ET3" s="3119">
        <f t="shared" si="3"/>
        <v>45968.041666666315</v>
      </c>
      <c r="EU3" s="3119">
        <f t="shared" si="3"/>
        <v>45968.083333332979</v>
      </c>
      <c r="EV3" s="3119">
        <f t="shared" si="3"/>
        <v>45968.124999999643</v>
      </c>
      <c r="EW3" s="3119">
        <f t="shared" si="3"/>
        <v>45968.166666666308</v>
      </c>
      <c r="EX3" s="3119">
        <f t="shared" si="3"/>
        <v>45968.208333332972</v>
      </c>
      <c r="EY3" s="3119">
        <f t="shared" si="3"/>
        <v>45968.249999999636</v>
      </c>
      <c r="EZ3" s="3119">
        <f t="shared" si="3"/>
        <v>45968.2916666663</v>
      </c>
      <c r="FA3" s="3119">
        <f t="shared" si="3"/>
        <v>45968.333333332965</v>
      </c>
      <c r="FB3" s="3119">
        <f t="shared" si="3"/>
        <v>45968.374999999629</v>
      </c>
      <c r="FC3" s="3119">
        <f t="shared" si="3"/>
        <v>45968.416666666293</v>
      </c>
      <c r="FD3" s="3119">
        <f t="shared" si="3"/>
        <v>45968.458333332957</v>
      </c>
      <c r="FE3" s="3119">
        <f t="shared" si="3"/>
        <v>45968.499999999622</v>
      </c>
      <c r="FF3" s="3119">
        <f t="shared" si="3"/>
        <v>45968.541666666286</v>
      </c>
      <c r="FG3" s="3119">
        <f t="shared" si="3"/>
        <v>45968.58333333295</v>
      </c>
      <c r="FH3" s="3119">
        <f t="shared" si="3"/>
        <v>45968.624999999614</v>
      </c>
      <c r="FI3" s="3119">
        <f t="shared" si="3"/>
        <v>45968.666666666279</v>
      </c>
      <c r="FJ3" s="3119">
        <f t="shared" si="3"/>
        <v>45968.708333332943</v>
      </c>
      <c r="FK3" s="3119">
        <f t="shared" si="3"/>
        <v>45968.749999999607</v>
      </c>
      <c r="FL3" s="3119">
        <f t="shared" si="3"/>
        <v>45968.791666666271</v>
      </c>
      <c r="FM3" s="3119">
        <f t="shared" si="3"/>
        <v>45968.833333332936</v>
      </c>
      <c r="FN3" s="3119">
        <f t="shared" si="3"/>
        <v>45968.8749999996</v>
      </c>
      <c r="FO3" s="3119">
        <f t="shared" si="3"/>
        <v>45968.916666666264</v>
      </c>
      <c r="FP3" s="3119">
        <f t="shared" si="3"/>
        <v>45968.958333332928</v>
      </c>
      <c r="FQ3" s="3119">
        <f t="shared" si="3"/>
        <v>45968.999999999593</v>
      </c>
      <c r="FR3" s="3119">
        <f t="shared" si="3"/>
        <v>45969.041666666257</v>
      </c>
      <c r="FS3" s="3119">
        <f t="shared" si="3"/>
        <v>45969.083333332921</v>
      </c>
      <c r="FT3" s="3119">
        <f t="shared" si="3"/>
        <v>45969.124999999585</v>
      </c>
      <c r="FU3" s="3119">
        <f t="shared" si="3"/>
        <v>45969.16666666625</v>
      </c>
      <c r="FV3" s="3119">
        <f t="shared" si="3"/>
        <v>45969.208333332914</v>
      </c>
      <c r="FW3" s="3119">
        <f t="shared" si="3"/>
        <v>45969.249999999578</v>
      </c>
      <c r="FX3" s="3119">
        <f t="shared" si="3"/>
        <v>45969.291666666242</v>
      </c>
      <c r="FY3" s="3119">
        <f t="shared" si="3"/>
        <v>45969.333333332906</v>
      </c>
      <c r="FZ3" s="3119">
        <f t="shared" si="3"/>
        <v>45969.374999999571</v>
      </c>
      <c r="GA3" s="3119">
        <f t="shared" si="3"/>
        <v>45969.416666666235</v>
      </c>
      <c r="GB3" s="3119">
        <f t="shared" si="3"/>
        <v>45969.458333332899</v>
      </c>
      <c r="GC3" s="3119">
        <f t="shared" si="3"/>
        <v>45969.499999999563</v>
      </c>
      <c r="GD3" s="3119">
        <f t="shared" si="3"/>
        <v>45969.541666666228</v>
      </c>
      <c r="GE3" s="3119">
        <f t="shared" si="3"/>
        <v>45969.583333332892</v>
      </c>
      <c r="GF3" s="3119">
        <f t="shared" si="3"/>
        <v>45969.624999999556</v>
      </c>
      <c r="GG3" s="3119">
        <f t="shared" si="3"/>
        <v>45969.66666666622</v>
      </c>
      <c r="GH3" s="3119">
        <f t="shared" si="3"/>
        <v>45969.708333332885</v>
      </c>
      <c r="GI3" s="3119">
        <f t="shared" si="3"/>
        <v>45969.749999999549</v>
      </c>
      <c r="GJ3" s="3119">
        <f t="shared" si="3"/>
        <v>45969.791666666213</v>
      </c>
      <c r="GK3" s="3119">
        <f t="shared" si="3"/>
        <v>45969.833333332877</v>
      </c>
      <c r="GL3" s="3119">
        <f t="shared" si="3"/>
        <v>45969.874999999542</v>
      </c>
      <c r="GM3" s="3119">
        <f t="shared" si="3"/>
        <v>45969.916666666206</v>
      </c>
      <c r="GN3" s="3119">
        <f t="shared" si="3"/>
        <v>45969.95833333287</v>
      </c>
      <c r="GO3" s="3119">
        <f t="shared" si="3"/>
        <v>45969.999999999534</v>
      </c>
      <c r="GP3" s="3119">
        <f t="shared" si="3"/>
        <v>45970.041666666199</v>
      </c>
      <c r="GQ3" s="3119">
        <f t="shared" ref="GQ3:JB6" si="4">+GP3+1/24</f>
        <v>45970.083333332863</v>
      </c>
      <c r="GR3" s="3119">
        <f t="shared" si="4"/>
        <v>45970.124999999527</v>
      </c>
      <c r="GS3" s="3119">
        <f t="shared" si="4"/>
        <v>45970.166666666191</v>
      </c>
      <c r="GT3" s="3119">
        <f t="shared" si="4"/>
        <v>45970.208333332856</v>
      </c>
      <c r="GU3" s="3119">
        <f t="shared" si="4"/>
        <v>45970.24999999952</v>
      </c>
      <c r="GV3" s="3119">
        <f t="shared" si="4"/>
        <v>45970.291666666184</v>
      </c>
      <c r="GW3" s="3119">
        <f t="shared" si="4"/>
        <v>45970.333333332848</v>
      </c>
      <c r="GX3" s="3119">
        <f t="shared" si="4"/>
        <v>45970.374999999513</v>
      </c>
      <c r="GY3" s="3119">
        <f t="shared" si="4"/>
        <v>45970.416666666177</v>
      </c>
      <c r="GZ3" s="3119">
        <f t="shared" si="4"/>
        <v>45970.458333332841</v>
      </c>
      <c r="HA3" s="3119">
        <f t="shared" si="4"/>
        <v>45970.499999999505</v>
      </c>
      <c r="HB3" s="3119">
        <f t="shared" si="4"/>
        <v>45970.541666666169</v>
      </c>
      <c r="HC3" s="3119">
        <f t="shared" si="4"/>
        <v>45970.583333332834</v>
      </c>
      <c r="HD3" s="3119">
        <f t="shared" si="4"/>
        <v>45970.624999999498</v>
      </c>
      <c r="HE3" s="3119">
        <f t="shared" si="4"/>
        <v>45970.666666666162</v>
      </c>
      <c r="HF3" s="3119">
        <f t="shared" si="4"/>
        <v>45970.708333332826</v>
      </c>
      <c r="HG3" s="3119">
        <f t="shared" si="4"/>
        <v>45970.749999999491</v>
      </c>
      <c r="HH3" s="3119">
        <f t="shared" si="4"/>
        <v>45970.791666666155</v>
      </c>
      <c r="HI3" s="3119">
        <f t="shared" si="4"/>
        <v>45970.833333332819</v>
      </c>
      <c r="HJ3" s="3119">
        <f t="shared" si="4"/>
        <v>45970.874999999483</v>
      </c>
      <c r="HK3" s="3119">
        <f t="shared" si="4"/>
        <v>45970.916666666148</v>
      </c>
      <c r="HL3" s="3119">
        <f t="shared" si="4"/>
        <v>45970.958333332812</v>
      </c>
      <c r="HM3" s="3119">
        <f t="shared" si="4"/>
        <v>45970.999999999476</v>
      </c>
      <c r="HN3" s="3119">
        <f t="shared" si="4"/>
        <v>45971.04166666614</v>
      </c>
      <c r="HO3" s="3119">
        <f t="shared" si="4"/>
        <v>45971.083333332805</v>
      </c>
      <c r="HP3" s="3119">
        <f t="shared" si="4"/>
        <v>45971.124999999469</v>
      </c>
      <c r="HQ3" s="3119">
        <f t="shared" si="4"/>
        <v>45971.166666666133</v>
      </c>
      <c r="HR3" s="3119">
        <f t="shared" si="4"/>
        <v>45971.208333332797</v>
      </c>
      <c r="HS3" s="3119">
        <f t="shared" si="4"/>
        <v>45971.249999999462</v>
      </c>
      <c r="HT3" s="3119">
        <f t="shared" si="4"/>
        <v>45971.291666666126</v>
      </c>
      <c r="HU3" s="3119">
        <f t="shared" si="4"/>
        <v>45971.33333333279</v>
      </c>
      <c r="HV3" s="3119">
        <f t="shared" si="4"/>
        <v>45971.374999999454</v>
      </c>
      <c r="HW3" s="3119">
        <f t="shared" si="4"/>
        <v>45971.416666666119</v>
      </c>
      <c r="HX3" s="3119">
        <f t="shared" si="4"/>
        <v>45971.458333332783</v>
      </c>
      <c r="HY3" s="3119">
        <f t="shared" si="4"/>
        <v>45971.499999999447</v>
      </c>
      <c r="HZ3" s="3119">
        <f t="shared" si="4"/>
        <v>45971.541666666111</v>
      </c>
      <c r="IA3" s="3119">
        <f t="shared" si="4"/>
        <v>45971.583333332776</v>
      </c>
      <c r="IB3" s="3119">
        <f t="shared" si="4"/>
        <v>45971.62499999944</v>
      </c>
      <c r="IC3" s="3119">
        <f t="shared" si="4"/>
        <v>45971.666666666104</v>
      </c>
      <c r="ID3" s="3119">
        <f t="shared" si="4"/>
        <v>45971.708333332768</v>
      </c>
      <c r="IE3" s="3119">
        <f t="shared" si="4"/>
        <v>45971.749999999432</v>
      </c>
      <c r="IF3" s="3119">
        <f t="shared" si="4"/>
        <v>45971.791666666097</v>
      </c>
      <c r="IG3" s="3119">
        <f t="shared" si="4"/>
        <v>45971.833333332761</v>
      </c>
      <c r="IH3" s="3119">
        <f t="shared" si="4"/>
        <v>45971.874999999425</v>
      </c>
      <c r="II3" s="3119">
        <f t="shared" si="4"/>
        <v>45971.916666666089</v>
      </c>
      <c r="IJ3" s="3119">
        <f t="shared" si="4"/>
        <v>45971.958333332754</v>
      </c>
      <c r="IK3" s="3119">
        <f t="shared" si="4"/>
        <v>45971.999999999418</v>
      </c>
      <c r="IL3" s="3119">
        <f t="shared" si="4"/>
        <v>45972.041666666082</v>
      </c>
      <c r="IM3" s="3119">
        <f t="shared" si="4"/>
        <v>45972.083333332746</v>
      </c>
      <c r="IN3" s="3119">
        <f t="shared" si="4"/>
        <v>45972.124999999411</v>
      </c>
      <c r="IO3" s="3119">
        <f t="shared" si="4"/>
        <v>45972.166666666075</v>
      </c>
      <c r="IP3" s="3119">
        <f t="shared" si="4"/>
        <v>45972.208333332739</v>
      </c>
      <c r="IQ3" s="3119">
        <f t="shared" si="4"/>
        <v>45972.249999999403</v>
      </c>
      <c r="IR3" s="3119">
        <f t="shared" si="4"/>
        <v>45972.291666666068</v>
      </c>
      <c r="IS3" s="3119">
        <f t="shared" si="4"/>
        <v>45972.333333332732</v>
      </c>
      <c r="IT3" s="3119">
        <f t="shared" si="4"/>
        <v>45972.374999999396</v>
      </c>
      <c r="IU3" s="3119">
        <f t="shared" si="4"/>
        <v>45972.41666666606</v>
      </c>
      <c r="IV3" s="3119">
        <f t="shared" si="4"/>
        <v>45972.458333332725</v>
      </c>
      <c r="IW3" s="3119">
        <f t="shared" si="4"/>
        <v>45972.499999999389</v>
      </c>
      <c r="IX3" s="3119">
        <f t="shared" si="4"/>
        <v>45972.541666666053</v>
      </c>
      <c r="IY3" s="3119">
        <f t="shared" si="4"/>
        <v>45972.583333332717</v>
      </c>
      <c r="IZ3" s="3119">
        <f t="shared" si="4"/>
        <v>45972.624999999382</v>
      </c>
      <c r="JA3" s="3119">
        <f t="shared" si="4"/>
        <v>45972.666666666046</v>
      </c>
      <c r="JB3" s="3119">
        <f t="shared" si="4"/>
        <v>45972.70833333271</v>
      </c>
      <c r="JC3" s="3119">
        <f t="shared" ref="JC3:LN6" si="5">+JB3+1/24</f>
        <v>45972.749999999374</v>
      </c>
      <c r="JD3" s="3119">
        <f t="shared" si="5"/>
        <v>45972.791666666039</v>
      </c>
      <c r="JE3" s="3119">
        <f t="shared" si="5"/>
        <v>45972.833333332703</v>
      </c>
      <c r="JF3" s="3119">
        <f t="shared" si="5"/>
        <v>45972.874999999367</v>
      </c>
      <c r="JG3" s="3119">
        <f t="shared" si="5"/>
        <v>45972.916666666031</v>
      </c>
      <c r="JH3" s="3119">
        <f t="shared" si="5"/>
        <v>45972.958333332695</v>
      </c>
      <c r="JI3" s="3119">
        <f t="shared" si="5"/>
        <v>45972.99999999936</v>
      </c>
      <c r="JJ3" s="3119">
        <f t="shared" si="5"/>
        <v>45973.041666666024</v>
      </c>
      <c r="JK3" s="3119">
        <f t="shared" si="5"/>
        <v>45973.083333332688</v>
      </c>
      <c r="JL3" s="3119">
        <f t="shared" si="5"/>
        <v>45973.124999999352</v>
      </c>
      <c r="JM3" s="3119">
        <f t="shared" si="5"/>
        <v>45973.166666666017</v>
      </c>
      <c r="JN3" s="3119">
        <f t="shared" si="5"/>
        <v>45973.208333332681</v>
      </c>
      <c r="JO3" s="3119">
        <f t="shared" si="5"/>
        <v>45973.249999999345</v>
      </c>
      <c r="JP3" s="3119">
        <f t="shared" si="5"/>
        <v>45973.291666666009</v>
      </c>
      <c r="JQ3" s="3119">
        <f t="shared" si="5"/>
        <v>45973.333333332674</v>
      </c>
      <c r="JR3" s="3119">
        <f t="shared" si="5"/>
        <v>45973.374999999338</v>
      </c>
      <c r="JS3" s="3119">
        <f t="shared" si="5"/>
        <v>45973.416666666002</v>
      </c>
      <c r="JT3" s="3119">
        <f t="shared" si="5"/>
        <v>45973.458333332666</v>
      </c>
      <c r="JU3" s="3119">
        <f t="shared" si="5"/>
        <v>45973.499999999331</v>
      </c>
      <c r="JV3" s="3119">
        <f t="shared" si="5"/>
        <v>45973.541666665995</v>
      </c>
      <c r="JW3" s="3119">
        <f t="shared" si="5"/>
        <v>45973.583333332659</v>
      </c>
      <c r="JX3" s="3119">
        <f t="shared" si="5"/>
        <v>45973.624999999323</v>
      </c>
      <c r="JY3" s="3119">
        <f t="shared" si="5"/>
        <v>45973.666666665988</v>
      </c>
      <c r="JZ3" s="3119">
        <f t="shared" si="5"/>
        <v>45973.708333332652</v>
      </c>
      <c r="KA3" s="3119">
        <f t="shared" si="5"/>
        <v>45973.749999999316</v>
      </c>
      <c r="KB3" s="3119">
        <f t="shared" si="5"/>
        <v>45973.79166666598</v>
      </c>
      <c r="KC3" s="3119">
        <f t="shared" si="5"/>
        <v>45973.833333332645</v>
      </c>
      <c r="KD3" s="3119">
        <f t="shared" si="5"/>
        <v>45973.874999999309</v>
      </c>
      <c r="KE3" s="3119">
        <f t="shared" si="5"/>
        <v>45973.916666665973</v>
      </c>
      <c r="KF3" s="3119">
        <f t="shared" si="5"/>
        <v>45973.958333332637</v>
      </c>
      <c r="KG3" s="3119">
        <f t="shared" si="5"/>
        <v>45973.999999999302</v>
      </c>
      <c r="KH3" s="3119">
        <f t="shared" si="5"/>
        <v>45974.041666665966</v>
      </c>
      <c r="KI3" s="3119">
        <f t="shared" si="5"/>
        <v>45974.08333333263</v>
      </c>
      <c r="KJ3" s="3119">
        <f t="shared" si="5"/>
        <v>45974.124999999294</v>
      </c>
      <c r="KK3" s="3119">
        <f t="shared" si="5"/>
        <v>45974.166666665958</v>
      </c>
      <c r="KL3" s="3119">
        <f t="shared" si="5"/>
        <v>45974.208333332623</v>
      </c>
      <c r="KM3" s="3119">
        <f t="shared" si="5"/>
        <v>45974.249999999287</v>
      </c>
      <c r="KN3" s="3119">
        <f t="shared" si="5"/>
        <v>45974.291666665951</v>
      </c>
      <c r="KO3" s="3119">
        <f t="shared" si="5"/>
        <v>45974.333333332615</v>
      </c>
      <c r="KP3" s="3119">
        <f t="shared" si="5"/>
        <v>45974.37499999928</v>
      </c>
      <c r="KQ3" s="3119">
        <f t="shared" si="5"/>
        <v>45974.416666665944</v>
      </c>
      <c r="KR3" s="3119">
        <f t="shared" si="5"/>
        <v>45974.458333332608</v>
      </c>
      <c r="KS3" s="3119">
        <f t="shared" si="5"/>
        <v>45974.499999999272</v>
      </c>
      <c r="KT3" s="3119">
        <f t="shared" si="5"/>
        <v>45974.541666665937</v>
      </c>
      <c r="KU3" s="3119">
        <f t="shared" si="5"/>
        <v>45974.583333332601</v>
      </c>
      <c r="KV3" s="3119">
        <f t="shared" si="5"/>
        <v>45974.624999999265</v>
      </c>
      <c r="KW3" s="3119">
        <f t="shared" si="5"/>
        <v>45974.666666665929</v>
      </c>
      <c r="KX3" s="3119">
        <f t="shared" si="5"/>
        <v>45974.708333332594</v>
      </c>
      <c r="KY3" s="3119">
        <f t="shared" si="5"/>
        <v>45974.749999999258</v>
      </c>
      <c r="KZ3" s="3119">
        <f t="shared" si="5"/>
        <v>45974.791666665922</v>
      </c>
      <c r="LA3" s="3119">
        <f t="shared" si="5"/>
        <v>45974.833333332586</v>
      </c>
      <c r="LB3" s="3119">
        <f t="shared" si="5"/>
        <v>45974.874999999251</v>
      </c>
      <c r="LC3" s="3119">
        <f t="shared" si="5"/>
        <v>45974.916666665915</v>
      </c>
      <c r="LD3" s="3119">
        <f t="shared" si="5"/>
        <v>45974.958333332579</v>
      </c>
      <c r="LE3" s="3119">
        <f t="shared" si="5"/>
        <v>45974.999999999243</v>
      </c>
      <c r="LF3" s="3119">
        <f t="shared" si="5"/>
        <v>45975.041666665908</v>
      </c>
      <c r="LG3" s="3119">
        <f t="shared" si="5"/>
        <v>45975.083333332572</v>
      </c>
      <c r="LH3" s="3119">
        <f t="shared" si="5"/>
        <v>45975.124999999236</v>
      </c>
      <c r="LI3" s="3119">
        <f t="shared" si="5"/>
        <v>45975.1666666659</v>
      </c>
      <c r="LJ3" s="3119">
        <f t="shared" si="5"/>
        <v>45975.208333332565</v>
      </c>
      <c r="LK3" s="3119">
        <f t="shared" si="5"/>
        <v>45975.249999999229</v>
      </c>
      <c r="LL3" s="3119">
        <f t="shared" si="5"/>
        <v>45975.291666665893</v>
      </c>
      <c r="LM3" s="3119">
        <f t="shared" si="5"/>
        <v>45975.333333332557</v>
      </c>
      <c r="LN3" s="3119">
        <f t="shared" si="5"/>
        <v>45975.374999999221</v>
      </c>
      <c r="LO3" s="3119">
        <f t="shared" ref="LO3:NZ6" si="6">+LN3+1/24</f>
        <v>45975.416666665886</v>
      </c>
      <c r="LP3" s="3119">
        <f t="shared" si="6"/>
        <v>45975.45833333255</v>
      </c>
      <c r="LQ3" s="3119">
        <f t="shared" si="6"/>
        <v>45975.499999999214</v>
      </c>
      <c r="LR3" s="3119">
        <f t="shared" si="6"/>
        <v>45975.541666665878</v>
      </c>
      <c r="LS3" s="3119">
        <f t="shared" si="6"/>
        <v>45975.583333332543</v>
      </c>
      <c r="LT3" s="3119">
        <f t="shared" si="6"/>
        <v>45975.624999999207</v>
      </c>
      <c r="LU3" s="3119">
        <f t="shared" si="6"/>
        <v>45975.666666665871</v>
      </c>
      <c r="LV3" s="3119">
        <f t="shared" si="6"/>
        <v>45975.708333332535</v>
      </c>
      <c r="LW3" s="3119">
        <f t="shared" si="6"/>
        <v>45975.7499999992</v>
      </c>
      <c r="LX3" s="3119">
        <f t="shared" si="6"/>
        <v>45975.791666665864</v>
      </c>
      <c r="LY3" s="3119">
        <f t="shared" si="6"/>
        <v>45975.833333332528</v>
      </c>
      <c r="LZ3" s="3119">
        <f t="shared" si="6"/>
        <v>45975.874999999192</v>
      </c>
      <c r="MA3" s="3119">
        <f t="shared" si="6"/>
        <v>45975.916666665857</v>
      </c>
      <c r="MB3" s="3119">
        <f t="shared" si="6"/>
        <v>45975.958333332521</v>
      </c>
      <c r="MC3" s="3119">
        <f t="shared" si="6"/>
        <v>45975.999999999185</v>
      </c>
      <c r="MD3" s="3119">
        <f t="shared" si="6"/>
        <v>45976.041666665849</v>
      </c>
      <c r="ME3" s="3119">
        <f t="shared" si="6"/>
        <v>45976.083333332514</v>
      </c>
      <c r="MF3" s="3119">
        <f t="shared" si="6"/>
        <v>45976.124999999178</v>
      </c>
      <c r="MG3" s="3119">
        <f t="shared" si="6"/>
        <v>45976.166666665842</v>
      </c>
      <c r="MH3" s="3119">
        <f t="shared" si="6"/>
        <v>45976.208333332506</v>
      </c>
      <c r="MI3" s="3119">
        <f t="shared" si="6"/>
        <v>45976.249999999171</v>
      </c>
      <c r="MJ3" s="3119">
        <f t="shared" si="6"/>
        <v>45976.291666665835</v>
      </c>
      <c r="MK3" s="3119">
        <f t="shared" si="6"/>
        <v>45976.333333332499</v>
      </c>
      <c r="ML3" s="3119">
        <f t="shared" si="6"/>
        <v>45976.374999999163</v>
      </c>
      <c r="MM3" s="3119">
        <f t="shared" si="6"/>
        <v>45976.416666665828</v>
      </c>
      <c r="MN3" s="3119">
        <f t="shared" si="6"/>
        <v>45976.458333332492</v>
      </c>
      <c r="MO3" s="3119">
        <f t="shared" si="6"/>
        <v>45976.499999999156</v>
      </c>
      <c r="MP3" s="3119">
        <f t="shared" si="6"/>
        <v>45976.54166666582</v>
      </c>
      <c r="MQ3" s="3119">
        <f t="shared" si="6"/>
        <v>45976.583333332484</v>
      </c>
      <c r="MR3" s="3119">
        <f t="shared" si="6"/>
        <v>45976.624999999149</v>
      </c>
      <c r="MS3" s="3119">
        <f t="shared" si="6"/>
        <v>45976.666666665813</v>
      </c>
      <c r="MT3" s="3119">
        <f t="shared" si="6"/>
        <v>45976.708333332477</v>
      </c>
      <c r="MU3" s="3119">
        <f t="shared" si="6"/>
        <v>45976.749999999141</v>
      </c>
      <c r="MV3" s="3119">
        <f t="shared" si="6"/>
        <v>45976.791666665806</v>
      </c>
      <c r="MW3" s="3119">
        <f t="shared" si="6"/>
        <v>45976.83333333247</v>
      </c>
      <c r="MX3" s="3119">
        <f t="shared" si="6"/>
        <v>45976.874999999134</v>
      </c>
      <c r="MY3" s="3119">
        <f t="shared" si="6"/>
        <v>45976.916666665798</v>
      </c>
      <c r="MZ3" s="3119">
        <f t="shared" si="6"/>
        <v>45976.958333332463</v>
      </c>
      <c r="NA3" s="3119">
        <f t="shared" si="6"/>
        <v>45976.999999999127</v>
      </c>
      <c r="NB3" s="3119">
        <f t="shared" si="6"/>
        <v>45977.041666665791</v>
      </c>
      <c r="NC3" s="3119">
        <f t="shared" si="6"/>
        <v>45977.083333332455</v>
      </c>
      <c r="ND3" s="3119">
        <f t="shared" si="6"/>
        <v>45977.12499999912</v>
      </c>
      <c r="NE3" s="3119">
        <f t="shared" si="6"/>
        <v>45977.166666665784</v>
      </c>
      <c r="NF3" s="3119">
        <f t="shared" si="6"/>
        <v>45977.208333332448</v>
      </c>
      <c r="NG3" s="3119">
        <f t="shared" si="6"/>
        <v>45977.249999999112</v>
      </c>
      <c r="NH3" s="3119">
        <f t="shared" si="6"/>
        <v>45977.291666665777</v>
      </c>
      <c r="NI3" s="3119">
        <f t="shared" si="6"/>
        <v>45977.333333332441</v>
      </c>
      <c r="NJ3" s="3119">
        <f t="shared" si="6"/>
        <v>45977.374999999105</v>
      </c>
      <c r="NK3" s="3119">
        <f t="shared" si="6"/>
        <v>45977.416666665769</v>
      </c>
      <c r="NL3" s="3119">
        <f t="shared" si="6"/>
        <v>45977.458333332434</v>
      </c>
      <c r="NM3" s="3119">
        <f t="shared" si="6"/>
        <v>45977.499999999098</v>
      </c>
      <c r="NN3" s="3119">
        <f t="shared" si="6"/>
        <v>45977.541666665762</v>
      </c>
      <c r="NO3" s="3119">
        <f t="shared" si="6"/>
        <v>45977.583333332426</v>
      </c>
      <c r="NP3" s="3119">
        <f t="shared" si="6"/>
        <v>45977.624999999091</v>
      </c>
      <c r="NQ3" s="3119">
        <f t="shared" si="6"/>
        <v>45977.666666665755</v>
      </c>
      <c r="NR3" s="3119">
        <f t="shared" si="6"/>
        <v>45977.708333332419</v>
      </c>
      <c r="NS3" s="3119">
        <f t="shared" si="6"/>
        <v>45977.749999999083</v>
      </c>
      <c r="NT3" s="3119">
        <f t="shared" si="6"/>
        <v>45977.791666665747</v>
      </c>
      <c r="NU3" s="3119">
        <f t="shared" si="6"/>
        <v>45977.833333332412</v>
      </c>
      <c r="NV3" s="3119">
        <f t="shared" si="6"/>
        <v>45977.874999999076</v>
      </c>
      <c r="NW3" s="3119">
        <f t="shared" si="6"/>
        <v>45977.91666666574</v>
      </c>
      <c r="NX3" s="3119">
        <f t="shared" si="6"/>
        <v>45977.958333332404</v>
      </c>
      <c r="NY3" s="3119">
        <f t="shared" si="6"/>
        <v>45977.999999999069</v>
      </c>
      <c r="NZ3" s="3119">
        <f t="shared" si="6"/>
        <v>45978.041666665733</v>
      </c>
      <c r="OA3" s="3119">
        <f t="shared" ref="OA3:QL6" si="7">+NZ3+1/24</f>
        <v>45978.083333332397</v>
      </c>
      <c r="OB3" s="3119">
        <f t="shared" si="7"/>
        <v>45978.124999999061</v>
      </c>
      <c r="OC3" s="3119">
        <f t="shared" si="7"/>
        <v>45978.166666665726</v>
      </c>
      <c r="OD3" s="3119">
        <f t="shared" si="7"/>
        <v>45978.20833333239</v>
      </c>
      <c r="OE3" s="3119">
        <f t="shared" si="7"/>
        <v>45978.249999999054</v>
      </c>
      <c r="OF3" s="3119">
        <f t="shared" si="7"/>
        <v>45978.291666665718</v>
      </c>
      <c r="OG3" s="3119">
        <f t="shared" si="7"/>
        <v>45978.333333332383</v>
      </c>
      <c r="OH3" s="3119">
        <f t="shared" si="7"/>
        <v>45978.374999999047</v>
      </c>
      <c r="OI3" s="3119">
        <f t="shared" si="7"/>
        <v>45978.416666665711</v>
      </c>
      <c r="OJ3" s="3119">
        <f t="shared" si="7"/>
        <v>45978.458333332375</v>
      </c>
      <c r="OK3" s="3119">
        <f t="shared" si="7"/>
        <v>45978.49999999904</v>
      </c>
      <c r="OL3" s="3119">
        <f t="shared" si="7"/>
        <v>45978.541666665704</v>
      </c>
      <c r="OM3" s="3119">
        <f t="shared" si="7"/>
        <v>45978.583333332368</v>
      </c>
      <c r="ON3" s="3119">
        <f t="shared" si="7"/>
        <v>45978.624999999032</v>
      </c>
      <c r="OO3" s="3119">
        <f t="shared" si="7"/>
        <v>45978.666666665697</v>
      </c>
      <c r="OP3" s="3119">
        <f t="shared" si="7"/>
        <v>45978.708333332361</v>
      </c>
      <c r="OQ3" s="3119">
        <f t="shared" si="7"/>
        <v>45978.749999999025</v>
      </c>
      <c r="OR3" s="3119">
        <f t="shared" si="7"/>
        <v>45978.791666665689</v>
      </c>
      <c r="OS3" s="3119">
        <f t="shared" si="7"/>
        <v>45978.833333332354</v>
      </c>
      <c r="OT3" s="3119">
        <f t="shared" si="7"/>
        <v>45978.874999999018</v>
      </c>
      <c r="OU3" s="3119">
        <f t="shared" si="7"/>
        <v>45978.916666665682</v>
      </c>
      <c r="OV3" s="3119">
        <f t="shared" si="7"/>
        <v>45978.958333332346</v>
      </c>
      <c r="OW3" s="3119">
        <f t="shared" si="7"/>
        <v>45978.99999999901</v>
      </c>
      <c r="OX3" s="3119">
        <f t="shared" si="7"/>
        <v>45979.041666665675</v>
      </c>
      <c r="OY3" s="3119">
        <f t="shared" si="7"/>
        <v>45979.083333332339</v>
      </c>
      <c r="OZ3" s="3119">
        <f t="shared" si="7"/>
        <v>45979.124999999003</v>
      </c>
      <c r="PA3" s="3119">
        <f t="shared" si="7"/>
        <v>45979.166666665667</v>
      </c>
      <c r="PB3" s="3119">
        <f t="shared" si="7"/>
        <v>45979.208333332332</v>
      </c>
      <c r="PC3" s="3119">
        <f t="shared" si="7"/>
        <v>45979.249999998996</v>
      </c>
      <c r="PD3" s="3119">
        <f t="shared" si="7"/>
        <v>45979.29166666566</v>
      </c>
      <c r="PE3" s="3119">
        <f t="shared" si="7"/>
        <v>45979.333333332324</v>
      </c>
      <c r="PF3" s="3119">
        <f t="shared" si="7"/>
        <v>45979.374999998989</v>
      </c>
      <c r="PG3" s="3119">
        <f t="shared" si="7"/>
        <v>45979.416666665653</v>
      </c>
      <c r="PH3" s="3119">
        <f t="shared" si="7"/>
        <v>45979.458333332317</v>
      </c>
      <c r="PI3" s="3119">
        <f t="shared" si="7"/>
        <v>45979.499999998981</v>
      </c>
      <c r="PJ3" s="3119">
        <f t="shared" si="7"/>
        <v>45979.541666665646</v>
      </c>
      <c r="PK3" s="3119">
        <f t="shared" si="7"/>
        <v>45979.58333333231</v>
      </c>
      <c r="PL3" s="3119">
        <f t="shared" si="7"/>
        <v>45979.624999998974</v>
      </c>
      <c r="PM3" s="3119">
        <f t="shared" si="7"/>
        <v>45979.666666665638</v>
      </c>
      <c r="PN3" s="3119">
        <f t="shared" si="7"/>
        <v>45979.708333332303</v>
      </c>
      <c r="PO3" s="3119">
        <f t="shared" si="7"/>
        <v>45979.749999998967</v>
      </c>
      <c r="PP3" s="3119">
        <f t="shared" si="7"/>
        <v>45979.791666665631</v>
      </c>
      <c r="PQ3" s="3119">
        <f t="shared" si="7"/>
        <v>45979.833333332295</v>
      </c>
      <c r="PR3" s="3119">
        <f t="shared" si="7"/>
        <v>45979.87499999896</v>
      </c>
      <c r="PS3" s="3119">
        <f t="shared" si="7"/>
        <v>45979.916666665624</v>
      </c>
      <c r="PT3" s="3119">
        <f t="shared" si="7"/>
        <v>45979.958333332288</v>
      </c>
      <c r="PU3" s="3119">
        <f t="shared" si="7"/>
        <v>45979.999999998952</v>
      </c>
      <c r="PV3" s="3119">
        <f t="shared" si="7"/>
        <v>45980.041666665617</v>
      </c>
      <c r="PW3" s="3119">
        <f t="shared" si="7"/>
        <v>45980.083333332281</v>
      </c>
      <c r="PX3" s="3119">
        <f t="shared" si="7"/>
        <v>45980.124999998945</v>
      </c>
      <c r="PY3" s="3119">
        <f t="shared" si="7"/>
        <v>45980.166666665609</v>
      </c>
      <c r="PZ3" s="3119">
        <f t="shared" si="7"/>
        <v>45980.208333332273</v>
      </c>
      <c r="QA3" s="3119">
        <f t="shared" si="7"/>
        <v>45980.249999998938</v>
      </c>
      <c r="QB3" s="3119">
        <f t="shared" si="7"/>
        <v>45980.291666665602</v>
      </c>
      <c r="QC3" s="3119">
        <f t="shared" si="7"/>
        <v>45980.333333332266</v>
      </c>
      <c r="QD3" s="3119">
        <f t="shared" si="7"/>
        <v>45980.37499999893</v>
      </c>
      <c r="QE3" s="3119">
        <f t="shared" si="7"/>
        <v>45980.416666665595</v>
      </c>
      <c r="QF3" s="3119">
        <f t="shared" si="7"/>
        <v>45980.458333332259</v>
      </c>
      <c r="QG3" s="3119">
        <f t="shared" si="7"/>
        <v>45980.499999998923</v>
      </c>
      <c r="QH3" s="3119">
        <f t="shared" si="7"/>
        <v>45980.541666665587</v>
      </c>
      <c r="QI3" s="3119">
        <f t="shared" si="7"/>
        <v>45980.583333332252</v>
      </c>
      <c r="QJ3" s="3119">
        <f t="shared" si="7"/>
        <v>45980.624999998916</v>
      </c>
      <c r="QK3" s="3119">
        <f t="shared" si="7"/>
        <v>45980.66666666558</v>
      </c>
      <c r="QL3" s="3119">
        <f t="shared" si="7"/>
        <v>45980.708333332244</v>
      </c>
      <c r="QM3" s="3119">
        <f t="shared" ref="QM3:SX6" si="8">+QL3+1/24</f>
        <v>45980.749999998909</v>
      </c>
      <c r="QN3" s="3119">
        <f t="shared" si="8"/>
        <v>45980.791666665573</v>
      </c>
      <c r="QO3" s="3119">
        <f t="shared" si="8"/>
        <v>45980.833333332237</v>
      </c>
      <c r="QP3" s="3119">
        <f t="shared" si="8"/>
        <v>45980.874999998901</v>
      </c>
      <c r="QQ3" s="3119">
        <f t="shared" si="8"/>
        <v>45980.916666665566</v>
      </c>
      <c r="QR3" s="3119">
        <f t="shared" si="8"/>
        <v>45980.95833333223</v>
      </c>
      <c r="QS3" s="3119">
        <f t="shared" si="8"/>
        <v>45980.999999998894</v>
      </c>
      <c r="QT3" s="3119">
        <f t="shared" si="8"/>
        <v>45981.041666665558</v>
      </c>
      <c r="QU3" s="3119">
        <f t="shared" si="8"/>
        <v>45981.083333332223</v>
      </c>
      <c r="QV3" s="3119">
        <f t="shared" si="8"/>
        <v>45981.124999998887</v>
      </c>
      <c r="QW3" s="3119">
        <f t="shared" si="8"/>
        <v>45981.166666665551</v>
      </c>
      <c r="QX3" s="3119">
        <f t="shared" si="8"/>
        <v>45981.208333332215</v>
      </c>
      <c r="QY3" s="3119">
        <f t="shared" si="8"/>
        <v>45981.24999999888</v>
      </c>
      <c r="QZ3" s="3119">
        <f t="shared" si="8"/>
        <v>45981.291666665544</v>
      </c>
      <c r="RA3" s="3119">
        <f t="shared" si="8"/>
        <v>45981.333333332208</v>
      </c>
      <c r="RB3" s="3119">
        <f t="shared" si="8"/>
        <v>45981.374999998872</v>
      </c>
      <c r="RC3" s="3119">
        <f t="shared" si="8"/>
        <v>45981.416666665536</v>
      </c>
      <c r="RD3" s="3119">
        <f t="shared" si="8"/>
        <v>45981.458333332201</v>
      </c>
      <c r="RE3" s="3119">
        <f t="shared" si="8"/>
        <v>45981.499999998865</v>
      </c>
      <c r="RF3" s="3119">
        <f t="shared" si="8"/>
        <v>45981.541666665529</v>
      </c>
      <c r="RG3" s="3119">
        <f t="shared" si="8"/>
        <v>45981.583333332193</v>
      </c>
      <c r="RH3" s="3119">
        <f t="shared" si="8"/>
        <v>45981.624999998858</v>
      </c>
      <c r="RI3" s="3119">
        <f t="shared" si="8"/>
        <v>45981.666666665522</v>
      </c>
      <c r="RJ3" s="3119">
        <f t="shared" si="8"/>
        <v>45981.708333332186</v>
      </c>
      <c r="RK3" s="3119">
        <f t="shared" si="8"/>
        <v>45981.74999999885</v>
      </c>
      <c r="RL3" s="3119">
        <f t="shared" si="8"/>
        <v>45981.791666665515</v>
      </c>
      <c r="RM3" s="3119">
        <f t="shared" si="8"/>
        <v>45981.833333332179</v>
      </c>
      <c r="RN3" s="3119">
        <f t="shared" si="8"/>
        <v>45981.874999998843</v>
      </c>
      <c r="RO3" s="3119">
        <f t="shared" si="8"/>
        <v>45981.916666665507</v>
      </c>
      <c r="RP3" s="3119">
        <f t="shared" si="8"/>
        <v>45981.958333332172</v>
      </c>
      <c r="RQ3" s="3119">
        <f t="shared" si="8"/>
        <v>45981.999999998836</v>
      </c>
      <c r="RR3" s="3119">
        <f t="shared" si="8"/>
        <v>45982.0416666655</v>
      </c>
      <c r="RS3" s="3119">
        <f t="shared" si="8"/>
        <v>45982.083333332164</v>
      </c>
      <c r="RT3" s="3119">
        <f t="shared" si="8"/>
        <v>45982.124999998829</v>
      </c>
      <c r="RU3" s="3119">
        <f t="shared" si="8"/>
        <v>45982.166666665493</v>
      </c>
      <c r="RV3" s="3119">
        <f t="shared" si="8"/>
        <v>45982.208333332157</v>
      </c>
      <c r="RW3" s="3119">
        <f t="shared" si="8"/>
        <v>45982.249999998821</v>
      </c>
      <c r="RX3" s="3119">
        <f t="shared" si="8"/>
        <v>45982.291666665486</v>
      </c>
      <c r="RY3" s="3119">
        <f t="shared" si="8"/>
        <v>45982.33333333215</v>
      </c>
      <c r="RZ3" s="3119">
        <f t="shared" si="8"/>
        <v>45982.374999998814</v>
      </c>
      <c r="SA3" s="3119">
        <f t="shared" si="8"/>
        <v>45982.416666665478</v>
      </c>
      <c r="SB3" s="3119">
        <f t="shared" si="8"/>
        <v>45982.458333332143</v>
      </c>
      <c r="SC3" s="3119">
        <f t="shared" si="8"/>
        <v>45982.499999998807</v>
      </c>
      <c r="SD3" s="3119">
        <f t="shared" si="8"/>
        <v>45982.541666665471</v>
      </c>
      <c r="SE3" s="3119">
        <f t="shared" si="8"/>
        <v>45982.583333332135</v>
      </c>
      <c r="SF3" s="3119">
        <f t="shared" si="8"/>
        <v>45982.624999998799</v>
      </c>
      <c r="SG3" s="3119">
        <f t="shared" si="8"/>
        <v>45982.666666665464</v>
      </c>
      <c r="SH3" s="3119">
        <f t="shared" si="8"/>
        <v>45982.708333332128</v>
      </c>
      <c r="SI3" s="3119">
        <f t="shared" si="8"/>
        <v>45982.749999998792</v>
      </c>
      <c r="SJ3" s="3119">
        <f t="shared" si="8"/>
        <v>45982.791666665456</v>
      </c>
      <c r="SK3" s="3119">
        <f t="shared" si="8"/>
        <v>45982.833333332121</v>
      </c>
      <c r="SL3" s="3119">
        <f t="shared" si="8"/>
        <v>45982.874999998785</v>
      </c>
      <c r="SM3" s="3119">
        <f t="shared" si="8"/>
        <v>45982.916666665449</v>
      </c>
      <c r="SN3" s="3119">
        <f t="shared" si="8"/>
        <v>45982.958333332113</v>
      </c>
      <c r="SO3" s="3119">
        <f t="shared" si="8"/>
        <v>45982.999999998778</v>
      </c>
      <c r="SP3" s="3119">
        <f t="shared" si="8"/>
        <v>45983.041666665442</v>
      </c>
      <c r="SQ3" s="3119">
        <f t="shared" si="8"/>
        <v>45983.083333332106</v>
      </c>
      <c r="SR3" s="3119">
        <f t="shared" si="8"/>
        <v>45983.12499999877</v>
      </c>
      <c r="SS3" s="3119">
        <f t="shared" si="8"/>
        <v>45983.166666665435</v>
      </c>
      <c r="ST3" s="3119">
        <f t="shared" si="8"/>
        <v>45983.208333332099</v>
      </c>
      <c r="SU3" s="3119">
        <f t="shared" si="8"/>
        <v>45983.249999998763</v>
      </c>
      <c r="SV3" s="3119">
        <f t="shared" si="8"/>
        <v>45983.291666665427</v>
      </c>
      <c r="SW3" s="3119">
        <f t="shared" si="8"/>
        <v>45983.333333332092</v>
      </c>
      <c r="SX3" s="3119">
        <f t="shared" si="8"/>
        <v>45983.374999998756</v>
      </c>
      <c r="SY3" s="3119">
        <f t="shared" ref="SY3:VJ6" si="9">+SX3+1/24</f>
        <v>45983.41666666542</v>
      </c>
      <c r="SZ3" s="3119">
        <f t="shared" si="9"/>
        <v>45983.458333332084</v>
      </c>
      <c r="TA3" s="3119">
        <f t="shared" si="9"/>
        <v>45983.499999998749</v>
      </c>
      <c r="TB3" s="3119">
        <f t="shared" si="9"/>
        <v>45983.541666665413</v>
      </c>
      <c r="TC3" s="3119">
        <f t="shared" si="9"/>
        <v>45983.583333332077</v>
      </c>
      <c r="TD3" s="3119">
        <f t="shared" si="9"/>
        <v>45983.624999998741</v>
      </c>
      <c r="TE3" s="3119">
        <f t="shared" si="9"/>
        <v>45983.666666665406</v>
      </c>
      <c r="TF3" s="3119">
        <f t="shared" si="9"/>
        <v>45983.70833333207</v>
      </c>
      <c r="TG3" s="3119">
        <f t="shared" si="9"/>
        <v>45983.749999998734</v>
      </c>
      <c r="TH3" s="3119">
        <f t="shared" si="9"/>
        <v>45983.791666665398</v>
      </c>
      <c r="TI3" s="3119">
        <f t="shared" si="9"/>
        <v>45983.833333332062</v>
      </c>
      <c r="TJ3" s="3119">
        <f t="shared" si="9"/>
        <v>45983.874999998727</v>
      </c>
      <c r="TK3" s="3119">
        <f t="shared" si="9"/>
        <v>45983.916666665391</v>
      </c>
      <c r="TL3" s="3119">
        <f t="shared" si="9"/>
        <v>45983.958333332055</v>
      </c>
      <c r="TM3" s="3119">
        <f t="shared" si="9"/>
        <v>45983.999999998719</v>
      </c>
      <c r="TN3" s="3119">
        <f t="shared" si="9"/>
        <v>45984.041666665384</v>
      </c>
      <c r="TO3" s="3119">
        <f t="shared" si="9"/>
        <v>45984.083333332048</v>
      </c>
      <c r="TP3" s="3119">
        <f t="shared" si="9"/>
        <v>45984.124999998712</v>
      </c>
      <c r="TQ3" s="3119">
        <f t="shared" si="9"/>
        <v>45984.166666665376</v>
      </c>
      <c r="TR3" s="3119">
        <f t="shared" si="9"/>
        <v>45984.208333332041</v>
      </c>
      <c r="TS3" s="3119">
        <f t="shared" si="9"/>
        <v>45984.249999998705</v>
      </c>
      <c r="TT3" s="3119">
        <f t="shared" si="9"/>
        <v>45984.291666665369</v>
      </c>
      <c r="TU3" s="3119">
        <f t="shared" si="9"/>
        <v>45984.333333332033</v>
      </c>
      <c r="TV3" s="3119">
        <f t="shared" si="9"/>
        <v>45984.374999998698</v>
      </c>
      <c r="TW3" s="3119">
        <f t="shared" si="9"/>
        <v>45984.416666665362</v>
      </c>
      <c r="TX3" s="3119">
        <f t="shared" si="9"/>
        <v>45984.458333332026</v>
      </c>
      <c r="TY3" s="3119">
        <f t="shared" si="9"/>
        <v>45984.49999999869</v>
      </c>
      <c r="TZ3" s="3119">
        <f t="shared" si="9"/>
        <v>45984.541666665355</v>
      </c>
      <c r="UA3" s="3119">
        <f t="shared" si="9"/>
        <v>45984.583333332019</v>
      </c>
      <c r="UB3" s="3119">
        <f t="shared" si="9"/>
        <v>45984.624999998683</v>
      </c>
      <c r="UC3" s="3119">
        <f t="shared" si="9"/>
        <v>45984.666666665347</v>
      </c>
      <c r="UD3" s="3119">
        <f t="shared" si="9"/>
        <v>45984.708333332012</v>
      </c>
      <c r="UE3" s="3119">
        <f t="shared" si="9"/>
        <v>45984.749999998676</v>
      </c>
      <c r="UF3" s="3119">
        <f t="shared" si="9"/>
        <v>45984.79166666534</v>
      </c>
      <c r="UG3" s="3119">
        <f t="shared" si="9"/>
        <v>45984.833333332004</v>
      </c>
      <c r="UH3" s="3119">
        <f t="shared" si="9"/>
        <v>45984.874999998668</v>
      </c>
      <c r="UI3" s="3119">
        <f t="shared" si="9"/>
        <v>45984.916666665333</v>
      </c>
      <c r="UJ3" s="3119">
        <f t="shared" si="9"/>
        <v>45984.958333331997</v>
      </c>
      <c r="UK3" s="3119">
        <f t="shared" si="9"/>
        <v>45984.999999998661</v>
      </c>
      <c r="UL3" s="3119">
        <f t="shared" si="9"/>
        <v>45985.041666665325</v>
      </c>
      <c r="UM3" s="3119">
        <f t="shared" si="9"/>
        <v>45985.08333333199</v>
      </c>
      <c r="UN3" s="3119">
        <f t="shared" si="9"/>
        <v>45985.124999998654</v>
      </c>
      <c r="UO3" s="3119">
        <f t="shared" si="9"/>
        <v>45985.166666665318</v>
      </c>
      <c r="UP3" s="3119">
        <f t="shared" si="9"/>
        <v>45985.208333331982</v>
      </c>
      <c r="UQ3" s="3119">
        <f t="shared" si="9"/>
        <v>45985.249999998647</v>
      </c>
      <c r="UR3" s="3119">
        <f t="shared" si="9"/>
        <v>45985.291666665311</v>
      </c>
      <c r="US3" s="3119">
        <f t="shared" si="9"/>
        <v>45985.333333331975</v>
      </c>
      <c r="UT3" s="3119">
        <f t="shared" si="9"/>
        <v>45985.374999998639</v>
      </c>
      <c r="UU3" s="3119">
        <f t="shared" si="9"/>
        <v>45985.416666665304</v>
      </c>
      <c r="UV3" s="3119">
        <f t="shared" si="9"/>
        <v>45985.458333331968</v>
      </c>
      <c r="UW3" s="3119">
        <f t="shared" si="9"/>
        <v>45985.499999998632</v>
      </c>
      <c r="UX3" s="3119">
        <f t="shared" si="9"/>
        <v>45985.541666665296</v>
      </c>
      <c r="UY3" s="3119">
        <f t="shared" si="9"/>
        <v>45985.583333331961</v>
      </c>
      <c r="UZ3" s="3119">
        <f t="shared" si="9"/>
        <v>45985.624999998625</v>
      </c>
      <c r="VA3" s="3119">
        <f t="shared" si="9"/>
        <v>45985.666666665289</v>
      </c>
      <c r="VB3" s="3119">
        <f t="shared" si="9"/>
        <v>45985.708333331953</v>
      </c>
      <c r="VC3" s="3119">
        <f t="shared" si="9"/>
        <v>45985.749999998618</v>
      </c>
      <c r="VD3" s="3119">
        <f t="shared" si="9"/>
        <v>45985.791666665282</v>
      </c>
      <c r="VE3" s="3119">
        <f t="shared" si="9"/>
        <v>45985.833333331946</v>
      </c>
      <c r="VF3" s="3119">
        <f t="shared" si="9"/>
        <v>45985.87499999861</v>
      </c>
      <c r="VG3" s="3119">
        <f t="shared" si="9"/>
        <v>45985.916666665275</v>
      </c>
      <c r="VH3" s="3119">
        <f t="shared" si="9"/>
        <v>45985.958333331939</v>
      </c>
      <c r="VI3" s="3119">
        <f t="shared" si="9"/>
        <v>45985.999999998603</v>
      </c>
      <c r="VJ3" s="3119">
        <f t="shared" si="9"/>
        <v>45986.041666665267</v>
      </c>
      <c r="VK3" s="3119">
        <f t="shared" ref="VK3:XV6" si="10">+VJ3+1/24</f>
        <v>45986.083333331931</v>
      </c>
      <c r="VL3" s="3119">
        <f t="shared" si="10"/>
        <v>45986.124999998596</v>
      </c>
      <c r="VM3" s="3119">
        <f t="shared" si="10"/>
        <v>45986.16666666526</v>
      </c>
      <c r="VN3" s="3119">
        <f t="shared" si="10"/>
        <v>45986.208333331924</v>
      </c>
      <c r="VO3" s="3119">
        <f t="shared" si="10"/>
        <v>45986.249999998588</v>
      </c>
      <c r="VP3" s="3119">
        <f t="shared" si="10"/>
        <v>45986.291666665253</v>
      </c>
      <c r="VQ3" s="3119">
        <f t="shared" si="10"/>
        <v>45986.333333331917</v>
      </c>
      <c r="VR3" s="3119">
        <f t="shared" si="10"/>
        <v>45986.374999998581</v>
      </c>
      <c r="VS3" s="3119">
        <f t="shared" si="10"/>
        <v>45986.416666665245</v>
      </c>
      <c r="VT3" s="3119">
        <f t="shared" si="10"/>
        <v>45986.45833333191</v>
      </c>
      <c r="VU3" s="3119">
        <f t="shared" si="10"/>
        <v>45986.499999998574</v>
      </c>
      <c r="VV3" s="3119">
        <f t="shared" si="10"/>
        <v>45986.541666665238</v>
      </c>
      <c r="VW3" s="3119">
        <f t="shared" si="10"/>
        <v>45986.583333331902</v>
      </c>
      <c r="VX3" s="3119">
        <f t="shared" si="10"/>
        <v>45986.624999998567</v>
      </c>
      <c r="VY3" s="3119">
        <f t="shared" si="10"/>
        <v>45986.666666665231</v>
      </c>
      <c r="VZ3" s="3119">
        <f t="shared" si="10"/>
        <v>45986.708333331895</v>
      </c>
      <c r="WA3" s="3119">
        <f t="shared" si="10"/>
        <v>45986.749999998559</v>
      </c>
      <c r="WB3" s="3119">
        <f t="shared" si="10"/>
        <v>45986.791666665224</v>
      </c>
      <c r="WC3" s="3119">
        <f t="shared" si="10"/>
        <v>45986.833333331888</v>
      </c>
      <c r="WD3" s="3119">
        <f t="shared" si="10"/>
        <v>45986.874999998552</v>
      </c>
      <c r="WE3" s="3119">
        <f t="shared" si="10"/>
        <v>45986.916666665216</v>
      </c>
      <c r="WF3" s="3119">
        <f t="shared" si="10"/>
        <v>45986.958333331881</v>
      </c>
      <c r="WG3" s="3119">
        <f t="shared" si="10"/>
        <v>45986.999999998545</v>
      </c>
      <c r="WH3" s="3119">
        <f t="shared" si="10"/>
        <v>45987.041666665209</v>
      </c>
      <c r="WI3" s="3119">
        <f t="shared" si="10"/>
        <v>45987.083333331873</v>
      </c>
      <c r="WJ3" s="3119">
        <f t="shared" si="10"/>
        <v>45987.124999998538</v>
      </c>
      <c r="WK3" s="3119">
        <f t="shared" si="10"/>
        <v>45987.166666665202</v>
      </c>
      <c r="WL3" s="3119">
        <f t="shared" si="10"/>
        <v>45987.208333331866</v>
      </c>
      <c r="WM3" s="3119">
        <f t="shared" si="10"/>
        <v>45987.24999999853</v>
      </c>
      <c r="WN3" s="3119">
        <f t="shared" si="10"/>
        <v>45987.291666665194</v>
      </c>
      <c r="WO3" s="3119">
        <f t="shared" si="10"/>
        <v>45987.333333331859</v>
      </c>
      <c r="WP3" s="3119">
        <f t="shared" si="10"/>
        <v>45987.374999998523</v>
      </c>
      <c r="WQ3" s="3119">
        <f t="shared" si="10"/>
        <v>45987.416666665187</v>
      </c>
      <c r="WR3" s="3119">
        <f t="shared" si="10"/>
        <v>45987.458333331851</v>
      </c>
      <c r="WS3" s="3119">
        <f t="shared" si="10"/>
        <v>45987.499999998516</v>
      </c>
      <c r="WT3" s="3119">
        <f t="shared" si="10"/>
        <v>45987.54166666518</v>
      </c>
      <c r="WU3" s="3119">
        <f t="shared" si="10"/>
        <v>45987.583333331844</v>
      </c>
      <c r="WV3" s="3119">
        <f t="shared" si="10"/>
        <v>45987.624999998508</v>
      </c>
      <c r="WW3" s="3119">
        <f t="shared" si="10"/>
        <v>45987.666666665173</v>
      </c>
      <c r="WX3" s="3119">
        <f t="shared" si="10"/>
        <v>45987.708333331837</v>
      </c>
      <c r="WY3" s="3119">
        <f t="shared" si="10"/>
        <v>45987.749999998501</v>
      </c>
      <c r="WZ3" s="3119">
        <f t="shared" si="10"/>
        <v>45987.791666665165</v>
      </c>
      <c r="XA3" s="3119">
        <f t="shared" si="10"/>
        <v>45987.83333333183</v>
      </c>
      <c r="XB3" s="3119">
        <f t="shared" si="10"/>
        <v>45987.874999998494</v>
      </c>
      <c r="XC3" s="3119">
        <f t="shared" si="10"/>
        <v>45987.916666665158</v>
      </c>
      <c r="XD3" s="3119">
        <f t="shared" si="10"/>
        <v>45987.958333331822</v>
      </c>
      <c r="XE3" s="3119">
        <f t="shared" si="10"/>
        <v>45987.999999998487</v>
      </c>
      <c r="XF3" s="3119">
        <f t="shared" si="10"/>
        <v>45988.041666665151</v>
      </c>
      <c r="XG3" s="3119">
        <f t="shared" si="10"/>
        <v>45988.083333331815</v>
      </c>
      <c r="XH3" s="3119">
        <f t="shared" si="10"/>
        <v>45988.124999998479</v>
      </c>
      <c r="XI3" s="3119">
        <f t="shared" si="10"/>
        <v>45988.166666665144</v>
      </c>
      <c r="XJ3" s="3119">
        <f t="shared" si="10"/>
        <v>45988.208333331808</v>
      </c>
      <c r="XK3" s="3119">
        <f t="shared" si="10"/>
        <v>45988.249999998472</v>
      </c>
      <c r="XL3" s="3119">
        <f t="shared" si="10"/>
        <v>45988.291666665136</v>
      </c>
      <c r="XM3" s="3119">
        <f t="shared" si="10"/>
        <v>45988.333333331801</v>
      </c>
      <c r="XN3" s="3119">
        <f t="shared" si="10"/>
        <v>45988.374999998465</v>
      </c>
      <c r="XO3" s="3119">
        <f t="shared" si="10"/>
        <v>45988.416666665129</v>
      </c>
      <c r="XP3" s="3119">
        <f t="shared" si="10"/>
        <v>45988.458333331793</v>
      </c>
      <c r="XQ3" s="3119">
        <f t="shared" si="10"/>
        <v>45988.499999998457</v>
      </c>
      <c r="XR3" s="3119">
        <f t="shared" si="10"/>
        <v>45988.541666665122</v>
      </c>
      <c r="XS3" s="3119">
        <f t="shared" si="10"/>
        <v>45988.583333331786</v>
      </c>
      <c r="XT3" s="3119">
        <f t="shared" si="10"/>
        <v>45988.62499999845</v>
      </c>
      <c r="XU3" s="3119">
        <f t="shared" si="10"/>
        <v>45988.666666665114</v>
      </c>
      <c r="XV3" s="3119">
        <f t="shared" si="10"/>
        <v>45988.708333331779</v>
      </c>
      <c r="XW3" s="3119">
        <f t="shared" ref="XW3:AAH6" si="11">+XV3+1/24</f>
        <v>45988.749999998443</v>
      </c>
      <c r="XX3" s="3119">
        <f t="shared" si="11"/>
        <v>45988.791666665107</v>
      </c>
      <c r="XY3" s="3119">
        <f t="shared" si="11"/>
        <v>45988.833333331771</v>
      </c>
      <c r="XZ3" s="3119">
        <f t="shared" si="11"/>
        <v>45988.874999998436</v>
      </c>
      <c r="YA3" s="3119">
        <f t="shared" si="11"/>
        <v>45988.9166666651</v>
      </c>
      <c r="YB3" s="3119">
        <f t="shared" si="11"/>
        <v>45988.958333331764</v>
      </c>
      <c r="YC3" s="3119">
        <f t="shared" si="11"/>
        <v>45988.999999998428</v>
      </c>
      <c r="YD3" s="3119">
        <f t="shared" si="11"/>
        <v>45989.041666665093</v>
      </c>
      <c r="YE3" s="3119">
        <f t="shared" si="11"/>
        <v>45989.083333331757</v>
      </c>
      <c r="YF3" s="3119">
        <f t="shared" si="11"/>
        <v>45989.124999998421</v>
      </c>
      <c r="YG3" s="3119">
        <f t="shared" si="11"/>
        <v>45989.166666665085</v>
      </c>
      <c r="YH3" s="3119">
        <f t="shared" si="11"/>
        <v>45989.20833333175</v>
      </c>
      <c r="YI3" s="3119">
        <f t="shared" si="11"/>
        <v>45989.249999998414</v>
      </c>
      <c r="YJ3" s="3119">
        <f t="shared" si="11"/>
        <v>45989.291666665078</v>
      </c>
      <c r="YK3" s="3119">
        <f t="shared" si="11"/>
        <v>45989.333333331742</v>
      </c>
      <c r="YL3" s="3119">
        <f t="shared" si="11"/>
        <v>45989.374999998407</v>
      </c>
      <c r="YM3" s="3119">
        <f t="shared" si="11"/>
        <v>45989.416666665071</v>
      </c>
      <c r="YN3" s="3119">
        <f t="shared" si="11"/>
        <v>45989.458333331735</v>
      </c>
      <c r="YO3" s="3119">
        <f t="shared" si="11"/>
        <v>45989.499999998399</v>
      </c>
      <c r="YP3" s="3119">
        <f t="shared" si="11"/>
        <v>45989.541666665064</v>
      </c>
      <c r="YQ3" s="3119">
        <f t="shared" si="11"/>
        <v>45989.583333331728</v>
      </c>
      <c r="YR3" s="3119">
        <f t="shared" si="11"/>
        <v>45989.624999998392</v>
      </c>
      <c r="YS3" s="3119">
        <f t="shared" si="11"/>
        <v>45989.666666665056</v>
      </c>
      <c r="YT3" s="3119">
        <f t="shared" si="11"/>
        <v>45989.70833333172</v>
      </c>
      <c r="YU3" s="3119">
        <f t="shared" si="11"/>
        <v>45989.749999998385</v>
      </c>
      <c r="YV3" s="3119">
        <f t="shared" si="11"/>
        <v>45989.791666665049</v>
      </c>
      <c r="YW3" s="3119">
        <f t="shared" si="11"/>
        <v>45989.833333331713</v>
      </c>
      <c r="YX3" s="3119">
        <f t="shared" si="11"/>
        <v>45989.874999998377</v>
      </c>
      <c r="YY3" s="3119">
        <f t="shared" si="11"/>
        <v>45989.916666665042</v>
      </c>
      <c r="YZ3" s="3119">
        <f t="shared" si="11"/>
        <v>45989.958333331706</v>
      </c>
      <c r="ZA3" s="3119">
        <f t="shared" si="11"/>
        <v>45989.99999999837</v>
      </c>
      <c r="ZB3" s="3119">
        <f t="shared" si="11"/>
        <v>45990.041666665034</v>
      </c>
      <c r="ZC3" s="3119">
        <f t="shared" si="11"/>
        <v>45990.083333331699</v>
      </c>
      <c r="ZD3" s="3119">
        <f t="shared" si="11"/>
        <v>45990.124999998363</v>
      </c>
      <c r="ZE3" s="3119">
        <f t="shared" si="11"/>
        <v>45990.166666665027</v>
      </c>
      <c r="ZF3" s="3119">
        <f t="shared" si="11"/>
        <v>45990.208333331691</v>
      </c>
      <c r="ZG3" s="3119">
        <f t="shared" si="11"/>
        <v>45990.249999998356</v>
      </c>
      <c r="ZH3" s="3119">
        <f t="shared" si="11"/>
        <v>45990.29166666502</v>
      </c>
      <c r="ZI3" s="3119">
        <f t="shared" si="11"/>
        <v>45990.333333331684</v>
      </c>
      <c r="ZJ3" s="3119">
        <f t="shared" si="11"/>
        <v>45990.374999998348</v>
      </c>
      <c r="ZK3" s="3119">
        <f t="shared" si="11"/>
        <v>45990.416666665013</v>
      </c>
      <c r="ZL3" s="3119">
        <f t="shared" si="11"/>
        <v>45990.458333331677</v>
      </c>
      <c r="ZM3" s="3119">
        <f t="shared" si="11"/>
        <v>45990.499999998341</v>
      </c>
      <c r="ZN3" s="3119">
        <f t="shared" si="11"/>
        <v>45990.541666665005</v>
      </c>
      <c r="ZO3" s="3119">
        <f t="shared" si="11"/>
        <v>45990.58333333167</v>
      </c>
      <c r="ZP3" s="3119">
        <f t="shared" si="11"/>
        <v>45990.624999998334</v>
      </c>
      <c r="ZQ3" s="3119">
        <f t="shared" si="11"/>
        <v>45990.666666664998</v>
      </c>
      <c r="ZR3" s="3119">
        <f t="shared" si="11"/>
        <v>45990.708333331662</v>
      </c>
      <c r="ZS3" s="3119">
        <f t="shared" si="11"/>
        <v>45990.749999998327</v>
      </c>
      <c r="ZT3" s="3119">
        <f t="shared" si="11"/>
        <v>45990.791666664991</v>
      </c>
      <c r="ZU3" s="3119">
        <f t="shared" si="11"/>
        <v>45990.833333331655</v>
      </c>
      <c r="ZV3" s="3119">
        <f t="shared" si="11"/>
        <v>45990.874999998319</v>
      </c>
      <c r="ZW3" s="3119">
        <f t="shared" si="11"/>
        <v>45990.916666664983</v>
      </c>
      <c r="ZX3" s="3119">
        <f t="shared" si="11"/>
        <v>45990.958333331648</v>
      </c>
      <c r="ZY3" s="3119">
        <f t="shared" si="11"/>
        <v>45990.999999998312</v>
      </c>
      <c r="ZZ3" s="3119">
        <f t="shared" si="11"/>
        <v>45991.041666664976</v>
      </c>
      <c r="AAA3" s="3119">
        <f t="shared" si="11"/>
        <v>45991.08333333164</v>
      </c>
      <c r="AAB3" s="3119">
        <f t="shared" si="11"/>
        <v>45991.124999998305</v>
      </c>
      <c r="AAC3" s="3119">
        <f t="shared" si="11"/>
        <v>45991.166666664969</v>
      </c>
      <c r="AAD3" s="3119">
        <f t="shared" si="11"/>
        <v>45991.208333331633</v>
      </c>
      <c r="AAE3" s="3119">
        <f t="shared" si="11"/>
        <v>45991.249999998297</v>
      </c>
      <c r="AAF3" s="3119">
        <f t="shared" si="11"/>
        <v>45991.291666664962</v>
      </c>
      <c r="AAG3" s="3119">
        <f t="shared" si="11"/>
        <v>45991.333333331626</v>
      </c>
      <c r="AAH3" s="3119">
        <f t="shared" si="11"/>
        <v>45991.37499999829</v>
      </c>
      <c r="AAI3" s="3119">
        <f t="shared" ref="AAI3:AAV18" si="12">+AAH3+1/24</f>
        <v>45991.416666664954</v>
      </c>
      <c r="AAJ3" s="3119">
        <f t="shared" si="12"/>
        <v>45991.458333331619</v>
      </c>
      <c r="AAK3" s="3119">
        <f t="shared" si="12"/>
        <v>45991.499999998283</v>
      </c>
      <c r="AAL3" s="3119">
        <f t="shared" si="12"/>
        <v>45991.541666664947</v>
      </c>
      <c r="AAM3" s="3119">
        <f t="shared" si="12"/>
        <v>45991.583333331611</v>
      </c>
      <c r="AAN3" s="3119">
        <f t="shared" si="12"/>
        <v>45991.624999998276</v>
      </c>
      <c r="AAO3" s="3119">
        <f t="shared" si="12"/>
        <v>45991.66666666494</v>
      </c>
      <c r="AAP3" s="3119">
        <f t="shared" si="12"/>
        <v>45991.708333331604</v>
      </c>
      <c r="AAQ3" s="3119">
        <f t="shared" si="12"/>
        <v>45991.749999998268</v>
      </c>
      <c r="AAR3" s="3119">
        <f t="shared" si="12"/>
        <v>45991.791666664933</v>
      </c>
      <c r="AAS3" s="3119">
        <f t="shared" si="12"/>
        <v>45991.833333331597</v>
      </c>
      <c r="AAT3" s="3119">
        <f t="shared" si="12"/>
        <v>45991.874999998261</v>
      </c>
      <c r="AAU3" s="3119">
        <f t="shared" si="12"/>
        <v>45991.916666664925</v>
      </c>
      <c r="AAV3" s="3119">
        <f t="shared" si="12"/>
        <v>45991.95833333159</v>
      </c>
    </row>
    <row r="4" spans="1:724" s="282" customFormat="1" ht="13">
      <c r="A4" s="3115" t="s">
        <v>1536</v>
      </c>
      <c r="B4" s="3119"/>
      <c r="C4" s="3119"/>
      <c r="D4" s="3116">
        <f t="shared" si="0"/>
        <v>0</v>
      </c>
      <c r="E4" s="3119">
        <v>45962</v>
      </c>
      <c r="F4" s="3119">
        <f t="shared" ref="F4:F20" si="13">+E4+1/24</f>
        <v>45962.041666666664</v>
      </c>
      <c r="G4" s="3119">
        <f t="shared" si="1"/>
        <v>45962.083333333328</v>
      </c>
      <c r="H4" s="3119">
        <f t="shared" si="1"/>
        <v>45962.124999999993</v>
      </c>
      <c r="I4" s="3119">
        <f t="shared" si="1"/>
        <v>45962.166666666657</v>
      </c>
      <c r="J4" s="3119">
        <f t="shared" si="1"/>
        <v>45962.208333333321</v>
      </c>
      <c r="K4" s="3119">
        <f t="shared" si="1"/>
        <v>45962.249999999985</v>
      </c>
      <c r="L4" s="3119">
        <f t="shared" si="1"/>
        <v>45962.29166666665</v>
      </c>
      <c r="M4" s="3119">
        <f t="shared" si="1"/>
        <v>45962.333333333314</v>
      </c>
      <c r="N4" s="3119">
        <f t="shared" si="1"/>
        <v>45962.374999999978</v>
      </c>
      <c r="O4" s="3119">
        <f t="shared" si="1"/>
        <v>45962.416666666642</v>
      </c>
      <c r="P4" s="3119">
        <f t="shared" si="1"/>
        <v>45962.458333333307</v>
      </c>
      <c r="Q4" s="3119">
        <f t="shared" si="1"/>
        <v>45962.499999999971</v>
      </c>
      <c r="R4" s="3119">
        <f t="shared" si="1"/>
        <v>45962.541666666635</v>
      </c>
      <c r="S4" s="3119">
        <f t="shared" si="1"/>
        <v>45962.583333333299</v>
      </c>
      <c r="T4" s="3119">
        <f t="shared" si="1"/>
        <v>45962.624999999964</v>
      </c>
      <c r="U4" s="3119">
        <f t="shared" si="1"/>
        <v>45962.666666666628</v>
      </c>
      <c r="V4" s="3119">
        <f t="shared" si="1"/>
        <v>45962.708333333292</v>
      </c>
      <c r="W4" s="3119">
        <f t="shared" si="1"/>
        <v>45962.749999999956</v>
      </c>
      <c r="X4" s="3119">
        <f t="shared" si="1"/>
        <v>45962.791666666621</v>
      </c>
      <c r="Y4" s="3119">
        <f t="shared" si="1"/>
        <v>45962.833333333285</v>
      </c>
      <c r="Z4" s="3119">
        <f t="shared" si="1"/>
        <v>45962.874999999949</v>
      </c>
      <c r="AA4" s="3119">
        <f t="shared" si="1"/>
        <v>45962.916666666613</v>
      </c>
      <c r="AB4" s="3119">
        <f t="shared" si="1"/>
        <v>45962.958333333278</v>
      </c>
      <c r="AC4" s="3119">
        <f t="shared" si="1"/>
        <v>45962.999999999942</v>
      </c>
      <c r="AD4" s="3119">
        <f t="shared" si="1"/>
        <v>45963.041666666606</v>
      </c>
      <c r="AE4" s="3119">
        <f t="shared" si="1"/>
        <v>45963.08333333327</v>
      </c>
      <c r="AF4" s="3119">
        <f t="shared" si="1"/>
        <v>45963.124999999935</v>
      </c>
      <c r="AG4" s="3119">
        <f t="shared" si="1"/>
        <v>45963.166666666599</v>
      </c>
      <c r="AH4" s="3119">
        <f t="shared" si="1"/>
        <v>45963.208333333263</v>
      </c>
      <c r="AI4" s="3119">
        <f t="shared" si="1"/>
        <v>45963.249999999927</v>
      </c>
      <c r="AJ4" s="3119">
        <f t="shared" si="1"/>
        <v>45963.291666666591</v>
      </c>
      <c r="AK4" s="3119">
        <f t="shared" si="1"/>
        <v>45963.333333333256</v>
      </c>
      <c r="AL4" s="3119">
        <f t="shared" si="1"/>
        <v>45963.37499999992</v>
      </c>
      <c r="AM4" s="3119">
        <f t="shared" si="1"/>
        <v>45963.416666666584</v>
      </c>
      <c r="AN4" s="3119">
        <f t="shared" si="1"/>
        <v>45963.458333333248</v>
      </c>
      <c r="AO4" s="3119">
        <f t="shared" si="1"/>
        <v>45963.499999999913</v>
      </c>
      <c r="AP4" s="3119">
        <f t="shared" si="1"/>
        <v>45963.541666666577</v>
      </c>
      <c r="AQ4" s="3119">
        <f t="shared" si="1"/>
        <v>45963.583333333241</v>
      </c>
      <c r="AR4" s="3119">
        <f t="shared" si="1"/>
        <v>45963.624999999905</v>
      </c>
      <c r="AS4" s="3119">
        <f t="shared" si="1"/>
        <v>45963.66666666657</v>
      </c>
      <c r="AT4" s="3119">
        <f t="shared" si="1"/>
        <v>45963.708333333234</v>
      </c>
      <c r="AU4" s="3119">
        <f t="shared" si="1"/>
        <v>45963.749999999898</v>
      </c>
      <c r="AV4" s="3119">
        <f t="shared" si="1"/>
        <v>45963.791666666562</v>
      </c>
      <c r="AW4" s="3119">
        <f t="shared" si="1"/>
        <v>45963.833333333227</v>
      </c>
      <c r="AX4" s="3119">
        <f t="shared" si="1"/>
        <v>45963.874999999891</v>
      </c>
      <c r="AY4" s="3119">
        <f t="shared" si="1"/>
        <v>45963.916666666555</v>
      </c>
      <c r="AZ4" s="3119">
        <f t="shared" si="1"/>
        <v>45963.958333333219</v>
      </c>
      <c r="BA4" s="3119">
        <f t="shared" si="1"/>
        <v>45963.999999999884</v>
      </c>
      <c r="BB4" s="3119">
        <f t="shared" si="1"/>
        <v>45964.041666666548</v>
      </c>
      <c r="BC4" s="3119">
        <f t="shared" si="1"/>
        <v>45964.083333333212</v>
      </c>
      <c r="BD4" s="3119">
        <f t="shared" si="1"/>
        <v>45964.124999999876</v>
      </c>
      <c r="BE4" s="3119">
        <f t="shared" si="1"/>
        <v>45964.166666666541</v>
      </c>
      <c r="BF4" s="3119">
        <f t="shared" si="1"/>
        <v>45964.208333333205</v>
      </c>
      <c r="BG4" s="3119">
        <f t="shared" si="1"/>
        <v>45964.249999999869</v>
      </c>
      <c r="BH4" s="3119">
        <f t="shared" si="1"/>
        <v>45964.291666666533</v>
      </c>
      <c r="BI4" s="3119">
        <f t="shared" si="1"/>
        <v>45964.333333333198</v>
      </c>
      <c r="BJ4" s="3119">
        <f t="shared" si="1"/>
        <v>45964.374999999862</v>
      </c>
      <c r="BK4" s="3119">
        <f t="shared" si="1"/>
        <v>45964.416666666526</v>
      </c>
      <c r="BL4" s="3119">
        <f t="shared" si="1"/>
        <v>45964.45833333319</v>
      </c>
      <c r="BM4" s="3119">
        <f t="shared" si="1"/>
        <v>45964.499999999854</v>
      </c>
      <c r="BN4" s="3119">
        <f t="shared" si="1"/>
        <v>45964.541666666519</v>
      </c>
      <c r="BO4" s="3119">
        <f t="shared" si="1"/>
        <v>45964.583333333183</v>
      </c>
      <c r="BP4" s="3119">
        <f t="shared" si="1"/>
        <v>45964.624999999847</v>
      </c>
      <c r="BQ4" s="3119">
        <f t="shared" si="1"/>
        <v>45964.666666666511</v>
      </c>
      <c r="BR4" s="3119">
        <f t="shared" si="1"/>
        <v>45964.708333333176</v>
      </c>
      <c r="BS4" s="3119">
        <f t="shared" si="2"/>
        <v>45964.74999999984</v>
      </c>
      <c r="BT4" s="3119">
        <f t="shared" si="2"/>
        <v>45964.791666666504</v>
      </c>
      <c r="BU4" s="3119">
        <f t="shared" si="2"/>
        <v>45964.833333333168</v>
      </c>
      <c r="BV4" s="3119">
        <f t="shared" si="2"/>
        <v>45964.874999999833</v>
      </c>
      <c r="BW4" s="3119">
        <f t="shared" si="2"/>
        <v>45964.916666666497</v>
      </c>
      <c r="BX4" s="3119">
        <f t="shared" si="2"/>
        <v>45964.958333333161</v>
      </c>
      <c r="BY4" s="3119">
        <f t="shared" si="2"/>
        <v>45964.999999999825</v>
      </c>
      <c r="BZ4" s="3119">
        <f t="shared" si="2"/>
        <v>45965.04166666649</v>
      </c>
      <c r="CA4" s="3119">
        <f t="shared" si="2"/>
        <v>45965.083333333154</v>
      </c>
      <c r="CB4" s="3119">
        <f t="shared" si="2"/>
        <v>45965.124999999818</v>
      </c>
      <c r="CC4" s="3119">
        <f t="shared" si="2"/>
        <v>45965.166666666482</v>
      </c>
      <c r="CD4" s="3119">
        <f t="shared" si="2"/>
        <v>45965.208333333147</v>
      </c>
      <c r="CE4" s="3119">
        <f t="shared" si="2"/>
        <v>45965.249999999811</v>
      </c>
      <c r="CF4" s="3119">
        <f t="shared" si="2"/>
        <v>45965.291666666475</v>
      </c>
      <c r="CG4" s="3119">
        <f t="shared" si="2"/>
        <v>45965.333333333139</v>
      </c>
      <c r="CH4" s="3119">
        <f t="shared" si="2"/>
        <v>45965.374999999804</v>
      </c>
      <c r="CI4" s="3119">
        <f t="shared" si="2"/>
        <v>45965.416666666468</v>
      </c>
      <c r="CJ4" s="3119">
        <f t="shared" si="2"/>
        <v>45965.458333333132</v>
      </c>
      <c r="CK4" s="3119">
        <f t="shared" si="2"/>
        <v>45965.499999999796</v>
      </c>
      <c r="CL4" s="3119">
        <f t="shared" si="2"/>
        <v>45965.541666666461</v>
      </c>
      <c r="CM4" s="3119">
        <f t="shared" si="2"/>
        <v>45965.583333333125</v>
      </c>
      <c r="CN4" s="3119">
        <f t="shared" si="2"/>
        <v>45965.624999999789</v>
      </c>
      <c r="CO4" s="3119">
        <f t="shared" si="2"/>
        <v>45965.666666666453</v>
      </c>
      <c r="CP4" s="3119">
        <f t="shared" si="2"/>
        <v>45965.708333333117</v>
      </c>
      <c r="CQ4" s="3119">
        <f t="shared" si="2"/>
        <v>45965.749999999782</v>
      </c>
      <c r="CR4" s="3119">
        <f t="shared" si="2"/>
        <v>45965.791666666446</v>
      </c>
      <c r="CS4" s="3119">
        <f t="shared" si="2"/>
        <v>45965.83333333311</v>
      </c>
      <c r="CT4" s="3119">
        <f t="shared" si="2"/>
        <v>45965.874999999774</v>
      </c>
      <c r="CU4" s="3119">
        <f t="shared" si="2"/>
        <v>45965.916666666439</v>
      </c>
      <c r="CV4" s="3119">
        <f t="shared" si="2"/>
        <v>45965.958333333103</v>
      </c>
      <c r="CW4" s="3119">
        <f t="shared" si="2"/>
        <v>45965.999999999767</v>
      </c>
      <c r="CX4" s="3119">
        <f t="shared" si="2"/>
        <v>45966.041666666431</v>
      </c>
      <c r="CY4" s="3119">
        <f t="shared" si="2"/>
        <v>45966.083333333096</v>
      </c>
      <c r="CZ4" s="3119">
        <f t="shared" si="2"/>
        <v>45966.12499999976</v>
      </c>
      <c r="DA4" s="3119">
        <f t="shared" si="2"/>
        <v>45966.166666666424</v>
      </c>
      <c r="DB4" s="3119">
        <f t="shared" si="2"/>
        <v>45966.208333333088</v>
      </c>
      <c r="DC4" s="3119">
        <f t="shared" si="2"/>
        <v>45966.249999999753</v>
      </c>
      <c r="DD4" s="3119">
        <f t="shared" si="2"/>
        <v>45966.291666666417</v>
      </c>
      <c r="DE4" s="3119">
        <f t="shared" si="2"/>
        <v>45966.333333333081</v>
      </c>
      <c r="DF4" s="3119">
        <f t="shared" si="2"/>
        <v>45966.374999999745</v>
      </c>
      <c r="DG4" s="3119">
        <f t="shared" si="2"/>
        <v>45966.41666666641</v>
      </c>
      <c r="DH4" s="3119">
        <f t="shared" si="2"/>
        <v>45966.458333333074</v>
      </c>
      <c r="DI4" s="3119">
        <f t="shared" si="2"/>
        <v>45966.499999999738</v>
      </c>
      <c r="DJ4" s="3119">
        <f t="shared" si="2"/>
        <v>45966.541666666402</v>
      </c>
      <c r="DK4" s="3119">
        <f t="shared" si="2"/>
        <v>45966.583333333067</v>
      </c>
      <c r="DL4" s="3119">
        <f t="shared" si="2"/>
        <v>45966.624999999731</v>
      </c>
      <c r="DM4" s="3119">
        <f t="shared" si="2"/>
        <v>45966.666666666395</v>
      </c>
      <c r="DN4" s="3119">
        <f t="shared" si="2"/>
        <v>45966.708333333059</v>
      </c>
      <c r="DO4" s="3119">
        <f t="shared" si="2"/>
        <v>45966.749999999724</v>
      </c>
      <c r="DP4" s="3119">
        <f t="shared" si="2"/>
        <v>45966.791666666388</v>
      </c>
      <c r="DQ4" s="3119">
        <f t="shared" si="2"/>
        <v>45966.833333333052</v>
      </c>
      <c r="DR4" s="3119">
        <f t="shared" si="2"/>
        <v>45966.874999999716</v>
      </c>
      <c r="DS4" s="3119">
        <f t="shared" si="2"/>
        <v>45966.91666666638</v>
      </c>
      <c r="DT4" s="3119">
        <f t="shared" si="2"/>
        <v>45966.958333333045</v>
      </c>
      <c r="DU4" s="3119">
        <f t="shared" si="2"/>
        <v>45966.999999999709</v>
      </c>
      <c r="DV4" s="3119">
        <f t="shared" si="2"/>
        <v>45967.041666666373</v>
      </c>
      <c r="DW4" s="3119">
        <f t="shared" si="2"/>
        <v>45967.083333333037</v>
      </c>
      <c r="DX4" s="3119">
        <f t="shared" si="2"/>
        <v>45967.124999999702</v>
      </c>
      <c r="DY4" s="3119">
        <f t="shared" si="2"/>
        <v>45967.166666666366</v>
      </c>
      <c r="DZ4" s="3119">
        <f t="shared" si="2"/>
        <v>45967.20833333303</v>
      </c>
      <c r="EA4" s="3119">
        <f t="shared" si="2"/>
        <v>45967.249999999694</v>
      </c>
      <c r="EB4" s="3119">
        <f t="shared" si="2"/>
        <v>45967.291666666359</v>
      </c>
      <c r="EC4" s="3119">
        <f t="shared" si="2"/>
        <v>45967.333333333023</v>
      </c>
      <c r="ED4" s="3119">
        <f t="shared" si="2"/>
        <v>45967.374999999687</v>
      </c>
      <c r="EE4" s="3119">
        <f t="shared" si="3"/>
        <v>45967.416666666351</v>
      </c>
      <c r="EF4" s="3119">
        <f t="shared" si="3"/>
        <v>45967.458333333016</v>
      </c>
      <c r="EG4" s="3119">
        <f t="shared" si="3"/>
        <v>45967.49999999968</v>
      </c>
      <c r="EH4" s="3119">
        <f t="shared" si="3"/>
        <v>45967.541666666344</v>
      </c>
      <c r="EI4" s="3119">
        <f t="shared" si="3"/>
        <v>45967.583333333008</v>
      </c>
      <c r="EJ4" s="3119">
        <f t="shared" si="3"/>
        <v>45967.624999999673</v>
      </c>
      <c r="EK4" s="3119">
        <f t="shared" si="3"/>
        <v>45967.666666666337</v>
      </c>
      <c r="EL4" s="3119">
        <f t="shared" si="3"/>
        <v>45967.708333333001</v>
      </c>
      <c r="EM4" s="3119">
        <f t="shared" si="3"/>
        <v>45967.749999999665</v>
      </c>
      <c r="EN4" s="3119">
        <f t="shared" si="3"/>
        <v>45967.79166666633</v>
      </c>
      <c r="EO4" s="3119">
        <f t="shared" si="3"/>
        <v>45967.833333332994</v>
      </c>
      <c r="EP4" s="3119">
        <f t="shared" si="3"/>
        <v>45967.874999999658</v>
      </c>
      <c r="EQ4" s="3119">
        <f t="shared" si="3"/>
        <v>45967.916666666322</v>
      </c>
      <c r="ER4" s="3119">
        <f t="shared" si="3"/>
        <v>45967.958333332987</v>
      </c>
      <c r="ES4" s="3119">
        <f t="shared" si="3"/>
        <v>45967.999999999651</v>
      </c>
      <c r="ET4" s="3119">
        <f t="shared" si="3"/>
        <v>45968.041666666315</v>
      </c>
      <c r="EU4" s="3119">
        <f t="shared" si="3"/>
        <v>45968.083333332979</v>
      </c>
      <c r="EV4" s="3119">
        <f t="shared" si="3"/>
        <v>45968.124999999643</v>
      </c>
      <c r="EW4" s="3119">
        <f t="shared" si="3"/>
        <v>45968.166666666308</v>
      </c>
      <c r="EX4" s="3119">
        <f t="shared" si="3"/>
        <v>45968.208333332972</v>
      </c>
      <c r="EY4" s="3119">
        <f t="shared" si="3"/>
        <v>45968.249999999636</v>
      </c>
      <c r="EZ4" s="3119">
        <f t="shared" si="3"/>
        <v>45968.2916666663</v>
      </c>
      <c r="FA4" s="3119">
        <f t="shared" si="3"/>
        <v>45968.333333332965</v>
      </c>
      <c r="FB4" s="3119">
        <f t="shared" si="3"/>
        <v>45968.374999999629</v>
      </c>
      <c r="FC4" s="3119">
        <f t="shared" si="3"/>
        <v>45968.416666666293</v>
      </c>
      <c r="FD4" s="3119">
        <f t="shared" si="3"/>
        <v>45968.458333332957</v>
      </c>
      <c r="FE4" s="3119">
        <f t="shared" si="3"/>
        <v>45968.499999999622</v>
      </c>
      <c r="FF4" s="3119">
        <f t="shared" si="3"/>
        <v>45968.541666666286</v>
      </c>
      <c r="FG4" s="3119">
        <f t="shared" si="3"/>
        <v>45968.58333333295</v>
      </c>
      <c r="FH4" s="3119">
        <f t="shared" si="3"/>
        <v>45968.624999999614</v>
      </c>
      <c r="FI4" s="3119">
        <f t="shared" si="3"/>
        <v>45968.666666666279</v>
      </c>
      <c r="FJ4" s="3119">
        <f t="shared" si="3"/>
        <v>45968.708333332943</v>
      </c>
      <c r="FK4" s="3119">
        <f t="shared" si="3"/>
        <v>45968.749999999607</v>
      </c>
      <c r="FL4" s="3119">
        <f t="shared" si="3"/>
        <v>45968.791666666271</v>
      </c>
      <c r="FM4" s="3119">
        <f t="shared" si="3"/>
        <v>45968.833333332936</v>
      </c>
      <c r="FN4" s="3119">
        <f t="shared" si="3"/>
        <v>45968.8749999996</v>
      </c>
      <c r="FO4" s="3119">
        <f t="shared" si="3"/>
        <v>45968.916666666264</v>
      </c>
      <c r="FP4" s="3119">
        <f t="shared" si="3"/>
        <v>45968.958333332928</v>
      </c>
      <c r="FQ4" s="3119">
        <f t="shared" si="3"/>
        <v>45968.999999999593</v>
      </c>
      <c r="FR4" s="3119">
        <f t="shared" si="3"/>
        <v>45969.041666666257</v>
      </c>
      <c r="FS4" s="3119">
        <f t="shared" si="3"/>
        <v>45969.083333332921</v>
      </c>
      <c r="FT4" s="3119">
        <f t="shared" si="3"/>
        <v>45969.124999999585</v>
      </c>
      <c r="FU4" s="3119">
        <f t="shared" si="3"/>
        <v>45969.16666666625</v>
      </c>
      <c r="FV4" s="3119">
        <f t="shared" si="3"/>
        <v>45969.208333332914</v>
      </c>
      <c r="FW4" s="3119">
        <f t="shared" si="3"/>
        <v>45969.249999999578</v>
      </c>
      <c r="FX4" s="3119">
        <f t="shared" si="3"/>
        <v>45969.291666666242</v>
      </c>
      <c r="FY4" s="3119">
        <f t="shared" si="3"/>
        <v>45969.333333332906</v>
      </c>
      <c r="FZ4" s="3119">
        <f t="shared" si="3"/>
        <v>45969.374999999571</v>
      </c>
      <c r="GA4" s="3119">
        <f t="shared" si="3"/>
        <v>45969.416666666235</v>
      </c>
      <c r="GB4" s="3119">
        <f t="shared" si="3"/>
        <v>45969.458333332899</v>
      </c>
      <c r="GC4" s="3119">
        <f t="shared" si="3"/>
        <v>45969.499999999563</v>
      </c>
      <c r="GD4" s="3119">
        <f t="shared" si="3"/>
        <v>45969.541666666228</v>
      </c>
      <c r="GE4" s="3119">
        <f t="shared" si="3"/>
        <v>45969.583333332892</v>
      </c>
      <c r="GF4" s="3119">
        <f t="shared" si="3"/>
        <v>45969.624999999556</v>
      </c>
      <c r="GG4" s="3119">
        <f t="shared" si="3"/>
        <v>45969.66666666622</v>
      </c>
      <c r="GH4" s="3119">
        <f t="shared" si="3"/>
        <v>45969.708333332885</v>
      </c>
      <c r="GI4" s="3119">
        <f t="shared" si="3"/>
        <v>45969.749999999549</v>
      </c>
      <c r="GJ4" s="3119">
        <f t="shared" si="3"/>
        <v>45969.791666666213</v>
      </c>
      <c r="GK4" s="3119">
        <f t="shared" si="3"/>
        <v>45969.833333332877</v>
      </c>
      <c r="GL4" s="3119">
        <f t="shared" si="3"/>
        <v>45969.874999999542</v>
      </c>
      <c r="GM4" s="3119">
        <f t="shared" si="3"/>
        <v>45969.916666666206</v>
      </c>
      <c r="GN4" s="3119">
        <f t="shared" si="3"/>
        <v>45969.95833333287</v>
      </c>
      <c r="GO4" s="3119">
        <f t="shared" si="3"/>
        <v>45969.999999999534</v>
      </c>
      <c r="GP4" s="3119">
        <f t="shared" si="3"/>
        <v>45970.041666666199</v>
      </c>
      <c r="GQ4" s="3119">
        <f t="shared" si="4"/>
        <v>45970.083333332863</v>
      </c>
      <c r="GR4" s="3119">
        <f t="shared" si="4"/>
        <v>45970.124999999527</v>
      </c>
      <c r="GS4" s="3119">
        <f t="shared" si="4"/>
        <v>45970.166666666191</v>
      </c>
      <c r="GT4" s="3119">
        <f t="shared" si="4"/>
        <v>45970.208333332856</v>
      </c>
      <c r="GU4" s="3119">
        <f t="shared" si="4"/>
        <v>45970.24999999952</v>
      </c>
      <c r="GV4" s="3119">
        <f t="shared" si="4"/>
        <v>45970.291666666184</v>
      </c>
      <c r="GW4" s="3119">
        <f t="shared" si="4"/>
        <v>45970.333333332848</v>
      </c>
      <c r="GX4" s="3119">
        <f t="shared" si="4"/>
        <v>45970.374999999513</v>
      </c>
      <c r="GY4" s="3119">
        <f t="shared" si="4"/>
        <v>45970.416666666177</v>
      </c>
      <c r="GZ4" s="3119">
        <f t="shared" si="4"/>
        <v>45970.458333332841</v>
      </c>
      <c r="HA4" s="3119">
        <f t="shared" si="4"/>
        <v>45970.499999999505</v>
      </c>
      <c r="HB4" s="3119">
        <f t="shared" si="4"/>
        <v>45970.541666666169</v>
      </c>
      <c r="HC4" s="3119">
        <f t="shared" si="4"/>
        <v>45970.583333332834</v>
      </c>
      <c r="HD4" s="3119">
        <f t="shared" si="4"/>
        <v>45970.624999999498</v>
      </c>
      <c r="HE4" s="3119">
        <f t="shared" si="4"/>
        <v>45970.666666666162</v>
      </c>
      <c r="HF4" s="3119">
        <f t="shared" si="4"/>
        <v>45970.708333332826</v>
      </c>
      <c r="HG4" s="3119">
        <f t="shared" si="4"/>
        <v>45970.749999999491</v>
      </c>
      <c r="HH4" s="3119">
        <f t="shared" si="4"/>
        <v>45970.791666666155</v>
      </c>
      <c r="HI4" s="3119">
        <f t="shared" si="4"/>
        <v>45970.833333332819</v>
      </c>
      <c r="HJ4" s="3119">
        <f t="shared" si="4"/>
        <v>45970.874999999483</v>
      </c>
      <c r="HK4" s="3119">
        <f t="shared" si="4"/>
        <v>45970.916666666148</v>
      </c>
      <c r="HL4" s="3119">
        <f t="shared" si="4"/>
        <v>45970.958333332812</v>
      </c>
      <c r="HM4" s="3119">
        <f t="shared" si="4"/>
        <v>45970.999999999476</v>
      </c>
      <c r="HN4" s="3119">
        <f t="shared" si="4"/>
        <v>45971.04166666614</v>
      </c>
      <c r="HO4" s="3119">
        <f t="shared" si="4"/>
        <v>45971.083333332805</v>
      </c>
      <c r="HP4" s="3119">
        <f t="shared" si="4"/>
        <v>45971.124999999469</v>
      </c>
      <c r="HQ4" s="3119">
        <f t="shared" si="4"/>
        <v>45971.166666666133</v>
      </c>
      <c r="HR4" s="3119">
        <f t="shared" si="4"/>
        <v>45971.208333332797</v>
      </c>
      <c r="HS4" s="3119">
        <f t="shared" si="4"/>
        <v>45971.249999999462</v>
      </c>
      <c r="HT4" s="3119">
        <f t="shared" si="4"/>
        <v>45971.291666666126</v>
      </c>
      <c r="HU4" s="3119">
        <f t="shared" si="4"/>
        <v>45971.33333333279</v>
      </c>
      <c r="HV4" s="3119">
        <f t="shared" si="4"/>
        <v>45971.374999999454</v>
      </c>
      <c r="HW4" s="3119">
        <f t="shared" si="4"/>
        <v>45971.416666666119</v>
      </c>
      <c r="HX4" s="3119">
        <f t="shared" si="4"/>
        <v>45971.458333332783</v>
      </c>
      <c r="HY4" s="3119">
        <f t="shared" si="4"/>
        <v>45971.499999999447</v>
      </c>
      <c r="HZ4" s="3119">
        <f t="shared" si="4"/>
        <v>45971.541666666111</v>
      </c>
      <c r="IA4" s="3119">
        <f t="shared" si="4"/>
        <v>45971.583333332776</v>
      </c>
      <c r="IB4" s="3119">
        <f t="shared" si="4"/>
        <v>45971.62499999944</v>
      </c>
      <c r="IC4" s="3119">
        <f t="shared" si="4"/>
        <v>45971.666666666104</v>
      </c>
      <c r="ID4" s="3119">
        <f t="shared" si="4"/>
        <v>45971.708333332768</v>
      </c>
      <c r="IE4" s="3119">
        <f t="shared" si="4"/>
        <v>45971.749999999432</v>
      </c>
      <c r="IF4" s="3119">
        <f t="shared" si="4"/>
        <v>45971.791666666097</v>
      </c>
      <c r="IG4" s="3119">
        <f t="shared" si="4"/>
        <v>45971.833333332761</v>
      </c>
      <c r="IH4" s="3119">
        <f t="shared" si="4"/>
        <v>45971.874999999425</v>
      </c>
      <c r="II4" s="3119">
        <f t="shared" si="4"/>
        <v>45971.916666666089</v>
      </c>
      <c r="IJ4" s="3119">
        <f t="shared" si="4"/>
        <v>45971.958333332754</v>
      </c>
      <c r="IK4" s="3119">
        <f t="shared" si="4"/>
        <v>45971.999999999418</v>
      </c>
      <c r="IL4" s="3119">
        <f t="shared" si="4"/>
        <v>45972.041666666082</v>
      </c>
      <c r="IM4" s="3119">
        <f t="shared" si="4"/>
        <v>45972.083333332746</v>
      </c>
      <c r="IN4" s="3119">
        <f t="shared" si="4"/>
        <v>45972.124999999411</v>
      </c>
      <c r="IO4" s="3119">
        <f t="shared" si="4"/>
        <v>45972.166666666075</v>
      </c>
      <c r="IP4" s="3119">
        <f t="shared" si="4"/>
        <v>45972.208333332739</v>
      </c>
      <c r="IQ4" s="3119">
        <f t="shared" si="4"/>
        <v>45972.249999999403</v>
      </c>
      <c r="IR4" s="3119">
        <f t="shared" si="4"/>
        <v>45972.291666666068</v>
      </c>
      <c r="IS4" s="3119">
        <f t="shared" si="4"/>
        <v>45972.333333332732</v>
      </c>
      <c r="IT4" s="3119">
        <f t="shared" si="4"/>
        <v>45972.374999999396</v>
      </c>
      <c r="IU4" s="3119">
        <f t="shared" si="4"/>
        <v>45972.41666666606</v>
      </c>
      <c r="IV4" s="3119">
        <f t="shared" si="4"/>
        <v>45972.458333332725</v>
      </c>
      <c r="IW4" s="3119">
        <f t="shared" si="4"/>
        <v>45972.499999999389</v>
      </c>
      <c r="IX4" s="3119">
        <f t="shared" si="4"/>
        <v>45972.541666666053</v>
      </c>
      <c r="IY4" s="3119">
        <f t="shared" si="4"/>
        <v>45972.583333332717</v>
      </c>
      <c r="IZ4" s="3119">
        <f t="shared" si="4"/>
        <v>45972.624999999382</v>
      </c>
      <c r="JA4" s="3119">
        <f t="shared" si="4"/>
        <v>45972.666666666046</v>
      </c>
      <c r="JB4" s="3119">
        <f t="shared" si="4"/>
        <v>45972.70833333271</v>
      </c>
      <c r="JC4" s="3119">
        <f t="shared" si="5"/>
        <v>45972.749999999374</v>
      </c>
      <c r="JD4" s="3119">
        <f t="shared" si="5"/>
        <v>45972.791666666039</v>
      </c>
      <c r="JE4" s="3119">
        <f t="shared" si="5"/>
        <v>45972.833333332703</v>
      </c>
      <c r="JF4" s="3119">
        <f t="shared" si="5"/>
        <v>45972.874999999367</v>
      </c>
      <c r="JG4" s="3119">
        <f t="shared" si="5"/>
        <v>45972.916666666031</v>
      </c>
      <c r="JH4" s="3119">
        <f t="shared" si="5"/>
        <v>45972.958333332695</v>
      </c>
      <c r="JI4" s="3119">
        <f t="shared" si="5"/>
        <v>45972.99999999936</v>
      </c>
      <c r="JJ4" s="3119">
        <f t="shared" si="5"/>
        <v>45973.041666666024</v>
      </c>
      <c r="JK4" s="3119">
        <f t="shared" si="5"/>
        <v>45973.083333332688</v>
      </c>
      <c r="JL4" s="3119">
        <f t="shared" si="5"/>
        <v>45973.124999999352</v>
      </c>
      <c r="JM4" s="3119">
        <f t="shared" si="5"/>
        <v>45973.166666666017</v>
      </c>
      <c r="JN4" s="3119">
        <f t="shared" si="5"/>
        <v>45973.208333332681</v>
      </c>
      <c r="JO4" s="3119">
        <f t="shared" si="5"/>
        <v>45973.249999999345</v>
      </c>
      <c r="JP4" s="3119">
        <f t="shared" si="5"/>
        <v>45973.291666666009</v>
      </c>
      <c r="JQ4" s="3119">
        <f t="shared" si="5"/>
        <v>45973.333333332674</v>
      </c>
      <c r="JR4" s="3119">
        <f t="shared" si="5"/>
        <v>45973.374999999338</v>
      </c>
      <c r="JS4" s="3119">
        <f t="shared" si="5"/>
        <v>45973.416666666002</v>
      </c>
      <c r="JT4" s="3119">
        <f t="shared" si="5"/>
        <v>45973.458333332666</v>
      </c>
      <c r="JU4" s="3119">
        <f t="shared" si="5"/>
        <v>45973.499999999331</v>
      </c>
      <c r="JV4" s="3119">
        <f t="shared" si="5"/>
        <v>45973.541666665995</v>
      </c>
      <c r="JW4" s="3119">
        <f t="shared" si="5"/>
        <v>45973.583333332659</v>
      </c>
      <c r="JX4" s="3119">
        <f t="shared" si="5"/>
        <v>45973.624999999323</v>
      </c>
      <c r="JY4" s="3119">
        <f t="shared" si="5"/>
        <v>45973.666666665988</v>
      </c>
      <c r="JZ4" s="3119">
        <f t="shared" si="5"/>
        <v>45973.708333332652</v>
      </c>
      <c r="KA4" s="3119">
        <f t="shared" si="5"/>
        <v>45973.749999999316</v>
      </c>
      <c r="KB4" s="3119">
        <f t="shared" si="5"/>
        <v>45973.79166666598</v>
      </c>
      <c r="KC4" s="3119">
        <f t="shared" si="5"/>
        <v>45973.833333332645</v>
      </c>
      <c r="KD4" s="3119">
        <f t="shared" si="5"/>
        <v>45973.874999999309</v>
      </c>
      <c r="KE4" s="3119">
        <f t="shared" si="5"/>
        <v>45973.916666665973</v>
      </c>
      <c r="KF4" s="3119">
        <f t="shared" si="5"/>
        <v>45973.958333332637</v>
      </c>
      <c r="KG4" s="3119">
        <f t="shared" si="5"/>
        <v>45973.999999999302</v>
      </c>
      <c r="KH4" s="3119">
        <f t="shared" si="5"/>
        <v>45974.041666665966</v>
      </c>
      <c r="KI4" s="3119">
        <f t="shared" si="5"/>
        <v>45974.08333333263</v>
      </c>
      <c r="KJ4" s="3119">
        <f t="shared" si="5"/>
        <v>45974.124999999294</v>
      </c>
      <c r="KK4" s="3119">
        <f t="shared" si="5"/>
        <v>45974.166666665958</v>
      </c>
      <c r="KL4" s="3119">
        <f t="shared" si="5"/>
        <v>45974.208333332623</v>
      </c>
      <c r="KM4" s="3119">
        <f t="shared" si="5"/>
        <v>45974.249999999287</v>
      </c>
      <c r="KN4" s="3119">
        <f t="shared" si="5"/>
        <v>45974.291666665951</v>
      </c>
      <c r="KO4" s="3119">
        <f t="shared" si="5"/>
        <v>45974.333333332615</v>
      </c>
      <c r="KP4" s="3119">
        <f t="shared" si="5"/>
        <v>45974.37499999928</v>
      </c>
      <c r="KQ4" s="3119">
        <f t="shared" si="5"/>
        <v>45974.416666665944</v>
      </c>
      <c r="KR4" s="3119">
        <f t="shared" si="5"/>
        <v>45974.458333332608</v>
      </c>
      <c r="KS4" s="3119">
        <f t="shared" si="5"/>
        <v>45974.499999999272</v>
      </c>
      <c r="KT4" s="3119">
        <f t="shared" si="5"/>
        <v>45974.541666665937</v>
      </c>
      <c r="KU4" s="3119">
        <f t="shared" si="5"/>
        <v>45974.583333332601</v>
      </c>
      <c r="KV4" s="3119">
        <f t="shared" si="5"/>
        <v>45974.624999999265</v>
      </c>
      <c r="KW4" s="3119">
        <f t="shared" si="5"/>
        <v>45974.666666665929</v>
      </c>
      <c r="KX4" s="3119">
        <f t="shared" si="5"/>
        <v>45974.708333332594</v>
      </c>
      <c r="KY4" s="3119">
        <f t="shared" si="5"/>
        <v>45974.749999999258</v>
      </c>
      <c r="KZ4" s="3119">
        <f t="shared" si="5"/>
        <v>45974.791666665922</v>
      </c>
      <c r="LA4" s="3119">
        <f t="shared" si="5"/>
        <v>45974.833333332586</v>
      </c>
      <c r="LB4" s="3119">
        <f t="shared" si="5"/>
        <v>45974.874999999251</v>
      </c>
      <c r="LC4" s="3119">
        <f t="shared" si="5"/>
        <v>45974.916666665915</v>
      </c>
      <c r="LD4" s="3119">
        <f t="shared" si="5"/>
        <v>45974.958333332579</v>
      </c>
      <c r="LE4" s="3119">
        <f t="shared" si="5"/>
        <v>45974.999999999243</v>
      </c>
      <c r="LF4" s="3119">
        <f t="shared" si="5"/>
        <v>45975.041666665908</v>
      </c>
      <c r="LG4" s="3119">
        <f t="shared" si="5"/>
        <v>45975.083333332572</v>
      </c>
      <c r="LH4" s="3119">
        <f t="shared" si="5"/>
        <v>45975.124999999236</v>
      </c>
      <c r="LI4" s="3119">
        <f t="shared" si="5"/>
        <v>45975.1666666659</v>
      </c>
      <c r="LJ4" s="3119">
        <f t="shared" si="5"/>
        <v>45975.208333332565</v>
      </c>
      <c r="LK4" s="3119">
        <f t="shared" si="5"/>
        <v>45975.249999999229</v>
      </c>
      <c r="LL4" s="3119">
        <f t="shared" si="5"/>
        <v>45975.291666665893</v>
      </c>
      <c r="LM4" s="3119">
        <f t="shared" si="5"/>
        <v>45975.333333332557</v>
      </c>
      <c r="LN4" s="3119">
        <f t="shared" si="5"/>
        <v>45975.374999999221</v>
      </c>
      <c r="LO4" s="3119">
        <f t="shared" si="6"/>
        <v>45975.416666665886</v>
      </c>
      <c r="LP4" s="3119">
        <f t="shared" si="6"/>
        <v>45975.45833333255</v>
      </c>
      <c r="LQ4" s="3119">
        <f t="shared" si="6"/>
        <v>45975.499999999214</v>
      </c>
      <c r="LR4" s="3119">
        <f t="shared" si="6"/>
        <v>45975.541666665878</v>
      </c>
      <c r="LS4" s="3119">
        <f t="shared" si="6"/>
        <v>45975.583333332543</v>
      </c>
      <c r="LT4" s="3119">
        <f t="shared" si="6"/>
        <v>45975.624999999207</v>
      </c>
      <c r="LU4" s="3119">
        <f t="shared" si="6"/>
        <v>45975.666666665871</v>
      </c>
      <c r="LV4" s="3119">
        <f t="shared" si="6"/>
        <v>45975.708333332535</v>
      </c>
      <c r="LW4" s="3119">
        <f t="shared" si="6"/>
        <v>45975.7499999992</v>
      </c>
      <c r="LX4" s="3119">
        <f t="shared" si="6"/>
        <v>45975.791666665864</v>
      </c>
      <c r="LY4" s="3119">
        <f t="shared" si="6"/>
        <v>45975.833333332528</v>
      </c>
      <c r="LZ4" s="3119">
        <f t="shared" si="6"/>
        <v>45975.874999999192</v>
      </c>
      <c r="MA4" s="3119">
        <f t="shared" si="6"/>
        <v>45975.916666665857</v>
      </c>
      <c r="MB4" s="3119">
        <f t="shared" si="6"/>
        <v>45975.958333332521</v>
      </c>
      <c r="MC4" s="3119">
        <f t="shared" si="6"/>
        <v>45975.999999999185</v>
      </c>
      <c r="MD4" s="3119">
        <f t="shared" si="6"/>
        <v>45976.041666665849</v>
      </c>
      <c r="ME4" s="3119">
        <f t="shared" si="6"/>
        <v>45976.083333332514</v>
      </c>
      <c r="MF4" s="3119">
        <f t="shared" si="6"/>
        <v>45976.124999999178</v>
      </c>
      <c r="MG4" s="3119">
        <f t="shared" si="6"/>
        <v>45976.166666665842</v>
      </c>
      <c r="MH4" s="3119">
        <f t="shared" si="6"/>
        <v>45976.208333332506</v>
      </c>
      <c r="MI4" s="3119">
        <f t="shared" si="6"/>
        <v>45976.249999999171</v>
      </c>
      <c r="MJ4" s="3119">
        <f t="shared" si="6"/>
        <v>45976.291666665835</v>
      </c>
      <c r="MK4" s="3119">
        <f t="shared" si="6"/>
        <v>45976.333333332499</v>
      </c>
      <c r="ML4" s="3119">
        <f t="shared" si="6"/>
        <v>45976.374999999163</v>
      </c>
      <c r="MM4" s="3119">
        <f t="shared" si="6"/>
        <v>45976.416666665828</v>
      </c>
      <c r="MN4" s="3119">
        <f t="shared" si="6"/>
        <v>45976.458333332492</v>
      </c>
      <c r="MO4" s="3119">
        <f t="shared" si="6"/>
        <v>45976.499999999156</v>
      </c>
      <c r="MP4" s="3119">
        <f t="shared" si="6"/>
        <v>45976.54166666582</v>
      </c>
      <c r="MQ4" s="3119">
        <f t="shared" si="6"/>
        <v>45976.583333332484</v>
      </c>
      <c r="MR4" s="3119">
        <f t="shared" si="6"/>
        <v>45976.624999999149</v>
      </c>
      <c r="MS4" s="3119">
        <f t="shared" si="6"/>
        <v>45976.666666665813</v>
      </c>
      <c r="MT4" s="3119">
        <f t="shared" si="6"/>
        <v>45976.708333332477</v>
      </c>
      <c r="MU4" s="3119">
        <f t="shared" si="6"/>
        <v>45976.749999999141</v>
      </c>
      <c r="MV4" s="3119">
        <f t="shared" si="6"/>
        <v>45976.791666665806</v>
      </c>
      <c r="MW4" s="3119">
        <f t="shared" si="6"/>
        <v>45976.83333333247</v>
      </c>
      <c r="MX4" s="3119">
        <f t="shared" si="6"/>
        <v>45976.874999999134</v>
      </c>
      <c r="MY4" s="3119">
        <f t="shared" si="6"/>
        <v>45976.916666665798</v>
      </c>
      <c r="MZ4" s="3119">
        <f t="shared" si="6"/>
        <v>45976.958333332463</v>
      </c>
      <c r="NA4" s="3119">
        <f t="shared" si="6"/>
        <v>45976.999999999127</v>
      </c>
      <c r="NB4" s="3119">
        <f t="shared" si="6"/>
        <v>45977.041666665791</v>
      </c>
      <c r="NC4" s="3119">
        <f t="shared" si="6"/>
        <v>45977.083333332455</v>
      </c>
      <c r="ND4" s="3119">
        <f t="shared" si="6"/>
        <v>45977.12499999912</v>
      </c>
      <c r="NE4" s="3119">
        <f t="shared" si="6"/>
        <v>45977.166666665784</v>
      </c>
      <c r="NF4" s="3119">
        <f t="shared" si="6"/>
        <v>45977.208333332448</v>
      </c>
      <c r="NG4" s="3119">
        <f t="shared" si="6"/>
        <v>45977.249999999112</v>
      </c>
      <c r="NH4" s="3119">
        <f t="shared" si="6"/>
        <v>45977.291666665777</v>
      </c>
      <c r="NI4" s="3119">
        <f t="shared" si="6"/>
        <v>45977.333333332441</v>
      </c>
      <c r="NJ4" s="3119">
        <f t="shared" si="6"/>
        <v>45977.374999999105</v>
      </c>
      <c r="NK4" s="3119">
        <f t="shared" si="6"/>
        <v>45977.416666665769</v>
      </c>
      <c r="NL4" s="3119">
        <f t="shared" si="6"/>
        <v>45977.458333332434</v>
      </c>
      <c r="NM4" s="3119">
        <f t="shared" si="6"/>
        <v>45977.499999999098</v>
      </c>
      <c r="NN4" s="3119">
        <f t="shared" si="6"/>
        <v>45977.541666665762</v>
      </c>
      <c r="NO4" s="3119">
        <f t="shared" si="6"/>
        <v>45977.583333332426</v>
      </c>
      <c r="NP4" s="3119">
        <f t="shared" si="6"/>
        <v>45977.624999999091</v>
      </c>
      <c r="NQ4" s="3119">
        <f t="shared" si="6"/>
        <v>45977.666666665755</v>
      </c>
      <c r="NR4" s="3119">
        <f t="shared" si="6"/>
        <v>45977.708333332419</v>
      </c>
      <c r="NS4" s="3119">
        <f t="shared" si="6"/>
        <v>45977.749999999083</v>
      </c>
      <c r="NT4" s="3119">
        <f t="shared" si="6"/>
        <v>45977.791666665747</v>
      </c>
      <c r="NU4" s="3119">
        <f t="shared" si="6"/>
        <v>45977.833333332412</v>
      </c>
      <c r="NV4" s="3119">
        <f t="shared" si="6"/>
        <v>45977.874999999076</v>
      </c>
      <c r="NW4" s="3119">
        <f t="shared" si="6"/>
        <v>45977.91666666574</v>
      </c>
      <c r="NX4" s="3119">
        <f t="shared" si="6"/>
        <v>45977.958333332404</v>
      </c>
      <c r="NY4" s="3119">
        <f t="shared" si="6"/>
        <v>45977.999999999069</v>
      </c>
      <c r="NZ4" s="3119">
        <f t="shared" si="6"/>
        <v>45978.041666665733</v>
      </c>
      <c r="OA4" s="3119">
        <f t="shared" si="7"/>
        <v>45978.083333332397</v>
      </c>
      <c r="OB4" s="3119">
        <f t="shared" si="7"/>
        <v>45978.124999999061</v>
      </c>
      <c r="OC4" s="3119">
        <f t="shared" si="7"/>
        <v>45978.166666665726</v>
      </c>
      <c r="OD4" s="3119">
        <f t="shared" si="7"/>
        <v>45978.20833333239</v>
      </c>
      <c r="OE4" s="3119">
        <f t="shared" si="7"/>
        <v>45978.249999999054</v>
      </c>
      <c r="OF4" s="3119">
        <f t="shared" si="7"/>
        <v>45978.291666665718</v>
      </c>
      <c r="OG4" s="3119">
        <f t="shared" si="7"/>
        <v>45978.333333332383</v>
      </c>
      <c r="OH4" s="3119">
        <f t="shared" si="7"/>
        <v>45978.374999999047</v>
      </c>
      <c r="OI4" s="3119">
        <f t="shared" si="7"/>
        <v>45978.416666665711</v>
      </c>
      <c r="OJ4" s="3119">
        <f t="shared" si="7"/>
        <v>45978.458333332375</v>
      </c>
      <c r="OK4" s="3119">
        <f t="shared" si="7"/>
        <v>45978.49999999904</v>
      </c>
      <c r="OL4" s="3119">
        <f t="shared" si="7"/>
        <v>45978.541666665704</v>
      </c>
      <c r="OM4" s="3119">
        <f t="shared" si="7"/>
        <v>45978.583333332368</v>
      </c>
      <c r="ON4" s="3119">
        <f t="shared" si="7"/>
        <v>45978.624999999032</v>
      </c>
      <c r="OO4" s="3119">
        <f t="shared" si="7"/>
        <v>45978.666666665697</v>
      </c>
      <c r="OP4" s="3119">
        <f t="shared" si="7"/>
        <v>45978.708333332361</v>
      </c>
      <c r="OQ4" s="3119">
        <f t="shared" si="7"/>
        <v>45978.749999999025</v>
      </c>
      <c r="OR4" s="3119">
        <f t="shared" si="7"/>
        <v>45978.791666665689</v>
      </c>
      <c r="OS4" s="3119">
        <f t="shared" si="7"/>
        <v>45978.833333332354</v>
      </c>
      <c r="OT4" s="3119">
        <f t="shared" si="7"/>
        <v>45978.874999999018</v>
      </c>
      <c r="OU4" s="3119">
        <f t="shared" si="7"/>
        <v>45978.916666665682</v>
      </c>
      <c r="OV4" s="3119">
        <f t="shared" si="7"/>
        <v>45978.958333332346</v>
      </c>
      <c r="OW4" s="3119">
        <f t="shared" si="7"/>
        <v>45978.99999999901</v>
      </c>
      <c r="OX4" s="3119">
        <f t="shared" si="7"/>
        <v>45979.041666665675</v>
      </c>
      <c r="OY4" s="3119">
        <f t="shared" si="7"/>
        <v>45979.083333332339</v>
      </c>
      <c r="OZ4" s="3119">
        <f t="shared" si="7"/>
        <v>45979.124999999003</v>
      </c>
      <c r="PA4" s="3119">
        <f t="shared" si="7"/>
        <v>45979.166666665667</v>
      </c>
      <c r="PB4" s="3119">
        <f t="shared" si="7"/>
        <v>45979.208333332332</v>
      </c>
      <c r="PC4" s="3119">
        <f t="shared" si="7"/>
        <v>45979.249999998996</v>
      </c>
      <c r="PD4" s="3119">
        <f t="shared" si="7"/>
        <v>45979.29166666566</v>
      </c>
      <c r="PE4" s="3119">
        <f t="shared" si="7"/>
        <v>45979.333333332324</v>
      </c>
      <c r="PF4" s="3119">
        <f t="shared" si="7"/>
        <v>45979.374999998989</v>
      </c>
      <c r="PG4" s="3119">
        <f t="shared" si="7"/>
        <v>45979.416666665653</v>
      </c>
      <c r="PH4" s="3119">
        <f t="shared" si="7"/>
        <v>45979.458333332317</v>
      </c>
      <c r="PI4" s="3119">
        <f t="shared" si="7"/>
        <v>45979.499999998981</v>
      </c>
      <c r="PJ4" s="3119">
        <f t="shared" si="7"/>
        <v>45979.541666665646</v>
      </c>
      <c r="PK4" s="3119">
        <f t="shared" si="7"/>
        <v>45979.58333333231</v>
      </c>
      <c r="PL4" s="3119">
        <f t="shared" si="7"/>
        <v>45979.624999998974</v>
      </c>
      <c r="PM4" s="3119">
        <f t="shared" si="7"/>
        <v>45979.666666665638</v>
      </c>
      <c r="PN4" s="3119">
        <f t="shared" si="7"/>
        <v>45979.708333332303</v>
      </c>
      <c r="PO4" s="3119">
        <f t="shared" si="7"/>
        <v>45979.749999998967</v>
      </c>
      <c r="PP4" s="3119">
        <f t="shared" si="7"/>
        <v>45979.791666665631</v>
      </c>
      <c r="PQ4" s="3119">
        <f t="shared" si="7"/>
        <v>45979.833333332295</v>
      </c>
      <c r="PR4" s="3119">
        <f t="shared" si="7"/>
        <v>45979.87499999896</v>
      </c>
      <c r="PS4" s="3119">
        <f t="shared" si="7"/>
        <v>45979.916666665624</v>
      </c>
      <c r="PT4" s="3119">
        <f t="shared" si="7"/>
        <v>45979.958333332288</v>
      </c>
      <c r="PU4" s="3119">
        <f t="shared" si="7"/>
        <v>45979.999999998952</v>
      </c>
      <c r="PV4" s="3119">
        <f t="shared" si="7"/>
        <v>45980.041666665617</v>
      </c>
      <c r="PW4" s="3119">
        <f t="shared" si="7"/>
        <v>45980.083333332281</v>
      </c>
      <c r="PX4" s="3119">
        <f t="shared" si="7"/>
        <v>45980.124999998945</v>
      </c>
      <c r="PY4" s="3119">
        <f t="shared" si="7"/>
        <v>45980.166666665609</v>
      </c>
      <c r="PZ4" s="3119">
        <f t="shared" si="7"/>
        <v>45980.208333332273</v>
      </c>
      <c r="QA4" s="3119">
        <f t="shared" si="7"/>
        <v>45980.249999998938</v>
      </c>
      <c r="QB4" s="3119">
        <f t="shared" si="7"/>
        <v>45980.291666665602</v>
      </c>
      <c r="QC4" s="3119">
        <f t="shared" si="7"/>
        <v>45980.333333332266</v>
      </c>
      <c r="QD4" s="3119">
        <f t="shared" si="7"/>
        <v>45980.37499999893</v>
      </c>
      <c r="QE4" s="3119">
        <f t="shared" si="7"/>
        <v>45980.416666665595</v>
      </c>
      <c r="QF4" s="3119">
        <f t="shared" si="7"/>
        <v>45980.458333332259</v>
      </c>
      <c r="QG4" s="3119">
        <f t="shared" si="7"/>
        <v>45980.499999998923</v>
      </c>
      <c r="QH4" s="3119">
        <f t="shared" si="7"/>
        <v>45980.541666665587</v>
      </c>
      <c r="QI4" s="3119">
        <f t="shared" si="7"/>
        <v>45980.583333332252</v>
      </c>
      <c r="QJ4" s="3119">
        <f t="shared" si="7"/>
        <v>45980.624999998916</v>
      </c>
      <c r="QK4" s="3119">
        <f t="shared" si="7"/>
        <v>45980.66666666558</v>
      </c>
      <c r="QL4" s="3119">
        <f t="shared" si="7"/>
        <v>45980.708333332244</v>
      </c>
      <c r="QM4" s="3119">
        <f t="shared" si="8"/>
        <v>45980.749999998909</v>
      </c>
      <c r="QN4" s="3119">
        <f t="shared" si="8"/>
        <v>45980.791666665573</v>
      </c>
      <c r="QO4" s="3119">
        <f t="shared" si="8"/>
        <v>45980.833333332237</v>
      </c>
      <c r="QP4" s="3119">
        <f t="shared" si="8"/>
        <v>45980.874999998901</v>
      </c>
      <c r="QQ4" s="3119">
        <f t="shared" si="8"/>
        <v>45980.916666665566</v>
      </c>
      <c r="QR4" s="3119">
        <f t="shared" si="8"/>
        <v>45980.95833333223</v>
      </c>
      <c r="QS4" s="3119">
        <f t="shared" si="8"/>
        <v>45980.999999998894</v>
      </c>
      <c r="QT4" s="3119">
        <f t="shared" si="8"/>
        <v>45981.041666665558</v>
      </c>
      <c r="QU4" s="3119">
        <f t="shared" si="8"/>
        <v>45981.083333332223</v>
      </c>
      <c r="QV4" s="3119">
        <f t="shared" si="8"/>
        <v>45981.124999998887</v>
      </c>
      <c r="QW4" s="3119">
        <f t="shared" si="8"/>
        <v>45981.166666665551</v>
      </c>
      <c r="QX4" s="3119">
        <f t="shared" si="8"/>
        <v>45981.208333332215</v>
      </c>
      <c r="QY4" s="3119">
        <f t="shared" si="8"/>
        <v>45981.24999999888</v>
      </c>
      <c r="QZ4" s="3119">
        <f t="shared" si="8"/>
        <v>45981.291666665544</v>
      </c>
      <c r="RA4" s="3119">
        <f t="shared" si="8"/>
        <v>45981.333333332208</v>
      </c>
      <c r="RB4" s="3119">
        <f t="shared" si="8"/>
        <v>45981.374999998872</v>
      </c>
      <c r="RC4" s="3119">
        <f t="shared" si="8"/>
        <v>45981.416666665536</v>
      </c>
      <c r="RD4" s="3119">
        <f t="shared" si="8"/>
        <v>45981.458333332201</v>
      </c>
      <c r="RE4" s="3119">
        <f t="shared" si="8"/>
        <v>45981.499999998865</v>
      </c>
      <c r="RF4" s="3119">
        <f t="shared" si="8"/>
        <v>45981.541666665529</v>
      </c>
      <c r="RG4" s="3119">
        <f t="shared" si="8"/>
        <v>45981.583333332193</v>
      </c>
      <c r="RH4" s="3119">
        <f t="shared" si="8"/>
        <v>45981.624999998858</v>
      </c>
      <c r="RI4" s="3119">
        <f t="shared" si="8"/>
        <v>45981.666666665522</v>
      </c>
      <c r="RJ4" s="3119">
        <f t="shared" si="8"/>
        <v>45981.708333332186</v>
      </c>
      <c r="RK4" s="3119">
        <f t="shared" si="8"/>
        <v>45981.74999999885</v>
      </c>
      <c r="RL4" s="3119">
        <f t="shared" si="8"/>
        <v>45981.791666665515</v>
      </c>
      <c r="RM4" s="3119">
        <f t="shared" si="8"/>
        <v>45981.833333332179</v>
      </c>
      <c r="RN4" s="3119">
        <f t="shared" si="8"/>
        <v>45981.874999998843</v>
      </c>
      <c r="RO4" s="3119">
        <f t="shared" si="8"/>
        <v>45981.916666665507</v>
      </c>
      <c r="RP4" s="3119">
        <f t="shared" si="8"/>
        <v>45981.958333332172</v>
      </c>
      <c r="RQ4" s="3119">
        <f t="shared" si="8"/>
        <v>45981.999999998836</v>
      </c>
      <c r="RR4" s="3119">
        <f t="shared" si="8"/>
        <v>45982.0416666655</v>
      </c>
      <c r="RS4" s="3119">
        <f t="shared" si="8"/>
        <v>45982.083333332164</v>
      </c>
      <c r="RT4" s="3119">
        <f t="shared" si="8"/>
        <v>45982.124999998829</v>
      </c>
      <c r="RU4" s="3119">
        <f t="shared" si="8"/>
        <v>45982.166666665493</v>
      </c>
      <c r="RV4" s="3119">
        <f t="shared" si="8"/>
        <v>45982.208333332157</v>
      </c>
      <c r="RW4" s="3119">
        <f t="shared" si="8"/>
        <v>45982.249999998821</v>
      </c>
      <c r="RX4" s="3119">
        <f t="shared" si="8"/>
        <v>45982.291666665486</v>
      </c>
      <c r="RY4" s="3119">
        <f t="shared" si="8"/>
        <v>45982.33333333215</v>
      </c>
      <c r="RZ4" s="3119">
        <f t="shared" si="8"/>
        <v>45982.374999998814</v>
      </c>
      <c r="SA4" s="3119">
        <f t="shared" si="8"/>
        <v>45982.416666665478</v>
      </c>
      <c r="SB4" s="3119">
        <f t="shared" si="8"/>
        <v>45982.458333332143</v>
      </c>
      <c r="SC4" s="3119">
        <f t="shared" si="8"/>
        <v>45982.499999998807</v>
      </c>
      <c r="SD4" s="3119">
        <f t="shared" si="8"/>
        <v>45982.541666665471</v>
      </c>
      <c r="SE4" s="3119">
        <f t="shared" si="8"/>
        <v>45982.583333332135</v>
      </c>
      <c r="SF4" s="3119">
        <f t="shared" si="8"/>
        <v>45982.624999998799</v>
      </c>
      <c r="SG4" s="3119">
        <f t="shared" si="8"/>
        <v>45982.666666665464</v>
      </c>
      <c r="SH4" s="3119">
        <f t="shared" si="8"/>
        <v>45982.708333332128</v>
      </c>
      <c r="SI4" s="3119">
        <f t="shared" si="8"/>
        <v>45982.749999998792</v>
      </c>
      <c r="SJ4" s="3119">
        <f t="shared" si="8"/>
        <v>45982.791666665456</v>
      </c>
      <c r="SK4" s="3119">
        <f t="shared" si="8"/>
        <v>45982.833333332121</v>
      </c>
      <c r="SL4" s="3119">
        <f t="shared" si="8"/>
        <v>45982.874999998785</v>
      </c>
      <c r="SM4" s="3119">
        <f t="shared" si="8"/>
        <v>45982.916666665449</v>
      </c>
      <c r="SN4" s="3119">
        <f t="shared" si="8"/>
        <v>45982.958333332113</v>
      </c>
      <c r="SO4" s="3119">
        <f t="shared" si="8"/>
        <v>45982.999999998778</v>
      </c>
      <c r="SP4" s="3119">
        <f t="shared" si="8"/>
        <v>45983.041666665442</v>
      </c>
      <c r="SQ4" s="3119">
        <f t="shared" si="8"/>
        <v>45983.083333332106</v>
      </c>
      <c r="SR4" s="3119">
        <f t="shared" si="8"/>
        <v>45983.12499999877</v>
      </c>
      <c r="SS4" s="3119">
        <f t="shared" si="8"/>
        <v>45983.166666665435</v>
      </c>
      <c r="ST4" s="3119">
        <f t="shared" si="8"/>
        <v>45983.208333332099</v>
      </c>
      <c r="SU4" s="3119">
        <f t="shared" si="8"/>
        <v>45983.249999998763</v>
      </c>
      <c r="SV4" s="3119">
        <f t="shared" si="8"/>
        <v>45983.291666665427</v>
      </c>
      <c r="SW4" s="3119">
        <f t="shared" si="8"/>
        <v>45983.333333332092</v>
      </c>
      <c r="SX4" s="3119">
        <f t="shared" si="8"/>
        <v>45983.374999998756</v>
      </c>
      <c r="SY4" s="3119">
        <f t="shared" si="9"/>
        <v>45983.41666666542</v>
      </c>
      <c r="SZ4" s="3119">
        <f t="shared" si="9"/>
        <v>45983.458333332084</v>
      </c>
      <c r="TA4" s="3119">
        <f t="shared" si="9"/>
        <v>45983.499999998749</v>
      </c>
      <c r="TB4" s="3119">
        <f t="shared" si="9"/>
        <v>45983.541666665413</v>
      </c>
      <c r="TC4" s="3119">
        <f t="shared" si="9"/>
        <v>45983.583333332077</v>
      </c>
      <c r="TD4" s="3119">
        <f t="shared" si="9"/>
        <v>45983.624999998741</v>
      </c>
      <c r="TE4" s="3119">
        <f t="shared" si="9"/>
        <v>45983.666666665406</v>
      </c>
      <c r="TF4" s="3119">
        <f t="shared" si="9"/>
        <v>45983.70833333207</v>
      </c>
      <c r="TG4" s="3119">
        <f t="shared" si="9"/>
        <v>45983.749999998734</v>
      </c>
      <c r="TH4" s="3119">
        <f t="shared" si="9"/>
        <v>45983.791666665398</v>
      </c>
      <c r="TI4" s="3119">
        <f t="shared" si="9"/>
        <v>45983.833333332062</v>
      </c>
      <c r="TJ4" s="3119">
        <f t="shared" si="9"/>
        <v>45983.874999998727</v>
      </c>
      <c r="TK4" s="3119">
        <f t="shared" si="9"/>
        <v>45983.916666665391</v>
      </c>
      <c r="TL4" s="3119">
        <f t="shared" si="9"/>
        <v>45983.958333332055</v>
      </c>
      <c r="TM4" s="3119">
        <f t="shared" si="9"/>
        <v>45983.999999998719</v>
      </c>
      <c r="TN4" s="3119">
        <f t="shared" si="9"/>
        <v>45984.041666665384</v>
      </c>
      <c r="TO4" s="3119">
        <f t="shared" si="9"/>
        <v>45984.083333332048</v>
      </c>
      <c r="TP4" s="3119">
        <f t="shared" si="9"/>
        <v>45984.124999998712</v>
      </c>
      <c r="TQ4" s="3119">
        <f t="shared" si="9"/>
        <v>45984.166666665376</v>
      </c>
      <c r="TR4" s="3119">
        <f t="shared" si="9"/>
        <v>45984.208333332041</v>
      </c>
      <c r="TS4" s="3119">
        <f t="shared" si="9"/>
        <v>45984.249999998705</v>
      </c>
      <c r="TT4" s="3119">
        <f t="shared" si="9"/>
        <v>45984.291666665369</v>
      </c>
      <c r="TU4" s="3119">
        <f t="shared" si="9"/>
        <v>45984.333333332033</v>
      </c>
      <c r="TV4" s="3119">
        <f t="shared" si="9"/>
        <v>45984.374999998698</v>
      </c>
      <c r="TW4" s="3119">
        <f t="shared" si="9"/>
        <v>45984.416666665362</v>
      </c>
      <c r="TX4" s="3119">
        <f t="shared" si="9"/>
        <v>45984.458333332026</v>
      </c>
      <c r="TY4" s="3119">
        <f t="shared" si="9"/>
        <v>45984.49999999869</v>
      </c>
      <c r="TZ4" s="3119">
        <f t="shared" si="9"/>
        <v>45984.541666665355</v>
      </c>
      <c r="UA4" s="3119">
        <f t="shared" si="9"/>
        <v>45984.583333332019</v>
      </c>
      <c r="UB4" s="3119">
        <f t="shared" si="9"/>
        <v>45984.624999998683</v>
      </c>
      <c r="UC4" s="3119">
        <f t="shared" si="9"/>
        <v>45984.666666665347</v>
      </c>
      <c r="UD4" s="3119">
        <f t="shared" si="9"/>
        <v>45984.708333332012</v>
      </c>
      <c r="UE4" s="3119">
        <f t="shared" si="9"/>
        <v>45984.749999998676</v>
      </c>
      <c r="UF4" s="3119">
        <f t="shared" si="9"/>
        <v>45984.79166666534</v>
      </c>
      <c r="UG4" s="3119">
        <f t="shared" si="9"/>
        <v>45984.833333332004</v>
      </c>
      <c r="UH4" s="3119">
        <f t="shared" si="9"/>
        <v>45984.874999998668</v>
      </c>
      <c r="UI4" s="3119">
        <f t="shared" si="9"/>
        <v>45984.916666665333</v>
      </c>
      <c r="UJ4" s="3119">
        <f t="shared" si="9"/>
        <v>45984.958333331997</v>
      </c>
      <c r="UK4" s="3119">
        <f t="shared" si="9"/>
        <v>45984.999999998661</v>
      </c>
      <c r="UL4" s="3119">
        <f t="shared" si="9"/>
        <v>45985.041666665325</v>
      </c>
      <c r="UM4" s="3119">
        <f t="shared" si="9"/>
        <v>45985.08333333199</v>
      </c>
      <c r="UN4" s="3119">
        <f t="shared" si="9"/>
        <v>45985.124999998654</v>
      </c>
      <c r="UO4" s="3119">
        <f t="shared" si="9"/>
        <v>45985.166666665318</v>
      </c>
      <c r="UP4" s="3119">
        <f t="shared" si="9"/>
        <v>45985.208333331982</v>
      </c>
      <c r="UQ4" s="3119">
        <f t="shared" si="9"/>
        <v>45985.249999998647</v>
      </c>
      <c r="UR4" s="3119">
        <f t="shared" si="9"/>
        <v>45985.291666665311</v>
      </c>
      <c r="US4" s="3119">
        <f t="shared" si="9"/>
        <v>45985.333333331975</v>
      </c>
      <c r="UT4" s="3119">
        <f t="shared" si="9"/>
        <v>45985.374999998639</v>
      </c>
      <c r="UU4" s="3119">
        <f t="shared" si="9"/>
        <v>45985.416666665304</v>
      </c>
      <c r="UV4" s="3119">
        <f t="shared" si="9"/>
        <v>45985.458333331968</v>
      </c>
      <c r="UW4" s="3119">
        <f t="shared" si="9"/>
        <v>45985.499999998632</v>
      </c>
      <c r="UX4" s="3119">
        <f t="shared" si="9"/>
        <v>45985.541666665296</v>
      </c>
      <c r="UY4" s="3119">
        <f t="shared" si="9"/>
        <v>45985.583333331961</v>
      </c>
      <c r="UZ4" s="3119">
        <f t="shared" si="9"/>
        <v>45985.624999998625</v>
      </c>
      <c r="VA4" s="3119">
        <f t="shared" si="9"/>
        <v>45985.666666665289</v>
      </c>
      <c r="VB4" s="3119">
        <f t="shared" si="9"/>
        <v>45985.708333331953</v>
      </c>
      <c r="VC4" s="3119">
        <f t="shared" si="9"/>
        <v>45985.749999998618</v>
      </c>
      <c r="VD4" s="3119">
        <f t="shared" si="9"/>
        <v>45985.791666665282</v>
      </c>
      <c r="VE4" s="3119">
        <f t="shared" si="9"/>
        <v>45985.833333331946</v>
      </c>
      <c r="VF4" s="3119">
        <f t="shared" si="9"/>
        <v>45985.87499999861</v>
      </c>
      <c r="VG4" s="3119">
        <f t="shared" si="9"/>
        <v>45985.916666665275</v>
      </c>
      <c r="VH4" s="3119">
        <f t="shared" si="9"/>
        <v>45985.958333331939</v>
      </c>
      <c r="VI4" s="3119">
        <f t="shared" si="9"/>
        <v>45985.999999998603</v>
      </c>
      <c r="VJ4" s="3119">
        <f t="shared" si="9"/>
        <v>45986.041666665267</v>
      </c>
      <c r="VK4" s="3119">
        <f t="shared" si="10"/>
        <v>45986.083333331931</v>
      </c>
      <c r="VL4" s="3119">
        <f t="shared" si="10"/>
        <v>45986.124999998596</v>
      </c>
      <c r="VM4" s="3119">
        <f t="shared" si="10"/>
        <v>45986.16666666526</v>
      </c>
      <c r="VN4" s="3119">
        <f t="shared" si="10"/>
        <v>45986.208333331924</v>
      </c>
      <c r="VO4" s="3119">
        <f t="shared" si="10"/>
        <v>45986.249999998588</v>
      </c>
      <c r="VP4" s="3119">
        <f t="shared" si="10"/>
        <v>45986.291666665253</v>
      </c>
      <c r="VQ4" s="3119">
        <f t="shared" si="10"/>
        <v>45986.333333331917</v>
      </c>
      <c r="VR4" s="3119">
        <f t="shared" si="10"/>
        <v>45986.374999998581</v>
      </c>
      <c r="VS4" s="3119">
        <f t="shared" si="10"/>
        <v>45986.416666665245</v>
      </c>
      <c r="VT4" s="3119">
        <f t="shared" si="10"/>
        <v>45986.45833333191</v>
      </c>
      <c r="VU4" s="3119">
        <f t="shared" si="10"/>
        <v>45986.499999998574</v>
      </c>
      <c r="VV4" s="3119">
        <f t="shared" si="10"/>
        <v>45986.541666665238</v>
      </c>
      <c r="VW4" s="3119">
        <f t="shared" si="10"/>
        <v>45986.583333331902</v>
      </c>
      <c r="VX4" s="3119">
        <f t="shared" si="10"/>
        <v>45986.624999998567</v>
      </c>
      <c r="VY4" s="3119">
        <f t="shared" si="10"/>
        <v>45986.666666665231</v>
      </c>
      <c r="VZ4" s="3119">
        <f t="shared" si="10"/>
        <v>45986.708333331895</v>
      </c>
      <c r="WA4" s="3119">
        <f t="shared" si="10"/>
        <v>45986.749999998559</v>
      </c>
      <c r="WB4" s="3119">
        <f t="shared" si="10"/>
        <v>45986.791666665224</v>
      </c>
      <c r="WC4" s="3119">
        <f t="shared" si="10"/>
        <v>45986.833333331888</v>
      </c>
      <c r="WD4" s="3119">
        <f t="shared" si="10"/>
        <v>45986.874999998552</v>
      </c>
      <c r="WE4" s="3119">
        <f t="shared" si="10"/>
        <v>45986.916666665216</v>
      </c>
      <c r="WF4" s="3119">
        <f t="shared" si="10"/>
        <v>45986.958333331881</v>
      </c>
      <c r="WG4" s="3119">
        <f t="shared" si="10"/>
        <v>45986.999999998545</v>
      </c>
      <c r="WH4" s="3119">
        <f t="shared" si="10"/>
        <v>45987.041666665209</v>
      </c>
      <c r="WI4" s="3119">
        <f t="shared" si="10"/>
        <v>45987.083333331873</v>
      </c>
      <c r="WJ4" s="3119">
        <f t="shared" si="10"/>
        <v>45987.124999998538</v>
      </c>
      <c r="WK4" s="3119">
        <f t="shared" si="10"/>
        <v>45987.166666665202</v>
      </c>
      <c r="WL4" s="3119">
        <f t="shared" si="10"/>
        <v>45987.208333331866</v>
      </c>
      <c r="WM4" s="3119">
        <f t="shared" si="10"/>
        <v>45987.24999999853</v>
      </c>
      <c r="WN4" s="3119">
        <f t="shared" si="10"/>
        <v>45987.291666665194</v>
      </c>
      <c r="WO4" s="3119">
        <f t="shared" si="10"/>
        <v>45987.333333331859</v>
      </c>
      <c r="WP4" s="3119">
        <f t="shared" si="10"/>
        <v>45987.374999998523</v>
      </c>
      <c r="WQ4" s="3119">
        <f t="shared" si="10"/>
        <v>45987.416666665187</v>
      </c>
      <c r="WR4" s="3119">
        <f t="shared" si="10"/>
        <v>45987.458333331851</v>
      </c>
      <c r="WS4" s="3119">
        <f t="shared" si="10"/>
        <v>45987.499999998516</v>
      </c>
      <c r="WT4" s="3119">
        <f t="shared" si="10"/>
        <v>45987.54166666518</v>
      </c>
      <c r="WU4" s="3119">
        <f t="shared" si="10"/>
        <v>45987.583333331844</v>
      </c>
      <c r="WV4" s="3119">
        <f t="shared" si="10"/>
        <v>45987.624999998508</v>
      </c>
      <c r="WW4" s="3119">
        <f t="shared" si="10"/>
        <v>45987.666666665173</v>
      </c>
      <c r="WX4" s="3119">
        <f t="shared" si="10"/>
        <v>45987.708333331837</v>
      </c>
      <c r="WY4" s="3119">
        <f t="shared" si="10"/>
        <v>45987.749999998501</v>
      </c>
      <c r="WZ4" s="3119">
        <f t="shared" si="10"/>
        <v>45987.791666665165</v>
      </c>
      <c r="XA4" s="3119">
        <f t="shared" si="10"/>
        <v>45987.83333333183</v>
      </c>
      <c r="XB4" s="3119">
        <f t="shared" si="10"/>
        <v>45987.874999998494</v>
      </c>
      <c r="XC4" s="3119">
        <f t="shared" si="10"/>
        <v>45987.916666665158</v>
      </c>
      <c r="XD4" s="3119">
        <f t="shared" si="10"/>
        <v>45987.958333331822</v>
      </c>
      <c r="XE4" s="3119">
        <f t="shared" si="10"/>
        <v>45987.999999998487</v>
      </c>
      <c r="XF4" s="3119">
        <f t="shared" si="10"/>
        <v>45988.041666665151</v>
      </c>
      <c r="XG4" s="3119">
        <f t="shared" si="10"/>
        <v>45988.083333331815</v>
      </c>
      <c r="XH4" s="3119">
        <f t="shared" si="10"/>
        <v>45988.124999998479</v>
      </c>
      <c r="XI4" s="3119">
        <f t="shared" si="10"/>
        <v>45988.166666665144</v>
      </c>
      <c r="XJ4" s="3119">
        <f t="shared" si="10"/>
        <v>45988.208333331808</v>
      </c>
      <c r="XK4" s="3119">
        <f t="shared" si="10"/>
        <v>45988.249999998472</v>
      </c>
      <c r="XL4" s="3119">
        <f t="shared" si="10"/>
        <v>45988.291666665136</v>
      </c>
      <c r="XM4" s="3119">
        <f t="shared" si="10"/>
        <v>45988.333333331801</v>
      </c>
      <c r="XN4" s="3119">
        <f t="shared" si="10"/>
        <v>45988.374999998465</v>
      </c>
      <c r="XO4" s="3119">
        <f t="shared" si="10"/>
        <v>45988.416666665129</v>
      </c>
      <c r="XP4" s="3119">
        <f t="shared" si="10"/>
        <v>45988.458333331793</v>
      </c>
      <c r="XQ4" s="3119">
        <f t="shared" si="10"/>
        <v>45988.499999998457</v>
      </c>
      <c r="XR4" s="3119">
        <f t="shared" si="10"/>
        <v>45988.541666665122</v>
      </c>
      <c r="XS4" s="3119">
        <f t="shared" si="10"/>
        <v>45988.583333331786</v>
      </c>
      <c r="XT4" s="3119">
        <f t="shared" si="10"/>
        <v>45988.62499999845</v>
      </c>
      <c r="XU4" s="3119">
        <f t="shared" si="10"/>
        <v>45988.666666665114</v>
      </c>
      <c r="XV4" s="3119">
        <f t="shared" si="10"/>
        <v>45988.708333331779</v>
      </c>
      <c r="XW4" s="3119">
        <f t="shared" si="11"/>
        <v>45988.749999998443</v>
      </c>
      <c r="XX4" s="3119">
        <f t="shared" si="11"/>
        <v>45988.791666665107</v>
      </c>
      <c r="XY4" s="3119">
        <f t="shared" si="11"/>
        <v>45988.833333331771</v>
      </c>
      <c r="XZ4" s="3119">
        <f t="shared" si="11"/>
        <v>45988.874999998436</v>
      </c>
      <c r="YA4" s="3119">
        <f t="shared" si="11"/>
        <v>45988.9166666651</v>
      </c>
      <c r="YB4" s="3119">
        <f t="shared" si="11"/>
        <v>45988.958333331764</v>
      </c>
      <c r="YC4" s="3119">
        <f t="shared" si="11"/>
        <v>45988.999999998428</v>
      </c>
      <c r="YD4" s="3119">
        <f t="shared" si="11"/>
        <v>45989.041666665093</v>
      </c>
      <c r="YE4" s="3119">
        <f t="shared" si="11"/>
        <v>45989.083333331757</v>
      </c>
      <c r="YF4" s="3119">
        <f t="shared" si="11"/>
        <v>45989.124999998421</v>
      </c>
      <c r="YG4" s="3119">
        <f t="shared" si="11"/>
        <v>45989.166666665085</v>
      </c>
      <c r="YH4" s="3119">
        <f t="shared" si="11"/>
        <v>45989.20833333175</v>
      </c>
      <c r="YI4" s="3119">
        <f t="shared" si="11"/>
        <v>45989.249999998414</v>
      </c>
      <c r="YJ4" s="3119">
        <f t="shared" si="11"/>
        <v>45989.291666665078</v>
      </c>
      <c r="YK4" s="3119">
        <f t="shared" si="11"/>
        <v>45989.333333331742</v>
      </c>
      <c r="YL4" s="3119">
        <f t="shared" si="11"/>
        <v>45989.374999998407</v>
      </c>
      <c r="YM4" s="3119">
        <f t="shared" si="11"/>
        <v>45989.416666665071</v>
      </c>
      <c r="YN4" s="3119">
        <f t="shared" si="11"/>
        <v>45989.458333331735</v>
      </c>
      <c r="YO4" s="3119">
        <f t="shared" si="11"/>
        <v>45989.499999998399</v>
      </c>
      <c r="YP4" s="3119">
        <f t="shared" si="11"/>
        <v>45989.541666665064</v>
      </c>
      <c r="YQ4" s="3119">
        <f t="shared" si="11"/>
        <v>45989.583333331728</v>
      </c>
      <c r="YR4" s="3119">
        <f t="shared" si="11"/>
        <v>45989.624999998392</v>
      </c>
      <c r="YS4" s="3119">
        <f t="shared" si="11"/>
        <v>45989.666666665056</v>
      </c>
      <c r="YT4" s="3119">
        <f t="shared" si="11"/>
        <v>45989.70833333172</v>
      </c>
      <c r="YU4" s="3119">
        <f t="shared" si="11"/>
        <v>45989.749999998385</v>
      </c>
      <c r="YV4" s="3119">
        <f t="shared" si="11"/>
        <v>45989.791666665049</v>
      </c>
      <c r="YW4" s="3119">
        <f t="shared" si="11"/>
        <v>45989.833333331713</v>
      </c>
      <c r="YX4" s="3119">
        <f t="shared" si="11"/>
        <v>45989.874999998377</v>
      </c>
      <c r="YY4" s="3119">
        <f t="shared" si="11"/>
        <v>45989.916666665042</v>
      </c>
      <c r="YZ4" s="3119">
        <f t="shared" si="11"/>
        <v>45989.958333331706</v>
      </c>
      <c r="ZA4" s="3119">
        <f t="shared" si="11"/>
        <v>45989.99999999837</v>
      </c>
      <c r="ZB4" s="3119">
        <f t="shared" si="11"/>
        <v>45990.041666665034</v>
      </c>
      <c r="ZC4" s="3119">
        <f t="shared" si="11"/>
        <v>45990.083333331699</v>
      </c>
      <c r="ZD4" s="3119">
        <f t="shared" si="11"/>
        <v>45990.124999998363</v>
      </c>
      <c r="ZE4" s="3119">
        <f t="shared" si="11"/>
        <v>45990.166666665027</v>
      </c>
      <c r="ZF4" s="3119">
        <f t="shared" si="11"/>
        <v>45990.208333331691</v>
      </c>
      <c r="ZG4" s="3119">
        <f t="shared" si="11"/>
        <v>45990.249999998356</v>
      </c>
      <c r="ZH4" s="3119">
        <f t="shared" si="11"/>
        <v>45990.29166666502</v>
      </c>
      <c r="ZI4" s="3119">
        <f t="shared" si="11"/>
        <v>45990.333333331684</v>
      </c>
      <c r="ZJ4" s="3119">
        <f t="shared" si="11"/>
        <v>45990.374999998348</v>
      </c>
      <c r="ZK4" s="3119">
        <f t="shared" si="11"/>
        <v>45990.416666665013</v>
      </c>
      <c r="ZL4" s="3119">
        <f t="shared" si="11"/>
        <v>45990.458333331677</v>
      </c>
      <c r="ZM4" s="3119">
        <f t="shared" si="11"/>
        <v>45990.499999998341</v>
      </c>
      <c r="ZN4" s="3119">
        <f t="shared" si="11"/>
        <v>45990.541666665005</v>
      </c>
      <c r="ZO4" s="3119">
        <f t="shared" si="11"/>
        <v>45990.58333333167</v>
      </c>
      <c r="ZP4" s="3119">
        <f t="shared" si="11"/>
        <v>45990.624999998334</v>
      </c>
      <c r="ZQ4" s="3119">
        <f t="shared" si="11"/>
        <v>45990.666666664998</v>
      </c>
      <c r="ZR4" s="3119">
        <f t="shared" si="11"/>
        <v>45990.708333331662</v>
      </c>
      <c r="ZS4" s="3119">
        <f t="shared" si="11"/>
        <v>45990.749999998327</v>
      </c>
      <c r="ZT4" s="3119">
        <f t="shared" si="11"/>
        <v>45990.791666664991</v>
      </c>
      <c r="ZU4" s="3119">
        <f t="shared" si="11"/>
        <v>45990.833333331655</v>
      </c>
      <c r="ZV4" s="3119">
        <f t="shared" si="11"/>
        <v>45990.874999998319</v>
      </c>
      <c r="ZW4" s="3119">
        <f t="shared" si="11"/>
        <v>45990.916666664983</v>
      </c>
      <c r="ZX4" s="3119">
        <f t="shared" si="11"/>
        <v>45990.958333331648</v>
      </c>
      <c r="ZY4" s="3119">
        <f t="shared" si="11"/>
        <v>45990.999999998312</v>
      </c>
      <c r="ZZ4" s="3119">
        <f t="shared" si="11"/>
        <v>45991.041666664976</v>
      </c>
      <c r="AAA4" s="3119">
        <f t="shared" si="11"/>
        <v>45991.08333333164</v>
      </c>
      <c r="AAB4" s="3119">
        <f t="shared" si="11"/>
        <v>45991.124999998305</v>
      </c>
      <c r="AAC4" s="3119">
        <f t="shared" si="11"/>
        <v>45991.166666664969</v>
      </c>
      <c r="AAD4" s="3119">
        <f t="shared" si="11"/>
        <v>45991.208333331633</v>
      </c>
      <c r="AAE4" s="3119">
        <f t="shared" si="11"/>
        <v>45991.249999998297</v>
      </c>
      <c r="AAF4" s="3119">
        <f t="shared" si="11"/>
        <v>45991.291666664962</v>
      </c>
      <c r="AAG4" s="3119">
        <f t="shared" si="11"/>
        <v>45991.333333331626</v>
      </c>
      <c r="AAH4" s="3119">
        <f t="shared" si="11"/>
        <v>45991.37499999829</v>
      </c>
      <c r="AAI4" s="3119">
        <f t="shared" si="12"/>
        <v>45991.416666664954</v>
      </c>
      <c r="AAJ4" s="3119">
        <f t="shared" si="12"/>
        <v>45991.458333331619</v>
      </c>
      <c r="AAK4" s="3119">
        <f t="shared" si="12"/>
        <v>45991.499999998283</v>
      </c>
      <c r="AAL4" s="3119">
        <f t="shared" si="12"/>
        <v>45991.541666664947</v>
      </c>
      <c r="AAM4" s="3119">
        <f t="shared" si="12"/>
        <v>45991.583333331611</v>
      </c>
      <c r="AAN4" s="3119">
        <f t="shared" si="12"/>
        <v>45991.624999998276</v>
      </c>
      <c r="AAO4" s="3119">
        <f t="shared" si="12"/>
        <v>45991.66666666494</v>
      </c>
      <c r="AAP4" s="3119">
        <f t="shared" si="12"/>
        <v>45991.708333331604</v>
      </c>
      <c r="AAQ4" s="3119">
        <f t="shared" si="12"/>
        <v>45991.749999998268</v>
      </c>
      <c r="AAR4" s="3119">
        <f t="shared" si="12"/>
        <v>45991.791666664933</v>
      </c>
      <c r="AAS4" s="3119">
        <f t="shared" si="12"/>
        <v>45991.833333331597</v>
      </c>
      <c r="AAT4" s="3119">
        <f t="shared" si="12"/>
        <v>45991.874999998261</v>
      </c>
      <c r="AAU4" s="3119">
        <f t="shared" si="12"/>
        <v>45991.916666664925</v>
      </c>
      <c r="AAV4" s="3119">
        <f t="shared" si="12"/>
        <v>45991.95833333159</v>
      </c>
    </row>
    <row r="5" spans="1:724" s="282" customFormat="1" ht="13">
      <c r="A5" s="3115" t="s">
        <v>1537</v>
      </c>
      <c r="B5" s="3119"/>
      <c r="C5" s="3119"/>
      <c r="D5" s="3116">
        <f t="shared" si="0"/>
        <v>0</v>
      </c>
      <c r="E5" s="3119">
        <v>45962</v>
      </c>
      <c r="F5" s="3119">
        <f t="shared" si="13"/>
        <v>45962.041666666664</v>
      </c>
      <c r="G5" s="3119">
        <f t="shared" si="1"/>
        <v>45962.083333333328</v>
      </c>
      <c r="H5" s="3119">
        <f t="shared" si="1"/>
        <v>45962.124999999993</v>
      </c>
      <c r="I5" s="3119">
        <f t="shared" si="1"/>
        <v>45962.166666666657</v>
      </c>
      <c r="J5" s="3119">
        <f t="shared" si="1"/>
        <v>45962.208333333321</v>
      </c>
      <c r="K5" s="3119">
        <f t="shared" si="1"/>
        <v>45962.249999999985</v>
      </c>
      <c r="L5" s="3119">
        <f t="shared" si="1"/>
        <v>45962.29166666665</v>
      </c>
      <c r="M5" s="3119">
        <f t="shared" si="1"/>
        <v>45962.333333333314</v>
      </c>
      <c r="N5" s="3119">
        <f t="shared" si="1"/>
        <v>45962.374999999978</v>
      </c>
      <c r="O5" s="3119">
        <f t="shared" si="1"/>
        <v>45962.416666666642</v>
      </c>
      <c r="P5" s="3119">
        <f t="shared" si="1"/>
        <v>45962.458333333307</v>
      </c>
      <c r="Q5" s="3119">
        <f t="shared" si="1"/>
        <v>45962.499999999971</v>
      </c>
      <c r="R5" s="3119">
        <f t="shared" si="1"/>
        <v>45962.541666666635</v>
      </c>
      <c r="S5" s="3119">
        <f t="shared" si="1"/>
        <v>45962.583333333299</v>
      </c>
      <c r="T5" s="3119">
        <f t="shared" si="1"/>
        <v>45962.624999999964</v>
      </c>
      <c r="U5" s="3119">
        <f t="shared" si="1"/>
        <v>45962.666666666628</v>
      </c>
      <c r="V5" s="3119">
        <f t="shared" si="1"/>
        <v>45962.708333333292</v>
      </c>
      <c r="W5" s="3119">
        <f t="shared" si="1"/>
        <v>45962.749999999956</v>
      </c>
      <c r="X5" s="3119">
        <f t="shared" si="1"/>
        <v>45962.791666666621</v>
      </c>
      <c r="Y5" s="3119">
        <f t="shared" si="1"/>
        <v>45962.833333333285</v>
      </c>
      <c r="Z5" s="3119">
        <f t="shared" si="1"/>
        <v>45962.874999999949</v>
      </c>
      <c r="AA5" s="3119">
        <f t="shared" si="1"/>
        <v>45962.916666666613</v>
      </c>
      <c r="AB5" s="3119">
        <f t="shared" si="1"/>
        <v>45962.958333333278</v>
      </c>
      <c r="AC5" s="3119">
        <f t="shared" si="1"/>
        <v>45962.999999999942</v>
      </c>
      <c r="AD5" s="3119">
        <f t="shared" si="1"/>
        <v>45963.041666666606</v>
      </c>
      <c r="AE5" s="3119">
        <f t="shared" si="1"/>
        <v>45963.08333333327</v>
      </c>
      <c r="AF5" s="3119">
        <f t="shared" si="1"/>
        <v>45963.124999999935</v>
      </c>
      <c r="AG5" s="3119">
        <f t="shared" si="1"/>
        <v>45963.166666666599</v>
      </c>
      <c r="AH5" s="3119">
        <f t="shared" si="1"/>
        <v>45963.208333333263</v>
      </c>
      <c r="AI5" s="3119">
        <f t="shared" si="1"/>
        <v>45963.249999999927</v>
      </c>
      <c r="AJ5" s="3119">
        <f t="shared" si="1"/>
        <v>45963.291666666591</v>
      </c>
      <c r="AK5" s="3119">
        <f t="shared" si="1"/>
        <v>45963.333333333256</v>
      </c>
      <c r="AL5" s="3119">
        <f t="shared" si="1"/>
        <v>45963.37499999992</v>
      </c>
      <c r="AM5" s="3119">
        <f t="shared" si="1"/>
        <v>45963.416666666584</v>
      </c>
      <c r="AN5" s="3119">
        <f t="shared" si="1"/>
        <v>45963.458333333248</v>
      </c>
      <c r="AO5" s="3119">
        <f t="shared" si="1"/>
        <v>45963.499999999913</v>
      </c>
      <c r="AP5" s="3119">
        <f t="shared" si="1"/>
        <v>45963.541666666577</v>
      </c>
      <c r="AQ5" s="3119">
        <f t="shared" si="1"/>
        <v>45963.583333333241</v>
      </c>
      <c r="AR5" s="3119">
        <f t="shared" si="1"/>
        <v>45963.624999999905</v>
      </c>
      <c r="AS5" s="3119">
        <f t="shared" si="1"/>
        <v>45963.66666666657</v>
      </c>
      <c r="AT5" s="3119">
        <f t="shared" si="1"/>
        <v>45963.708333333234</v>
      </c>
      <c r="AU5" s="3119">
        <f t="shared" si="1"/>
        <v>45963.749999999898</v>
      </c>
      <c r="AV5" s="3119">
        <f t="shared" si="1"/>
        <v>45963.791666666562</v>
      </c>
      <c r="AW5" s="3119">
        <f t="shared" si="1"/>
        <v>45963.833333333227</v>
      </c>
      <c r="AX5" s="3119">
        <f t="shared" si="1"/>
        <v>45963.874999999891</v>
      </c>
      <c r="AY5" s="3119">
        <f t="shared" si="1"/>
        <v>45963.916666666555</v>
      </c>
      <c r="AZ5" s="3119">
        <f t="shared" si="1"/>
        <v>45963.958333333219</v>
      </c>
      <c r="BA5" s="3119">
        <f t="shared" si="1"/>
        <v>45963.999999999884</v>
      </c>
      <c r="BB5" s="3119">
        <f t="shared" si="1"/>
        <v>45964.041666666548</v>
      </c>
      <c r="BC5" s="3119">
        <f t="shared" si="1"/>
        <v>45964.083333333212</v>
      </c>
      <c r="BD5" s="3119">
        <f t="shared" si="1"/>
        <v>45964.124999999876</v>
      </c>
      <c r="BE5" s="3119">
        <f t="shared" si="1"/>
        <v>45964.166666666541</v>
      </c>
      <c r="BF5" s="3119">
        <f t="shared" si="1"/>
        <v>45964.208333333205</v>
      </c>
      <c r="BG5" s="3119">
        <f t="shared" si="1"/>
        <v>45964.249999999869</v>
      </c>
      <c r="BH5" s="3119">
        <f t="shared" si="1"/>
        <v>45964.291666666533</v>
      </c>
      <c r="BI5" s="3119">
        <f t="shared" si="1"/>
        <v>45964.333333333198</v>
      </c>
      <c r="BJ5" s="3119">
        <f t="shared" si="1"/>
        <v>45964.374999999862</v>
      </c>
      <c r="BK5" s="3119">
        <f t="shared" si="1"/>
        <v>45964.416666666526</v>
      </c>
      <c r="BL5" s="3119">
        <f t="shared" si="1"/>
        <v>45964.45833333319</v>
      </c>
      <c r="BM5" s="3119">
        <f t="shared" si="1"/>
        <v>45964.499999999854</v>
      </c>
      <c r="BN5" s="3119">
        <f t="shared" si="1"/>
        <v>45964.541666666519</v>
      </c>
      <c r="BO5" s="3119">
        <f t="shared" si="1"/>
        <v>45964.583333333183</v>
      </c>
      <c r="BP5" s="3119">
        <f t="shared" si="1"/>
        <v>45964.624999999847</v>
      </c>
      <c r="BQ5" s="3119">
        <f t="shared" si="1"/>
        <v>45964.666666666511</v>
      </c>
      <c r="BR5" s="3119">
        <f t="shared" si="1"/>
        <v>45964.708333333176</v>
      </c>
      <c r="BS5" s="3119">
        <f t="shared" si="2"/>
        <v>45964.74999999984</v>
      </c>
      <c r="BT5" s="3119">
        <f t="shared" si="2"/>
        <v>45964.791666666504</v>
      </c>
      <c r="BU5" s="3119">
        <f t="shared" si="2"/>
        <v>45964.833333333168</v>
      </c>
      <c r="BV5" s="3119">
        <f t="shared" si="2"/>
        <v>45964.874999999833</v>
      </c>
      <c r="BW5" s="3119">
        <f t="shared" si="2"/>
        <v>45964.916666666497</v>
      </c>
      <c r="BX5" s="3119">
        <f t="shared" si="2"/>
        <v>45964.958333333161</v>
      </c>
      <c r="BY5" s="3119">
        <f t="shared" si="2"/>
        <v>45964.999999999825</v>
      </c>
      <c r="BZ5" s="3119">
        <f t="shared" si="2"/>
        <v>45965.04166666649</v>
      </c>
      <c r="CA5" s="3119">
        <f t="shared" si="2"/>
        <v>45965.083333333154</v>
      </c>
      <c r="CB5" s="3119">
        <f t="shared" si="2"/>
        <v>45965.124999999818</v>
      </c>
      <c r="CC5" s="3119">
        <f t="shared" si="2"/>
        <v>45965.166666666482</v>
      </c>
      <c r="CD5" s="3119">
        <f t="shared" si="2"/>
        <v>45965.208333333147</v>
      </c>
      <c r="CE5" s="3119">
        <f t="shared" si="2"/>
        <v>45965.249999999811</v>
      </c>
      <c r="CF5" s="3119">
        <f t="shared" si="2"/>
        <v>45965.291666666475</v>
      </c>
      <c r="CG5" s="3119">
        <f t="shared" si="2"/>
        <v>45965.333333333139</v>
      </c>
      <c r="CH5" s="3119">
        <f t="shared" si="2"/>
        <v>45965.374999999804</v>
      </c>
      <c r="CI5" s="3119">
        <f t="shared" si="2"/>
        <v>45965.416666666468</v>
      </c>
      <c r="CJ5" s="3119">
        <f t="shared" si="2"/>
        <v>45965.458333333132</v>
      </c>
      <c r="CK5" s="3119">
        <f t="shared" si="2"/>
        <v>45965.499999999796</v>
      </c>
      <c r="CL5" s="3119">
        <f t="shared" si="2"/>
        <v>45965.541666666461</v>
      </c>
      <c r="CM5" s="3119">
        <f t="shared" si="2"/>
        <v>45965.583333333125</v>
      </c>
      <c r="CN5" s="3119">
        <f t="shared" si="2"/>
        <v>45965.624999999789</v>
      </c>
      <c r="CO5" s="3119">
        <f t="shared" si="2"/>
        <v>45965.666666666453</v>
      </c>
      <c r="CP5" s="3119">
        <f t="shared" si="2"/>
        <v>45965.708333333117</v>
      </c>
      <c r="CQ5" s="3119">
        <f t="shared" si="2"/>
        <v>45965.749999999782</v>
      </c>
      <c r="CR5" s="3119">
        <f t="shared" si="2"/>
        <v>45965.791666666446</v>
      </c>
      <c r="CS5" s="3119">
        <f t="shared" si="2"/>
        <v>45965.83333333311</v>
      </c>
      <c r="CT5" s="3119">
        <f t="shared" si="2"/>
        <v>45965.874999999774</v>
      </c>
      <c r="CU5" s="3119">
        <f t="shared" si="2"/>
        <v>45965.916666666439</v>
      </c>
      <c r="CV5" s="3119">
        <f t="shared" si="2"/>
        <v>45965.958333333103</v>
      </c>
      <c r="CW5" s="3119">
        <f t="shared" si="2"/>
        <v>45965.999999999767</v>
      </c>
      <c r="CX5" s="3119">
        <f t="shared" si="2"/>
        <v>45966.041666666431</v>
      </c>
      <c r="CY5" s="3119">
        <f t="shared" si="2"/>
        <v>45966.083333333096</v>
      </c>
      <c r="CZ5" s="3119">
        <f t="shared" si="2"/>
        <v>45966.12499999976</v>
      </c>
      <c r="DA5" s="3119">
        <f t="shared" si="2"/>
        <v>45966.166666666424</v>
      </c>
      <c r="DB5" s="3119">
        <f t="shared" si="2"/>
        <v>45966.208333333088</v>
      </c>
      <c r="DC5" s="3119">
        <f t="shared" si="2"/>
        <v>45966.249999999753</v>
      </c>
      <c r="DD5" s="3119">
        <f t="shared" si="2"/>
        <v>45966.291666666417</v>
      </c>
      <c r="DE5" s="3119">
        <f t="shared" si="2"/>
        <v>45966.333333333081</v>
      </c>
      <c r="DF5" s="3119">
        <f t="shared" si="2"/>
        <v>45966.374999999745</v>
      </c>
      <c r="DG5" s="3119">
        <f t="shared" si="2"/>
        <v>45966.41666666641</v>
      </c>
      <c r="DH5" s="3119">
        <f t="shared" si="2"/>
        <v>45966.458333333074</v>
      </c>
      <c r="DI5" s="3119">
        <f t="shared" si="2"/>
        <v>45966.499999999738</v>
      </c>
      <c r="DJ5" s="3119">
        <f t="shared" si="2"/>
        <v>45966.541666666402</v>
      </c>
      <c r="DK5" s="3119">
        <f t="shared" si="2"/>
        <v>45966.583333333067</v>
      </c>
      <c r="DL5" s="3119">
        <f t="shared" si="2"/>
        <v>45966.624999999731</v>
      </c>
      <c r="DM5" s="3119">
        <f t="shared" si="2"/>
        <v>45966.666666666395</v>
      </c>
      <c r="DN5" s="3119">
        <f t="shared" si="2"/>
        <v>45966.708333333059</v>
      </c>
      <c r="DO5" s="3119">
        <f t="shared" si="2"/>
        <v>45966.749999999724</v>
      </c>
      <c r="DP5" s="3119">
        <f t="shared" si="2"/>
        <v>45966.791666666388</v>
      </c>
      <c r="DQ5" s="3119">
        <f t="shared" si="2"/>
        <v>45966.833333333052</v>
      </c>
      <c r="DR5" s="3119">
        <f t="shared" si="2"/>
        <v>45966.874999999716</v>
      </c>
      <c r="DS5" s="3119">
        <f t="shared" si="2"/>
        <v>45966.91666666638</v>
      </c>
      <c r="DT5" s="3119">
        <f t="shared" si="2"/>
        <v>45966.958333333045</v>
      </c>
      <c r="DU5" s="3119">
        <f t="shared" si="2"/>
        <v>45966.999999999709</v>
      </c>
      <c r="DV5" s="3119">
        <f t="shared" si="2"/>
        <v>45967.041666666373</v>
      </c>
      <c r="DW5" s="3119">
        <f t="shared" si="2"/>
        <v>45967.083333333037</v>
      </c>
      <c r="DX5" s="3119">
        <f t="shared" si="2"/>
        <v>45967.124999999702</v>
      </c>
      <c r="DY5" s="3119">
        <f t="shared" si="2"/>
        <v>45967.166666666366</v>
      </c>
      <c r="DZ5" s="3119">
        <f t="shared" si="2"/>
        <v>45967.20833333303</v>
      </c>
      <c r="EA5" s="3119">
        <f t="shared" si="2"/>
        <v>45967.249999999694</v>
      </c>
      <c r="EB5" s="3119">
        <f t="shared" si="2"/>
        <v>45967.291666666359</v>
      </c>
      <c r="EC5" s="3119">
        <f t="shared" si="2"/>
        <v>45967.333333333023</v>
      </c>
      <c r="ED5" s="3119">
        <f t="shared" si="2"/>
        <v>45967.374999999687</v>
      </c>
      <c r="EE5" s="3119">
        <f t="shared" si="3"/>
        <v>45967.416666666351</v>
      </c>
      <c r="EF5" s="3119">
        <f t="shared" si="3"/>
        <v>45967.458333333016</v>
      </c>
      <c r="EG5" s="3119">
        <f t="shared" si="3"/>
        <v>45967.49999999968</v>
      </c>
      <c r="EH5" s="3119">
        <f t="shared" si="3"/>
        <v>45967.541666666344</v>
      </c>
      <c r="EI5" s="3119">
        <f t="shared" si="3"/>
        <v>45967.583333333008</v>
      </c>
      <c r="EJ5" s="3119">
        <f t="shared" si="3"/>
        <v>45967.624999999673</v>
      </c>
      <c r="EK5" s="3119">
        <f t="shared" si="3"/>
        <v>45967.666666666337</v>
      </c>
      <c r="EL5" s="3119">
        <f t="shared" si="3"/>
        <v>45967.708333333001</v>
      </c>
      <c r="EM5" s="3119">
        <f t="shared" si="3"/>
        <v>45967.749999999665</v>
      </c>
      <c r="EN5" s="3119">
        <f t="shared" si="3"/>
        <v>45967.79166666633</v>
      </c>
      <c r="EO5" s="3119">
        <f t="shared" si="3"/>
        <v>45967.833333332994</v>
      </c>
      <c r="EP5" s="3119">
        <f t="shared" si="3"/>
        <v>45967.874999999658</v>
      </c>
      <c r="EQ5" s="3119">
        <f t="shared" si="3"/>
        <v>45967.916666666322</v>
      </c>
      <c r="ER5" s="3119">
        <f t="shared" si="3"/>
        <v>45967.958333332987</v>
      </c>
      <c r="ES5" s="3119">
        <f t="shared" si="3"/>
        <v>45967.999999999651</v>
      </c>
      <c r="ET5" s="3119">
        <f t="shared" si="3"/>
        <v>45968.041666666315</v>
      </c>
      <c r="EU5" s="3119">
        <f t="shared" si="3"/>
        <v>45968.083333332979</v>
      </c>
      <c r="EV5" s="3119">
        <f t="shared" si="3"/>
        <v>45968.124999999643</v>
      </c>
      <c r="EW5" s="3119">
        <f t="shared" si="3"/>
        <v>45968.166666666308</v>
      </c>
      <c r="EX5" s="3119">
        <f t="shared" si="3"/>
        <v>45968.208333332972</v>
      </c>
      <c r="EY5" s="3119">
        <f t="shared" si="3"/>
        <v>45968.249999999636</v>
      </c>
      <c r="EZ5" s="3119">
        <f t="shared" si="3"/>
        <v>45968.2916666663</v>
      </c>
      <c r="FA5" s="3119">
        <f t="shared" si="3"/>
        <v>45968.333333332965</v>
      </c>
      <c r="FB5" s="3119">
        <f t="shared" si="3"/>
        <v>45968.374999999629</v>
      </c>
      <c r="FC5" s="3119">
        <f t="shared" si="3"/>
        <v>45968.416666666293</v>
      </c>
      <c r="FD5" s="3119">
        <f t="shared" si="3"/>
        <v>45968.458333332957</v>
      </c>
      <c r="FE5" s="3119">
        <f t="shared" si="3"/>
        <v>45968.499999999622</v>
      </c>
      <c r="FF5" s="3119">
        <f t="shared" si="3"/>
        <v>45968.541666666286</v>
      </c>
      <c r="FG5" s="3119">
        <f t="shared" si="3"/>
        <v>45968.58333333295</v>
      </c>
      <c r="FH5" s="3119">
        <f t="shared" si="3"/>
        <v>45968.624999999614</v>
      </c>
      <c r="FI5" s="3119">
        <f t="shared" si="3"/>
        <v>45968.666666666279</v>
      </c>
      <c r="FJ5" s="3119">
        <f t="shared" si="3"/>
        <v>45968.708333332943</v>
      </c>
      <c r="FK5" s="3119">
        <f t="shared" si="3"/>
        <v>45968.749999999607</v>
      </c>
      <c r="FL5" s="3119">
        <f t="shared" si="3"/>
        <v>45968.791666666271</v>
      </c>
      <c r="FM5" s="3119">
        <f t="shared" si="3"/>
        <v>45968.833333332936</v>
      </c>
      <c r="FN5" s="3119">
        <f t="shared" si="3"/>
        <v>45968.8749999996</v>
      </c>
      <c r="FO5" s="3119">
        <f t="shared" si="3"/>
        <v>45968.916666666264</v>
      </c>
      <c r="FP5" s="3119">
        <f t="shared" si="3"/>
        <v>45968.958333332928</v>
      </c>
      <c r="FQ5" s="3119">
        <f t="shared" si="3"/>
        <v>45968.999999999593</v>
      </c>
      <c r="FR5" s="3119">
        <f t="shared" si="3"/>
        <v>45969.041666666257</v>
      </c>
      <c r="FS5" s="3119">
        <f t="shared" si="3"/>
        <v>45969.083333332921</v>
      </c>
      <c r="FT5" s="3119">
        <f t="shared" si="3"/>
        <v>45969.124999999585</v>
      </c>
      <c r="FU5" s="3119">
        <f t="shared" si="3"/>
        <v>45969.16666666625</v>
      </c>
      <c r="FV5" s="3119">
        <f t="shared" si="3"/>
        <v>45969.208333332914</v>
      </c>
      <c r="FW5" s="3119">
        <f t="shared" si="3"/>
        <v>45969.249999999578</v>
      </c>
      <c r="FX5" s="3119">
        <f t="shared" si="3"/>
        <v>45969.291666666242</v>
      </c>
      <c r="FY5" s="3119">
        <f t="shared" si="3"/>
        <v>45969.333333332906</v>
      </c>
      <c r="FZ5" s="3119">
        <f t="shared" si="3"/>
        <v>45969.374999999571</v>
      </c>
      <c r="GA5" s="3119">
        <f t="shared" si="3"/>
        <v>45969.416666666235</v>
      </c>
      <c r="GB5" s="3119">
        <f t="shared" si="3"/>
        <v>45969.458333332899</v>
      </c>
      <c r="GC5" s="3119">
        <f t="shared" si="3"/>
        <v>45969.499999999563</v>
      </c>
      <c r="GD5" s="3119">
        <f t="shared" si="3"/>
        <v>45969.541666666228</v>
      </c>
      <c r="GE5" s="3119">
        <f t="shared" si="3"/>
        <v>45969.583333332892</v>
      </c>
      <c r="GF5" s="3119">
        <f t="shared" si="3"/>
        <v>45969.624999999556</v>
      </c>
      <c r="GG5" s="3119">
        <f t="shared" si="3"/>
        <v>45969.66666666622</v>
      </c>
      <c r="GH5" s="3119">
        <f t="shared" si="3"/>
        <v>45969.708333332885</v>
      </c>
      <c r="GI5" s="3119">
        <f t="shared" si="3"/>
        <v>45969.749999999549</v>
      </c>
      <c r="GJ5" s="3119">
        <f t="shared" si="3"/>
        <v>45969.791666666213</v>
      </c>
      <c r="GK5" s="3119">
        <f t="shared" si="3"/>
        <v>45969.833333332877</v>
      </c>
      <c r="GL5" s="3119">
        <f t="shared" si="3"/>
        <v>45969.874999999542</v>
      </c>
      <c r="GM5" s="3119">
        <f t="shared" si="3"/>
        <v>45969.916666666206</v>
      </c>
      <c r="GN5" s="3119">
        <f t="shared" si="3"/>
        <v>45969.95833333287</v>
      </c>
      <c r="GO5" s="3119">
        <f t="shared" si="3"/>
        <v>45969.999999999534</v>
      </c>
      <c r="GP5" s="3119">
        <f t="shared" si="3"/>
        <v>45970.041666666199</v>
      </c>
      <c r="GQ5" s="3119">
        <f t="shared" si="4"/>
        <v>45970.083333332863</v>
      </c>
      <c r="GR5" s="3119">
        <f t="shared" si="4"/>
        <v>45970.124999999527</v>
      </c>
      <c r="GS5" s="3119">
        <f t="shared" si="4"/>
        <v>45970.166666666191</v>
      </c>
      <c r="GT5" s="3119">
        <f t="shared" si="4"/>
        <v>45970.208333332856</v>
      </c>
      <c r="GU5" s="3119">
        <f t="shared" si="4"/>
        <v>45970.24999999952</v>
      </c>
      <c r="GV5" s="3119">
        <f t="shared" si="4"/>
        <v>45970.291666666184</v>
      </c>
      <c r="GW5" s="3119">
        <f t="shared" si="4"/>
        <v>45970.333333332848</v>
      </c>
      <c r="GX5" s="3119">
        <f t="shared" si="4"/>
        <v>45970.374999999513</v>
      </c>
      <c r="GY5" s="3119">
        <f t="shared" si="4"/>
        <v>45970.416666666177</v>
      </c>
      <c r="GZ5" s="3119">
        <f t="shared" si="4"/>
        <v>45970.458333332841</v>
      </c>
      <c r="HA5" s="3119">
        <f t="shared" si="4"/>
        <v>45970.499999999505</v>
      </c>
      <c r="HB5" s="3119">
        <f t="shared" si="4"/>
        <v>45970.541666666169</v>
      </c>
      <c r="HC5" s="3119">
        <f t="shared" si="4"/>
        <v>45970.583333332834</v>
      </c>
      <c r="HD5" s="3119">
        <f t="shared" si="4"/>
        <v>45970.624999999498</v>
      </c>
      <c r="HE5" s="3119">
        <f t="shared" si="4"/>
        <v>45970.666666666162</v>
      </c>
      <c r="HF5" s="3119">
        <f t="shared" si="4"/>
        <v>45970.708333332826</v>
      </c>
      <c r="HG5" s="3119">
        <f t="shared" si="4"/>
        <v>45970.749999999491</v>
      </c>
      <c r="HH5" s="3119">
        <f t="shared" si="4"/>
        <v>45970.791666666155</v>
      </c>
      <c r="HI5" s="3119">
        <f t="shared" si="4"/>
        <v>45970.833333332819</v>
      </c>
      <c r="HJ5" s="3119">
        <f t="shared" si="4"/>
        <v>45970.874999999483</v>
      </c>
      <c r="HK5" s="3119">
        <f t="shared" si="4"/>
        <v>45970.916666666148</v>
      </c>
      <c r="HL5" s="3119">
        <f t="shared" si="4"/>
        <v>45970.958333332812</v>
      </c>
      <c r="HM5" s="3119">
        <f t="shared" si="4"/>
        <v>45970.999999999476</v>
      </c>
      <c r="HN5" s="3119">
        <f t="shared" si="4"/>
        <v>45971.04166666614</v>
      </c>
      <c r="HO5" s="3119">
        <f t="shared" si="4"/>
        <v>45971.083333332805</v>
      </c>
      <c r="HP5" s="3119">
        <f t="shared" si="4"/>
        <v>45971.124999999469</v>
      </c>
      <c r="HQ5" s="3119">
        <f t="shared" si="4"/>
        <v>45971.166666666133</v>
      </c>
      <c r="HR5" s="3119">
        <f t="shared" si="4"/>
        <v>45971.208333332797</v>
      </c>
      <c r="HS5" s="3119">
        <f t="shared" si="4"/>
        <v>45971.249999999462</v>
      </c>
      <c r="HT5" s="3119">
        <f t="shared" si="4"/>
        <v>45971.291666666126</v>
      </c>
      <c r="HU5" s="3119">
        <f t="shared" si="4"/>
        <v>45971.33333333279</v>
      </c>
      <c r="HV5" s="3119">
        <f t="shared" si="4"/>
        <v>45971.374999999454</v>
      </c>
      <c r="HW5" s="3119">
        <f t="shared" si="4"/>
        <v>45971.416666666119</v>
      </c>
      <c r="HX5" s="3119">
        <f t="shared" si="4"/>
        <v>45971.458333332783</v>
      </c>
      <c r="HY5" s="3119">
        <f t="shared" si="4"/>
        <v>45971.499999999447</v>
      </c>
      <c r="HZ5" s="3119">
        <f t="shared" si="4"/>
        <v>45971.541666666111</v>
      </c>
      <c r="IA5" s="3119">
        <f t="shared" si="4"/>
        <v>45971.583333332776</v>
      </c>
      <c r="IB5" s="3119">
        <f t="shared" si="4"/>
        <v>45971.62499999944</v>
      </c>
      <c r="IC5" s="3119">
        <f t="shared" si="4"/>
        <v>45971.666666666104</v>
      </c>
      <c r="ID5" s="3119">
        <f t="shared" si="4"/>
        <v>45971.708333332768</v>
      </c>
      <c r="IE5" s="3119">
        <f t="shared" si="4"/>
        <v>45971.749999999432</v>
      </c>
      <c r="IF5" s="3119">
        <f t="shared" si="4"/>
        <v>45971.791666666097</v>
      </c>
      <c r="IG5" s="3119">
        <f t="shared" si="4"/>
        <v>45971.833333332761</v>
      </c>
      <c r="IH5" s="3119">
        <f t="shared" si="4"/>
        <v>45971.874999999425</v>
      </c>
      <c r="II5" s="3119">
        <f t="shared" si="4"/>
        <v>45971.916666666089</v>
      </c>
      <c r="IJ5" s="3119">
        <f t="shared" si="4"/>
        <v>45971.958333332754</v>
      </c>
      <c r="IK5" s="3119">
        <f t="shared" si="4"/>
        <v>45971.999999999418</v>
      </c>
      <c r="IL5" s="3119">
        <f t="shared" si="4"/>
        <v>45972.041666666082</v>
      </c>
      <c r="IM5" s="3119">
        <f t="shared" si="4"/>
        <v>45972.083333332746</v>
      </c>
      <c r="IN5" s="3119">
        <f t="shared" si="4"/>
        <v>45972.124999999411</v>
      </c>
      <c r="IO5" s="3119">
        <f t="shared" si="4"/>
        <v>45972.166666666075</v>
      </c>
      <c r="IP5" s="3119">
        <f t="shared" si="4"/>
        <v>45972.208333332739</v>
      </c>
      <c r="IQ5" s="3119">
        <f t="shared" si="4"/>
        <v>45972.249999999403</v>
      </c>
      <c r="IR5" s="3119">
        <f t="shared" si="4"/>
        <v>45972.291666666068</v>
      </c>
      <c r="IS5" s="3119">
        <f t="shared" si="4"/>
        <v>45972.333333332732</v>
      </c>
      <c r="IT5" s="3119">
        <f t="shared" si="4"/>
        <v>45972.374999999396</v>
      </c>
      <c r="IU5" s="3119">
        <f t="shared" si="4"/>
        <v>45972.41666666606</v>
      </c>
      <c r="IV5" s="3119">
        <f t="shared" si="4"/>
        <v>45972.458333332725</v>
      </c>
      <c r="IW5" s="3119">
        <f t="shared" si="4"/>
        <v>45972.499999999389</v>
      </c>
      <c r="IX5" s="3119">
        <f t="shared" si="4"/>
        <v>45972.541666666053</v>
      </c>
      <c r="IY5" s="3119">
        <f t="shared" si="4"/>
        <v>45972.583333332717</v>
      </c>
      <c r="IZ5" s="3119">
        <f t="shared" si="4"/>
        <v>45972.624999999382</v>
      </c>
      <c r="JA5" s="3119">
        <f t="shared" si="4"/>
        <v>45972.666666666046</v>
      </c>
      <c r="JB5" s="3119">
        <f t="shared" si="4"/>
        <v>45972.70833333271</v>
      </c>
      <c r="JC5" s="3119">
        <f t="shared" si="5"/>
        <v>45972.749999999374</v>
      </c>
      <c r="JD5" s="3119">
        <f t="shared" si="5"/>
        <v>45972.791666666039</v>
      </c>
      <c r="JE5" s="3119">
        <f t="shared" si="5"/>
        <v>45972.833333332703</v>
      </c>
      <c r="JF5" s="3119">
        <f t="shared" si="5"/>
        <v>45972.874999999367</v>
      </c>
      <c r="JG5" s="3119">
        <f t="shared" si="5"/>
        <v>45972.916666666031</v>
      </c>
      <c r="JH5" s="3119">
        <f t="shared" si="5"/>
        <v>45972.958333332695</v>
      </c>
      <c r="JI5" s="3119">
        <f t="shared" si="5"/>
        <v>45972.99999999936</v>
      </c>
      <c r="JJ5" s="3119">
        <f t="shared" si="5"/>
        <v>45973.041666666024</v>
      </c>
      <c r="JK5" s="3119">
        <f t="shared" si="5"/>
        <v>45973.083333332688</v>
      </c>
      <c r="JL5" s="3119">
        <f t="shared" si="5"/>
        <v>45973.124999999352</v>
      </c>
      <c r="JM5" s="3119">
        <f t="shared" si="5"/>
        <v>45973.166666666017</v>
      </c>
      <c r="JN5" s="3119">
        <f t="shared" si="5"/>
        <v>45973.208333332681</v>
      </c>
      <c r="JO5" s="3119">
        <f t="shared" si="5"/>
        <v>45973.249999999345</v>
      </c>
      <c r="JP5" s="3119">
        <f t="shared" si="5"/>
        <v>45973.291666666009</v>
      </c>
      <c r="JQ5" s="3119">
        <f t="shared" si="5"/>
        <v>45973.333333332674</v>
      </c>
      <c r="JR5" s="3119">
        <f t="shared" si="5"/>
        <v>45973.374999999338</v>
      </c>
      <c r="JS5" s="3119">
        <f t="shared" si="5"/>
        <v>45973.416666666002</v>
      </c>
      <c r="JT5" s="3119">
        <f t="shared" si="5"/>
        <v>45973.458333332666</v>
      </c>
      <c r="JU5" s="3119">
        <f t="shared" si="5"/>
        <v>45973.499999999331</v>
      </c>
      <c r="JV5" s="3119">
        <f t="shared" si="5"/>
        <v>45973.541666665995</v>
      </c>
      <c r="JW5" s="3119">
        <f t="shared" si="5"/>
        <v>45973.583333332659</v>
      </c>
      <c r="JX5" s="3119">
        <f t="shared" si="5"/>
        <v>45973.624999999323</v>
      </c>
      <c r="JY5" s="3119">
        <f t="shared" si="5"/>
        <v>45973.666666665988</v>
      </c>
      <c r="JZ5" s="3119">
        <f t="shared" si="5"/>
        <v>45973.708333332652</v>
      </c>
      <c r="KA5" s="3119">
        <f t="shared" si="5"/>
        <v>45973.749999999316</v>
      </c>
      <c r="KB5" s="3119">
        <f t="shared" si="5"/>
        <v>45973.79166666598</v>
      </c>
      <c r="KC5" s="3119">
        <f t="shared" si="5"/>
        <v>45973.833333332645</v>
      </c>
      <c r="KD5" s="3119">
        <f t="shared" si="5"/>
        <v>45973.874999999309</v>
      </c>
      <c r="KE5" s="3119">
        <f t="shared" si="5"/>
        <v>45973.916666665973</v>
      </c>
      <c r="KF5" s="3119">
        <f t="shared" si="5"/>
        <v>45973.958333332637</v>
      </c>
      <c r="KG5" s="3119">
        <f t="shared" si="5"/>
        <v>45973.999999999302</v>
      </c>
      <c r="KH5" s="3119">
        <f t="shared" si="5"/>
        <v>45974.041666665966</v>
      </c>
      <c r="KI5" s="3119">
        <f t="shared" si="5"/>
        <v>45974.08333333263</v>
      </c>
      <c r="KJ5" s="3119">
        <f t="shared" si="5"/>
        <v>45974.124999999294</v>
      </c>
      <c r="KK5" s="3119">
        <f t="shared" si="5"/>
        <v>45974.166666665958</v>
      </c>
      <c r="KL5" s="3119">
        <f t="shared" si="5"/>
        <v>45974.208333332623</v>
      </c>
      <c r="KM5" s="3119">
        <f t="shared" si="5"/>
        <v>45974.249999999287</v>
      </c>
      <c r="KN5" s="3119">
        <f t="shared" si="5"/>
        <v>45974.291666665951</v>
      </c>
      <c r="KO5" s="3119">
        <f t="shared" si="5"/>
        <v>45974.333333332615</v>
      </c>
      <c r="KP5" s="3119">
        <f t="shared" si="5"/>
        <v>45974.37499999928</v>
      </c>
      <c r="KQ5" s="3119">
        <f t="shared" si="5"/>
        <v>45974.416666665944</v>
      </c>
      <c r="KR5" s="3119">
        <f t="shared" si="5"/>
        <v>45974.458333332608</v>
      </c>
      <c r="KS5" s="3119">
        <f t="shared" si="5"/>
        <v>45974.499999999272</v>
      </c>
      <c r="KT5" s="3119">
        <f t="shared" si="5"/>
        <v>45974.541666665937</v>
      </c>
      <c r="KU5" s="3119">
        <f t="shared" si="5"/>
        <v>45974.583333332601</v>
      </c>
      <c r="KV5" s="3119">
        <f t="shared" si="5"/>
        <v>45974.624999999265</v>
      </c>
      <c r="KW5" s="3119">
        <f t="shared" si="5"/>
        <v>45974.666666665929</v>
      </c>
      <c r="KX5" s="3119">
        <f t="shared" si="5"/>
        <v>45974.708333332594</v>
      </c>
      <c r="KY5" s="3119">
        <f t="shared" si="5"/>
        <v>45974.749999999258</v>
      </c>
      <c r="KZ5" s="3119">
        <f t="shared" si="5"/>
        <v>45974.791666665922</v>
      </c>
      <c r="LA5" s="3119">
        <f t="shared" si="5"/>
        <v>45974.833333332586</v>
      </c>
      <c r="LB5" s="3119">
        <f t="shared" si="5"/>
        <v>45974.874999999251</v>
      </c>
      <c r="LC5" s="3119">
        <f t="shared" si="5"/>
        <v>45974.916666665915</v>
      </c>
      <c r="LD5" s="3119">
        <f t="shared" si="5"/>
        <v>45974.958333332579</v>
      </c>
      <c r="LE5" s="3119">
        <f t="shared" si="5"/>
        <v>45974.999999999243</v>
      </c>
      <c r="LF5" s="3119">
        <f t="shared" si="5"/>
        <v>45975.041666665908</v>
      </c>
      <c r="LG5" s="3119">
        <f t="shared" si="5"/>
        <v>45975.083333332572</v>
      </c>
      <c r="LH5" s="3119">
        <f t="shared" si="5"/>
        <v>45975.124999999236</v>
      </c>
      <c r="LI5" s="3119">
        <f t="shared" si="5"/>
        <v>45975.1666666659</v>
      </c>
      <c r="LJ5" s="3119">
        <f t="shared" si="5"/>
        <v>45975.208333332565</v>
      </c>
      <c r="LK5" s="3119">
        <f t="shared" si="5"/>
        <v>45975.249999999229</v>
      </c>
      <c r="LL5" s="3119">
        <f t="shared" si="5"/>
        <v>45975.291666665893</v>
      </c>
      <c r="LM5" s="3119">
        <f t="shared" si="5"/>
        <v>45975.333333332557</v>
      </c>
      <c r="LN5" s="3119">
        <f t="shared" si="5"/>
        <v>45975.374999999221</v>
      </c>
      <c r="LO5" s="3119">
        <f t="shared" si="6"/>
        <v>45975.416666665886</v>
      </c>
      <c r="LP5" s="3119">
        <f t="shared" si="6"/>
        <v>45975.45833333255</v>
      </c>
      <c r="LQ5" s="3119">
        <f t="shared" si="6"/>
        <v>45975.499999999214</v>
      </c>
      <c r="LR5" s="3119">
        <f t="shared" si="6"/>
        <v>45975.541666665878</v>
      </c>
      <c r="LS5" s="3119">
        <f t="shared" si="6"/>
        <v>45975.583333332543</v>
      </c>
      <c r="LT5" s="3119">
        <f t="shared" si="6"/>
        <v>45975.624999999207</v>
      </c>
      <c r="LU5" s="3119">
        <f t="shared" si="6"/>
        <v>45975.666666665871</v>
      </c>
      <c r="LV5" s="3119">
        <f t="shared" si="6"/>
        <v>45975.708333332535</v>
      </c>
      <c r="LW5" s="3119">
        <f t="shared" si="6"/>
        <v>45975.7499999992</v>
      </c>
      <c r="LX5" s="3119">
        <f t="shared" si="6"/>
        <v>45975.791666665864</v>
      </c>
      <c r="LY5" s="3119">
        <f t="shared" si="6"/>
        <v>45975.833333332528</v>
      </c>
      <c r="LZ5" s="3119">
        <f t="shared" si="6"/>
        <v>45975.874999999192</v>
      </c>
      <c r="MA5" s="3119">
        <f t="shared" si="6"/>
        <v>45975.916666665857</v>
      </c>
      <c r="MB5" s="3119">
        <f t="shared" si="6"/>
        <v>45975.958333332521</v>
      </c>
      <c r="MC5" s="3119">
        <f t="shared" si="6"/>
        <v>45975.999999999185</v>
      </c>
      <c r="MD5" s="3119">
        <f t="shared" si="6"/>
        <v>45976.041666665849</v>
      </c>
      <c r="ME5" s="3119">
        <f t="shared" si="6"/>
        <v>45976.083333332514</v>
      </c>
      <c r="MF5" s="3119">
        <f t="shared" si="6"/>
        <v>45976.124999999178</v>
      </c>
      <c r="MG5" s="3119">
        <f t="shared" si="6"/>
        <v>45976.166666665842</v>
      </c>
      <c r="MH5" s="3119">
        <f t="shared" si="6"/>
        <v>45976.208333332506</v>
      </c>
      <c r="MI5" s="3119">
        <f t="shared" si="6"/>
        <v>45976.249999999171</v>
      </c>
      <c r="MJ5" s="3119">
        <f t="shared" si="6"/>
        <v>45976.291666665835</v>
      </c>
      <c r="MK5" s="3119">
        <f t="shared" si="6"/>
        <v>45976.333333332499</v>
      </c>
      <c r="ML5" s="3119">
        <f t="shared" si="6"/>
        <v>45976.374999999163</v>
      </c>
      <c r="MM5" s="3119">
        <f t="shared" si="6"/>
        <v>45976.416666665828</v>
      </c>
      <c r="MN5" s="3119">
        <f t="shared" si="6"/>
        <v>45976.458333332492</v>
      </c>
      <c r="MO5" s="3119">
        <f t="shared" si="6"/>
        <v>45976.499999999156</v>
      </c>
      <c r="MP5" s="3119">
        <f t="shared" si="6"/>
        <v>45976.54166666582</v>
      </c>
      <c r="MQ5" s="3119">
        <f t="shared" si="6"/>
        <v>45976.583333332484</v>
      </c>
      <c r="MR5" s="3119">
        <f t="shared" si="6"/>
        <v>45976.624999999149</v>
      </c>
      <c r="MS5" s="3119">
        <f t="shared" si="6"/>
        <v>45976.666666665813</v>
      </c>
      <c r="MT5" s="3119">
        <f t="shared" si="6"/>
        <v>45976.708333332477</v>
      </c>
      <c r="MU5" s="3119">
        <f t="shared" si="6"/>
        <v>45976.749999999141</v>
      </c>
      <c r="MV5" s="3119">
        <f t="shared" si="6"/>
        <v>45976.791666665806</v>
      </c>
      <c r="MW5" s="3119">
        <f t="shared" si="6"/>
        <v>45976.83333333247</v>
      </c>
      <c r="MX5" s="3119">
        <f t="shared" si="6"/>
        <v>45976.874999999134</v>
      </c>
      <c r="MY5" s="3119">
        <f t="shared" si="6"/>
        <v>45976.916666665798</v>
      </c>
      <c r="MZ5" s="3119">
        <f t="shared" si="6"/>
        <v>45976.958333332463</v>
      </c>
      <c r="NA5" s="3119">
        <f t="shared" si="6"/>
        <v>45976.999999999127</v>
      </c>
      <c r="NB5" s="3119">
        <f t="shared" si="6"/>
        <v>45977.041666665791</v>
      </c>
      <c r="NC5" s="3119">
        <f t="shared" si="6"/>
        <v>45977.083333332455</v>
      </c>
      <c r="ND5" s="3119">
        <f t="shared" si="6"/>
        <v>45977.12499999912</v>
      </c>
      <c r="NE5" s="3119">
        <f t="shared" si="6"/>
        <v>45977.166666665784</v>
      </c>
      <c r="NF5" s="3119">
        <f t="shared" si="6"/>
        <v>45977.208333332448</v>
      </c>
      <c r="NG5" s="3119">
        <f t="shared" si="6"/>
        <v>45977.249999999112</v>
      </c>
      <c r="NH5" s="3119">
        <f t="shared" si="6"/>
        <v>45977.291666665777</v>
      </c>
      <c r="NI5" s="3119">
        <f t="shared" si="6"/>
        <v>45977.333333332441</v>
      </c>
      <c r="NJ5" s="3119">
        <f t="shared" si="6"/>
        <v>45977.374999999105</v>
      </c>
      <c r="NK5" s="3119">
        <f t="shared" si="6"/>
        <v>45977.416666665769</v>
      </c>
      <c r="NL5" s="3119">
        <f t="shared" si="6"/>
        <v>45977.458333332434</v>
      </c>
      <c r="NM5" s="3119">
        <f t="shared" si="6"/>
        <v>45977.499999999098</v>
      </c>
      <c r="NN5" s="3119">
        <f t="shared" si="6"/>
        <v>45977.541666665762</v>
      </c>
      <c r="NO5" s="3119">
        <f t="shared" si="6"/>
        <v>45977.583333332426</v>
      </c>
      <c r="NP5" s="3119">
        <f t="shared" si="6"/>
        <v>45977.624999999091</v>
      </c>
      <c r="NQ5" s="3119">
        <f t="shared" si="6"/>
        <v>45977.666666665755</v>
      </c>
      <c r="NR5" s="3119">
        <f t="shared" si="6"/>
        <v>45977.708333332419</v>
      </c>
      <c r="NS5" s="3119">
        <f t="shared" si="6"/>
        <v>45977.749999999083</v>
      </c>
      <c r="NT5" s="3119">
        <f t="shared" si="6"/>
        <v>45977.791666665747</v>
      </c>
      <c r="NU5" s="3119">
        <f t="shared" si="6"/>
        <v>45977.833333332412</v>
      </c>
      <c r="NV5" s="3119">
        <f t="shared" si="6"/>
        <v>45977.874999999076</v>
      </c>
      <c r="NW5" s="3119">
        <f t="shared" si="6"/>
        <v>45977.91666666574</v>
      </c>
      <c r="NX5" s="3119">
        <f t="shared" si="6"/>
        <v>45977.958333332404</v>
      </c>
      <c r="NY5" s="3119">
        <f t="shared" si="6"/>
        <v>45977.999999999069</v>
      </c>
      <c r="NZ5" s="3119">
        <f t="shared" si="6"/>
        <v>45978.041666665733</v>
      </c>
      <c r="OA5" s="3119">
        <f t="shared" si="7"/>
        <v>45978.083333332397</v>
      </c>
      <c r="OB5" s="3119">
        <f t="shared" si="7"/>
        <v>45978.124999999061</v>
      </c>
      <c r="OC5" s="3119">
        <f t="shared" si="7"/>
        <v>45978.166666665726</v>
      </c>
      <c r="OD5" s="3119">
        <f t="shared" si="7"/>
        <v>45978.20833333239</v>
      </c>
      <c r="OE5" s="3119">
        <f t="shared" si="7"/>
        <v>45978.249999999054</v>
      </c>
      <c r="OF5" s="3119">
        <f t="shared" si="7"/>
        <v>45978.291666665718</v>
      </c>
      <c r="OG5" s="3119">
        <f t="shared" si="7"/>
        <v>45978.333333332383</v>
      </c>
      <c r="OH5" s="3119">
        <f t="shared" si="7"/>
        <v>45978.374999999047</v>
      </c>
      <c r="OI5" s="3119">
        <f t="shared" si="7"/>
        <v>45978.416666665711</v>
      </c>
      <c r="OJ5" s="3119">
        <f t="shared" si="7"/>
        <v>45978.458333332375</v>
      </c>
      <c r="OK5" s="3119">
        <f t="shared" si="7"/>
        <v>45978.49999999904</v>
      </c>
      <c r="OL5" s="3119">
        <f t="shared" si="7"/>
        <v>45978.541666665704</v>
      </c>
      <c r="OM5" s="3119">
        <f t="shared" si="7"/>
        <v>45978.583333332368</v>
      </c>
      <c r="ON5" s="3119">
        <f t="shared" si="7"/>
        <v>45978.624999999032</v>
      </c>
      <c r="OO5" s="3119">
        <f t="shared" si="7"/>
        <v>45978.666666665697</v>
      </c>
      <c r="OP5" s="3119">
        <f t="shared" si="7"/>
        <v>45978.708333332361</v>
      </c>
      <c r="OQ5" s="3119">
        <f t="shared" si="7"/>
        <v>45978.749999999025</v>
      </c>
      <c r="OR5" s="3119">
        <f t="shared" si="7"/>
        <v>45978.791666665689</v>
      </c>
      <c r="OS5" s="3119">
        <f t="shared" si="7"/>
        <v>45978.833333332354</v>
      </c>
      <c r="OT5" s="3119">
        <f t="shared" si="7"/>
        <v>45978.874999999018</v>
      </c>
      <c r="OU5" s="3119">
        <f t="shared" si="7"/>
        <v>45978.916666665682</v>
      </c>
      <c r="OV5" s="3119">
        <f t="shared" si="7"/>
        <v>45978.958333332346</v>
      </c>
      <c r="OW5" s="3119">
        <f t="shared" si="7"/>
        <v>45978.99999999901</v>
      </c>
      <c r="OX5" s="3119">
        <f t="shared" si="7"/>
        <v>45979.041666665675</v>
      </c>
      <c r="OY5" s="3119">
        <f t="shared" si="7"/>
        <v>45979.083333332339</v>
      </c>
      <c r="OZ5" s="3119">
        <f t="shared" si="7"/>
        <v>45979.124999999003</v>
      </c>
      <c r="PA5" s="3119">
        <f t="shared" si="7"/>
        <v>45979.166666665667</v>
      </c>
      <c r="PB5" s="3119">
        <f t="shared" si="7"/>
        <v>45979.208333332332</v>
      </c>
      <c r="PC5" s="3119">
        <f t="shared" si="7"/>
        <v>45979.249999998996</v>
      </c>
      <c r="PD5" s="3119">
        <f t="shared" si="7"/>
        <v>45979.29166666566</v>
      </c>
      <c r="PE5" s="3119">
        <f t="shared" si="7"/>
        <v>45979.333333332324</v>
      </c>
      <c r="PF5" s="3119">
        <f t="shared" si="7"/>
        <v>45979.374999998989</v>
      </c>
      <c r="PG5" s="3119">
        <f t="shared" si="7"/>
        <v>45979.416666665653</v>
      </c>
      <c r="PH5" s="3119">
        <f t="shared" si="7"/>
        <v>45979.458333332317</v>
      </c>
      <c r="PI5" s="3119">
        <f t="shared" si="7"/>
        <v>45979.499999998981</v>
      </c>
      <c r="PJ5" s="3119">
        <f t="shared" si="7"/>
        <v>45979.541666665646</v>
      </c>
      <c r="PK5" s="3119">
        <f t="shared" si="7"/>
        <v>45979.58333333231</v>
      </c>
      <c r="PL5" s="3119">
        <f t="shared" si="7"/>
        <v>45979.624999998974</v>
      </c>
      <c r="PM5" s="3119">
        <f t="shared" si="7"/>
        <v>45979.666666665638</v>
      </c>
      <c r="PN5" s="3119">
        <f t="shared" si="7"/>
        <v>45979.708333332303</v>
      </c>
      <c r="PO5" s="3119">
        <f t="shared" si="7"/>
        <v>45979.749999998967</v>
      </c>
      <c r="PP5" s="3119">
        <f t="shared" si="7"/>
        <v>45979.791666665631</v>
      </c>
      <c r="PQ5" s="3119">
        <f t="shared" si="7"/>
        <v>45979.833333332295</v>
      </c>
      <c r="PR5" s="3119">
        <f t="shared" si="7"/>
        <v>45979.87499999896</v>
      </c>
      <c r="PS5" s="3119">
        <f t="shared" si="7"/>
        <v>45979.916666665624</v>
      </c>
      <c r="PT5" s="3119">
        <f t="shared" si="7"/>
        <v>45979.958333332288</v>
      </c>
      <c r="PU5" s="3119">
        <f t="shared" si="7"/>
        <v>45979.999999998952</v>
      </c>
      <c r="PV5" s="3119">
        <f t="shared" si="7"/>
        <v>45980.041666665617</v>
      </c>
      <c r="PW5" s="3119">
        <f t="shared" si="7"/>
        <v>45980.083333332281</v>
      </c>
      <c r="PX5" s="3119">
        <f t="shared" si="7"/>
        <v>45980.124999998945</v>
      </c>
      <c r="PY5" s="3119">
        <f t="shared" si="7"/>
        <v>45980.166666665609</v>
      </c>
      <c r="PZ5" s="3119">
        <f t="shared" si="7"/>
        <v>45980.208333332273</v>
      </c>
      <c r="QA5" s="3119">
        <f t="shared" si="7"/>
        <v>45980.249999998938</v>
      </c>
      <c r="QB5" s="3119">
        <f t="shared" si="7"/>
        <v>45980.291666665602</v>
      </c>
      <c r="QC5" s="3119">
        <f t="shared" si="7"/>
        <v>45980.333333332266</v>
      </c>
      <c r="QD5" s="3119">
        <f t="shared" si="7"/>
        <v>45980.37499999893</v>
      </c>
      <c r="QE5" s="3119">
        <f t="shared" si="7"/>
        <v>45980.416666665595</v>
      </c>
      <c r="QF5" s="3119">
        <f t="shared" si="7"/>
        <v>45980.458333332259</v>
      </c>
      <c r="QG5" s="3119">
        <f t="shared" si="7"/>
        <v>45980.499999998923</v>
      </c>
      <c r="QH5" s="3119">
        <f t="shared" si="7"/>
        <v>45980.541666665587</v>
      </c>
      <c r="QI5" s="3119">
        <f t="shared" si="7"/>
        <v>45980.583333332252</v>
      </c>
      <c r="QJ5" s="3119">
        <f t="shared" si="7"/>
        <v>45980.624999998916</v>
      </c>
      <c r="QK5" s="3119">
        <f t="shared" si="7"/>
        <v>45980.66666666558</v>
      </c>
      <c r="QL5" s="3119">
        <f t="shared" si="7"/>
        <v>45980.708333332244</v>
      </c>
      <c r="QM5" s="3119">
        <f t="shared" si="8"/>
        <v>45980.749999998909</v>
      </c>
      <c r="QN5" s="3119">
        <f t="shared" si="8"/>
        <v>45980.791666665573</v>
      </c>
      <c r="QO5" s="3119">
        <f t="shared" si="8"/>
        <v>45980.833333332237</v>
      </c>
      <c r="QP5" s="3119">
        <f t="shared" si="8"/>
        <v>45980.874999998901</v>
      </c>
      <c r="QQ5" s="3119">
        <f t="shared" si="8"/>
        <v>45980.916666665566</v>
      </c>
      <c r="QR5" s="3119">
        <f t="shared" si="8"/>
        <v>45980.95833333223</v>
      </c>
      <c r="QS5" s="3119">
        <f t="shared" si="8"/>
        <v>45980.999999998894</v>
      </c>
      <c r="QT5" s="3119">
        <f t="shared" si="8"/>
        <v>45981.041666665558</v>
      </c>
      <c r="QU5" s="3119">
        <f t="shared" si="8"/>
        <v>45981.083333332223</v>
      </c>
      <c r="QV5" s="3119">
        <f t="shared" si="8"/>
        <v>45981.124999998887</v>
      </c>
      <c r="QW5" s="3119">
        <f t="shared" si="8"/>
        <v>45981.166666665551</v>
      </c>
      <c r="QX5" s="3119">
        <f t="shared" si="8"/>
        <v>45981.208333332215</v>
      </c>
      <c r="QY5" s="3119">
        <f t="shared" si="8"/>
        <v>45981.24999999888</v>
      </c>
      <c r="QZ5" s="3119">
        <f t="shared" si="8"/>
        <v>45981.291666665544</v>
      </c>
      <c r="RA5" s="3119">
        <f t="shared" si="8"/>
        <v>45981.333333332208</v>
      </c>
      <c r="RB5" s="3119">
        <f t="shared" si="8"/>
        <v>45981.374999998872</v>
      </c>
      <c r="RC5" s="3119">
        <f t="shared" si="8"/>
        <v>45981.416666665536</v>
      </c>
      <c r="RD5" s="3119">
        <f t="shared" si="8"/>
        <v>45981.458333332201</v>
      </c>
      <c r="RE5" s="3119">
        <f t="shared" si="8"/>
        <v>45981.499999998865</v>
      </c>
      <c r="RF5" s="3119">
        <f t="shared" si="8"/>
        <v>45981.541666665529</v>
      </c>
      <c r="RG5" s="3119">
        <f t="shared" si="8"/>
        <v>45981.583333332193</v>
      </c>
      <c r="RH5" s="3119">
        <f t="shared" si="8"/>
        <v>45981.624999998858</v>
      </c>
      <c r="RI5" s="3119">
        <f t="shared" si="8"/>
        <v>45981.666666665522</v>
      </c>
      <c r="RJ5" s="3119">
        <f t="shared" si="8"/>
        <v>45981.708333332186</v>
      </c>
      <c r="RK5" s="3119">
        <f t="shared" si="8"/>
        <v>45981.74999999885</v>
      </c>
      <c r="RL5" s="3119">
        <f t="shared" si="8"/>
        <v>45981.791666665515</v>
      </c>
      <c r="RM5" s="3119">
        <f t="shared" si="8"/>
        <v>45981.833333332179</v>
      </c>
      <c r="RN5" s="3119">
        <f t="shared" si="8"/>
        <v>45981.874999998843</v>
      </c>
      <c r="RO5" s="3119">
        <f t="shared" si="8"/>
        <v>45981.916666665507</v>
      </c>
      <c r="RP5" s="3119">
        <f t="shared" si="8"/>
        <v>45981.958333332172</v>
      </c>
      <c r="RQ5" s="3119">
        <f t="shared" si="8"/>
        <v>45981.999999998836</v>
      </c>
      <c r="RR5" s="3119">
        <f t="shared" si="8"/>
        <v>45982.0416666655</v>
      </c>
      <c r="RS5" s="3119">
        <f t="shared" si="8"/>
        <v>45982.083333332164</v>
      </c>
      <c r="RT5" s="3119">
        <f t="shared" si="8"/>
        <v>45982.124999998829</v>
      </c>
      <c r="RU5" s="3119">
        <f t="shared" si="8"/>
        <v>45982.166666665493</v>
      </c>
      <c r="RV5" s="3119">
        <f t="shared" si="8"/>
        <v>45982.208333332157</v>
      </c>
      <c r="RW5" s="3119">
        <f t="shared" si="8"/>
        <v>45982.249999998821</v>
      </c>
      <c r="RX5" s="3119">
        <f t="shared" si="8"/>
        <v>45982.291666665486</v>
      </c>
      <c r="RY5" s="3119">
        <f t="shared" si="8"/>
        <v>45982.33333333215</v>
      </c>
      <c r="RZ5" s="3119">
        <f t="shared" si="8"/>
        <v>45982.374999998814</v>
      </c>
      <c r="SA5" s="3119">
        <f t="shared" si="8"/>
        <v>45982.416666665478</v>
      </c>
      <c r="SB5" s="3119">
        <f t="shared" si="8"/>
        <v>45982.458333332143</v>
      </c>
      <c r="SC5" s="3119">
        <f t="shared" si="8"/>
        <v>45982.499999998807</v>
      </c>
      <c r="SD5" s="3119">
        <f t="shared" si="8"/>
        <v>45982.541666665471</v>
      </c>
      <c r="SE5" s="3119">
        <f t="shared" si="8"/>
        <v>45982.583333332135</v>
      </c>
      <c r="SF5" s="3119">
        <f t="shared" si="8"/>
        <v>45982.624999998799</v>
      </c>
      <c r="SG5" s="3119">
        <f t="shared" si="8"/>
        <v>45982.666666665464</v>
      </c>
      <c r="SH5" s="3119">
        <f t="shared" si="8"/>
        <v>45982.708333332128</v>
      </c>
      <c r="SI5" s="3119">
        <f t="shared" si="8"/>
        <v>45982.749999998792</v>
      </c>
      <c r="SJ5" s="3119">
        <f t="shared" si="8"/>
        <v>45982.791666665456</v>
      </c>
      <c r="SK5" s="3119">
        <f t="shared" si="8"/>
        <v>45982.833333332121</v>
      </c>
      <c r="SL5" s="3119">
        <f t="shared" si="8"/>
        <v>45982.874999998785</v>
      </c>
      <c r="SM5" s="3119">
        <f t="shared" si="8"/>
        <v>45982.916666665449</v>
      </c>
      <c r="SN5" s="3119">
        <f t="shared" si="8"/>
        <v>45982.958333332113</v>
      </c>
      <c r="SO5" s="3119">
        <f t="shared" si="8"/>
        <v>45982.999999998778</v>
      </c>
      <c r="SP5" s="3119">
        <f t="shared" si="8"/>
        <v>45983.041666665442</v>
      </c>
      <c r="SQ5" s="3119">
        <f t="shared" si="8"/>
        <v>45983.083333332106</v>
      </c>
      <c r="SR5" s="3119">
        <f t="shared" si="8"/>
        <v>45983.12499999877</v>
      </c>
      <c r="SS5" s="3119">
        <f t="shared" si="8"/>
        <v>45983.166666665435</v>
      </c>
      <c r="ST5" s="3119">
        <f t="shared" si="8"/>
        <v>45983.208333332099</v>
      </c>
      <c r="SU5" s="3119">
        <f t="shared" si="8"/>
        <v>45983.249999998763</v>
      </c>
      <c r="SV5" s="3119">
        <f t="shared" si="8"/>
        <v>45983.291666665427</v>
      </c>
      <c r="SW5" s="3119">
        <f t="shared" si="8"/>
        <v>45983.333333332092</v>
      </c>
      <c r="SX5" s="3119">
        <f t="shared" si="8"/>
        <v>45983.374999998756</v>
      </c>
      <c r="SY5" s="3119">
        <f t="shared" si="9"/>
        <v>45983.41666666542</v>
      </c>
      <c r="SZ5" s="3119">
        <f t="shared" si="9"/>
        <v>45983.458333332084</v>
      </c>
      <c r="TA5" s="3119">
        <f t="shared" si="9"/>
        <v>45983.499999998749</v>
      </c>
      <c r="TB5" s="3119">
        <f t="shared" si="9"/>
        <v>45983.541666665413</v>
      </c>
      <c r="TC5" s="3119">
        <f t="shared" si="9"/>
        <v>45983.583333332077</v>
      </c>
      <c r="TD5" s="3119">
        <f t="shared" si="9"/>
        <v>45983.624999998741</v>
      </c>
      <c r="TE5" s="3119">
        <f t="shared" si="9"/>
        <v>45983.666666665406</v>
      </c>
      <c r="TF5" s="3119">
        <f t="shared" si="9"/>
        <v>45983.70833333207</v>
      </c>
      <c r="TG5" s="3119">
        <f t="shared" si="9"/>
        <v>45983.749999998734</v>
      </c>
      <c r="TH5" s="3119">
        <f t="shared" si="9"/>
        <v>45983.791666665398</v>
      </c>
      <c r="TI5" s="3119">
        <f t="shared" si="9"/>
        <v>45983.833333332062</v>
      </c>
      <c r="TJ5" s="3119">
        <f t="shared" si="9"/>
        <v>45983.874999998727</v>
      </c>
      <c r="TK5" s="3119">
        <f t="shared" si="9"/>
        <v>45983.916666665391</v>
      </c>
      <c r="TL5" s="3119">
        <f t="shared" si="9"/>
        <v>45983.958333332055</v>
      </c>
      <c r="TM5" s="3119">
        <f t="shared" si="9"/>
        <v>45983.999999998719</v>
      </c>
      <c r="TN5" s="3119">
        <f t="shared" si="9"/>
        <v>45984.041666665384</v>
      </c>
      <c r="TO5" s="3119">
        <f t="shared" si="9"/>
        <v>45984.083333332048</v>
      </c>
      <c r="TP5" s="3119">
        <f t="shared" si="9"/>
        <v>45984.124999998712</v>
      </c>
      <c r="TQ5" s="3119">
        <f t="shared" si="9"/>
        <v>45984.166666665376</v>
      </c>
      <c r="TR5" s="3119">
        <f t="shared" si="9"/>
        <v>45984.208333332041</v>
      </c>
      <c r="TS5" s="3119">
        <f t="shared" si="9"/>
        <v>45984.249999998705</v>
      </c>
      <c r="TT5" s="3119">
        <f t="shared" si="9"/>
        <v>45984.291666665369</v>
      </c>
      <c r="TU5" s="3119">
        <f t="shared" si="9"/>
        <v>45984.333333332033</v>
      </c>
      <c r="TV5" s="3119">
        <f t="shared" si="9"/>
        <v>45984.374999998698</v>
      </c>
      <c r="TW5" s="3119">
        <f t="shared" si="9"/>
        <v>45984.416666665362</v>
      </c>
      <c r="TX5" s="3119">
        <f t="shared" si="9"/>
        <v>45984.458333332026</v>
      </c>
      <c r="TY5" s="3119">
        <f t="shared" si="9"/>
        <v>45984.49999999869</v>
      </c>
      <c r="TZ5" s="3119">
        <f t="shared" si="9"/>
        <v>45984.541666665355</v>
      </c>
      <c r="UA5" s="3119">
        <f t="shared" si="9"/>
        <v>45984.583333332019</v>
      </c>
      <c r="UB5" s="3119">
        <f t="shared" si="9"/>
        <v>45984.624999998683</v>
      </c>
      <c r="UC5" s="3119">
        <f t="shared" si="9"/>
        <v>45984.666666665347</v>
      </c>
      <c r="UD5" s="3119">
        <f t="shared" si="9"/>
        <v>45984.708333332012</v>
      </c>
      <c r="UE5" s="3119">
        <f t="shared" si="9"/>
        <v>45984.749999998676</v>
      </c>
      <c r="UF5" s="3119">
        <f t="shared" si="9"/>
        <v>45984.79166666534</v>
      </c>
      <c r="UG5" s="3119">
        <f t="shared" si="9"/>
        <v>45984.833333332004</v>
      </c>
      <c r="UH5" s="3119">
        <f t="shared" si="9"/>
        <v>45984.874999998668</v>
      </c>
      <c r="UI5" s="3119">
        <f t="shared" si="9"/>
        <v>45984.916666665333</v>
      </c>
      <c r="UJ5" s="3119">
        <f t="shared" si="9"/>
        <v>45984.958333331997</v>
      </c>
      <c r="UK5" s="3119">
        <f t="shared" si="9"/>
        <v>45984.999999998661</v>
      </c>
      <c r="UL5" s="3119">
        <f t="shared" si="9"/>
        <v>45985.041666665325</v>
      </c>
      <c r="UM5" s="3119">
        <f t="shared" si="9"/>
        <v>45985.08333333199</v>
      </c>
      <c r="UN5" s="3119">
        <f t="shared" si="9"/>
        <v>45985.124999998654</v>
      </c>
      <c r="UO5" s="3119">
        <f t="shared" si="9"/>
        <v>45985.166666665318</v>
      </c>
      <c r="UP5" s="3119">
        <f t="shared" si="9"/>
        <v>45985.208333331982</v>
      </c>
      <c r="UQ5" s="3119">
        <f t="shared" si="9"/>
        <v>45985.249999998647</v>
      </c>
      <c r="UR5" s="3119">
        <f t="shared" si="9"/>
        <v>45985.291666665311</v>
      </c>
      <c r="US5" s="3119">
        <f t="shared" si="9"/>
        <v>45985.333333331975</v>
      </c>
      <c r="UT5" s="3119">
        <f t="shared" si="9"/>
        <v>45985.374999998639</v>
      </c>
      <c r="UU5" s="3119">
        <f t="shared" si="9"/>
        <v>45985.416666665304</v>
      </c>
      <c r="UV5" s="3119">
        <f t="shared" si="9"/>
        <v>45985.458333331968</v>
      </c>
      <c r="UW5" s="3119">
        <f t="shared" si="9"/>
        <v>45985.499999998632</v>
      </c>
      <c r="UX5" s="3119">
        <f t="shared" si="9"/>
        <v>45985.541666665296</v>
      </c>
      <c r="UY5" s="3119">
        <f t="shared" si="9"/>
        <v>45985.583333331961</v>
      </c>
      <c r="UZ5" s="3119">
        <f t="shared" si="9"/>
        <v>45985.624999998625</v>
      </c>
      <c r="VA5" s="3119">
        <f t="shared" si="9"/>
        <v>45985.666666665289</v>
      </c>
      <c r="VB5" s="3119">
        <f t="shared" si="9"/>
        <v>45985.708333331953</v>
      </c>
      <c r="VC5" s="3119">
        <f t="shared" si="9"/>
        <v>45985.749999998618</v>
      </c>
      <c r="VD5" s="3119">
        <f t="shared" si="9"/>
        <v>45985.791666665282</v>
      </c>
      <c r="VE5" s="3119">
        <f t="shared" si="9"/>
        <v>45985.833333331946</v>
      </c>
      <c r="VF5" s="3119">
        <f t="shared" si="9"/>
        <v>45985.87499999861</v>
      </c>
      <c r="VG5" s="3119">
        <f t="shared" si="9"/>
        <v>45985.916666665275</v>
      </c>
      <c r="VH5" s="3119">
        <f t="shared" si="9"/>
        <v>45985.958333331939</v>
      </c>
      <c r="VI5" s="3119">
        <f t="shared" si="9"/>
        <v>45985.999999998603</v>
      </c>
      <c r="VJ5" s="3119">
        <f t="shared" si="9"/>
        <v>45986.041666665267</v>
      </c>
      <c r="VK5" s="3119">
        <f t="shared" si="10"/>
        <v>45986.083333331931</v>
      </c>
      <c r="VL5" s="3119">
        <f t="shared" si="10"/>
        <v>45986.124999998596</v>
      </c>
      <c r="VM5" s="3119">
        <f t="shared" si="10"/>
        <v>45986.16666666526</v>
      </c>
      <c r="VN5" s="3119">
        <f t="shared" si="10"/>
        <v>45986.208333331924</v>
      </c>
      <c r="VO5" s="3119">
        <f t="shared" si="10"/>
        <v>45986.249999998588</v>
      </c>
      <c r="VP5" s="3119">
        <f t="shared" si="10"/>
        <v>45986.291666665253</v>
      </c>
      <c r="VQ5" s="3119">
        <f t="shared" si="10"/>
        <v>45986.333333331917</v>
      </c>
      <c r="VR5" s="3119">
        <f t="shared" si="10"/>
        <v>45986.374999998581</v>
      </c>
      <c r="VS5" s="3119">
        <f t="shared" si="10"/>
        <v>45986.416666665245</v>
      </c>
      <c r="VT5" s="3119">
        <f t="shared" si="10"/>
        <v>45986.45833333191</v>
      </c>
      <c r="VU5" s="3119">
        <f t="shared" si="10"/>
        <v>45986.499999998574</v>
      </c>
      <c r="VV5" s="3119">
        <f t="shared" si="10"/>
        <v>45986.541666665238</v>
      </c>
      <c r="VW5" s="3119">
        <f t="shared" si="10"/>
        <v>45986.583333331902</v>
      </c>
      <c r="VX5" s="3119">
        <f t="shared" si="10"/>
        <v>45986.624999998567</v>
      </c>
      <c r="VY5" s="3119">
        <f t="shared" si="10"/>
        <v>45986.666666665231</v>
      </c>
      <c r="VZ5" s="3119">
        <f t="shared" si="10"/>
        <v>45986.708333331895</v>
      </c>
      <c r="WA5" s="3119">
        <f t="shared" si="10"/>
        <v>45986.749999998559</v>
      </c>
      <c r="WB5" s="3119">
        <f t="shared" si="10"/>
        <v>45986.791666665224</v>
      </c>
      <c r="WC5" s="3119">
        <f t="shared" si="10"/>
        <v>45986.833333331888</v>
      </c>
      <c r="WD5" s="3119">
        <f t="shared" si="10"/>
        <v>45986.874999998552</v>
      </c>
      <c r="WE5" s="3119">
        <f t="shared" si="10"/>
        <v>45986.916666665216</v>
      </c>
      <c r="WF5" s="3119">
        <f t="shared" si="10"/>
        <v>45986.958333331881</v>
      </c>
      <c r="WG5" s="3119">
        <f t="shared" si="10"/>
        <v>45986.999999998545</v>
      </c>
      <c r="WH5" s="3119">
        <f t="shared" si="10"/>
        <v>45987.041666665209</v>
      </c>
      <c r="WI5" s="3119">
        <f t="shared" si="10"/>
        <v>45987.083333331873</v>
      </c>
      <c r="WJ5" s="3119">
        <f t="shared" si="10"/>
        <v>45987.124999998538</v>
      </c>
      <c r="WK5" s="3119">
        <f t="shared" si="10"/>
        <v>45987.166666665202</v>
      </c>
      <c r="WL5" s="3119">
        <f t="shared" si="10"/>
        <v>45987.208333331866</v>
      </c>
      <c r="WM5" s="3119">
        <f t="shared" si="10"/>
        <v>45987.24999999853</v>
      </c>
      <c r="WN5" s="3119">
        <f t="shared" si="10"/>
        <v>45987.291666665194</v>
      </c>
      <c r="WO5" s="3119">
        <f t="shared" si="10"/>
        <v>45987.333333331859</v>
      </c>
      <c r="WP5" s="3119">
        <f t="shared" si="10"/>
        <v>45987.374999998523</v>
      </c>
      <c r="WQ5" s="3119">
        <f t="shared" si="10"/>
        <v>45987.416666665187</v>
      </c>
      <c r="WR5" s="3119">
        <f t="shared" si="10"/>
        <v>45987.458333331851</v>
      </c>
      <c r="WS5" s="3119">
        <f t="shared" si="10"/>
        <v>45987.499999998516</v>
      </c>
      <c r="WT5" s="3119">
        <f t="shared" si="10"/>
        <v>45987.54166666518</v>
      </c>
      <c r="WU5" s="3119">
        <f t="shared" si="10"/>
        <v>45987.583333331844</v>
      </c>
      <c r="WV5" s="3119">
        <f t="shared" si="10"/>
        <v>45987.624999998508</v>
      </c>
      <c r="WW5" s="3119">
        <f t="shared" si="10"/>
        <v>45987.666666665173</v>
      </c>
      <c r="WX5" s="3119">
        <f t="shared" si="10"/>
        <v>45987.708333331837</v>
      </c>
      <c r="WY5" s="3119">
        <f t="shared" si="10"/>
        <v>45987.749999998501</v>
      </c>
      <c r="WZ5" s="3119">
        <f t="shared" si="10"/>
        <v>45987.791666665165</v>
      </c>
      <c r="XA5" s="3119">
        <f t="shared" si="10"/>
        <v>45987.83333333183</v>
      </c>
      <c r="XB5" s="3119">
        <f t="shared" si="10"/>
        <v>45987.874999998494</v>
      </c>
      <c r="XC5" s="3119">
        <f t="shared" si="10"/>
        <v>45987.916666665158</v>
      </c>
      <c r="XD5" s="3119">
        <f t="shared" si="10"/>
        <v>45987.958333331822</v>
      </c>
      <c r="XE5" s="3119">
        <f t="shared" si="10"/>
        <v>45987.999999998487</v>
      </c>
      <c r="XF5" s="3119">
        <f t="shared" si="10"/>
        <v>45988.041666665151</v>
      </c>
      <c r="XG5" s="3119">
        <f t="shared" si="10"/>
        <v>45988.083333331815</v>
      </c>
      <c r="XH5" s="3119">
        <f t="shared" si="10"/>
        <v>45988.124999998479</v>
      </c>
      <c r="XI5" s="3119">
        <f t="shared" si="10"/>
        <v>45988.166666665144</v>
      </c>
      <c r="XJ5" s="3119">
        <f t="shared" si="10"/>
        <v>45988.208333331808</v>
      </c>
      <c r="XK5" s="3119">
        <f t="shared" si="10"/>
        <v>45988.249999998472</v>
      </c>
      <c r="XL5" s="3119">
        <f t="shared" si="10"/>
        <v>45988.291666665136</v>
      </c>
      <c r="XM5" s="3119">
        <f t="shared" si="10"/>
        <v>45988.333333331801</v>
      </c>
      <c r="XN5" s="3119">
        <f t="shared" si="10"/>
        <v>45988.374999998465</v>
      </c>
      <c r="XO5" s="3119">
        <f t="shared" si="10"/>
        <v>45988.416666665129</v>
      </c>
      <c r="XP5" s="3119">
        <f t="shared" si="10"/>
        <v>45988.458333331793</v>
      </c>
      <c r="XQ5" s="3119">
        <f t="shared" si="10"/>
        <v>45988.499999998457</v>
      </c>
      <c r="XR5" s="3119">
        <f t="shared" si="10"/>
        <v>45988.541666665122</v>
      </c>
      <c r="XS5" s="3119">
        <f t="shared" si="10"/>
        <v>45988.583333331786</v>
      </c>
      <c r="XT5" s="3119">
        <f t="shared" si="10"/>
        <v>45988.62499999845</v>
      </c>
      <c r="XU5" s="3119">
        <f t="shared" si="10"/>
        <v>45988.666666665114</v>
      </c>
      <c r="XV5" s="3119">
        <f t="shared" si="10"/>
        <v>45988.708333331779</v>
      </c>
      <c r="XW5" s="3119">
        <f t="shared" si="11"/>
        <v>45988.749999998443</v>
      </c>
      <c r="XX5" s="3119">
        <f t="shared" si="11"/>
        <v>45988.791666665107</v>
      </c>
      <c r="XY5" s="3119">
        <f t="shared" si="11"/>
        <v>45988.833333331771</v>
      </c>
      <c r="XZ5" s="3119">
        <f t="shared" si="11"/>
        <v>45988.874999998436</v>
      </c>
      <c r="YA5" s="3119">
        <f t="shared" si="11"/>
        <v>45988.9166666651</v>
      </c>
      <c r="YB5" s="3119">
        <f t="shared" si="11"/>
        <v>45988.958333331764</v>
      </c>
      <c r="YC5" s="3119">
        <f t="shared" si="11"/>
        <v>45988.999999998428</v>
      </c>
      <c r="YD5" s="3119">
        <f t="shared" si="11"/>
        <v>45989.041666665093</v>
      </c>
      <c r="YE5" s="3119">
        <f t="shared" si="11"/>
        <v>45989.083333331757</v>
      </c>
      <c r="YF5" s="3119">
        <f t="shared" si="11"/>
        <v>45989.124999998421</v>
      </c>
      <c r="YG5" s="3119">
        <f t="shared" si="11"/>
        <v>45989.166666665085</v>
      </c>
      <c r="YH5" s="3119">
        <f t="shared" si="11"/>
        <v>45989.20833333175</v>
      </c>
      <c r="YI5" s="3119">
        <f t="shared" si="11"/>
        <v>45989.249999998414</v>
      </c>
      <c r="YJ5" s="3119">
        <f t="shared" si="11"/>
        <v>45989.291666665078</v>
      </c>
      <c r="YK5" s="3119">
        <f t="shared" si="11"/>
        <v>45989.333333331742</v>
      </c>
      <c r="YL5" s="3119">
        <f t="shared" si="11"/>
        <v>45989.374999998407</v>
      </c>
      <c r="YM5" s="3119">
        <f t="shared" si="11"/>
        <v>45989.416666665071</v>
      </c>
      <c r="YN5" s="3119">
        <f t="shared" si="11"/>
        <v>45989.458333331735</v>
      </c>
      <c r="YO5" s="3119">
        <f t="shared" si="11"/>
        <v>45989.499999998399</v>
      </c>
      <c r="YP5" s="3119">
        <f t="shared" si="11"/>
        <v>45989.541666665064</v>
      </c>
      <c r="YQ5" s="3119">
        <f t="shared" si="11"/>
        <v>45989.583333331728</v>
      </c>
      <c r="YR5" s="3119">
        <f t="shared" si="11"/>
        <v>45989.624999998392</v>
      </c>
      <c r="YS5" s="3119">
        <f t="shared" si="11"/>
        <v>45989.666666665056</v>
      </c>
      <c r="YT5" s="3119">
        <f t="shared" si="11"/>
        <v>45989.70833333172</v>
      </c>
      <c r="YU5" s="3119">
        <f t="shared" si="11"/>
        <v>45989.749999998385</v>
      </c>
      <c r="YV5" s="3119">
        <f t="shared" si="11"/>
        <v>45989.791666665049</v>
      </c>
      <c r="YW5" s="3119">
        <f t="shared" si="11"/>
        <v>45989.833333331713</v>
      </c>
      <c r="YX5" s="3119">
        <f t="shared" si="11"/>
        <v>45989.874999998377</v>
      </c>
      <c r="YY5" s="3119">
        <f t="shared" si="11"/>
        <v>45989.916666665042</v>
      </c>
      <c r="YZ5" s="3119">
        <f t="shared" si="11"/>
        <v>45989.958333331706</v>
      </c>
      <c r="ZA5" s="3119">
        <f t="shared" si="11"/>
        <v>45989.99999999837</v>
      </c>
      <c r="ZB5" s="3119">
        <f t="shared" si="11"/>
        <v>45990.041666665034</v>
      </c>
      <c r="ZC5" s="3119">
        <f t="shared" si="11"/>
        <v>45990.083333331699</v>
      </c>
      <c r="ZD5" s="3119">
        <f t="shared" si="11"/>
        <v>45990.124999998363</v>
      </c>
      <c r="ZE5" s="3119">
        <f t="shared" si="11"/>
        <v>45990.166666665027</v>
      </c>
      <c r="ZF5" s="3119">
        <f t="shared" si="11"/>
        <v>45990.208333331691</v>
      </c>
      <c r="ZG5" s="3119">
        <f t="shared" si="11"/>
        <v>45990.249999998356</v>
      </c>
      <c r="ZH5" s="3119">
        <f t="shared" si="11"/>
        <v>45990.29166666502</v>
      </c>
      <c r="ZI5" s="3119">
        <f t="shared" si="11"/>
        <v>45990.333333331684</v>
      </c>
      <c r="ZJ5" s="3119">
        <f t="shared" si="11"/>
        <v>45990.374999998348</v>
      </c>
      <c r="ZK5" s="3119">
        <f t="shared" si="11"/>
        <v>45990.416666665013</v>
      </c>
      <c r="ZL5" s="3119">
        <f t="shared" si="11"/>
        <v>45990.458333331677</v>
      </c>
      <c r="ZM5" s="3119">
        <f t="shared" si="11"/>
        <v>45990.499999998341</v>
      </c>
      <c r="ZN5" s="3119">
        <f t="shared" si="11"/>
        <v>45990.541666665005</v>
      </c>
      <c r="ZO5" s="3119">
        <f t="shared" si="11"/>
        <v>45990.58333333167</v>
      </c>
      <c r="ZP5" s="3119">
        <f t="shared" si="11"/>
        <v>45990.624999998334</v>
      </c>
      <c r="ZQ5" s="3119">
        <f t="shared" si="11"/>
        <v>45990.666666664998</v>
      </c>
      <c r="ZR5" s="3119">
        <f t="shared" si="11"/>
        <v>45990.708333331662</v>
      </c>
      <c r="ZS5" s="3119">
        <f t="shared" si="11"/>
        <v>45990.749999998327</v>
      </c>
      <c r="ZT5" s="3119">
        <f t="shared" si="11"/>
        <v>45990.791666664991</v>
      </c>
      <c r="ZU5" s="3119">
        <f t="shared" si="11"/>
        <v>45990.833333331655</v>
      </c>
      <c r="ZV5" s="3119">
        <f t="shared" si="11"/>
        <v>45990.874999998319</v>
      </c>
      <c r="ZW5" s="3119">
        <f t="shared" si="11"/>
        <v>45990.916666664983</v>
      </c>
      <c r="ZX5" s="3119">
        <f t="shared" si="11"/>
        <v>45990.958333331648</v>
      </c>
      <c r="ZY5" s="3119">
        <f t="shared" si="11"/>
        <v>45990.999999998312</v>
      </c>
      <c r="ZZ5" s="3119">
        <f t="shared" si="11"/>
        <v>45991.041666664976</v>
      </c>
      <c r="AAA5" s="3119">
        <f t="shared" si="11"/>
        <v>45991.08333333164</v>
      </c>
      <c r="AAB5" s="3119">
        <f t="shared" si="11"/>
        <v>45991.124999998305</v>
      </c>
      <c r="AAC5" s="3119">
        <f t="shared" si="11"/>
        <v>45991.166666664969</v>
      </c>
      <c r="AAD5" s="3119">
        <f t="shared" si="11"/>
        <v>45991.208333331633</v>
      </c>
      <c r="AAE5" s="3119">
        <f t="shared" si="11"/>
        <v>45991.249999998297</v>
      </c>
      <c r="AAF5" s="3119">
        <f t="shared" si="11"/>
        <v>45991.291666664962</v>
      </c>
      <c r="AAG5" s="3119">
        <f t="shared" si="11"/>
        <v>45991.333333331626</v>
      </c>
      <c r="AAH5" s="3119">
        <f t="shared" si="11"/>
        <v>45991.37499999829</v>
      </c>
      <c r="AAI5" s="3119">
        <f t="shared" si="12"/>
        <v>45991.416666664954</v>
      </c>
      <c r="AAJ5" s="3119">
        <f t="shared" si="12"/>
        <v>45991.458333331619</v>
      </c>
      <c r="AAK5" s="3119">
        <f t="shared" si="12"/>
        <v>45991.499999998283</v>
      </c>
      <c r="AAL5" s="3119">
        <f t="shared" si="12"/>
        <v>45991.541666664947</v>
      </c>
      <c r="AAM5" s="3119">
        <f t="shared" si="12"/>
        <v>45991.583333331611</v>
      </c>
      <c r="AAN5" s="3119">
        <f t="shared" si="12"/>
        <v>45991.624999998276</v>
      </c>
      <c r="AAO5" s="3119">
        <f t="shared" si="12"/>
        <v>45991.66666666494</v>
      </c>
      <c r="AAP5" s="3119">
        <f t="shared" si="12"/>
        <v>45991.708333331604</v>
      </c>
      <c r="AAQ5" s="3119">
        <f t="shared" si="12"/>
        <v>45991.749999998268</v>
      </c>
      <c r="AAR5" s="3119">
        <f t="shared" si="12"/>
        <v>45991.791666664933</v>
      </c>
      <c r="AAS5" s="3119">
        <f t="shared" si="12"/>
        <v>45991.833333331597</v>
      </c>
      <c r="AAT5" s="3119">
        <f t="shared" si="12"/>
        <v>45991.874999998261</v>
      </c>
      <c r="AAU5" s="3119">
        <f t="shared" si="12"/>
        <v>45991.916666664925</v>
      </c>
      <c r="AAV5" s="3119">
        <f t="shared" si="12"/>
        <v>45991.95833333159</v>
      </c>
    </row>
    <row r="6" spans="1:724" s="282" customFormat="1" ht="13">
      <c r="A6" s="3115" t="s">
        <v>1543</v>
      </c>
      <c r="B6" s="3119">
        <v>45965.25</v>
      </c>
      <c r="C6" s="3119">
        <v>45966.75</v>
      </c>
      <c r="D6" s="3116">
        <f>+(C6-B6)*24</f>
        <v>36</v>
      </c>
      <c r="E6" s="3119">
        <v>45962</v>
      </c>
      <c r="F6" s="3119">
        <f t="shared" si="13"/>
        <v>45962.041666666664</v>
      </c>
      <c r="G6" s="3119">
        <f t="shared" si="1"/>
        <v>45962.083333333328</v>
      </c>
      <c r="H6" s="3119">
        <f t="shared" si="1"/>
        <v>45962.124999999993</v>
      </c>
      <c r="I6" s="3119">
        <f t="shared" si="1"/>
        <v>45962.166666666657</v>
      </c>
      <c r="J6" s="3119">
        <f t="shared" si="1"/>
        <v>45962.208333333321</v>
      </c>
      <c r="K6" s="3119">
        <f t="shared" si="1"/>
        <v>45962.249999999985</v>
      </c>
      <c r="L6" s="3119">
        <f t="shared" si="1"/>
        <v>45962.29166666665</v>
      </c>
      <c r="M6" s="3119">
        <f t="shared" si="1"/>
        <v>45962.333333333314</v>
      </c>
      <c r="N6" s="3119">
        <f t="shared" si="1"/>
        <v>45962.374999999978</v>
      </c>
      <c r="O6" s="3119">
        <f t="shared" si="1"/>
        <v>45962.416666666642</v>
      </c>
      <c r="P6" s="3119">
        <f t="shared" si="1"/>
        <v>45962.458333333307</v>
      </c>
      <c r="Q6" s="3119">
        <f t="shared" si="1"/>
        <v>45962.499999999971</v>
      </c>
      <c r="R6" s="3119">
        <f t="shared" si="1"/>
        <v>45962.541666666635</v>
      </c>
      <c r="S6" s="3119">
        <f t="shared" si="1"/>
        <v>45962.583333333299</v>
      </c>
      <c r="T6" s="3119">
        <f t="shared" si="1"/>
        <v>45962.624999999964</v>
      </c>
      <c r="U6" s="3119">
        <f t="shared" si="1"/>
        <v>45962.666666666628</v>
      </c>
      <c r="V6" s="3119">
        <f t="shared" si="1"/>
        <v>45962.708333333292</v>
      </c>
      <c r="W6" s="3119">
        <f t="shared" si="1"/>
        <v>45962.749999999956</v>
      </c>
      <c r="X6" s="3119">
        <f t="shared" si="1"/>
        <v>45962.791666666621</v>
      </c>
      <c r="Y6" s="3119">
        <f t="shared" si="1"/>
        <v>45962.833333333285</v>
      </c>
      <c r="Z6" s="3119">
        <f t="shared" si="1"/>
        <v>45962.874999999949</v>
      </c>
      <c r="AA6" s="3119">
        <f t="shared" si="1"/>
        <v>45962.916666666613</v>
      </c>
      <c r="AB6" s="3119">
        <f t="shared" si="1"/>
        <v>45962.958333333278</v>
      </c>
      <c r="AC6" s="3119">
        <f t="shared" si="1"/>
        <v>45962.999999999942</v>
      </c>
      <c r="AD6" s="3119">
        <f t="shared" si="1"/>
        <v>45963.041666666606</v>
      </c>
      <c r="AE6" s="3119">
        <f t="shared" si="1"/>
        <v>45963.08333333327</v>
      </c>
      <c r="AF6" s="3119">
        <f t="shared" si="1"/>
        <v>45963.124999999935</v>
      </c>
      <c r="AG6" s="3119">
        <f t="shared" si="1"/>
        <v>45963.166666666599</v>
      </c>
      <c r="AH6" s="3119">
        <f t="shared" si="1"/>
        <v>45963.208333333263</v>
      </c>
      <c r="AI6" s="3119">
        <f t="shared" si="1"/>
        <v>45963.249999999927</v>
      </c>
      <c r="AJ6" s="3119">
        <f t="shared" si="1"/>
        <v>45963.291666666591</v>
      </c>
      <c r="AK6" s="3119">
        <f t="shared" si="1"/>
        <v>45963.333333333256</v>
      </c>
      <c r="AL6" s="3119">
        <f t="shared" si="1"/>
        <v>45963.37499999992</v>
      </c>
      <c r="AM6" s="3119">
        <f t="shared" si="1"/>
        <v>45963.416666666584</v>
      </c>
      <c r="AN6" s="3119">
        <f t="shared" si="1"/>
        <v>45963.458333333248</v>
      </c>
      <c r="AO6" s="3119">
        <f t="shared" si="1"/>
        <v>45963.499999999913</v>
      </c>
      <c r="AP6" s="3119">
        <f t="shared" si="1"/>
        <v>45963.541666666577</v>
      </c>
      <c r="AQ6" s="3119">
        <f t="shared" si="1"/>
        <v>45963.583333333241</v>
      </c>
      <c r="AR6" s="3119">
        <f t="shared" si="1"/>
        <v>45963.624999999905</v>
      </c>
      <c r="AS6" s="3119">
        <f t="shared" si="1"/>
        <v>45963.66666666657</v>
      </c>
      <c r="AT6" s="3119">
        <f t="shared" si="1"/>
        <v>45963.708333333234</v>
      </c>
      <c r="AU6" s="3119">
        <f t="shared" si="1"/>
        <v>45963.749999999898</v>
      </c>
      <c r="AV6" s="3119">
        <f t="shared" si="1"/>
        <v>45963.791666666562</v>
      </c>
      <c r="AW6" s="3119">
        <f t="shared" si="1"/>
        <v>45963.833333333227</v>
      </c>
      <c r="AX6" s="3119">
        <f t="shared" si="1"/>
        <v>45963.874999999891</v>
      </c>
      <c r="AY6" s="3119">
        <f t="shared" si="1"/>
        <v>45963.916666666555</v>
      </c>
      <c r="AZ6" s="3119">
        <f t="shared" si="1"/>
        <v>45963.958333333219</v>
      </c>
      <c r="BA6" s="3119">
        <f t="shared" si="1"/>
        <v>45963.999999999884</v>
      </c>
      <c r="BB6" s="3119">
        <f t="shared" si="1"/>
        <v>45964.041666666548</v>
      </c>
      <c r="BC6" s="3119">
        <f t="shared" si="1"/>
        <v>45964.083333333212</v>
      </c>
      <c r="BD6" s="3119">
        <f t="shared" si="1"/>
        <v>45964.124999999876</v>
      </c>
      <c r="BE6" s="3119">
        <f t="shared" si="1"/>
        <v>45964.166666666541</v>
      </c>
      <c r="BF6" s="3119">
        <f t="shared" si="1"/>
        <v>45964.208333333205</v>
      </c>
      <c r="BG6" s="3119">
        <f t="shared" si="1"/>
        <v>45964.249999999869</v>
      </c>
      <c r="BH6" s="3119">
        <f t="shared" si="1"/>
        <v>45964.291666666533</v>
      </c>
      <c r="BI6" s="3119">
        <f t="shared" si="1"/>
        <v>45964.333333333198</v>
      </c>
      <c r="BJ6" s="3119">
        <f t="shared" si="1"/>
        <v>45964.374999999862</v>
      </c>
      <c r="BK6" s="3119">
        <f t="shared" si="1"/>
        <v>45964.416666666526</v>
      </c>
      <c r="BL6" s="3119">
        <f t="shared" si="1"/>
        <v>45964.45833333319</v>
      </c>
      <c r="BM6" s="3119">
        <f t="shared" si="1"/>
        <v>45964.499999999854</v>
      </c>
      <c r="BN6" s="3119">
        <f t="shared" si="1"/>
        <v>45964.541666666519</v>
      </c>
      <c r="BO6" s="3119">
        <f t="shared" si="1"/>
        <v>45964.583333333183</v>
      </c>
      <c r="BP6" s="3119">
        <f t="shared" si="1"/>
        <v>45964.624999999847</v>
      </c>
      <c r="BQ6" s="3119">
        <f t="shared" si="1"/>
        <v>45964.666666666511</v>
      </c>
      <c r="BR6" s="3119">
        <f t="shared" ref="BR6:BR20" si="14">+BQ6+1/24</f>
        <v>45964.708333333176</v>
      </c>
      <c r="BS6" s="3119">
        <f t="shared" si="2"/>
        <v>45964.74999999984</v>
      </c>
      <c r="BT6" s="3119">
        <f t="shared" si="2"/>
        <v>45964.791666666504</v>
      </c>
      <c r="BU6" s="3119">
        <f t="shared" si="2"/>
        <v>45964.833333333168</v>
      </c>
      <c r="BV6" s="3119">
        <f t="shared" si="2"/>
        <v>45964.874999999833</v>
      </c>
      <c r="BW6" s="3119">
        <f t="shared" si="2"/>
        <v>45964.916666666497</v>
      </c>
      <c r="BX6" s="3119">
        <f t="shared" si="2"/>
        <v>45964.958333333161</v>
      </c>
      <c r="BY6" s="3119">
        <f t="shared" si="2"/>
        <v>45964.999999999825</v>
      </c>
      <c r="BZ6" s="3119">
        <f t="shared" si="2"/>
        <v>45965.04166666649</v>
      </c>
      <c r="CA6" s="3119">
        <f t="shared" si="2"/>
        <v>45965.083333333154</v>
      </c>
      <c r="CB6" s="3119">
        <f t="shared" si="2"/>
        <v>45965.124999999818</v>
      </c>
      <c r="CC6" s="3119">
        <f t="shared" si="2"/>
        <v>45965.166666666482</v>
      </c>
      <c r="CD6" s="3119">
        <f t="shared" si="2"/>
        <v>45965.208333333147</v>
      </c>
      <c r="CE6" s="3119">
        <f t="shared" si="2"/>
        <v>45965.249999999811</v>
      </c>
      <c r="CF6" s="3119">
        <f t="shared" si="2"/>
        <v>45965.291666666475</v>
      </c>
      <c r="CG6" s="3119">
        <f t="shared" si="2"/>
        <v>45965.333333333139</v>
      </c>
      <c r="CH6" s="3119">
        <f t="shared" si="2"/>
        <v>45965.374999999804</v>
      </c>
      <c r="CI6" s="3119">
        <f t="shared" si="2"/>
        <v>45965.416666666468</v>
      </c>
      <c r="CJ6" s="3119">
        <f t="shared" si="2"/>
        <v>45965.458333333132</v>
      </c>
      <c r="CK6" s="3119">
        <f t="shared" si="2"/>
        <v>45965.499999999796</v>
      </c>
      <c r="CL6" s="3119">
        <f t="shared" si="2"/>
        <v>45965.541666666461</v>
      </c>
      <c r="CM6" s="3119">
        <f t="shared" si="2"/>
        <v>45965.583333333125</v>
      </c>
      <c r="CN6" s="3119">
        <f t="shared" si="2"/>
        <v>45965.624999999789</v>
      </c>
      <c r="CO6" s="3119">
        <f t="shared" si="2"/>
        <v>45965.666666666453</v>
      </c>
      <c r="CP6" s="3119">
        <f t="shared" si="2"/>
        <v>45965.708333333117</v>
      </c>
      <c r="CQ6" s="3119">
        <f t="shared" si="2"/>
        <v>45965.749999999782</v>
      </c>
      <c r="CR6" s="3119">
        <f t="shared" si="2"/>
        <v>45965.791666666446</v>
      </c>
      <c r="CS6" s="3119">
        <f t="shared" si="2"/>
        <v>45965.83333333311</v>
      </c>
      <c r="CT6" s="3119">
        <f t="shared" si="2"/>
        <v>45965.874999999774</v>
      </c>
      <c r="CU6" s="3119">
        <f t="shared" si="2"/>
        <v>45965.916666666439</v>
      </c>
      <c r="CV6" s="3119">
        <f t="shared" si="2"/>
        <v>45965.958333333103</v>
      </c>
      <c r="CW6" s="3119">
        <f t="shared" si="2"/>
        <v>45965.999999999767</v>
      </c>
      <c r="CX6" s="3119">
        <f t="shared" si="2"/>
        <v>45966.041666666431</v>
      </c>
      <c r="CY6" s="3119">
        <f t="shared" si="2"/>
        <v>45966.083333333096</v>
      </c>
      <c r="CZ6" s="3119">
        <f t="shared" si="2"/>
        <v>45966.12499999976</v>
      </c>
      <c r="DA6" s="3119">
        <f t="shared" si="2"/>
        <v>45966.166666666424</v>
      </c>
      <c r="DB6" s="3119">
        <f t="shared" si="2"/>
        <v>45966.208333333088</v>
      </c>
      <c r="DC6" s="3119">
        <f t="shared" si="2"/>
        <v>45966.249999999753</v>
      </c>
      <c r="DD6" s="3119">
        <f t="shared" si="2"/>
        <v>45966.291666666417</v>
      </c>
      <c r="DE6" s="3119">
        <f t="shared" si="2"/>
        <v>45966.333333333081</v>
      </c>
      <c r="DF6" s="3119">
        <f t="shared" si="2"/>
        <v>45966.374999999745</v>
      </c>
      <c r="DG6" s="3119">
        <f t="shared" si="2"/>
        <v>45966.41666666641</v>
      </c>
      <c r="DH6" s="3119">
        <f t="shared" si="2"/>
        <v>45966.458333333074</v>
      </c>
      <c r="DI6" s="3119">
        <f t="shared" si="2"/>
        <v>45966.499999999738</v>
      </c>
      <c r="DJ6" s="3119">
        <f t="shared" si="2"/>
        <v>45966.541666666402</v>
      </c>
      <c r="DK6" s="3119">
        <f t="shared" si="2"/>
        <v>45966.583333333067</v>
      </c>
      <c r="DL6" s="3119">
        <f t="shared" si="2"/>
        <v>45966.624999999731</v>
      </c>
      <c r="DM6" s="3119">
        <f t="shared" si="2"/>
        <v>45966.666666666395</v>
      </c>
      <c r="DN6" s="3119">
        <f t="shared" si="2"/>
        <v>45966.708333333059</v>
      </c>
      <c r="DO6" s="3119">
        <f t="shared" si="2"/>
        <v>45966.749999999724</v>
      </c>
      <c r="DP6" s="3119">
        <f t="shared" si="2"/>
        <v>45966.791666666388</v>
      </c>
      <c r="DQ6" s="3119">
        <f t="shared" si="2"/>
        <v>45966.833333333052</v>
      </c>
      <c r="DR6" s="3119">
        <f t="shared" si="2"/>
        <v>45966.874999999716</v>
      </c>
      <c r="DS6" s="3119">
        <f t="shared" si="2"/>
        <v>45966.91666666638</v>
      </c>
      <c r="DT6" s="3119">
        <f t="shared" si="2"/>
        <v>45966.958333333045</v>
      </c>
      <c r="DU6" s="3119">
        <f t="shared" si="2"/>
        <v>45966.999999999709</v>
      </c>
      <c r="DV6" s="3119">
        <f t="shared" si="2"/>
        <v>45967.041666666373</v>
      </c>
      <c r="DW6" s="3119">
        <f t="shared" si="2"/>
        <v>45967.083333333037</v>
      </c>
      <c r="DX6" s="3119">
        <f t="shared" si="2"/>
        <v>45967.124999999702</v>
      </c>
      <c r="DY6" s="3119">
        <f t="shared" si="2"/>
        <v>45967.166666666366</v>
      </c>
      <c r="DZ6" s="3119">
        <f t="shared" si="2"/>
        <v>45967.20833333303</v>
      </c>
      <c r="EA6" s="3119">
        <f t="shared" si="2"/>
        <v>45967.249999999694</v>
      </c>
      <c r="EB6" s="3119">
        <f t="shared" si="2"/>
        <v>45967.291666666359</v>
      </c>
      <c r="EC6" s="3119">
        <f t="shared" si="2"/>
        <v>45967.333333333023</v>
      </c>
      <c r="ED6" s="3119">
        <f t="shared" ref="ED6:ED20" si="15">+EC6+1/24</f>
        <v>45967.374999999687</v>
      </c>
      <c r="EE6" s="3119">
        <f t="shared" si="3"/>
        <v>45967.416666666351</v>
      </c>
      <c r="EF6" s="3119">
        <f t="shared" si="3"/>
        <v>45967.458333333016</v>
      </c>
      <c r="EG6" s="3119">
        <f t="shared" si="3"/>
        <v>45967.49999999968</v>
      </c>
      <c r="EH6" s="3119">
        <f t="shared" si="3"/>
        <v>45967.541666666344</v>
      </c>
      <c r="EI6" s="3119">
        <f t="shared" si="3"/>
        <v>45967.583333333008</v>
      </c>
      <c r="EJ6" s="3119">
        <f t="shared" si="3"/>
        <v>45967.624999999673</v>
      </c>
      <c r="EK6" s="3119">
        <f t="shared" si="3"/>
        <v>45967.666666666337</v>
      </c>
      <c r="EL6" s="3119">
        <f t="shared" si="3"/>
        <v>45967.708333333001</v>
      </c>
      <c r="EM6" s="3119">
        <f t="shared" si="3"/>
        <v>45967.749999999665</v>
      </c>
      <c r="EN6" s="3119">
        <f t="shared" si="3"/>
        <v>45967.79166666633</v>
      </c>
      <c r="EO6" s="3119">
        <f t="shared" si="3"/>
        <v>45967.833333332994</v>
      </c>
      <c r="EP6" s="3119">
        <f t="shared" si="3"/>
        <v>45967.874999999658</v>
      </c>
      <c r="EQ6" s="3119">
        <f t="shared" si="3"/>
        <v>45967.916666666322</v>
      </c>
      <c r="ER6" s="3119">
        <f t="shared" si="3"/>
        <v>45967.958333332987</v>
      </c>
      <c r="ES6" s="3119">
        <f t="shared" si="3"/>
        <v>45967.999999999651</v>
      </c>
      <c r="ET6" s="3119">
        <f t="shared" si="3"/>
        <v>45968.041666666315</v>
      </c>
      <c r="EU6" s="3119">
        <f t="shared" si="3"/>
        <v>45968.083333332979</v>
      </c>
      <c r="EV6" s="3119">
        <f t="shared" si="3"/>
        <v>45968.124999999643</v>
      </c>
      <c r="EW6" s="3119">
        <f t="shared" si="3"/>
        <v>45968.166666666308</v>
      </c>
      <c r="EX6" s="3119">
        <f t="shared" si="3"/>
        <v>45968.208333332972</v>
      </c>
      <c r="EY6" s="3119">
        <f t="shared" si="3"/>
        <v>45968.249999999636</v>
      </c>
      <c r="EZ6" s="3119">
        <f t="shared" si="3"/>
        <v>45968.2916666663</v>
      </c>
      <c r="FA6" s="3119">
        <f t="shared" si="3"/>
        <v>45968.333333332965</v>
      </c>
      <c r="FB6" s="3119">
        <f t="shared" si="3"/>
        <v>45968.374999999629</v>
      </c>
      <c r="FC6" s="3119">
        <f t="shared" si="3"/>
        <v>45968.416666666293</v>
      </c>
      <c r="FD6" s="3119">
        <f t="shared" si="3"/>
        <v>45968.458333332957</v>
      </c>
      <c r="FE6" s="3119">
        <f t="shared" si="3"/>
        <v>45968.499999999622</v>
      </c>
      <c r="FF6" s="3119">
        <f t="shared" si="3"/>
        <v>45968.541666666286</v>
      </c>
      <c r="FG6" s="3119">
        <f t="shared" si="3"/>
        <v>45968.58333333295</v>
      </c>
      <c r="FH6" s="3119">
        <f t="shared" si="3"/>
        <v>45968.624999999614</v>
      </c>
      <c r="FI6" s="3119">
        <f t="shared" si="3"/>
        <v>45968.666666666279</v>
      </c>
      <c r="FJ6" s="3119">
        <f t="shared" si="3"/>
        <v>45968.708333332943</v>
      </c>
      <c r="FK6" s="3119">
        <f t="shared" si="3"/>
        <v>45968.749999999607</v>
      </c>
      <c r="FL6" s="3119">
        <f t="shared" si="3"/>
        <v>45968.791666666271</v>
      </c>
      <c r="FM6" s="3119">
        <f t="shared" si="3"/>
        <v>45968.833333332936</v>
      </c>
      <c r="FN6" s="3119">
        <f t="shared" si="3"/>
        <v>45968.8749999996</v>
      </c>
      <c r="FO6" s="3119">
        <f t="shared" si="3"/>
        <v>45968.916666666264</v>
      </c>
      <c r="FP6" s="3119">
        <f t="shared" si="3"/>
        <v>45968.958333332928</v>
      </c>
      <c r="FQ6" s="3119">
        <f t="shared" si="3"/>
        <v>45968.999999999593</v>
      </c>
      <c r="FR6" s="3119">
        <f t="shared" si="3"/>
        <v>45969.041666666257</v>
      </c>
      <c r="FS6" s="3119">
        <f t="shared" si="3"/>
        <v>45969.083333332921</v>
      </c>
      <c r="FT6" s="3119">
        <f t="shared" si="3"/>
        <v>45969.124999999585</v>
      </c>
      <c r="FU6" s="3119">
        <f t="shared" si="3"/>
        <v>45969.16666666625</v>
      </c>
      <c r="FV6" s="3119">
        <f t="shared" si="3"/>
        <v>45969.208333332914</v>
      </c>
      <c r="FW6" s="3119">
        <f t="shared" si="3"/>
        <v>45969.249999999578</v>
      </c>
      <c r="FX6" s="3119">
        <f t="shared" si="3"/>
        <v>45969.291666666242</v>
      </c>
      <c r="FY6" s="3119">
        <f t="shared" si="3"/>
        <v>45969.333333332906</v>
      </c>
      <c r="FZ6" s="3119">
        <f t="shared" si="3"/>
        <v>45969.374999999571</v>
      </c>
      <c r="GA6" s="3119">
        <f t="shared" si="3"/>
        <v>45969.416666666235</v>
      </c>
      <c r="GB6" s="3119">
        <f t="shared" si="3"/>
        <v>45969.458333332899</v>
      </c>
      <c r="GC6" s="3119">
        <f t="shared" si="3"/>
        <v>45969.499999999563</v>
      </c>
      <c r="GD6" s="3119">
        <f t="shared" si="3"/>
        <v>45969.541666666228</v>
      </c>
      <c r="GE6" s="3119">
        <f t="shared" si="3"/>
        <v>45969.583333332892</v>
      </c>
      <c r="GF6" s="3119">
        <f t="shared" si="3"/>
        <v>45969.624999999556</v>
      </c>
      <c r="GG6" s="3119">
        <f t="shared" si="3"/>
        <v>45969.66666666622</v>
      </c>
      <c r="GH6" s="3119">
        <f t="shared" si="3"/>
        <v>45969.708333332885</v>
      </c>
      <c r="GI6" s="3119">
        <f t="shared" si="3"/>
        <v>45969.749999999549</v>
      </c>
      <c r="GJ6" s="3119">
        <f t="shared" si="3"/>
        <v>45969.791666666213</v>
      </c>
      <c r="GK6" s="3119">
        <f t="shared" si="3"/>
        <v>45969.833333332877</v>
      </c>
      <c r="GL6" s="3119">
        <f t="shared" si="3"/>
        <v>45969.874999999542</v>
      </c>
      <c r="GM6" s="3119">
        <f t="shared" si="3"/>
        <v>45969.916666666206</v>
      </c>
      <c r="GN6" s="3119">
        <f t="shared" si="3"/>
        <v>45969.95833333287</v>
      </c>
      <c r="GO6" s="3119">
        <f t="shared" si="3"/>
        <v>45969.999999999534</v>
      </c>
      <c r="GP6" s="3119">
        <f t="shared" ref="GP6:GP20" si="16">+GO6+1/24</f>
        <v>45970.041666666199</v>
      </c>
      <c r="GQ6" s="3119">
        <f t="shared" si="4"/>
        <v>45970.083333332863</v>
      </c>
      <c r="GR6" s="3119">
        <f t="shared" si="4"/>
        <v>45970.124999999527</v>
      </c>
      <c r="GS6" s="3119">
        <f t="shared" si="4"/>
        <v>45970.166666666191</v>
      </c>
      <c r="GT6" s="3119">
        <f t="shared" si="4"/>
        <v>45970.208333332856</v>
      </c>
      <c r="GU6" s="3119">
        <f t="shared" si="4"/>
        <v>45970.24999999952</v>
      </c>
      <c r="GV6" s="3119">
        <f t="shared" si="4"/>
        <v>45970.291666666184</v>
      </c>
      <c r="GW6" s="3119">
        <f t="shared" si="4"/>
        <v>45970.333333332848</v>
      </c>
      <c r="GX6" s="3119">
        <f t="shared" si="4"/>
        <v>45970.374999999513</v>
      </c>
      <c r="GY6" s="3119">
        <f t="shared" si="4"/>
        <v>45970.416666666177</v>
      </c>
      <c r="GZ6" s="3119">
        <f t="shared" si="4"/>
        <v>45970.458333332841</v>
      </c>
      <c r="HA6" s="3119">
        <f t="shared" si="4"/>
        <v>45970.499999999505</v>
      </c>
      <c r="HB6" s="3119">
        <f t="shared" si="4"/>
        <v>45970.541666666169</v>
      </c>
      <c r="HC6" s="3119">
        <f t="shared" si="4"/>
        <v>45970.583333332834</v>
      </c>
      <c r="HD6" s="3119">
        <f t="shared" si="4"/>
        <v>45970.624999999498</v>
      </c>
      <c r="HE6" s="3119">
        <f t="shared" si="4"/>
        <v>45970.666666666162</v>
      </c>
      <c r="HF6" s="3119">
        <f t="shared" si="4"/>
        <v>45970.708333332826</v>
      </c>
      <c r="HG6" s="3119">
        <f t="shared" si="4"/>
        <v>45970.749999999491</v>
      </c>
      <c r="HH6" s="3119">
        <f t="shared" si="4"/>
        <v>45970.791666666155</v>
      </c>
      <c r="HI6" s="3119">
        <f t="shared" si="4"/>
        <v>45970.833333332819</v>
      </c>
      <c r="HJ6" s="3119">
        <f t="shared" si="4"/>
        <v>45970.874999999483</v>
      </c>
      <c r="HK6" s="3119">
        <f t="shared" si="4"/>
        <v>45970.916666666148</v>
      </c>
      <c r="HL6" s="3119">
        <f t="shared" si="4"/>
        <v>45970.958333332812</v>
      </c>
      <c r="HM6" s="3119">
        <f t="shared" si="4"/>
        <v>45970.999999999476</v>
      </c>
      <c r="HN6" s="3119">
        <f t="shared" si="4"/>
        <v>45971.04166666614</v>
      </c>
      <c r="HO6" s="3119">
        <f t="shared" si="4"/>
        <v>45971.083333332805</v>
      </c>
      <c r="HP6" s="3119">
        <f t="shared" si="4"/>
        <v>45971.124999999469</v>
      </c>
      <c r="HQ6" s="3119">
        <f t="shared" si="4"/>
        <v>45971.166666666133</v>
      </c>
      <c r="HR6" s="3119">
        <f t="shared" si="4"/>
        <v>45971.208333332797</v>
      </c>
      <c r="HS6" s="3119">
        <f t="shared" si="4"/>
        <v>45971.249999999462</v>
      </c>
      <c r="HT6" s="3119">
        <f t="shared" si="4"/>
        <v>45971.291666666126</v>
      </c>
      <c r="HU6" s="3119">
        <f t="shared" si="4"/>
        <v>45971.33333333279</v>
      </c>
      <c r="HV6" s="3119">
        <f t="shared" si="4"/>
        <v>45971.374999999454</v>
      </c>
      <c r="HW6" s="3119">
        <f t="shared" si="4"/>
        <v>45971.416666666119</v>
      </c>
      <c r="HX6" s="3119">
        <f t="shared" si="4"/>
        <v>45971.458333332783</v>
      </c>
      <c r="HY6" s="3119">
        <f t="shared" si="4"/>
        <v>45971.499999999447</v>
      </c>
      <c r="HZ6" s="3119">
        <f t="shared" si="4"/>
        <v>45971.541666666111</v>
      </c>
      <c r="IA6" s="3119">
        <f t="shared" si="4"/>
        <v>45971.583333332776</v>
      </c>
      <c r="IB6" s="3119">
        <f t="shared" si="4"/>
        <v>45971.62499999944</v>
      </c>
      <c r="IC6" s="3119">
        <f t="shared" si="4"/>
        <v>45971.666666666104</v>
      </c>
      <c r="ID6" s="3119">
        <f t="shared" si="4"/>
        <v>45971.708333332768</v>
      </c>
      <c r="IE6" s="3119">
        <f t="shared" si="4"/>
        <v>45971.749999999432</v>
      </c>
      <c r="IF6" s="3119">
        <f t="shared" si="4"/>
        <v>45971.791666666097</v>
      </c>
      <c r="IG6" s="3119">
        <f t="shared" si="4"/>
        <v>45971.833333332761</v>
      </c>
      <c r="IH6" s="3119">
        <f t="shared" si="4"/>
        <v>45971.874999999425</v>
      </c>
      <c r="II6" s="3119">
        <f t="shared" si="4"/>
        <v>45971.916666666089</v>
      </c>
      <c r="IJ6" s="3119">
        <f t="shared" si="4"/>
        <v>45971.958333332754</v>
      </c>
      <c r="IK6" s="3119">
        <f t="shared" si="4"/>
        <v>45971.999999999418</v>
      </c>
      <c r="IL6" s="3119">
        <f t="shared" si="4"/>
        <v>45972.041666666082</v>
      </c>
      <c r="IM6" s="3119">
        <f t="shared" si="4"/>
        <v>45972.083333332746</v>
      </c>
      <c r="IN6" s="3119">
        <f t="shared" si="4"/>
        <v>45972.124999999411</v>
      </c>
      <c r="IO6" s="3119">
        <f t="shared" si="4"/>
        <v>45972.166666666075</v>
      </c>
      <c r="IP6" s="3119">
        <f t="shared" si="4"/>
        <v>45972.208333332739</v>
      </c>
      <c r="IQ6" s="3119">
        <f t="shared" si="4"/>
        <v>45972.249999999403</v>
      </c>
      <c r="IR6" s="3119">
        <f t="shared" si="4"/>
        <v>45972.291666666068</v>
      </c>
      <c r="IS6" s="3119">
        <f t="shared" si="4"/>
        <v>45972.333333332732</v>
      </c>
      <c r="IT6" s="3119">
        <f t="shared" si="4"/>
        <v>45972.374999999396</v>
      </c>
      <c r="IU6" s="3119">
        <f t="shared" si="4"/>
        <v>45972.41666666606</v>
      </c>
      <c r="IV6" s="3119">
        <f t="shared" si="4"/>
        <v>45972.458333332725</v>
      </c>
      <c r="IW6" s="3119">
        <f t="shared" si="4"/>
        <v>45972.499999999389</v>
      </c>
      <c r="IX6" s="3119">
        <f t="shared" si="4"/>
        <v>45972.541666666053</v>
      </c>
      <c r="IY6" s="3119">
        <f t="shared" si="4"/>
        <v>45972.583333332717</v>
      </c>
      <c r="IZ6" s="3119">
        <f t="shared" si="4"/>
        <v>45972.624999999382</v>
      </c>
      <c r="JA6" s="3119">
        <f t="shared" si="4"/>
        <v>45972.666666666046</v>
      </c>
      <c r="JB6" s="3119">
        <f t="shared" ref="JB6:JB20" si="17">+JA6+1/24</f>
        <v>45972.70833333271</v>
      </c>
      <c r="JC6" s="3119">
        <f t="shared" si="5"/>
        <v>45972.749999999374</v>
      </c>
      <c r="JD6" s="3119">
        <f t="shared" si="5"/>
        <v>45972.791666666039</v>
      </c>
      <c r="JE6" s="3119">
        <f t="shared" si="5"/>
        <v>45972.833333332703</v>
      </c>
      <c r="JF6" s="3119">
        <f t="shared" si="5"/>
        <v>45972.874999999367</v>
      </c>
      <c r="JG6" s="3119">
        <f t="shared" si="5"/>
        <v>45972.916666666031</v>
      </c>
      <c r="JH6" s="3119">
        <f t="shared" si="5"/>
        <v>45972.958333332695</v>
      </c>
      <c r="JI6" s="3119">
        <f t="shared" si="5"/>
        <v>45972.99999999936</v>
      </c>
      <c r="JJ6" s="3119">
        <f t="shared" si="5"/>
        <v>45973.041666666024</v>
      </c>
      <c r="JK6" s="3119">
        <f t="shared" si="5"/>
        <v>45973.083333332688</v>
      </c>
      <c r="JL6" s="3119">
        <f t="shared" si="5"/>
        <v>45973.124999999352</v>
      </c>
      <c r="JM6" s="3119">
        <f t="shared" si="5"/>
        <v>45973.166666666017</v>
      </c>
      <c r="JN6" s="3119">
        <f t="shared" si="5"/>
        <v>45973.208333332681</v>
      </c>
      <c r="JO6" s="3119">
        <f t="shared" si="5"/>
        <v>45973.249999999345</v>
      </c>
      <c r="JP6" s="3119">
        <f t="shared" si="5"/>
        <v>45973.291666666009</v>
      </c>
      <c r="JQ6" s="3119">
        <f t="shared" si="5"/>
        <v>45973.333333332674</v>
      </c>
      <c r="JR6" s="3119">
        <f t="shared" si="5"/>
        <v>45973.374999999338</v>
      </c>
      <c r="JS6" s="3119">
        <f t="shared" si="5"/>
        <v>45973.416666666002</v>
      </c>
      <c r="JT6" s="3119">
        <f t="shared" si="5"/>
        <v>45973.458333332666</v>
      </c>
      <c r="JU6" s="3119">
        <f t="shared" si="5"/>
        <v>45973.499999999331</v>
      </c>
      <c r="JV6" s="3119">
        <f t="shared" si="5"/>
        <v>45973.541666665995</v>
      </c>
      <c r="JW6" s="3119">
        <f t="shared" si="5"/>
        <v>45973.583333332659</v>
      </c>
      <c r="JX6" s="3119">
        <f t="shared" si="5"/>
        <v>45973.624999999323</v>
      </c>
      <c r="JY6" s="3119">
        <f t="shared" si="5"/>
        <v>45973.666666665988</v>
      </c>
      <c r="JZ6" s="3119">
        <f t="shared" si="5"/>
        <v>45973.708333332652</v>
      </c>
      <c r="KA6" s="3119">
        <f t="shared" si="5"/>
        <v>45973.749999999316</v>
      </c>
      <c r="KB6" s="3119">
        <f t="shared" si="5"/>
        <v>45973.79166666598</v>
      </c>
      <c r="KC6" s="3119">
        <f t="shared" si="5"/>
        <v>45973.833333332645</v>
      </c>
      <c r="KD6" s="3119">
        <f t="shared" si="5"/>
        <v>45973.874999999309</v>
      </c>
      <c r="KE6" s="3119">
        <f t="shared" si="5"/>
        <v>45973.916666665973</v>
      </c>
      <c r="KF6" s="3119">
        <f t="shared" si="5"/>
        <v>45973.958333332637</v>
      </c>
      <c r="KG6" s="3119">
        <f t="shared" si="5"/>
        <v>45973.999999999302</v>
      </c>
      <c r="KH6" s="3119">
        <f t="shared" si="5"/>
        <v>45974.041666665966</v>
      </c>
      <c r="KI6" s="3119">
        <f t="shared" si="5"/>
        <v>45974.08333333263</v>
      </c>
      <c r="KJ6" s="3119">
        <f t="shared" si="5"/>
        <v>45974.124999999294</v>
      </c>
      <c r="KK6" s="3119">
        <f t="shared" si="5"/>
        <v>45974.166666665958</v>
      </c>
      <c r="KL6" s="3119">
        <f t="shared" si="5"/>
        <v>45974.208333332623</v>
      </c>
      <c r="KM6" s="3119">
        <f t="shared" si="5"/>
        <v>45974.249999999287</v>
      </c>
      <c r="KN6" s="3119">
        <f t="shared" si="5"/>
        <v>45974.291666665951</v>
      </c>
      <c r="KO6" s="3119">
        <f t="shared" si="5"/>
        <v>45974.333333332615</v>
      </c>
      <c r="KP6" s="3119">
        <f t="shared" si="5"/>
        <v>45974.37499999928</v>
      </c>
      <c r="KQ6" s="3119">
        <f t="shared" si="5"/>
        <v>45974.416666665944</v>
      </c>
      <c r="KR6" s="3119">
        <f t="shared" si="5"/>
        <v>45974.458333332608</v>
      </c>
      <c r="KS6" s="3119">
        <f t="shared" si="5"/>
        <v>45974.499999999272</v>
      </c>
      <c r="KT6" s="3119">
        <f t="shared" si="5"/>
        <v>45974.541666665937</v>
      </c>
      <c r="KU6" s="3119">
        <f t="shared" si="5"/>
        <v>45974.583333332601</v>
      </c>
      <c r="KV6" s="3119">
        <f t="shared" si="5"/>
        <v>45974.624999999265</v>
      </c>
      <c r="KW6" s="3119">
        <f t="shared" si="5"/>
        <v>45974.666666665929</v>
      </c>
      <c r="KX6" s="3119">
        <f t="shared" si="5"/>
        <v>45974.708333332594</v>
      </c>
      <c r="KY6" s="3119">
        <f t="shared" si="5"/>
        <v>45974.749999999258</v>
      </c>
      <c r="KZ6" s="3119">
        <f t="shared" si="5"/>
        <v>45974.791666665922</v>
      </c>
      <c r="LA6" s="3119">
        <f t="shared" si="5"/>
        <v>45974.833333332586</v>
      </c>
      <c r="LB6" s="3119">
        <f t="shared" si="5"/>
        <v>45974.874999999251</v>
      </c>
      <c r="LC6" s="3119">
        <f t="shared" si="5"/>
        <v>45974.916666665915</v>
      </c>
      <c r="LD6" s="3119">
        <f t="shared" si="5"/>
        <v>45974.958333332579</v>
      </c>
      <c r="LE6" s="3119">
        <f t="shared" si="5"/>
        <v>45974.999999999243</v>
      </c>
      <c r="LF6" s="3119">
        <f t="shared" si="5"/>
        <v>45975.041666665908</v>
      </c>
      <c r="LG6" s="3119">
        <f t="shared" si="5"/>
        <v>45975.083333332572</v>
      </c>
      <c r="LH6" s="3119">
        <f t="shared" si="5"/>
        <v>45975.124999999236</v>
      </c>
      <c r="LI6" s="3119">
        <f t="shared" si="5"/>
        <v>45975.1666666659</v>
      </c>
      <c r="LJ6" s="3119">
        <f t="shared" si="5"/>
        <v>45975.208333332565</v>
      </c>
      <c r="LK6" s="3119">
        <f t="shared" si="5"/>
        <v>45975.249999999229</v>
      </c>
      <c r="LL6" s="3119">
        <f t="shared" si="5"/>
        <v>45975.291666665893</v>
      </c>
      <c r="LM6" s="3119">
        <f t="shared" si="5"/>
        <v>45975.333333332557</v>
      </c>
      <c r="LN6" s="3119">
        <f t="shared" ref="LN6:LN20" si="18">+LM6+1/24</f>
        <v>45975.374999999221</v>
      </c>
      <c r="LO6" s="3119">
        <f t="shared" si="6"/>
        <v>45975.416666665886</v>
      </c>
      <c r="LP6" s="3119">
        <f t="shared" si="6"/>
        <v>45975.45833333255</v>
      </c>
      <c r="LQ6" s="3119">
        <f t="shared" si="6"/>
        <v>45975.499999999214</v>
      </c>
      <c r="LR6" s="3119">
        <f t="shared" si="6"/>
        <v>45975.541666665878</v>
      </c>
      <c r="LS6" s="3119">
        <f t="shared" si="6"/>
        <v>45975.583333332543</v>
      </c>
      <c r="LT6" s="3119">
        <f t="shared" si="6"/>
        <v>45975.624999999207</v>
      </c>
      <c r="LU6" s="3119">
        <f t="shared" si="6"/>
        <v>45975.666666665871</v>
      </c>
      <c r="LV6" s="3119">
        <f t="shared" si="6"/>
        <v>45975.708333332535</v>
      </c>
      <c r="LW6" s="3119">
        <f t="shared" si="6"/>
        <v>45975.7499999992</v>
      </c>
      <c r="LX6" s="3119">
        <f t="shared" si="6"/>
        <v>45975.791666665864</v>
      </c>
      <c r="LY6" s="3119">
        <f t="shared" si="6"/>
        <v>45975.833333332528</v>
      </c>
      <c r="LZ6" s="3119">
        <f t="shared" si="6"/>
        <v>45975.874999999192</v>
      </c>
      <c r="MA6" s="3119">
        <f t="shared" si="6"/>
        <v>45975.916666665857</v>
      </c>
      <c r="MB6" s="3119">
        <f t="shared" si="6"/>
        <v>45975.958333332521</v>
      </c>
      <c r="MC6" s="3119">
        <f t="shared" si="6"/>
        <v>45975.999999999185</v>
      </c>
      <c r="MD6" s="3119">
        <f t="shared" si="6"/>
        <v>45976.041666665849</v>
      </c>
      <c r="ME6" s="3119">
        <f t="shared" si="6"/>
        <v>45976.083333332514</v>
      </c>
      <c r="MF6" s="3119">
        <f t="shared" si="6"/>
        <v>45976.124999999178</v>
      </c>
      <c r="MG6" s="3119">
        <f t="shared" si="6"/>
        <v>45976.166666665842</v>
      </c>
      <c r="MH6" s="3119">
        <f t="shared" si="6"/>
        <v>45976.208333332506</v>
      </c>
      <c r="MI6" s="3119">
        <f t="shared" si="6"/>
        <v>45976.249999999171</v>
      </c>
      <c r="MJ6" s="3119">
        <f t="shared" si="6"/>
        <v>45976.291666665835</v>
      </c>
      <c r="MK6" s="3119">
        <f t="shared" si="6"/>
        <v>45976.333333332499</v>
      </c>
      <c r="ML6" s="3119">
        <f t="shared" si="6"/>
        <v>45976.374999999163</v>
      </c>
      <c r="MM6" s="3119">
        <f t="shared" si="6"/>
        <v>45976.416666665828</v>
      </c>
      <c r="MN6" s="3119">
        <f t="shared" si="6"/>
        <v>45976.458333332492</v>
      </c>
      <c r="MO6" s="3119">
        <f t="shared" si="6"/>
        <v>45976.499999999156</v>
      </c>
      <c r="MP6" s="3119">
        <f t="shared" si="6"/>
        <v>45976.54166666582</v>
      </c>
      <c r="MQ6" s="3119">
        <f t="shared" si="6"/>
        <v>45976.583333332484</v>
      </c>
      <c r="MR6" s="3119">
        <f t="shared" si="6"/>
        <v>45976.624999999149</v>
      </c>
      <c r="MS6" s="3119">
        <f t="shared" si="6"/>
        <v>45976.666666665813</v>
      </c>
      <c r="MT6" s="3119">
        <f t="shared" si="6"/>
        <v>45976.708333332477</v>
      </c>
      <c r="MU6" s="3119">
        <f t="shared" si="6"/>
        <v>45976.749999999141</v>
      </c>
      <c r="MV6" s="3119">
        <f t="shared" si="6"/>
        <v>45976.791666665806</v>
      </c>
      <c r="MW6" s="3119">
        <f t="shared" si="6"/>
        <v>45976.83333333247</v>
      </c>
      <c r="MX6" s="3119">
        <f t="shared" si="6"/>
        <v>45976.874999999134</v>
      </c>
      <c r="MY6" s="3119">
        <f t="shared" si="6"/>
        <v>45976.916666665798</v>
      </c>
      <c r="MZ6" s="3119">
        <f t="shared" si="6"/>
        <v>45976.958333332463</v>
      </c>
      <c r="NA6" s="3119">
        <f t="shared" si="6"/>
        <v>45976.999999999127</v>
      </c>
      <c r="NB6" s="3119">
        <f t="shared" si="6"/>
        <v>45977.041666665791</v>
      </c>
      <c r="NC6" s="3119">
        <f t="shared" si="6"/>
        <v>45977.083333332455</v>
      </c>
      <c r="ND6" s="3119">
        <f t="shared" si="6"/>
        <v>45977.12499999912</v>
      </c>
      <c r="NE6" s="3119">
        <f t="shared" si="6"/>
        <v>45977.166666665784</v>
      </c>
      <c r="NF6" s="3119">
        <f t="shared" si="6"/>
        <v>45977.208333332448</v>
      </c>
      <c r="NG6" s="3119">
        <f t="shared" si="6"/>
        <v>45977.249999999112</v>
      </c>
      <c r="NH6" s="3119">
        <f t="shared" si="6"/>
        <v>45977.291666665777</v>
      </c>
      <c r="NI6" s="3119">
        <f t="shared" si="6"/>
        <v>45977.333333332441</v>
      </c>
      <c r="NJ6" s="3119">
        <f t="shared" si="6"/>
        <v>45977.374999999105</v>
      </c>
      <c r="NK6" s="3119">
        <f t="shared" si="6"/>
        <v>45977.416666665769</v>
      </c>
      <c r="NL6" s="3119">
        <f t="shared" si="6"/>
        <v>45977.458333332434</v>
      </c>
      <c r="NM6" s="3119">
        <f t="shared" si="6"/>
        <v>45977.499999999098</v>
      </c>
      <c r="NN6" s="3119">
        <f t="shared" si="6"/>
        <v>45977.541666665762</v>
      </c>
      <c r="NO6" s="3119">
        <f t="shared" si="6"/>
        <v>45977.583333332426</v>
      </c>
      <c r="NP6" s="3119">
        <f t="shared" si="6"/>
        <v>45977.624999999091</v>
      </c>
      <c r="NQ6" s="3119">
        <f t="shared" si="6"/>
        <v>45977.666666665755</v>
      </c>
      <c r="NR6" s="3119">
        <f t="shared" si="6"/>
        <v>45977.708333332419</v>
      </c>
      <c r="NS6" s="3119">
        <f t="shared" si="6"/>
        <v>45977.749999999083</v>
      </c>
      <c r="NT6" s="3119">
        <f t="shared" si="6"/>
        <v>45977.791666665747</v>
      </c>
      <c r="NU6" s="3119">
        <f t="shared" si="6"/>
        <v>45977.833333332412</v>
      </c>
      <c r="NV6" s="3119">
        <f t="shared" si="6"/>
        <v>45977.874999999076</v>
      </c>
      <c r="NW6" s="3119">
        <f t="shared" si="6"/>
        <v>45977.91666666574</v>
      </c>
      <c r="NX6" s="3119">
        <f t="shared" si="6"/>
        <v>45977.958333332404</v>
      </c>
      <c r="NY6" s="3119">
        <f t="shared" si="6"/>
        <v>45977.999999999069</v>
      </c>
      <c r="NZ6" s="3119">
        <f t="shared" ref="NZ6:NZ20" si="19">+NY6+1/24</f>
        <v>45978.041666665733</v>
      </c>
      <c r="OA6" s="3119">
        <f t="shared" si="7"/>
        <v>45978.083333332397</v>
      </c>
      <c r="OB6" s="3119">
        <f t="shared" si="7"/>
        <v>45978.124999999061</v>
      </c>
      <c r="OC6" s="3119">
        <f t="shared" si="7"/>
        <v>45978.166666665726</v>
      </c>
      <c r="OD6" s="3119">
        <f t="shared" si="7"/>
        <v>45978.20833333239</v>
      </c>
      <c r="OE6" s="3119">
        <f t="shared" si="7"/>
        <v>45978.249999999054</v>
      </c>
      <c r="OF6" s="3119">
        <f t="shared" si="7"/>
        <v>45978.291666665718</v>
      </c>
      <c r="OG6" s="3119">
        <f t="shared" si="7"/>
        <v>45978.333333332383</v>
      </c>
      <c r="OH6" s="3119">
        <f t="shared" si="7"/>
        <v>45978.374999999047</v>
      </c>
      <c r="OI6" s="3119">
        <f t="shared" si="7"/>
        <v>45978.416666665711</v>
      </c>
      <c r="OJ6" s="3119">
        <f t="shared" si="7"/>
        <v>45978.458333332375</v>
      </c>
      <c r="OK6" s="3119">
        <f t="shared" si="7"/>
        <v>45978.49999999904</v>
      </c>
      <c r="OL6" s="3119">
        <f t="shared" si="7"/>
        <v>45978.541666665704</v>
      </c>
      <c r="OM6" s="3119">
        <f t="shared" si="7"/>
        <v>45978.583333332368</v>
      </c>
      <c r="ON6" s="3119">
        <f t="shared" si="7"/>
        <v>45978.624999999032</v>
      </c>
      <c r="OO6" s="3119">
        <f t="shared" si="7"/>
        <v>45978.666666665697</v>
      </c>
      <c r="OP6" s="3119">
        <f t="shared" si="7"/>
        <v>45978.708333332361</v>
      </c>
      <c r="OQ6" s="3119">
        <f t="shared" si="7"/>
        <v>45978.749999999025</v>
      </c>
      <c r="OR6" s="3119">
        <f t="shared" si="7"/>
        <v>45978.791666665689</v>
      </c>
      <c r="OS6" s="3119">
        <f t="shared" si="7"/>
        <v>45978.833333332354</v>
      </c>
      <c r="OT6" s="3119">
        <f t="shared" si="7"/>
        <v>45978.874999999018</v>
      </c>
      <c r="OU6" s="3119">
        <f t="shared" si="7"/>
        <v>45978.916666665682</v>
      </c>
      <c r="OV6" s="3119">
        <f t="shared" si="7"/>
        <v>45978.958333332346</v>
      </c>
      <c r="OW6" s="3119">
        <f t="shared" si="7"/>
        <v>45978.99999999901</v>
      </c>
      <c r="OX6" s="3119">
        <f t="shared" si="7"/>
        <v>45979.041666665675</v>
      </c>
      <c r="OY6" s="3119">
        <f t="shared" si="7"/>
        <v>45979.083333332339</v>
      </c>
      <c r="OZ6" s="3119">
        <f t="shared" si="7"/>
        <v>45979.124999999003</v>
      </c>
      <c r="PA6" s="3119">
        <f t="shared" si="7"/>
        <v>45979.166666665667</v>
      </c>
      <c r="PB6" s="3119">
        <f t="shared" si="7"/>
        <v>45979.208333332332</v>
      </c>
      <c r="PC6" s="3119">
        <f t="shared" si="7"/>
        <v>45979.249999998996</v>
      </c>
      <c r="PD6" s="3119">
        <f t="shared" si="7"/>
        <v>45979.29166666566</v>
      </c>
      <c r="PE6" s="3119">
        <f t="shared" si="7"/>
        <v>45979.333333332324</v>
      </c>
      <c r="PF6" s="3119">
        <f t="shared" si="7"/>
        <v>45979.374999998989</v>
      </c>
      <c r="PG6" s="3119">
        <f t="shared" si="7"/>
        <v>45979.416666665653</v>
      </c>
      <c r="PH6" s="3119">
        <f t="shared" si="7"/>
        <v>45979.458333332317</v>
      </c>
      <c r="PI6" s="3119">
        <f t="shared" si="7"/>
        <v>45979.499999998981</v>
      </c>
      <c r="PJ6" s="3119">
        <f t="shared" si="7"/>
        <v>45979.541666665646</v>
      </c>
      <c r="PK6" s="3119">
        <f t="shared" si="7"/>
        <v>45979.58333333231</v>
      </c>
      <c r="PL6" s="3119">
        <f t="shared" si="7"/>
        <v>45979.624999998974</v>
      </c>
      <c r="PM6" s="3119">
        <f t="shared" si="7"/>
        <v>45979.666666665638</v>
      </c>
      <c r="PN6" s="3119">
        <f t="shared" si="7"/>
        <v>45979.708333332303</v>
      </c>
      <c r="PO6" s="3119">
        <f t="shared" si="7"/>
        <v>45979.749999998967</v>
      </c>
      <c r="PP6" s="3119">
        <f t="shared" si="7"/>
        <v>45979.791666665631</v>
      </c>
      <c r="PQ6" s="3119">
        <f t="shared" si="7"/>
        <v>45979.833333332295</v>
      </c>
      <c r="PR6" s="3119">
        <f t="shared" si="7"/>
        <v>45979.87499999896</v>
      </c>
      <c r="PS6" s="3119">
        <f t="shared" si="7"/>
        <v>45979.916666665624</v>
      </c>
      <c r="PT6" s="3119">
        <f t="shared" si="7"/>
        <v>45979.958333332288</v>
      </c>
      <c r="PU6" s="3119">
        <f t="shared" si="7"/>
        <v>45979.999999998952</v>
      </c>
      <c r="PV6" s="3119">
        <f t="shared" si="7"/>
        <v>45980.041666665617</v>
      </c>
      <c r="PW6" s="3119">
        <f t="shared" si="7"/>
        <v>45980.083333332281</v>
      </c>
      <c r="PX6" s="3119">
        <f t="shared" si="7"/>
        <v>45980.124999998945</v>
      </c>
      <c r="PY6" s="3119">
        <f t="shared" si="7"/>
        <v>45980.166666665609</v>
      </c>
      <c r="PZ6" s="3119">
        <f t="shared" si="7"/>
        <v>45980.208333332273</v>
      </c>
      <c r="QA6" s="3119">
        <f t="shared" si="7"/>
        <v>45980.249999998938</v>
      </c>
      <c r="QB6" s="3119">
        <f t="shared" si="7"/>
        <v>45980.291666665602</v>
      </c>
      <c r="QC6" s="3119">
        <f t="shared" si="7"/>
        <v>45980.333333332266</v>
      </c>
      <c r="QD6" s="3119">
        <f t="shared" si="7"/>
        <v>45980.37499999893</v>
      </c>
      <c r="QE6" s="3119">
        <f t="shared" si="7"/>
        <v>45980.416666665595</v>
      </c>
      <c r="QF6" s="3119">
        <f t="shared" si="7"/>
        <v>45980.458333332259</v>
      </c>
      <c r="QG6" s="3119">
        <f t="shared" si="7"/>
        <v>45980.499999998923</v>
      </c>
      <c r="QH6" s="3119">
        <f t="shared" si="7"/>
        <v>45980.541666665587</v>
      </c>
      <c r="QI6" s="3119">
        <f t="shared" si="7"/>
        <v>45980.583333332252</v>
      </c>
      <c r="QJ6" s="3119">
        <f t="shared" si="7"/>
        <v>45980.624999998916</v>
      </c>
      <c r="QK6" s="3119">
        <f t="shared" si="7"/>
        <v>45980.66666666558</v>
      </c>
      <c r="QL6" s="3119">
        <f t="shared" ref="QL6:QL20" si="20">+QK6+1/24</f>
        <v>45980.708333332244</v>
      </c>
      <c r="QM6" s="3119">
        <f t="shared" si="8"/>
        <v>45980.749999998909</v>
      </c>
      <c r="QN6" s="3119">
        <f t="shared" si="8"/>
        <v>45980.791666665573</v>
      </c>
      <c r="QO6" s="3119">
        <f t="shared" si="8"/>
        <v>45980.833333332237</v>
      </c>
      <c r="QP6" s="3119">
        <f t="shared" si="8"/>
        <v>45980.874999998901</v>
      </c>
      <c r="QQ6" s="3119">
        <f t="shared" si="8"/>
        <v>45980.916666665566</v>
      </c>
      <c r="QR6" s="3119">
        <f t="shared" si="8"/>
        <v>45980.95833333223</v>
      </c>
      <c r="QS6" s="3119">
        <f t="shared" si="8"/>
        <v>45980.999999998894</v>
      </c>
      <c r="QT6" s="3119">
        <f t="shared" si="8"/>
        <v>45981.041666665558</v>
      </c>
      <c r="QU6" s="3119">
        <f t="shared" si="8"/>
        <v>45981.083333332223</v>
      </c>
      <c r="QV6" s="3119">
        <f t="shared" si="8"/>
        <v>45981.124999998887</v>
      </c>
      <c r="QW6" s="3119">
        <f t="shared" si="8"/>
        <v>45981.166666665551</v>
      </c>
      <c r="QX6" s="3119">
        <f t="shared" si="8"/>
        <v>45981.208333332215</v>
      </c>
      <c r="QY6" s="3119">
        <f t="shared" si="8"/>
        <v>45981.24999999888</v>
      </c>
      <c r="QZ6" s="3119">
        <f t="shared" si="8"/>
        <v>45981.291666665544</v>
      </c>
      <c r="RA6" s="3119">
        <f t="shared" si="8"/>
        <v>45981.333333332208</v>
      </c>
      <c r="RB6" s="3119">
        <f t="shared" si="8"/>
        <v>45981.374999998872</v>
      </c>
      <c r="RC6" s="3119">
        <f t="shared" si="8"/>
        <v>45981.416666665536</v>
      </c>
      <c r="RD6" s="3119">
        <f t="shared" si="8"/>
        <v>45981.458333332201</v>
      </c>
      <c r="RE6" s="3119">
        <f t="shared" si="8"/>
        <v>45981.499999998865</v>
      </c>
      <c r="RF6" s="3119">
        <f t="shared" si="8"/>
        <v>45981.541666665529</v>
      </c>
      <c r="RG6" s="3119">
        <f t="shared" si="8"/>
        <v>45981.583333332193</v>
      </c>
      <c r="RH6" s="3119">
        <f t="shared" si="8"/>
        <v>45981.624999998858</v>
      </c>
      <c r="RI6" s="3119">
        <f t="shared" si="8"/>
        <v>45981.666666665522</v>
      </c>
      <c r="RJ6" s="3119">
        <f t="shared" si="8"/>
        <v>45981.708333332186</v>
      </c>
      <c r="RK6" s="3119">
        <f t="shared" si="8"/>
        <v>45981.74999999885</v>
      </c>
      <c r="RL6" s="3119">
        <f t="shared" si="8"/>
        <v>45981.791666665515</v>
      </c>
      <c r="RM6" s="3119">
        <f t="shared" si="8"/>
        <v>45981.833333332179</v>
      </c>
      <c r="RN6" s="3119">
        <f t="shared" si="8"/>
        <v>45981.874999998843</v>
      </c>
      <c r="RO6" s="3119">
        <f t="shared" si="8"/>
        <v>45981.916666665507</v>
      </c>
      <c r="RP6" s="3119">
        <f t="shared" si="8"/>
        <v>45981.958333332172</v>
      </c>
      <c r="RQ6" s="3119">
        <f t="shared" si="8"/>
        <v>45981.999999998836</v>
      </c>
      <c r="RR6" s="3119">
        <f t="shared" si="8"/>
        <v>45982.0416666655</v>
      </c>
      <c r="RS6" s="3119">
        <f t="shared" si="8"/>
        <v>45982.083333332164</v>
      </c>
      <c r="RT6" s="3119">
        <f t="shared" si="8"/>
        <v>45982.124999998829</v>
      </c>
      <c r="RU6" s="3119">
        <f t="shared" si="8"/>
        <v>45982.166666665493</v>
      </c>
      <c r="RV6" s="3119">
        <f t="shared" si="8"/>
        <v>45982.208333332157</v>
      </c>
      <c r="RW6" s="3119">
        <f t="shared" si="8"/>
        <v>45982.249999998821</v>
      </c>
      <c r="RX6" s="3119">
        <f t="shared" si="8"/>
        <v>45982.291666665486</v>
      </c>
      <c r="RY6" s="3119">
        <f t="shared" si="8"/>
        <v>45982.33333333215</v>
      </c>
      <c r="RZ6" s="3119">
        <f t="shared" si="8"/>
        <v>45982.374999998814</v>
      </c>
      <c r="SA6" s="3119">
        <f t="shared" si="8"/>
        <v>45982.416666665478</v>
      </c>
      <c r="SB6" s="3119">
        <f t="shared" si="8"/>
        <v>45982.458333332143</v>
      </c>
      <c r="SC6" s="3119">
        <f t="shared" si="8"/>
        <v>45982.499999998807</v>
      </c>
      <c r="SD6" s="3119">
        <f t="shared" si="8"/>
        <v>45982.541666665471</v>
      </c>
      <c r="SE6" s="3119">
        <f t="shared" si="8"/>
        <v>45982.583333332135</v>
      </c>
      <c r="SF6" s="3119">
        <f t="shared" si="8"/>
        <v>45982.624999998799</v>
      </c>
      <c r="SG6" s="3119">
        <f t="shared" si="8"/>
        <v>45982.666666665464</v>
      </c>
      <c r="SH6" s="3119">
        <f t="shared" si="8"/>
        <v>45982.708333332128</v>
      </c>
      <c r="SI6" s="3119">
        <f t="shared" si="8"/>
        <v>45982.749999998792</v>
      </c>
      <c r="SJ6" s="3119">
        <f t="shared" si="8"/>
        <v>45982.791666665456</v>
      </c>
      <c r="SK6" s="3119">
        <f t="shared" si="8"/>
        <v>45982.833333332121</v>
      </c>
      <c r="SL6" s="3119">
        <f t="shared" si="8"/>
        <v>45982.874999998785</v>
      </c>
      <c r="SM6" s="3119">
        <f t="shared" si="8"/>
        <v>45982.916666665449</v>
      </c>
      <c r="SN6" s="3119">
        <f t="shared" si="8"/>
        <v>45982.958333332113</v>
      </c>
      <c r="SO6" s="3119">
        <f t="shared" si="8"/>
        <v>45982.999999998778</v>
      </c>
      <c r="SP6" s="3119">
        <f t="shared" si="8"/>
        <v>45983.041666665442</v>
      </c>
      <c r="SQ6" s="3119">
        <f t="shared" si="8"/>
        <v>45983.083333332106</v>
      </c>
      <c r="SR6" s="3119">
        <f t="shared" si="8"/>
        <v>45983.12499999877</v>
      </c>
      <c r="SS6" s="3119">
        <f t="shared" si="8"/>
        <v>45983.166666665435</v>
      </c>
      <c r="ST6" s="3119">
        <f t="shared" si="8"/>
        <v>45983.208333332099</v>
      </c>
      <c r="SU6" s="3119">
        <f t="shared" si="8"/>
        <v>45983.249999998763</v>
      </c>
      <c r="SV6" s="3119">
        <f t="shared" si="8"/>
        <v>45983.291666665427</v>
      </c>
      <c r="SW6" s="3119">
        <f t="shared" si="8"/>
        <v>45983.333333332092</v>
      </c>
      <c r="SX6" s="3119">
        <f t="shared" ref="SX6:SX20" si="21">+SW6+1/24</f>
        <v>45983.374999998756</v>
      </c>
      <c r="SY6" s="3119">
        <f t="shared" si="9"/>
        <v>45983.41666666542</v>
      </c>
      <c r="SZ6" s="3119">
        <f t="shared" si="9"/>
        <v>45983.458333332084</v>
      </c>
      <c r="TA6" s="3119">
        <f t="shared" si="9"/>
        <v>45983.499999998749</v>
      </c>
      <c r="TB6" s="3119">
        <f t="shared" si="9"/>
        <v>45983.541666665413</v>
      </c>
      <c r="TC6" s="3119">
        <f t="shared" si="9"/>
        <v>45983.583333332077</v>
      </c>
      <c r="TD6" s="3119">
        <f t="shared" si="9"/>
        <v>45983.624999998741</v>
      </c>
      <c r="TE6" s="3119">
        <f t="shared" si="9"/>
        <v>45983.666666665406</v>
      </c>
      <c r="TF6" s="3119">
        <f t="shared" si="9"/>
        <v>45983.70833333207</v>
      </c>
      <c r="TG6" s="3119">
        <f t="shared" si="9"/>
        <v>45983.749999998734</v>
      </c>
      <c r="TH6" s="3119">
        <f t="shared" si="9"/>
        <v>45983.791666665398</v>
      </c>
      <c r="TI6" s="3119">
        <f t="shared" si="9"/>
        <v>45983.833333332062</v>
      </c>
      <c r="TJ6" s="3119">
        <f t="shared" si="9"/>
        <v>45983.874999998727</v>
      </c>
      <c r="TK6" s="3119">
        <f t="shared" si="9"/>
        <v>45983.916666665391</v>
      </c>
      <c r="TL6" s="3119">
        <f t="shared" si="9"/>
        <v>45983.958333332055</v>
      </c>
      <c r="TM6" s="3119">
        <f t="shared" si="9"/>
        <v>45983.999999998719</v>
      </c>
      <c r="TN6" s="3119">
        <f t="shared" si="9"/>
        <v>45984.041666665384</v>
      </c>
      <c r="TO6" s="3119">
        <f t="shared" si="9"/>
        <v>45984.083333332048</v>
      </c>
      <c r="TP6" s="3119">
        <f t="shared" si="9"/>
        <v>45984.124999998712</v>
      </c>
      <c r="TQ6" s="3119">
        <f t="shared" si="9"/>
        <v>45984.166666665376</v>
      </c>
      <c r="TR6" s="3119">
        <f t="shared" si="9"/>
        <v>45984.208333332041</v>
      </c>
      <c r="TS6" s="3119">
        <f t="shared" si="9"/>
        <v>45984.249999998705</v>
      </c>
      <c r="TT6" s="3119">
        <f t="shared" si="9"/>
        <v>45984.291666665369</v>
      </c>
      <c r="TU6" s="3119">
        <f t="shared" si="9"/>
        <v>45984.333333332033</v>
      </c>
      <c r="TV6" s="3119">
        <f t="shared" si="9"/>
        <v>45984.374999998698</v>
      </c>
      <c r="TW6" s="3119">
        <f t="shared" si="9"/>
        <v>45984.416666665362</v>
      </c>
      <c r="TX6" s="3119">
        <f t="shared" si="9"/>
        <v>45984.458333332026</v>
      </c>
      <c r="TY6" s="3119">
        <f t="shared" si="9"/>
        <v>45984.49999999869</v>
      </c>
      <c r="TZ6" s="3119">
        <f t="shared" si="9"/>
        <v>45984.541666665355</v>
      </c>
      <c r="UA6" s="3119">
        <f t="shared" si="9"/>
        <v>45984.583333332019</v>
      </c>
      <c r="UB6" s="3119">
        <f t="shared" si="9"/>
        <v>45984.624999998683</v>
      </c>
      <c r="UC6" s="3119">
        <f t="shared" si="9"/>
        <v>45984.666666665347</v>
      </c>
      <c r="UD6" s="3119">
        <f t="shared" si="9"/>
        <v>45984.708333332012</v>
      </c>
      <c r="UE6" s="3119">
        <f t="shared" si="9"/>
        <v>45984.749999998676</v>
      </c>
      <c r="UF6" s="3119">
        <f t="shared" si="9"/>
        <v>45984.79166666534</v>
      </c>
      <c r="UG6" s="3119">
        <f t="shared" si="9"/>
        <v>45984.833333332004</v>
      </c>
      <c r="UH6" s="3119">
        <f t="shared" si="9"/>
        <v>45984.874999998668</v>
      </c>
      <c r="UI6" s="3119">
        <f t="shared" si="9"/>
        <v>45984.916666665333</v>
      </c>
      <c r="UJ6" s="3119">
        <f t="shared" si="9"/>
        <v>45984.958333331997</v>
      </c>
      <c r="UK6" s="3119">
        <f t="shared" si="9"/>
        <v>45984.999999998661</v>
      </c>
      <c r="UL6" s="3119">
        <f t="shared" si="9"/>
        <v>45985.041666665325</v>
      </c>
      <c r="UM6" s="3119">
        <f t="shared" si="9"/>
        <v>45985.08333333199</v>
      </c>
      <c r="UN6" s="3119">
        <f t="shared" si="9"/>
        <v>45985.124999998654</v>
      </c>
      <c r="UO6" s="3119">
        <f t="shared" si="9"/>
        <v>45985.166666665318</v>
      </c>
      <c r="UP6" s="3119">
        <f t="shared" si="9"/>
        <v>45985.208333331982</v>
      </c>
      <c r="UQ6" s="3119">
        <f t="shared" si="9"/>
        <v>45985.249999998647</v>
      </c>
      <c r="UR6" s="3119">
        <f t="shared" si="9"/>
        <v>45985.291666665311</v>
      </c>
      <c r="US6" s="3119">
        <f t="shared" si="9"/>
        <v>45985.333333331975</v>
      </c>
      <c r="UT6" s="3119">
        <f t="shared" si="9"/>
        <v>45985.374999998639</v>
      </c>
      <c r="UU6" s="3119">
        <f t="shared" si="9"/>
        <v>45985.416666665304</v>
      </c>
      <c r="UV6" s="3119">
        <f t="shared" si="9"/>
        <v>45985.458333331968</v>
      </c>
      <c r="UW6" s="3119">
        <f t="shared" si="9"/>
        <v>45985.499999998632</v>
      </c>
      <c r="UX6" s="3119">
        <f t="shared" si="9"/>
        <v>45985.541666665296</v>
      </c>
      <c r="UY6" s="3119">
        <f t="shared" si="9"/>
        <v>45985.583333331961</v>
      </c>
      <c r="UZ6" s="3119">
        <f t="shared" si="9"/>
        <v>45985.624999998625</v>
      </c>
      <c r="VA6" s="3119">
        <f t="shared" si="9"/>
        <v>45985.666666665289</v>
      </c>
      <c r="VB6" s="3119">
        <f t="shared" si="9"/>
        <v>45985.708333331953</v>
      </c>
      <c r="VC6" s="3119">
        <f t="shared" si="9"/>
        <v>45985.749999998618</v>
      </c>
      <c r="VD6" s="3119">
        <f t="shared" si="9"/>
        <v>45985.791666665282</v>
      </c>
      <c r="VE6" s="3119">
        <f t="shared" si="9"/>
        <v>45985.833333331946</v>
      </c>
      <c r="VF6" s="3119">
        <f t="shared" si="9"/>
        <v>45985.87499999861</v>
      </c>
      <c r="VG6" s="3119">
        <f t="shared" si="9"/>
        <v>45985.916666665275</v>
      </c>
      <c r="VH6" s="3119">
        <f t="shared" si="9"/>
        <v>45985.958333331939</v>
      </c>
      <c r="VI6" s="3119">
        <f t="shared" si="9"/>
        <v>45985.999999998603</v>
      </c>
      <c r="VJ6" s="3119">
        <f t="shared" ref="VJ6:VJ20" si="22">+VI6+1/24</f>
        <v>45986.041666665267</v>
      </c>
      <c r="VK6" s="3119">
        <f t="shared" si="10"/>
        <v>45986.083333331931</v>
      </c>
      <c r="VL6" s="3119">
        <f t="shared" si="10"/>
        <v>45986.124999998596</v>
      </c>
      <c r="VM6" s="3119">
        <f t="shared" si="10"/>
        <v>45986.16666666526</v>
      </c>
      <c r="VN6" s="3119">
        <f t="shared" si="10"/>
        <v>45986.208333331924</v>
      </c>
      <c r="VO6" s="3119">
        <f t="shared" si="10"/>
        <v>45986.249999998588</v>
      </c>
      <c r="VP6" s="3119">
        <f t="shared" si="10"/>
        <v>45986.291666665253</v>
      </c>
      <c r="VQ6" s="3119">
        <f t="shared" si="10"/>
        <v>45986.333333331917</v>
      </c>
      <c r="VR6" s="3119">
        <f t="shared" si="10"/>
        <v>45986.374999998581</v>
      </c>
      <c r="VS6" s="3119">
        <f t="shared" si="10"/>
        <v>45986.416666665245</v>
      </c>
      <c r="VT6" s="3119">
        <f t="shared" si="10"/>
        <v>45986.45833333191</v>
      </c>
      <c r="VU6" s="3119">
        <f t="shared" si="10"/>
        <v>45986.499999998574</v>
      </c>
      <c r="VV6" s="3119">
        <f t="shared" si="10"/>
        <v>45986.541666665238</v>
      </c>
      <c r="VW6" s="3119">
        <f t="shared" si="10"/>
        <v>45986.583333331902</v>
      </c>
      <c r="VX6" s="3119">
        <f t="shared" si="10"/>
        <v>45986.624999998567</v>
      </c>
      <c r="VY6" s="3119">
        <f t="shared" si="10"/>
        <v>45986.666666665231</v>
      </c>
      <c r="VZ6" s="3119">
        <f t="shared" si="10"/>
        <v>45986.708333331895</v>
      </c>
      <c r="WA6" s="3119">
        <f t="shared" si="10"/>
        <v>45986.749999998559</v>
      </c>
      <c r="WB6" s="3119">
        <f t="shared" si="10"/>
        <v>45986.791666665224</v>
      </c>
      <c r="WC6" s="3119">
        <f t="shared" si="10"/>
        <v>45986.833333331888</v>
      </c>
      <c r="WD6" s="3119">
        <f t="shared" si="10"/>
        <v>45986.874999998552</v>
      </c>
      <c r="WE6" s="3119">
        <f t="shared" si="10"/>
        <v>45986.916666665216</v>
      </c>
      <c r="WF6" s="3119">
        <f t="shared" si="10"/>
        <v>45986.958333331881</v>
      </c>
      <c r="WG6" s="3119">
        <f t="shared" si="10"/>
        <v>45986.999999998545</v>
      </c>
      <c r="WH6" s="3119">
        <f t="shared" si="10"/>
        <v>45987.041666665209</v>
      </c>
      <c r="WI6" s="3119">
        <f t="shared" si="10"/>
        <v>45987.083333331873</v>
      </c>
      <c r="WJ6" s="3119">
        <f t="shared" si="10"/>
        <v>45987.124999998538</v>
      </c>
      <c r="WK6" s="3119">
        <f t="shared" si="10"/>
        <v>45987.166666665202</v>
      </c>
      <c r="WL6" s="3119">
        <f t="shared" si="10"/>
        <v>45987.208333331866</v>
      </c>
      <c r="WM6" s="3119">
        <f t="shared" si="10"/>
        <v>45987.24999999853</v>
      </c>
      <c r="WN6" s="3119">
        <f t="shared" si="10"/>
        <v>45987.291666665194</v>
      </c>
      <c r="WO6" s="3119">
        <f t="shared" si="10"/>
        <v>45987.333333331859</v>
      </c>
      <c r="WP6" s="3119">
        <f t="shared" si="10"/>
        <v>45987.374999998523</v>
      </c>
      <c r="WQ6" s="3119">
        <f t="shared" si="10"/>
        <v>45987.416666665187</v>
      </c>
      <c r="WR6" s="3119">
        <f t="shared" si="10"/>
        <v>45987.458333331851</v>
      </c>
      <c r="WS6" s="3119">
        <f t="shared" si="10"/>
        <v>45987.499999998516</v>
      </c>
      <c r="WT6" s="3119">
        <f t="shared" si="10"/>
        <v>45987.54166666518</v>
      </c>
      <c r="WU6" s="3119">
        <f t="shared" si="10"/>
        <v>45987.583333331844</v>
      </c>
      <c r="WV6" s="3119">
        <f t="shared" si="10"/>
        <v>45987.624999998508</v>
      </c>
      <c r="WW6" s="3119">
        <f t="shared" si="10"/>
        <v>45987.666666665173</v>
      </c>
      <c r="WX6" s="3119">
        <f t="shared" si="10"/>
        <v>45987.708333331837</v>
      </c>
      <c r="WY6" s="3119">
        <f t="shared" si="10"/>
        <v>45987.749999998501</v>
      </c>
      <c r="WZ6" s="3119">
        <f t="shared" si="10"/>
        <v>45987.791666665165</v>
      </c>
      <c r="XA6" s="3119">
        <f t="shared" si="10"/>
        <v>45987.83333333183</v>
      </c>
      <c r="XB6" s="3119">
        <f t="shared" si="10"/>
        <v>45987.874999998494</v>
      </c>
      <c r="XC6" s="3119">
        <f t="shared" si="10"/>
        <v>45987.916666665158</v>
      </c>
      <c r="XD6" s="3119">
        <f t="shared" si="10"/>
        <v>45987.958333331822</v>
      </c>
      <c r="XE6" s="3119">
        <f t="shared" si="10"/>
        <v>45987.999999998487</v>
      </c>
      <c r="XF6" s="3119">
        <f t="shared" si="10"/>
        <v>45988.041666665151</v>
      </c>
      <c r="XG6" s="3119">
        <f t="shared" si="10"/>
        <v>45988.083333331815</v>
      </c>
      <c r="XH6" s="3119">
        <f t="shared" si="10"/>
        <v>45988.124999998479</v>
      </c>
      <c r="XI6" s="3119">
        <f t="shared" si="10"/>
        <v>45988.166666665144</v>
      </c>
      <c r="XJ6" s="3119">
        <f t="shared" si="10"/>
        <v>45988.208333331808</v>
      </c>
      <c r="XK6" s="3119">
        <f t="shared" si="10"/>
        <v>45988.249999998472</v>
      </c>
      <c r="XL6" s="3119">
        <f t="shared" si="10"/>
        <v>45988.291666665136</v>
      </c>
      <c r="XM6" s="3119">
        <f t="shared" si="10"/>
        <v>45988.333333331801</v>
      </c>
      <c r="XN6" s="3119">
        <f t="shared" si="10"/>
        <v>45988.374999998465</v>
      </c>
      <c r="XO6" s="3119">
        <f t="shared" si="10"/>
        <v>45988.416666665129</v>
      </c>
      <c r="XP6" s="3119">
        <f t="shared" si="10"/>
        <v>45988.458333331793</v>
      </c>
      <c r="XQ6" s="3119">
        <f t="shared" si="10"/>
        <v>45988.499999998457</v>
      </c>
      <c r="XR6" s="3119">
        <f t="shared" si="10"/>
        <v>45988.541666665122</v>
      </c>
      <c r="XS6" s="3119">
        <f t="shared" si="10"/>
        <v>45988.583333331786</v>
      </c>
      <c r="XT6" s="3119">
        <f t="shared" si="10"/>
        <v>45988.62499999845</v>
      </c>
      <c r="XU6" s="3119">
        <f t="shared" si="10"/>
        <v>45988.666666665114</v>
      </c>
      <c r="XV6" s="3119">
        <f t="shared" ref="XV6:XV20" si="23">+XU6+1/24</f>
        <v>45988.708333331779</v>
      </c>
      <c r="XW6" s="3119">
        <f t="shared" si="11"/>
        <v>45988.749999998443</v>
      </c>
      <c r="XX6" s="3119">
        <f t="shared" si="11"/>
        <v>45988.791666665107</v>
      </c>
      <c r="XY6" s="3119">
        <f t="shared" si="11"/>
        <v>45988.833333331771</v>
      </c>
      <c r="XZ6" s="3119">
        <f t="shared" si="11"/>
        <v>45988.874999998436</v>
      </c>
      <c r="YA6" s="3119">
        <f t="shared" si="11"/>
        <v>45988.9166666651</v>
      </c>
      <c r="YB6" s="3119">
        <f t="shared" si="11"/>
        <v>45988.958333331764</v>
      </c>
      <c r="YC6" s="3119">
        <f t="shared" si="11"/>
        <v>45988.999999998428</v>
      </c>
      <c r="YD6" s="3119">
        <f t="shared" si="11"/>
        <v>45989.041666665093</v>
      </c>
      <c r="YE6" s="3119">
        <f t="shared" si="11"/>
        <v>45989.083333331757</v>
      </c>
      <c r="YF6" s="3119">
        <f t="shared" si="11"/>
        <v>45989.124999998421</v>
      </c>
      <c r="YG6" s="3119">
        <f t="shared" si="11"/>
        <v>45989.166666665085</v>
      </c>
      <c r="YH6" s="3119">
        <f t="shared" si="11"/>
        <v>45989.20833333175</v>
      </c>
      <c r="YI6" s="3119">
        <f t="shared" si="11"/>
        <v>45989.249999998414</v>
      </c>
      <c r="YJ6" s="3119">
        <f t="shared" si="11"/>
        <v>45989.291666665078</v>
      </c>
      <c r="YK6" s="3119">
        <f t="shared" si="11"/>
        <v>45989.333333331742</v>
      </c>
      <c r="YL6" s="3119">
        <f t="shared" si="11"/>
        <v>45989.374999998407</v>
      </c>
      <c r="YM6" s="3119">
        <f t="shared" si="11"/>
        <v>45989.416666665071</v>
      </c>
      <c r="YN6" s="3119">
        <f t="shared" si="11"/>
        <v>45989.458333331735</v>
      </c>
      <c r="YO6" s="3119">
        <f t="shared" si="11"/>
        <v>45989.499999998399</v>
      </c>
      <c r="YP6" s="3119">
        <f t="shared" si="11"/>
        <v>45989.541666665064</v>
      </c>
      <c r="YQ6" s="3119">
        <f t="shared" si="11"/>
        <v>45989.583333331728</v>
      </c>
      <c r="YR6" s="3119">
        <f t="shared" si="11"/>
        <v>45989.624999998392</v>
      </c>
      <c r="YS6" s="3119">
        <f t="shared" si="11"/>
        <v>45989.666666665056</v>
      </c>
      <c r="YT6" s="3119">
        <f t="shared" si="11"/>
        <v>45989.70833333172</v>
      </c>
      <c r="YU6" s="3119">
        <f t="shared" si="11"/>
        <v>45989.749999998385</v>
      </c>
      <c r="YV6" s="3119">
        <f t="shared" si="11"/>
        <v>45989.791666665049</v>
      </c>
      <c r="YW6" s="3119">
        <f t="shared" si="11"/>
        <v>45989.833333331713</v>
      </c>
      <c r="YX6" s="3119">
        <f t="shared" si="11"/>
        <v>45989.874999998377</v>
      </c>
      <c r="YY6" s="3119">
        <f t="shared" si="11"/>
        <v>45989.916666665042</v>
      </c>
      <c r="YZ6" s="3119">
        <f t="shared" si="11"/>
        <v>45989.958333331706</v>
      </c>
      <c r="ZA6" s="3119">
        <f t="shared" si="11"/>
        <v>45989.99999999837</v>
      </c>
      <c r="ZB6" s="3119">
        <f t="shared" si="11"/>
        <v>45990.041666665034</v>
      </c>
      <c r="ZC6" s="3119">
        <f t="shared" si="11"/>
        <v>45990.083333331699</v>
      </c>
      <c r="ZD6" s="3119">
        <f t="shared" si="11"/>
        <v>45990.124999998363</v>
      </c>
      <c r="ZE6" s="3119">
        <f t="shared" si="11"/>
        <v>45990.166666665027</v>
      </c>
      <c r="ZF6" s="3119">
        <f t="shared" si="11"/>
        <v>45990.208333331691</v>
      </c>
      <c r="ZG6" s="3119">
        <f t="shared" si="11"/>
        <v>45990.249999998356</v>
      </c>
      <c r="ZH6" s="3119">
        <f t="shared" si="11"/>
        <v>45990.29166666502</v>
      </c>
      <c r="ZI6" s="3119">
        <f t="shared" si="11"/>
        <v>45990.333333331684</v>
      </c>
      <c r="ZJ6" s="3119">
        <f t="shared" si="11"/>
        <v>45990.374999998348</v>
      </c>
      <c r="ZK6" s="3119">
        <f t="shared" si="11"/>
        <v>45990.416666665013</v>
      </c>
      <c r="ZL6" s="3119">
        <f t="shared" si="11"/>
        <v>45990.458333331677</v>
      </c>
      <c r="ZM6" s="3119">
        <f t="shared" si="11"/>
        <v>45990.499999998341</v>
      </c>
      <c r="ZN6" s="3119">
        <f t="shared" si="11"/>
        <v>45990.541666665005</v>
      </c>
      <c r="ZO6" s="3119">
        <f t="shared" si="11"/>
        <v>45990.58333333167</v>
      </c>
      <c r="ZP6" s="3119">
        <f t="shared" si="11"/>
        <v>45990.624999998334</v>
      </c>
      <c r="ZQ6" s="3119">
        <f t="shared" si="11"/>
        <v>45990.666666664998</v>
      </c>
      <c r="ZR6" s="3119">
        <f t="shared" si="11"/>
        <v>45990.708333331662</v>
      </c>
      <c r="ZS6" s="3119">
        <f t="shared" si="11"/>
        <v>45990.749999998327</v>
      </c>
      <c r="ZT6" s="3119">
        <f t="shared" si="11"/>
        <v>45990.791666664991</v>
      </c>
      <c r="ZU6" s="3119">
        <f t="shared" si="11"/>
        <v>45990.833333331655</v>
      </c>
      <c r="ZV6" s="3119">
        <f t="shared" si="11"/>
        <v>45990.874999998319</v>
      </c>
      <c r="ZW6" s="3119">
        <f t="shared" si="11"/>
        <v>45990.916666664983</v>
      </c>
      <c r="ZX6" s="3119">
        <f t="shared" si="11"/>
        <v>45990.958333331648</v>
      </c>
      <c r="ZY6" s="3119">
        <f t="shared" si="11"/>
        <v>45990.999999998312</v>
      </c>
      <c r="ZZ6" s="3119">
        <f t="shared" si="11"/>
        <v>45991.041666664976</v>
      </c>
      <c r="AAA6" s="3119">
        <f t="shared" si="11"/>
        <v>45991.08333333164</v>
      </c>
      <c r="AAB6" s="3119">
        <f t="shared" si="11"/>
        <v>45991.124999998305</v>
      </c>
      <c r="AAC6" s="3119">
        <f t="shared" si="11"/>
        <v>45991.166666664969</v>
      </c>
      <c r="AAD6" s="3119">
        <f t="shared" si="11"/>
        <v>45991.208333331633</v>
      </c>
      <c r="AAE6" s="3119">
        <f t="shared" si="11"/>
        <v>45991.249999998297</v>
      </c>
      <c r="AAF6" s="3119">
        <f t="shared" si="11"/>
        <v>45991.291666664962</v>
      </c>
      <c r="AAG6" s="3119">
        <f t="shared" si="11"/>
        <v>45991.333333331626</v>
      </c>
      <c r="AAH6" s="3119">
        <f t="shared" ref="AAH6:AAH20" si="24">+AAG6+1/24</f>
        <v>45991.37499999829</v>
      </c>
      <c r="AAI6" s="3119">
        <f t="shared" si="12"/>
        <v>45991.416666664954</v>
      </c>
      <c r="AAJ6" s="3119">
        <f t="shared" si="12"/>
        <v>45991.458333331619</v>
      </c>
      <c r="AAK6" s="3119">
        <f t="shared" si="12"/>
        <v>45991.499999998283</v>
      </c>
      <c r="AAL6" s="3119">
        <f t="shared" si="12"/>
        <v>45991.541666664947</v>
      </c>
      <c r="AAM6" s="3119">
        <f t="shared" si="12"/>
        <v>45991.583333331611</v>
      </c>
      <c r="AAN6" s="3119">
        <f t="shared" si="12"/>
        <v>45991.624999998276</v>
      </c>
      <c r="AAO6" s="3119">
        <f t="shared" si="12"/>
        <v>45991.66666666494</v>
      </c>
      <c r="AAP6" s="3119">
        <f t="shared" si="12"/>
        <v>45991.708333331604</v>
      </c>
      <c r="AAQ6" s="3119">
        <f t="shared" si="12"/>
        <v>45991.749999998268</v>
      </c>
      <c r="AAR6" s="3119">
        <f t="shared" si="12"/>
        <v>45991.791666664933</v>
      </c>
      <c r="AAS6" s="3119">
        <f t="shared" si="12"/>
        <v>45991.833333331597</v>
      </c>
      <c r="AAT6" s="3119">
        <f t="shared" si="12"/>
        <v>45991.874999998261</v>
      </c>
      <c r="AAU6" s="3119">
        <f t="shared" si="12"/>
        <v>45991.916666664925</v>
      </c>
      <c r="AAV6" s="3119">
        <f t="shared" si="12"/>
        <v>45991.95833333159</v>
      </c>
    </row>
    <row r="7" spans="1:724" s="282" customFormat="1" ht="13">
      <c r="A7" s="3115" t="s">
        <v>1544</v>
      </c>
      <c r="B7" s="3119">
        <v>45968.25</v>
      </c>
      <c r="C7" s="3119">
        <v>45968.75</v>
      </c>
      <c r="D7" s="3116">
        <f t="shared" si="0"/>
        <v>12</v>
      </c>
      <c r="E7" s="3119">
        <v>45962</v>
      </c>
      <c r="F7" s="3119">
        <f t="shared" si="13"/>
        <v>45962.041666666664</v>
      </c>
      <c r="G7" s="3119">
        <f t="shared" ref="G7:G20" si="25">+F7+1/24</f>
        <v>45962.083333333328</v>
      </c>
      <c r="H7" s="3119">
        <f t="shared" ref="H7:H20" si="26">+G7+1/24</f>
        <v>45962.124999999993</v>
      </c>
      <c r="I7" s="3119">
        <f t="shared" ref="I7:I20" si="27">+H7+1/24</f>
        <v>45962.166666666657</v>
      </c>
      <c r="J7" s="3119">
        <f t="shared" ref="J7:J20" si="28">+I7+1/24</f>
        <v>45962.208333333321</v>
      </c>
      <c r="K7" s="3119">
        <f t="shared" ref="K7:K20" si="29">+J7+1/24</f>
        <v>45962.249999999985</v>
      </c>
      <c r="L7" s="3119">
        <f t="shared" ref="L7:L20" si="30">+K7+1/24</f>
        <v>45962.29166666665</v>
      </c>
      <c r="M7" s="3119">
        <f t="shared" ref="M7:M20" si="31">+L7+1/24</f>
        <v>45962.333333333314</v>
      </c>
      <c r="N7" s="3119">
        <f t="shared" ref="N7:N20" si="32">+M7+1/24</f>
        <v>45962.374999999978</v>
      </c>
      <c r="O7" s="3119">
        <f t="shared" ref="O7:O20" si="33">+N7+1/24</f>
        <v>45962.416666666642</v>
      </c>
      <c r="P7" s="3119">
        <f t="shared" ref="P7:P20" si="34">+O7+1/24</f>
        <v>45962.458333333307</v>
      </c>
      <c r="Q7" s="3119">
        <f t="shared" ref="Q7:Q20" si="35">+P7+1/24</f>
        <v>45962.499999999971</v>
      </c>
      <c r="R7" s="3119">
        <f t="shared" ref="R7:R20" si="36">+Q7+1/24</f>
        <v>45962.541666666635</v>
      </c>
      <c r="S7" s="3119">
        <f t="shared" ref="S7:S20" si="37">+R7+1/24</f>
        <v>45962.583333333299</v>
      </c>
      <c r="T7" s="3119">
        <f t="shared" ref="T7:T20" si="38">+S7+1/24</f>
        <v>45962.624999999964</v>
      </c>
      <c r="U7" s="3119">
        <f t="shared" ref="U7:U20" si="39">+T7+1/24</f>
        <v>45962.666666666628</v>
      </c>
      <c r="V7" s="3119">
        <f t="shared" ref="V7:V20" si="40">+U7+1/24</f>
        <v>45962.708333333292</v>
      </c>
      <c r="W7" s="3119">
        <f t="shared" ref="W7:W20" si="41">+V7+1/24</f>
        <v>45962.749999999956</v>
      </c>
      <c r="X7" s="3119">
        <f t="shared" ref="X7:X20" si="42">+W7+1/24</f>
        <v>45962.791666666621</v>
      </c>
      <c r="Y7" s="3119">
        <f t="shared" ref="Y7:Y20" si="43">+X7+1/24</f>
        <v>45962.833333333285</v>
      </c>
      <c r="Z7" s="3119">
        <f t="shared" ref="Z7:Z20" si="44">+Y7+1/24</f>
        <v>45962.874999999949</v>
      </c>
      <c r="AA7" s="3119">
        <f t="shared" ref="AA7:AA20" si="45">+Z7+1/24</f>
        <v>45962.916666666613</v>
      </c>
      <c r="AB7" s="3119">
        <f t="shared" ref="AB7:AB20" si="46">+AA7+1/24</f>
        <v>45962.958333333278</v>
      </c>
      <c r="AC7" s="3119">
        <f t="shared" ref="AC7:AC20" si="47">+AB7+1/24</f>
        <v>45962.999999999942</v>
      </c>
      <c r="AD7" s="3119">
        <f t="shared" ref="AD7:AD20" si="48">+AC7+1/24</f>
        <v>45963.041666666606</v>
      </c>
      <c r="AE7" s="3119">
        <f t="shared" ref="AE7:AE20" si="49">+AD7+1/24</f>
        <v>45963.08333333327</v>
      </c>
      <c r="AF7" s="3119">
        <f t="shared" ref="AF7:AF20" si="50">+AE7+1/24</f>
        <v>45963.124999999935</v>
      </c>
      <c r="AG7" s="3119">
        <f t="shared" ref="AG7:AG20" si="51">+AF7+1/24</f>
        <v>45963.166666666599</v>
      </c>
      <c r="AH7" s="3119">
        <f t="shared" ref="AH7:AH20" si="52">+AG7+1/24</f>
        <v>45963.208333333263</v>
      </c>
      <c r="AI7" s="3119">
        <f t="shared" ref="AI7:AI20" si="53">+AH7+1/24</f>
        <v>45963.249999999927</v>
      </c>
      <c r="AJ7" s="3119">
        <f t="shared" ref="AJ7:AJ20" si="54">+AI7+1/24</f>
        <v>45963.291666666591</v>
      </c>
      <c r="AK7" s="3119">
        <f t="shared" ref="AK7:AK20" si="55">+AJ7+1/24</f>
        <v>45963.333333333256</v>
      </c>
      <c r="AL7" s="3119">
        <f t="shared" ref="AL7:AL20" si="56">+AK7+1/24</f>
        <v>45963.37499999992</v>
      </c>
      <c r="AM7" s="3119">
        <f t="shared" ref="AM7:AM20" si="57">+AL7+1/24</f>
        <v>45963.416666666584</v>
      </c>
      <c r="AN7" s="3119">
        <f t="shared" ref="AN7:AN20" si="58">+AM7+1/24</f>
        <v>45963.458333333248</v>
      </c>
      <c r="AO7" s="3119">
        <f t="shared" ref="AO7:AO20" si="59">+AN7+1/24</f>
        <v>45963.499999999913</v>
      </c>
      <c r="AP7" s="3119">
        <f t="shared" ref="AP7:AP20" si="60">+AO7+1/24</f>
        <v>45963.541666666577</v>
      </c>
      <c r="AQ7" s="3119">
        <f t="shared" ref="AQ7:AQ20" si="61">+AP7+1/24</f>
        <v>45963.583333333241</v>
      </c>
      <c r="AR7" s="3119">
        <f t="shared" ref="AR7:AR20" si="62">+AQ7+1/24</f>
        <v>45963.624999999905</v>
      </c>
      <c r="AS7" s="3119">
        <f t="shared" ref="AS7:AS20" si="63">+AR7+1/24</f>
        <v>45963.66666666657</v>
      </c>
      <c r="AT7" s="3119">
        <f t="shared" ref="AT7:AT20" si="64">+AS7+1/24</f>
        <v>45963.708333333234</v>
      </c>
      <c r="AU7" s="3119">
        <f t="shared" ref="AU7:AU20" si="65">+AT7+1/24</f>
        <v>45963.749999999898</v>
      </c>
      <c r="AV7" s="3119">
        <f t="shared" ref="AV7:AV20" si="66">+AU7+1/24</f>
        <v>45963.791666666562</v>
      </c>
      <c r="AW7" s="3119">
        <f t="shared" ref="AW7:AW20" si="67">+AV7+1/24</f>
        <v>45963.833333333227</v>
      </c>
      <c r="AX7" s="3119">
        <f t="shared" ref="AX7:AX20" si="68">+AW7+1/24</f>
        <v>45963.874999999891</v>
      </c>
      <c r="AY7" s="3119">
        <f t="shared" ref="AY7:AY20" si="69">+AX7+1/24</f>
        <v>45963.916666666555</v>
      </c>
      <c r="AZ7" s="3119">
        <f t="shared" ref="AZ7:AZ20" si="70">+AY7+1/24</f>
        <v>45963.958333333219</v>
      </c>
      <c r="BA7" s="3119">
        <f t="shared" ref="BA7:BA20" si="71">+AZ7+1/24</f>
        <v>45963.999999999884</v>
      </c>
      <c r="BB7" s="3119">
        <f t="shared" ref="BB7:BB20" si="72">+BA7+1/24</f>
        <v>45964.041666666548</v>
      </c>
      <c r="BC7" s="3119">
        <f t="shared" ref="BC7:BC20" si="73">+BB7+1/24</f>
        <v>45964.083333333212</v>
      </c>
      <c r="BD7" s="3119">
        <f t="shared" ref="BD7:BD20" si="74">+BC7+1/24</f>
        <v>45964.124999999876</v>
      </c>
      <c r="BE7" s="3119">
        <f t="shared" ref="BE7:BE20" si="75">+BD7+1/24</f>
        <v>45964.166666666541</v>
      </c>
      <c r="BF7" s="3119">
        <f t="shared" ref="BF7:BF20" si="76">+BE7+1/24</f>
        <v>45964.208333333205</v>
      </c>
      <c r="BG7" s="3119">
        <f t="shared" ref="BG7:BG20" si="77">+BF7+1/24</f>
        <v>45964.249999999869</v>
      </c>
      <c r="BH7" s="3119">
        <f t="shared" ref="BH7:BH20" si="78">+BG7+1/24</f>
        <v>45964.291666666533</v>
      </c>
      <c r="BI7" s="3119">
        <f t="shared" ref="BI7:BI20" si="79">+BH7+1/24</f>
        <v>45964.333333333198</v>
      </c>
      <c r="BJ7" s="3119">
        <f t="shared" ref="BJ7:BJ20" si="80">+BI7+1/24</f>
        <v>45964.374999999862</v>
      </c>
      <c r="BK7" s="3119">
        <f t="shared" ref="BK7:BK20" si="81">+BJ7+1/24</f>
        <v>45964.416666666526</v>
      </c>
      <c r="BL7" s="3119">
        <f t="shared" ref="BL7:BL20" si="82">+BK7+1/24</f>
        <v>45964.45833333319</v>
      </c>
      <c r="BM7" s="3119">
        <f t="shared" ref="BM7:BM20" si="83">+BL7+1/24</f>
        <v>45964.499999999854</v>
      </c>
      <c r="BN7" s="3119">
        <f t="shared" ref="BN7:BN20" si="84">+BM7+1/24</f>
        <v>45964.541666666519</v>
      </c>
      <c r="BO7" s="3119">
        <f t="shared" ref="BO7:BO20" si="85">+BN7+1/24</f>
        <v>45964.583333333183</v>
      </c>
      <c r="BP7" s="3119">
        <f t="shared" ref="BP7:BP20" si="86">+BO7+1/24</f>
        <v>45964.624999999847</v>
      </c>
      <c r="BQ7" s="3119">
        <f t="shared" ref="BQ7:BQ20" si="87">+BP7+1/24</f>
        <v>45964.666666666511</v>
      </c>
      <c r="BR7" s="3119">
        <f t="shared" si="14"/>
        <v>45964.708333333176</v>
      </c>
      <c r="BS7" s="3119">
        <f t="shared" ref="BS7:BS20" si="88">+BR7+1/24</f>
        <v>45964.74999999984</v>
      </c>
      <c r="BT7" s="3119">
        <f t="shared" ref="BT7:BT20" si="89">+BS7+1/24</f>
        <v>45964.791666666504</v>
      </c>
      <c r="BU7" s="3119">
        <f t="shared" ref="BU7:BU20" si="90">+BT7+1/24</f>
        <v>45964.833333333168</v>
      </c>
      <c r="BV7" s="3119">
        <f t="shared" ref="BV7:BV20" si="91">+BU7+1/24</f>
        <v>45964.874999999833</v>
      </c>
      <c r="BW7" s="3119">
        <f t="shared" ref="BW7:BW20" si="92">+BV7+1/24</f>
        <v>45964.916666666497</v>
      </c>
      <c r="BX7" s="3119">
        <f t="shared" ref="BX7:BX20" si="93">+BW7+1/24</f>
        <v>45964.958333333161</v>
      </c>
      <c r="BY7" s="3119">
        <f t="shared" ref="BY7:BY20" si="94">+BX7+1/24</f>
        <v>45964.999999999825</v>
      </c>
      <c r="BZ7" s="3119">
        <f t="shared" ref="BZ7:BZ20" si="95">+BY7+1/24</f>
        <v>45965.04166666649</v>
      </c>
      <c r="CA7" s="3119">
        <f t="shared" ref="CA7:CA20" si="96">+BZ7+1/24</f>
        <v>45965.083333333154</v>
      </c>
      <c r="CB7" s="3119">
        <f t="shared" ref="CB7:CB20" si="97">+CA7+1/24</f>
        <v>45965.124999999818</v>
      </c>
      <c r="CC7" s="3119">
        <f t="shared" ref="CC7:CC20" si="98">+CB7+1/24</f>
        <v>45965.166666666482</v>
      </c>
      <c r="CD7" s="3119">
        <f t="shared" ref="CD7:CD20" si="99">+CC7+1/24</f>
        <v>45965.208333333147</v>
      </c>
      <c r="CE7" s="3119">
        <f t="shared" ref="CE7:CE20" si="100">+CD7+1/24</f>
        <v>45965.249999999811</v>
      </c>
      <c r="CF7" s="3119">
        <f t="shared" ref="CF7:CF20" si="101">+CE7+1/24</f>
        <v>45965.291666666475</v>
      </c>
      <c r="CG7" s="3119">
        <f t="shared" ref="CG7:CG20" si="102">+CF7+1/24</f>
        <v>45965.333333333139</v>
      </c>
      <c r="CH7" s="3119">
        <f t="shared" ref="CH7:CH20" si="103">+CG7+1/24</f>
        <v>45965.374999999804</v>
      </c>
      <c r="CI7" s="3119">
        <f t="shared" ref="CI7:CI20" si="104">+CH7+1/24</f>
        <v>45965.416666666468</v>
      </c>
      <c r="CJ7" s="3119">
        <f t="shared" ref="CJ7:CJ20" si="105">+CI7+1/24</f>
        <v>45965.458333333132</v>
      </c>
      <c r="CK7" s="3119">
        <f t="shared" ref="CK7:CK20" si="106">+CJ7+1/24</f>
        <v>45965.499999999796</v>
      </c>
      <c r="CL7" s="3119">
        <f t="shared" ref="CL7:CL20" si="107">+CK7+1/24</f>
        <v>45965.541666666461</v>
      </c>
      <c r="CM7" s="3119">
        <f t="shared" ref="CM7:CM20" si="108">+CL7+1/24</f>
        <v>45965.583333333125</v>
      </c>
      <c r="CN7" s="3119">
        <f t="shared" ref="CN7:CN20" si="109">+CM7+1/24</f>
        <v>45965.624999999789</v>
      </c>
      <c r="CO7" s="3119">
        <f t="shared" ref="CO7:CO20" si="110">+CN7+1/24</f>
        <v>45965.666666666453</v>
      </c>
      <c r="CP7" s="3119">
        <f t="shared" ref="CP7:CP20" si="111">+CO7+1/24</f>
        <v>45965.708333333117</v>
      </c>
      <c r="CQ7" s="3119">
        <f t="shared" ref="CQ7:CQ20" si="112">+CP7+1/24</f>
        <v>45965.749999999782</v>
      </c>
      <c r="CR7" s="3119">
        <f t="shared" ref="CR7:CR20" si="113">+CQ7+1/24</f>
        <v>45965.791666666446</v>
      </c>
      <c r="CS7" s="3119">
        <f t="shared" ref="CS7:CS20" si="114">+CR7+1/24</f>
        <v>45965.83333333311</v>
      </c>
      <c r="CT7" s="3119">
        <f t="shared" ref="CT7:CT20" si="115">+CS7+1/24</f>
        <v>45965.874999999774</v>
      </c>
      <c r="CU7" s="3119">
        <f t="shared" ref="CU7:CU20" si="116">+CT7+1/24</f>
        <v>45965.916666666439</v>
      </c>
      <c r="CV7" s="3119">
        <f t="shared" ref="CV7:CV20" si="117">+CU7+1/24</f>
        <v>45965.958333333103</v>
      </c>
      <c r="CW7" s="3119">
        <f t="shared" ref="CW7:CW20" si="118">+CV7+1/24</f>
        <v>45965.999999999767</v>
      </c>
      <c r="CX7" s="3119">
        <f t="shared" ref="CX7:CX20" si="119">+CW7+1/24</f>
        <v>45966.041666666431</v>
      </c>
      <c r="CY7" s="3119">
        <f t="shared" ref="CY7:CY20" si="120">+CX7+1/24</f>
        <v>45966.083333333096</v>
      </c>
      <c r="CZ7" s="3119">
        <f t="shared" ref="CZ7:CZ20" si="121">+CY7+1/24</f>
        <v>45966.12499999976</v>
      </c>
      <c r="DA7" s="3119">
        <f t="shared" ref="DA7:DA20" si="122">+CZ7+1/24</f>
        <v>45966.166666666424</v>
      </c>
      <c r="DB7" s="3119">
        <f t="shared" ref="DB7:DB20" si="123">+DA7+1/24</f>
        <v>45966.208333333088</v>
      </c>
      <c r="DC7" s="3119">
        <f t="shared" ref="DC7:DC20" si="124">+DB7+1/24</f>
        <v>45966.249999999753</v>
      </c>
      <c r="DD7" s="3119">
        <f t="shared" ref="DD7:DD20" si="125">+DC7+1/24</f>
        <v>45966.291666666417</v>
      </c>
      <c r="DE7" s="3119">
        <f t="shared" ref="DE7:DE20" si="126">+DD7+1/24</f>
        <v>45966.333333333081</v>
      </c>
      <c r="DF7" s="3119">
        <f t="shared" ref="DF7:DF20" si="127">+DE7+1/24</f>
        <v>45966.374999999745</v>
      </c>
      <c r="DG7" s="3119">
        <f t="shared" ref="DG7:DG20" si="128">+DF7+1/24</f>
        <v>45966.41666666641</v>
      </c>
      <c r="DH7" s="3119">
        <f t="shared" ref="DH7:DH20" si="129">+DG7+1/24</f>
        <v>45966.458333333074</v>
      </c>
      <c r="DI7" s="3119">
        <f t="shared" ref="DI7:DI20" si="130">+DH7+1/24</f>
        <v>45966.499999999738</v>
      </c>
      <c r="DJ7" s="3119">
        <f t="shared" ref="DJ7:DJ20" si="131">+DI7+1/24</f>
        <v>45966.541666666402</v>
      </c>
      <c r="DK7" s="3119">
        <f t="shared" ref="DK7:DK20" si="132">+DJ7+1/24</f>
        <v>45966.583333333067</v>
      </c>
      <c r="DL7" s="3119">
        <f t="shared" ref="DL7:DL20" si="133">+DK7+1/24</f>
        <v>45966.624999999731</v>
      </c>
      <c r="DM7" s="3119">
        <f t="shared" ref="DM7:DM20" si="134">+DL7+1/24</f>
        <v>45966.666666666395</v>
      </c>
      <c r="DN7" s="3119">
        <f t="shared" ref="DN7:DN20" si="135">+DM7+1/24</f>
        <v>45966.708333333059</v>
      </c>
      <c r="DO7" s="3119">
        <f t="shared" ref="DO7:DO20" si="136">+DN7+1/24</f>
        <v>45966.749999999724</v>
      </c>
      <c r="DP7" s="3119">
        <f t="shared" ref="DP7:DP20" si="137">+DO7+1/24</f>
        <v>45966.791666666388</v>
      </c>
      <c r="DQ7" s="3119">
        <f t="shared" ref="DQ7:DQ20" si="138">+DP7+1/24</f>
        <v>45966.833333333052</v>
      </c>
      <c r="DR7" s="3119">
        <f t="shared" ref="DR7:DR20" si="139">+DQ7+1/24</f>
        <v>45966.874999999716</v>
      </c>
      <c r="DS7" s="3119">
        <f t="shared" ref="DS7:DS20" si="140">+DR7+1/24</f>
        <v>45966.91666666638</v>
      </c>
      <c r="DT7" s="3119">
        <f t="shared" ref="DT7:DT20" si="141">+DS7+1/24</f>
        <v>45966.958333333045</v>
      </c>
      <c r="DU7" s="3119">
        <f t="shared" ref="DU7:DU20" si="142">+DT7+1/24</f>
        <v>45966.999999999709</v>
      </c>
      <c r="DV7" s="3119">
        <f t="shared" ref="DV7:DV20" si="143">+DU7+1/24</f>
        <v>45967.041666666373</v>
      </c>
      <c r="DW7" s="3119">
        <f t="shared" ref="DW7:DW20" si="144">+DV7+1/24</f>
        <v>45967.083333333037</v>
      </c>
      <c r="DX7" s="3119">
        <f t="shared" ref="DX7:DX20" si="145">+DW7+1/24</f>
        <v>45967.124999999702</v>
      </c>
      <c r="DY7" s="3119">
        <f t="shared" ref="DY7:DY20" si="146">+DX7+1/24</f>
        <v>45967.166666666366</v>
      </c>
      <c r="DZ7" s="3119">
        <f t="shared" ref="DZ7:DZ20" si="147">+DY7+1/24</f>
        <v>45967.20833333303</v>
      </c>
      <c r="EA7" s="3119">
        <f t="shared" ref="EA7:EA20" si="148">+DZ7+1/24</f>
        <v>45967.249999999694</v>
      </c>
      <c r="EB7" s="3119">
        <f t="shared" ref="EB7:EB20" si="149">+EA7+1/24</f>
        <v>45967.291666666359</v>
      </c>
      <c r="EC7" s="3119">
        <f t="shared" ref="EC7:EC20" si="150">+EB7+1/24</f>
        <v>45967.333333333023</v>
      </c>
      <c r="ED7" s="3119">
        <f t="shared" si="15"/>
        <v>45967.374999999687</v>
      </c>
      <c r="EE7" s="3119">
        <f t="shared" ref="EE7:EE20" si="151">+ED7+1/24</f>
        <v>45967.416666666351</v>
      </c>
      <c r="EF7" s="3119">
        <f t="shared" ref="EF7:EF20" si="152">+EE7+1/24</f>
        <v>45967.458333333016</v>
      </c>
      <c r="EG7" s="3119">
        <f t="shared" ref="EG7:EG20" si="153">+EF7+1/24</f>
        <v>45967.49999999968</v>
      </c>
      <c r="EH7" s="3119">
        <f t="shared" ref="EH7:EH20" si="154">+EG7+1/24</f>
        <v>45967.541666666344</v>
      </c>
      <c r="EI7" s="3119">
        <f t="shared" ref="EI7:EI20" si="155">+EH7+1/24</f>
        <v>45967.583333333008</v>
      </c>
      <c r="EJ7" s="3119">
        <f t="shared" ref="EJ7:EJ20" si="156">+EI7+1/24</f>
        <v>45967.624999999673</v>
      </c>
      <c r="EK7" s="3119">
        <f t="shared" ref="EK7:EK20" si="157">+EJ7+1/24</f>
        <v>45967.666666666337</v>
      </c>
      <c r="EL7" s="3119">
        <f t="shared" ref="EL7:EL20" si="158">+EK7+1/24</f>
        <v>45967.708333333001</v>
      </c>
      <c r="EM7" s="3119">
        <f t="shared" ref="EM7:EM20" si="159">+EL7+1/24</f>
        <v>45967.749999999665</v>
      </c>
      <c r="EN7" s="3119">
        <f t="shared" ref="EN7:EN20" si="160">+EM7+1/24</f>
        <v>45967.79166666633</v>
      </c>
      <c r="EO7" s="3119">
        <f t="shared" ref="EO7:EO20" si="161">+EN7+1/24</f>
        <v>45967.833333332994</v>
      </c>
      <c r="EP7" s="3119">
        <f t="shared" ref="EP7:EP20" si="162">+EO7+1/24</f>
        <v>45967.874999999658</v>
      </c>
      <c r="EQ7" s="3119">
        <f t="shared" ref="EQ7:EQ20" si="163">+EP7+1/24</f>
        <v>45967.916666666322</v>
      </c>
      <c r="ER7" s="3119">
        <f t="shared" ref="ER7:ER20" si="164">+EQ7+1/24</f>
        <v>45967.958333332987</v>
      </c>
      <c r="ES7" s="3119">
        <f t="shared" ref="ES7:ES20" si="165">+ER7+1/24</f>
        <v>45967.999999999651</v>
      </c>
      <c r="ET7" s="3119">
        <f t="shared" ref="ET7:ET20" si="166">+ES7+1/24</f>
        <v>45968.041666666315</v>
      </c>
      <c r="EU7" s="3119">
        <f t="shared" ref="EU7:EU20" si="167">+ET7+1/24</f>
        <v>45968.083333332979</v>
      </c>
      <c r="EV7" s="3119">
        <f t="shared" ref="EV7:EV20" si="168">+EU7+1/24</f>
        <v>45968.124999999643</v>
      </c>
      <c r="EW7" s="3119">
        <f t="shared" ref="EW7:EW20" si="169">+EV7+1/24</f>
        <v>45968.166666666308</v>
      </c>
      <c r="EX7" s="3119">
        <f t="shared" ref="EX7:EX20" si="170">+EW7+1/24</f>
        <v>45968.208333332972</v>
      </c>
      <c r="EY7" s="3119">
        <f t="shared" ref="EY7:EY20" si="171">+EX7+1/24</f>
        <v>45968.249999999636</v>
      </c>
      <c r="EZ7" s="3119">
        <f t="shared" ref="EZ7:EZ20" si="172">+EY7+1/24</f>
        <v>45968.2916666663</v>
      </c>
      <c r="FA7" s="3119">
        <f t="shared" ref="FA7:FA20" si="173">+EZ7+1/24</f>
        <v>45968.333333332965</v>
      </c>
      <c r="FB7" s="3119">
        <f t="shared" ref="FB7:FB20" si="174">+FA7+1/24</f>
        <v>45968.374999999629</v>
      </c>
      <c r="FC7" s="3119">
        <f t="shared" ref="FC7:FC20" si="175">+FB7+1/24</f>
        <v>45968.416666666293</v>
      </c>
      <c r="FD7" s="3119">
        <f t="shared" ref="FD7:FD20" si="176">+FC7+1/24</f>
        <v>45968.458333332957</v>
      </c>
      <c r="FE7" s="3119">
        <f t="shared" ref="FE7:FE20" si="177">+FD7+1/24</f>
        <v>45968.499999999622</v>
      </c>
      <c r="FF7" s="3119">
        <f t="shared" ref="FF7:FF20" si="178">+FE7+1/24</f>
        <v>45968.541666666286</v>
      </c>
      <c r="FG7" s="3119">
        <f t="shared" ref="FG7:FG20" si="179">+FF7+1/24</f>
        <v>45968.58333333295</v>
      </c>
      <c r="FH7" s="3119">
        <f t="shared" ref="FH7:FH20" si="180">+FG7+1/24</f>
        <v>45968.624999999614</v>
      </c>
      <c r="FI7" s="3119">
        <f t="shared" ref="FI7:FI20" si="181">+FH7+1/24</f>
        <v>45968.666666666279</v>
      </c>
      <c r="FJ7" s="3119">
        <f t="shared" ref="FJ7:FJ20" si="182">+FI7+1/24</f>
        <v>45968.708333332943</v>
      </c>
      <c r="FK7" s="3119">
        <f t="shared" ref="FK7:FK20" si="183">+FJ7+1/24</f>
        <v>45968.749999999607</v>
      </c>
      <c r="FL7" s="3119">
        <f t="shared" ref="FL7:FL20" si="184">+FK7+1/24</f>
        <v>45968.791666666271</v>
      </c>
      <c r="FM7" s="3119">
        <f t="shared" ref="FM7:FM20" si="185">+FL7+1/24</f>
        <v>45968.833333332936</v>
      </c>
      <c r="FN7" s="3119">
        <f t="shared" ref="FN7:FN20" si="186">+FM7+1/24</f>
        <v>45968.8749999996</v>
      </c>
      <c r="FO7" s="3119">
        <f t="shared" ref="FO7:FO20" si="187">+FN7+1/24</f>
        <v>45968.916666666264</v>
      </c>
      <c r="FP7" s="3119">
        <f t="shared" ref="FP7:FP20" si="188">+FO7+1/24</f>
        <v>45968.958333332928</v>
      </c>
      <c r="FQ7" s="3119">
        <f t="shared" ref="FQ7:FQ20" si="189">+FP7+1/24</f>
        <v>45968.999999999593</v>
      </c>
      <c r="FR7" s="3119">
        <f t="shared" ref="FR7:FR20" si="190">+FQ7+1/24</f>
        <v>45969.041666666257</v>
      </c>
      <c r="FS7" s="3119">
        <f t="shared" ref="FS7:FS20" si="191">+FR7+1/24</f>
        <v>45969.083333332921</v>
      </c>
      <c r="FT7" s="3119">
        <f t="shared" ref="FT7:FT20" si="192">+FS7+1/24</f>
        <v>45969.124999999585</v>
      </c>
      <c r="FU7" s="3119">
        <f t="shared" ref="FU7:FU20" si="193">+FT7+1/24</f>
        <v>45969.16666666625</v>
      </c>
      <c r="FV7" s="3119">
        <f t="shared" ref="FV7:FV20" si="194">+FU7+1/24</f>
        <v>45969.208333332914</v>
      </c>
      <c r="FW7" s="3119">
        <f t="shared" ref="FW7:FW20" si="195">+FV7+1/24</f>
        <v>45969.249999999578</v>
      </c>
      <c r="FX7" s="3119">
        <f t="shared" ref="FX7:FX20" si="196">+FW7+1/24</f>
        <v>45969.291666666242</v>
      </c>
      <c r="FY7" s="3119">
        <f t="shared" ref="FY7:FY20" si="197">+FX7+1/24</f>
        <v>45969.333333332906</v>
      </c>
      <c r="FZ7" s="3119">
        <f t="shared" ref="FZ7:FZ20" si="198">+FY7+1/24</f>
        <v>45969.374999999571</v>
      </c>
      <c r="GA7" s="3119">
        <f t="shared" ref="GA7:GA20" si="199">+FZ7+1/24</f>
        <v>45969.416666666235</v>
      </c>
      <c r="GB7" s="3119">
        <f t="shared" ref="GB7:GB20" si="200">+GA7+1/24</f>
        <v>45969.458333332899</v>
      </c>
      <c r="GC7" s="3119">
        <f t="shared" ref="GC7:GC20" si="201">+GB7+1/24</f>
        <v>45969.499999999563</v>
      </c>
      <c r="GD7" s="3119">
        <f t="shared" ref="GD7:GD20" si="202">+GC7+1/24</f>
        <v>45969.541666666228</v>
      </c>
      <c r="GE7" s="3119">
        <f t="shared" ref="GE7:GE20" si="203">+GD7+1/24</f>
        <v>45969.583333332892</v>
      </c>
      <c r="GF7" s="3119">
        <f t="shared" ref="GF7:GF20" si="204">+GE7+1/24</f>
        <v>45969.624999999556</v>
      </c>
      <c r="GG7" s="3119">
        <f t="shared" ref="GG7:GG20" si="205">+GF7+1/24</f>
        <v>45969.66666666622</v>
      </c>
      <c r="GH7" s="3119">
        <f t="shared" ref="GH7:GH20" si="206">+GG7+1/24</f>
        <v>45969.708333332885</v>
      </c>
      <c r="GI7" s="3119">
        <f t="shared" ref="GI7:GI20" si="207">+GH7+1/24</f>
        <v>45969.749999999549</v>
      </c>
      <c r="GJ7" s="3119">
        <f t="shared" ref="GJ7:GJ20" si="208">+GI7+1/24</f>
        <v>45969.791666666213</v>
      </c>
      <c r="GK7" s="3119">
        <f t="shared" ref="GK7:GK20" si="209">+GJ7+1/24</f>
        <v>45969.833333332877</v>
      </c>
      <c r="GL7" s="3119">
        <f t="shared" ref="GL7:GL20" si="210">+GK7+1/24</f>
        <v>45969.874999999542</v>
      </c>
      <c r="GM7" s="3119">
        <f t="shared" ref="GM7:GM20" si="211">+GL7+1/24</f>
        <v>45969.916666666206</v>
      </c>
      <c r="GN7" s="3119">
        <f t="shared" ref="GN7:GN20" si="212">+GM7+1/24</f>
        <v>45969.95833333287</v>
      </c>
      <c r="GO7" s="3119">
        <f t="shared" ref="GO7:GO20" si="213">+GN7+1/24</f>
        <v>45969.999999999534</v>
      </c>
      <c r="GP7" s="3119">
        <f t="shared" si="16"/>
        <v>45970.041666666199</v>
      </c>
      <c r="GQ7" s="3119">
        <f t="shared" ref="GQ7:GQ20" si="214">+GP7+1/24</f>
        <v>45970.083333332863</v>
      </c>
      <c r="GR7" s="3119">
        <f t="shared" ref="GR7:GR20" si="215">+GQ7+1/24</f>
        <v>45970.124999999527</v>
      </c>
      <c r="GS7" s="3119">
        <f t="shared" ref="GS7:GS20" si="216">+GR7+1/24</f>
        <v>45970.166666666191</v>
      </c>
      <c r="GT7" s="3119">
        <f t="shared" ref="GT7:GT20" si="217">+GS7+1/24</f>
        <v>45970.208333332856</v>
      </c>
      <c r="GU7" s="3119">
        <f t="shared" ref="GU7:GU20" si="218">+GT7+1/24</f>
        <v>45970.24999999952</v>
      </c>
      <c r="GV7" s="3119">
        <f t="shared" ref="GV7:GV20" si="219">+GU7+1/24</f>
        <v>45970.291666666184</v>
      </c>
      <c r="GW7" s="3119">
        <f t="shared" ref="GW7:GW20" si="220">+GV7+1/24</f>
        <v>45970.333333332848</v>
      </c>
      <c r="GX7" s="3119">
        <f t="shared" ref="GX7:GX20" si="221">+GW7+1/24</f>
        <v>45970.374999999513</v>
      </c>
      <c r="GY7" s="3119">
        <f t="shared" ref="GY7:GY20" si="222">+GX7+1/24</f>
        <v>45970.416666666177</v>
      </c>
      <c r="GZ7" s="3119">
        <f t="shared" ref="GZ7:GZ20" si="223">+GY7+1/24</f>
        <v>45970.458333332841</v>
      </c>
      <c r="HA7" s="3119">
        <f t="shared" ref="HA7:HA20" si="224">+GZ7+1/24</f>
        <v>45970.499999999505</v>
      </c>
      <c r="HB7" s="3119">
        <f t="shared" ref="HB7:HB20" si="225">+HA7+1/24</f>
        <v>45970.541666666169</v>
      </c>
      <c r="HC7" s="3119">
        <f t="shared" ref="HC7:HC20" si="226">+HB7+1/24</f>
        <v>45970.583333332834</v>
      </c>
      <c r="HD7" s="3119">
        <f t="shared" ref="HD7:HD20" si="227">+HC7+1/24</f>
        <v>45970.624999999498</v>
      </c>
      <c r="HE7" s="3119">
        <f t="shared" ref="HE7:HE20" si="228">+HD7+1/24</f>
        <v>45970.666666666162</v>
      </c>
      <c r="HF7" s="3119">
        <f t="shared" ref="HF7:HF20" si="229">+HE7+1/24</f>
        <v>45970.708333332826</v>
      </c>
      <c r="HG7" s="3119">
        <f t="shared" ref="HG7:HG20" si="230">+HF7+1/24</f>
        <v>45970.749999999491</v>
      </c>
      <c r="HH7" s="3119">
        <f t="shared" ref="HH7:HH20" si="231">+HG7+1/24</f>
        <v>45970.791666666155</v>
      </c>
      <c r="HI7" s="3119">
        <f t="shared" ref="HI7:HI20" si="232">+HH7+1/24</f>
        <v>45970.833333332819</v>
      </c>
      <c r="HJ7" s="3119">
        <f t="shared" ref="HJ7:HJ20" si="233">+HI7+1/24</f>
        <v>45970.874999999483</v>
      </c>
      <c r="HK7" s="3119">
        <f t="shared" ref="HK7:HK20" si="234">+HJ7+1/24</f>
        <v>45970.916666666148</v>
      </c>
      <c r="HL7" s="3119">
        <f t="shared" ref="HL7:HL20" si="235">+HK7+1/24</f>
        <v>45970.958333332812</v>
      </c>
      <c r="HM7" s="3119">
        <f t="shared" ref="HM7:HM20" si="236">+HL7+1/24</f>
        <v>45970.999999999476</v>
      </c>
      <c r="HN7" s="3119">
        <f t="shared" ref="HN7:HN20" si="237">+HM7+1/24</f>
        <v>45971.04166666614</v>
      </c>
      <c r="HO7" s="3119">
        <f t="shared" ref="HO7:HO20" si="238">+HN7+1/24</f>
        <v>45971.083333332805</v>
      </c>
      <c r="HP7" s="3119">
        <f t="shared" ref="HP7:HP20" si="239">+HO7+1/24</f>
        <v>45971.124999999469</v>
      </c>
      <c r="HQ7" s="3119">
        <f t="shared" ref="HQ7:HQ20" si="240">+HP7+1/24</f>
        <v>45971.166666666133</v>
      </c>
      <c r="HR7" s="3119">
        <f t="shared" ref="HR7:HR20" si="241">+HQ7+1/24</f>
        <v>45971.208333332797</v>
      </c>
      <c r="HS7" s="3119">
        <f t="shared" ref="HS7:HS20" si="242">+HR7+1/24</f>
        <v>45971.249999999462</v>
      </c>
      <c r="HT7" s="3119">
        <f t="shared" ref="HT7:HT20" si="243">+HS7+1/24</f>
        <v>45971.291666666126</v>
      </c>
      <c r="HU7" s="3119">
        <f t="shared" ref="HU7:HU20" si="244">+HT7+1/24</f>
        <v>45971.33333333279</v>
      </c>
      <c r="HV7" s="3119">
        <f t="shared" ref="HV7:HV20" si="245">+HU7+1/24</f>
        <v>45971.374999999454</v>
      </c>
      <c r="HW7" s="3119">
        <f t="shared" ref="HW7:HW20" si="246">+HV7+1/24</f>
        <v>45971.416666666119</v>
      </c>
      <c r="HX7" s="3119">
        <f t="shared" ref="HX7:HX20" si="247">+HW7+1/24</f>
        <v>45971.458333332783</v>
      </c>
      <c r="HY7" s="3119">
        <f t="shared" ref="HY7:HY20" si="248">+HX7+1/24</f>
        <v>45971.499999999447</v>
      </c>
      <c r="HZ7" s="3119">
        <f t="shared" ref="HZ7:HZ20" si="249">+HY7+1/24</f>
        <v>45971.541666666111</v>
      </c>
      <c r="IA7" s="3119">
        <f t="shared" ref="IA7:IA20" si="250">+HZ7+1/24</f>
        <v>45971.583333332776</v>
      </c>
      <c r="IB7" s="3119">
        <f t="shared" ref="IB7:IB20" si="251">+IA7+1/24</f>
        <v>45971.62499999944</v>
      </c>
      <c r="IC7" s="3119">
        <f t="shared" ref="IC7:IC20" si="252">+IB7+1/24</f>
        <v>45971.666666666104</v>
      </c>
      <c r="ID7" s="3119">
        <f t="shared" ref="ID7:ID20" si="253">+IC7+1/24</f>
        <v>45971.708333332768</v>
      </c>
      <c r="IE7" s="3119">
        <f t="shared" ref="IE7:IE20" si="254">+ID7+1/24</f>
        <v>45971.749999999432</v>
      </c>
      <c r="IF7" s="3119">
        <f t="shared" ref="IF7:IF20" si="255">+IE7+1/24</f>
        <v>45971.791666666097</v>
      </c>
      <c r="IG7" s="3119">
        <f t="shared" ref="IG7:IG20" si="256">+IF7+1/24</f>
        <v>45971.833333332761</v>
      </c>
      <c r="IH7" s="3119">
        <f t="shared" ref="IH7:IH20" si="257">+IG7+1/24</f>
        <v>45971.874999999425</v>
      </c>
      <c r="II7" s="3119">
        <f t="shared" ref="II7:II20" si="258">+IH7+1/24</f>
        <v>45971.916666666089</v>
      </c>
      <c r="IJ7" s="3119">
        <f t="shared" ref="IJ7:IJ20" si="259">+II7+1/24</f>
        <v>45971.958333332754</v>
      </c>
      <c r="IK7" s="3119">
        <f t="shared" ref="IK7:IK20" si="260">+IJ7+1/24</f>
        <v>45971.999999999418</v>
      </c>
      <c r="IL7" s="3119">
        <f t="shared" ref="IL7:IL20" si="261">+IK7+1/24</f>
        <v>45972.041666666082</v>
      </c>
      <c r="IM7" s="3119">
        <f t="shared" ref="IM7:IM20" si="262">+IL7+1/24</f>
        <v>45972.083333332746</v>
      </c>
      <c r="IN7" s="3119">
        <f t="shared" ref="IN7:IN20" si="263">+IM7+1/24</f>
        <v>45972.124999999411</v>
      </c>
      <c r="IO7" s="3119">
        <f t="shared" ref="IO7:IO20" si="264">+IN7+1/24</f>
        <v>45972.166666666075</v>
      </c>
      <c r="IP7" s="3119">
        <f t="shared" ref="IP7:IP20" si="265">+IO7+1/24</f>
        <v>45972.208333332739</v>
      </c>
      <c r="IQ7" s="3119">
        <f t="shared" ref="IQ7:IQ20" si="266">+IP7+1/24</f>
        <v>45972.249999999403</v>
      </c>
      <c r="IR7" s="3119">
        <f t="shared" ref="IR7:IR20" si="267">+IQ7+1/24</f>
        <v>45972.291666666068</v>
      </c>
      <c r="IS7" s="3119">
        <f t="shared" ref="IS7:IS20" si="268">+IR7+1/24</f>
        <v>45972.333333332732</v>
      </c>
      <c r="IT7" s="3119">
        <f t="shared" ref="IT7:IT20" si="269">+IS7+1/24</f>
        <v>45972.374999999396</v>
      </c>
      <c r="IU7" s="3119">
        <f t="shared" ref="IU7:IU20" si="270">+IT7+1/24</f>
        <v>45972.41666666606</v>
      </c>
      <c r="IV7" s="3119">
        <f t="shared" ref="IV7:IV20" si="271">+IU7+1/24</f>
        <v>45972.458333332725</v>
      </c>
      <c r="IW7" s="3119">
        <f t="shared" ref="IW7:IW20" si="272">+IV7+1/24</f>
        <v>45972.499999999389</v>
      </c>
      <c r="IX7" s="3119">
        <f t="shared" ref="IX7:IX20" si="273">+IW7+1/24</f>
        <v>45972.541666666053</v>
      </c>
      <c r="IY7" s="3119">
        <f t="shared" ref="IY7:IY20" si="274">+IX7+1/24</f>
        <v>45972.583333332717</v>
      </c>
      <c r="IZ7" s="3119">
        <f t="shared" ref="IZ7:IZ20" si="275">+IY7+1/24</f>
        <v>45972.624999999382</v>
      </c>
      <c r="JA7" s="3119">
        <f t="shared" ref="JA7:JA20" si="276">+IZ7+1/24</f>
        <v>45972.666666666046</v>
      </c>
      <c r="JB7" s="3119">
        <f t="shared" si="17"/>
        <v>45972.70833333271</v>
      </c>
      <c r="JC7" s="3119">
        <f t="shared" ref="JC7:JC20" si="277">+JB7+1/24</f>
        <v>45972.749999999374</v>
      </c>
      <c r="JD7" s="3119">
        <f t="shared" ref="JD7:JD20" si="278">+JC7+1/24</f>
        <v>45972.791666666039</v>
      </c>
      <c r="JE7" s="3119">
        <f t="shared" ref="JE7:JE20" si="279">+JD7+1/24</f>
        <v>45972.833333332703</v>
      </c>
      <c r="JF7" s="3119">
        <f t="shared" ref="JF7:JF20" si="280">+JE7+1/24</f>
        <v>45972.874999999367</v>
      </c>
      <c r="JG7" s="3119">
        <f t="shared" ref="JG7:JG20" si="281">+JF7+1/24</f>
        <v>45972.916666666031</v>
      </c>
      <c r="JH7" s="3119">
        <f t="shared" ref="JH7:JH20" si="282">+JG7+1/24</f>
        <v>45972.958333332695</v>
      </c>
      <c r="JI7" s="3119">
        <f t="shared" ref="JI7:JI20" si="283">+JH7+1/24</f>
        <v>45972.99999999936</v>
      </c>
      <c r="JJ7" s="3119">
        <f t="shared" ref="JJ7:JJ20" si="284">+JI7+1/24</f>
        <v>45973.041666666024</v>
      </c>
      <c r="JK7" s="3119">
        <f t="shared" ref="JK7:JK20" si="285">+JJ7+1/24</f>
        <v>45973.083333332688</v>
      </c>
      <c r="JL7" s="3119">
        <f t="shared" ref="JL7:JL20" si="286">+JK7+1/24</f>
        <v>45973.124999999352</v>
      </c>
      <c r="JM7" s="3119">
        <f t="shared" ref="JM7:JM20" si="287">+JL7+1/24</f>
        <v>45973.166666666017</v>
      </c>
      <c r="JN7" s="3119">
        <f t="shared" ref="JN7:JN20" si="288">+JM7+1/24</f>
        <v>45973.208333332681</v>
      </c>
      <c r="JO7" s="3119">
        <f t="shared" ref="JO7:JO20" si="289">+JN7+1/24</f>
        <v>45973.249999999345</v>
      </c>
      <c r="JP7" s="3119">
        <f t="shared" ref="JP7:JP20" si="290">+JO7+1/24</f>
        <v>45973.291666666009</v>
      </c>
      <c r="JQ7" s="3119">
        <f t="shared" ref="JQ7:JQ20" si="291">+JP7+1/24</f>
        <v>45973.333333332674</v>
      </c>
      <c r="JR7" s="3119">
        <f t="shared" ref="JR7:JR20" si="292">+JQ7+1/24</f>
        <v>45973.374999999338</v>
      </c>
      <c r="JS7" s="3119">
        <f t="shared" ref="JS7:JS20" si="293">+JR7+1/24</f>
        <v>45973.416666666002</v>
      </c>
      <c r="JT7" s="3119">
        <f t="shared" ref="JT7:JT20" si="294">+JS7+1/24</f>
        <v>45973.458333332666</v>
      </c>
      <c r="JU7" s="3119">
        <f t="shared" ref="JU7:JU20" si="295">+JT7+1/24</f>
        <v>45973.499999999331</v>
      </c>
      <c r="JV7" s="3119">
        <f t="shared" ref="JV7:JV20" si="296">+JU7+1/24</f>
        <v>45973.541666665995</v>
      </c>
      <c r="JW7" s="3119">
        <f t="shared" ref="JW7:JW20" si="297">+JV7+1/24</f>
        <v>45973.583333332659</v>
      </c>
      <c r="JX7" s="3119">
        <f t="shared" ref="JX7:JX20" si="298">+JW7+1/24</f>
        <v>45973.624999999323</v>
      </c>
      <c r="JY7" s="3119">
        <f t="shared" ref="JY7:JY20" si="299">+JX7+1/24</f>
        <v>45973.666666665988</v>
      </c>
      <c r="JZ7" s="3119">
        <f t="shared" ref="JZ7:JZ20" si="300">+JY7+1/24</f>
        <v>45973.708333332652</v>
      </c>
      <c r="KA7" s="3119">
        <f t="shared" ref="KA7:KA20" si="301">+JZ7+1/24</f>
        <v>45973.749999999316</v>
      </c>
      <c r="KB7" s="3119">
        <f t="shared" ref="KB7:KB20" si="302">+KA7+1/24</f>
        <v>45973.79166666598</v>
      </c>
      <c r="KC7" s="3119">
        <f t="shared" ref="KC7:KC20" si="303">+KB7+1/24</f>
        <v>45973.833333332645</v>
      </c>
      <c r="KD7" s="3119">
        <f t="shared" ref="KD7:KD20" si="304">+KC7+1/24</f>
        <v>45973.874999999309</v>
      </c>
      <c r="KE7" s="3119">
        <f t="shared" ref="KE7:KE20" si="305">+KD7+1/24</f>
        <v>45973.916666665973</v>
      </c>
      <c r="KF7" s="3119">
        <f t="shared" ref="KF7:KF20" si="306">+KE7+1/24</f>
        <v>45973.958333332637</v>
      </c>
      <c r="KG7" s="3119">
        <f t="shared" ref="KG7:KG20" si="307">+KF7+1/24</f>
        <v>45973.999999999302</v>
      </c>
      <c r="KH7" s="3119">
        <f t="shared" ref="KH7:KH20" si="308">+KG7+1/24</f>
        <v>45974.041666665966</v>
      </c>
      <c r="KI7" s="3119">
        <f t="shared" ref="KI7:KI20" si="309">+KH7+1/24</f>
        <v>45974.08333333263</v>
      </c>
      <c r="KJ7" s="3119">
        <f t="shared" ref="KJ7:KJ20" si="310">+KI7+1/24</f>
        <v>45974.124999999294</v>
      </c>
      <c r="KK7" s="3119">
        <f t="shared" ref="KK7:KK20" si="311">+KJ7+1/24</f>
        <v>45974.166666665958</v>
      </c>
      <c r="KL7" s="3119">
        <f t="shared" ref="KL7:KL20" si="312">+KK7+1/24</f>
        <v>45974.208333332623</v>
      </c>
      <c r="KM7" s="3119">
        <f t="shared" ref="KM7:KM20" si="313">+KL7+1/24</f>
        <v>45974.249999999287</v>
      </c>
      <c r="KN7" s="3119">
        <f t="shared" ref="KN7:KN20" si="314">+KM7+1/24</f>
        <v>45974.291666665951</v>
      </c>
      <c r="KO7" s="3119">
        <f t="shared" ref="KO7:KO20" si="315">+KN7+1/24</f>
        <v>45974.333333332615</v>
      </c>
      <c r="KP7" s="3119">
        <f t="shared" ref="KP7:KP20" si="316">+KO7+1/24</f>
        <v>45974.37499999928</v>
      </c>
      <c r="KQ7" s="3119">
        <f t="shared" ref="KQ7:KQ20" si="317">+KP7+1/24</f>
        <v>45974.416666665944</v>
      </c>
      <c r="KR7" s="3119">
        <f t="shared" ref="KR7:KR20" si="318">+KQ7+1/24</f>
        <v>45974.458333332608</v>
      </c>
      <c r="KS7" s="3119">
        <f t="shared" ref="KS7:KS20" si="319">+KR7+1/24</f>
        <v>45974.499999999272</v>
      </c>
      <c r="KT7" s="3119">
        <f t="shared" ref="KT7:KT20" si="320">+KS7+1/24</f>
        <v>45974.541666665937</v>
      </c>
      <c r="KU7" s="3119">
        <f t="shared" ref="KU7:KU20" si="321">+KT7+1/24</f>
        <v>45974.583333332601</v>
      </c>
      <c r="KV7" s="3119">
        <f t="shared" ref="KV7:KV20" si="322">+KU7+1/24</f>
        <v>45974.624999999265</v>
      </c>
      <c r="KW7" s="3119">
        <f t="shared" ref="KW7:KW20" si="323">+KV7+1/24</f>
        <v>45974.666666665929</v>
      </c>
      <c r="KX7" s="3119">
        <f t="shared" ref="KX7:KX20" si="324">+KW7+1/24</f>
        <v>45974.708333332594</v>
      </c>
      <c r="KY7" s="3119">
        <f t="shared" ref="KY7:KY20" si="325">+KX7+1/24</f>
        <v>45974.749999999258</v>
      </c>
      <c r="KZ7" s="3119">
        <f t="shared" ref="KZ7:KZ20" si="326">+KY7+1/24</f>
        <v>45974.791666665922</v>
      </c>
      <c r="LA7" s="3119">
        <f t="shared" ref="LA7:LA20" si="327">+KZ7+1/24</f>
        <v>45974.833333332586</v>
      </c>
      <c r="LB7" s="3119">
        <f t="shared" ref="LB7:LB20" si="328">+LA7+1/24</f>
        <v>45974.874999999251</v>
      </c>
      <c r="LC7" s="3119">
        <f t="shared" ref="LC7:LC20" si="329">+LB7+1/24</f>
        <v>45974.916666665915</v>
      </c>
      <c r="LD7" s="3119">
        <f t="shared" ref="LD7:LD20" si="330">+LC7+1/24</f>
        <v>45974.958333332579</v>
      </c>
      <c r="LE7" s="3119">
        <f t="shared" ref="LE7:LE20" si="331">+LD7+1/24</f>
        <v>45974.999999999243</v>
      </c>
      <c r="LF7" s="3119">
        <f t="shared" ref="LF7:LF20" si="332">+LE7+1/24</f>
        <v>45975.041666665908</v>
      </c>
      <c r="LG7" s="3119">
        <f t="shared" ref="LG7:LG20" si="333">+LF7+1/24</f>
        <v>45975.083333332572</v>
      </c>
      <c r="LH7" s="3119">
        <f t="shared" ref="LH7:LH20" si="334">+LG7+1/24</f>
        <v>45975.124999999236</v>
      </c>
      <c r="LI7" s="3119">
        <f t="shared" ref="LI7:LI20" si="335">+LH7+1/24</f>
        <v>45975.1666666659</v>
      </c>
      <c r="LJ7" s="3119">
        <f t="shared" ref="LJ7:LJ20" si="336">+LI7+1/24</f>
        <v>45975.208333332565</v>
      </c>
      <c r="LK7" s="3119">
        <f t="shared" ref="LK7:LK20" si="337">+LJ7+1/24</f>
        <v>45975.249999999229</v>
      </c>
      <c r="LL7" s="3119">
        <f t="shared" ref="LL7:LL20" si="338">+LK7+1/24</f>
        <v>45975.291666665893</v>
      </c>
      <c r="LM7" s="3119">
        <f t="shared" ref="LM7:LM20" si="339">+LL7+1/24</f>
        <v>45975.333333332557</v>
      </c>
      <c r="LN7" s="3119">
        <f t="shared" si="18"/>
        <v>45975.374999999221</v>
      </c>
      <c r="LO7" s="3119">
        <f t="shared" ref="LO7:LO20" si="340">+LN7+1/24</f>
        <v>45975.416666665886</v>
      </c>
      <c r="LP7" s="3119">
        <f t="shared" ref="LP7:LP20" si="341">+LO7+1/24</f>
        <v>45975.45833333255</v>
      </c>
      <c r="LQ7" s="3119">
        <f t="shared" ref="LQ7:LQ20" si="342">+LP7+1/24</f>
        <v>45975.499999999214</v>
      </c>
      <c r="LR7" s="3119">
        <f t="shared" ref="LR7:LR20" si="343">+LQ7+1/24</f>
        <v>45975.541666665878</v>
      </c>
      <c r="LS7" s="3119">
        <f t="shared" ref="LS7:LS20" si="344">+LR7+1/24</f>
        <v>45975.583333332543</v>
      </c>
      <c r="LT7" s="3119">
        <f t="shared" ref="LT7:LT20" si="345">+LS7+1/24</f>
        <v>45975.624999999207</v>
      </c>
      <c r="LU7" s="3119">
        <f t="shared" ref="LU7:LU20" si="346">+LT7+1/24</f>
        <v>45975.666666665871</v>
      </c>
      <c r="LV7" s="3119">
        <f t="shared" ref="LV7:LV20" si="347">+LU7+1/24</f>
        <v>45975.708333332535</v>
      </c>
      <c r="LW7" s="3119">
        <f t="shared" ref="LW7:LW20" si="348">+LV7+1/24</f>
        <v>45975.7499999992</v>
      </c>
      <c r="LX7" s="3119">
        <f t="shared" ref="LX7:LX20" si="349">+LW7+1/24</f>
        <v>45975.791666665864</v>
      </c>
      <c r="LY7" s="3119">
        <f t="shared" ref="LY7:LY20" si="350">+LX7+1/24</f>
        <v>45975.833333332528</v>
      </c>
      <c r="LZ7" s="3119">
        <f t="shared" ref="LZ7:LZ20" si="351">+LY7+1/24</f>
        <v>45975.874999999192</v>
      </c>
      <c r="MA7" s="3119">
        <f t="shared" ref="MA7:MA20" si="352">+LZ7+1/24</f>
        <v>45975.916666665857</v>
      </c>
      <c r="MB7" s="3119">
        <f t="shared" ref="MB7:MB20" si="353">+MA7+1/24</f>
        <v>45975.958333332521</v>
      </c>
      <c r="MC7" s="3119">
        <f t="shared" ref="MC7:MC20" si="354">+MB7+1/24</f>
        <v>45975.999999999185</v>
      </c>
      <c r="MD7" s="3119">
        <f t="shared" ref="MD7:MD20" si="355">+MC7+1/24</f>
        <v>45976.041666665849</v>
      </c>
      <c r="ME7" s="3119">
        <f t="shared" ref="ME7:ME20" si="356">+MD7+1/24</f>
        <v>45976.083333332514</v>
      </c>
      <c r="MF7" s="3119">
        <f t="shared" ref="MF7:MF20" si="357">+ME7+1/24</f>
        <v>45976.124999999178</v>
      </c>
      <c r="MG7" s="3119">
        <f t="shared" ref="MG7:MG20" si="358">+MF7+1/24</f>
        <v>45976.166666665842</v>
      </c>
      <c r="MH7" s="3119">
        <f t="shared" ref="MH7:MH20" si="359">+MG7+1/24</f>
        <v>45976.208333332506</v>
      </c>
      <c r="MI7" s="3119">
        <f t="shared" ref="MI7:MI20" si="360">+MH7+1/24</f>
        <v>45976.249999999171</v>
      </c>
      <c r="MJ7" s="3119">
        <f t="shared" ref="MJ7:MJ20" si="361">+MI7+1/24</f>
        <v>45976.291666665835</v>
      </c>
      <c r="MK7" s="3119">
        <f t="shared" ref="MK7:MK20" si="362">+MJ7+1/24</f>
        <v>45976.333333332499</v>
      </c>
      <c r="ML7" s="3119">
        <f t="shared" ref="ML7:ML20" si="363">+MK7+1/24</f>
        <v>45976.374999999163</v>
      </c>
      <c r="MM7" s="3119">
        <f t="shared" ref="MM7:MM20" si="364">+ML7+1/24</f>
        <v>45976.416666665828</v>
      </c>
      <c r="MN7" s="3119">
        <f t="shared" ref="MN7:MN20" si="365">+MM7+1/24</f>
        <v>45976.458333332492</v>
      </c>
      <c r="MO7" s="3119">
        <f t="shared" ref="MO7:MO20" si="366">+MN7+1/24</f>
        <v>45976.499999999156</v>
      </c>
      <c r="MP7" s="3119">
        <f t="shared" ref="MP7:MP20" si="367">+MO7+1/24</f>
        <v>45976.54166666582</v>
      </c>
      <c r="MQ7" s="3119">
        <f t="shared" ref="MQ7:MQ20" si="368">+MP7+1/24</f>
        <v>45976.583333332484</v>
      </c>
      <c r="MR7" s="3119">
        <f t="shared" ref="MR7:MR20" si="369">+MQ7+1/24</f>
        <v>45976.624999999149</v>
      </c>
      <c r="MS7" s="3119">
        <f t="shared" ref="MS7:MS20" si="370">+MR7+1/24</f>
        <v>45976.666666665813</v>
      </c>
      <c r="MT7" s="3119">
        <f t="shared" ref="MT7:MT20" si="371">+MS7+1/24</f>
        <v>45976.708333332477</v>
      </c>
      <c r="MU7" s="3119">
        <f t="shared" ref="MU7:MU20" si="372">+MT7+1/24</f>
        <v>45976.749999999141</v>
      </c>
      <c r="MV7" s="3119">
        <f t="shared" ref="MV7:MV20" si="373">+MU7+1/24</f>
        <v>45976.791666665806</v>
      </c>
      <c r="MW7" s="3119">
        <f t="shared" ref="MW7:MW20" si="374">+MV7+1/24</f>
        <v>45976.83333333247</v>
      </c>
      <c r="MX7" s="3119">
        <f t="shared" ref="MX7:MX20" si="375">+MW7+1/24</f>
        <v>45976.874999999134</v>
      </c>
      <c r="MY7" s="3119">
        <f t="shared" ref="MY7:MY20" si="376">+MX7+1/24</f>
        <v>45976.916666665798</v>
      </c>
      <c r="MZ7" s="3119">
        <f t="shared" ref="MZ7:MZ20" si="377">+MY7+1/24</f>
        <v>45976.958333332463</v>
      </c>
      <c r="NA7" s="3119">
        <f t="shared" ref="NA7:NA20" si="378">+MZ7+1/24</f>
        <v>45976.999999999127</v>
      </c>
      <c r="NB7" s="3119">
        <f t="shared" ref="NB7:NB20" si="379">+NA7+1/24</f>
        <v>45977.041666665791</v>
      </c>
      <c r="NC7" s="3119">
        <f t="shared" ref="NC7:NC20" si="380">+NB7+1/24</f>
        <v>45977.083333332455</v>
      </c>
      <c r="ND7" s="3119">
        <f t="shared" ref="ND7:ND20" si="381">+NC7+1/24</f>
        <v>45977.12499999912</v>
      </c>
      <c r="NE7" s="3119">
        <f t="shared" ref="NE7:NE20" si="382">+ND7+1/24</f>
        <v>45977.166666665784</v>
      </c>
      <c r="NF7" s="3119">
        <f t="shared" ref="NF7:NF20" si="383">+NE7+1/24</f>
        <v>45977.208333332448</v>
      </c>
      <c r="NG7" s="3119">
        <f t="shared" ref="NG7:NG20" si="384">+NF7+1/24</f>
        <v>45977.249999999112</v>
      </c>
      <c r="NH7" s="3119">
        <f t="shared" ref="NH7:NH20" si="385">+NG7+1/24</f>
        <v>45977.291666665777</v>
      </c>
      <c r="NI7" s="3119">
        <f t="shared" ref="NI7:NI20" si="386">+NH7+1/24</f>
        <v>45977.333333332441</v>
      </c>
      <c r="NJ7" s="3119">
        <f t="shared" ref="NJ7:NJ20" si="387">+NI7+1/24</f>
        <v>45977.374999999105</v>
      </c>
      <c r="NK7" s="3119">
        <f t="shared" ref="NK7:NK20" si="388">+NJ7+1/24</f>
        <v>45977.416666665769</v>
      </c>
      <c r="NL7" s="3119">
        <f t="shared" ref="NL7:NL20" si="389">+NK7+1/24</f>
        <v>45977.458333332434</v>
      </c>
      <c r="NM7" s="3119">
        <f t="shared" ref="NM7:NM20" si="390">+NL7+1/24</f>
        <v>45977.499999999098</v>
      </c>
      <c r="NN7" s="3119">
        <f t="shared" ref="NN7:NN20" si="391">+NM7+1/24</f>
        <v>45977.541666665762</v>
      </c>
      <c r="NO7" s="3119">
        <f t="shared" ref="NO7:NO20" si="392">+NN7+1/24</f>
        <v>45977.583333332426</v>
      </c>
      <c r="NP7" s="3119">
        <f t="shared" ref="NP7:NP20" si="393">+NO7+1/24</f>
        <v>45977.624999999091</v>
      </c>
      <c r="NQ7" s="3119">
        <f t="shared" ref="NQ7:NQ20" si="394">+NP7+1/24</f>
        <v>45977.666666665755</v>
      </c>
      <c r="NR7" s="3119">
        <f t="shared" ref="NR7:NR20" si="395">+NQ7+1/24</f>
        <v>45977.708333332419</v>
      </c>
      <c r="NS7" s="3119">
        <f t="shared" ref="NS7:NS20" si="396">+NR7+1/24</f>
        <v>45977.749999999083</v>
      </c>
      <c r="NT7" s="3119">
        <f t="shared" ref="NT7:NT20" si="397">+NS7+1/24</f>
        <v>45977.791666665747</v>
      </c>
      <c r="NU7" s="3119">
        <f t="shared" ref="NU7:NU20" si="398">+NT7+1/24</f>
        <v>45977.833333332412</v>
      </c>
      <c r="NV7" s="3119">
        <f t="shared" ref="NV7:NV20" si="399">+NU7+1/24</f>
        <v>45977.874999999076</v>
      </c>
      <c r="NW7" s="3119">
        <f t="shared" ref="NW7:NW20" si="400">+NV7+1/24</f>
        <v>45977.91666666574</v>
      </c>
      <c r="NX7" s="3119">
        <f t="shared" ref="NX7:NX20" si="401">+NW7+1/24</f>
        <v>45977.958333332404</v>
      </c>
      <c r="NY7" s="3119">
        <f t="shared" ref="NY7:NY20" si="402">+NX7+1/24</f>
        <v>45977.999999999069</v>
      </c>
      <c r="NZ7" s="3119">
        <f t="shared" si="19"/>
        <v>45978.041666665733</v>
      </c>
      <c r="OA7" s="3119">
        <f t="shared" ref="OA7:OA20" si="403">+NZ7+1/24</f>
        <v>45978.083333332397</v>
      </c>
      <c r="OB7" s="3119">
        <f t="shared" ref="OB7:OB20" si="404">+OA7+1/24</f>
        <v>45978.124999999061</v>
      </c>
      <c r="OC7" s="3119">
        <f t="shared" ref="OC7:OC20" si="405">+OB7+1/24</f>
        <v>45978.166666665726</v>
      </c>
      <c r="OD7" s="3119">
        <f t="shared" ref="OD7:OD20" si="406">+OC7+1/24</f>
        <v>45978.20833333239</v>
      </c>
      <c r="OE7" s="3119">
        <f t="shared" ref="OE7:OE20" si="407">+OD7+1/24</f>
        <v>45978.249999999054</v>
      </c>
      <c r="OF7" s="3119">
        <f t="shared" ref="OF7:OF20" si="408">+OE7+1/24</f>
        <v>45978.291666665718</v>
      </c>
      <c r="OG7" s="3119">
        <f t="shared" ref="OG7:OG20" si="409">+OF7+1/24</f>
        <v>45978.333333332383</v>
      </c>
      <c r="OH7" s="3119">
        <f t="shared" ref="OH7:OH20" si="410">+OG7+1/24</f>
        <v>45978.374999999047</v>
      </c>
      <c r="OI7" s="3119">
        <f t="shared" ref="OI7:OI20" si="411">+OH7+1/24</f>
        <v>45978.416666665711</v>
      </c>
      <c r="OJ7" s="3119">
        <f t="shared" ref="OJ7:OJ20" si="412">+OI7+1/24</f>
        <v>45978.458333332375</v>
      </c>
      <c r="OK7" s="3119">
        <f t="shared" ref="OK7:OK20" si="413">+OJ7+1/24</f>
        <v>45978.49999999904</v>
      </c>
      <c r="OL7" s="3119">
        <f t="shared" ref="OL7:OL20" si="414">+OK7+1/24</f>
        <v>45978.541666665704</v>
      </c>
      <c r="OM7" s="3119">
        <f t="shared" ref="OM7:OM20" si="415">+OL7+1/24</f>
        <v>45978.583333332368</v>
      </c>
      <c r="ON7" s="3119">
        <f t="shared" ref="ON7:ON20" si="416">+OM7+1/24</f>
        <v>45978.624999999032</v>
      </c>
      <c r="OO7" s="3119">
        <f t="shared" ref="OO7:OO20" si="417">+ON7+1/24</f>
        <v>45978.666666665697</v>
      </c>
      <c r="OP7" s="3119">
        <f t="shared" ref="OP7:OP20" si="418">+OO7+1/24</f>
        <v>45978.708333332361</v>
      </c>
      <c r="OQ7" s="3119">
        <f t="shared" ref="OQ7:OQ20" si="419">+OP7+1/24</f>
        <v>45978.749999999025</v>
      </c>
      <c r="OR7" s="3119">
        <f t="shared" ref="OR7:OR20" si="420">+OQ7+1/24</f>
        <v>45978.791666665689</v>
      </c>
      <c r="OS7" s="3119">
        <f t="shared" ref="OS7:OS20" si="421">+OR7+1/24</f>
        <v>45978.833333332354</v>
      </c>
      <c r="OT7" s="3119">
        <f t="shared" ref="OT7:OT20" si="422">+OS7+1/24</f>
        <v>45978.874999999018</v>
      </c>
      <c r="OU7" s="3119">
        <f t="shared" ref="OU7:OU20" si="423">+OT7+1/24</f>
        <v>45978.916666665682</v>
      </c>
      <c r="OV7" s="3119">
        <f t="shared" ref="OV7:OV20" si="424">+OU7+1/24</f>
        <v>45978.958333332346</v>
      </c>
      <c r="OW7" s="3119">
        <f t="shared" ref="OW7:OW20" si="425">+OV7+1/24</f>
        <v>45978.99999999901</v>
      </c>
      <c r="OX7" s="3119">
        <f t="shared" ref="OX7:OX20" si="426">+OW7+1/24</f>
        <v>45979.041666665675</v>
      </c>
      <c r="OY7" s="3119">
        <f t="shared" ref="OY7:OY20" si="427">+OX7+1/24</f>
        <v>45979.083333332339</v>
      </c>
      <c r="OZ7" s="3119">
        <f t="shared" ref="OZ7:OZ20" si="428">+OY7+1/24</f>
        <v>45979.124999999003</v>
      </c>
      <c r="PA7" s="3119">
        <f t="shared" ref="PA7:PA20" si="429">+OZ7+1/24</f>
        <v>45979.166666665667</v>
      </c>
      <c r="PB7" s="3119">
        <f t="shared" ref="PB7:PB20" si="430">+PA7+1/24</f>
        <v>45979.208333332332</v>
      </c>
      <c r="PC7" s="3119">
        <f t="shared" ref="PC7:PC20" si="431">+PB7+1/24</f>
        <v>45979.249999998996</v>
      </c>
      <c r="PD7" s="3119">
        <f t="shared" ref="PD7:PD20" si="432">+PC7+1/24</f>
        <v>45979.29166666566</v>
      </c>
      <c r="PE7" s="3119">
        <f t="shared" ref="PE7:PE20" si="433">+PD7+1/24</f>
        <v>45979.333333332324</v>
      </c>
      <c r="PF7" s="3119">
        <f t="shared" ref="PF7:PF20" si="434">+PE7+1/24</f>
        <v>45979.374999998989</v>
      </c>
      <c r="PG7" s="3119">
        <f t="shared" ref="PG7:PG20" si="435">+PF7+1/24</f>
        <v>45979.416666665653</v>
      </c>
      <c r="PH7" s="3119">
        <f t="shared" ref="PH7:PH20" si="436">+PG7+1/24</f>
        <v>45979.458333332317</v>
      </c>
      <c r="PI7" s="3119">
        <f t="shared" ref="PI7:PI20" si="437">+PH7+1/24</f>
        <v>45979.499999998981</v>
      </c>
      <c r="PJ7" s="3119">
        <f t="shared" ref="PJ7:PJ20" si="438">+PI7+1/24</f>
        <v>45979.541666665646</v>
      </c>
      <c r="PK7" s="3119">
        <f t="shared" ref="PK7:PK20" si="439">+PJ7+1/24</f>
        <v>45979.58333333231</v>
      </c>
      <c r="PL7" s="3119">
        <f t="shared" ref="PL7:PL20" si="440">+PK7+1/24</f>
        <v>45979.624999998974</v>
      </c>
      <c r="PM7" s="3119">
        <f t="shared" ref="PM7:PM20" si="441">+PL7+1/24</f>
        <v>45979.666666665638</v>
      </c>
      <c r="PN7" s="3119">
        <f t="shared" ref="PN7:PN20" si="442">+PM7+1/24</f>
        <v>45979.708333332303</v>
      </c>
      <c r="PO7" s="3119">
        <f t="shared" ref="PO7:PO20" si="443">+PN7+1/24</f>
        <v>45979.749999998967</v>
      </c>
      <c r="PP7" s="3119">
        <f t="shared" ref="PP7:PP20" si="444">+PO7+1/24</f>
        <v>45979.791666665631</v>
      </c>
      <c r="PQ7" s="3119">
        <f t="shared" ref="PQ7:PQ20" si="445">+PP7+1/24</f>
        <v>45979.833333332295</v>
      </c>
      <c r="PR7" s="3119">
        <f t="shared" ref="PR7:PR20" si="446">+PQ7+1/24</f>
        <v>45979.87499999896</v>
      </c>
      <c r="PS7" s="3119">
        <f t="shared" ref="PS7:PS20" si="447">+PR7+1/24</f>
        <v>45979.916666665624</v>
      </c>
      <c r="PT7" s="3119">
        <f t="shared" ref="PT7:PT20" si="448">+PS7+1/24</f>
        <v>45979.958333332288</v>
      </c>
      <c r="PU7" s="3119">
        <f t="shared" ref="PU7:PU20" si="449">+PT7+1/24</f>
        <v>45979.999999998952</v>
      </c>
      <c r="PV7" s="3119">
        <f t="shared" ref="PV7:PV20" si="450">+PU7+1/24</f>
        <v>45980.041666665617</v>
      </c>
      <c r="PW7" s="3119">
        <f t="shared" ref="PW7:PW20" si="451">+PV7+1/24</f>
        <v>45980.083333332281</v>
      </c>
      <c r="PX7" s="3119">
        <f t="shared" ref="PX7:PX20" si="452">+PW7+1/24</f>
        <v>45980.124999998945</v>
      </c>
      <c r="PY7" s="3119">
        <f t="shared" ref="PY7:PY20" si="453">+PX7+1/24</f>
        <v>45980.166666665609</v>
      </c>
      <c r="PZ7" s="3119">
        <f t="shared" ref="PZ7:PZ20" si="454">+PY7+1/24</f>
        <v>45980.208333332273</v>
      </c>
      <c r="QA7" s="3119">
        <f t="shared" ref="QA7:QA20" si="455">+PZ7+1/24</f>
        <v>45980.249999998938</v>
      </c>
      <c r="QB7" s="3119">
        <f t="shared" ref="QB7:QB20" si="456">+QA7+1/24</f>
        <v>45980.291666665602</v>
      </c>
      <c r="QC7" s="3119">
        <f t="shared" ref="QC7:QC20" si="457">+QB7+1/24</f>
        <v>45980.333333332266</v>
      </c>
      <c r="QD7" s="3119">
        <f t="shared" ref="QD7:QD20" si="458">+QC7+1/24</f>
        <v>45980.37499999893</v>
      </c>
      <c r="QE7" s="3119">
        <f t="shared" ref="QE7:QE20" si="459">+QD7+1/24</f>
        <v>45980.416666665595</v>
      </c>
      <c r="QF7" s="3119">
        <f t="shared" ref="QF7:QF20" si="460">+QE7+1/24</f>
        <v>45980.458333332259</v>
      </c>
      <c r="QG7" s="3119">
        <f t="shared" ref="QG7:QG20" si="461">+QF7+1/24</f>
        <v>45980.499999998923</v>
      </c>
      <c r="QH7" s="3119">
        <f t="shared" ref="QH7:QH20" si="462">+QG7+1/24</f>
        <v>45980.541666665587</v>
      </c>
      <c r="QI7" s="3119">
        <f t="shared" ref="QI7:QI20" si="463">+QH7+1/24</f>
        <v>45980.583333332252</v>
      </c>
      <c r="QJ7" s="3119">
        <f t="shared" ref="QJ7:QJ20" si="464">+QI7+1/24</f>
        <v>45980.624999998916</v>
      </c>
      <c r="QK7" s="3119">
        <f t="shared" ref="QK7:QK20" si="465">+QJ7+1/24</f>
        <v>45980.66666666558</v>
      </c>
      <c r="QL7" s="3119">
        <f t="shared" si="20"/>
        <v>45980.708333332244</v>
      </c>
      <c r="QM7" s="3119">
        <f t="shared" ref="QM7:QM20" si="466">+QL7+1/24</f>
        <v>45980.749999998909</v>
      </c>
      <c r="QN7" s="3119">
        <f t="shared" ref="QN7:QN20" si="467">+QM7+1/24</f>
        <v>45980.791666665573</v>
      </c>
      <c r="QO7" s="3119">
        <f t="shared" ref="QO7:QO20" si="468">+QN7+1/24</f>
        <v>45980.833333332237</v>
      </c>
      <c r="QP7" s="3119">
        <f t="shared" ref="QP7:QP20" si="469">+QO7+1/24</f>
        <v>45980.874999998901</v>
      </c>
      <c r="QQ7" s="3119">
        <f t="shared" ref="QQ7:QQ20" si="470">+QP7+1/24</f>
        <v>45980.916666665566</v>
      </c>
      <c r="QR7" s="3119">
        <f t="shared" ref="QR7:QR20" si="471">+QQ7+1/24</f>
        <v>45980.95833333223</v>
      </c>
      <c r="QS7" s="3119">
        <f t="shared" ref="QS7:QS20" si="472">+QR7+1/24</f>
        <v>45980.999999998894</v>
      </c>
      <c r="QT7" s="3119">
        <f t="shared" ref="QT7:QT20" si="473">+QS7+1/24</f>
        <v>45981.041666665558</v>
      </c>
      <c r="QU7" s="3119">
        <f t="shared" ref="QU7:QU20" si="474">+QT7+1/24</f>
        <v>45981.083333332223</v>
      </c>
      <c r="QV7" s="3119">
        <f t="shared" ref="QV7:QV20" si="475">+QU7+1/24</f>
        <v>45981.124999998887</v>
      </c>
      <c r="QW7" s="3119">
        <f t="shared" ref="QW7:QW20" si="476">+QV7+1/24</f>
        <v>45981.166666665551</v>
      </c>
      <c r="QX7" s="3119">
        <f t="shared" ref="QX7:QX20" si="477">+QW7+1/24</f>
        <v>45981.208333332215</v>
      </c>
      <c r="QY7" s="3119">
        <f t="shared" ref="QY7:QY20" si="478">+QX7+1/24</f>
        <v>45981.24999999888</v>
      </c>
      <c r="QZ7" s="3119">
        <f t="shared" ref="QZ7:QZ20" si="479">+QY7+1/24</f>
        <v>45981.291666665544</v>
      </c>
      <c r="RA7" s="3119">
        <f t="shared" ref="RA7:RA20" si="480">+QZ7+1/24</f>
        <v>45981.333333332208</v>
      </c>
      <c r="RB7" s="3119">
        <f t="shared" ref="RB7:RB20" si="481">+RA7+1/24</f>
        <v>45981.374999998872</v>
      </c>
      <c r="RC7" s="3119">
        <f t="shared" ref="RC7:RC20" si="482">+RB7+1/24</f>
        <v>45981.416666665536</v>
      </c>
      <c r="RD7" s="3119">
        <f t="shared" ref="RD7:RD20" si="483">+RC7+1/24</f>
        <v>45981.458333332201</v>
      </c>
      <c r="RE7" s="3119">
        <f t="shared" ref="RE7:RE20" si="484">+RD7+1/24</f>
        <v>45981.499999998865</v>
      </c>
      <c r="RF7" s="3119">
        <f t="shared" ref="RF7:RF20" si="485">+RE7+1/24</f>
        <v>45981.541666665529</v>
      </c>
      <c r="RG7" s="3119">
        <f t="shared" ref="RG7:RG20" si="486">+RF7+1/24</f>
        <v>45981.583333332193</v>
      </c>
      <c r="RH7" s="3119">
        <f t="shared" ref="RH7:RH20" si="487">+RG7+1/24</f>
        <v>45981.624999998858</v>
      </c>
      <c r="RI7" s="3119">
        <f t="shared" ref="RI7:RI20" si="488">+RH7+1/24</f>
        <v>45981.666666665522</v>
      </c>
      <c r="RJ7" s="3119">
        <f t="shared" ref="RJ7:RJ20" si="489">+RI7+1/24</f>
        <v>45981.708333332186</v>
      </c>
      <c r="RK7" s="3119">
        <f t="shared" ref="RK7:RK20" si="490">+RJ7+1/24</f>
        <v>45981.74999999885</v>
      </c>
      <c r="RL7" s="3119">
        <f t="shared" ref="RL7:RL20" si="491">+RK7+1/24</f>
        <v>45981.791666665515</v>
      </c>
      <c r="RM7" s="3119">
        <f t="shared" ref="RM7:RM20" si="492">+RL7+1/24</f>
        <v>45981.833333332179</v>
      </c>
      <c r="RN7" s="3119">
        <f t="shared" ref="RN7:RN20" si="493">+RM7+1/24</f>
        <v>45981.874999998843</v>
      </c>
      <c r="RO7" s="3119">
        <f t="shared" ref="RO7:RO20" si="494">+RN7+1/24</f>
        <v>45981.916666665507</v>
      </c>
      <c r="RP7" s="3119">
        <f t="shared" ref="RP7:RP20" si="495">+RO7+1/24</f>
        <v>45981.958333332172</v>
      </c>
      <c r="RQ7" s="3119">
        <f t="shared" ref="RQ7:RQ20" si="496">+RP7+1/24</f>
        <v>45981.999999998836</v>
      </c>
      <c r="RR7" s="3119">
        <f t="shared" ref="RR7:RR20" si="497">+RQ7+1/24</f>
        <v>45982.0416666655</v>
      </c>
      <c r="RS7" s="3119">
        <f t="shared" ref="RS7:RS20" si="498">+RR7+1/24</f>
        <v>45982.083333332164</v>
      </c>
      <c r="RT7" s="3119">
        <f t="shared" ref="RT7:RT20" si="499">+RS7+1/24</f>
        <v>45982.124999998829</v>
      </c>
      <c r="RU7" s="3119">
        <f t="shared" ref="RU7:RU20" si="500">+RT7+1/24</f>
        <v>45982.166666665493</v>
      </c>
      <c r="RV7" s="3119">
        <f t="shared" ref="RV7:RV20" si="501">+RU7+1/24</f>
        <v>45982.208333332157</v>
      </c>
      <c r="RW7" s="3119">
        <f t="shared" ref="RW7:RW20" si="502">+RV7+1/24</f>
        <v>45982.249999998821</v>
      </c>
      <c r="RX7" s="3119">
        <f t="shared" ref="RX7:RX20" si="503">+RW7+1/24</f>
        <v>45982.291666665486</v>
      </c>
      <c r="RY7" s="3119">
        <f t="shared" ref="RY7:RY20" si="504">+RX7+1/24</f>
        <v>45982.33333333215</v>
      </c>
      <c r="RZ7" s="3119">
        <f t="shared" ref="RZ7:RZ20" si="505">+RY7+1/24</f>
        <v>45982.374999998814</v>
      </c>
      <c r="SA7" s="3119">
        <f t="shared" ref="SA7:SA20" si="506">+RZ7+1/24</f>
        <v>45982.416666665478</v>
      </c>
      <c r="SB7" s="3119">
        <f t="shared" ref="SB7:SB20" si="507">+SA7+1/24</f>
        <v>45982.458333332143</v>
      </c>
      <c r="SC7" s="3119">
        <f t="shared" ref="SC7:SC20" si="508">+SB7+1/24</f>
        <v>45982.499999998807</v>
      </c>
      <c r="SD7" s="3119">
        <f t="shared" ref="SD7:SD20" si="509">+SC7+1/24</f>
        <v>45982.541666665471</v>
      </c>
      <c r="SE7" s="3119">
        <f t="shared" ref="SE7:SE20" si="510">+SD7+1/24</f>
        <v>45982.583333332135</v>
      </c>
      <c r="SF7" s="3119">
        <f t="shared" ref="SF7:SF20" si="511">+SE7+1/24</f>
        <v>45982.624999998799</v>
      </c>
      <c r="SG7" s="3119">
        <f t="shared" ref="SG7:SG20" si="512">+SF7+1/24</f>
        <v>45982.666666665464</v>
      </c>
      <c r="SH7" s="3119">
        <f t="shared" ref="SH7:SH20" si="513">+SG7+1/24</f>
        <v>45982.708333332128</v>
      </c>
      <c r="SI7" s="3119">
        <f t="shared" ref="SI7:SI20" si="514">+SH7+1/24</f>
        <v>45982.749999998792</v>
      </c>
      <c r="SJ7" s="3119">
        <f t="shared" ref="SJ7:SJ20" si="515">+SI7+1/24</f>
        <v>45982.791666665456</v>
      </c>
      <c r="SK7" s="3119">
        <f t="shared" ref="SK7:SK20" si="516">+SJ7+1/24</f>
        <v>45982.833333332121</v>
      </c>
      <c r="SL7" s="3119">
        <f t="shared" ref="SL7:SL20" si="517">+SK7+1/24</f>
        <v>45982.874999998785</v>
      </c>
      <c r="SM7" s="3119">
        <f t="shared" ref="SM7:SM20" si="518">+SL7+1/24</f>
        <v>45982.916666665449</v>
      </c>
      <c r="SN7" s="3119">
        <f t="shared" ref="SN7:SN20" si="519">+SM7+1/24</f>
        <v>45982.958333332113</v>
      </c>
      <c r="SO7" s="3119">
        <f t="shared" ref="SO7:SO20" si="520">+SN7+1/24</f>
        <v>45982.999999998778</v>
      </c>
      <c r="SP7" s="3119">
        <f t="shared" ref="SP7:SP20" si="521">+SO7+1/24</f>
        <v>45983.041666665442</v>
      </c>
      <c r="SQ7" s="3119">
        <f t="shared" ref="SQ7:SQ20" si="522">+SP7+1/24</f>
        <v>45983.083333332106</v>
      </c>
      <c r="SR7" s="3119">
        <f t="shared" ref="SR7:SR20" si="523">+SQ7+1/24</f>
        <v>45983.12499999877</v>
      </c>
      <c r="SS7" s="3119">
        <f t="shared" ref="SS7:SS20" si="524">+SR7+1/24</f>
        <v>45983.166666665435</v>
      </c>
      <c r="ST7" s="3119">
        <f t="shared" ref="ST7:ST20" si="525">+SS7+1/24</f>
        <v>45983.208333332099</v>
      </c>
      <c r="SU7" s="3119">
        <f t="shared" ref="SU7:SU20" si="526">+ST7+1/24</f>
        <v>45983.249999998763</v>
      </c>
      <c r="SV7" s="3119">
        <f t="shared" ref="SV7:SV20" si="527">+SU7+1/24</f>
        <v>45983.291666665427</v>
      </c>
      <c r="SW7" s="3119">
        <f t="shared" ref="SW7:SW20" si="528">+SV7+1/24</f>
        <v>45983.333333332092</v>
      </c>
      <c r="SX7" s="3119">
        <f t="shared" si="21"/>
        <v>45983.374999998756</v>
      </c>
      <c r="SY7" s="3119">
        <f t="shared" ref="SY7:SY20" si="529">+SX7+1/24</f>
        <v>45983.41666666542</v>
      </c>
      <c r="SZ7" s="3119">
        <f t="shared" ref="SZ7:SZ20" si="530">+SY7+1/24</f>
        <v>45983.458333332084</v>
      </c>
      <c r="TA7" s="3119">
        <f t="shared" ref="TA7:TA20" si="531">+SZ7+1/24</f>
        <v>45983.499999998749</v>
      </c>
      <c r="TB7" s="3119">
        <f t="shared" ref="TB7:TB20" si="532">+TA7+1/24</f>
        <v>45983.541666665413</v>
      </c>
      <c r="TC7" s="3119">
        <f t="shared" ref="TC7:TC20" si="533">+TB7+1/24</f>
        <v>45983.583333332077</v>
      </c>
      <c r="TD7" s="3119">
        <f t="shared" ref="TD7:TD20" si="534">+TC7+1/24</f>
        <v>45983.624999998741</v>
      </c>
      <c r="TE7" s="3119">
        <f t="shared" ref="TE7:TE20" si="535">+TD7+1/24</f>
        <v>45983.666666665406</v>
      </c>
      <c r="TF7" s="3119">
        <f t="shared" ref="TF7:TF20" si="536">+TE7+1/24</f>
        <v>45983.70833333207</v>
      </c>
      <c r="TG7" s="3119">
        <f t="shared" ref="TG7:TG20" si="537">+TF7+1/24</f>
        <v>45983.749999998734</v>
      </c>
      <c r="TH7" s="3119">
        <f t="shared" ref="TH7:TH20" si="538">+TG7+1/24</f>
        <v>45983.791666665398</v>
      </c>
      <c r="TI7" s="3119">
        <f t="shared" ref="TI7:TI20" si="539">+TH7+1/24</f>
        <v>45983.833333332062</v>
      </c>
      <c r="TJ7" s="3119">
        <f t="shared" ref="TJ7:TJ20" si="540">+TI7+1/24</f>
        <v>45983.874999998727</v>
      </c>
      <c r="TK7" s="3119">
        <f t="shared" ref="TK7:TK20" si="541">+TJ7+1/24</f>
        <v>45983.916666665391</v>
      </c>
      <c r="TL7" s="3119">
        <f t="shared" ref="TL7:TL20" si="542">+TK7+1/24</f>
        <v>45983.958333332055</v>
      </c>
      <c r="TM7" s="3119">
        <f t="shared" ref="TM7:TM20" si="543">+TL7+1/24</f>
        <v>45983.999999998719</v>
      </c>
      <c r="TN7" s="3119">
        <f t="shared" ref="TN7:TN20" si="544">+TM7+1/24</f>
        <v>45984.041666665384</v>
      </c>
      <c r="TO7" s="3119">
        <f t="shared" ref="TO7:TO20" si="545">+TN7+1/24</f>
        <v>45984.083333332048</v>
      </c>
      <c r="TP7" s="3119">
        <f t="shared" ref="TP7:TP20" si="546">+TO7+1/24</f>
        <v>45984.124999998712</v>
      </c>
      <c r="TQ7" s="3119">
        <f t="shared" ref="TQ7:TQ20" si="547">+TP7+1/24</f>
        <v>45984.166666665376</v>
      </c>
      <c r="TR7" s="3119">
        <f t="shared" ref="TR7:TR20" si="548">+TQ7+1/24</f>
        <v>45984.208333332041</v>
      </c>
      <c r="TS7" s="3119">
        <f t="shared" ref="TS7:TS20" si="549">+TR7+1/24</f>
        <v>45984.249999998705</v>
      </c>
      <c r="TT7" s="3119">
        <f t="shared" ref="TT7:TT20" si="550">+TS7+1/24</f>
        <v>45984.291666665369</v>
      </c>
      <c r="TU7" s="3119">
        <f t="shared" ref="TU7:TU20" si="551">+TT7+1/24</f>
        <v>45984.333333332033</v>
      </c>
      <c r="TV7" s="3119">
        <f t="shared" ref="TV7:TV20" si="552">+TU7+1/24</f>
        <v>45984.374999998698</v>
      </c>
      <c r="TW7" s="3119">
        <f t="shared" ref="TW7:TW20" si="553">+TV7+1/24</f>
        <v>45984.416666665362</v>
      </c>
      <c r="TX7" s="3119">
        <f t="shared" ref="TX7:TX20" si="554">+TW7+1/24</f>
        <v>45984.458333332026</v>
      </c>
      <c r="TY7" s="3119">
        <f t="shared" ref="TY7:TY20" si="555">+TX7+1/24</f>
        <v>45984.49999999869</v>
      </c>
      <c r="TZ7" s="3119">
        <f t="shared" ref="TZ7:TZ20" si="556">+TY7+1/24</f>
        <v>45984.541666665355</v>
      </c>
      <c r="UA7" s="3119">
        <f t="shared" ref="UA7:UA20" si="557">+TZ7+1/24</f>
        <v>45984.583333332019</v>
      </c>
      <c r="UB7" s="3119">
        <f t="shared" ref="UB7:UB20" si="558">+UA7+1/24</f>
        <v>45984.624999998683</v>
      </c>
      <c r="UC7" s="3119">
        <f t="shared" ref="UC7:UC20" si="559">+UB7+1/24</f>
        <v>45984.666666665347</v>
      </c>
      <c r="UD7" s="3119">
        <f t="shared" ref="UD7:UD20" si="560">+UC7+1/24</f>
        <v>45984.708333332012</v>
      </c>
      <c r="UE7" s="3119">
        <f t="shared" ref="UE7:UE20" si="561">+UD7+1/24</f>
        <v>45984.749999998676</v>
      </c>
      <c r="UF7" s="3119">
        <f t="shared" ref="UF7:UF20" si="562">+UE7+1/24</f>
        <v>45984.79166666534</v>
      </c>
      <c r="UG7" s="3119">
        <f t="shared" ref="UG7:UG20" si="563">+UF7+1/24</f>
        <v>45984.833333332004</v>
      </c>
      <c r="UH7" s="3119">
        <f t="shared" ref="UH7:UH20" si="564">+UG7+1/24</f>
        <v>45984.874999998668</v>
      </c>
      <c r="UI7" s="3119">
        <f t="shared" ref="UI7:UI20" si="565">+UH7+1/24</f>
        <v>45984.916666665333</v>
      </c>
      <c r="UJ7" s="3119">
        <f t="shared" ref="UJ7:UJ20" si="566">+UI7+1/24</f>
        <v>45984.958333331997</v>
      </c>
      <c r="UK7" s="3119">
        <f t="shared" ref="UK7:UK20" si="567">+UJ7+1/24</f>
        <v>45984.999999998661</v>
      </c>
      <c r="UL7" s="3119">
        <f t="shared" ref="UL7:UL20" si="568">+UK7+1/24</f>
        <v>45985.041666665325</v>
      </c>
      <c r="UM7" s="3119">
        <f t="shared" ref="UM7:UM20" si="569">+UL7+1/24</f>
        <v>45985.08333333199</v>
      </c>
      <c r="UN7" s="3119">
        <f t="shared" ref="UN7:UN20" si="570">+UM7+1/24</f>
        <v>45985.124999998654</v>
      </c>
      <c r="UO7" s="3119">
        <f t="shared" ref="UO7:UO20" si="571">+UN7+1/24</f>
        <v>45985.166666665318</v>
      </c>
      <c r="UP7" s="3119">
        <f t="shared" ref="UP7:UP20" si="572">+UO7+1/24</f>
        <v>45985.208333331982</v>
      </c>
      <c r="UQ7" s="3119">
        <f t="shared" ref="UQ7:UQ20" si="573">+UP7+1/24</f>
        <v>45985.249999998647</v>
      </c>
      <c r="UR7" s="3119">
        <f t="shared" ref="UR7:UR20" si="574">+UQ7+1/24</f>
        <v>45985.291666665311</v>
      </c>
      <c r="US7" s="3119">
        <f t="shared" ref="US7:US20" si="575">+UR7+1/24</f>
        <v>45985.333333331975</v>
      </c>
      <c r="UT7" s="3119">
        <f t="shared" ref="UT7:UT20" si="576">+US7+1/24</f>
        <v>45985.374999998639</v>
      </c>
      <c r="UU7" s="3119">
        <f t="shared" ref="UU7:UU20" si="577">+UT7+1/24</f>
        <v>45985.416666665304</v>
      </c>
      <c r="UV7" s="3119">
        <f t="shared" ref="UV7:UV20" si="578">+UU7+1/24</f>
        <v>45985.458333331968</v>
      </c>
      <c r="UW7" s="3119">
        <f t="shared" ref="UW7:UW20" si="579">+UV7+1/24</f>
        <v>45985.499999998632</v>
      </c>
      <c r="UX7" s="3119">
        <f t="shared" ref="UX7:UX20" si="580">+UW7+1/24</f>
        <v>45985.541666665296</v>
      </c>
      <c r="UY7" s="3119">
        <f t="shared" ref="UY7:UY20" si="581">+UX7+1/24</f>
        <v>45985.583333331961</v>
      </c>
      <c r="UZ7" s="3119">
        <f t="shared" ref="UZ7:UZ20" si="582">+UY7+1/24</f>
        <v>45985.624999998625</v>
      </c>
      <c r="VA7" s="3119">
        <f t="shared" ref="VA7:VA20" si="583">+UZ7+1/24</f>
        <v>45985.666666665289</v>
      </c>
      <c r="VB7" s="3119">
        <f t="shared" ref="VB7:VB20" si="584">+VA7+1/24</f>
        <v>45985.708333331953</v>
      </c>
      <c r="VC7" s="3119">
        <f t="shared" ref="VC7:VC20" si="585">+VB7+1/24</f>
        <v>45985.749999998618</v>
      </c>
      <c r="VD7" s="3119">
        <f t="shared" ref="VD7:VD20" si="586">+VC7+1/24</f>
        <v>45985.791666665282</v>
      </c>
      <c r="VE7" s="3119">
        <f t="shared" ref="VE7:VE20" si="587">+VD7+1/24</f>
        <v>45985.833333331946</v>
      </c>
      <c r="VF7" s="3119">
        <f t="shared" ref="VF7:VF20" si="588">+VE7+1/24</f>
        <v>45985.87499999861</v>
      </c>
      <c r="VG7" s="3119">
        <f t="shared" ref="VG7:VG20" si="589">+VF7+1/24</f>
        <v>45985.916666665275</v>
      </c>
      <c r="VH7" s="3119">
        <f t="shared" ref="VH7:VH20" si="590">+VG7+1/24</f>
        <v>45985.958333331939</v>
      </c>
      <c r="VI7" s="3119">
        <f t="shared" ref="VI7:VI20" si="591">+VH7+1/24</f>
        <v>45985.999999998603</v>
      </c>
      <c r="VJ7" s="3119">
        <f t="shared" si="22"/>
        <v>45986.041666665267</v>
      </c>
      <c r="VK7" s="3119">
        <f t="shared" ref="VK7:VK20" si="592">+VJ7+1/24</f>
        <v>45986.083333331931</v>
      </c>
      <c r="VL7" s="3119">
        <f t="shared" ref="VL7:VL20" si="593">+VK7+1/24</f>
        <v>45986.124999998596</v>
      </c>
      <c r="VM7" s="3119">
        <f t="shared" ref="VM7:VM20" si="594">+VL7+1/24</f>
        <v>45986.16666666526</v>
      </c>
      <c r="VN7" s="3119">
        <f t="shared" ref="VN7:VN20" si="595">+VM7+1/24</f>
        <v>45986.208333331924</v>
      </c>
      <c r="VO7" s="3119">
        <f t="shared" ref="VO7:VO20" si="596">+VN7+1/24</f>
        <v>45986.249999998588</v>
      </c>
      <c r="VP7" s="3119">
        <f t="shared" ref="VP7:VP20" si="597">+VO7+1/24</f>
        <v>45986.291666665253</v>
      </c>
      <c r="VQ7" s="3119">
        <f t="shared" ref="VQ7:VQ20" si="598">+VP7+1/24</f>
        <v>45986.333333331917</v>
      </c>
      <c r="VR7" s="3119">
        <f t="shared" ref="VR7:VR20" si="599">+VQ7+1/24</f>
        <v>45986.374999998581</v>
      </c>
      <c r="VS7" s="3119">
        <f t="shared" ref="VS7:VS20" si="600">+VR7+1/24</f>
        <v>45986.416666665245</v>
      </c>
      <c r="VT7" s="3119">
        <f t="shared" ref="VT7:VT20" si="601">+VS7+1/24</f>
        <v>45986.45833333191</v>
      </c>
      <c r="VU7" s="3119">
        <f t="shared" ref="VU7:VU20" si="602">+VT7+1/24</f>
        <v>45986.499999998574</v>
      </c>
      <c r="VV7" s="3119">
        <f t="shared" ref="VV7:VV20" si="603">+VU7+1/24</f>
        <v>45986.541666665238</v>
      </c>
      <c r="VW7" s="3119">
        <f t="shared" ref="VW7:VW20" si="604">+VV7+1/24</f>
        <v>45986.583333331902</v>
      </c>
      <c r="VX7" s="3119">
        <f t="shared" ref="VX7:VX20" si="605">+VW7+1/24</f>
        <v>45986.624999998567</v>
      </c>
      <c r="VY7" s="3119">
        <f t="shared" ref="VY7:VY20" si="606">+VX7+1/24</f>
        <v>45986.666666665231</v>
      </c>
      <c r="VZ7" s="3119">
        <f t="shared" ref="VZ7:VZ20" si="607">+VY7+1/24</f>
        <v>45986.708333331895</v>
      </c>
      <c r="WA7" s="3119">
        <f t="shared" ref="WA7:WA20" si="608">+VZ7+1/24</f>
        <v>45986.749999998559</v>
      </c>
      <c r="WB7" s="3119">
        <f t="shared" ref="WB7:WB20" si="609">+WA7+1/24</f>
        <v>45986.791666665224</v>
      </c>
      <c r="WC7" s="3119">
        <f t="shared" ref="WC7:WC20" si="610">+WB7+1/24</f>
        <v>45986.833333331888</v>
      </c>
      <c r="WD7" s="3119">
        <f t="shared" ref="WD7:WD20" si="611">+WC7+1/24</f>
        <v>45986.874999998552</v>
      </c>
      <c r="WE7" s="3119">
        <f t="shared" ref="WE7:WE20" si="612">+WD7+1/24</f>
        <v>45986.916666665216</v>
      </c>
      <c r="WF7" s="3119">
        <f t="shared" ref="WF7:WF20" si="613">+WE7+1/24</f>
        <v>45986.958333331881</v>
      </c>
      <c r="WG7" s="3119">
        <f t="shared" ref="WG7:WG20" si="614">+WF7+1/24</f>
        <v>45986.999999998545</v>
      </c>
      <c r="WH7" s="3119">
        <f t="shared" ref="WH7:WH20" si="615">+WG7+1/24</f>
        <v>45987.041666665209</v>
      </c>
      <c r="WI7" s="3119">
        <f t="shared" ref="WI7:WI20" si="616">+WH7+1/24</f>
        <v>45987.083333331873</v>
      </c>
      <c r="WJ7" s="3119">
        <f t="shared" ref="WJ7:WJ20" si="617">+WI7+1/24</f>
        <v>45987.124999998538</v>
      </c>
      <c r="WK7" s="3119">
        <f t="shared" ref="WK7:WK20" si="618">+WJ7+1/24</f>
        <v>45987.166666665202</v>
      </c>
      <c r="WL7" s="3119">
        <f t="shared" ref="WL7:WL20" si="619">+WK7+1/24</f>
        <v>45987.208333331866</v>
      </c>
      <c r="WM7" s="3119">
        <f t="shared" ref="WM7:WM20" si="620">+WL7+1/24</f>
        <v>45987.24999999853</v>
      </c>
      <c r="WN7" s="3119">
        <f t="shared" ref="WN7:WN20" si="621">+WM7+1/24</f>
        <v>45987.291666665194</v>
      </c>
      <c r="WO7" s="3119">
        <f t="shared" ref="WO7:WO20" si="622">+WN7+1/24</f>
        <v>45987.333333331859</v>
      </c>
      <c r="WP7" s="3119">
        <f t="shared" ref="WP7:WP20" si="623">+WO7+1/24</f>
        <v>45987.374999998523</v>
      </c>
      <c r="WQ7" s="3119">
        <f t="shared" ref="WQ7:WQ20" si="624">+WP7+1/24</f>
        <v>45987.416666665187</v>
      </c>
      <c r="WR7" s="3119">
        <f t="shared" ref="WR7:WR20" si="625">+WQ7+1/24</f>
        <v>45987.458333331851</v>
      </c>
      <c r="WS7" s="3119">
        <f t="shared" ref="WS7:WS20" si="626">+WR7+1/24</f>
        <v>45987.499999998516</v>
      </c>
      <c r="WT7" s="3119">
        <f t="shared" ref="WT7:WT20" si="627">+WS7+1/24</f>
        <v>45987.54166666518</v>
      </c>
      <c r="WU7" s="3119">
        <f t="shared" ref="WU7:WU20" si="628">+WT7+1/24</f>
        <v>45987.583333331844</v>
      </c>
      <c r="WV7" s="3119">
        <f t="shared" ref="WV7:WV20" si="629">+WU7+1/24</f>
        <v>45987.624999998508</v>
      </c>
      <c r="WW7" s="3119">
        <f t="shared" ref="WW7:WW20" si="630">+WV7+1/24</f>
        <v>45987.666666665173</v>
      </c>
      <c r="WX7" s="3119">
        <f t="shared" ref="WX7:WX20" si="631">+WW7+1/24</f>
        <v>45987.708333331837</v>
      </c>
      <c r="WY7" s="3119">
        <f t="shared" ref="WY7:WY20" si="632">+WX7+1/24</f>
        <v>45987.749999998501</v>
      </c>
      <c r="WZ7" s="3119">
        <f t="shared" ref="WZ7:WZ20" si="633">+WY7+1/24</f>
        <v>45987.791666665165</v>
      </c>
      <c r="XA7" s="3119">
        <f t="shared" ref="XA7:XA20" si="634">+WZ7+1/24</f>
        <v>45987.83333333183</v>
      </c>
      <c r="XB7" s="3119">
        <f t="shared" ref="XB7:XB20" si="635">+XA7+1/24</f>
        <v>45987.874999998494</v>
      </c>
      <c r="XC7" s="3119">
        <f t="shared" ref="XC7:XC20" si="636">+XB7+1/24</f>
        <v>45987.916666665158</v>
      </c>
      <c r="XD7" s="3119">
        <f t="shared" ref="XD7:XD20" si="637">+XC7+1/24</f>
        <v>45987.958333331822</v>
      </c>
      <c r="XE7" s="3119">
        <f t="shared" ref="XE7:XE20" si="638">+XD7+1/24</f>
        <v>45987.999999998487</v>
      </c>
      <c r="XF7" s="3119">
        <f t="shared" ref="XF7:XF20" si="639">+XE7+1/24</f>
        <v>45988.041666665151</v>
      </c>
      <c r="XG7" s="3119">
        <f t="shared" ref="XG7:XG20" si="640">+XF7+1/24</f>
        <v>45988.083333331815</v>
      </c>
      <c r="XH7" s="3119">
        <f t="shared" ref="XH7:XH20" si="641">+XG7+1/24</f>
        <v>45988.124999998479</v>
      </c>
      <c r="XI7" s="3119">
        <f t="shared" ref="XI7:XI20" si="642">+XH7+1/24</f>
        <v>45988.166666665144</v>
      </c>
      <c r="XJ7" s="3119">
        <f t="shared" ref="XJ7:XJ20" si="643">+XI7+1/24</f>
        <v>45988.208333331808</v>
      </c>
      <c r="XK7" s="3119">
        <f t="shared" ref="XK7:XK20" si="644">+XJ7+1/24</f>
        <v>45988.249999998472</v>
      </c>
      <c r="XL7" s="3119">
        <f t="shared" ref="XL7:XL20" si="645">+XK7+1/24</f>
        <v>45988.291666665136</v>
      </c>
      <c r="XM7" s="3119">
        <f t="shared" ref="XM7:XM20" si="646">+XL7+1/24</f>
        <v>45988.333333331801</v>
      </c>
      <c r="XN7" s="3119">
        <f t="shared" ref="XN7:XN20" si="647">+XM7+1/24</f>
        <v>45988.374999998465</v>
      </c>
      <c r="XO7" s="3119">
        <f t="shared" ref="XO7:XO20" si="648">+XN7+1/24</f>
        <v>45988.416666665129</v>
      </c>
      <c r="XP7" s="3119">
        <f t="shared" ref="XP7:XP20" si="649">+XO7+1/24</f>
        <v>45988.458333331793</v>
      </c>
      <c r="XQ7" s="3119">
        <f t="shared" ref="XQ7:XQ20" si="650">+XP7+1/24</f>
        <v>45988.499999998457</v>
      </c>
      <c r="XR7" s="3119">
        <f t="shared" ref="XR7:XR20" si="651">+XQ7+1/24</f>
        <v>45988.541666665122</v>
      </c>
      <c r="XS7" s="3119">
        <f t="shared" ref="XS7:XS20" si="652">+XR7+1/24</f>
        <v>45988.583333331786</v>
      </c>
      <c r="XT7" s="3119">
        <f t="shared" ref="XT7:XT20" si="653">+XS7+1/24</f>
        <v>45988.62499999845</v>
      </c>
      <c r="XU7" s="3119">
        <f t="shared" ref="XU7:XU20" si="654">+XT7+1/24</f>
        <v>45988.666666665114</v>
      </c>
      <c r="XV7" s="3119">
        <f t="shared" si="23"/>
        <v>45988.708333331779</v>
      </c>
      <c r="XW7" s="3119">
        <f t="shared" ref="XW7:XW20" si="655">+XV7+1/24</f>
        <v>45988.749999998443</v>
      </c>
      <c r="XX7" s="3119">
        <f t="shared" ref="XX7:XX20" si="656">+XW7+1/24</f>
        <v>45988.791666665107</v>
      </c>
      <c r="XY7" s="3119">
        <f t="shared" ref="XY7:XY20" si="657">+XX7+1/24</f>
        <v>45988.833333331771</v>
      </c>
      <c r="XZ7" s="3119">
        <f t="shared" ref="XZ7:XZ20" si="658">+XY7+1/24</f>
        <v>45988.874999998436</v>
      </c>
      <c r="YA7" s="3119">
        <f t="shared" ref="YA7:YA20" si="659">+XZ7+1/24</f>
        <v>45988.9166666651</v>
      </c>
      <c r="YB7" s="3119">
        <f t="shared" ref="YB7:YB20" si="660">+YA7+1/24</f>
        <v>45988.958333331764</v>
      </c>
      <c r="YC7" s="3119">
        <f t="shared" ref="YC7:YC20" si="661">+YB7+1/24</f>
        <v>45988.999999998428</v>
      </c>
      <c r="YD7" s="3119">
        <f t="shared" ref="YD7:YD20" si="662">+YC7+1/24</f>
        <v>45989.041666665093</v>
      </c>
      <c r="YE7" s="3119">
        <f t="shared" ref="YE7:YE20" si="663">+YD7+1/24</f>
        <v>45989.083333331757</v>
      </c>
      <c r="YF7" s="3119">
        <f t="shared" ref="YF7:YF20" si="664">+YE7+1/24</f>
        <v>45989.124999998421</v>
      </c>
      <c r="YG7" s="3119">
        <f t="shared" ref="YG7:YG20" si="665">+YF7+1/24</f>
        <v>45989.166666665085</v>
      </c>
      <c r="YH7" s="3119">
        <f t="shared" ref="YH7:YH20" si="666">+YG7+1/24</f>
        <v>45989.20833333175</v>
      </c>
      <c r="YI7" s="3119">
        <f t="shared" ref="YI7:YI20" si="667">+YH7+1/24</f>
        <v>45989.249999998414</v>
      </c>
      <c r="YJ7" s="3119">
        <f t="shared" ref="YJ7:YJ20" si="668">+YI7+1/24</f>
        <v>45989.291666665078</v>
      </c>
      <c r="YK7" s="3119">
        <f t="shared" ref="YK7:YK20" si="669">+YJ7+1/24</f>
        <v>45989.333333331742</v>
      </c>
      <c r="YL7" s="3119">
        <f t="shared" ref="YL7:YL20" si="670">+YK7+1/24</f>
        <v>45989.374999998407</v>
      </c>
      <c r="YM7" s="3119">
        <f t="shared" ref="YM7:YM20" si="671">+YL7+1/24</f>
        <v>45989.416666665071</v>
      </c>
      <c r="YN7" s="3119">
        <f t="shared" ref="YN7:YN20" si="672">+YM7+1/24</f>
        <v>45989.458333331735</v>
      </c>
      <c r="YO7" s="3119">
        <f t="shared" ref="YO7:YO20" si="673">+YN7+1/24</f>
        <v>45989.499999998399</v>
      </c>
      <c r="YP7" s="3119">
        <f t="shared" ref="YP7:YP20" si="674">+YO7+1/24</f>
        <v>45989.541666665064</v>
      </c>
      <c r="YQ7" s="3119">
        <f t="shared" ref="YQ7:YQ20" si="675">+YP7+1/24</f>
        <v>45989.583333331728</v>
      </c>
      <c r="YR7" s="3119">
        <f t="shared" ref="YR7:YR20" si="676">+YQ7+1/24</f>
        <v>45989.624999998392</v>
      </c>
      <c r="YS7" s="3119">
        <f t="shared" ref="YS7:YS20" si="677">+YR7+1/24</f>
        <v>45989.666666665056</v>
      </c>
      <c r="YT7" s="3119">
        <f t="shared" ref="YT7:YT20" si="678">+YS7+1/24</f>
        <v>45989.70833333172</v>
      </c>
      <c r="YU7" s="3119">
        <f t="shared" ref="YU7:YU20" si="679">+YT7+1/24</f>
        <v>45989.749999998385</v>
      </c>
      <c r="YV7" s="3119">
        <f t="shared" ref="YV7:YV20" si="680">+YU7+1/24</f>
        <v>45989.791666665049</v>
      </c>
      <c r="YW7" s="3119">
        <f t="shared" ref="YW7:YW20" si="681">+YV7+1/24</f>
        <v>45989.833333331713</v>
      </c>
      <c r="YX7" s="3119">
        <f t="shared" ref="YX7:YX20" si="682">+YW7+1/24</f>
        <v>45989.874999998377</v>
      </c>
      <c r="YY7" s="3119">
        <f t="shared" ref="YY7:YY20" si="683">+YX7+1/24</f>
        <v>45989.916666665042</v>
      </c>
      <c r="YZ7" s="3119">
        <f t="shared" ref="YZ7:YZ20" si="684">+YY7+1/24</f>
        <v>45989.958333331706</v>
      </c>
      <c r="ZA7" s="3119">
        <f t="shared" ref="ZA7:ZA20" si="685">+YZ7+1/24</f>
        <v>45989.99999999837</v>
      </c>
      <c r="ZB7" s="3119">
        <f t="shared" ref="ZB7:ZB20" si="686">+ZA7+1/24</f>
        <v>45990.041666665034</v>
      </c>
      <c r="ZC7" s="3119">
        <f t="shared" ref="ZC7:ZC20" si="687">+ZB7+1/24</f>
        <v>45990.083333331699</v>
      </c>
      <c r="ZD7" s="3119">
        <f t="shared" ref="ZD7:ZD20" si="688">+ZC7+1/24</f>
        <v>45990.124999998363</v>
      </c>
      <c r="ZE7" s="3119">
        <f t="shared" ref="ZE7:ZE20" si="689">+ZD7+1/24</f>
        <v>45990.166666665027</v>
      </c>
      <c r="ZF7" s="3119">
        <f t="shared" ref="ZF7:ZF20" si="690">+ZE7+1/24</f>
        <v>45990.208333331691</v>
      </c>
      <c r="ZG7" s="3119">
        <f t="shared" ref="ZG7:ZG20" si="691">+ZF7+1/24</f>
        <v>45990.249999998356</v>
      </c>
      <c r="ZH7" s="3119">
        <f t="shared" ref="ZH7:ZH20" si="692">+ZG7+1/24</f>
        <v>45990.29166666502</v>
      </c>
      <c r="ZI7" s="3119">
        <f t="shared" ref="ZI7:ZI20" si="693">+ZH7+1/24</f>
        <v>45990.333333331684</v>
      </c>
      <c r="ZJ7" s="3119">
        <f t="shared" ref="ZJ7:ZJ20" si="694">+ZI7+1/24</f>
        <v>45990.374999998348</v>
      </c>
      <c r="ZK7" s="3119">
        <f t="shared" ref="ZK7:ZK20" si="695">+ZJ7+1/24</f>
        <v>45990.416666665013</v>
      </c>
      <c r="ZL7" s="3119">
        <f t="shared" ref="ZL7:ZL20" si="696">+ZK7+1/24</f>
        <v>45990.458333331677</v>
      </c>
      <c r="ZM7" s="3119">
        <f t="shared" ref="ZM7:ZM20" si="697">+ZL7+1/24</f>
        <v>45990.499999998341</v>
      </c>
      <c r="ZN7" s="3119">
        <f t="shared" ref="ZN7:ZN20" si="698">+ZM7+1/24</f>
        <v>45990.541666665005</v>
      </c>
      <c r="ZO7" s="3119">
        <f t="shared" ref="ZO7:ZO20" si="699">+ZN7+1/24</f>
        <v>45990.58333333167</v>
      </c>
      <c r="ZP7" s="3119">
        <f t="shared" ref="ZP7:ZP20" si="700">+ZO7+1/24</f>
        <v>45990.624999998334</v>
      </c>
      <c r="ZQ7" s="3119">
        <f t="shared" ref="ZQ7:ZQ20" si="701">+ZP7+1/24</f>
        <v>45990.666666664998</v>
      </c>
      <c r="ZR7" s="3119">
        <f t="shared" ref="ZR7:ZR20" si="702">+ZQ7+1/24</f>
        <v>45990.708333331662</v>
      </c>
      <c r="ZS7" s="3119">
        <f t="shared" ref="ZS7:ZS20" si="703">+ZR7+1/24</f>
        <v>45990.749999998327</v>
      </c>
      <c r="ZT7" s="3119">
        <f t="shared" ref="ZT7:ZT20" si="704">+ZS7+1/24</f>
        <v>45990.791666664991</v>
      </c>
      <c r="ZU7" s="3119">
        <f t="shared" ref="ZU7:ZU20" si="705">+ZT7+1/24</f>
        <v>45990.833333331655</v>
      </c>
      <c r="ZV7" s="3119">
        <f t="shared" ref="ZV7:ZV20" si="706">+ZU7+1/24</f>
        <v>45990.874999998319</v>
      </c>
      <c r="ZW7" s="3119">
        <f t="shared" ref="ZW7:ZW20" si="707">+ZV7+1/24</f>
        <v>45990.916666664983</v>
      </c>
      <c r="ZX7" s="3119">
        <f t="shared" ref="ZX7:ZX20" si="708">+ZW7+1/24</f>
        <v>45990.958333331648</v>
      </c>
      <c r="ZY7" s="3119">
        <f t="shared" ref="ZY7:ZY20" si="709">+ZX7+1/24</f>
        <v>45990.999999998312</v>
      </c>
      <c r="ZZ7" s="3119">
        <f t="shared" ref="ZZ7:ZZ20" si="710">+ZY7+1/24</f>
        <v>45991.041666664976</v>
      </c>
      <c r="AAA7" s="3119">
        <f t="shared" ref="AAA7:AAA20" si="711">+ZZ7+1/24</f>
        <v>45991.08333333164</v>
      </c>
      <c r="AAB7" s="3119">
        <f t="shared" ref="AAB7:AAB20" si="712">+AAA7+1/24</f>
        <v>45991.124999998305</v>
      </c>
      <c r="AAC7" s="3119">
        <f t="shared" ref="AAC7:AAC20" si="713">+AAB7+1/24</f>
        <v>45991.166666664969</v>
      </c>
      <c r="AAD7" s="3119">
        <f t="shared" ref="AAD7:AAD20" si="714">+AAC7+1/24</f>
        <v>45991.208333331633</v>
      </c>
      <c r="AAE7" s="3119">
        <f t="shared" ref="AAE7:AAE20" si="715">+AAD7+1/24</f>
        <v>45991.249999998297</v>
      </c>
      <c r="AAF7" s="3119">
        <f t="shared" ref="AAF7:AAF20" si="716">+AAE7+1/24</f>
        <v>45991.291666664962</v>
      </c>
      <c r="AAG7" s="3119">
        <f t="shared" ref="AAG7:AAG20" si="717">+AAF7+1/24</f>
        <v>45991.333333331626</v>
      </c>
      <c r="AAH7" s="3119">
        <f t="shared" si="24"/>
        <v>45991.37499999829</v>
      </c>
      <c r="AAI7" s="3119">
        <f t="shared" si="12"/>
        <v>45991.416666664954</v>
      </c>
      <c r="AAJ7" s="3119">
        <f t="shared" si="12"/>
        <v>45991.458333331619</v>
      </c>
      <c r="AAK7" s="3119">
        <f t="shared" si="12"/>
        <v>45991.499999998283</v>
      </c>
      <c r="AAL7" s="3119">
        <f t="shared" si="12"/>
        <v>45991.541666664947</v>
      </c>
      <c r="AAM7" s="3119">
        <f t="shared" si="12"/>
        <v>45991.583333331611</v>
      </c>
      <c r="AAN7" s="3119">
        <f t="shared" si="12"/>
        <v>45991.624999998276</v>
      </c>
      <c r="AAO7" s="3119">
        <f t="shared" si="12"/>
        <v>45991.66666666494</v>
      </c>
      <c r="AAP7" s="3119">
        <f t="shared" si="12"/>
        <v>45991.708333331604</v>
      </c>
      <c r="AAQ7" s="3119">
        <f t="shared" si="12"/>
        <v>45991.749999998268</v>
      </c>
      <c r="AAR7" s="3119">
        <f t="shared" si="12"/>
        <v>45991.791666664933</v>
      </c>
      <c r="AAS7" s="3119">
        <f t="shared" si="12"/>
        <v>45991.833333331597</v>
      </c>
      <c r="AAT7" s="3119">
        <f t="shared" si="12"/>
        <v>45991.874999998261</v>
      </c>
      <c r="AAU7" s="3119">
        <f t="shared" si="12"/>
        <v>45991.916666664925</v>
      </c>
      <c r="AAV7" s="3119">
        <f t="shared" si="12"/>
        <v>45991.95833333159</v>
      </c>
    </row>
    <row r="8" spans="1:724" s="282" customFormat="1" ht="13">
      <c r="A8" s="3115" t="s">
        <v>1539</v>
      </c>
      <c r="B8" s="3119">
        <v>45965.25</v>
      </c>
      <c r="C8" s="3119">
        <v>45966.75</v>
      </c>
      <c r="D8" s="3116">
        <f t="shared" si="0"/>
        <v>36</v>
      </c>
      <c r="E8" s="3119">
        <v>45962</v>
      </c>
      <c r="F8" s="3119">
        <f t="shared" si="13"/>
        <v>45962.041666666664</v>
      </c>
      <c r="G8" s="3119">
        <f t="shared" si="25"/>
        <v>45962.083333333328</v>
      </c>
      <c r="H8" s="3119">
        <f t="shared" si="26"/>
        <v>45962.124999999993</v>
      </c>
      <c r="I8" s="3119">
        <f t="shared" si="27"/>
        <v>45962.166666666657</v>
      </c>
      <c r="J8" s="3119">
        <f t="shared" si="28"/>
        <v>45962.208333333321</v>
      </c>
      <c r="K8" s="3119">
        <f t="shared" si="29"/>
        <v>45962.249999999985</v>
      </c>
      <c r="L8" s="3119">
        <f t="shared" si="30"/>
        <v>45962.29166666665</v>
      </c>
      <c r="M8" s="3119">
        <f t="shared" si="31"/>
        <v>45962.333333333314</v>
      </c>
      <c r="N8" s="3119">
        <f t="shared" si="32"/>
        <v>45962.374999999978</v>
      </c>
      <c r="O8" s="3119">
        <f t="shared" si="33"/>
        <v>45962.416666666642</v>
      </c>
      <c r="P8" s="3119">
        <f t="shared" si="34"/>
        <v>45962.458333333307</v>
      </c>
      <c r="Q8" s="3119">
        <f t="shared" si="35"/>
        <v>45962.499999999971</v>
      </c>
      <c r="R8" s="3119">
        <f t="shared" si="36"/>
        <v>45962.541666666635</v>
      </c>
      <c r="S8" s="3119">
        <f t="shared" si="37"/>
        <v>45962.583333333299</v>
      </c>
      <c r="T8" s="3119">
        <f t="shared" si="38"/>
        <v>45962.624999999964</v>
      </c>
      <c r="U8" s="3119">
        <f t="shared" si="39"/>
        <v>45962.666666666628</v>
      </c>
      <c r="V8" s="3119">
        <f t="shared" si="40"/>
        <v>45962.708333333292</v>
      </c>
      <c r="W8" s="3119">
        <f t="shared" si="41"/>
        <v>45962.749999999956</v>
      </c>
      <c r="X8" s="3119">
        <f t="shared" si="42"/>
        <v>45962.791666666621</v>
      </c>
      <c r="Y8" s="3119">
        <f t="shared" si="43"/>
        <v>45962.833333333285</v>
      </c>
      <c r="Z8" s="3119">
        <f t="shared" si="44"/>
        <v>45962.874999999949</v>
      </c>
      <c r="AA8" s="3119">
        <f t="shared" si="45"/>
        <v>45962.916666666613</v>
      </c>
      <c r="AB8" s="3119">
        <f t="shared" si="46"/>
        <v>45962.958333333278</v>
      </c>
      <c r="AC8" s="3119">
        <f t="shared" si="47"/>
        <v>45962.999999999942</v>
      </c>
      <c r="AD8" s="3119">
        <f t="shared" si="48"/>
        <v>45963.041666666606</v>
      </c>
      <c r="AE8" s="3119">
        <f t="shared" si="49"/>
        <v>45963.08333333327</v>
      </c>
      <c r="AF8" s="3119">
        <f t="shared" si="50"/>
        <v>45963.124999999935</v>
      </c>
      <c r="AG8" s="3119">
        <f t="shared" si="51"/>
        <v>45963.166666666599</v>
      </c>
      <c r="AH8" s="3119">
        <f t="shared" si="52"/>
        <v>45963.208333333263</v>
      </c>
      <c r="AI8" s="3119">
        <f t="shared" si="53"/>
        <v>45963.249999999927</v>
      </c>
      <c r="AJ8" s="3119">
        <f t="shared" si="54"/>
        <v>45963.291666666591</v>
      </c>
      <c r="AK8" s="3119">
        <f t="shared" si="55"/>
        <v>45963.333333333256</v>
      </c>
      <c r="AL8" s="3119">
        <f t="shared" si="56"/>
        <v>45963.37499999992</v>
      </c>
      <c r="AM8" s="3119">
        <f t="shared" si="57"/>
        <v>45963.416666666584</v>
      </c>
      <c r="AN8" s="3119">
        <f t="shared" si="58"/>
        <v>45963.458333333248</v>
      </c>
      <c r="AO8" s="3119">
        <f t="shared" si="59"/>
        <v>45963.499999999913</v>
      </c>
      <c r="AP8" s="3119">
        <f t="shared" si="60"/>
        <v>45963.541666666577</v>
      </c>
      <c r="AQ8" s="3119">
        <f t="shared" si="61"/>
        <v>45963.583333333241</v>
      </c>
      <c r="AR8" s="3119">
        <f t="shared" si="62"/>
        <v>45963.624999999905</v>
      </c>
      <c r="AS8" s="3119">
        <f t="shared" si="63"/>
        <v>45963.66666666657</v>
      </c>
      <c r="AT8" s="3119">
        <f t="shared" si="64"/>
        <v>45963.708333333234</v>
      </c>
      <c r="AU8" s="3119">
        <f t="shared" si="65"/>
        <v>45963.749999999898</v>
      </c>
      <c r="AV8" s="3119">
        <f t="shared" si="66"/>
        <v>45963.791666666562</v>
      </c>
      <c r="AW8" s="3119">
        <f t="shared" si="67"/>
        <v>45963.833333333227</v>
      </c>
      <c r="AX8" s="3119">
        <f t="shared" si="68"/>
        <v>45963.874999999891</v>
      </c>
      <c r="AY8" s="3119">
        <f t="shared" si="69"/>
        <v>45963.916666666555</v>
      </c>
      <c r="AZ8" s="3119">
        <f t="shared" si="70"/>
        <v>45963.958333333219</v>
      </c>
      <c r="BA8" s="3119">
        <f t="shared" si="71"/>
        <v>45963.999999999884</v>
      </c>
      <c r="BB8" s="3119">
        <f t="shared" si="72"/>
        <v>45964.041666666548</v>
      </c>
      <c r="BC8" s="3119">
        <f t="shared" si="73"/>
        <v>45964.083333333212</v>
      </c>
      <c r="BD8" s="3119">
        <f t="shared" si="74"/>
        <v>45964.124999999876</v>
      </c>
      <c r="BE8" s="3119">
        <f t="shared" si="75"/>
        <v>45964.166666666541</v>
      </c>
      <c r="BF8" s="3119">
        <f t="shared" si="76"/>
        <v>45964.208333333205</v>
      </c>
      <c r="BG8" s="3119">
        <f t="shared" si="77"/>
        <v>45964.249999999869</v>
      </c>
      <c r="BH8" s="3119">
        <f t="shared" si="78"/>
        <v>45964.291666666533</v>
      </c>
      <c r="BI8" s="3119">
        <f t="shared" si="79"/>
        <v>45964.333333333198</v>
      </c>
      <c r="BJ8" s="3119">
        <f t="shared" si="80"/>
        <v>45964.374999999862</v>
      </c>
      <c r="BK8" s="3119">
        <f t="shared" si="81"/>
        <v>45964.416666666526</v>
      </c>
      <c r="BL8" s="3119">
        <f t="shared" si="82"/>
        <v>45964.45833333319</v>
      </c>
      <c r="BM8" s="3119">
        <f t="shared" si="83"/>
        <v>45964.499999999854</v>
      </c>
      <c r="BN8" s="3119">
        <f t="shared" si="84"/>
        <v>45964.541666666519</v>
      </c>
      <c r="BO8" s="3119">
        <f t="shared" si="85"/>
        <v>45964.583333333183</v>
      </c>
      <c r="BP8" s="3119">
        <f t="shared" si="86"/>
        <v>45964.624999999847</v>
      </c>
      <c r="BQ8" s="3119">
        <f t="shared" si="87"/>
        <v>45964.666666666511</v>
      </c>
      <c r="BR8" s="3119">
        <f t="shared" si="14"/>
        <v>45964.708333333176</v>
      </c>
      <c r="BS8" s="3119">
        <f t="shared" si="88"/>
        <v>45964.74999999984</v>
      </c>
      <c r="BT8" s="3119">
        <f t="shared" si="89"/>
        <v>45964.791666666504</v>
      </c>
      <c r="BU8" s="3119">
        <f t="shared" si="90"/>
        <v>45964.833333333168</v>
      </c>
      <c r="BV8" s="3119">
        <f t="shared" si="91"/>
        <v>45964.874999999833</v>
      </c>
      <c r="BW8" s="3119">
        <f t="shared" si="92"/>
        <v>45964.916666666497</v>
      </c>
      <c r="BX8" s="3119">
        <f t="shared" si="93"/>
        <v>45964.958333333161</v>
      </c>
      <c r="BY8" s="3119">
        <f t="shared" si="94"/>
        <v>45964.999999999825</v>
      </c>
      <c r="BZ8" s="3119">
        <f t="shared" si="95"/>
        <v>45965.04166666649</v>
      </c>
      <c r="CA8" s="3119">
        <f t="shared" si="96"/>
        <v>45965.083333333154</v>
      </c>
      <c r="CB8" s="3119">
        <f t="shared" si="97"/>
        <v>45965.124999999818</v>
      </c>
      <c r="CC8" s="3119">
        <f t="shared" si="98"/>
        <v>45965.166666666482</v>
      </c>
      <c r="CD8" s="3119">
        <f t="shared" si="99"/>
        <v>45965.208333333147</v>
      </c>
      <c r="CE8" s="3119">
        <f t="shared" si="100"/>
        <v>45965.249999999811</v>
      </c>
      <c r="CF8" s="3119">
        <f t="shared" si="101"/>
        <v>45965.291666666475</v>
      </c>
      <c r="CG8" s="3119">
        <f t="shared" si="102"/>
        <v>45965.333333333139</v>
      </c>
      <c r="CH8" s="3119">
        <f t="shared" si="103"/>
        <v>45965.374999999804</v>
      </c>
      <c r="CI8" s="3119">
        <f t="shared" si="104"/>
        <v>45965.416666666468</v>
      </c>
      <c r="CJ8" s="3119">
        <f t="shared" si="105"/>
        <v>45965.458333333132</v>
      </c>
      <c r="CK8" s="3119">
        <f t="shared" si="106"/>
        <v>45965.499999999796</v>
      </c>
      <c r="CL8" s="3119">
        <f t="shared" si="107"/>
        <v>45965.541666666461</v>
      </c>
      <c r="CM8" s="3119">
        <f t="shared" si="108"/>
        <v>45965.583333333125</v>
      </c>
      <c r="CN8" s="3119">
        <f t="shared" si="109"/>
        <v>45965.624999999789</v>
      </c>
      <c r="CO8" s="3119">
        <f t="shared" si="110"/>
        <v>45965.666666666453</v>
      </c>
      <c r="CP8" s="3119">
        <f t="shared" si="111"/>
        <v>45965.708333333117</v>
      </c>
      <c r="CQ8" s="3119">
        <f t="shared" si="112"/>
        <v>45965.749999999782</v>
      </c>
      <c r="CR8" s="3119">
        <f t="shared" si="113"/>
        <v>45965.791666666446</v>
      </c>
      <c r="CS8" s="3119">
        <f t="shared" si="114"/>
        <v>45965.83333333311</v>
      </c>
      <c r="CT8" s="3119">
        <f t="shared" si="115"/>
        <v>45965.874999999774</v>
      </c>
      <c r="CU8" s="3119">
        <f t="shared" si="116"/>
        <v>45965.916666666439</v>
      </c>
      <c r="CV8" s="3119">
        <f t="shared" si="117"/>
        <v>45965.958333333103</v>
      </c>
      <c r="CW8" s="3119">
        <f t="shared" si="118"/>
        <v>45965.999999999767</v>
      </c>
      <c r="CX8" s="3119">
        <f t="shared" si="119"/>
        <v>45966.041666666431</v>
      </c>
      <c r="CY8" s="3119">
        <f t="shared" si="120"/>
        <v>45966.083333333096</v>
      </c>
      <c r="CZ8" s="3119">
        <f t="shared" si="121"/>
        <v>45966.12499999976</v>
      </c>
      <c r="DA8" s="3119">
        <f t="shared" si="122"/>
        <v>45966.166666666424</v>
      </c>
      <c r="DB8" s="3119">
        <f t="shared" si="123"/>
        <v>45966.208333333088</v>
      </c>
      <c r="DC8" s="3119">
        <f t="shared" si="124"/>
        <v>45966.249999999753</v>
      </c>
      <c r="DD8" s="3119">
        <f t="shared" si="125"/>
        <v>45966.291666666417</v>
      </c>
      <c r="DE8" s="3119">
        <f t="shared" si="126"/>
        <v>45966.333333333081</v>
      </c>
      <c r="DF8" s="3119">
        <f t="shared" si="127"/>
        <v>45966.374999999745</v>
      </c>
      <c r="DG8" s="3119">
        <f t="shared" si="128"/>
        <v>45966.41666666641</v>
      </c>
      <c r="DH8" s="3119">
        <f t="shared" si="129"/>
        <v>45966.458333333074</v>
      </c>
      <c r="DI8" s="3119">
        <f t="shared" si="130"/>
        <v>45966.499999999738</v>
      </c>
      <c r="DJ8" s="3119">
        <f t="shared" si="131"/>
        <v>45966.541666666402</v>
      </c>
      <c r="DK8" s="3119">
        <f t="shared" si="132"/>
        <v>45966.583333333067</v>
      </c>
      <c r="DL8" s="3119">
        <f t="shared" si="133"/>
        <v>45966.624999999731</v>
      </c>
      <c r="DM8" s="3119">
        <f t="shared" si="134"/>
        <v>45966.666666666395</v>
      </c>
      <c r="DN8" s="3119">
        <f t="shared" si="135"/>
        <v>45966.708333333059</v>
      </c>
      <c r="DO8" s="3119">
        <f t="shared" si="136"/>
        <v>45966.749999999724</v>
      </c>
      <c r="DP8" s="3119">
        <f t="shared" si="137"/>
        <v>45966.791666666388</v>
      </c>
      <c r="DQ8" s="3119">
        <f t="shared" si="138"/>
        <v>45966.833333333052</v>
      </c>
      <c r="DR8" s="3119">
        <f t="shared" si="139"/>
        <v>45966.874999999716</v>
      </c>
      <c r="DS8" s="3119">
        <f t="shared" si="140"/>
        <v>45966.91666666638</v>
      </c>
      <c r="DT8" s="3119">
        <f t="shared" si="141"/>
        <v>45966.958333333045</v>
      </c>
      <c r="DU8" s="3119">
        <f t="shared" si="142"/>
        <v>45966.999999999709</v>
      </c>
      <c r="DV8" s="3119">
        <f t="shared" si="143"/>
        <v>45967.041666666373</v>
      </c>
      <c r="DW8" s="3119">
        <f t="shared" si="144"/>
        <v>45967.083333333037</v>
      </c>
      <c r="DX8" s="3119">
        <f t="shared" si="145"/>
        <v>45967.124999999702</v>
      </c>
      <c r="DY8" s="3119">
        <f t="shared" si="146"/>
        <v>45967.166666666366</v>
      </c>
      <c r="DZ8" s="3119">
        <f t="shared" si="147"/>
        <v>45967.20833333303</v>
      </c>
      <c r="EA8" s="3119">
        <f t="shared" si="148"/>
        <v>45967.249999999694</v>
      </c>
      <c r="EB8" s="3119">
        <f t="shared" si="149"/>
        <v>45967.291666666359</v>
      </c>
      <c r="EC8" s="3119">
        <f t="shared" si="150"/>
        <v>45967.333333333023</v>
      </c>
      <c r="ED8" s="3119">
        <f t="shared" si="15"/>
        <v>45967.374999999687</v>
      </c>
      <c r="EE8" s="3119">
        <f t="shared" si="151"/>
        <v>45967.416666666351</v>
      </c>
      <c r="EF8" s="3119">
        <f t="shared" si="152"/>
        <v>45967.458333333016</v>
      </c>
      <c r="EG8" s="3119">
        <f t="shared" si="153"/>
        <v>45967.49999999968</v>
      </c>
      <c r="EH8" s="3119">
        <f t="shared" si="154"/>
        <v>45967.541666666344</v>
      </c>
      <c r="EI8" s="3119">
        <f t="shared" si="155"/>
        <v>45967.583333333008</v>
      </c>
      <c r="EJ8" s="3119">
        <f t="shared" si="156"/>
        <v>45967.624999999673</v>
      </c>
      <c r="EK8" s="3119">
        <f t="shared" si="157"/>
        <v>45967.666666666337</v>
      </c>
      <c r="EL8" s="3119">
        <f t="shared" si="158"/>
        <v>45967.708333333001</v>
      </c>
      <c r="EM8" s="3119">
        <f t="shared" si="159"/>
        <v>45967.749999999665</v>
      </c>
      <c r="EN8" s="3119">
        <f t="shared" si="160"/>
        <v>45967.79166666633</v>
      </c>
      <c r="EO8" s="3119">
        <f t="shared" si="161"/>
        <v>45967.833333332994</v>
      </c>
      <c r="EP8" s="3119">
        <f t="shared" si="162"/>
        <v>45967.874999999658</v>
      </c>
      <c r="EQ8" s="3119">
        <f t="shared" si="163"/>
        <v>45967.916666666322</v>
      </c>
      <c r="ER8" s="3119">
        <f t="shared" si="164"/>
        <v>45967.958333332987</v>
      </c>
      <c r="ES8" s="3119">
        <f t="shared" si="165"/>
        <v>45967.999999999651</v>
      </c>
      <c r="ET8" s="3119">
        <f t="shared" si="166"/>
        <v>45968.041666666315</v>
      </c>
      <c r="EU8" s="3119">
        <f t="shared" si="167"/>
        <v>45968.083333332979</v>
      </c>
      <c r="EV8" s="3119">
        <f t="shared" si="168"/>
        <v>45968.124999999643</v>
      </c>
      <c r="EW8" s="3119">
        <f t="shared" si="169"/>
        <v>45968.166666666308</v>
      </c>
      <c r="EX8" s="3119">
        <f t="shared" si="170"/>
        <v>45968.208333332972</v>
      </c>
      <c r="EY8" s="3119">
        <f t="shared" si="171"/>
        <v>45968.249999999636</v>
      </c>
      <c r="EZ8" s="3119">
        <f t="shared" si="172"/>
        <v>45968.2916666663</v>
      </c>
      <c r="FA8" s="3119">
        <f t="shared" si="173"/>
        <v>45968.333333332965</v>
      </c>
      <c r="FB8" s="3119">
        <f t="shared" si="174"/>
        <v>45968.374999999629</v>
      </c>
      <c r="FC8" s="3119">
        <f t="shared" si="175"/>
        <v>45968.416666666293</v>
      </c>
      <c r="FD8" s="3119">
        <f t="shared" si="176"/>
        <v>45968.458333332957</v>
      </c>
      <c r="FE8" s="3119">
        <f t="shared" si="177"/>
        <v>45968.499999999622</v>
      </c>
      <c r="FF8" s="3119">
        <f t="shared" si="178"/>
        <v>45968.541666666286</v>
      </c>
      <c r="FG8" s="3119">
        <f t="shared" si="179"/>
        <v>45968.58333333295</v>
      </c>
      <c r="FH8" s="3119">
        <f t="shared" si="180"/>
        <v>45968.624999999614</v>
      </c>
      <c r="FI8" s="3119">
        <f t="shared" si="181"/>
        <v>45968.666666666279</v>
      </c>
      <c r="FJ8" s="3119">
        <f t="shared" si="182"/>
        <v>45968.708333332943</v>
      </c>
      <c r="FK8" s="3119">
        <f t="shared" si="183"/>
        <v>45968.749999999607</v>
      </c>
      <c r="FL8" s="3119">
        <f t="shared" si="184"/>
        <v>45968.791666666271</v>
      </c>
      <c r="FM8" s="3119">
        <f t="shared" si="185"/>
        <v>45968.833333332936</v>
      </c>
      <c r="FN8" s="3119">
        <f t="shared" si="186"/>
        <v>45968.8749999996</v>
      </c>
      <c r="FO8" s="3119">
        <f t="shared" si="187"/>
        <v>45968.916666666264</v>
      </c>
      <c r="FP8" s="3119">
        <f t="shared" si="188"/>
        <v>45968.958333332928</v>
      </c>
      <c r="FQ8" s="3119">
        <f t="shared" si="189"/>
        <v>45968.999999999593</v>
      </c>
      <c r="FR8" s="3119">
        <f t="shared" si="190"/>
        <v>45969.041666666257</v>
      </c>
      <c r="FS8" s="3119">
        <f t="shared" si="191"/>
        <v>45969.083333332921</v>
      </c>
      <c r="FT8" s="3119">
        <f t="shared" si="192"/>
        <v>45969.124999999585</v>
      </c>
      <c r="FU8" s="3119">
        <f t="shared" si="193"/>
        <v>45969.16666666625</v>
      </c>
      <c r="FV8" s="3119">
        <f t="shared" si="194"/>
        <v>45969.208333332914</v>
      </c>
      <c r="FW8" s="3119">
        <f t="shared" si="195"/>
        <v>45969.249999999578</v>
      </c>
      <c r="FX8" s="3119">
        <f t="shared" si="196"/>
        <v>45969.291666666242</v>
      </c>
      <c r="FY8" s="3119">
        <f t="shared" si="197"/>
        <v>45969.333333332906</v>
      </c>
      <c r="FZ8" s="3119">
        <f t="shared" si="198"/>
        <v>45969.374999999571</v>
      </c>
      <c r="GA8" s="3119">
        <f t="shared" si="199"/>
        <v>45969.416666666235</v>
      </c>
      <c r="GB8" s="3119">
        <f t="shared" si="200"/>
        <v>45969.458333332899</v>
      </c>
      <c r="GC8" s="3119">
        <f t="shared" si="201"/>
        <v>45969.499999999563</v>
      </c>
      <c r="GD8" s="3119">
        <f t="shared" si="202"/>
        <v>45969.541666666228</v>
      </c>
      <c r="GE8" s="3119">
        <f t="shared" si="203"/>
        <v>45969.583333332892</v>
      </c>
      <c r="GF8" s="3119">
        <f t="shared" si="204"/>
        <v>45969.624999999556</v>
      </c>
      <c r="GG8" s="3119">
        <f t="shared" si="205"/>
        <v>45969.66666666622</v>
      </c>
      <c r="GH8" s="3119">
        <f t="shared" si="206"/>
        <v>45969.708333332885</v>
      </c>
      <c r="GI8" s="3119">
        <f t="shared" si="207"/>
        <v>45969.749999999549</v>
      </c>
      <c r="GJ8" s="3119">
        <f t="shared" si="208"/>
        <v>45969.791666666213</v>
      </c>
      <c r="GK8" s="3119">
        <f t="shared" si="209"/>
        <v>45969.833333332877</v>
      </c>
      <c r="GL8" s="3119">
        <f t="shared" si="210"/>
        <v>45969.874999999542</v>
      </c>
      <c r="GM8" s="3119">
        <f t="shared" si="211"/>
        <v>45969.916666666206</v>
      </c>
      <c r="GN8" s="3119">
        <f t="shared" si="212"/>
        <v>45969.95833333287</v>
      </c>
      <c r="GO8" s="3119">
        <f t="shared" si="213"/>
        <v>45969.999999999534</v>
      </c>
      <c r="GP8" s="3119">
        <f t="shared" si="16"/>
        <v>45970.041666666199</v>
      </c>
      <c r="GQ8" s="3119">
        <f t="shared" si="214"/>
        <v>45970.083333332863</v>
      </c>
      <c r="GR8" s="3119">
        <f t="shared" si="215"/>
        <v>45970.124999999527</v>
      </c>
      <c r="GS8" s="3119">
        <f t="shared" si="216"/>
        <v>45970.166666666191</v>
      </c>
      <c r="GT8" s="3119">
        <f t="shared" si="217"/>
        <v>45970.208333332856</v>
      </c>
      <c r="GU8" s="3119">
        <f t="shared" si="218"/>
        <v>45970.24999999952</v>
      </c>
      <c r="GV8" s="3119">
        <f t="shared" si="219"/>
        <v>45970.291666666184</v>
      </c>
      <c r="GW8" s="3119">
        <f t="shared" si="220"/>
        <v>45970.333333332848</v>
      </c>
      <c r="GX8" s="3119">
        <f t="shared" si="221"/>
        <v>45970.374999999513</v>
      </c>
      <c r="GY8" s="3119">
        <f t="shared" si="222"/>
        <v>45970.416666666177</v>
      </c>
      <c r="GZ8" s="3119">
        <f t="shared" si="223"/>
        <v>45970.458333332841</v>
      </c>
      <c r="HA8" s="3119">
        <f t="shared" si="224"/>
        <v>45970.499999999505</v>
      </c>
      <c r="HB8" s="3119">
        <f t="shared" si="225"/>
        <v>45970.541666666169</v>
      </c>
      <c r="HC8" s="3119">
        <f t="shared" si="226"/>
        <v>45970.583333332834</v>
      </c>
      <c r="HD8" s="3119">
        <f t="shared" si="227"/>
        <v>45970.624999999498</v>
      </c>
      <c r="HE8" s="3119">
        <f t="shared" si="228"/>
        <v>45970.666666666162</v>
      </c>
      <c r="HF8" s="3119">
        <f t="shared" si="229"/>
        <v>45970.708333332826</v>
      </c>
      <c r="HG8" s="3119">
        <f t="shared" si="230"/>
        <v>45970.749999999491</v>
      </c>
      <c r="HH8" s="3119">
        <f t="shared" si="231"/>
        <v>45970.791666666155</v>
      </c>
      <c r="HI8" s="3119">
        <f t="shared" si="232"/>
        <v>45970.833333332819</v>
      </c>
      <c r="HJ8" s="3119">
        <f t="shared" si="233"/>
        <v>45970.874999999483</v>
      </c>
      <c r="HK8" s="3119">
        <f t="shared" si="234"/>
        <v>45970.916666666148</v>
      </c>
      <c r="HL8" s="3119">
        <f t="shared" si="235"/>
        <v>45970.958333332812</v>
      </c>
      <c r="HM8" s="3119">
        <f t="shared" si="236"/>
        <v>45970.999999999476</v>
      </c>
      <c r="HN8" s="3119">
        <f t="shared" si="237"/>
        <v>45971.04166666614</v>
      </c>
      <c r="HO8" s="3119">
        <f t="shared" si="238"/>
        <v>45971.083333332805</v>
      </c>
      <c r="HP8" s="3119">
        <f t="shared" si="239"/>
        <v>45971.124999999469</v>
      </c>
      <c r="HQ8" s="3119">
        <f t="shared" si="240"/>
        <v>45971.166666666133</v>
      </c>
      <c r="HR8" s="3119">
        <f t="shared" si="241"/>
        <v>45971.208333332797</v>
      </c>
      <c r="HS8" s="3119">
        <f t="shared" si="242"/>
        <v>45971.249999999462</v>
      </c>
      <c r="HT8" s="3119">
        <f t="shared" si="243"/>
        <v>45971.291666666126</v>
      </c>
      <c r="HU8" s="3119">
        <f t="shared" si="244"/>
        <v>45971.33333333279</v>
      </c>
      <c r="HV8" s="3119">
        <f t="shared" si="245"/>
        <v>45971.374999999454</v>
      </c>
      <c r="HW8" s="3119">
        <f t="shared" si="246"/>
        <v>45971.416666666119</v>
      </c>
      <c r="HX8" s="3119">
        <f t="shared" si="247"/>
        <v>45971.458333332783</v>
      </c>
      <c r="HY8" s="3119">
        <f t="shared" si="248"/>
        <v>45971.499999999447</v>
      </c>
      <c r="HZ8" s="3119">
        <f t="shared" si="249"/>
        <v>45971.541666666111</v>
      </c>
      <c r="IA8" s="3119">
        <f t="shared" si="250"/>
        <v>45971.583333332776</v>
      </c>
      <c r="IB8" s="3119">
        <f t="shared" si="251"/>
        <v>45971.62499999944</v>
      </c>
      <c r="IC8" s="3119">
        <f t="shared" si="252"/>
        <v>45971.666666666104</v>
      </c>
      <c r="ID8" s="3119">
        <f t="shared" si="253"/>
        <v>45971.708333332768</v>
      </c>
      <c r="IE8" s="3119">
        <f t="shared" si="254"/>
        <v>45971.749999999432</v>
      </c>
      <c r="IF8" s="3119">
        <f t="shared" si="255"/>
        <v>45971.791666666097</v>
      </c>
      <c r="IG8" s="3119">
        <f t="shared" si="256"/>
        <v>45971.833333332761</v>
      </c>
      <c r="IH8" s="3119">
        <f t="shared" si="257"/>
        <v>45971.874999999425</v>
      </c>
      <c r="II8" s="3119">
        <f t="shared" si="258"/>
        <v>45971.916666666089</v>
      </c>
      <c r="IJ8" s="3119">
        <f t="shared" si="259"/>
        <v>45971.958333332754</v>
      </c>
      <c r="IK8" s="3119">
        <f t="shared" si="260"/>
        <v>45971.999999999418</v>
      </c>
      <c r="IL8" s="3119">
        <f t="shared" si="261"/>
        <v>45972.041666666082</v>
      </c>
      <c r="IM8" s="3119">
        <f t="shared" si="262"/>
        <v>45972.083333332746</v>
      </c>
      <c r="IN8" s="3119">
        <f t="shared" si="263"/>
        <v>45972.124999999411</v>
      </c>
      <c r="IO8" s="3119">
        <f t="shared" si="264"/>
        <v>45972.166666666075</v>
      </c>
      <c r="IP8" s="3119">
        <f t="shared" si="265"/>
        <v>45972.208333332739</v>
      </c>
      <c r="IQ8" s="3119">
        <f t="shared" si="266"/>
        <v>45972.249999999403</v>
      </c>
      <c r="IR8" s="3119">
        <f t="shared" si="267"/>
        <v>45972.291666666068</v>
      </c>
      <c r="IS8" s="3119">
        <f t="shared" si="268"/>
        <v>45972.333333332732</v>
      </c>
      <c r="IT8" s="3119">
        <f t="shared" si="269"/>
        <v>45972.374999999396</v>
      </c>
      <c r="IU8" s="3119">
        <f t="shared" si="270"/>
        <v>45972.41666666606</v>
      </c>
      <c r="IV8" s="3119">
        <f t="shared" si="271"/>
        <v>45972.458333332725</v>
      </c>
      <c r="IW8" s="3119">
        <f t="shared" si="272"/>
        <v>45972.499999999389</v>
      </c>
      <c r="IX8" s="3119">
        <f t="shared" si="273"/>
        <v>45972.541666666053</v>
      </c>
      <c r="IY8" s="3119">
        <f t="shared" si="274"/>
        <v>45972.583333332717</v>
      </c>
      <c r="IZ8" s="3119">
        <f t="shared" si="275"/>
        <v>45972.624999999382</v>
      </c>
      <c r="JA8" s="3119">
        <f t="shared" si="276"/>
        <v>45972.666666666046</v>
      </c>
      <c r="JB8" s="3119">
        <f t="shared" si="17"/>
        <v>45972.70833333271</v>
      </c>
      <c r="JC8" s="3119">
        <f t="shared" si="277"/>
        <v>45972.749999999374</v>
      </c>
      <c r="JD8" s="3119">
        <f t="shared" si="278"/>
        <v>45972.791666666039</v>
      </c>
      <c r="JE8" s="3119">
        <f t="shared" si="279"/>
        <v>45972.833333332703</v>
      </c>
      <c r="JF8" s="3119">
        <f t="shared" si="280"/>
        <v>45972.874999999367</v>
      </c>
      <c r="JG8" s="3119">
        <f t="shared" si="281"/>
        <v>45972.916666666031</v>
      </c>
      <c r="JH8" s="3119">
        <f t="shared" si="282"/>
        <v>45972.958333332695</v>
      </c>
      <c r="JI8" s="3119">
        <f t="shared" si="283"/>
        <v>45972.99999999936</v>
      </c>
      <c r="JJ8" s="3119">
        <f t="shared" si="284"/>
        <v>45973.041666666024</v>
      </c>
      <c r="JK8" s="3119">
        <f t="shared" si="285"/>
        <v>45973.083333332688</v>
      </c>
      <c r="JL8" s="3119">
        <f t="shared" si="286"/>
        <v>45973.124999999352</v>
      </c>
      <c r="JM8" s="3119">
        <f t="shared" si="287"/>
        <v>45973.166666666017</v>
      </c>
      <c r="JN8" s="3119">
        <f t="shared" si="288"/>
        <v>45973.208333332681</v>
      </c>
      <c r="JO8" s="3119">
        <f t="shared" si="289"/>
        <v>45973.249999999345</v>
      </c>
      <c r="JP8" s="3119">
        <f t="shared" si="290"/>
        <v>45973.291666666009</v>
      </c>
      <c r="JQ8" s="3119">
        <f t="shared" si="291"/>
        <v>45973.333333332674</v>
      </c>
      <c r="JR8" s="3119">
        <f t="shared" si="292"/>
        <v>45973.374999999338</v>
      </c>
      <c r="JS8" s="3119">
        <f t="shared" si="293"/>
        <v>45973.416666666002</v>
      </c>
      <c r="JT8" s="3119">
        <f t="shared" si="294"/>
        <v>45973.458333332666</v>
      </c>
      <c r="JU8" s="3119">
        <f t="shared" si="295"/>
        <v>45973.499999999331</v>
      </c>
      <c r="JV8" s="3119">
        <f t="shared" si="296"/>
        <v>45973.541666665995</v>
      </c>
      <c r="JW8" s="3119">
        <f t="shared" si="297"/>
        <v>45973.583333332659</v>
      </c>
      <c r="JX8" s="3119">
        <f t="shared" si="298"/>
        <v>45973.624999999323</v>
      </c>
      <c r="JY8" s="3119">
        <f t="shared" si="299"/>
        <v>45973.666666665988</v>
      </c>
      <c r="JZ8" s="3119">
        <f t="shared" si="300"/>
        <v>45973.708333332652</v>
      </c>
      <c r="KA8" s="3119">
        <f t="shared" si="301"/>
        <v>45973.749999999316</v>
      </c>
      <c r="KB8" s="3119">
        <f t="shared" si="302"/>
        <v>45973.79166666598</v>
      </c>
      <c r="KC8" s="3119">
        <f t="shared" si="303"/>
        <v>45973.833333332645</v>
      </c>
      <c r="KD8" s="3119">
        <f t="shared" si="304"/>
        <v>45973.874999999309</v>
      </c>
      <c r="KE8" s="3119">
        <f t="shared" si="305"/>
        <v>45973.916666665973</v>
      </c>
      <c r="KF8" s="3119">
        <f t="shared" si="306"/>
        <v>45973.958333332637</v>
      </c>
      <c r="KG8" s="3119">
        <f t="shared" si="307"/>
        <v>45973.999999999302</v>
      </c>
      <c r="KH8" s="3119">
        <f t="shared" si="308"/>
        <v>45974.041666665966</v>
      </c>
      <c r="KI8" s="3119">
        <f t="shared" si="309"/>
        <v>45974.08333333263</v>
      </c>
      <c r="KJ8" s="3119">
        <f t="shared" si="310"/>
        <v>45974.124999999294</v>
      </c>
      <c r="KK8" s="3119">
        <f t="shared" si="311"/>
        <v>45974.166666665958</v>
      </c>
      <c r="KL8" s="3119">
        <f t="shared" si="312"/>
        <v>45974.208333332623</v>
      </c>
      <c r="KM8" s="3119">
        <f t="shared" si="313"/>
        <v>45974.249999999287</v>
      </c>
      <c r="KN8" s="3119">
        <f t="shared" si="314"/>
        <v>45974.291666665951</v>
      </c>
      <c r="KO8" s="3119">
        <f t="shared" si="315"/>
        <v>45974.333333332615</v>
      </c>
      <c r="KP8" s="3119">
        <f t="shared" si="316"/>
        <v>45974.37499999928</v>
      </c>
      <c r="KQ8" s="3119">
        <f t="shared" si="317"/>
        <v>45974.416666665944</v>
      </c>
      <c r="KR8" s="3119">
        <f t="shared" si="318"/>
        <v>45974.458333332608</v>
      </c>
      <c r="KS8" s="3119">
        <f t="shared" si="319"/>
        <v>45974.499999999272</v>
      </c>
      <c r="KT8" s="3119">
        <f t="shared" si="320"/>
        <v>45974.541666665937</v>
      </c>
      <c r="KU8" s="3119">
        <f t="shared" si="321"/>
        <v>45974.583333332601</v>
      </c>
      <c r="KV8" s="3119">
        <f t="shared" si="322"/>
        <v>45974.624999999265</v>
      </c>
      <c r="KW8" s="3119">
        <f t="shared" si="323"/>
        <v>45974.666666665929</v>
      </c>
      <c r="KX8" s="3119">
        <f t="shared" si="324"/>
        <v>45974.708333332594</v>
      </c>
      <c r="KY8" s="3119">
        <f t="shared" si="325"/>
        <v>45974.749999999258</v>
      </c>
      <c r="KZ8" s="3119">
        <f t="shared" si="326"/>
        <v>45974.791666665922</v>
      </c>
      <c r="LA8" s="3119">
        <f t="shared" si="327"/>
        <v>45974.833333332586</v>
      </c>
      <c r="LB8" s="3119">
        <f t="shared" si="328"/>
        <v>45974.874999999251</v>
      </c>
      <c r="LC8" s="3119">
        <f t="shared" si="329"/>
        <v>45974.916666665915</v>
      </c>
      <c r="LD8" s="3119">
        <f t="shared" si="330"/>
        <v>45974.958333332579</v>
      </c>
      <c r="LE8" s="3119">
        <f t="shared" si="331"/>
        <v>45974.999999999243</v>
      </c>
      <c r="LF8" s="3119">
        <f t="shared" si="332"/>
        <v>45975.041666665908</v>
      </c>
      <c r="LG8" s="3119">
        <f t="shared" si="333"/>
        <v>45975.083333332572</v>
      </c>
      <c r="LH8" s="3119">
        <f t="shared" si="334"/>
        <v>45975.124999999236</v>
      </c>
      <c r="LI8" s="3119">
        <f t="shared" si="335"/>
        <v>45975.1666666659</v>
      </c>
      <c r="LJ8" s="3119">
        <f t="shared" si="336"/>
        <v>45975.208333332565</v>
      </c>
      <c r="LK8" s="3119">
        <f t="shared" si="337"/>
        <v>45975.249999999229</v>
      </c>
      <c r="LL8" s="3119">
        <f t="shared" si="338"/>
        <v>45975.291666665893</v>
      </c>
      <c r="LM8" s="3119">
        <f t="shared" si="339"/>
        <v>45975.333333332557</v>
      </c>
      <c r="LN8" s="3119">
        <f t="shared" si="18"/>
        <v>45975.374999999221</v>
      </c>
      <c r="LO8" s="3119">
        <f t="shared" si="340"/>
        <v>45975.416666665886</v>
      </c>
      <c r="LP8" s="3119">
        <f t="shared" si="341"/>
        <v>45975.45833333255</v>
      </c>
      <c r="LQ8" s="3119">
        <f t="shared" si="342"/>
        <v>45975.499999999214</v>
      </c>
      <c r="LR8" s="3119">
        <f t="shared" si="343"/>
        <v>45975.541666665878</v>
      </c>
      <c r="LS8" s="3119">
        <f t="shared" si="344"/>
        <v>45975.583333332543</v>
      </c>
      <c r="LT8" s="3119">
        <f t="shared" si="345"/>
        <v>45975.624999999207</v>
      </c>
      <c r="LU8" s="3119">
        <f t="shared" si="346"/>
        <v>45975.666666665871</v>
      </c>
      <c r="LV8" s="3119">
        <f t="shared" si="347"/>
        <v>45975.708333332535</v>
      </c>
      <c r="LW8" s="3119">
        <f t="shared" si="348"/>
        <v>45975.7499999992</v>
      </c>
      <c r="LX8" s="3119">
        <f t="shared" si="349"/>
        <v>45975.791666665864</v>
      </c>
      <c r="LY8" s="3119">
        <f t="shared" si="350"/>
        <v>45975.833333332528</v>
      </c>
      <c r="LZ8" s="3119">
        <f t="shared" si="351"/>
        <v>45975.874999999192</v>
      </c>
      <c r="MA8" s="3119">
        <f t="shared" si="352"/>
        <v>45975.916666665857</v>
      </c>
      <c r="MB8" s="3119">
        <f t="shared" si="353"/>
        <v>45975.958333332521</v>
      </c>
      <c r="MC8" s="3119">
        <f t="shared" si="354"/>
        <v>45975.999999999185</v>
      </c>
      <c r="MD8" s="3119">
        <f t="shared" si="355"/>
        <v>45976.041666665849</v>
      </c>
      <c r="ME8" s="3119">
        <f t="shared" si="356"/>
        <v>45976.083333332514</v>
      </c>
      <c r="MF8" s="3119">
        <f t="shared" si="357"/>
        <v>45976.124999999178</v>
      </c>
      <c r="MG8" s="3119">
        <f t="shared" si="358"/>
        <v>45976.166666665842</v>
      </c>
      <c r="MH8" s="3119">
        <f t="shared" si="359"/>
        <v>45976.208333332506</v>
      </c>
      <c r="MI8" s="3119">
        <f t="shared" si="360"/>
        <v>45976.249999999171</v>
      </c>
      <c r="MJ8" s="3119">
        <f t="shared" si="361"/>
        <v>45976.291666665835</v>
      </c>
      <c r="MK8" s="3119">
        <f t="shared" si="362"/>
        <v>45976.333333332499</v>
      </c>
      <c r="ML8" s="3119">
        <f t="shared" si="363"/>
        <v>45976.374999999163</v>
      </c>
      <c r="MM8" s="3119">
        <f t="shared" si="364"/>
        <v>45976.416666665828</v>
      </c>
      <c r="MN8" s="3119">
        <f t="shared" si="365"/>
        <v>45976.458333332492</v>
      </c>
      <c r="MO8" s="3119">
        <f t="shared" si="366"/>
        <v>45976.499999999156</v>
      </c>
      <c r="MP8" s="3119">
        <f t="shared" si="367"/>
        <v>45976.54166666582</v>
      </c>
      <c r="MQ8" s="3119">
        <f t="shared" si="368"/>
        <v>45976.583333332484</v>
      </c>
      <c r="MR8" s="3119">
        <f t="shared" si="369"/>
        <v>45976.624999999149</v>
      </c>
      <c r="MS8" s="3119">
        <f t="shared" si="370"/>
        <v>45976.666666665813</v>
      </c>
      <c r="MT8" s="3119">
        <f t="shared" si="371"/>
        <v>45976.708333332477</v>
      </c>
      <c r="MU8" s="3119">
        <f t="shared" si="372"/>
        <v>45976.749999999141</v>
      </c>
      <c r="MV8" s="3119">
        <f t="shared" si="373"/>
        <v>45976.791666665806</v>
      </c>
      <c r="MW8" s="3119">
        <f t="shared" si="374"/>
        <v>45976.83333333247</v>
      </c>
      <c r="MX8" s="3119">
        <f t="shared" si="375"/>
        <v>45976.874999999134</v>
      </c>
      <c r="MY8" s="3119">
        <f t="shared" si="376"/>
        <v>45976.916666665798</v>
      </c>
      <c r="MZ8" s="3119">
        <f t="shared" si="377"/>
        <v>45976.958333332463</v>
      </c>
      <c r="NA8" s="3119">
        <f t="shared" si="378"/>
        <v>45976.999999999127</v>
      </c>
      <c r="NB8" s="3119">
        <f t="shared" si="379"/>
        <v>45977.041666665791</v>
      </c>
      <c r="NC8" s="3119">
        <f t="shared" si="380"/>
        <v>45977.083333332455</v>
      </c>
      <c r="ND8" s="3119">
        <f t="shared" si="381"/>
        <v>45977.12499999912</v>
      </c>
      <c r="NE8" s="3119">
        <f t="shared" si="382"/>
        <v>45977.166666665784</v>
      </c>
      <c r="NF8" s="3119">
        <f t="shared" si="383"/>
        <v>45977.208333332448</v>
      </c>
      <c r="NG8" s="3119">
        <f t="shared" si="384"/>
        <v>45977.249999999112</v>
      </c>
      <c r="NH8" s="3119">
        <f t="shared" si="385"/>
        <v>45977.291666665777</v>
      </c>
      <c r="NI8" s="3119">
        <f t="shared" si="386"/>
        <v>45977.333333332441</v>
      </c>
      <c r="NJ8" s="3119">
        <f t="shared" si="387"/>
        <v>45977.374999999105</v>
      </c>
      <c r="NK8" s="3119">
        <f t="shared" si="388"/>
        <v>45977.416666665769</v>
      </c>
      <c r="NL8" s="3119">
        <f t="shared" si="389"/>
        <v>45977.458333332434</v>
      </c>
      <c r="NM8" s="3119">
        <f t="shared" si="390"/>
        <v>45977.499999999098</v>
      </c>
      <c r="NN8" s="3119">
        <f t="shared" si="391"/>
        <v>45977.541666665762</v>
      </c>
      <c r="NO8" s="3119">
        <f t="shared" si="392"/>
        <v>45977.583333332426</v>
      </c>
      <c r="NP8" s="3119">
        <f t="shared" si="393"/>
        <v>45977.624999999091</v>
      </c>
      <c r="NQ8" s="3119">
        <f t="shared" si="394"/>
        <v>45977.666666665755</v>
      </c>
      <c r="NR8" s="3119">
        <f t="shared" si="395"/>
        <v>45977.708333332419</v>
      </c>
      <c r="NS8" s="3119">
        <f t="shared" si="396"/>
        <v>45977.749999999083</v>
      </c>
      <c r="NT8" s="3119">
        <f t="shared" si="397"/>
        <v>45977.791666665747</v>
      </c>
      <c r="NU8" s="3119">
        <f t="shared" si="398"/>
        <v>45977.833333332412</v>
      </c>
      <c r="NV8" s="3119">
        <f t="shared" si="399"/>
        <v>45977.874999999076</v>
      </c>
      <c r="NW8" s="3119">
        <f t="shared" si="400"/>
        <v>45977.91666666574</v>
      </c>
      <c r="NX8" s="3119">
        <f t="shared" si="401"/>
        <v>45977.958333332404</v>
      </c>
      <c r="NY8" s="3119">
        <f t="shared" si="402"/>
        <v>45977.999999999069</v>
      </c>
      <c r="NZ8" s="3119">
        <f t="shared" si="19"/>
        <v>45978.041666665733</v>
      </c>
      <c r="OA8" s="3119">
        <f t="shared" si="403"/>
        <v>45978.083333332397</v>
      </c>
      <c r="OB8" s="3119">
        <f t="shared" si="404"/>
        <v>45978.124999999061</v>
      </c>
      <c r="OC8" s="3119">
        <f t="shared" si="405"/>
        <v>45978.166666665726</v>
      </c>
      <c r="OD8" s="3119">
        <f t="shared" si="406"/>
        <v>45978.20833333239</v>
      </c>
      <c r="OE8" s="3119">
        <f t="shared" si="407"/>
        <v>45978.249999999054</v>
      </c>
      <c r="OF8" s="3119">
        <f t="shared" si="408"/>
        <v>45978.291666665718</v>
      </c>
      <c r="OG8" s="3119">
        <f t="shared" si="409"/>
        <v>45978.333333332383</v>
      </c>
      <c r="OH8" s="3119">
        <f t="shared" si="410"/>
        <v>45978.374999999047</v>
      </c>
      <c r="OI8" s="3119">
        <f t="shared" si="411"/>
        <v>45978.416666665711</v>
      </c>
      <c r="OJ8" s="3119">
        <f t="shared" si="412"/>
        <v>45978.458333332375</v>
      </c>
      <c r="OK8" s="3119">
        <f t="shared" si="413"/>
        <v>45978.49999999904</v>
      </c>
      <c r="OL8" s="3119">
        <f t="shared" si="414"/>
        <v>45978.541666665704</v>
      </c>
      <c r="OM8" s="3119">
        <f t="shared" si="415"/>
        <v>45978.583333332368</v>
      </c>
      <c r="ON8" s="3119">
        <f t="shared" si="416"/>
        <v>45978.624999999032</v>
      </c>
      <c r="OO8" s="3119">
        <f t="shared" si="417"/>
        <v>45978.666666665697</v>
      </c>
      <c r="OP8" s="3119">
        <f t="shared" si="418"/>
        <v>45978.708333332361</v>
      </c>
      <c r="OQ8" s="3119">
        <f t="shared" si="419"/>
        <v>45978.749999999025</v>
      </c>
      <c r="OR8" s="3119">
        <f t="shared" si="420"/>
        <v>45978.791666665689</v>
      </c>
      <c r="OS8" s="3119">
        <f t="shared" si="421"/>
        <v>45978.833333332354</v>
      </c>
      <c r="OT8" s="3119">
        <f t="shared" si="422"/>
        <v>45978.874999999018</v>
      </c>
      <c r="OU8" s="3119">
        <f t="shared" si="423"/>
        <v>45978.916666665682</v>
      </c>
      <c r="OV8" s="3119">
        <f t="shared" si="424"/>
        <v>45978.958333332346</v>
      </c>
      <c r="OW8" s="3119">
        <f t="shared" si="425"/>
        <v>45978.99999999901</v>
      </c>
      <c r="OX8" s="3119">
        <f t="shared" si="426"/>
        <v>45979.041666665675</v>
      </c>
      <c r="OY8" s="3119">
        <f t="shared" si="427"/>
        <v>45979.083333332339</v>
      </c>
      <c r="OZ8" s="3119">
        <f t="shared" si="428"/>
        <v>45979.124999999003</v>
      </c>
      <c r="PA8" s="3119">
        <f t="shared" si="429"/>
        <v>45979.166666665667</v>
      </c>
      <c r="PB8" s="3119">
        <f t="shared" si="430"/>
        <v>45979.208333332332</v>
      </c>
      <c r="PC8" s="3119">
        <f t="shared" si="431"/>
        <v>45979.249999998996</v>
      </c>
      <c r="PD8" s="3119">
        <f t="shared" si="432"/>
        <v>45979.29166666566</v>
      </c>
      <c r="PE8" s="3119">
        <f t="shared" si="433"/>
        <v>45979.333333332324</v>
      </c>
      <c r="PF8" s="3119">
        <f t="shared" si="434"/>
        <v>45979.374999998989</v>
      </c>
      <c r="PG8" s="3119">
        <f t="shared" si="435"/>
        <v>45979.416666665653</v>
      </c>
      <c r="PH8" s="3119">
        <f t="shared" si="436"/>
        <v>45979.458333332317</v>
      </c>
      <c r="PI8" s="3119">
        <f t="shared" si="437"/>
        <v>45979.499999998981</v>
      </c>
      <c r="PJ8" s="3119">
        <f t="shared" si="438"/>
        <v>45979.541666665646</v>
      </c>
      <c r="PK8" s="3119">
        <f t="shared" si="439"/>
        <v>45979.58333333231</v>
      </c>
      <c r="PL8" s="3119">
        <f t="shared" si="440"/>
        <v>45979.624999998974</v>
      </c>
      <c r="PM8" s="3119">
        <f t="shared" si="441"/>
        <v>45979.666666665638</v>
      </c>
      <c r="PN8" s="3119">
        <f t="shared" si="442"/>
        <v>45979.708333332303</v>
      </c>
      <c r="PO8" s="3119">
        <f t="shared" si="443"/>
        <v>45979.749999998967</v>
      </c>
      <c r="PP8" s="3119">
        <f t="shared" si="444"/>
        <v>45979.791666665631</v>
      </c>
      <c r="PQ8" s="3119">
        <f t="shared" si="445"/>
        <v>45979.833333332295</v>
      </c>
      <c r="PR8" s="3119">
        <f t="shared" si="446"/>
        <v>45979.87499999896</v>
      </c>
      <c r="PS8" s="3119">
        <f t="shared" si="447"/>
        <v>45979.916666665624</v>
      </c>
      <c r="PT8" s="3119">
        <f t="shared" si="448"/>
        <v>45979.958333332288</v>
      </c>
      <c r="PU8" s="3119">
        <f t="shared" si="449"/>
        <v>45979.999999998952</v>
      </c>
      <c r="PV8" s="3119">
        <f t="shared" si="450"/>
        <v>45980.041666665617</v>
      </c>
      <c r="PW8" s="3119">
        <f t="shared" si="451"/>
        <v>45980.083333332281</v>
      </c>
      <c r="PX8" s="3119">
        <f t="shared" si="452"/>
        <v>45980.124999998945</v>
      </c>
      <c r="PY8" s="3119">
        <f t="shared" si="453"/>
        <v>45980.166666665609</v>
      </c>
      <c r="PZ8" s="3119">
        <f t="shared" si="454"/>
        <v>45980.208333332273</v>
      </c>
      <c r="QA8" s="3119">
        <f t="shared" si="455"/>
        <v>45980.249999998938</v>
      </c>
      <c r="QB8" s="3119">
        <f t="shared" si="456"/>
        <v>45980.291666665602</v>
      </c>
      <c r="QC8" s="3119">
        <f t="shared" si="457"/>
        <v>45980.333333332266</v>
      </c>
      <c r="QD8" s="3119">
        <f t="shared" si="458"/>
        <v>45980.37499999893</v>
      </c>
      <c r="QE8" s="3119">
        <f t="shared" si="459"/>
        <v>45980.416666665595</v>
      </c>
      <c r="QF8" s="3119">
        <f t="shared" si="460"/>
        <v>45980.458333332259</v>
      </c>
      <c r="QG8" s="3119">
        <f t="shared" si="461"/>
        <v>45980.499999998923</v>
      </c>
      <c r="QH8" s="3119">
        <f t="shared" si="462"/>
        <v>45980.541666665587</v>
      </c>
      <c r="QI8" s="3119">
        <f t="shared" si="463"/>
        <v>45980.583333332252</v>
      </c>
      <c r="QJ8" s="3119">
        <f t="shared" si="464"/>
        <v>45980.624999998916</v>
      </c>
      <c r="QK8" s="3119">
        <f t="shared" si="465"/>
        <v>45980.66666666558</v>
      </c>
      <c r="QL8" s="3119">
        <f t="shared" si="20"/>
        <v>45980.708333332244</v>
      </c>
      <c r="QM8" s="3119">
        <f t="shared" si="466"/>
        <v>45980.749999998909</v>
      </c>
      <c r="QN8" s="3119">
        <f t="shared" si="467"/>
        <v>45980.791666665573</v>
      </c>
      <c r="QO8" s="3119">
        <f t="shared" si="468"/>
        <v>45980.833333332237</v>
      </c>
      <c r="QP8" s="3119">
        <f t="shared" si="469"/>
        <v>45980.874999998901</v>
      </c>
      <c r="QQ8" s="3119">
        <f t="shared" si="470"/>
        <v>45980.916666665566</v>
      </c>
      <c r="QR8" s="3119">
        <f t="shared" si="471"/>
        <v>45980.95833333223</v>
      </c>
      <c r="QS8" s="3119">
        <f t="shared" si="472"/>
        <v>45980.999999998894</v>
      </c>
      <c r="QT8" s="3119">
        <f t="shared" si="473"/>
        <v>45981.041666665558</v>
      </c>
      <c r="QU8" s="3119">
        <f t="shared" si="474"/>
        <v>45981.083333332223</v>
      </c>
      <c r="QV8" s="3119">
        <f t="shared" si="475"/>
        <v>45981.124999998887</v>
      </c>
      <c r="QW8" s="3119">
        <f t="shared" si="476"/>
        <v>45981.166666665551</v>
      </c>
      <c r="QX8" s="3119">
        <f t="shared" si="477"/>
        <v>45981.208333332215</v>
      </c>
      <c r="QY8" s="3119">
        <f t="shared" si="478"/>
        <v>45981.24999999888</v>
      </c>
      <c r="QZ8" s="3119">
        <f t="shared" si="479"/>
        <v>45981.291666665544</v>
      </c>
      <c r="RA8" s="3119">
        <f t="shared" si="480"/>
        <v>45981.333333332208</v>
      </c>
      <c r="RB8" s="3119">
        <f t="shared" si="481"/>
        <v>45981.374999998872</v>
      </c>
      <c r="RC8" s="3119">
        <f t="shared" si="482"/>
        <v>45981.416666665536</v>
      </c>
      <c r="RD8" s="3119">
        <f t="shared" si="483"/>
        <v>45981.458333332201</v>
      </c>
      <c r="RE8" s="3119">
        <f t="shared" si="484"/>
        <v>45981.499999998865</v>
      </c>
      <c r="RF8" s="3119">
        <f t="shared" si="485"/>
        <v>45981.541666665529</v>
      </c>
      <c r="RG8" s="3119">
        <f t="shared" si="486"/>
        <v>45981.583333332193</v>
      </c>
      <c r="RH8" s="3119">
        <f t="shared" si="487"/>
        <v>45981.624999998858</v>
      </c>
      <c r="RI8" s="3119">
        <f t="shared" si="488"/>
        <v>45981.666666665522</v>
      </c>
      <c r="RJ8" s="3119">
        <f t="shared" si="489"/>
        <v>45981.708333332186</v>
      </c>
      <c r="RK8" s="3119">
        <f t="shared" si="490"/>
        <v>45981.74999999885</v>
      </c>
      <c r="RL8" s="3119">
        <f t="shared" si="491"/>
        <v>45981.791666665515</v>
      </c>
      <c r="RM8" s="3119">
        <f t="shared" si="492"/>
        <v>45981.833333332179</v>
      </c>
      <c r="RN8" s="3119">
        <f t="shared" si="493"/>
        <v>45981.874999998843</v>
      </c>
      <c r="RO8" s="3119">
        <f t="shared" si="494"/>
        <v>45981.916666665507</v>
      </c>
      <c r="RP8" s="3119">
        <f t="shared" si="495"/>
        <v>45981.958333332172</v>
      </c>
      <c r="RQ8" s="3119">
        <f t="shared" si="496"/>
        <v>45981.999999998836</v>
      </c>
      <c r="RR8" s="3119">
        <f t="shared" si="497"/>
        <v>45982.0416666655</v>
      </c>
      <c r="RS8" s="3119">
        <f t="shared" si="498"/>
        <v>45982.083333332164</v>
      </c>
      <c r="RT8" s="3119">
        <f t="shared" si="499"/>
        <v>45982.124999998829</v>
      </c>
      <c r="RU8" s="3119">
        <f t="shared" si="500"/>
        <v>45982.166666665493</v>
      </c>
      <c r="RV8" s="3119">
        <f t="shared" si="501"/>
        <v>45982.208333332157</v>
      </c>
      <c r="RW8" s="3119">
        <f t="shared" si="502"/>
        <v>45982.249999998821</v>
      </c>
      <c r="RX8" s="3119">
        <f t="shared" si="503"/>
        <v>45982.291666665486</v>
      </c>
      <c r="RY8" s="3119">
        <f t="shared" si="504"/>
        <v>45982.33333333215</v>
      </c>
      <c r="RZ8" s="3119">
        <f t="shared" si="505"/>
        <v>45982.374999998814</v>
      </c>
      <c r="SA8" s="3119">
        <f t="shared" si="506"/>
        <v>45982.416666665478</v>
      </c>
      <c r="SB8" s="3119">
        <f t="shared" si="507"/>
        <v>45982.458333332143</v>
      </c>
      <c r="SC8" s="3119">
        <f t="shared" si="508"/>
        <v>45982.499999998807</v>
      </c>
      <c r="SD8" s="3119">
        <f t="shared" si="509"/>
        <v>45982.541666665471</v>
      </c>
      <c r="SE8" s="3119">
        <f t="shared" si="510"/>
        <v>45982.583333332135</v>
      </c>
      <c r="SF8" s="3119">
        <f t="shared" si="511"/>
        <v>45982.624999998799</v>
      </c>
      <c r="SG8" s="3119">
        <f t="shared" si="512"/>
        <v>45982.666666665464</v>
      </c>
      <c r="SH8" s="3119">
        <f t="shared" si="513"/>
        <v>45982.708333332128</v>
      </c>
      <c r="SI8" s="3119">
        <f t="shared" si="514"/>
        <v>45982.749999998792</v>
      </c>
      <c r="SJ8" s="3119">
        <f t="shared" si="515"/>
        <v>45982.791666665456</v>
      </c>
      <c r="SK8" s="3119">
        <f t="shared" si="516"/>
        <v>45982.833333332121</v>
      </c>
      <c r="SL8" s="3119">
        <f t="shared" si="517"/>
        <v>45982.874999998785</v>
      </c>
      <c r="SM8" s="3119">
        <f t="shared" si="518"/>
        <v>45982.916666665449</v>
      </c>
      <c r="SN8" s="3119">
        <f t="shared" si="519"/>
        <v>45982.958333332113</v>
      </c>
      <c r="SO8" s="3119">
        <f t="shared" si="520"/>
        <v>45982.999999998778</v>
      </c>
      <c r="SP8" s="3119">
        <f t="shared" si="521"/>
        <v>45983.041666665442</v>
      </c>
      <c r="SQ8" s="3119">
        <f t="shared" si="522"/>
        <v>45983.083333332106</v>
      </c>
      <c r="SR8" s="3119">
        <f t="shared" si="523"/>
        <v>45983.12499999877</v>
      </c>
      <c r="SS8" s="3119">
        <f t="shared" si="524"/>
        <v>45983.166666665435</v>
      </c>
      <c r="ST8" s="3119">
        <f t="shared" si="525"/>
        <v>45983.208333332099</v>
      </c>
      <c r="SU8" s="3119">
        <f t="shared" si="526"/>
        <v>45983.249999998763</v>
      </c>
      <c r="SV8" s="3119">
        <f t="shared" si="527"/>
        <v>45983.291666665427</v>
      </c>
      <c r="SW8" s="3119">
        <f t="shared" si="528"/>
        <v>45983.333333332092</v>
      </c>
      <c r="SX8" s="3119">
        <f t="shared" si="21"/>
        <v>45983.374999998756</v>
      </c>
      <c r="SY8" s="3119">
        <f t="shared" si="529"/>
        <v>45983.41666666542</v>
      </c>
      <c r="SZ8" s="3119">
        <f t="shared" si="530"/>
        <v>45983.458333332084</v>
      </c>
      <c r="TA8" s="3119">
        <f t="shared" si="531"/>
        <v>45983.499999998749</v>
      </c>
      <c r="TB8" s="3119">
        <f t="shared" si="532"/>
        <v>45983.541666665413</v>
      </c>
      <c r="TC8" s="3119">
        <f t="shared" si="533"/>
        <v>45983.583333332077</v>
      </c>
      <c r="TD8" s="3119">
        <f t="shared" si="534"/>
        <v>45983.624999998741</v>
      </c>
      <c r="TE8" s="3119">
        <f t="shared" si="535"/>
        <v>45983.666666665406</v>
      </c>
      <c r="TF8" s="3119">
        <f t="shared" si="536"/>
        <v>45983.70833333207</v>
      </c>
      <c r="TG8" s="3119">
        <f t="shared" si="537"/>
        <v>45983.749999998734</v>
      </c>
      <c r="TH8" s="3119">
        <f t="shared" si="538"/>
        <v>45983.791666665398</v>
      </c>
      <c r="TI8" s="3119">
        <f t="shared" si="539"/>
        <v>45983.833333332062</v>
      </c>
      <c r="TJ8" s="3119">
        <f t="shared" si="540"/>
        <v>45983.874999998727</v>
      </c>
      <c r="TK8" s="3119">
        <f t="shared" si="541"/>
        <v>45983.916666665391</v>
      </c>
      <c r="TL8" s="3119">
        <f t="shared" si="542"/>
        <v>45983.958333332055</v>
      </c>
      <c r="TM8" s="3119">
        <f t="shared" si="543"/>
        <v>45983.999999998719</v>
      </c>
      <c r="TN8" s="3119">
        <f t="shared" si="544"/>
        <v>45984.041666665384</v>
      </c>
      <c r="TO8" s="3119">
        <f t="shared" si="545"/>
        <v>45984.083333332048</v>
      </c>
      <c r="TP8" s="3119">
        <f t="shared" si="546"/>
        <v>45984.124999998712</v>
      </c>
      <c r="TQ8" s="3119">
        <f t="shared" si="547"/>
        <v>45984.166666665376</v>
      </c>
      <c r="TR8" s="3119">
        <f t="shared" si="548"/>
        <v>45984.208333332041</v>
      </c>
      <c r="TS8" s="3119">
        <f t="shared" si="549"/>
        <v>45984.249999998705</v>
      </c>
      <c r="TT8" s="3119">
        <f t="shared" si="550"/>
        <v>45984.291666665369</v>
      </c>
      <c r="TU8" s="3119">
        <f t="shared" si="551"/>
        <v>45984.333333332033</v>
      </c>
      <c r="TV8" s="3119">
        <f t="shared" si="552"/>
        <v>45984.374999998698</v>
      </c>
      <c r="TW8" s="3119">
        <f t="shared" si="553"/>
        <v>45984.416666665362</v>
      </c>
      <c r="TX8" s="3119">
        <f t="shared" si="554"/>
        <v>45984.458333332026</v>
      </c>
      <c r="TY8" s="3119">
        <f t="shared" si="555"/>
        <v>45984.49999999869</v>
      </c>
      <c r="TZ8" s="3119">
        <f t="shared" si="556"/>
        <v>45984.541666665355</v>
      </c>
      <c r="UA8" s="3119">
        <f t="shared" si="557"/>
        <v>45984.583333332019</v>
      </c>
      <c r="UB8" s="3119">
        <f t="shared" si="558"/>
        <v>45984.624999998683</v>
      </c>
      <c r="UC8" s="3119">
        <f t="shared" si="559"/>
        <v>45984.666666665347</v>
      </c>
      <c r="UD8" s="3119">
        <f t="shared" si="560"/>
        <v>45984.708333332012</v>
      </c>
      <c r="UE8" s="3119">
        <f t="shared" si="561"/>
        <v>45984.749999998676</v>
      </c>
      <c r="UF8" s="3119">
        <f t="shared" si="562"/>
        <v>45984.79166666534</v>
      </c>
      <c r="UG8" s="3119">
        <f t="shared" si="563"/>
        <v>45984.833333332004</v>
      </c>
      <c r="UH8" s="3119">
        <f t="shared" si="564"/>
        <v>45984.874999998668</v>
      </c>
      <c r="UI8" s="3119">
        <f t="shared" si="565"/>
        <v>45984.916666665333</v>
      </c>
      <c r="UJ8" s="3119">
        <f t="shared" si="566"/>
        <v>45984.958333331997</v>
      </c>
      <c r="UK8" s="3119">
        <f t="shared" si="567"/>
        <v>45984.999999998661</v>
      </c>
      <c r="UL8" s="3119">
        <f t="shared" si="568"/>
        <v>45985.041666665325</v>
      </c>
      <c r="UM8" s="3119">
        <f t="shared" si="569"/>
        <v>45985.08333333199</v>
      </c>
      <c r="UN8" s="3119">
        <f t="shared" si="570"/>
        <v>45985.124999998654</v>
      </c>
      <c r="UO8" s="3119">
        <f t="shared" si="571"/>
        <v>45985.166666665318</v>
      </c>
      <c r="UP8" s="3119">
        <f t="shared" si="572"/>
        <v>45985.208333331982</v>
      </c>
      <c r="UQ8" s="3119">
        <f t="shared" si="573"/>
        <v>45985.249999998647</v>
      </c>
      <c r="UR8" s="3119">
        <f t="shared" si="574"/>
        <v>45985.291666665311</v>
      </c>
      <c r="US8" s="3119">
        <f t="shared" si="575"/>
        <v>45985.333333331975</v>
      </c>
      <c r="UT8" s="3119">
        <f t="shared" si="576"/>
        <v>45985.374999998639</v>
      </c>
      <c r="UU8" s="3119">
        <f t="shared" si="577"/>
        <v>45985.416666665304</v>
      </c>
      <c r="UV8" s="3119">
        <f t="shared" si="578"/>
        <v>45985.458333331968</v>
      </c>
      <c r="UW8" s="3119">
        <f t="shared" si="579"/>
        <v>45985.499999998632</v>
      </c>
      <c r="UX8" s="3119">
        <f t="shared" si="580"/>
        <v>45985.541666665296</v>
      </c>
      <c r="UY8" s="3119">
        <f t="shared" si="581"/>
        <v>45985.583333331961</v>
      </c>
      <c r="UZ8" s="3119">
        <f t="shared" si="582"/>
        <v>45985.624999998625</v>
      </c>
      <c r="VA8" s="3119">
        <f t="shared" si="583"/>
        <v>45985.666666665289</v>
      </c>
      <c r="VB8" s="3119">
        <f t="shared" si="584"/>
        <v>45985.708333331953</v>
      </c>
      <c r="VC8" s="3119">
        <f t="shared" si="585"/>
        <v>45985.749999998618</v>
      </c>
      <c r="VD8" s="3119">
        <f t="shared" si="586"/>
        <v>45985.791666665282</v>
      </c>
      <c r="VE8" s="3119">
        <f t="shared" si="587"/>
        <v>45985.833333331946</v>
      </c>
      <c r="VF8" s="3119">
        <f t="shared" si="588"/>
        <v>45985.87499999861</v>
      </c>
      <c r="VG8" s="3119">
        <f t="shared" si="589"/>
        <v>45985.916666665275</v>
      </c>
      <c r="VH8" s="3119">
        <f t="shared" si="590"/>
        <v>45985.958333331939</v>
      </c>
      <c r="VI8" s="3119">
        <f t="shared" si="591"/>
        <v>45985.999999998603</v>
      </c>
      <c r="VJ8" s="3119">
        <f t="shared" si="22"/>
        <v>45986.041666665267</v>
      </c>
      <c r="VK8" s="3119">
        <f t="shared" si="592"/>
        <v>45986.083333331931</v>
      </c>
      <c r="VL8" s="3119">
        <f t="shared" si="593"/>
        <v>45986.124999998596</v>
      </c>
      <c r="VM8" s="3119">
        <f t="shared" si="594"/>
        <v>45986.16666666526</v>
      </c>
      <c r="VN8" s="3119">
        <f t="shared" si="595"/>
        <v>45986.208333331924</v>
      </c>
      <c r="VO8" s="3119">
        <f t="shared" si="596"/>
        <v>45986.249999998588</v>
      </c>
      <c r="VP8" s="3119">
        <f t="shared" si="597"/>
        <v>45986.291666665253</v>
      </c>
      <c r="VQ8" s="3119">
        <f t="shared" si="598"/>
        <v>45986.333333331917</v>
      </c>
      <c r="VR8" s="3119">
        <f t="shared" si="599"/>
        <v>45986.374999998581</v>
      </c>
      <c r="VS8" s="3119">
        <f t="shared" si="600"/>
        <v>45986.416666665245</v>
      </c>
      <c r="VT8" s="3119">
        <f t="shared" si="601"/>
        <v>45986.45833333191</v>
      </c>
      <c r="VU8" s="3119">
        <f t="shared" si="602"/>
        <v>45986.499999998574</v>
      </c>
      <c r="VV8" s="3119">
        <f t="shared" si="603"/>
        <v>45986.541666665238</v>
      </c>
      <c r="VW8" s="3119">
        <f t="shared" si="604"/>
        <v>45986.583333331902</v>
      </c>
      <c r="VX8" s="3119">
        <f t="shared" si="605"/>
        <v>45986.624999998567</v>
      </c>
      <c r="VY8" s="3119">
        <f t="shared" si="606"/>
        <v>45986.666666665231</v>
      </c>
      <c r="VZ8" s="3119">
        <f t="shared" si="607"/>
        <v>45986.708333331895</v>
      </c>
      <c r="WA8" s="3119">
        <f t="shared" si="608"/>
        <v>45986.749999998559</v>
      </c>
      <c r="WB8" s="3119">
        <f t="shared" si="609"/>
        <v>45986.791666665224</v>
      </c>
      <c r="WC8" s="3119">
        <f t="shared" si="610"/>
        <v>45986.833333331888</v>
      </c>
      <c r="WD8" s="3119">
        <f t="shared" si="611"/>
        <v>45986.874999998552</v>
      </c>
      <c r="WE8" s="3119">
        <f t="shared" si="612"/>
        <v>45986.916666665216</v>
      </c>
      <c r="WF8" s="3119">
        <f t="shared" si="613"/>
        <v>45986.958333331881</v>
      </c>
      <c r="WG8" s="3119">
        <f t="shared" si="614"/>
        <v>45986.999999998545</v>
      </c>
      <c r="WH8" s="3119">
        <f t="shared" si="615"/>
        <v>45987.041666665209</v>
      </c>
      <c r="WI8" s="3119">
        <f t="shared" si="616"/>
        <v>45987.083333331873</v>
      </c>
      <c r="WJ8" s="3119">
        <f t="shared" si="617"/>
        <v>45987.124999998538</v>
      </c>
      <c r="WK8" s="3119">
        <f t="shared" si="618"/>
        <v>45987.166666665202</v>
      </c>
      <c r="WL8" s="3119">
        <f t="shared" si="619"/>
        <v>45987.208333331866</v>
      </c>
      <c r="WM8" s="3119">
        <f t="shared" si="620"/>
        <v>45987.24999999853</v>
      </c>
      <c r="WN8" s="3119">
        <f t="shared" si="621"/>
        <v>45987.291666665194</v>
      </c>
      <c r="WO8" s="3119">
        <f t="shared" si="622"/>
        <v>45987.333333331859</v>
      </c>
      <c r="WP8" s="3119">
        <f t="shared" si="623"/>
        <v>45987.374999998523</v>
      </c>
      <c r="WQ8" s="3119">
        <f t="shared" si="624"/>
        <v>45987.416666665187</v>
      </c>
      <c r="WR8" s="3119">
        <f t="shared" si="625"/>
        <v>45987.458333331851</v>
      </c>
      <c r="WS8" s="3119">
        <f t="shared" si="626"/>
        <v>45987.499999998516</v>
      </c>
      <c r="WT8" s="3119">
        <f t="shared" si="627"/>
        <v>45987.54166666518</v>
      </c>
      <c r="WU8" s="3119">
        <f t="shared" si="628"/>
        <v>45987.583333331844</v>
      </c>
      <c r="WV8" s="3119">
        <f t="shared" si="629"/>
        <v>45987.624999998508</v>
      </c>
      <c r="WW8" s="3119">
        <f t="shared" si="630"/>
        <v>45987.666666665173</v>
      </c>
      <c r="WX8" s="3119">
        <f t="shared" si="631"/>
        <v>45987.708333331837</v>
      </c>
      <c r="WY8" s="3119">
        <f t="shared" si="632"/>
        <v>45987.749999998501</v>
      </c>
      <c r="WZ8" s="3119">
        <f t="shared" si="633"/>
        <v>45987.791666665165</v>
      </c>
      <c r="XA8" s="3119">
        <f t="shared" si="634"/>
        <v>45987.83333333183</v>
      </c>
      <c r="XB8" s="3119">
        <f t="shared" si="635"/>
        <v>45987.874999998494</v>
      </c>
      <c r="XC8" s="3119">
        <f t="shared" si="636"/>
        <v>45987.916666665158</v>
      </c>
      <c r="XD8" s="3119">
        <f t="shared" si="637"/>
        <v>45987.958333331822</v>
      </c>
      <c r="XE8" s="3119">
        <f t="shared" si="638"/>
        <v>45987.999999998487</v>
      </c>
      <c r="XF8" s="3119">
        <f t="shared" si="639"/>
        <v>45988.041666665151</v>
      </c>
      <c r="XG8" s="3119">
        <f t="shared" si="640"/>
        <v>45988.083333331815</v>
      </c>
      <c r="XH8" s="3119">
        <f t="shared" si="641"/>
        <v>45988.124999998479</v>
      </c>
      <c r="XI8" s="3119">
        <f t="shared" si="642"/>
        <v>45988.166666665144</v>
      </c>
      <c r="XJ8" s="3119">
        <f t="shared" si="643"/>
        <v>45988.208333331808</v>
      </c>
      <c r="XK8" s="3119">
        <f t="shared" si="644"/>
        <v>45988.249999998472</v>
      </c>
      <c r="XL8" s="3119">
        <f t="shared" si="645"/>
        <v>45988.291666665136</v>
      </c>
      <c r="XM8" s="3119">
        <f t="shared" si="646"/>
        <v>45988.333333331801</v>
      </c>
      <c r="XN8" s="3119">
        <f t="shared" si="647"/>
        <v>45988.374999998465</v>
      </c>
      <c r="XO8" s="3119">
        <f t="shared" si="648"/>
        <v>45988.416666665129</v>
      </c>
      <c r="XP8" s="3119">
        <f t="shared" si="649"/>
        <v>45988.458333331793</v>
      </c>
      <c r="XQ8" s="3119">
        <f t="shared" si="650"/>
        <v>45988.499999998457</v>
      </c>
      <c r="XR8" s="3119">
        <f t="shared" si="651"/>
        <v>45988.541666665122</v>
      </c>
      <c r="XS8" s="3119">
        <f t="shared" si="652"/>
        <v>45988.583333331786</v>
      </c>
      <c r="XT8" s="3119">
        <f t="shared" si="653"/>
        <v>45988.62499999845</v>
      </c>
      <c r="XU8" s="3119">
        <f t="shared" si="654"/>
        <v>45988.666666665114</v>
      </c>
      <c r="XV8" s="3119">
        <f t="shared" si="23"/>
        <v>45988.708333331779</v>
      </c>
      <c r="XW8" s="3119">
        <f t="shared" si="655"/>
        <v>45988.749999998443</v>
      </c>
      <c r="XX8" s="3119">
        <f t="shared" si="656"/>
        <v>45988.791666665107</v>
      </c>
      <c r="XY8" s="3119">
        <f t="shared" si="657"/>
        <v>45988.833333331771</v>
      </c>
      <c r="XZ8" s="3119">
        <f t="shared" si="658"/>
        <v>45988.874999998436</v>
      </c>
      <c r="YA8" s="3119">
        <f t="shared" si="659"/>
        <v>45988.9166666651</v>
      </c>
      <c r="YB8" s="3119">
        <f t="shared" si="660"/>
        <v>45988.958333331764</v>
      </c>
      <c r="YC8" s="3119">
        <f t="shared" si="661"/>
        <v>45988.999999998428</v>
      </c>
      <c r="YD8" s="3119">
        <f t="shared" si="662"/>
        <v>45989.041666665093</v>
      </c>
      <c r="YE8" s="3119">
        <f t="shared" si="663"/>
        <v>45989.083333331757</v>
      </c>
      <c r="YF8" s="3119">
        <f t="shared" si="664"/>
        <v>45989.124999998421</v>
      </c>
      <c r="YG8" s="3119">
        <f t="shared" si="665"/>
        <v>45989.166666665085</v>
      </c>
      <c r="YH8" s="3119">
        <f t="shared" si="666"/>
        <v>45989.20833333175</v>
      </c>
      <c r="YI8" s="3119">
        <f t="shared" si="667"/>
        <v>45989.249999998414</v>
      </c>
      <c r="YJ8" s="3119">
        <f t="shared" si="668"/>
        <v>45989.291666665078</v>
      </c>
      <c r="YK8" s="3119">
        <f t="shared" si="669"/>
        <v>45989.333333331742</v>
      </c>
      <c r="YL8" s="3119">
        <f t="shared" si="670"/>
        <v>45989.374999998407</v>
      </c>
      <c r="YM8" s="3119">
        <f t="shared" si="671"/>
        <v>45989.416666665071</v>
      </c>
      <c r="YN8" s="3119">
        <f t="shared" si="672"/>
        <v>45989.458333331735</v>
      </c>
      <c r="YO8" s="3119">
        <f t="shared" si="673"/>
        <v>45989.499999998399</v>
      </c>
      <c r="YP8" s="3119">
        <f t="shared" si="674"/>
        <v>45989.541666665064</v>
      </c>
      <c r="YQ8" s="3119">
        <f t="shared" si="675"/>
        <v>45989.583333331728</v>
      </c>
      <c r="YR8" s="3119">
        <f t="shared" si="676"/>
        <v>45989.624999998392</v>
      </c>
      <c r="YS8" s="3119">
        <f t="shared" si="677"/>
        <v>45989.666666665056</v>
      </c>
      <c r="YT8" s="3119">
        <f t="shared" si="678"/>
        <v>45989.70833333172</v>
      </c>
      <c r="YU8" s="3119">
        <f t="shared" si="679"/>
        <v>45989.749999998385</v>
      </c>
      <c r="YV8" s="3119">
        <f t="shared" si="680"/>
        <v>45989.791666665049</v>
      </c>
      <c r="YW8" s="3119">
        <f t="shared" si="681"/>
        <v>45989.833333331713</v>
      </c>
      <c r="YX8" s="3119">
        <f t="shared" si="682"/>
        <v>45989.874999998377</v>
      </c>
      <c r="YY8" s="3119">
        <f t="shared" si="683"/>
        <v>45989.916666665042</v>
      </c>
      <c r="YZ8" s="3119">
        <f t="shared" si="684"/>
        <v>45989.958333331706</v>
      </c>
      <c r="ZA8" s="3119">
        <f t="shared" si="685"/>
        <v>45989.99999999837</v>
      </c>
      <c r="ZB8" s="3119">
        <f t="shared" si="686"/>
        <v>45990.041666665034</v>
      </c>
      <c r="ZC8" s="3119">
        <f t="shared" si="687"/>
        <v>45990.083333331699</v>
      </c>
      <c r="ZD8" s="3119">
        <f t="shared" si="688"/>
        <v>45990.124999998363</v>
      </c>
      <c r="ZE8" s="3119">
        <f t="shared" si="689"/>
        <v>45990.166666665027</v>
      </c>
      <c r="ZF8" s="3119">
        <f t="shared" si="690"/>
        <v>45990.208333331691</v>
      </c>
      <c r="ZG8" s="3119">
        <f t="shared" si="691"/>
        <v>45990.249999998356</v>
      </c>
      <c r="ZH8" s="3119">
        <f t="shared" si="692"/>
        <v>45990.29166666502</v>
      </c>
      <c r="ZI8" s="3119">
        <f t="shared" si="693"/>
        <v>45990.333333331684</v>
      </c>
      <c r="ZJ8" s="3119">
        <f t="shared" si="694"/>
        <v>45990.374999998348</v>
      </c>
      <c r="ZK8" s="3119">
        <f t="shared" si="695"/>
        <v>45990.416666665013</v>
      </c>
      <c r="ZL8" s="3119">
        <f t="shared" si="696"/>
        <v>45990.458333331677</v>
      </c>
      <c r="ZM8" s="3119">
        <f t="shared" si="697"/>
        <v>45990.499999998341</v>
      </c>
      <c r="ZN8" s="3119">
        <f t="shared" si="698"/>
        <v>45990.541666665005</v>
      </c>
      <c r="ZO8" s="3119">
        <f t="shared" si="699"/>
        <v>45990.58333333167</v>
      </c>
      <c r="ZP8" s="3119">
        <f t="shared" si="700"/>
        <v>45990.624999998334</v>
      </c>
      <c r="ZQ8" s="3119">
        <f t="shared" si="701"/>
        <v>45990.666666664998</v>
      </c>
      <c r="ZR8" s="3119">
        <f t="shared" si="702"/>
        <v>45990.708333331662</v>
      </c>
      <c r="ZS8" s="3119">
        <f t="shared" si="703"/>
        <v>45990.749999998327</v>
      </c>
      <c r="ZT8" s="3119">
        <f t="shared" si="704"/>
        <v>45990.791666664991</v>
      </c>
      <c r="ZU8" s="3119">
        <f t="shared" si="705"/>
        <v>45990.833333331655</v>
      </c>
      <c r="ZV8" s="3119">
        <f t="shared" si="706"/>
        <v>45990.874999998319</v>
      </c>
      <c r="ZW8" s="3119">
        <f t="shared" si="707"/>
        <v>45990.916666664983</v>
      </c>
      <c r="ZX8" s="3119">
        <f t="shared" si="708"/>
        <v>45990.958333331648</v>
      </c>
      <c r="ZY8" s="3119">
        <f t="shared" si="709"/>
        <v>45990.999999998312</v>
      </c>
      <c r="ZZ8" s="3119">
        <f t="shared" si="710"/>
        <v>45991.041666664976</v>
      </c>
      <c r="AAA8" s="3119">
        <f t="shared" si="711"/>
        <v>45991.08333333164</v>
      </c>
      <c r="AAB8" s="3119">
        <f t="shared" si="712"/>
        <v>45991.124999998305</v>
      </c>
      <c r="AAC8" s="3119">
        <f t="shared" si="713"/>
        <v>45991.166666664969</v>
      </c>
      <c r="AAD8" s="3119">
        <f t="shared" si="714"/>
        <v>45991.208333331633</v>
      </c>
      <c r="AAE8" s="3119">
        <f t="shared" si="715"/>
        <v>45991.249999998297</v>
      </c>
      <c r="AAF8" s="3119">
        <f t="shared" si="716"/>
        <v>45991.291666664962</v>
      </c>
      <c r="AAG8" s="3119">
        <f t="shared" si="717"/>
        <v>45991.333333331626</v>
      </c>
      <c r="AAH8" s="3119">
        <f t="shared" si="24"/>
        <v>45991.37499999829</v>
      </c>
      <c r="AAI8" s="3119">
        <f t="shared" si="12"/>
        <v>45991.416666664954</v>
      </c>
      <c r="AAJ8" s="3119">
        <f t="shared" si="12"/>
        <v>45991.458333331619</v>
      </c>
      <c r="AAK8" s="3119">
        <f t="shared" si="12"/>
        <v>45991.499999998283</v>
      </c>
      <c r="AAL8" s="3119">
        <f t="shared" si="12"/>
        <v>45991.541666664947</v>
      </c>
      <c r="AAM8" s="3119">
        <f t="shared" si="12"/>
        <v>45991.583333331611</v>
      </c>
      <c r="AAN8" s="3119">
        <f t="shared" si="12"/>
        <v>45991.624999998276</v>
      </c>
      <c r="AAO8" s="3119">
        <f t="shared" si="12"/>
        <v>45991.66666666494</v>
      </c>
      <c r="AAP8" s="3119">
        <f t="shared" si="12"/>
        <v>45991.708333331604</v>
      </c>
      <c r="AAQ8" s="3119">
        <f t="shared" si="12"/>
        <v>45991.749999998268</v>
      </c>
      <c r="AAR8" s="3119">
        <f t="shared" si="12"/>
        <v>45991.791666664933</v>
      </c>
      <c r="AAS8" s="3119">
        <f t="shared" si="12"/>
        <v>45991.833333331597</v>
      </c>
      <c r="AAT8" s="3119">
        <f t="shared" si="12"/>
        <v>45991.874999998261</v>
      </c>
      <c r="AAU8" s="3119">
        <f t="shared" si="12"/>
        <v>45991.916666664925</v>
      </c>
      <c r="AAV8" s="3119">
        <f t="shared" si="12"/>
        <v>45991.95833333159</v>
      </c>
    </row>
    <row r="9" spans="1:724" s="282" customFormat="1" ht="13">
      <c r="A9" s="3115" t="s">
        <v>1540</v>
      </c>
      <c r="B9" s="3119">
        <v>45968.25</v>
      </c>
      <c r="C9" s="3119">
        <v>45968.75</v>
      </c>
      <c r="D9" s="3116">
        <f t="shared" si="0"/>
        <v>12</v>
      </c>
      <c r="E9" s="3119">
        <v>45962</v>
      </c>
      <c r="F9" s="3119">
        <f t="shared" si="13"/>
        <v>45962.041666666664</v>
      </c>
      <c r="G9" s="3119">
        <f t="shared" si="25"/>
        <v>45962.083333333328</v>
      </c>
      <c r="H9" s="3119">
        <f t="shared" si="26"/>
        <v>45962.124999999993</v>
      </c>
      <c r="I9" s="3119">
        <f t="shared" si="27"/>
        <v>45962.166666666657</v>
      </c>
      <c r="J9" s="3119">
        <f t="shared" si="28"/>
        <v>45962.208333333321</v>
      </c>
      <c r="K9" s="3119">
        <f t="shared" si="29"/>
        <v>45962.249999999985</v>
      </c>
      <c r="L9" s="3119">
        <f t="shared" si="30"/>
        <v>45962.29166666665</v>
      </c>
      <c r="M9" s="3119">
        <f t="shared" si="31"/>
        <v>45962.333333333314</v>
      </c>
      <c r="N9" s="3119">
        <f t="shared" si="32"/>
        <v>45962.374999999978</v>
      </c>
      <c r="O9" s="3119">
        <f t="shared" si="33"/>
        <v>45962.416666666642</v>
      </c>
      <c r="P9" s="3119">
        <f t="shared" si="34"/>
        <v>45962.458333333307</v>
      </c>
      <c r="Q9" s="3119">
        <f t="shared" si="35"/>
        <v>45962.499999999971</v>
      </c>
      <c r="R9" s="3119">
        <f t="shared" si="36"/>
        <v>45962.541666666635</v>
      </c>
      <c r="S9" s="3119">
        <f t="shared" si="37"/>
        <v>45962.583333333299</v>
      </c>
      <c r="T9" s="3119">
        <f t="shared" si="38"/>
        <v>45962.624999999964</v>
      </c>
      <c r="U9" s="3119">
        <f t="shared" si="39"/>
        <v>45962.666666666628</v>
      </c>
      <c r="V9" s="3119">
        <f t="shared" si="40"/>
        <v>45962.708333333292</v>
      </c>
      <c r="W9" s="3119">
        <f t="shared" si="41"/>
        <v>45962.749999999956</v>
      </c>
      <c r="X9" s="3119">
        <f t="shared" si="42"/>
        <v>45962.791666666621</v>
      </c>
      <c r="Y9" s="3119">
        <f t="shared" si="43"/>
        <v>45962.833333333285</v>
      </c>
      <c r="Z9" s="3119">
        <f t="shared" si="44"/>
        <v>45962.874999999949</v>
      </c>
      <c r="AA9" s="3119">
        <f t="shared" si="45"/>
        <v>45962.916666666613</v>
      </c>
      <c r="AB9" s="3119">
        <f t="shared" si="46"/>
        <v>45962.958333333278</v>
      </c>
      <c r="AC9" s="3119">
        <f t="shared" si="47"/>
        <v>45962.999999999942</v>
      </c>
      <c r="AD9" s="3119">
        <f t="shared" si="48"/>
        <v>45963.041666666606</v>
      </c>
      <c r="AE9" s="3119">
        <f t="shared" si="49"/>
        <v>45963.08333333327</v>
      </c>
      <c r="AF9" s="3119">
        <f t="shared" si="50"/>
        <v>45963.124999999935</v>
      </c>
      <c r="AG9" s="3119">
        <f t="shared" si="51"/>
        <v>45963.166666666599</v>
      </c>
      <c r="AH9" s="3119">
        <f t="shared" si="52"/>
        <v>45963.208333333263</v>
      </c>
      <c r="AI9" s="3119">
        <f t="shared" si="53"/>
        <v>45963.249999999927</v>
      </c>
      <c r="AJ9" s="3119">
        <f t="shared" si="54"/>
        <v>45963.291666666591</v>
      </c>
      <c r="AK9" s="3119">
        <f t="shared" si="55"/>
        <v>45963.333333333256</v>
      </c>
      <c r="AL9" s="3119">
        <f t="shared" si="56"/>
        <v>45963.37499999992</v>
      </c>
      <c r="AM9" s="3119">
        <f t="shared" si="57"/>
        <v>45963.416666666584</v>
      </c>
      <c r="AN9" s="3119">
        <f t="shared" si="58"/>
        <v>45963.458333333248</v>
      </c>
      <c r="AO9" s="3119">
        <f t="shared" si="59"/>
        <v>45963.499999999913</v>
      </c>
      <c r="AP9" s="3119">
        <f t="shared" si="60"/>
        <v>45963.541666666577</v>
      </c>
      <c r="AQ9" s="3119">
        <f t="shared" si="61"/>
        <v>45963.583333333241</v>
      </c>
      <c r="AR9" s="3119">
        <f t="shared" si="62"/>
        <v>45963.624999999905</v>
      </c>
      <c r="AS9" s="3119">
        <f t="shared" si="63"/>
        <v>45963.66666666657</v>
      </c>
      <c r="AT9" s="3119">
        <f t="shared" si="64"/>
        <v>45963.708333333234</v>
      </c>
      <c r="AU9" s="3119">
        <f t="shared" si="65"/>
        <v>45963.749999999898</v>
      </c>
      <c r="AV9" s="3119">
        <f t="shared" si="66"/>
        <v>45963.791666666562</v>
      </c>
      <c r="AW9" s="3119">
        <f t="shared" si="67"/>
        <v>45963.833333333227</v>
      </c>
      <c r="AX9" s="3119">
        <f t="shared" si="68"/>
        <v>45963.874999999891</v>
      </c>
      <c r="AY9" s="3119">
        <f t="shared" si="69"/>
        <v>45963.916666666555</v>
      </c>
      <c r="AZ9" s="3119">
        <f t="shared" si="70"/>
        <v>45963.958333333219</v>
      </c>
      <c r="BA9" s="3119">
        <f t="shared" si="71"/>
        <v>45963.999999999884</v>
      </c>
      <c r="BB9" s="3119">
        <f t="shared" si="72"/>
        <v>45964.041666666548</v>
      </c>
      <c r="BC9" s="3119">
        <f t="shared" si="73"/>
        <v>45964.083333333212</v>
      </c>
      <c r="BD9" s="3119">
        <f t="shared" si="74"/>
        <v>45964.124999999876</v>
      </c>
      <c r="BE9" s="3119">
        <f t="shared" si="75"/>
        <v>45964.166666666541</v>
      </c>
      <c r="BF9" s="3119">
        <f t="shared" si="76"/>
        <v>45964.208333333205</v>
      </c>
      <c r="BG9" s="3119">
        <f t="shared" si="77"/>
        <v>45964.249999999869</v>
      </c>
      <c r="BH9" s="3119">
        <f t="shared" si="78"/>
        <v>45964.291666666533</v>
      </c>
      <c r="BI9" s="3119">
        <f t="shared" si="79"/>
        <v>45964.333333333198</v>
      </c>
      <c r="BJ9" s="3119">
        <f t="shared" si="80"/>
        <v>45964.374999999862</v>
      </c>
      <c r="BK9" s="3119">
        <f t="shared" si="81"/>
        <v>45964.416666666526</v>
      </c>
      <c r="BL9" s="3119">
        <f t="shared" si="82"/>
        <v>45964.45833333319</v>
      </c>
      <c r="BM9" s="3119">
        <f t="shared" si="83"/>
        <v>45964.499999999854</v>
      </c>
      <c r="BN9" s="3119">
        <f t="shared" si="84"/>
        <v>45964.541666666519</v>
      </c>
      <c r="BO9" s="3119">
        <f t="shared" si="85"/>
        <v>45964.583333333183</v>
      </c>
      <c r="BP9" s="3119">
        <f t="shared" si="86"/>
        <v>45964.624999999847</v>
      </c>
      <c r="BQ9" s="3119">
        <f t="shared" si="87"/>
        <v>45964.666666666511</v>
      </c>
      <c r="BR9" s="3119">
        <f t="shared" si="14"/>
        <v>45964.708333333176</v>
      </c>
      <c r="BS9" s="3119">
        <f t="shared" si="88"/>
        <v>45964.74999999984</v>
      </c>
      <c r="BT9" s="3119">
        <f t="shared" si="89"/>
        <v>45964.791666666504</v>
      </c>
      <c r="BU9" s="3119">
        <f t="shared" si="90"/>
        <v>45964.833333333168</v>
      </c>
      <c r="BV9" s="3119">
        <f t="shared" si="91"/>
        <v>45964.874999999833</v>
      </c>
      <c r="BW9" s="3119">
        <f t="shared" si="92"/>
        <v>45964.916666666497</v>
      </c>
      <c r="BX9" s="3119">
        <f t="shared" si="93"/>
        <v>45964.958333333161</v>
      </c>
      <c r="BY9" s="3119">
        <f t="shared" si="94"/>
        <v>45964.999999999825</v>
      </c>
      <c r="BZ9" s="3119">
        <f t="shared" si="95"/>
        <v>45965.04166666649</v>
      </c>
      <c r="CA9" s="3119">
        <f t="shared" si="96"/>
        <v>45965.083333333154</v>
      </c>
      <c r="CB9" s="3119">
        <f t="shared" si="97"/>
        <v>45965.124999999818</v>
      </c>
      <c r="CC9" s="3119">
        <f t="shared" si="98"/>
        <v>45965.166666666482</v>
      </c>
      <c r="CD9" s="3119">
        <f t="shared" si="99"/>
        <v>45965.208333333147</v>
      </c>
      <c r="CE9" s="3119">
        <f t="shared" si="100"/>
        <v>45965.249999999811</v>
      </c>
      <c r="CF9" s="3119">
        <f t="shared" si="101"/>
        <v>45965.291666666475</v>
      </c>
      <c r="CG9" s="3119">
        <f t="shared" si="102"/>
        <v>45965.333333333139</v>
      </c>
      <c r="CH9" s="3119">
        <f t="shared" si="103"/>
        <v>45965.374999999804</v>
      </c>
      <c r="CI9" s="3119">
        <f t="shared" si="104"/>
        <v>45965.416666666468</v>
      </c>
      <c r="CJ9" s="3119">
        <f t="shared" si="105"/>
        <v>45965.458333333132</v>
      </c>
      <c r="CK9" s="3119">
        <f t="shared" si="106"/>
        <v>45965.499999999796</v>
      </c>
      <c r="CL9" s="3119">
        <f t="shared" si="107"/>
        <v>45965.541666666461</v>
      </c>
      <c r="CM9" s="3119">
        <f t="shared" si="108"/>
        <v>45965.583333333125</v>
      </c>
      <c r="CN9" s="3119">
        <f t="shared" si="109"/>
        <v>45965.624999999789</v>
      </c>
      <c r="CO9" s="3119">
        <f t="shared" si="110"/>
        <v>45965.666666666453</v>
      </c>
      <c r="CP9" s="3119">
        <f t="shared" si="111"/>
        <v>45965.708333333117</v>
      </c>
      <c r="CQ9" s="3119">
        <f t="shared" si="112"/>
        <v>45965.749999999782</v>
      </c>
      <c r="CR9" s="3119">
        <f t="shared" si="113"/>
        <v>45965.791666666446</v>
      </c>
      <c r="CS9" s="3119">
        <f t="shared" si="114"/>
        <v>45965.83333333311</v>
      </c>
      <c r="CT9" s="3119">
        <f t="shared" si="115"/>
        <v>45965.874999999774</v>
      </c>
      <c r="CU9" s="3119">
        <f t="shared" si="116"/>
        <v>45965.916666666439</v>
      </c>
      <c r="CV9" s="3119">
        <f t="shared" si="117"/>
        <v>45965.958333333103</v>
      </c>
      <c r="CW9" s="3119">
        <f t="shared" si="118"/>
        <v>45965.999999999767</v>
      </c>
      <c r="CX9" s="3119">
        <f t="shared" si="119"/>
        <v>45966.041666666431</v>
      </c>
      <c r="CY9" s="3119">
        <f t="shared" si="120"/>
        <v>45966.083333333096</v>
      </c>
      <c r="CZ9" s="3119">
        <f t="shared" si="121"/>
        <v>45966.12499999976</v>
      </c>
      <c r="DA9" s="3119">
        <f t="shared" si="122"/>
        <v>45966.166666666424</v>
      </c>
      <c r="DB9" s="3119">
        <f t="shared" si="123"/>
        <v>45966.208333333088</v>
      </c>
      <c r="DC9" s="3119">
        <f t="shared" si="124"/>
        <v>45966.249999999753</v>
      </c>
      <c r="DD9" s="3119">
        <f t="shared" si="125"/>
        <v>45966.291666666417</v>
      </c>
      <c r="DE9" s="3119">
        <f t="shared" si="126"/>
        <v>45966.333333333081</v>
      </c>
      <c r="DF9" s="3119">
        <f t="shared" si="127"/>
        <v>45966.374999999745</v>
      </c>
      <c r="DG9" s="3119">
        <f t="shared" si="128"/>
        <v>45966.41666666641</v>
      </c>
      <c r="DH9" s="3119">
        <f t="shared" si="129"/>
        <v>45966.458333333074</v>
      </c>
      <c r="DI9" s="3119">
        <f t="shared" si="130"/>
        <v>45966.499999999738</v>
      </c>
      <c r="DJ9" s="3119">
        <f t="shared" si="131"/>
        <v>45966.541666666402</v>
      </c>
      <c r="DK9" s="3119">
        <f t="shared" si="132"/>
        <v>45966.583333333067</v>
      </c>
      <c r="DL9" s="3119">
        <f t="shared" si="133"/>
        <v>45966.624999999731</v>
      </c>
      <c r="DM9" s="3119">
        <f t="shared" si="134"/>
        <v>45966.666666666395</v>
      </c>
      <c r="DN9" s="3119">
        <f t="shared" si="135"/>
        <v>45966.708333333059</v>
      </c>
      <c r="DO9" s="3119">
        <f t="shared" si="136"/>
        <v>45966.749999999724</v>
      </c>
      <c r="DP9" s="3119">
        <f t="shared" si="137"/>
        <v>45966.791666666388</v>
      </c>
      <c r="DQ9" s="3119">
        <f t="shared" si="138"/>
        <v>45966.833333333052</v>
      </c>
      <c r="DR9" s="3119">
        <f t="shared" si="139"/>
        <v>45966.874999999716</v>
      </c>
      <c r="DS9" s="3119">
        <f t="shared" si="140"/>
        <v>45966.91666666638</v>
      </c>
      <c r="DT9" s="3119">
        <f t="shared" si="141"/>
        <v>45966.958333333045</v>
      </c>
      <c r="DU9" s="3119">
        <f t="shared" si="142"/>
        <v>45966.999999999709</v>
      </c>
      <c r="DV9" s="3119">
        <f t="shared" si="143"/>
        <v>45967.041666666373</v>
      </c>
      <c r="DW9" s="3119">
        <f t="shared" si="144"/>
        <v>45967.083333333037</v>
      </c>
      <c r="DX9" s="3119">
        <f t="shared" si="145"/>
        <v>45967.124999999702</v>
      </c>
      <c r="DY9" s="3119">
        <f t="shared" si="146"/>
        <v>45967.166666666366</v>
      </c>
      <c r="DZ9" s="3119">
        <f t="shared" si="147"/>
        <v>45967.20833333303</v>
      </c>
      <c r="EA9" s="3119">
        <f t="shared" si="148"/>
        <v>45967.249999999694</v>
      </c>
      <c r="EB9" s="3119">
        <f t="shared" si="149"/>
        <v>45967.291666666359</v>
      </c>
      <c r="EC9" s="3119">
        <f t="shared" si="150"/>
        <v>45967.333333333023</v>
      </c>
      <c r="ED9" s="3119">
        <f t="shared" si="15"/>
        <v>45967.374999999687</v>
      </c>
      <c r="EE9" s="3119">
        <f t="shared" si="151"/>
        <v>45967.416666666351</v>
      </c>
      <c r="EF9" s="3119">
        <f t="shared" si="152"/>
        <v>45967.458333333016</v>
      </c>
      <c r="EG9" s="3119">
        <f t="shared" si="153"/>
        <v>45967.49999999968</v>
      </c>
      <c r="EH9" s="3119">
        <f t="shared" si="154"/>
        <v>45967.541666666344</v>
      </c>
      <c r="EI9" s="3119">
        <f t="shared" si="155"/>
        <v>45967.583333333008</v>
      </c>
      <c r="EJ9" s="3119">
        <f t="shared" si="156"/>
        <v>45967.624999999673</v>
      </c>
      <c r="EK9" s="3119">
        <f t="shared" si="157"/>
        <v>45967.666666666337</v>
      </c>
      <c r="EL9" s="3119">
        <f t="shared" si="158"/>
        <v>45967.708333333001</v>
      </c>
      <c r="EM9" s="3119">
        <f t="shared" si="159"/>
        <v>45967.749999999665</v>
      </c>
      <c r="EN9" s="3119">
        <f t="shared" si="160"/>
        <v>45967.79166666633</v>
      </c>
      <c r="EO9" s="3119">
        <f t="shared" si="161"/>
        <v>45967.833333332994</v>
      </c>
      <c r="EP9" s="3119">
        <f t="shared" si="162"/>
        <v>45967.874999999658</v>
      </c>
      <c r="EQ9" s="3119">
        <f t="shared" si="163"/>
        <v>45967.916666666322</v>
      </c>
      <c r="ER9" s="3119">
        <f t="shared" si="164"/>
        <v>45967.958333332987</v>
      </c>
      <c r="ES9" s="3119">
        <f t="shared" si="165"/>
        <v>45967.999999999651</v>
      </c>
      <c r="ET9" s="3119">
        <f t="shared" si="166"/>
        <v>45968.041666666315</v>
      </c>
      <c r="EU9" s="3119">
        <f t="shared" si="167"/>
        <v>45968.083333332979</v>
      </c>
      <c r="EV9" s="3119">
        <f t="shared" si="168"/>
        <v>45968.124999999643</v>
      </c>
      <c r="EW9" s="3119">
        <f t="shared" si="169"/>
        <v>45968.166666666308</v>
      </c>
      <c r="EX9" s="3119">
        <f t="shared" si="170"/>
        <v>45968.208333332972</v>
      </c>
      <c r="EY9" s="3119">
        <f t="shared" si="171"/>
        <v>45968.249999999636</v>
      </c>
      <c r="EZ9" s="3119">
        <f t="shared" si="172"/>
        <v>45968.2916666663</v>
      </c>
      <c r="FA9" s="3119">
        <f t="shared" si="173"/>
        <v>45968.333333332965</v>
      </c>
      <c r="FB9" s="3119">
        <f t="shared" si="174"/>
        <v>45968.374999999629</v>
      </c>
      <c r="FC9" s="3119">
        <f t="shared" si="175"/>
        <v>45968.416666666293</v>
      </c>
      <c r="FD9" s="3119">
        <f t="shared" si="176"/>
        <v>45968.458333332957</v>
      </c>
      <c r="FE9" s="3119">
        <f t="shared" si="177"/>
        <v>45968.499999999622</v>
      </c>
      <c r="FF9" s="3119">
        <f t="shared" si="178"/>
        <v>45968.541666666286</v>
      </c>
      <c r="FG9" s="3119">
        <f t="shared" si="179"/>
        <v>45968.58333333295</v>
      </c>
      <c r="FH9" s="3119">
        <f t="shared" si="180"/>
        <v>45968.624999999614</v>
      </c>
      <c r="FI9" s="3119">
        <f t="shared" si="181"/>
        <v>45968.666666666279</v>
      </c>
      <c r="FJ9" s="3119">
        <f t="shared" si="182"/>
        <v>45968.708333332943</v>
      </c>
      <c r="FK9" s="3119">
        <f t="shared" si="183"/>
        <v>45968.749999999607</v>
      </c>
      <c r="FL9" s="3119">
        <f t="shared" si="184"/>
        <v>45968.791666666271</v>
      </c>
      <c r="FM9" s="3119">
        <f t="shared" si="185"/>
        <v>45968.833333332936</v>
      </c>
      <c r="FN9" s="3119">
        <f t="shared" si="186"/>
        <v>45968.8749999996</v>
      </c>
      <c r="FO9" s="3119">
        <f t="shared" si="187"/>
        <v>45968.916666666264</v>
      </c>
      <c r="FP9" s="3119">
        <f t="shared" si="188"/>
        <v>45968.958333332928</v>
      </c>
      <c r="FQ9" s="3119">
        <f t="shared" si="189"/>
        <v>45968.999999999593</v>
      </c>
      <c r="FR9" s="3119">
        <f t="shared" si="190"/>
        <v>45969.041666666257</v>
      </c>
      <c r="FS9" s="3119">
        <f t="shared" si="191"/>
        <v>45969.083333332921</v>
      </c>
      <c r="FT9" s="3119">
        <f t="shared" si="192"/>
        <v>45969.124999999585</v>
      </c>
      <c r="FU9" s="3119">
        <f t="shared" si="193"/>
        <v>45969.16666666625</v>
      </c>
      <c r="FV9" s="3119">
        <f t="shared" si="194"/>
        <v>45969.208333332914</v>
      </c>
      <c r="FW9" s="3119">
        <f t="shared" si="195"/>
        <v>45969.249999999578</v>
      </c>
      <c r="FX9" s="3119">
        <f t="shared" si="196"/>
        <v>45969.291666666242</v>
      </c>
      <c r="FY9" s="3119">
        <f t="shared" si="197"/>
        <v>45969.333333332906</v>
      </c>
      <c r="FZ9" s="3119">
        <f t="shared" si="198"/>
        <v>45969.374999999571</v>
      </c>
      <c r="GA9" s="3119">
        <f t="shared" si="199"/>
        <v>45969.416666666235</v>
      </c>
      <c r="GB9" s="3119">
        <f t="shared" si="200"/>
        <v>45969.458333332899</v>
      </c>
      <c r="GC9" s="3119">
        <f t="shared" si="201"/>
        <v>45969.499999999563</v>
      </c>
      <c r="GD9" s="3119">
        <f t="shared" si="202"/>
        <v>45969.541666666228</v>
      </c>
      <c r="GE9" s="3119">
        <f t="shared" si="203"/>
        <v>45969.583333332892</v>
      </c>
      <c r="GF9" s="3119">
        <f t="shared" si="204"/>
        <v>45969.624999999556</v>
      </c>
      <c r="GG9" s="3119">
        <f t="shared" si="205"/>
        <v>45969.66666666622</v>
      </c>
      <c r="GH9" s="3119">
        <f t="shared" si="206"/>
        <v>45969.708333332885</v>
      </c>
      <c r="GI9" s="3119">
        <f t="shared" si="207"/>
        <v>45969.749999999549</v>
      </c>
      <c r="GJ9" s="3119">
        <f t="shared" si="208"/>
        <v>45969.791666666213</v>
      </c>
      <c r="GK9" s="3119">
        <f t="shared" si="209"/>
        <v>45969.833333332877</v>
      </c>
      <c r="GL9" s="3119">
        <f t="shared" si="210"/>
        <v>45969.874999999542</v>
      </c>
      <c r="GM9" s="3119">
        <f t="shared" si="211"/>
        <v>45969.916666666206</v>
      </c>
      <c r="GN9" s="3119">
        <f t="shared" si="212"/>
        <v>45969.95833333287</v>
      </c>
      <c r="GO9" s="3119">
        <f t="shared" si="213"/>
        <v>45969.999999999534</v>
      </c>
      <c r="GP9" s="3119">
        <f t="shared" si="16"/>
        <v>45970.041666666199</v>
      </c>
      <c r="GQ9" s="3119">
        <f t="shared" si="214"/>
        <v>45970.083333332863</v>
      </c>
      <c r="GR9" s="3119">
        <f t="shared" si="215"/>
        <v>45970.124999999527</v>
      </c>
      <c r="GS9" s="3119">
        <f t="shared" si="216"/>
        <v>45970.166666666191</v>
      </c>
      <c r="GT9" s="3119">
        <f t="shared" si="217"/>
        <v>45970.208333332856</v>
      </c>
      <c r="GU9" s="3119">
        <f t="shared" si="218"/>
        <v>45970.24999999952</v>
      </c>
      <c r="GV9" s="3119">
        <f t="shared" si="219"/>
        <v>45970.291666666184</v>
      </c>
      <c r="GW9" s="3119">
        <f t="shared" si="220"/>
        <v>45970.333333332848</v>
      </c>
      <c r="GX9" s="3119">
        <f t="shared" si="221"/>
        <v>45970.374999999513</v>
      </c>
      <c r="GY9" s="3119">
        <f t="shared" si="222"/>
        <v>45970.416666666177</v>
      </c>
      <c r="GZ9" s="3119">
        <f t="shared" si="223"/>
        <v>45970.458333332841</v>
      </c>
      <c r="HA9" s="3119">
        <f t="shared" si="224"/>
        <v>45970.499999999505</v>
      </c>
      <c r="HB9" s="3119">
        <f t="shared" si="225"/>
        <v>45970.541666666169</v>
      </c>
      <c r="HC9" s="3119">
        <f t="shared" si="226"/>
        <v>45970.583333332834</v>
      </c>
      <c r="HD9" s="3119">
        <f t="shared" si="227"/>
        <v>45970.624999999498</v>
      </c>
      <c r="HE9" s="3119">
        <f t="shared" si="228"/>
        <v>45970.666666666162</v>
      </c>
      <c r="HF9" s="3119">
        <f t="shared" si="229"/>
        <v>45970.708333332826</v>
      </c>
      <c r="HG9" s="3119">
        <f t="shared" si="230"/>
        <v>45970.749999999491</v>
      </c>
      <c r="HH9" s="3119">
        <f t="shared" si="231"/>
        <v>45970.791666666155</v>
      </c>
      <c r="HI9" s="3119">
        <f t="shared" si="232"/>
        <v>45970.833333332819</v>
      </c>
      <c r="HJ9" s="3119">
        <f t="shared" si="233"/>
        <v>45970.874999999483</v>
      </c>
      <c r="HK9" s="3119">
        <f t="shared" si="234"/>
        <v>45970.916666666148</v>
      </c>
      <c r="HL9" s="3119">
        <f t="shared" si="235"/>
        <v>45970.958333332812</v>
      </c>
      <c r="HM9" s="3119">
        <f t="shared" si="236"/>
        <v>45970.999999999476</v>
      </c>
      <c r="HN9" s="3119">
        <f t="shared" si="237"/>
        <v>45971.04166666614</v>
      </c>
      <c r="HO9" s="3119">
        <f t="shared" si="238"/>
        <v>45971.083333332805</v>
      </c>
      <c r="HP9" s="3119">
        <f t="shared" si="239"/>
        <v>45971.124999999469</v>
      </c>
      <c r="HQ9" s="3119">
        <f t="shared" si="240"/>
        <v>45971.166666666133</v>
      </c>
      <c r="HR9" s="3119">
        <f t="shared" si="241"/>
        <v>45971.208333332797</v>
      </c>
      <c r="HS9" s="3119">
        <f t="shared" si="242"/>
        <v>45971.249999999462</v>
      </c>
      <c r="HT9" s="3119">
        <f t="shared" si="243"/>
        <v>45971.291666666126</v>
      </c>
      <c r="HU9" s="3119">
        <f t="shared" si="244"/>
        <v>45971.33333333279</v>
      </c>
      <c r="HV9" s="3119">
        <f t="shared" si="245"/>
        <v>45971.374999999454</v>
      </c>
      <c r="HW9" s="3119">
        <f t="shared" si="246"/>
        <v>45971.416666666119</v>
      </c>
      <c r="HX9" s="3119">
        <f t="shared" si="247"/>
        <v>45971.458333332783</v>
      </c>
      <c r="HY9" s="3119">
        <f t="shared" si="248"/>
        <v>45971.499999999447</v>
      </c>
      <c r="HZ9" s="3119">
        <f t="shared" si="249"/>
        <v>45971.541666666111</v>
      </c>
      <c r="IA9" s="3119">
        <f t="shared" si="250"/>
        <v>45971.583333332776</v>
      </c>
      <c r="IB9" s="3119">
        <f t="shared" si="251"/>
        <v>45971.62499999944</v>
      </c>
      <c r="IC9" s="3119">
        <f t="shared" si="252"/>
        <v>45971.666666666104</v>
      </c>
      <c r="ID9" s="3119">
        <f t="shared" si="253"/>
        <v>45971.708333332768</v>
      </c>
      <c r="IE9" s="3119">
        <f t="shared" si="254"/>
        <v>45971.749999999432</v>
      </c>
      <c r="IF9" s="3119">
        <f t="shared" si="255"/>
        <v>45971.791666666097</v>
      </c>
      <c r="IG9" s="3119">
        <f t="shared" si="256"/>
        <v>45971.833333332761</v>
      </c>
      <c r="IH9" s="3119">
        <f t="shared" si="257"/>
        <v>45971.874999999425</v>
      </c>
      <c r="II9" s="3119">
        <f t="shared" si="258"/>
        <v>45971.916666666089</v>
      </c>
      <c r="IJ9" s="3119">
        <f t="shared" si="259"/>
        <v>45971.958333332754</v>
      </c>
      <c r="IK9" s="3119">
        <f t="shared" si="260"/>
        <v>45971.999999999418</v>
      </c>
      <c r="IL9" s="3119">
        <f t="shared" si="261"/>
        <v>45972.041666666082</v>
      </c>
      <c r="IM9" s="3119">
        <f t="shared" si="262"/>
        <v>45972.083333332746</v>
      </c>
      <c r="IN9" s="3119">
        <f t="shared" si="263"/>
        <v>45972.124999999411</v>
      </c>
      <c r="IO9" s="3119">
        <f t="shared" si="264"/>
        <v>45972.166666666075</v>
      </c>
      <c r="IP9" s="3119">
        <f t="shared" si="265"/>
        <v>45972.208333332739</v>
      </c>
      <c r="IQ9" s="3119">
        <f t="shared" si="266"/>
        <v>45972.249999999403</v>
      </c>
      <c r="IR9" s="3119">
        <f t="shared" si="267"/>
        <v>45972.291666666068</v>
      </c>
      <c r="IS9" s="3119">
        <f t="shared" si="268"/>
        <v>45972.333333332732</v>
      </c>
      <c r="IT9" s="3119">
        <f t="shared" si="269"/>
        <v>45972.374999999396</v>
      </c>
      <c r="IU9" s="3119">
        <f t="shared" si="270"/>
        <v>45972.41666666606</v>
      </c>
      <c r="IV9" s="3119">
        <f t="shared" si="271"/>
        <v>45972.458333332725</v>
      </c>
      <c r="IW9" s="3119">
        <f t="shared" si="272"/>
        <v>45972.499999999389</v>
      </c>
      <c r="IX9" s="3119">
        <f t="shared" si="273"/>
        <v>45972.541666666053</v>
      </c>
      <c r="IY9" s="3119">
        <f t="shared" si="274"/>
        <v>45972.583333332717</v>
      </c>
      <c r="IZ9" s="3119">
        <f t="shared" si="275"/>
        <v>45972.624999999382</v>
      </c>
      <c r="JA9" s="3119">
        <f t="shared" si="276"/>
        <v>45972.666666666046</v>
      </c>
      <c r="JB9" s="3119">
        <f t="shared" si="17"/>
        <v>45972.70833333271</v>
      </c>
      <c r="JC9" s="3119">
        <f t="shared" si="277"/>
        <v>45972.749999999374</v>
      </c>
      <c r="JD9" s="3119">
        <f t="shared" si="278"/>
        <v>45972.791666666039</v>
      </c>
      <c r="JE9" s="3119">
        <f t="shared" si="279"/>
        <v>45972.833333332703</v>
      </c>
      <c r="JF9" s="3119">
        <f t="shared" si="280"/>
        <v>45972.874999999367</v>
      </c>
      <c r="JG9" s="3119">
        <f t="shared" si="281"/>
        <v>45972.916666666031</v>
      </c>
      <c r="JH9" s="3119">
        <f t="shared" si="282"/>
        <v>45972.958333332695</v>
      </c>
      <c r="JI9" s="3119">
        <f t="shared" si="283"/>
        <v>45972.99999999936</v>
      </c>
      <c r="JJ9" s="3119">
        <f t="shared" si="284"/>
        <v>45973.041666666024</v>
      </c>
      <c r="JK9" s="3119">
        <f t="shared" si="285"/>
        <v>45973.083333332688</v>
      </c>
      <c r="JL9" s="3119">
        <f t="shared" si="286"/>
        <v>45973.124999999352</v>
      </c>
      <c r="JM9" s="3119">
        <f t="shared" si="287"/>
        <v>45973.166666666017</v>
      </c>
      <c r="JN9" s="3119">
        <f t="shared" si="288"/>
        <v>45973.208333332681</v>
      </c>
      <c r="JO9" s="3119">
        <f t="shared" si="289"/>
        <v>45973.249999999345</v>
      </c>
      <c r="JP9" s="3119">
        <f t="shared" si="290"/>
        <v>45973.291666666009</v>
      </c>
      <c r="JQ9" s="3119">
        <f t="shared" si="291"/>
        <v>45973.333333332674</v>
      </c>
      <c r="JR9" s="3119">
        <f t="shared" si="292"/>
        <v>45973.374999999338</v>
      </c>
      <c r="JS9" s="3119">
        <f t="shared" si="293"/>
        <v>45973.416666666002</v>
      </c>
      <c r="JT9" s="3119">
        <f t="shared" si="294"/>
        <v>45973.458333332666</v>
      </c>
      <c r="JU9" s="3119">
        <f t="shared" si="295"/>
        <v>45973.499999999331</v>
      </c>
      <c r="JV9" s="3119">
        <f t="shared" si="296"/>
        <v>45973.541666665995</v>
      </c>
      <c r="JW9" s="3119">
        <f t="shared" si="297"/>
        <v>45973.583333332659</v>
      </c>
      <c r="JX9" s="3119">
        <f t="shared" si="298"/>
        <v>45973.624999999323</v>
      </c>
      <c r="JY9" s="3119">
        <f t="shared" si="299"/>
        <v>45973.666666665988</v>
      </c>
      <c r="JZ9" s="3119">
        <f t="shared" si="300"/>
        <v>45973.708333332652</v>
      </c>
      <c r="KA9" s="3119">
        <f t="shared" si="301"/>
        <v>45973.749999999316</v>
      </c>
      <c r="KB9" s="3119">
        <f t="shared" si="302"/>
        <v>45973.79166666598</v>
      </c>
      <c r="KC9" s="3119">
        <f t="shared" si="303"/>
        <v>45973.833333332645</v>
      </c>
      <c r="KD9" s="3119">
        <f t="shared" si="304"/>
        <v>45973.874999999309</v>
      </c>
      <c r="KE9" s="3119">
        <f t="shared" si="305"/>
        <v>45973.916666665973</v>
      </c>
      <c r="KF9" s="3119">
        <f t="shared" si="306"/>
        <v>45973.958333332637</v>
      </c>
      <c r="KG9" s="3119">
        <f t="shared" si="307"/>
        <v>45973.999999999302</v>
      </c>
      <c r="KH9" s="3119">
        <f t="shared" si="308"/>
        <v>45974.041666665966</v>
      </c>
      <c r="KI9" s="3119">
        <f t="shared" si="309"/>
        <v>45974.08333333263</v>
      </c>
      <c r="KJ9" s="3119">
        <f t="shared" si="310"/>
        <v>45974.124999999294</v>
      </c>
      <c r="KK9" s="3119">
        <f t="shared" si="311"/>
        <v>45974.166666665958</v>
      </c>
      <c r="KL9" s="3119">
        <f t="shared" si="312"/>
        <v>45974.208333332623</v>
      </c>
      <c r="KM9" s="3119">
        <f t="shared" si="313"/>
        <v>45974.249999999287</v>
      </c>
      <c r="KN9" s="3119">
        <f t="shared" si="314"/>
        <v>45974.291666665951</v>
      </c>
      <c r="KO9" s="3119">
        <f t="shared" si="315"/>
        <v>45974.333333332615</v>
      </c>
      <c r="KP9" s="3119">
        <f t="shared" si="316"/>
        <v>45974.37499999928</v>
      </c>
      <c r="KQ9" s="3119">
        <f t="shared" si="317"/>
        <v>45974.416666665944</v>
      </c>
      <c r="KR9" s="3119">
        <f t="shared" si="318"/>
        <v>45974.458333332608</v>
      </c>
      <c r="KS9" s="3119">
        <f t="shared" si="319"/>
        <v>45974.499999999272</v>
      </c>
      <c r="KT9" s="3119">
        <f t="shared" si="320"/>
        <v>45974.541666665937</v>
      </c>
      <c r="KU9" s="3119">
        <f t="shared" si="321"/>
        <v>45974.583333332601</v>
      </c>
      <c r="KV9" s="3119">
        <f t="shared" si="322"/>
        <v>45974.624999999265</v>
      </c>
      <c r="KW9" s="3119">
        <f t="shared" si="323"/>
        <v>45974.666666665929</v>
      </c>
      <c r="KX9" s="3119">
        <f t="shared" si="324"/>
        <v>45974.708333332594</v>
      </c>
      <c r="KY9" s="3119">
        <f t="shared" si="325"/>
        <v>45974.749999999258</v>
      </c>
      <c r="KZ9" s="3119">
        <f t="shared" si="326"/>
        <v>45974.791666665922</v>
      </c>
      <c r="LA9" s="3119">
        <f t="shared" si="327"/>
        <v>45974.833333332586</v>
      </c>
      <c r="LB9" s="3119">
        <f t="shared" si="328"/>
        <v>45974.874999999251</v>
      </c>
      <c r="LC9" s="3119">
        <f t="shared" si="329"/>
        <v>45974.916666665915</v>
      </c>
      <c r="LD9" s="3119">
        <f t="shared" si="330"/>
        <v>45974.958333332579</v>
      </c>
      <c r="LE9" s="3119">
        <f t="shared" si="331"/>
        <v>45974.999999999243</v>
      </c>
      <c r="LF9" s="3119">
        <f t="shared" si="332"/>
        <v>45975.041666665908</v>
      </c>
      <c r="LG9" s="3119">
        <f t="shared" si="333"/>
        <v>45975.083333332572</v>
      </c>
      <c r="LH9" s="3119">
        <f t="shared" si="334"/>
        <v>45975.124999999236</v>
      </c>
      <c r="LI9" s="3119">
        <f t="shared" si="335"/>
        <v>45975.1666666659</v>
      </c>
      <c r="LJ9" s="3119">
        <f t="shared" si="336"/>
        <v>45975.208333332565</v>
      </c>
      <c r="LK9" s="3119">
        <f t="shared" si="337"/>
        <v>45975.249999999229</v>
      </c>
      <c r="LL9" s="3119">
        <f t="shared" si="338"/>
        <v>45975.291666665893</v>
      </c>
      <c r="LM9" s="3119">
        <f t="shared" si="339"/>
        <v>45975.333333332557</v>
      </c>
      <c r="LN9" s="3119">
        <f t="shared" si="18"/>
        <v>45975.374999999221</v>
      </c>
      <c r="LO9" s="3119">
        <f t="shared" si="340"/>
        <v>45975.416666665886</v>
      </c>
      <c r="LP9" s="3119">
        <f t="shared" si="341"/>
        <v>45975.45833333255</v>
      </c>
      <c r="LQ9" s="3119">
        <f t="shared" si="342"/>
        <v>45975.499999999214</v>
      </c>
      <c r="LR9" s="3119">
        <f t="shared" si="343"/>
        <v>45975.541666665878</v>
      </c>
      <c r="LS9" s="3119">
        <f t="shared" si="344"/>
        <v>45975.583333332543</v>
      </c>
      <c r="LT9" s="3119">
        <f t="shared" si="345"/>
        <v>45975.624999999207</v>
      </c>
      <c r="LU9" s="3119">
        <f t="shared" si="346"/>
        <v>45975.666666665871</v>
      </c>
      <c r="LV9" s="3119">
        <f t="shared" si="347"/>
        <v>45975.708333332535</v>
      </c>
      <c r="LW9" s="3119">
        <f t="shared" si="348"/>
        <v>45975.7499999992</v>
      </c>
      <c r="LX9" s="3119">
        <f t="shared" si="349"/>
        <v>45975.791666665864</v>
      </c>
      <c r="LY9" s="3119">
        <f t="shared" si="350"/>
        <v>45975.833333332528</v>
      </c>
      <c r="LZ9" s="3119">
        <f t="shared" si="351"/>
        <v>45975.874999999192</v>
      </c>
      <c r="MA9" s="3119">
        <f t="shared" si="352"/>
        <v>45975.916666665857</v>
      </c>
      <c r="MB9" s="3119">
        <f t="shared" si="353"/>
        <v>45975.958333332521</v>
      </c>
      <c r="MC9" s="3119">
        <f t="shared" si="354"/>
        <v>45975.999999999185</v>
      </c>
      <c r="MD9" s="3119">
        <f t="shared" si="355"/>
        <v>45976.041666665849</v>
      </c>
      <c r="ME9" s="3119">
        <f t="shared" si="356"/>
        <v>45976.083333332514</v>
      </c>
      <c r="MF9" s="3119">
        <f t="shared" si="357"/>
        <v>45976.124999999178</v>
      </c>
      <c r="MG9" s="3119">
        <f t="shared" si="358"/>
        <v>45976.166666665842</v>
      </c>
      <c r="MH9" s="3119">
        <f t="shared" si="359"/>
        <v>45976.208333332506</v>
      </c>
      <c r="MI9" s="3119">
        <f t="shared" si="360"/>
        <v>45976.249999999171</v>
      </c>
      <c r="MJ9" s="3119">
        <f t="shared" si="361"/>
        <v>45976.291666665835</v>
      </c>
      <c r="MK9" s="3119">
        <f t="shared" si="362"/>
        <v>45976.333333332499</v>
      </c>
      <c r="ML9" s="3119">
        <f t="shared" si="363"/>
        <v>45976.374999999163</v>
      </c>
      <c r="MM9" s="3119">
        <f t="shared" si="364"/>
        <v>45976.416666665828</v>
      </c>
      <c r="MN9" s="3119">
        <f t="shared" si="365"/>
        <v>45976.458333332492</v>
      </c>
      <c r="MO9" s="3119">
        <f t="shared" si="366"/>
        <v>45976.499999999156</v>
      </c>
      <c r="MP9" s="3119">
        <f t="shared" si="367"/>
        <v>45976.54166666582</v>
      </c>
      <c r="MQ9" s="3119">
        <f t="shared" si="368"/>
        <v>45976.583333332484</v>
      </c>
      <c r="MR9" s="3119">
        <f t="shared" si="369"/>
        <v>45976.624999999149</v>
      </c>
      <c r="MS9" s="3119">
        <f t="shared" si="370"/>
        <v>45976.666666665813</v>
      </c>
      <c r="MT9" s="3119">
        <f t="shared" si="371"/>
        <v>45976.708333332477</v>
      </c>
      <c r="MU9" s="3119">
        <f t="shared" si="372"/>
        <v>45976.749999999141</v>
      </c>
      <c r="MV9" s="3119">
        <f t="shared" si="373"/>
        <v>45976.791666665806</v>
      </c>
      <c r="MW9" s="3119">
        <f t="shared" si="374"/>
        <v>45976.83333333247</v>
      </c>
      <c r="MX9" s="3119">
        <f t="shared" si="375"/>
        <v>45976.874999999134</v>
      </c>
      <c r="MY9" s="3119">
        <f t="shared" si="376"/>
        <v>45976.916666665798</v>
      </c>
      <c r="MZ9" s="3119">
        <f t="shared" si="377"/>
        <v>45976.958333332463</v>
      </c>
      <c r="NA9" s="3119">
        <f t="shared" si="378"/>
        <v>45976.999999999127</v>
      </c>
      <c r="NB9" s="3119">
        <f t="shared" si="379"/>
        <v>45977.041666665791</v>
      </c>
      <c r="NC9" s="3119">
        <f t="shared" si="380"/>
        <v>45977.083333332455</v>
      </c>
      <c r="ND9" s="3119">
        <f t="shared" si="381"/>
        <v>45977.12499999912</v>
      </c>
      <c r="NE9" s="3119">
        <f t="shared" si="382"/>
        <v>45977.166666665784</v>
      </c>
      <c r="NF9" s="3119">
        <f t="shared" si="383"/>
        <v>45977.208333332448</v>
      </c>
      <c r="NG9" s="3119">
        <f t="shared" si="384"/>
        <v>45977.249999999112</v>
      </c>
      <c r="NH9" s="3119">
        <f t="shared" si="385"/>
        <v>45977.291666665777</v>
      </c>
      <c r="NI9" s="3119">
        <f t="shared" si="386"/>
        <v>45977.333333332441</v>
      </c>
      <c r="NJ9" s="3119">
        <f t="shared" si="387"/>
        <v>45977.374999999105</v>
      </c>
      <c r="NK9" s="3119">
        <f t="shared" si="388"/>
        <v>45977.416666665769</v>
      </c>
      <c r="NL9" s="3119">
        <f t="shared" si="389"/>
        <v>45977.458333332434</v>
      </c>
      <c r="NM9" s="3119">
        <f t="shared" si="390"/>
        <v>45977.499999999098</v>
      </c>
      <c r="NN9" s="3119">
        <f t="shared" si="391"/>
        <v>45977.541666665762</v>
      </c>
      <c r="NO9" s="3119">
        <f t="shared" si="392"/>
        <v>45977.583333332426</v>
      </c>
      <c r="NP9" s="3119">
        <f t="shared" si="393"/>
        <v>45977.624999999091</v>
      </c>
      <c r="NQ9" s="3119">
        <f t="shared" si="394"/>
        <v>45977.666666665755</v>
      </c>
      <c r="NR9" s="3119">
        <f t="shared" si="395"/>
        <v>45977.708333332419</v>
      </c>
      <c r="NS9" s="3119">
        <f t="shared" si="396"/>
        <v>45977.749999999083</v>
      </c>
      <c r="NT9" s="3119">
        <f t="shared" si="397"/>
        <v>45977.791666665747</v>
      </c>
      <c r="NU9" s="3119">
        <f t="shared" si="398"/>
        <v>45977.833333332412</v>
      </c>
      <c r="NV9" s="3119">
        <f t="shared" si="399"/>
        <v>45977.874999999076</v>
      </c>
      <c r="NW9" s="3119">
        <f t="shared" si="400"/>
        <v>45977.91666666574</v>
      </c>
      <c r="NX9" s="3119">
        <f t="shared" si="401"/>
        <v>45977.958333332404</v>
      </c>
      <c r="NY9" s="3119">
        <f t="shared" si="402"/>
        <v>45977.999999999069</v>
      </c>
      <c r="NZ9" s="3119">
        <f t="shared" si="19"/>
        <v>45978.041666665733</v>
      </c>
      <c r="OA9" s="3119">
        <f t="shared" si="403"/>
        <v>45978.083333332397</v>
      </c>
      <c r="OB9" s="3119">
        <f t="shared" si="404"/>
        <v>45978.124999999061</v>
      </c>
      <c r="OC9" s="3119">
        <f t="shared" si="405"/>
        <v>45978.166666665726</v>
      </c>
      <c r="OD9" s="3119">
        <f t="shared" si="406"/>
        <v>45978.20833333239</v>
      </c>
      <c r="OE9" s="3119">
        <f t="shared" si="407"/>
        <v>45978.249999999054</v>
      </c>
      <c r="OF9" s="3119">
        <f t="shared" si="408"/>
        <v>45978.291666665718</v>
      </c>
      <c r="OG9" s="3119">
        <f t="shared" si="409"/>
        <v>45978.333333332383</v>
      </c>
      <c r="OH9" s="3119">
        <f t="shared" si="410"/>
        <v>45978.374999999047</v>
      </c>
      <c r="OI9" s="3119">
        <f t="shared" si="411"/>
        <v>45978.416666665711</v>
      </c>
      <c r="OJ9" s="3119">
        <f t="shared" si="412"/>
        <v>45978.458333332375</v>
      </c>
      <c r="OK9" s="3119">
        <f t="shared" si="413"/>
        <v>45978.49999999904</v>
      </c>
      <c r="OL9" s="3119">
        <f t="shared" si="414"/>
        <v>45978.541666665704</v>
      </c>
      <c r="OM9" s="3119">
        <f t="shared" si="415"/>
        <v>45978.583333332368</v>
      </c>
      <c r="ON9" s="3119">
        <f t="shared" si="416"/>
        <v>45978.624999999032</v>
      </c>
      <c r="OO9" s="3119">
        <f t="shared" si="417"/>
        <v>45978.666666665697</v>
      </c>
      <c r="OP9" s="3119">
        <f t="shared" si="418"/>
        <v>45978.708333332361</v>
      </c>
      <c r="OQ9" s="3119">
        <f t="shared" si="419"/>
        <v>45978.749999999025</v>
      </c>
      <c r="OR9" s="3119">
        <f t="shared" si="420"/>
        <v>45978.791666665689</v>
      </c>
      <c r="OS9" s="3119">
        <f t="shared" si="421"/>
        <v>45978.833333332354</v>
      </c>
      <c r="OT9" s="3119">
        <f t="shared" si="422"/>
        <v>45978.874999999018</v>
      </c>
      <c r="OU9" s="3119">
        <f t="shared" si="423"/>
        <v>45978.916666665682</v>
      </c>
      <c r="OV9" s="3119">
        <f t="shared" si="424"/>
        <v>45978.958333332346</v>
      </c>
      <c r="OW9" s="3119">
        <f t="shared" si="425"/>
        <v>45978.99999999901</v>
      </c>
      <c r="OX9" s="3119">
        <f t="shared" si="426"/>
        <v>45979.041666665675</v>
      </c>
      <c r="OY9" s="3119">
        <f t="shared" si="427"/>
        <v>45979.083333332339</v>
      </c>
      <c r="OZ9" s="3119">
        <f t="shared" si="428"/>
        <v>45979.124999999003</v>
      </c>
      <c r="PA9" s="3119">
        <f t="shared" si="429"/>
        <v>45979.166666665667</v>
      </c>
      <c r="PB9" s="3119">
        <f t="shared" si="430"/>
        <v>45979.208333332332</v>
      </c>
      <c r="PC9" s="3119">
        <f t="shared" si="431"/>
        <v>45979.249999998996</v>
      </c>
      <c r="PD9" s="3119">
        <f t="shared" si="432"/>
        <v>45979.29166666566</v>
      </c>
      <c r="PE9" s="3119">
        <f t="shared" si="433"/>
        <v>45979.333333332324</v>
      </c>
      <c r="PF9" s="3119">
        <f t="shared" si="434"/>
        <v>45979.374999998989</v>
      </c>
      <c r="PG9" s="3119">
        <f t="shared" si="435"/>
        <v>45979.416666665653</v>
      </c>
      <c r="PH9" s="3119">
        <f t="shared" si="436"/>
        <v>45979.458333332317</v>
      </c>
      <c r="PI9" s="3119">
        <f t="shared" si="437"/>
        <v>45979.499999998981</v>
      </c>
      <c r="PJ9" s="3119">
        <f t="shared" si="438"/>
        <v>45979.541666665646</v>
      </c>
      <c r="PK9" s="3119">
        <f t="shared" si="439"/>
        <v>45979.58333333231</v>
      </c>
      <c r="PL9" s="3119">
        <f t="shared" si="440"/>
        <v>45979.624999998974</v>
      </c>
      <c r="PM9" s="3119">
        <f t="shared" si="441"/>
        <v>45979.666666665638</v>
      </c>
      <c r="PN9" s="3119">
        <f t="shared" si="442"/>
        <v>45979.708333332303</v>
      </c>
      <c r="PO9" s="3119">
        <f t="shared" si="443"/>
        <v>45979.749999998967</v>
      </c>
      <c r="PP9" s="3119">
        <f t="shared" si="444"/>
        <v>45979.791666665631</v>
      </c>
      <c r="PQ9" s="3119">
        <f t="shared" si="445"/>
        <v>45979.833333332295</v>
      </c>
      <c r="PR9" s="3119">
        <f t="shared" si="446"/>
        <v>45979.87499999896</v>
      </c>
      <c r="PS9" s="3119">
        <f t="shared" si="447"/>
        <v>45979.916666665624</v>
      </c>
      <c r="PT9" s="3119">
        <f t="shared" si="448"/>
        <v>45979.958333332288</v>
      </c>
      <c r="PU9" s="3119">
        <f t="shared" si="449"/>
        <v>45979.999999998952</v>
      </c>
      <c r="PV9" s="3119">
        <f t="shared" si="450"/>
        <v>45980.041666665617</v>
      </c>
      <c r="PW9" s="3119">
        <f t="shared" si="451"/>
        <v>45980.083333332281</v>
      </c>
      <c r="PX9" s="3119">
        <f t="shared" si="452"/>
        <v>45980.124999998945</v>
      </c>
      <c r="PY9" s="3119">
        <f t="shared" si="453"/>
        <v>45980.166666665609</v>
      </c>
      <c r="PZ9" s="3119">
        <f t="shared" si="454"/>
        <v>45980.208333332273</v>
      </c>
      <c r="QA9" s="3119">
        <f t="shared" si="455"/>
        <v>45980.249999998938</v>
      </c>
      <c r="QB9" s="3119">
        <f t="shared" si="456"/>
        <v>45980.291666665602</v>
      </c>
      <c r="QC9" s="3119">
        <f t="shared" si="457"/>
        <v>45980.333333332266</v>
      </c>
      <c r="QD9" s="3119">
        <f t="shared" si="458"/>
        <v>45980.37499999893</v>
      </c>
      <c r="QE9" s="3119">
        <f t="shared" si="459"/>
        <v>45980.416666665595</v>
      </c>
      <c r="QF9" s="3119">
        <f t="shared" si="460"/>
        <v>45980.458333332259</v>
      </c>
      <c r="QG9" s="3119">
        <f t="shared" si="461"/>
        <v>45980.499999998923</v>
      </c>
      <c r="QH9" s="3119">
        <f t="shared" si="462"/>
        <v>45980.541666665587</v>
      </c>
      <c r="QI9" s="3119">
        <f t="shared" si="463"/>
        <v>45980.583333332252</v>
      </c>
      <c r="QJ9" s="3119">
        <f t="shared" si="464"/>
        <v>45980.624999998916</v>
      </c>
      <c r="QK9" s="3119">
        <f t="shared" si="465"/>
        <v>45980.66666666558</v>
      </c>
      <c r="QL9" s="3119">
        <f t="shared" si="20"/>
        <v>45980.708333332244</v>
      </c>
      <c r="QM9" s="3119">
        <f t="shared" si="466"/>
        <v>45980.749999998909</v>
      </c>
      <c r="QN9" s="3119">
        <f t="shared" si="467"/>
        <v>45980.791666665573</v>
      </c>
      <c r="QO9" s="3119">
        <f t="shared" si="468"/>
        <v>45980.833333332237</v>
      </c>
      <c r="QP9" s="3119">
        <f t="shared" si="469"/>
        <v>45980.874999998901</v>
      </c>
      <c r="QQ9" s="3119">
        <f t="shared" si="470"/>
        <v>45980.916666665566</v>
      </c>
      <c r="QR9" s="3119">
        <f t="shared" si="471"/>
        <v>45980.95833333223</v>
      </c>
      <c r="QS9" s="3119">
        <f t="shared" si="472"/>
        <v>45980.999999998894</v>
      </c>
      <c r="QT9" s="3119">
        <f t="shared" si="473"/>
        <v>45981.041666665558</v>
      </c>
      <c r="QU9" s="3119">
        <f t="shared" si="474"/>
        <v>45981.083333332223</v>
      </c>
      <c r="QV9" s="3119">
        <f t="shared" si="475"/>
        <v>45981.124999998887</v>
      </c>
      <c r="QW9" s="3119">
        <f t="shared" si="476"/>
        <v>45981.166666665551</v>
      </c>
      <c r="QX9" s="3119">
        <f t="shared" si="477"/>
        <v>45981.208333332215</v>
      </c>
      <c r="QY9" s="3119">
        <f t="shared" si="478"/>
        <v>45981.24999999888</v>
      </c>
      <c r="QZ9" s="3119">
        <f t="shared" si="479"/>
        <v>45981.291666665544</v>
      </c>
      <c r="RA9" s="3119">
        <f t="shared" si="480"/>
        <v>45981.333333332208</v>
      </c>
      <c r="RB9" s="3119">
        <f t="shared" si="481"/>
        <v>45981.374999998872</v>
      </c>
      <c r="RC9" s="3119">
        <f t="shared" si="482"/>
        <v>45981.416666665536</v>
      </c>
      <c r="RD9" s="3119">
        <f t="shared" si="483"/>
        <v>45981.458333332201</v>
      </c>
      <c r="RE9" s="3119">
        <f t="shared" si="484"/>
        <v>45981.499999998865</v>
      </c>
      <c r="RF9" s="3119">
        <f t="shared" si="485"/>
        <v>45981.541666665529</v>
      </c>
      <c r="RG9" s="3119">
        <f t="shared" si="486"/>
        <v>45981.583333332193</v>
      </c>
      <c r="RH9" s="3119">
        <f t="shared" si="487"/>
        <v>45981.624999998858</v>
      </c>
      <c r="RI9" s="3119">
        <f t="shared" si="488"/>
        <v>45981.666666665522</v>
      </c>
      <c r="RJ9" s="3119">
        <f t="shared" si="489"/>
        <v>45981.708333332186</v>
      </c>
      <c r="RK9" s="3119">
        <f t="shared" si="490"/>
        <v>45981.74999999885</v>
      </c>
      <c r="RL9" s="3119">
        <f t="shared" si="491"/>
        <v>45981.791666665515</v>
      </c>
      <c r="RM9" s="3119">
        <f t="shared" si="492"/>
        <v>45981.833333332179</v>
      </c>
      <c r="RN9" s="3119">
        <f t="shared" si="493"/>
        <v>45981.874999998843</v>
      </c>
      <c r="RO9" s="3119">
        <f t="shared" si="494"/>
        <v>45981.916666665507</v>
      </c>
      <c r="RP9" s="3119">
        <f t="shared" si="495"/>
        <v>45981.958333332172</v>
      </c>
      <c r="RQ9" s="3119">
        <f t="shared" si="496"/>
        <v>45981.999999998836</v>
      </c>
      <c r="RR9" s="3119">
        <f t="shared" si="497"/>
        <v>45982.0416666655</v>
      </c>
      <c r="RS9" s="3119">
        <f t="shared" si="498"/>
        <v>45982.083333332164</v>
      </c>
      <c r="RT9" s="3119">
        <f t="shared" si="499"/>
        <v>45982.124999998829</v>
      </c>
      <c r="RU9" s="3119">
        <f t="shared" si="500"/>
        <v>45982.166666665493</v>
      </c>
      <c r="RV9" s="3119">
        <f t="shared" si="501"/>
        <v>45982.208333332157</v>
      </c>
      <c r="RW9" s="3119">
        <f t="shared" si="502"/>
        <v>45982.249999998821</v>
      </c>
      <c r="RX9" s="3119">
        <f t="shared" si="503"/>
        <v>45982.291666665486</v>
      </c>
      <c r="RY9" s="3119">
        <f t="shared" si="504"/>
        <v>45982.33333333215</v>
      </c>
      <c r="RZ9" s="3119">
        <f t="shared" si="505"/>
        <v>45982.374999998814</v>
      </c>
      <c r="SA9" s="3119">
        <f t="shared" si="506"/>
        <v>45982.416666665478</v>
      </c>
      <c r="SB9" s="3119">
        <f t="shared" si="507"/>
        <v>45982.458333332143</v>
      </c>
      <c r="SC9" s="3119">
        <f t="shared" si="508"/>
        <v>45982.499999998807</v>
      </c>
      <c r="SD9" s="3119">
        <f t="shared" si="509"/>
        <v>45982.541666665471</v>
      </c>
      <c r="SE9" s="3119">
        <f t="shared" si="510"/>
        <v>45982.583333332135</v>
      </c>
      <c r="SF9" s="3119">
        <f t="shared" si="511"/>
        <v>45982.624999998799</v>
      </c>
      <c r="SG9" s="3119">
        <f t="shared" si="512"/>
        <v>45982.666666665464</v>
      </c>
      <c r="SH9" s="3119">
        <f t="shared" si="513"/>
        <v>45982.708333332128</v>
      </c>
      <c r="SI9" s="3119">
        <f t="shared" si="514"/>
        <v>45982.749999998792</v>
      </c>
      <c r="SJ9" s="3119">
        <f t="shared" si="515"/>
        <v>45982.791666665456</v>
      </c>
      <c r="SK9" s="3119">
        <f t="shared" si="516"/>
        <v>45982.833333332121</v>
      </c>
      <c r="SL9" s="3119">
        <f t="shared" si="517"/>
        <v>45982.874999998785</v>
      </c>
      <c r="SM9" s="3119">
        <f t="shared" si="518"/>
        <v>45982.916666665449</v>
      </c>
      <c r="SN9" s="3119">
        <f t="shared" si="519"/>
        <v>45982.958333332113</v>
      </c>
      <c r="SO9" s="3119">
        <f t="shared" si="520"/>
        <v>45982.999999998778</v>
      </c>
      <c r="SP9" s="3119">
        <f t="shared" si="521"/>
        <v>45983.041666665442</v>
      </c>
      <c r="SQ9" s="3119">
        <f t="shared" si="522"/>
        <v>45983.083333332106</v>
      </c>
      <c r="SR9" s="3119">
        <f t="shared" si="523"/>
        <v>45983.12499999877</v>
      </c>
      <c r="SS9" s="3119">
        <f t="shared" si="524"/>
        <v>45983.166666665435</v>
      </c>
      <c r="ST9" s="3119">
        <f t="shared" si="525"/>
        <v>45983.208333332099</v>
      </c>
      <c r="SU9" s="3119">
        <f t="shared" si="526"/>
        <v>45983.249999998763</v>
      </c>
      <c r="SV9" s="3119">
        <f t="shared" si="527"/>
        <v>45983.291666665427</v>
      </c>
      <c r="SW9" s="3119">
        <f t="shared" si="528"/>
        <v>45983.333333332092</v>
      </c>
      <c r="SX9" s="3119">
        <f t="shared" si="21"/>
        <v>45983.374999998756</v>
      </c>
      <c r="SY9" s="3119">
        <f t="shared" si="529"/>
        <v>45983.41666666542</v>
      </c>
      <c r="SZ9" s="3119">
        <f t="shared" si="530"/>
        <v>45983.458333332084</v>
      </c>
      <c r="TA9" s="3119">
        <f t="shared" si="531"/>
        <v>45983.499999998749</v>
      </c>
      <c r="TB9" s="3119">
        <f t="shared" si="532"/>
        <v>45983.541666665413</v>
      </c>
      <c r="TC9" s="3119">
        <f t="shared" si="533"/>
        <v>45983.583333332077</v>
      </c>
      <c r="TD9" s="3119">
        <f t="shared" si="534"/>
        <v>45983.624999998741</v>
      </c>
      <c r="TE9" s="3119">
        <f t="shared" si="535"/>
        <v>45983.666666665406</v>
      </c>
      <c r="TF9" s="3119">
        <f t="shared" si="536"/>
        <v>45983.70833333207</v>
      </c>
      <c r="TG9" s="3119">
        <f t="shared" si="537"/>
        <v>45983.749999998734</v>
      </c>
      <c r="TH9" s="3119">
        <f t="shared" si="538"/>
        <v>45983.791666665398</v>
      </c>
      <c r="TI9" s="3119">
        <f t="shared" si="539"/>
        <v>45983.833333332062</v>
      </c>
      <c r="TJ9" s="3119">
        <f t="shared" si="540"/>
        <v>45983.874999998727</v>
      </c>
      <c r="TK9" s="3119">
        <f t="shared" si="541"/>
        <v>45983.916666665391</v>
      </c>
      <c r="TL9" s="3119">
        <f t="shared" si="542"/>
        <v>45983.958333332055</v>
      </c>
      <c r="TM9" s="3119">
        <f t="shared" si="543"/>
        <v>45983.999999998719</v>
      </c>
      <c r="TN9" s="3119">
        <f t="shared" si="544"/>
        <v>45984.041666665384</v>
      </c>
      <c r="TO9" s="3119">
        <f t="shared" si="545"/>
        <v>45984.083333332048</v>
      </c>
      <c r="TP9" s="3119">
        <f t="shared" si="546"/>
        <v>45984.124999998712</v>
      </c>
      <c r="TQ9" s="3119">
        <f t="shared" si="547"/>
        <v>45984.166666665376</v>
      </c>
      <c r="TR9" s="3119">
        <f t="shared" si="548"/>
        <v>45984.208333332041</v>
      </c>
      <c r="TS9" s="3119">
        <f t="shared" si="549"/>
        <v>45984.249999998705</v>
      </c>
      <c r="TT9" s="3119">
        <f t="shared" si="550"/>
        <v>45984.291666665369</v>
      </c>
      <c r="TU9" s="3119">
        <f t="shared" si="551"/>
        <v>45984.333333332033</v>
      </c>
      <c r="TV9" s="3119">
        <f t="shared" si="552"/>
        <v>45984.374999998698</v>
      </c>
      <c r="TW9" s="3119">
        <f t="shared" si="553"/>
        <v>45984.416666665362</v>
      </c>
      <c r="TX9" s="3119">
        <f t="shared" si="554"/>
        <v>45984.458333332026</v>
      </c>
      <c r="TY9" s="3119">
        <f t="shared" si="555"/>
        <v>45984.49999999869</v>
      </c>
      <c r="TZ9" s="3119">
        <f t="shared" si="556"/>
        <v>45984.541666665355</v>
      </c>
      <c r="UA9" s="3119">
        <f t="shared" si="557"/>
        <v>45984.583333332019</v>
      </c>
      <c r="UB9" s="3119">
        <f t="shared" si="558"/>
        <v>45984.624999998683</v>
      </c>
      <c r="UC9" s="3119">
        <f t="shared" si="559"/>
        <v>45984.666666665347</v>
      </c>
      <c r="UD9" s="3119">
        <f t="shared" si="560"/>
        <v>45984.708333332012</v>
      </c>
      <c r="UE9" s="3119">
        <f t="shared" si="561"/>
        <v>45984.749999998676</v>
      </c>
      <c r="UF9" s="3119">
        <f t="shared" si="562"/>
        <v>45984.79166666534</v>
      </c>
      <c r="UG9" s="3119">
        <f t="shared" si="563"/>
        <v>45984.833333332004</v>
      </c>
      <c r="UH9" s="3119">
        <f t="shared" si="564"/>
        <v>45984.874999998668</v>
      </c>
      <c r="UI9" s="3119">
        <f t="shared" si="565"/>
        <v>45984.916666665333</v>
      </c>
      <c r="UJ9" s="3119">
        <f t="shared" si="566"/>
        <v>45984.958333331997</v>
      </c>
      <c r="UK9" s="3119">
        <f t="shared" si="567"/>
        <v>45984.999999998661</v>
      </c>
      <c r="UL9" s="3119">
        <f t="shared" si="568"/>
        <v>45985.041666665325</v>
      </c>
      <c r="UM9" s="3119">
        <f t="shared" si="569"/>
        <v>45985.08333333199</v>
      </c>
      <c r="UN9" s="3119">
        <f t="shared" si="570"/>
        <v>45985.124999998654</v>
      </c>
      <c r="UO9" s="3119">
        <f t="shared" si="571"/>
        <v>45985.166666665318</v>
      </c>
      <c r="UP9" s="3119">
        <f t="shared" si="572"/>
        <v>45985.208333331982</v>
      </c>
      <c r="UQ9" s="3119">
        <f t="shared" si="573"/>
        <v>45985.249999998647</v>
      </c>
      <c r="UR9" s="3119">
        <f t="shared" si="574"/>
        <v>45985.291666665311</v>
      </c>
      <c r="US9" s="3119">
        <f t="shared" si="575"/>
        <v>45985.333333331975</v>
      </c>
      <c r="UT9" s="3119">
        <f t="shared" si="576"/>
        <v>45985.374999998639</v>
      </c>
      <c r="UU9" s="3119">
        <f t="shared" si="577"/>
        <v>45985.416666665304</v>
      </c>
      <c r="UV9" s="3119">
        <f t="shared" si="578"/>
        <v>45985.458333331968</v>
      </c>
      <c r="UW9" s="3119">
        <f t="shared" si="579"/>
        <v>45985.499999998632</v>
      </c>
      <c r="UX9" s="3119">
        <f t="shared" si="580"/>
        <v>45985.541666665296</v>
      </c>
      <c r="UY9" s="3119">
        <f t="shared" si="581"/>
        <v>45985.583333331961</v>
      </c>
      <c r="UZ9" s="3119">
        <f t="shared" si="582"/>
        <v>45985.624999998625</v>
      </c>
      <c r="VA9" s="3119">
        <f t="shared" si="583"/>
        <v>45985.666666665289</v>
      </c>
      <c r="VB9" s="3119">
        <f t="shared" si="584"/>
        <v>45985.708333331953</v>
      </c>
      <c r="VC9" s="3119">
        <f t="shared" si="585"/>
        <v>45985.749999998618</v>
      </c>
      <c r="VD9" s="3119">
        <f t="shared" si="586"/>
        <v>45985.791666665282</v>
      </c>
      <c r="VE9" s="3119">
        <f t="shared" si="587"/>
        <v>45985.833333331946</v>
      </c>
      <c r="VF9" s="3119">
        <f t="shared" si="588"/>
        <v>45985.87499999861</v>
      </c>
      <c r="VG9" s="3119">
        <f t="shared" si="589"/>
        <v>45985.916666665275</v>
      </c>
      <c r="VH9" s="3119">
        <f t="shared" si="590"/>
        <v>45985.958333331939</v>
      </c>
      <c r="VI9" s="3119">
        <f t="shared" si="591"/>
        <v>45985.999999998603</v>
      </c>
      <c r="VJ9" s="3119">
        <f t="shared" si="22"/>
        <v>45986.041666665267</v>
      </c>
      <c r="VK9" s="3119">
        <f t="shared" si="592"/>
        <v>45986.083333331931</v>
      </c>
      <c r="VL9" s="3119">
        <f t="shared" si="593"/>
        <v>45986.124999998596</v>
      </c>
      <c r="VM9" s="3119">
        <f t="shared" si="594"/>
        <v>45986.16666666526</v>
      </c>
      <c r="VN9" s="3119">
        <f t="shared" si="595"/>
        <v>45986.208333331924</v>
      </c>
      <c r="VO9" s="3119">
        <f t="shared" si="596"/>
        <v>45986.249999998588</v>
      </c>
      <c r="VP9" s="3119">
        <f t="shared" si="597"/>
        <v>45986.291666665253</v>
      </c>
      <c r="VQ9" s="3119">
        <f t="shared" si="598"/>
        <v>45986.333333331917</v>
      </c>
      <c r="VR9" s="3119">
        <f t="shared" si="599"/>
        <v>45986.374999998581</v>
      </c>
      <c r="VS9" s="3119">
        <f t="shared" si="600"/>
        <v>45986.416666665245</v>
      </c>
      <c r="VT9" s="3119">
        <f t="shared" si="601"/>
        <v>45986.45833333191</v>
      </c>
      <c r="VU9" s="3119">
        <f t="shared" si="602"/>
        <v>45986.499999998574</v>
      </c>
      <c r="VV9" s="3119">
        <f t="shared" si="603"/>
        <v>45986.541666665238</v>
      </c>
      <c r="VW9" s="3119">
        <f t="shared" si="604"/>
        <v>45986.583333331902</v>
      </c>
      <c r="VX9" s="3119">
        <f t="shared" si="605"/>
        <v>45986.624999998567</v>
      </c>
      <c r="VY9" s="3119">
        <f t="shared" si="606"/>
        <v>45986.666666665231</v>
      </c>
      <c r="VZ9" s="3119">
        <f t="shared" si="607"/>
        <v>45986.708333331895</v>
      </c>
      <c r="WA9" s="3119">
        <f t="shared" si="608"/>
        <v>45986.749999998559</v>
      </c>
      <c r="WB9" s="3119">
        <f t="shared" si="609"/>
        <v>45986.791666665224</v>
      </c>
      <c r="WC9" s="3119">
        <f t="shared" si="610"/>
        <v>45986.833333331888</v>
      </c>
      <c r="WD9" s="3119">
        <f t="shared" si="611"/>
        <v>45986.874999998552</v>
      </c>
      <c r="WE9" s="3119">
        <f t="shared" si="612"/>
        <v>45986.916666665216</v>
      </c>
      <c r="WF9" s="3119">
        <f t="shared" si="613"/>
        <v>45986.958333331881</v>
      </c>
      <c r="WG9" s="3119">
        <f t="shared" si="614"/>
        <v>45986.999999998545</v>
      </c>
      <c r="WH9" s="3119">
        <f t="shared" si="615"/>
        <v>45987.041666665209</v>
      </c>
      <c r="WI9" s="3119">
        <f t="shared" si="616"/>
        <v>45987.083333331873</v>
      </c>
      <c r="WJ9" s="3119">
        <f t="shared" si="617"/>
        <v>45987.124999998538</v>
      </c>
      <c r="WK9" s="3119">
        <f t="shared" si="618"/>
        <v>45987.166666665202</v>
      </c>
      <c r="WL9" s="3119">
        <f t="shared" si="619"/>
        <v>45987.208333331866</v>
      </c>
      <c r="WM9" s="3119">
        <f t="shared" si="620"/>
        <v>45987.24999999853</v>
      </c>
      <c r="WN9" s="3119">
        <f t="shared" si="621"/>
        <v>45987.291666665194</v>
      </c>
      <c r="WO9" s="3119">
        <f t="shared" si="622"/>
        <v>45987.333333331859</v>
      </c>
      <c r="WP9" s="3119">
        <f t="shared" si="623"/>
        <v>45987.374999998523</v>
      </c>
      <c r="WQ9" s="3119">
        <f t="shared" si="624"/>
        <v>45987.416666665187</v>
      </c>
      <c r="WR9" s="3119">
        <f t="shared" si="625"/>
        <v>45987.458333331851</v>
      </c>
      <c r="WS9" s="3119">
        <f t="shared" si="626"/>
        <v>45987.499999998516</v>
      </c>
      <c r="WT9" s="3119">
        <f t="shared" si="627"/>
        <v>45987.54166666518</v>
      </c>
      <c r="WU9" s="3119">
        <f t="shared" si="628"/>
        <v>45987.583333331844</v>
      </c>
      <c r="WV9" s="3119">
        <f t="shared" si="629"/>
        <v>45987.624999998508</v>
      </c>
      <c r="WW9" s="3119">
        <f t="shared" si="630"/>
        <v>45987.666666665173</v>
      </c>
      <c r="WX9" s="3119">
        <f t="shared" si="631"/>
        <v>45987.708333331837</v>
      </c>
      <c r="WY9" s="3119">
        <f t="shared" si="632"/>
        <v>45987.749999998501</v>
      </c>
      <c r="WZ9" s="3119">
        <f t="shared" si="633"/>
        <v>45987.791666665165</v>
      </c>
      <c r="XA9" s="3119">
        <f t="shared" si="634"/>
        <v>45987.83333333183</v>
      </c>
      <c r="XB9" s="3119">
        <f t="shared" si="635"/>
        <v>45987.874999998494</v>
      </c>
      <c r="XC9" s="3119">
        <f t="shared" si="636"/>
        <v>45987.916666665158</v>
      </c>
      <c r="XD9" s="3119">
        <f t="shared" si="637"/>
        <v>45987.958333331822</v>
      </c>
      <c r="XE9" s="3119">
        <f t="shared" si="638"/>
        <v>45987.999999998487</v>
      </c>
      <c r="XF9" s="3119">
        <f t="shared" si="639"/>
        <v>45988.041666665151</v>
      </c>
      <c r="XG9" s="3119">
        <f t="shared" si="640"/>
        <v>45988.083333331815</v>
      </c>
      <c r="XH9" s="3119">
        <f t="shared" si="641"/>
        <v>45988.124999998479</v>
      </c>
      <c r="XI9" s="3119">
        <f t="shared" si="642"/>
        <v>45988.166666665144</v>
      </c>
      <c r="XJ9" s="3119">
        <f t="shared" si="643"/>
        <v>45988.208333331808</v>
      </c>
      <c r="XK9" s="3119">
        <f t="shared" si="644"/>
        <v>45988.249999998472</v>
      </c>
      <c r="XL9" s="3119">
        <f t="shared" si="645"/>
        <v>45988.291666665136</v>
      </c>
      <c r="XM9" s="3119">
        <f t="shared" si="646"/>
        <v>45988.333333331801</v>
      </c>
      <c r="XN9" s="3119">
        <f t="shared" si="647"/>
        <v>45988.374999998465</v>
      </c>
      <c r="XO9" s="3119">
        <f t="shared" si="648"/>
        <v>45988.416666665129</v>
      </c>
      <c r="XP9" s="3119">
        <f t="shared" si="649"/>
        <v>45988.458333331793</v>
      </c>
      <c r="XQ9" s="3119">
        <f t="shared" si="650"/>
        <v>45988.499999998457</v>
      </c>
      <c r="XR9" s="3119">
        <f t="shared" si="651"/>
        <v>45988.541666665122</v>
      </c>
      <c r="XS9" s="3119">
        <f t="shared" si="652"/>
        <v>45988.583333331786</v>
      </c>
      <c r="XT9" s="3119">
        <f t="shared" si="653"/>
        <v>45988.62499999845</v>
      </c>
      <c r="XU9" s="3119">
        <f t="shared" si="654"/>
        <v>45988.666666665114</v>
      </c>
      <c r="XV9" s="3119">
        <f t="shared" si="23"/>
        <v>45988.708333331779</v>
      </c>
      <c r="XW9" s="3119">
        <f t="shared" si="655"/>
        <v>45988.749999998443</v>
      </c>
      <c r="XX9" s="3119">
        <f t="shared" si="656"/>
        <v>45988.791666665107</v>
      </c>
      <c r="XY9" s="3119">
        <f t="shared" si="657"/>
        <v>45988.833333331771</v>
      </c>
      <c r="XZ9" s="3119">
        <f t="shared" si="658"/>
        <v>45988.874999998436</v>
      </c>
      <c r="YA9" s="3119">
        <f t="shared" si="659"/>
        <v>45988.9166666651</v>
      </c>
      <c r="YB9" s="3119">
        <f t="shared" si="660"/>
        <v>45988.958333331764</v>
      </c>
      <c r="YC9" s="3119">
        <f t="shared" si="661"/>
        <v>45988.999999998428</v>
      </c>
      <c r="YD9" s="3119">
        <f t="shared" si="662"/>
        <v>45989.041666665093</v>
      </c>
      <c r="YE9" s="3119">
        <f t="shared" si="663"/>
        <v>45989.083333331757</v>
      </c>
      <c r="YF9" s="3119">
        <f t="shared" si="664"/>
        <v>45989.124999998421</v>
      </c>
      <c r="YG9" s="3119">
        <f t="shared" si="665"/>
        <v>45989.166666665085</v>
      </c>
      <c r="YH9" s="3119">
        <f t="shared" si="666"/>
        <v>45989.20833333175</v>
      </c>
      <c r="YI9" s="3119">
        <f t="shared" si="667"/>
        <v>45989.249999998414</v>
      </c>
      <c r="YJ9" s="3119">
        <f t="shared" si="668"/>
        <v>45989.291666665078</v>
      </c>
      <c r="YK9" s="3119">
        <f t="shared" si="669"/>
        <v>45989.333333331742</v>
      </c>
      <c r="YL9" s="3119">
        <f t="shared" si="670"/>
        <v>45989.374999998407</v>
      </c>
      <c r="YM9" s="3119">
        <f t="shared" si="671"/>
        <v>45989.416666665071</v>
      </c>
      <c r="YN9" s="3119">
        <f t="shared" si="672"/>
        <v>45989.458333331735</v>
      </c>
      <c r="YO9" s="3119">
        <f t="shared" si="673"/>
        <v>45989.499999998399</v>
      </c>
      <c r="YP9" s="3119">
        <f t="shared" si="674"/>
        <v>45989.541666665064</v>
      </c>
      <c r="YQ9" s="3119">
        <f t="shared" si="675"/>
        <v>45989.583333331728</v>
      </c>
      <c r="YR9" s="3119">
        <f t="shared" si="676"/>
        <v>45989.624999998392</v>
      </c>
      <c r="YS9" s="3119">
        <f t="shared" si="677"/>
        <v>45989.666666665056</v>
      </c>
      <c r="YT9" s="3119">
        <f t="shared" si="678"/>
        <v>45989.70833333172</v>
      </c>
      <c r="YU9" s="3119">
        <f t="shared" si="679"/>
        <v>45989.749999998385</v>
      </c>
      <c r="YV9" s="3119">
        <f t="shared" si="680"/>
        <v>45989.791666665049</v>
      </c>
      <c r="YW9" s="3119">
        <f t="shared" si="681"/>
        <v>45989.833333331713</v>
      </c>
      <c r="YX9" s="3119">
        <f t="shared" si="682"/>
        <v>45989.874999998377</v>
      </c>
      <c r="YY9" s="3119">
        <f t="shared" si="683"/>
        <v>45989.916666665042</v>
      </c>
      <c r="YZ9" s="3119">
        <f t="shared" si="684"/>
        <v>45989.958333331706</v>
      </c>
      <c r="ZA9" s="3119">
        <f t="shared" si="685"/>
        <v>45989.99999999837</v>
      </c>
      <c r="ZB9" s="3119">
        <f t="shared" si="686"/>
        <v>45990.041666665034</v>
      </c>
      <c r="ZC9" s="3119">
        <f t="shared" si="687"/>
        <v>45990.083333331699</v>
      </c>
      <c r="ZD9" s="3119">
        <f t="shared" si="688"/>
        <v>45990.124999998363</v>
      </c>
      <c r="ZE9" s="3119">
        <f t="shared" si="689"/>
        <v>45990.166666665027</v>
      </c>
      <c r="ZF9" s="3119">
        <f t="shared" si="690"/>
        <v>45990.208333331691</v>
      </c>
      <c r="ZG9" s="3119">
        <f t="shared" si="691"/>
        <v>45990.249999998356</v>
      </c>
      <c r="ZH9" s="3119">
        <f t="shared" si="692"/>
        <v>45990.29166666502</v>
      </c>
      <c r="ZI9" s="3119">
        <f t="shared" si="693"/>
        <v>45990.333333331684</v>
      </c>
      <c r="ZJ9" s="3119">
        <f t="shared" si="694"/>
        <v>45990.374999998348</v>
      </c>
      <c r="ZK9" s="3119">
        <f t="shared" si="695"/>
        <v>45990.416666665013</v>
      </c>
      <c r="ZL9" s="3119">
        <f t="shared" si="696"/>
        <v>45990.458333331677</v>
      </c>
      <c r="ZM9" s="3119">
        <f t="shared" si="697"/>
        <v>45990.499999998341</v>
      </c>
      <c r="ZN9" s="3119">
        <f t="shared" si="698"/>
        <v>45990.541666665005</v>
      </c>
      <c r="ZO9" s="3119">
        <f t="shared" si="699"/>
        <v>45990.58333333167</v>
      </c>
      <c r="ZP9" s="3119">
        <f t="shared" si="700"/>
        <v>45990.624999998334</v>
      </c>
      <c r="ZQ9" s="3119">
        <f t="shared" si="701"/>
        <v>45990.666666664998</v>
      </c>
      <c r="ZR9" s="3119">
        <f t="shared" si="702"/>
        <v>45990.708333331662</v>
      </c>
      <c r="ZS9" s="3119">
        <f t="shared" si="703"/>
        <v>45990.749999998327</v>
      </c>
      <c r="ZT9" s="3119">
        <f t="shared" si="704"/>
        <v>45990.791666664991</v>
      </c>
      <c r="ZU9" s="3119">
        <f t="shared" si="705"/>
        <v>45990.833333331655</v>
      </c>
      <c r="ZV9" s="3119">
        <f t="shared" si="706"/>
        <v>45990.874999998319</v>
      </c>
      <c r="ZW9" s="3119">
        <f t="shared" si="707"/>
        <v>45990.916666664983</v>
      </c>
      <c r="ZX9" s="3119">
        <f t="shared" si="708"/>
        <v>45990.958333331648</v>
      </c>
      <c r="ZY9" s="3119">
        <f t="shared" si="709"/>
        <v>45990.999999998312</v>
      </c>
      <c r="ZZ9" s="3119">
        <f t="shared" si="710"/>
        <v>45991.041666664976</v>
      </c>
      <c r="AAA9" s="3119">
        <f t="shared" si="711"/>
        <v>45991.08333333164</v>
      </c>
      <c r="AAB9" s="3119">
        <f t="shared" si="712"/>
        <v>45991.124999998305</v>
      </c>
      <c r="AAC9" s="3119">
        <f t="shared" si="713"/>
        <v>45991.166666664969</v>
      </c>
      <c r="AAD9" s="3119">
        <f t="shared" si="714"/>
        <v>45991.208333331633</v>
      </c>
      <c r="AAE9" s="3119">
        <f t="shared" si="715"/>
        <v>45991.249999998297</v>
      </c>
      <c r="AAF9" s="3119">
        <f t="shared" si="716"/>
        <v>45991.291666664962</v>
      </c>
      <c r="AAG9" s="3119">
        <f t="shared" si="717"/>
        <v>45991.333333331626</v>
      </c>
      <c r="AAH9" s="3119">
        <f t="shared" si="24"/>
        <v>45991.37499999829</v>
      </c>
      <c r="AAI9" s="3119">
        <f t="shared" si="12"/>
        <v>45991.416666664954</v>
      </c>
      <c r="AAJ9" s="3119">
        <f t="shared" si="12"/>
        <v>45991.458333331619</v>
      </c>
      <c r="AAK9" s="3119">
        <f t="shared" si="12"/>
        <v>45991.499999998283</v>
      </c>
      <c r="AAL9" s="3119">
        <f t="shared" si="12"/>
        <v>45991.541666664947</v>
      </c>
      <c r="AAM9" s="3119">
        <f t="shared" si="12"/>
        <v>45991.583333331611</v>
      </c>
      <c r="AAN9" s="3119">
        <f t="shared" si="12"/>
        <v>45991.624999998276</v>
      </c>
      <c r="AAO9" s="3119">
        <f t="shared" si="12"/>
        <v>45991.66666666494</v>
      </c>
      <c r="AAP9" s="3119">
        <f t="shared" si="12"/>
        <v>45991.708333331604</v>
      </c>
      <c r="AAQ9" s="3119">
        <f t="shared" si="12"/>
        <v>45991.749999998268</v>
      </c>
      <c r="AAR9" s="3119">
        <f t="shared" si="12"/>
        <v>45991.791666664933</v>
      </c>
      <c r="AAS9" s="3119">
        <f t="shared" si="12"/>
        <v>45991.833333331597</v>
      </c>
      <c r="AAT9" s="3119">
        <f t="shared" si="12"/>
        <v>45991.874999998261</v>
      </c>
      <c r="AAU9" s="3119">
        <f t="shared" si="12"/>
        <v>45991.916666664925</v>
      </c>
      <c r="AAV9" s="3119">
        <f t="shared" si="12"/>
        <v>45991.95833333159</v>
      </c>
    </row>
    <row r="10" spans="1:724" s="282" customFormat="1" ht="13">
      <c r="A10" s="3115" t="s">
        <v>347</v>
      </c>
      <c r="B10" s="3119">
        <v>45966.75</v>
      </c>
      <c r="C10" s="3119">
        <v>45968.25</v>
      </c>
      <c r="D10" s="3116">
        <f t="shared" si="0"/>
        <v>36</v>
      </c>
      <c r="E10" s="3119">
        <v>45962</v>
      </c>
      <c r="F10" s="3119">
        <f t="shared" si="13"/>
        <v>45962.041666666664</v>
      </c>
      <c r="G10" s="3119">
        <f t="shared" si="25"/>
        <v>45962.083333333328</v>
      </c>
      <c r="H10" s="3119">
        <f t="shared" si="26"/>
        <v>45962.124999999993</v>
      </c>
      <c r="I10" s="3119">
        <f t="shared" si="27"/>
        <v>45962.166666666657</v>
      </c>
      <c r="J10" s="3119">
        <f t="shared" si="28"/>
        <v>45962.208333333321</v>
      </c>
      <c r="K10" s="3119">
        <f t="shared" si="29"/>
        <v>45962.249999999985</v>
      </c>
      <c r="L10" s="3119">
        <f t="shared" si="30"/>
        <v>45962.29166666665</v>
      </c>
      <c r="M10" s="3119">
        <f t="shared" si="31"/>
        <v>45962.333333333314</v>
      </c>
      <c r="N10" s="3119">
        <f t="shared" si="32"/>
        <v>45962.374999999978</v>
      </c>
      <c r="O10" s="3119">
        <f t="shared" si="33"/>
        <v>45962.416666666642</v>
      </c>
      <c r="P10" s="3119">
        <f t="shared" si="34"/>
        <v>45962.458333333307</v>
      </c>
      <c r="Q10" s="3119">
        <f t="shared" si="35"/>
        <v>45962.499999999971</v>
      </c>
      <c r="R10" s="3119">
        <f t="shared" si="36"/>
        <v>45962.541666666635</v>
      </c>
      <c r="S10" s="3119">
        <f t="shared" si="37"/>
        <v>45962.583333333299</v>
      </c>
      <c r="T10" s="3119">
        <f t="shared" si="38"/>
        <v>45962.624999999964</v>
      </c>
      <c r="U10" s="3119">
        <f t="shared" si="39"/>
        <v>45962.666666666628</v>
      </c>
      <c r="V10" s="3119">
        <f t="shared" si="40"/>
        <v>45962.708333333292</v>
      </c>
      <c r="W10" s="3119">
        <f t="shared" si="41"/>
        <v>45962.749999999956</v>
      </c>
      <c r="X10" s="3119">
        <f t="shared" si="42"/>
        <v>45962.791666666621</v>
      </c>
      <c r="Y10" s="3119">
        <f t="shared" si="43"/>
        <v>45962.833333333285</v>
      </c>
      <c r="Z10" s="3119">
        <f t="shared" si="44"/>
        <v>45962.874999999949</v>
      </c>
      <c r="AA10" s="3119">
        <f t="shared" si="45"/>
        <v>45962.916666666613</v>
      </c>
      <c r="AB10" s="3119">
        <f t="shared" si="46"/>
        <v>45962.958333333278</v>
      </c>
      <c r="AC10" s="3119">
        <f t="shared" si="47"/>
        <v>45962.999999999942</v>
      </c>
      <c r="AD10" s="3119">
        <f t="shared" si="48"/>
        <v>45963.041666666606</v>
      </c>
      <c r="AE10" s="3119">
        <f t="shared" si="49"/>
        <v>45963.08333333327</v>
      </c>
      <c r="AF10" s="3119">
        <f t="shared" si="50"/>
        <v>45963.124999999935</v>
      </c>
      <c r="AG10" s="3119">
        <f t="shared" si="51"/>
        <v>45963.166666666599</v>
      </c>
      <c r="AH10" s="3119">
        <f t="shared" si="52"/>
        <v>45963.208333333263</v>
      </c>
      <c r="AI10" s="3119">
        <f t="shared" si="53"/>
        <v>45963.249999999927</v>
      </c>
      <c r="AJ10" s="3119">
        <f t="shared" si="54"/>
        <v>45963.291666666591</v>
      </c>
      <c r="AK10" s="3119">
        <f t="shared" si="55"/>
        <v>45963.333333333256</v>
      </c>
      <c r="AL10" s="3119">
        <f t="shared" si="56"/>
        <v>45963.37499999992</v>
      </c>
      <c r="AM10" s="3119">
        <f t="shared" si="57"/>
        <v>45963.416666666584</v>
      </c>
      <c r="AN10" s="3119">
        <f t="shared" si="58"/>
        <v>45963.458333333248</v>
      </c>
      <c r="AO10" s="3119">
        <f t="shared" si="59"/>
        <v>45963.499999999913</v>
      </c>
      <c r="AP10" s="3119">
        <f t="shared" si="60"/>
        <v>45963.541666666577</v>
      </c>
      <c r="AQ10" s="3119">
        <f t="shared" si="61"/>
        <v>45963.583333333241</v>
      </c>
      <c r="AR10" s="3119">
        <f t="shared" si="62"/>
        <v>45963.624999999905</v>
      </c>
      <c r="AS10" s="3119">
        <f t="shared" si="63"/>
        <v>45963.66666666657</v>
      </c>
      <c r="AT10" s="3119">
        <f t="shared" si="64"/>
        <v>45963.708333333234</v>
      </c>
      <c r="AU10" s="3119">
        <f t="shared" si="65"/>
        <v>45963.749999999898</v>
      </c>
      <c r="AV10" s="3119">
        <f t="shared" si="66"/>
        <v>45963.791666666562</v>
      </c>
      <c r="AW10" s="3119">
        <f t="shared" si="67"/>
        <v>45963.833333333227</v>
      </c>
      <c r="AX10" s="3119">
        <f t="shared" si="68"/>
        <v>45963.874999999891</v>
      </c>
      <c r="AY10" s="3119">
        <f t="shared" si="69"/>
        <v>45963.916666666555</v>
      </c>
      <c r="AZ10" s="3119">
        <f t="shared" si="70"/>
        <v>45963.958333333219</v>
      </c>
      <c r="BA10" s="3119">
        <f t="shared" si="71"/>
        <v>45963.999999999884</v>
      </c>
      <c r="BB10" s="3119">
        <f t="shared" si="72"/>
        <v>45964.041666666548</v>
      </c>
      <c r="BC10" s="3119">
        <f t="shared" si="73"/>
        <v>45964.083333333212</v>
      </c>
      <c r="BD10" s="3119">
        <f t="shared" si="74"/>
        <v>45964.124999999876</v>
      </c>
      <c r="BE10" s="3119">
        <f t="shared" si="75"/>
        <v>45964.166666666541</v>
      </c>
      <c r="BF10" s="3119">
        <f t="shared" si="76"/>
        <v>45964.208333333205</v>
      </c>
      <c r="BG10" s="3119">
        <f t="shared" si="77"/>
        <v>45964.249999999869</v>
      </c>
      <c r="BH10" s="3119">
        <f t="shared" si="78"/>
        <v>45964.291666666533</v>
      </c>
      <c r="BI10" s="3119">
        <f t="shared" si="79"/>
        <v>45964.333333333198</v>
      </c>
      <c r="BJ10" s="3119">
        <f t="shared" si="80"/>
        <v>45964.374999999862</v>
      </c>
      <c r="BK10" s="3119">
        <f t="shared" si="81"/>
        <v>45964.416666666526</v>
      </c>
      <c r="BL10" s="3119">
        <f t="shared" si="82"/>
        <v>45964.45833333319</v>
      </c>
      <c r="BM10" s="3119">
        <f t="shared" si="83"/>
        <v>45964.499999999854</v>
      </c>
      <c r="BN10" s="3119">
        <f t="shared" si="84"/>
        <v>45964.541666666519</v>
      </c>
      <c r="BO10" s="3119">
        <f t="shared" si="85"/>
        <v>45964.583333333183</v>
      </c>
      <c r="BP10" s="3119">
        <f t="shared" si="86"/>
        <v>45964.624999999847</v>
      </c>
      <c r="BQ10" s="3119">
        <f t="shared" si="87"/>
        <v>45964.666666666511</v>
      </c>
      <c r="BR10" s="3119">
        <f t="shared" si="14"/>
        <v>45964.708333333176</v>
      </c>
      <c r="BS10" s="3119">
        <f t="shared" si="88"/>
        <v>45964.74999999984</v>
      </c>
      <c r="BT10" s="3119">
        <f t="shared" si="89"/>
        <v>45964.791666666504</v>
      </c>
      <c r="BU10" s="3119">
        <f t="shared" si="90"/>
        <v>45964.833333333168</v>
      </c>
      <c r="BV10" s="3119">
        <f t="shared" si="91"/>
        <v>45964.874999999833</v>
      </c>
      <c r="BW10" s="3119">
        <f t="shared" si="92"/>
        <v>45964.916666666497</v>
      </c>
      <c r="BX10" s="3119">
        <f t="shared" si="93"/>
        <v>45964.958333333161</v>
      </c>
      <c r="BY10" s="3119">
        <f t="shared" si="94"/>
        <v>45964.999999999825</v>
      </c>
      <c r="BZ10" s="3119">
        <f t="shared" si="95"/>
        <v>45965.04166666649</v>
      </c>
      <c r="CA10" s="3119">
        <f t="shared" si="96"/>
        <v>45965.083333333154</v>
      </c>
      <c r="CB10" s="3119">
        <f t="shared" si="97"/>
        <v>45965.124999999818</v>
      </c>
      <c r="CC10" s="3119">
        <f t="shared" si="98"/>
        <v>45965.166666666482</v>
      </c>
      <c r="CD10" s="3119">
        <f t="shared" si="99"/>
        <v>45965.208333333147</v>
      </c>
      <c r="CE10" s="3119">
        <f t="shared" si="100"/>
        <v>45965.249999999811</v>
      </c>
      <c r="CF10" s="3119">
        <f t="shared" si="101"/>
        <v>45965.291666666475</v>
      </c>
      <c r="CG10" s="3119">
        <f t="shared" si="102"/>
        <v>45965.333333333139</v>
      </c>
      <c r="CH10" s="3119">
        <f t="shared" si="103"/>
        <v>45965.374999999804</v>
      </c>
      <c r="CI10" s="3119">
        <f t="shared" si="104"/>
        <v>45965.416666666468</v>
      </c>
      <c r="CJ10" s="3119">
        <f t="shared" si="105"/>
        <v>45965.458333333132</v>
      </c>
      <c r="CK10" s="3119">
        <f t="shared" si="106"/>
        <v>45965.499999999796</v>
      </c>
      <c r="CL10" s="3119">
        <f t="shared" si="107"/>
        <v>45965.541666666461</v>
      </c>
      <c r="CM10" s="3119">
        <f t="shared" si="108"/>
        <v>45965.583333333125</v>
      </c>
      <c r="CN10" s="3119">
        <f t="shared" si="109"/>
        <v>45965.624999999789</v>
      </c>
      <c r="CO10" s="3119">
        <f t="shared" si="110"/>
        <v>45965.666666666453</v>
      </c>
      <c r="CP10" s="3119">
        <f t="shared" si="111"/>
        <v>45965.708333333117</v>
      </c>
      <c r="CQ10" s="3119">
        <f t="shared" si="112"/>
        <v>45965.749999999782</v>
      </c>
      <c r="CR10" s="3119">
        <f t="shared" si="113"/>
        <v>45965.791666666446</v>
      </c>
      <c r="CS10" s="3119">
        <f t="shared" si="114"/>
        <v>45965.83333333311</v>
      </c>
      <c r="CT10" s="3119">
        <f t="shared" si="115"/>
        <v>45965.874999999774</v>
      </c>
      <c r="CU10" s="3119">
        <f t="shared" si="116"/>
        <v>45965.916666666439</v>
      </c>
      <c r="CV10" s="3119">
        <f t="shared" si="117"/>
        <v>45965.958333333103</v>
      </c>
      <c r="CW10" s="3119">
        <f t="shared" si="118"/>
        <v>45965.999999999767</v>
      </c>
      <c r="CX10" s="3119">
        <f t="shared" si="119"/>
        <v>45966.041666666431</v>
      </c>
      <c r="CY10" s="3119">
        <f t="shared" si="120"/>
        <v>45966.083333333096</v>
      </c>
      <c r="CZ10" s="3119">
        <f t="shared" si="121"/>
        <v>45966.12499999976</v>
      </c>
      <c r="DA10" s="3119">
        <f t="shared" si="122"/>
        <v>45966.166666666424</v>
      </c>
      <c r="DB10" s="3119">
        <f t="shared" si="123"/>
        <v>45966.208333333088</v>
      </c>
      <c r="DC10" s="3119">
        <f t="shared" si="124"/>
        <v>45966.249999999753</v>
      </c>
      <c r="DD10" s="3119">
        <f t="shared" si="125"/>
        <v>45966.291666666417</v>
      </c>
      <c r="DE10" s="3119">
        <f t="shared" si="126"/>
        <v>45966.333333333081</v>
      </c>
      <c r="DF10" s="3119">
        <f t="shared" si="127"/>
        <v>45966.374999999745</v>
      </c>
      <c r="DG10" s="3119">
        <f t="shared" si="128"/>
        <v>45966.41666666641</v>
      </c>
      <c r="DH10" s="3119">
        <f t="shared" si="129"/>
        <v>45966.458333333074</v>
      </c>
      <c r="DI10" s="3119">
        <f t="shared" si="130"/>
        <v>45966.499999999738</v>
      </c>
      <c r="DJ10" s="3119">
        <f t="shared" si="131"/>
        <v>45966.541666666402</v>
      </c>
      <c r="DK10" s="3119">
        <f t="shared" si="132"/>
        <v>45966.583333333067</v>
      </c>
      <c r="DL10" s="3119">
        <f t="shared" si="133"/>
        <v>45966.624999999731</v>
      </c>
      <c r="DM10" s="3119">
        <f t="shared" si="134"/>
        <v>45966.666666666395</v>
      </c>
      <c r="DN10" s="3119">
        <f t="shared" si="135"/>
        <v>45966.708333333059</v>
      </c>
      <c r="DO10" s="3119">
        <f t="shared" si="136"/>
        <v>45966.749999999724</v>
      </c>
      <c r="DP10" s="3119">
        <f t="shared" si="137"/>
        <v>45966.791666666388</v>
      </c>
      <c r="DQ10" s="3119">
        <f t="shared" si="138"/>
        <v>45966.833333333052</v>
      </c>
      <c r="DR10" s="3119">
        <f t="shared" si="139"/>
        <v>45966.874999999716</v>
      </c>
      <c r="DS10" s="3119">
        <f t="shared" si="140"/>
        <v>45966.91666666638</v>
      </c>
      <c r="DT10" s="3119">
        <f t="shared" si="141"/>
        <v>45966.958333333045</v>
      </c>
      <c r="DU10" s="3119">
        <f t="shared" si="142"/>
        <v>45966.999999999709</v>
      </c>
      <c r="DV10" s="3119">
        <f t="shared" si="143"/>
        <v>45967.041666666373</v>
      </c>
      <c r="DW10" s="3119">
        <f t="shared" si="144"/>
        <v>45967.083333333037</v>
      </c>
      <c r="DX10" s="3119">
        <f t="shared" si="145"/>
        <v>45967.124999999702</v>
      </c>
      <c r="DY10" s="3119">
        <f t="shared" si="146"/>
        <v>45967.166666666366</v>
      </c>
      <c r="DZ10" s="3119">
        <f t="shared" si="147"/>
        <v>45967.20833333303</v>
      </c>
      <c r="EA10" s="3119">
        <f t="shared" si="148"/>
        <v>45967.249999999694</v>
      </c>
      <c r="EB10" s="3119">
        <f t="shared" si="149"/>
        <v>45967.291666666359</v>
      </c>
      <c r="EC10" s="3119">
        <f t="shared" si="150"/>
        <v>45967.333333333023</v>
      </c>
      <c r="ED10" s="3119">
        <f t="shared" si="15"/>
        <v>45967.374999999687</v>
      </c>
      <c r="EE10" s="3119">
        <f t="shared" si="151"/>
        <v>45967.416666666351</v>
      </c>
      <c r="EF10" s="3119">
        <f t="shared" si="152"/>
        <v>45967.458333333016</v>
      </c>
      <c r="EG10" s="3119">
        <f t="shared" si="153"/>
        <v>45967.49999999968</v>
      </c>
      <c r="EH10" s="3119">
        <f t="shared" si="154"/>
        <v>45967.541666666344</v>
      </c>
      <c r="EI10" s="3119">
        <f t="shared" si="155"/>
        <v>45967.583333333008</v>
      </c>
      <c r="EJ10" s="3119">
        <f t="shared" si="156"/>
        <v>45967.624999999673</v>
      </c>
      <c r="EK10" s="3119">
        <f t="shared" si="157"/>
        <v>45967.666666666337</v>
      </c>
      <c r="EL10" s="3119">
        <f t="shared" si="158"/>
        <v>45967.708333333001</v>
      </c>
      <c r="EM10" s="3119">
        <f t="shared" si="159"/>
        <v>45967.749999999665</v>
      </c>
      <c r="EN10" s="3119">
        <f t="shared" si="160"/>
        <v>45967.79166666633</v>
      </c>
      <c r="EO10" s="3119">
        <f t="shared" si="161"/>
        <v>45967.833333332994</v>
      </c>
      <c r="EP10" s="3119">
        <f t="shared" si="162"/>
        <v>45967.874999999658</v>
      </c>
      <c r="EQ10" s="3119">
        <f t="shared" si="163"/>
        <v>45967.916666666322</v>
      </c>
      <c r="ER10" s="3119">
        <f t="shared" si="164"/>
        <v>45967.958333332987</v>
      </c>
      <c r="ES10" s="3119">
        <f t="shared" si="165"/>
        <v>45967.999999999651</v>
      </c>
      <c r="ET10" s="3119">
        <f t="shared" si="166"/>
        <v>45968.041666666315</v>
      </c>
      <c r="EU10" s="3119">
        <f t="shared" si="167"/>
        <v>45968.083333332979</v>
      </c>
      <c r="EV10" s="3119">
        <f t="shared" si="168"/>
        <v>45968.124999999643</v>
      </c>
      <c r="EW10" s="3119">
        <f t="shared" si="169"/>
        <v>45968.166666666308</v>
      </c>
      <c r="EX10" s="3119">
        <f t="shared" si="170"/>
        <v>45968.208333332972</v>
      </c>
      <c r="EY10" s="3119">
        <f t="shared" si="171"/>
        <v>45968.249999999636</v>
      </c>
      <c r="EZ10" s="3119">
        <f t="shared" si="172"/>
        <v>45968.2916666663</v>
      </c>
      <c r="FA10" s="3119">
        <f t="shared" si="173"/>
        <v>45968.333333332965</v>
      </c>
      <c r="FB10" s="3119">
        <f t="shared" si="174"/>
        <v>45968.374999999629</v>
      </c>
      <c r="FC10" s="3119">
        <f t="shared" si="175"/>
        <v>45968.416666666293</v>
      </c>
      <c r="FD10" s="3119">
        <f t="shared" si="176"/>
        <v>45968.458333332957</v>
      </c>
      <c r="FE10" s="3119">
        <f t="shared" si="177"/>
        <v>45968.499999999622</v>
      </c>
      <c r="FF10" s="3119">
        <f t="shared" si="178"/>
        <v>45968.541666666286</v>
      </c>
      <c r="FG10" s="3119">
        <f t="shared" si="179"/>
        <v>45968.58333333295</v>
      </c>
      <c r="FH10" s="3119">
        <f t="shared" si="180"/>
        <v>45968.624999999614</v>
      </c>
      <c r="FI10" s="3119">
        <f t="shared" si="181"/>
        <v>45968.666666666279</v>
      </c>
      <c r="FJ10" s="3119">
        <f t="shared" si="182"/>
        <v>45968.708333332943</v>
      </c>
      <c r="FK10" s="3119">
        <f t="shared" si="183"/>
        <v>45968.749999999607</v>
      </c>
      <c r="FL10" s="3119">
        <f t="shared" si="184"/>
        <v>45968.791666666271</v>
      </c>
      <c r="FM10" s="3119">
        <f t="shared" si="185"/>
        <v>45968.833333332936</v>
      </c>
      <c r="FN10" s="3119">
        <f t="shared" si="186"/>
        <v>45968.8749999996</v>
      </c>
      <c r="FO10" s="3119">
        <f t="shared" si="187"/>
        <v>45968.916666666264</v>
      </c>
      <c r="FP10" s="3119">
        <f t="shared" si="188"/>
        <v>45968.958333332928</v>
      </c>
      <c r="FQ10" s="3119">
        <f t="shared" si="189"/>
        <v>45968.999999999593</v>
      </c>
      <c r="FR10" s="3119">
        <f t="shared" si="190"/>
        <v>45969.041666666257</v>
      </c>
      <c r="FS10" s="3119">
        <f t="shared" si="191"/>
        <v>45969.083333332921</v>
      </c>
      <c r="FT10" s="3119">
        <f t="shared" si="192"/>
        <v>45969.124999999585</v>
      </c>
      <c r="FU10" s="3119">
        <f t="shared" si="193"/>
        <v>45969.16666666625</v>
      </c>
      <c r="FV10" s="3119">
        <f t="shared" si="194"/>
        <v>45969.208333332914</v>
      </c>
      <c r="FW10" s="3119">
        <f t="shared" si="195"/>
        <v>45969.249999999578</v>
      </c>
      <c r="FX10" s="3119">
        <f t="shared" si="196"/>
        <v>45969.291666666242</v>
      </c>
      <c r="FY10" s="3119">
        <f t="shared" si="197"/>
        <v>45969.333333332906</v>
      </c>
      <c r="FZ10" s="3119">
        <f t="shared" si="198"/>
        <v>45969.374999999571</v>
      </c>
      <c r="GA10" s="3119">
        <f t="shared" si="199"/>
        <v>45969.416666666235</v>
      </c>
      <c r="GB10" s="3119">
        <f t="shared" si="200"/>
        <v>45969.458333332899</v>
      </c>
      <c r="GC10" s="3119">
        <f t="shared" si="201"/>
        <v>45969.499999999563</v>
      </c>
      <c r="GD10" s="3119">
        <f t="shared" si="202"/>
        <v>45969.541666666228</v>
      </c>
      <c r="GE10" s="3119">
        <f t="shared" si="203"/>
        <v>45969.583333332892</v>
      </c>
      <c r="GF10" s="3119">
        <f t="shared" si="204"/>
        <v>45969.624999999556</v>
      </c>
      <c r="GG10" s="3119">
        <f t="shared" si="205"/>
        <v>45969.66666666622</v>
      </c>
      <c r="GH10" s="3119">
        <f t="shared" si="206"/>
        <v>45969.708333332885</v>
      </c>
      <c r="GI10" s="3119">
        <f t="shared" si="207"/>
        <v>45969.749999999549</v>
      </c>
      <c r="GJ10" s="3119">
        <f t="shared" si="208"/>
        <v>45969.791666666213</v>
      </c>
      <c r="GK10" s="3119">
        <f t="shared" si="209"/>
        <v>45969.833333332877</v>
      </c>
      <c r="GL10" s="3119">
        <f t="shared" si="210"/>
        <v>45969.874999999542</v>
      </c>
      <c r="GM10" s="3119">
        <f t="shared" si="211"/>
        <v>45969.916666666206</v>
      </c>
      <c r="GN10" s="3119">
        <f t="shared" si="212"/>
        <v>45969.95833333287</v>
      </c>
      <c r="GO10" s="3119">
        <f t="shared" si="213"/>
        <v>45969.999999999534</v>
      </c>
      <c r="GP10" s="3119">
        <f t="shared" si="16"/>
        <v>45970.041666666199</v>
      </c>
      <c r="GQ10" s="3119">
        <f t="shared" si="214"/>
        <v>45970.083333332863</v>
      </c>
      <c r="GR10" s="3119">
        <f t="shared" si="215"/>
        <v>45970.124999999527</v>
      </c>
      <c r="GS10" s="3119">
        <f t="shared" si="216"/>
        <v>45970.166666666191</v>
      </c>
      <c r="GT10" s="3119">
        <f t="shared" si="217"/>
        <v>45970.208333332856</v>
      </c>
      <c r="GU10" s="3119">
        <f t="shared" si="218"/>
        <v>45970.24999999952</v>
      </c>
      <c r="GV10" s="3119">
        <f t="shared" si="219"/>
        <v>45970.291666666184</v>
      </c>
      <c r="GW10" s="3119">
        <f t="shared" si="220"/>
        <v>45970.333333332848</v>
      </c>
      <c r="GX10" s="3119">
        <f t="shared" si="221"/>
        <v>45970.374999999513</v>
      </c>
      <c r="GY10" s="3119">
        <f t="shared" si="222"/>
        <v>45970.416666666177</v>
      </c>
      <c r="GZ10" s="3119">
        <f t="shared" si="223"/>
        <v>45970.458333332841</v>
      </c>
      <c r="HA10" s="3119">
        <f t="shared" si="224"/>
        <v>45970.499999999505</v>
      </c>
      <c r="HB10" s="3119">
        <f t="shared" si="225"/>
        <v>45970.541666666169</v>
      </c>
      <c r="HC10" s="3119">
        <f t="shared" si="226"/>
        <v>45970.583333332834</v>
      </c>
      <c r="HD10" s="3119">
        <f t="shared" si="227"/>
        <v>45970.624999999498</v>
      </c>
      <c r="HE10" s="3119">
        <f t="shared" si="228"/>
        <v>45970.666666666162</v>
      </c>
      <c r="HF10" s="3119">
        <f t="shared" si="229"/>
        <v>45970.708333332826</v>
      </c>
      <c r="HG10" s="3119">
        <f t="shared" si="230"/>
        <v>45970.749999999491</v>
      </c>
      <c r="HH10" s="3119">
        <f t="shared" si="231"/>
        <v>45970.791666666155</v>
      </c>
      <c r="HI10" s="3119">
        <f t="shared" si="232"/>
        <v>45970.833333332819</v>
      </c>
      <c r="HJ10" s="3119">
        <f t="shared" si="233"/>
        <v>45970.874999999483</v>
      </c>
      <c r="HK10" s="3119">
        <f t="shared" si="234"/>
        <v>45970.916666666148</v>
      </c>
      <c r="HL10" s="3119">
        <f t="shared" si="235"/>
        <v>45970.958333332812</v>
      </c>
      <c r="HM10" s="3119">
        <f t="shared" si="236"/>
        <v>45970.999999999476</v>
      </c>
      <c r="HN10" s="3119">
        <f t="shared" si="237"/>
        <v>45971.04166666614</v>
      </c>
      <c r="HO10" s="3119">
        <f t="shared" si="238"/>
        <v>45971.083333332805</v>
      </c>
      <c r="HP10" s="3119">
        <f t="shared" si="239"/>
        <v>45971.124999999469</v>
      </c>
      <c r="HQ10" s="3119">
        <f t="shared" si="240"/>
        <v>45971.166666666133</v>
      </c>
      <c r="HR10" s="3119">
        <f t="shared" si="241"/>
        <v>45971.208333332797</v>
      </c>
      <c r="HS10" s="3119">
        <f t="shared" si="242"/>
        <v>45971.249999999462</v>
      </c>
      <c r="HT10" s="3119">
        <f t="shared" si="243"/>
        <v>45971.291666666126</v>
      </c>
      <c r="HU10" s="3119">
        <f t="shared" si="244"/>
        <v>45971.33333333279</v>
      </c>
      <c r="HV10" s="3119">
        <f t="shared" si="245"/>
        <v>45971.374999999454</v>
      </c>
      <c r="HW10" s="3119">
        <f t="shared" si="246"/>
        <v>45971.416666666119</v>
      </c>
      <c r="HX10" s="3119">
        <f t="shared" si="247"/>
        <v>45971.458333332783</v>
      </c>
      <c r="HY10" s="3119">
        <f t="shared" si="248"/>
        <v>45971.499999999447</v>
      </c>
      <c r="HZ10" s="3119">
        <f t="shared" si="249"/>
        <v>45971.541666666111</v>
      </c>
      <c r="IA10" s="3119">
        <f t="shared" si="250"/>
        <v>45971.583333332776</v>
      </c>
      <c r="IB10" s="3119">
        <f t="shared" si="251"/>
        <v>45971.62499999944</v>
      </c>
      <c r="IC10" s="3119">
        <f t="shared" si="252"/>
        <v>45971.666666666104</v>
      </c>
      <c r="ID10" s="3119">
        <f t="shared" si="253"/>
        <v>45971.708333332768</v>
      </c>
      <c r="IE10" s="3119">
        <f t="shared" si="254"/>
        <v>45971.749999999432</v>
      </c>
      <c r="IF10" s="3119">
        <f t="shared" si="255"/>
        <v>45971.791666666097</v>
      </c>
      <c r="IG10" s="3119">
        <f t="shared" si="256"/>
        <v>45971.833333332761</v>
      </c>
      <c r="IH10" s="3119">
        <f t="shared" si="257"/>
        <v>45971.874999999425</v>
      </c>
      <c r="II10" s="3119">
        <f t="shared" si="258"/>
        <v>45971.916666666089</v>
      </c>
      <c r="IJ10" s="3119">
        <f t="shared" si="259"/>
        <v>45971.958333332754</v>
      </c>
      <c r="IK10" s="3119">
        <f t="shared" si="260"/>
        <v>45971.999999999418</v>
      </c>
      <c r="IL10" s="3119">
        <f t="shared" si="261"/>
        <v>45972.041666666082</v>
      </c>
      <c r="IM10" s="3119">
        <f t="shared" si="262"/>
        <v>45972.083333332746</v>
      </c>
      <c r="IN10" s="3119">
        <f t="shared" si="263"/>
        <v>45972.124999999411</v>
      </c>
      <c r="IO10" s="3119">
        <f t="shared" si="264"/>
        <v>45972.166666666075</v>
      </c>
      <c r="IP10" s="3119">
        <f t="shared" si="265"/>
        <v>45972.208333332739</v>
      </c>
      <c r="IQ10" s="3119">
        <f t="shared" si="266"/>
        <v>45972.249999999403</v>
      </c>
      <c r="IR10" s="3119">
        <f t="shared" si="267"/>
        <v>45972.291666666068</v>
      </c>
      <c r="IS10" s="3119">
        <f t="shared" si="268"/>
        <v>45972.333333332732</v>
      </c>
      <c r="IT10" s="3119">
        <f t="shared" si="269"/>
        <v>45972.374999999396</v>
      </c>
      <c r="IU10" s="3119">
        <f t="shared" si="270"/>
        <v>45972.41666666606</v>
      </c>
      <c r="IV10" s="3119">
        <f t="shared" si="271"/>
        <v>45972.458333332725</v>
      </c>
      <c r="IW10" s="3119">
        <f t="shared" si="272"/>
        <v>45972.499999999389</v>
      </c>
      <c r="IX10" s="3119">
        <f t="shared" si="273"/>
        <v>45972.541666666053</v>
      </c>
      <c r="IY10" s="3119">
        <f t="shared" si="274"/>
        <v>45972.583333332717</v>
      </c>
      <c r="IZ10" s="3119">
        <f t="shared" si="275"/>
        <v>45972.624999999382</v>
      </c>
      <c r="JA10" s="3119">
        <f t="shared" si="276"/>
        <v>45972.666666666046</v>
      </c>
      <c r="JB10" s="3119">
        <f t="shared" si="17"/>
        <v>45972.70833333271</v>
      </c>
      <c r="JC10" s="3119">
        <f t="shared" si="277"/>
        <v>45972.749999999374</v>
      </c>
      <c r="JD10" s="3119">
        <f t="shared" si="278"/>
        <v>45972.791666666039</v>
      </c>
      <c r="JE10" s="3119">
        <f t="shared" si="279"/>
        <v>45972.833333332703</v>
      </c>
      <c r="JF10" s="3119">
        <f t="shared" si="280"/>
        <v>45972.874999999367</v>
      </c>
      <c r="JG10" s="3119">
        <f t="shared" si="281"/>
        <v>45972.916666666031</v>
      </c>
      <c r="JH10" s="3119">
        <f t="shared" si="282"/>
        <v>45972.958333332695</v>
      </c>
      <c r="JI10" s="3119">
        <f t="shared" si="283"/>
        <v>45972.99999999936</v>
      </c>
      <c r="JJ10" s="3119">
        <f t="shared" si="284"/>
        <v>45973.041666666024</v>
      </c>
      <c r="JK10" s="3119">
        <f t="shared" si="285"/>
        <v>45973.083333332688</v>
      </c>
      <c r="JL10" s="3119">
        <f t="shared" si="286"/>
        <v>45973.124999999352</v>
      </c>
      <c r="JM10" s="3119">
        <f t="shared" si="287"/>
        <v>45973.166666666017</v>
      </c>
      <c r="JN10" s="3119">
        <f t="shared" si="288"/>
        <v>45973.208333332681</v>
      </c>
      <c r="JO10" s="3119">
        <f t="shared" si="289"/>
        <v>45973.249999999345</v>
      </c>
      <c r="JP10" s="3119">
        <f t="shared" si="290"/>
        <v>45973.291666666009</v>
      </c>
      <c r="JQ10" s="3119">
        <f t="shared" si="291"/>
        <v>45973.333333332674</v>
      </c>
      <c r="JR10" s="3119">
        <f t="shared" si="292"/>
        <v>45973.374999999338</v>
      </c>
      <c r="JS10" s="3119">
        <f t="shared" si="293"/>
        <v>45973.416666666002</v>
      </c>
      <c r="JT10" s="3119">
        <f t="shared" si="294"/>
        <v>45973.458333332666</v>
      </c>
      <c r="JU10" s="3119">
        <f t="shared" si="295"/>
        <v>45973.499999999331</v>
      </c>
      <c r="JV10" s="3119">
        <f t="shared" si="296"/>
        <v>45973.541666665995</v>
      </c>
      <c r="JW10" s="3119">
        <f t="shared" si="297"/>
        <v>45973.583333332659</v>
      </c>
      <c r="JX10" s="3119">
        <f t="shared" si="298"/>
        <v>45973.624999999323</v>
      </c>
      <c r="JY10" s="3119">
        <f t="shared" si="299"/>
        <v>45973.666666665988</v>
      </c>
      <c r="JZ10" s="3119">
        <f t="shared" si="300"/>
        <v>45973.708333332652</v>
      </c>
      <c r="KA10" s="3119">
        <f t="shared" si="301"/>
        <v>45973.749999999316</v>
      </c>
      <c r="KB10" s="3119">
        <f t="shared" si="302"/>
        <v>45973.79166666598</v>
      </c>
      <c r="KC10" s="3119">
        <f t="shared" si="303"/>
        <v>45973.833333332645</v>
      </c>
      <c r="KD10" s="3119">
        <f t="shared" si="304"/>
        <v>45973.874999999309</v>
      </c>
      <c r="KE10" s="3119">
        <f t="shared" si="305"/>
        <v>45973.916666665973</v>
      </c>
      <c r="KF10" s="3119">
        <f t="shared" si="306"/>
        <v>45973.958333332637</v>
      </c>
      <c r="KG10" s="3119">
        <f t="shared" si="307"/>
        <v>45973.999999999302</v>
      </c>
      <c r="KH10" s="3119">
        <f t="shared" si="308"/>
        <v>45974.041666665966</v>
      </c>
      <c r="KI10" s="3119">
        <f t="shared" si="309"/>
        <v>45974.08333333263</v>
      </c>
      <c r="KJ10" s="3119">
        <f t="shared" si="310"/>
        <v>45974.124999999294</v>
      </c>
      <c r="KK10" s="3119">
        <f t="shared" si="311"/>
        <v>45974.166666665958</v>
      </c>
      <c r="KL10" s="3119">
        <f t="shared" si="312"/>
        <v>45974.208333332623</v>
      </c>
      <c r="KM10" s="3119">
        <f t="shared" si="313"/>
        <v>45974.249999999287</v>
      </c>
      <c r="KN10" s="3119">
        <f t="shared" si="314"/>
        <v>45974.291666665951</v>
      </c>
      <c r="KO10" s="3119">
        <f t="shared" si="315"/>
        <v>45974.333333332615</v>
      </c>
      <c r="KP10" s="3119">
        <f t="shared" si="316"/>
        <v>45974.37499999928</v>
      </c>
      <c r="KQ10" s="3119">
        <f t="shared" si="317"/>
        <v>45974.416666665944</v>
      </c>
      <c r="KR10" s="3119">
        <f t="shared" si="318"/>
        <v>45974.458333332608</v>
      </c>
      <c r="KS10" s="3119">
        <f t="shared" si="319"/>
        <v>45974.499999999272</v>
      </c>
      <c r="KT10" s="3119">
        <f t="shared" si="320"/>
        <v>45974.541666665937</v>
      </c>
      <c r="KU10" s="3119">
        <f t="shared" si="321"/>
        <v>45974.583333332601</v>
      </c>
      <c r="KV10" s="3119">
        <f t="shared" si="322"/>
        <v>45974.624999999265</v>
      </c>
      <c r="KW10" s="3119">
        <f t="shared" si="323"/>
        <v>45974.666666665929</v>
      </c>
      <c r="KX10" s="3119">
        <f t="shared" si="324"/>
        <v>45974.708333332594</v>
      </c>
      <c r="KY10" s="3119">
        <f t="shared" si="325"/>
        <v>45974.749999999258</v>
      </c>
      <c r="KZ10" s="3119">
        <f t="shared" si="326"/>
        <v>45974.791666665922</v>
      </c>
      <c r="LA10" s="3119">
        <f t="shared" si="327"/>
        <v>45974.833333332586</v>
      </c>
      <c r="LB10" s="3119">
        <f t="shared" si="328"/>
        <v>45974.874999999251</v>
      </c>
      <c r="LC10" s="3119">
        <f t="shared" si="329"/>
        <v>45974.916666665915</v>
      </c>
      <c r="LD10" s="3119">
        <f t="shared" si="330"/>
        <v>45974.958333332579</v>
      </c>
      <c r="LE10" s="3119">
        <f t="shared" si="331"/>
        <v>45974.999999999243</v>
      </c>
      <c r="LF10" s="3119">
        <f t="shared" si="332"/>
        <v>45975.041666665908</v>
      </c>
      <c r="LG10" s="3119">
        <f t="shared" si="333"/>
        <v>45975.083333332572</v>
      </c>
      <c r="LH10" s="3119">
        <f t="shared" si="334"/>
        <v>45975.124999999236</v>
      </c>
      <c r="LI10" s="3119">
        <f t="shared" si="335"/>
        <v>45975.1666666659</v>
      </c>
      <c r="LJ10" s="3119">
        <f t="shared" si="336"/>
        <v>45975.208333332565</v>
      </c>
      <c r="LK10" s="3119">
        <f t="shared" si="337"/>
        <v>45975.249999999229</v>
      </c>
      <c r="LL10" s="3119">
        <f t="shared" si="338"/>
        <v>45975.291666665893</v>
      </c>
      <c r="LM10" s="3119">
        <f t="shared" si="339"/>
        <v>45975.333333332557</v>
      </c>
      <c r="LN10" s="3119">
        <f t="shared" si="18"/>
        <v>45975.374999999221</v>
      </c>
      <c r="LO10" s="3119">
        <f t="shared" si="340"/>
        <v>45975.416666665886</v>
      </c>
      <c r="LP10" s="3119">
        <f t="shared" si="341"/>
        <v>45975.45833333255</v>
      </c>
      <c r="LQ10" s="3119">
        <f t="shared" si="342"/>
        <v>45975.499999999214</v>
      </c>
      <c r="LR10" s="3119">
        <f t="shared" si="343"/>
        <v>45975.541666665878</v>
      </c>
      <c r="LS10" s="3119">
        <f t="shared" si="344"/>
        <v>45975.583333332543</v>
      </c>
      <c r="LT10" s="3119">
        <f t="shared" si="345"/>
        <v>45975.624999999207</v>
      </c>
      <c r="LU10" s="3119">
        <f t="shared" si="346"/>
        <v>45975.666666665871</v>
      </c>
      <c r="LV10" s="3119">
        <f t="shared" si="347"/>
        <v>45975.708333332535</v>
      </c>
      <c r="LW10" s="3119">
        <f t="shared" si="348"/>
        <v>45975.7499999992</v>
      </c>
      <c r="LX10" s="3119">
        <f t="shared" si="349"/>
        <v>45975.791666665864</v>
      </c>
      <c r="LY10" s="3119">
        <f t="shared" si="350"/>
        <v>45975.833333332528</v>
      </c>
      <c r="LZ10" s="3119">
        <f t="shared" si="351"/>
        <v>45975.874999999192</v>
      </c>
      <c r="MA10" s="3119">
        <f t="shared" si="352"/>
        <v>45975.916666665857</v>
      </c>
      <c r="MB10" s="3119">
        <f t="shared" si="353"/>
        <v>45975.958333332521</v>
      </c>
      <c r="MC10" s="3119">
        <f t="shared" si="354"/>
        <v>45975.999999999185</v>
      </c>
      <c r="MD10" s="3119">
        <f t="shared" si="355"/>
        <v>45976.041666665849</v>
      </c>
      <c r="ME10" s="3119">
        <f t="shared" si="356"/>
        <v>45976.083333332514</v>
      </c>
      <c r="MF10" s="3119">
        <f t="shared" si="357"/>
        <v>45976.124999999178</v>
      </c>
      <c r="MG10" s="3119">
        <f t="shared" si="358"/>
        <v>45976.166666665842</v>
      </c>
      <c r="MH10" s="3119">
        <f t="shared" si="359"/>
        <v>45976.208333332506</v>
      </c>
      <c r="MI10" s="3119">
        <f t="shared" si="360"/>
        <v>45976.249999999171</v>
      </c>
      <c r="MJ10" s="3119">
        <f t="shared" si="361"/>
        <v>45976.291666665835</v>
      </c>
      <c r="MK10" s="3119">
        <f t="shared" si="362"/>
        <v>45976.333333332499</v>
      </c>
      <c r="ML10" s="3119">
        <f t="shared" si="363"/>
        <v>45976.374999999163</v>
      </c>
      <c r="MM10" s="3119">
        <f t="shared" si="364"/>
        <v>45976.416666665828</v>
      </c>
      <c r="MN10" s="3119">
        <f t="shared" si="365"/>
        <v>45976.458333332492</v>
      </c>
      <c r="MO10" s="3119">
        <f t="shared" si="366"/>
        <v>45976.499999999156</v>
      </c>
      <c r="MP10" s="3119">
        <f t="shared" si="367"/>
        <v>45976.54166666582</v>
      </c>
      <c r="MQ10" s="3119">
        <f t="shared" si="368"/>
        <v>45976.583333332484</v>
      </c>
      <c r="MR10" s="3119">
        <f t="shared" si="369"/>
        <v>45976.624999999149</v>
      </c>
      <c r="MS10" s="3119">
        <f t="shared" si="370"/>
        <v>45976.666666665813</v>
      </c>
      <c r="MT10" s="3119">
        <f t="shared" si="371"/>
        <v>45976.708333332477</v>
      </c>
      <c r="MU10" s="3119">
        <f t="shared" si="372"/>
        <v>45976.749999999141</v>
      </c>
      <c r="MV10" s="3119">
        <f t="shared" si="373"/>
        <v>45976.791666665806</v>
      </c>
      <c r="MW10" s="3119">
        <f t="shared" si="374"/>
        <v>45976.83333333247</v>
      </c>
      <c r="MX10" s="3119">
        <f t="shared" si="375"/>
        <v>45976.874999999134</v>
      </c>
      <c r="MY10" s="3119">
        <f t="shared" si="376"/>
        <v>45976.916666665798</v>
      </c>
      <c r="MZ10" s="3119">
        <f t="shared" si="377"/>
        <v>45976.958333332463</v>
      </c>
      <c r="NA10" s="3119">
        <f t="shared" si="378"/>
        <v>45976.999999999127</v>
      </c>
      <c r="NB10" s="3119">
        <f t="shared" si="379"/>
        <v>45977.041666665791</v>
      </c>
      <c r="NC10" s="3119">
        <f t="shared" si="380"/>
        <v>45977.083333332455</v>
      </c>
      <c r="ND10" s="3119">
        <f t="shared" si="381"/>
        <v>45977.12499999912</v>
      </c>
      <c r="NE10" s="3119">
        <f t="shared" si="382"/>
        <v>45977.166666665784</v>
      </c>
      <c r="NF10" s="3119">
        <f t="shared" si="383"/>
        <v>45977.208333332448</v>
      </c>
      <c r="NG10" s="3119">
        <f t="shared" si="384"/>
        <v>45977.249999999112</v>
      </c>
      <c r="NH10" s="3119">
        <f t="shared" si="385"/>
        <v>45977.291666665777</v>
      </c>
      <c r="NI10" s="3119">
        <f t="shared" si="386"/>
        <v>45977.333333332441</v>
      </c>
      <c r="NJ10" s="3119">
        <f t="shared" si="387"/>
        <v>45977.374999999105</v>
      </c>
      <c r="NK10" s="3119">
        <f t="shared" si="388"/>
        <v>45977.416666665769</v>
      </c>
      <c r="NL10" s="3119">
        <f t="shared" si="389"/>
        <v>45977.458333332434</v>
      </c>
      <c r="NM10" s="3119">
        <f t="shared" si="390"/>
        <v>45977.499999999098</v>
      </c>
      <c r="NN10" s="3119">
        <f t="shared" si="391"/>
        <v>45977.541666665762</v>
      </c>
      <c r="NO10" s="3119">
        <f t="shared" si="392"/>
        <v>45977.583333332426</v>
      </c>
      <c r="NP10" s="3119">
        <f t="shared" si="393"/>
        <v>45977.624999999091</v>
      </c>
      <c r="NQ10" s="3119">
        <f t="shared" si="394"/>
        <v>45977.666666665755</v>
      </c>
      <c r="NR10" s="3119">
        <f t="shared" si="395"/>
        <v>45977.708333332419</v>
      </c>
      <c r="NS10" s="3119">
        <f t="shared" si="396"/>
        <v>45977.749999999083</v>
      </c>
      <c r="NT10" s="3119">
        <f t="shared" si="397"/>
        <v>45977.791666665747</v>
      </c>
      <c r="NU10" s="3119">
        <f t="shared" si="398"/>
        <v>45977.833333332412</v>
      </c>
      <c r="NV10" s="3119">
        <f t="shared" si="399"/>
        <v>45977.874999999076</v>
      </c>
      <c r="NW10" s="3119">
        <f t="shared" si="400"/>
        <v>45977.91666666574</v>
      </c>
      <c r="NX10" s="3119">
        <f t="shared" si="401"/>
        <v>45977.958333332404</v>
      </c>
      <c r="NY10" s="3119">
        <f t="shared" si="402"/>
        <v>45977.999999999069</v>
      </c>
      <c r="NZ10" s="3119">
        <f t="shared" si="19"/>
        <v>45978.041666665733</v>
      </c>
      <c r="OA10" s="3119">
        <f t="shared" si="403"/>
        <v>45978.083333332397</v>
      </c>
      <c r="OB10" s="3119">
        <f t="shared" si="404"/>
        <v>45978.124999999061</v>
      </c>
      <c r="OC10" s="3119">
        <f t="shared" si="405"/>
        <v>45978.166666665726</v>
      </c>
      <c r="OD10" s="3119">
        <f t="shared" si="406"/>
        <v>45978.20833333239</v>
      </c>
      <c r="OE10" s="3119">
        <f t="shared" si="407"/>
        <v>45978.249999999054</v>
      </c>
      <c r="OF10" s="3119">
        <f t="shared" si="408"/>
        <v>45978.291666665718</v>
      </c>
      <c r="OG10" s="3119">
        <f t="shared" si="409"/>
        <v>45978.333333332383</v>
      </c>
      <c r="OH10" s="3119">
        <f t="shared" si="410"/>
        <v>45978.374999999047</v>
      </c>
      <c r="OI10" s="3119">
        <f t="shared" si="411"/>
        <v>45978.416666665711</v>
      </c>
      <c r="OJ10" s="3119">
        <f t="shared" si="412"/>
        <v>45978.458333332375</v>
      </c>
      <c r="OK10" s="3119">
        <f t="shared" si="413"/>
        <v>45978.49999999904</v>
      </c>
      <c r="OL10" s="3119">
        <f t="shared" si="414"/>
        <v>45978.541666665704</v>
      </c>
      <c r="OM10" s="3119">
        <f t="shared" si="415"/>
        <v>45978.583333332368</v>
      </c>
      <c r="ON10" s="3119">
        <f t="shared" si="416"/>
        <v>45978.624999999032</v>
      </c>
      <c r="OO10" s="3119">
        <f t="shared" si="417"/>
        <v>45978.666666665697</v>
      </c>
      <c r="OP10" s="3119">
        <f t="shared" si="418"/>
        <v>45978.708333332361</v>
      </c>
      <c r="OQ10" s="3119">
        <f t="shared" si="419"/>
        <v>45978.749999999025</v>
      </c>
      <c r="OR10" s="3119">
        <f t="shared" si="420"/>
        <v>45978.791666665689</v>
      </c>
      <c r="OS10" s="3119">
        <f t="shared" si="421"/>
        <v>45978.833333332354</v>
      </c>
      <c r="OT10" s="3119">
        <f t="shared" si="422"/>
        <v>45978.874999999018</v>
      </c>
      <c r="OU10" s="3119">
        <f t="shared" si="423"/>
        <v>45978.916666665682</v>
      </c>
      <c r="OV10" s="3119">
        <f t="shared" si="424"/>
        <v>45978.958333332346</v>
      </c>
      <c r="OW10" s="3119">
        <f t="shared" si="425"/>
        <v>45978.99999999901</v>
      </c>
      <c r="OX10" s="3119">
        <f t="shared" si="426"/>
        <v>45979.041666665675</v>
      </c>
      <c r="OY10" s="3119">
        <f t="shared" si="427"/>
        <v>45979.083333332339</v>
      </c>
      <c r="OZ10" s="3119">
        <f t="shared" si="428"/>
        <v>45979.124999999003</v>
      </c>
      <c r="PA10" s="3119">
        <f t="shared" si="429"/>
        <v>45979.166666665667</v>
      </c>
      <c r="PB10" s="3119">
        <f t="shared" si="430"/>
        <v>45979.208333332332</v>
      </c>
      <c r="PC10" s="3119">
        <f t="shared" si="431"/>
        <v>45979.249999998996</v>
      </c>
      <c r="PD10" s="3119">
        <f t="shared" si="432"/>
        <v>45979.29166666566</v>
      </c>
      <c r="PE10" s="3119">
        <f t="shared" si="433"/>
        <v>45979.333333332324</v>
      </c>
      <c r="PF10" s="3119">
        <f t="shared" si="434"/>
        <v>45979.374999998989</v>
      </c>
      <c r="PG10" s="3119">
        <f t="shared" si="435"/>
        <v>45979.416666665653</v>
      </c>
      <c r="PH10" s="3119">
        <f t="shared" si="436"/>
        <v>45979.458333332317</v>
      </c>
      <c r="PI10" s="3119">
        <f t="shared" si="437"/>
        <v>45979.499999998981</v>
      </c>
      <c r="PJ10" s="3119">
        <f t="shared" si="438"/>
        <v>45979.541666665646</v>
      </c>
      <c r="PK10" s="3119">
        <f t="shared" si="439"/>
        <v>45979.58333333231</v>
      </c>
      <c r="PL10" s="3119">
        <f t="shared" si="440"/>
        <v>45979.624999998974</v>
      </c>
      <c r="PM10" s="3119">
        <f t="shared" si="441"/>
        <v>45979.666666665638</v>
      </c>
      <c r="PN10" s="3119">
        <f t="shared" si="442"/>
        <v>45979.708333332303</v>
      </c>
      <c r="PO10" s="3119">
        <f t="shared" si="443"/>
        <v>45979.749999998967</v>
      </c>
      <c r="PP10" s="3119">
        <f t="shared" si="444"/>
        <v>45979.791666665631</v>
      </c>
      <c r="PQ10" s="3119">
        <f t="shared" si="445"/>
        <v>45979.833333332295</v>
      </c>
      <c r="PR10" s="3119">
        <f t="shared" si="446"/>
        <v>45979.87499999896</v>
      </c>
      <c r="PS10" s="3119">
        <f t="shared" si="447"/>
        <v>45979.916666665624</v>
      </c>
      <c r="PT10" s="3119">
        <f t="shared" si="448"/>
        <v>45979.958333332288</v>
      </c>
      <c r="PU10" s="3119">
        <f t="shared" si="449"/>
        <v>45979.999999998952</v>
      </c>
      <c r="PV10" s="3119">
        <f t="shared" si="450"/>
        <v>45980.041666665617</v>
      </c>
      <c r="PW10" s="3119">
        <f t="shared" si="451"/>
        <v>45980.083333332281</v>
      </c>
      <c r="PX10" s="3119">
        <f t="shared" si="452"/>
        <v>45980.124999998945</v>
      </c>
      <c r="PY10" s="3119">
        <f t="shared" si="453"/>
        <v>45980.166666665609</v>
      </c>
      <c r="PZ10" s="3119">
        <f t="shared" si="454"/>
        <v>45980.208333332273</v>
      </c>
      <c r="QA10" s="3119">
        <f t="shared" si="455"/>
        <v>45980.249999998938</v>
      </c>
      <c r="QB10" s="3119">
        <f t="shared" si="456"/>
        <v>45980.291666665602</v>
      </c>
      <c r="QC10" s="3119">
        <f t="shared" si="457"/>
        <v>45980.333333332266</v>
      </c>
      <c r="QD10" s="3119">
        <f t="shared" si="458"/>
        <v>45980.37499999893</v>
      </c>
      <c r="QE10" s="3119">
        <f t="shared" si="459"/>
        <v>45980.416666665595</v>
      </c>
      <c r="QF10" s="3119">
        <f t="shared" si="460"/>
        <v>45980.458333332259</v>
      </c>
      <c r="QG10" s="3119">
        <f t="shared" si="461"/>
        <v>45980.499999998923</v>
      </c>
      <c r="QH10" s="3119">
        <f t="shared" si="462"/>
        <v>45980.541666665587</v>
      </c>
      <c r="QI10" s="3119">
        <f t="shared" si="463"/>
        <v>45980.583333332252</v>
      </c>
      <c r="QJ10" s="3119">
        <f t="shared" si="464"/>
        <v>45980.624999998916</v>
      </c>
      <c r="QK10" s="3119">
        <f t="shared" si="465"/>
        <v>45980.66666666558</v>
      </c>
      <c r="QL10" s="3119">
        <f t="shared" si="20"/>
        <v>45980.708333332244</v>
      </c>
      <c r="QM10" s="3119">
        <f t="shared" si="466"/>
        <v>45980.749999998909</v>
      </c>
      <c r="QN10" s="3119">
        <f t="shared" si="467"/>
        <v>45980.791666665573</v>
      </c>
      <c r="QO10" s="3119">
        <f t="shared" si="468"/>
        <v>45980.833333332237</v>
      </c>
      <c r="QP10" s="3119">
        <f t="shared" si="469"/>
        <v>45980.874999998901</v>
      </c>
      <c r="QQ10" s="3119">
        <f t="shared" si="470"/>
        <v>45980.916666665566</v>
      </c>
      <c r="QR10" s="3119">
        <f t="shared" si="471"/>
        <v>45980.95833333223</v>
      </c>
      <c r="QS10" s="3119">
        <f t="shared" si="472"/>
        <v>45980.999999998894</v>
      </c>
      <c r="QT10" s="3119">
        <f t="shared" si="473"/>
        <v>45981.041666665558</v>
      </c>
      <c r="QU10" s="3119">
        <f t="shared" si="474"/>
        <v>45981.083333332223</v>
      </c>
      <c r="QV10" s="3119">
        <f t="shared" si="475"/>
        <v>45981.124999998887</v>
      </c>
      <c r="QW10" s="3119">
        <f t="shared" si="476"/>
        <v>45981.166666665551</v>
      </c>
      <c r="QX10" s="3119">
        <f t="shared" si="477"/>
        <v>45981.208333332215</v>
      </c>
      <c r="QY10" s="3119">
        <f t="shared" si="478"/>
        <v>45981.24999999888</v>
      </c>
      <c r="QZ10" s="3119">
        <f t="shared" si="479"/>
        <v>45981.291666665544</v>
      </c>
      <c r="RA10" s="3119">
        <f t="shared" si="480"/>
        <v>45981.333333332208</v>
      </c>
      <c r="RB10" s="3119">
        <f t="shared" si="481"/>
        <v>45981.374999998872</v>
      </c>
      <c r="RC10" s="3119">
        <f t="shared" si="482"/>
        <v>45981.416666665536</v>
      </c>
      <c r="RD10" s="3119">
        <f t="shared" si="483"/>
        <v>45981.458333332201</v>
      </c>
      <c r="RE10" s="3119">
        <f t="shared" si="484"/>
        <v>45981.499999998865</v>
      </c>
      <c r="RF10" s="3119">
        <f t="shared" si="485"/>
        <v>45981.541666665529</v>
      </c>
      <c r="RG10" s="3119">
        <f t="shared" si="486"/>
        <v>45981.583333332193</v>
      </c>
      <c r="RH10" s="3119">
        <f t="shared" si="487"/>
        <v>45981.624999998858</v>
      </c>
      <c r="RI10" s="3119">
        <f t="shared" si="488"/>
        <v>45981.666666665522</v>
      </c>
      <c r="RJ10" s="3119">
        <f t="shared" si="489"/>
        <v>45981.708333332186</v>
      </c>
      <c r="RK10" s="3119">
        <f t="shared" si="490"/>
        <v>45981.74999999885</v>
      </c>
      <c r="RL10" s="3119">
        <f t="shared" si="491"/>
        <v>45981.791666665515</v>
      </c>
      <c r="RM10" s="3119">
        <f t="shared" si="492"/>
        <v>45981.833333332179</v>
      </c>
      <c r="RN10" s="3119">
        <f t="shared" si="493"/>
        <v>45981.874999998843</v>
      </c>
      <c r="RO10" s="3119">
        <f t="shared" si="494"/>
        <v>45981.916666665507</v>
      </c>
      <c r="RP10" s="3119">
        <f t="shared" si="495"/>
        <v>45981.958333332172</v>
      </c>
      <c r="RQ10" s="3119">
        <f t="shared" si="496"/>
        <v>45981.999999998836</v>
      </c>
      <c r="RR10" s="3119">
        <f t="shared" si="497"/>
        <v>45982.0416666655</v>
      </c>
      <c r="RS10" s="3119">
        <f t="shared" si="498"/>
        <v>45982.083333332164</v>
      </c>
      <c r="RT10" s="3119">
        <f t="shared" si="499"/>
        <v>45982.124999998829</v>
      </c>
      <c r="RU10" s="3119">
        <f t="shared" si="500"/>
        <v>45982.166666665493</v>
      </c>
      <c r="RV10" s="3119">
        <f t="shared" si="501"/>
        <v>45982.208333332157</v>
      </c>
      <c r="RW10" s="3119">
        <f t="shared" si="502"/>
        <v>45982.249999998821</v>
      </c>
      <c r="RX10" s="3119">
        <f t="shared" si="503"/>
        <v>45982.291666665486</v>
      </c>
      <c r="RY10" s="3119">
        <f t="shared" si="504"/>
        <v>45982.33333333215</v>
      </c>
      <c r="RZ10" s="3119">
        <f t="shared" si="505"/>
        <v>45982.374999998814</v>
      </c>
      <c r="SA10" s="3119">
        <f t="shared" si="506"/>
        <v>45982.416666665478</v>
      </c>
      <c r="SB10" s="3119">
        <f t="shared" si="507"/>
        <v>45982.458333332143</v>
      </c>
      <c r="SC10" s="3119">
        <f t="shared" si="508"/>
        <v>45982.499999998807</v>
      </c>
      <c r="SD10" s="3119">
        <f t="shared" si="509"/>
        <v>45982.541666665471</v>
      </c>
      <c r="SE10" s="3119">
        <f t="shared" si="510"/>
        <v>45982.583333332135</v>
      </c>
      <c r="SF10" s="3119">
        <f t="shared" si="511"/>
        <v>45982.624999998799</v>
      </c>
      <c r="SG10" s="3119">
        <f t="shared" si="512"/>
        <v>45982.666666665464</v>
      </c>
      <c r="SH10" s="3119">
        <f t="shared" si="513"/>
        <v>45982.708333332128</v>
      </c>
      <c r="SI10" s="3119">
        <f t="shared" si="514"/>
        <v>45982.749999998792</v>
      </c>
      <c r="SJ10" s="3119">
        <f t="shared" si="515"/>
        <v>45982.791666665456</v>
      </c>
      <c r="SK10" s="3119">
        <f t="shared" si="516"/>
        <v>45982.833333332121</v>
      </c>
      <c r="SL10" s="3119">
        <f t="shared" si="517"/>
        <v>45982.874999998785</v>
      </c>
      <c r="SM10" s="3119">
        <f t="shared" si="518"/>
        <v>45982.916666665449</v>
      </c>
      <c r="SN10" s="3119">
        <f t="shared" si="519"/>
        <v>45982.958333332113</v>
      </c>
      <c r="SO10" s="3119">
        <f t="shared" si="520"/>
        <v>45982.999999998778</v>
      </c>
      <c r="SP10" s="3119">
        <f t="shared" si="521"/>
        <v>45983.041666665442</v>
      </c>
      <c r="SQ10" s="3119">
        <f t="shared" si="522"/>
        <v>45983.083333332106</v>
      </c>
      <c r="SR10" s="3119">
        <f t="shared" si="523"/>
        <v>45983.12499999877</v>
      </c>
      <c r="SS10" s="3119">
        <f t="shared" si="524"/>
        <v>45983.166666665435</v>
      </c>
      <c r="ST10" s="3119">
        <f t="shared" si="525"/>
        <v>45983.208333332099</v>
      </c>
      <c r="SU10" s="3119">
        <f t="shared" si="526"/>
        <v>45983.249999998763</v>
      </c>
      <c r="SV10" s="3119">
        <f t="shared" si="527"/>
        <v>45983.291666665427</v>
      </c>
      <c r="SW10" s="3119">
        <f t="shared" si="528"/>
        <v>45983.333333332092</v>
      </c>
      <c r="SX10" s="3119">
        <f t="shared" si="21"/>
        <v>45983.374999998756</v>
      </c>
      <c r="SY10" s="3119">
        <f t="shared" si="529"/>
        <v>45983.41666666542</v>
      </c>
      <c r="SZ10" s="3119">
        <f t="shared" si="530"/>
        <v>45983.458333332084</v>
      </c>
      <c r="TA10" s="3119">
        <f t="shared" si="531"/>
        <v>45983.499999998749</v>
      </c>
      <c r="TB10" s="3119">
        <f t="shared" si="532"/>
        <v>45983.541666665413</v>
      </c>
      <c r="TC10" s="3119">
        <f t="shared" si="533"/>
        <v>45983.583333332077</v>
      </c>
      <c r="TD10" s="3119">
        <f t="shared" si="534"/>
        <v>45983.624999998741</v>
      </c>
      <c r="TE10" s="3119">
        <f t="shared" si="535"/>
        <v>45983.666666665406</v>
      </c>
      <c r="TF10" s="3119">
        <f t="shared" si="536"/>
        <v>45983.70833333207</v>
      </c>
      <c r="TG10" s="3119">
        <f t="shared" si="537"/>
        <v>45983.749999998734</v>
      </c>
      <c r="TH10" s="3119">
        <f t="shared" si="538"/>
        <v>45983.791666665398</v>
      </c>
      <c r="TI10" s="3119">
        <f t="shared" si="539"/>
        <v>45983.833333332062</v>
      </c>
      <c r="TJ10" s="3119">
        <f t="shared" si="540"/>
        <v>45983.874999998727</v>
      </c>
      <c r="TK10" s="3119">
        <f t="shared" si="541"/>
        <v>45983.916666665391</v>
      </c>
      <c r="TL10" s="3119">
        <f t="shared" si="542"/>
        <v>45983.958333332055</v>
      </c>
      <c r="TM10" s="3119">
        <f t="shared" si="543"/>
        <v>45983.999999998719</v>
      </c>
      <c r="TN10" s="3119">
        <f t="shared" si="544"/>
        <v>45984.041666665384</v>
      </c>
      <c r="TO10" s="3119">
        <f t="shared" si="545"/>
        <v>45984.083333332048</v>
      </c>
      <c r="TP10" s="3119">
        <f t="shared" si="546"/>
        <v>45984.124999998712</v>
      </c>
      <c r="TQ10" s="3119">
        <f t="shared" si="547"/>
        <v>45984.166666665376</v>
      </c>
      <c r="TR10" s="3119">
        <f t="shared" si="548"/>
        <v>45984.208333332041</v>
      </c>
      <c r="TS10" s="3119">
        <f t="shared" si="549"/>
        <v>45984.249999998705</v>
      </c>
      <c r="TT10" s="3119">
        <f t="shared" si="550"/>
        <v>45984.291666665369</v>
      </c>
      <c r="TU10" s="3119">
        <f t="shared" si="551"/>
        <v>45984.333333332033</v>
      </c>
      <c r="TV10" s="3119">
        <f t="shared" si="552"/>
        <v>45984.374999998698</v>
      </c>
      <c r="TW10" s="3119">
        <f t="shared" si="553"/>
        <v>45984.416666665362</v>
      </c>
      <c r="TX10" s="3119">
        <f t="shared" si="554"/>
        <v>45984.458333332026</v>
      </c>
      <c r="TY10" s="3119">
        <f t="shared" si="555"/>
        <v>45984.49999999869</v>
      </c>
      <c r="TZ10" s="3119">
        <f t="shared" si="556"/>
        <v>45984.541666665355</v>
      </c>
      <c r="UA10" s="3119">
        <f t="shared" si="557"/>
        <v>45984.583333332019</v>
      </c>
      <c r="UB10" s="3119">
        <f t="shared" si="558"/>
        <v>45984.624999998683</v>
      </c>
      <c r="UC10" s="3119">
        <f t="shared" si="559"/>
        <v>45984.666666665347</v>
      </c>
      <c r="UD10" s="3119">
        <f t="shared" si="560"/>
        <v>45984.708333332012</v>
      </c>
      <c r="UE10" s="3119">
        <f t="shared" si="561"/>
        <v>45984.749999998676</v>
      </c>
      <c r="UF10" s="3119">
        <f t="shared" si="562"/>
        <v>45984.79166666534</v>
      </c>
      <c r="UG10" s="3119">
        <f t="shared" si="563"/>
        <v>45984.833333332004</v>
      </c>
      <c r="UH10" s="3119">
        <f t="shared" si="564"/>
        <v>45984.874999998668</v>
      </c>
      <c r="UI10" s="3119">
        <f t="shared" si="565"/>
        <v>45984.916666665333</v>
      </c>
      <c r="UJ10" s="3119">
        <f t="shared" si="566"/>
        <v>45984.958333331997</v>
      </c>
      <c r="UK10" s="3119">
        <f t="shared" si="567"/>
        <v>45984.999999998661</v>
      </c>
      <c r="UL10" s="3119">
        <f t="shared" si="568"/>
        <v>45985.041666665325</v>
      </c>
      <c r="UM10" s="3119">
        <f t="shared" si="569"/>
        <v>45985.08333333199</v>
      </c>
      <c r="UN10" s="3119">
        <f t="shared" si="570"/>
        <v>45985.124999998654</v>
      </c>
      <c r="UO10" s="3119">
        <f t="shared" si="571"/>
        <v>45985.166666665318</v>
      </c>
      <c r="UP10" s="3119">
        <f t="shared" si="572"/>
        <v>45985.208333331982</v>
      </c>
      <c r="UQ10" s="3119">
        <f t="shared" si="573"/>
        <v>45985.249999998647</v>
      </c>
      <c r="UR10" s="3119">
        <f t="shared" si="574"/>
        <v>45985.291666665311</v>
      </c>
      <c r="US10" s="3119">
        <f t="shared" si="575"/>
        <v>45985.333333331975</v>
      </c>
      <c r="UT10" s="3119">
        <f t="shared" si="576"/>
        <v>45985.374999998639</v>
      </c>
      <c r="UU10" s="3119">
        <f t="shared" si="577"/>
        <v>45985.416666665304</v>
      </c>
      <c r="UV10" s="3119">
        <f t="shared" si="578"/>
        <v>45985.458333331968</v>
      </c>
      <c r="UW10" s="3119">
        <f t="shared" si="579"/>
        <v>45985.499999998632</v>
      </c>
      <c r="UX10" s="3119">
        <f t="shared" si="580"/>
        <v>45985.541666665296</v>
      </c>
      <c r="UY10" s="3119">
        <f t="shared" si="581"/>
        <v>45985.583333331961</v>
      </c>
      <c r="UZ10" s="3119">
        <f t="shared" si="582"/>
        <v>45985.624999998625</v>
      </c>
      <c r="VA10" s="3119">
        <f t="shared" si="583"/>
        <v>45985.666666665289</v>
      </c>
      <c r="VB10" s="3119">
        <f t="shared" si="584"/>
        <v>45985.708333331953</v>
      </c>
      <c r="VC10" s="3119">
        <f t="shared" si="585"/>
        <v>45985.749999998618</v>
      </c>
      <c r="VD10" s="3119">
        <f t="shared" si="586"/>
        <v>45985.791666665282</v>
      </c>
      <c r="VE10" s="3119">
        <f t="shared" si="587"/>
        <v>45985.833333331946</v>
      </c>
      <c r="VF10" s="3119">
        <f t="shared" si="588"/>
        <v>45985.87499999861</v>
      </c>
      <c r="VG10" s="3119">
        <f t="shared" si="589"/>
        <v>45985.916666665275</v>
      </c>
      <c r="VH10" s="3119">
        <f t="shared" si="590"/>
        <v>45985.958333331939</v>
      </c>
      <c r="VI10" s="3119">
        <f t="shared" si="591"/>
        <v>45985.999999998603</v>
      </c>
      <c r="VJ10" s="3119">
        <f t="shared" si="22"/>
        <v>45986.041666665267</v>
      </c>
      <c r="VK10" s="3119">
        <f t="shared" si="592"/>
        <v>45986.083333331931</v>
      </c>
      <c r="VL10" s="3119">
        <f t="shared" si="593"/>
        <v>45986.124999998596</v>
      </c>
      <c r="VM10" s="3119">
        <f t="shared" si="594"/>
        <v>45986.16666666526</v>
      </c>
      <c r="VN10" s="3119">
        <f t="shared" si="595"/>
        <v>45986.208333331924</v>
      </c>
      <c r="VO10" s="3119">
        <f t="shared" si="596"/>
        <v>45986.249999998588</v>
      </c>
      <c r="VP10" s="3119">
        <f t="shared" si="597"/>
        <v>45986.291666665253</v>
      </c>
      <c r="VQ10" s="3119">
        <f t="shared" si="598"/>
        <v>45986.333333331917</v>
      </c>
      <c r="VR10" s="3119">
        <f t="shared" si="599"/>
        <v>45986.374999998581</v>
      </c>
      <c r="VS10" s="3119">
        <f t="shared" si="600"/>
        <v>45986.416666665245</v>
      </c>
      <c r="VT10" s="3119">
        <f t="shared" si="601"/>
        <v>45986.45833333191</v>
      </c>
      <c r="VU10" s="3119">
        <f t="shared" si="602"/>
        <v>45986.499999998574</v>
      </c>
      <c r="VV10" s="3119">
        <f t="shared" si="603"/>
        <v>45986.541666665238</v>
      </c>
      <c r="VW10" s="3119">
        <f t="shared" si="604"/>
        <v>45986.583333331902</v>
      </c>
      <c r="VX10" s="3119">
        <f t="shared" si="605"/>
        <v>45986.624999998567</v>
      </c>
      <c r="VY10" s="3119">
        <f t="shared" si="606"/>
        <v>45986.666666665231</v>
      </c>
      <c r="VZ10" s="3119">
        <f t="shared" si="607"/>
        <v>45986.708333331895</v>
      </c>
      <c r="WA10" s="3119">
        <f t="shared" si="608"/>
        <v>45986.749999998559</v>
      </c>
      <c r="WB10" s="3119">
        <f t="shared" si="609"/>
        <v>45986.791666665224</v>
      </c>
      <c r="WC10" s="3119">
        <f t="shared" si="610"/>
        <v>45986.833333331888</v>
      </c>
      <c r="WD10" s="3119">
        <f t="shared" si="611"/>
        <v>45986.874999998552</v>
      </c>
      <c r="WE10" s="3119">
        <f t="shared" si="612"/>
        <v>45986.916666665216</v>
      </c>
      <c r="WF10" s="3119">
        <f t="shared" si="613"/>
        <v>45986.958333331881</v>
      </c>
      <c r="WG10" s="3119">
        <f t="shared" si="614"/>
        <v>45986.999999998545</v>
      </c>
      <c r="WH10" s="3119">
        <f t="shared" si="615"/>
        <v>45987.041666665209</v>
      </c>
      <c r="WI10" s="3119">
        <f t="shared" si="616"/>
        <v>45987.083333331873</v>
      </c>
      <c r="WJ10" s="3119">
        <f t="shared" si="617"/>
        <v>45987.124999998538</v>
      </c>
      <c r="WK10" s="3119">
        <f t="shared" si="618"/>
        <v>45987.166666665202</v>
      </c>
      <c r="WL10" s="3119">
        <f t="shared" si="619"/>
        <v>45987.208333331866</v>
      </c>
      <c r="WM10" s="3119">
        <f t="shared" si="620"/>
        <v>45987.24999999853</v>
      </c>
      <c r="WN10" s="3119">
        <f t="shared" si="621"/>
        <v>45987.291666665194</v>
      </c>
      <c r="WO10" s="3119">
        <f t="shared" si="622"/>
        <v>45987.333333331859</v>
      </c>
      <c r="WP10" s="3119">
        <f t="shared" si="623"/>
        <v>45987.374999998523</v>
      </c>
      <c r="WQ10" s="3119">
        <f t="shared" si="624"/>
        <v>45987.416666665187</v>
      </c>
      <c r="WR10" s="3119">
        <f t="shared" si="625"/>
        <v>45987.458333331851</v>
      </c>
      <c r="WS10" s="3119">
        <f t="shared" si="626"/>
        <v>45987.499999998516</v>
      </c>
      <c r="WT10" s="3119">
        <f t="shared" si="627"/>
        <v>45987.54166666518</v>
      </c>
      <c r="WU10" s="3119">
        <f t="shared" si="628"/>
        <v>45987.583333331844</v>
      </c>
      <c r="WV10" s="3119">
        <f t="shared" si="629"/>
        <v>45987.624999998508</v>
      </c>
      <c r="WW10" s="3119">
        <f t="shared" si="630"/>
        <v>45987.666666665173</v>
      </c>
      <c r="WX10" s="3119">
        <f t="shared" si="631"/>
        <v>45987.708333331837</v>
      </c>
      <c r="WY10" s="3119">
        <f t="shared" si="632"/>
        <v>45987.749999998501</v>
      </c>
      <c r="WZ10" s="3119">
        <f t="shared" si="633"/>
        <v>45987.791666665165</v>
      </c>
      <c r="XA10" s="3119">
        <f t="shared" si="634"/>
        <v>45987.83333333183</v>
      </c>
      <c r="XB10" s="3119">
        <f t="shared" si="635"/>
        <v>45987.874999998494</v>
      </c>
      <c r="XC10" s="3119">
        <f t="shared" si="636"/>
        <v>45987.916666665158</v>
      </c>
      <c r="XD10" s="3119">
        <f t="shared" si="637"/>
        <v>45987.958333331822</v>
      </c>
      <c r="XE10" s="3119">
        <f t="shared" si="638"/>
        <v>45987.999999998487</v>
      </c>
      <c r="XF10" s="3119">
        <f t="shared" si="639"/>
        <v>45988.041666665151</v>
      </c>
      <c r="XG10" s="3119">
        <f t="shared" si="640"/>
        <v>45988.083333331815</v>
      </c>
      <c r="XH10" s="3119">
        <f t="shared" si="641"/>
        <v>45988.124999998479</v>
      </c>
      <c r="XI10" s="3119">
        <f t="shared" si="642"/>
        <v>45988.166666665144</v>
      </c>
      <c r="XJ10" s="3119">
        <f t="shared" si="643"/>
        <v>45988.208333331808</v>
      </c>
      <c r="XK10" s="3119">
        <f t="shared" si="644"/>
        <v>45988.249999998472</v>
      </c>
      <c r="XL10" s="3119">
        <f t="shared" si="645"/>
        <v>45988.291666665136</v>
      </c>
      <c r="XM10" s="3119">
        <f t="shared" si="646"/>
        <v>45988.333333331801</v>
      </c>
      <c r="XN10" s="3119">
        <f t="shared" si="647"/>
        <v>45988.374999998465</v>
      </c>
      <c r="XO10" s="3119">
        <f t="shared" si="648"/>
        <v>45988.416666665129</v>
      </c>
      <c r="XP10" s="3119">
        <f t="shared" si="649"/>
        <v>45988.458333331793</v>
      </c>
      <c r="XQ10" s="3119">
        <f t="shared" si="650"/>
        <v>45988.499999998457</v>
      </c>
      <c r="XR10" s="3119">
        <f t="shared" si="651"/>
        <v>45988.541666665122</v>
      </c>
      <c r="XS10" s="3119">
        <f t="shared" si="652"/>
        <v>45988.583333331786</v>
      </c>
      <c r="XT10" s="3119">
        <f t="shared" si="653"/>
        <v>45988.62499999845</v>
      </c>
      <c r="XU10" s="3119">
        <f t="shared" si="654"/>
        <v>45988.666666665114</v>
      </c>
      <c r="XV10" s="3119">
        <f t="shared" si="23"/>
        <v>45988.708333331779</v>
      </c>
      <c r="XW10" s="3119">
        <f t="shared" si="655"/>
        <v>45988.749999998443</v>
      </c>
      <c r="XX10" s="3119">
        <f t="shared" si="656"/>
        <v>45988.791666665107</v>
      </c>
      <c r="XY10" s="3119">
        <f t="shared" si="657"/>
        <v>45988.833333331771</v>
      </c>
      <c r="XZ10" s="3119">
        <f t="shared" si="658"/>
        <v>45988.874999998436</v>
      </c>
      <c r="YA10" s="3119">
        <f t="shared" si="659"/>
        <v>45988.9166666651</v>
      </c>
      <c r="YB10" s="3119">
        <f t="shared" si="660"/>
        <v>45988.958333331764</v>
      </c>
      <c r="YC10" s="3119">
        <f t="shared" si="661"/>
        <v>45988.999999998428</v>
      </c>
      <c r="YD10" s="3119">
        <f t="shared" si="662"/>
        <v>45989.041666665093</v>
      </c>
      <c r="YE10" s="3119">
        <f t="shared" si="663"/>
        <v>45989.083333331757</v>
      </c>
      <c r="YF10" s="3119">
        <f t="shared" si="664"/>
        <v>45989.124999998421</v>
      </c>
      <c r="YG10" s="3119">
        <f t="shared" si="665"/>
        <v>45989.166666665085</v>
      </c>
      <c r="YH10" s="3119">
        <f t="shared" si="666"/>
        <v>45989.20833333175</v>
      </c>
      <c r="YI10" s="3119">
        <f t="shared" si="667"/>
        <v>45989.249999998414</v>
      </c>
      <c r="YJ10" s="3119">
        <f t="shared" si="668"/>
        <v>45989.291666665078</v>
      </c>
      <c r="YK10" s="3119">
        <f t="shared" si="669"/>
        <v>45989.333333331742</v>
      </c>
      <c r="YL10" s="3119">
        <f t="shared" si="670"/>
        <v>45989.374999998407</v>
      </c>
      <c r="YM10" s="3119">
        <f t="shared" si="671"/>
        <v>45989.416666665071</v>
      </c>
      <c r="YN10" s="3119">
        <f t="shared" si="672"/>
        <v>45989.458333331735</v>
      </c>
      <c r="YO10" s="3119">
        <f t="shared" si="673"/>
        <v>45989.499999998399</v>
      </c>
      <c r="YP10" s="3119">
        <f t="shared" si="674"/>
        <v>45989.541666665064</v>
      </c>
      <c r="YQ10" s="3119">
        <f t="shared" si="675"/>
        <v>45989.583333331728</v>
      </c>
      <c r="YR10" s="3119">
        <f t="shared" si="676"/>
        <v>45989.624999998392</v>
      </c>
      <c r="YS10" s="3119">
        <f t="shared" si="677"/>
        <v>45989.666666665056</v>
      </c>
      <c r="YT10" s="3119">
        <f t="shared" si="678"/>
        <v>45989.70833333172</v>
      </c>
      <c r="YU10" s="3119">
        <f t="shared" si="679"/>
        <v>45989.749999998385</v>
      </c>
      <c r="YV10" s="3119">
        <f t="shared" si="680"/>
        <v>45989.791666665049</v>
      </c>
      <c r="YW10" s="3119">
        <f t="shared" si="681"/>
        <v>45989.833333331713</v>
      </c>
      <c r="YX10" s="3119">
        <f t="shared" si="682"/>
        <v>45989.874999998377</v>
      </c>
      <c r="YY10" s="3119">
        <f t="shared" si="683"/>
        <v>45989.916666665042</v>
      </c>
      <c r="YZ10" s="3119">
        <f t="shared" si="684"/>
        <v>45989.958333331706</v>
      </c>
      <c r="ZA10" s="3119">
        <f t="shared" si="685"/>
        <v>45989.99999999837</v>
      </c>
      <c r="ZB10" s="3119">
        <f t="shared" si="686"/>
        <v>45990.041666665034</v>
      </c>
      <c r="ZC10" s="3119">
        <f t="shared" si="687"/>
        <v>45990.083333331699</v>
      </c>
      <c r="ZD10" s="3119">
        <f t="shared" si="688"/>
        <v>45990.124999998363</v>
      </c>
      <c r="ZE10" s="3119">
        <f t="shared" si="689"/>
        <v>45990.166666665027</v>
      </c>
      <c r="ZF10" s="3119">
        <f t="shared" si="690"/>
        <v>45990.208333331691</v>
      </c>
      <c r="ZG10" s="3119">
        <f t="shared" si="691"/>
        <v>45990.249999998356</v>
      </c>
      <c r="ZH10" s="3119">
        <f t="shared" si="692"/>
        <v>45990.29166666502</v>
      </c>
      <c r="ZI10" s="3119">
        <f t="shared" si="693"/>
        <v>45990.333333331684</v>
      </c>
      <c r="ZJ10" s="3119">
        <f t="shared" si="694"/>
        <v>45990.374999998348</v>
      </c>
      <c r="ZK10" s="3119">
        <f t="shared" si="695"/>
        <v>45990.416666665013</v>
      </c>
      <c r="ZL10" s="3119">
        <f t="shared" si="696"/>
        <v>45990.458333331677</v>
      </c>
      <c r="ZM10" s="3119">
        <f t="shared" si="697"/>
        <v>45990.499999998341</v>
      </c>
      <c r="ZN10" s="3119">
        <f t="shared" si="698"/>
        <v>45990.541666665005</v>
      </c>
      <c r="ZO10" s="3119">
        <f t="shared" si="699"/>
        <v>45990.58333333167</v>
      </c>
      <c r="ZP10" s="3119">
        <f t="shared" si="700"/>
        <v>45990.624999998334</v>
      </c>
      <c r="ZQ10" s="3119">
        <f t="shared" si="701"/>
        <v>45990.666666664998</v>
      </c>
      <c r="ZR10" s="3119">
        <f t="shared" si="702"/>
        <v>45990.708333331662</v>
      </c>
      <c r="ZS10" s="3119">
        <f t="shared" si="703"/>
        <v>45990.749999998327</v>
      </c>
      <c r="ZT10" s="3119">
        <f t="shared" si="704"/>
        <v>45990.791666664991</v>
      </c>
      <c r="ZU10" s="3119">
        <f t="shared" si="705"/>
        <v>45990.833333331655</v>
      </c>
      <c r="ZV10" s="3119">
        <f t="shared" si="706"/>
        <v>45990.874999998319</v>
      </c>
      <c r="ZW10" s="3119">
        <f t="shared" si="707"/>
        <v>45990.916666664983</v>
      </c>
      <c r="ZX10" s="3119">
        <f t="shared" si="708"/>
        <v>45990.958333331648</v>
      </c>
      <c r="ZY10" s="3119">
        <f t="shared" si="709"/>
        <v>45990.999999998312</v>
      </c>
      <c r="ZZ10" s="3119">
        <f t="shared" si="710"/>
        <v>45991.041666664976</v>
      </c>
      <c r="AAA10" s="3119">
        <f t="shared" si="711"/>
        <v>45991.08333333164</v>
      </c>
      <c r="AAB10" s="3119">
        <f t="shared" si="712"/>
        <v>45991.124999998305</v>
      </c>
      <c r="AAC10" s="3119">
        <f t="shared" si="713"/>
        <v>45991.166666664969</v>
      </c>
      <c r="AAD10" s="3119">
        <f t="shared" si="714"/>
        <v>45991.208333331633</v>
      </c>
      <c r="AAE10" s="3119">
        <f t="shared" si="715"/>
        <v>45991.249999998297</v>
      </c>
      <c r="AAF10" s="3119">
        <f t="shared" si="716"/>
        <v>45991.291666664962</v>
      </c>
      <c r="AAG10" s="3119">
        <f t="shared" si="717"/>
        <v>45991.333333331626</v>
      </c>
      <c r="AAH10" s="3119">
        <f t="shared" si="24"/>
        <v>45991.37499999829</v>
      </c>
      <c r="AAI10" s="3119">
        <f t="shared" si="12"/>
        <v>45991.416666664954</v>
      </c>
      <c r="AAJ10" s="3119">
        <f t="shared" si="12"/>
        <v>45991.458333331619</v>
      </c>
      <c r="AAK10" s="3119">
        <f t="shared" si="12"/>
        <v>45991.499999998283</v>
      </c>
      <c r="AAL10" s="3119">
        <f t="shared" si="12"/>
        <v>45991.541666664947</v>
      </c>
      <c r="AAM10" s="3119">
        <f t="shared" si="12"/>
        <v>45991.583333331611</v>
      </c>
      <c r="AAN10" s="3119">
        <f t="shared" si="12"/>
        <v>45991.624999998276</v>
      </c>
      <c r="AAO10" s="3119">
        <f t="shared" si="12"/>
        <v>45991.66666666494</v>
      </c>
      <c r="AAP10" s="3119">
        <f t="shared" si="12"/>
        <v>45991.708333331604</v>
      </c>
      <c r="AAQ10" s="3119">
        <f t="shared" si="12"/>
        <v>45991.749999998268</v>
      </c>
      <c r="AAR10" s="3119">
        <f t="shared" si="12"/>
        <v>45991.791666664933</v>
      </c>
      <c r="AAS10" s="3119">
        <f t="shared" si="12"/>
        <v>45991.833333331597</v>
      </c>
      <c r="AAT10" s="3119">
        <f t="shared" si="12"/>
        <v>45991.874999998261</v>
      </c>
      <c r="AAU10" s="3119">
        <f t="shared" si="12"/>
        <v>45991.916666664925</v>
      </c>
      <c r="AAV10" s="3119">
        <f t="shared" si="12"/>
        <v>45991.95833333159</v>
      </c>
    </row>
    <row r="11" spans="1:724" s="282" customFormat="1" ht="13">
      <c r="A11" s="3115" t="s">
        <v>1387</v>
      </c>
      <c r="B11" s="3119">
        <v>45966.75</v>
      </c>
      <c r="C11" s="3119">
        <v>45968.25</v>
      </c>
      <c r="D11" s="3116">
        <f t="shared" si="0"/>
        <v>36</v>
      </c>
      <c r="E11" s="3119">
        <v>45962</v>
      </c>
      <c r="F11" s="3119">
        <f t="shared" si="13"/>
        <v>45962.041666666664</v>
      </c>
      <c r="G11" s="3119">
        <f t="shared" si="25"/>
        <v>45962.083333333328</v>
      </c>
      <c r="H11" s="3119">
        <f t="shared" si="26"/>
        <v>45962.124999999993</v>
      </c>
      <c r="I11" s="3119">
        <f t="shared" si="27"/>
        <v>45962.166666666657</v>
      </c>
      <c r="J11" s="3119">
        <f t="shared" si="28"/>
        <v>45962.208333333321</v>
      </c>
      <c r="K11" s="3119">
        <f t="shared" si="29"/>
        <v>45962.249999999985</v>
      </c>
      <c r="L11" s="3119">
        <f t="shared" si="30"/>
        <v>45962.29166666665</v>
      </c>
      <c r="M11" s="3119">
        <f t="shared" si="31"/>
        <v>45962.333333333314</v>
      </c>
      <c r="N11" s="3119">
        <f t="shared" si="32"/>
        <v>45962.374999999978</v>
      </c>
      <c r="O11" s="3119">
        <f t="shared" si="33"/>
        <v>45962.416666666642</v>
      </c>
      <c r="P11" s="3119">
        <f t="shared" si="34"/>
        <v>45962.458333333307</v>
      </c>
      <c r="Q11" s="3119">
        <f t="shared" si="35"/>
        <v>45962.499999999971</v>
      </c>
      <c r="R11" s="3119">
        <f t="shared" si="36"/>
        <v>45962.541666666635</v>
      </c>
      <c r="S11" s="3119">
        <f t="shared" si="37"/>
        <v>45962.583333333299</v>
      </c>
      <c r="T11" s="3119">
        <f t="shared" si="38"/>
        <v>45962.624999999964</v>
      </c>
      <c r="U11" s="3119">
        <f t="shared" si="39"/>
        <v>45962.666666666628</v>
      </c>
      <c r="V11" s="3119">
        <f t="shared" si="40"/>
        <v>45962.708333333292</v>
      </c>
      <c r="W11" s="3119">
        <f t="shared" si="41"/>
        <v>45962.749999999956</v>
      </c>
      <c r="X11" s="3119">
        <f t="shared" si="42"/>
        <v>45962.791666666621</v>
      </c>
      <c r="Y11" s="3119">
        <f t="shared" si="43"/>
        <v>45962.833333333285</v>
      </c>
      <c r="Z11" s="3119">
        <f t="shared" si="44"/>
        <v>45962.874999999949</v>
      </c>
      <c r="AA11" s="3119">
        <f t="shared" si="45"/>
        <v>45962.916666666613</v>
      </c>
      <c r="AB11" s="3119">
        <f t="shared" si="46"/>
        <v>45962.958333333278</v>
      </c>
      <c r="AC11" s="3119">
        <f t="shared" si="47"/>
        <v>45962.999999999942</v>
      </c>
      <c r="AD11" s="3119">
        <f t="shared" si="48"/>
        <v>45963.041666666606</v>
      </c>
      <c r="AE11" s="3119">
        <f t="shared" si="49"/>
        <v>45963.08333333327</v>
      </c>
      <c r="AF11" s="3119">
        <f t="shared" si="50"/>
        <v>45963.124999999935</v>
      </c>
      <c r="AG11" s="3119">
        <f t="shared" si="51"/>
        <v>45963.166666666599</v>
      </c>
      <c r="AH11" s="3119">
        <f t="shared" si="52"/>
        <v>45963.208333333263</v>
      </c>
      <c r="AI11" s="3119">
        <f t="shared" si="53"/>
        <v>45963.249999999927</v>
      </c>
      <c r="AJ11" s="3119">
        <f t="shared" si="54"/>
        <v>45963.291666666591</v>
      </c>
      <c r="AK11" s="3119">
        <f t="shared" si="55"/>
        <v>45963.333333333256</v>
      </c>
      <c r="AL11" s="3119">
        <f t="shared" si="56"/>
        <v>45963.37499999992</v>
      </c>
      <c r="AM11" s="3119">
        <f t="shared" si="57"/>
        <v>45963.416666666584</v>
      </c>
      <c r="AN11" s="3119">
        <f t="shared" si="58"/>
        <v>45963.458333333248</v>
      </c>
      <c r="AO11" s="3119">
        <f t="shared" si="59"/>
        <v>45963.499999999913</v>
      </c>
      <c r="AP11" s="3119">
        <f t="shared" si="60"/>
        <v>45963.541666666577</v>
      </c>
      <c r="AQ11" s="3119">
        <f t="shared" si="61"/>
        <v>45963.583333333241</v>
      </c>
      <c r="AR11" s="3119">
        <f t="shared" si="62"/>
        <v>45963.624999999905</v>
      </c>
      <c r="AS11" s="3119">
        <f t="shared" si="63"/>
        <v>45963.66666666657</v>
      </c>
      <c r="AT11" s="3119">
        <f t="shared" si="64"/>
        <v>45963.708333333234</v>
      </c>
      <c r="AU11" s="3119">
        <f t="shared" si="65"/>
        <v>45963.749999999898</v>
      </c>
      <c r="AV11" s="3119">
        <f t="shared" si="66"/>
        <v>45963.791666666562</v>
      </c>
      <c r="AW11" s="3119">
        <f t="shared" si="67"/>
        <v>45963.833333333227</v>
      </c>
      <c r="AX11" s="3119">
        <f t="shared" si="68"/>
        <v>45963.874999999891</v>
      </c>
      <c r="AY11" s="3119">
        <f t="shared" si="69"/>
        <v>45963.916666666555</v>
      </c>
      <c r="AZ11" s="3119">
        <f t="shared" si="70"/>
        <v>45963.958333333219</v>
      </c>
      <c r="BA11" s="3119">
        <f t="shared" si="71"/>
        <v>45963.999999999884</v>
      </c>
      <c r="BB11" s="3119">
        <f t="shared" si="72"/>
        <v>45964.041666666548</v>
      </c>
      <c r="BC11" s="3119">
        <f t="shared" si="73"/>
        <v>45964.083333333212</v>
      </c>
      <c r="BD11" s="3119">
        <f t="shared" si="74"/>
        <v>45964.124999999876</v>
      </c>
      <c r="BE11" s="3119">
        <f t="shared" si="75"/>
        <v>45964.166666666541</v>
      </c>
      <c r="BF11" s="3119">
        <f t="shared" si="76"/>
        <v>45964.208333333205</v>
      </c>
      <c r="BG11" s="3119">
        <f t="shared" si="77"/>
        <v>45964.249999999869</v>
      </c>
      <c r="BH11" s="3119">
        <f t="shared" si="78"/>
        <v>45964.291666666533</v>
      </c>
      <c r="BI11" s="3119">
        <f t="shared" si="79"/>
        <v>45964.333333333198</v>
      </c>
      <c r="BJ11" s="3119">
        <f t="shared" si="80"/>
        <v>45964.374999999862</v>
      </c>
      <c r="BK11" s="3119">
        <f t="shared" si="81"/>
        <v>45964.416666666526</v>
      </c>
      <c r="BL11" s="3119">
        <f t="shared" si="82"/>
        <v>45964.45833333319</v>
      </c>
      <c r="BM11" s="3119">
        <f t="shared" si="83"/>
        <v>45964.499999999854</v>
      </c>
      <c r="BN11" s="3119">
        <f t="shared" si="84"/>
        <v>45964.541666666519</v>
      </c>
      <c r="BO11" s="3119">
        <f t="shared" si="85"/>
        <v>45964.583333333183</v>
      </c>
      <c r="BP11" s="3119">
        <f t="shared" si="86"/>
        <v>45964.624999999847</v>
      </c>
      <c r="BQ11" s="3119">
        <f t="shared" si="87"/>
        <v>45964.666666666511</v>
      </c>
      <c r="BR11" s="3119">
        <f t="shared" si="14"/>
        <v>45964.708333333176</v>
      </c>
      <c r="BS11" s="3119">
        <f t="shared" si="88"/>
        <v>45964.74999999984</v>
      </c>
      <c r="BT11" s="3119">
        <f t="shared" si="89"/>
        <v>45964.791666666504</v>
      </c>
      <c r="BU11" s="3119">
        <f t="shared" si="90"/>
        <v>45964.833333333168</v>
      </c>
      <c r="BV11" s="3119">
        <f t="shared" si="91"/>
        <v>45964.874999999833</v>
      </c>
      <c r="BW11" s="3119">
        <f t="shared" si="92"/>
        <v>45964.916666666497</v>
      </c>
      <c r="BX11" s="3119">
        <f t="shared" si="93"/>
        <v>45964.958333333161</v>
      </c>
      <c r="BY11" s="3119">
        <f t="shared" si="94"/>
        <v>45964.999999999825</v>
      </c>
      <c r="BZ11" s="3119">
        <f t="shared" si="95"/>
        <v>45965.04166666649</v>
      </c>
      <c r="CA11" s="3119">
        <f t="shared" si="96"/>
        <v>45965.083333333154</v>
      </c>
      <c r="CB11" s="3119">
        <f t="shared" si="97"/>
        <v>45965.124999999818</v>
      </c>
      <c r="CC11" s="3119">
        <f t="shared" si="98"/>
        <v>45965.166666666482</v>
      </c>
      <c r="CD11" s="3119">
        <f t="shared" si="99"/>
        <v>45965.208333333147</v>
      </c>
      <c r="CE11" s="3119">
        <f t="shared" si="100"/>
        <v>45965.249999999811</v>
      </c>
      <c r="CF11" s="3119">
        <f t="shared" si="101"/>
        <v>45965.291666666475</v>
      </c>
      <c r="CG11" s="3119">
        <f t="shared" si="102"/>
        <v>45965.333333333139</v>
      </c>
      <c r="CH11" s="3119">
        <f t="shared" si="103"/>
        <v>45965.374999999804</v>
      </c>
      <c r="CI11" s="3119">
        <f t="shared" si="104"/>
        <v>45965.416666666468</v>
      </c>
      <c r="CJ11" s="3119">
        <f t="shared" si="105"/>
        <v>45965.458333333132</v>
      </c>
      <c r="CK11" s="3119">
        <f t="shared" si="106"/>
        <v>45965.499999999796</v>
      </c>
      <c r="CL11" s="3119">
        <f t="shared" si="107"/>
        <v>45965.541666666461</v>
      </c>
      <c r="CM11" s="3119">
        <f t="shared" si="108"/>
        <v>45965.583333333125</v>
      </c>
      <c r="CN11" s="3119">
        <f t="shared" si="109"/>
        <v>45965.624999999789</v>
      </c>
      <c r="CO11" s="3119">
        <f t="shared" si="110"/>
        <v>45965.666666666453</v>
      </c>
      <c r="CP11" s="3119">
        <f t="shared" si="111"/>
        <v>45965.708333333117</v>
      </c>
      <c r="CQ11" s="3119">
        <f t="shared" si="112"/>
        <v>45965.749999999782</v>
      </c>
      <c r="CR11" s="3119">
        <f t="shared" si="113"/>
        <v>45965.791666666446</v>
      </c>
      <c r="CS11" s="3119">
        <f t="shared" si="114"/>
        <v>45965.83333333311</v>
      </c>
      <c r="CT11" s="3119">
        <f t="shared" si="115"/>
        <v>45965.874999999774</v>
      </c>
      <c r="CU11" s="3119">
        <f t="shared" si="116"/>
        <v>45965.916666666439</v>
      </c>
      <c r="CV11" s="3119">
        <f t="shared" si="117"/>
        <v>45965.958333333103</v>
      </c>
      <c r="CW11" s="3119">
        <f t="shared" si="118"/>
        <v>45965.999999999767</v>
      </c>
      <c r="CX11" s="3119">
        <f t="shared" si="119"/>
        <v>45966.041666666431</v>
      </c>
      <c r="CY11" s="3119">
        <f t="shared" si="120"/>
        <v>45966.083333333096</v>
      </c>
      <c r="CZ11" s="3119">
        <f t="shared" si="121"/>
        <v>45966.12499999976</v>
      </c>
      <c r="DA11" s="3119">
        <f t="shared" si="122"/>
        <v>45966.166666666424</v>
      </c>
      <c r="DB11" s="3119">
        <f t="shared" si="123"/>
        <v>45966.208333333088</v>
      </c>
      <c r="DC11" s="3119">
        <f t="shared" si="124"/>
        <v>45966.249999999753</v>
      </c>
      <c r="DD11" s="3119">
        <f t="shared" si="125"/>
        <v>45966.291666666417</v>
      </c>
      <c r="DE11" s="3119">
        <f t="shared" si="126"/>
        <v>45966.333333333081</v>
      </c>
      <c r="DF11" s="3119">
        <f t="shared" si="127"/>
        <v>45966.374999999745</v>
      </c>
      <c r="DG11" s="3119">
        <f t="shared" si="128"/>
        <v>45966.41666666641</v>
      </c>
      <c r="DH11" s="3119">
        <f t="shared" si="129"/>
        <v>45966.458333333074</v>
      </c>
      <c r="DI11" s="3119">
        <f t="shared" si="130"/>
        <v>45966.499999999738</v>
      </c>
      <c r="DJ11" s="3119">
        <f t="shared" si="131"/>
        <v>45966.541666666402</v>
      </c>
      <c r="DK11" s="3119">
        <f t="shared" si="132"/>
        <v>45966.583333333067</v>
      </c>
      <c r="DL11" s="3119">
        <f t="shared" si="133"/>
        <v>45966.624999999731</v>
      </c>
      <c r="DM11" s="3119">
        <f t="shared" si="134"/>
        <v>45966.666666666395</v>
      </c>
      <c r="DN11" s="3119">
        <f t="shared" si="135"/>
        <v>45966.708333333059</v>
      </c>
      <c r="DO11" s="3119">
        <f t="shared" si="136"/>
        <v>45966.749999999724</v>
      </c>
      <c r="DP11" s="3119">
        <f t="shared" si="137"/>
        <v>45966.791666666388</v>
      </c>
      <c r="DQ11" s="3119">
        <f t="shared" si="138"/>
        <v>45966.833333333052</v>
      </c>
      <c r="DR11" s="3119">
        <f t="shared" si="139"/>
        <v>45966.874999999716</v>
      </c>
      <c r="DS11" s="3119">
        <f t="shared" si="140"/>
        <v>45966.91666666638</v>
      </c>
      <c r="DT11" s="3119">
        <f t="shared" si="141"/>
        <v>45966.958333333045</v>
      </c>
      <c r="DU11" s="3119">
        <f t="shared" si="142"/>
        <v>45966.999999999709</v>
      </c>
      <c r="DV11" s="3119">
        <f t="shared" si="143"/>
        <v>45967.041666666373</v>
      </c>
      <c r="DW11" s="3119">
        <f t="shared" si="144"/>
        <v>45967.083333333037</v>
      </c>
      <c r="DX11" s="3119">
        <f t="shared" si="145"/>
        <v>45967.124999999702</v>
      </c>
      <c r="DY11" s="3119">
        <f t="shared" si="146"/>
        <v>45967.166666666366</v>
      </c>
      <c r="DZ11" s="3119">
        <f t="shared" si="147"/>
        <v>45967.20833333303</v>
      </c>
      <c r="EA11" s="3119">
        <f t="shared" si="148"/>
        <v>45967.249999999694</v>
      </c>
      <c r="EB11" s="3119">
        <f t="shared" si="149"/>
        <v>45967.291666666359</v>
      </c>
      <c r="EC11" s="3119">
        <f t="shared" si="150"/>
        <v>45967.333333333023</v>
      </c>
      <c r="ED11" s="3119">
        <f t="shared" si="15"/>
        <v>45967.374999999687</v>
      </c>
      <c r="EE11" s="3119">
        <f t="shared" si="151"/>
        <v>45967.416666666351</v>
      </c>
      <c r="EF11" s="3119">
        <f t="shared" si="152"/>
        <v>45967.458333333016</v>
      </c>
      <c r="EG11" s="3119">
        <f t="shared" si="153"/>
        <v>45967.49999999968</v>
      </c>
      <c r="EH11" s="3119">
        <f t="shared" si="154"/>
        <v>45967.541666666344</v>
      </c>
      <c r="EI11" s="3119">
        <f t="shared" si="155"/>
        <v>45967.583333333008</v>
      </c>
      <c r="EJ11" s="3119">
        <f t="shared" si="156"/>
        <v>45967.624999999673</v>
      </c>
      <c r="EK11" s="3119">
        <f t="shared" si="157"/>
        <v>45967.666666666337</v>
      </c>
      <c r="EL11" s="3119">
        <f t="shared" si="158"/>
        <v>45967.708333333001</v>
      </c>
      <c r="EM11" s="3119">
        <f t="shared" si="159"/>
        <v>45967.749999999665</v>
      </c>
      <c r="EN11" s="3119">
        <f t="shared" si="160"/>
        <v>45967.79166666633</v>
      </c>
      <c r="EO11" s="3119">
        <f t="shared" si="161"/>
        <v>45967.833333332994</v>
      </c>
      <c r="EP11" s="3119">
        <f t="shared" si="162"/>
        <v>45967.874999999658</v>
      </c>
      <c r="EQ11" s="3119">
        <f t="shared" si="163"/>
        <v>45967.916666666322</v>
      </c>
      <c r="ER11" s="3119">
        <f t="shared" si="164"/>
        <v>45967.958333332987</v>
      </c>
      <c r="ES11" s="3119">
        <f t="shared" si="165"/>
        <v>45967.999999999651</v>
      </c>
      <c r="ET11" s="3119">
        <f t="shared" si="166"/>
        <v>45968.041666666315</v>
      </c>
      <c r="EU11" s="3119">
        <f t="shared" si="167"/>
        <v>45968.083333332979</v>
      </c>
      <c r="EV11" s="3119">
        <f t="shared" si="168"/>
        <v>45968.124999999643</v>
      </c>
      <c r="EW11" s="3119">
        <f t="shared" si="169"/>
        <v>45968.166666666308</v>
      </c>
      <c r="EX11" s="3119">
        <f t="shared" si="170"/>
        <v>45968.208333332972</v>
      </c>
      <c r="EY11" s="3119">
        <f t="shared" si="171"/>
        <v>45968.249999999636</v>
      </c>
      <c r="EZ11" s="3119">
        <f t="shared" si="172"/>
        <v>45968.2916666663</v>
      </c>
      <c r="FA11" s="3119">
        <f t="shared" si="173"/>
        <v>45968.333333332965</v>
      </c>
      <c r="FB11" s="3119">
        <f t="shared" si="174"/>
        <v>45968.374999999629</v>
      </c>
      <c r="FC11" s="3119">
        <f t="shared" si="175"/>
        <v>45968.416666666293</v>
      </c>
      <c r="FD11" s="3119">
        <f t="shared" si="176"/>
        <v>45968.458333332957</v>
      </c>
      <c r="FE11" s="3119">
        <f t="shared" si="177"/>
        <v>45968.499999999622</v>
      </c>
      <c r="FF11" s="3119">
        <f t="shared" si="178"/>
        <v>45968.541666666286</v>
      </c>
      <c r="FG11" s="3119">
        <f t="shared" si="179"/>
        <v>45968.58333333295</v>
      </c>
      <c r="FH11" s="3119">
        <f t="shared" si="180"/>
        <v>45968.624999999614</v>
      </c>
      <c r="FI11" s="3119">
        <f t="shared" si="181"/>
        <v>45968.666666666279</v>
      </c>
      <c r="FJ11" s="3119">
        <f t="shared" si="182"/>
        <v>45968.708333332943</v>
      </c>
      <c r="FK11" s="3119">
        <f t="shared" si="183"/>
        <v>45968.749999999607</v>
      </c>
      <c r="FL11" s="3119">
        <f t="shared" si="184"/>
        <v>45968.791666666271</v>
      </c>
      <c r="FM11" s="3119">
        <f t="shared" si="185"/>
        <v>45968.833333332936</v>
      </c>
      <c r="FN11" s="3119">
        <f t="shared" si="186"/>
        <v>45968.8749999996</v>
      </c>
      <c r="FO11" s="3119">
        <f t="shared" si="187"/>
        <v>45968.916666666264</v>
      </c>
      <c r="FP11" s="3119">
        <f t="shared" si="188"/>
        <v>45968.958333332928</v>
      </c>
      <c r="FQ11" s="3119">
        <f t="shared" si="189"/>
        <v>45968.999999999593</v>
      </c>
      <c r="FR11" s="3119">
        <f t="shared" si="190"/>
        <v>45969.041666666257</v>
      </c>
      <c r="FS11" s="3119">
        <f t="shared" si="191"/>
        <v>45969.083333332921</v>
      </c>
      <c r="FT11" s="3119">
        <f t="shared" si="192"/>
        <v>45969.124999999585</v>
      </c>
      <c r="FU11" s="3119">
        <f t="shared" si="193"/>
        <v>45969.16666666625</v>
      </c>
      <c r="FV11" s="3119">
        <f t="shared" si="194"/>
        <v>45969.208333332914</v>
      </c>
      <c r="FW11" s="3119">
        <f t="shared" si="195"/>
        <v>45969.249999999578</v>
      </c>
      <c r="FX11" s="3119">
        <f t="shared" si="196"/>
        <v>45969.291666666242</v>
      </c>
      <c r="FY11" s="3119">
        <f t="shared" si="197"/>
        <v>45969.333333332906</v>
      </c>
      <c r="FZ11" s="3119">
        <f t="shared" si="198"/>
        <v>45969.374999999571</v>
      </c>
      <c r="GA11" s="3119">
        <f t="shared" si="199"/>
        <v>45969.416666666235</v>
      </c>
      <c r="GB11" s="3119">
        <f t="shared" si="200"/>
        <v>45969.458333332899</v>
      </c>
      <c r="GC11" s="3119">
        <f t="shared" si="201"/>
        <v>45969.499999999563</v>
      </c>
      <c r="GD11" s="3119">
        <f t="shared" si="202"/>
        <v>45969.541666666228</v>
      </c>
      <c r="GE11" s="3119">
        <f t="shared" si="203"/>
        <v>45969.583333332892</v>
      </c>
      <c r="GF11" s="3119">
        <f t="shared" si="204"/>
        <v>45969.624999999556</v>
      </c>
      <c r="GG11" s="3119">
        <f t="shared" si="205"/>
        <v>45969.66666666622</v>
      </c>
      <c r="GH11" s="3119">
        <f t="shared" si="206"/>
        <v>45969.708333332885</v>
      </c>
      <c r="GI11" s="3119">
        <f t="shared" si="207"/>
        <v>45969.749999999549</v>
      </c>
      <c r="GJ11" s="3119">
        <f t="shared" si="208"/>
        <v>45969.791666666213</v>
      </c>
      <c r="GK11" s="3119">
        <f t="shared" si="209"/>
        <v>45969.833333332877</v>
      </c>
      <c r="GL11" s="3119">
        <f t="shared" si="210"/>
        <v>45969.874999999542</v>
      </c>
      <c r="GM11" s="3119">
        <f t="shared" si="211"/>
        <v>45969.916666666206</v>
      </c>
      <c r="GN11" s="3119">
        <f t="shared" si="212"/>
        <v>45969.95833333287</v>
      </c>
      <c r="GO11" s="3119">
        <f t="shared" si="213"/>
        <v>45969.999999999534</v>
      </c>
      <c r="GP11" s="3119">
        <f t="shared" si="16"/>
        <v>45970.041666666199</v>
      </c>
      <c r="GQ11" s="3119">
        <f t="shared" si="214"/>
        <v>45970.083333332863</v>
      </c>
      <c r="GR11" s="3119">
        <f t="shared" si="215"/>
        <v>45970.124999999527</v>
      </c>
      <c r="GS11" s="3119">
        <f t="shared" si="216"/>
        <v>45970.166666666191</v>
      </c>
      <c r="GT11" s="3119">
        <f t="shared" si="217"/>
        <v>45970.208333332856</v>
      </c>
      <c r="GU11" s="3119">
        <f t="shared" si="218"/>
        <v>45970.24999999952</v>
      </c>
      <c r="GV11" s="3119">
        <f t="shared" si="219"/>
        <v>45970.291666666184</v>
      </c>
      <c r="GW11" s="3119">
        <f t="shared" si="220"/>
        <v>45970.333333332848</v>
      </c>
      <c r="GX11" s="3119">
        <f t="shared" si="221"/>
        <v>45970.374999999513</v>
      </c>
      <c r="GY11" s="3119">
        <f t="shared" si="222"/>
        <v>45970.416666666177</v>
      </c>
      <c r="GZ11" s="3119">
        <f t="shared" si="223"/>
        <v>45970.458333332841</v>
      </c>
      <c r="HA11" s="3119">
        <f t="shared" si="224"/>
        <v>45970.499999999505</v>
      </c>
      <c r="HB11" s="3119">
        <f t="shared" si="225"/>
        <v>45970.541666666169</v>
      </c>
      <c r="HC11" s="3119">
        <f t="shared" si="226"/>
        <v>45970.583333332834</v>
      </c>
      <c r="HD11" s="3119">
        <f t="shared" si="227"/>
        <v>45970.624999999498</v>
      </c>
      <c r="HE11" s="3119">
        <f t="shared" si="228"/>
        <v>45970.666666666162</v>
      </c>
      <c r="HF11" s="3119">
        <f t="shared" si="229"/>
        <v>45970.708333332826</v>
      </c>
      <c r="HG11" s="3119">
        <f t="shared" si="230"/>
        <v>45970.749999999491</v>
      </c>
      <c r="HH11" s="3119">
        <f t="shared" si="231"/>
        <v>45970.791666666155</v>
      </c>
      <c r="HI11" s="3119">
        <f t="shared" si="232"/>
        <v>45970.833333332819</v>
      </c>
      <c r="HJ11" s="3119">
        <f t="shared" si="233"/>
        <v>45970.874999999483</v>
      </c>
      <c r="HK11" s="3119">
        <f t="shared" si="234"/>
        <v>45970.916666666148</v>
      </c>
      <c r="HL11" s="3119">
        <f t="shared" si="235"/>
        <v>45970.958333332812</v>
      </c>
      <c r="HM11" s="3119">
        <f t="shared" si="236"/>
        <v>45970.999999999476</v>
      </c>
      <c r="HN11" s="3119">
        <f t="shared" si="237"/>
        <v>45971.04166666614</v>
      </c>
      <c r="HO11" s="3119">
        <f t="shared" si="238"/>
        <v>45971.083333332805</v>
      </c>
      <c r="HP11" s="3119">
        <f t="shared" si="239"/>
        <v>45971.124999999469</v>
      </c>
      <c r="HQ11" s="3119">
        <f t="shared" si="240"/>
        <v>45971.166666666133</v>
      </c>
      <c r="HR11" s="3119">
        <f t="shared" si="241"/>
        <v>45971.208333332797</v>
      </c>
      <c r="HS11" s="3119">
        <f t="shared" si="242"/>
        <v>45971.249999999462</v>
      </c>
      <c r="HT11" s="3119">
        <f t="shared" si="243"/>
        <v>45971.291666666126</v>
      </c>
      <c r="HU11" s="3119">
        <f t="shared" si="244"/>
        <v>45971.33333333279</v>
      </c>
      <c r="HV11" s="3119">
        <f t="shared" si="245"/>
        <v>45971.374999999454</v>
      </c>
      <c r="HW11" s="3119">
        <f t="shared" si="246"/>
        <v>45971.416666666119</v>
      </c>
      <c r="HX11" s="3119">
        <f t="shared" si="247"/>
        <v>45971.458333332783</v>
      </c>
      <c r="HY11" s="3119">
        <f t="shared" si="248"/>
        <v>45971.499999999447</v>
      </c>
      <c r="HZ11" s="3119">
        <f t="shared" si="249"/>
        <v>45971.541666666111</v>
      </c>
      <c r="IA11" s="3119">
        <f t="shared" si="250"/>
        <v>45971.583333332776</v>
      </c>
      <c r="IB11" s="3119">
        <f t="shared" si="251"/>
        <v>45971.62499999944</v>
      </c>
      <c r="IC11" s="3119">
        <f t="shared" si="252"/>
        <v>45971.666666666104</v>
      </c>
      <c r="ID11" s="3119">
        <f t="shared" si="253"/>
        <v>45971.708333332768</v>
      </c>
      <c r="IE11" s="3119">
        <f t="shared" si="254"/>
        <v>45971.749999999432</v>
      </c>
      <c r="IF11" s="3119">
        <f t="shared" si="255"/>
        <v>45971.791666666097</v>
      </c>
      <c r="IG11" s="3119">
        <f t="shared" si="256"/>
        <v>45971.833333332761</v>
      </c>
      <c r="IH11" s="3119">
        <f t="shared" si="257"/>
        <v>45971.874999999425</v>
      </c>
      <c r="II11" s="3119">
        <f t="shared" si="258"/>
        <v>45971.916666666089</v>
      </c>
      <c r="IJ11" s="3119">
        <f t="shared" si="259"/>
        <v>45971.958333332754</v>
      </c>
      <c r="IK11" s="3119">
        <f t="shared" si="260"/>
        <v>45971.999999999418</v>
      </c>
      <c r="IL11" s="3119">
        <f t="shared" si="261"/>
        <v>45972.041666666082</v>
      </c>
      <c r="IM11" s="3119">
        <f t="shared" si="262"/>
        <v>45972.083333332746</v>
      </c>
      <c r="IN11" s="3119">
        <f t="shared" si="263"/>
        <v>45972.124999999411</v>
      </c>
      <c r="IO11" s="3119">
        <f t="shared" si="264"/>
        <v>45972.166666666075</v>
      </c>
      <c r="IP11" s="3119">
        <f t="shared" si="265"/>
        <v>45972.208333332739</v>
      </c>
      <c r="IQ11" s="3119">
        <f t="shared" si="266"/>
        <v>45972.249999999403</v>
      </c>
      <c r="IR11" s="3119">
        <f t="shared" si="267"/>
        <v>45972.291666666068</v>
      </c>
      <c r="IS11" s="3119">
        <f t="shared" si="268"/>
        <v>45972.333333332732</v>
      </c>
      <c r="IT11" s="3119">
        <f t="shared" si="269"/>
        <v>45972.374999999396</v>
      </c>
      <c r="IU11" s="3119">
        <f t="shared" si="270"/>
        <v>45972.41666666606</v>
      </c>
      <c r="IV11" s="3119">
        <f t="shared" si="271"/>
        <v>45972.458333332725</v>
      </c>
      <c r="IW11" s="3119">
        <f t="shared" si="272"/>
        <v>45972.499999999389</v>
      </c>
      <c r="IX11" s="3119">
        <f t="shared" si="273"/>
        <v>45972.541666666053</v>
      </c>
      <c r="IY11" s="3119">
        <f t="shared" si="274"/>
        <v>45972.583333332717</v>
      </c>
      <c r="IZ11" s="3119">
        <f t="shared" si="275"/>
        <v>45972.624999999382</v>
      </c>
      <c r="JA11" s="3119">
        <f t="shared" si="276"/>
        <v>45972.666666666046</v>
      </c>
      <c r="JB11" s="3119">
        <f t="shared" si="17"/>
        <v>45972.70833333271</v>
      </c>
      <c r="JC11" s="3119">
        <f t="shared" si="277"/>
        <v>45972.749999999374</v>
      </c>
      <c r="JD11" s="3119">
        <f t="shared" si="278"/>
        <v>45972.791666666039</v>
      </c>
      <c r="JE11" s="3119">
        <f t="shared" si="279"/>
        <v>45972.833333332703</v>
      </c>
      <c r="JF11" s="3119">
        <f t="shared" si="280"/>
        <v>45972.874999999367</v>
      </c>
      <c r="JG11" s="3119">
        <f t="shared" si="281"/>
        <v>45972.916666666031</v>
      </c>
      <c r="JH11" s="3119">
        <f t="shared" si="282"/>
        <v>45972.958333332695</v>
      </c>
      <c r="JI11" s="3119">
        <f t="shared" si="283"/>
        <v>45972.99999999936</v>
      </c>
      <c r="JJ11" s="3119">
        <f t="shared" si="284"/>
        <v>45973.041666666024</v>
      </c>
      <c r="JK11" s="3119">
        <f t="shared" si="285"/>
        <v>45973.083333332688</v>
      </c>
      <c r="JL11" s="3119">
        <f t="shared" si="286"/>
        <v>45973.124999999352</v>
      </c>
      <c r="JM11" s="3119">
        <f t="shared" si="287"/>
        <v>45973.166666666017</v>
      </c>
      <c r="JN11" s="3119">
        <f t="shared" si="288"/>
        <v>45973.208333332681</v>
      </c>
      <c r="JO11" s="3119">
        <f t="shared" si="289"/>
        <v>45973.249999999345</v>
      </c>
      <c r="JP11" s="3119">
        <f t="shared" si="290"/>
        <v>45973.291666666009</v>
      </c>
      <c r="JQ11" s="3119">
        <f t="shared" si="291"/>
        <v>45973.333333332674</v>
      </c>
      <c r="JR11" s="3119">
        <f t="shared" si="292"/>
        <v>45973.374999999338</v>
      </c>
      <c r="JS11" s="3119">
        <f t="shared" si="293"/>
        <v>45973.416666666002</v>
      </c>
      <c r="JT11" s="3119">
        <f t="shared" si="294"/>
        <v>45973.458333332666</v>
      </c>
      <c r="JU11" s="3119">
        <f t="shared" si="295"/>
        <v>45973.499999999331</v>
      </c>
      <c r="JV11" s="3119">
        <f t="shared" si="296"/>
        <v>45973.541666665995</v>
      </c>
      <c r="JW11" s="3119">
        <f t="shared" si="297"/>
        <v>45973.583333332659</v>
      </c>
      <c r="JX11" s="3119">
        <f t="shared" si="298"/>
        <v>45973.624999999323</v>
      </c>
      <c r="JY11" s="3119">
        <f t="shared" si="299"/>
        <v>45973.666666665988</v>
      </c>
      <c r="JZ11" s="3119">
        <f t="shared" si="300"/>
        <v>45973.708333332652</v>
      </c>
      <c r="KA11" s="3119">
        <f t="shared" si="301"/>
        <v>45973.749999999316</v>
      </c>
      <c r="KB11" s="3119">
        <f t="shared" si="302"/>
        <v>45973.79166666598</v>
      </c>
      <c r="KC11" s="3119">
        <f t="shared" si="303"/>
        <v>45973.833333332645</v>
      </c>
      <c r="KD11" s="3119">
        <f t="shared" si="304"/>
        <v>45973.874999999309</v>
      </c>
      <c r="KE11" s="3119">
        <f t="shared" si="305"/>
        <v>45973.916666665973</v>
      </c>
      <c r="KF11" s="3119">
        <f t="shared" si="306"/>
        <v>45973.958333332637</v>
      </c>
      <c r="KG11" s="3119">
        <f t="shared" si="307"/>
        <v>45973.999999999302</v>
      </c>
      <c r="KH11" s="3119">
        <f t="shared" si="308"/>
        <v>45974.041666665966</v>
      </c>
      <c r="KI11" s="3119">
        <f t="shared" si="309"/>
        <v>45974.08333333263</v>
      </c>
      <c r="KJ11" s="3119">
        <f t="shared" si="310"/>
        <v>45974.124999999294</v>
      </c>
      <c r="KK11" s="3119">
        <f t="shared" si="311"/>
        <v>45974.166666665958</v>
      </c>
      <c r="KL11" s="3119">
        <f t="shared" si="312"/>
        <v>45974.208333332623</v>
      </c>
      <c r="KM11" s="3119">
        <f t="shared" si="313"/>
        <v>45974.249999999287</v>
      </c>
      <c r="KN11" s="3119">
        <f t="shared" si="314"/>
        <v>45974.291666665951</v>
      </c>
      <c r="KO11" s="3119">
        <f t="shared" si="315"/>
        <v>45974.333333332615</v>
      </c>
      <c r="KP11" s="3119">
        <f t="shared" si="316"/>
        <v>45974.37499999928</v>
      </c>
      <c r="KQ11" s="3119">
        <f t="shared" si="317"/>
        <v>45974.416666665944</v>
      </c>
      <c r="KR11" s="3119">
        <f t="shared" si="318"/>
        <v>45974.458333332608</v>
      </c>
      <c r="KS11" s="3119">
        <f t="shared" si="319"/>
        <v>45974.499999999272</v>
      </c>
      <c r="KT11" s="3119">
        <f t="shared" si="320"/>
        <v>45974.541666665937</v>
      </c>
      <c r="KU11" s="3119">
        <f t="shared" si="321"/>
        <v>45974.583333332601</v>
      </c>
      <c r="KV11" s="3119">
        <f t="shared" si="322"/>
        <v>45974.624999999265</v>
      </c>
      <c r="KW11" s="3119">
        <f t="shared" si="323"/>
        <v>45974.666666665929</v>
      </c>
      <c r="KX11" s="3119">
        <f t="shared" si="324"/>
        <v>45974.708333332594</v>
      </c>
      <c r="KY11" s="3119">
        <f t="shared" si="325"/>
        <v>45974.749999999258</v>
      </c>
      <c r="KZ11" s="3119">
        <f t="shared" si="326"/>
        <v>45974.791666665922</v>
      </c>
      <c r="LA11" s="3119">
        <f t="shared" si="327"/>
        <v>45974.833333332586</v>
      </c>
      <c r="LB11" s="3119">
        <f t="shared" si="328"/>
        <v>45974.874999999251</v>
      </c>
      <c r="LC11" s="3119">
        <f t="shared" si="329"/>
        <v>45974.916666665915</v>
      </c>
      <c r="LD11" s="3119">
        <f t="shared" si="330"/>
        <v>45974.958333332579</v>
      </c>
      <c r="LE11" s="3119">
        <f t="shared" si="331"/>
        <v>45974.999999999243</v>
      </c>
      <c r="LF11" s="3119">
        <f t="shared" si="332"/>
        <v>45975.041666665908</v>
      </c>
      <c r="LG11" s="3119">
        <f t="shared" si="333"/>
        <v>45975.083333332572</v>
      </c>
      <c r="LH11" s="3119">
        <f t="shared" si="334"/>
        <v>45975.124999999236</v>
      </c>
      <c r="LI11" s="3119">
        <f t="shared" si="335"/>
        <v>45975.1666666659</v>
      </c>
      <c r="LJ11" s="3119">
        <f t="shared" si="336"/>
        <v>45975.208333332565</v>
      </c>
      <c r="LK11" s="3119">
        <f t="shared" si="337"/>
        <v>45975.249999999229</v>
      </c>
      <c r="LL11" s="3119">
        <f t="shared" si="338"/>
        <v>45975.291666665893</v>
      </c>
      <c r="LM11" s="3119">
        <f t="shared" si="339"/>
        <v>45975.333333332557</v>
      </c>
      <c r="LN11" s="3119">
        <f t="shared" si="18"/>
        <v>45975.374999999221</v>
      </c>
      <c r="LO11" s="3119">
        <f t="shared" si="340"/>
        <v>45975.416666665886</v>
      </c>
      <c r="LP11" s="3119">
        <f t="shared" si="341"/>
        <v>45975.45833333255</v>
      </c>
      <c r="LQ11" s="3119">
        <f t="shared" si="342"/>
        <v>45975.499999999214</v>
      </c>
      <c r="LR11" s="3119">
        <f t="shared" si="343"/>
        <v>45975.541666665878</v>
      </c>
      <c r="LS11" s="3119">
        <f t="shared" si="344"/>
        <v>45975.583333332543</v>
      </c>
      <c r="LT11" s="3119">
        <f t="shared" si="345"/>
        <v>45975.624999999207</v>
      </c>
      <c r="LU11" s="3119">
        <f t="shared" si="346"/>
        <v>45975.666666665871</v>
      </c>
      <c r="LV11" s="3119">
        <f t="shared" si="347"/>
        <v>45975.708333332535</v>
      </c>
      <c r="LW11" s="3119">
        <f t="shared" si="348"/>
        <v>45975.7499999992</v>
      </c>
      <c r="LX11" s="3119">
        <f t="shared" si="349"/>
        <v>45975.791666665864</v>
      </c>
      <c r="LY11" s="3119">
        <f t="shared" si="350"/>
        <v>45975.833333332528</v>
      </c>
      <c r="LZ11" s="3119">
        <f t="shared" si="351"/>
        <v>45975.874999999192</v>
      </c>
      <c r="MA11" s="3119">
        <f t="shared" si="352"/>
        <v>45975.916666665857</v>
      </c>
      <c r="MB11" s="3119">
        <f t="shared" si="353"/>
        <v>45975.958333332521</v>
      </c>
      <c r="MC11" s="3119">
        <f t="shared" si="354"/>
        <v>45975.999999999185</v>
      </c>
      <c r="MD11" s="3119">
        <f t="shared" si="355"/>
        <v>45976.041666665849</v>
      </c>
      <c r="ME11" s="3119">
        <f t="shared" si="356"/>
        <v>45976.083333332514</v>
      </c>
      <c r="MF11" s="3119">
        <f t="shared" si="357"/>
        <v>45976.124999999178</v>
      </c>
      <c r="MG11" s="3119">
        <f t="shared" si="358"/>
        <v>45976.166666665842</v>
      </c>
      <c r="MH11" s="3119">
        <f t="shared" si="359"/>
        <v>45976.208333332506</v>
      </c>
      <c r="MI11" s="3119">
        <f t="shared" si="360"/>
        <v>45976.249999999171</v>
      </c>
      <c r="MJ11" s="3119">
        <f t="shared" si="361"/>
        <v>45976.291666665835</v>
      </c>
      <c r="MK11" s="3119">
        <f t="shared" si="362"/>
        <v>45976.333333332499</v>
      </c>
      <c r="ML11" s="3119">
        <f t="shared" si="363"/>
        <v>45976.374999999163</v>
      </c>
      <c r="MM11" s="3119">
        <f t="shared" si="364"/>
        <v>45976.416666665828</v>
      </c>
      <c r="MN11" s="3119">
        <f t="shared" si="365"/>
        <v>45976.458333332492</v>
      </c>
      <c r="MO11" s="3119">
        <f t="shared" si="366"/>
        <v>45976.499999999156</v>
      </c>
      <c r="MP11" s="3119">
        <f t="shared" si="367"/>
        <v>45976.54166666582</v>
      </c>
      <c r="MQ11" s="3119">
        <f t="shared" si="368"/>
        <v>45976.583333332484</v>
      </c>
      <c r="MR11" s="3119">
        <f t="shared" si="369"/>
        <v>45976.624999999149</v>
      </c>
      <c r="MS11" s="3119">
        <f t="shared" si="370"/>
        <v>45976.666666665813</v>
      </c>
      <c r="MT11" s="3119">
        <f t="shared" si="371"/>
        <v>45976.708333332477</v>
      </c>
      <c r="MU11" s="3119">
        <f t="shared" si="372"/>
        <v>45976.749999999141</v>
      </c>
      <c r="MV11" s="3119">
        <f t="shared" si="373"/>
        <v>45976.791666665806</v>
      </c>
      <c r="MW11" s="3119">
        <f t="shared" si="374"/>
        <v>45976.83333333247</v>
      </c>
      <c r="MX11" s="3119">
        <f t="shared" si="375"/>
        <v>45976.874999999134</v>
      </c>
      <c r="MY11" s="3119">
        <f t="shared" si="376"/>
        <v>45976.916666665798</v>
      </c>
      <c r="MZ11" s="3119">
        <f t="shared" si="377"/>
        <v>45976.958333332463</v>
      </c>
      <c r="NA11" s="3119">
        <f t="shared" si="378"/>
        <v>45976.999999999127</v>
      </c>
      <c r="NB11" s="3119">
        <f t="shared" si="379"/>
        <v>45977.041666665791</v>
      </c>
      <c r="NC11" s="3119">
        <f t="shared" si="380"/>
        <v>45977.083333332455</v>
      </c>
      <c r="ND11" s="3119">
        <f t="shared" si="381"/>
        <v>45977.12499999912</v>
      </c>
      <c r="NE11" s="3119">
        <f t="shared" si="382"/>
        <v>45977.166666665784</v>
      </c>
      <c r="NF11" s="3119">
        <f t="shared" si="383"/>
        <v>45977.208333332448</v>
      </c>
      <c r="NG11" s="3119">
        <f t="shared" si="384"/>
        <v>45977.249999999112</v>
      </c>
      <c r="NH11" s="3119">
        <f t="shared" si="385"/>
        <v>45977.291666665777</v>
      </c>
      <c r="NI11" s="3119">
        <f t="shared" si="386"/>
        <v>45977.333333332441</v>
      </c>
      <c r="NJ11" s="3119">
        <f t="shared" si="387"/>
        <v>45977.374999999105</v>
      </c>
      <c r="NK11" s="3119">
        <f t="shared" si="388"/>
        <v>45977.416666665769</v>
      </c>
      <c r="NL11" s="3119">
        <f t="shared" si="389"/>
        <v>45977.458333332434</v>
      </c>
      <c r="NM11" s="3119">
        <f t="shared" si="390"/>
        <v>45977.499999999098</v>
      </c>
      <c r="NN11" s="3119">
        <f t="shared" si="391"/>
        <v>45977.541666665762</v>
      </c>
      <c r="NO11" s="3119">
        <f t="shared" si="392"/>
        <v>45977.583333332426</v>
      </c>
      <c r="NP11" s="3119">
        <f t="shared" si="393"/>
        <v>45977.624999999091</v>
      </c>
      <c r="NQ11" s="3119">
        <f t="shared" si="394"/>
        <v>45977.666666665755</v>
      </c>
      <c r="NR11" s="3119">
        <f t="shared" si="395"/>
        <v>45977.708333332419</v>
      </c>
      <c r="NS11" s="3119">
        <f t="shared" si="396"/>
        <v>45977.749999999083</v>
      </c>
      <c r="NT11" s="3119">
        <f t="shared" si="397"/>
        <v>45977.791666665747</v>
      </c>
      <c r="NU11" s="3119">
        <f t="shared" si="398"/>
        <v>45977.833333332412</v>
      </c>
      <c r="NV11" s="3119">
        <f t="shared" si="399"/>
        <v>45977.874999999076</v>
      </c>
      <c r="NW11" s="3119">
        <f t="shared" si="400"/>
        <v>45977.91666666574</v>
      </c>
      <c r="NX11" s="3119">
        <f t="shared" si="401"/>
        <v>45977.958333332404</v>
      </c>
      <c r="NY11" s="3119">
        <f t="shared" si="402"/>
        <v>45977.999999999069</v>
      </c>
      <c r="NZ11" s="3119">
        <f t="shared" si="19"/>
        <v>45978.041666665733</v>
      </c>
      <c r="OA11" s="3119">
        <f t="shared" si="403"/>
        <v>45978.083333332397</v>
      </c>
      <c r="OB11" s="3119">
        <f t="shared" si="404"/>
        <v>45978.124999999061</v>
      </c>
      <c r="OC11" s="3119">
        <f t="shared" si="405"/>
        <v>45978.166666665726</v>
      </c>
      <c r="OD11" s="3119">
        <f t="shared" si="406"/>
        <v>45978.20833333239</v>
      </c>
      <c r="OE11" s="3119">
        <f t="shared" si="407"/>
        <v>45978.249999999054</v>
      </c>
      <c r="OF11" s="3119">
        <f t="shared" si="408"/>
        <v>45978.291666665718</v>
      </c>
      <c r="OG11" s="3119">
        <f t="shared" si="409"/>
        <v>45978.333333332383</v>
      </c>
      <c r="OH11" s="3119">
        <f t="shared" si="410"/>
        <v>45978.374999999047</v>
      </c>
      <c r="OI11" s="3119">
        <f t="shared" si="411"/>
        <v>45978.416666665711</v>
      </c>
      <c r="OJ11" s="3119">
        <f t="shared" si="412"/>
        <v>45978.458333332375</v>
      </c>
      <c r="OK11" s="3119">
        <f t="shared" si="413"/>
        <v>45978.49999999904</v>
      </c>
      <c r="OL11" s="3119">
        <f t="shared" si="414"/>
        <v>45978.541666665704</v>
      </c>
      <c r="OM11" s="3119">
        <f t="shared" si="415"/>
        <v>45978.583333332368</v>
      </c>
      <c r="ON11" s="3119">
        <f t="shared" si="416"/>
        <v>45978.624999999032</v>
      </c>
      <c r="OO11" s="3119">
        <f t="shared" si="417"/>
        <v>45978.666666665697</v>
      </c>
      <c r="OP11" s="3119">
        <f t="shared" si="418"/>
        <v>45978.708333332361</v>
      </c>
      <c r="OQ11" s="3119">
        <f t="shared" si="419"/>
        <v>45978.749999999025</v>
      </c>
      <c r="OR11" s="3119">
        <f t="shared" si="420"/>
        <v>45978.791666665689</v>
      </c>
      <c r="OS11" s="3119">
        <f t="shared" si="421"/>
        <v>45978.833333332354</v>
      </c>
      <c r="OT11" s="3119">
        <f t="shared" si="422"/>
        <v>45978.874999999018</v>
      </c>
      <c r="OU11" s="3119">
        <f t="shared" si="423"/>
        <v>45978.916666665682</v>
      </c>
      <c r="OV11" s="3119">
        <f t="shared" si="424"/>
        <v>45978.958333332346</v>
      </c>
      <c r="OW11" s="3119">
        <f t="shared" si="425"/>
        <v>45978.99999999901</v>
      </c>
      <c r="OX11" s="3119">
        <f t="shared" si="426"/>
        <v>45979.041666665675</v>
      </c>
      <c r="OY11" s="3119">
        <f t="shared" si="427"/>
        <v>45979.083333332339</v>
      </c>
      <c r="OZ11" s="3119">
        <f t="shared" si="428"/>
        <v>45979.124999999003</v>
      </c>
      <c r="PA11" s="3119">
        <f t="shared" si="429"/>
        <v>45979.166666665667</v>
      </c>
      <c r="PB11" s="3119">
        <f t="shared" si="430"/>
        <v>45979.208333332332</v>
      </c>
      <c r="PC11" s="3119">
        <f t="shared" si="431"/>
        <v>45979.249999998996</v>
      </c>
      <c r="PD11" s="3119">
        <f t="shared" si="432"/>
        <v>45979.29166666566</v>
      </c>
      <c r="PE11" s="3119">
        <f t="shared" si="433"/>
        <v>45979.333333332324</v>
      </c>
      <c r="PF11" s="3119">
        <f t="shared" si="434"/>
        <v>45979.374999998989</v>
      </c>
      <c r="PG11" s="3119">
        <f t="shared" si="435"/>
        <v>45979.416666665653</v>
      </c>
      <c r="PH11" s="3119">
        <f t="shared" si="436"/>
        <v>45979.458333332317</v>
      </c>
      <c r="PI11" s="3119">
        <f t="shared" si="437"/>
        <v>45979.499999998981</v>
      </c>
      <c r="PJ11" s="3119">
        <f t="shared" si="438"/>
        <v>45979.541666665646</v>
      </c>
      <c r="PK11" s="3119">
        <f t="shared" si="439"/>
        <v>45979.58333333231</v>
      </c>
      <c r="PL11" s="3119">
        <f t="shared" si="440"/>
        <v>45979.624999998974</v>
      </c>
      <c r="PM11" s="3119">
        <f t="shared" si="441"/>
        <v>45979.666666665638</v>
      </c>
      <c r="PN11" s="3119">
        <f t="shared" si="442"/>
        <v>45979.708333332303</v>
      </c>
      <c r="PO11" s="3119">
        <f t="shared" si="443"/>
        <v>45979.749999998967</v>
      </c>
      <c r="PP11" s="3119">
        <f t="shared" si="444"/>
        <v>45979.791666665631</v>
      </c>
      <c r="PQ11" s="3119">
        <f t="shared" si="445"/>
        <v>45979.833333332295</v>
      </c>
      <c r="PR11" s="3119">
        <f t="shared" si="446"/>
        <v>45979.87499999896</v>
      </c>
      <c r="PS11" s="3119">
        <f t="shared" si="447"/>
        <v>45979.916666665624</v>
      </c>
      <c r="PT11" s="3119">
        <f t="shared" si="448"/>
        <v>45979.958333332288</v>
      </c>
      <c r="PU11" s="3119">
        <f t="shared" si="449"/>
        <v>45979.999999998952</v>
      </c>
      <c r="PV11" s="3119">
        <f t="shared" si="450"/>
        <v>45980.041666665617</v>
      </c>
      <c r="PW11" s="3119">
        <f t="shared" si="451"/>
        <v>45980.083333332281</v>
      </c>
      <c r="PX11" s="3119">
        <f t="shared" si="452"/>
        <v>45980.124999998945</v>
      </c>
      <c r="PY11" s="3119">
        <f t="shared" si="453"/>
        <v>45980.166666665609</v>
      </c>
      <c r="PZ11" s="3119">
        <f t="shared" si="454"/>
        <v>45980.208333332273</v>
      </c>
      <c r="QA11" s="3119">
        <f t="shared" si="455"/>
        <v>45980.249999998938</v>
      </c>
      <c r="QB11" s="3119">
        <f t="shared" si="456"/>
        <v>45980.291666665602</v>
      </c>
      <c r="QC11" s="3119">
        <f t="shared" si="457"/>
        <v>45980.333333332266</v>
      </c>
      <c r="QD11" s="3119">
        <f t="shared" si="458"/>
        <v>45980.37499999893</v>
      </c>
      <c r="QE11" s="3119">
        <f t="shared" si="459"/>
        <v>45980.416666665595</v>
      </c>
      <c r="QF11" s="3119">
        <f t="shared" si="460"/>
        <v>45980.458333332259</v>
      </c>
      <c r="QG11" s="3119">
        <f t="shared" si="461"/>
        <v>45980.499999998923</v>
      </c>
      <c r="QH11" s="3119">
        <f t="shared" si="462"/>
        <v>45980.541666665587</v>
      </c>
      <c r="QI11" s="3119">
        <f t="shared" si="463"/>
        <v>45980.583333332252</v>
      </c>
      <c r="QJ11" s="3119">
        <f t="shared" si="464"/>
        <v>45980.624999998916</v>
      </c>
      <c r="QK11" s="3119">
        <f t="shared" si="465"/>
        <v>45980.66666666558</v>
      </c>
      <c r="QL11" s="3119">
        <f t="shared" si="20"/>
        <v>45980.708333332244</v>
      </c>
      <c r="QM11" s="3119">
        <f t="shared" si="466"/>
        <v>45980.749999998909</v>
      </c>
      <c r="QN11" s="3119">
        <f t="shared" si="467"/>
        <v>45980.791666665573</v>
      </c>
      <c r="QO11" s="3119">
        <f t="shared" si="468"/>
        <v>45980.833333332237</v>
      </c>
      <c r="QP11" s="3119">
        <f t="shared" si="469"/>
        <v>45980.874999998901</v>
      </c>
      <c r="QQ11" s="3119">
        <f t="shared" si="470"/>
        <v>45980.916666665566</v>
      </c>
      <c r="QR11" s="3119">
        <f t="shared" si="471"/>
        <v>45980.95833333223</v>
      </c>
      <c r="QS11" s="3119">
        <f t="shared" si="472"/>
        <v>45980.999999998894</v>
      </c>
      <c r="QT11" s="3119">
        <f t="shared" si="473"/>
        <v>45981.041666665558</v>
      </c>
      <c r="QU11" s="3119">
        <f t="shared" si="474"/>
        <v>45981.083333332223</v>
      </c>
      <c r="QV11" s="3119">
        <f t="shared" si="475"/>
        <v>45981.124999998887</v>
      </c>
      <c r="QW11" s="3119">
        <f t="shared" si="476"/>
        <v>45981.166666665551</v>
      </c>
      <c r="QX11" s="3119">
        <f t="shared" si="477"/>
        <v>45981.208333332215</v>
      </c>
      <c r="QY11" s="3119">
        <f t="shared" si="478"/>
        <v>45981.24999999888</v>
      </c>
      <c r="QZ11" s="3119">
        <f t="shared" si="479"/>
        <v>45981.291666665544</v>
      </c>
      <c r="RA11" s="3119">
        <f t="shared" si="480"/>
        <v>45981.333333332208</v>
      </c>
      <c r="RB11" s="3119">
        <f t="shared" si="481"/>
        <v>45981.374999998872</v>
      </c>
      <c r="RC11" s="3119">
        <f t="shared" si="482"/>
        <v>45981.416666665536</v>
      </c>
      <c r="RD11" s="3119">
        <f t="shared" si="483"/>
        <v>45981.458333332201</v>
      </c>
      <c r="RE11" s="3119">
        <f t="shared" si="484"/>
        <v>45981.499999998865</v>
      </c>
      <c r="RF11" s="3119">
        <f t="shared" si="485"/>
        <v>45981.541666665529</v>
      </c>
      <c r="RG11" s="3119">
        <f t="shared" si="486"/>
        <v>45981.583333332193</v>
      </c>
      <c r="RH11" s="3119">
        <f t="shared" si="487"/>
        <v>45981.624999998858</v>
      </c>
      <c r="RI11" s="3119">
        <f t="shared" si="488"/>
        <v>45981.666666665522</v>
      </c>
      <c r="RJ11" s="3119">
        <f t="shared" si="489"/>
        <v>45981.708333332186</v>
      </c>
      <c r="RK11" s="3119">
        <f t="shared" si="490"/>
        <v>45981.74999999885</v>
      </c>
      <c r="RL11" s="3119">
        <f t="shared" si="491"/>
        <v>45981.791666665515</v>
      </c>
      <c r="RM11" s="3119">
        <f t="shared" si="492"/>
        <v>45981.833333332179</v>
      </c>
      <c r="RN11" s="3119">
        <f t="shared" si="493"/>
        <v>45981.874999998843</v>
      </c>
      <c r="RO11" s="3119">
        <f t="shared" si="494"/>
        <v>45981.916666665507</v>
      </c>
      <c r="RP11" s="3119">
        <f t="shared" si="495"/>
        <v>45981.958333332172</v>
      </c>
      <c r="RQ11" s="3119">
        <f t="shared" si="496"/>
        <v>45981.999999998836</v>
      </c>
      <c r="RR11" s="3119">
        <f t="shared" si="497"/>
        <v>45982.0416666655</v>
      </c>
      <c r="RS11" s="3119">
        <f t="shared" si="498"/>
        <v>45982.083333332164</v>
      </c>
      <c r="RT11" s="3119">
        <f t="shared" si="499"/>
        <v>45982.124999998829</v>
      </c>
      <c r="RU11" s="3119">
        <f t="shared" si="500"/>
        <v>45982.166666665493</v>
      </c>
      <c r="RV11" s="3119">
        <f t="shared" si="501"/>
        <v>45982.208333332157</v>
      </c>
      <c r="RW11" s="3119">
        <f t="shared" si="502"/>
        <v>45982.249999998821</v>
      </c>
      <c r="RX11" s="3119">
        <f t="shared" si="503"/>
        <v>45982.291666665486</v>
      </c>
      <c r="RY11" s="3119">
        <f t="shared" si="504"/>
        <v>45982.33333333215</v>
      </c>
      <c r="RZ11" s="3119">
        <f t="shared" si="505"/>
        <v>45982.374999998814</v>
      </c>
      <c r="SA11" s="3119">
        <f t="shared" si="506"/>
        <v>45982.416666665478</v>
      </c>
      <c r="SB11" s="3119">
        <f t="shared" si="507"/>
        <v>45982.458333332143</v>
      </c>
      <c r="SC11" s="3119">
        <f t="shared" si="508"/>
        <v>45982.499999998807</v>
      </c>
      <c r="SD11" s="3119">
        <f t="shared" si="509"/>
        <v>45982.541666665471</v>
      </c>
      <c r="SE11" s="3119">
        <f t="shared" si="510"/>
        <v>45982.583333332135</v>
      </c>
      <c r="SF11" s="3119">
        <f t="shared" si="511"/>
        <v>45982.624999998799</v>
      </c>
      <c r="SG11" s="3119">
        <f t="shared" si="512"/>
        <v>45982.666666665464</v>
      </c>
      <c r="SH11" s="3119">
        <f t="shared" si="513"/>
        <v>45982.708333332128</v>
      </c>
      <c r="SI11" s="3119">
        <f t="shared" si="514"/>
        <v>45982.749999998792</v>
      </c>
      <c r="SJ11" s="3119">
        <f t="shared" si="515"/>
        <v>45982.791666665456</v>
      </c>
      <c r="SK11" s="3119">
        <f t="shared" si="516"/>
        <v>45982.833333332121</v>
      </c>
      <c r="SL11" s="3119">
        <f t="shared" si="517"/>
        <v>45982.874999998785</v>
      </c>
      <c r="SM11" s="3119">
        <f t="shared" si="518"/>
        <v>45982.916666665449</v>
      </c>
      <c r="SN11" s="3119">
        <f t="shared" si="519"/>
        <v>45982.958333332113</v>
      </c>
      <c r="SO11" s="3119">
        <f t="shared" si="520"/>
        <v>45982.999999998778</v>
      </c>
      <c r="SP11" s="3119">
        <f t="shared" si="521"/>
        <v>45983.041666665442</v>
      </c>
      <c r="SQ11" s="3119">
        <f t="shared" si="522"/>
        <v>45983.083333332106</v>
      </c>
      <c r="SR11" s="3119">
        <f t="shared" si="523"/>
        <v>45983.12499999877</v>
      </c>
      <c r="SS11" s="3119">
        <f t="shared" si="524"/>
        <v>45983.166666665435</v>
      </c>
      <c r="ST11" s="3119">
        <f t="shared" si="525"/>
        <v>45983.208333332099</v>
      </c>
      <c r="SU11" s="3119">
        <f t="shared" si="526"/>
        <v>45983.249999998763</v>
      </c>
      <c r="SV11" s="3119">
        <f t="shared" si="527"/>
        <v>45983.291666665427</v>
      </c>
      <c r="SW11" s="3119">
        <f t="shared" si="528"/>
        <v>45983.333333332092</v>
      </c>
      <c r="SX11" s="3119">
        <f t="shared" si="21"/>
        <v>45983.374999998756</v>
      </c>
      <c r="SY11" s="3119">
        <f t="shared" si="529"/>
        <v>45983.41666666542</v>
      </c>
      <c r="SZ11" s="3119">
        <f t="shared" si="530"/>
        <v>45983.458333332084</v>
      </c>
      <c r="TA11" s="3119">
        <f t="shared" si="531"/>
        <v>45983.499999998749</v>
      </c>
      <c r="TB11" s="3119">
        <f t="shared" si="532"/>
        <v>45983.541666665413</v>
      </c>
      <c r="TC11" s="3119">
        <f t="shared" si="533"/>
        <v>45983.583333332077</v>
      </c>
      <c r="TD11" s="3119">
        <f t="shared" si="534"/>
        <v>45983.624999998741</v>
      </c>
      <c r="TE11" s="3119">
        <f t="shared" si="535"/>
        <v>45983.666666665406</v>
      </c>
      <c r="TF11" s="3119">
        <f t="shared" si="536"/>
        <v>45983.70833333207</v>
      </c>
      <c r="TG11" s="3119">
        <f t="shared" si="537"/>
        <v>45983.749999998734</v>
      </c>
      <c r="TH11" s="3119">
        <f t="shared" si="538"/>
        <v>45983.791666665398</v>
      </c>
      <c r="TI11" s="3119">
        <f t="shared" si="539"/>
        <v>45983.833333332062</v>
      </c>
      <c r="TJ11" s="3119">
        <f t="shared" si="540"/>
        <v>45983.874999998727</v>
      </c>
      <c r="TK11" s="3119">
        <f t="shared" si="541"/>
        <v>45983.916666665391</v>
      </c>
      <c r="TL11" s="3119">
        <f t="shared" si="542"/>
        <v>45983.958333332055</v>
      </c>
      <c r="TM11" s="3119">
        <f t="shared" si="543"/>
        <v>45983.999999998719</v>
      </c>
      <c r="TN11" s="3119">
        <f t="shared" si="544"/>
        <v>45984.041666665384</v>
      </c>
      <c r="TO11" s="3119">
        <f t="shared" si="545"/>
        <v>45984.083333332048</v>
      </c>
      <c r="TP11" s="3119">
        <f t="shared" si="546"/>
        <v>45984.124999998712</v>
      </c>
      <c r="TQ11" s="3119">
        <f t="shared" si="547"/>
        <v>45984.166666665376</v>
      </c>
      <c r="TR11" s="3119">
        <f t="shared" si="548"/>
        <v>45984.208333332041</v>
      </c>
      <c r="TS11" s="3119">
        <f t="shared" si="549"/>
        <v>45984.249999998705</v>
      </c>
      <c r="TT11" s="3119">
        <f t="shared" si="550"/>
        <v>45984.291666665369</v>
      </c>
      <c r="TU11" s="3119">
        <f t="shared" si="551"/>
        <v>45984.333333332033</v>
      </c>
      <c r="TV11" s="3119">
        <f t="shared" si="552"/>
        <v>45984.374999998698</v>
      </c>
      <c r="TW11" s="3119">
        <f t="shared" si="553"/>
        <v>45984.416666665362</v>
      </c>
      <c r="TX11" s="3119">
        <f t="shared" si="554"/>
        <v>45984.458333332026</v>
      </c>
      <c r="TY11" s="3119">
        <f t="shared" si="555"/>
        <v>45984.49999999869</v>
      </c>
      <c r="TZ11" s="3119">
        <f t="shared" si="556"/>
        <v>45984.541666665355</v>
      </c>
      <c r="UA11" s="3119">
        <f t="shared" si="557"/>
        <v>45984.583333332019</v>
      </c>
      <c r="UB11" s="3119">
        <f t="shared" si="558"/>
        <v>45984.624999998683</v>
      </c>
      <c r="UC11" s="3119">
        <f t="shared" si="559"/>
        <v>45984.666666665347</v>
      </c>
      <c r="UD11" s="3119">
        <f t="shared" si="560"/>
        <v>45984.708333332012</v>
      </c>
      <c r="UE11" s="3119">
        <f t="shared" si="561"/>
        <v>45984.749999998676</v>
      </c>
      <c r="UF11" s="3119">
        <f t="shared" si="562"/>
        <v>45984.79166666534</v>
      </c>
      <c r="UG11" s="3119">
        <f t="shared" si="563"/>
        <v>45984.833333332004</v>
      </c>
      <c r="UH11" s="3119">
        <f t="shared" si="564"/>
        <v>45984.874999998668</v>
      </c>
      <c r="UI11" s="3119">
        <f t="shared" si="565"/>
        <v>45984.916666665333</v>
      </c>
      <c r="UJ11" s="3119">
        <f t="shared" si="566"/>
        <v>45984.958333331997</v>
      </c>
      <c r="UK11" s="3119">
        <f t="shared" si="567"/>
        <v>45984.999999998661</v>
      </c>
      <c r="UL11" s="3119">
        <f t="shared" si="568"/>
        <v>45985.041666665325</v>
      </c>
      <c r="UM11" s="3119">
        <f t="shared" si="569"/>
        <v>45985.08333333199</v>
      </c>
      <c r="UN11" s="3119">
        <f t="shared" si="570"/>
        <v>45985.124999998654</v>
      </c>
      <c r="UO11" s="3119">
        <f t="shared" si="571"/>
        <v>45985.166666665318</v>
      </c>
      <c r="UP11" s="3119">
        <f t="shared" si="572"/>
        <v>45985.208333331982</v>
      </c>
      <c r="UQ11" s="3119">
        <f t="shared" si="573"/>
        <v>45985.249999998647</v>
      </c>
      <c r="UR11" s="3119">
        <f t="shared" si="574"/>
        <v>45985.291666665311</v>
      </c>
      <c r="US11" s="3119">
        <f t="shared" si="575"/>
        <v>45985.333333331975</v>
      </c>
      <c r="UT11" s="3119">
        <f t="shared" si="576"/>
        <v>45985.374999998639</v>
      </c>
      <c r="UU11" s="3119">
        <f t="shared" si="577"/>
        <v>45985.416666665304</v>
      </c>
      <c r="UV11" s="3119">
        <f t="shared" si="578"/>
        <v>45985.458333331968</v>
      </c>
      <c r="UW11" s="3119">
        <f t="shared" si="579"/>
        <v>45985.499999998632</v>
      </c>
      <c r="UX11" s="3119">
        <f t="shared" si="580"/>
        <v>45985.541666665296</v>
      </c>
      <c r="UY11" s="3119">
        <f t="shared" si="581"/>
        <v>45985.583333331961</v>
      </c>
      <c r="UZ11" s="3119">
        <f t="shared" si="582"/>
        <v>45985.624999998625</v>
      </c>
      <c r="VA11" s="3119">
        <f t="shared" si="583"/>
        <v>45985.666666665289</v>
      </c>
      <c r="VB11" s="3119">
        <f t="shared" si="584"/>
        <v>45985.708333331953</v>
      </c>
      <c r="VC11" s="3119">
        <f t="shared" si="585"/>
        <v>45985.749999998618</v>
      </c>
      <c r="VD11" s="3119">
        <f t="shared" si="586"/>
        <v>45985.791666665282</v>
      </c>
      <c r="VE11" s="3119">
        <f t="shared" si="587"/>
        <v>45985.833333331946</v>
      </c>
      <c r="VF11" s="3119">
        <f t="shared" si="588"/>
        <v>45985.87499999861</v>
      </c>
      <c r="VG11" s="3119">
        <f t="shared" si="589"/>
        <v>45985.916666665275</v>
      </c>
      <c r="VH11" s="3119">
        <f t="shared" si="590"/>
        <v>45985.958333331939</v>
      </c>
      <c r="VI11" s="3119">
        <f t="shared" si="591"/>
        <v>45985.999999998603</v>
      </c>
      <c r="VJ11" s="3119">
        <f t="shared" si="22"/>
        <v>45986.041666665267</v>
      </c>
      <c r="VK11" s="3119">
        <f t="shared" si="592"/>
        <v>45986.083333331931</v>
      </c>
      <c r="VL11" s="3119">
        <f t="shared" si="593"/>
        <v>45986.124999998596</v>
      </c>
      <c r="VM11" s="3119">
        <f t="shared" si="594"/>
        <v>45986.16666666526</v>
      </c>
      <c r="VN11" s="3119">
        <f t="shared" si="595"/>
        <v>45986.208333331924</v>
      </c>
      <c r="VO11" s="3119">
        <f t="shared" si="596"/>
        <v>45986.249999998588</v>
      </c>
      <c r="VP11" s="3119">
        <f t="shared" si="597"/>
        <v>45986.291666665253</v>
      </c>
      <c r="VQ11" s="3119">
        <f t="shared" si="598"/>
        <v>45986.333333331917</v>
      </c>
      <c r="VR11" s="3119">
        <f t="shared" si="599"/>
        <v>45986.374999998581</v>
      </c>
      <c r="VS11" s="3119">
        <f t="shared" si="600"/>
        <v>45986.416666665245</v>
      </c>
      <c r="VT11" s="3119">
        <f t="shared" si="601"/>
        <v>45986.45833333191</v>
      </c>
      <c r="VU11" s="3119">
        <f t="shared" si="602"/>
        <v>45986.499999998574</v>
      </c>
      <c r="VV11" s="3119">
        <f t="shared" si="603"/>
        <v>45986.541666665238</v>
      </c>
      <c r="VW11" s="3119">
        <f t="shared" si="604"/>
        <v>45986.583333331902</v>
      </c>
      <c r="VX11" s="3119">
        <f t="shared" si="605"/>
        <v>45986.624999998567</v>
      </c>
      <c r="VY11" s="3119">
        <f t="shared" si="606"/>
        <v>45986.666666665231</v>
      </c>
      <c r="VZ11" s="3119">
        <f t="shared" si="607"/>
        <v>45986.708333331895</v>
      </c>
      <c r="WA11" s="3119">
        <f t="shared" si="608"/>
        <v>45986.749999998559</v>
      </c>
      <c r="WB11" s="3119">
        <f t="shared" si="609"/>
        <v>45986.791666665224</v>
      </c>
      <c r="WC11" s="3119">
        <f t="shared" si="610"/>
        <v>45986.833333331888</v>
      </c>
      <c r="WD11" s="3119">
        <f t="shared" si="611"/>
        <v>45986.874999998552</v>
      </c>
      <c r="WE11" s="3119">
        <f t="shared" si="612"/>
        <v>45986.916666665216</v>
      </c>
      <c r="WF11" s="3119">
        <f t="shared" si="613"/>
        <v>45986.958333331881</v>
      </c>
      <c r="WG11" s="3119">
        <f t="shared" si="614"/>
        <v>45986.999999998545</v>
      </c>
      <c r="WH11" s="3119">
        <f t="shared" si="615"/>
        <v>45987.041666665209</v>
      </c>
      <c r="WI11" s="3119">
        <f t="shared" si="616"/>
        <v>45987.083333331873</v>
      </c>
      <c r="WJ11" s="3119">
        <f t="shared" si="617"/>
        <v>45987.124999998538</v>
      </c>
      <c r="WK11" s="3119">
        <f t="shared" si="618"/>
        <v>45987.166666665202</v>
      </c>
      <c r="WL11" s="3119">
        <f t="shared" si="619"/>
        <v>45987.208333331866</v>
      </c>
      <c r="WM11" s="3119">
        <f t="shared" si="620"/>
        <v>45987.24999999853</v>
      </c>
      <c r="WN11" s="3119">
        <f t="shared" si="621"/>
        <v>45987.291666665194</v>
      </c>
      <c r="WO11" s="3119">
        <f t="shared" si="622"/>
        <v>45987.333333331859</v>
      </c>
      <c r="WP11" s="3119">
        <f t="shared" si="623"/>
        <v>45987.374999998523</v>
      </c>
      <c r="WQ11" s="3119">
        <f t="shared" si="624"/>
        <v>45987.416666665187</v>
      </c>
      <c r="WR11" s="3119">
        <f t="shared" si="625"/>
        <v>45987.458333331851</v>
      </c>
      <c r="WS11" s="3119">
        <f t="shared" si="626"/>
        <v>45987.499999998516</v>
      </c>
      <c r="WT11" s="3119">
        <f t="shared" si="627"/>
        <v>45987.54166666518</v>
      </c>
      <c r="WU11" s="3119">
        <f t="shared" si="628"/>
        <v>45987.583333331844</v>
      </c>
      <c r="WV11" s="3119">
        <f t="shared" si="629"/>
        <v>45987.624999998508</v>
      </c>
      <c r="WW11" s="3119">
        <f t="shared" si="630"/>
        <v>45987.666666665173</v>
      </c>
      <c r="WX11" s="3119">
        <f t="shared" si="631"/>
        <v>45987.708333331837</v>
      </c>
      <c r="WY11" s="3119">
        <f t="shared" si="632"/>
        <v>45987.749999998501</v>
      </c>
      <c r="WZ11" s="3119">
        <f t="shared" si="633"/>
        <v>45987.791666665165</v>
      </c>
      <c r="XA11" s="3119">
        <f t="shared" si="634"/>
        <v>45987.83333333183</v>
      </c>
      <c r="XB11" s="3119">
        <f t="shared" si="635"/>
        <v>45987.874999998494</v>
      </c>
      <c r="XC11" s="3119">
        <f t="shared" si="636"/>
        <v>45987.916666665158</v>
      </c>
      <c r="XD11" s="3119">
        <f t="shared" si="637"/>
        <v>45987.958333331822</v>
      </c>
      <c r="XE11" s="3119">
        <f t="shared" si="638"/>
        <v>45987.999999998487</v>
      </c>
      <c r="XF11" s="3119">
        <f t="shared" si="639"/>
        <v>45988.041666665151</v>
      </c>
      <c r="XG11" s="3119">
        <f t="shared" si="640"/>
        <v>45988.083333331815</v>
      </c>
      <c r="XH11" s="3119">
        <f t="shared" si="641"/>
        <v>45988.124999998479</v>
      </c>
      <c r="XI11" s="3119">
        <f t="shared" si="642"/>
        <v>45988.166666665144</v>
      </c>
      <c r="XJ11" s="3119">
        <f t="shared" si="643"/>
        <v>45988.208333331808</v>
      </c>
      <c r="XK11" s="3119">
        <f t="shared" si="644"/>
        <v>45988.249999998472</v>
      </c>
      <c r="XL11" s="3119">
        <f t="shared" si="645"/>
        <v>45988.291666665136</v>
      </c>
      <c r="XM11" s="3119">
        <f t="shared" si="646"/>
        <v>45988.333333331801</v>
      </c>
      <c r="XN11" s="3119">
        <f t="shared" si="647"/>
        <v>45988.374999998465</v>
      </c>
      <c r="XO11" s="3119">
        <f t="shared" si="648"/>
        <v>45988.416666665129</v>
      </c>
      <c r="XP11" s="3119">
        <f t="shared" si="649"/>
        <v>45988.458333331793</v>
      </c>
      <c r="XQ11" s="3119">
        <f t="shared" si="650"/>
        <v>45988.499999998457</v>
      </c>
      <c r="XR11" s="3119">
        <f t="shared" si="651"/>
        <v>45988.541666665122</v>
      </c>
      <c r="XS11" s="3119">
        <f t="shared" si="652"/>
        <v>45988.583333331786</v>
      </c>
      <c r="XT11" s="3119">
        <f t="shared" si="653"/>
        <v>45988.62499999845</v>
      </c>
      <c r="XU11" s="3119">
        <f t="shared" si="654"/>
        <v>45988.666666665114</v>
      </c>
      <c r="XV11" s="3119">
        <f t="shared" si="23"/>
        <v>45988.708333331779</v>
      </c>
      <c r="XW11" s="3119">
        <f t="shared" si="655"/>
        <v>45988.749999998443</v>
      </c>
      <c r="XX11" s="3119">
        <f t="shared" si="656"/>
        <v>45988.791666665107</v>
      </c>
      <c r="XY11" s="3119">
        <f t="shared" si="657"/>
        <v>45988.833333331771</v>
      </c>
      <c r="XZ11" s="3119">
        <f t="shared" si="658"/>
        <v>45988.874999998436</v>
      </c>
      <c r="YA11" s="3119">
        <f t="shared" si="659"/>
        <v>45988.9166666651</v>
      </c>
      <c r="YB11" s="3119">
        <f t="shared" si="660"/>
        <v>45988.958333331764</v>
      </c>
      <c r="YC11" s="3119">
        <f t="shared" si="661"/>
        <v>45988.999999998428</v>
      </c>
      <c r="YD11" s="3119">
        <f t="shared" si="662"/>
        <v>45989.041666665093</v>
      </c>
      <c r="YE11" s="3119">
        <f t="shared" si="663"/>
        <v>45989.083333331757</v>
      </c>
      <c r="YF11" s="3119">
        <f t="shared" si="664"/>
        <v>45989.124999998421</v>
      </c>
      <c r="YG11" s="3119">
        <f t="shared" si="665"/>
        <v>45989.166666665085</v>
      </c>
      <c r="YH11" s="3119">
        <f t="shared" si="666"/>
        <v>45989.20833333175</v>
      </c>
      <c r="YI11" s="3119">
        <f t="shared" si="667"/>
        <v>45989.249999998414</v>
      </c>
      <c r="YJ11" s="3119">
        <f t="shared" si="668"/>
        <v>45989.291666665078</v>
      </c>
      <c r="YK11" s="3119">
        <f t="shared" si="669"/>
        <v>45989.333333331742</v>
      </c>
      <c r="YL11" s="3119">
        <f t="shared" si="670"/>
        <v>45989.374999998407</v>
      </c>
      <c r="YM11" s="3119">
        <f t="shared" si="671"/>
        <v>45989.416666665071</v>
      </c>
      <c r="YN11" s="3119">
        <f t="shared" si="672"/>
        <v>45989.458333331735</v>
      </c>
      <c r="YO11" s="3119">
        <f t="shared" si="673"/>
        <v>45989.499999998399</v>
      </c>
      <c r="YP11" s="3119">
        <f t="shared" si="674"/>
        <v>45989.541666665064</v>
      </c>
      <c r="YQ11" s="3119">
        <f t="shared" si="675"/>
        <v>45989.583333331728</v>
      </c>
      <c r="YR11" s="3119">
        <f t="shared" si="676"/>
        <v>45989.624999998392</v>
      </c>
      <c r="YS11" s="3119">
        <f t="shared" si="677"/>
        <v>45989.666666665056</v>
      </c>
      <c r="YT11" s="3119">
        <f t="shared" si="678"/>
        <v>45989.70833333172</v>
      </c>
      <c r="YU11" s="3119">
        <f t="shared" si="679"/>
        <v>45989.749999998385</v>
      </c>
      <c r="YV11" s="3119">
        <f t="shared" si="680"/>
        <v>45989.791666665049</v>
      </c>
      <c r="YW11" s="3119">
        <f t="shared" si="681"/>
        <v>45989.833333331713</v>
      </c>
      <c r="YX11" s="3119">
        <f t="shared" si="682"/>
        <v>45989.874999998377</v>
      </c>
      <c r="YY11" s="3119">
        <f t="shared" si="683"/>
        <v>45989.916666665042</v>
      </c>
      <c r="YZ11" s="3119">
        <f t="shared" si="684"/>
        <v>45989.958333331706</v>
      </c>
      <c r="ZA11" s="3119">
        <f t="shared" si="685"/>
        <v>45989.99999999837</v>
      </c>
      <c r="ZB11" s="3119">
        <f t="shared" si="686"/>
        <v>45990.041666665034</v>
      </c>
      <c r="ZC11" s="3119">
        <f t="shared" si="687"/>
        <v>45990.083333331699</v>
      </c>
      <c r="ZD11" s="3119">
        <f t="shared" si="688"/>
        <v>45990.124999998363</v>
      </c>
      <c r="ZE11" s="3119">
        <f t="shared" si="689"/>
        <v>45990.166666665027</v>
      </c>
      <c r="ZF11" s="3119">
        <f t="shared" si="690"/>
        <v>45990.208333331691</v>
      </c>
      <c r="ZG11" s="3119">
        <f t="shared" si="691"/>
        <v>45990.249999998356</v>
      </c>
      <c r="ZH11" s="3119">
        <f t="shared" si="692"/>
        <v>45990.29166666502</v>
      </c>
      <c r="ZI11" s="3119">
        <f t="shared" si="693"/>
        <v>45990.333333331684</v>
      </c>
      <c r="ZJ11" s="3119">
        <f t="shared" si="694"/>
        <v>45990.374999998348</v>
      </c>
      <c r="ZK11" s="3119">
        <f t="shared" si="695"/>
        <v>45990.416666665013</v>
      </c>
      <c r="ZL11" s="3119">
        <f t="shared" si="696"/>
        <v>45990.458333331677</v>
      </c>
      <c r="ZM11" s="3119">
        <f t="shared" si="697"/>
        <v>45990.499999998341</v>
      </c>
      <c r="ZN11" s="3119">
        <f t="shared" si="698"/>
        <v>45990.541666665005</v>
      </c>
      <c r="ZO11" s="3119">
        <f t="shared" si="699"/>
        <v>45990.58333333167</v>
      </c>
      <c r="ZP11" s="3119">
        <f t="shared" si="700"/>
        <v>45990.624999998334</v>
      </c>
      <c r="ZQ11" s="3119">
        <f t="shared" si="701"/>
        <v>45990.666666664998</v>
      </c>
      <c r="ZR11" s="3119">
        <f t="shared" si="702"/>
        <v>45990.708333331662</v>
      </c>
      <c r="ZS11" s="3119">
        <f t="shared" si="703"/>
        <v>45990.749999998327</v>
      </c>
      <c r="ZT11" s="3119">
        <f t="shared" si="704"/>
        <v>45990.791666664991</v>
      </c>
      <c r="ZU11" s="3119">
        <f t="shared" si="705"/>
        <v>45990.833333331655</v>
      </c>
      <c r="ZV11" s="3119">
        <f t="shared" si="706"/>
        <v>45990.874999998319</v>
      </c>
      <c r="ZW11" s="3119">
        <f t="shared" si="707"/>
        <v>45990.916666664983</v>
      </c>
      <c r="ZX11" s="3119">
        <f t="shared" si="708"/>
        <v>45990.958333331648</v>
      </c>
      <c r="ZY11" s="3119">
        <f t="shared" si="709"/>
        <v>45990.999999998312</v>
      </c>
      <c r="ZZ11" s="3119">
        <f t="shared" si="710"/>
        <v>45991.041666664976</v>
      </c>
      <c r="AAA11" s="3119">
        <f t="shared" si="711"/>
        <v>45991.08333333164</v>
      </c>
      <c r="AAB11" s="3119">
        <f t="shared" si="712"/>
        <v>45991.124999998305</v>
      </c>
      <c r="AAC11" s="3119">
        <f t="shared" si="713"/>
        <v>45991.166666664969</v>
      </c>
      <c r="AAD11" s="3119">
        <f t="shared" si="714"/>
        <v>45991.208333331633</v>
      </c>
      <c r="AAE11" s="3119">
        <f t="shared" si="715"/>
        <v>45991.249999998297</v>
      </c>
      <c r="AAF11" s="3119">
        <f t="shared" si="716"/>
        <v>45991.291666664962</v>
      </c>
      <c r="AAG11" s="3119">
        <f t="shared" si="717"/>
        <v>45991.333333331626</v>
      </c>
      <c r="AAH11" s="3119">
        <f t="shared" si="24"/>
        <v>45991.37499999829</v>
      </c>
      <c r="AAI11" s="3119">
        <f t="shared" si="12"/>
        <v>45991.416666664954</v>
      </c>
      <c r="AAJ11" s="3119">
        <f t="shared" si="12"/>
        <v>45991.458333331619</v>
      </c>
      <c r="AAK11" s="3119">
        <f t="shared" si="12"/>
        <v>45991.499999998283</v>
      </c>
      <c r="AAL11" s="3119">
        <f t="shared" si="12"/>
        <v>45991.541666664947</v>
      </c>
      <c r="AAM11" s="3119">
        <f t="shared" si="12"/>
        <v>45991.583333331611</v>
      </c>
      <c r="AAN11" s="3119">
        <f t="shared" si="12"/>
        <v>45991.624999998276</v>
      </c>
      <c r="AAO11" s="3119">
        <f t="shared" si="12"/>
        <v>45991.66666666494</v>
      </c>
      <c r="AAP11" s="3119">
        <f t="shared" si="12"/>
        <v>45991.708333331604</v>
      </c>
      <c r="AAQ11" s="3119">
        <f t="shared" si="12"/>
        <v>45991.749999998268</v>
      </c>
      <c r="AAR11" s="3119">
        <f t="shared" si="12"/>
        <v>45991.791666664933</v>
      </c>
      <c r="AAS11" s="3119">
        <f t="shared" si="12"/>
        <v>45991.833333331597</v>
      </c>
      <c r="AAT11" s="3119">
        <f t="shared" si="12"/>
        <v>45991.874999998261</v>
      </c>
      <c r="AAU11" s="3119">
        <f t="shared" si="12"/>
        <v>45991.916666664925</v>
      </c>
      <c r="AAV11" s="3119">
        <f t="shared" si="12"/>
        <v>45991.95833333159</v>
      </c>
    </row>
    <row r="12" spans="1:724" s="282" customFormat="1" ht="13">
      <c r="A12" s="3115" t="s">
        <v>1541</v>
      </c>
      <c r="B12" s="3119">
        <v>45966.75</v>
      </c>
      <c r="C12" s="3119">
        <v>45968.25</v>
      </c>
      <c r="D12" s="3116">
        <f t="shared" si="0"/>
        <v>36</v>
      </c>
      <c r="E12" s="3119">
        <v>45962</v>
      </c>
      <c r="F12" s="3119">
        <f t="shared" si="13"/>
        <v>45962.041666666664</v>
      </c>
      <c r="G12" s="3119">
        <f t="shared" si="25"/>
        <v>45962.083333333328</v>
      </c>
      <c r="H12" s="3119">
        <f t="shared" si="26"/>
        <v>45962.124999999993</v>
      </c>
      <c r="I12" s="3119">
        <f t="shared" si="27"/>
        <v>45962.166666666657</v>
      </c>
      <c r="J12" s="3119">
        <f t="shared" si="28"/>
        <v>45962.208333333321</v>
      </c>
      <c r="K12" s="3119">
        <f t="shared" si="29"/>
        <v>45962.249999999985</v>
      </c>
      <c r="L12" s="3119">
        <f t="shared" si="30"/>
        <v>45962.29166666665</v>
      </c>
      <c r="M12" s="3119">
        <f t="shared" si="31"/>
        <v>45962.333333333314</v>
      </c>
      <c r="N12" s="3119">
        <f t="shared" si="32"/>
        <v>45962.374999999978</v>
      </c>
      <c r="O12" s="3119">
        <f t="shared" si="33"/>
        <v>45962.416666666642</v>
      </c>
      <c r="P12" s="3119">
        <f t="shared" si="34"/>
        <v>45962.458333333307</v>
      </c>
      <c r="Q12" s="3119">
        <f t="shared" si="35"/>
        <v>45962.499999999971</v>
      </c>
      <c r="R12" s="3119">
        <f t="shared" si="36"/>
        <v>45962.541666666635</v>
      </c>
      <c r="S12" s="3119">
        <f t="shared" si="37"/>
        <v>45962.583333333299</v>
      </c>
      <c r="T12" s="3119">
        <f t="shared" si="38"/>
        <v>45962.624999999964</v>
      </c>
      <c r="U12" s="3119">
        <f t="shared" si="39"/>
        <v>45962.666666666628</v>
      </c>
      <c r="V12" s="3119">
        <f t="shared" si="40"/>
        <v>45962.708333333292</v>
      </c>
      <c r="W12" s="3119">
        <f t="shared" si="41"/>
        <v>45962.749999999956</v>
      </c>
      <c r="X12" s="3119">
        <f t="shared" si="42"/>
        <v>45962.791666666621</v>
      </c>
      <c r="Y12" s="3119">
        <f t="shared" si="43"/>
        <v>45962.833333333285</v>
      </c>
      <c r="Z12" s="3119">
        <f t="shared" si="44"/>
        <v>45962.874999999949</v>
      </c>
      <c r="AA12" s="3119">
        <f t="shared" si="45"/>
        <v>45962.916666666613</v>
      </c>
      <c r="AB12" s="3119">
        <f t="shared" si="46"/>
        <v>45962.958333333278</v>
      </c>
      <c r="AC12" s="3119">
        <f t="shared" si="47"/>
        <v>45962.999999999942</v>
      </c>
      <c r="AD12" s="3119">
        <f t="shared" si="48"/>
        <v>45963.041666666606</v>
      </c>
      <c r="AE12" s="3119">
        <f t="shared" si="49"/>
        <v>45963.08333333327</v>
      </c>
      <c r="AF12" s="3119">
        <f t="shared" si="50"/>
        <v>45963.124999999935</v>
      </c>
      <c r="AG12" s="3119">
        <f t="shared" si="51"/>
        <v>45963.166666666599</v>
      </c>
      <c r="AH12" s="3119">
        <f t="shared" si="52"/>
        <v>45963.208333333263</v>
      </c>
      <c r="AI12" s="3119">
        <f t="shared" si="53"/>
        <v>45963.249999999927</v>
      </c>
      <c r="AJ12" s="3119">
        <f t="shared" si="54"/>
        <v>45963.291666666591</v>
      </c>
      <c r="AK12" s="3119">
        <f t="shared" si="55"/>
        <v>45963.333333333256</v>
      </c>
      <c r="AL12" s="3119">
        <f t="shared" si="56"/>
        <v>45963.37499999992</v>
      </c>
      <c r="AM12" s="3119">
        <f t="shared" si="57"/>
        <v>45963.416666666584</v>
      </c>
      <c r="AN12" s="3119">
        <f t="shared" si="58"/>
        <v>45963.458333333248</v>
      </c>
      <c r="AO12" s="3119">
        <f t="shared" si="59"/>
        <v>45963.499999999913</v>
      </c>
      <c r="AP12" s="3119">
        <f t="shared" si="60"/>
        <v>45963.541666666577</v>
      </c>
      <c r="AQ12" s="3119">
        <f t="shared" si="61"/>
        <v>45963.583333333241</v>
      </c>
      <c r="AR12" s="3119">
        <f t="shared" si="62"/>
        <v>45963.624999999905</v>
      </c>
      <c r="AS12" s="3119">
        <f t="shared" si="63"/>
        <v>45963.66666666657</v>
      </c>
      <c r="AT12" s="3119">
        <f t="shared" si="64"/>
        <v>45963.708333333234</v>
      </c>
      <c r="AU12" s="3119">
        <f t="shared" si="65"/>
        <v>45963.749999999898</v>
      </c>
      <c r="AV12" s="3119">
        <f t="shared" si="66"/>
        <v>45963.791666666562</v>
      </c>
      <c r="AW12" s="3119">
        <f t="shared" si="67"/>
        <v>45963.833333333227</v>
      </c>
      <c r="AX12" s="3119">
        <f t="shared" si="68"/>
        <v>45963.874999999891</v>
      </c>
      <c r="AY12" s="3119">
        <f t="shared" si="69"/>
        <v>45963.916666666555</v>
      </c>
      <c r="AZ12" s="3119">
        <f t="shared" si="70"/>
        <v>45963.958333333219</v>
      </c>
      <c r="BA12" s="3119">
        <f t="shared" si="71"/>
        <v>45963.999999999884</v>
      </c>
      <c r="BB12" s="3119">
        <f t="shared" si="72"/>
        <v>45964.041666666548</v>
      </c>
      <c r="BC12" s="3119">
        <f t="shared" si="73"/>
        <v>45964.083333333212</v>
      </c>
      <c r="BD12" s="3119">
        <f t="shared" si="74"/>
        <v>45964.124999999876</v>
      </c>
      <c r="BE12" s="3119">
        <f t="shared" si="75"/>
        <v>45964.166666666541</v>
      </c>
      <c r="BF12" s="3119">
        <f t="shared" si="76"/>
        <v>45964.208333333205</v>
      </c>
      <c r="BG12" s="3119">
        <f t="shared" si="77"/>
        <v>45964.249999999869</v>
      </c>
      <c r="BH12" s="3119">
        <f t="shared" si="78"/>
        <v>45964.291666666533</v>
      </c>
      <c r="BI12" s="3119">
        <f t="shared" si="79"/>
        <v>45964.333333333198</v>
      </c>
      <c r="BJ12" s="3119">
        <f t="shared" si="80"/>
        <v>45964.374999999862</v>
      </c>
      <c r="BK12" s="3119">
        <f t="shared" si="81"/>
        <v>45964.416666666526</v>
      </c>
      <c r="BL12" s="3119">
        <f t="shared" si="82"/>
        <v>45964.45833333319</v>
      </c>
      <c r="BM12" s="3119">
        <f t="shared" si="83"/>
        <v>45964.499999999854</v>
      </c>
      <c r="BN12" s="3119">
        <f t="shared" si="84"/>
        <v>45964.541666666519</v>
      </c>
      <c r="BO12" s="3119">
        <f t="shared" si="85"/>
        <v>45964.583333333183</v>
      </c>
      <c r="BP12" s="3119">
        <f t="shared" si="86"/>
        <v>45964.624999999847</v>
      </c>
      <c r="BQ12" s="3119">
        <f t="shared" si="87"/>
        <v>45964.666666666511</v>
      </c>
      <c r="BR12" s="3119">
        <f t="shared" si="14"/>
        <v>45964.708333333176</v>
      </c>
      <c r="BS12" s="3119">
        <f t="shared" si="88"/>
        <v>45964.74999999984</v>
      </c>
      <c r="BT12" s="3119">
        <f t="shared" si="89"/>
        <v>45964.791666666504</v>
      </c>
      <c r="BU12" s="3119">
        <f t="shared" si="90"/>
        <v>45964.833333333168</v>
      </c>
      <c r="BV12" s="3119">
        <f t="shared" si="91"/>
        <v>45964.874999999833</v>
      </c>
      <c r="BW12" s="3119">
        <f t="shared" si="92"/>
        <v>45964.916666666497</v>
      </c>
      <c r="BX12" s="3119">
        <f t="shared" si="93"/>
        <v>45964.958333333161</v>
      </c>
      <c r="BY12" s="3119">
        <f t="shared" si="94"/>
        <v>45964.999999999825</v>
      </c>
      <c r="BZ12" s="3119">
        <f t="shared" si="95"/>
        <v>45965.04166666649</v>
      </c>
      <c r="CA12" s="3119">
        <f t="shared" si="96"/>
        <v>45965.083333333154</v>
      </c>
      <c r="CB12" s="3119">
        <f t="shared" si="97"/>
        <v>45965.124999999818</v>
      </c>
      <c r="CC12" s="3119">
        <f t="shared" si="98"/>
        <v>45965.166666666482</v>
      </c>
      <c r="CD12" s="3119">
        <f t="shared" si="99"/>
        <v>45965.208333333147</v>
      </c>
      <c r="CE12" s="3119">
        <f t="shared" si="100"/>
        <v>45965.249999999811</v>
      </c>
      <c r="CF12" s="3119">
        <f t="shared" si="101"/>
        <v>45965.291666666475</v>
      </c>
      <c r="CG12" s="3119">
        <f t="shared" si="102"/>
        <v>45965.333333333139</v>
      </c>
      <c r="CH12" s="3119">
        <f t="shared" si="103"/>
        <v>45965.374999999804</v>
      </c>
      <c r="CI12" s="3119">
        <f t="shared" si="104"/>
        <v>45965.416666666468</v>
      </c>
      <c r="CJ12" s="3119">
        <f t="shared" si="105"/>
        <v>45965.458333333132</v>
      </c>
      <c r="CK12" s="3119">
        <f t="shared" si="106"/>
        <v>45965.499999999796</v>
      </c>
      <c r="CL12" s="3119">
        <f t="shared" si="107"/>
        <v>45965.541666666461</v>
      </c>
      <c r="CM12" s="3119">
        <f t="shared" si="108"/>
        <v>45965.583333333125</v>
      </c>
      <c r="CN12" s="3119">
        <f t="shared" si="109"/>
        <v>45965.624999999789</v>
      </c>
      <c r="CO12" s="3119">
        <f t="shared" si="110"/>
        <v>45965.666666666453</v>
      </c>
      <c r="CP12" s="3119">
        <f t="shared" si="111"/>
        <v>45965.708333333117</v>
      </c>
      <c r="CQ12" s="3119">
        <f t="shared" si="112"/>
        <v>45965.749999999782</v>
      </c>
      <c r="CR12" s="3119">
        <f t="shared" si="113"/>
        <v>45965.791666666446</v>
      </c>
      <c r="CS12" s="3119">
        <f t="shared" si="114"/>
        <v>45965.83333333311</v>
      </c>
      <c r="CT12" s="3119">
        <f t="shared" si="115"/>
        <v>45965.874999999774</v>
      </c>
      <c r="CU12" s="3119">
        <f t="shared" si="116"/>
        <v>45965.916666666439</v>
      </c>
      <c r="CV12" s="3119">
        <f t="shared" si="117"/>
        <v>45965.958333333103</v>
      </c>
      <c r="CW12" s="3119">
        <f t="shared" si="118"/>
        <v>45965.999999999767</v>
      </c>
      <c r="CX12" s="3119">
        <f t="shared" si="119"/>
        <v>45966.041666666431</v>
      </c>
      <c r="CY12" s="3119">
        <f t="shared" si="120"/>
        <v>45966.083333333096</v>
      </c>
      <c r="CZ12" s="3119">
        <f t="shared" si="121"/>
        <v>45966.12499999976</v>
      </c>
      <c r="DA12" s="3119">
        <f t="shared" si="122"/>
        <v>45966.166666666424</v>
      </c>
      <c r="DB12" s="3119">
        <f t="shared" si="123"/>
        <v>45966.208333333088</v>
      </c>
      <c r="DC12" s="3119">
        <f t="shared" si="124"/>
        <v>45966.249999999753</v>
      </c>
      <c r="DD12" s="3119">
        <f t="shared" si="125"/>
        <v>45966.291666666417</v>
      </c>
      <c r="DE12" s="3119">
        <f t="shared" si="126"/>
        <v>45966.333333333081</v>
      </c>
      <c r="DF12" s="3119">
        <f t="shared" si="127"/>
        <v>45966.374999999745</v>
      </c>
      <c r="DG12" s="3119">
        <f t="shared" si="128"/>
        <v>45966.41666666641</v>
      </c>
      <c r="DH12" s="3119">
        <f t="shared" si="129"/>
        <v>45966.458333333074</v>
      </c>
      <c r="DI12" s="3119">
        <f t="shared" si="130"/>
        <v>45966.499999999738</v>
      </c>
      <c r="DJ12" s="3119">
        <f t="shared" si="131"/>
        <v>45966.541666666402</v>
      </c>
      <c r="DK12" s="3119">
        <f t="shared" si="132"/>
        <v>45966.583333333067</v>
      </c>
      <c r="DL12" s="3119">
        <f t="shared" si="133"/>
        <v>45966.624999999731</v>
      </c>
      <c r="DM12" s="3119">
        <f t="shared" si="134"/>
        <v>45966.666666666395</v>
      </c>
      <c r="DN12" s="3119">
        <f t="shared" si="135"/>
        <v>45966.708333333059</v>
      </c>
      <c r="DO12" s="3119">
        <f t="shared" si="136"/>
        <v>45966.749999999724</v>
      </c>
      <c r="DP12" s="3119">
        <f t="shared" si="137"/>
        <v>45966.791666666388</v>
      </c>
      <c r="DQ12" s="3119">
        <f t="shared" si="138"/>
        <v>45966.833333333052</v>
      </c>
      <c r="DR12" s="3119">
        <f t="shared" si="139"/>
        <v>45966.874999999716</v>
      </c>
      <c r="DS12" s="3119">
        <f t="shared" si="140"/>
        <v>45966.91666666638</v>
      </c>
      <c r="DT12" s="3119">
        <f t="shared" si="141"/>
        <v>45966.958333333045</v>
      </c>
      <c r="DU12" s="3119">
        <f t="shared" si="142"/>
        <v>45966.999999999709</v>
      </c>
      <c r="DV12" s="3119">
        <f t="shared" si="143"/>
        <v>45967.041666666373</v>
      </c>
      <c r="DW12" s="3119">
        <f t="shared" si="144"/>
        <v>45967.083333333037</v>
      </c>
      <c r="DX12" s="3119">
        <f t="shared" si="145"/>
        <v>45967.124999999702</v>
      </c>
      <c r="DY12" s="3119">
        <f t="shared" si="146"/>
        <v>45967.166666666366</v>
      </c>
      <c r="DZ12" s="3119">
        <f t="shared" si="147"/>
        <v>45967.20833333303</v>
      </c>
      <c r="EA12" s="3119">
        <f t="shared" si="148"/>
        <v>45967.249999999694</v>
      </c>
      <c r="EB12" s="3119">
        <f t="shared" si="149"/>
        <v>45967.291666666359</v>
      </c>
      <c r="EC12" s="3119">
        <f t="shared" si="150"/>
        <v>45967.333333333023</v>
      </c>
      <c r="ED12" s="3119">
        <f t="shared" si="15"/>
        <v>45967.374999999687</v>
      </c>
      <c r="EE12" s="3119">
        <f t="shared" si="151"/>
        <v>45967.416666666351</v>
      </c>
      <c r="EF12" s="3119">
        <f t="shared" si="152"/>
        <v>45967.458333333016</v>
      </c>
      <c r="EG12" s="3119">
        <f t="shared" si="153"/>
        <v>45967.49999999968</v>
      </c>
      <c r="EH12" s="3119">
        <f t="shared" si="154"/>
        <v>45967.541666666344</v>
      </c>
      <c r="EI12" s="3119">
        <f t="shared" si="155"/>
        <v>45967.583333333008</v>
      </c>
      <c r="EJ12" s="3119">
        <f t="shared" si="156"/>
        <v>45967.624999999673</v>
      </c>
      <c r="EK12" s="3119">
        <f t="shared" si="157"/>
        <v>45967.666666666337</v>
      </c>
      <c r="EL12" s="3119">
        <f t="shared" si="158"/>
        <v>45967.708333333001</v>
      </c>
      <c r="EM12" s="3119">
        <f t="shared" si="159"/>
        <v>45967.749999999665</v>
      </c>
      <c r="EN12" s="3119">
        <f t="shared" si="160"/>
        <v>45967.79166666633</v>
      </c>
      <c r="EO12" s="3119">
        <f t="shared" si="161"/>
        <v>45967.833333332994</v>
      </c>
      <c r="EP12" s="3119">
        <f t="shared" si="162"/>
        <v>45967.874999999658</v>
      </c>
      <c r="EQ12" s="3119">
        <f t="shared" si="163"/>
        <v>45967.916666666322</v>
      </c>
      <c r="ER12" s="3119">
        <f t="shared" si="164"/>
        <v>45967.958333332987</v>
      </c>
      <c r="ES12" s="3119">
        <f t="shared" si="165"/>
        <v>45967.999999999651</v>
      </c>
      <c r="ET12" s="3119">
        <f t="shared" si="166"/>
        <v>45968.041666666315</v>
      </c>
      <c r="EU12" s="3119">
        <f t="shared" si="167"/>
        <v>45968.083333332979</v>
      </c>
      <c r="EV12" s="3119">
        <f t="shared" si="168"/>
        <v>45968.124999999643</v>
      </c>
      <c r="EW12" s="3119">
        <f t="shared" si="169"/>
        <v>45968.166666666308</v>
      </c>
      <c r="EX12" s="3119">
        <f t="shared" si="170"/>
        <v>45968.208333332972</v>
      </c>
      <c r="EY12" s="3119">
        <f t="shared" si="171"/>
        <v>45968.249999999636</v>
      </c>
      <c r="EZ12" s="3119">
        <f t="shared" si="172"/>
        <v>45968.2916666663</v>
      </c>
      <c r="FA12" s="3119">
        <f t="shared" si="173"/>
        <v>45968.333333332965</v>
      </c>
      <c r="FB12" s="3119">
        <f t="shared" si="174"/>
        <v>45968.374999999629</v>
      </c>
      <c r="FC12" s="3119">
        <f t="shared" si="175"/>
        <v>45968.416666666293</v>
      </c>
      <c r="FD12" s="3119">
        <f t="shared" si="176"/>
        <v>45968.458333332957</v>
      </c>
      <c r="FE12" s="3119">
        <f t="shared" si="177"/>
        <v>45968.499999999622</v>
      </c>
      <c r="FF12" s="3119">
        <f t="shared" si="178"/>
        <v>45968.541666666286</v>
      </c>
      <c r="FG12" s="3119">
        <f t="shared" si="179"/>
        <v>45968.58333333295</v>
      </c>
      <c r="FH12" s="3119">
        <f t="shared" si="180"/>
        <v>45968.624999999614</v>
      </c>
      <c r="FI12" s="3119">
        <f t="shared" si="181"/>
        <v>45968.666666666279</v>
      </c>
      <c r="FJ12" s="3119">
        <f t="shared" si="182"/>
        <v>45968.708333332943</v>
      </c>
      <c r="FK12" s="3119">
        <f t="shared" si="183"/>
        <v>45968.749999999607</v>
      </c>
      <c r="FL12" s="3119">
        <f t="shared" si="184"/>
        <v>45968.791666666271</v>
      </c>
      <c r="FM12" s="3119">
        <f t="shared" si="185"/>
        <v>45968.833333332936</v>
      </c>
      <c r="FN12" s="3119">
        <f t="shared" si="186"/>
        <v>45968.8749999996</v>
      </c>
      <c r="FO12" s="3119">
        <f t="shared" si="187"/>
        <v>45968.916666666264</v>
      </c>
      <c r="FP12" s="3119">
        <f t="shared" si="188"/>
        <v>45968.958333332928</v>
      </c>
      <c r="FQ12" s="3119">
        <f t="shared" si="189"/>
        <v>45968.999999999593</v>
      </c>
      <c r="FR12" s="3119">
        <f t="shared" si="190"/>
        <v>45969.041666666257</v>
      </c>
      <c r="FS12" s="3119">
        <f t="shared" si="191"/>
        <v>45969.083333332921</v>
      </c>
      <c r="FT12" s="3119">
        <f t="shared" si="192"/>
        <v>45969.124999999585</v>
      </c>
      <c r="FU12" s="3119">
        <f t="shared" si="193"/>
        <v>45969.16666666625</v>
      </c>
      <c r="FV12" s="3119">
        <f t="shared" si="194"/>
        <v>45969.208333332914</v>
      </c>
      <c r="FW12" s="3119">
        <f t="shared" si="195"/>
        <v>45969.249999999578</v>
      </c>
      <c r="FX12" s="3119">
        <f t="shared" si="196"/>
        <v>45969.291666666242</v>
      </c>
      <c r="FY12" s="3119">
        <f t="shared" si="197"/>
        <v>45969.333333332906</v>
      </c>
      <c r="FZ12" s="3119">
        <f t="shared" si="198"/>
        <v>45969.374999999571</v>
      </c>
      <c r="GA12" s="3119">
        <f t="shared" si="199"/>
        <v>45969.416666666235</v>
      </c>
      <c r="GB12" s="3119">
        <f t="shared" si="200"/>
        <v>45969.458333332899</v>
      </c>
      <c r="GC12" s="3119">
        <f t="shared" si="201"/>
        <v>45969.499999999563</v>
      </c>
      <c r="GD12" s="3119">
        <f t="shared" si="202"/>
        <v>45969.541666666228</v>
      </c>
      <c r="GE12" s="3119">
        <f t="shared" si="203"/>
        <v>45969.583333332892</v>
      </c>
      <c r="GF12" s="3119">
        <f t="shared" si="204"/>
        <v>45969.624999999556</v>
      </c>
      <c r="GG12" s="3119">
        <f t="shared" si="205"/>
        <v>45969.66666666622</v>
      </c>
      <c r="GH12" s="3119">
        <f t="shared" si="206"/>
        <v>45969.708333332885</v>
      </c>
      <c r="GI12" s="3119">
        <f t="shared" si="207"/>
        <v>45969.749999999549</v>
      </c>
      <c r="GJ12" s="3119">
        <f t="shared" si="208"/>
        <v>45969.791666666213</v>
      </c>
      <c r="GK12" s="3119">
        <f t="shared" si="209"/>
        <v>45969.833333332877</v>
      </c>
      <c r="GL12" s="3119">
        <f t="shared" si="210"/>
        <v>45969.874999999542</v>
      </c>
      <c r="GM12" s="3119">
        <f t="shared" si="211"/>
        <v>45969.916666666206</v>
      </c>
      <c r="GN12" s="3119">
        <f t="shared" si="212"/>
        <v>45969.95833333287</v>
      </c>
      <c r="GO12" s="3119">
        <f t="shared" si="213"/>
        <v>45969.999999999534</v>
      </c>
      <c r="GP12" s="3119">
        <f t="shared" si="16"/>
        <v>45970.041666666199</v>
      </c>
      <c r="GQ12" s="3119">
        <f t="shared" si="214"/>
        <v>45970.083333332863</v>
      </c>
      <c r="GR12" s="3119">
        <f t="shared" si="215"/>
        <v>45970.124999999527</v>
      </c>
      <c r="GS12" s="3119">
        <f t="shared" si="216"/>
        <v>45970.166666666191</v>
      </c>
      <c r="GT12" s="3119">
        <f t="shared" si="217"/>
        <v>45970.208333332856</v>
      </c>
      <c r="GU12" s="3119">
        <f t="shared" si="218"/>
        <v>45970.24999999952</v>
      </c>
      <c r="GV12" s="3119">
        <f t="shared" si="219"/>
        <v>45970.291666666184</v>
      </c>
      <c r="GW12" s="3119">
        <f t="shared" si="220"/>
        <v>45970.333333332848</v>
      </c>
      <c r="GX12" s="3119">
        <f t="shared" si="221"/>
        <v>45970.374999999513</v>
      </c>
      <c r="GY12" s="3119">
        <f t="shared" si="222"/>
        <v>45970.416666666177</v>
      </c>
      <c r="GZ12" s="3119">
        <f t="shared" si="223"/>
        <v>45970.458333332841</v>
      </c>
      <c r="HA12" s="3119">
        <f t="shared" si="224"/>
        <v>45970.499999999505</v>
      </c>
      <c r="HB12" s="3119">
        <f t="shared" si="225"/>
        <v>45970.541666666169</v>
      </c>
      <c r="HC12" s="3119">
        <f t="shared" si="226"/>
        <v>45970.583333332834</v>
      </c>
      <c r="HD12" s="3119">
        <f t="shared" si="227"/>
        <v>45970.624999999498</v>
      </c>
      <c r="HE12" s="3119">
        <f t="shared" si="228"/>
        <v>45970.666666666162</v>
      </c>
      <c r="HF12" s="3119">
        <f t="shared" si="229"/>
        <v>45970.708333332826</v>
      </c>
      <c r="HG12" s="3119">
        <f t="shared" si="230"/>
        <v>45970.749999999491</v>
      </c>
      <c r="HH12" s="3119">
        <f t="shared" si="231"/>
        <v>45970.791666666155</v>
      </c>
      <c r="HI12" s="3119">
        <f t="shared" si="232"/>
        <v>45970.833333332819</v>
      </c>
      <c r="HJ12" s="3119">
        <f t="shared" si="233"/>
        <v>45970.874999999483</v>
      </c>
      <c r="HK12" s="3119">
        <f t="shared" si="234"/>
        <v>45970.916666666148</v>
      </c>
      <c r="HL12" s="3119">
        <f t="shared" si="235"/>
        <v>45970.958333332812</v>
      </c>
      <c r="HM12" s="3119">
        <f t="shared" si="236"/>
        <v>45970.999999999476</v>
      </c>
      <c r="HN12" s="3119">
        <f t="shared" si="237"/>
        <v>45971.04166666614</v>
      </c>
      <c r="HO12" s="3119">
        <f t="shared" si="238"/>
        <v>45971.083333332805</v>
      </c>
      <c r="HP12" s="3119">
        <f t="shared" si="239"/>
        <v>45971.124999999469</v>
      </c>
      <c r="HQ12" s="3119">
        <f t="shared" si="240"/>
        <v>45971.166666666133</v>
      </c>
      <c r="HR12" s="3119">
        <f t="shared" si="241"/>
        <v>45971.208333332797</v>
      </c>
      <c r="HS12" s="3119">
        <f t="shared" si="242"/>
        <v>45971.249999999462</v>
      </c>
      <c r="HT12" s="3119">
        <f t="shared" si="243"/>
        <v>45971.291666666126</v>
      </c>
      <c r="HU12" s="3119">
        <f t="shared" si="244"/>
        <v>45971.33333333279</v>
      </c>
      <c r="HV12" s="3119">
        <f t="shared" si="245"/>
        <v>45971.374999999454</v>
      </c>
      <c r="HW12" s="3119">
        <f t="shared" si="246"/>
        <v>45971.416666666119</v>
      </c>
      <c r="HX12" s="3119">
        <f t="shared" si="247"/>
        <v>45971.458333332783</v>
      </c>
      <c r="HY12" s="3119">
        <f t="shared" si="248"/>
        <v>45971.499999999447</v>
      </c>
      <c r="HZ12" s="3119">
        <f t="shared" si="249"/>
        <v>45971.541666666111</v>
      </c>
      <c r="IA12" s="3119">
        <f t="shared" si="250"/>
        <v>45971.583333332776</v>
      </c>
      <c r="IB12" s="3119">
        <f t="shared" si="251"/>
        <v>45971.62499999944</v>
      </c>
      <c r="IC12" s="3119">
        <f t="shared" si="252"/>
        <v>45971.666666666104</v>
      </c>
      <c r="ID12" s="3119">
        <f t="shared" si="253"/>
        <v>45971.708333332768</v>
      </c>
      <c r="IE12" s="3119">
        <f t="shared" si="254"/>
        <v>45971.749999999432</v>
      </c>
      <c r="IF12" s="3119">
        <f t="shared" si="255"/>
        <v>45971.791666666097</v>
      </c>
      <c r="IG12" s="3119">
        <f t="shared" si="256"/>
        <v>45971.833333332761</v>
      </c>
      <c r="IH12" s="3119">
        <f t="shared" si="257"/>
        <v>45971.874999999425</v>
      </c>
      <c r="II12" s="3119">
        <f t="shared" si="258"/>
        <v>45971.916666666089</v>
      </c>
      <c r="IJ12" s="3119">
        <f t="shared" si="259"/>
        <v>45971.958333332754</v>
      </c>
      <c r="IK12" s="3119">
        <f t="shared" si="260"/>
        <v>45971.999999999418</v>
      </c>
      <c r="IL12" s="3119">
        <f t="shared" si="261"/>
        <v>45972.041666666082</v>
      </c>
      <c r="IM12" s="3119">
        <f t="shared" si="262"/>
        <v>45972.083333332746</v>
      </c>
      <c r="IN12" s="3119">
        <f t="shared" si="263"/>
        <v>45972.124999999411</v>
      </c>
      <c r="IO12" s="3119">
        <f t="shared" si="264"/>
        <v>45972.166666666075</v>
      </c>
      <c r="IP12" s="3119">
        <f t="shared" si="265"/>
        <v>45972.208333332739</v>
      </c>
      <c r="IQ12" s="3119">
        <f t="shared" si="266"/>
        <v>45972.249999999403</v>
      </c>
      <c r="IR12" s="3119">
        <f t="shared" si="267"/>
        <v>45972.291666666068</v>
      </c>
      <c r="IS12" s="3119">
        <f t="shared" si="268"/>
        <v>45972.333333332732</v>
      </c>
      <c r="IT12" s="3119">
        <f t="shared" si="269"/>
        <v>45972.374999999396</v>
      </c>
      <c r="IU12" s="3119">
        <f t="shared" si="270"/>
        <v>45972.41666666606</v>
      </c>
      <c r="IV12" s="3119">
        <f t="shared" si="271"/>
        <v>45972.458333332725</v>
      </c>
      <c r="IW12" s="3119">
        <f t="shared" si="272"/>
        <v>45972.499999999389</v>
      </c>
      <c r="IX12" s="3119">
        <f t="shared" si="273"/>
        <v>45972.541666666053</v>
      </c>
      <c r="IY12" s="3119">
        <f t="shared" si="274"/>
        <v>45972.583333332717</v>
      </c>
      <c r="IZ12" s="3119">
        <f t="shared" si="275"/>
        <v>45972.624999999382</v>
      </c>
      <c r="JA12" s="3119">
        <f t="shared" si="276"/>
        <v>45972.666666666046</v>
      </c>
      <c r="JB12" s="3119">
        <f t="shared" si="17"/>
        <v>45972.70833333271</v>
      </c>
      <c r="JC12" s="3119">
        <f t="shared" si="277"/>
        <v>45972.749999999374</v>
      </c>
      <c r="JD12" s="3119">
        <f t="shared" si="278"/>
        <v>45972.791666666039</v>
      </c>
      <c r="JE12" s="3119">
        <f t="shared" si="279"/>
        <v>45972.833333332703</v>
      </c>
      <c r="JF12" s="3119">
        <f t="shared" si="280"/>
        <v>45972.874999999367</v>
      </c>
      <c r="JG12" s="3119">
        <f t="shared" si="281"/>
        <v>45972.916666666031</v>
      </c>
      <c r="JH12" s="3119">
        <f t="shared" si="282"/>
        <v>45972.958333332695</v>
      </c>
      <c r="JI12" s="3119">
        <f t="shared" si="283"/>
        <v>45972.99999999936</v>
      </c>
      <c r="JJ12" s="3119">
        <f t="shared" si="284"/>
        <v>45973.041666666024</v>
      </c>
      <c r="JK12" s="3119">
        <f t="shared" si="285"/>
        <v>45973.083333332688</v>
      </c>
      <c r="JL12" s="3119">
        <f t="shared" si="286"/>
        <v>45973.124999999352</v>
      </c>
      <c r="JM12" s="3119">
        <f t="shared" si="287"/>
        <v>45973.166666666017</v>
      </c>
      <c r="JN12" s="3119">
        <f t="shared" si="288"/>
        <v>45973.208333332681</v>
      </c>
      <c r="JO12" s="3119">
        <f t="shared" si="289"/>
        <v>45973.249999999345</v>
      </c>
      <c r="JP12" s="3119">
        <f t="shared" si="290"/>
        <v>45973.291666666009</v>
      </c>
      <c r="JQ12" s="3119">
        <f t="shared" si="291"/>
        <v>45973.333333332674</v>
      </c>
      <c r="JR12" s="3119">
        <f t="shared" si="292"/>
        <v>45973.374999999338</v>
      </c>
      <c r="JS12" s="3119">
        <f t="shared" si="293"/>
        <v>45973.416666666002</v>
      </c>
      <c r="JT12" s="3119">
        <f t="shared" si="294"/>
        <v>45973.458333332666</v>
      </c>
      <c r="JU12" s="3119">
        <f t="shared" si="295"/>
        <v>45973.499999999331</v>
      </c>
      <c r="JV12" s="3119">
        <f t="shared" si="296"/>
        <v>45973.541666665995</v>
      </c>
      <c r="JW12" s="3119">
        <f t="shared" si="297"/>
        <v>45973.583333332659</v>
      </c>
      <c r="JX12" s="3119">
        <f t="shared" si="298"/>
        <v>45973.624999999323</v>
      </c>
      <c r="JY12" s="3119">
        <f t="shared" si="299"/>
        <v>45973.666666665988</v>
      </c>
      <c r="JZ12" s="3119">
        <f t="shared" si="300"/>
        <v>45973.708333332652</v>
      </c>
      <c r="KA12" s="3119">
        <f t="shared" si="301"/>
        <v>45973.749999999316</v>
      </c>
      <c r="KB12" s="3119">
        <f t="shared" si="302"/>
        <v>45973.79166666598</v>
      </c>
      <c r="KC12" s="3119">
        <f t="shared" si="303"/>
        <v>45973.833333332645</v>
      </c>
      <c r="KD12" s="3119">
        <f t="shared" si="304"/>
        <v>45973.874999999309</v>
      </c>
      <c r="KE12" s="3119">
        <f t="shared" si="305"/>
        <v>45973.916666665973</v>
      </c>
      <c r="KF12" s="3119">
        <f t="shared" si="306"/>
        <v>45973.958333332637</v>
      </c>
      <c r="KG12" s="3119">
        <f t="shared" si="307"/>
        <v>45973.999999999302</v>
      </c>
      <c r="KH12" s="3119">
        <f t="shared" si="308"/>
        <v>45974.041666665966</v>
      </c>
      <c r="KI12" s="3119">
        <f t="shared" si="309"/>
        <v>45974.08333333263</v>
      </c>
      <c r="KJ12" s="3119">
        <f t="shared" si="310"/>
        <v>45974.124999999294</v>
      </c>
      <c r="KK12" s="3119">
        <f t="shared" si="311"/>
        <v>45974.166666665958</v>
      </c>
      <c r="KL12" s="3119">
        <f t="shared" si="312"/>
        <v>45974.208333332623</v>
      </c>
      <c r="KM12" s="3119">
        <f t="shared" si="313"/>
        <v>45974.249999999287</v>
      </c>
      <c r="KN12" s="3119">
        <f t="shared" si="314"/>
        <v>45974.291666665951</v>
      </c>
      <c r="KO12" s="3119">
        <f t="shared" si="315"/>
        <v>45974.333333332615</v>
      </c>
      <c r="KP12" s="3119">
        <f t="shared" si="316"/>
        <v>45974.37499999928</v>
      </c>
      <c r="KQ12" s="3119">
        <f t="shared" si="317"/>
        <v>45974.416666665944</v>
      </c>
      <c r="KR12" s="3119">
        <f t="shared" si="318"/>
        <v>45974.458333332608</v>
      </c>
      <c r="KS12" s="3119">
        <f t="shared" si="319"/>
        <v>45974.499999999272</v>
      </c>
      <c r="KT12" s="3119">
        <f t="shared" si="320"/>
        <v>45974.541666665937</v>
      </c>
      <c r="KU12" s="3119">
        <f t="shared" si="321"/>
        <v>45974.583333332601</v>
      </c>
      <c r="KV12" s="3119">
        <f t="shared" si="322"/>
        <v>45974.624999999265</v>
      </c>
      <c r="KW12" s="3119">
        <f t="shared" si="323"/>
        <v>45974.666666665929</v>
      </c>
      <c r="KX12" s="3119">
        <f t="shared" si="324"/>
        <v>45974.708333332594</v>
      </c>
      <c r="KY12" s="3119">
        <f t="shared" si="325"/>
        <v>45974.749999999258</v>
      </c>
      <c r="KZ12" s="3119">
        <f t="shared" si="326"/>
        <v>45974.791666665922</v>
      </c>
      <c r="LA12" s="3119">
        <f t="shared" si="327"/>
        <v>45974.833333332586</v>
      </c>
      <c r="LB12" s="3119">
        <f t="shared" si="328"/>
        <v>45974.874999999251</v>
      </c>
      <c r="LC12" s="3119">
        <f t="shared" si="329"/>
        <v>45974.916666665915</v>
      </c>
      <c r="LD12" s="3119">
        <f t="shared" si="330"/>
        <v>45974.958333332579</v>
      </c>
      <c r="LE12" s="3119">
        <f t="shared" si="331"/>
        <v>45974.999999999243</v>
      </c>
      <c r="LF12" s="3119">
        <f t="shared" si="332"/>
        <v>45975.041666665908</v>
      </c>
      <c r="LG12" s="3119">
        <f t="shared" si="333"/>
        <v>45975.083333332572</v>
      </c>
      <c r="LH12" s="3119">
        <f t="shared" si="334"/>
        <v>45975.124999999236</v>
      </c>
      <c r="LI12" s="3119">
        <f t="shared" si="335"/>
        <v>45975.1666666659</v>
      </c>
      <c r="LJ12" s="3119">
        <f t="shared" si="336"/>
        <v>45975.208333332565</v>
      </c>
      <c r="LK12" s="3119">
        <f t="shared" si="337"/>
        <v>45975.249999999229</v>
      </c>
      <c r="LL12" s="3119">
        <f t="shared" si="338"/>
        <v>45975.291666665893</v>
      </c>
      <c r="LM12" s="3119">
        <f t="shared" si="339"/>
        <v>45975.333333332557</v>
      </c>
      <c r="LN12" s="3119">
        <f t="shared" si="18"/>
        <v>45975.374999999221</v>
      </c>
      <c r="LO12" s="3119">
        <f t="shared" si="340"/>
        <v>45975.416666665886</v>
      </c>
      <c r="LP12" s="3119">
        <f t="shared" si="341"/>
        <v>45975.45833333255</v>
      </c>
      <c r="LQ12" s="3119">
        <f t="shared" si="342"/>
        <v>45975.499999999214</v>
      </c>
      <c r="LR12" s="3119">
        <f t="shared" si="343"/>
        <v>45975.541666665878</v>
      </c>
      <c r="LS12" s="3119">
        <f t="shared" si="344"/>
        <v>45975.583333332543</v>
      </c>
      <c r="LT12" s="3119">
        <f t="shared" si="345"/>
        <v>45975.624999999207</v>
      </c>
      <c r="LU12" s="3119">
        <f t="shared" si="346"/>
        <v>45975.666666665871</v>
      </c>
      <c r="LV12" s="3119">
        <f t="shared" si="347"/>
        <v>45975.708333332535</v>
      </c>
      <c r="LW12" s="3119">
        <f t="shared" si="348"/>
        <v>45975.7499999992</v>
      </c>
      <c r="LX12" s="3119">
        <f t="shared" si="349"/>
        <v>45975.791666665864</v>
      </c>
      <c r="LY12" s="3119">
        <f t="shared" si="350"/>
        <v>45975.833333332528</v>
      </c>
      <c r="LZ12" s="3119">
        <f t="shared" si="351"/>
        <v>45975.874999999192</v>
      </c>
      <c r="MA12" s="3119">
        <f t="shared" si="352"/>
        <v>45975.916666665857</v>
      </c>
      <c r="MB12" s="3119">
        <f t="shared" si="353"/>
        <v>45975.958333332521</v>
      </c>
      <c r="MC12" s="3119">
        <f t="shared" si="354"/>
        <v>45975.999999999185</v>
      </c>
      <c r="MD12" s="3119">
        <f t="shared" si="355"/>
        <v>45976.041666665849</v>
      </c>
      <c r="ME12" s="3119">
        <f t="shared" si="356"/>
        <v>45976.083333332514</v>
      </c>
      <c r="MF12" s="3119">
        <f t="shared" si="357"/>
        <v>45976.124999999178</v>
      </c>
      <c r="MG12" s="3119">
        <f t="shared" si="358"/>
        <v>45976.166666665842</v>
      </c>
      <c r="MH12" s="3119">
        <f t="shared" si="359"/>
        <v>45976.208333332506</v>
      </c>
      <c r="MI12" s="3119">
        <f t="shared" si="360"/>
        <v>45976.249999999171</v>
      </c>
      <c r="MJ12" s="3119">
        <f t="shared" si="361"/>
        <v>45976.291666665835</v>
      </c>
      <c r="MK12" s="3119">
        <f t="shared" si="362"/>
        <v>45976.333333332499</v>
      </c>
      <c r="ML12" s="3119">
        <f t="shared" si="363"/>
        <v>45976.374999999163</v>
      </c>
      <c r="MM12" s="3119">
        <f t="shared" si="364"/>
        <v>45976.416666665828</v>
      </c>
      <c r="MN12" s="3119">
        <f t="shared" si="365"/>
        <v>45976.458333332492</v>
      </c>
      <c r="MO12" s="3119">
        <f t="shared" si="366"/>
        <v>45976.499999999156</v>
      </c>
      <c r="MP12" s="3119">
        <f t="shared" si="367"/>
        <v>45976.54166666582</v>
      </c>
      <c r="MQ12" s="3119">
        <f t="shared" si="368"/>
        <v>45976.583333332484</v>
      </c>
      <c r="MR12" s="3119">
        <f t="shared" si="369"/>
        <v>45976.624999999149</v>
      </c>
      <c r="MS12" s="3119">
        <f t="shared" si="370"/>
        <v>45976.666666665813</v>
      </c>
      <c r="MT12" s="3119">
        <f t="shared" si="371"/>
        <v>45976.708333332477</v>
      </c>
      <c r="MU12" s="3119">
        <f t="shared" si="372"/>
        <v>45976.749999999141</v>
      </c>
      <c r="MV12" s="3119">
        <f t="shared" si="373"/>
        <v>45976.791666665806</v>
      </c>
      <c r="MW12" s="3119">
        <f t="shared" si="374"/>
        <v>45976.83333333247</v>
      </c>
      <c r="MX12" s="3119">
        <f t="shared" si="375"/>
        <v>45976.874999999134</v>
      </c>
      <c r="MY12" s="3119">
        <f t="shared" si="376"/>
        <v>45976.916666665798</v>
      </c>
      <c r="MZ12" s="3119">
        <f t="shared" si="377"/>
        <v>45976.958333332463</v>
      </c>
      <c r="NA12" s="3119">
        <f t="shared" si="378"/>
        <v>45976.999999999127</v>
      </c>
      <c r="NB12" s="3119">
        <f t="shared" si="379"/>
        <v>45977.041666665791</v>
      </c>
      <c r="NC12" s="3119">
        <f t="shared" si="380"/>
        <v>45977.083333332455</v>
      </c>
      <c r="ND12" s="3119">
        <f t="shared" si="381"/>
        <v>45977.12499999912</v>
      </c>
      <c r="NE12" s="3119">
        <f t="shared" si="382"/>
        <v>45977.166666665784</v>
      </c>
      <c r="NF12" s="3119">
        <f t="shared" si="383"/>
        <v>45977.208333332448</v>
      </c>
      <c r="NG12" s="3119">
        <f t="shared" si="384"/>
        <v>45977.249999999112</v>
      </c>
      <c r="NH12" s="3119">
        <f t="shared" si="385"/>
        <v>45977.291666665777</v>
      </c>
      <c r="NI12" s="3119">
        <f t="shared" si="386"/>
        <v>45977.333333332441</v>
      </c>
      <c r="NJ12" s="3119">
        <f t="shared" si="387"/>
        <v>45977.374999999105</v>
      </c>
      <c r="NK12" s="3119">
        <f t="shared" si="388"/>
        <v>45977.416666665769</v>
      </c>
      <c r="NL12" s="3119">
        <f t="shared" si="389"/>
        <v>45977.458333332434</v>
      </c>
      <c r="NM12" s="3119">
        <f t="shared" si="390"/>
        <v>45977.499999999098</v>
      </c>
      <c r="NN12" s="3119">
        <f t="shared" si="391"/>
        <v>45977.541666665762</v>
      </c>
      <c r="NO12" s="3119">
        <f t="shared" si="392"/>
        <v>45977.583333332426</v>
      </c>
      <c r="NP12" s="3119">
        <f t="shared" si="393"/>
        <v>45977.624999999091</v>
      </c>
      <c r="NQ12" s="3119">
        <f t="shared" si="394"/>
        <v>45977.666666665755</v>
      </c>
      <c r="NR12" s="3119">
        <f t="shared" si="395"/>
        <v>45977.708333332419</v>
      </c>
      <c r="NS12" s="3119">
        <f t="shared" si="396"/>
        <v>45977.749999999083</v>
      </c>
      <c r="NT12" s="3119">
        <f t="shared" si="397"/>
        <v>45977.791666665747</v>
      </c>
      <c r="NU12" s="3119">
        <f t="shared" si="398"/>
        <v>45977.833333332412</v>
      </c>
      <c r="NV12" s="3119">
        <f t="shared" si="399"/>
        <v>45977.874999999076</v>
      </c>
      <c r="NW12" s="3119">
        <f t="shared" si="400"/>
        <v>45977.91666666574</v>
      </c>
      <c r="NX12" s="3119">
        <f t="shared" si="401"/>
        <v>45977.958333332404</v>
      </c>
      <c r="NY12" s="3119">
        <f t="shared" si="402"/>
        <v>45977.999999999069</v>
      </c>
      <c r="NZ12" s="3119">
        <f t="shared" si="19"/>
        <v>45978.041666665733</v>
      </c>
      <c r="OA12" s="3119">
        <f t="shared" si="403"/>
        <v>45978.083333332397</v>
      </c>
      <c r="OB12" s="3119">
        <f t="shared" si="404"/>
        <v>45978.124999999061</v>
      </c>
      <c r="OC12" s="3119">
        <f t="shared" si="405"/>
        <v>45978.166666665726</v>
      </c>
      <c r="OD12" s="3119">
        <f t="shared" si="406"/>
        <v>45978.20833333239</v>
      </c>
      <c r="OE12" s="3119">
        <f t="shared" si="407"/>
        <v>45978.249999999054</v>
      </c>
      <c r="OF12" s="3119">
        <f t="shared" si="408"/>
        <v>45978.291666665718</v>
      </c>
      <c r="OG12" s="3119">
        <f t="shared" si="409"/>
        <v>45978.333333332383</v>
      </c>
      <c r="OH12" s="3119">
        <f t="shared" si="410"/>
        <v>45978.374999999047</v>
      </c>
      <c r="OI12" s="3119">
        <f t="shared" si="411"/>
        <v>45978.416666665711</v>
      </c>
      <c r="OJ12" s="3119">
        <f t="shared" si="412"/>
        <v>45978.458333332375</v>
      </c>
      <c r="OK12" s="3119">
        <f t="shared" si="413"/>
        <v>45978.49999999904</v>
      </c>
      <c r="OL12" s="3119">
        <f t="shared" si="414"/>
        <v>45978.541666665704</v>
      </c>
      <c r="OM12" s="3119">
        <f t="shared" si="415"/>
        <v>45978.583333332368</v>
      </c>
      <c r="ON12" s="3119">
        <f t="shared" si="416"/>
        <v>45978.624999999032</v>
      </c>
      <c r="OO12" s="3119">
        <f t="shared" si="417"/>
        <v>45978.666666665697</v>
      </c>
      <c r="OP12" s="3119">
        <f t="shared" si="418"/>
        <v>45978.708333332361</v>
      </c>
      <c r="OQ12" s="3119">
        <f t="shared" si="419"/>
        <v>45978.749999999025</v>
      </c>
      <c r="OR12" s="3119">
        <f t="shared" si="420"/>
        <v>45978.791666665689</v>
      </c>
      <c r="OS12" s="3119">
        <f t="shared" si="421"/>
        <v>45978.833333332354</v>
      </c>
      <c r="OT12" s="3119">
        <f t="shared" si="422"/>
        <v>45978.874999999018</v>
      </c>
      <c r="OU12" s="3119">
        <f t="shared" si="423"/>
        <v>45978.916666665682</v>
      </c>
      <c r="OV12" s="3119">
        <f t="shared" si="424"/>
        <v>45978.958333332346</v>
      </c>
      <c r="OW12" s="3119">
        <f t="shared" si="425"/>
        <v>45978.99999999901</v>
      </c>
      <c r="OX12" s="3119">
        <f t="shared" si="426"/>
        <v>45979.041666665675</v>
      </c>
      <c r="OY12" s="3119">
        <f t="shared" si="427"/>
        <v>45979.083333332339</v>
      </c>
      <c r="OZ12" s="3119">
        <f t="shared" si="428"/>
        <v>45979.124999999003</v>
      </c>
      <c r="PA12" s="3119">
        <f t="shared" si="429"/>
        <v>45979.166666665667</v>
      </c>
      <c r="PB12" s="3119">
        <f t="shared" si="430"/>
        <v>45979.208333332332</v>
      </c>
      <c r="PC12" s="3119">
        <f t="shared" si="431"/>
        <v>45979.249999998996</v>
      </c>
      <c r="PD12" s="3119">
        <f t="shared" si="432"/>
        <v>45979.29166666566</v>
      </c>
      <c r="PE12" s="3119">
        <f t="shared" si="433"/>
        <v>45979.333333332324</v>
      </c>
      <c r="PF12" s="3119">
        <f t="shared" si="434"/>
        <v>45979.374999998989</v>
      </c>
      <c r="PG12" s="3119">
        <f t="shared" si="435"/>
        <v>45979.416666665653</v>
      </c>
      <c r="PH12" s="3119">
        <f t="shared" si="436"/>
        <v>45979.458333332317</v>
      </c>
      <c r="PI12" s="3119">
        <f t="shared" si="437"/>
        <v>45979.499999998981</v>
      </c>
      <c r="PJ12" s="3119">
        <f t="shared" si="438"/>
        <v>45979.541666665646</v>
      </c>
      <c r="PK12" s="3119">
        <f t="shared" si="439"/>
        <v>45979.58333333231</v>
      </c>
      <c r="PL12" s="3119">
        <f t="shared" si="440"/>
        <v>45979.624999998974</v>
      </c>
      <c r="PM12" s="3119">
        <f t="shared" si="441"/>
        <v>45979.666666665638</v>
      </c>
      <c r="PN12" s="3119">
        <f t="shared" si="442"/>
        <v>45979.708333332303</v>
      </c>
      <c r="PO12" s="3119">
        <f t="shared" si="443"/>
        <v>45979.749999998967</v>
      </c>
      <c r="PP12" s="3119">
        <f t="shared" si="444"/>
        <v>45979.791666665631</v>
      </c>
      <c r="PQ12" s="3119">
        <f t="shared" si="445"/>
        <v>45979.833333332295</v>
      </c>
      <c r="PR12" s="3119">
        <f t="shared" si="446"/>
        <v>45979.87499999896</v>
      </c>
      <c r="PS12" s="3119">
        <f t="shared" si="447"/>
        <v>45979.916666665624</v>
      </c>
      <c r="PT12" s="3119">
        <f t="shared" si="448"/>
        <v>45979.958333332288</v>
      </c>
      <c r="PU12" s="3119">
        <f t="shared" si="449"/>
        <v>45979.999999998952</v>
      </c>
      <c r="PV12" s="3119">
        <f t="shared" si="450"/>
        <v>45980.041666665617</v>
      </c>
      <c r="PW12" s="3119">
        <f t="shared" si="451"/>
        <v>45980.083333332281</v>
      </c>
      <c r="PX12" s="3119">
        <f t="shared" si="452"/>
        <v>45980.124999998945</v>
      </c>
      <c r="PY12" s="3119">
        <f t="shared" si="453"/>
        <v>45980.166666665609</v>
      </c>
      <c r="PZ12" s="3119">
        <f t="shared" si="454"/>
        <v>45980.208333332273</v>
      </c>
      <c r="QA12" s="3119">
        <f t="shared" si="455"/>
        <v>45980.249999998938</v>
      </c>
      <c r="QB12" s="3119">
        <f t="shared" si="456"/>
        <v>45980.291666665602</v>
      </c>
      <c r="QC12" s="3119">
        <f t="shared" si="457"/>
        <v>45980.333333332266</v>
      </c>
      <c r="QD12" s="3119">
        <f t="shared" si="458"/>
        <v>45980.37499999893</v>
      </c>
      <c r="QE12" s="3119">
        <f t="shared" si="459"/>
        <v>45980.416666665595</v>
      </c>
      <c r="QF12" s="3119">
        <f t="shared" si="460"/>
        <v>45980.458333332259</v>
      </c>
      <c r="QG12" s="3119">
        <f t="shared" si="461"/>
        <v>45980.499999998923</v>
      </c>
      <c r="QH12" s="3119">
        <f t="shared" si="462"/>
        <v>45980.541666665587</v>
      </c>
      <c r="QI12" s="3119">
        <f t="shared" si="463"/>
        <v>45980.583333332252</v>
      </c>
      <c r="QJ12" s="3119">
        <f t="shared" si="464"/>
        <v>45980.624999998916</v>
      </c>
      <c r="QK12" s="3119">
        <f t="shared" si="465"/>
        <v>45980.66666666558</v>
      </c>
      <c r="QL12" s="3119">
        <f t="shared" si="20"/>
        <v>45980.708333332244</v>
      </c>
      <c r="QM12" s="3119">
        <f t="shared" si="466"/>
        <v>45980.749999998909</v>
      </c>
      <c r="QN12" s="3119">
        <f t="shared" si="467"/>
        <v>45980.791666665573</v>
      </c>
      <c r="QO12" s="3119">
        <f t="shared" si="468"/>
        <v>45980.833333332237</v>
      </c>
      <c r="QP12" s="3119">
        <f t="shared" si="469"/>
        <v>45980.874999998901</v>
      </c>
      <c r="QQ12" s="3119">
        <f t="shared" si="470"/>
        <v>45980.916666665566</v>
      </c>
      <c r="QR12" s="3119">
        <f t="shared" si="471"/>
        <v>45980.95833333223</v>
      </c>
      <c r="QS12" s="3119">
        <f t="shared" si="472"/>
        <v>45980.999999998894</v>
      </c>
      <c r="QT12" s="3119">
        <f t="shared" si="473"/>
        <v>45981.041666665558</v>
      </c>
      <c r="QU12" s="3119">
        <f t="shared" si="474"/>
        <v>45981.083333332223</v>
      </c>
      <c r="QV12" s="3119">
        <f t="shared" si="475"/>
        <v>45981.124999998887</v>
      </c>
      <c r="QW12" s="3119">
        <f t="shared" si="476"/>
        <v>45981.166666665551</v>
      </c>
      <c r="QX12" s="3119">
        <f t="shared" si="477"/>
        <v>45981.208333332215</v>
      </c>
      <c r="QY12" s="3119">
        <f t="shared" si="478"/>
        <v>45981.24999999888</v>
      </c>
      <c r="QZ12" s="3119">
        <f t="shared" si="479"/>
        <v>45981.291666665544</v>
      </c>
      <c r="RA12" s="3119">
        <f t="shared" si="480"/>
        <v>45981.333333332208</v>
      </c>
      <c r="RB12" s="3119">
        <f t="shared" si="481"/>
        <v>45981.374999998872</v>
      </c>
      <c r="RC12" s="3119">
        <f t="shared" si="482"/>
        <v>45981.416666665536</v>
      </c>
      <c r="RD12" s="3119">
        <f t="shared" si="483"/>
        <v>45981.458333332201</v>
      </c>
      <c r="RE12" s="3119">
        <f t="shared" si="484"/>
        <v>45981.499999998865</v>
      </c>
      <c r="RF12" s="3119">
        <f t="shared" si="485"/>
        <v>45981.541666665529</v>
      </c>
      <c r="RG12" s="3119">
        <f t="shared" si="486"/>
        <v>45981.583333332193</v>
      </c>
      <c r="RH12" s="3119">
        <f t="shared" si="487"/>
        <v>45981.624999998858</v>
      </c>
      <c r="RI12" s="3119">
        <f t="shared" si="488"/>
        <v>45981.666666665522</v>
      </c>
      <c r="RJ12" s="3119">
        <f t="shared" si="489"/>
        <v>45981.708333332186</v>
      </c>
      <c r="RK12" s="3119">
        <f t="shared" si="490"/>
        <v>45981.74999999885</v>
      </c>
      <c r="RL12" s="3119">
        <f t="shared" si="491"/>
        <v>45981.791666665515</v>
      </c>
      <c r="RM12" s="3119">
        <f t="shared" si="492"/>
        <v>45981.833333332179</v>
      </c>
      <c r="RN12" s="3119">
        <f t="shared" si="493"/>
        <v>45981.874999998843</v>
      </c>
      <c r="RO12" s="3119">
        <f t="shared" si="494"/>
        <v>45981.916666665507</v>
      </c>
      <c r="RP12" s="3119">
        <f t="shared" si="495"/>
        <v>45981.958333332172</v>
      </c>
      <c r="RQ12" s="3119">
        <f t="shared" si="496"/>
        <v>45981.999999998836</v>
      </c>
      <c r="RR12" s="3119">
        <f t="shared" si="497"/>
        <v>45982.0416666655</v>
      </c>
      <c r="RS12" s="3119">
        <f t="shared" si="498"/>
        <v>45982.083333332164</v>
      </c>
      <c r="RT12" s="3119">
        <f t="shared" si="499"/>
        <v>45982.124999998829</v>
      </c>
      <c r="RU12" s="3119">
        <f t="shared" si="500"/>
        <v>45982.166666665493</v>
      </c>
      <c r="RV12" s="3119">
        <f t="shared" si="501"/>
        <v>45982.208333332157</v>
      </c>
      <c r="RW12" s="3119">
        <f t="shared" si="502"/>
        <v>45982.249999998821</v>
      </c>
      <c r="RX12" s="3119">
        <f t="shared" si="503"/>
        <v>45982.291666665486</v>
      </c>
      <c r="RY12" s="3119">
        <f t="shared" si="504"/>
        <v>45982.33333333215</v>
      </c>
      <c r="RZ12" s="3119">
        <f t="shared" si="505"/>
        <v>45982.374999998814</v>
      </c>
      <c r="SA12" s="3119">
        <f t="shared" si="506"/>
        <v>45982.416666665478</v>
      </c>
      <c r="SB12" s="3119">
        <f t="shared" si="507"/>
        <v>45982.458333332143</v>
      </c>
      <c r="SC12" s="3119">
        <f t="shared" si="508"/>
        <v>45982.499999998807</v>
      </c>
      <c r="SD12" s="3119">
        <f t="shared" si="509"/>
        <v>45982.541666665471</v>
      </c>
      <c r="SE12" s="3119">
        <f t="shared" si="510"/>
        <v>45982.583333332135</v>
      </c>
      <c r="SF12" s="3119">
        <f t="shared" si="511"/>
        <v>45982.624999998799</v>
      </c>
      <c r="SG12" s="3119">
        <f t="shared" si="512"/>
        <v>45982.666666665464</v>
      </c>
      <c r="SH12" s="3119">
        <f t="shared" si="513"/>
        <v>45982.708333332128</v>
      </c>
      <c r="SI12" s="3119">
        <f t="shared" si="514"/>
        <v>45982.749999998792</v>
      </c>
      <c r="SJ12" s="3119">
        <f t="shared" si="515"/>
        <v>45982.791666665456</v>
      </c>
      <c r="SK12" s="3119">
        <f t="shared" si="516"/>
        <v>45982.833333332121</v>
      </c>
      <c r="SL12" s="3119">
        <f t="shared" si="517"/>
        <v>45982.874999998785</v>
      </c>
      <c r="SM12" s="3119">
        <f t="shared" si="518"/>
        <v>45982.916666665449</v>
      </c>
      <c r="SN12" s="3119">
        <f t="shared" si="519"/>
        <v>45982.958333332113</v>
      </c>
      <c r="SO12" s="3119">
        <f t="shared" si="520"/>
        <v>45982.999999998778</v>
      </c>
      <c r="SP12" s="3119">
        <f t="shared" si="521"/>
        <v>45983.041666665442</v>
      </c>
      <c r="SQ12" s="3119">
        <f t="shared" si="522"/>
        <v>45983.083333332106</v>
      </c>
      <c r="SR12" s="3119">
        <f t="shared" si="523"/>
        <v>45983.12499999877</v>
      </c>
      <c r="SS12" s="3119">
        <f t="shared" si="524"/>
        <v>45983.166666665435</v>
      </c>
      <c r="ST12" s="3119">
        <f t="shared" si="525"/>
        <v>45983.208333332099</v>
      </c>
      <c r="SU12" s="3119">
        <f t="shared" si="526"/>
        <v>45983.249999998763</v>
      </c>
      <c r="SV12" s="3119">
        <f t="shared" si="527"/>
        <v>45983.291666665427</v>
      </c>
      <c r="SW12" s="3119">
        <f t="shared" si="528"/>
        <v>45983.333333332092</v>
      </c>
      <c r="SX12" s="3119">
        <f t="shared" si="21"/>
        <v>45983.374999998756</v>
      </c>
      <c r="SY12" s="3119">
        <f t="shared" si="529"/>
        <v>45983.41666666542</v>
      </c>
      <c r="SZ12" s="3119">
        <f t="shared" si="530"/>
        <v>45983.458333332084</v>
      </c>
      <c r="TA12" s="3119">
        <f t="shared" si="531"/>
        <v>45983.499999998749</v>
      </c>
      <c r="TB12" s="3119">
        <f t="shared" si="532"/>
        <v>45983.541666665413</v>
      </c>
      <c r="TC12" s="3119">
        <f t="shared" si="533"/>
        <v>45983.583333332077</v>
      </c>
      <c r="TD12" s="3119">
        <f t="shared" si="534"/>
        <v>45983.624999998741</v>
      </c>
      <c r="TE12" s="3119">
        <f t="shared" si="535"/>
        <v>45983.666666665406</v>
      </c>
      <c r="TF12" s="3119">
        <f t="shared" si="536"/>
        <v>45983.70833333207</v>
      </c>
      <c r="TG12" s="3119">
        <f t="shared" si="537"/>
        <v>45983.749999998734</v>
      </c>
      <c r="TH12" s="3119">
        <f t="shared" si="538"/>
        <v>45983.791666665398</v>
      </c>
      <c r="TI12" s="3119">
        <f t="shared" si="539"/>
        <v>45983.833333332062</v>
      </c>
      <c r="TJ12" s="3119">
        <f t="shared" si="540"/>
        <v>45983.874999998727</v>
      </c>
      <c r="TK12" s="3119">
        <f t="shared" si="541"/>
        <v>45983.916666665391</v>
      </c>
      <c r="TL12" s="3119">
        <f t="shared" si="542"/>
        <v>45983.958333332055</v>
      </c>
      <c r="TM12" s="3119">
        <f t="shared" si="543"/>
        <v>45983.999999998719</v>
      </c>
      <c r="TN12" s="3119">
        <f t="shared" si="544"/>
        <v>45984.041666665384</v>
      </c>
      <c r="TO12" s="3119">
        <f t="shared" si="545"/>
        <v>45984.083333332048</v>
      </c>
      <c r="TP12" s="3119">
        <f t="shared" si="546"/>
        <v>45984.124999998712</v>
      </c>
      <c r="TQ12" s="3119">
        <f t="shared" si="547"/>
        <v>45984.166666665376</v>
      </c>
      <c r="TR12" s="3119">
        <f t="shared" si="548"/>
        <v>45984.208333332041</v>
      </c>
      <c r="TS12" s="3119">
        <f t="shared" si="549"/>
        <v>45984.249999998705</v>
      </c>
      <c r="TT12" s="3119">
        <f t="shared" si="550"/>
        <v>45984.291666665369</v>
      </c>
      <c r="TU12" s="3119">
        <f t="shared" si="551"/>
        <v>45984.333333332033</v>
      </c>
      <c r="TV12" s="3119">
        <f t="shared" si="552"/>
        <v>45984.374999998698</v>
      </c>
      <c r="TW12" s="3119">
        <f t="shared" si="553"/>
        <v>45984.416666665362</v>
      </c>
      <c r="TX12" s="3119">
        <f t="shared" si="554"/>
        <v>45984.458333332026</v>
      </c>
      <c r="TY12" s="3119">
        <f t="shared" si="555"/>
        <v>45984.49999999869</v>
      </c>
      <c r="TZ12" s="3119">
        <f t="shared" si="556"/>
        <v>45984.541666665355</v>
      </c>
      <c r="UA12" s="3119">
        <f t="shared" si="557"/>
        <v>45984.583333332019</v>
      </c>
      <c r="UB12" s="3119">
        <f t="shared" si="558"/>
        <v>45984.624999998683</v>
      </c>
      <c r="UC12" s="3119">
        <f t="shared" si="559"/>
        <v>45984.666666665347</v>
      </c>
      <c r="UD12" s="3119">
        <f t="shared" si="560"/>
        <v>45984.708333332012</v>
      </c>
      <c r="UE12" s="3119">
        <f t="shared" si="561"/>
        <v>45984.749999998676</v>
      </c>
      <c r="UF12" s="3119">
        <f t="shared" si="562"/>
        <v>45984.79166666534</v>
      </c>
      <c r="UG12" s="3119">
        <f t="shared" si="563"/>
        <v>45984.833333332004</v>
      </c>
      <c r="UH12" s="3119">
        <f t="shared" si="564"/>
        <v>45984.874999998668</v>
      </c>
      <c r="UI12" s="3119">
        <f t="shared" si="565"/>
        <v>45984.916666665333</v>
      </c>
      <c r="UJ12" s="3119">
        <f t="shared" si="566"/>
        <v>45984.958333331997</v>
      </c>
      <c r="UK12" s="3119">
        <f t="shared" si="567"/>
        <v>45984.999999998661</v>
      </c>
      <c r="UL12" s="3119">
        <f t="shared" si="568"/>
        <v>45985.041666665325</v>
      </c>
      <c r="UM12" s="3119">
        <f t="shared" si="569"/>
        <v>45985.08333333199</v>
      </c>
      <c r="UN12" s="3119">
        <f t="shared" si="570"/>
        <v>45985.124999998654</v>
      </c>
      <c r="UO12" s="3119">
        <f t="shared" si="571"/>
        <v>45985.166666665318</v>
      </c>
      <c r="UP12" s="3119">
        <f t="shared" si="572"/>
        <v>45985.208333331982</v>
      </c>
      <c r="UQ12" s="3119">
        <f t="shared" si="573"/>
        <v>45985.249999998647</v>
      </c>
      <c r="UR12" s="3119">
        <f t="shared" si="574"/>
        <v>45985.291666665311</v>
      </c>
      <c r="US12" s="3119">
        <f t="shared" si="575"/>
        <v>45985.333333331975</v>
      </c>
      <c r="UT12" s="3119">
        <f t="shared" si="576"/>
        <v>45985.374999998639</v>
      </c>
      <c r="UU12" s="3119">
        <f t="shared" si="577"/>
        <v>45985.416666665304</v>
      </c>
      <c r="UV12" s="3119">
        <f t="shared" si="578"/>
        <v>45985.458333331968</v>
      </c>
      <c r="UW12" s="3119">
        <f t="shared" si="579"/>
        <v>45985.499999998632</v>
      </c>
      <c r="UX12" s="3119">
        <f t="shared" si="580"/>
        <v>45985.541666665296</v>
      </c>
      <c r="UY12" s="3119">
        <f t="shared" si="581"/>
        <v>45985.583333331961</v>
      </c>
      <c r="UZ12" s="3119">
        <f t="shared" si="582"/>
        <v>45985.624999998625</v>
      </c>
      <c r="VA12" s="3119">
        <f t="shared" si="583"/>
        <v>45985.666666665289</v>
      </c>
      <c r="VB12" s="3119">
        <f t="shared" si="584"/>
        <v>45985.708333331953</v>
      </c>
      <c r="VC12" s="3119">
        <f t="shared" si="585"/>
        <v>45985.749999998618</v>
      </c>
      <c r="VD12" s="3119">
        <f t="shared" si="586"/>
        <v>45985.791666665282</v>
      </c>
      <c r="VE12" s="3119">
        <f t="shared" si="587"/>
        <v>45985.833333331946</v>
      </c>
      <c r="VF12" s="3119">
        <f t="shared" si="588"/>
        <v>45985.87499999861</v>
      </c>
      <c r="VG12" s="3119">
        <f t="shared" si="589"/>
        <v>45985.916666665275</v>
      </c>
      <c r="VH12" s="3119">
        <f t="shared" si="590"/>
        <v>45985.958333331939</v>
      </c>
      <c r="VI12" s="3119">
        <f t="shared" si="591"/>
        <v>45985.999999998603</v>
      </c>
      <c r="VJ12" s="3119">
        <f t="shared" si="22"/>
        <v>45986.041666665267</v>
      </c>
      <c r="VK12" s="3119">
        <f t="shared" si="592"/>
        <v>45986.083333331931</v>
      </c>
      <c r="VL12" s="3119">
        <f t="shared" si="593"/>
        <v>45986.124999998596</v>
      </c>
      <c r="VM12" s="3119">
        <f t="shared" si="594"/>
        <v>45986.16666666526</v>
      </c>
      <c r="VN12" s="3119">
        <f t="shared" si="595"/>
        <v>45986.208333331924</v>
      </c>
      <c r="VO12" s="3119">
        <f t="shared" si="596"/>
        <v>45986.249999998588</v>
      </c>
      <c r="VP12" s="3119">
        <f t="shared" si="597"/>
        <v>45986.291666665253</v>
      </c>
      <c r="VQ12" s="3119">
        <f t="shared" si="598"/>
        <v>45986.333333331917</v>
      </c>
      <c r="VR12" s="3119">
        <f t="shared" si="599"/>
        <v>45986.374999998581</v>
      </c>
      <c r="VS12" s="3119">
        <f t="shared" si="600"/>
        <v>45986.416666665245</v>
      </c>
      <c r="VT12" s="3119">
        <f t="shared" si="601"/>
        <v>45986.45833333191</v>
      </c>
      <c r="VU12" s="3119">
        <f t="shared" si="602"/>
        <v>45986.499999998574</v>
      </c>
      <c r="VV12" s="3119">
        <f t="shared" si="603"/>
        <v>45986.541666665238</v>
      </c>
      <c r="VW12" s="3119">
        <f t="shared" si="604"/>
        <v>45986.583333331902</v>
      </c>
      <c r="VX12" s="3119">
        <f t="shared" si="605"/>
        <v>45986.624999998567</v>
      </c>
      <c r="VY12" s="3119">
        <f t="shared" si="606"/>
        <v>45986.666666665231</v>
      </c>
      <c r="VZ12" s="3119">
        <f t="shared" si="607"/>
        <v>45986.708333331895</v>
      </c>
      <c r="WA12" s="3119">
        <f t="shared" si="608"/>
        <v>45986.749999998559</v>
      </c>
      <c r="WB12" s="3119">
        <f t="shared" si="609"/>
        <v>45986.791666665224</v>
      </c>
      <c r="WC12" s="3119">
        <f t="shared" si="610"/>
        <v>45986.833333331888</v>
      </c>
      <c r="WD12" s="3119">
        <f t="shared" si="611"/>
        <v>45986.874999998552</v>
      </c>
      <c r="WE12" s="3119">
        <f t="shared" si="612"/>
        <v>45986.916666665216</v>
      </c>
      <c r="WF12" s="3119">
        <f t="shared" si="613"/>
        <v>45986.958333331881</v>
      </c>
      <c r="WG12" s="3119">
        <f t="shared" si="614"/>
        <v>45986.999999998545</v>
      </c>
      <c r="WH12" s="3119">
        <f t="shared" si="615"/>
        <v>45987.041666665209</v>
      </c>
      <c r="WI12" s="3119">
        <f t="shared" si="616"/>
        <v>45987.083333331873</v>
      </c>
      <c r="WJ12" s="3119">
        <f t="shared" si="617"/>
        <v>45987.124999998538</v>
      </c>
      <c r="WK12" s="3119">
        <f t="shared" si="618"/>
        <v>45987.166666665202</v>
      </c>
      <c r="WL12" s="3119">
        <f t="shared" si="619"/>
        <v>45987.208333331866</v>
      </c>
      <c r="WM12" s="3119">
        <f t="shared" si="620"/>
        <v>45987.24999999853</v>
      </c>
      <c r="WN12" s="3119">
        <f t="shared" si="621"/>
        <v>45987.291666665194</v>
      </c>
      <c r="WO12" s="3119">
        <f t="shared" si="622"/>
        <v>45987.333333331859</v>
      </c>
      <c r="WP12" s="3119">
        <f t="shared" si="623"/>
        <v>45987.374999998523</v>
      </c>
      <c r="WQ12" s="3119">
        <f t="shared" si="624"/>
        <v>45987.416666665187</v>
      </c>
      <c r="WR12" s="3119">
        <f t="shared" si="625"/>
        <v>45987.458333331851</v>
      </c>
      <c r="WS12" s="3119">
        <f t="shared" si="626"/>
        <v>45987.499999998516</v>
      </c>
      <c r="WT12" s="3119">
        <f t="shared" si="627"/>
        <v>45987.54166666518</v>
      </c>
      <c r="WU12" s="3119">
        <f t="shared" si="628"/>
        <v>45987.583333331844</v>
      </c>
      <c r="WV12" s="3119">
        <f t="shared" si="629"/>
        <v>45987.624999998508</v>
      </c>
      <c r="WW12" s="3119">
        <f t="shared" si="630"/>
        <v>45987.666666665173</v>
      </c>
      <c r="WX12" s="3119">
        <f t="shared" si="631"/>
        <v>45987.708333331837</v>
      </c>
      <c r="WY12" s="3119">
        <f t="shared" si="632"/>
        <v>45987.749999998501</v>
      </c>
      <c r="WZ12" s="3119">
        <f t="shared" si="633"/>
        <v>45987.791666665165</v>
      </c>
      <c r="XA12" s="3119">
        <f t="shared" si="634"/>
        <v>45987.83333333183</v>
      </c>
      <c r="XB12" s="3119">
        <f t="shared" si="635"/>
        <v>45987.874999998494</v>
      </c>
      <c r="XC12" s="3119">
        <f t="shared" si="636"/>
        <v>45987.916666665158</v>
      </c>
      <c r="XD12" s="3119">
        <f t="shared" si="637"/>
        <v>45987.958333331822</v>
      </c>
      <c r="XE12" s="3119">
        <f t="shared" si="638"/>
        <v>45987.999999998487</v>
      </c>
      <c r="XF12" s="3119">
        <f t="shared" si="639"/>
        <v>45988.041666665151</v>
      </c>
      <c r="XG12" s="3119">
        <f t="shared" si="640"/>
        <v>45988.083333331815</v>
      </c>
      <c r="XH12" s="3119">
        <f t="shared" si="641"/>
        <v>45988.124999998479</v>
      </c>
      <c r="XI12" s="3119">
        <f t="shared" si="642"/>
        <v>45988.166666665144</v>
      </c>
      <c r="XJ12" s="3119">
        <f t="shared" si="643"/>
        <v>45988.208333331808</v>
      </c>
      <c r="XK12" s="3119">
        <f t="shared" si="644"/>
        <v>45988.249999998472</v>
      </c>
      <c r="XL12" s="3119">
        <f t="shared" si="645"/>
        <v>45988.291666665136</v>
      </c>
      <c r="XM12" s="3119">
        <f t="shared" si="646"/>
        <v>45988.333333331801</v>
      </c>
      <c r="XN12" s="3119">
        <f t="shared" si="647"/>
        <v>45988.374999998465</v>
      </c>
      <c r="XO12" s="3119">
        <f t="shared" si="648"/>
        <v>45988.416666665129</v>
      </c>
      <c r="XP12" s="3119">
        <f t="shared" si="649"/>
        <v>45988.458333331793</v>
      </c>
      <c r="XQ12" s="3119">
        <f t="shared" si="650"/>
        <v>45988.499999998457</v>
      </c>
      <c r="XR12" s="3119">
        <f t="shared" si="651"/>
        <v>45988.541666665122</v>
      </c>
      <c r="XS12" s="3119">
        <f t="shared" si="652"/>
        <v>45988.583333331786</v>
      </c>
      <c r="XT12" s="3119">
        <f t="shared" si="653"/>
        <v>45988.62499999845</v>
      </c>
      <c r="XU12" s="3119">
        <f t="shared" si="654"/>
        <v>45988.666666665114</v>
      </c>
      <c r="XV12" s="3119">
        <f t="shared" si="23"/>
        <v>45988.708333331779</v>
      </c>
      <c r="XW12" s="3119">
        <f t="shared" si="655"/>
        <v>45988.749999998443</v>
      </c>
      <c r="XX12" s="3119">
        <f t="shared" si="656"/>
        <v>45988.791666665107</v>
      </c>
      <c r="XY12" s="3119">
        <f t="shared" si="657"/>
        <v>45988.833333331771</v>
      </c>
      <c r="XZ12" s="3119">
        <f t="shared" si="658"/>
        <v>45988.874999998436</v>
      </c>
      <c r="YA12" s="3119">
        <f t="shared" si="659"/>
        <v>45988.9166666651</v>
      </c>
      <c r="YB12" s="3119">
        <f t="shared" si="660"/>
        <v>45988.958333331764</v>
      </c>
      <c r="YC12" s="3119">
        <f t="shared" si="661"/>
        <v>45988.999999998428</v>
      </c>
      <c r="YD12" s="3119">
        <f t="shared" si="662"/>
        <v>45989.041666665093</v>
      </c>
      <c r="YE12" s="3119">
        <f t="shared" si="663"/>
        <v>45989.083333331757</v>
      </c>
      <c r="YF12" s="3119">
        <f t="shared" si="664"/>
        <v>45989.124999998421</v>
      </c>
      <c r="YG12" s="3119">
        <f t="shared" si="665"/>
        <v>45989.166666665085</v>
      </c>
      <c r="YH12" s="3119">
        <f t="shared" si="666"/>
        <v>45989.20833333175</v>
      </c>
      <c r="YI12" s="3119">
        <f t="shared" si="667"/>
        <v>45989.249999998414</v>
      </c>
      <c r="YJ12" s="3119">
        <f t="shared" si="668"/>
        <v>45989.291666665078</v>
      </c>
      <c r="YK12" s="3119">
        <f t="shared" si="669"/>
        <v>45989.333333331742</v>
      </c>
      <c r="YL12" s="3119">
        <f t="shared" si="670"/>
        <v>45989.374999998407</v>
      </c>
      <c r="YM12" s="3119">
        <f t="shared" si="671"/>
        <v>45989.416666665071</v>
      </c>
      <c r="YN12" s="3119">
        <f t="shared" si="672"/>
        <v>45989.458333331735</v>
      </c>
      <c r="YO12" s="3119">
        <f t="shared" si="673"/>
        <v>45989.499999998399</v>
      </c>
      <c r="YP12" s="3119">
        <f t="shared" si="674"/>
        <v>45989.541666665064</v>
      </c>
      <c r="YQ12" s="3119">
        <f t="shared" si="675"/>
        <v>45989.583333331728</v>
      </c>
      <c r="YR12" s="3119">
        <f t="shared" si="676"/>
        <v>45989.624999998392</v>
      </c>
      <c r="YS12" s="3119">
        <f t="shared" si="677"/>
        <v>45989.666666665056</v>
      </c>
      <c r="YT12" s="3119">
        <f t="shared" si="678"/>
        <v>45989.70833333172</v>
      </c>
      <c r="YU12" s="3119">
        <f t="shared" si="679"/>
        <v>45989.749999998385</v>
      </c>
      <c r="YV12" s="3119">
        <f t="shared" si="680"/>
        <v>45989.791666665049</v>
      </c>
      <c r="YW12" s="3119">
        <f t="shared" si="681"/>
        <v>45989.833333331713</v>
      </c>
      <c r="YX12" s="3119">
        <f t="shared" si="682"/>
        <v>45989.874999998377</v>
      </c>
      <c r="YY12" s="3119">
        <f t="shared" si="683"/>
        <v>45989.916666665042</v>
      </c>
      <c r="YZ12" s="3119">
        <f t="shared" si="684"/>
        <v>45989.958333331706</v>
      </c>
      <c r="ZA12" s="3119">
        <f t="shared" si="685"/>
        <v>45989.99999999837</v>
      </c>
      <c r="ZB12" s="3119">
        <f t="shared" si="686"/>
        <v>45990.041666665034</v>
      </c>
      <c r="ZC12" s="3119">
        <f t="shared" si="687"/>
        <v>45990.083333331699</v>
      </c>
      <c r="ZD12" s="3119">
        <f t="shared" si="688"/>
        <v>45990.124999998363</v>
      </c>
      <c r="ZE12" s="3119">
        <f t="shared" si="689"/>
        <v>45990.166666665027</v>
      </c>
      <c r="ZF12" s="3119">
        <f t="shared" si="690"/>
        <v>45990.208333331691</v>
      </c>
      <c r="ZG12" s="3119">
        <f t="shared" si="691"/>
        <v>45990.249999998356</v>
      </c>
      <c r="ZH12" s="3119">
        <f t="shared" si="692"/>
        <v>45990.29166666502</v>
      </c>
      <c r="ZI12" s="3119">
        <f t="shared" si="693"/>
        <v>45990.333333331684</v>
      </c>
      <c r="ZJ12" s="3119">
        <f t="shared" si="694"/>
        <v>45990.374999998348</v>
      </c>
      <c r="ZK12" s="3119">
        <f t="shared" si="695"/>
        <v>45990.416666665013</v>
      </c>
      <c r="ZL12" s="3119">
        <f t="shared" si="696"/>
        <v>45990.458333331677</v>
      </c>
      <c r="ZM12" s="3119">
        <f t="shared" si="697"/>
        <v>45990.499999998341</v>
      </c>
      <c r="ZN12" s="3119">
        <f t="shared" si="698"/>
        <v>45990.541666665005</v>
      </c>
      <c r="ZO12" s="3119">
        <f t="shared" si="699"/>
        <v>45990.58333333167</v>
      </c>
      <c r="ZP12" s="3119">
        <f t="shared" si="700"/>
        <v>45990.624999998334</v>
      </c>
      <c r="ZQ12" s="3119">
        <f t="shared" si="701"/>
        <v>45990.666666664998</v>
      </c>
      <c r="ZR12" s="3119">
        <f t="shared" si="702"/>
        <v>45990.708333331662</v>
      </c>
      <c r="ZS12" s="3119">
        <f t="shared" si="703"/>
        <v>45990.749999998327</v>
      </c>
      <c r="ZT12" s="3119">
        <f t="shared" si="704"/>
        <v>45990.791666664991</v>
      </c>
      <c r="ZU12" s="3119">
        <f t="shared" si="705"/>
        <v>45990.833333331655</v>
      </c>
      <c r="ZV12" s="3119">
        <f t="shared" si="706"/>
        <v>45990.874999998319</v>
      </c>
      <c r="ZW12" s="3119">
        <f t="shared" si="707"/>
        <v>45990.916666664983</v>
      </c>
      <c r="ZX12" s="3119">
        <f t="shared" si="708"/>
        <v>45990.958333331648</v>
      </c>
      <c r="ZY12" s="3119">
        <f t="shared" si="709"/>
        <v>45990.999999998312</v>
      </c>
      <c r="ZZ12" s="3119">
        <f t="shared" si="710"/>
        <v>45991.041666664976</v>
      </c>
      <c r="AAA12" s="3119">
        <f t="shared" si="711"/>
        <v>45991.08333333164</v>
      </c>
      <c r="AAB12" s="3119">
        <f t="shared" si="712"/>
        <v>45991.124999998305</v>
      </c>
      <c r="AAC12" s="3119">
        <f t="shared" si="713"/>
        <v>45991.166666664969</v>
      </c>
      <c r="AAD12" s="3119">
        <f t="shared" si="714"/>
        <v>45991.208333331633</v>
      </c>
      <c r="AAE12" s="3119">
        <f t="shared" si="715"/>
        <v>45991.249999998297</v>
      </c>
      <c r="AAF12" s="3119">
        <f t="shared" si="716"/>
        <v>45991.291666664962</v>
      </c>
      <c r="AAG12" s="3119">
        <f t="shared" si="717"/>
        <v>45991.333333331626</v>
      </c>
      <c r="AAH12" s="3119">
        <f t="shared" si="24"/>
        <v>45991.37499999829</v>
      </c>
      <c r="AAI12" s="3119">
        <f t="shared" si="12"/>
        <v>45991.416666664954</v>
      </c>
      <c r="AAJ12" s="3119">
        <f t="shared" si="12"/>
        <v>45991.458333331619</v>
      </c>
      <c r="AAK12" s="3119">
        <f t="shared" si="12"/>
        <v>45991.499999998283</v>
      </c>
      <c r="AAL12" s="3119">
        <f t="shared" si="12"/>
        <v>45991.541666664947</v>
      </c>
      <c r="AAM12" s="3119">
        <f t="shared" si="12"/>
        <v>45991.583333331611</v>
      </c>
      <c r="AAN12" s="3119">
        <f t="shared" si="12"/>
        <v>45991.624999998276</v>
      </c>
      <c r="AAO12" s="3119">
        <f t="shared" si="12"/>
        <v>45991.66666666494</v>
      </c>
      <c r="AAP12" s="3119">
        <f t="shared" si="12"/>
        <v>45991.708333331604</v>
      </c>
      <c r="AAQ12" s="3119">
        <f t="shared" si="12"/>
        <v>45991.749999998268</v>
      </c>
      <c r="AAR12" s="3119">
        <f t="shared" si="12"/>
        <v>45991.791666664933</v>
      </c>
      <c r="AAS12" s="3119">
        <f t="shared" si="12"/>
        <v>45991.833333331597</v>
      </c>
      <c r="AAT12" s="3119">
        <f t="shared" si="12"/>
        <v>45991.874999998261</v>
      </c>
      <c r="AAU12" s="3119">
        <f t="shared" si="12"/>
        <v>45991.916666664925</v>
      </c>
      <c r="AAV12" s="3119">
        <f t="shared" si="12"/>
        <v>45991.95833333159</v>
      </c>
    </row>
    <row r="13" spans="1:724" s="282" customFormat="1" ht="13">
      <c r="A13" s="3115" t="s">
        <v>348</v>
      </c>
      <c r="B13" s="3119">
        <v>45965.75</v>
      </c>
      <c r="C13" s="3119">
        <v>45966.75</v>
      </c>
      <c r="D13" s="3116">
        <f t="shared" si="0"/>
        <v>24</v>
      </c>
      <c r="E13" s="3119">
        <v>45962</v>
      </c>
      <c r="F13" s="3119">
        <f t="shared" si="13"/>
        <v>45962.041666666664</v>
      </c>
      <c r="G13" s="3119">
        <f t="shared" si="25"/>
        <v>45962.083333333328</v>
      </c>
      <c r="H13" s="3119">
        <f t="shared" si="26"/>
        <v>45962.124999999993</v>
      </c>
      <c r="I13" s="3119">
        <f t="shared" si="27"/>
        <v>45962.166666666657</v>
      </c>
      <c r="J13" s="3119">
        <f t="shared" si="28"/>
        <v>45962.208333333321</v>
      </c>
      <c r="K13" s="3119">
        <f t="shared" si="29"/>
        <v>45962.249999999985</v>
      </c>
      <c r="L13" s="3119">
        <f t="shared" si="30"/>
        <v>45962.29166666665</v>
      </c>
      <c r="M13" s="3119">
        <f t="shared" si="31"/>
        <v>45962.333333333314</v>
      </c>
      <c r="N13" s="3119">
        <f t="shared" si="32"/>
        <v>45962.374999999978</v>
      </c>
      <c r="O13" s="3119">
        <f t="shared" si="33"/>
        <v>45962.416666666642</v>
      </c>
      <c r="P13" s="3119">
        <f t="shared" si="34"/>
        <v>45962.458333333307</v>
      </c>
      <c r="Q13" s="3119">
        <f t="shared" si="35"/>
        <v>45962.499999999971</v>
      </c>
      <c r="R13" s="3119">
        <f t="shared" si="36"/>
        <v>45962.541666666635</v>
      </c>
      <c r="S13" s="3119">
        <f t="shared" si="37"/>
        <v>45962.583333333299</v>
      </c>
      <c r="T13" s="3119">
        <f t="shared" si="38"/>
        <v>45962.624999999964</v>
      </c>
      <c r="U13" s="3119">
        <f t="shared" si="39"/>
        <v>45962.666666666628</v>
      </c>
      <c r="V13" s="3119">
        <f t="shared" si="40"/>
        <v>45962.708333333292</v>
      </c>
      <c r="W13" s="3119">
        <f t="shared" si="41"/>
        <v>45962.749999999956</v>
      </c>
      <c r="X13" s="3119">
        <f t="shared" si="42"/>
        <v>45962.791666666621</v>
      </c>
      <c r="Y13" s="3119">
        <f t="shared" si="43"/>
        <v>45962.833333333285</v>
      </c>
      <c r="Z13" s="3119">
        <f t="shared" si="44"/>
        <v>45962.874999999949</v>
      </c>
      <c r="AA13" s="3119">
        <f t="shared" si="45"/>
        <v>45962.916666666613</v>
      </c>
      <c r="AB13" s="3119">
        <f t="shared" si="46"/>
        <v>45962.958333333278</v>
      </c>
      <c r="AC13" s="3119">
        <f t="shared" si="47"/>
        <v>45962.999999999942</v>
      </c>
      <c r="AD13" s="3119">
        <f t="shared" si="48"/>
        <v>45963.041666666606</v>
      </c>
      <c r="AE13" s="3119">
        <f t="shared" si="49"/>
        <v>45963.08333333327</v>
      </c>
      <c r="AF13" s="3119">
        <f t="shared" si="50"/>
        <v>45963.124999999935</v>
      </c>
      <c r="AG13" s="3119">
        <f t="shared" si="51"/>
        <v>45963.166666666599</v>
      </c>
      <c r="AH13" s="3119">
        <f t="shared" si="52"/>
        <v>45963.208333333263</v>
      </c>
      <c r="AI13" s="3119">
        <f t="shared" si="53"/>
        <v>45963.249999999927</v>
      </c>
      <c r="AJ13" s="3119">
        <f t="shared" si="54"/>
        <v>45963.291666666591</v>
      </c>
      <c r="AK13" s="3119">
        <f t="shared" si="55"/>
        <v>45963.333333333256</v>
      </c>
      <c r="AL13" s="3119">
        <f t="shared" si="56"/>
        <v>45963.37499999992</v>
      </c>
      <c r="AM13" s="3119">
        <f t="shared" si="57"/>
        <v>45963.416666666584</v>
      </c>
      <c r="AN13" s="3119">
        <f t="shared" si="58"/>
        <v>45963.458333333248</v>
      </c>
      <c r="AO13" s="3119">
        <f t="shared" si="59"/>
        <v>45963.499999999913</v>
      </c>
      <c r="AP13" s="3119">
        <f t="shared" si="60"/>
        <v>45963.541666666577</v>
      </c>
      <c r="AQ13" s="3119">
        <f t="shared" si="61"/>
        <v>45963.583333333241</v>
      </c>
      <c r="AR13" s="3119">
        <f t="shared" si="62"/>
        <v>45963.624999999905</v>
      </c>
      <c r="AS13" s="3119">
        <f t="shared" si="63"/>
        <v>45963.66666666657</v>
      </c>
      <c r="AT13" s="3119">
        <f t="shared" si="64"/>
        <v>45963.708333333234</v>
      </c>
      <c r="AU13" s="3119">
        <f t="shared" si="65"/>
        <v>45963.749999999898</v>
      </c>
      <c r="AV13" s="3119">
        <f t="shared" si="66"/>
        <v>45963.791666666562</v>
      </c>
      <c r="AW13" s="3119">
        <f t="shared" si="67"/>
        <v>45963.833333333227</v>
      </c>
      <c r="AX13" s="3119">
        <f t="shared" si="68"/>
        <v>45963.874999999891</v>
      </c>
      <c r="AY13" s="3119">
        <f t="shared" si="69"/>
        <v>45963.916666666555</v>
      </c>
      <c r="AZ13" s="3119">
        <f t="shared" si="70"/>
        <v>45963.958333333219</v>
      </c>
      <c r="BA13" s="3119">
        <f t="shared" si="71"/>
        <v>45963.999999999884</v>
      </c>
      <c r="BB13" s="3119">
        <f t="shared" si="72"/>
        <v>45964.041666666548</v>
      </c>
      <c r="BC13" s="3119">
        <f t="shared" si="73"/>
        <v>45964.083333333212</v>
      </c>
      <c r="BD13" s="3119">
        <f t="shared" si="74"/>
        <v>45964.124999999876</v>
      </c>
      <c r="BE13" s="3119">
        <f t="shared" si="75"/>
        <v>45964.166666666541</v>
      </c>
      <c r="BF13" s="3119">
        <f t="shared" si="76"/>
        <v>45964.208333333205</v>
      </c>
      <c r="BG13" s="3119">
        <f t="shared" si="77"/>
        <v>45964.249999999869</v>
      </c>
      <c r="BH13" s="3119">
        <f t="shared" si="78"/>
        <v>45964.291666666533</v>
      </c>
      <c r="BI13" s="3119">
        <f t="shared" si="79"/>
        <v>45964.333333333198</v>
      </c>
      <c r="BJ13" s="3119">
        <f t="shared" si="80"/>
        <v>45964.374999999862</v>
      </c>
      <c r="BK13" s="3119">
        <f t="shared" si="81"/>
        <v>45964.416666666526</v>
      </c>
      <c r="BL13" s="3119">
        <f t="shared" si="82"/>
        <v>45964.45833333319</v>
      </c>
      <c r="BM13" s="3119">
        <f t="shared" si="83"/>
        <v>45964.499999999854</v>
      </c>
      <c r="BN13" s="3119">
        <f t="shared" si="84"/>
        <v>45964.541666666519</v>
      </c>
      <c r="BO13" s="3119">
        <f t="shared" si="85"/>
        <v>45964.583333333183</v>
      </c>
      <c r="BP13" s="3119">
        <f t="shared" si="86"/>
        <v>45964.624999999847</v>
      </c>
      <c r="BQ13" s="3119">
        <f t="shared" si="87"/>
        <v>45964.666666666511</v>
      </c>
      <c r="BR13" s="3119">
        <f t="shared" si="14"/>
        <v>45964.708333333176</v>
      </c>
      <c r="BS13" s="3119">
        <f t="shared" si="88"/>
        <v>45964.74999999984</v>
      </c>
      <c r="BT13" s="3119">
        <f t="shared" si="89"/>
        <v>45964.791666666504</v>
      </c>
      <c r="BU13" s="3119">
        <f t="shared" si="90"/>
        <v>45964.833333333168</v>
      </c>
      <c r="BV13" s="3119">
        <f t="shared" si="91"/>
        <v>45964.874999999833</v>
      </c>
      <c r="BW13" s="3119">
        <f t="shared" si="92"/>
        <v>45964.916666666497</v>
      </c>
      <c r="BX13" s="3119">
        <f t="shared" si="93"/>
        <v>45964.958333333161</v>
      </c>
      <c r="BY13" s="3119">
        <f t="shared" si="94"/>
        <v>45964.999999999825</v>
      </c>
      <c r="BZ13" s="3119">
        <f t="shared" si="95"/>
        <v>45965.04166666649</v>
      </c>
      <c r="CA13" s="3119">
        <f t="shared" si="96"/>
        <v>45965.083333333154</v>
      </c>
      <c r="CB13" s="3119">
        <f t="shared" si="97"/>
        <v>45965.124999999818</v>
      </c>
      <c r="CC13" s="3119">
        <f t="shared" si="98"/>
        <v>45965.166666666482</v>
      </c>
      <c r="CD13" s="3119">
        <f t="shared" si="99"/>
        <v>45965.208333333147</v>
      </c>
      <c r="CE13" s="3119">
        <f t="shared" si="100"/>
        <v>45965.249999999811</v>
      </c>
      <c r="CF13" s="3119">
        <f t="shared" si="101"/>
        <v>45965.291666666475</v>
      </c>
      <c r="CG13" s="3119">
        <f t="shared" si="102"/>
        <v>45965.333333333139</v>
      </c>
      <c r="CH13" s="3119">
        <f t="shared" si="103"/>
        <v>45965.374999999804</v>
      </c>
      <c r="CI13" s="3119">
        <f t="shared" si="104"/>
        <v>45965.416666666468</v>
      </c>
      <c r="CJ13" s="3119">
        <f t="shared" si="105"/>
        <v>45965.458333333132</v>
      </c>
      <c r="CK13" s="3119">
        <f t="shared" si="106"/>
        <v>45965.499999999796</v>
      </c>
      <c r="CL13" s="3119">
        <f t="shared" si="107"/>
        <v>45965.541666666461</v>
      </c>
      <c r="CM13" s="3119">
        <f t="shared" si="108"/>
        <v>45965.583333333125</v>
      </c>
      <c r="CN13" s="3119">
        <f t="shared" si="109"/>
        <v>45965.624999999789</v>
      </c>
      <c r="CO13" s="3119">
        <f t="shared" si="110"/>
        <v>45965.666666666453</v>
      </c>
      <c r="CP13" s="3119">
        <f t="shared" si="111"/>
        <v>45965.708333333117</v>
      </c>
      <c r="CQ13" s="3119">
        <f t="shared" si="112"/>
        <v>45965.749999999782</v>
      </c>
      <c r="CR13" s="3119">
        <f t="shared" si="113"/>
        <v>45965.791666666446</v>
      </c>
      <c r="CS13" s="3119">
        <f t="shared" si="114"/>
        <v>45965.83333333311</v>
      </c>
      <c r="CT13" s="3119">
        <f t="shared" si="115"/>
        <v>45965.874999999774</v>
      </c>
      <c r="CU13" s="3119">
        <f t="shared" si="116"/>
        <v>45965.916666666439</v>
      </c>
      <c r="CV13" s="3119">
        <f t="shared" si="117"/>
        <v>45965.958333333103</v>
      </c>
      <c r="CW13" s="3119">
        <f t="shared" si="118"/>
        <v>45965.999999999767</v>
      </c>
      <c r="CX13" s="3119">
        <f t="shared" si="119"/>
        <v>45966.041666666431</v>
      </c>
      <c r="CY13" s="3119">
        <f t="shared" si="120"/>
        <v>45966.083333333096</v>
      </c>
      <c r="CZ13" s="3119">
        <f t="shared" si="121"/>
        <v>45966.12499999976</v>
      </c>
      <c r="DA13" s="3119">
        <f t="shared" si="122"/>
        <v>45966.166666666424</v>
      </c>
      <c r="DB13" s="3119">
        <f t="shared" si="123"/>
        <v>45966.208333333088</v>
      </c>
      <c r="DC13" s="3119">
        <f t="shared" si="124"/>
        <v>45966.249999999753</v>
      </c>
      <c r="DD13" s="3119">
        <f t="shared" si="125"/>
        <v>45966.291666666417</v>
      </c>
      <c r="DE13" s="3119">
        <f t="shared" si="126"/>
        <v>45966.333333333081</v>
      </c>
      <c r="DF13" s="3119">
        <f t="shared" si="127"/>
        <v>45966.374999999745</v>
      </c>
      <c r="DG13" s="3119">
        <f t="shared" si="128"/>
        <v>45966.41666666641</v>
      </c>
      <c r="DH13" s="3119">
        <f t="shared" si="129"/>
        <v>45966.458333333074</v>
      </c>
      <c r="DI13" s="3119">
        <f t="shared" si="130"/>
        <v>45966.499999999738</v>
      </c>
      <c r="DJ13" s="3119">
        <f t="shared" si="131"/>
        <v>45966.541666666402</v>
      </c>
      <c r="DK13" s="3119">
        <f t="shared" si="132"/>
        <v>45966.583333333067</v>
      </c>
      <c r="DL13" s="3119">
        <f t="shared" si="133"/>
        <v>45966.624999999731</v>
      </c>
      <c r="DM13" s="3119">
        <f t="shared" si="134"/>
        <v>45966.666666666395</v>
      </c>
      <c r="DN13" s="3119">
        <f t="shared" si="135"/>
        <v>45966.708333333059</v>
      </c>
      <c r="DO13" s="3119">
        <f t="shared" si="136"/>
        <v>45966.749999999724</v>
      </c>
      <c r="DP13" s="3119">
        <f t="shared" si="137"/>
        <v>45966.791666666388</v>
      </c>
      <c r="DQ13" s="3119">
        <f t="shared" si="138"/>
        <v>45966.833333333052</v>
      </c>
      <c r="DR13" s="3119">
        <f t="shared" si="139"/>
        <v>45966.874999999716</v>
      </c>
      <c r="DS13" s="3119">
        <f t="shared" si="140"/>
        <v>45966.91666666638</v>
      </c>
      <c r="DT13" s="3119">
        <f t="shared" si="141"/>
        <v>45966.958333333045</v>
      </c>
      <c r="DU13" s="3119">
        <f t="shared" si="142"/>
        <v>45966.999999999709</v>
      </c>
      <c r="DV13" s="3119">
        <f t="shared" si="143"/>
        <v>45967.041666666373</v>
      </c>
      <c r="DW13" s="3119">
        <f t="shared" si="144"/>
        <v>45967.083333333037</v>
      </c>
      <c r="DX13" s="3119">
        <f t="shared" si="145"/>
        <v>45967.124999999702</v>
      </c>
      <c r="DY13" s="3119">
        <f t="shared" si="146"/>
        <v>45967.166666666366</v>
      </c>
      <c r="DZ13" s="3119">
        <f t="shared" si="147"/>
        <v>45967.20833333303</v>
      </c>
      <c r="EA13" s="3119">
        <f t="shared" si="148"/>
        <v>45967.249999999694</v>
      </c>
      <c r="EB13" s="3119">
        <f t="shared" si="149"/>
        <v>45967.291666666359</v>
      </c>
      <c r="EC13" s="3119">
        <f t="shared" si="150"/>
        <v>45967.333333333023</v>
      </c>
      <c r="ED13" s="3119">
        <f t="shared" si="15"/>
        <v>45967.374999999687</v>
      </c>
      <c r="EE13" s="3119">
        <f t="shared" si="151"/>
        <v>45967.416666666351</v>
      </c>
      <c r="EF13" s="3119">
        <f t="shared" si="152"/>
        <v>45967.458333333016</v>
      </c>
      <c r="EG13" s="3119">
        <f t="shared" si="153"/>
        <v>45967.49999999968</v>
      </c>
      <c r="EH13" s="3119">
        <f t="shared" si="154"/>
        <v>45967.541666666344</v>
      </c>
      <c r="EI13" s="3119">
        <f t="shared" si="155"/>
        <v>45967.583333333008</v>
      </c>
      <c r="EJ13" s="3119">
        <f t="shared" si="156"/>
        <v>45967.624999999673</v>
      </c>
      <c r="EK13" s="3119">
        <f t="shared" si="157"/>
        <v>45967.666666666337</v>
      </c>
      <c r="EL13" s="3119">
        <f t="shared" si="158"/>
        <v>45967.708333333001</v>
      </c>
      <c r="EM13" s="3119">
        <f t="shared" si="159"/>
        <v>45967.749999999665</v>
      </c>
      <c r="EN13" s="3119">
        <f t="shared" si="160"/>
        <v>45967.79166666633</v>
      </c>
      <c r="EO13" s="3119">
        <f t="shared" si="161"/>
        <v>45967.833333332994</v>
      </c>
      <c r="EP13" s="3119">
        <f t="shared" si="162"/>
        <v>45967.874999999658</v>
      </c>
      <c r="EQ13" s="3119">
        <f t="shared" si="163"/>
        <v>45967.916666666322</v>
      </c>
      <c r="ER13" s="3119">
        <f t="shared" si="164"/>
        <v>45967.958333332987</v>
      </c>
      <c r="ES13" s="3119">
        <f t="shared" si="165"/>
        <v>45967.999999999651</v>
      </c>
      <c r="ET13" s="3119">
        <f t="shared" si="166"/>
        <v>45968.041666666315</v>
      </c>
      <c r="EU13" s="3119">
        <f t="shared" si="167"/>
        <v>45968.083333332979</v>
      </c>
      <c r="EV13" s="3119">
        <f t="shared" si="168"/>
        <v>45968.124999999643</v>
      </c>
      <c r="EW13" s="3119">
        <f t="shared" si="169"/>
        <v>45968.166666666308</v>
      </c>
      <c r="EX13" s="3119">
        <f t="shared" si="170"/>
        <v>45968.208333332972</v>
      </c>
      <c r="EY13" s="3119">
        <f t="shared" si="171"/>
        <v>45968.249999999636</v>
      </c>
      <c r="EZ13" s="3119">
        <f t="shared" si="172"/>
        <v>45968.2916666663</v>
      </c>
      <c r="FA13" s="3119">
        <f t="shared" si="173"/>
        <v>45968.333333332965</v>
      </c>
      <c r="FB13" s="3119">
        <f t="shared" si="174"/>
        <v>45968.374999999629</v>
      </c>
      <c r="FC13" s="3119">
        <f t="shared" si="175"/>
        <v>45968.416666666293</v>
      </c>
      <c r="FD13" s="3119">
        <f t="shared" si="176"/>
        <v>45968.458333332957</v>
      </c>
      <c r="FE13" s="3119">
        <f t="shared" si="177"/>
        <v>45968.499999999622</v>
      </c>
      <c r="FF13" s="3119">
        <f t="shared" si="178"/>
        <v>45968.541666666286</v>
      </c>
      <c r="FG13" s="3119">
        <f t="shared" si="179"/>
        <v>45968.58333333295</v>
      </c>
      <c r="FH13" s="3119">
        <f t="shared" si="180"/>
        <v>45968.624999999614</v>
      </c>
      <c r="FI13" s="3119">
        <f t="shared" si="181"/>
        <v>45968.666666666279</v>
      </c>
      <c r="FJ13" s="3119">
        <f t="shared" si="182"/>
        <v>45968.708333332943</v>
      </c>
      <c r="FK13" s="3119">
        <f t="shared" si="183"/>
        <v>45968.749999999607</v>
      </c>
      <c r="FL13" s="3119">
        <f t="shared" si="184"/>
        <v>45968.791666666271</v>
      </c>
      <c r="FM13" s="3119">
        <f t="shared" si="185"/>
        <v>45968.833333332936</v>
      </c>
      <c r="FN13" s="3119">
        <f t="shared" si="186"/>
        <v>45968.8749999996</v>
      </c>
      <c r="FO13" s="3119">
        <f t="shared" si="187"/>
        <v>45968.916666666264</v>
      </c>
      <c r="FP13" s="3119">
        <f t="shared" si="188"/>
        <v>45968.958333332928</v>
      </c>
      <c r="FQ13" s="3119">
        <f t="shared" si="189"/>
        <v>45968.999999999593</v>
      </c>
      <c r="FR13" s="3119">
        <f t="shared" si="190"/>
        <v>45969.041666666257</v>
      </c>
      <c r="FS13" s="3119">
        <f t="shared" si="191"/>
        <v>45969.083333332921</v>
      </c>
      <c r="FT13" s="3119">
        <f t="shared" si="192"/>
        <v>45969.124999999585</v>
      </c>
      <c r="FU13" s="3119">
        <f t="shared" si="193"/>
        <v>45969.16666666625</v>
      </c>
      <c r="FV13" s="3119">
        <f t="shared" si="194"/>
        <v>45969.208333332914</v>
      </c>
      <c r="FW13" s="3119">
        <f t="shared" si="195"/>
        <v>45969.249999999578</v>
      </c>
      <c r="FX13" s="3119">
        <f t="shared" si="196"/>
        <v>45969.291666666242</v>
      </c>
      <c r="FY13" s="3119">
        <f t="shared" si="197"/>
        <v>45969.333333332906</v>
      </c>
      <c r="FZ13" s="3119">
        <f t="shared" si="198"/>
        <v>45969.374999999571</v>
      </c>
      <c r="GA13" s="3119">
        <f t="shared" si="199"/>
        <v>45969.416666666235</v>
      </c>
      <c r="GB13" s="3119">
        <f t="shared" si="200"/>
        <v>45969.458333332899</v>
      </c>
      <c r="GC13" s="3119">
        <f t="shared" si="201"/>
        <v>45969.499999999563</v>
      </c>
      <c r="GD13" s="3119">
        <f t="shared" si="202"/>
        <v>45969.541666666228</v>
      </c>
      <c r="GE13" s="3119">
        <f t="shared" si="203"/>
        <v>45969.583333332892</v>
      </c>
      <c r="GF13" s="3119">
        <f t="shared" si="204"/>
        <v>45969.624999999556</v>
      </c>
      <c r="GG13" s="3119">
        <f t="shared" si="205"/>
        <v>45969.66666666622</v>
      </c>
      <c r="GH13" s="3119">
        <f t="shared" si="206"/>
        <v>45969.708333332885</v>
      </c>
      <c r="GI13" s="3119">
        <f t="shared" si="207"/>
        <v>45969.749999999549</v>
      </c>
      <c r="GJ13" s="3119">
        <f t="shared" si="208"/>
        <v>45969.791666666213</v>
      </c>
      <c r="GK13" s="3119">
        <f t="shared" si="209"/>
        <v>45969.833333332877</v>
      </c>
      <c r="GL13" s="3119">
        <f t="shared" si="210"/>
        <v>45969.874999999542</v>
      </c>
      <c r="GM13" s="3119">
        <f t="shared" si="211"/>
        <v>45969.916666666206</v>
      </c>
      <c r="GN13" s="3119">
        <f t="shared" si="212"/>
        <v>45969.95833333287</v>
      </c>
      <c r="GO13" s="3119">
        <f t="shared" si="213"/>
        <v>45969.999999999534</v>
      </c>
      <c r="GP13" s="3119">
        <f t="shared" si="16"/>
        <v>45970.041666666199</v>
      </c>
      <c r="GQ13" s="3119">
        <f t="shared" si="214"/>
        <v>45970.083333332863</v>
      </c>
      <c r="GR13" s="3119">
        <f t="shared" si="215"/>
        <v>45970.124999999527</v>
      </c>
      <c r="GS13" s="3119">
        <f t="shared" si="216"/>
        <v>45970.166666666191</v>
      </c>
      <c r="GT13" s="3119">
        <f t="shared" si="217"/>
        <v>45970.208333332856</v>
      </c>
      <c r="GU13" s="3119">
        <f t="shared" si="218"/>
        <v>45970.24999999952</v>
      </c>
      <c r="GV13" s="3119">
        <f t="shared" si="219"/>
        <v>45970.291666666184</v>
      </c>
      <c r="GW13" s="3119">
        <f t="shared" si="220"/>
        <v>45970.333333332848</v>
      </c>
      <c r="GX13" s="3119">
        <f t="shared" si="221"/>
        <v>45970.374999999513</v>
      </c>
      <c r="GY13" s="3119">
        <f t="shared" si="222"/>
        <v>45970.416666666177</v>
      </c>
      <c r="GZ13" s="3119">
        <f t="shared" si="223"/>
        <v>45970.458333332841</v>
      </c>
      <c r="HA13" s="3119">
        <f t="shared" si="224"/>
        <v>45970.499999999505</v>
      </c>
      <c r="HB13" s="3119">
        <f t="shared" si="225"/>
        <v>45970.541666666169</v>
      </c>
      <c r="HC13" s="3119">
        <f t="shared" si="226"/>
        <v>45970.583333332834</v>
      </c>
      <c r="HD13" s="3119">
        <f t="shared" si="227"/>
        <v>45970.624999999498</v>
      </c>
      <c r="HE13" s="3119">
        <f t="shared" si="228"/>
        <v>45970.666666666162</v>
      </c>
      <c r="HF13" s="3119">
        <f t="shared" si="229"/>
        <v>45970.708333332826</v>
      </c>
      <c r="HG13" s="3119">
        <f t="shared" si="230"/>
        <v>45970.749999999491</v>
      </c>
      <c r="HH13" s="3119">
        <f t="shared" si="231"/>
        <v>45970.791666666155</v>
      </c>
      <c r="HI13" s="3119">
        <f t="shared" si="232"/>
        <v>45970.833333332819</v>
      </c>
      <c r="HJ13" s="3119">
        <f t="shared" si="233"/>
        <v>45970.874999999483</v>
      </c>
      <c r="HK13" s="3119">
        <f t="shared" si="234"/>
        <v>45970.916666666148</v>
      </c>
      <c r="HL13" s="3119">
        <f t="shared" si="235"/>
        <v>45970.958333332812</v>
      </c>
      <c r="HM13" s="3119">
        <f t="shared" si="236"/>
        <v>45970.999999999476</v>
      </c>
      <c r="HN13" s="3119">
        <f t="shared" si="237"/>
        <v>45971.04166666614</v>
      </c>
      <c r="HO13" s="3119">
        <f t="shared" si="238"/>
        <v>45971.083333332805</v>
      </c>
      <c r="HP13" s="3119">
        <f t="shared" si="239"/>
        <v>45971.124999999469</v>
      </c>
      <c r="HQ13" s="3119">
        <f t="shared" si="240"/>
        <v>45971.166666666133</v>
      </c>
      <c r="HR13" s="3119">
        <f t="shared" si="241"/>
        <v>45971.208333332797</v>
      </c>
      <c r="HS13" s="3119">
        <f t="shared" si="242"/>
        <v>45971.249999999462</v>
      </c>
      <c r="HT13" s="3119">
        <f t="shared" si="243"/>
        <v>45971.291666666126</v>
      </c>
      <c r="HU13" s="3119">
        <f t="shared" si="244"/>
        <v>45971.33333333279</v>
      </c>
      <c r="HV13" s="3119">
        <f t="shared" si="245"/>
        <v>45971.374999999454</v>
      </c>
      <c r="HW13" s="3119">
        <f t="shared" si="246"/>
        <v>45971.416666666119</v>
      </c>
      <c r="HX13" s="3119">
        <f t="shared" si="247"/>
        <v>45971.458333332783</v>
      </c>
      <c r="HY13" s="3119">
        <f t="shared" si="248"/>
        <v>45971.499999999447</v>
      </c>
      <c r="HZ13" s="3119">
        <f t="shared" si="249"/>
        <v>45971.541666666111</v>
      </c>
      <c r="IA13" s="3119">
        <f t="shared" si="250"/>
        <v>45971.583333332776</v>
      </c>
      <c r="IB13" s="3119">
        <f t="shared" si="251"/>
        <v>45971.62499999944</v>
      </c>
      <c r="IC13" s="3119">
        <f t="shared" si="252"/>
        <v>45971.666666666104</v>
      </c>
      <c r="ID13" s="3119">
        <f t="shared" si="253"/>
        <v>45971.708333332768</v>
      </c>
      <c r="IE13" s="3119">
        <f t="shared" si="254"/>
        <v>45971.749999999432</v>
      </c>
      <c r="IF13" s="3119">
        <f t="shared" si="255"/>
        <v>45971.791666666097</v>
      </c>
      <c r="IG13" s="3119">
        <f t="shared" si="256"/>
        <v>45971.833333332761</v>
      </c>
      <c r="IH13" s="3119">
        <f t="shared" si="257"/>
        <v>45971.874999999425</v>
      </c>
      <c r="II13" s="3119">
        <f t="shared" si="258"/>
        <v>45971.916666666089</v>
      </c>
      <c r="IJ13" s="3119">
        <f t="shared" si="259"/>
        <v>45971.958333332754</v>
      </c>
      <c r="IK13" s="3119">
        <f t="shared" si="260"/>
        <v>45971.999999999418</v>
      </c>
      <c r="IL13" s="3119">
        <f t="shared" si="261"/>
        <v>45972.041666666082</v>
      </c>
      <c r="IM13" s="3119">
        <f t="shared" si="262"/>
        <v>45972.083333332746</v>
      </c>
      <c r="IN13" s="3119">
        <f t="shared" si="263"/>
        <v>45972.124999999411</v>
      </c>
      <c r="IO13" s="3119">
        <f t="shared" si="264"/>
        <v>45972.166666666075</v>
      </c>
      <c r="IP13" s="3119">
        <f t="shared" si="265"/>
        <v>45972.208333332739</v>
      </c>
      <c r="IQ13" s="3119">
        <f t="shared" si="266"/>
        <v>45972.249999999403</v>
      </c>
      <c r="IR13" s="3119">
        <f t="shared" si="267"/>
        <v>45972.291666666068</v>
      </c>
      <c r="IS13" s="3119">
        <f t="shared" si="268"/>
        <v>45972.333333332732</v>
      </c>
      <c r="IT13" s="3119">
        <f t="shared" si="269"/>
        <v>45972.374999999396</v>
      </c>
      <c r="IU13" s="3119">
        <f t="shared" si="270"/>
        <v>45972.41666666606</v>
      </c>
      <c r="IV13" s="3119">
        <f t="shared" si="271"/>
        <v>45972.458333332725</v>
      </c>
      <c r="IW13" s="3119">
        <f t="shared" si="272"/>
        <v>45972.499999999389</v>
      </c>
      <c r="IX13" s="3119">
        <f t="shared" si="273"/>
        <v>45972.541666666053</v>
      </c>
      <c r="IY13" s="3119">
        <f t="shared" si="274"/>
        <v>45972.583333332717</v>
      </c>
      <c r="IZ13" s="3119">
        <f t="shared" si="275"/>
        <v>45972.624999999382</v>
      </c>
      <c r="JA13" s="3119">
        <f t="shared" si="276"/>
        <v>45972.666666666046</v>
      </c>
      <c r="JB13" s="3119">
        <f t="shared" si="17"/>
        <v>45972.70833333271</v>
      </c>
      <c r="JC13" s="3119">
        <f t="shared" si="277"/>
        <v>45972.749999999374</v>
      </c>
      <c r="JD13" s="3119">
        <f t="shared" si="278"/>
        <v>45972.791666666039</v>
      </c>
      <c r="JE13" s="3119">
        <f t="shared" si="279"/>
        <v>45972.833333332703</v>
      </c>
      <c r="JF13" s="3119">
        <f t="shared" si="280"/>
        <v>45972.874999999367</v>
      </c>
      <c r="JG13" s="3119">
        <f t="shared" si="281"/>
        <v>45972.916666666031</v>
      </c>
      <c r="JH13" s="3119">
        <f t="shared" si="282"/>
        <v>45972.958333332695</v>
      </c>
      <c r="JI13" s="3119">
        <f t="shared" si="283"/>
        <v>45972.99999999936</v>
      </c>
      <c r="JJ13" s="3119">
        <f t="shared" si="284"/>
        <v>45973.041666666024</v>
      </c>
      <c r="JK13" s="3119">
        <f t="shared" si="285"/>
        <v>45973.083333332688</v>
      </c>
      <c r="JL13" s="3119">
        <f t="shared" si="286"/>
        <v>45973.124999999352</v>
      </c>
      <c r="JM13" s="3119">
        <f t="shared" si="287"/>
        <v>45973.166666666017</v>
      </c>
      <c r="JN13" s="3119">
        <f t="shared" si="288"/>
        <v>45973.208333332681</v>
      </c>
      <c r="JO13" s="3119">
        <f t="shared" si="289"/>
        <v>45973.249999999345</v>
      </c>
      <c r="JP13" s="3119">
        <f t="shared" si="290"/>
        <v>45973.291666666009</v>
      </c>
      <c r="JQ13" s="3119">
        <f t="shared" si="291"/>
        <v>45973.333333332674</v>
      </c>
      <c r="JR13" s="3119">
        <f t="shared" si="292"/>
        <v>45973.374999999338</v>
      </c>
      <c r="JS13" s="3119">
        <f t="shared" si="293"/>
        <v>45973.416666666002</v>
      </c>
      <c r="JT13" s="3119">
        <f t="shared" si="294"/>
        <v>45973.458333332666</v>
      </c>
      <c r="JU13" s="3119">
        <f t="shared" si="295"/>
        <v>45973.499999999331</v>
      </c>
      <c r="JV13" s="3119">
        <f t="shared" si="296"/>
        <v>45973.541666665995</v>
      </c>
      <c r="JW13" s="3119">
        <f t="shared" si="297"/>
        <v>45973.583333332659</v>
      </c>
      <c r="JX13" s="3119">
        <f t="shared" si="298"/>
        <v>45973.624999999323</v>
      </c>
      <c r="JY13" s="3119">
        <f t="shared" si="299"/>
        <v>45973.666666665988</v>
      </c>
      <c r="JZ13" s="3119">
        <f t="shared" si="300"/>
        <v>45973.708333332652</v>
      </c>
      <c r="KA13" s="3119">
        <f t="shared" si="301"/>
        <v>45973.749999999316</v>
      </c>
      <c r="KB13" s="3119">
        <f t="shared" si="302"/>
        <v>45973.79166666598</v>
      </c>
      <c r="KC13" s="3119">
        <f t="shared" si="303"/>
        <v>45973.833333332645</v>
      </c>
      <c r="KD13" s="3119">
        <f t="shared" si="304"/>
        <v>45973.874999999309</v>
      </c>
      <c r="KE13" s="3119">
        <f t="shared" si="305"/>
        <v>45973.916666665973</v>
      </c>
      <c r="KF13" s="3119">
        <f t="shared" si="306"/>
        <v>45973.958333332637</v>
      </c>
      <c r="KG13" s="3119">
        <f t="shared" si="307"/>
        <v>45973.999999999302</v>
      </c>
      <c r="KH13" s="3119">
        <f t="shared" si="308"/>
        <v>45974.041666665966</v>
      </c>
      <c r="KI13" s="3119">
        <f t="shared" si="309"/>
        <v>45974.08333333263</v>
      </c>
      <c r="KJ13" s="3119">
        <f t="shared" si="310"/>
        <v>45974.124999999294</v>
      </c>
      <c r="KK13" s="3119">
        <f t="shared" si="311"/>
        <v>45974.166666665958</v>
      </c>
      <c r="KL13" s="3119">
        <f t="shared" si="312"/>
        <v>45974.208333332623</v>
      </c>
      <c r="KM13" s="3119">
        <f t="shared" si="313"/>
        <v>45974.249999999287</v>
      </c>
      <c r="KN13" s="3119">
        <f t="shared" si="314"/>
        <v>45974.291666665951</v>
      </c>
      <c r="KO13" s="3119">
        <f t="shared" si="315"/>
        <v>45974.333333332615</v>
      </c>
      <c r="KP13" s="3119">
        <f t="shared" si="316"/>
        <v>45974.37499999928</v>
      </c>
      <c r="KQ13" s="3119">
        <f t="shared" si="317"/>
        <v>45974.416666665944</v>
      </c>
      <c r="KR13" s="3119">
        <f t="shared" si="318"/>
        <v>45974.458333332608</v>
      </c>
      <c r="KS13" s="3119">
        <f t="shared" si="319"/>
        <v>45974.499999999272</v>
      </c>
      <c r="KT13" s="3119">
        <f t="shared" si="320"/>
        <v>45974.541666665937</v>
      </c>
      <c r="KU13" s="3119">
        <f t="shared" si="321"/>
        <v>45974.583333332601</v>
      </c>
      <c r="KV13" s="3119">
        <f t="shared" si="322"/>
        <v>45974.624999999265</v>
      </c>
      <c r="KW13" s="3119">
        <f t="shared" si="323"/>
        <v>45974.666666665929</v>
      </c>
      <c r="KX13" s="3119">
        <f t="shared" si="324"/>
        <v>45974.708333332594</v>
      </c>
      <c r="KY13" s="3119">
        <f t="shared" si="325"/>
        <v>45974.749999999258</v>
      </c>
      <c r="KZ13" s="3119">
        <f t="shared" si="326"/>
        <v>45974.791666665922</v>
      </c>
      <c r="LA13" s="3119">
        <f t="shared" si="327"/>
        <v>45974.833333332586</v>
      </c>
      <c r="LB13" s="3119">
        <f t="shared" si="328"/>
        <v>45974.874999999251</v>
      </c>
      <c r="LC13" s="3119">
        <f t="shared" si="329"/>
        <v>45974.916666665915</v>
      </c>
      <c r="LD13" s="3119">
        <f t="shared" si="330"/>
        <v>45974.958333332579</v>
      </c>
      <c r="LE13" s="3119">
        <f t="shared" si="331"/>
        <v>45974.999999999243</v>
      </c>
      <c r="LF13" s="3119">
        <f t="shared" si="332"/>
        <v>45975.041666665908</v>
      </c>
      <c r="LG13" s="3119">
        <f t="shared" si="333"/>
        <v>45975.083333332572</v>
      </c>
      <c r="LH13" s="3119">
        <f t="shared" si="334"/>
        <v>45975.124999999236</v>
      </c>
      <c r="LI13" s="3119">
        <f t="shared" si="335"/>
        <v>45975.1666666659</v>
      </c>
      <c r="LJ13" s="3119">
        <f t="shared" si="336"/>
        <v>45975.208333332565</v>
      </c>
      <c r="LK13" s="3119">
        <f t="shared" si="337"/>
        <v>45975.249999999229</v>
      </c>
      <c r="LL13" s="3119">
        <f t="shared" si="338"/>
        <v>45975.291666665893</v>
      </c>
      <c r="LM13" s="3119">
        <f t="shared" si="339"/>
        <v>45975.333333332557</v>
      </c>
      <c r="LN13" s="3119">
        <f t="shared" si="18"/>
        <v>45975.374999999221</v>
      </c>
      <c r="LO13" s="3119">
        <f t="shared" si="340"/>
        <v>45975.416666665886</v>
      </c>
      <c r="LP13" s="3119">
        <f t="shared" si="341"/>
        <v>45975.45833333255</v>
      </c>
      <c r="LQ13" s="3119">
        <f t="shared" si="342"/>
        <v>45975.499999999214</v>
      </c>
      <c r="LR13" s="3119">
        <f t="shared" si="343"/>
        <v>45975.541666665878</v>
      </c>
      <c r="LS13" s="3119">
        <f t="shared" si="344"/>
        <v>45975.583333332543</v>
      </c>
      <c r="LT13" s="3119">
        <f t="shared" si="345"/>
        <v>45975.624999999207</v>
      </c>
      <c r="LU13" s="3119">
        <f t="shared" si="346"/>
        <v>45975.666666665871</v>
      </c>
      <c r="LV13" s="3119">
        <f t="shared" si="347"/>
        <v>45975.708333332535</v>
      </c>
      <c r="LW13" s="3119">
        <f t="shared" si="348"/>
        <v>45975.7499999992</v>
      </c>
      <c r="LX13" s="3119">
        <f t="shared" si="349"/>
        <v>45975.791666665864</v>
      </c>
      <c r="LY13" s="3119">
        <f t="shared" si="350"/>
        <v>45975.833333332528</v>
      </c>
      <c r="LZ13" s="3119">
        <f t="shared" si="351"/>
        <v>45975.874999999192</v>
      </c>
      <c r="MA13" s="3119">
        <f t="shared" si="352"/>
        <v>45975.916666665857</v>
      </c>
      <c r="MB13" s="3119">
        <f t="shared" si="353"/>
        <v>45975.958333332521</v>
      </c>
      <c r="MC13" s="3119">
        <f t="shared" si="354"/>
        <v>45975.999999999185</v>
      </c>
      <c r="MD13" s="3119">
        <f t="shared" si="355"/>
        <v>45976.041666665849</v>
      </c>
      <c r="ME13" s="3119">
        <f t="shared" si="356"/>
        <v>45976.083333332514</v>
      </c>
      <c r="MF13" s="3119">
        <f t="shared" si="357"/>
        <v>45976.124999999178</v>
      </c>
      <c r="MG13" s="3119">
        <f t="shared" si="358"/>
        <v>45976.166666665842</v>
      </c>
      <c r="MH13" s="3119">
        <f t="shared" si="359"/>
        <v>45976.208333332506</v>
      </c>
      <c r="MI13" s="3119">
        <f t="shared" si="360"/>
        <v>45976.249999999171</v>
      </c>
      <c r="MJ13" s="3119">
        <f t="shared" si="361"/>
        <v>45976.291666665835</v>
      </c>
      <c r="MK13" s="3119">
        <f t="shared" si="362"/>
        <v>45976.333333332499</v>
      </c>
      <c r="ML13" s="3119">
        <f t="shared" si="363"/>
        <v>45976.374999999163</v>
      </c>
      <c r="MM13" s="3119">
        <f t="shared" si="364"/>
        <v>45976.416666665828</v>
      </c>
      <c r="MN13" s="3119">
        <f t="shared" si="365"/>
        <v>45976.458333332492</v>
      </c>
      <c r="MO13" s="3119">
        <f t="shared" si="366"/>
        <v>45976.499999999156</v>
      </c>
      <c r="MP13" s="3119">
        <f t="shared" si="367"/>
        <v>45976.54166666582</v>
      </c>
      <c r="MQ13" s="3119">
        <f t="shared" si="368"/>
        <v>45976.583333332484</v>
      </c>
      <c r="MR13" s="3119">
        <f t="shared" si="369"/>
        <v>45976.624999999149</v>
      </c>
      <c r="MS13" s="3119">
        <f t="shared" si="370"/>
        <v>45976.666666665813</v>
      </c>
      <c r="MT13" s="3119">
        <f t="shared" si="371"/>
        <v>45976.708333332477</v>
      </c>
      <c r="MU13" s="3119">
        <f t="shared" si="372"/>
        <v>45976.749999999141</v>
      </c>
      <c r="MV13" s="3119">
        <f t="shared" si="373"/>
        <v>45976.791666665806</v>
      </c>
      <c r="MW13" s="3119">
        <f t="shared" si="374"/>
        <v>45976.83333333247</v>
      </c>
      <c r="MX13" s="3119">
        <f t="shared" si="375"/>
        <v>45976.874999999134</v>
      </c>
      <c r="MY13" s="3119">
        <f t="shared" si="376"/>
        <v>45976.916666665798</v>
      </c>
      <c r="MZ13" s="3119">
        <f t="shared" si="377"/>
        <v>45976.958333332463</v>
      </c>
      <c r="NA13" s="3119">
        <f t="shared" si="378"/>
        <v>45976.999999999127</v>
      </c>
      <c r="NB13" s="3119">
        <f t="shared" si="379"/>
        <v>45977.041666665791</v>
      </c>
      <c r="NC13" s="3119">
        <f t="shared" si="380"/>
        <v>45977.083333332455</v>
      </c>
      <c r="ND13" s="3119">
        <f t="shared" si="381"/>
        <v>45977.12499999912</v>
      </c>
      <c r="NE13" s="3119">
        <f t="shared" si="382"/>
        <v>45977.166666665784</v>
      </c>
      <c r="NF13" s="3119">
        <f t="shared" si="383"/>
        <v>45977.208333332448</v>
      </c>
      <c r="NG13" s="3119">
        <f t="shared" si="384"/>
        <v>45977.249999999112</v>
      </c>
      <c r="NH13" s="3119">
        <f t="shared" si="385"/>
        <v>45977.291666665777</v>
      </c>
      <c r="NI13" s="3119">
        <f t="shared" si="386"/>
        <v>45977.333333332441</v>
      </c>
      <c r="NJ13" s="3119">
        <f t="shared" si="387"/>
        <v>45977.374999999105</v>
      </c>
      <c r="NK13" s="3119">
        <f t="shared" si="388"/>
        <v>45977.416666665769</v>
      </c>
      <c r="NL13" s="3119">
        <f t="shared" si="389"/>
        <v>45977.458333332434</v>
      </c>
      <c r="NM13" s="3119">
        <f t="shared" si="390"/>
        <v>45977.499999999098</v>
      </c>
      <c r="NN13" s="3119">
        <f t="shared" si="391"/>
        <v>45977.541666665762</v>
      </c>
      <c r="NO13" s="3119">
        <f t="shared" si="392"/>
        <v>45977.583333332426</v>
      </c>
      <c r="NP13" s="3119">
        <f t="shared" si="393"/>
        <v>45977.624999999091</v>
      </c>
      <c r="NQ13" s="3119">
        <f t="shared" si="394"/>
        <v>45977.666666665755</v>
      </c>
      <c r="NR13" s="3119">
        <f t="shared" si="395"/>
        <v>45977.708333332419</v>
      </c>
      <c r="NS13" s="3119">
        <f t="shared" si="396"/>
        <v>45977.749999999083</v>
      </c>
      <c r="NT13" s="3119">
        <f t="shared" si="397"/>
        <v>45977.791666665747</v>
      </c>
      <c r="NU13" s="3119">
        <f t="shared" si="398"/>
        <v>45977.833333332412</v>
      </c>
      <c r="NV13" s="3119">
        <f t="shared" si="399"/>
        <v>45977.874999999076</v>
      </c>
      <c r="NW13" s="3119">
        <f t="shared" si="400"/>
        <v>45977.91666666574</v>
      </c>
      <c r="NX13" s="3119">
        <f t="shared" si="401"/>
        <v>45977.958333332404</v>
      </c>
      <c r="NY13" s="3119">
        <f t="shared" si="402"/>
        <v>45977.999999999069</v>
      </c>
      <c r="NZ13" s="3119">
        <f t="shared" si="19"/>
        <v>45978.041666665733</v>
      </c>
      <c r="OA13" s="3119">
        <f t="shared" si="403"/>
        <v>45978.083333332397</v>
      </c>
      <c r="OB13" s="3119">
        <f t="shared" si="404"/>
        <v>45978.124999999061</v>
      </c>
      <c r="OC13" s="3119">
        <f t="shared" si="405"/>
        <v>45978.166666665726</v>
      </c>
      <c r="OD13" s="3119">
        <f t="shared" si="406"/>
        <v>45978.20833333239</v>
      </c>
      <c r="OE13" s="3119">
        <f t="shared" si="407"/>
        <v>45978.249999999054</v>
      </c>
      <c r="OF13" s="3119">
        <f t="shared" si="408"/>
        <v>45978.291666665718</v>
      </c>
      <c r="OG13" s="3119">
        <f t="shared" si="409"/>
        <v>45978.333333332383</v>
      </c>
      <c r="OH13" s="3119">
        <f t="shared" si="410"/>
        <v>45978.374999999047</v>
      </c>
      <c r="OI13" s="3119">
        <f t="shared" si="411"/>
        <v>45978.416666665711</v>
      </c>
      <c r="OJ13" s="3119">
        <f t="shared" si="412"/>
        <v>45978.458333332375</v>
      </c>
      <c r="OK13" s="3119">
        <f t="shared" si="413"/>
        <v>45978.49999999904</v>
      </c>
      <c r="OL13" s="3119">
        <f t="shared" si="414"/>
        <v>45978.541666665704</v>
      </c>
      <c r="OM13" s="3119">
        <f t="shared" si="415"/>
        <v>45978.583333332368</v>
      </c>
      <c r="ON13" s="3119">
        <f t="shared" si="416"/>
        <v>45978.624999999032</v>
      </c>
      <c r="OO13" s="3119">
        <f t="shared" si="417"/>
        <v>45978.666666665697</v>
      </c>
      <c r="OP13" s="3119">
        <f t="shared" si="418"/>
        <v>45978.708333332361</v>
      </c>
      <c r="OQ13" s="3119">
        <f t="shared" si="419"/>
        <v>45978.749999999025</v>
      </c>
      <c r="OR13" s="3119">
        <f t="shared" si="420"/>
        <v>45978.791666665689</v>
      </c>
      <c r="OS13" s="3119">
        <f t="shared" si="421"/>
        <v>45978.833333332354</v>
      </c>
      <c r="OT13" s="3119">
        <f t="shared" si="422"/>
        <v>45978.874999999018</v>
      </c>
      <c r="OU13" s="3119">
        <f t="shared" si="423"/>
        <v>45978.916666665682</v>
      </c>
      <c r="OV13" s="3119">
        <f t="shared" si="424"/>
        <v>45978.958333332346</v>
      </c>
      <c r="OW13" s="3119">
        <f t="shared" si="425"/>
        <v>45978.99999999901</v>
      </c>
      <c r="OX13" s="3119">
        <f t="shared" si="426"/>
        <v>45979.041666665675</v>
      </c>
      <c r="OY13" s="3119">
        <f t="shared" si="427"/>
        <v>45979.083333332339</v>
      </c>
      <c r="OZ13" s="3119">
        <f t="shared" si="428"/>
        <v>45979.124999999003</v>
      </c>
      <c r="PA13" s="3119">
        <f t="shared" si="429"/>
        <v>45979.166666665667</v>
      </c>
      <c r="PB13" s="3119">
        <f t="shared" si="430"/>
        <v>45979.208333332332</v>
      </c>
      <c r="PC13" s="3119">
        <f t="shared" si="431"/>
        <v>45979.249999998996</v>
      </c>
      <c r="PD13" s="3119">
        <f t="shared" si="432"/>
        <v>45979.29166666566</v>
      </c>
      <c r="PE13" s="3119">
        <f t="shared" si="433"/>
        <v>45979.333333332324</v>
      </c>
      <c r="PF13" s="3119">
        <f t="shared" si="434"/>
        <v>45979.374999998989</v>
      </c>
      <c r="PG13" s="3119">
        <f t="shared" si="435"/>
        <v>45979.416666665653</v>
      </c>
      <c r="PH13" s="3119">
        <f t="shared" si="436"/>
        <v>45979.458333332317</v>
      </c>
      <c r="PI13" s="3119">
        <f t="shared" si="437"/>
        <v>45979.499999998981</v>
      </c>
      <c r="PJ13" s="3119">
        <f t="shared" si="438"/>
        <v>45979.541666665646</v>
      </c>
      <c r="PK13" s="3119">
        <f t="shared" si="439"/>
        <v>45979.58333333231</v>
      </c>
      <c r="PL13" s="3119">
        <f t="shared" si="440"/>
        <v>45979.624999998974</v>
      </c>
      <c r="PM13" s="3119">
        <f t="shared" si="441"/>
        <v>45979.666666665638</v>
      </c>
      <c r="PN13" s="3119">
        <f t="shared" si="442"/>
        <v>45979.708333332303</v>
      </c>
      <c r="PO13" s="3119">
        <f t="shared" si="443"/>
        <v>45979.749999998967</v>
      </c>
      <c r="PP13" s="3119">
        <f t="shared" si="444"/>
        <v>45979.791666665631</v>
      </c>
      <c r="PQ13" s="3119">
        <f t="shared" si="445"/>
        <v>45979.833333332295</v>
      </c>
      <c r="PR13" s="3119">
        <f t="shared" si="446"/>
        <v>45979.87499999896</v>
      </c>
      <c r="PS13" s="3119">
        <f t="shared" si="447"/>
        <v>45979.916666665624</v>
      </c>
      <c r="PT13" s="3119">
        <f t="shared" si="448"/>
        <v>45979.958333332288</v>
      </c>
      <c r="PU13" s="3119">
        <f t="shared" si="449"/>
        <v>45979.999999998952</v>
      </c>
      <c r="PV13" s="3119">
        <f t="shared" si="450"/>
        <v>45980.041666665617</v>
      </c>
      <c r="PW13" s="3119">
        <f t="shared" si="451"/>
        <v>45980.083333332281</v>
      </c>
      <c r="PX13" s="3119">
        <f t="shared" si="452"/>
        <v>45980.124999998945</v>
      </c>
      <c r="PY13" s="3119">
        <f t="shared" si="453"/>
        <v>45980.166666665609</v>
      </c>
      <c r="PZ13" s="3119">
        <f t="shared" si="454"/>
        <v>45980.208333332273</v>
      </c>
      <c r="QA13" s="3119">
        <f t="shared" si="455"/>
        <v>45980.249999998938</v>
      </c>
      <c r="QB13" s="3119">
        <f t="shared" si="456"/>
        <v>45980.291666665602</v>
      </c>
      <c r="QC13" s="3119">
        <f t="shared" si="457"/>
        <v>45980.333333332266</v>
      </c>
      <c r="QD13" s="3119">
        <f t="shared" si="458"/>
        <v>45980.37499999893</v>
      </c>
      <c r="QE13" s="3119">
        <f t="shared" si="459"/>
        <v>45980.416666665595</v>
      </c>
      <c r="QF13" s="3119">
        <f t="shared" si="460"/>
        <v>45980.458333332259</v>
      </c>
      <c r="QG13" s="3119">
        <f t="shared" si="461"/>
        <v>45980.499999998923</v>
      </c>
      <c r="QH13" s="3119">
        <f t="shared" si="462"/>
        <v>45980.541666665587</v>
      </c>
      <c r="QI13" s="3119">
        <f t="shared" si="463"/>
        <v>45980.583333332252</v>
      </c>
      <c r="QJ13" s="3119">
        <f t="shared" si="464"/>
        <v>45980.624999998916</v>
      </c>
      <c r="QK13" s="3119">
        <f t="shared" si="465"/>
        <v>45980.66666666558</v>
      </c>
      <c r="QL13" s="3119">
        <f t="shared" si="20"/>
        <v>45980.708333332244</v>
      </c>
      <c r="QM13" s="3119">
        <f t="shared" si="466"/>
        <v>45980.749999998909</v>
      </c>
      <c r="QN13" s="3119">
        <f t="shared" si="467"/>
        <v>45980.791666665573</v>
      </c>
      <c r="QO13" s="3119">
        <f t="shared" si="468"/>
        <v>45980.833333332237</v>
      </c>
      <c r="QP13" s="3119">
        <f t="shared" si="469"/>
        <v>45980.874999998901</v>
      </c>
      <c r="QQ13" s="3119">
        <f t="shared" si="470"/>
        <v>45980.916666665566</v>
      </c>
      <c r="QR13" s="3119">
        <f t="shared" si="471"/>
        <v>45980.95833333223</v>
      </c>
      <c r="QS13" s="3119">
        <f t="shared" si="472"/>
        <v>45980.999999998894</v>
      </c>
      <c r="QT13" s="3119">
        <f t="shared" si="473"/>
        <v>45981.041666665558</v>
      </c>
      <c r="QU13" s="3119">
        <f t="shared" si="474"/>
        <v>45981.083333332223</v>
      </c>
      <c r="QV13" s="3119">
        <f t="shared" si="475"/>
        <v>45981.124999998887</v>
      </c>
      <c r="QW13" s="3119">
        <f t="shared" si="476"/>
        <v>45981.166666665551</v>
      </c>
      <c r="QX13" s="3119">
        <f t="shared" si="477"/>
        <v>45981.208333332215</v>
      </c>
      <c r="QY13" s="3119">
        <f t="shared" si="478"/>
        <v>45981.24999999888</v>
      </c>
      <c r="QZ13" s="3119">
        <f t="shared" si="479"/>
        <v>45981.291666665544</v>
      </c>
      <c r="RA13" s="3119">
        <f t="shared" si="480"/>
        <v>45981.333333332208</v>
      </c>
      <c r="RB13" s="3119">
        <f t="shared" si="481"/>
        <v>45981.374999998872</v>
      </c>
      <c r="RC13" s="3119">
        <f t="shared" si="482"/>
        <v>45981.416666665536</v>
      </c>
      <c r="RD13" s="3119">
        <f t="shared" si="483"/>
        <v>45981.458333332201</v>
      </c>
      <c r="RE13" s="3119">
        <f t="shared" si="484"/>
        <v>45981.499999998865</v>
      </c>
      <c r="RF13" s="3119">
        <f t="shared" si="485"/>
        <v>45981.541666665529</v>
      </c>
      <c r="RG13" s="3119">
        <f t="shared" si="486"/>
        <v>45981.583333332193</v>
      </c>
      <c r="RH13" s="3119">
        <f t="shared" si="487"/>
        <v>45981.624999998858</v>
      </c>
      <c r="RI13" s="3119">
        <f t="shared" si="488"/>
        <v>45981.666666665522</v>
      </c>
      <c r="RJ13" s="3119">
        <f t="shared" si="489"/>
        <v>45981.708333332186</v>
      </c>
      <c r="RK13" s="3119">
        <f t="shared" si="490"/>
        <v>45981.74999999885</v>
      </c>
      <c r="RL13" s="3119">
        <f t="shared" si="491"/>
        <v>45981.791666665515</v>
      </c>
      <c r="RM13" s="3119">
        <f t="shared" si="492"/>
        <v>45981.833333332179</v>
      </c>
      <c r="RN13" s="3119">
        <f t="shared" si="493"/>
        <v>45981.874999998843</v>
      </c>
      <c r="RO13" s="3119">
        <f t="shared" si="494"/>
        <v>45981.916666665507</v>
      </c>
      <c r="RP13" s="3119">
        <f t="shared" si="495"/>
        <v>45981.958333332172</v>
      </c>
      <c r="RQ13" s="3119">
        <f t="shared" si="496"/>
        <v>45981.999999998836</v>
      </c>
      <c r="RR13" s="3119">
        <f t="shared" si="497"/>
        <v>45982.0416666655</v>
      </c>
      <c r="RS13" s="3119">
        <f t="shared" si="498"/>
        <v>45982.083333332164</v>
      </c>
      <c r="RT13" s="3119">
        <f t="shared" si="499"/>
        <v>45982.124999998829</v>
      </c>
      <c r="RU13" s="3119">
        <f t="shared" si="500"/>
        <v>45982.166666665493</v>
      </c>
      <c r="RV13" s="3119">
        <f t="shared" si="501"/>
        <v>45982.208333332157</v>
      </c>
      <c r="RW13" s="3119">
        <f t="shared" si="502"/>
        <v>45982.249999998821</v>
      </c>
      <c r="RX13" s="3119">
        <f t="shared" si="503"/>
        <v>45982.291666665486</v>
      </c>
      <c r="RY13" s="3119">
        <f t="shared" si="504"/>
        <v>45982.33333333215</v>
      </c>
      <c r="RZ13" s="3119">
        <f t="shared" si="505"/>
        <v>45982.374999998814</v>
      </c>
      <c r="SA13" s="3119">
        <f t="shared" si="506"/>
        <v>45982.416666665478</v>
      </c>
      <c r="SB13" s="3119">
        <f t="shared" si="507"/>
        <v>45982.458333332143</v>
      </c>
      <c r="SC13" s="3119">
        <f t="shared" si="508"/>
        <v>45982.499999998807</v>
      </c>
      <c r="SD13" s="3119">
        <f t="shared" si="509"/>
        <v>45982.541666665471</v>
      </c>
      <c r="SE13" s="3119">
        <f t="shared" si="510"/>
        <v>45982.583333332135</v>
      </c>
      <c r="SF13" s="3119">
        <f t="shared" si="511"/>
        <v>45982.624999998799</v>
      </c>
      <c r="SG13" s="3119">
        <f t="shared" si="512"/>
        <v>45982.666666665464</v>
      </c>
      <c r="SH13" s="3119">
        <f t="shared" si="513"/>
        <v>45982.708333332128</v>
      </c>
      <c r="SI13" s="3119">
        <f t="shared" si="514"/>
        <v>45982.749999998792</v>
      </c>
      <c r="SJ13" s="3119">
        <f t="shared" si="515"/>
        <v>45982.791666665456</v>
      </c>
      <c r="SK13" s="3119">
        <f t="shared" si="516"/>
        <v>45982.833333332121</v>
      </c>
      <c r="SL13" s="3119">
        <f t="shared" si="517"/>
        <v>45982.874999998785</v>
      </c>
      <c r="SM13" s="3119">
        <f t="shared" si="518"/>
        <v>45982.916666665449</v>
      </c>
      <c r="SN13" s="3119">
        <f t="shared" si="519"/>
        <v>45982.958333332113</v>
      </c>
      <c r="SO13" s="3119">
        <f t="shared" si="520"/>
        <v>45982.999999998778</v>
      </c>
      <c r="SP13" s="3119">
        <f t="shared" si="521"/>
        <v>45983.041666665442</v>
      </c>
      <c r="SQ13" s="3119">
        <f t="shared" si="522"/>
        <v>45983.083333332106</v>
      </c>
      <c r="SR13" s="3119">
        <f t="shared" si="523"/>
        <v>45983.12499999877</v>
      </c>
      <c r="SS13" s="3119">
        <f t="shared" si="524"/>
        <v>45983.166666665435</v>
      </c>
      <c r="ST13" s="3119">
        <f t="shared" si="525"/>
        <v>45983.208333332099</v>
      </c>
      <c r="SU13" s="3119">
        <f t="shared" si="526"/>
        <v>45983.249999998763</v>
      </c>
      <c r="SV13" s="3119">
        <f t="shared" si="527"/>
        <v>45983.291666665427</v>
      </c>
      <c r="SW13" s="3119">
        <f t="shared" si="528"/>
        <v>45983.333333332092</v>
      </c>
      <c r="SX13" s="3119">
        <f t="shared" si="21"/>
        <v>45983.374999998756</v>
      </c>
      <c r="SY13" s="3119">
        <f t="shared" si="529"/>
        <v>45983.41666666542</v>
      </c>
      <c r="SZ13" s="3119">
        <f t="shared" si="530"/>
        <v>45983.458333332084</v>
      </c>
      <c r="TA13" s="3119">
        <f t="shared" si="531"/>
        <v>45983.499999998749</v>
      </c>
      <c r="TB13" s="3119">
        <f t="shared" si="532"/>
        <v>45983.541666665413</v>
      </c>
      <c r="TC13" s="3119">
        <f t="shared" si="533"/>
        <v>45983.583333332077</v>
      </c>
      <c r="TD13" s="3119">
        <f t="shared" si="534"/>
        <v>45983.624999998741</v>
      </c>
      <c r="TE13" s="3119">
        <f t="shared" si="535"/>
        <v>45983.666666665406</v>
      </c>
      <c r="TF13" s="3119">
        <f t="shared" si="536"/>
        <v>45983.70833333207</v>
      </c>
      <c r="TG13" s="3119">
        <f t="shared" si="537"/>
        <v>45983.749999998734</v>
      </c>
      <c r="TH13" s="3119">
        <f t="shared" si="538"/>
        <v>45983.791666665398</v>
      </c>
      <c r="TI13" s="3119">
        <f t="shared" si="539"/>
        <v>45983.833333332062</v>
      </c>
      <c r="TJ13" s="3119">
        <f t="shared" si="540"/>
        <v>45983.874999998727</v>
      </c>
      <c r="TK13" s="3119">
        <f t="shared" si="541"/>
        <v>45983.916666665391</v>
      </c>
      <c r="TL13" s="3119">
        <f t="shared" si="542"/>
        <v>45983.958333332055</v>
      </c>
      <c r="TM13" s="3119">
        <f t="shared" si="543"/>
        <v>45983.999999998719</v>
      </c>
      <c r="TN13" s="3119">
        <f t="shared" si="544"/>
        <v>45984.041666665384</v>
      </c>
      <c r="TO13" s="3119">
        <f t="shared" si="545"/>
        <v>45984.083333332048</v>
      </c>
      <c r="TP13" s="3119">
        <f t="shared" si="546"/>
        <v>45984.124999998712</v>
      </c>
      <c r="TQ13" s="3119">
        <f t="shared" si="547"/>
        <v>45984.166666665376</v>
      </c>
      <c r="TR13" s="3119">
        <f t="shared" si="548"/>
        <v>45984.208333332041</v>
      </c>
      <c r="TS13" s="3119">
        <f t="shared" si="549"/>
        <v>45984.249999998705</v>
      </c>
      <c r="TT13" s="3119">
        <f t="shared" si="550"/>
        <v>45984.291666665369</v>
      </c>
      <c r="TU13" s="3119">
        <f t="shared" si="551"/>
        <v>45984.333333332033</v>
      </c>
      <c r="TV13" s="3119">
        <f t="shared" si="552"/>
        <v>45984.374999998698</v>
      </c>
      <c r="TW13" s="3119">
        <f t="shared" si="553"/>
        <v>45984.416666665362</v>
      </c>
      <c r="TX13" s="3119">
        <f t="shared" si="554"/>
        <v>45984.458333332026</v>
      </c>
      <c r="TY13" s="3119">
        <f t="shared" si="555"/>
        <v>45984.49999999869</v>
      </c>
      <c r="TZ13" s="3119">
        <f t="shared" si="556"/>
        <v>45984.541666665355</v>
      </c>
      <c r="UA13" s="3119">
        <f t="shared" si="557"/>
        <v>45984.583333332019</v>
      </c>
      <c r="UB13" s="3119">
        <f t="shared" si="558"/>
        <v>45984.624999998683</v>
      </c>
      <c r="UC13" s="3119">
        <f t="shared" si="559"/>
        <v>45984.666666665347</v>
      </c>
      <c r="UD13" s="3119">
        <f t="shared" si="560"/>
        <v>45984.708333332012</v>
      </c>
      <c r="UE13" s="3119">
        <f t="shared" si="561"/>
        <v>45984.749999998676</v>
      </c>
      <c r="UF13" s="3119">
        <f t="shared" si="562"/>
        <v>45984.79166666534</v>
      </c>
      <c r="UG13" s="3119">
        <f t="shared" si="563"/>
        <v>45984.833333332004</v>
      </c>
      <c r="UH13" s="3119">
        <f t="shared" si="564"/>
        <v>45984.874999998668</v>
      </c>
      <c r="UI13" s="3119">
        <f t="shared" si="565"/>
        <v>45984.916666665333</v>
      </c>
      <c r="UJ13" s="3119">
        <f t="shared" si="566"/>
        <v>45984.958333331997</v>
      </c>
      <c r="UK13" s="3119">
        <f t="shared" si="567"/>
        <v>45984.999999998661</v>
      </c>
      <c r="UL13" s="3119">
        <f t="shared" si="568"/>
        <v>45985.041666665325</v>
      </c>
      <c r="UM13" s="3119">
        <f t="shared" si="569"/>
        <v>45985.08333333199</v>
      </c>
      <c r="UN13" s="3119">
        <f t="shared" si="570"/>
        <v>45985.124999998654</v>
      </c>
      <c r="UO13" s="3119">
        <f t="shared" si="571"/>
        <v>45985.166666665318</v>
      </c>
      <c r="UP13" s="3119">
        <f t="shared" si="572"/>
        <v>45985.208333331982</v>
      </c>
      <c r="UQ13" s="3119">
        <f t="shared" si="573"/>
        <v>45985.249999998647</v>
      </c>
      <c r="UR13" s="3119">
        <f t="shared" si="574"/>
        <v>45985.291666665311</v>
      </c>
      <c r="US13" s="3119">
        <f t="shared" si="575"/>
        <v>45985.333333331975</v>
      </c>
      <c r="UT13" s="3119">
        <f t="shared" si="576"/>
        <v>45985.374999998639</v>
      </c>
      <c r="UU13" s="3119">
        <f t="shared" si="577"/>
        <v>45985.416666665304</v>
      </c>
      <c r="UV13" s="3119">
        <f t="shared" si="578"/>
        <v>45985.458333331968</v>
      </c>
      <c r="UW13" s="3119">
        <f t="shared" si="579"/>
        <v>45985.499999998632</v>
      </c>
      <c r="UX13" s="3119">
        <f t="shared" si="580"/>
        <v>45985.541666665296</v>
      </c>
      <c r="UY13" s="3119">
        <f t="shared" si="581"/>
        <v>45985.583333331961</v>
      </c>
      <c r="UZ13" s="3119">
        <f t="shared" si="582"/>
        <v>45985.624999998625</v>
      </c>
      <c r="VA13" s="3119">
        <f t="shared" si="583"/>
        <v>45985.666666665289</v>
      </c>
      <c r="VB13" s="3119">
        <f t="shared" si="584"/>
        <v>45985.708333331953</v>
      </c>
      <c r="VC13" s="3119">
        <f t="shared" si="585"/>
        <v>45985.749999998618</v>
      </c>
      <c r="VD13" s="3119">
        <f t="shared" si="586"/>
        <v>45985.791666665282</v>
      </c>
      <c r="VE13" s="3119">
        <f t="shared" si="587"/>
        <v>45985.833333331946</v>
      </c>
      <c r="VF13" s="3119">
        <f t="shared" si="588"/>
        <v>45985.87499999861</v>
      </c>
      <c r="VG13" s="3119">
        <f t="shared" si="589"/>
        <v>45985.916666665275</v>
      </c>
      <c r="VH13" s="3119">
        <f t="shared" si="590"/>
        <v>45985.958333331939</v>
      </c>
      <c r="VI13" s="3119">
        <f t="shared" si="591"/>
        <v>45985.999999998603</v>
      </c>
      <c r="VJ13" s="3119">
        <f t="shared" si="22"/>
        <v>45986.041666665267</v>
      </c>
      <c r="VK13" s="3119">
        <f t="shared" si="592"/>
        <v>45986.083333331931</v>
      </c>
      <c r="VL13" s="3119">
        <f t="shared" si="593"/>
        <v>45986.124999998596</v>
      </c>
      <c r="VM13" s="3119">
        <f t="shared" si="594"/>
        <v>45986.16666666526</v>
      </c>
      <c r="VN13" s="3119">
        <f t="shared" si="595"/>
        <v>45986.208333331924</v>
      </c>
      <c r="VO13" s="3119">
        <f t="shared" si="596"/>
        <v>45986.249999998588</v>
      </c>
      <c r="VP13" s="3119">
        <f t="shared" si="597"/>
        <v>45986.291666665253</v>
      </c>
      <c r="VQ13" s="3119">
        <f t="shared" si="598"/>
        <v>45986.333333331917</v>
      </c>
      <c r="VR13" s="3119">
        <f t="shared" si="599"/>
        <v>45986.374999998581</v>
      </c>
      <c r="VS13" s="3119">
        <f t="shared" si="600"/>
        <v>45986.416666665245</v>
      </c>
      <c r="VT13" s="3119">
        <f t="shared" si="601"/>
        <v>45986.45833333191</v>
      </c>
      <c r="VU13" s="3119">
        <f t="shared" si="602"/>
        <v>45986.499999998574</v>
      </c>
      <c r="VV13" s="3119">
        <f t="shared" si="603"/>
        <v>45986.541666665238</v>
      </c>
      <c r="VW13" s="3119">
        <f t="shared" si="604"/>
        <v>45986.583333331902</v>
      </c>
      <c r="VX13" s="3119">
        <f t="shared" si="605"/>
        <v>45986.624999998567</v>
      </c>
      <c r="VY13" s="3119">
        <f t="shared" si="606"/>
        <v>45986.666666665231</v>
      </c>
      <c r="VZ13" s="3119">
        <f t="shared" si="607"/>
        <v>45986.708333331895</v>
      </c>
      <c r="WA13" s="3119">
        <f t="shared" si="608"/>
        <v>45986.749999998559</v>
      </c>
      <c r="WB13" s="3119">
        <f t="shared" si="609"/>
        <v>45986.791666665224</v>
      </c>
      <c r="WC13" s="3119">
        <f t="shared" si="610"/>
        <v>45986.833333331888</v>
      </c>
      <c r="WD13" s="3119">
        <f t="shared" si="611"/>
        <v>45986.874999998552</v>
      </c>
      <c r="WE13" s="3119">
        <f t="shared" si="612"/>
        <v>45986.916666665216</v>
      </c>
      <c r="WF13" s="3119">
        <f t="shared" si="613"/>
        <v>45986.958333331881</v>
      </c>
      <c r="WG13" s="3119">
        <f t="shared" si="614"/>
        <v>45986.999999998545</v>
      </c>
      <c r="WH13" s="3119">
        <f t="shared" si="615"/>
        <v>45987.041666665209</v>
      </c>
      <c r="WI13" s="3119">
        <f t="shared" si="616"/>
        <v>45987.083333331873</v>
      </c>
      <c r="WJ13" s="3119">
        <f t="shared" si="617"/>
        <v>45987.124999998538</v>
      </c>
      <c r="WK13" s="3119">
        <f t="shared" si="618"/>
        <v>45987.166666665202</v>
      </c>
      <c r="WL13" s="3119">
        <f t="shared" si="619"/>
        <v>45987.208333331866</v>
      </c>
      <c r="WM13" s="3119">
        <f t="shared" si="620"/>
        <v>45987.24999999853</v>
      </c>
      <c r="WN13" s="3119">
        <f t="shared" si="621"/>
        <v>45987.291666665194</v>
      </c>
      <c r="WO13" s="3119">
        <f t="shared" si="622"/>
        <v>45987.333333331859</v>
      </c>
      <c r="WP13" s="3119">
        <f t="shared" si="623"/>
        <v>45987.374999998523</v>
      </c>
      <c r="WQ13" s="3119">
        <f t="shared" si="624"/>
        <v>45987.416666665187</v>
      </c>
      <c r="WR13" s="3119">
        <f t="shared" si="625"/>
        <v>45987.458333331851</v>
      </c>
      <c r="WS13" s="3119">
        <f t="shared" si="626"/>
        <v>45987.499999998516</v>
      </c>
      <c r="WT13" s="3119">
        <f t="shared" si="627"/>
        <v>45987.54166666518</v>
      </c>
      <c r="WU13" s="3119">
        <f t="shared" si="628"/>
        <v>45987.583333331844</v>
      </c>
      <c r="WV13" s="3119">
        <f t="shared" si="629"/>
        <v>45987.624999998508</v>
      </c>
      <c r="WW13" s="3119">
        <f t="shared" si="630"/>
        <v>45987.666666665173</v>
      </c>
      <c r="WX13" s="3119">
        <f t="shared" si="631"/>
        <v>45987.708333331837</v>
      </c>
      <c r="WY13" s="3119">
        <f t="shared" si="632"/>
        <v>45987.749999998501</v>
      </c>
      <c r="WZ13" s="3119">
        <f t="shared" si="633"/>
        <v>45987.791666665165</v>
      </c>
      <c r="XA13" s="3119">
        <f t="shared" si="634"/>
        <v>45987.83333333183</v>
      </c>
      <c r="XB13" s="3119">
        <f t="shared" si="635"/>
        <v>45987.874999998494</v>
      </c>
      <c r="XC13" s="3119">
        <f t="shared" si="636"/>
        <v>45987.916666665158</v>
      </c>
      <c r="XD13" s="3119">
        <f t="shared" si="637"/>
        <v>45987.958333331822</v>
      </c>
      <c r="XE13" s="3119">
        <f t="shared" si="638"/>
        <v>45987.999999998487</v>
      </c>
      <c r="XF13" s="3119">
        <f t="shared" si="639"/>
        <v>45988.041666665151</v>
      </c>
      <c r="XG13" s="3119">
        <f t="shared" si="640"/>
        <v>45988.083333331815</v>
      </c>
      <c r="XH13" s="3119">
        <f t="shared" si="641"/>
        <v>45988.124999998479</v>
      </c>
      <c r="XI13" s="3119">
        <f t="shared" si="642"/>
        <v>45988.166666665144</v>
      </c>
      <c r="XJ13" s="3119">
        <f t="shared" si="643"/>
        <v>45988.208333331808</v>
      </c>
      <c r="XK13" s="3119">
        <f t="shared" si="644"/>
        <v>45988.249999998472</v>
      </c>
      <c r="XL13" s="3119">
        <f t="shared" si="645"/>
        <v>45988.291666665136</v>
      </c>
      <c r="XM13" s="3119">
        <f t="shared" si="646"/>
        <v>45988.333333331801</v>
      </c>
      <c r="XN13" s="3119">
        <f t="shared" si="647"/>
        <v>45988.374999998465</v>
      </c>
      <c r="XO13" s="3119">
        <f t="shared" si="648"/>
        <v>45988.416666665129</v>
      </c>
      <c r="XP13" s="3119">
        <f t="shared" si="649"/>
        <v>45988.458333331793</v>
      </c>
      <c r="XQ13" s="3119">
        <f t="shared" si="650"/>
        <v>45988.499999998457</v>
      </c>
      <c r="XR13" s="3119">
        <f t="shared" si="651"/>
        <v>45988.541666665122</v>
      </c>
      <c r="XS13" s="3119">
        <f t="shared" si="652"/>
        <v>45988.583333331786</v>
      </c>
      <c r="XT13" s="3119">
        <f t="shared" si="653"/>
        <v>45988.62499999845</v>
      </c>
      <c r="XU13" s="3119">
        <f t="shared" si="654"/>
        <v>45988.666666665114</v>
      </c>
      <c r="XV13" s="3119">
        <f t="shared" si="23"/>
        <v>45988.708333331779</v>
      </c>
      <c r="XW13" s="3119">
        <f t="shared" si="655"/>
        <v>45988.749999998443</v>
      </c>
      <c r="XX13" s="3119">
        <f t="shared" si="656"/>
        <v>45988.791666665107</v>
      </c>
      <c r="XY13" s="3119">
        <f t="shared" si="657"/>
        <v>45988.833333331771</v>
      </c>
      <c r="XZ13" s="3119">
        <f t="shared" si="658"/>
        <v>45988.874999998436</v>
      </c>
      <c r="YA13" s="3119">
        <f t="shared" si="659"/>
        <v>45988.9166666651</v>
      </c>
      <c r="YB13" s="3119">
        <f t="shared" si="660"/>
        <v>45988.958333331764</v>
      </c>
      <c r="YC13" s="3119">
        <f t="shared" si="661"/>
        <v>45988.999999998428</v>
      </c>
      <c r="YD13" s="3119">
        <f t="shared" si="662"/>
        <v>45989.041666665093</v>
      </c>
      <c r="YE13" s="3119">
        <f t="shared" si="663"/>
        <v>45989.083333331757</v>
      </c>
      <c r="YF13" s="3119">
        <f t="shared" si="664"/>
        <v>45989.124999998421</v>
      </c>
      <c r="YG13" s="3119">
        <f t="shared" si="665"/>
        <v>45989.166666665085</v>
      </c>
      <c r="YH13" s="3119">
        <f t="shared" si="666"/>
        <v>45989.20833333175</v>
      </c>
      <c r="YI13" s="3119">
        <f t="shared" si="667"/>
        <v>45989.249999998414</v>
      </c>
      <c r="YJ13" s="3119">
        <f t="shared" si="668"/>
        <v>45989.291666665078</v>
      </c>
      <c r="YK13" s="3119">
        <f t="shared" si="669"/>
        <v>45989.333333331742</v>
      </c>
      <c r="YL13" s="3119">
        <f t="shared" si="670"/>
        <v>45989.374999998407</v>
      </c>
      <c r="YM13" s="3119">
        <f t="shared" si="671"/>
        <v>45989.416666665071</v>
      </c>
      <c r="YN13" s="3119">
        <f t="shared" si="672"/>
        <v>45989.458333331735</v>
      </c>
      <c r="YO13" s="3119">
        <f t="shared" si="673"/>
        <v>45989.499999998399</v>
      </c>
      <c r="YP13" s="3119">
        <f t="shared" si="674"/>
        <v>45989.541666665064</v>
      </c>
      <c r="YQ13" s="3119">
        <f t="shared" si="675"/>
        <v>45989.583333331728</v>
      </c>
      <c r="YR13" s="3119">
        <f t="shared" si="676"/>
        <v>45989.624999998392</v>
      </c>
      <c r="YS13" s="3119">
        <f t="shared" si="677"/>
        <v>45989.666666665056</v>
      </c>
      <c r="YT13" s="3119">
        <f t="shared" si="678"/>
        <v>45989.70833333172</v>
      </c>
      <c r="YU13" s="3119">
        <f t="shared" si="679"/>
        <v>45989.749999998385</v>
      </c>
      <c r="YV13" s="3119">
        <f t="shared" si="680"/>
        <v>45989.791666665049</v>
      </c>
      <c r="YW13" s="3119">
        <f t="shared" si="681"/>
        <v>45989.833333331713</v>
      </c>
      <c r="YX13" s="3119">
        <f t="shared" si="682"/>
        <v>45989.874999998377</v>
      </c>
      <c r="YY13" s="3119">
        <f t="shared" si="683"/>
        <v>45989.916666665042</v>
      </c>
      <c r="YZ13" s="3119">
        <f t="shared" si="684"/>
        <v>45989.958333331706</v>
      </c>
      <c r="ZA13" s="3119">
        <f t="shared" si="685"/>
        <v>45989.99999999837</v>
      </c>
      <c r="ZB13" s="3119">
        <f t="shared" si="686"/>
        <v>45990.041666665034</v>
      </c>
      <c r="ZC13" s="3119">
        <f t="shared" si="687"/>
        <v>45990.083333331699</v>
      </c>
      <c r="ZD13" s="3119">
        <f t="shared" si="688"/>
        <v>45990.124999998363</v>
      </c>
      <c r="ZE13" s="3119">
        <f t="shared" si="689"/>
        <v>45990.166666665027</v>
      </c>
      <c r="ZF13" s="3119">
        <f t="shared" si="690"/>
        <v>45990.208333331691</v>
      </c>
      <c r="ZG13" s="3119">
        <f t="shared" si="691"/>
        <v>45990.249999998356</v>
      </c>
      <c r="ZH13" s="3119">
        <f t="shared" si="692"/>
        <v>45990.29166666502</v>
      </c>
      <c r="ZI13" s="3119">
        <f t="shared" si="693"/>
        <v>45990.333333331684</v>
      </c>
      <c r="ZJ13" s="3119">
        <f t="shared" si="694"/>
        <v>45990.374999998348</v>
      </c>
      <c r="ZK13" s="3119">
        <f t="shared" si="695"/>
        <v>45990.416666665013</v>
      </c>
      <c r="ZL13" s="3119">
        <f t="shared" si="696"/>
        <v>45990.458333331677</v>
      </c>
      <c r="ZM13" s="3119">
        <f t="shared" si="697"/>
        <v>45990.499999998341</v>
      </c>
      <c r="ZN13" s="3119">
        <f t="shared" si="698"/>
        <v>45990.541666665005</v>
      </c>
      <c r="ZO13" s="3119">
        <f t="shared" si="699"/>
        <v>45990.58333333167</v>
      </c>
      <c r="ZP13" s="3119">
        <f t="shared" si="700"/>
        <v>45990.624999998334</v>
      </c>
      <c r="ZQ13" s="3119">
        <f t="shared" si="701"/>
        <v>45990.666666664998</v>
      </c>
      <c r="ZR13" s="3119">
        <f t="shared" si="702"/>
        <v>45990.708333331662</v>
      </c>
      <c r="ZS13" s="3119">
        <f t="shared" si="703"/>
        <v>45990.749999998327</v>
      </c>
      <c r="ZT13" s="3119">
        <f t="shared" si="704"/>
        <v>45990.791666664991</v>
      </c>
      <c r="ZU13" s="3119">
        <f t="shared" si="705"/>
        <v>45990.833333331655</v>
      </c>
      <c r="ZV13" s="3119">
        <f t="shared" si="706"/>
        <v>45990.874999998319</v>
      </c>
      <c r="ZW13" s="3119">
        <f t="shared" si="707"/>
        <v>45990.916666664983</v>
      </c>
      <c r="ZX13" s="3119">
        <f t="shared" si="708"/>
        <v>45990.958333331648</v>
      </c>
      <c r="ZY13" s="3119">
        <f t="shared" si="709"/>
        <v>45990.999999998312</v>
      </c>
      <c r="ZZ13" s="3119">
        <f t="shared" si="710"/>
        <v>45991.041666664976</v>
      </c>
      <c r="AAA13" s="3119">
        <f t="shared" si="711"/>
        <v>45991.08333333164</v>
      </c>
      <c r="AAB13" s="3119">
        <f t="shared" si="712"/>
        <v>45991.124999998305</v>
      </c>
      <c r="AAC13" s="3119">
        <f t="shared" si="713"/>
        <v>45991.166666664969</v>
      </c>
      <c r="AAD13" s="3119">
        <f t="shared" si="714"/>
        <v>45991.208333331633</v>
      </c>
      <c r="AAE13" s="3119">
        <f t="shared" si="715"/>
        <v>45991.249999998297</v>
      </c>
      <c r="AAF13" s="3119">
        <f t="shared" si="716"/>
        <v>45991.291666664962</v>
      </c>
      <c r="AAG13" s="3119">
        <f t="shared" si="717"/>
        <v>45991.333333331626</v>
      </c>
      <c r="AAH13" s="3119">
        <f t="shared" si="24"/>
        <v>45991.37499999829</v>
      </c>
      <c r="AAI13" s="3119">
        <f t="shared" si="12"/>
        <v>45991.416666664954</v>
      </c>
      <c r="AAJ13" s="3119">
        <f t="shared" si="12"/>
        <v>45991.458333331619</v>
      </c>
      <c r="AAK13" s="3119">
        <f t="shared" si="12"/>
        <v>45991.499999998283</v>
      </c>
      <c r="AAL13" s="3119">
        <f t="shared" si="12"/>
        <v>45991.541666664947</v>
      </c>
      <c r="AAM13" s="3119">
        <f t="shared" si="12"/>
        <v>45991.583333331611</v>
      </c>
      <c r="AAN13" s="3119">
        <f t="shared" si="12"/>
        <v>45991.624999998276</v>
      </c>
      <c r="AAO13" s="3119">
        <f t="shared" si="12"/>
        <v>45991.66666666494</v>
      </c>
      <c r="AAP13" s="3119">
        <f t="shared" si="12"/>
        <v>45991.708333331604</v>
      </c>
      <c r="AAQ13" s="3119">
        <f t="shared" si="12"/>
        <v>45991.749999998268</v>
      </c>
      <c r="AAR13" s="3119">
        <f t="shared" si="12"/>
        <v>45991.791666664933</v>
      </c>
      <c r="AAS13" s="3119">
        <f t="shared" si="12"/>
        <v>45991.833333331597</v>
      </c>
      <c r="AAT13" s="3119">
        <f t="shared" si="12"/>
        <v>45991.874999998261</v>
      </c>
      <c r="AAU13" s="3119">
        <f t="shared" si="12"/>
        <v>45991.916666664925</v>
      </c>
      <c r="AAV13" s="3119">
        <f t="shared" si="12"/>
        <v>45991.95833333159</v>
      </c>
    </row>
    <row r="14" spans="1:724" s="282" customFormat="1" ht="13">
      <c r="A14" s="3115" t="s">
        <v>1549</v>
      </c>
      <c r="B14" s="3119">
        <v>45965.75</v>
      </c>
      <c r="C14" s="3119">
        <v>45966.75</v>
      </c>
      <c r="D14" s="3116">
        <f t="shared" si="0"/>
        <v>24</v>
      </c>
      <c r="E14" s="3119">
        <v>45962</v>
      </c>
      <c r="F14" s="3119">
        <f t="shared" si="13"/>
        <v>45962.041666666664</v>
      </c>
      <c r="G14" s="3119">
        <f t="shared" si="25"/>
        <v>45962.083333333328</v>
      </c>
      <c r="H14" s="3119">
        <f t="shared" si="26"/>
        <v>45962.124999999993</v>
      </c>
      <c r="I14" s="3119">
        <f t="shared" si="27"/>
        <v>45962.166666666657</v>
      </c>
      <c r="J14" s="3119">
        <f t="shared" si="28"/>
        <v>45962.208333333321</v>
      </c>
      <c r="K14" s="3119">
        <f t="shared" si="29"/>
        <v>45962.249999999985</v>
      </c>
      <c r="L14" s="3119">
        <f t="shared" si="30"/>
        <v>45962.29166666665</v>
      </c>
      <c r="M14" s="3119">
        <f t="shared" si="31"/>
        <v>45962.333333333314</v>
      </c>
      <c r="N14" s="3119">
        <f t="shared" si="32"/>
        <v>45962.374999999978</v>
      </c>
      <c r="O14" s="3119">
        <f t="shared" si="33"/>
        <v>45962.416666666642</v>
      </c>
      <c r="P14" s="3119">
        <f t="shared" si="34"/>
        <v>45962.458333333307</v>
      </c>
      <c r="Q14" s="3119">
        <f t="shared" si="35"/>
        <v>45962.499999999971</v>
      </c>
      <c r="R14" s="3119">
        <f t="shared" si="36"/>
        <v>45962.541666666635</v>
      </c>
      <c r="S14" s="3119">
        <f t="shared" si="37"/>
        <v>45962.583333333299</v>
      </c>
      <c r="T14" s="3119">
        <f t="shared" si="38"/>
        <v>45962.624999999964</v>
      </c>
      <c r="U14" s="3119">
        <f t="shared" si="39"/>
        <v>45962.666666666628</v>
      </c>
      <c r="V14" s="3119">
        <f t="shared" si="40"/>
        <v>45962.708333333292</v>
      </c>
      <c r="W14" s="3119">
        <f t="shared" si="41"/>
        <v>45962.749999999956</v>
      </c>
      <c r="X14" s="3119">
        <f t="shared" si="42"/>
        <v>45962.791666666621</v>
      </c>
      <c r="Y14" s="3119">
        <f t="shared" si="43"/>
        <v>45962.833333333285</v>
      </c>
      <c r="Z14" s="3119">
        <f t="shared" si="44"/>
        <v>45962.874999999949</v>
      </c>
      <c r="AA14" s="3119">
        <f t="shared" si="45"/>
        <v>45962.916666666613</v>
      </c>
      <c r="AB14" s="3119">
        <f t="shared" si="46"/>
        <v>45962.958333333278</v>
      </c>
      <c r="AC14" s="3119">
        <f t="shared" si="47"/>
        <v>45962.999999999942</v>
      </c>
      <c r="AD14" s="3119">
        <f t="shared" si="48"/>
        <v>45963.041666666606</v>
      </c>
      <c r="AE14" s="3119">
        <f t="shared" si="49"/>
        <v>45963.08333333327</v>
      </c>
      <c r="AF14" s="3119">
        <f t="shared" si="50"/>
        <v>45963.124999999935</v>
      </c>
      <c r="AG14" s="3119">
        <f t="shared" si="51"/>
        <v>45963.166666666599</v>
      </c>
      <c r="AH14" s="3119">
        <f t="shared" si="52"/>
        <v>45963.208333333263</v>
      </c>
      <c r="AI14" s="3119">
        <f t="shared" si="53"/>
        <v>45963.249999999927</v>
      </c>
      <c r="AJ14" s="3119">
        <f t="shared" si="54"/>
        <v>45963.291666666591</v>
      </c>
      <c r="AK14" s="3119">
        <f t="shared" si="55"/>
        <v>45963.333333333256</v>
      </c>
      <c r="AL14" s="3119">
        <f t="shared" si="56"/>
        <v>45963.37499999992</v>
      </c>
      <c r="AM14" s="3119">
        <f t="shared" si="57"/>
        <v>45963.416666666584</v>
      </c>
      <c r="AN14" s="3119">
        <f t="shared" si="58"/>
        <v>45963.458333333248</v>
      </c>
      <c r="AO14" s="3119">
        <f t="shared" si="59"/>
        <v>45963.499999999913</v>
      </c>
      <c r="AP14" s="3119">
        <f t="shared" si="60"/>
        <v>45963.541666666577</v>
      </c>
      <c r="AQ14" s="3119">
        <f t="shared" si="61"/>
        <v>45963.583333333241</v>
      </c>
      <c r="AR14" s="3119">
        <f t="shared" si="62"/>
        <v>45963.624999999905</v>
      </c>
      <c r="AS14" s="3119">
        <f t="shared" si="63"/>
        <v>45963.66666666657</v>
      </c>
      <c r="AT14" s="3119">
        <f t="shared" si="64"/>
        <v>45963.708333333234</v>
      </c>
      <c r="AU14" s="3119">
        <f t="shared" si="65"/>
        <v>45963.749999999898</v>
      </c>
      <c r="AV14" s="3119">
        <f t="shared" si="66"/>
        <v>45963.791666666562</v>
      </c>
      <c r="AW14" s="3119">
        <f t="shared" si="67"/>
        <v>45963.833333333227</v>
      </c>
      <c r="AX14" s="3119">
        <f t="shared" si="68"/>
        <v>45963.874999999891</v>
      </c>
      <c r="AY14" s="3119">
        <f t="shared" si="69"/>
        <v>45963.916666666555</v>
      </c>
      <c r="AZ14" s="3119">
        <f t="shared" si="70"/>
        <v>45963.958333333219</v>
      </c>
      <c r="BA14" s="3119">
        <f t="shared" si="71"/>
        <v>45963.999999999884</v>
      </c>
      <c r="BB14" s="3119">
        <f t="shared" si="72"/>
        <v>45964.041666666548</v>
      </c>
      <c r="BC14" s="3119">
        <f t="shared" si="73"/>
        <v>45964.083333333212</v>
      </c>
      <c r="BD14" s="3119">
        <f t="shared" si="74"/>
        <v>45964.124999999876</v>
      </c>
      <c r="BE14" s="3119">
        <f t="shared" si="75"/>
        <v>45964.166666666541</v>
      </c>
      <c r="BF14" s="3119">
        <f t="shared" si="76"/>
        <v>45964.208333333205</v>
      </c>
      <c r="BG14" s="3119">
        <f t="shared" si="77"/>
        <v>45964.249999999869</v>
      </c>
      <c r="BH14" s="3119">
        <f t="shared" si="78"/>
        <v>45964.291666666533</v>
      </c>
      <c r="BI14" s="3119">
        <f t="shared" si="79"/>
        <v>45964.333333333198</v>
      </c>
      <c r="BJ14" s="3119">
        <f t="shared" si="80"/>
        <v>45964.374999999862</v>
      </c>
      <c r="BK14" s="3119">
        <f t="shared" si="81"/>
        <v>45964.416666666526</v>
      </c>
      <c r="BL14" s="3119">
        <f t="shared" si="82"/>
        <v>45964.45833333319</v>
      </c>
      <c r="BM14" s="3119">
        <f t="shared" si="83"/>
        <v>45964.499999999854</v>
      </c>
      <c r="BN14" s="3119">
        <f t="shared" si="84"/>
        <v>45964.541666666519</v>
      </c>
      <c r="BO14" s="3119">
        <f t="shared" si="85"/>
        <v>45964.583333333183</v>
      </c>
      <c r="BP14" s="3119">
        <f t="shared" si="86"/>
        <v>45964.624999999847</v>
      </c>
      <c r="BQ14" s="3119">
        <f t="shared" si="87"/>
        <v>45964.666666666511</v>
      </c>
      <c r="BR14" s="3119">
        <f t="shared" si="14"/>
        <v>45964.708333333176</v>
      </c>
      <c r="BS14" s="3119">
        <f t="shared" si="88"/>
        <v>45964.74999999984</v>
      </c>
      <c r="BT14" s="3119">
        <f t="shared" si="89"/>
        <v>45964.791666666504</v>
      </c>
      <c r="BU14" s="3119">
        <f t="shared" si="90"/>
        <v>45964.833333333168</v>
      </c>
      <c r="BV14" s="3119">
        <f t="shared" si="91"/>
        <v>45964.874999999833</v>
      </c>
      <c r="BW14" s="3119">
        <f t="shared" si="92"/>
        <v>45964.916666666497</v>
      </c>
      <c r="BX14" s="3119">
        <f t="shared" si="93"/>
        <v>45964.958333333161</v>
      </c>
      <c r="BY14" s="3119">
        <f t="shared" si="94"/>
        <v>45964.999999999825</v>
      </c>
      <c r="BZ14" s="3119">
        <f t="shared" si="95"/>
        <v>45965.04166666649</v>
      </c>
      <c r="CA14" s="3119">
        <f t="shared" si="96"/>
        <v>45965.083333333154</v>
      </c>
      <c r="CB14" s="3119">
        <f t="shared" si="97"/>
        <v>45965.124999999818</v>
      </c>
      <c r="CC14" s="3119">
        <f t="shared" si="98"/>
        <v>45965.166666666482</v>
      </c>
      <c r="CD14" s="3119">
        <f t="shared" si="99"/>
        <v>45965.208333333147</v>
      </c>
      <c r="CE14" s="3119">
        <f t="shared" si="100"/>
        <v>45965.249999999811</v>
      </c>
      <c r="CF14" s="3119">
        <f t="shared" si="101"/>
        <v>45965.291666666475</v>
      </c>
      <c r="CG14" s="3119">
        <f t="shared" si="102"/>
        <v>45965.333333333139</v>
      </c>
      <c r="CH14" s="3119">
        <f t="shared" si="103"/>
        <v>45965.374999999804</v>
      </c>
      <c r="CI14" s="3119">
        <f t="shared" si="104"/>
        <v>45965.416666666468</v>
      </c>
      <c r="CJ14" s="3119">
        <f t="shared" si="105"/>
        <v>45965.458333333132</v>
      </c>
      <c r="CK14" s="3119">
        <f t="shared" si="106"/>
        <v>45965.499999999796</v>
      </c>
      <c r="CL14" s="3119">
        <f t="shared" si="107"/>
        <v>45965.541666666461</v>
      </c>
      <c r="CM14" s="3119">
        <f t="shared" si="108"/>
        <v>45965.583333333125</v>
      </c>
      <c r="CN14" s="3119">
        <f t="shared" si="109"/>
        <v>45965.624999999789</v>
      </c>
      <c r="CO14" s="3119">
        <f t="shared" si="110"/>
        <v>45965.666666666453</v>
      </c>
      <c r="CP14" s="3119">
        <f t="shared" si="111"/>
        <v>45965.708333333117</v>
      </c>
      <c r="CQ14" s="3119">
        <f t="shared" si="112"/>
        <v>45965.749999999782</v>
      </c>
      <c r="CR14" s="3119">
        <f t="shared" si="113"/>
        <v>45965.791666666446</v>
      </c>
      <c r="CS14" s="3119">
        <f t="shared" si="114"/>
        <v>45965.83333333311</v>
      </c>
      <c r="CT14" s="3119">
        <f t="shared" si="115"/>
        <v>45965.874999999774</v>
      </c>
      <c r="CU14" s="3119">
        <f t="shared" si="116"/>
        <v>45965.916666666439</v>
      </c>
      <c r="CV14" s="3119">
        <f t="shared" si="117"/>
        <v>45965.958333333103</v>
      </c>
      <c r="CW14" s="3119">
        <f t="shared" si="118"/>
        <v>45965.999999999767</v>
      </c>
      <c r="CX14" s="3119">
        <f t="shared" si="119"/>
        <v>45966.041666666431</v>
      </c>
      <c r="CY14" s="3119">
        <f t="shared" si="120"/>
        <v>45966.083333333096</v>
      </c>
      <c r="CZ14" s="3119">
        <f t="shared" si="121"/>
        <v>45966.12499999976</v>
      </c>
      <c r="DA14" s="3119">
        <f t="shared" si="122"/>
        <v>45966.166666666424</v>
      </c>
      <c r="DB14" s="3119">
        <f t="shared" si="123"/>
        <v>45966.208333333088</v>
      </c>
      <c r="DC14" s="3119">
        <f t="shared" si="124"/>
        <v>45966.249999999753</v>
      </c>
      <c r="DD14" s="3119">
        <f t="shared" si="125"/>
        <v>45966.291666666417</v>
      </c>
      <c r="DE14" s="3119">
        <f t="shared" si="126"/>
        <v>45966.333333333081</v>
      </c>
      <c r="DF14" s="3119">
        <f t="shared" si="127"/>
        <v>45966.374999999745</v>
      </c>
      <c r="DG14" s="3119">
        <f t="shared" si="128"/>
        <v>45966.41666666641</v>
      </c>
      <c r="DH14" s="3119">
        <f t="shared" si="129"/>
        <v>45966.458333333074</v>
      </c>
      <c r="DI14" s="3119">
        <f t="shared" si="130"/>
        <v>45966.499999999738</v>
      </c>
      <c r="DJ14" s="3119">
        <f t="shared" si="131"/>
        <v>45966.541666666402</v>
      </c>
      <c r="DK14" s="3119">
        <f t="shared" si="132"/>
        <v>45966.583333333067</v>
      </c>
      <c r="DL14" s="3119">
        <f t="shared" si="133"/>
        <v>45966.624999999731</v>
      </c>
      <c r="DM14" s="3119">
        <f t="shared" si="134"/>
        <v>45966.666666666395</v>
      </c>
      <c r="DN14" s="3119">
        <f t="shared" si="135"/>
        <v>45966.708333333059</v>
      </c>
      <c r="DO14" s="3119">
        <f t="shared" si="136"/>
        <v>45966.749999999724</v>
      </c>
      <c r="DP14" s="3119">
        <f t="shared" si="137"/>
        <v>45966.791666666388</v>
      </c>
      <c r="DQ14" s="3119">
        <f t="shared" si="138"/>
        <v>45966.833333333052</v>
      </c>
      <c r="DR14" s="3119">
        <f t="shared" si="139"/>
        <v>45966.874999999716</v>
      </c>
      <c r="DS14" s="3119">
        <f t="shared" si="140"/>
        <v>45966.91666666638</v>
      </c>
      <c r="DT14" s="3119">
        <f t="shared" si="141"/>
        <v>45966.958333333045</v>
      </c>
      <c r="DU14" s="3119">
        <f t="shared" si="142"/>
        <v>45966.999999999709</v>
      </c>
      <c r="DV14" s="3119">
        <f t="shared" si="143"/>
        <v>45967.041666666373</v>
      </c>
      <c r="DW14" s="3119">
        <f t="shared" si="144"/>
        <v>45967.083333333037</v>
      </c>
      <c r="DX14" s="3119">
        <f t="shared" si="145"/>
        <v>45967.124999999702</v>
      </c>
      <c r="DY14" s="3119">
        <f t="shared" si="146"/>
        <v>45967.166666666366</v>
      </c>
      <c r="DZ14" s="3119">
        <f t="shared" si="147"/>
        <v>45967.20833333303</v>
      </c>
      <c r="EA14" s="3119">
        <f t="shared" si="148"/>
        <v>45967.249999999694</v>
      </c>
      <c r="EB14" s="3119">
        <f t="shared" si="149"/>
        <v>45967.291666666359</v>
      </c>
      <c r="EC14" s="3119">
        <f t="shared" si="150"/>
        <v>45967.333333333023</v>
      </c>
      <c r="ED14" s="3119">
        <f t="shared" si="15"/>
        <v>45967.374999999687</v>
      </c>
      <c r="EE14" s="3119">
        <f t="shared" si="151"/>
        <v>45967.416666666351</v>
      </c>
      <c r="EF14" s="3119">
        <f t="shared" si="152"/>
        <v>45967.458333333016</v>
      </c>
      <c r="EG14" s="3119">
        <f t="shared" si="153"/>
        <v>45967.49999999968</v>
      </c>
      <c r="EH14" s="3119">
        <f t="shared" si="154"/>
        <v>45967.541666666344</v>
      </c>
      <c r="EI14" s="3119">
        <f t="shared" si="155"/>
        <v>45967.583333333008</v>
      </c>
      <c r="EJ14" s="3119">
        <f t="shared" si="156"/>
        <v>45967.624999999673</v>
      </c>
      <c r="EK14" s="3119">
        <f t="shared" si="157"/>
        <v>45967.666666666337</v>
      </c>
      <c r="EL14" s="3119">
        <f t="shared" si="158"/>
        <v>45967.708333333001</v>
      </c>
      <c r="EM14" s="3119">
        <f t="shared" si="159"/>
        <v>45967.749999999665</v>
      </c>
      <c r="EN14" s="3119">
        <f t="shared" si="160"/>
        <v>45967.79166666633</v>
      </c>
      <c r="EO14" s="3119">
        <f t="shared" si="161"/>
        <v>45967.833333332994</v>
      </c>
      <c r="EP14" s="3119">
        <f t="shared" si="162"/>
        <v>45967.874999999658</v>
      </c>
      <c r="EQ14" s="3119">
        <f t="shared" si="163"/>
        <v>45967.916666666322</v>
      </c>
      <c r="ER14" s="3119">
        <f t="shared" si="164"/>
        <v>45967.958333332987</v>
      </c>
      <c r="ES14" s="3119">
        <f t="shared" si="165"/>
        <v>45967.999999999651</v>
      </c>
      <c r="ET14" s="3119">
        <f t="shared" si="166"/>
        <v>45968.041666666315</v>
      </c>
      <c r="EU14" s="3119">
        <f t="shared" si="167"/>
        <v>45968.083333332979</v>
      </c>
      <c r="EV14" s="3119">
        <f t="shared" si="168"/>
        <v>45968.124999999643</v>
      </c>
      <c r="EW14" s="3119">
        <f t="shared" si="169"/>
        <v>45968.166666666308</v>
      </c>
      <c r="EX14" s="3119">
        <f t="shared" si="170"/>
        <v>45968.208333332972</v>
      </c>
      <c r="EY14" s="3119">
        <f t="shared" si="171"/>
        <v>45968.249999999636</v>
      </c>
      <c r="EZ14" s="3119">
        <f t="shared" si="172"/>
        <v>45968.2916666663</v>
      </c>
      <c r="FA14" s="3119">
        <f t="shared" si="173"/>
        <v>45968.333333332965</v>
      </c>
      <c r="FB14" s="3119">
        <f t="shared" si="174"/>
        <v>45968.374999999629</v>
      </c>
      <c r="FC14" s="3119">
        <f t="shared" si="175"/>
        <v>45968.416666666293</v>
      </c>
      <c r="FD14" s="3119">
        <f t="shared" si="176"/>
        <v>45968.458333332957</v>
      </c>
      <c r="FE14" s="3119">
        <f t="shared" si="177"/>
        <v>45968.499999999622</v>
      </c>
      <c r="FF14" s="3119">
        <f t="shared" si="178"/>
        <v>45968.541666666286</v>
      </c>
      <c r="FG14" s="3119">
        <f t="shared" si="179"/>
        <v>45968.58333333295</v>
      </c>
      <c r="FH14" s="3119">
        <f t="shared" si="180"/>
        <v>45968.624999999614</v>
      </c>
      <c r="FI14" s="3119">
        <f t="shared" si="181"/>
        <v>45968.666666666279</v>
      </c>
      <c r="FJ14" s="3119">
        <f t="shared" si="182"/>
        <v>45968.708333332943</v>
      </c>
      <c r="FK14" s="3119">
        <f t="shared" si="183"/>
        <v>45968.749999999607</v>
      </c>
      <c r="FL14" s="3119">
        <f t="shared" si="184"/>
        <v>45968.791666666271</v>
      </c>
      <c r="FM14" s="3119">
        <f t="shared" si="185"/>
        <v>45968.833333332936</v>
      </c>
      <c r="FN14" s="3119">
        <f t="shared" si="186"/>
        <v>45968.8749999996</v>
      </c>
      <c r="FO14" s="3119">
        <f t="shared" si="187"/>
        <v>45968.916666666264</v>
      </c>
      <c r="FP14" s="3119">
        <f t="shared" si="188"/>
        <v>45968.958333332928</v>
      </c>
      <c r="FQ14" s="3119">
        <f t="shared" si="189"/>
        <v>45968.999999999593</v>
      </c>
      <c r="FR14" s="3119">
        <f t="shared" si="190"/>
        <v>45969.041666666257</v>
      </c>
      <c r="FS14" s="3119">
        <f t="shared" si="191"/>
        <v>45969.083333332921</v>
      </c>
      <c r="FT14" s="3119">
        <f t="shared" si="192"/>
        <v>45969.124999999585</v>
      </c>
      <c r="FU14" s="3119">
        <f t="shared" si="193"/>
        <v>45969.16666666625</v>
      </c>
      <c r="FV14" s="3119">
        <f t="shared" si="194"/>
        <v>45969.208333332914</v>
      </c>
      <c r="FW14" s="3119">
        <f t="shared" si="195"/>
        <v>45969.249999999578</v>
      </c>
      <c r="FX14" s="3119">
        <f t="shared" si="196"/>
        <v>45969.291666666242</v>
      </c>
      <c r="FY14" s="3119">
        <f t="shared" si="197"/>
        <v>45969.333333332906</v>
      </c>
      <c r="FZ14" s="3119">
        <f t="shared" si="198"/>
        <v>45969.374999999571</v>
      </c>
      <c r="GA14" s="3119">
        <f t="shared" si="199"/>
        <v>45969.416666666235</v>
      </c>
      <c r="GB14" s="3119">
        <f t="shared" si="200"/>
        <v>45969.458333332899</v>
      </c>
      <c r="GC14" s="3119">
        <f t="shared" si="201"/>
        <v>45969.499999999563</v>
      </c>
      <c r="GD14" s="3119">
        <f t="shared" si="202"/>
        <v>45969.541666666228</v>
      </c>
      <c r="GE14" s="3119">
        <f t="shared" si="203"/>
        <v>45969.583333332892</v>
      </c>
      <c r="GF14" s="3119">
        <f t="shared" si="204"/>
        <v>45969.624999999556</v>
      </c>
      <c r="GG14" s="3119">
        <f t="shared" si="205"/>
        <v>45969.66666666622</v>
      </c>
      <c r="GH14" s="3119">
        <f t="shared" si="206"/>
        <v>45969.708333332885</v>
      </c>
      <c r="GI14" s="3119">
        <f t="shared" si="207"/>
        <v>45969.749999999549</v>
      </c>
      <c r="GJ14" s="3119">
        <f t="shared" si="208"/>
        <v>45969.791666666213</v>
      </c>
      <c r="GK14" s="3119">
        <f t="shared" si="209"/>
        <v>45969.833333332877</v>
      </c>
      <c r="GL14" s="3119">
        <f t="shared" si="210"/>
        <v>45969.874999999542</v>
      </c>
      <c r="GM14" s="3119">
        <f t="shared" si="211"/>
        <v>45969.916666666206</v>
      </c>
      <c r="GN14" s="3119">
        <f t="shared" si="212"/>
        <v>45969.95833333287</v>
      </c>
      <c r="GO14" s="3119">
        <f t="shared" si="213"/>
        <v>45969.999999999534</v>
      </c>
      <c r="GP14" s="3119">
        <f t="shared" si="16"/>
        <v>45970.041666666199</v>
      </c>
      <c r="GQ14" s="3119">
        <f t="shared" si="214"/>
        <v>45970.083333332863</v>
      </c>
      <c r="GR14" s="3119">
        <f t="shared" si="215"/>
        <v>45970.124999999527</v>
      </c>
      <c r="GS14" s="3119">
        <f t="shared" si="216"/>
        <v>45970.166666666191</v>
      </c>
      <c r="GT14" s="3119">
        <f t="shared" si="217"/>
        <v>45970.208333332856</v>
      </c>
      <c r="GU14" s="3119">
        <f t="shared" si="218"/>
        <v>45970.24999999952</v>
      </c>
      <c r="GV14" s="3119">
        <f t="shared" si="219"/>
        <v>45970.291666666184</v>
      </c>
      <c r="GW14" s="3119">
        <f t="shared" si="220"/>
        <v>45970.333333332848</v>
      </c>
      <c r="GX14" s="3119">
        <f t="shared" si="221"/>
        <v>45970.374999999513</v>
      </c>
      <c r="GY14" s="3119">
        <f t="shared" si="222"/>
        <v>45970.416666666177</v>
      </c>
      <c r="GZ14" s="3119">
        <f t="shared" si="223"/>
        <v>45970.458333332841</v>
      </c>
      <c r="HA14" s="3119">
        <f t="shared" si="224"/>
        <v>45970.499999999505</v>
      </c>
      <c r="HB14" s="3119">
        <f t="shared" si="225"/>
        <v>45970.541666666169</v>
      </c>
      <c r="HC14" s="3119">
        <f t="shared" si="226"/>
        <v>45970.583333332834</v>
      </c>
      <c r="HD14" s="3119">
        <f t="shared" si="227"/>
        <v>45970.624999999498</v>
      </c>
      <c r="HE14" s="3119">
        <f t="shared" si="228"/>
        <v>45970.666666666162</v>
      </c>
      <c r="HF14" s="3119">
        <f t="shared" si="229"/>
        <v>45970.708333332826</v>
      </c>
      <c r="HG14" s="3119">
        <f t="shared" si="230"/>
        <v>45970.749999999491</v>
      </c>
      <c r="HH14" s="3119">
        <f t="shared" si="231"/>
        <v>45970.791666666155</v>
      </c>
      <c r="HI14" s="3119">
        <f t="shared" si="232"/>
        <v>45970.833333332819</v>
      </c>
      <c r="HJ14" s="3119">
        <f t="shared" si="233"/>
        <v>45970.874999999483</v>
      </c>
      <c r="HK14" s="3119">
        <f t="shared" si="234"/>
        <v>45970.916666666148</v>
      </c>
      <c r="HL14" s="3119">
        <f t="shared" si="235"/>
        <v>45970.958333332812</v>
      </c>
      <c r="HM14" s="3119">
        <f t="shared" si="236"/>
        <v>45970.999999999476</v>
      </c>
      <c r="HN14" s="3119">
        <f t="shared" si="237"/>
        <v>45971.04166666614</v>
      </c>
      <c r="HO14" s="3119">
        <f t="shared" si="238"/>
        <v>45971.083333332805</v>
      </c>
      <c r="HP14" s="3119">
        <f t="shared" si="239"/>
        <v>45971.124999999469</v>
      </c>
      <c r="HQ14" s="3119">
        <f t="shared" si="240"/>
        <v>45971.166666666133</v>
      </c>
      <c r="HR14" s="3119">
        <f t="shared" si="241"/>
        <v>45971.208333332797</v>
      </c>
      <c r="HS14" s="3119">
        <f t="shared" si="242"/>
        <v>45971.249999999462</v>
      </c>
      <c r="HT14" s="3119">
        <f t="shared" si="243"/>
        <v>45971.291666666126</v>
      </c>
      <c r="HU14" s="3119">
        <f t="shared" si="244"/>
        <v>45971.33333333279</v>
      </c>
      <c r="HV14" s="3119">
        <f t="shared" si="245"/>
        <v>45971.374999999454</v>
      </c>
      <c r="HW14" s="3119">
        <f t="shared" si="246"/>
        <v>45971.416666666119</v>
      </c>
      <c r="HX14" s="3119">
        <f t="shared" si="247"/>
        <v>45971.458333332783</v>
      </c>
      <c r="HY14" s="3119">
        <f t="shared" si="248"/>
        <v>45971.499999999447</v>
      </c>
      <c r="HZ14" s="3119">
        <f t="shared" si="249"/>
        <v>45971.541666666111</v>
      </c>
      <c r="IA14" s="3119">
        <f t="shared" si="250"/>
        <v>45971.583333332776</v>
      </c>
      <c r="IB14" s="3119">
        <f t="shared" si="251"/>
        <v>45971.62499999944</v>
      </c>
      <c r="IC14" s="3119">
        <f t="shared" si="252"/>
        <v>45971.666666666104</v>
      </c>
      <c r="ID14" s="3119">
        <f t="shared" si="253"/>
        <v>45971.708333332768</v>
      </c>
      <c r="IE14" s="3119">
        <f t="shared" si="254"/>
        <v>45971.749999999432</v>
      </c>
      <c r="IF14" s="3119">
        <f t="shared" si="255"/>
        <v>45971.791666666097</v>
      </c>
      <c r="IG14" s="3119">
        <f t="shared" si="256"/>
        <v>45971.833333332761</v>
      </c>
      <c r="IH14" s="3119">
        <f t="shared" si="257"/>
        <v>45971.874999999425</v>
      </c>
      <c r="II14" s="3119">
        <f t="shared" si="258"/>
        <v>45971.916666666089</v>
      </c>
      <c r="IJ14" s="3119">
        <f t="shared" si="259"/>
        <v>45971.958333332754</v>
      </c>
      <c r="IK14" s="3119">
        <f t="shared" si="260"/>
        <v>45971.999999999418</v>
      </c>
      <c r="IL14" s="3119">
        <f t="shared" si="261"/>
        <v>45972.041666666082</v>
      </c>
      <c r="IM14" s="3119">
        <f t="shared" si="262"/>
        <v>45972.083333332746</v>
      </c>
      <c r="IN14" s="3119">
        <f t="shared" si="263"/>
        <v>45972.124999999411</v>
      </c>
      <c r="IO14" s="3119">
        <f t="shared" si="264"/>
        <v>45972.166666666075</v>
      </c>
      <c r="IP14" s="3119">
        <f t="shared" si="265"/>
        <v>45972.208333332739</v>
      </c>
      <c r="IQ14" s="3119">
        <f t="shared" si="266"/>
        <v>45972.249999999403</v>
      </c>
      <c r="IR14" s="3119">
        <f t="shared" si="267"/>
        <v>45972.291666666068</v>
      </c>
      <c r="IS14" s="3119">
        <f t="shared" si="268"/>
        <v>45972.333333332732</v>
      </c>
      <c r="IT14" s="3119">
        <f t="shared" si="269"/>
        <v>45972.374999999396</v>
      </c>
      <c r="IU14" s="3119">
        <f t="shared" si="270"/>
        <v>45972.41666666606</v>
      </c>
      <c r="IV14" s="3119">
        <f t="shared" si="271"/>
        <v>45972.458333332725</v>
      </c>
      <c r="IW14" s="3119">
        <f t="shared" si="272"/>
        <v>45972.499999999389</v>
      </c>
      <c r="IX14" s="3119">
        <f t="shared" si="273"/>
        <v>45972.541666666053</v>
      </c>
      <c r="IY14" s="3119">
        <f t="shared" si="274"/>
        <v>45972.583333332717</v>
      </c>
      <c r="IZ14" s="3119">
        <f t="shared" si="275"/>
        <v>45972.624999999382</v>
      </c>
      <c r="JA14" s="3119">
        <f t="shared" si="276"/>
        <v>45972.666666666046</v>
      </c>
      <c r="JB14" s="3119">
        <f t="shared" si="17"/>
        <v>45972.70833333271</v>
      </c>
      <c r="JC14" s="3119">
        <f t="shared" si="277"/>
        <v>45972.749999999374</v>
      </c>
      <c r="JD14" s="3119">
        <f t="shared" si="278"/>
        <v>45972.791666666039</v>
      </c>
      <c r="JE14" s="3119">
        <f t="shared" si="279"/>
        <v>45972.833333332703</v>
      </c>
      <c r="JF14" s="3119">
        <f t="shared" si="280"/>
        <v>45972.874999999367</v>
      </c>
      <c r="JG14" s="3119">
        <f t="shared" si="281"/>
        <v>45972.916666666031</v>
      </c>
      <c r="JH14" s="3119">
        <f t="shared" si="282"/>
        <v>45972.958333332695</v>
      </c>
      <c r="JI14" s="3119">
        <f t="shared" si="283"/>
        <v>45972.99999999936</v>
      </c>
      <c r="JJ14" s="3119">
        <f t="shared" si="284"/>
        <v>45973.041666666024</v>
      </c>
      <c r="JK14" s="3119">
        <f t="shared" si="285"/>
        <v>45973.083333332688</v>
      </c>
      <c r="JL14" s="3119">
        <f t="shared" si="286"/>
        <v>45973.124999999352</v>
      </c>
      <c r="JM14" s="3119">
        <f t="shared" si="287"/>
        <v>45973.166666666017</v>
      </c>
      <c r="JN14" s="3119">
        <f t="shared" si="288"/>
        <v>45973.208333332681</v>
      </c>
      <c r="JO14" s="3119">
        <f t="shared" si="289"/>
        <v>45973.249999999345</v>
      </c>
      <c r="JP14" s="3119">
        <f t="shared" si="290"/>
        <v>45973.291666666009</v>
      </c>
      <c r="JQ14" s="3119">
        <f t="shared" si="291"/>
        <v>45973.333333332674</v>
      </c>
      <c r="JR14" s="3119">
        <f t="shared" si="292"/>
        <v>45973.374999999338</v>
      </c>
      <c r="JS14" s="3119">
        <f t="shared" si="293"/>
        <v>45973.416666666002</v>
      </c>
      <c r="JT14" s="3119">
        <f t="shared" si="294"/>
        <v>45973.458333332666</v>
      </c>
      <c r="JU14" s="3119">
        <f t="shared" si="295"/>
        <v>45973.499999999331</v>
      </c>
      <c r="JV14" s="3119">
        <f t="shared" si="296"/>
        <v>45973.541666665995</v>
      </c>
      <c r="JW14" s="3119">
        <f t="shared" si="297"/>
        <v>45973.583333332659</v>
      </c>
      <c r="JX14" s="3119">
        <f t="shared" si="298"/>
        <v>45973.624999999323</v>
      </c>
      <c r="JY14" s="3119">
        <f t="shared" si="299"/>
        <v>45973.666666665988</v>
      </c>
      <c r="JZ14" s="3119">
        <f t="shared" si="300"/>
        <v>45973.708333332652</v>
      </c>
      <c r="KA14" s="3119">
        <f t="shared" si="301"/>
        <v>45973.749999999316</v>
      </c>
      <c r="KB14" s="3119">
        <f t="shared" si="302"/>
        <v>45973.79166666598</v>
      </c>
      <c r="KC14" s="3119">
        <f t="shared" si="303"/>
        <v>45973.833333332645</v>
      </c>
      <c r="KD14" s="3119">
        <f t="shared" si="304"/>
        <v>45973.874999999309</v>
      </c>
      <c r="KE14" s="3119">
        <f t="shared" si="305"/>
        <v>45973.916666665973</v>
      </c>
      <c r="KF14" s="3119">
        <f t="shared" si="306"/>
        <v>45973.958333332637</v>
      </c>
      <c r="KG14" s="3119">
        <f t="shared" si="307"/>
        <v>45973.999999999302</v>
      </c>
      <c r="KH14" s="3119">
        <f t="shared" si="308"/>
        <v>45974.041666665966</v>
      </c>
      <c r="KI14" s="3119">
        <f t="shared" si="309"/>
        <v>45974.08333333263</v>
      </c>
      <c r="KJ14" s="3119">
        <f t="shared" si="310"/>
        <v>45974.124999999294</v>
      </c>
      <c r="KK14" s="3119">
        <f t="shared" si="311"/>
        <v>45974.166666665958</v>
      </c>
      <c r="KL14" s="3119">
        <f t="shared" si="312"/>
        <v>45974.208333332623</v>
      </c>
      <c r="KM14" s="3119">
        <f t="shared" si="313"/>
        <v>45974.249999999287</v>
      </c>
      <c r="KN14" s="3119">
        <f t="shared" si="314"/>
        <v>45974.291666665951</v>
      </c>
      <c r="KO14" s="3119">
        <f t="shared" si="315"/>
        <v>45974.333333332615</v>
      </c>
      <c r="KP14" s="3119">
        <f t="shared" si="316"/>
        <v>45974.37499999928</v>
      </c>
      <c r="KQ14" s="3119">
        <f t="shared" si="317"/>
        <v>45974.416666665944</v>
      </c>
      <c r="KR14" s="3119">
        <f t="shared" si="318"/>
        <v>45974.458333332608</v>
      </c>
      <c r="KS14" s="3119">
        <f t="shared" si="319"/>
        <v>45974.499999999272</v>
      </c>
      <c r="KT14" s="3119">
        <f t="shared" si="320"/>
        <v>45974.541666665937</v>
      </c>
      <c r="KU14" s="3119">
        <f t="shared" si="321"/>
        <v>45974.583333332601</v>
      </c>
      <c r="KV14" s="3119">
        <f t="shared" si="322"/>
        <v>45974.624999999265</v>
      </c>
      <c r="KW14" s="3119">
        <f t="shared" si="323"/>
        <v>45974.666666665929</v>
      </c>
      <c r="KX14" s="3119">
        <f t="shared" si="324"/>
        <v>45974.708333332594</v>
      </c>
      <c r="KY14" s="3119">
        <f t="shared" si="325"/>
        <v>45974.749999999258</v>
      </c>
      <c r="KZ14" s="3119">
        <f t="shared" si="326"/>
        <v>45974.791666665922</v>
      </c>
      <c r="LA14" s="3119">
        <f t="shared" si="327"/>
        <v>45974.833333332586</v>
      </c>
      <c r="LB14" s="3119">
        <f t="shared" si="328"/>
        <v>45974.874999999251</v>
      </c>
      <c r="LC14" s="3119">
        <f t="shared" si="329"/>
        <v>45974.916666665915</v>
      </c>
      <c r="LD14" s="3119">
        <f t="shared" si="330"/>
        <v>45974.958333332579</v>
      </c>
      <c r="LE14" s="3119">
        <f t="shared" si="331"/>
        <v>45974.999999999243</v>
      </c>
      <c r="LF14" s="3119">
        <f t="shared" si="332"/>
        <v>45975.041666665908</v>
      </c>
      <c r="LG14" s="3119">
        <f t="shared" si="333"/>
        <v>45975.083333332572</v>
      </c>
      <c r="LH14" s="3119">
        <f t="shared" si="334"/>
        <v>45975.124999999236</v>
      </c>
      <c r="LI14" s="3119">
        <f t="shared" si="335"/>
        <v>45975.1666666659</v>
      </c>
      <c r="LJ14" s="3119">
        <f t="shared" si="336"/>
        <v>45975.208333332565</v>
      </c>
      <c r="LK14" s="3119">
        <f t="shared" si="337"/>
        <v>45975.249999999229</v>
      </c>
      <c r="LL14" s="3119">
        <f t="shared" si="338"/>
        <v>45975.291666665893</v>
      </c>
      <c r="LM14" s="3119">
        <f t="shared" si="339"/>
        <v>45975.333333332557</v>
      </c>
      <c r="LN14" s="3119">
        <f t="shared" si="18"/>
        <v>45975.374999999221</v>
      </c>
      <c r="LO14" s="3119">
        <f t="shared" si="340"/>
        <v>45975.416666665886</v>
      </c>
      <c r="LP14" s="3119">
        <f t="shared" si="341"/>
        <v>45975.45833333255</v>
      </c>
      <c r="LQ14" s="3119">
        <f t="shared" si="342"/>
        <v>45975.499999999214</v>
      </c>
      <c r="LR14" s="3119">
        <f t="shared" si="343"/>
        <v>45975.541666665878</v>
      </c>
      <c r="LS14" s="3119">
        <f t="shared" si="344"/>
        <v>45975.583333332543</v>
      </c>
      <c r="LT14" s="3119">
        <f t="shared" si="345"/>
        <v>45975.624999999207</v>
      </c>
      <c r="LU14" s="3119">
        <f t="shared" si="346"/>
        <v>45975.666666665871</v>
      </c>
      <c r="LV14" s="3119">
        <f t="shared" si="347"/>
        <v>45975.708333332535</v>
      </c>
      <c r="LW14" s="3119">
        <f t="shared" si="348"/>
        <v>45975.7499999992</v>
      </c>
      <c r="LX14" s="3119">
        <f t="shared" si="349"/>
        <v>45975.791666665864</v>
      </c>
      <c r="LY14" s="3119">
        <f t="shared" si="350"/>
        <v>45975.833333332528</v>
      </c>
      <c r="LZ14" s="3119">
        <f t="shared" si="351"/>
        <v>45975.874999999192</v>
      </c>
      <c r="MA14" s="3119">
        <f t="shared" si="352"/>
        <v>45975.916666665857</v>
      </c>
      <c r="MB14" s="3119">
        <f t="shared" si="353"/>
        <v>45975.958333332521</v>
      </c>
      <c r="MC14" s="3119">
        <f t="shared" si="354"/>
        <v>45975.999999999185</v>
      </c>
      <c r="MD14" s="3119">
        <f t="shared" si="355"/>
        <v>45976.041666665849</v>
      </c>
      <c r="ME14" s="3119">
        <f t="shared" si="356"/>
        <v>45976.083333332514</v>
      </c>
      <c r="MF14" s="3119">
        <f t="shared" si="357"/>
        <v>45976.124999999178</v>
      </c>
      <c r="MG14" s="3119">
        <f t="shared" si="358"/>
        <v>45976.166666665842</v>
      </c>
      <c r="MH14" s="3119">
        <f t="shared" si="359"/>
        <v>45976.208333332506</v>
      </c>
      <c r="MI14" s="3119">
        <f t="shared" si="360"/>
        <v>45976.249999999171</v>
      </c>
      <c r="MJ14" s="3119">
        <f t="shared" si="361"/>
        <v>45976.291666665835</v>
      </c>
      <c r="MK14" s="3119">
        <f t="shared" si="362"/>
        <v>45976.333333332499</v>
      </c>
      <c r="ML14" s="3119">
        <f t="shared" si="363"/>
        <v>45976.374999999163</v>
      </c>
      <c r="MM14" s="3119">
        <f t="shared" si="364"/>
        <v>45976.416666665828</v>
      </c>
      <c r="MN14" s="3119">
        <f t="shared" si="365"/>
        <v>45976.458333332492</v>
      </c>
      <c r="MO14" s="3119">
        <f t="shared" si="366"/>
        <v>45976.499999999156</v>
      </c>
      <c r="MP14" s="3119">
        <f t="shared" si="367"/>
        <v>45976.54166666582</v>
      </c>
      <c r="MQ14" s="3119">
        <f t="shared" si="368"/>
        <v>45976.583333332484</v>
      </c>
      <c r="MR14" s="3119">
        <f t="shared" si="369"/>
        <v>45976.624999999149</v>
      </c>
      <c r="MS14" s="3119">
        <f t="shared" si="370"/>
        <v>45976.666666665813</v>
      </c>
      <c r="MT14" s="3119">
        <f t="shared" si="371"/>
        <v>45976.708333332477</v>
      </c>
      <c r="MU14" s="3119">
        <f t="shared" si="372"/>
        <v>45976.749999999141</v>
      </c>
      <c r="MV14" s="3119">
        <f t="shared" si="373"/>
        <v>45976.791666665806</v>
      </c>
      <c r="MW14" s="3119">
        <f t="shared" si="374"/>
        <v>45976.83333333247</v>
      </c>
      <c r="MX14" s="3119">
        <f t="shared" si="375"/>
        <v>45976.874999999134</v>
      </c>
      <c r="MY14" s="3119">
        <f t="shared" si="376"/>
        <v>45976.916666665798</v>
      </c>
      <c r="MZ14" s="3119">
        <f t="shared" si="377"/>
        <v>45976.958333332463</v>
      </c>
      <c r="NA14" s="3119">
        <f t="shared" si="378"/>
        <v>45976.999999999127</v>
      </c>
      <c r="NB14" s="3119">
        <f t="shared" si="379"/>
        <v>45977.041666665791</v>
      </c>
      <c r="NC14" s="3119">
        <f t="shared" si="380"/>
        <v>45977.083333332455</v>
      </c>
      <c r="ND14" s="3119">
        <f t="shared" si="381"/>
        <v>45977.12499999912</v>
      </c>
      <c r="NE14" s="3119">
        <f t="shared" si="382"/>
        <v>45977.166666665784</v>
      </c>
      <c r="NF14" s="3119">
        <f t="shared" si="383"/>
        <v>45977.208333332448</v>
      </c>
      <c r="NG14" s="3119">
        <f t="shared" si="384"/>
        <v>45977.249999999112</v>
      </c>
      <c r="NH14" s="3119">
        <f t="shared" si="385"/>
        <v>45977.291666665777</v>
      </c>
      <c r="NI14" s="3119">
        <f t="shared" si="386"/>
        <v>45977.333333332441</v>
      </c>
      <c r="NJ14" s="3119">
        <f t="shared" si="387"/>
        <v>45977.374999999105</v>
      </c>
      <c r="NK14" s="3119">
        <f t="shared" si="388"/>
        <v>45977.416666665769</v>
      </c>
      <c r="NL14" s="3119">
        <f t="shared" si="389"/>
        <v>45977.458333332434</v>
      </c>
      <c r="NM14" s="3119">
        <f t="shared" si="390"/>
        <v>45977.499999999098</v>
      </c>
      <c r="NN14" s="3119">
        <f t="shared" si="391"/>
        <v>45977.541666665762</v>
      </c>
      <c r="NO14" s="3119">
        <f t="shared" si="392"/>
        <v>45977.583333332426</v>
      </c>
      <c r="NP14" s="3119">
        <f t="shared" si="393"/>
        <v>45977.624999999091</v>
      </c>
      <c r="NQ14" s="3119">
        <f t="shared" si="394"/>
        <v>45977.666666665755</v>
      </c>
      <c r="NR14" s="3119">
        <f t="shared" si="395"/>
        <v>45977.708333332419</v>
      </c>
      <c r="NS14" s="3119">
        <f t="shared" si="396"/>
        <v>45977.749999999083</v>
      </c>
      <c r="NT14" s="3119">
        <f t="shared" si="397"/>
        <v>45977.791666665747</v>
      </c>
      <c r="NU14" s="3119">
        <f t="shared" si="398"/>
        <v>45977.833333332412</v>
      </c>
      <c r="NV14" s="3119">
        <f t="shared" si="399"/>
        <v>45977.874999999076</v>
      </c>
      <c r="NW14" s="3119">
        <f t="shared" si="400"/>
        <v>45977.91666666574</v>
      </c>
      <c r="NX14" s="3119">
        <f t="shared" si="401"/>
        <v>45977.958333332404</v>
      </c>
      <c r="NY14" s="3119">
        <f t="shared" si="402"/>
        <v>45977.999999999069</v>
      </c>
      <c r="NZ14" s="3119">
        <f t="shared" si="19"/>
        <v>45978.041666665733</v>
      </c>
      <c r="OA14" s="3119">
        <f t="shared" si="403"/>
        <v>45978.083333332397</v>
      </c>
      <c r="OB14" s="3119">
        <f t="shared" si="404"/>
        <v>45978.124999999061</v>
      </c>
      <c r="OC14" s="3119">
        <f t="shared" si="405"/>
        <v>45978.166666665726</v>
      </c>
      <c r="OD14" s="3119">
        <f t="shared" si="406"/>
        <v>45978.20833333239</v>
      </c>
      <c r="OE14" s="3119">
        <f t="shared" si="407"/>
        <v>45978.249999999054</v>
      </c>
      <c r="OF14" s="3119">
        <f t="shared" si="408"/>
        <v>45978.291666665718</v>
      </c>
      <c r="OG14" s="3119">
        <f t="shared" si="409"/>
        <v>45978.333333332383</v>
      </c>
      <c r="OH14" s="3119">
        <f t="shared" si="410"/>
        <v>45978.374999999047</v>
      </c>
      <c r="OI14" s="3119">
        <f t="shared" si="411"/>
        <v>45978.416666665711</v>
      </c>
      <c r="OJ14" s="3119">
        <f t="shared" si="412"/>
        <v>45978.458333332375</v>
      </c>
      <c r="OK14" s="3119">
        <f t="shared" si="413"/>
        <v>45978.49999999904</v>
      </c>
      <c r="OL14" s="3119">
        <f t="shared" si="414"/>
        <v>45978.541666665704</v>
      </c>
      <c r="OM14" s="3119">
        <f t="shared" si="415"/>
        <v>45978.583333332368</v>
      </c>
      <c r="ON14" s="3119">
        <f t="shared" si="416"/>
        <v>45978.624999999032</v>
      </c>
      <c r="OO14" s="3119">
        <f t="shared" si="417"/>
        <v>45978.666666665697</v>
      </c>
      <c r="OP14" s="3119">
        <f t="shared" si="418"/>
        <v>45978.708333332361</v>
      </c>
      <c r="OQ14" s="3119">
        <f t="shared" si="419"/>
        <v>45978.749999999025</v>
      </c>
      <c r="OR14" s="3119">
        <f t="shared" si="420"/>
        <v>45978.791666665689</v>
      </c>
      <c r="OS14" s="3119">
        <f t="shared" si="421"/>
        <v>45978.833333332354</v>
      </c>
      <c r="OT14" s="3119">
        <f t="shared" si="422"/>
        <v>45978.874999999018</v>
      </c>
      <c r="OU14" s="3119">
        <f t="shared" si="423"/>
        <v>45978.916666665682</v>
      </c>
      <c r="OV14" s="3119">
        <f t="shared" si="424"/>
        <v>45978.958333332346</v>
      </c>
      <c r="OW14" s="3119">
        <f t="shared" si="425"/>
        <v>45978.99999999901</v>
      </c>
      <c r="OX14" s="3119">
        <f t="shared" si="426"/>
        <v>45979.041666665675</v>
      </c>
      <c r="OY14" s="3119">
        <f t="shared" si="427"/>
        <v>45979.083333332339</v>
      </c>
      <c r="OZ14" s="3119">
        <f t="shared" si="428"/>
        <v>45979.124999999003</v>
      </c>
      <c r="PA14" s="3119">
        <f t="shared" si="429"/>
        <v>45979.166666665667</v>
      </c>
      <c r="PB14" s="3119">
        <f t="shared" si="430"/>
        <v>45979.208333332332</v>
      </c>
      <c r="PC14" s="3119">
        <f t="shared" si="431"/>
        <v>45979.249999998996</v>
      </c>
      <c r="PD14" s="3119">
        <f t="shared" si="432"/>
        <v>45979.29166666566</v>
      </c>
      <c r="PE14" s="3119">
        <f t="shared" si="433"/>
        <v>45979.333333332324</v>
      </c>
      <c r="PF14" s="3119">
        <f t="shared" si="434"/>
        <v>45979.374999998989</v>
      </c>
      <c r="PG14" s="3119">
        <f t="shared" si="435"/>
        <v>45979.416666665653</v>
      </c>
      <c r="PH14" s="3119">
        <f t="shared" si="436"/>
        <v>45979.458333332317</v>
      </c>
      <c r="PI14" s="3119">
        <f t="shared" si="437"/>
        <v>45979.499999998981</v>
      </c>
      <c r="PJ14" s="3119">
        <f t="shared" si="438"/>
        <v>45979.541666665646</v>
      </c>
      <c r="PK14" s="3119">
        <f t="shared" si="439"/>
        <v>45979.58333333231</v>
      </c>
      <c r="PL14" s="3119">
        <f t="shared" si="440"/>
        <v>45979.624999998974</v>
      </c>
      <c r="PM14" s="3119">
        <f t="shared" si="441"/>
        <v>45979.666666665638</v>
      </c>
      <c r="PN14" s="3119">
        <f t="shared" si="442"/>
        <v>45979.708333332303</v>
      </c>
      <c r="PO14" s="3119">
        <f t="shared" si="443"/>
        <v>45979.749999998967</v>
      </c>
      <c r="PP14" s="3119">
        <f t="shared" si="444"/>
        <v>45979.791666665631</v>
      </c>
      <c r="PQ14" s="3119">
        <f t="shared" si="445"/>
        <v>45979.833333332295</v>
      </c>
      <c r="PR14" s="3119">
        <f t="shared" si="446"/>
        <v>45979.87499999896</v>
      </c>
      <c r="PS14" s="3119">
        <f t="shared" si="447"/>
        <v>45979.916666665624</v>
      </c>
      <c r="PT14" s="3119">
        <f t="shared" si="448"/>
        <v>45979.958333332288</v>
      </c>
      <c r="PU14" s="3119">
        <f t="shared" si="449"/>
        <v>45979.999999998952</v>
      </c>
      <c r="PV14" s="3119">
        <f t="shared" si="450"/>
        <v>45980.041666665617</v>
      </c>
      <c r="PW14" s="3119">
        <f t="shared" si="451"/>
        <v>45980.083333332281</v>
      </c>
      <c r="PX14" s="3119">
        <f t="shared" si="452"/>
        <v>45980.124999998945</v>
      </c>
      <c r="PY14" s="3119">
        <f t="shared" si="453"/>
        <v>45980.166666665609</v>
      </c>
      <c r="PZ14" s="3119">
        <f t="shared" si="454"/>
        <v>45980.208333332273</v>
      </c>
      <c r="QA14" s="3119">
        <f t="shared" si="455"/>
        <v>45980.249999998938</v>
      </c>
      <c r="QB14" s="3119">
        <f t="shared" si="456"/>
        <v>45980.291666665602</v>
      </c>
      <c r="QC14" s="3119">
        <f t="shared" si="457"/>
        <v>45980.333333332266</v>
      </c>
      <c r="QD14" s="3119">
        <f t="shared" si="458"/>
        <v>45980.37499999893</v>
      </c>
      <c r="QE14" s="3119">
        <f t="shared" si="459"/>
        <v>45980.416666665595</v>
      </c>
      <c r="QF14" s="3119">
        <f t="shared" si="460"/>
        <v>45980.458333332259</v>
      </c>
      <c r="QG14" s="3119">
        <f t="shared" si="461"/>
        <v>45980.499999998923</v>
      </c>
      <c r="QH14" s="3119">
        <f t="shared" si="462"/>
        <v>45980.541666665587</v>
      </c>
      <c r="QI14" s="3119">
        <f t="shared" si="463"/>
        <v>45980.583333332252</v>
      </c>
      <c r="QJ14" s="3119">
        <f t="shared" si="464"/>
        <v>45980.624999998916</v>
      </c>
      <c r="QK14" s="3119">
        <f t="shared" si="465"/>
        <v>45980.66666666558</v>
      </c>
      <c r="QL14" s="3119">
        <f t="shared" si="20"/>
        <v>45980.708333332244</v>
      </c>
      <c r="QM14" s="3119">
        <f t="shared" si="466"/>
        <v>45980.749999998909</v>
      </c>
      <c r="QN14" s="3119">
        <f t="shared" si="467"/>
        <v>45980.791666665573</v>
      </c>
      <c r="QO14" s="3119">
        <f t="shared" si="468"/>
        <v>45980.833333332237</v>
      </c>
      <c r="QP14" s="3119">
        <f t="shared" si="469"/>
        <v>45980.874999998901</v>
      </c>
      <c r="QQ14" s="3119">
        <f t="shared" si="470"/>
        <v>45980.916666665566</v>
      </c>
      <c r="QR14" s="3119">
        <f t="shared" si="471"/>
        <v>45980.95833333223</v>
      </c>
      <c r="QS14" s="3119">
        <f t="shared" si="472"/>
        <v>45980.999999998894</v>
      </c>
      <c r="QT14" s="3119">
        <f t="shared" si="473"/>
        <v>45981.041666665558</v>
      </c>
      <c r="QU14" s="3119">
        <f t="shared" si="474"/>
        <v>45981.083333332223</v>
      </c>
      <c r="QV14" s="3119">
        <f t="shared" si="475"/>
        <v>45981.124999998887</v>
      </c>
      <c r="QW14" s="3119">
        <f t="shared" si="476"/>
        <v>45981.166666665551</v>
      </c>
      <c r="QX14" s="3119">
        <f t="shared" si="477"/>
        <v>45981.208333332215</v>
      </c>
      <c r="QY14" s="3119">
        <f t="shared" si="478"/>
        <v>45981.24999999888</v>
      </c>
      <c r="QZ14" s="3119">
        <f t="shared" si="479"/>
        <v>45981.291666665544</v>
      </c>
      <c r="RA14" s="3119">
        <f t="shared" si="480"/>
        <v>45981.333333332208</v>
      </c>
      <c r="RB14" s="3119">
        <f t="shared" si="481"/>
        <v>45981.374999998872</v>
      </c>
      <c r="RC14" s="3119">
        <f t="shared" si="482"/>
        <v>45981.416666665536</v>
      </c>
      <c r="RD14" s="3119">
        <f t="shared" si="483"/>
        <v>45981.458333332201</v>
      </c>
      <c r="RE14" s="3119">
        <f t="shared" si="484"/>
        <v>45981.499999998865</v>
      </c>
      <c r="RF14" s="3119">
        <f t="shared" si="485"/>
        <v>45981.541666665529</v>
      </c>
      <c r="RG14" s="3119">
        <f t="shared" si="486"/>
        <v>45981.583333332193</v>
      </c>
      <c r="RH14" s="3119">
        <f t="shared" si="487"/>
        <v>45981.624999998858</v>
      </c>
      <c r="RI14" s="3119">
        <f t="shared" si="488"/>
        <v>45981.666666665522</v>
      </c>
      <c r="RJ14" s="3119">
        <f t="shared" si="489"/>
        <v>45981.708333332186</v>
      </c>
      <c r="RK14" s="3119">
        <f t="shared" si="490"/>
        <v>45981.74999999885</v>
      </c>
      <c r="RL14" s="3119">
        <f t="shared" si="491"/>
        <v>45981.791666665515</v>
      </c>
      <c r="RM14" s="3119">
        <f t="shared" si="492"/>
        <v>45981.833333332179</v>
      </c>
      <c r="RN14" s="3119">
        <f t="shared" si="493"/>
        <v>45981.874999998843</v>
      </c>
      <c r="RO14" s="3119">
        <f t="shared" si="494"/>
        <v>45981.916666665507</v>
      </c>
      <c r="RP14" s="3119">
        <f t="shared" si="495"/>
        <v>45981.958333332172</v>
      </c>
      <c r="RQ14" s="3119">
        <f t="shared" si="496"/>
        <v>45981.999999998836</v>
      </c>
      <c r="RR14" s="3119">
        <f t="shared" si="497"/>
        <v>45982.0416666655</v>
      </c>
      <c r="RS14" s="3119">
        <f t="shared" si="498"/>
        <v>45982.083333332164</v>
      </c>
      <c r="RT14" s="3119">
        <f t="shared" si="499"/>
        <v>45982.124999998829</v>
      </c>
      <c r="RU14" s="3119">
        <f t="shared" si="500"/>
        <v>45982.166666665493</v>
      </c>
      <c r="RV14" s="3119">
        <f t="shared" si="501"/>
        <v>45982.208333332157</v>
      </c>
      <c r="RW14" s="3119">
        <f t="shared" si="502"/>
        <v>45982.249999998821</v>
      </c>
      <c r="RX14" s="3119">
        <f t="shared" si="503"/>
        <v>45982.291666665486</v>
      </c>
      <c r="RY14" s="3119">
        <f t="shared" si="504"/>
        <v>45982.33333333215</v>
      </c>
      <c r="RZ14" s="3119">
        <f t="shared" si="505"/>
        <v>45982.374999998814</v>
      </c>
      <c r="SA14" s="3119">
        <f t="shared" si="506"/>
        <v>45982.416666665478</v>
      </c>
      <c r="SB14" s="3119">
        <f t="shared" si="507"/>
        <v>45982.458333332143</v>
      </c>
      <c r="SC14" s="3119">
        <f t="shared" si="508"/>
        <v>45982.499999998807</v>
      </c>
      <c r="SD14" s="3119">
        <f t="shared" si="509"/>
        <v>45982.541666665471</v>
      </c>
      <c r="SE14" s="3119">
        <f t="shared" si="510"/>
        <v>45982.583333332135</v>
      </c>
      <c r="SF14" s="3119">
        <f t="shared" si="511"/>
        <v>45982.624999998799</v>
      </c>
      <c r="SG14" s="3119">
        <f t="shared" si="512"/>
        <v>45982.666666665464</v>
      </c>
      <c r="SH14" s="3119">
        <f t="shared" si="513"/>
        <v>45982.708333332128</v>
      </c>
      <c r="SI14" s="3119">
        <f t="shared" si="514"/>
        <v>45982.749999998792</v>
      </c>
      <c r="SJ14" s="3119">
        <f t="shared" si="515"/>
        <v>45982.791666665456</v>
      </c>
      <c r="SK14" s="3119">
        <f t="shared" si="516"/>
        <v>45982.833333332121</v>
      </c>
      <c r="SL14" s="3119">
        <f t="shared" si="517"/>
        <v>45982.874999998785</v>
      </c>
      <c r="SM14" s="3119">
        <f t="shared" si="518"/>
        <v>45982.916666665449</v>
      </c>
      <c r="SN14" s="3119">
        <f t="shared" si="519"/>
        <v>45982.958333332113</v>
      </c>
      <c r="SO14" s="3119">
        <f t="shared" si="520"/>
        <v>45982.999999998778</v>
      </c>
      <c r="SP14" s="3119">
        <f t="shared" si="521"/>
        <v>45983.041666665442</v>
      </c>
      <c r="SQ14" s="3119">
        <f t="shared" si="522"/>
        <v>45983.083333332106</v>
      </c>
      <c r="SR14" s="3119">
        <f t="shared" si="523"/>
        <v>45983.12499999877</v>
      </c>
      <c r="SS14" s="3119">
        <f t="shared" si="524"/>
        <v>45983.166666665435</v>
      </c>
      <c r="ST14" s="3119">
        <f t="shared" si="525"/>
        <v>45983.208333332099</v>
      </c>
      <c r="SU14" s="3119">
        <f t="shared" si="526"/>
        <v>45983.249999998763</v>
      </c>
      <c r="SV14" s="3119">
        <f t="shared" si="527"/>
        <v>45983.291666665427</v>
      </c>
      <c r="SW14" s="3119">
        <f t="shared" si="528"/>
        <v>45983.333333332092</v>
      </c>
      <c r="SX14" s="3119">
        <f t="shared" si="21"/>
        <v>45983.374999998756</v>
      </c>
      <c r="SY14" s="3119">
        <f t="shared" si="529"/>
        <v>45983.41666666542</v>
      </c>
      <c r="SZ14" s="3119">
        <f t="shared" si="530"/>
        <v>45983.458333332084</v>
      </c>
      <c r="TA14" s="3119">
        <f t="shared" si="531"/>
        <v>45983.499999998749</v>
      </c>
      <c r="TB14" s="3119">
        <f t="shared" si="532"/>
        <v>45983.541666665413</v>
      </c>
      <c r="TC14" s="3119">
        <f t="shared" si="533"/>
        <v>45983.583333332077</v>
      </c>
      <c r="TD14" s="3119">
        <f t="shared" si="534"/>
        <v>45983.624999998741</v>
      </c>
      <c r="TE14" s="3119">
        <f t="shared" si="535"/>
        <v>45983.666666665406</v>
      </c>
      <c r="TF14" s="3119">
        <f t="shared" si="536"/>
        <v>45983.70833333207</v>
      </c>
      <c r="TG14" s="3119">
        <f t="shared" si="537"/>
        <v>45983.749999998734</v>
      </c>
      <c r="TH14" s="3119">
        <f t="shared" si="538"/>
        <v>45983.791666665398</v>
      </c>
      <c r="TI14" s="3119">
        <f t="shared" si="539"/>
        <v>45983.833333332062</v>
      </c>
      <c r="TJ14" s="3119">
        <f t="shared" si="540"/>
        <v>45983.874999998727</v>
      </c>
      <c r="TK14" s="3119">
        <f t="shared" si="541"/>
        <v>45983.916666665391</v>
      </c>
      <c r="TL14" s="3119">
        <f t="shared" si="542"/>
        <v>45983.958333332055</v>
      </c>
      <c r="TM14" s="3119">
        <f t="shared" si="543"/>
        <v>45983.999999998719</v>
      </c>
      <c r="TN14" s="3119">
        <f t="shared" si="544"/>
        <v>45984.041666665384</v>
      </c>
      <c r="TO14" s="3119">
        <f t="shared" si="545"/>
        <v>45984.083333332048</v>
      </c>
      <c r="TP14" s="3119">
        <f t="shared" si="546"/>
        <v>45984.124999998712</v>
      </c>
      <c r="TQ14" s="3119">
        <f t="shared" si="547"/>
        <v>45984.166666665376</v>
      </c>
      <c r="TR14" s="3119">
        <f t="shared" si="548"/>
        <v>45984.208333332041</v>
      </c>
      <c r="TS14" s="3119">
        <f t="shared" si="549"/>
        <v>45984.249999998705</v>
      </c>
      <c r="TT14" s="3119">
        <f t="shared" si="550"/>
        <v>45984.291666665369</v>
      </c>
      <c r="TU14" s="3119">
        <f t="shared" si="551"/>
        <v>45984.333333332033</v>
      </c>
      <c r="TV14" s="3119">
        <f t="shared" si="552"/>
        <v>45984.374999998698</v>
      </c>
      <c r="TW14" s="3119">
        <f t="shared" si="553"/>
        <v>45984.416666665362</v>
      </c>
      <c r="TX14" s="3119">
        <f t="shared" si="554"/>
        <v>45984.458333332026</v>
      </c>
      <c r="TY14" s="3119">
        <f t="shared" si="555"/>
        <v>45984.49999999869</v>
      </c>
      <c r="TZ14" s="3119">
        <f t="shared" si="556"/>
        <v>45984.541666665355</v>
      </c>
      <c r="UA14" s="3119">
        <f t="shared" si="557"/>
        <v>45984.583333332019</v>
      </c>
      <c r="UB14" s="3119">
        <f t="shared" si="558"/>
        <v>45984.624999998683</v>
      </c>
      <c r="UC14" s="3119">
        <f t="shared" si="559"/>
        <v>45984.666666665347</v>
      </c>
      <c r="UD14" s="3119">
        <f t="shared" si="560"/>
        <v>45984.708333332012</v>
      </c>
      <c r="UE14" s="3119">
        <f t="shared" si="561"/>
        <v>45984.749999998676</v>
      </c>
      <c r="UF14" s="3119">
        <f t="shared" si="562"/>
        <v>45984.79166666534</v>
      </c>
      <c r="UG14" s="3119">
        <f t="shared" si="563"/>
        <v>45984.833333332004</v>
      </c>
      <c r="UH14" s="3119">
        <f t="shared" si="564"/>
        <v>45984.874999998668</v>
      </c>
      <c r="UI14" s="3119">
        <f t="shared" si="565"/>
        <v>45984.916666665333</v>
      </c>
      <c r="UJ14" s="3119">
        <f t="shared" si="566"/>
        <v>45984.958333331997</v>
      </c>
      <c r="UK14" s="3119">
        <f t="shared" si="567"/>
        <v>45984.999999998661</v>
      </c>
      <c r="UL14" s="3119">
        <f t="shared" si="568"/>
        <v>45985.041666665325</v>
      </c>
      <c r="UM14" s="3119">
        <f t="shared" si="569"/>
        <v>45985.08333333199</v>
      </c>
      <c r="UN14" s="3119">
        <f t="shared" si="570"/>
        <v>45985.124999998654</v>
      </c>
      <c r="UO14" s="3119">
        <f t="shared" si="571"/>
        <v>45985.166666665318</v>
      </c>
      <c r="UP14" s="3119">
        <f t="shared" si="572"/>
        <v>45985.208333331982</v>
      </c>
      <c r="UQ14" s="3119">
        <f t="shared" si="573"/>
        <v>45985.249999998647</v>
      </c>
      <c r="UR14" s="3119">
        <f t="shared" si="574"/>
        <v>45985.291666665311</v>
      </c>
      <c r="US14" s="3119">
        <f t="shared" si="575"/>
        <v>45985.333333331975</v>
      </c>
      <c r="UT14" s="3119">
        <f t="shared" si="576"/>
        <v>45985.374999998639</v>
      </c>
      <c r="UU14" s="3119">
        <f t="shared" si="577"/>
        <v>45985.416666665304</v>
      </c>
      <c r="UV14" s="3119">
        <f t="shared" si="578"/>
        <v>45985.458333331968</v>
      </c>
      <c r="UW14" s="3119">
        <f t="shared" si="579"/>
        <v>45985.499999998632</v>
      </c>
      <c r="UX14" s="3119">
        <f t="shared" si="580"/>
        <v>45985.541666665296</v>
      </c>
      <c r="UY14" s="3119">
        <f t="shared" si="581"/>
        <v>45985.583333331961</v>
      </c>
      <c r="UZ14" s="3119">
        <f t="shared" si="582"/>
        <v>45985.624999998625</v>
      </c>
      <c r="VA14" s="3119">
        <f t="shared" si="583"/>
        <v>45985.666666665289</v>
      </c>
      <c r="VB14" s="3119">
        <f t="shared" si="584"/>
        <v>45985.708333331953</v>
      </c>
      <c r="VC14" s="3119">
        <f t="shared" si="585"/>
        <v>45985.749999998618</v>
      </c>
      <c r="VD14" s="3119">
        <f t="shared" si="586"/>
        <v>45985.791666665282</v>
      </c>
      <c r="VE14" s="3119">
        <f t="shared" si="587"/>
        <v>45985.833333331946</v>
      </c>
      <c r="VF14" s="3119">
        <f t="shared" si="588"/>
        <v>45985.87499999861</v>
      </c>
      <c r="VG14" s="3119">
        <f t="shared" si="589"/>
        <v>45985.916666665275</v>
      </c>
      <c r="VH14" s="3119">
        <f t="shared" si="590"/>
        <v>45985.958333331939</v>
      </c>
      <c r="VI14" s="3119">
        <f t="shared" si="591"/>
        <v>45985.999999998603</v>
      </c>
      <c r="VJ14" s="3119">
        <f t="shared" si="22"/>
        <v>45986.041666665267</v>
      </c>
      <c r="VK14" s="3119">
        <f t="shared" si="592"/>
        <v>45986.083333331931</v>
      </c>
      <c r="VL14" s="3119">
        <f t="shared" si="593"/>
        <v>45986.124999998596</v>
      </c>
      <c r="VM14" s="3119">
        <f t="shared" si="594"/>
        <v>45986.16666666526</v>
      </c>
      <c r="VN14" s="3119">
        <f t="shared" si="595"/>
        <v>45986.208333331924</v>
      </c>
      <c r="VO14" s="3119">
        <f t="shared" si="596"/>
        <v>45986.249999998588</v>
      </c>
      <c r="VP14" s="3119">
        <f t="shared" si="597"/>
        <v>45986.291666665253</v>
      </c>
      <c r="VQ14" s="3119">
        <f t="shared" si="598"/>
        <v>45986.333333331917</v>
      </c>
      <c r="VR14" s="3119">
        <f t="shared" si="599"/>
        <v>45986.374999998581</v>
      </c>
      <c r="VS14" s="3119">
        <f t="shared" si="600"/>
        <v>45986.416666665245</v>
      </c>
      <c r="VT14" s="3119">
        <f t="shared" si="601"/>
        <v>45986.45833333191</v>
      </c>
      <c r="VU14" s="3119">
        <f t="shared" si="602"/>
        <v>45986.499999998574</v>
      </c>
      <c r="VV14" s="3119">
        <f t="shared" si="603"/>
        <v>45986.541666665238</v>
      </c>
      <c r="VW14" s="3119">
        <f t="shared" si="604"/>
        <v>45986.583333331902</v>
      </c>
      <c r="VX14" s="3119">
        <f t="shared" si="605"/>
        <v>45986.624999998567</v>
      </c>
      <c r="VY14" s="3119">
        <f t="shared" si="606"/>
        <v>45986.666666665231</v>
      </c>
      <c r="VZ14" s="3119">
        <f t="shared" si="607"/>
        <v>45986.708333331895</v>
      </c>
      <c r="WA14" s="3119">
        <f t="shared" si="608"/>
        <v>45986.749999998559</v>
      </c>
      <c r="WB14" s="3119">
        <f t="shared" si="609"/>
        <v>45986.791666665224</v>
      </c>
      <c r="WC14" s="3119">
        <f t="shared" si="610"/>
        <v>45986.833333331888</v>
      </c>
      <c r="WD14" s="3119">
        <f t="shared" si="611"/>
        <v>45986.874999998552</v>
      </c>
      <c r="WE14" s="3119">
        <f t="shared" si="612"/>
        <v>45986.916666665216</v>
      </c>
      <c r="WF14" s="3119">
        <f t="shared" si="613"/>
        <v>45986.958333331881</v>
      </c>
      <c r="WG14" s="3119">
        <f t="shared" si="614"/>
        <v>45986.999999998545</v>
      </c>
      <c r="WH14" s="3119">
        <f t="shared" si="615"/>
        <v>45987.041666665209</v>
      </c>
      <c r="WI14" s="3119">
        <f t="shared" si="616"/>
        <v>45987.083333331873</v>
      </c>
      <c r="WJ14" s="3119">
        <f t="shared" si="617"/>
        <v>45987.124999998538</v>
      </c>
      <c r="WK14" s="3119">
        <f t="shared" si="618"/>
        <v>45987.166666665202</v>
      </c>
      <c r="WL14" s="3119">
        <f t="shared" si="619"/>
        <v>45987.208333331866</v>
      </c>
      <c r="WM14" s="3119">
        <f t="shared" si="620"/>
        <v>45987.24999999853</v>
      </c>
      <c r="WN14" s="3119">
        <f t="shared" si="621"/>
        <v>45987.291666665194</v>
      </c>
      <c r="WO14" s="3119">
        <f t="shared" si="622"/>
        <v>45987.333333331859</v>
      </c>
      <c r="WP14" s="3119">
        <f t="shared" si="623"/>
        <v>45987.374999998523</v>
      </c>
      <c r="WQ14" s="3119">
        <f t="shared" si="624"/>
        <v>45987.416666665187</v>
      </c>
      <c r="WR14" s="3119">
        <f t="shared" si="625"/>
        <v>45987.458333331851</v>
      </c>
      <c r="WS14" s="3119">
        <f t="shared" si="626"/>
        <v>45987.499999998516</v>
      </c>
      <c r="WT14" s="3119">
        <f t="shared" si="627"/>
        <v>45987.54166666518</v>
      </c>
      <c r="WU14" s="3119">
        <f t="shared" si="628"/>
        <v>45987.583333331844</v>
      </c>
      <c r="WV14" s="3119">
        <f t="shared" si="629"/>
        <v>45987.624999998508</v>
      </c>
      <c r="WW14" s="3119">
        <f t="shared" si="630"/>
        <v>45987.666666665173</v>
      </c>
      <c r="WX14" s="3119">
        <f t="shared" si="631"/>
        <v>45987.708333331837</v>
      </c>
      <c r="WY14" s="3119">
        <f t="shared" si="632"/>
        <v>45987.749999998501</v>
      </c>
      <c r="WZ14" s="3119">
        <f t="shared" si="633"/>
        <v>45987.791666665165</v>
      </c>
      <c r="XA14" s="3119">
        <f t="shared" si="634"/>
        <v>45987.83333333183</v>
      </c>
      <c r="XB14" s="3119">
        <f t="shared" si="635"/>
        <v>45987.874999998494</v>
      </c>
      <c r="XC14" s="3119">
        <f t="shared" si="636"/>
        <v>45987.916666665158</v>
      </c>
      <c r="XD14" s="3119">
        <f t="shared" si="637"/>
        <v>45987.958333331822</v>
      </c>
      <c r="XE14" s="3119">
        <f t="shared" si="638"/>
        <v>45987.999999998487</v>
      </c>
      <c r="XF14" s="3119">
        <f t="shared" si="639"/>
        <v>45988.041666665151</v>
      </c>
      <c r="XG14" s="3119">
        <f t="shared" si="640"/>
        <v>45988.083333331815</v>
      </c>
      <c r="XH14" s="3119">
        <f t="shared" si="641"/>
        <v>45988.124999998479</v>
      </c>
      <c r="XI14" s="3119">
        <f t="shared" si="642"/>
        <v>45988.166666665144</v>
      </c>
      <c r="XJ14" s="3119">
        <f t="shared" si="643"/>
        <v>45988.208333331808</v>
      </c>
      <c r="XK14" s="3119">
        <f t="shared" si="644"/>
        <v>45988.249999998472</v>
      </c>
      <c r="XL14" s="3119">
        <f t="shared" si="645"/>
        <v>45988.291666665136</v>
      </c>
      <c r="XM14" s="3119">
        <f t="shared" si="646"/>
        <v>45988.333333331801</v>
      </c>
      <c r="XN14" s="3119">
        <f t="shared" si="647"/>
        <v>45988.374999998465</v>
      </c>
      <c r="XO14" s="3119">
        <f t="shared" si="648"/>
        <v>45988.416666665129</v>
      </c>
      <c r="XP14" s="3119">
        <f t="shared" si="649"/>
        <v>45988.458333331793</v>
      </c>
      <c r="XQ14" s="3119">
        <f t="shared" si="650"/>
        <v>45988.499999998457</v>
      </c>
      <c r="XR14" s="3119">
        <f t="shared" si="651"/>
        <v>45988.541666665122</v>
      </c>
      <c r="XS14" s="3119">
        <f t="shared" si="652"/>
        <v>45988.583333331786</v>
      </c>
      <c r="XT14" s="3119">
        <f t="shared" si="653"/>
        <v>45988.62499999845</v>
      </c>
      <c r="XU14" s="3119">
        <f t="shared" si="654"/>
        <v>45988.666666665114</v>
      </c>
      <c r="XV14" s="3119">
        <f t="shared" si="23"/>
        <v>45988.708333331779</v>
      </c>
      <c r="XW14" s="3119">
        <f t="shared" si="655"/>
        <v>45988.749999998443</v>
      </c>
      <c r="XX14" s="3119">
        <f t="shared" si="656"/>
        <v>45988.791666665107</v>
      </c>
      <c r="XY14" s="3119">
        <f t="shared" si="657"/>
        <v>45988.833333331771</v>
      </c>
      <c r="XZ14" s="3119">
        <f t="shared" si="658"/>
        <v>45988.874999998436</v>
      </c>
      <c r="YA14" s="3119">
        <f t="shared" si="659"/>
        <v>45988.9166666651</v>
      </c>
      <c r="YB14" s="3119">
        <f t="shared" si="660"/>
        <v>45988.958333331764</v>
      </c>
      <c r="YC14" s="3119">
        <f t="shared" si="661"/>
        <v>45988.999999998428</v>
      </c>
      <c r="YD14" s="3119">
        <f t="shared" si="662"/>
        <v>45989.041666665093</v>
      </c>
      <c r="YE14" s="3119">
        <f t="shared" si="663"/>
        <v>45989.083333331757</v>
      </c>
      <c r="YF14" s="3119">
        <f t="shared" si="664"/>
        <v>45989.124999998421</v>
      </c>
      <c r="YG14" s="3119">
        <f t="shared" si="665"/>
        <v>45989.166666665085</v>
      </c>
      <c r="YH14" s="3119">
        <f t="shared" si="666"/>
        <v>45989.20833333175</v>
      </c>
      <c r="YI14" s="3119">
        <f t="shared" si="667"/>
        <v>45989.249999998414</v>
      </c>
      <c r="YJ14" s="3119">
        <f t="shared" si="668"/>
        <v>45989.291666665078</v>
      </c>
      <c r="YK14" s="3119">
        <f t="shared" si="669"/>
        <v>45989.333333331742</v>
      </c>
      <c r="YL14" s="3119">
        <f t="shared" si="670"/>
        <v>45989.374999998407</v>
      </c>
      <c r="YM14" s="3119">
        <f t="shared" si="671"/>
        <v>45989.416666665071</v>
      </c>
      <c r="YN14" s="3119">
        <f t="shared" si="672"/>
        <v>45989.458333331735</v>
      </c>
      <c r="YO14" s="3119">
        <f t="shared" si="673"/>
        <v>45989.499999998399</v>
      </c>
      <c r="YP14" s="3119">
        <f t="shared" si="674"/>
        <v>45989.541666665064</v>
      </c>
      <c r="YQ14" s="3119">
        <f t="shared" si="675"/>
        <v>45989.583333331728</v>
      </c>
      <c r="YR14" s="3119">
        <f t="shared" si="676"/>
        <v>45989.624999998392</v>
      </c>
      <c r="YS14" s="3119">
        <f t="shared" si="677"/>
        <v>45989.666666665056</v>
      </c>
      <c r="YT14" s="3119">
        <f t="shared" si="678"/>
        <v>45989.70833333172</v>
      </c>
      <c r="YU14" s="3119">
        <f t="shared" si="679"/>
        <v>45989.749999998385</v>
      </c>
      <c r="YV14" s="3119">
        <f t="shared" si="680"/>
        <v>45989.791666665049</v>
      </c>
      <c r="YW14" s="3119">
        <f t="shared" si="681"/>
        <v>45989.833333331713</v>
      </c>
      <c r="YX14" s="3119">
        <f t="shared" si="682"/>
        <v>45989.874999998377</v>
      </c>
      <c r="YY14" s="3119">
        <f t="shared" si="683"/>
        <v>45989.916666665042</v>
      </c>
      <c r="YZ14" s="3119">
        <f t="shared" si="684"/>
        <v>45989.958333331706</v>
      </c>
      <c r="ZA14" s="3119">
        <f t="shared" si="685"/>
        <v>45989.99999999837</v>
      </c>
      <c r="ZB14" s="3119">
        <f t="shared" si="686"/>
        <v>45990.041666665034</v>
      </c>
      <c r="ZC14" s="3119">
        <f t="shared" si="687"/>
        <v>45990.083333331699</v>
      </c>
      <c r="ZD14" s="3119">
        <f t="shared" si="688"/>
        <v>45990.124999998363</v>
      </c>
      <c r="ZE14" s="3119">
        <f t="shared" si="689"/>
        <v>45990.166666665027</v>
      </c>
      <c r="ZF14" s="3119">
        <f t="shared" si="690"/>
        <v>45990.208333331691</v>
      </c>
      <c r="ZG14" s="3119">
        <f t="shared" si="691"/>
        <v>45990.249999998356</v>
      </c>
      <c r="ZH14" s="3119">
        <f t="shared" si="692"/>
        <v>45990.29166666502</v>
      </c>
      <c r="ZI14" s="3119">
        <f t="shared" si="693"/>
        <v>45990.333333331684</v>
      </c>
      <c r="ZJ14" s="3119">
        <f t="shared" si="694"/>
        <v>45990.374999998348</v>
      </c>
      <c r="ZK14" s="3119">
        <f t="shared" si="695"/>
        <v>45990.416666665013</v>
      </c>
      <c r="ZL14" s="3119">
        <f t="shared" si="696"/>
        <v>45990.458333331677</v>
      </c>
      <c r="ZM14" s="3119">
        <f t="shared" si="697"/>
        <v>45990.499999998341</v>
      </c>
      <c r="ZN14" s="3119">
        <f t="shared" si="698"/>
        <v>45990.541666665005</v>
      </c>
      <c r="ZO14" s="3119">
        <f t="shared" si="699"/>
        <v>45990.58333333167</v>
      </c>
      <c r="ZP14" s="3119">
        <f t="shared" si="700"/>
        <v>45990.624999998334</v>
      </c>
      <c r="ZQ14" s="3119">
        <f t="shared" si="701"/>
        <v>45990.666666664998</v>
      </c>
      <c r="ZR14" s="3119">
        <f t="shared" si="702"/>
        <v>45990.708333331662</v>
      </c>
      <c r="ZS14" s="3119">
        <f t="shared" si="703"/>
        <v>45990.749999998327</v>
      </c>
      <c r="ZT14" s="3119">
        <f t="shared" si="704"/>
        <v>45990.791666664991</v>
      </c>
      <c r="ZU14" s="3119">
        <f t="shared" si="705"/>
        <v>45990.833333331655</v>
      </c>
      <c r="ZV14" s="3119">
        <f t="shared" si="706"/>
        <v>45990.874999998319</v>
      </c>
      <c r="ZW14" s="3119">
        <f t="shared" si="707"/>
        <v>45990.916666664983</v>
      </c>
      <c r="ZX14" s="3119">
        <f t="shared" si="708"/>
        <v>45990.958333331648</v>
      </c>
      <c r="ZY14" s="3119">
        <f t="shared" si="709"/>
        <v>45990.999999998312</v>
      </c>
      <c r="ZZ14" s="3119">
        <f t="shared" si="710"/>
        <v>45991.041666664976</v>
      </c>
      <c r="AAA14" s="3119">
        <f t="shared" si="711"/>
        <v>45991.08333333164</v>
      </c>
      <c r="AAB14" s="3119">
        <f t="shared" si="712"/>
        <v>45991.124999998305</v>
      </c>
      <c r="AAC14" s="3119">
        <f t="shared" si="713"/>
        <v>45991.166666664969</v>
      </c>
      <c r="AAD14" s="3119">
        <f t="shared" si="714"/>
        <v>45991.208333331633</v>
      </c>
      <c r="AAE14" s="3119">
        <f t="shared" si="715"/>
        <v>45991.249999998297</v>
      </c>
      <c r="AAF14" s="3119">
        <f t="shared" si="716"/>
        <v>45991.291666664962</v>
      </c>
      <c r="AAG14" s="3119">
        <f t="shared" si="717"/>
        <v>45991.333333331626</v>
      </c>
      <c r="AAH14" s="3119">
        <f t="shared" si="24"/>
        <v>45991.37499999829</v>
      </c>
      <c r="AAI14" s="3119">
        <f t="shared" si="12"/>
        <v>45991.416666664954</v>
      </c>
      <c r="AAJ14" s="3119">
        <f t="shared" si="12"/>
        <v>45991.458333331619</v>
      </c>
      <c r="AAK14" s="3119">
        <f t="shared" si="12"/>
        <v>45991.499999998283</v>
      </c>
      <c r="AAL14" s="3119">
        <f t="shared" si="12"/>
        <v>45991.541666664947</v>
      </c>
      <c r="AAM14" s="3119">
        <f t="shared" si="12"/>
        <v>45991.583333331611</v>
      </c>
      <c r="AAN14" s="3119">
        <f t="shared" si="12"/>
        <v>45991.624999998276</v>
      </c>
      <c r="AAO14" s="3119">
        <f t="shared" si="12"/>
        <v>45991.66666666494</v>
      </c>
      <c r="AAP14" s="3119">
        <f t="shared" si="12"/>
        <v>45991.708333331604</v>
      </c>
      <c r="AAQ14" s="3119">
        <f t="shared" si="12"/>
        <v>45991.749999998268</v>
      </c>
      <c r="AAR14" s="3119">
        <f t="shared" si="12"/>
        <v>45991.791666664933</v>
      </c>
      <c r="AAS14" s="3119">
        <f t="shared" si="12"/>
        <v>45991.833333331597</v>
      </c>
      <c r="AAT14" s="3119">
        <f t="shared" si="12"/>
        <v>45991.874999998261</v>
      </c>
      <c r="AAU14" s="3119">
        <f t="shared" si="12"/>
        <v>45991.916666664925</v>
      </c>
      <c r="AAV14" s="3119">
        <f t="shared" si="12"/>
        <v>45991.95833333159</v>
      </c>
    </row>
    <row r="15" spans="1:724" s="282" customFormat="1" ht="13">
      <c r="A15" s="3115" t="s">
        <v>1548</v>
      </c>
      <c r="B15" s="3119">
        <v>45985.375</v>
      </c>
      <c r="C15" s="3119">
        <v>45991.75</v>
      </c>
      <c r="D15" s="3116">
        <f t="shared" si="0"/>
        <v>153</v>
      </c>
      <c r="E15" s="3119">
        <v>45962</v>
      </c>
      <c r="F15" s="3119">
        <f t="shared" si="13"/>
        <v>45962.041666666664</v>
      </c>
      <c r="G15" s="3119">
        <f t="shared" si="25"/>
        <v>45962.083333333328</v>
      </c>
      <c r="H15" s="3119">
        <f t="shared" si="26"/>
        <v>45962.124999999993</v>
      </c>
      <c r="I15" s="3119">
        <f t="shared" si="27"/>
        <v>45962.166666666657</v>
      </c>
      <c r="J15" s="3119">
        <f t="shared" si="28"/>
        <v>45962.208333333321</v>
      </c>
      <c r="K15" s="3119">
        <f t="shared" si="29"/>
        <v>45962.249999999985</v>
      </c>
      <c r="L15" s="3119">
        <f t="shared" si="30"/>
        <v>45962.29166666665</v>
      </c>
      <c r="M15" s="3119">
        <f t="shared" si="31"/>
        <v>45962.333333333314</v>
      </c>
      <c r="N15" s="3119">
        <f t="shared" si="32"/>
        <v>45962.374999999978</v>
      </c>
      <c r="O15" s="3119">
        <f t="shared" si="33"/>
        <v>45962.416666666642</v>
      </c>
      <c r="P15" s="3119">
        <f t="shared" si="34"/>
        <v>45962.458333333307</v>
      </c>
      <c r="Q15" s="3119">
        <f t="shared" si="35"/>
        <v>45962.499999999971</v>
      </c>
      <c r="R15" s="3119">
        <f t="shared" si="36"/>
        <v>45962.541666666635</v>
      </c>
      <c r="S15" s="3119">
        <f t="shared" si="37"/>
        <v>45962.583333333299</v>
      </c>
      <c r="T15" s="3119">
        <f t="shared" si="38"/>
        <v>45962.624999999964</v>
      </c>
      <c r="U15" s="3119">
        <f t="shared" si="39"/>
        <v>45962.666666666628</v>
      </c>
      <c r="V15" s="3119">
        <f t="shared" si="40"/>
        <v>45962.708333333292</v>
      </c>
      <c r="W15" s="3119">
        <f t="shared" si="41"/>
        <v>45962.749999999956</v>
      </c>
      <c r="X15" s="3119">
        <f t="shared" si="42"/>
        <v>45962.791666666621</v>
      </c>
      <c r="Y15" s="3119">
        <f t="shared" si="43"/>
        <v>45962.833333333285</v>
      </c>
      <c r="Z15" s="3119">
        <f t="shared" si="44"/>
        <v>45962.874999999949</v>
      </c>
      <c r="AA15" s="3119">
        <f t="shared" si="45"/>
        <v>45962.916666666613</v>
      </c>
      <c r="AB15" s="3119">
        <f t="shared" si="46"/>
        <v>45962.958333333278</v>
      </c>
      <c r="AC15" s="3119">
        <f t="shared" si="47"/>
        <v>45962.999999999942</v>
      </c>
      <c r="AD15" s="3119">
        <f t="shared" si="48"/>
        <v>45963.041666666606</v>
      </c>
      <c r="AE15" s="3119">
        <f t="shared" si="49"/>
        <v>45963.08333333327</v>
      </c>
      <c r="AF15" s="3119">
        <f t="shared" si="50"/>
        <v>45963.124999999935</v>
      </c>
      <c r="AG15" s="3119">
        <f t="shared" si="51"/>
        <v>45963.166666666599</v>
      </c>
      <c r="AH15" s="3119">
        <f t="shared" si="52"/>
        <v>45963.208333333263</v>
      </c>
      <c r="AI15" s="3119">
        <f t="shared" si="53"/>
        <v>45963.249999999927</v>
      </c>
      <c r="AJ15" s="3119">
        <f t="shared" si="54"/>
        <v>45963.291666666591</v>
      </c>
      <c r="AK15" s="3119">
        <f t="shared" si="55"/>
        <v>45963.333333333256</v>
      </c>
      <c r="AL15" s="3119">
        <f t="shared" si="56"/>
        <v>45963.37499999992</v>
      </c>
      <c r="AM15" s="3119">
        <f t="shared" si="57"/>
        <v>45963.416666666584</v>
      </c>
      <c r="AN15" s="3119">
        <f t="shared" si="58"/>
        <v>45963.458333333248</v>
      </c>
      <c r="AO15" s="3119">
        <f t="shared" si="59"/>
        <v>45963.499999999913</v>
      </c>
      <c r="AP15" s="3119">
        <f t="shared" si="60"/>
        <v>45963.541666666577</v>
      </c>
      <c r="AQ15" s="3119">
        <f t="shared" si="61"/>
        <v>45963.583333333241</v>
      </c>
      <c r="AR15" s="3119">
        <f t="shared" si="62"/>
        <v>45963.624999999905</v>
      </c>
      <c r="AS15" s="3119">
        <f t="shared" si="63"/>
        <v>45963.66666666657</v>
      </c>
      <c r="AT15" s="3119">
        <f t="shared" si="64"/>
        <v>45963.708333333234</v>
      </c>
      <c r="AU15" s="3119">
        <f t="shared" si="65"/>
        <v>45963.749999999898</v>
      </c>
      <c r="AV15" s="3119">
        <f t="shared" si="66"/>
        <v>45963.791666666562</v>
      </c>
      <c r="AW15" s="3119">
        <f t="shared" si="67"/>
        <v>45963.833333333227</v>
      </c>
      <c r="AX15" s="3119">
        <f t="shared" si="68"/>
        <v>45963.874999999891</v>
      </c>
      <c r="AY15" s="3119">
        <f t="shared" si="69"/>
        <v>45963.916666666555</v>
      </c>
      <c r="AZ15" s="3119">
        <f t="shared" si="70"/>
        <v>45963.958333333219</v>
      </c>
      <c r="BA15" s="3119">
        <f t="shared" si="71"/>
        <v>45963.999999999884</v>
      </c>
      <c r="BB15" s="3119">
        <f t="shared" si="72"/>
        <v>45964.041666666548</v>
      </c>
      <c r="BC15" s="3119">
        <f t="shared" si="73"/>
        <v>45964.083333333212</v>
      </c>
      <c r="BD15" s="3119">
        <f t="shared" si="74"/>
        <v>45964.124999999876</v>
      </c>
      <c r="BE15" s="3119">
        <f t="shared" si="75"/>
        <v>45964.166666666541</v>
      </c>
      <c r="BF15" s="3119">
        <f t="shared" si="76"/>
        <v>45964.208333333205</v>
      </c>
      <c r="BG15" s="3119">
        <f t="shared" si="77"/>
        <v>45964.249999999869</v>
      </c>
      <c r="BH15" s="3119">
        <f t="shared" si="78"/>
        <v>45964.291666666533</v>
      </c>
      <c r="BI15" s="3119">
        <f t="shared" si="79"/>
        <v>45964.333333333198</v>
      </c>
      <c r="BJ15" s="3119">
        <f t="shared" si="80"/>
        <v>45964.374999999862</v>
      </c>
      <c r="BK15" s="3119">
        <f t="shared" si="81"/>
        <v>45964.416666666526</v>
      </c>
      <c r="BL15" s="3119">
        <f t="shared" si="82"/>
        <v>45964.45833333319</v>
      </c>
      <c r="BM15" s="3119">
        <f t="shared" si="83"/>
        <v>45964.499999999854</v>
      </c>
      <c r="BN15" s="3119">
        <f t="shared" si="84"/>
        <v>45964.541666666519</v>
      </c>
      <c r="BO15" s="3119">
        <f t="shared" si="85"/>
        <v>45964.583333333183</v>
      </c>
      <c r="BP15" s="3119">
        <f t="shared" si="86"/>
        <v>45964.624999999847</v>
      </c>
      <c r="BQ15" s="3119">
        <f t="shared" si="87"/>
        <v>45964.666666666511</v>
      </c>
      <c r="BR15" s="3119">
        <f t="shared" si="14"/>
        <v>45964.708333333176</v>
      </c>
      <c r="BS15" s="3119">
        <f t="shared" si="88"/>
        <v>45964.74999999984</v>
      </c>
      <c r="BT15" s="3119">
        <f t="shared" si="89"/>
        <v>45964.791666666504</v>
      </c>
      <c r="BU15" s="3119">
        <f t="shared" si="90"/>
        <v>45964.833333333168</v>
      </c>
      <c r="BV15" s="3119">
        <f t="shared" si="91"/>
        <v>45964.874999999833</v>
      </c>
      <c r="BW15" s="3119">
        <f t="shared" si="92"/>
        <v>45964.916666666497</v>
      </c>
      <c r="BX15" s="3119">
        <f t="shared" si="93"/>
        <v>45964.958333333161</v>
      </c>
      <c r="BY15" s="3119">
        <f t="shared" si="94"/>
        <v>45964.999999999825</v>
      </c>
      <c r="BZ15" s="3119">
        <f t="shared" si="95"/>
        <v>45965.04166666649</v>
      </c>
      <c r="CA15" s="3119">
        <f t="shared" si="96"/>
        <v>45965.083333333154</v>
      </c>
      <c r="CB15" s="3119">
        <f t="shared" si="97"/>
        <v>45965.124999999818</v>
      </c>
      <c r="CC15" s="3119">
        <f t="shared" si="98"/>
        <v>45965.166666666482</v>
      </c>
      <c r="CD15" s="3119">
        <f t="shared" si="99"/>
        <v>45965.208333333147</v>
      </c>
      <c r="CE15" s="3119">
        <f t="shared" si="100"/>
        <v>45965.249999999811</v>
      </c>
      <c r="CF15" s="3119">
        <f t="shared" si="101"/>
        <v>45965.291666666475</v>
      </c>
      <c r="CG15" s="3119">
        <f t="shared" si="102"/>
        <v>45965.333333333139</v>
      </c>
      <c r="CH15" s="3119">
        <f t="shared" si="103"/>
        <v>45965.374999999804</v>
      </c>
      <c r="CI15" s="3119">
        <f t="shared" si="104"/>
        <v>45965.416666666468</v>
      </c>
      <c r="CJ15" s="3119">
        <f t="shared" si="105"/>
        <v>45965.458333333132</v>
      </c>
      <c r="CK15" s="3119">
        <f t="shared" si="106"/>
        <v>45965.499999999796</v>
      </c>
      <c r="CL15" s="3119">
        <f t="shared" si="107"/>
        <v>45965.541666666461</v>
      </c>
      <c r="CM15" s="3119">
        <f t="shared" si="108"/>
        <v>45965.583333333125</v>
      </c>
      <c r="CN15" s="3119">
        <f t="shared" si="109"/>
        <v>45965.624999999789</v>
      </c>
      <c r="CO15" s="3119">
        <f t="shared" si="110"/>
        <v>45965.666666666453</v>
      </c>
      <c r="CP15" s="3119">
        <f t="shared" si="111"/>
        <v>45965.708333333117</v>
      </c>
      <c r="CQ15" s="3119">
        <f t="shared" si="112"/>
        <v>45965.749999999782</v>
      </c>
      <c r="CR15" s="3119">
        <f t="shared" si="113"/>
        <v>45965.791666666446</v>
      </c>
      <c r="CS15" s="3119">
        <f t="shared" si="114"/>
        <v>45965.83333333311</v>
      </c>
      <c r="CT15" s="3119">
        <f t="shared" si="115"/>
        <v>45965.874999999774</v>
      </c>
      <c r="CU15" s="3119">
        <f t="shared" si="116"/>
        <v>45965.916666666439</v>
      </c>
      <c r="CV15" s="3119">
        <f t="shared" si="117"/>
        <v>45965.958333333103</v>
      </c>
      <c r="CW15" s="3119">
        <f t="shared" si="118"/>
        <v>45965.999999999767</v>
      </c>
      <c r="CX15" s="3119">
        <f t="shared" si="119"/>
        <v>45966.041666666431</v>
      </c>
      <c r="CY15" s="3119">
        <f t="shared" si="120"/>
        <v>45966.083333333096</v>
      </c>
      <c r="CZ15" s="3119">
        <f t="shared" si="121"/>
        <v>45966.12499999976</v>
      </c>
      <c r="DA15" s="3119">
        <f t="shared" si="122"/>
        <v>45966.166666666424</v>
      </c>
      <c r="DB15" s="3119">
        <f t="shared" si="123"/>
        <v>45966.208333333088</v>
      </c>
      <c r="DC15" s="3119">
        <f t="shared" si="124"/>
        <v>45966.249999999753</v>
      </c>
      <c r="DD15" s="3119">
        <f t="shared" si="125"/>
        <v>45966.291666666417</v>
      </c>
      <c r="DE15" s="3119">
        <f t="shared" si="126"/>
        <v>45966.333333333081</v>
      </c>
      <c r="DF15" s="3119">
        <f t="shared" si="127"/>
        <v>45966.374999999745</v>
      </c>
      <c r="DG15" s="3119">
        <f t="shared" si="128"/>
        <v>45966.41666666641</v>
      </c>
      <c r="DH15" s="3119">
        <f t="shared" si="129"/>
        <v>45966.458333333074</v>
      </c>
      <c r="DI15" s="3119">
        <f t="shared" si="130"/>
        <v>45966.499999999738</v>
      </c>
      <c r="DJ15" s="3119">
        <f t="shared" si="131"/>
        <v>45966.541666666402</v>
      </c>
      <c r="DK15" s="3119">
        <f t="shared" si="132"/>
        <v>45966.583333333067</v>
      </c>
      <c r="DL15" s="3119">
        <f t="shared" si="133"/>
        <v>45966.624999999731</v>
      </c>
      <c r="DM15" s="3119">
        <f t="shared" si="134"/>
        <v>45966.666666666395</v>
      </c>
      <c r="DN15" s="3119">
        <f t="shared" si="135"/>
        <v>45966.708333333059</v>
      </c>
      <c r="DO15" s="3119">
        <f t="shared" si="136"/>
        <v>45966.749999999724</v>
      </c>
      <c r="DP15" s="3119">
        <f t="shared" si="137"/>
        <v>45966.791666666388</v>
      </c>
      <c r="DQ15" s="3119">
        <f t="shared" si="138"/>
        <v>45966.833333333052</v>
      </c>
      <c r="DR15" s="3119">
        <f t="shared" si="139"/>
        <v>45966.874999999716</v>
      </c>
      <c r="DS15" s="3119">
        <f t="shared" si="140"/>
        <v>45966.91666666638</v>
      </c>
      <c r="DT15" s="3119">
        <f t="shared" si="141"/>
        <v>45966.958333333045</v>
      </c>
      <c r="DU15" s="3119">
        <f t="shared" si="142"/>
        <v>45966.999999999709</v>
      </c>
      <c r="DV15" s="3119">
        <f t="shared" si="143"/>
        <v>45967.041666666373</v>
      </c>
      <c r="DW15" s="3119">
        <f t="shared" si="144"/>
        <v>45967.083333333037</v>
      </c>
      <c r="DX15" s="3119">
        <f t="shared" si="145"/>
        <v>45967.124999999702</v>
      </c>
      <c r="DY15" s="3119">
        <f t="shared" si="146"/>
        <v>45967.166666666366</v>
      </c>
      <c r="DZ15" s="3119">
        <f t="shared" si="147"/>
        <v>45967.20833333303</v>
      </c>
      <c r="EA15" s="3119">
        <f t="shared" si="148"/>
        <v>45967.249999999694</v>
      </c>
      <c r="EB15" s="3119">
        <f t="shared" si="149"/>
        <v>45967.291666666359</v>
      </c>
      <c r="EC15" s="3119">
        <f t="shared" si="150"/>
        <v>45967.333333333023</v>
      </c>
      <c r="ED15" s="3119">
        <f t="shared" si="15"/>
        <v>45967.374999999687</v>
      </c>
      <c r="EE15" s="3119">
        <f t="shared" si="151"/>
        <v>45967.416666666351</v>
      </c>
      <c r="EF15" s="3119">
        <f t="shared" si="152"/>
        <v>45967.458333333016</v>
      </c>
      <c r="EG15" s="3119">
        <f t="shared" si="153"/>
        <v>45967.49999999968</v>
      </c>
      <c r="EH15" s="3119">
        <f t="shared" si="154"/>
        <v>45967.541666666344</v>
      </c>
      <c r="EI15" s="3119">
        <f t="shared" si="155"/>
        <v>45967.583333333008</v>
      </c>
      <c r="EJ15" s="3119">
        <f t="shared" si="156"/>
        <v>45967.624999999673</v>
      </c>
      <c r="EK15" s="3119">
        <f t="shared" si="157"/>
        <v>45967.666666666337</v>
      </c>
      <c r="EL15" s="3119">
        <f t="shared" si="158"/>
        <v>45967.708333333001</v>
      </c>
      <c r="EM15" s="3119">
        <f t="shared" si="159"/>
        <v>45967.749999999665</v>
      </c>
      <c r="EN15" s="3119">
        <f t="shared" si="160"/>
        <v>45967.79166666633</v>
      </c>
      <c r="EO15" s="3119">
        <f t="shared" si="161"/>
        <v>45967.833333332994</v>
      </c>
      <c r="EP15" s="3119">
        <f t="shared" si="162"/>
        <v>45967.874999999658</v>
      </c>
      <c r="EQ15" s="3119">
        <f t="shared" si="163"/>
        <v>45967.916666666322</v>
      </c>
      <c r="ER15" s="3119">
        <f t="shared" si="164"/>
        <v>45967.958333332987</v>
      </c>
      <c r="ES15" s="3119">
        <f t="shared" si="165"/>
        <v>45967.999999999651</v>
      </c>
      <c r="ET15" s="3119">
        <f t="shared" si="166"/>
        <v>45968.041666666315</v>
      </c>
      <c r="EU15" s="3119">
        <f t="shared" si="167"/>
        <v>45968.083333332979</v>
      </c>
      <c r="EV15" s="3119">
        <f t="shared" si="168"/>
        <v>45968.124999999643</v>
      </c>
      <c r="EW15" s="3119">
        <f t="shared" si="169"/>
        <v>45968.166666666308</v>
      </c>
      <c r="EX15" s="3119">
        <f t="shared" si="170"/>
        <v>45968.208333332972</v>
      </c>
      <c r="EY15" s="3119">
        <f t="shared" si="171"/>
        <v>45968.249999999636</v>
      </c>
      <c r="EZ15" s="3119">
        <f t="shared" si="172"/>
        <v>45968.2916666663</v>
      </c>
      <c r="FA15" s="3119">
        <f t="shared" si="173"/>
        <v>45968.333333332965</v>
      </c>
      <c r="FB15" s="3119">
        <f t="shared" si="174"/>
        <v>45968.374999999629</v>
      </c>
      <c r="FC15" s="3119">
        <f t="shared" si="175"/>
        <v>45968.416666666293</v>
      </c>
      <c r="FD15" s="3119">
        <f t="shared" si="176"/>
        <v>45968.458333332957</v>
      </c>
      <c r="FE15" s="3119">
        <f t="shared" si="177"/>
        <v>45968.499999999622</v>
      </c>
      <c r="FF15" s="3119">
        <f t="shared" si="178"/>
        <v>45968.541666666286</v>
      </c>
      <c r="FG15" s="3119">
        <f t="shared" si="179"/>
        <v>45968.58333333295</v>
      </c>
      <c r="FH15" s="3119">
        <f t="shared" si="180"/>
        <v>45968.624999999614</v>
      </c>
      <c r="FI15" s="3119">
        <f t="shared" si="181"/>
        <v>45968.666666666279</v>
      </c>
      <c r="FJ15" s="3119">
        <f t="shared" si="182"/>
        <v>45968.708333332943</v>
      </c>
      <c r="FK15" s="3119">
        <f t="shared" si="183"/>
        <v>45968.749999999607</v>
      </c>
      <c r="FL15" s="3119">
        <f t="shared" si="184"/>
        <v>45968.791666666271</v>
      </c>
      <c r="FM15" s="3119">
        <f t="shared" si="185"/>
        <v>45968.833333332936</v>
      </c>
      <c r="FN15" s="3119">
        <f t="shared" si="186"/>
        <v>45968.8749999996</v>
      </c>
      <c r="FO15" s="3119">
        <f t="shared" si="187"/>
        <v>45968.916666666264</v>
      </c>
      <c r="FP15" s="3119">
        <f t="shared" si="188"/>
        <v>45968.958333332928</v>
      </c>
      <c r="FQ15" s="3119">
        <f t="shared" si="189"/>
        <v>45968.999999999593</v>
      </c>
      <c r="FR15" s="3119">
        <f t="shared" si="190"/>
        <v>45969.041666666257</v>
      </c>
      <c r="FS15" s="3119">
        <f t="shared" si="191"/>
        <v>45969.083333332921</v>
      </c>
      <c r="FT15" s="3119">
        <f t="shared" si="192"/>
        <v>45969.124999999585</v>
      </c>
      <c r="FU15" s="3119">
        <f t="shared" si="193"/>
        <v>45969.16666666625</v>
      </c>
      <c r="FV15" s="3119">
        <f t="shared" si="194"/>
        <v>45969.208333332914</v>
      </c>
      <c r="FW15" s="3119">
        <f t="shared" si="195"/>
        <v>45969.249999999578</v>
      </c>
      <c r="FX15" s="3119">
        <f t="shared" si="196"/>
        <v>45969.291666666242</v>
      </c>
      <c r="FY15" s="3119">
        <f t="shared" si="197"/>
        <v>45969.333333332906</v>
      </c>
      <c r="FZ15" s="3119">
        <f t="shared" si="198"/>
        <v>45969.374999999571</v>
      </c>
      <c r="GA15" s="3119">
        <f t="shared" si="199"/>
        <v>45969.416666666235</v>
      </c>
      <c r="GB15" s="3119">
        <f t="shared" si="200"/>
        <v>45969.458333332899</v>
      </c>
      <c r="GC15" s="3119">
        <f t="shared" si="201"/>
        <v>45969.499999999563</v>
      </c>
      <c r="GD15" s="3119">
        <f t="shared" si="202"/>
        <v>45969.541666666228</v>
      </c>
      <c r="GE15" s="3119">
        <f t="shared" si="203"/>
        <v>45969.583333332892</v>
      </c>
      <c r="GF15" s="3119">
        <f t="shared" si="204"/>
        <v>45969.624999999556</v>
      </c>
      <c r="GG15" s="3119">
        <f t="shared" si="205"/>
        <v>45969.66666666622</v>
      </c>
      <c r="GH15" s="3119">
        <f t="shared" si="206"/>
        <v>45969.708333332885</v>
      </c>
      <c r="GI15" s="3119">
        <f t="shared" si="207"/>
        <v>45969.749999999549</v>
      </c>
      <c r="GJ15" s="3119">
        <f t="shared" si="208"/>
        <v>45969.791666666213</v>
      </c>
      <c r="GK15" s="3119">
        <f t="shared" si="209"/>
        <v>45969.833333332877</v>
      </c>
      <c r="GL15" s="3119">
        <f t="shared" si="210"/>
        <v>45969.874999999542</v>
      </c>
      <c r="GM15" s="3119">
        <f t="shared" si="211"/>
        <v>45969.916666666206</v>
      </c>
      <c r="GN15" s="3119">
        <f t="shared" si="212"/>
        <v>45969.95833333287</v>
      </c>
      <c r="GO15" s="3119">
        <f t="shared" si="213"/>
        <v>45969.999999999534</v>
      </c>
      <c r="GP15" s="3119">
        <f t="shared" si="16"/>
        <v>45970.041666666199</v>
      </c>
      <c r="GQ15" s="3119">
        <f t="shared" si="214"/>
        <v>45970.083333332863</v>
      </c>
      <c r="GR15" s="3119">
        <f t="shared" si="215"/>
        <v>45970.124999999527</v>
      </c>
      <c r="GS15" s="3119">
        <f t="shared" si="216"/>
        <v>45970.166666666191</v>
      </c>
      <c r="GT15" s="3119">
        <f t="shared" si="217"/>
        <v>45970.208333332856</v>
      </c>
      <c r="GU15" s="3119">
        <f t="shared" si="218"/>
        <v>45970.24999999952</v>
      </c>
      <c r="GV15" s="3119">
        <f t="shared" si="219"/>
        <v>45970.291666666184</v>
      </c>
      <c r="GW15" s="3119">
        <f t="shared" si="220"/>
        <v>45970.333333332848</v>
      </c>
      <c r="GX15" s="3119">
        <f t="shared" si="221"/>
        <v>45970.374999999513</v>
      </c>
      <c r="GY15" s="3119">
        <f t="shared" si="222"/>
        <v>45970.416666666177</v>
      </c>
      <c r="GZ15" s="3119">
        <f t="shared" si="223"/>
        <v>45970.458333332841</v>
      </c>
      <c r="HA15" s="3119">
        <f t="shared" si="224"/>
        <v>45970.499999999505</v>
      </c>
      <c r="HB15" s="3119">
        <f t="shared" si="225"/>
        <v>45970.541666666169</v>
      </c>
      <c r="HC15" s="3119">
        <f t="shared" si="226"/>
        <v>45970.583333332834</v>
      </c>
      <c r="HD15" s="3119">
        <f t="shared" si="227"/>
        <v>45970.624999999498</v>
      </c>
      <c r="HE15" s="3119">
        <f t="shared" si="228"/>
        <v>45970.666666666162</v>
      </c>
      <c r="HF15" s="3119">
        <f t="shared" si="229"/>
        <v>45970.708333332826</v>
      </c>
      <c r="HG15" s="3119">
        <f t="shared" si="230"/>
        <v>45970.749999999491</v>
      </c>
      <c r="HH15" s="3119">
        <f t="shared" si="231"/>
        <v>45970.791666666155</v>
      </c>
      <c r="HI15" s="3119">
        <f t="shared" si="232"/>
        <v>45970.833333332819</v>
      </c>
      <c r="HJ15" s="3119">
        <f t="shared" si="233"/>
        <v>45970.874999999483</v>
      </c>
      <c r="HK15" s="3119">
        <f t="shared" si="234"/>
        <v>45970.916666666148</v>
      </c>
      <c r="HL15" s="3119">
        <f t="shared" si="235"/>
        <v>45970.958333332812</v>
      </c>
      <c r="HM15" s="3119">
        <f t="shared" si="236"/>
        <v>45970.999999999476</v>
      </c>
      <c r="HN15" s="3119">
        <f t="shared" si="237"/>
        <v>45971.04166666614</v>
      </c>
      <c r="HO15" s="3119">
        <f t="shared" si="238"/>
        <v>45971.083333332805</v>
      </c>
      <c r="HP15" s="3119">
        <f t="shared" si="239"/>
        <v>45971.124999999469</v>
      </c>
      <c r="HQ15" s="3119">
        <f t="shared" si="240"/>
        <v>45971.166666666133</v>
      </c>
      <c r="HR15" s="3119">
        <f t="shared" si="241"/>
        <v>45971.208333332797</v>
      </c>
      <c r="HS15" s="3119">
        <f t="shared" si="242"/>
        <v>45971.249999999462</v>
      </c>
      <c r="HT15" s="3119">
        <f t="shared" si="243"/>
        <v>45971.291666666126</v>
      </c>
      <c r="HU15" s="3119">
        <f t="shared" si="244"/>
        <v>45971.33333333279</v>
      </c>
      <c r="HV15" s="3119">
        <f t="shared" si="245"/>
        <v>45971.374999999454</v>
      </c>
      <c r="HW15" s="3119">
        <f t="shared" si="246"/>
        <v>45971.416666666119</v>
      </c>
      <c r="HX15" s="3119">
        <f t="shared" si="247"/>
        <v>45971.458333332783</v>
      </c>
      <c r="HY15" s="3119">
        <f t="shared" si="248"/>
        <v>45971.499999999447</v>
      </c>
      <c r="HZ15" s="3119">
        <f t="shared" si="249"/>
        <v>45971.541666666111</v>
      </c>
      <c r="IA15" s="3119">
        <f t="shared" si="250"/>
        <v>45971.583333332776</v>
      </c>
      <c r="IB15" s="3119">
        <f t="shared" si="251"/>
        <v>45971.62499999944</v>
      </c>
      <c r="IC15" s="3119">
        <f t="shared" si="252"/>
        <v>45971.666666666104</v>
      </c>
      <c r="ID15" s="3119">
        <f t="shared" si="253"/>
        <v>45971.708333332768</v>
      </c>
      <c r="IE15" s="3119">
        <f t="shared" si="254"/>
        <v>45971.749999999432</v>
      </c>
      <c r="IF15" s="3119">
        <f t="shared" si="255"/>
        <v>45971.791666666097</v>
      </c>
      <c r="IG15" s="3119">
        <f t="shared" si="256"/>
        <v>45971.833333332761</v>
      </c>
      <c r="IH15" s="3119">
        <f t="shared" si="257"/>
        <v>45971.874999999425</v>
      </c>
      <c r="II15" s="3119">
        <f t="shared" si="258"/>
        <v>45971.916666666089</v>
      </c>
      <c r="IJ15" s="3119">
        <f t="shared" si="259"/>
        <v>45971.958333332754</v>
      </c>
      <c r="IK15" s="3119">
        <f t="shared" si="260"/>
        <v>45971.999999999418</v>
      </c>
      <c r="IL15" s="3119">
        <f t="shared" si="261"/>
        <v>45972.041666666082</v>
      </c>
      <c r="IM15" s="3119">
        <f t="shared" si="262"/>
        <v>45972.083333332746</v>
      </c>
      <c r="IN15" s="3119">
        <f t="shared" si="263"/>
        <v>45972.124999999411</v>
      </c>
      <c r="IO15" s="3119">
        <f t="shared" si="264"/>
        <v>45972.166666666075</v>
      </c>
      <c r="IP15" s="3119">
        <f t="shared" si="265"/>
        <v>45972.208333332739</v>
      </c>
      <c r="IQ15" s="3119">
        <f t="shared" si="266"/>
        <v>45972.249999999403</v>
      </c>
      <c r="IR15" s="3119">
        <f t="shared" si="267"/>
        <v>45972.291666666068</v>
      </c>
      <c r="IS15" s="3119">
        <f t="shared" si="268"/>
        <v>45972.333333332732</v>
      </c>
      <c r="IT15" s="3119">
        <f t="shared" si="269"/>
        <v>45972.374999999396</v>
      </c>
      <c r="IU15" s="3119">
        <f t="shared" si="270"/>
        <v>45972.41666666606</v>
      </c>
      <c r="IV15" s="3119">
        <f t="shared" si="271"/>
        <v>45972.458333332725</v>
      </c>
      <c r="IW15" s="3119">
        <f t="shared" si="272"/>
        <v>45972.499999999389</v>
      </c>
      <c r="IX15" s="3119">
        <f t="shared" si="273"/>
        <v>45972.541666666053</v>
      </c>
      <c r="IY15" s="3119">
        <f t="shared" si="274"/>
        <v>45972.583333332717</v>
      </c>
      <c r="IZ15" s="3119">
        <f t="shared" si="275"/>
        <v>45972.624999999382</v>
      </c>
      <c r="JA15" s="3119">
        <f t="shared" si="276"/>
        <v>45972.666666666046</v>
      </c>
      <c r="JB15" s="3119">
        <f t="shared" si="17"/>
        <v>45972.70833333271</v>
      </c>
      <c r="JC15" s="3119">
        <f t="shared" si="277"/>
        <v>45972.749999999374</v>
      </c>
      <c r="JD15" s="3119">
        <f t="shared" si="278"/>
        <v>45972.791666666039</v>
      </c>
      <c r="JE15" s="3119">
        <f t="shared" si="279"/>
        <v>45972.833333332703</v>
      </c>
      <c r="JF15" s="3119">
        <f t="shared" si="280"/>
        <v>45972.874999999367</v>
      </c>
      <c r="JG15" s="3119">
        <f t="shared" si="281"/>
        <v>45972.916666666031</v>
      </c>
      <c r="JH15" s="3119">
        <f t="shared" si="282"/>
        <v>45972.958333332695</v>
      </c>
      <c r="JI15" s="3119">
        <f t="shared" si="283"/>
        <v>45972.99999999936</v>
      </c>
      <c r="JJ15" s="3119">
        <f t="shared" si="284"/>
        <v>45973.041666666024</v>
      </c>
      <c r="JK15" s="3119">
        <f t="shared" si="285"/>
        <v>45973.083333332688</v>
      </c>
      <c r="JL15" s="3119">
        <f t="shared" si="286"/>
        <v>45973.124999999352</v>
      </c>
      <c r="JM15" s="3119">
        <f t="shared" si="287"/>
        <v>45973.166666666017</v>
      </c>
      <c r="JN15" s="3119">
        <f t="shared" si="288"/>
        <v>45973.208333332681</v>
      </c>
      <c r="JO15" s="3119">
        <f t="shared" si="289"/>
        <v>45973.249999999345</v>
      </c>
      <c r="JP15" s="3119">
        <f t="shared" si="290"/>
        <v>45973.291666666009</v>
      </c>
      <c r="JQ15" s="3119">
        <f t="shared" si="291"/>
        <v>45973.333333332674</v>
      </c>
      <c r="JR15" s="3119">
        <f t="shared" si="292"/>
        <v>45973.374999999338</v>
      </c>
      <c r="JS15" s="3119">
        <f t="shared" si="293"/>
        <v>45973.416666666002</v>
      </c>
      <c r="JT15" s="3119">
        <f t="shared" si="294"/>
        <v>45973.458333332666</v>
      </c>
      <c r="JU15" s="3119">
        <f t="shared" si="295"/>
        <v>45973.499999999331</v>
      </c>
      <c r="JV15" s="3119">
        <f t="shared" si="296"/>
        <v>45973.541666665995</v>
      </c>
      <c r="JW15" s="3119">
        <f t="shared" si="297"/>
        <v>45973.583333332659</v>
      </c>
      <c r="JX15" s="3119">
        <f t="shared" si="298"/>
        <v>45973.624999999323</v>
      </c>
      <c r="JY15" s="3119">
        <f t="shared" si="299"/>
        <v>45973.666666665988</v>
      </c>
      <c r="JZ15" s="3119">
        <f t="shared" si="300"/>
        <v>45973.708333332652</v>
      </c>
      <c r="KA15" s="3119">
        <f t="shared" si="301"/>
        <v>45973.749999999316</v>
      </c>
      <c r="KB15" s="3119">
        <f t="shared" si="302"/>
        <v>45973.79166666598</v>
      </c>
      <c r="KC15" s="3119">
        <f t="shared" si="303"/>
        <v>45973.833333332645</v>
      </c>
      <c r="KD15" s="3119">
        <f t="shared" si="304"/>
        <v>45973.874999999309</v>
      </c>
      <c r="KE15" s="3119">
        <f t="shared" si="305"/>
        <v>45973.916666665973</v>
      </c>
      <c r="KF15" s="3119">
        <f t="shared" si="306"/>
        <v>45973.958333332637</v>
      </c>
      <c r="KG15" s="3119">
        <f t="shared" si="307"/>
        <v>45973.999999999302</v>
      </c>
      <c r="KH15" s="3119">
        <f t="shared" si="308"/>
        <v>45974.041666665966</v>
      </c>
      <c r="KI15" s="3119">
        <f t="shared" si="309"/>
        <v>45974.08333333263</v>
      </c>
      <c r="KJ15" s="3119">
        <f t="shared" si="310"/>
        <v>45974.124999999294</v>
      </c>
      <c r="KK15" s="3119">
        <f t="shared" si="311"/>
        <v>45974.166666665958</v>
      </c>
      <c r="KL15" s="3119">
        <f t="shared" si="312"/>
        <v>45974.208333332623</v>
      </c>
      <c r="KM15" s="3119">
        <f t="shared" si="313"/>
        <v>45974.249999999287</v>
      </c>
      <c r="KN15" s="3119">
        <f t="shared" si="314"/>
        <v>45974.291666665951</v>
      </c>
      <c r="KO15" s="3119">
        <f t="shared" si="315"/>
        <v>45974.333333332615</v>
      </c>
      <c r="KP15" s="3119">
        <f t="shared" si="316"/>
        <v>45974.37499999928</v>
      </c>
      <c r="KQ15" s="3119">
        <f t="shared" si="317"/>
        <v>45974.416666665944</v>
      </c>
      <c r="KR15" s="3119">
        <f t="shared" si="318"/>
        <v>45974.458333332608</v>
      </c>
      <c r="KS15" s="3119">
        <f t="shared" si="319"/>
        <v>45974.499999999272</v>
      </c>
      <c r="KT15" s="3119">
        <f t="shared" si="320"/>
        <v>45974.541666665937</v>
      </c>
      <c r="KU15" s="3119">
        <f t="shared" si="321"/>
        <v>45974.583333332601</v>
      </c>
      <c r="KV15" s="3119">
        <f t="shared" si="322"/>
        <v>45974.624999999265</v>
      </c>
      <c r="KW15" s="3119">
        <f t="shared" si="323"/>
        <v>45974.666666665929</v>
      </c>
      <c r="KX15" s="3119">
        <f t="shared" si="324"/>
        <v>45974.708333332594</v>
      </c>
      <c r="KY15" s="3119">
        <f t="shared" si="325"/>
        <v>45974.749999999258</v>
      </c>
      <c r="KZ15" s="3119">
        <f t="shared" si="326"/>
        <v>45974.791666665922</v>
      </c>
      <c r="LA15" s="3119">
        <f t="shared" si="327"/>
        <v>45974.833333332586</v>
      </c>
      <c r="LB15" s="3119">
        <f t="shared" si="328"/>
        <v>45974.874999999251</v>
      </c>
      <c r="LC15" s="3119">
        <f t="shared" si="329"/>
        <v>45974.916666665915</v>
      </c>
      <c r="LD15" s="3119">
        <f t="shared" si="330"/>
        <v>45974.958333332579</v>
      </c>
      <c r="LE15" s="3119">
        <f t="shared" si="331"/>
        <v>45974.999999999243</v>
      </c>
      <c r="LF15" s="3119">
        <f t="shared" si="332"/>
        <v>45975.041666665908</v>
      </c>
      <c r="LG15" s="3119">
        <f t="shared" si="333"/>
        <v>45975.083333332572</v>
      </c>
      <c r="LH15" s="3119">
        <f t="shared" si="334"/>
        <v>45975.124999999236</v>
      </c>
      <c r="LI15" s="3119">
        <f t="shared" si="335"/>
        <v>45975.1666666659</v>
      </c>
      <c r="LJ15" s="3119">
        <f t="shared" si="336"/>
        <v>45975.208333332565</v>
      </c>
      <c r="LK15" s="3119">
        <f t="shared" si="337"/>
        <v>45975.249999999229</v>
      </c>
      <c r="LL15" s="3119">
        <f t="shared" si="338"/>
        <v>45975.291666665893</v>
      </c>
      <c r="LM15" s="3119">
        <f t="shared" si="339"/>
        <v>45975.333333332557</v>
      </c>
      <c r="LN15" s="3119">
        <f t="shared" si="18"/>
        <v>45975.374999999221</v>
      </c>
      <c r="LO15" s="3119">
        <f t="shared" si="340"/>
        <v>45975.416666665886</v>
      </c>
      <c r="LP15" s="3119">
        <f t="shared" si="341"/>
        <v>45975.45833333255</v>
      </c>
      <c r="LQ15" s="3119">
        <f t="shared" si="342"/>
        <v>45975.499999999214</v>
      </c>
      <c r="LR15" s="3119">
        <f t="shared" si="343"/>
        <v>45975.541666665878</v>
      </c>
      <c r="LS15" s="3119">
        <f t="shared" si="344"/>
        <v>45975.583333332543</v>
      </c>
      <c r="LT15" s="3119">
        <f t="shared" si="345"/>
        <v>45975.624999999207</v>
      </c>
      <c r="LU15" s="3119">
        <f t="shared" si="346"/>
        <v>45975.666666665871</v>
      </c>
      <c r="LV15" s="3119">
        <f t="shared" si="347"/>
        <v>45975.708333332535</v>
      </c>
      <c r="LW15" s="3119">
        <f t="shared" si="348"/>
        <v>45975.7499999992</v>
      </c>
      <c r="LX15" s="3119">
        <f t="shared" si="349"/>
        <v>45975.791666665864</v>
      </c>
      <c r="LY15" s="3119">
        <f t="shared" si="350"/>
        <v>45975.833333332528</v>
      </c>
      <c r="LZ15" s="3119">
        <f t="shared" si="351"/>
        <v>45975.874999999192</v>
      </c>
      <c r="MA15" s="3119">
        <f t="shared" si="352"/>
        <v>45975.916666665857</v>
      </c>
      <c r="MB15" s="3119">
        <f t="shared" si="353"/>
        <v>45975.958333332521</v>
      </c>
      <c r="MC15" s="3119">
        <f t="shared" si="354"/>
        <v>45975.999999999185</v>
      </c>
      <c r="MD15" s="3119">
        <f t="shared" si="355"/>
        <v>45976.041666665849</v>
      </c>
      <c r="ME15" s="3119">
        <f t="shared" si="356"/>
        <v>45976.083333332514</v>
      </c>
      <c r="MF15" s="3119">
        <f t="shared" si="357"/>
        <v>45976.124999999178</v>
      </c>
      <c r="MG15" s="3119">
        <f t="shared" si="358"/>
        <v>45976.166666665842</v>
      </c>
      <c r="MH15" s="3119">
        <f t="shared" si="359"/>
        <v>45976.208333332506</v>
      </c>
      <c r="MI15" s="3119">
        <f t="shared" si="360"/>
        <v>45976.249999999171</v>
      </c>
      <c r="MJ15" s="3119">
        <f t="shared" si="361"/>
        <v>45976.291666665835</v>
      </c>
      <c r="MK15" s="3119">
        <f t="shared" si="362"/>
        <v>45976.333333332499</v>
      </c>
      <c r="ML15" s="3119">
        <f t="shared" si="363"/>
        <v>45976.374999999163</v>
      </c>
      <c r="MM15" s="3119">
        <f t="shared" si="364"/>
        <v>45976.416666665828</v>
      </c>
      <c r="MN15" s="3119">
        <f t="shared" si="365"/>
        <v>45976.458333332492</v>
      </c>
      <c r="MO15" s="3119">
        <f t="shared" si="366"/>
        <v>45976.499999999156</v>
      </c>
      <c r="MP15" s="3119">
        <f t="shared" si="367"/>
        <v>45976.54166666582</v>
      </c>
      <c r="MQ15" s="3119">
        <f t="shared" si="368"/>
        <v>45976.583333332484</v>
      </c>
      <c r="MR15" s="3119">
        <f t="shared" si="369"/>
        <v>45976.624999999149</v>
      </c>
      <c r="MS15" s="3119">
        <f t="shared" si="370"/>
        <v>45976.666666665813</v>
      </c>
      <c r="MT15" s="3119">
        <f t="shared" si="371"/>
        <v>45976.708333332477</v>
      </c>
      <c r="MU15" s="3119">
        <f t="shared" si="372"/>
        <v>45976.749999999141</v>
      </c>
      <c r="MV15" s="3119">
        <f t="shared" si="373"/>
        <v>45976.791666665806</v>
      </c>
      <c r="MW15" s="3119">
        <f t="shared" si="374"/>
        <v>45976.83333333247</v>
      </c>
      <c r="MX15" s="3119">
        <f t="shared" si="375"/>
        <v>45976.874999999134</v>
      </c>
      <c r="MY15" s="3119">
        <f t="shared" si="376"/>
        <v>45976.916666665798</v>
      </c>
      <c r="MZ15" s="3119">
        <f t="shared" si="377"/>
        <v>45976.958333332463</v>
      </c>
      <c r="NA15" s="3119">
        <f t="shared" si="378"/>
        <v>45976.999999999127</v>
      </c>
      <c r="NB15" s="3119">
        <f t="shared" si="379"/>
        <v>45977.041666665791</v>
      </c>
      <c r="NC15" s="3119">
        <f t="shared" si="380"/>
        <v>45977.083333332455</v>
      </c>
      <c r="ND15" s="3119">
        <f t="shared" si="381"/>
        <v>45977.12499999912</v>
      </c>
      <c r="NE15" s="3119">
        <f t="shared" si="382"/>
        <v>45977.166666665784</v>
      </c>
      <c r="NF15" s="3119">
        <f t="shared" si="383"/>
        <v>45977.208333332448</v>
      </c>
      <c r="NG15" s="3119">
        <f t="shared" si="384"/>
        <v>45977.249999999112</v>
      </c>
      <c r="NH15" s="3119">
        <f t="shared" si="385"/>
        <v>45977.291666665777</v>
      </c>
      <c r="NI15" s="3119">
        <f t="shared" si="386"/>
        <v>45977.333333332441</v>
      </c>
      <c r="NJ15" s="3119">
        <f t="shared" si="387"/>
        <v>45977.374999999105</v>
      </c>
      <c r="NK15" s="3119">
        <f t="shared" si="388"/>
        <v>45977.416666665769</v>
      </c>
      <c r="NL15" s="3119">
        <f t="shared" si="389"/>
        <v>45977.458333332434</v>
      </c>
      <c r="NM15" s="3119">
        <f t="shared" si="390"/>
        <v>45977.499999999098</v>
      </c>
      <c r="NN15" s="3119">
        <f t="shared" si="391"/>
        <v>45977.541666665762</v>
      </c>
      <c r="NO15" s="3119">
        <f t="shared" si="392"/>
        <v>45977.583333332426</v>
      </c>
      <c r="NP15" s="3119">
        <f t="shared" si="393"/>
        <v>45977.624999999091</v>
      </c>
      <c r="NQ15" s="3119">
        <f t="shared" si="394"/>
        <v>45977.666666665755</v>
      </c>
      <c r="NR15" s="3119">
        <f t="shared" si="395"/>
        <v>45977.708333332419</v>
      </c>
      <c r="NS15" s="3119">
        <f t="shared" si="396"/>
        <v>45977.749999999083</v>
      </c>
      <c r="NT15" s="3119">
        <f t="shared" si="397"/>
        <v>45977.791666665747</v>
      </c>
      <c r="NU15" s="3119">
        <f t="shared" si="398"/>
        <v>45977.833333332412</v>
      </c>
      <c r="NV15" s="3119">
        <f t="shared" si="399"/>
        <v>45977.874999999076</v>
      </c>
      <c r="NW15" s="3119">
        <f t="shared" si="400"/>
        <v>45977.91666666574</v>
      </c>
      <c r="NX15" s="3119">
        <f t="shared" si="401"/>
        <v>45977.958333332404</v>
      </c>
      <c r="NY15" s="3119">
        <f t="shared" si="402"/>
        <v>45977.999999999069</v>
      </c>
      <c r="NZ15" s="3119">
        <f t="shared" si="19"/>
        <v>45978.041666665733</v>
      </c>
      <c r="OA15" s="3119">
        <f t="shared" si="403"/>
        <v>45978.083333332397</v>
      </c>
      <c r="OB15" s="3119">
        <f t="shared" si="404"/>
        <v>45978.124999999061</v>
      </c>
      <c r="OC15" s="3119">
        <f t="shared" si="405"/>
        <v>45978.166666665726</v>
      </c>
      <c r="OD15" s="3119">
        <f t="shared" si="406"/>
        <v>45978.20833333239</v>
      </c>
      <c r="OE15" s="3119">
        <f t="shared" si="407"/>
        <v>45978.249999999054</v>
      </c>
      <c r="OF15" s="3119">
        <f t="shared" si="408"/>
        <v>45978.291666665718</v>
      </c>
      <c r="OG15" s="3119">
        <f t="shared" si="409"/>
        <v>45978.333333332383</v>
      </c>
      <c r="OH15" s="3119">
        <f t="shared" si="410"/>
        <v>45978.374999999047</v>
      </c>
      <c r="OI15" s="3119">
        <f t="shared" si="411"/>
        <v>45978.416666665711</v>
      </c>
      <c r="OJ15" s="3119">
        <f t="shared" si="412"/>
        <v>45978.458333332375</v>
      </c>
      <c r="OK15" s="3119">
        <f t="shared" si="413"/>
        <v>45978.49999999904</v>
      </c>
      <c r="OL15" s="3119">
        <f t="shared" si="414"/>
        <v>45978.541666665704</v>
      </c>
      <c r="OM15" s="3119">
        <f t="shared" si="415"/>
        <v>45978.583333332368</v>
      </c>
      <c r="ON15" s="3119">
        <f t="shared" si="416"/>
        <v>45978.624999999032</v>
      </c>
      <c r="OO15" s="3119">
        <f t="shared" si="417"/>
        <v>45978.666666665697</v>
      </c>
      <c r="OP15" s="3119">
        <f t="shared" si="418"/>
        <v>45978.708333332361</v>
      </c>
      <c r="OQ15" s="3119">
        <f t="shared" si="419"/>
        <v>45978.749999999025</v>
      </c>
      <c r="OR15" s="3119">
        <f t="shared" si="420"/>
        <v>45978.791666665689</v>
      </c>
      <c r="OS15" s="3119">
        <f t="shared" si="421"/>
        <v>45978.833333332354</v>
      </c>
      <c r="OT15" s="3119">
        <f t="shared" si="422"/>
        <v>45978.874999999018</v>
      </c>
      <c r="OU15" s="3119">
        <f t="shared" si="423"/>
        <v>45978.916666665682</v>
      </c>
      <c r="OV15" s="3119">
        <f t="shared" si="424"/>
        <v>45978.958333332346</v>
      </c>
      <c r="OW15" s="3119">
        <f t="shared" si="425"/>
        <v>45978.99999999901</v>
      </c>
      <c r="OX15" s="3119">
        <f t="shared" si="426"/>
        <v>45979.041666665675</v>
      </c>
      <c r="OY15" s="3119">
        <f t="shared" si="427"/>
        <v>45979.083333332339</v>
      </c>
      <c r="OZ15" s="3119">
        <f t="shared" si="428"/>
        <v>45979.124999999003</v>
      </c>
      <c r="PA15" s="3119">
        <f t="shared" si="429"/>
        <v>45979.166666665667</v>
      </c>
      <c r="PB15" s="3119">
        <f t="shared" si="430"/>
        <v>45979.208333332332</v>
      </c>
      <c r="PC15" s="3119">
        <f t="shared" si="431"/>
        <v>45979.249999998996</v>
      </c>
      <c r="PD15" s="3119">
        <f t="shared" si="432"/>
        <v>45979.29166666566</v>
      </c>
      <c r="PE15" s="3119">
        <f t="shared" si="433"/>
        <v>45979.333333332324</v>
      </c>
      <c r="PF15" s="3119">
        <f t="shared" si="434"/>
        <v>45979.374999998989</v>
      </c>
      <c r="PG15" s="3119">
        <f t="shared" si="435"/>
        <v>45979.416666665653</v>
      </c>
      <c r="PH15" s="3119">
        <f t="shared" si="436"/>
        <v>45979.458333332317</v>
      </c>
      <c r="PI15" s="3119">
        <f t="shared" si="437"/>
        <v>45979.499999998981</v>
      </c>
      <c r="PJ15" s="3119">
        <f t="shared" si="438"/>
        <v>45979.541666665646</v>
      </c>
      <c r="PK15" s="3119">
        <f t="shared" si="439"/>
        <v>45979.58333333231</v>
      </c>
      <c r="PL15" s="3119">
        <f t="shared" si="440"/>
        <v>45979.624999998974</v>
      </c>
      <c r="PM15" s="3119">
        <f t="shared" si="441"/>
        <v>45979.666666665638</v>
      </c>
      <c r="PN15" s="3119">
        <f t="shared" si="442"/>
        <v>45979.708333332303</v>
      </c>
      <c r="PO15" s="3119">
        <f t="shared" si="443"/>
        <v>45979.749999998967</v>
      </c>
      <c r="PP15" s="3119">
        <f t="shared" si="444"/>
        <v>45979.791666665631</v>
      </c>
      <c r="PQ15" s="3119">
        <f t="shared" si="445"/>
        <v>45979.833333332295</v>
      </c>
      <c r="PR15" s="3119">
        <f t="shared" si="446"/>
        <v>45979.87499999896</v>
      </c>
      <c r="PS15" s="3119">
        <f t="shared" si="447"/>
        <v>45979.916666665624</v>
      </c>
      <c r="PT15" s="3119">
        <f t="shared" si="448"/>
        <v>45979.958333332288</v>
      </c>
      <c r="PU15" s="3119">
        <f t="shared" si="449"/>
        <v>45979.999999998952</v>
      </c>
      <c r="PV15" s="3119">
        <f t="shared" si="450"/>
        <v>45980.041666665617</v>
      </c>
      <c r="PW15" s="3119">
        <f t="shared" si="451"/>
        <v>45980.083333332281</v>
      </c>
      <c r="PX15" s="3119">
        <f t="shared" si="452"/>
        <v>45980.124999998945</v>
      </c>
      <c r="PY15" s="3119">
        <f t="shared" si="453"/>
        <v>45980.166666665609</v>
      </c>
      <c r="PZ15" s="3119">
        <f t="shared" si="454"/>
        <v>45980.208333332273</v>
      </c>
      <c r="QA15" s="3119">
        <f t="shared" si="455"/>
        <v>45980.249999998938</v>
      </c>
      <c r="QB15" s="3119">
        <f t="shared" si="456"/>
        <v>45980.291666665602</v>
      </c>
      <c r="QC15" s="3119">
        <f t="shared" si="457"/>
        <v>45980.333333332266</v>
      </c>
      <c r="QD15" s="3119">
        <f t="shared" si="458"/>
        <v>45980.37499999893</v>
      </c>
      <c r="QE15" s="3119">
        <f t="shared" si="459"/>
        <v>45980.416666665595</v>
      </c>
      <c r="QF15" s="3119">
        <f t="shared" si="460"/>
        <v>45980.458333332259</v>
      </c>
      <c r="QG15" s="3119">
        <f t="shared" si="461"/>
        <v>45980.499999998923</v>
      </c>
      <c r="QH15" s="3119">
        <f t="shared" si="462"/>
        <v>45980.541666665587</v>
      </c>
      <c r="QI15" s="3119">
        <f t="shared" si="463"/>
        <v>45980.583333332252</v>
      </c>
      <c r="QJ15" s="3119">
        <f t="shared" si="464"/>
        <v>45980.624999998916</v>
      </c>
      <c r="QK15" s="3119">
        <f t="shared" si="465"/>
        <v>45980.66666666558</v>
      </c>
      <c r="QL15" s="3119">
        <f t="shared" si="20"/>
        <v>45980.708333332244</v>
      </c>
      <c r="QM15" s="3119">
        <f t="shared" si="466"/>
        <v>45980.749999998909</v>
      </c>
      <c r="QN15" s="3119">
        <f t="shared" si="467"/>
        <v>45980.791666665573</v>
      </c>
      <c r="QO15" s="3119">
        <f t="shared" si="468"/>
        <v>45980.833333332237</v>
      </c>
      <c r="QP15" s="3119">
        <f t="shared" si="469"/>
        <v>45980.874999998901</v>
      </c>
      <c r="QQ15" s="3119">
        <f t="shared" si="470"/>
        <v>45980.916666665566</v>
      </c>
      <c r="QR15" s="3119">
        <f t="shared" si="471"/>
        <v>45980.95833333223</v>
      </c>
      <c r="QS15" s="3119">
        <f t="shared" si="472"/>
        <v>45980.999999998894</v>
      </c>
      <c r="QT15" s="3119">
        <f t="shared" si="473"/>
        <v>45981.041666665558</v>
      </c>
      <c r="QU15" s="3119">
        <f t="shared" si="474"/>
        <v>45981.083333332223</v>
      </c>
      <c r="QV15" s="3119">
        <f t="shared" si="475"/>
        <v>45981.124999998887</v>
      </c>
      <c r="QW15" s="3119">
        <f t="shared" si="476"/>
        <v>45981.166666665551</v>
      </c>
      <c r="QX15" s="3119">
        <f t="shared" si="477"/>
        <v>45981.208333332215</v>
      </c>
      <c r="QY15" s="3119">
        <f t="shared" si="478"/>
        <v>45981.24999999888</v>
      </c>
      <c r="QZ15" s="3119">
        <f t="shared" si="479"/>
        <v>45981.291666665544</v>
      </c>
      <c r="RA15" s="3119">
        <f t="shared" si="480"/>
        <v>45981.333333332208</v>
      </c>
      <c r="RB15" s="3119">
        <f t="shared" si="481"/>
        <v>45981.374999998872</v>
      </c>
      <c r="RC15" s="3119">
        <f t="shared" si="482"/>
        <v>45981.416666665536</v>
      </c>
      <c r="RD15" s="3119">
        <f t="shared" si="483"/>
        <v>45981.458333332201</v>
      </c>
      <c r="RE15" s="3119">
        <f t="shared" si="484"/>
        <v>45981.499999998865</v>
      </c>
      <c r="RF15" s="3119">
        <f t="shared" si="485"/>
        <v>45981.541666665529</v>
      </c>
      <c r="RG15" s="3119">
        <f t="shared" si="486"/>
        <v>45981.583333332193</v>
      </c>
      <c r="RH15" s="3119">
        <f t="shared" si="487"/>
        <v>45981.624999998858</v>
      </c>
      <c r="RI15" s="3119">
        <f t="shared" si="488"/>
        <v>45981.666666665522</v>
      </c>
      <c r="RJ15" s="3119">
        <f t="shared" si="489"/>
        <v>45981.708333332186</v>
      </c>
      <c r="RK15" s="3119">
        <f t="shared" si="490"/>
        <v>45981.74999999885</v>
      </c>
      <c r="RL15" s="3119">
        <f t="shared" si="491"/>
        <v>45981.791666665515</v>
      </c>
      <c r="RM15" s="3119">
        <f t="shared" si="492"/>
        <v>45981.833333332179</v>
      </c>
      <c r="RN15" s="3119">
        <f t="shared" si="493"/>
        <v>45981.874999998843</v>
      </c>
      <c r="RO15" s="3119">
        <f t="shared" si="494"/>
        <v>45981.916666665507</v>
      </c>
      <c r="RP15" s="3119">
        <f t="shared" si="495"/>
        <v>45981.958333332172</v>
      </c>
      <c r="RQ15" s="3119">
        <f t="shared" si="496"/>
        <v>45981.999999998836</v>
      </c>
      <c r="RR15" s="3119">
        <f t="shared" si="497"/>
        <v>45982.0416666655</v>
      </c>
      <c r="RS15" s="3119">
        <f t="shared" si="498"/>
        <v>45982.083333332164</v>
      </c>
      <c r="RT15" s="3119">
        <f t="shared" si="499"/>
        <v>45982.124999998829</v>
      </c>
      <c r="RU15" s="3119">
        <f t="shared" si="500"/>
        <v>45982.166666665493</v>
      </c>
      <c r="RV15" s="3119">
        <f t="shared" si="501"/>
        <v>45982.208333332157</v>
      </c>
      <c r="RW15" s="3119">
        <f t="shared" si="502"/>
        <v>45982.249999998821</v>
      </c>
      <c r="RX15" s="3119">
        <f t="shared" si="503"/>
        <v>45982.291666665486</v>
      </c>
      <c r="RY15" s="3119">
        <f t="shared" si="504"/>
        <v>45982.33333333215</v>
      </c>
      <c r="RZ15" s="3119">
        <f t="shared" si="505"/>
        <v>45982.374999998814</v>
      </c>
      <c r="SA15" s="3119">
        <f t="shared" si="506"/>
        <v>45982.416666665478</v>
      </c>
      <c r="SB15" s="3119">
        <f t="shared" si="507"/>
        <v>45982.458333332143</v>
      </c>
      <c r="SC15" s="3119">
        <f t="shared" si="508"/>
        <v>45982.499999998807</v>
      </c>
      <c r="SD15" s="3119">
        <f t="shared" si="509"/>
        <v>45982.541666665471</v>
      </c>
      <c r="SE15" s="3119">
        <f t="shared" si="510"/>
        <v>45982.583333332135</v>
      </c>
      <c r="SF15" s="3119">
        <f t="shared" si="511"/>
        <v>45982.624999998799</v>
      </c>
      <c r="SG15" s="3119">
        <f t="shared" si="512"/>
        <v>45982.666666665464</v>
      </c>
      <c r="SH15" s="3119">
        <f t="shared" si="513"/>
        <v>45982.708333332128</v>
      </c>
      <c r="SI15" s="3119">
        <f t="shared" si="514"/>
        <v>45982.749999998792</v>
      </c>
      <c r="SJ15" s="3119">
        <f t="shared" si="515"/>
        <v>45982.791666665456</v>
      </c>
      <c r="SK15" s="3119">
        <f t="shared" si="516"/>
        <v>45982.833333332121</v>
      </c>
      <c r="SL15" s="3119">
        <f t="shared" si="517"/>
        <v>45982.874999998785</v>
      </c>
      <c r="SM15" s="3119">
        <f t="shared" si="518"/>
        <v>45982.916666665449</v>
      </c>
      <c r="SN15" s="3119">
        <f t="shared" si="519"/>
        <v>45982.958333332113</v>
      </c>
      <c r="SO15" s="3119">
        <f t="shared" si="520"/>
        <v>45982.999999998778</v>
      </c>
      <c r="SP15" s="3119">
        <f t="shared" si="521"/>
        <v>45983.041666665442</v>
      </c>
      <c r="SQ15" s="3119">
        <f t="shared" si="522"/>
        <v>45983.083333332106</v>
      </c>
      <c r="SR15" s="3119">
        <f t="shared" si="523"/>
        <v>45983.12499999877</v>
      </c>
      <c r="SS15" s="3119">
        <f t="shared" si="524"/>
        <v>45983.166666665435</v>
      </c>
      <c r="ST15" s="3119">
        <f t="shared" si="525"/>
        <v>45983.208333332099</v>
      </c>
      <c r="SU15" s="3119">
        <f t="shared" si="526"/>
        <v>45983.249999998763</v>
      </c>
      <c r="SV15" s="3119">
        <f t="shared" si="527"/>
        <v>45983.291666665427</v>
      </c>
      <c r="SW15" s="3119">
        <f t="shared" si="528"/>
        <v>45983.333333332092</v>
      </c>
      <c r="SX15" s="3119">
        <f t="shared" si="21"/>
        <v>45983.374999998756</v>
      </c>
      <c r="SY15" s="3119">
        <f t="shared" si="529"/>
        <v>45983.41666666542</v>
      </c>
      <c r="SZ15" s="3119">
        <f t="shared" si="530"/>
        <v>45983.458333332084</v>
      </c>
      <c r="TA15" s="3119">
        <f t="shared" si="531"/>
        <v>45983.499999998749</v>
      </c>
      <c r="TB15" s="3119">
        <f t="shared" si="532"/>
        <v>45983.541666665413</v>
      </c>
      <c r="TC15" s="3119">
        <f t="shared" si="533"/>
        <v>45983.583333332077</v>
      </c>
      <c r="TD15" s="3119">
        <f t="shared" si="534"/>
        <v>45983.624999998741</v>
      </c>
      <c r="TE15" s="3119">
        <f t="shared" si="535"/>
        <v>45983.666666665406</v>
      </c>
      <c r="TF15" s="3119">
        <f t="shared" si="536"/>
        <v>45983.70833333207</v>
      </c>
      <c r="TG15" s="3119">
        <f t="shared" si="537"/>
        <v>45983.749999998734</v>
      </c>
      <c r="TH15" s="3119">
        <f t="shared" si="538"/>
        <v>45983.791666665398</v>
      </c>
      <c r="TI15" s="3119">
        <f t="shared" si="539"/>
        <v>45983.833333332062</v>
      </c>
      <c r="TJ15" s="3119">
        <f t="shared" si="540"/>
        <v>45983.874999998727</v>
      </c>
      <c r="TK15" s="3119">
        <f t="shared" si="541"/>
        <v>45983.916666665391</v>
      </c>
      <c r="TL15" s="3119">
        <f t="shared" si="542"/>
        <v>45983.958333332055</v>
      </c>
      <c r="TM15" s="3119">
        <f t="shared" si="543"/>
        <v>45983.999999998719</v>
      </c>
      <c r="TN15" s="3119">
        <f t="shared" si="544"/>
        <v>45984.041666665384</v>
      </c>
      <c r="TO15" s="3119">
        <f t="shared" si="545"/>
        <v>45984.083333332048</v>
      </c>
      <c r="TP15" s="3119">
        <f t="shared" si="546"/>
        <v>45984.124999998712</v>
      </c>
      <c r="TQ15" s="3119">
        <f t="shared" si="547"/>
        <v>45984.166666665376</v>
      </c>
      <c r="TR15" s="3119">
        <f t="shared" si="548"/>
        <v>45984.208333332041</v>
      </c>
      <c r="TS15" s="3119">
        <f t="shared" si="549"/>
        <v>45984.249999998705</v>
      </c>
      <c r="TT15" s="3119">
        <f t="shared" si="550"/>
        <v>45984.291666665369</v>
      </c>
      <c r="TU15" s="3119">
        <f t="shared" si="551"/>
        <v>45984.333333332033</v>
      </c>
      <c r="TV15" s="3119">
        <f t="shared" si="552"/>
        <v>45984.374999998698</v>
      </c>
      <c r="TW15" s="3119">
        <f t="shared" si="553"/>
        <v>45984.416666665362</v>
      </c>
      <c r="TX15" s="3119">
        <f t="shared" si="554"/>
        <v>45984.458333332026</v>
      </c>
      <c r="TY15" s="3119">
        <f t="shared" si="555"/>
        <v>45984.49999999869</v>
      </c>
      <c r="TZ15" s="3119">
        <f t="shared" si="556"/>
        <v>45984.541666665355</v>
      </c>
      <c r="UA15" s="3119">
        <f t="shared" si="557"/>
        <v>45984.583333332019</v>
      </c>
      <c r="UB15" s="3119">
        <f t="shared" si="558"/>
        <v>45984.624999998683</v>
      </c>
      <c r="UC15" s="3119">
        <f t="shared" si="559"/>
        <v>45984.666666665347</v>
      </c>
      <c r="UD15" s="3119">
        <f t="shared" si="560"/>
        <v>45984.708333332012</v>
      </c>
      <c r="UE15" s="3119">
        <f t="shared" si="561"/>
        <v>45984.749999998676</v>
      </c>
      <c r="UF15" s="3119">
        <f t="shared" si="562"/>
        <v>45984.79166666534</v>
      </c>
      <c r="UG15" s="3119">
        <f t="shared" si="563"/>
        <v>45984.833333332004</v>
      </c>
      <c r="UH15" s="3119">
        <f t="shared" si="564"/>
        <v>45984.874999998668</v>
      </c>
      <c r="UI15" s="3119">
        <f t="shared" si="565"/>
        <v>45984.916666665333</v>
      </c>
      <c r="UJ15" s="3119">
        <f t="shared" si="566"/>
        <v>45984.958333331997</v>
      </c>
      <c r="UK15" s="3119">
        <f t="shared" si="567"/>
        <v>45984.999999998661</v>
      </c>
      <c r="UL15" s="3119">
        <f t="shared" si="568"/>
        <v>45985.041666665325</v>
      </c>
      <c r="UM15" s="3119">
        <f t="shared" si="569"/>
        <v>45985.08333333199</v>
      </c>
      <c r="UN15" s="3119">
        <f t="shared" si="570"/>
        <v>45985.124999998654</v>
      </c>
      <c r="UO15" s="3119">
        <f t="shared" si="571"/>
        <v>45985.166666665318</v>
      </c>
      <c r="UP15" s="3119">
        <f t="shared" si="572"/>
        <v>45985.208333331982</v>
      </c>
      <c r="UQ15" s="3119">
        <f t="shared" si="573"/>
        <v>45985.249999998647</v>
      </c>
      <c r="UR15" s="3119">
        <f t="shared" si="574"/>
        <v>45985.291666665311</v>
      </c>
      <c r="US15" s="3119">
        <f t="shared" si="575"/>
        <v>45985.333333331975</v>
      </c>
      <c r="UT15" s="3119">
        <f t="shared" si="576"/>
        <v>45985.374999998639</v>
      </c>
      <c r="UU15" s="3119">
        <f t="shared" si="577"/>
        <v>45985.416666665304</v>
      </c>
      <c r="UV15" s="3119">
        <f t="shared" si="578"/>
        <v>45985.458333331968</v>
      </c>
      <c r="UW15" s="3119">
        <f t="shared" si="579"/>
        <v>45985.499999998632</v>
      </c>
      <c r="UX15" s="3119">
        <f t="shared" si="580"/>
        <v>45985.541666665296</v>
      </c>
      <c r="UY15" s="3119">
        <f t="shared" si="581"/>
        <v>45985.583333331961</v>
      </c>
      <c r="UZ15" s="3119">
        <f t="shared" si="582"/>
        <v>45985.624999998625</v>
      </c>
      <c r="VA15" s="3119">
        <f t="shared" si="583"/>
        <v>45985.666666665289</v>
      </c>
      <c r="VB15" s="3119">
        <f t="shared" si="584"/>
        <v>45985.708333331953</v>
      </c>
      <c r="VC15" s="3119">
        <f t="shared" si="585"/>
        <v>45985.749999998618</v>
      </c>
      <c r="VD15" s="3119">
        <f t="shared" si="586"/>
        <v>45985.791666665282</v>
      </c>
      <c r="VE15" s="3119">
        <f t="shared" si="587"/>
        <v>45985.833333331946</v>
      </c>
      <c r="VF15" s="3119">
        <f t="shared" si="588"/>
        <v>45985.87499999861</v>
      </c>
      <c r="VG15" s="3119">
        <f t="shared" si="589"/>
        <v>45985.916666665275</v>
      </c>
      <c r="VH15" s="3119">
        <f t="shared" si="590"/>
        <v>45985.958333331939</v>
      </c>
      <c r="VI15" s="3119">
        <f t="shared" si="591"/>
        <v>45985.999999998603</v>
      </c>
      <c r="VJ15" s="3119">
        <f t="shared" si="22"/>
        <v>45986.041666665267</v>
      </c>
      <c r="VK15" s="3119">
        <f t="shared" si="592"/>
        <v>45986.083333331931</v>
      </c>
      <c r="VL15" s="3119">
        <f t="shared" si="593"/>
        <v>45986.124999998596</v>
      </c>
      <c r="VM15" s="3119">
        <f t="shared" si="594"/>
        <v>45986.16666666526</v>
      </c>
      <c r="VN15" s="3119">
        <f t="shared" si="595"/>
        <v>45986.208333331924</v>
      </c>
      <c r="VO15" s="3119">
        <f t="shared" si="596"/>
        <v>45986.249999998588</v>
      </c>
      <c r="VP15" s="3119">
        <f t="shared" si="597"/>
        <v>45986.291666665253</v>
      </c>
      <c r="VQ15" s="3119">
        <f t="shared" si="598"/>
        <v>45986.333333331917</v>
      </c>
      <c r="VR15" s="3119">
        <f t="shared" si="599"/>
        <v>45986.374999998581</v>
      </c>
      <c r="VS15" s="3119">
        <f t="shared" si="600"/>
        <v>45986.416666665245</v>
      </c>
      <c r="VT15" s="3119">
        <f t="shared" si="601"/>
        <v>45986.45833333191</v>
      </c>
      <c r="VU15" s="3119">
        <f t="shared" si="602"/>
        <v>45986.499999998574</v>
      </c>
      <c r="VV15" s="3119">
        <f t="shared" si="603"/>
        <v>45986.541666665238</v>
      </c>
      <c r="VW15" s="3119">
        <f t="shared" si="604"/>
        <v>45986.583333331902</v>
      </c>
      <c r="VX15" s="3119">
        <f t="shared" si="605"/>
        <v>45986.624999998567</v>
      </c>
      <c r="VY15" s="3119">
        <f t="shared" si="606"/>
        <v>45986.666666665231</v>
      </c>
      <c r="VZ15" s="3119">
        <f t="shared" si="607"/>
        <v>45986.708333331895</v>
      </c>
      <c r="WA15" s="3119">
        <f t="shared" si="608"/>
        <v>45986.749999998559</v>
      </c>
      <c r="WB15" s="3119">
        <f t="shared" si="609"/>
        <v>45986.791666665224</v>
      </c>
      <c r="WC15" s="3119">
        <f t="shared" si="610"/>
        <v>45986.833333331888</v>
      </c>
      <c r="WD15" s="3119">
        <f t="shared" si="611"/>
        <v>45986.874999998552</v>
      </c>
      <c r="WE15" s="3119">
        <f t="shared" si="612"/>
        <v>45986.916666665216</v>
      </c>
      <c r="WF15" s="3119">
        <f t="shared" si="613"/>
        <v>45986.958333331881</v>
      </c>
      <c r="WG15" s="3119">
        <f t="shared" si="614"/>
        <v>45986.999999998545</v>
      </c>
      <c r="WH15" s="3119">
        <f t="shared" si="615"/>
        <v>45987.041666665209</v>
      </c>
      <c r="WI15" s="3119">
        <f t="shared" si="616"/>
        <v>45987.083333331873</v>
      </c>
      <c r="WJ15" s="3119">
        <f t="shared" si="617"/>
        <v>45987.124999998538</v>
      </c>
      <c r="WK15" s="3119">
        <f t="shared" si="618"/>
        <v>45987.166666665202</v>
      </c>
      <c r="WL15" s="3119">
        <f t="shared" si="619"/>
        <v>45987.208333331866</v>
      </c>
      <c r="WM15" s="3119">
        <f t="shared" si="620"/>
        <v>45987.24999999853</v>
      </c>
      <c r="WN15" s="3119">
        <f t="shared" si="621"/>
        <v>45987.291666665194</v>
      </c>
      <c r="WO15" s="3119">
        <f t="shared" si="622"/>
        <v>45987.333333331859</v>
      </c>
      <c r="WP15" s="3119">
        <f t="shared" si="623"/>
        <v>45987.374999998523</v>
      </c>
      <c r="WQ15" s="3119">
        <f t="shared" si="624"/>
        <v>45987.416666665187</v>
      </c>
      <c r="WR15" s="3119">
        <f t="shared" si="625"/>
        <v>45987.458333331851</v>
      </c>
      <c r="WS15" s="3119">
        <f t="shared" si="626"/>
        <v>45987.499999998516</v>
      </c>
      <c r="WT15" s="3119">
        <f t="shared" si="627"/>
        <v>45987.54166666518</v>
      </c>
      <c r="WU15" s="3119">
        <f t="shared" si="628"/>
        <v>45987.583333331844</v>
      </c>
      <c r="WV15" s="3119">
        <f t="shared" si="629"/>
        <v>45987.624999998508</v>
      </c>
      <c r="WW15" s="3119">
        <f t="shared" si="630"/>
        <v>45987.666666665173</v>
      </c>
      <c r="WX15" s="3119">
        <f t="shared" si="631"/>
        <v>45987.708333331837</v>
      </c>
      <c r="WY15" s="3119">
        <f t="shared" si="632"/>
        <v>45987.749999998501</v>
      </c>
      <c r="WZ15" s="3119">
        <f t="shared" si="633"/>
        <v>45987.791666665165</v>
      </c>
      <c r="XA15" s="3119">
        <f t="shared" si="634"/>
        <v>45987.83333333183</v>
      </c>
      <c r="XB15" s="3119">
        <f t="shared" si="635"/>
        <v>45987.874999998494</v>
      </c>
      <c r="XC15" s="3119">
        <f t="shared" si="636"/>
        <v>45987.916666665158</v>
      </c>
      <c r="XD15" s="3119">
        <f t="shared" si="637"/>
        <v>45987.958333331822</v>
      </c>
      <c r="XE15" s="3119">
        <f t="shared" si="638"/>
        <v>45987.999999998487</v>
      </c>
      <c r="XF15" s="3119">
        <f t="shared" si="639"/>
        <v>45988.041666665151</v>
      </c>
      <c r="XG15" s="3119">
        <f t="shared" si="640"/>
        <v>45988.083333331815</v>
      </c>
      <c r="XH15" s="3119">
        <f t="shared" si="641"/>
        <v>45988.124999998479</v>
      </c>
      <c r="XI15" s="3119">
        <f t="shared" si="642"/>
        <v>45988.166666665144</v>
      </c>
      <c r="XJ15" s="3119">
        <f t="shared" si="643"/>
        <v>45988.208333331808</v>
      </c>
      <c r="XK15" s="3119">
        <f t="shared" si="644"/>
        <v>45988.249999998472</v>
      </c>
      <c r="XL15" s="3119">
        <f t="shared" si="645"/>
        <v>45988.291666665136</v>
      </c>
      <c r="XM15" s="3119">
        <f t="shared" si="646"/>
        <v>45988.333333331801</v>
      </c>
      <c r="XN15" s="3119">
        <f t="shared" si="647"/>
        <v>45988.374999998465</v>
      </c>
      <c r="XO15" s="3119">
        <f t="shared" si="648"/>
        <v>45988.416666665129</v>
      </c>
      <c r="XP15" s="3119">
        <f t="shared" si="649"/>
        <v>45988.458333331793</v>
      </c>
      <c r="XQ15" s="3119">
        <f t="shared" si="650"/>
        <v>45988.499999998457</v>
      </c>
      <c r="XR15" s="3119">
        <f t="shared" si="651"/>
        <v>45988.541666665122</v>
      </c>
      <c r="XS15" s="3119">
        <f t="shared" si="652"/>
        <v>45988.583333331786</v>
      </c>
      <c r="XT15" s="3119">
        <f t="shared" si="653"/>
        <v>45988.62499999845</v>
      </c>
      <c r="XU15" s="3119">
        <f t="shared" si="654"/>
        <v>45988.666666665114</v>
      </c>
      <c r="XV15" s="3119">
        <f t="shared" si="23"/>
        <v>45988.708333331779</v>
      </c>
      <c r="XW15" s="3119">
        <f t="shared" si="655"/>
        <v>45988.749999998443</v>
      </c>
      <c r="XX15" s="3119">
        <f t="shared" si="656"/>
        <v>45988.791666665107</v>
      </c>
      <c r="XY15" s="3119">
        <f t="shared" si="657"/>
        <v>45988.833333331771</v>
      </c>
      <c r="XZ15" s="3119">
        <f t="shared" si="658"/>
        <v>45988.874999998436</v>
      </c>
      <c r="YA15" s="3119">
        <f t="shared" si="659"/>
        <v>45988.9166666651</v>
      </c>
      <c r="YB15" s="3119">
        <f t="shared" si="660"/>
        <v>45988.958333331764</v>
      </c>
      <c r="YC15" s="3119">
        <f t="shared" si="661"/>
        <v>45988.999999998428</v>
      </c>
      <c r="YD15" s="3119">
        <f t="shared" si="662"/>
        <v>45989.041666665093</v>
      </c>
      <c r="YE15" s="3119">
        <f t="shared" si="663"/>
        <v>45989.083333331757</v>
      </c>
      <c r="YF15" s="3119">
        <f t="shared" si="664"/>
        <v>45989.124999998421</v>
      </c>
      <c r="YG15" s="3119">
        <f t="shared" si="665"/>
        <v>45989.166666665085</v>
      </c>
      <c r="YH15" s="3119">
        <f t="shared" si="666"/>
        <v>45989.20833333175</v>
      </c>
      <c r="YI15" s="3119">
        <f t="shared" si="667"/>
        <v>45989.249999998414</v>
      </c>
      <c r="YJ15" s="3119">
        <f t="shared" si="668"/>
        <v>45989.291666665078</v>
      </c>
      <c r="YK15" s="3119">
        <f t="shared" si="669"/>
        <v>45989.333333331742</v>
      </c>
      <c r="YL15" s="3119">
        <f t="shared" si="670"/>
        <v>45989.374999998407</v>
      </c>
      <c r="YM15" s="3119">
        <f t="shared" si="671"/>
        <v>45989.416666665071</v>
      </c>
      <c r="YN15" s="3119">
        <f t="shared" si="672"/>
        <v>45989.458333331735</v>
      </c>
      <c r="YO15" s="3119">
        <f t="shared" si="673"/>
        <v>45989.499999998399</v>
      </c>
      <c r="YP15" s="3119">
        <f t="shared" si="674"/>
        <v>45989.541666665064</v>
      </c>
      <c r="YQ15" s="3119">
        <f t="shared" si="675"/>
        <v>45989.583333331728</v>
      </c>
      <c r="YR15" s="3119">
        <f t="shared" si="676"/>
        <v>45989.624999998392</v>
      </c>
      <c r="YS15" s="3119">
        <f t="shared" si="677"/>
        <v>45989.666666665056</v>
      </c>
      <c r="YT15" s="3119">
        <f t="shared" si="678"/>
        <v>45989.70833333172</v>
      </c>
      <c r="YU15" s="3119">
        <f t="shared" si="679"/>
        <v>45989.749999998385</v>
      </c>
      <c r="YV15" s="3119">
        <f t="shared" si="680"/>
        <v>45989.791666665049</v>
      </c>
      <c r="YW15" s="3119">
        <f t="shared" si="681"/>
        <v>45989.833333331713</v>
      </c>
      <c r="YX15" s="3119">
        <f t="shared" si="682"/>
        <v>45989.874999998377</v>
      </c>
      <c r="YY15" s="3119">
        <f t="shared" si="683"/>
        <v>45989.916666665042</v>
      </c>
      <c r="YZ15" s="3119">
        <f t="shared" si="684"/>
        <v>45989.958333331706</v>
      </c>
      <c r="ZA15" s="3119">
        <f t="shared" si="685"/>
        <v>45989.99999999837</v>
      </c>
      <c r="ZB15" s="3119">
        <f t="shared" si="686"/>
        <v>45990.041666665034</v>
      </c>
      <c r="ZC15" s="3119">
        <f t="shared" si="687"/>
        <v>45990.083333331699</v>
      </c>
      <c r="ZD15" s="3119">
        <f t="shared" si="688"/>
        <v>45990.124999998363</v>
      </c>
      <c r="ZE15" s="3119">
        <f t="shared" si="689"/>
        <v>45990.166666665027</v>
      </c>
      <c r="ZF15" s="3119">
        <f t="shared" si="690"/>
        <v>45990.208333331691</v>
      </c>
      <c r="ZG15" s="3119">
        <f t="shared" si="691"/>
        <v>45990.249999998356</v>
      </c>
      <c r="ZH15" s="3119">
        <f t="shared" si="692"/>
        <v>45990.29166666502</v>
      </c>
      <c r="ZI15" s="3119">
        <f t="shared" si="693"/>
        <v>45990.333333331684</v>
      </c>
      <c r="ZJ15" s="3119">
        <f t="shared" si="694"/>
        <v>45990.374999998348</v>
      </c>
      <c r="ZK15" s="3119">
        <f t="shared" si="695"/>
        <v>45990.416666665013</v>
      </c>
      <c r="ZL15" s="3119">
        <f t="shared" si="696"/>
        <v>45990.458333331677</v>
      </c>
      <c r="ZM15" s="3119">
        <f t="shared" si="697"/>
        <v>45990.499999998341</v>
      </c>
      <c r="ZN15" s="3119">
        <f t="shared" si="698"/>
        <v>45990.541666665005</v>
      </c>
      <c r="ZO15" s="3119">
        <f t="shared" si="699"/>
        <v>45990.58333333167</v>
      </c>
      <c r="ZP15" s="3119">
        <f t="shared" si="700"/>
        <v>45990.624999998334</v>
      </c>
      <c r="ZQ15" s="3119">
        <f t="shared" si="701"/>
        <v>45990.666666664998</v>
      </c>
      <c r="ZR15" s="3119">
        <f t="shared" si="702"/>
        <v>45990.708333331662</v>
      </c>
      <c r="ZS15" s="3119">
        <f t="shared" si="703"/>
        <v>45990.749999998327</v>
      </c>
      <c r="ZT15" s="3119">
        <f t="shared" si="704"/>
        <v>45990.791666664991</v>
      </c>
      <c r="ZU15" s="3119">
        <f t="shared" si="705"/>
        <v>45990.833333331655</v>
      </c>
      <c r="ZV15" s="3119">
        <f t="shared" si="706"/>
        <v>45990.874999998319</v>
      </c>
      <c r="ZW15" s="3119">
        <f t="shared" si="707"/>
        <v>45990.916666664983</v>
      </c>
      <c r="ZX15" s="3119">
        <f t="shared" si="708"/>
        <v>45990.958333331648</v>
      </c>
      <c r="ZY15" s="3119">
        <f t="shared" si="709"/>
        <v>45990.999999998312</v>
      </c>
      <c r="ZZ15" s="3119">
        <f t="shared" si="710"/>
        <v>45991.041666664976</v>
      </c>
      <c r="AAA15" s="3119">
        <f t="shared" si="711"/>
        <v>45991.08333333164</v>
      </c>
      <c r="AAB15" s="3119">
        <f t="shared" si="712"/>
        <v>45991.124999998305</v>
      </c>
      <c r="AAC15" s="3119">
        <f t="shared" si="713"/>
        <v>45991.166666664969</v>
      </c>
      <c r="AAD15" s="3119">
        <f t="shared" si="714"/>
        <v>45991.208333331633</v>
      </c>
      <c r="AAE15" s="3119">
        <f t="shared" si="715"/>
        <v>45991.249999998297</v>
      </c>
      <c r="AAF15" s="3119">
        <f t="shared" si="716"/>
        <v>45991.291666664962</v>
      </c>
      <c r="AAG15" s="3119">
        <f t="shared" si="717"/>
        <v>45991.333333331626</v>
      </c>
      <c r="AAH15" s="3119">
        <f t="shared" si="24"/>
        <v>45991.37499999829</v>
      </c>
      <c r="AAI15" s="3119">
        <f t="shared" si="12"/>
        <v>45991.416666664954</v>
      </c>
      <c r="AAJ15" s="3119">
        <f t="shared" si="12"/>
        <v>45991.458333331619</v>
      </c>
      <c r="AAK15" s="3119">
        <f t="shared" si="12"/>
        <v>45991.499999998283</v>
      </c>
      <c r="AAL15" s="3119">
        <f t="shared" si="12"/>
        <v>45991.541666664947</v>
      </c>
      <c r="AAM15" s="3119">
        <f t="shared" si="12"/>
        <v>45991.583333331611</v>
      </c>
      <c r="AAN15" s="3119">
        <f t="shared" si="12"/>
        <v>45991.624999998276</v>
      </c>
      <c r="AAO15" s="3119">
        <f t="shared" si="12"/>
        <v>45991.66666666494</v>
      </c>
      <c r="AAP15" s="3119">
        <f t="shared" si="12"/>
        <v>45991.708333331604</v>
      </c>
      <c r="AAQ15" s="3119">
        <f t="shared" si="12"/>
        <v>45991.749999998268</v>
      </c>
      <c r="AAR15" s="3119">
        <f t="shared" si="12"/>
        <v>45991.791666664933</v>
      </c>
      <c r="AAS15" s="3119">
        <f t="shared" si="12"/>
        <v>45991.833333331597</v>
      </c>
      <c r="AAT15" s="3119">
        <f t="shared" si="12"/>
        <v>45991.874999998261</v>
      </c>
      <c r="AAU15" s="3119">
        <f t="shared" si="12"/>
        <v>45991.916666664925</v>
      </c>
      <c r="AAV15" s="3119">
        <f t="shared" si="12"/>
        <v>45991.95833333159</v>
      </c>
    </row>
    <row r="16" spans="1:724" s="282" customFormat="1" ht="13">
      <c r="A16" s="3115" t="s">
        <v>1546</v>
      </c>
      <c r="B16" s="3119">
        <v>45965.75</v>
      </c>
      <c r="C16" s="3119">
        <v>45966.75</v>
      </c>
      <c r="D16" s="3116">
        <f t="shared" si="0"/>
        <v>24</v>
      </c>
      <c r="E16" s="3119">
        <v>45962</v>
      </c>
      <c r="F16" s="3119">
        <f t="shared" si="13"/>
        <v>45962.041666666664</v>
      </c>
      <c r="G16" s="3119">
        <f t="shared" si="25"/>
        <v>45962.083333333328</v>
      </c>
      <c r="H16" s="3119">
        <f t="shared" si="26"/>
        <v>45962.124999999993</v>
      </c>
      <c r="I16" s="3119">
        <f t="shared" si="27"/>
        <v>45962.166666666657</v>
      </c>
      <c r="J16" s="3119">
        <f t="shared" si="28"/>
        <v>45962.208333333321</v>
      </c>
      <c r="K16" s="3119">
        <f t="shared" si="29"/>
        <v>45962.249999999985</v>
      </c>
      <c r="L16" s="3119">
        <f t="shared" si="30"/>
        <v>45962.29166666665</v>
      </c>
      <c r="M16" s="3119">
        <f t="shared" si="31"/>
        <v>45962.333333333314</v>
      </c>
      <c r="N16" s="3119">
        <f t="shared" si="32"/>
        <v>45962.374999999978</v>
      </c>
      <c r="O16" s="3119">
        <f t="shared" si="33"/>
        <v>45962.416666666642</v>
      </c>
      <c r="P16" s="3119">
        <f t="shared" si="34"/>
        <v>45962.458333333307</v>
      </c>
      <c r="Q16" s="3119">
        <f t="shared" si="35"/>
        <v>45962.499999999971</v>
      </c>
      <c r="R16" s="3119">
        <f t="shared" si="36"/>
        <v>45962.541666666635</v>
      </c>
      <c r="S16" s="3119">
        <f t="shared" si="37"/>
        <v>45962.583333333299</v>
      </c>
      <c r="T16" s="3119">
        <f t="shared" si="38"/>
        <v>45962.624999999964</v>
      </c>
      <c r="U16" s="3119">
        <f t="shared" si="39"/>
        <v>45962.666666666628</v>
      </c>
      <c r="V16" s="3119">
        <f t="shared" si="40"/>
        <v>45962.708333333292</v>
      </c>
      <c r="W16" s="3119">
        <f t="shared" si="41"/>
        <v>45962.749999999956</v>
      </c>
      <c r="X16" s="3119">
        <f t="shared" si="42"/>
        <v>45962.791666666621</v>
      </c>
      <c r="Y16" s="3119">
        <f t="shared" si="43"/>
        <v>45962.833333333285</v>
      </c>
      <c r="Z16" s="3119">
        <f t="shared" si="44"/>
        <v>45962.874999999949</v>
      </c>
      <c r="AA16" s="3119">
        <f t="shared" si="45"/>
        <v>45962.916666666613</v>
      </c>
      <c r="AB16" s="3119">
        <f t="shared" si="46"/>
        <v>45962.958333333278</v>
      </c>
      <c r="AC16" s="3119">
        <f t="shared" si="47"/>
        <v>45962.999999999942</v>
      </c>
      <c r="AD16" s="3119">
        <f t="shared" si="48"/>
        <v>45963.041666666606</v>
      </c>
      <c r="AE16" s="3119">
        <f t="shared" si="49"/>
        <v>45963.08333333327</v>
      </c>
      <c r="AF16" s="3119">
        <f t="shared" si="50"/>
        <v>45963.124999999935</v>
      </c>
      <c r="AG16" s="3119">
        <f t="shared" si="51"/>
        <v>45963.166666666599</v>
      </c>
      <c r="AH16" s="3119">
        <f t="shared" si="52"/>
        <v>45963.208333333263</v>
      </c>
      <c r="AI16" s="3119">
        <f t="shared" si="53"/>
        <v>45963.249999999927</v>
      </c>
      <c r="AJ16" s="3119">
        <f t="shared" si="54"/>
        <v>45963.291666666591</v>
      </c>
      <c r="AK16" s="3119">
        <f t="shared" si="55"/>
        <v>45963.333333333256</v>
      </c>
      <c r="AL16" s="3119">
        <f t="shared" si="56"/>
        <v>45963.37499999992</v>
      </c>
      <c r="AM16" s="3119">
        <f t="shared" si="57"/>
        <v>45963.416666666584</v>
      </c>
      <c r="AN16" s="3119">
        <f t="shared" si="58"/>
        <v>45963.458333333248</v>
      </c>
      <c r="AO16" s="3119">
        <f t="shared" si="59"/>
        <v>45963.499999999913</v>
      </c>
      <c r="AP16" s="3119">
        <f t="shared" si="60"/>
        <v>45963.541666666577</v>
      </c>
      <c r="AQ16" s="3119">
        <f t="shared" si="61"/>
        <v>45963.583333333241</v>
      </c>
      <c r="AR16" s="3119">
        <f t="shared" si="62"/>
        <v>45963.624999999905</v>
      </c>
      <c r="AS16" s="3119">
        <f t="shared" si="63"/>
        <v>45963.66666666657</v>
      </c>
      <c r="AT16" s="3119">
        <f t="shared" si="64"/>
        <v>45963.708333333234</v>
      </c>
      <c r="AU16" s="3119">
        <f t="shared" si="65"/>
        <v>45963.749999999898</v>
      </c>
      <c r="AV16" s="3119">
        <f t="shared" si="66"/>
        <v>45963.791666666562</v>
      </c>
      <c r="AW16" s="3119">
        <f t="shared" si="67"/>
        <v>45963.833333333227</v>
      </c>
      <c r="AX16" s="3119">
        <f t="shared" si="68"/>
        <v>45963.874999999891</v>
      </c>
      <c r="AY16" s="3119">
        <f t="shared" si="69"/>
        <v>45963.916666666555</v>
      </c>
      <c r="AZ16" s="3119">
        <f t="shared" si="70"/>
        <v>45963.958333333219</v>
      </c>
      <c r="BA16" s="3119">
        <f t="shared" si="71"/>
        <v>45963.999999999884</v>
      </c>
      <c r="BB16" s="3119">
        <f t="shared" si="72"/>
        <v>45964.041666666548</v>
      </c>
      <c r="BC16" s="3119">
        <f t="shared" si="73"/>
        <v>45964.083333333212</v>
      </c>
      <c r="BD16" s="3119">
        <f t="shared" si="74"/>
        <v>45964.124999999876</v>
      </c>
      <c r="BE16" s="3119">
        <f t="shared" si="75"/>
        <v>45964.166666666541</v>
      </c>
      <c r="BF16" s="3119">
        <f t="shared" si="76"/>
        <v>45964.208333333205</v>
      </c>
      <c r="BG16" s="3119">
        <f t="shared" si="77"/>
        <v>45964.249999999869</v>
      </c>
      <c r="BH16" s="3119">
        <f t="shared" si="78"/>
        <v>45964.291666666533</v>
      </c>
      <c r="BI16" s="3119">
        <f t="shared" si="79"/>
        <v>45964.333333333198</v>
      </c>
      <c r="BJ16" s="3119">
        <f t="shared" si="80"/>
        <v>45964.374999999862</v>
      </c>
      <c r="BK16" s="3119">
        <f t="shared" si="81"/>
        <v>45964.416666666526</v>
      </c>
      <c r="BL16" s="3119">
        <f t="shared" si="82"/>
        <v>45964.45833333319</v>
      </c>
      <c r="BM16" s="3119">
        <f t="shared" si="83"/>
        <v>45964.499999999854</v>
      </c>
      <c r="BN16" s="3119">
        <f t="shared" si="84"/>
        <v>45964.541666666519</v>
      </c>
      <c r="BO16" s="3119">
        <f t="shared" si="85"/>
        <v>45964.583333333183</v>
      </c>
      <c r="BP16" s="3119">
        <f t="shared" si="86"/>
        <v>45964.624999999847</v>
      </c>
      <c r="BQ16" s="3119">
        <f t="shared" si="87"/>
        <v>45964.666666666511</v>
      </c>
      <c r="BR16" s="3119">
        <f t="shared" si="14"/>
        <v>45964.708333333176</v>
      </c>
      <c r="BS16" s="3119">
        <f t="shared" si="88"/>
        <v>45964.74999999984</v>
      </c>
      <c r="BT16" s="3119">
        <f t="shared" si="89"/>
        <v>45964.791666666504</v>
      </c>
      <c r="BU16" s="3119">
        <f t="shared" si="90"/>
        <v>45964.833333333168</v>
      </c>
      <c r="BV16" s="3119">
        <f t="shared" si="91"/>
        <v>45964.874999999833</v>
      </c>
      <c r="BW16" s="3119">
        <f t="shared" si="92"/>
        <v>45964.916666666497</v>
      </c>
      <c r="BX16" s="3119">
        <f t="shared" si="93"/>
        <v>45964.958333333161</v>
      </c>
      <c r="BY16" s="3119">
        <f t="shared" si="94"/>
        <v>45964.999999999825</v>
      </c>
      <c r="BZ16" s="3119">
        <f t="shared" si="95"/>
        <v>45965.04166666649</v>
      </c>
      <c r="CA16" s="3119">
        <f t="shared" si="96"/>
        <v>45965.083333333154</v>
      </c>
      <c r="CB16" s="3119">
        <f t="shared" si="97"/>
        <v>45965.124999999818</v>
      </c>
      <c r="CC16" s="3119">
        <f t="shared" si="98"/>
        <v>45965.166666666482</v>
      </c>
      <c r="CD16" s="3119">
        <f t="shared" si="99"/>
        <v>45965.208333333147</v>
      </c>
      <c r="CE16" s="3119">
        <f t="shared" si="100"/>
        <v>45965.249999999811</v>
      </c>
      <c r="CF16" s="3119">
        <f t="shared" si="101"/>
        <v>45965.291666666475</v>
      </c>
      <c r="CG16" s="3119">
        <f t="shared" si="102"/>
        <v>45965.333333333139</v>
      </c>
      <c r="CH16" s="3119">
        <f t="shared" si="103"/>
        <v>45965.374999999804</v>
      </c>
      <c r="CI16" s="3119">
        <f t="shared" si="104"/>
        <v>45965.416666666468</v>
      </c>
      <c r="CJ16" s="3119">
        <f t="shared" si="105"/>
        <v>45965.458333333132</v>
      </c>
      <c r="CK16" s="3119">
        <f t="shared" si="106"/>
        <v>45965.499999999796</v>
      </c>
      <c r="CL16" s="3119">
        <f t="shared" si="107"/>
        <v>45965.541666666461</v>
      </c>
      <c r="CM16" s="3119">
        <f t="shared" si="108"/>
        <v>45965.583333333125</v>
      </c>
      <c r="CN16" s="3119">
        <f t="shared" si="109"/>
        <v>45965.624999999789</v>
      </c>
      <c r="CO16" s="3119">
        <f t="shared" si="110"/>
        <v>45965.666666666453</v>
      </c>
      <c r="CP16" s="3119">
        <f t="shared" si="111"/>
        <v>45965.708333333117</v>
      </c>
      <c r="CQ16" s="3119">
        <f t="shared" si="112"/>
        <v>45965.749999999782</v>
      </c>
      <c r="CR16" s="3119">
        <f t="shared" si="113"/>
        <v>45965.791666666446</v>
      </c>
      <c r="CS16" s="3119">
        <f t="shared" si="114"/>
        <v>45965.83333333311</v>
      </c>
      <c r="CT16" s="3119">
        <f t="shared" si="115"/>
        <v>45965.874999999774</v>
      </c>
      <c r="CU16" s="3119">
        <f t="shared" si="116"/>
        <v>45965.916666666439</v>
      </c>
      <c r="CV16" s="3119">
        <f t="shared" si="117"/>
        <v>45965.958333333103</v>
      </c>
      <c r="CW16" s="3119">
        <f t="shared" si="118"/>
        <v>45965.999999999767</v>
      </c>
      <c r="CX16" s="3119">
        <f t="shared" si="119"/>
        <v>45966.041666666431</v>
      </c>
      <c r="CY16" s="3119">
        <f t="shared" si="120"/>
        <v>45966.083333333096</v>
      </c>
      <c r="CZ16" s="3119">
        <f t="shared" si="121"/>
        <v>45966.12499999976</v>
      </c>
      <c r="DA16" s="3119">
        <f t="shared" si="122"/>
        <v>45966.166666666424</v>
      </c>
      <c r="DB16" s="3119">
        <f t="shared" si="123"/>
        <v>45966.208333333088</v>
      </c>
      <c r="DC16" s="3119">
        <f t="shared" si="124"/>
        <v>45966.249999999753</v>
      </c>
      <c r="DD16" s="3119">
        <f t="shared" si="125"/>
        <v>45966.291666666417</v>
      </c>
      <c r="DE16" s="3119">
        <f t="shared" si="126"/>
        <v>45966.333333333081</v>
      </c>
      <c r="DF16" s="3119">
        <f t="shared" si="127"/>
        <v>45966.374999999745</v>
      </c>
      <c r="DG16" s="3119">
        <f t="shared" si="128"/>
        <v>45966.41666666641</v>
      </c>
      <c r="DH16" s="3119">
        <f t="shared" si="129"/>
        <v>45966.458333333074</v>
      </c>
      <c r="DI16" s="3119">
        <f t="shared" si="130"/>
        <v>45966.499999999738</v>
      </c>
      <c r="DJ16" s="3119">
        <f t="shared" si="131"/>
        <v>45966.541666666402</v>
      </c>
      <c r="DK16" s="3119">
        <f t="shared" si="132"/>
        <v>45966.583333333067</v>
      </c>
      <c r="DL16" s="3119">
        <f t="shared" si="133"/>
        <v>45966.624999999731</v>
      </c>
      <c r="DM16" s="3119">
        <f t="shared" si="134"/>
        <v>45966.666666666395</v>
      </c>
      <c r="DN16" s="3119">
        <f t="shared" si="135"/>
        <v>45966.708333333059</v>
      </c>
      <c r="DO16" s="3119">
        <f t="shared" si="136"/>
        <v>45966.749999999724</v>
      </c>
      <c r="DP16" s="3119">
        <f t="shared" si="137"/>
        <v>45966.791666666388</v>
      </c>
      <c r="DQ16" s="3119">
        <f t="shared" si="138"/>
        <v>45966.833333333052</v>
      </c>
      <c r="DR16" s="3119">
        <f t="shared" si="139"/>
        <v>45966.874999999716</v>
      </c>
      <c r="DS16" s="3119">
        <f t="shared" si="140"/>
        <v>45966.91666666638</v>
      </c>
      <c r="DT16" s="3119">
        <f t="shared" si="141"/>
        <v>45966.958333333045</v>
      </c>
      <c r="DU16" s="3119">
        <f t="shared" si="142"/>
        <v>45966.999999999709</v>
      </c>
      <c r="DV16" s="3119">
        <f t="shared" si="143"/>
        <v>45967.041666666373</v>
      </c>
      <c r="DW16" s="3119">
        <f t="shared" si="144"/>
        <v>45967.083333333037</v>
      </c>
      <c r="DX16" s="3119">
        <f t="shared" si="145"/>
        <v>45967.124999999702</v>
      </c>
      <c r="DY16" s="3119">
        <f t="shared" si="146"/>
        <v>45967.166666666366</v>
      </c>
      <c r="DZ16" s="3119">
        <f t="shared" si="147"/>
        <v>45967.20833333303</v>
      </c>
      <c r="EA16" s="3119">
        <f t="shared" si="148"/>
        <v>45967.249999999694</v>
      </c>
      <c r="EB16" s="3119">
        <f t="shared" si="149"/>
        <v>45967.291666666359</v>
      </c>
      <c r="EC16" s="3119">
        <f t="shared" si="150"/>
        <v>45967.333333333023</v>
      </c>
      <c r="ED16" s="3119">
        <f t="shared" si="15"/>
        <v>45967.374999999687</v>
      </c>
      <c r="EE16" s="3119">
        <f t="shared" si="151"/>
        <v>45967.416666666351</v>
      </c>
      <c r="EF16" s="3119">
        <f t="shared" si="152"/>
        <v>45967.458333333016</v>
      </c>
      <c r="EG16" s="3119">
        <f t="shared" si="153"/>
        <v>45967.49999999968</v>
      </c>
      <c r="EH16" s="3119">
        <f t="shared" si="154"/>
        <v>45967.541666666344</v>
      </c>
      <c r="EI16" s="3119">
        <f t="shared" si="155"/>
        <v>45967.583333333008</v>
      </c>
      <c r="EJ16" s="3119">
        <f t="shared" si="156"/>
        <v>45967.624999999673</v>
      </c>
      <c r="EK16" s="3119">
        <f t="shared" si="157"/>
        <v>45967.666666666337</v>
      </c>
      <c r="EL16" s="3119">
        <f t="shared" si="158"/>
        <v>45967.708333333001</v>
      </c>
      <c r="EM16" s="3119">
        <f t="shared" si="159"/>
        <v>45967.749999999665</v>
      </c>
      <c r="EN16" s="3119">
        <f t="shared" si="160"/>
        <v>45967.79166666633</v>
      </c>
      <c r="EO16" s="3119">
        <f t="shared" si="161"/>
        <v>45967.833333332994</v>
      </c>
      <c r="EP16" s="3119">
        <f t="shared" si="162"/>
        <v>45967.874999999658</v>
      </c>
      <c r="EQ16" s="3119">
        <f t="shared" si="163"/>
        <v>45967.916666666322</v>
      </c>
      <c r="ER16" s="3119">
        <f t="shared" si="164"/>
        <v>45967.958333332987</v>
      </c>
      <c r="ES16" s="3119">
        <f t="shared" si="165"/>
        <v>45967.999999999651</v>
      </c>
      <c r="ET16" s="3119">
        <f t="shared" si="166"/>
        <v>45968.041666666315</v>
      </c>
      <c r="EU16" s="3119">
        <f t="shared" si="167"/>
        <v>45968.083333332979</v>
      </c>
      <c r="EV16" s="3119">
        <f t="shared" si="168"/>
        <v>45968.124999999643</v>
      </c>
      <c r="EW16" s="3119">
        <f t="shared" si="169"/>
        <v>45968.166666666308</v>
      </c>
      <c r="EX16" s="3119">
        <f t="shared" si="170"/>
        <v>45968.208333332972</v>
      </c>
      <c r="EY16" s="3119">
        <f t="shared" si="171"/>
        <v>45968.249999999636</v>
      </c>
      <c r="EZ16" s="3119">
        <f t="shared" si="172"/>
        <v>45968.2916666663</v>
      </c>
      <c r="FA16" s="3119">
        <f t="shared" si="173"/>
        <v>45968.333333332965</v>
      </c>
      <c r="FB16" s="3119">
        <f t="shared" si="174"/>
        <v>45968.374999999629</v>
      </c>
      <c r="FC16" s="3119">
        <f t="shared" si="175"/>
        <v>45968.416666666293</v>
      </c>
      <c r="FD16" s="3119">
        <f t="shared" si="176"/>
        <v>45968.458333332957</v>
      </c>
      <c r="FE16" s="3119">
        <f t="shared" si="177"/>
        <v>45968.499999999622</v>
      </c>
      <c r="FF16" s="3119">
        <f t="shared" si="178"/>
        <v>45968.541666666286</v>
      </c>
      <c r="FG16" s="3119">
        <f t="shared" si="179"/>
        <v>45968.58333333295</v>
      </c>
      <c r="FH16" s="3119">
        <f t="shared" si="180"/>
        <v>45968.624999999614</v>
      </c>
      <c r="FI16" s="3119">
        <f t="shared" si="181"/>
        <v>45968.666666666279</v>
      </c>
      <c r="FJ16" s="3119">
        <f t="shared" si="182"/>
        <v>45968.708333332943</v>
      </c>
      <c r="FK16" s="3119">
        <f t="shared" si="183"/>
        <v>45968.749999999607</v>
      </c>
      <c r="FL16" s="3119">
        <f t="shared" si="184"/>
        <v>45968.791666666271</v>
      </c>
      <c r="FM16" s="3119">
        <f t="shared" si="185"/>
        <v>45968.833333332936</v>
      </c>
      <c r="FN16" s="3119">
        <f t="shared" si="186"/>
        <v>45968.8749999996</v>
      </c>
      <c r="FO16" s="3119">
        <f t="shared" si="187"/>
        <v>45968.916666666264</v>
      </c>
      <c r="FP16" s="3119">
        <f t="shared" si="188"/>
        <v>45968.958333332928</v>
      </c>
      <c r="FQ16" s="3119">
        <f t="shared" si="189"/>
        <v>45968.999999999593</v>
      </c>
      <c r="FR16" s="3119">
        <f t="shared" si="190"/>
        <v>45969.041666666257</v>
      </c>
      <c r="FS16" s="3119">
        <f t="shared" si="191"/>
        <v>45969.083333332921</v>
      </c>
      <c r="FT16" s="3119">
        <f t="shared" si="192"/>
        <v>45969.124999999585</v>
      </c>
      <c r="FU16" s="3119">
        <f t="shared" si="193"/>
        <v>45969.16666666625</v>
      </c>
      <c r="FV16" s="3119">
        <f t="shared" si="194"/>
        <v>45969.208333332914</v>
      </c>
      <c r="FW16" s="3119">
        <f t="shared" si="195"/>
        <v>45969.249999999578</v>
      </c>
      <c r="FX16" s="3119">
        <f t="shared" si="196"/>
        <v>45969.291666666242</v>
      </c>
      <c r="FY16" s="3119">
        <f t="shared" si="197"/>
        <v>45969.333333332906</v>
      </c>
      <c r="FZ16" s="3119">
        <f t="shared" si="198"/>
        <v>45969.374999999571</v>
      </c>
      <c r="GA16" s="3119">
        <f t="shared" si="199"/>
        <v>45969.416666666235</v>
      </c>
      <c r="GB16" s="3119">
        <f t="shared" si="200"/>
        <v>45969.458333332899</v>
      </c>
      <c r="GC16" s="3119">
        <f t="shared" si="201"/>
        <v>45969.499999999563</v>
      </c>
      <c r="GD16" s="3119">
        <f t="shared" si="202"/>
        <v>45969.541666666228</v>
      </c>
      <c r="GE16" s="3119">
        <f t="shared" si="203"/>
        <v>45969.583333332892</v>
      </c>
      <c r="GF16" s="3119">
        <f t="shared" si="204"/>
        <v>45969.624999999556</v>
      </c>
      <c r="GG16" s="3119">
        <f t="shared" si="205"/>
        <v>45969.66666666622</v>
      </c>
      <c r="GH16" s="3119">
        <f t="shared" si="206"/>
        <v>45969.708333332885</v>
      </c>
      <c r="GI16" s="3119">
        <f t="shared" si="207"/>
        <v>45969.749999999549</v>
      </c>
      <c r="GJ16" s="3119">
        <f t="shared" si="208"/>
        <v>45969.791666666213</v>
      </c>
      <c r="GK16" s="3119">
        <f t="shared" si="209"/>
        <v>45969.833333332877</v>
      </c>
      <c r="GL16" s="3119">
        <f t="shared" si="210"/>
        <v>45969.874999999542</v>
      </c>
      <c r="GM16" s="3119">
        <f t="shared" si="211"/>
        <v>45969.916666666206</v>
      </c>
      <c r="GN16" s="3119">
        <f t="shared" si="212"/>
        <v>45969.95833333287</v>
      </c>
      <c r="GO16" s="3119">
        <f t="shared" si="213"/>
        <v>45969.999999999534</v>
      </c>
      <c r="GP16" s="3119">
        <f t="shared" si="16"/>
        <v>45970.041666666199</v>
      </c>
      <c r="GQ16" s="3119">
        <f t="shared" si="214"/>
        <v>45970.083333332863</v>
      </c>
      <c r="GR16" s="3119">
        <f t="shared" si="215"/>
        <v>45970.124999999527</v>
      </c>
      <c r="GS16" s="3119">
        <f t="shared" si="216"/>
        <v>45970.166666666191</v>
      </c>
      <c r="GT16" s="3119">
        <f t="shared" si="217"/>
        <v>45970.208333332856</v>
      </c>
      <c r="GU16" s="3119">
        <f t="shared" si="218"/>
        <v>45970.24999999952</v>
      </c>
      <c r="GV16" s="3119">
        <f t="shared" si="219"/>
        <v>45970.291666666184</v>
      </c>
      <c r="GW16" s="3119">
        <f t="shared" si="220"/>
        <v>45970.333333332848</v>
      </c>
      <c r="GX16" s="3119">
        <f t="shared" si="221"/>
        <v>45970.374999999513</v>
      </c>
      <c r="GY16" s="3119">
        <f t="shared" si="222"/>
        <v>45970.416666666177</v>
      </c>
      <c r="GZ16" s="3119">
        <f t="shared" si="223"/>
        <v>45970.458333332841</v>
      </c>
      <c r="HA16" s="3119">
        <f t="shared" si="224"/>
        <v>45970.499999999505</v>
      </c>
      <c r="HB16" s="3119">
        <f t="shared" si="225"/>
        <v>45970.541666666169</v>
      </c>
      <c r="HC16" s="3119">
        <f t="shared" si="226"/>
        <v>45970.583333332834</v>
      </c>
      <c r="HD16" s="3119">
        <f t="shared" si="227"/>
        <v>45970.624999999498</v>
      </c>
      <c r="HE16" s="3119">
        <f t="shared" si="228"/>
        <v>45970.666666666162</v>
      </c>
      <c r="HF16" s="3119">
        <f t="shared" si="229"/>
        <v>45970.708333332826</v>
      </c>
      <c r="HG16" s="3119">
        <f t="shared" si="230"/>
        <v>45970.749999999491</v>
      </c>
      <c r="HH16" s="3119">
        <f t="shared" si="231"/>
        <v>45970.791666666155</v>
      </c>
      <c r="HI16" s="3119">
        <f t="shared" si="232"/>
        <v>45970.833333332819</v>
      </c>
      <c r="HJ16" s="3119">
        <f t="shared" si="233"/>
        <v>45970.874999999483</v>
      </c>
      <c r="HK16" s="3119">
        <f t="shared" si="234"/>
        <v>45970.916666666148</v>
      </c>
      <c r="HL16" s="3119">
        <f t="shared" si="235"/>
        <v>45970.958333332812</v>
      </c>
      <c r="HM16" s="3119">
        <f t="shared" si="236"/>
        <v>45970.999999999476</v>
      </c>
      <c r="HN16" s="3119">
        <f t="shared" si="237"/>
        <v>45971.04166666614</v>
      </c>
      <c r="HO16" s="3119">
        <f t="shared" si="238"/>
        <v>45971.083333332805</v>
      </c>
      <c r="HP16" s="3119">
        <f t="shared" si="239"/>
        <v>45971.124999999469</v>
      </c>
      <c r="HQ16" s="3119">
        <f t="shared" si="240"/>
        <v>45971.166666666133</v>
      </c>
      <c r="HR16" s="3119">
        <f t="shared" si="241"/>
        <v>45971.208333332797</v>
      </c>
      <c r="HS16" s="3119">
        <f t="shared" si="242"/>
        <v>45971.249999999462</v>
      </c>
      <c r="HT16" s="3119">
        <f t="shared" si="243"/>
        <v>45971.291666666126</v>
      </c>
      <c r="HU16" s="3119">
        <f t="shared" si="244"/>
        <v>45971.33333333279</v>
      </c>
      <c r="HV16" s="3119">
        <f t="shared" si="245"/>
        <v>45971.374999999454</v>
      </c>
      <c r="HW16" s="3119">
        <f t="shared" si="246"/>
        <v>45971.416666666119</v>
      </c>
      <c r="HX16" s="3119">
        <f t="shared" si="247"/>
        <v>45971.458333332783</v>
      </c>
      <c r="HY16" s="3119">
        <f t="shared" si="248"/>
        <v>45971.499999999447</v>
      </c>
      <c r="HZ16" s="3119">
        <f t="shared" si="249"/>
        <v>45971.541666666111</v>
      </c>
      <c r="IA16" s="3119">
        <f t="shared" si="250"/>
        <v>45971.583333332776</v>
      </c>
      <c r="IB16" s="3119">
        <f t="shared" si="251"/>
        <v>45971.62499999944</v>
      </c>
      <c r="IC16" s="3119">
        <f t="shared" si="252"/>
        <v>45971.666666666104</v>
      </c>
      <c r="ID16" s="3119">
        <f t="shared" si="253"/>
        <v>45971.708333332768</v>
      </c>
      <c r="IE16" s="3119">
        <f t="shared" si="254"/>
        <v>45971.749999999432</v>
      </c>
      <c r="IF16" s="3119">
        <f t="shared" si="255"/>
        <v>45971.791666666097</v>
      </c>
      <c r="IG16" s="3119">
        <f t="shared" si="256"/>
        <v>45971.833333332761</v>
      </c>
      <c r="IH16" s="3119">
        <f t="shared" si="257"/>
        <v>45971.874999999425</v>
      </c>
      <c r="II16" s="3119">
        <f t="shared" si="258"/>
        <v>45971.916666666089</v>
      </c>
      <c r="IJ16" s="3119">
        <f t="shared" si="259"/>
        <v>45971.958333332754</v>
      </c>
      <c r="IK16" s="3119">
        <f t="shared" si="260"/>
        <v>45971.999999999418</v>
      </c>
      <c r="IL16" s="3119">
        <f t="shared" si="261"/>
        <v>45972.041666666082</v>
      </c>
      <c r="IM16" s="3119">
        <f t="shared" si="262"/>
        <v>45972.083333332746</v>
      </c>
      <c r="IN16" s="3119">
        <f t="shared" si="263"/>
        <v>45972.124999999411</v>
      </c>
      <c r="IO16" s="3119">
        <f t="shared" si="264"/>
        <v>45972.166666666075</v>
      </c>
      <c r="IP16" s="3119">
        <f t="shared" si="265"/>
        <v>45972.208333332739</v>
      </c>
      <c r="IQ16" s="3119">
        <f t="shared" si="266"/>
        <v>45972.249999999403</v>
      </c>
      <c r="IR16" s="3119">
        <f t="shared" si="267"/>
        <v>45972.291666666068</v>
      </c>
      <c r="IS16" s="3119">
        <f t="shared" si="268"/>
        <v>45972.333333332732</v>
      </c>
      <c r="IT16" s="3119">
        <f t="shared" si="269"/>
        <v>45972.374999999396</v>
      </c>
      <c r="IU16" s="3119">
        <f t="shared" si="270"/>
        <v>45972.41666666606</v>
      </c>
      <c r="IV16" s="3119">
        <f t="shared" si="271"/>
        <v>45972.458333332725</v>
      </c>
      <c r="IW16" s="3119">
        <f t="shared" si="272"/>
        <v>45972.499999999389</v>
      </c>
      <c r="IX16" s="3119">
        <f t="shared" si="273"/>
        <v>45972.541666666053</v>
      </c>
      <c r="IY16" s="3119">
        <f t="shared" si="274"/>
        <v>45972.583333332717</v>
      </c>
      <c r="IZ16" s="3119">
        <f t="shared" si="275"/>
        <v>45972.624999999382</v>
      </c>
      <c r="JA16" s="3119">
        <f t="shared" si="276"/>
        <v>45972.666666666046</v>
      </c>
      <c r="JB16" s="3119">
        <f t="shared" si="17"/>
        <v>45972.70833333271</v>
      </c>
      <c r="JC16" s="3119">
        <f t="shared" si="277"/>
        <v>45972.749999999374</v>
      </c>
      <c r="JD16" s="3119">
        <f t="shared" si="278"/>
        <v>45972.791666666039</v>
      </c>
      <c r="JE16" s="3119">
        <f t="shared" si="279"/>
        <v>45972.833333332703</v>
      </c>
      <c r="JF16" s="3119">
        <f t="shared" si="280"/>
        <v>45972.874999999367</v>
      </c>
      <c r="JG16" s="3119">
        <f t="shared" si="281"/>
        <v>45972.916666666031</v>
      </c>
      <c r="JH16" s="3119">
        <f t="shared" si="282"/>
        <v>45972.958333332695</v>
      </c>
      <c r="JI16" s="3119">
        <f t="shared" si="283"/>
        <v>45972.99999999936</v>
      </c>
      <c r="JJ16" s="3119">
        <f t="shared" si="284"/>
        <v>45973.041666666024</v>
      </c>
      <c r="JK16" s="3119">
        <f t="shared" si="285"/>
        <v>45973.083333332688</v>
      </c>
      <c r="JL16" s="3119">
        <f t="shared" si="286"/>
        <v>45973.124999999352</v>
      </c>
      <c r="JM16" s="3119">
        <f t="shared" si="287"/>
        <v>45973.166666666017</v>
      </c>
      <c r="JN16" s="3119">
        <f t="shared" si="288"/>
        <v>45973.208333332681</v>
      </c>
      <c r="JO16" s="3119">
        <f t="shared" si="289"/>
        <v>45973.249999999345</v>
      </c>
      <c r="JP16" s="3119">
        <f t="shared" si="290"/>
        <v>45973.291666666009</v>
      </c>
      <c r="JQ16" s="3119">
        <f t="shared" si="291"/>
        <v>45973.333333332674</v>
      </c>
      <c r="JR16" s="3119">
        <f t="shared" si="292"/>
        <v>45973.374999999338</v>
      </c>
      <c r="JS16" s="3119">
        <f t="shared" si="293"/>
        <v>45973.416666666002</v>
      </c>
      <c r="JT16" s="3119">
        <f t="shared" si="294"/>
        <v>45973.458333332666</v>
      </c>
      <c r="JU16" s="3119">
        <f t="shared" si="295"/>
        <v>45973.499999999331</v>
      </c>
      <c r="JV16" s="3119">
        <f t="shared" si="296"/>
        <v>45973.541666665995</v>
      </c>
      <c r="JW16" s="3119">
        <f t="shared" si="297"/>
        <v>45973.583333332659</v>
      </c>
      <c r="JX16" s="3119">
        <f t="shared" si="298"/>
        <v>45973.624999999323</v>
      </c>
      <c r="JY16" s="3119">
        <f t="shared" si="299"/>
        <v>45973.666666665988</v>
      </c>
      <c r="JZ16" s="3119">
        <f t="shared" si="300"/>
        <v>45973.708333332652</v>
      </c>
      <c r="KA16" s="3119">
        <f t="shared" si="301"/>
        <v>45973.749999999316</v>
      </c>
      <c r="KB16" s="3119">
        <f t="shared" si="302"/>
        <v>45973.79166666598</v>
      </c>
      <c r="KC16" s="3119">
        <f t="shared" si="303"/>
        <v>45973.833333332645</v>
      </c>
      <c r="KD16" s="3119">
        <f t="shared" si="304"/>
        <v>45973.874999999309</v>
      </c>
      <c r="KE16" s="3119">
        <f t="shared" si="305"/>
        <v>45973.916666665973</v>
      </c>
      <c r="KF16" s="3119">
        <f t="shared" si="306"/>
        <v>45973.958333332637</v>
      </c>
      <c r="KG16" s="3119">
        <f t="shared" si="307"/>
        <v>45973.999999999302</v>
      </c>
      <c r="KH16" s="3119">
        <f t="shared" si="308"/>
        <v>45974.041666665966</v>
      </c>
      <c r="KI16" s="3119">
        <f t="shared" si="309"/>
        <v>45974.08333333263</v>
      </c>
      <c r="KJ16" s="3119">
        <f t="shared" si="310"/>
        <v>45974.124999999294</v>
      </c>
      <c r="KK16" s="3119">
        <f t="shared" si="311"/>
        <v>45974.166666665958</v>
      </c>
      <c r="KL16" s="3119">
        <f t="shared" si="312"/>
        <v>45974.208333332623</v>
      </c>
      <c r="KM16" s="3119">
        <f t="shared" si="313"/>
        <v>45974.249999999287</v>
      </c>
      <c r="KN16" s="3119">
        <f t="shared" si="314"/>
        <v>45974.291666665951</v>
      </c>
      <c r="KO16" s="3119">
        <f t="shared" si="315"/>
        <v>45974.333333332615</v>
      </c>
      <c r="KP16" s="3119">
        <f t="shared" si="316"/>
        <v>45974.37499999928</v>
      </c>
      <c r="KQ16" s="3119">
        <f t="shared" si="317"/>
        <v>45974.416666665944</v>
      </c>
      <c r="KR16" s="3119">
        <f t="shared" si="318"/>
        <v>45974.458333332608</v>
      </c>
      <c r="KS16" s="3119">
        <f t="shared" si="319"/>
        <v>45974.499999999272</v>
      </c>
      <c r="KT16" s="3119">
        <f t="shared" si="320"/>
        <v>45974.541666665937</v>
      </c>
      <c r="KU16" s="3119">
        <f t="shared" si="321"/>
        <v>45974.583333332601</v>
      </c>
      <c r="KV16" s="3119">
        <f t="shared" si="322"/>
        <v>45974.624999999265</v>
      </c>
      <c r="KW16" s="3119">
        <f t="shared" si="323"/>
        <v>45974.666666665929</v>
      </c>
      <c r="KX16" s="3119">
        <f t="shared" si="324"/>
        <v>45974.708333332594</v>
      </c>
      <c r="KY16" s="3119">
        <f t="shared" si="325"/>
        <v>45974.749999999258</v>
      </c>
      <c r="KZ16" s="3119">
        <f t="shared" si="326"/>
        <v>45974.791666665922</v>
      </c>
      <c r="LA16" s="3119">
        <f t="shared" si="327"/>
        <v>45974.833333332586</v>
      </c>
      <c r="LB16" s="3119">
        <f t="shared" si="328"/>
        <v>45974.874999999251</v>
      </c>
      <c r="LC16" s="3119">
        <f t="shared" si="329"/>
        <v>45974.916666665915</v>
      </c>
      <c r="LD16" s="3119">
        <f t="shared" si="330"/>
        <v>45974.958333332579</v>
      </c>
      <c r="LE16" s="3119">
        <f t="shared" si="331"/>
        <v>45974.999999999243</v>
      </c>
      <c r="LF16" s="3119">
        <f t="shared" si="332"/>
        <v>45975.041666665908</v>
      </c>
      <c r="LG16" s="3119">
        <f t="shared" si="333"/>
        <v>45975.083333332572</v>
      </c>
      <c r="LH16" s="3119">
        <f t="shared" si="334"/>
        <v>45975.124999999236</v>
      </c>
      <c r="LI16" s="3119">
        <f t="shared" si="335"/>
        <v>45975.1666666659</v>
      </c>
      <c r="LJ16" s="3119">
        <f t="shared" si="336"/>
        <v>45975.208333332565</v>
      </c>
      <c r="LK16" s="3119">
        <f t="shared" si="337"/>
        <v>45975.249999999229</v>
      </c>
      <c r="LL16" s="3119">
        <f t="shared" si="338"/>
        <v>45975.291666665893</v>
      </c>
      <c r="LM16" s="3119">
        <f t="shared" si="339"/>
        <v>45975.333333332557</v>
      </c>
      <c r="LN16" s="3119">
        <f t="shared" si="18"/>
        <v>45975.374999999221</v>
      </c>
      <c r="LO16" s="3119">
        <f t="shared" si="340"/>
        <v>45975.416666665886</v>
      </c>
      <c r="LP16" s="3119">
        <f t="shared" si="341"/>
        <v>45975.45833333255</v>
      </c>
      <c r="LQ16" s="3119">
        <f t="shared" si="342"/>
        <v>45975.499999999214</v>
      </c>
      <c r="LR16" s="3119">
        <f t="shared" si="343"/>
        <v>45975.541666665878</v>
      </c>
      <c r="LS16" s="3119">
        <f t="shared" si="344"/>
        <v>45975.583333332543</v>
      </c>
      <c r="LT16" s="3119">
        <f t="shared" si="345"/>
        <v>45975.624999999207</v>
      </c>
      <c r="LU16" s="3119">
        <f t="shared" si="346"/>
        <v>45975.666666665871</v>
      </c>
      <c r="LV16" s="3119">
        <f t="shared" si="347"/>
        <v>45975.708333332535</v>
      </c>
      <c r="LW16" s="3119">
        <f t="shared" si="348"/>
        <v>45975.7499999992</v>
      </c>
      <c r="LX16" s="3119">
        <f t="shared" si="349"/>
        <v>45975.791666665864</v>
      </c>
      <c r="LY16" s="3119">
        <f t="shared" si="350"/>
        <v>45975.833333332528</v>
      </c>
      <c r="LZ16" s="3119">
        <f t="shared" si="351"/>
        <v>45975.874999999192</v>
      </c>
      <c r="MA16" s="3119">
        <f t="shared" si="352"/>
        <v>45975.916666665857</v>
      </c>
      <c r="MB16" s="3119">
        <f t="shared" si="353"/>
        <v>45975.958333332521</v>
      </c>
      <c r="MC16" s="3119">
        <f t="shared" si="354"/>
        <v>45975.999999999185</v>
      </c>
      <c r="MD16" s="3119">
        <f t="shared" si="355"/>
        <v>45976.041666665849</v>
      </c>
      <c r="ME16" s="3119">
        <f t="shared" si="356"/>
        <v>45976.083333332514</v>
      </c>
      <c r="MF16" s="3119">
        <f t="shared" si="357"/>
        <v>45976.124999999178</v>
      </c>
      <c r="MG16" s="3119">
        <f t="shared" si="358"/>
        <v>45976.166666665842</v>
      </c>
      <c r="MH16" s="3119">
        <f t="shared" si="359"/>
        <v>45976.208333332506</v>
      </c>
      <c r="MI16" s="3119">
        <f t="shared" si="360"/>
        <v>45976.249999999171</v>
      </c>
      <c r="MJ16" s="3119">
        <f t="shared" si="361"/>
        <v>45976.291666665835</v>
      </c>
      <c r="MK16" s="3119">
        <f t="shared" si="362"/>
        <v>45976.333333332499</v>
      </c>
      <c r="ML16" s="3119">
        <f t="shared" si="363"/>
        <v>45976.374999999163</v>
      </c>
      <c r="MM16" s="3119">
        <f t="shared" si="364"/>
        <v>45976.416666665828</v>
      </c>
      <c r="MN16" s="3119">
        <f t="shared" si="365"/>
        <v>45976.458333332492</v>
      </c>
      <c r="MO16" s="3119">
        <f t="shared" si="366"/>
        <v>45976.499999999156</v>
      </c>
      <c r="MP16" s="3119">
        <f t="shared" si="367"/>
        <v>45976.54166666582</v>
      </c>
      <c r="MQ16" s="3119">
        <f t="shared" si="368"/>
        <v>45976.583333332484</v>
      </c>
      <c r="MR16" s="3119">
        <f t="shared" si="369"/>
        <v>45976.624999999149</v>
      </c>
      <c r="MS16" s="3119">
        <f t="shared" si="370"/>
        <v>45976.666666665813</v>
      </c>
      <c r="MT16" s="3119">
        <f t="shared" si="371"/>
        <v>45976.708333332477</v>
      </c>
      <c r="MU16" s="3119">
        <f t="shared" si="372"/>
        <v>45976.749999999141</v>
      </c>
      <c r="MV16" s="3119">
        <f t="shared" si="373"/>
        <v>45976.791666665806</v>
      </c>
      <c r="MW16" s="3119">
        <f t="shared" si="374"/>
        <v>45976.83333333247</v>
      </c>
      <c r="MX16" s="3119">
        <f t="shared" si="375"/>
        <v>45976.874999999134</v>
      </c>
      <c r="MY16" s="3119">
        <f t="shared" si="376"/>
        <v>45976.916666665798</v>
      </c>
      <c r="MZ16" s="3119">
        <f t="shared" si="377"/>
        <v>45976.958333332463</v>
      </c>
      <c r="NA16" s="3119">
        <f t="shared" si="378"/>
        <v>45976.999999999127</v>
      </c>
      <c r="NB16" s="3119">
        <f t="shared" si="379"/>
        <v>45977.041666665791</v>
      </c>
      <c r="NC16" s="3119">
        <f t="shared" si="380"/>
        <v>45977.083333332455</v>
      </c>
      <c r="ND16" s="3119">
        <f t="shared" si="381"/>
        <v>45977.12499999912</v>
      </c>
      <c r="NE16" s="3119">
        <f t="shared" si="382"/>
        <v>45977.166666665784</v>
      </c>
      <c r="NF16" s="3119">
        <f t="shared" si="383"/>
        <v>45977.208333332448</v>
      </c>
      <c r="NG16" s="3119">
        <f t="shared" si="384"/>
        <v>45977.249999999112</v>
      </c>
      <c r="NH16" s="3119">
        <f t="shared" si="385"/>
        <v>45977.291666665777</v>
      </c>
      <c r="NI16" s="3119">
        <f t="shared" si="386"/>
        <v>45977.333333332441</v>
      </c>
      <c r="NJ16" s="3119">
        <f t="shared" si="387"/>
        <v>45977.374999999105</v>
      </c>
      <c r="NK16" s="3119">
        <f t="shared" si="388"/>
        <v>45977.416666665769</v>
      </c>
      <c r="NL16" s="3119">
        <f t="shared" si="389"/>
        <v>45977.458333332434</v>
      </c>
      <c r="NM16" s="3119">
        <f t="shared" si="390"/>
        <v>45977.499999999098</v>
      </c>
      <c r="NN16" s="3119">
        <f t="shared" si="391"/>
        <v>45977.541666665762</v>
      </c>
      <c r="NO16" s="3119">
        <f t="shared" si="392"/>
        <v>45977.583333332426</v>
      </c>
      <c r="NP16" s="3119">
        <f t="shared" si="393"/>
        <v>45977.624999999091</v>
      </c>
      <c r="NQ16" s="3119">
        <f t="shared" si="394"/>
        <v>45977.666666665755</v>
      </c>
      <c r="NR16" s="3119">
        <f t="shared" si="395"/>
        <v>45977.708333332419</v>
      </c>
      <c r="NS16" s="3119">
        <f t="shared" si="396"/>
        <v>45977.749999999083</v>
      </c>
      <c r="NT16" s="3119">
        <f t="shared" si="397"/>
        <v>45977.791666665747</v>
      </c>
      <c r="NU16" s="3119">
        <f t="shared" si="398"/>
        <v>45977.833333332412</v>
      </c>
      <c r="NV16" s="3119">
        <f t="shared" si="399"/>
        <v>45977.874999999076</v>
      </c>
      <c r="NW16" s="3119">
        <f t="shared" si="400"/>
        <v>45977.91666666574</v>
      </c>
      <c r="NX16" s="3119">
        <f t="shared" si="401"/>
        <v>45977.958333332404</v>
      </c>
      <c r="NY16" s="3119">
        <f t="shared" si="402"/>
        <v>45977.999999999069</v>
      </c>
      <c r="NZ16" s="3119">
        <f t="shared" si="19"/>
        <v>45978.041666665733</v>
      </c>
      <c r="OA16" s="3119">
        <f t="shared" si="403"/>
        <v>45978.083333332397</v>
      </c>
      <c r="OB16" s="3119">
        <f t="shared" si="404"/>
        <v>45978.124999999061</v>
      </c>
      <c r="OC16" s="3119">
        <f t="shared" si="405"/>
        <v>45978.166666665726</v>
      </c>
      <c r="OD16" s="3119">
        <f t="shared" si="406"/>
        <v>45978.20833333239</v>
      </c>
      <c r="OE16" s="3119">
        <f t="shared" si="407"/>
        <v>45978.249999999054</v>
      </c>
      <c r="OF16" s="3119">
        <f t="shared" si="408"/>
        <v>45978.291666665718</v>
      </c>
      <c r="OG16" s="3119">
        <f t="shared" si="409"/>
        <v>45978.333333332383</v>
      </c>
      <c r="OH16" s="3119">
        <f t="shared" si="410"/>
        <v>45978.374999999047</v>
      </c>
      <c r="OI16" s="3119">
        <f t="shared" si="411"/>
        <v>45978.416666665711</v>
      </c>
      <c r="OJ16" s="3119">
        <f t="shared" si="412"/>
        <v>45978.458333332375</v>
      </c>
      <c r="OK16" s="3119">
        <f t="shared" si="413"/>
        <v>45978.49999999904</v>
      </c>
      <c r="OL16" s="3119">
        <f t="shared" si="414"/>
        <v>45978.541666665704</v>
      </c>
      <c r="OM16" s="3119">
        <f t="shared" si="415"/>
        <v>45978.583333332368</v>
      </c>
      <c r="ON16" s="3119">
        <f t="shared" si="416"/>
        <v>45978.624999999032</v>
      </c>
      <c r="OO16" s="3119">
        <f t="shared" si="417"/>
        <v>45978.666666665697</v>
      </c>
      <c r="OP16" s="3119">
        <f t="shared" si="418"/>
        <v>45978.708333332361</v>
      </c>
      <c r="OQ16" s="3119">
        <f t="shared" si="419"/>
        <v>45978.749999999025</v>
      </c>
      <c r="OR16" s="3119">
        <f t="shared" si="420"/>
        <v>45978.791666665689</v>
      </c>
      <c r="OS16" s="3119">
        <f t="shared" si="421"/>
        <v>45978.833333332354</v>
      </c>
      <c r="OT16" s="3119">
        <f t="shared" si="422"/>
        <v>45978.874999999018</v>
      </c>
      <c r="OU16" s="3119">
        <f t="shared" si="423"/>
        <v>45978.916666665682</v>
      </c>
      <c r="OV16" s="3119">
        <f t="shared" si="424"/>
        <v>45978.958333332346</v>
      </c>
      <c r="OW16" s="3119">
        <f t="shared" si="425"/>
        <v>45978.99999999901</v>
      </c>
      <c r="OX16" s="3119">
        <f t="shared" si="426"/>
        <v>45979.041666665675</v>
      </c>
      <c r="OY16" s="3119">
        <f t="shared" si="427"/>
        <v>45979.083333332339</v>
      </c>
      <c r="OZ16" s="3119">
        <f t="shared" si="428"/>
        <v>45979.124999999003</v>
      </c>
      <c r="PA16" s="3119">
        <f t="shared" si="429"/>
        <v>45979.166666665667</v>
      </c>
      <c r="PB16" s="3119">
        <f t="shared" si="430"/>
        <v>45979.208333332332</v>
      </c>
      <c r="PC16" s="3119">
        <f t="shared" si="431"/>
        <v>45979.249999998996</v>
      </c>
      <c r="PD16" s="3119">
        <f t="shared" si="432"/>
        <v>45979.29166666566</v>
      </c>
      <c r="PE16" s="3119">
        <f t="shared" si="433"/>
        <v>45979.333333332324</v>
      </c>
      <c r="PF16" s="3119">
        <f t="shared" si="434"/>
        <v>45979.374999998989</v>
      </c>
      <c r="PG16" s="3119">
        <f t="shared" si="435"/>
        <v>45979.416666665653</v>
      </c>
      <c r="PH16" s="3119">
        <f t="shared" si="436"/>
        <v>45979.458333332317</v>
      </c>
      <c r="PI16" s="3119">
        <f t="shared" si="437"/>
        <v>45979.499999998981</v>
      </c>
      <c r="PJ16" s="3119">
        <f t="shared" si="438"/>
        <v>45979.541666665646</v>
      </c>
      <c r="PK16" s="3119">
        <f t="shared" si="439"/>
        <v>45979.58333333231</v>
      </c>
      <c r="PL16" s="3119">
        <f t="shared" si="440"/>
        <v>45979.624999998974</v>
      </c>
      <c r="PM16" s="3119">
        <f t="shared" si="441"/>
        <v>45979.666666665638</v>
      </c>
      <c r="PN16" s="3119">
        <f t="shared" si="442"/>
        <v>45979.708333332303</v>
      </c>
      <c r="PO16" s="3119">
        <f t="shared" si="443"/>
        <v>45979.749999998967</v>
      </c>
      <c r="PP16" s="3119">
        <f t="shared" si="444"/>
        <v>45979.791666665631</v>
      </c>
      <c r="PQ16" s="3119">
        <f t="shared" si="445"/>
        <v>45979.833333332295</v>
      </c>
      <c r="PR16" s="3119">
        <f t="shared" si="446"/>
        <v>45979.87499999896</v>
      </c>
      <c r="PS16" s="3119">
        <f t="shared" si="447"/>
        <v>45979.916666665624</v>
      </c>
      <c r="PT16" s="3119">
        <f t="shared" si="448"/>
        <v>45979.958333332288</v>
      </c>
      <c r="PU16" s="3119">
        <f t="shared" si="449"/>
        <v>45979.999999998952</v>
      </c>
      <c r="PV16" s="3119">
        <f t="shared" si="450"/>
        <v>45980.041666665617</v>
      </c>
      <c r="PW16" s="3119">
        <f t="shared" si="451"/>
        <v>45980.083333332281</v>
      </c>
      <c r="PX16" s="3119">
        <f t="shared" si="452"/>
        <v>45980.124999998945</v>
      </c>
      <c r="PY16" s="3119">
        <f t="shared" si="453"/>
        <v>45980.166666665609</v>
      </c>
      <c r="PZ16" s="3119">
        <f t="shared" si="454"/>
        <v>45980.208333332273</v>
      </c>
      <c r="QA16" s="3119">
        <f t="shared" si="455"/>
        <v>45980.249999998938</v>
      </c>
      <c r="QB16" s="3119">
        <f t="shared" si="456"/>
        <v>45980.291666665602</v>
      </c>
      <c r="QC16" s="3119">
        <f t="shared" si="457"/>
        <v>45980.333333332266</v>
      </c>
      <c r="QD16" s="3119">
        <f t="shared" si="458"/>
        <v>45980.37499999893</v>
      </c>
      <c r="QE16" s="3119">
        <f t="shared" si="459"/>
        <v>45980.416666665595</v>
      </c>
      <c r="QF16" s="3119">
        <f t="shared" si="460"/>
        <v>45980.458333332259</v>
      </c>
      <c r="QG16" s="3119">
        <f t="shared" si="461"/>
        <v>45980.499999998923</v>
      </c>
      <c r="QH16" s="3119">
        <f t="shared" si="462"/>
        <v>45980.541666665587</v>
      </c>
      <c r="QI16" s="3119">
        <f t="shared" si="463"/>
        <v>45980.583333332252</v>
      </c>
      <c r="QJ16" s="3119">
        <f t="shared" si="464"/>
        <v>45980.624999998916</v>
      </c>
      <c r="QK16" s="3119">
        <f t="shared" si="465"/>
        <v>45980.66666666558</v>
      </c>
      <c r="QL16" s="3119">
        <f t="shared" si="20"/>
        <v>45980.708333332244</v>
      </c>
      <c r="QM16" s="3119">
        <f t="shared" si="466"/>
        <v>45980.749999998909</v>
      </c>
      <c r="QN16" s="3119">
        <f t="shared" si="467"/>
        <v>45980.791666665573</v>
      </c>
      <c r="QO16" s="3119">
        <f t="shared" si="468"/>
        <v>45980.833333332237</v>
      </c>
      <c r="QP16" s="3119">
        <f t="shared" si="469"/>
        <v>45980.874999998901</v>
      </c>
      <c r="QQ16" s="3119">
        <f t="shared" si="470"/>
        <v>45980.916666665566</v>
      </c>
      <c r="QR16" s="3119">
        <f t="shared" si="471"/>
        <v>45980.95833333223</v>
      </c>
      <c r="QS16" s="3119">
        <f t="shared" si="472"/>
        <v>45980.999999998894</v>
      </c>
      <c r="QT16" s="3119">
        <f t="shared" si="473"/>
        <v>45981.041666665558</v>
      </c>
      <c r="QU16" s="3119">
        <f t="shared" si="474"/>
        <v>45981.083333332223</v>
      </c>
      <c r="QV16" s="3119">
        <f t="shared" si="475"/>
        <v>45981.124999998887</v>
      </c>
      <c r="QW16" s="3119">
        <f t="shared" si="476"/>
        <v>45981.166666665551</v>
      </c>
      <c r="QX16" s="3119">
        <f t="shared" si="477"/>
        <v>45981.208333332215</v>
      </c>
      <c r="QY16" s="3119">
        <f t="shared" si="478"/>
        <v>45981.24999999888</v>
      </c>
      <c r="QZ16" s="3119">
        <f t="shared" si="479"/>
        <v>45981.291666665544</v>
      </c>
      <c r="RA16" s="3119">
        <f t="shared" si="480"/>
        <v>45981.333333332208</v>
      </c>
      <c r="RB16" s="3119">
        <f t="shared" si="481"/>
        <v>45981.374999998872</v>
      </c>
      <c r="RC16" s="3119">
        <f t="shared" si="482"/>
        <v>45981.416666665536</v>
      </c>
      <c r="RD16" s="3119">
        <f t="shared" si="483"/>
        <v>45981.458333332201</v>
      </c>
      <c r="RE16" s="3119">
        <f t="shared" si="484"/>
        <v>45981.499999998865</v>
      </c>
      <c r="RF16" s="3119">
        <f t="shared" si="485"/>
        <v>45981.541666665529</v>
      </c>
      <c r="RG16" s="3119">
        <f t="shared" si="486"/>
        <v>45981.583333332193</v>
      </c>
      <c r="RH16" s="3119">
        <f t="shared" si="487"/>
        <v>45981.624999998858</v>
      </c>
      <c r="RI16" s="3119">
        <f t="shared" si="488"/>
        <v>45981.666666665522</v>
      </c>
      <c r="RJ16" s="3119">
        <f t="shared" si="489"/>
        <v>45981.708333332186</v>
      </c>
      <c r="RK16" s="3119">
        <f t="shared" si="490"/>
        <v>45981.74999999885</v>
      </c>
      <c r="RL16" s="3119">
        <f t="shared" si="491"/>
        <v>45981.791666665515</v>
      </c>
      <c r="RM16" s="3119">
        <f t="shared" si="492"/>
        <v>45981.833333332179</v>
      </c>
      <c r="RN16" s="3119">
        <f t="shared" si="493"/>
        <v>45981.874999998843</v>
      </c>
      <c r="RO16" s="3119">
        <f t="shared" si="494"/>
        <v>45981.916666665507</v>
      </c>
      <c r="RP16" s="3119">
        <f t="shared" si="495"/>
        <v>45981.958333332172</v>
      </c>
      <c r="RQ16" s="3119">
        <f t="shared" si="496"/>
        <v>45981.999999998836</v>
      </c>
      <c r="RR16" s="3119">
        <f t="shared" si="497"/>
        <v>45982.0416666655</v>
      </c>
      <c r="RS16" s="3119">
        <f t="shared" si="498"/>
        <v>45982.083333332164</v>
      </c>
      <c r="RT16" s="3119">
        <f t="shared" si="499"/>
        <v>45982.124999998829</v>
      </c>
      <c r="RU16" s="3119">
        <f t="shared" si="500"/>
        <v>45982.166666665493</v>
      </c>
      <c r="RV16" s="3119">
        <f t="shared" si="501"/>
        <v>45982.208333332157</v>
      </c>
      <c r="RW16" s="3119">
        <f t="shared" si="502"/>
        <v>45982.249999998821</v>
      </c>
      <c r="RX16" s="3119">
        <f t="shared" si="503"/>
        <v>45982.291666665486</v>
      </c>
      <c r="RY16" s="3119">
        <f t="shared" si="504"/>
        <v>45982.33333333215</v>
      </c>
      <c r="RZ16" s="3119">
        <f t="shared" si="505"/>
        <v>45982.374999998814</v>
      </c>
      <c r="SA16" s="3119">
        <f t="shared" si="506"/>
        <v>45982.416666665478</v>
      </c>
      <c r="SB16" s="3119">
        <f t="shared" si="507"/>
        <v>45982.458333332143</v>
      </c>
      <c r="SC16" s="3119">
        <f t="shared" si="508"/>
        <v>45982.499999998807</v>
      </c>
      <c r="SD16" s="3119">
        <f t="shared" si="509"/>
        <v>45982.541666665471</v>
      </c>
      <c r="SE16" s="3119">
        <f t="shared" si="510"/>
        <v>45982.583333332135</v>
      </c>
      <c r="SF16" s="3119">
        <f t="shared" si="511"/>
        <v>45982.624999998799</v>
      </c>
      <c r="SG16" s="3119">
        <f t="shared" si="512"/>
        <v>45982.666666665464</v>
      </c>
      <c r="SH16" s="3119">
        <f t="shared" si="513"/>
        <v>45982.708333332128</v>
      </c>
      <c r="SI16" s="3119">
        <f t="shared" si="514"/>
        <v>45982.749999998792</v>
      </c>
      <c r="SJ16" s="3119">
        <f t="shared" si="515"/>
        <v>45982.791666665456</v>
      </c>
      <c r="SK16" s="3119">
        <f t="shared" si="516"/>
        <v>45982.833333332121</v>
      </c>
      <c r="SL16" s="3119">
        <f t="shared" si="517"/>
        <v>45982.874999998785</v>
      </c>
      <c r="SM16" s="3119">
        <f t="shared" si="518"/>
        <v>45982.916666665449</v>
      </c>
      <c r="SN16" s="3119">
        <f t="shared" si="519"/>
        <v>45982.958333332113</v>
      </c>
      <c r="SO16" s="3119">
        <f t="shared" si="520"/>
        <v>45982.999999998778</v>
      </c>
      <c r="SP16" s="3119">
        <f t="shared" si="521"/>
        <v>45983.041666665442</v>
      </c>
      <c r="SQ16" s="3119">
        <f t="shared" si="522"/>
        <v>45983.083333332106</v>
      </c>
      <c r="SR16" s="3119">
        <f t="shared" si="523"/>
        <v>45983.12499999877</v>
      </c>
      <c r="SS16" s="3119">
        <f t="shared" si="524"/>
        <v>45983.166666665435</v>
      </c>
      <c r="ST16" s="3119">
        <f t="shared" si="525"/>
        <v>45983.208333332099</v>
      </c>
      <c r="SU16" s="3119">
        <f t="shared" si="526"/>
        <v>45983.249999998763</v>
      </c>
      <c r="SV16" s="3119">
        <f t="shared" si="527"/>
        <v>45983.291666665427</v>
      </c>
      <c r="SW16" s="3119">
        <f t="shared" si="528"/>
        <v>45983.333333332092</v>
      </c>
      <c r="SX16" s="3119">
        <f t="shared" si="21"/>
        <v>45983.374999998756</v>
      </c>
      <c r="SY16" s="3119">
        <f t="shared" si="529"/>
        <v>45983.41666666542</v>
      </c>
      <c r="SZ16" s="3119">
        <f t="shared" si="530"/>
        <v>45983.458333332084</v>
      </c>
      <c r="TA16" s="3119">
        <f t="shared" si="531"/>
        <v>45983.499999998749</v>
      </c>
      <c r="TB16" s="3119">
        <f t="shared" si="532"/>
        <v>45983.541666665413</v>
      </c>
      <c r="TC16" s="3119">
        <f t="shared" si="533"/>
        <v>45983.583333332077</v>
      </c>
      <c r="TD16" s="3119">
        <f t="shared" si="534"/>
        <v>45983.624999998741</v>
      </c>
      <c r="TE16" s="3119">
        <f t="shared" si="535"/>
        <v>45983.666666665406</v>
      </c>
      <c r="TF16" s="3119">
        <f t="shared" si="536"/>
        <v>45983.70833333207</v>
      </c>
      <c r="TG16" s="3119">
        <f t="shared" si="537"/>
        <v>45983.749999998734</v>
      </c>
      <c r="TH16" s="3119">
        <f t="shared" si="538"/>
        <v>45983.791666665398</v>
      </c>
      <c r="TI16" s="3119">
        <f t="shared" si="539"/>
        <v>45983.833333332062</v>
      </c>
      <c r="TJ16" s="3119">
        <f t="shared" si="540"/>
        <v>45983.874999998727</v>
      </c>
      <c r="TK16" s="3119">
        <f t="shared" si="541"/>
        <v>45983.916666665391</v>
      </c>
      <c r="TL16" s="3119">
        <f t="shared" si="542"/>
        <v>45983.958333332055</v>
      </c>
      <c r="TM16" s="3119">
        <f t="shared" si="543"/>
        <v>45983.999999998719</v>
      </c>
      <c r="TN16" s="3119">
        <f t="shared" si="544"/>
        <v>45984.041666665384</v>
      </c>
      <c r="TO16" s="3119">
        <f t="shared" si="545"/>
        <v>45984.083333332048</v>
      </c>
      <c r="TP16" s="3119">
        <f t="shared" si="546"/>
        <v>45984.124999998712</v>
      </c>
      <c r="TQ16" s="3119">
        <f t="shared" si="547"/>
        <v>45984.166666665376</v>
      </c>
      <c r="TR16" s="3119">
        <f t="shared" si="548"/>
        <v>45984.208333332041</v>
      </c>
      <c r="TS16" s="3119">
        <f t="shared" si="549"/>
        <v>45984.249999998705</v>
      </c>
      <c r="TT16" s="3119">
        <f t="shared" si="550"/>
        <v>45984.291666665369</v>
      </c>
      <c r="TU16" s="3119">
        <f t="shared" si="551"/>
        <v>45984.333333332033</v>
      </c>
      <c r="TV16" s="3119">
        <f t="shared" si="552"/>
        <v>45984.374999998698</v>
      </c>
      <c r="TW16" s="3119">
        <f t="shared" si="553"/>
        <v>45984.416666665362</v>
      </c>
      <c r="TX16" s="3119">
        <f t="shared" si="554"/>
        <v>45984.458333332026</v>
      </c>
      <c r="TY16" s="3119">
        <f t="shared" si="555"/>
        <v>45984.49999999869</v>
      </c>
      <c r="TZ16" s="3119">
        <f t="shared" si="556"/>
        <v>45984.541666665355</v>
      </c>
      <c r="UA16" s="3119">
        <f t="shared" si="557"/>
        <v>45984.583333332019</v>
      </c>
      <c r="UB16" s="3119">
        <f t="shared" si="558"/>
        <v>45984.624999998683</v>
      </c>
      <c r="UC16" s="3119">
        <f t="shared" si="559"/>
        <v>45984.666666665347</v>
      </c>
      <c r="UD16" s="3119">
        <f t="shared" si="560"/>
        <v>45984.708333332012</v>
      </c>
      <c r="UE16" s="3119">
        <f t="shared" si="561"/>
        <v>45984.749999998676</v>
      </c>
      <c r="UF16" s="3119">
        <f t="shared" si="562"/>
        <v>45984.79166666534</v>
      </c>
      <c r="UG16" s="3119">
        <f t="shared" si="563"/>
        <v>45984.833333332004</v>
      </c>
      <c r="UH16" s="3119">
        <f t="shared" si="564"/>
        <v>45984.874999998668</v>
      </c>
      <c r="UI16" s="3119">
        <f t="shared" si="565"/>
        <v>45984.916666665333</v>
      </c>
      <c r="UJ16" s="3119">
        <f t="shared" si="566"/>
        <v>45984.958333331997</v>
      </c>
      <c r="UK16" s="3119">
        <f t="shared" si="567"/>
        <v>45984.999999998661</v>
      </c>
      <c r="UL16" s="3119">
        <f t="shared" si="568"/>
        <v>45985.041666665325</v>
      </c>
      <c r="UM16" s="3119">
        <f t="shared" si="569"/>
        <v>45985.08333333199</v>
      </c>
      <c r="UN16" s="3119">
        <f t="shared" si="570"/>
        <v>45985.124999998654</v>
      </c>
      <c r="UO16" s="3119">
        <f t="shared" si="571"/>
        <v>45985.166666665318</v>
      </c>
      <c r="UP16" s="3119">
        <f t="shared" si="572"/>
        <v>45985.208333331982</v>
      </c>
      <c r="UQ16" s="3119">
        <f t="shared" si="573"/>
        <v>45985.249999998647</v>
      </c>
      <c r="UR16" s="3119">
        <f t="shared" si="574"/>
        <v>45985.291666665311</v>
      </c>
      <c r="US16" s="3119">
        <f t="shared" si="575"/>
        <v>45985.333333331975</v>
      </c>
      <c r="UT16" s="3119">
        <f t="shared" si="576"/>
        <v>45985.374999998639</v>
      </c>
      <c r="UU16" s="3119">
        <f t="shared" si="577"/>
        <v>45985.416666665304</v>
      </c>
      <c r="UV16" s="3119">
        <f t="shared" si="578"/>
        <v>45985.458333331968</v>
      </c>
      <c r="UW16" s="3119">
        <f t="shared" si="579"/>
        <v>45985.499999998632</v>
      </c>
      <c r="UX16" s="3119">
        <f t="shared" si="580"/>
        <v>45985.541666665296</v>
      </c>
      <c r="UY16" s="3119">
        <f t="shared" si="581"/>
        <v>45985.583333331961</v>
      </c>
      <c r="UZ16" s="3119">
        <f t="shared" si="582"/>
        <v>45985.624999998625</v>
      </c>
      <c r="VA16" s="3119">
        <f t="shared" si="583"/>
        <v>45985.666666665289</v>
      </c>
      <c r="VB16" s="3119">
        <f t="shared" si="584"/>
        <v>45985.708333331953</v>
      </c>
      <c r="VC16" s="3119">
        <f t="shared" si="585"/>
        <v>45985.749999998618</v>
      </c>
      <c r="VD16" s="3119">
        <f t="shared" si="586"/>
        <v>45985.791666665282</v>
      </c>
      <c r="VE16" s="3119">
        <f t="shared" si="587"/>
        <v>45985.833333331946</v>
      </c>
      <c r="VF16" s="3119">
        <f t="shared" si="588"/>
        <v>45985.87499999861</v>
      </c>
      <c r="VG16" s="3119">
        <f t="shared" si="589"/>
        <v>45985.916666665275</v>
      </c>
      <c r="VH16" s="3119">
        <f t="shared" si="590"/>
        <v>45985.958333331939</v>
      </c>
      <c r="VI16" s="3119">
        <f t="shared" si="591"/>
        <v>45985.999999998603</v>
      </c>
      <c r="VJ16" s="3119">
        <f t="shared" si="22"/>
        <v>45986.041666665267</v>
      </c>
      <c r="VK16" s="3119">
        <f t="shared" si="592"/>
        <v>45986.083333331931</v>
      </c>
      <c r="VL16" s="3119">
        <f t="shared" si="593"/>
        <v>45986.124999998596</v>
      </c>
      <c r="VM16" s="3119">
        <f t="shared" si="594"/>
        <v>45986.16666666526</v>
      </c>
      <c r="VN16" s="3119">
        <f t="shared" si="595"/>
        <v>45986.208333331924</v>
      </c>
      <c r="VO16" s="3119">
        <f t="shared" si="596"/>
        <v>45986.249999998588</v>
      </c>
      <c r="VP16" s="3119">
        <f t="shared" si="597"/>
        <v>45986.291666665253</v>
      </c>
      <c r="VQ16" s="3119">
        <f t="shared" si="598"/>
        <v>45986.333333331917</v>
      </c>
      <c r="VR16" s="3119">
        <f t="shared" si="599"/>
        <v>45986.374999998581</v>
      </c>
      <c r="VS16" s="3119">
        <f t="shared" si="600"/>
        <v>45986.416666665245</v>
      </c>
      <c r="VT16" s="3119">
        <f t="shared" si="601"/>
        <v>45986.45833333191</v>
      </c>
      <c r="VU16" s="3119">
        <f t="shared" si="602"/>
        <v>45986.499999998574</v>
      </c>
      <c r="VV16" s="3119">
        <f t="shared" si="603"/>
        <v>45986.541666665238</v>
      </c>
      <c r="VW16" s="3119">
        <f t="shared" si="604"/>
        <v>45986.583333331902</v>
      </c>
      <c r="VX16" s="3119">
        <f t="shared" si="605"/>
        <v>45986.624999998567</v>
      </c>
      <c r="VY16" s="3119">
        <f t="shared" si="606"/>
        <v>45986.666666665231</v>
      </c>
      <c r="VZ16" s="3119">
        <f t="shared" si="607"/>
        <v>45986.708333331895</v>
      </c>
      <c r="WA16" s="3119">
        <f t="shared" si="608"/>
        <v>45986.749999998559</v>
      </c>
      <c r="WB16" s="3119">
        <f t="shared" si="609"/>
        <v>45986.791666665224</v>
      </c>
      <c r="WC16" s="3119">
        <f t="shared" si="610"/>
        <v>45986.833333331888</v>
      </c>
      <c r="WD16" s="3119">
        <f t="shared" si="611"/>
        <v>45986.874999998552</v>
      </c>
      <c r="WE16" s="3119">
        <f t="shared" si="612"/>
        <v>45986.916666665216</v>
      </c>
      <c r="WF16" s="3119">
        <f t="shared" si="613"/>
        <v>45986.958333331881</v>
      </c>
      <c r="WG16" s="3119">
        <f t="shared" si="614"/>
        <v>45986.999999998545</v>
      </c>
      <c r="WH16" s="3119">
        <f t="shared" si="615"/>
        <v>45987.041666665209</v>
      </c>
      <c r="WI16" s="3119">
        <f t="shared" si="616"/>
        <v>45987.083333331873</v>
      </c>
      <c r="WJ16" s="3119">
        <f t="shared" si="617"/>
        <v>45987.124999998538</v>
      </c>
      <c r="WK16" s="3119">
        <f t="shared" si="618"/>
        <v>45987.166666665202</v>
      </c>
      <c r="WL16" s="3119">
        <f t="shared" si="619"/>
        <v>45987.208333331866</v>
      </c>
      <c r="WM16" s="3119">
        <f t="shared" si="620"/>
        <v>45987.24999999853</v>
      </c>
      <c r="WN16" s="3119">
        <f t="shared" si="621"/>
        <v>45987.291666665194</v>
      </c>
      <c r="WO16" s="3119">
        <f t="shared" si="622"/>
        <v>45987.333333331859</v>
      </c>
      <c r="WP16" s="3119">
        <f t="shared" si="623"/>
        <v>45987.374999998523</v>
      </c>
      <c r="WQ16" s="3119">
        <f t="shared" si="624"/>
        <v>45987.416666665187</v>
      </c>
      <c r="WR16" s="3119">
        <f t="shared" si="625"/>
        <v>45987.458333331851</v>
      </c>
      <c r="WS16" s="3119">
        <f t="shared" si="626"/>
        <v>45987.499999998516</v>
      </c>
      <c r="WT16" s="3119">
        <f t="shared" si="627"/>
        <v>45987.54166666518</v>
      </c>
      <c r="WU16" s="3119">
        <f t="shared" si="628"/>
        <v>45987.583333331844</v>
      </c>
      <c r="WV16" s="3119">
        <f t="shared" si="629"/>
        <v>45987.624999998508</v>
      </c>
      <c r="WW16" s="3119">
        <f t="shared" si="630"/>
        <v>45987.666666665173</v>
      </c>
      <c r="WX16" s="3119">
        <f t="shared" si="631"/>
        <v>45987.708333331837</v>
      </c>
      <c r="WY16" s="3119">
        <f t="shared" si="632"/>
        <v>45987.749999998501</v>
      </c>
      <c r="WZ16" s="3119">
        <f t="shared" si="633"/>
        <v>45987.791666665165</v>
      </c>
      <c r="XA16" s="3119">
        <f t="shared" si="634"/>
        <v>45987.83333333183</v>
      </c>
      <c r="XB16" s="3119">
        <f t="shared" si="635"/>
        <v>45987.874999998494</v>
      </c>
      <c r="XC16" s="3119">
        <f t="shared" si="636"/>
        <v>45987.916666665158</v>
      </c>
      <c r="XD16" s="3119">
        <f t="shared" si="637"/>
        <v>45987.958333331822</v>
      </c>
      <c r="XE16" s="3119">
        <f t="shared" si="638"/>
        <v>45987.999999998487</v>
      </c>
      <c r="XF16" s="3119">
        <f t="shared" si="639"/>
        <v>45988.041666665151</v>
      </c>
      <c r="XG16" s="3119">
        <f t="shared" si="640"/>
        <v>45988.083333331815</v>
      </c>
      <c r="XH16" s="3119">
        <f t="shared" si="641"/>
        <v>45988.124999998479</v>
      </c>
      <c r="XI16" s="3119">
        <f t="shared" si="642"/>
        <v>45988.166666665144</v>
      </c>
      <c r="XJ16" s="3119">
        <f t="shared" si="643"/>
        <v>45988.208333331808</v>
      </c>
      <c r="XK16" s="3119">
        <f t="shared" si="644"/>
        <v>45988.249999998472</v>
      </c>
      <c r="XL16" s="3119">
        <f t="shared" si="645"/>
        <v>45988.291666665136</v>
      </c>
      <c r="XM16" s="3119">
        <f t="shared" si="646"/>
        <v>45988.333333331801</v>
      </c>
      <c r="XN16" s="3119">
        <f t="shared" si="647"/>
        <v>45988.374999998465</v>
      </c>
      <c r="XO16" s="3119">
        <f t="shared" si="648"/>
        <v>45988.416666665129</v>
      </c>
      <c r="XP16" s="3119">
        <f t="shared" si="649"/>
        <v>45988.458333331793</v>
      </c>
      <c r="XQ16" s="3119">
        <f t="shared" si="650"/>
        <v>45988.499999998457</v>
      </c>
      <c r="XR16" s="3119">
        <f t="shared" si="651"/>
        <v>45988.541666665122</v>
      </c>
      <c r="XS16" s="3119">
        <f t="shared" si="652"/>
        <v>45988.583333331786</v>
      </c>
      <c r="XT16" s="3119">
        <f t="shared" si="653"/>
        <v>45988.62499999845</v>
      </c>
      <c r="XU16" s="3119">
        <f t="shared" si="654"/>
        <v>45988.666666665114</v>
      </c>
      <c r="XV16" s="3119">
        <f t="shared" si="23"/>
        <v>45988.708333331779</v>
      </c>
      <c r="XW16" s="3119">
        <f t="shared" si="655"/>
        <v>45988.749999998443</v>
      </c>
      <c r="XX16" s="3119">
        <f t="shared" si="656"/>
        <v>45988.791666665107</v>
      </c>
      <c r="XY16" s="3119">
        <f t="shared" si="657"/>
        <v>45988.833333331771</v>
      </c>
      <c r="XZ16" s="3119">
        <f t="shared" si="658"/>
        <v>45988.874999998436</v>
      </c>
      <c r="YA16" s="3119">
        <f t="shared" si="659"/>
        <v>45988.9166666651</v>
      </c>
      <c r="YB16" s="3119">
        <f t="shared" si="660"/>
        <v>45988.958333331764</v>
      </c>
      <c r="YC16" s="3119">
        <f t="shared" si="661"/>
        <v>45988.999999998428</v>
      </c>
      <c r="YD16" s="3119">
        <f t="shared" si="662"/>
        <v>45989.041666665093</v>
      </c>
      <c r="YE16" s="3119">
        <f t="shared" si="663"/>
        <v>45989.083333331757</v>
      </c>
      <c r="YF16" s="3119">
        <f t="shared" si="664"/>
        <v>45989.124999998421</v>
      </c>
      <c r="YG16" s="3119">
        <f t="shared" si="665"/>
        <v>45989.166666665085</v>
      </c>
      <c r="YH16" s="3119">
        <f t="shared" si="666"/>
        <v>45989.20833333175</v>
      </c>
      <c r="YI16" s="3119">
        <f t="shared" si="667"/>
        <v>45989.249999998414</v>
      </c>
      <c r="YJ16" s="3119">
        <f t="shared" si="668"/>
        <v>45989.291666665078</v>
      </c>
      <c r="YK16" s="3119">
        <f t="shared" si="669"/>
        <v>45989.333333331742</v>
      </c>
      <c r="YL16" s="3119">
        <f t="shared" si="670"/>
        <v>45989.374999998407</v>
      </c>
      <c r="YM16" s="3119">
        <f t="shared" si="671"/>
        <v>45989.416666665071</v>
      </c>
      <c r="YN16" s="3119">
        <f t="shared" si="672"/>
        <v>45989.458333331735</v>
      </c>
      <c r="YO16" s="3119">
        <f t="shared" si="673"/>
        <v>45989.499999998399</v>
      </c>
      <c r="YP16" s="3119">
        <f t="shared" si="674"/>
        <v>45989.541666665064</v>
      </c>
      <c r="YQ16" s="3119">
        <f t="shared" si="675"/>
        <v>45989.583333331728</v>
      </c>
      <c r="YR16" s="3119">
        <f t="shared" si="676"/>
        <v>45989.624999998392</v>
      </c>
      <c r="YS16" s="3119">
        <f t="shared" si="677"/>
        <v>45989.666666665056</v>
      </c>
      <c r="YT16" s="3119">
        <f t="shared" si="678"/>
        <v>45989.70833333172</v>
      </c>
      <c r="YU16" s="3119">
        <f t="shared" si="679"/>
        <v>45989.749999998385</v>
      </c>
      <c r="YV16" s="3119">
        <f t="shared" si="680"/>
        <v>45989.791666665049</v>
      </c>
      <c r="YW16" s="3119">
        <f t="shared" si="681"/>
        <v>45989.833333331713</v>
      </c>
      <c r="YX16" s="3119">
        <f t="shared" si="682"/>
        <v>45989.874999998377</v>
      </c>
      <c r="YY16" s="3119">
        <f t="shared" si="683"/>
        <v>45989.916666665042</v>
      </c>
      <c r="YZ16" s="3119">
        <f t="shared" si="684"/>
        <v>45989.958333331706</v>
      </c>
      <c r="ZA16" s="3119">
        <f t="shared" si="685"/>
        <v>45989.99999999837</v>
      </c>
      <c r="ZB16" s="3119">
        <f t="shared" si="686"/>
        <v>45990.041666665034</v>
      </c>
      <c r="ZC16" s="3119">
        <f t="shared" si="687"/>
        <v>45990.083333331699</v>
      </c>
      <c r="ZD16" s="3119">
        <f t="shared" si="688"/>
        <v>45990.124999998363</v>
      </c>
      <c r="ZE16" s="3119">
        <f t="shared" si="689"/>
        <v>45990.166666665027</v>
      </c>
      <c r="ZF16" s="3119">
        <f t="shared" si="690"/>
        <v>45990.208333331691</v>
      </c>
      <c r="ZG16" s="3119">
        <f t="shared" si="691"/>
        <v>45990.249999998356</v>
      </c>
      <c r="ZH16" s="3119">
        <f t="shared" si="692"/>
        <v>45990.29166666502</v>
      </c>
      <c r="ZI16" s="3119">
        <f t="shared" si="693"/>
        <v>45990.333333331684</v>
      </c>
      <c r="ZJ16" s="3119">
        <f t="shared" si="694"/>
        <v>45990.374999998348</v>
      </c>
      <c r="ZK16" s="3119">
        <f t="shared" si="695"/>
        <v>45990.416666665013</v>
      </c>
      <c r="ZL16" s="3119">
        <f t="shared" si="696"/>
        <v>45990.458333331677</v>
      </c>
      <c r="ZM16" s="3119">
        <f t="shared" si="697"/>
        <v>45990.499999998341</v>
      </c>
      <c r="ZN16" s="3119">
        <f t="shared" si="698"/>
        <v>45990.541666665005</v>
      </c>
      <c r="ZO16" s="3119">
        <f t="shared" si="699"/>
        <v>45990.58333333167</v>
      </c>
      <c r="ZP16" s="3119">
        <f t="shared" si="700"/>
        <v>45990.624999998334</v>
      </c>
      <c r="ZQ16" s="3119">
        <f t="shared" si="701"/>
        <v>45990.666666664998</v>
      </c>
      <c r="ZR16" s="3119">
        <f t="shared" si="702"/>
        <v>45990.708333331662</v>
      </c>
      <c r="ZS16" s="3119">
        <f t="shared" si="703"/>
        <v>45990.749999998327</v>
      </c>
      <c r="ZT16" s="3119">
        <f t="shared" si="704"/>
        <v>45990.791666664991</v>
      </c>
      <c r="ZU16" s="3119">
        <f t="shared" si="705"/>
        <v>45990.833333331655</v>
      </c>
      <c r="ZV16" s="3119">
        <f t="shared" si="706"/>
        <v>45990.874999998319</v>
      </c>
      <c r="ZW16" s="3119">
        <f t="shared" si="707"/>
        <v>45990.916666664983</v>
      </c>
      <c r="ZX16" s="3119">
        <f t="shared" si="708"/>
        <v>45990.958333331648</v>
      </c>
      <c r="ZY16" s="3119">
        <f t="shared" si="709"/>
        <v>45990.999999998312</v>
      </c>
      <c r="ZZ16" s="3119">
        <f t="shared" si="710"/>
        <v>45991.041666664976</v>
      </c>
      <c r="AAA16" s="3119">
        <f t="shared" si="711"/>
        <v>45991.08333333164</v>
      </c>
      <c r="AAB16" s="3119">
        <f t="shared" si="712"/>
        <v>45991.124999998305</v>
      </c>
      <c r="AAC16" s="3119">
        <f t="shared" si="713"/>
        <v>45991.166666664969</v>
      </c>
      <c r="AAD16" s="3119">
        <f t="shared" si="714"/>
        <v>45991.208333331633</v>
      </c>
      <c r="AAE16" s="3119">
        <f t="shared" si="715"/>
        <v>45991.249999998297</v>
      </c>
      <c r="AAF16" s="3119">
        <f t="shared" si="716"/>
        <v>45991.291666664962</v>
      </c>
      <c r="AAG16" s="3119">
        <f t="shared" si="717"/>
        <v>45991.333333331626</v>
      </c>
      <c r="AAH16" s="3119">
        <f t="shared" si="24"/>
        <v>45991.37499999829</v>
      </c>
      <c r="AAI16" s="3119">
        <f t="shared" si="12"/>
        <v>45991.416666664954</v>
      </c>
      <c r="AAJ16" s="3119">
        <f t="shared" si="12"/>
        <v>45991.458333331619</v>
      </c>
      <c r="AAK16" s="3119">
        <f t="shared" si="12"/>
        <v>45991.499999998283</v>
      </c>
      <c r="AAL16" s="3119">
        <f t="shared" si="12"/>
        <v>45991.541666664947</v>
      </c>
      <c r="AAM16" s="3119">
        <f t="shared" si="12"/>
        <v>45991.583333331611</v>
      </c>
      <c r="AAN16" s="3119">
        <f t="shared" si="12"/>
        <v>45991.624999998276</v>
      </c>
      <c r="AAO16" s="3119">
        <f t="shared" si="12"/>
        <v>45991.66666666494</v>
      </c>
      <c r="AAP16" s="3119">
        <f t="shared" si="12"/>
        <v>45991.708333331604</v>
      </c>
      <c r="AAQ16" s="3119">
        <f t="shared" si="12"/>
        <v>45991.749999998268</v>
      </c>
      <c r="AAR16" s="3119">
        <f t="shared" si="12"/>
        <v>45991.791666664933</v>
      </c>
      <c r="AAS16" s="3119">
        <f t="shared" si="12"/>
        <v>45991.833333331597</v>
      </c>
      <c r="AAT16" s="3119">
        <f t="shared" si="12"/>
        <v>45991.874999998261</v>
      </c>
      <c r="AAU16" s="3119">
        <f t="shared" si="12"/>
        <v>45991.916666664925</v>
      </c>
      <c r="AAV16" s="3119">
        <f t="shared" si="12"/>
        <v>45991.95833333159</v>
      </c>
    </row>
    <row r="17" spans="1:724" s="282" customFormat="1" ht="13">
      <c r="A17" s="3115" t="s">
        <v>1547</v>
      </c>
      <c r="B17" s="3119">
        <v>45970.416666666664</v>
      </c>
      <c r="C17" s="3119">
        <v>45970.666666666664</v>
      </c>
      <c r="D17" s="3116">
        <f t="shared" si="0"/>
        <v>6</v>
      </c>
      <c r="E17" s="3119">
        <v>45962</v>
      </c>
      <c r="F17" s="3119">
        <f t="shared" si="13"/>
        <v>45962.041666666664</v>
      </c>
      <c r="G17" s="3119">
        <f t="shared" si="25"/>
        <v>45962.083333333328</v>
      </c>
      <c r="H17" s="3119">
        <f t="shared" si="26"/>
        <v>45962.124999999993</v>
      </c>
      <c r="I17" s="3119">
        <f t="shared" si="27"/>
        <v>45962.166666666657</v>
      </c>
      <c r="J17" s="3119">
        <f t="shared" si="28"/>
        <v>45962.208333333321</v>
      </c>
      <c r="K17" s="3119">
        <f t="shared" si="29"/>
        <v>45962.249999999985</v>
      </c>
      <c r="L17" s="3119">
        <f t="shared" si="30"/>
        <v>45962.29166666665</v>
      </c>
      <c r="M17" s="3119">
        <f t="shared" si="31"/>
        <v>45962.333333333314</v>
      </c>
      <c r="N17" s="3119">
        <f t="shared" si="32"/>
        <v>45962.374999999978</v>
      </c>
      <c r="O17" s="3119">
        <f t="shared" si="33"/>
        <v>45962.416666666642</v>
      </c>
      <c r="P17" s="3119">
        <f t="shared" si="34"/>
        <v>45962.458333333307</v>
      </c>
      <c r="Q17" s="3119">
        <f t="shared" si="35"/>
        <v>45962.499999999971</v>
      </c>
      <c r="R17" s="3119">
        <f t="shared" si="36"/>
        <v>45962.541666666635</v>
      </c>
      <c r="S17" s="3119">
        <f t="shared" si="37"/>
        <v>45962.583333333299</v>
      </c>
      <c r="T17" s="3119">
        <f t="shared" si="38"/>
        <v>45962.624999999964</v>
      </c>
      <c r="U17" s="3119">
        <f t="shared" si="39"/>
        <v>45962.666666666628</v>
      </c>
      <c r="V17" s="3119">
        <f t="shared" si="40"/>
        <v>45962.708333333292</v>
      </c>
      <c r="W17" s="3119">
        <f t="shared" si="41"/>
        <v>45962.749999999956</v>
      </c>
      <c r="X17" s="3119">
        <f t="shared" si="42"/>
        <v>45962.791666666621</v>
      </c>
      <c r="Y17" s="3119">
        <f t="shared" si="43"/>
        <v>45962.833333333285</v>
      </c>
      <c r="Z17" s="3119">
        <f t="shared" si="44"/>
        <v>45962.874999999949</v>
      </c>
      <c r="AA17" s="3119">
        <f t="shared" si="45"/>
        <v>45962.916666666613</v>
      </c>
      <c r="AB17" s="3119">
        <f t="shared" si="46"/>
        <v>45962.958333333278</v>
      </c>
      <c r="AC17" s="3119">
        <f t="shared" si="47"/>
        <v>45962.999999999942</v>
      </c>
      <c r="AD17" s="3119">
        <f t="shared" si="48"/>
        <v>45963.041666666606</v>
      </c>
      <c r="AE17" s="3119">
        <f t="shared" si="49"/>
        <v>45963.08333333327</v>
      </c>
      <c r="AF17" s="3119">
        <f t="shared" si="50"/>
        <v>45963.124999999935</v>
      </c>
      <c r="AG17" s="3119">
        <f t="shared" si="51"/>
        <v>45963.166666666599</v>
      </c>
      <c r="AH17" s="3119">
        <f t="shared" si="52"/>
        <v>45963.208333333263</v>
      </c>
      <c r="AI17" s="3119">
        <f t="shared" si="53"/>
        <v>45963.249999999927</v>
      </c>
      <c r="AJ17" s="3119">
        <f t="shared" si="54"/>
        <v>45963.291666666591</v>
      </c>
      <c r="AK17" s="3119">
        <f t="shared" si="55"/>
        <v>45963.333333333256</v>
      </c>
      <c r="AL17" s="3119">
        <f t="shared" si="56"/>
        <v>45963.37499999992</v>
      </c>
      <c r="AM17" s="3119">
        <f t="shared" si="57"/>
        <v>45963.416666666584</v>
      </c>
      <c r="AN17" s="3119">
        <f t="shared" si="58"/>
        <v>45963.458333333248</v>
      </c>
      <c r="AO17" s="3119">
        <f t="shared" si="59"/>
        <v>45963.499999999913</v>
      </c>
      <c r="AP17" s="3119">
        <f t="shared" si="60"/>
        <v>45963.541666666577</v>
      </c>
      <c r="AQ17" s="3119">
        <f t="shared" si="61"/>
        <v>45963.583333333241</v>
      </c>
      <c r="AR17" s="3119">
        <f t="shared" si="62"/>
        <v>45963.624999999905</v>
      </c>
      <c r="AS17" s="3119">
        <f t="shared" si="63"/>
        <v>45963.66666666657</v>
      </c>
      <c r="AT17" s="3119">
        <f t="shared" si="64"/>
        <v>45963.708333333234</v>
      </c>
      <c r="AU17" s="3119">
        <f t="shared" si="65"/>
        <v>45963.749999999898</v>
      </c>
      <c r="AV17" s="3119">
        <f t="shared" si="66"/>
        <v>45963.791666666562</v>
      </c>
      <c r="AW17" s="3119">
        <f t="shared" si="67"/>
        <v>45963.833333333227</v>
      </c>
      <c r="AX17" s="3119">
        <f t="shared" si="68"/>
        <v>45963.874999999891</v>
      </c>
      <c r="AY17" s="3119">
        <f t="shared" si="69"/>
        <v>45963.916666666555</v>
      </c>
      <c r="AZ17" s="3119">
        <f t="shared" si="70"/>
        <v>45963.958333333219</v>
      </c>
      <c r="BA17" s="3119">
        <f t="shared" si="71"/>
        <v>45963.999999999884</v>
      </c>
      <c r="BB17" s="3119">
        <f t="shared" si="72"/>
        <v>45964.041666666548</v>
      </c>
      <c r="BC17" s="3119">
        <f t="shared" si="73"/>
        <v>45964.083333333212</v>
      </c>
      <c r="BD17" s="3119">
        <f t="shared" si="74"/>
        <v>45964.124999999876</v>
      </c>
      <c r="BE17" s="3119">
        <f t="shared" si="75"/>
        <v>45964.166666666541</v>
      </c>
      <c r="BF17" s="3119">
        <f t="shared" si="76"/>
        <v>45964.208333333205</v>
      </c>
      <c r="BG17" s="3119">
        <f t="shared" si="77"/>
        <v>45964.249999999869</v>
      </c>
      <c r="BH17" s="3119">
        <f t="shared" si="78"/>
        <v>45964.291666666533</v>
      </c>
      <c r="BI17" s="3119">
        <f t="shared" si="79"/>
        <v>45964.333333333198</v>
      </c>
      <c r="BJ17" s="3119">
        <f t="shared" si="80"/>
        <v>45964.374999999862</v>
      </c>
      <c r="BK17" s="3119">
        <f t="shared" si="81"/>
        <v>45964.416666666526</v>
      </c>
      <c r="BL17" s="3119">
        <f t="shared" si="82"/>
        <v>45964.45833333319</v>
      </c>
      <c r="BM17" s="3119">
        <f t="shared" si="83"/>
        <v>45964.499999999854</v>
      </c>
      <c r="BN17" s="3119">
        <f t="shared" si="84"/>
        <v>45964.541666666519</v>
      </c>
      <c r="BO17" s="3119">
        <f t="shared" si="85"/>
        <v>45964.583333333183</v>
      </c>
      <c r="BP17" s="3119">
        <f t="shared" si="86"/>
        <v>45964.624999999847</v>
      </c>
      <c r="BQ17" s="3119">
        <f t="shared" si="87"/>
        <v>45964.666666666511</v>
      </c>
      <c r="BR17" s="3119">
        <f t="shared" si="14"/>
        <v>45964.708333333176</v>
      </c>
      <c r="BS17" s="3119">
        <f t="shared" si="88"/>
        <v>45964.74999999984</v>
      </c>
      <c r="BT17" s="3119">
        <f t="shared" si="89"/>
        <v>45964.791666666504</v>
      </c>
      <c r="BU17" s="3119">
        <f t="shared" si="90"/>
        <v>45964.833333333168</v>
      </c>
      <c r="BV17" s="3119">
        <f t="shared" si="91"/>
        <v>45964.874999999833</v>
      </c>
      <c r="BW17" s="3119">
        <f t="shared" si="92"/>
        <v>45964.916666666497</v>
      </c>
      <c r="BX17" s="3119">
        <f t="shared" si="93"/>
        <v>45964.958333333161</v>
      </c>
      <c r="BY17" s="3119">
        <f t="shared" si="94"/>
        <v>45964.999999999825</v>
      </c>
      <c r="BZ17" s="3119">
        <f t="shared" si="95"/>
        <v>45965.04166666649</v>
      </c>
      <c r="CA17" s="3119">
        <f t="shared" si="96"/>
        <v>45965.083333333154</v>
      </c>
      <c r="CB17" s="3119">
        <f t="shared" si="97"/>
        <v>45965.124999999818</v>
      </c>
      <c r="CC17" s="3119">
        <f t="shared" si="98"/>
        <v>45965.166666666482</v>
      </c>
      <c r="CD17" s="3119">
        <f t="shared" si="99"/>
        <v>45965.208333333147</v>
      </c>
      <c r="CE17" s="3119">
        <f t="shared" si="100"/>
        <v>45965.249999999811</v>
      </c>
      <c r="CF17" s="3119">
        <f t="shared" si="101"/>
        <v>45965.291666666475</v>
      </c>
      <c r="CG17" s="3119">
        <f t="shared" si="102"/>
        <v>45965.333333333139</v>
      </c>
      <c r="CH17" s="3119">
        <f t="shared" si="103"/>
        <v>45965.374999999804</v>
      </c>
      <c r="CI17" s="3119">
        <f t="shared" si="104"/>
        <v>45965.416666666468</v>
      </c>
      <c r="CJ17" s="3119">
        <f t="shared" si="105"/>
        <v>45965.458333333132</v>
      </c>
      <c r="CK17" s="3119">
        <f t="shared" si="106"/>
        <v>45965.499999999796</v>
      </c>
      <c r="CL17" s="3119">
        <f t="shared" si="107"/>
        <v>45965.541666666461</v>
      </c>
      <c r="CM17" s="3119">
        <f t="shared" si="108"/>
        <v>45965.583333333125</v>
      </c>
      <c r="CN17" s="3119">
        <f t="shared" si="109"/>
        <v>45965.624999999789</v>
      </c>
      <c r="CO17" s="3119">
        <f t="shared" si="110"/>
        <v>45965.666666666453</v>
      </c>
      <c r="CP17" s="3119">
        <f t="shared" si="111"/>
        <v>45965.708333333117</v>
      </c>
      <c r="CQ17" s="3119">
        <f t="shared" si="112"/>
        <v>45965.749999999782</v>
      </c>
      <c r="CR17" s="3119">
        <f t="shared" si="113"/>
        <v>45965.791666666446</v>
      </c>
      <c r="CS17" s="3119">
        <f t="shared" si="114"/>
        <v>45965.83333333311</v>
      </c>
      <c r="CT17" s="3119">
        <f t="shared" si="115"/>
        <v>45965.874999999774</v>
      </c>
      <c r="CU17" s="3119">
        <f t="shared" si="116"/>
        <v>45965.916666666439</v>
      </c>
      <c r="CV17" s="3119">
        <f t="shared" si="117"/>
        <v>45965.958333333103</v>
      </c>
      <c r="CW17" s="3119">
        <f t="shared" si="118"/>
        <v>45965.999999999767</v>
      </c>
      <c r="CX17" s="3119">
        <f t="shared" si="119"/>
        <v>45966.041666666431</v>
      </c>
      <c r="CY17" s="3119">
        <f t="shared" si="120"/>
        <v>45966.083333333096</v>
      </c>
      <c r="CZ17" s="3119">
        <f t="shared" si="121"/>
        <v>45966.12499999976</v>
      </c>
      <c r="DA17" s="3119">
        <f t="shared" si="122"/>
        <v>45966.166666666424</v>
      </c>
      <c r="DB17" s="3119">
        <f t="shared" si="123"/>
        <v>45966.208333333088</v>
      </c>
      <c r="DC17" s="3119">
        <f t="shared" si="124"/>
        <v>45966.249999999753</v>
      </c>
      <c r="DD17" s="3119">
        <f t="shared" si="125"/>
        <v>45966.291666666417</v>
      </c>
      <c r="DE17" s="3119">
        <f t="shared" si="126"/>
        <v>45966.333333333081</v>
      </c>
      <c r="DF17" s="3119">
        <f t="shared" si="127"/>
        <v>45966.374999999745</v>
      </c>
      <c r="DG17" s="3119">
        <f t="shared" si="128"/>
        <v>45966.41666666641</v>
      </c>
      <c r="DH17" s="3119">
        <f t="shared" si="129"/>
        <v>45966.458333333074</v>
      </c>
      <c r="DI17" s="3119">
        <f t="shared" si="130"/>
        <v>45966.499999999738</v>
      </c>
      <c r="DJ17" s="3119">
        <f t="shared" si="131"/>
        <v>45966.541666666402</v>
      </c>
      <c r="DK17" s="3119">
        <f t="shared" si="132"/>
        <v>45966.583333333067</v>
      </c>
      <c r="DL17" s="3119">
        <f t="shared" si="133"/>
        <v>45966.624999999731</v>
      </c>
      <c r="DM17" s="3119">
        <f t="shared" si="134"/>
        <v>45966.666666666395</v>
      </c>
      <c r="DN17" s="3119">
        <f t="shared" si="135"/>
        <v>45966.708333333059</v>
      </c>
      <c r="DO17" s="3119">
        <f t="shared" si="136"/>
        <v>45966.749999999724</v>
      </c>
      <c r="DP17" s="3119">
        <f t="shared" si="137"/>
        <v>45966.791666666388</v>
      </c>
      <c r="DQ17" s="3119">
        <f t="shared" si="138"/>
        <v>45966.833333333052</v>
      </c>
      <c r="DR17" s="3119">
        <f t="shared" si="139"/>
        <v>45966.874999999716</v>
      </c>
      <c r="DS17" s="3119">
        <f t="shared" si="140"/>
        <v>45966.91666666638</v>
      </c>
      <c r="DT17" s="3119">
        <f t="shared" si="141"/>
        <v>45966.958333333045</v>
      </c>
      <c r="DU17" s="3119">
        <f t="shared" si="142"/>
        <v>45966.999999999709</v>
      </c>
      <c r="DV17" s="3119">
        <f t="shared" si="143"/>
        <v>45967.041666666373</v>
      </c>
      <c r="DW17" s="3119">
        <f t="shared" si="144"/>
        <v>45967.083333333037</v>
      </c>
      <c r="DX17" s="3119">
        <f t="shared" si="145"/>
        <v>45967.124999999702</v>
      </c>
      <c r="DY17" s="3119">
        <f t="shared" si="146"/>
        <v>45967.166666666366</v>
      </c>
      <c r="DZ17" s="3119">
        <f t="shared" si="147"/>
        <v>45967.20833333303</v>
      </c>
      <c r="EA17" s="3119">
        <f t="shared" si="148"/>
        <v>45967.249999999694</v>
      </c>
      <c r="EB17" s="3119">
        <f t="shared" si="149"/>
        <v>45967.291666666359</v>
      </c>
      <c r="EC17" s="3119">
        <f t="shared" si="150"/>
        <v>45967.333333333023</v>
      </c>
      <c r="ED17" s="3119">
        <f t="shared" si="15"/>
        <v>45967.374999999687</v>
      </c>
      <c r="EE17" s="3119">
        <f t="shared" si="151"/>
        <v>45967.416666666351</v>
      </c>
      <c r="EF17" s="3119">
        <f t="shared" si="152"/>
        <v>45967.458333333016</v>
      </c>
      <c r="EG17" s="3119">
        <f t="shared" si="153"/>
        <v>45967.49999999968</v>
      </c>
      <c r="EH17" s="3119">
        <f t="shared" si="154"/>
        <v>45967.541666666344</v>
      </c>
      <c r="EI17" s="3119">
        <f t="shared" si="155"/>
        <v>45967.583333333008</v>
      </c>
      <c r="EJ17" s="3119">
        <f t="shared" si="156"/>
        <v>45967.624999999673</v>
      </c>
      <c r="EK17" s="3119">
        <f t="shared" si="157"/>
        <v>45967.666666666337</v>
      </c>
      <c r="EL17" s="3119">
        <f t="shared" si="158"/>
        <v>45967.708333333001</v>
      </c>
      <c r="EM17" s="3119">
        <f t="shared" si="159"/>
        <v>45967.749999999665</v>
      </c>
      <c r="EN17" s="3119">
        <f t="shared" si="160"/>
        <v>45967.79166666633</v>
      </c>
      <c r="EO17" s="3119">
        <f t="shared" si="161"/>
        <v>45967.833333332994</v>
      </c>
      <c r="EP17" s="3119">
        <f t="shared" si="162"/>
        <v>45967.874999999658</v>
      </c>
      <c r="EQ17" s="3119">
        <f t="shared" si="163"/>
        <v>45967.916666666322</v>
      </c>
      <c r="ER17" s="3119">
        <f t="shared" si="164"/>
        <v>45967.958333332987</v>
      </c>
      <c r="ES17" s="3119">
        <f t="shared" si="165"/>
        <v>45967.999999999651</v>
      </c>
      <c r="ET17" s="3119">
        <f t="shared" si="166"/>
        <v>45968.041666666315</v>
      </c>
      <c r="EU17" s="3119">
        <f t="shared" si="167"/>
        <v>45968.083333332979</v>
      </c>
      <c r="EV17" s="3119">
        <f t="shared" si="168"/>
        <v>45968.124999999643</v>
      </c>
      <c r="EW17" s="3119">
        <f t="shared" si="169"/>
        <v>45968.166666666308</v>
      </c>
      <c r="EX17" s="3119">
        <f t="shared" si="170"/>
        <v>45968.208333332972</v>
      </c>
      <c r="EY17" s="3119">
        <f t="shared" si="171"/>
        <v>45968.249999999636</v>
      </c>
      <c r="EZ17" s="3119">
        <f t="shared" si="172"/>
        <v>45968.2916666663</v>
      </c>
      <c r="FA17" s="3119">
        <f t="shared" si="173"/>
        <v>45968.333333332965</v>
      </c>
      <c r="FB17" s="3119">
        <f t="shared" si="174"/>
        <v>45968.374999999629</v>
      </c>
      <c r="FC17" s="3119">
        <f t="shared" si="175"/>
        <v>45968.416666666293</v>
      </c>
      <c r="FD17" s="3119">
        <f t="shared" si="176"/>
        <v>45968.458333332957</v>
      </c>
      <c r="FE17" s="3119">
        <f t="shared" si="177"/>
        <v>45968.499999999622</v>
      </c>
      <c r="FF17" s="3119">
        <f t="shared" si="178"/>
        <v>45968.541666666286</v>
      </c>
      <c r="FG17" s="3119">
        <f t="shared" si="179"/>
        <v>45968.58333333295</v>
      </c>
      <c r="FH17" s="3119">
        <f t="shared" si="180"/>
        <v>45968.624999999614</v>
      </c>
      <c r="FI17" s="3119">
        <f t="shared" si="181"/>
        <v>45968.666666666279</v>
      </c>
      <c r="FJ17" s="3119">
        <f t="shared" si="182"/>
        <v>45968.708333332943</v>
      </c>
      <c r="FK17" s="3119">
        <f t="shared" si="183"/>
        <v>45968.749999999607</v>
      </c>
      <c r="FL17" s="3119">
        <f t="shared" si="184"/>
        <v>45968.791666666271</v>
      </c>
      <c r="FM17" s="3119">
        <f t="shared" si="185"/>
        <v>45968.833333332936</v>
      </c>
      <c r="FN17" s="3119">
        <f t="shared" si="186"/>
        <v>45968.8749999996</v>
      </c>
      <c r="FO17" s="3119">
        <f t="shared" si="187"/>
        <v>45968.916666666264</v>
      </c>
      <c r="FP17" s="3119">
        <f t="shared" si="188"/>
        <v>45968.958333332928</v>
      </c>
      <c r="FQ17" s="3119">
        <f t="shared" si="189"/>
        <v>45968.999999999593</v>
      </c>
      <c r="FR17" s="3119">
        <f t="shared" si="190"/>
        <v>45969.041666666257</v>
      </c>
      <c r="FS17" s="3119">
        <f t="shared" si="191"/>
        <v>45969.083333332921</v>
      </c>
      <c r="FT17" s="3119">
        <f t="shared" si="192"/>
        <v>45969.124999999585</v>
      </c>
      <c r="FU17" s="3119">
        <f t="shared" si="193"/>
        <v>45969.16666666625</v>
      </c>
      <c r="FV17" s="3119">
        <f t="shared" si="194"/>
        <v>45969.208333332914</v>
      </c>
      <c r="FW17" s="3119">
        <f t="shared" si="195"/>
        <v>45969.249999999578</v>
      </c>
      <c r="FX17" s="3119">
        <f t="shared" si="196"/>
        <v>45969.291666666242</v>
      </c>
      <c r="FY17" s="3119">
        <f t="shared" si="197"/>
        <v>45969.333333332906</v>
      </c>
      <c r="FZ17" s="3119">
        <f t="shared" si="198"/>
        <v>45969.374999999571</v>
      </c>
      <c r="GA17" s="3119">
        <f t="shared" si="199"/>
        <v>45969.416666666235</v>
      </c>
      <c r="GB17" s="3119">
        <f t="shared" si="200"/>
        <v>45969.458333332899</v>
      </c>
      <c r="GC17" s="3119">
        <f t="shared" si="201"/>
        <v>45969.499999999563</v>
      </c>
      <c r="GD17" s="3119">
        <f t="shared" si="202"/>
        <v>45969.541666666228</v>
      </c>
      <c r="GE17" s="3119">
        <f t="shared" si="203"/>
        <v>45969.583333332892</v>
      </c>
      <c r="GF17" s="3119">
        <f t="shared" si="204"/>
        <v>45969.624999999556</v>
      </c>
      <c r="GG17" s="3119">
        <f t="shared" si="205"/>
        <v>45969.66666666622</v>
      </c>
      <c r="GH17" s="3119">
        <f t="shared" si="206"/>
        <v>45969.708333332885</v>
      </c>
      <c r="GI17" s="3119">
        <f t="shared" si="207"/>
        <v>45969.749999999549</v>
      </c>
      <c r="GJ17" s="3119">
        <f t="shared" si="208"/>
        <v>45969.791666666213</v>
      </c>
      <c r="GK17" s="3119">
        <f t="shared" si="209"/>
        <v>45969.833333332877</v>
      </c>
      <c r="GL17" s="3119">
        <f t="shared" si="210"/>
        <v>45969.874999999542</v>
      </c>
      <c r="GM17" s="3119">
        <f t="shared" si="211"/>
        <v>45969.916666666206</v>
      </c>
      <c r="GN17" s="3119">
        <f t="shared" si="212"/>
        <v>45969.95833333287</v>
      </c>
      <c r="GO17" s="3119">
        <f t="shared" si="213"/>
        <v>45969.999999999534</v>
      </c>
      <c r="GP17" s="3119">
        <f t="shared" si="16"/>
        <v>45970.041666666199</v>
      </c>
      <c r="GQ17" s="3119">
        <f t="shared" si="214"/>
        <v>45970.083333332863</v>
      </c>
      <c r="GR17" s="3119">
        <f t="shared" si="215"/>
        <v>45970.124999999527</v>
      </c>
      <c r="GS17" s="3119">
        <f t="shared" si="216"/>
        <v>45970.166666666191</v>
      </c>
      <c r="GT17" s="3119">
        <f t="shared" si="217"/>
        <v>45970.208333332856</v>
      </c>
      <c r="GU17" s="3119">
        <f t="shared" si="218"/>
        <v>45970.24999999952</v>
      </c>
      <c r="GV17" s="3119">
        <f t="shared" si="219"/>
        <v>45970.291666666184</v>
      </c>
      <c r="GW17" s="3119">
        <f t="shared" si="220"/>
        <v>45970.333333332848</v>
      </c>
      <c r="GX17" s="3119">
        <f t="shared" si="221"/>
        <v>45970.374999999513</v>
      </c>
      <c r="GY17" s="3119">
        <f t="shared" si="222"/>
        <v>45970.416666666177</v>
      </c>
      <c r="GZ17" s="3119">
        <f t="shared" si="223"/>
        <v>45970.458333332841</v>
      </c>
      <c r="HA17" s="3119">
        <f t="shared" si="224"/>
        <v>45970.499999999505</v>
      </c>
      <c r="HB17" s="3119">
        <f t="shared" si="225"/>
        <v>45970.541666666169</v>
      </c>
      <c r="HC17" s="3119">
        <f t="shared" si="226"/>
        <v>45970.583333332834</v>
      </c>
      <c r="HD17" s="3119">
        <f t="shared" si="227"/>
        <v>45970.624999999498</v>
      </c>
      <c r="HE17" s="3119">
        <f t="shared" si="228"/>
        <v>45970.666666666162</v>
      </c>
      <c r="HF17" s="3119">
        <f t="shared" si="229"/>
        <v>45970.708333332826</v>
      </c>
      <c r="HG17" s="3119">
        <f t="shared" si="230"/>
        <v>45970.749999999491</v>
      </c>
      <c r="HH17" s="3119">
        <f t="shared" si="231"/>
        <v>45970.791666666155</v>
      </c>
      <c r="HI17" s="3119">
        <f t="shared" si="232"/>
        <v>45970.833333332819</v>
      </c>
      <c r="HJ17" s="3119">
        <f t="shared" si="233"/>
        <v>45970.874999999483</v>
      </c>
      <c r="HK17" s="3119">
        <f t="shared" si="234"/>
        <v>45970.916666666148</v>
      </c>
      <c r="HL17" s="3119">
        <f t="shared" si="235"/>
        <v>45970.958333332812</v>
      </c>
      <c r="HM17" s="3119">
        <f t="shared" si="236"/>
        <v>45970.999999999476</v>
      </c>
      <c r="HN17" s="3119">
        <f t="shared" si="237"/>
        <v>45971.04166666614</v>
      </c>
      <c r="HO17" s="3119">
        <f t="shared" si="238"/>
        <v>45971.083333332805</v>
      </c>
      <c r="HP17" s="3119">
        <f t="shared" si="239"/>
        <v>45971.124999999469</v>
      </c>
      <c r="HQ17" s="3119">
        <f t="shared" si="240"/>
        <v>45971.166666666133</v>
      </c>
      <c r="HR17" s="3119">
        <f t="shared" si="241"/>
        <v>45971.208333332797</v>
      </c>
      <c r="HS17" s="3119">
        <f t="shared" si="242"/>
        <v>45971.249999999462</v>
      </c>
      <c r="HT17" s="3119">
        <f t="shared" si="243"/>
        <v>45971.291666666126</v>
      </c>
      <c r="HU17" s="3119">
        <f t="shared" si="244"/>
        <v>45971.33333333279</v>
      </c>
      <c r="HV17" s="3119">
        <f t="shared" si="245"/>
        <v>45971.374999999454</v>
      </c>
      <c r="HW17" s="3119">
        <f t="shared" si="246"/>
        <v>45971.416666666119</v>
      </c>
      <c r="HX17" s="3119">
        <f t="shared" si="247"/>
        <v>45971.458333332783</v>
      </c>
      <c r="HY17" s="3119">
        <f t="shared" si="248"/>
        <v>45971.499999999447</v>
      </c>
      <c r="HZ17" s="3119">
        <f t="shared" si="249"/>
        <v>45971.541666666111</v>
      </c>
      <c r="IA17" s="3119">
        <f t="shared" si="250"/>
        <v>45971.583333332776</v>
      </c>
      <c r="IB17" s="3119">
        <f t="shared" si="251"/>
        <v>45971.62499999944</v>
      </c>
      <c r="IC17" s="3119">
        <f t="shared" si="252"/>
        <v>45971.666666666104</v>
      </c>
      <c r="ID17" s="3119">
        <f t="shared" si="253"/>
        <v>45971.708333332768</v>
      </c>
      <c r="IE17" s="3119">
        <f t="shared" si="254"/>
        <v>45971.749999999432</v>
      </c>
      <c r="IF17" s="3119">
        <f t="shared" si="255"/>
        <v>45971.791666666097</v>
      </c>
      <c r="IG17" s="3119">
        <f t="shared" si="256"/>
        <v>45971.833333332761</v>
      </c>
      <c r="IH17" s="3119">
        <f t="shared" si="257"/>
        <v>45971.874999999425</v>
      </c>
      <c r="II17" s="3119">
        <f t="shared" si="258"/>
        <v>45971.916666666089</v>
      </c>
      <c r="IJ17" s="3119">
        <f t="shared" si="259"/>
        <v>45971.958333332754</v>
      </c>
      <c r="IK17" s="3119">
        <f t="shared" si="260"/>
        <v>45971.999999999418</v>
      </c>
      <c r="IL17" s="3119">
        <f t="shared" si="261"/>
        <v>45972.041666666082</v>
      </c>
      <c r="IM17" s="3119">
        <f t="shared" si="262"/>
        <v>45972.083333332746</v>
      </c>
      <c r="IN17" s="3119">
        <f t="shared" si="263"/>
        <v>45972.124999999411</v>
      </c>
      <c r="IO17" s="3119">
        <f t="shared" si="264"/>
        <v>45972.166666666075</v>
      </c>
      <c r="IP17" s="3119">
        <f t="shared" si="265"/>
        <v>45972.208333332739</v>
      </c>
      <c r="IQ17" s="3119">
        <f t="shared" si="266"/>
        <v>45972.249999999403</v>
      </c>
      <c r="IR17" s="3119">
        <f t="shared" si="267"/>
        <v>45972.291666666068</v>
      </c>
      <c r="IS17" s="3119">
        <f t="shared" si="268"/>
        <v>45972.333333332732</v>
      </c>
      <c r="IT17" s="3119">
        <f t="shared" si="269"/>
        <v>45972.374999999396</v>
      </c>
      <c r="IU17" s="3119">
        <f t="shared" si="270"/>
        <v>45972.41666666606</v>
      </c>
      <c r="IV17" s="3119">
        <f t="shared" si="271"/>
        <v>45972.458333332725</v>
      </c>
      <c r="IW17" s="3119">
        <f t="shared" si="272"/>
        <v>45972.499999999389</v>
      </c>
      <c r="IX17" s="3119">
        <f t="shared" si="273"/>
        <v>45972.541666666053</v>
      </c>
      <c r="IY17" s="3119">
        <f t="shared" si="274"/>
        <v>45972.583333332717</v>
      </c>
      <c r="IZ17" s="3119">
        <f t="shared" si="275"/>
        <v>45972.624999999382</v>
      </c>
      <c r="JA17" s="3119">
        <f t="shared" si="276"/>
        <v>45972.666666666046</v>
      </c>
      <c r="JB17" s="3119">
        <f t="shared" si="17"/>
        <v>45972.70833333271</v>
      </c>
      <c r="JC17" s="3119">
        <f t="shared" si="277"/>
        <v>45972.749999999374</v>
      </c>
      <c r="JD17" s="3119">
        <f t="shared" si="278"/>
        <v>45972.791666666039</v>
      </c>
      <c r="JE17" s="3119">
        <f t="shared" si="279"/>
        <v>45972.833333332703</v>
      </c>
      <c r="JF17" s="3119">
        <f t="shared" si="280"/>
        <v>45972.874999999367</v>
      </c>
      <c r="JG17" s="3119">
        <f t="shared" si="281"/>
        <v>45972.916666666031</v>
      </c>
      <c r="JH17" s="3119">
        <f t="shared" si="282"/>
        <v>45972.958333332695</v>
      </c>
      <c r="JI17" s="3119">
        <f t="shared" si="283"/>
        <v>45972.99999999936</v>
      </c>
      <c r="JJ17" s="3119">
        <f t="shared" si="284"/>
        <v>45973.041666666024</v>
      </c>
      <c r="JK17" s="3119">
        <f t="shared" si="285"/>
        <v>45973.083333332688</v>
      </c>
      <c r="JL17" s="3119">
        <f t="shared" si="286"/>
        <v>45973.124999999352</v>
      </c>
      <c r="JM17" s="3119">
        <f t="shared" si="287"/>
        <v>45973.166666666017</v>
      </c>
      <c r="JN17" s="3119">
        <f t="shared" si="288"/>
        <v>45973.208333332681</v>
      </c>
      <c r="JO17" s="3119">
        <f t="shared" si="289"/>
        <v>45973.249999999345</v>
      </c>
      <c r="JP17" s="3119">
        <f t="shared" si="290"/>
        <v>45973.291666666009</v>
      </c>
      <c r="JQ17" s="3119">
        <f t="shared" si="291"/>
        <v>45973.333333332674</v>
      </c>
      <c r="JR17" s="3119">
        <f t="shared" si="292"/>
        <v>45973.374999999338</v>
      </c>
      <c r="JS17" s="3119">
        <f t="shared" si="293"/>
        <v>45973.416666666002</v>
      </c>
      <c r="JT17" s="3119">
        <f t="shared" si="294"/>
        <v>45973.458333332666</v>
      </c>
      <c r="JU17" s="3119">
        <f t="shared" si="295"/>
        <v>45973.499999999331</v>
      </c>
      <c r="JV17" s="3119">
        <f t="shared" si="296"/>
        <v>45973.541666665995</v>
      </c>
      <c r="JW17" s="3119">
        <f t="shared" si="297"/>
        <v>45973.583333332659</v>
      </c>
      <c r="JX17" s="3119">
        <f t="shared" si="298"/>
        <v>45973.624999999323</v>
      </c>
      <c r="JY17" s="3119">
        <f t="shared" si="299"/>
        <v>45973.666666665988</v>
      </c>
      <c r="JZ17" s="3119">
        <f t="shared" si="300"/>
        <v>45973.708333332652</v>
      </c>
      <c r="KA17" s="3119">
        <f t="shared" si="301"/>
        <v>45973.749999999316</v>
      </c>
      <c r="KB17" s="3119">
        <f t="shared" si="302"/>
        <v>45973.79166666598</v>
      </c>
      <c r="KC17" s="3119">
        <f t="shared" si="303"/>
        <v>45973.833333332645</v>
      </c>
      <c r="KD17" s="3119">
        <f t="shared" si="304"/>
        <v>45973.874999999309</v>
      </c>
      <c r="KE17" s="3119">
        <f t="shared" si="305"/>
        <v>45973.916666665973</v>
      </c>
      <c r="KF17" s="3119">
        <f t="shared" si="306"/>
        <v>45973.958333332637</v>
      </c>
      <c r="KG17" s="3119">
        <f t="shared" si="307"/>
        <v>45973.999999999302</v>
      </c>
      <c r="KH17" s="3119">
        <f t="shared" si="308"/>
        <v>45974.041666665966</v>
      </c>
      <c r="KI17" s="3119">
        <f t="shared" si="309"/>
        <v>45974.08333333263</v>
      </c>
      <c r="KJ17" s="3119">
        <f t="shared" si="310"/>
        <v>45974.124999999294</v>
      </c>
      <c r="KK17" s="3119">
        <f t="shared" si="311"/>
        <v>45974.166666665958</v>
      </c>
      <c r="KL17" s="3119">
        <f t="shared" si="312"/>
        <v>45974.208333332623</v>
      </c>
      <c r="KM17" s="3119">
        <f t="shared" si="313"/>
        <v>45974.249999999287</v>
      </c>
      <c r="KN17" s="3119">
        <f t="shared" si="314"/>
        <v>45974.291666665951</v>
      </c>
      <c r="KO17" s="3119">
        <f t="shared" si="315"/>
        <v>45974.333333332615</v>
      </c>
      <c r="KP17" s="3119">
        <f t="shared" si="316"/>
        <v>45974.37499999928</v>
      </c>
      <c r="KQ17" s="3119">
        <f t="shared" si="317"/>
        <v>45974.416666665944</v>
      </c>
      <c r="KR17" s="3119">
        <f t="shared" si="318"/>
        <v>45974.458333332608</v>
      </c>
      <c r="KS17" s="3119">
        <f t="shared" si="319"/>
        <v>45974.499999999272</v>
      </c>
      <c r="KT17" s="3119">
        <f t="shared" si="320"/>
        <v>45974.541666665937</v>
      </c>
      <c r="KU17" s="3119">
        <f t="shared" si="321"/>
        <v>45974.583333332601</v>
      </c>
      <c r="KV17" s="3119">
        <f t="shared" si="322"/>
        <v>45974.624999999265</v>
      </c>
      <c r="KW17" s="3119">
        <f t="shared" si="323"/>
        <v>45974.666666665929</v>
      </c>
      <c r="KX17" s="3119">
        <f t="shared" si="324"/>
        <v>45974.708333332594</v>
      </c>
      <c r="KY17" s="3119">
        <f t="shared" si="325"/>
        <v>45974.749999999258</v>
      </c>
      <c r="KZ17" s="3119">
        <f t="shared" si="326"/>
        <v>45974.791666665922</v>
      </c>
      <c r="LA17" s="3119">
        <f t="shared" si="327"/>
        <v>45974.833333332586</v>
      </c>
      <c r="LB17" s="3119">
        <f t="shared" si="328"/>
        <v>45974.874999999251</v>
      </c>
      <c r="LC17" s="3119">
        <f t="shared" si="329"/>
        <v>45974.916666665915</v>
      </c>
      <c r="LD17" s="3119">
        <f t="shared" si="330"/>
        <v>45974.958333332579</v>
      </c>
      <c r="LE17" s="3119">
        <f t="shared" si="331"/>
        <v>45974.999999999243</v>
      </c>
      <c r="LF17" s="3119">
        <f t="shared" si="332"/>
        <v>45975.041666665908</v>
      </c>
      <c r="LG17" s="3119">
        <f t="shared" si="333"/>
        <v>45975.083333332572</v>
      </c>
      <c r="LH17" s="3119">
        <f t="shared" si="334"/>
        <v>45975.124999999236</v>
      </c>
      <c r="LI17" s="3119">
        <f t="shared" si="335"/>
        <v>45975.1666666659</v>
      </c>
      <c r="LJ17" s="3119">
        <f t="shared" si="336"/>
        <v>45975.208333332565</v>
      </c>
      <c r="LK17" s="3119">
        <f t="shared" si="337"/>
        <v>45975.249999999229</v>
      </c>
      <c r="LL17" s="3119">
        <f t="shared" si="338"/>
        <v>45975.291666665893</v>
      </c>
      <c r="LM17" s="3119">
        <f t="shared" si="339"/>
        <v>45975.333333332557</v>
      </c>
      <c r="LN17" s="3119">
        <f t="shared" si="18"/>
        <v>45975.374999999221</v>
      </c>
      <c r="LO17" s="3119">
        <f t="shared" si="340"/>
        <v>45975.416666665886</v>
      </c>
      <c r="LP17" s="3119">
        <f t="shared" si="341"/>
        <v>45975.45833333255</v>
      </c>
      <c r="LQ17" s="3119">
        <f t="shared" si="342"/>
        <v>45975.499999999214</v>
      </c>
      <c r="LR17" s="3119">
        <f t="shared" si="343"/>
        <v>45975.541666665878</v>
      </c>
      <c r="LS17" s="3119">
        <f t="shared" si="344"/>
        <v>45975.583333332543</v>
      </c>
      <c r="LT17" s="3119">
        <f t="shared" si="345"/>
        <v>45975.624999999207</v>
      </c>
      <c r="LU17" s="3119">
        <f t="shared" si="346"/>
        <v>45975.666666665871</v>
      </c>
      <c r="LV17" s="3119">
        <f t="shared" si="347"/>
        <v>45975.708333332535</v>
      </c>
      <c r="LW17" s="3119">
        <f t="shared" si="348"/>
        <v>45975.7499999992</v>
      </c>
      <c r="LX17" s="3119">
        <f t="shared" si="349"/>
        <v>45975.791666665864</v>
      </c>
      <c r="LY17" s="3119">
        <f t="shared" si="350"/>
        <v>45975.833333332528</v>
      </c>
      <c r="LZ17" s="3119">
        <f t="shared" si="351"/>
        <v>45975.874999999192</v>
      </c>
      <c r="MA17" s="3119">
        <f t="shared" si="352"/>
        <v>45975.916666665857</v>
      </c>
      <c r="MB17" s="3119">
        <f t="shared" si="353"/>
        <v>45975.958333332521</v>
      </c>
      <c r="MC17" s="3119">
        <f t="shared" si="354"/>
        <v>45975.999999999185</v>
      </c>
      <c r="MD17" s="3119">
        <f t="shared" si="355"/>
        <v>45976.041666665849</v>
      </c>
      <c r="ME17" s="3119">
        <f t="shared" si="356"/>
        <v>45976.083333332514</v>
      </c>
      <c r="MF17" s="3119">
        <f t="shared" si="357"/>
        <v>45976.124999999178</v>
      </c>
      <c r="MG17" s="3119">
        <f t="shared" si="358"/>
        <v>45976.166666665842</v>
      </c>
      <c r="MH17" s="3119">
        <f t="shared" si="359"/>
        <v>45976.208333332506</v>
      </c>
      <c r="MI17" s="3119">
        <f t="shared" si="360"/>
        <v>45976.249999999171</v>
      </c>
      <c r="MJ17" s="3119">
        <f t="shared" si="361"/>
        <v>45976.291666665835</v>
      </c>
      <c r="MK17" s="3119">
        <f t="shared" si="362"/>
        <v>45976.333333332499</v>
      </c>
      <c r="ML17" s="3119">
        <f t="shared" si="363"/>
        <v>45976.374999999163</v>
      </c>
      <c r="MM17" s="3119">
        <f t="shared" si="364"/>
        <v>45976.416666665828</v>
      </c>
      <c r="MN17" s="3119">
        <f t="shared" si="365"/>
        <v>45976.458333332492</v>
      </c>
      <c r="MO17" s="3119">
        <f t="shared" si="366"/>
        <v>45976.499999999156</v>
      </c>
      <c r="MP17" s="3119">
        <f t="shared" si="367"/>
        <v>45976.54166666582</v>
      </c>
      <c r="MQ17" s="3119">
        <f t="shared" si="368"/>
        <v>45976.583333332484</v>
      </c>
      <c r="MR17" s="3119">
        <f t="shared" si="369"/>
        <v>45976.624999999149</v>
      </c>
      <c r="MS17" s="3119">
        <f t="shared" si="370"/>
        <v>45976.666666665813</v>
      </c>
      <c r="MT17" s="3119">
        <f t="shared" si="371"/>
        <v>45976.708333332477</v>
      </c>
      <c r="MU17" s="3119">
        <f t="shared" si="372"/>
        <v>45976.749999999141</v>
      </c>
      <c r="MV17" s="3119">
        <f t="shared" si="373"/>
        <v>45976.791666665806</v>
      </c>
      <c r="MW17" s="3119">
        <f t="shared" si="374"/>
        <v>45976.83333333247</v>
      </c>
      <c r="MX17" s="3119">
        <f t="shared" si="375"/>
        <v>45976.874999999134</v>
      </c>
      <c r="MY17" s="3119">
        <f t="shared" si="376"/>
        <v>45976.916666665798</v>
      </c>
      <c r="MZ17" s="3119">
        <f t="shared" si="377"/>
        <v>45976.958333332463</v>
      </c>
      <c r="NA17" s="3119">
        <f t="shared" si="378"/>
        <v>45976.999999999127</v>
      </c>
      <c r="NB17" s="3119">
        <f t="shared" si="379"/>
        <v>45977.041666665791</v>
      </c>
      <c r="NC17" s="3119">
        <f t="shared" si="380"/>
        <v>45977.083333332455</v>
      </c>
      <c r="ND17" s="3119">
        <f t="shared" si="381"/>
        <v>45977.12499999912</v>
      </c>
      <c r="NE17" s="3119">
        <f t="shared" si="382"/>
        <v>45977.166666665784</v>
      </c>
      <c r="NF17" s="3119">
        <f t="shared" si="383"/>
        <v>45977.208333332448</v>
      </c>
      <c r="NG17" s="3119">
        <f t="shared" si="384"/>
        <v>45977.249999999112</v>
      </c>
      <c r="NH17" s="3119">
        <f t="shared" si="385"/>
        <v>45977.291666665777</v>
      </c>
      <c r="NI17" s="3119">
        <f t="shared" si="386"/>
        <v>45977.333333332441</v>
      </c>
      <c r="NJ17" s="3119">
        <f t="shared" si="387"/>
        <v>45977.374999999105</v>
      </c>
      <c r="NK17" s="3119">
        <f t="shared" si="388"/>
        <v>45977.416666665769</v>
      </c>
      <c r="NL17" s="3119">
        <f t="shared" si="389"/>
        <v>45977.458333332434</v>
      </c>
      <c r="NM17" s="3119">
        <f t="shared" si="390"/>
        <v>45977.499999999098</v>
      </c>
      <c r="NN17" s="3119">
        <f t="shared" si="391"/>
        <v>45977.541666665762</v>
      </c>
      <c r="NO17" s="3119">
        <f t="shared" si="392"/>
        <v>45977.583333332426</v>
      </c>
      <c r="NP17" s="3119">
        <f t="shared" si="393"/>
        <v>45977.624999999091</v>
      </c>
      <c r="NQ17" s="3119">
        <f t="shared" si="394"/>
        <v>45977.666666665755</v>
      </c>
      <c r="NR17" s="3119">
        <f t="shared" si="395"/>
        <v>45977.708333332419</v>
      </c>
      <c r="NS17" s="3119">
        <f t="shared" si="396"/>
        <v>45977.749999999083</v>
      </c>
      <c r="NT17" s="3119">
        <f t="shared" si="397"/>
        <v>45977.791666665747</v>
      </c>
      <c r="NU17" s="3119">
        <f t="shared" si="398"/>
        <v>45977.833333332412</v>
      </c>
      <c r="NV17" s="3119">
        <f t="shared" si="399"/>
        <v>45977.874999999076</v>
      </c>
      <c r="NW17" s="3119">
        <f t="shared" si="400"/>
        <v>45977.91666666574</v>
      </c>
      <c r="NX17" s="3119">
        <f t="shared" si="401"/>
        <v>45977.958333332404</v>
      </c>
      <c r="NY17" s="3119">
        <f t="shared" si="402"/>
        <v>45977.999999999069</v>
      </c>
      <c r="NZ17" s="3119">
        <f t="shared" si="19"/>
        <v>45978.041666665733</v>
      </c>
      <c r="OA17" s="3119">
        <f t="shared" si="403"/>
        <v>45978.083333332397</v>
      </c>
      <c r="OB17" s="3119">
        <f t="shared" si="404"/>
        <v>45978.124999999061</v>
      </c>
      <c r="OC17" s="3119">
        <f t="shared" si="405"/>
        <v>45978.166666665726</v>
      </c>
      <c r="OD17" s="3119">
        <f t="shared" si="406"/>
        <v>45978.20833333239</v>
      </c>
      <c r="OE17" s="3119">
        <f t="shared" si="407"/>
        <v>45978.249999999054</v>
      </c>
      <c r="OF17" s="3119">
        <f t="shared" si="408"/>
        <v>45978.291666665718</v>
      </c>
      <c r="OG17" s="3119">
        <f t="shared" si="409"/>
        <v>45978.333333332383</v>
      </c>
      <c r="OH17" s="3119">
        <f t="shared" si="410"/>
        <v>45978.374999999047</v>
      </c>
      <c r="OI17" s="3119">
        <f t="shared" si="411"/>
        <v>45978.416666665711</v>
      </c>
      <c r="OJ17" s="3119">
        <f t="shared" si="412"/>
        <v>45978.458333332375</v>
      </c>
      <c r="OK17" s="3119">
        <f t="shared" si="413"/>
        <v>45978.49999999904</v>
      </c>
      <c r="OL17" s="3119">
        <f t="shared" si="414"/>
        <v>45978.541666665704</v>
      </c>
      <c r="OM17" s="3119">
        <f t="shared" si="415"/>
        <v>45978.583333332368</v>
      </c>
      <c r="ON17" s="3119">
        <f t="shared" si="416"/>
        <v>45978.624999999032</v>
      </c>
      <c r="OO17" s="3119">
        <f t="shared" si="417"/>
        <v>45978.666666665697</v>
      </c>
      <c r="OP17" s="3119">
        <f t="shared" si="418"/>
        <v>45978.708333332361</v>
      </c>
      <c r="OQ17" s="3119">
        <f t="shared" si="419"/>
        <v>45978.749999999025</v>
      </c>
      <c r="OR17" s="3119">
        <f t="shared" si="420"/>
        <v>45978.791666665689</v>
      </c>
      <c r="OS17" s="3119">
        <f t="shared" si="421"/>
        <v>45978.833333332354</v>
      </c>
      <c r="OT17" s="3119">
        <f t="shared" si="422"/>
        <v>45978.874999999018</v>
      </c>
      <c r="OU17" s="3119">
        <f t="shared" si="423"/>
        <v>45978.916666665682</v>
      </c>
      <c r="OV17" s="3119">
        <f t="shared" si="424"/>
        <v>45978.958333332346</v>
      </c>
      <c r="OW17" s="3119">
        <f t="shared" si="425"/>
        <v>45978.99999999901</v>
      </c>
      <c r="OX17" s="3119">
        <f t="shared" si="426"/>
        <v>45979.041666665675</v>
      </c>
      <c r="OY17" s="3119">
        <f t="shared" si="427"/>
        <v>45979.083333332339</v>
      </c>
      <c r="OZ17" s="3119">
        <f t="shared" si="428"/>
        <v>45979.124999999003</v>
      </c>
      <c r="PA17" s="3119">
        <f t="shared" si="429"/>
        <v>45979.166666665667</v>
      </c>
      <c r="PB17" s="3119">
        <f t="shared" si="430"/>
        <v>45979.208333332332</v>
      </c>
      <c r="PC17" s="3119">
        <f t="shared" si="431"/>
        <v>45979.249999998996</v>
      </c>
      <c r="PD17" s="3119">
        <f t="shared" si="432"/>
        <v>45979.29166666566</v>
      </c>
      <c r="PE17" s="3119">
        <f t="shared" si="433"/>
        <v>45979.333333332324</v>
      </c>
      <c r="PF17" s="3119">
        <f t="shared" si="434"/>
        <v>45979.374999998989</v>
      </c>
      <c r="PG17" s="3119">
        <f t="shared" si="435"/>
        <v>45979.416666665653</v>
      </c>
      <c r="PH17" s="3119">
        <f t="shared" si="436"/>
        <v>45979.458333332317</v>
      </c>
      <c r="PI17" s="3119">
        <f t="shared" si="437"/>
        <v>45979.499999998981</v>
      </c>
      <c r="PJ17" s="3119">
        <f t="shared" si="438"/>
        <v>45979.541666665646</v>
      </c>
      <c r="PK17" s="3119">
        <f t="shared" si="439"/>
        <v>45979.58333333231</v>
      </c>
      <c r="PL17" s="3119">
        <f t="shared" si="440"/>
        <v>45979.624999998974</v>
      </c>
      <c r="PM17" s="3119">
        <f t="shared" si="441"/>
        <v>45979.666666665638</v>
      </c>
      <c r="PN17" s="3119">
        <f t="shared" si="442"/>
        <v>45979.708333332303</v>
      </c>
      <c r="PO17" s="3119">
        <f t="shared" si="443"/>
        <v>45979.749999998967</v>
      </c>
      <c r="PP17" s="3119">
        <f t="shared" si="444"/>
        <v>45979.791666665631</v>
      </c>
      <c r="PQ17" s="3119">
        <f t="shared" si="445"/>
        <v>45979.833333332295</v>
      </c>
      <c r="PR17" s="3119">
        <f t="shared" si="446"/>
        <v>45979.87499999896</v>
      </c>
      <c r="PS17" s="3119">
        <f t="shared" si="447"/>
        <v>45979.916666665624</v>
      </c>
      <c r="PT17" s="3119">
        <f t="shared" si="448"/>
        <v>45979.958333332288</v>
      </c>
      <c r="PU17" s="3119">
        <f t="shared" si="449"/>
        <v>45979.999999998952</v>
      </c>
      <c r="PV17" s="3119">
        <f t="shared" si="450"/>
        <v>45980.041666665617</v>
      </c>
      <c r="PW17" s="3119">
        <f t="shared" si="451"/>
        <v>45980.083333332281</v>
      </c>
      <c r="PX17" s="3119">
        <f t="shared" si="452"/>
        <v>45980.124999998945</v>
      </c>
      <c r="PY17" s="3119">
        <f t="shared" si="453"/>
        <v>45980.166666665609</v>
      </c>
      <c r="PZ17" s="3119">
        <f t="shared" si="454"/>
        <v>45980.208333332273</v>
      </c>
      <c r="QA17" s="3119">
        <f t="shared" si="455"/>
        <v>45980.249999998938</v>
      </c>
      <c r="QB17" s="3119">
        <f t="shared" si="456"/>
        <v>45980.291666665602</v>
      </c>
      <c r="QC17" s="3119">
        <f t="shared" si="457"/>
        <v>45980.333333332266</v>
      </c>
      <c r="QD17" s="3119">
        <f t="shared" si="458"/>
        <v>45980.37499999893</v>
      </c>
      <c r="QE17" s="3119">
        <f t="shared" si="459"/>
        <v>45980.416666665595</v>
      </c>
      <c r="QF17" s="3119">
        <f t="shared" si="460"/>
        <v>45980.458333332259</v>
      </c>
      <c r="QG17" s="3119">
        <f t="shared" si="461"/>
        <v>45980.499999998923</v>
      </c>
      <c r="QH17" s="3119">
        <f t="shared" si="462"/>
        <v>45980.541666665587</v>
      </c>
      <c r="QI17" s="3119">
        <f t="shared" si="463"/>
        <v>45980.583333332252</v>
      </c>
      <c r="QJ17" s="3119">
        <f t="shared" si="464"/>
        <v>45980.624999998916</v>
      </c>
      <c r="QK17" s="3119">
        <f t="shared" si="465"/>
        <v>45980.66666666558</v>
      </c>
      <c r="QL17" s="3119">
        <f t="shared" si="20"/>
        <v>45980.708333332244</v>
      </c>
      <c r="QM17" s="3119">
        <f t="shared" si="466"/>
        <v>45980.749999998909</v>
      </c>
      <c r="QN17" s="3119">
        <f t="shared" si="467"/>
        <v>45980.791666665573</v>
      </c>
      <c r="QO17" s="3119">
        <f t="shared" si="468"/>
        <v>45980.833333332237</v>
      </c>
      <c r="QP17" s="3119">
        <f t="shared" si="469"/>
        <v>45980.874999998901</v>
      </c>
      <c r="QQ17" s="3119">
        <f t="shared" si="470"/>
        <v>45980.916666665566</v>
      </c>
      <c r="QR17" s="3119">
        <f t="shared" si="471"/>
        <v>45980.95833333223</v>
      </c>
      <c r="QS17" s="3119">
        <f t="shared" si="472"/>
        <v>45980.999999998894</v>
      </c>
      <c r="QT17" s="3119">
        <f t="shared" si="473"/>
        <v>45981.041666665558</v>
      </c>
      <c r="QU17" s="3119">
        <f t="shared" si="474"/>
        <v>45981.083333332223</v>
      </c>
      <c r="QV17" s="3119">
        <f t="shared" si="475"/>
        <v>45981.124999998887</v>
      </c>
      <c r="QW17" s="3119">
        <f t="shared" si="476"/>
        <v>45981.166666665551</v>
      </c>
      <c r="QX17" s="3119">
        <f t="shared" si="477"/>
        <v>45981.208333332215</v>
      </c>
      <c r="QY17" s="3119">
        <f t="shared" si="478"/>
        <v>45981.24999999888</v>
      </c>
      <c r="QZ17" s="3119">
        <f t="shared" si="479"/>
        <v>45981.291666665544</v>
      </c>
      <c r="RA17" s="3119">
        <f t="shared" si="480"/>
        <v>45981.333333332208</v>
      </c>
      <c r="RB17" s="3119">
        <f t="shared" si="481"/>
        <v>45981.374999998872</v>
      </c>
      <c r="RC17" s="3119">
        <f t="shared" si="482"/>
        <v>45981.416666665536</v>
      </c>
      <c r="RD17" s="3119">
        <f t="shared" si="483"/>
        <v>45981.458333332201</v>
      </c>
      <c r="RE17" s="3119">
        <f t="shared" si="484"/>
        <v>45981.499999998865</v>
      </c>
      <c r="RF17" s="3119">
        <f t="shared" si="485"/>
        <v>45981.541666665529</v>
      </c>
      <c r="RG17" s="3119">
        <f t="shared" si="486"/>
        <v>45981.583333332193</v>
      </c>
      <c r="RH17" s="3119">
        <f t="shared" si="487"/>
        <v>45981.624999998858</v>
      </c>
      <c r="RI17" s="3119">
        <f t="shared" si="488"/>
        <v>45981.666666665522</v>
      </c>
      <c r="RJ17" s="3119">
        <f t="shared" si="489"/>
        <v>45981.708333332186</v>
      </c>
      <c r="RK17" s="3119">
        <f t="shared" si="490"/>
        <v>45981.74999999885</v>
      </c>
      <c r="RL17" s="3119">
        <f t="shared" si="491"/>
        <v>45981.791666665515</v>
      </c>
      <c r="RM17" s="3119">
        <f t="shared" si="492"/>
        <v>45981.833333332179</v>
      </c>
      <c r="RN17" s="3119">
        <f t="shared" si="493"/>
        <v>45981.874999998843</v>
      </c>
      <c r="RO17" s="3119">
        <f t="shared" si="494"/>
        <v>45981.916666665507</v>
      </c>
      <c r="RP17" s="3119">
        <f t="shared" si="495"/>
        <v>45981.958333332172</v>
      </c>
      <c r="RQ17" s="3119">
        <f t="shared" si="496"/>
        <v>45981.999999998836</v>
      </c>
      <c r="RR17" s="3119">
        <f t="shared" si="497"/>
        <v>45982.0416666655</v>
      </c>
      <c r="RS17" s="3119">
        <f t="shared" si="498"/>
        <v>45982.083333332164</v>
      </c>
      <c r="RT17" s="3119">
        <f t="shared" si="499"/>
        <v>45982.124999998829</v>
      </c>
      <c r="RU17" s="3119">
        <f t="shared" si="500"/>
        <v>45982.166666665493</v>
      </c>
      <c r="RV17" s="3119">
        <f t="shared" si="501"/>
        <v>45982.208333332157</v>
      </c>
      <c r="RW17" s="3119">
        <f t="shared" si="502"/>
        <v>45982.249999998821</v>
      </c>
      <c r="RX17" s="3119">
        <f t="shared" si="503"/>
        <v>45982.291666665486</v>
      </c>
      <c r="RY17" s="3119">
        <f t="shared" si="504"/>
        <v>45982.33333333215</v>
      </c>
      <c r="RZ17" s="3119">
        <f t="shared" si="505"/>
        <v>45982.374999998814</v>
      </c>
      <c r="SA17" s="3119">
        <f t="shared" si="506"/>
        <v>45982.416666665478</v>
      </c>
      <c r="SB17" s="3119">
        <f t="shared" si="507"/>
        <v>45982.458333332143</v>
      </c>
      <c r="SC17" s="3119">
        <f t="shared" si="508"/>
        <v>45982.499999998807</v>
      </c>
      <c r="SD17" s="3119">
        <f t="shared" si="509"/>
        <v>45982.541666665471</v>
      </c>
      <c r="SE17" s="3119">
        <f t="shared" si="510"/>
        <v>45982.583333332135</v>
      </c>
      <c r="SF17" s="3119">
        <f t="shared" si="511"/>
        <v>45982.624999998799</v>
      </c>
      <c r="SG17" s="3119">
        <f t="shared" si="512"/>
        <v>45982.666666665464</v>
      </c>
      <c r="SH17" s="3119">
        <f t="shared" si="513"/>
        <v>45982.708333332128</v>
      </c>
      <c r="SI17" s="3119">
        <f t="shared" si="514"/>
        <v>45982.749999998792</v>
      </c>
      <c r="SJ17" s="3119">
        <f t="shared" si="515"/>
        <v>45982.791666665456</v>
      </c>
      <c r="SK17" s="3119">
        <f t="shared" si="516"/>
        <v>45982.833333332121</v>
      </c>
      <c r="SL17" s="3119">
        <f t="shared" si="517"/>
        <v>45982.874999998785</v>
      </c>
      <c r="SM17" s="3119">
        <f t="shared" si="518"/>
        <v>45982.916666665449</v>
      </c>
      <c r="SN17" s="3119">
        <f t="shared" si="519"/>
        <v>45982.958333332113</v>
      </c>
      <c r="SO17" s="3119">
        <f t="shared" si="520"/>
        <v>45982.999999998778</v>
      </c>
      <c r="SP17" s="3119">
        <f t="shared" si="521"/>
        <v>45983.041666665442</v>
      </c>
      <c r="SQ17" s="3119">
        <f t="shared" si="522"/>
        <v>45983.083333332106</v>
      </c>
      <c r="SR17" s="3119">
        <f t="shared" si="523"/>
        <v>45983.12499999877</v>
      </c>
      <c r="SS17" s="3119">
        <f t="shared" si="524"/>
        <v>45983.166666665435</v>
      </c>
      <c r="ST17" s="3119">
        <f t="shared" si="525"/>
        <v>45983.208333332099</v>
      </c>
      <c r="SU17" s="3119">
        <f t="shared" si="526"/>
        <v>45983.249999998763</v>
      </c>
      <c r="SV17" s="3119">
        <f t="shared" si="527"/>
        <v>45983.291666665427</v>
      </c>
      <c r="SW17" s="3119">
        <f t="shared" si="528"/>
        <v>45983.333333332092</v>
      </c>
      <c r="SX17" s="3119">
        <f t="shared" si="21"/>
        <v>45983.374999998756</v>
      </c>
      <c r="SY17" s="3119">
        <f t="shared" si="529"/>
        <v>45983.41666666542</v>
      </c>
      <c r="SZ17" s="3119">
        <f t="shared" si="530"/>
        <v>45983.458333332084</v>
      </c>
      <c r="TA17" s="3119">
        <f t="shared" si="531"/>
        <v>45983.499999998749</v>
      </c>
      <c r="TB17" s="3119">
        <f t="shared" si="532"/>
        <v>45983.541666665413</v>
      </c>
      <c r="TC17" s="3119">
        <f t="shared" si="533"/>
        <v>45983.583333332077</v>
      </c>
      <c r="TD17" s="3119">
        <f t="shared" si="534"/>
        <v>45983.624999998741</v>
      </c>
      <c r="TE17" s="3119">
        <f t="shared" si="535"/>
        <v>45983.666666665406</v>
      </c>
      <c r="TF17" s="3119">
        <f t="shared" si="536"/>
        <v>45983.70833333207</v>
      </c>
      <c r="TG17" s="3119">
        <f t="shared" si="537"/>
        <v>45983.749999998734</v>
      </c>
      <c r="TH17" s="3119">
        <f t="shared" si="538"/>
        <v>45983.791666665398</v>
      </c>
      <c r="TI17" s="3119">
        <f t="shared" si="539"/>
        <v>45983.833333332062</v>
      </c>
      <c r="TJ17" s="3119">
        <f t="shared" si="540"/>
        <v>45983.874999998727</v>
      </c>
      <c r="TK17" s="3119">
        <f t="shared" si="541"/>
        <v>45983.916666665391</v>
      </c>
      <c r="TL17" s="3119">
        <f t="shared" si="542"/>
        <v>45983.958333332055</v>
      </c>
      <c r="TM17" s="3119">
        <f t="shared" si="543"/>
        <v>45983.999999998719</v>
      </c>
      <c r="TN17" s="3119">
        <f t="shared" si="544"/>
        <v>45984.041666665384</v>
      </c>
      <c r="TO17" s="3119">
        <f t="shared" si="545"/>
        <v>45984.083333332048</v>
      </c>
      <c r="TP17" s="3119">
        <f t="shared" si="546"/>
        <v>45984.124999998712</v>
      </c>
      <c r="TQ17" s="3119">
        <f t="shared" si="547"/>
        <v>45984.166666665376</v>
      </c>
      <c r="TR17" s="3119">
        <f t="shared" si="548"/>
        <v>45984.208333332041</v>
      </c>
      <c r="TS17" s="3119">
        <f t="shared" si="549"/>
        <v>45984.249999998705</v>
      </c>
      <c r="TT17" s="3119">
        <f t="shared" si="550"/>
        <v>45984.291666665369</v>
      </c>
      <c r="TU17" s="3119">
        <f t="shared" si="551"/>
        <v>45984.333333332033</v>
      </c>
      <c r="TV17" s="3119">
        <f t="shared" si="552"/>
        <v>45984.374999998698</v>
      </c>
      <c r="TW17" s="3119">
        <f t="shared" si="553"/>
        <v>45984.416666665362</v>
      </c>
      <c r="TX17" s="3119">
        <f t="shared" si="554"/>
        <v>45984.458333332026</v>
      </c>
      <c r="TY17" s="3119">
        <f t="shared" si="555"/>
        <v>45984.49999999869</v>
      </c>
      <c r="TZ17" s="3119">
        <f t="shared" si="556"/>
        <v>45984.541666665355</v>
      </c>
      <c r="UA17" s="3119">
        <f t="shared" si="557"/>
        <v>45984.583333332019</v>
      </c>
      <c r="UB17" s="3119">
        <f t="shared" si="558"/>
        <v>45984.624999998683</v>
      </c>
      <c r="UC17" s="3119">
        <f t="shared" si="559"/>
        <v>45984.666666665347</v>
      </c>
      <c r="UD17" s="3119">
        <f t="shared" si="560"/>
        <v>45984.708333332012</v>
      </c>
      <c r="UE17" s="3119">
        <f t="shared" si="561"/>
        <v>45984.749999998676</v>
      </c>
      <c r="UF17" s="3119">
        <f t="shared" si="562"/>
        <v>45984.79166666534</v>
      </c>
      <c r="UG17" s="3119">
        <f t="shared" si="563"/>
        <v>45984.833333332004</v>
      </c>
      <c r="UH17" s="3119">
        <f t="shared" si="564"/>
        <v>45984.874999998668</v>
      </c>
      <c r="UI17" s="3119">
        <f t="shared" si="565"/>
        <v>45984.916666665333</v>
      </c>
      <c r="UJ17" s="3119">
        <f t="shared" si="566"/>
        <v>45984.958333331997</v>
      </c>
      <c r="UK17" s="3119">
        <f t="shared" si="567"/>
        <v>45984.999999998661</v>
      </c>
      <c r="UL17" s="3119">
        <f t="shared" si="568"/>
        <v>45985.041666665325</v>
      </c>
      <c r="UM17" s="3119">
        <f t="shared" si="569"/>
        <v>45985.08333333199</v>
      </c>
      <c r="UN17" s="3119">
        <f t="shared" si="570"/>
        <v>45985.124999998654</v>
      </c>
      <c r="UO17" s="3119">
        <f t="shared" si="571"/>
        <v>45985.166666665318</v>
      </c>
      <c r="UP17" s="3119">
        <f t="shared" si="572"/>
        <v>45985.208333331982</v>
      </c>
      <c r="UQ17" s="3119">
        <f t="shared" si="573"/>
        <v>45985.249999998647</v>
      </c>
      <c r="UR17" s="3119">
        <f t="shared" si="574"/>
        <v>45985.291666665311</v>
      </c>
      <c r="US17" s="3119">
        <f t="shared" si="575"/>
        <v>45985.333333331975</v>
      </c>
      <c r="UT17" s="3119">
        <f t="shared" si="576"/>
        <v>45985.374999998639</v>
      </c>
      <c r="UU17" s="3119">
        <f t="shared" si="577"/>
        <v>45985.416666665304</v>
      </c>
      <c r="UV17" s="3119">
        <f t="shared" si="578"/>
        <v>45985.458333331968</v>
      </c>
      <c r="UW17" s="3119">
        <f t="shared" si="579"/>
        <v>45985.499999998632</v>
      </c>
      <c r="UX17" s="3119">
        <f t="shared" si="580"/>
        <v>45985.541666665296</v>
      </c>
      <c r="UY17" s="3119">
        <f t="shared" si="581"/>
        <v>45985.583333331961</v>
      </c>
      <c r="UZ17" s="3119">
        <f t="shared" si="582"/>
        <v>45985.624999998625</v>
      </c>
      <c r="VA17" s="3119">
        <f t="shared" si="583"/>
        <v>45985.666666665289</v>
      </c>
      <c r="VB17" s="3119">
        <f t="shared" si="584"/>
        <v>45985.708333331953</v>
      </c>
      <c r="VC17" s="3119">
        <f t="shared" si="585"/>
        <v>45985.749999998618</v>
      </c>
      <c r="VD17" s="3119">
        <f t="shared" si="586"/>
        <v>45985.791666665282</v>
      </c>
      <c r="VE17" s="3119">
        <f t="shared" si="587"/>
        <v>45985.833333331946</v>
      </c>
      <c r="VF17" s="3119">
        <f t="shared" si="588"/>
        <v>45985.87499999861</v>
      </c>
      <c r="VG17" s="3119">
        <f t="shared" si="589"/>
        <v>45985.916666665275</v>
      </c>
      <c r="VH17" s="3119">
        <f t="shared" si="590"/>
        <v>45985.958333331939</v>
      </c>
      <c r="VI17" s="3119">
        <f t="shared" si="591"/>
        <v>45985.999999998603</v>
      </c>
      <c r="VJ17" s="3119">
        <f t="shared" si="22"/>
        <v>45986.041666665267</v>
      </c>
      <c r="VK17" s="3119">
        <f t="shared" si="592"/>
        <v>45986.083333331931</v>
      </c>
      <c r="VL17" s="3119">
        <f t="shared" si="593"/>
        <v>45986.124999998596</v>
      </c>
      <c r="VM17" s="3119">
        <f t="shared" si="594"/>
        <v>45986.16666666526</v>
      </c>
      <c r="VN17" s="3119">
        <f t="shared" si="595"/>
        <v>45986.208333331924</v>
      </c>
      <c r="VO17" s="3119">
        <f t="shared" si="596"/>
        <v>45986.249999998588</v>
      </c>
      <c r="VP17" s="3119">
        <f t="shared" si="597"/>
        <v>45986.291666665253</v>
      </c>
      <c r="VQ17" s="3119">
        <f t="shared" si="598"/>
        <v>45986.333333331917</v>
      </c>
      <c r="VR17" s="3119">
        <f t="shared" si="599"/>
        <v>45986.374999998581</v>
      </c>
      <c r="VS17" s="3119">
        <f t="shared" si="600"/>
        <v>45986.416666665245</v>
      </c>
      <c r="VT17" s="3119">
        <f t="shared" si="601"/>
        <v>45986.45833333191</v>
      </c>
      <c r="VU17" s="3119">
        <f t="shared" si="602"/>
        <v>45986.499999998574</v>
      </c>
      <c r="VV17" s="3119">
        <f t="shared" si="603"/>
        <v>45986.541666665238</v>
      </c>
      <c r="VW17" s="3119">
        <f t="shared" si="604"/>
        <v>45986.583333331902</v>
      </c>
      <c r="VX17" s="3119">
        <f t="shared" si="605"/>
        <v>45986.624999998567</v>
      </c>
      <c r="VY17" s="3119">
        <f t="shared" si="606"/>
        <v>45986.666666665231</v>
      </c>
      <c r="VZ17" s="3119">
        <f t="shared" si="607"/>
        <v>45986.708333331895</v>
      </c>
      <c r="WA17" s="3119">
        <f t="shared" si="608"/>
        <v>45986.749999998559</v>
      </c>
      <c r="WB17" s="3119">
        <f t="shared" si="609"/>
        <v>45986.791666665224</v>
      </c>
      <c r="WC17" s="3119">
        <f t="shared" si="610"/>
        <v>45986.833333331888</v>
      </c>
      <c r="WD17" s="3119">
        <f t="shared" si="611"/>
        <v>45986.874999998552</v>
      </c>
      <c r="WE17" s="3119">
        <f t="shared" si="612"/>
        <v>45986.916666665216</v>
      </c>
      <c r="WF17" s="3119">
        <f t="shared" si="613"/>
        <v>45986.958333331881</v>
      </c>
      <c r="WG17" s="3119">
        <f t="shared" si="614"/>
        <v>45986.999999998545</v>
      </c>
      <c r="WH17" s="3119">
        <f t="shared" si="615"/>
        <v>45987.041666665209</v>
      </c>
      <c r="WI17" s="3119">
        <f t="shared" si="616"/>
        <v>45987.083333331873</v>
      </c>
      <c r="WJ17" s="3119">
        <f t="shared" si="617"/>
        <v>45987.124999998538</v>
      </c>
      <c r="WK17" s="3119">
        <f t="shared" si="618"/>
        <v>45987.166666665202</v>
      </c>
      <c r="WL17" s="3119">
        <f t="shared" si="619"/>
        <v>45987.208333331866</v>
      </c>
      <c r="WM17" s="3119">
        <f t="shared" si="620"/>
        <v>45987.24999999853</v>
      </c>
      <c r="WN17" s="3119">
        <f t="shared" si="621"/>
        <v>45987.291666665194</v>
      </c>
      <c r="WO17" s="3119">
        <f t="shared" si="622"/>
        <v>45987.333333331859</v>
      </c>
      <c r="WP17" s="3119">
        <f t="shared" si="623"/>
        <v>45987.374999998523</v>
      </c>
      <c r="WQ17" s="3119">
        <f t="shared" si="624"/>
        <v>45987.416666665187</v>
      </c>
      <c r="WR17" s="3119">
        <f t="shared" si="625"/>
        <v>45987.458333331851</v>
      </c>
      <c r="WS17" s="3119">
        <f t="shared" si="626"/>
        <v>45987.499999998516</v>
      </c>
      <c r="WT17" s="3119">
        <f t="shared" si="627"/>
        <v>45987.54166666518</v>
      </c>
      <c r="WU17" s="3119">
        <f t="shared" si="628"/>
        <v>45987.583333331844</v>
      </c>
      <c r="WV17" s="3119">
        <f t="shared" si="629"/>
        <v>45987.624999998508</v>
      </c>
      <c r="WW17" s="3119">
        <f t="shared" si="630"/>
        <v>45987.666666665173</v>
      </c>
      <c r="WX17" s="3119">
        <f t="shared" si="631"/>
        <v>45987.708333331837</v>
      </c>
      <c r="WY17" s="3119">
        <f t="shared" si="632"/>
        <v>45987.749999998501</v>
      </c>
      <c r="WZ17" s="3119">
        <f t="shared" si="633"/>
        <v>45987.791666665165</v>
      </c>
      <c r="XA17" s="3119">
        <f t="shared" si="634"/>
        <v>45987.83333333183</v>
      </c>
      <c r="XB17" s="3119">
        <f t="shared" si="635"/>
        <v>45987.874999998494</v>
      </c>
      <c r="XC17" s="3119">
        <f t="shared" si="636"/>
        <v>45987.916666665158</v>
      </c>
      <c r="XD17" s="3119">
        <f t="shared" si="637"/>
        <v>45987.958333331822</v>
      </c>
      <c r="XE17" s="3119">
        <f t="shared" si="638"/>
        <v>45987.999999998487</v>
      </c>
      <c r="XF17" s="3119">
        <f t="shared" si="639"/>
        <v>45988.041666665151</v>
      </c>
      <c r="XG17" s="3119">
        <f t="shared" si="640"/>
        <v>45988.083333331815</v>
      </c>
      <c r="XH17" s="3119">
        <f t="shared" si="641"/>
        <v>45988.124999998479</v>
      </c>
      <c r="XI17" s="3119">
        <f t="shared" si="642"/>
        <v>45988.166666665144</v>
      </c>
      <c r="XJ17" s="3119">
        <f t="shared" si="643"/>
        <v>45988.208333331808</v>
      </c>
      <c r="XK17" s="3119">
        <f t="shared" si="644"/>
        <v>45988.249999998472</v>
      </c>
      <c r="XL17" s="3119">
        <f t="shared" si="645"/>
        <v>45988.291666665136</v>
      </c>
      <c r="XM17" s="3119">
        <f t="shared" si="646"/>
        <v>45988.333333331801</v>
      </c>
      <c r="XN17" s="3119">
        <f t="shared" si="647"/>
        <v>45988.374999998465</v>
      </c>
      <c r="XO17" s="3119">
        <f t="shared" si="648"/>
        <v>45988.416666665129</v>
      </c>
      <c r="XP17" s="3119">
        <f t="shared" si="649"/>
        <v>45988.458333331793</v>
      </c>
      <c r="XQ17" s="3119">
        <f t="shared" si="650"/>
        <v>45988.499999998457</v>
      </c>
      <c r="XR17" s="3119">
        <f t="shared" si="651"/>
        <v>45988.541666665122</v>
      </c>
      <c r="XS17" s="3119">
        <f t="shared" si="652"/>
        <v>45988.583333331786</v>
      </c>
      <c r="XT17" s="3119">
        <f t="shared" si="653"/>
        <v>45988.62499999845</v>
      </c>
      <c r="XU17" s="3119">
        <f t="shared" si="654"/>
        <v>45988.666666665114</v>
      </c>
      <c r="XV17" s="3119">
        <f t="shared" si="23"/>
        <v>45988.708333331779</v>
      </c>
      <c r="XW17" s="3119">
        <f t="shared" si="655"/>
        <v>45988.749999998443</v>
      </c>
      <c r="XX17" s="3119">
        <f t="shared" si="656"/>
        <v>45988.791666665107</v>
      </c>
      <c r="XY17" s="3119">
        <f t="shared" si="657"/>
        <v>45988.833333331771</v>
      </c>
      <c r="XZ17" s="3119">
        <f t="shared" si="658"/>
        <v>45988.874999998436</v>
      </c>
      <c r="YA17" s="3119">
        <f t="shared" si="659"/>
        <v>45988.9166666651</v>
      </c>
      <c r="YB17" s="3119">
        <f t="shared" si="660"/>
        <v>45988.958333331764</v>
      </c>
      <c r="YC17" s="3119">
        <f t="shared" si="661"/>
        <v>45988.999999998428</v>
      </c>
      <c r="YD17" s="3119">
        <f t="shared" si="662"/>
        <v>45989.041666665093</v>
      </c>
      <c r="YE17" s="3119">
        <f t="shared" si="663"/>
        <v>45989.083333331757</v>
      </c>
      <c r="YF17" s="3119">
        <f t="shared" si="664"/>
        <v>45989.124999998421</v>
      </c>
      <c r="YG17" s="3119">
        <f t="shared" si="665"/>
        <v>45989.166666665085</v>
      </c>
      <c r="YH17" s="3119">
        <f t="shared" si="666"/>
        <v>45989.20833333175</v>
      </c>
      <c r="YI17" s="3119">
        <f t="shared" si="667"/>
        <v>45989.249999998414</v>
      </c>
      <c r="YJ17" s="3119">
        <f t="shared" si="668"/>
        <v>45989.291666665078</v>
      </c>
      <c r="YK17" s="3119">
        <f t="shared" si="669"/>
        <v>45989.333333331742</v>
      </c>
      <c r="YL17" s="3119">
        <f t="shared" si="670"/>
        <v>45989.374999998407</v>
      </c>
      <c r="YM17" s="3119">
        <f t="shared" si="671"/>
        <v>45989.416666665071</v>
      </c>
      <c r="YN17" s="3119">
        <f t="shared" si="672"/>
        <v>45989.458333331735</v>
      </c>
      <c r="YO17" s="3119">
        <f t="shared" si="673"/>
        <v>45989.499999998399</v>
      </c>
      <c r="YP17" s="3119">
        <f t="shared" si="674"/>
        <v>45989.541666665064</v>
      </c>
      <c r="YQ17" s="3119">
        <f t="shared" si="675"/>
        <v>45989.583333331728</v>
      </c>
      <c r="YR17" s="3119">
        <f t="shared" si="676"/>
        <v>45989.624999998392</v>
      </c>
      <c r="YS17" s="3119">
        <f t="shared" si="677"/>
        <v>45989.666666665056</v>
      </c>
      <c r="YT17" s="3119">
        <f t="shared" si="678"/>
        <v>45989.70833333172</v>
      </c>
      <c r="YU17" s="3119">
        <f t="shared" si="679"/>
        <v>45989.749999998385</v>
      </c>
      <c r="YV17" s="3119">
        <f t="shared" si="680"/>
        <v>45989.791666665049</v>
      </c>
      <c r="YW17" s="3119">
        <f t="shared" si="681"/>
        <v>45989.833333331713</v>
      </c>
      <c r="YX17" s="3119">
        <f t="shared" si="682"/>
        <v>45989.874999998377</v>
      </c>
      <c r="YY17" s="3119">
        <f t="shared" si="683"/>
        <v>45989.916666665042</v>
      </c>
      <c r="YZ17" s="3119">
        <f t="shared" si="684"/>
        <v>45989.958333331706</v>
      </c>
      <c r="ZA17" s="3119">
        <f t="shared" si="685"/>
        <v>45989.99999999837</v>
      </c>
      <c r="ZB17" s="3119">
        <f t="shared" si="686"/>
        <v>45990.041666665034</v>
      </c>
      <c r="ZC17" s="3119">
        <f t="shared" si="687"/>
        <v>45990.083333331699</v>
      </c>
      <c r="ZD17" s="3119">
        <f t="shared" si="688"/>
        <v>45990.124999998363</v>
      </c>
      <c r="ZE17" s="3119">
        <f t="shared" si="689"/>
        <v>45990.166666665027</v>
      </c>
      <c r="ZF17" s="3119">
        <f t="shared" si="690"/>
        <v>45990.208333331691</v>
      </c>
      <c r="ZG17" s="3119">
        <f t="shared" si="691"/>
        <v>45990.249999998356</v>
      </c>
      <c r="ZH17" s="3119">
        <f t="shared" si="692"/>
        <v>45990.29166666502</v>
      </c>
      <c r="ZI17" s="3119">
        <f t="shared" si="693"/>
        <v>45990.333333331684</v>
      </c>
      <c r="ZJ17" s="3119">
        <f t="shared" si="694"/>
        <v>45990.374999998348</v>
      </c>
      <c r="ZK17" s="3119">
        <f t="shared" si="695"/>
        <v>45990.416666665013</v>
      </c>
      <c r="ZL17" s="3119">
        <f t="shared" si="696"/>
        <v>45990.458333331677</v>
      </c>
      <c r="ZM17" s="3119">
        <f t="shared" si="697"/>
        <v>45990.499999998341</v>
      </c>
      <c r="ZN17" s="3119">
        <f t="shared" si="698"/>
        <v>45990.541666665005</v>
      </c>
      <c r="ZO17" s="3119">
        <f t="shared" si="699"/>
        <v>45990.58333333167</v>
      </c>
      <c r="ZP17" s="3119">
        <f t="shared" si="700"/>
        <v>45990.624999998334</v>
      </c>
      <c r="ZQ17" s="3119">
        <f t="shared" si="701"/>
        <v>45990.666666664998</v>
      </c>
      <c r="ZR17" s="3119">
        <f t="shared" si="702"/>
        <v>45990.708333331662</v>
      </c>
      <c r="ZS17" s="3119">
        <f t="shared" si="703"/>
        <v>45990.749999998327</v>
      </c>
      <c r="ZT17" s="3119">
        <f t="shared" si="704"/>
        <v>45990.791666664991</v>
      </c>
      <c r="ZU17" s="3119">
        <f t="shared" si="705"/>
        <v>45990.833333331655</v>
      </c>
      <c r="ZV17" s="3119">
        <f t="shared" si="706"/>
        <v>45990.874999998319</v>
      </c>
      <c r="ZW17" s="3119">
        <f t="shared" si="707"/>
        <v>45990.916666664983</v>
      </c>
      <c r="ZX17" s="3119">
        <f t="shared" si="708"/>
        <v>45990.958333331648</v>
      </c>
      <c r="ZY17" s="3119">
        <f t="shared" si="709"/>
        <v>45990.999999998312</v>
      </c>
      <c r="ZZ17" s="3119">
        <f t="shared" si="710"/>
        <v>45991.041666664976</v>
      </c>
      <c r="AAA17" s="3119">
        <f t="shared" si="711"/>
        <v>45991.08333333164</v>
      </c>
      <c r="AAB17" s="3119">
        <f t="shared" si="712"/>
        <v>45991.124999998305</v>
      </c>
      <c r="AAC17" s="3119">
        <f t="shared" si="713"/>
        <v>45991.166666664969</v>
      </c>
      <c r="AAD17" s="3119">
        <f t="shared" si="714"/>
        <v>45991.208333331633</v>
      </c>
      <c r="AAE17" s="3119">
        <f t="shared" si="715"/>
        <v>45991.249999998297</v>
      </c>
      <c r="AAF17" s="3119">
        <f t="shared" si="716"/>
        <v>45991.291666664962</v>
      </c>
      <c r="AAG17" s="3119">
        <f t="shared" si="717"/>
        <v>45991.333333331626</v>
      </c>
      <c r="AAH17" s="3119">
        <f t="shared" si="24"/>
        <v>45991.37499999829</v>
      </c>
      <c r="AAI17" s="3119">
        <f t="shared" si="12"/>
        <v>45991.416666664954</v>
      </c>
      <c r="AAJ17" s="3119">
        <f t="shared" si="12"/>
        <v>45991.458333331619</v>
      </c>
      <c r="AAK17" s="3119">
        <f t="shared" si="12"/>
        <v>45991.499999998283</v>
      </c>
      <c r="AAL17" s="3119">
        <f t="shared" si="12"/>
        <v>45991.541666664947</v>
      </c>
      <c r="AAM17" s="3119">
        <f t="shared" si="12"/>
        <v>45991.583333331611</v>
      </c>
      <c r="AAN17" s="3119">
        <f t="shared" si="12"/>
        <v>45991.624999998276</v>
      </c>
      <c r="AAO17" s="3119">
        <f t="shared" si="12"/>
        <v>45991.66666666494</v>
      </c>
      <c r="AAP17" s="3119">
        <f t="shared" si="12"/>
        <v>45991.708333331604</v>
      </c>
      <c r="AAQ17" s="3119">
        <f t="shared" si="12"/>
        <v>45991.749999998268</v>
      </c>
      <c r="AAR17" s="3119">
        <f t="shared" si="12"/>
        <v>45991.791666664933</v>
      </c>
      <c r="AAS17" s="3119">
        <f t="shared" si="12"/>
        <v>45991.833333331597</v>
      </c>
      <c r="AAT17" s="3119">
        <f t="shared" si="12"/>
        <v>45991.874999998261</v>
      </c>
      <c r="AAU17" s="3119">
        <f t="shared" si="12"/>
        <v>45991.916666664925</v>
      </c>
      <c r="AAV17" s="3119">
        <f t="shared" si="12"/>
        <v>45991.95833333159</v>
      </c>
    </row>
    <row r="18" spans="1:724" s="282" customFormat="1" ht="13">
      <c r="A18" s="3115" t="s">
        <v>349</v>
      </c>
      <c r="B18" s="3119">
        <v>45966.875</v>
      </c>
      <c r="C18" s="3119">
        <v>45967.875</v>
      </c>
      <c r="D18" s="3116">
        <f t="shared" si="0"/>
        <v>24</v>
      </c>
      <c r="E18" s="3119">
        <v>45962</v>
      </c>
      <c r="F18" s="3119">
        <f t="shared" si="13"/>
        <v>45962.041666666664</v>
      </c>
      <c r="G18" s="3119">
        <f t="shared" si="25"/>
        <v>45962.083333333328</v>
      </c>
      <c r="H18" s="3119">
        <f t="shared" si="26"/>
        <v>45962.124999999993</v>
      </c>
      <c r="I18" s="3119">
        <f t="shared" si="27"/>
        <v>45962.166666666657</v>
      </c>
      <c r="J18" s="3119">
        <f t="shared" si="28"/>
        <v>45962.208333333321</v>
      </c>
      <c r="K18" s="3119">
        <f t="shared" si="29"/>
        <v>45962.249999999985</v>
      </c>
      <c r="L18" s="3119">
        <f t="shared" si="30"/>
        <v>45962.29166666665</v>
      </c>
      <c r="M18" s="3119">
        <f t="shared" si="31"/>
        <v>45962.333333333314</v>
      </c>
      <c r="N18" s="3119">
        <f t="shared" si="32"/>
        <v>45962.374999999978</v>
      </c>
      <c r="O18" s="3119">
        <f t="shared" si="33"/>
        <v>45962.416666666642</v>
      </c>
      <c r="P18" s="3119">
        <f t="shared" si="34"/>
        <v>45962.458333333307</v>
      </c>
      <c r="Q18" s="3119">
        <f t="shared" si="35"/>
        <v>45962.499999999971</v>
      </c>
      <c r="R18" s="3119">
        <f t="shared" si="36"/>
        <v>45962.541666666635</v>
      </c>
      <c r="S18" s="3119">
        <f t="shared" si="37"/>
        <v>45962.583333333299</v>
      </c>
      <c r="T18" s="3119">
        <f t="shared" si="38"/>
        <v>45962.624999999964</v>
      </c>
      <c r="U18" s="3119">
        <f t="shared" si="39"/>
        <v>45962.666666666628</v>
      </c>
      <c r="V18" s="3119">
        <f t="shared" si="40"/>
        <v>45962.708333333292</v>
      </c>
      <c r="W18" s="3119">
        <f t="shared" si="41"/>
        <v>45962.749999999956</v>
      </c>
      <c r="X18" s="3119">
        <f t="shared" si="42"/>
        <v>45962.791666666621</v>
      </c>
      <c r="Y18" s="3119">
        <f t="shared" si="43"/>
        <v>45962.833333333285</v>
      </c>
      <c r="Z18" s="3119">
        <f t="shared" si="44"/>
        <v>45962.874999999949</v>
      </c>
      <c r="AA18" s="3119">
        <f t="shared" si="45"/>
        <v>45962.916666666613</v>
      </c>
      <c r="AB18" s="3119">
        <f t="shared" si="46"/>
        <v>45962.958333333278</v>
      </c>
      <c r="AC18" s="3119">
        <f t="shared" si="47"/>
        <v>45962.999999999942</v>
      </c>
      <c r="AD18" s="3119">
        <f t="shared" si="48"/>
        <v>45963.041666666606</v>
      </c>
      <c r="AE18" s="3119">
        <f t="shared" si="49"/>
        <v>45963.08333333327</v>
      </c>
      <c r="AF18" s="3119">
        <f t="shared" si="50"/>
        <v>45963.124999999935</v>
      </c>
      <c r="AG18" s="3119">
        <f t="shared" si="51"/>
        <v>45963.166666666599</v>
      </c>
      <c r="AH18" s="3119">
        <f t="shared" si="52"/>
        <v>45963.208333333263</v>
      </c>
      <c r="AI18" s="3119">
        <f t="shared" si="53"/>
        <v>45963.249999999927</v>
      </c>
      <c r="AJ18" s="3119">
        <f t="shared" si="54"/>
        <v>45963.291666666591</v>
      </c>
      <c r="AK18" s="3119">
        <f t="shared" si="55"/>
        <v>45963.333333333256</v>
      </c>
      <c r="AL18" s="3119">
        <f t="shared" si="56"/>
        <v>45963.37499999992</v>
      </c>
      <c r="AM18" s="3119">
        <f t="shared" si="57"/>
        <v>45963.416666666584</v>
      </c>
      <c r="AN18" s="3119">
        <f t="shared" si="58"/>
        <v>45963.458333333248</v>
      </c>
      <c r="AO18" s="3119">
        <f t="shared" si="59"/>
        <v>45963.499999999913</v>
      </c>
      <c r="AP18" s="3119">
        <f t="shared" si="60"/>
        <v>45963.541666666577</v>
      </c>
      <c r="AQ18" s="3119">
        <f t="shared" si="61"/>
        <v>45963.583333333241</v>
      </c>
      <c r="AR18" s="3119">
        <f t="shared" si="62"/>
        <v>45963.624999999905</v>
      </c>
      <c r="AS18" s="3119">
        <f t="shared" si="63"/>
        <v>45963.66666666657</v>
      </c>
      <c r="AT18" s="3119">
        <f t="shared" si="64"/>
        <v>45963.708333333234</v>
      </c>
      <c r="AU18" s="3119">
        <f t="shared" si="65"/>
        <v>45963.749999999898</v>
      </c>
      <c r="AV18" s="3119">
        <f t="shared" si="66"/>
        <v>45963.791666666562</v>
      </c>
      <c r="AW18" s="3119">
        <f t="shared" si="67"/>
        <v>45963.833333333227</v>
      </c>
      <c r="AX18" s="3119">
        <f t="shared" si="68"/>
        <v>45963.874999999891</v>
      </c>
      <c r="AY18" s="3119">
        <f t="shared" si="69"/>
        <v>45963.916666666555</v>
      </c>
      <c r="AZ18" s="3119">
        <f t="shared" si="70"/>
        <v>45963.958333333219</v>
      </c>
      <c r="BA18" s="3119">
        <f t="shared" si="71"/>
        <v>45963.999999999884</v>
      </c>
      <c r="BB18" s="3119">
        <f t="shared" si="72"/>
        <v>45964.041666666548</v>
      </c>
      <c r="BC18" s="3119">
        <f t="shared" si="73"/>
        <v>45964.083333333212</v>
      </c>
      <c r="BD18" s="3119">
        <f t="shared" si="74"/>
        <v>45964.124999999876</v>
      </c>
      <c r="BE18" s="3119">
        <f t="shared" si="75"/>
        <v>45964.166666666541</v>
      </c>
      <c r="BF18" s="3119">
        <f t="shared" si="76"/>
        <v>45964.208333333205</v>
      </c>
      <c r="BG18" s="3119">
        <f t="shared" si="77"/>
        <v>45964.249999999869</v>
      </c>
      <c r="BH18" s="3119">
        <f t="shared" si="78"/>
        <v>45964.291666666533</v>
      </c>
      <c r="BI18" s="3119">
        <f t="shared" si="79"/>
        <v>45964.333333333198</v>
      </c>
      <c r="BJ18" s="3119">
        <f t="shared" si="80"/>
        <v>45964.374999999862</v>
      </c>
      <c r="BK18" s="3119">
        <f t="shared" si="81"/>
        <v>45964.416666666526</v>
      </c>
      <c r="BL18" s="3119">
        <f t="shared" si="82"/>
        <v>45964.45833333319</v>
      </c>
      <c r="BM18" s="3119">
        <f t="shared" si="83"/>
        <v>45964.499999999854</v>
      </c>
      <c r="BN18" s="3119">
        <f t="shared" si="84"/>
        <v>45964.541666666519</v>
      </c>
      <c r="BO18" s="3119">
        <f t="shared" si="85"/>
        <v>45964.583333333183</v>
      </c>
      <c r="BP18" s="3119">
        <f t="shared" si="86"/>
        <v>45964.624999999847</v>
      </c>
      <c r="BQ18" s="3119">
        <f t="shared" si="87"/>
        <v>45964.666666666511</v>
      </c>
      <c r="BR18" s="3119">
        <f t="shared" si="14"/>
        <v>45964.708333333176</v>
      </c>
      <c r="BS18" s="3119">
        <f t="shared" si="88"/>
        <v>45964.74999999984</v>
      </c>
      <c r="BT18" s="3119">
        <f t="shared" si="89"/>
        <v>45964.791666666504</v>
      </c>
      <c r="BU18" s="3119">
        <f t="shared" si="90"/>
        <v>45964.833333333168</v>
      </c>
      <c r="BV18" s="3119">
        <f t="shared" si="91"/>
        <v>45964.874999999833</v>
      </c>
      <c r="BW18" s="3119">
        <f t="shared" si="92"/>
        <v>45964.916666666497</v>
      </c>
      <c r="BX18" s="3119">
        <f t="shared" si="93"/>
        <v>45964.958333333161</v>
      </c>
      <c r="BY18" s="3119">
        <f t="shared" si="94"/>
        <v>45964.999999999825</v>
      </c>
      <c r="BZ18" s="3119">
        <f t="shared" si="95"/>
        <v>45965.04166666649</v>
      </c>
      <c r="CA18" s="3119">
        <f t="shared" si="96"/>
        <v>45965.083333333154</v>
      </c>
      <c r="CB18" s="3119">
        <f t="shared" si="97"/>
        <v>45965.124999999818</v>
      </c>
      <c r="CC18" s="3119">
        <f t="shared" si="98"/>
        <v>45965.166666666482</v>
      </c>
      <c r="CD18" s="3119">
        <f t="shared" si="99"/>
        <v>45965.208333333147</v>
      </c>
      <c r="CE18" s="3119">
        <f t="shared" si="100"/>
        <v>45965.249999999811</v>
      </c>
      <c r="CF18" s="3119">
        <f t="shared" si="101"/>
        <v>45965.291666666475</v>
      </c>
      <c r="CG18" s="3119">
        <f t="shared" si="102"/>
        <v>45965.333333333139</v>
      </c>
      <c r="CH18" s="3119">
        <f t="shared" si="103"/>
        <v>45965.374999999804</v>
      </c>
      <c r="CI18" s="3119">
        <f t="shared" si="104"/>
        <v>45965.416666666468</v>
      </c>
      <c r="CJ18" s="3119">
        <f t="shared" si="105"/>
        <v>45965.458333333132</v>
      </c>
      <c r="CK18" s="3119">
        <f t="shared" si="106"/>
        <v>45965.499999999796</v>
      </c>
      <c r="CL18" s="3119">
        <f t="shared" si="107"/>
        <v>45965.541666666461</v>
      </c>
      <c r="CM18" s="3119">
        <f t="shared" si="108"/>
        <v>45965.583333333125</v>
      </c>
      <c r="CN18" s="3119">
        <f t="shared" si="109"/>
        <v>45965.624999999789</v>
      </c>
      <c r="CO18" s="3119">
        <f t="shared" si="110"/>
        <v>45965.666666666453</v>
      </c>
      <c r="CP18" s="3119">
        <f t="shared" si="111"/>
        <v>45965.708333333117</v>
      </c>
      <c r="CQ18" s="3119">
        <f t="shared" si="112"/>
        <v>45965.749999999782</v>
      </c>
      <c r="CR18" s="3119">
        <f t="shared" si="113"/>
        <v>45965.791666666446</v>
      </c>
      <c r="CS18" s="3119">
        <f t="shared" si="114"/>
        <v>45965.83333333311</v>
      </c>
      <c r="CT18" s="3119">
        <f t="shared" si="115"/>
        <v>45965.874999999774</v>
      </c>
      <c r="CU18" s="3119">
        <f t="shared" si="116"/>
        <v>45965.916666666439</v>
      </c>
      <c r="CV18" s="3119">
        <f t="shared" si="117"/>
        <v>45965.958333333103</v>
      </c>
      <c r="CW18" s="3119">
        <f t="shared" si="118"/>
        <v>45965.999999999767</v>
      </c>
      <c r="CX18" s="3119">
        <f t="shared" si="119"/>
        <v>45966.041666666431</v>
      </c>
      <c r="CY18" s="3119">
        <f t="shared" si="120"/>
        <v>45966.083333333096</v>
      </c>
      <c r="CZ18" s="3119">
        <f t="shared" si="121"/>
        <v>45966.12499999976</v>
      </c>
      <c r="DA18" s="3119">
        <f t="shared" si="122"/>
        <v>45966.166666666424</v>
      </c>
      <c r="DB18" s="3119">
        <f t="shared" si="123"/>
        <v>45966.208333333088</v>
      </c>
      <c r="DC18" s="3119">
        <f t="shared" si="124"/>
        <v>45966.249999999753</v>
      </c>
      <c r="DD18" s="3119">
        <f t="shared" si="125"/>
        <v>45966.291666666417</v>
      </c>
      <c r="DE18" s="3119">
        <f t="shared" si="126"/>
        <v>45966.333333333081</v>
      </c>
      <c r="DF18" s="3119">
        <f t="shared" si="127"/>
        <v>45966.374999999745</v>
      </c>
      <c r="DG18" s="3119">
        <f t="shared" si="128"/>
        <v>45966.41666666641</v>
      </c>
      <c r="DH18" s="3119">
        <f t="shared" si="129"/>
        <v>45966.458333333074</v>
      </c>
      <c r="DI18" s="3119">
        <f t="shared" si="130"/>
        <v>45966.499999999738</v>
      </c>
      <c r="DJ18" s="3119">
        <f t="shared" si="131"/>
        <v>45966.541666666402</v>
      </c>
      <c r="DK18" s="3119">
        <f t="shared" si="132"/>
        <v>45966.583333333067</v>
      </c>
      <c r="DL18" s="3119">
        <f t="shared" si="133"/>
        <v>45966.624999999731</v>
      </c>
      <c r="DM18" s="3119">
        <f t="shared" si="134"/>
        <v>45966.666666666395</v>
      </c>
      <c r="DN18" s="3119">
        <f t="shared" si="135"/>
        <v>45966.708333333059</v>
      </c>
      <c r="DO18" s="3119">
        <f t="shared" si="136"/>
        <v>45966.749999999724</v>
      </c>
      <c r="DP18" s="3119">
        <f t="shared" si="137"/>
        <v>45966.791666666388</v>
      </c>
      <c r="DQ18" s="3119">
        <f t="shared" si="138"/>
        <v>45966.833333333052</v>
      </c>
      <c r="DR18" s="3119">
        <f t="shared" si="139"/>
        <v>45966.874999999716</v>
      </c>
      <c r="DS18" s="3119">
        <f t="shared" si="140"/>
        <v>45966.91666666638</v>
      </c>
      <c r="DT18" s="3119">
        <f t="shared" si="141"/>
        <v>45966.958333333045</v>
      </c>
      <c r="DU18" s="3119">
        <f t="shared" si="142"/>
        <v>45966.999999999709</v>
      </c>
      <c r="DV18" s="3119">
        <f t="shared" si="143"/>
        <v>45967.041666666373</v>
      </c>
      <c r="DW18" s="3119">
        <f t="shared" si="144"/>
        <v>45967.083333333037</v>
      </c>
      <c r="DX18" s="3119">
        <f t="shared" si="145"/>
        <v>45967.124999999702</v>
      </c>
      <c r="DY18" s="3119">
        <f t="shared" si="146"/>
        <v>45967.166666666366</v>
      </c>
      <c r="DZ18" s="3119">
        <f t="shared" si="147"/>
        <v>45967.20833333303</v>
      </c>
      <c r="EA18" s="3119">
        <f t="shared" si="148"/>
        <v>45967.249999999694</v>
      </c>
      <c r="EB18" s="3119">
        <f t="shared" si="149"/>
        <v>45967.291666666359</v>
      </c>
      <c r="EC18" s="3119">
        <f t="shared" si="150"/>
        <v>45967.333333333023</v>
      </c>
      <c r="ED18" s="3119">
        <f t="shared" si="15"/>
        <v>45967.374999999687</v>
      </c>
      <c r="EE18" s="3119">
        <f t="shared" si="151"/>
        <v>45967.416666666351</v>
      </c>
      <c r="EF18" s="3119">
        <f t="shared" si="152"/>
        <v>45967.458333333016</v>
      </c>
      <c r="EG18" s="3119">
        <f t="shared" si="153"/>
        <v>45967.49999999968</v>
      </c>
      <c r="EH18" s="3119">
        <f t="shared" si="154"/>
        <v>45967.541666666344</v>
      </c>
      <c r="EI18" s="3119">
        <f t="shared" si="155"/>
        <v>45967.583333333008</v>
      </c>
      <c r="EJ18" s="3119">
        <f t="shared" si="156"/>
        <v>45967.624999999673</v>
      </c>
      <c r="EK18" s="3119">
        <f t="shared" si="157"/>
        <v>45967.666666666337</v>
      </c>
      <c r="EL18" s="3119">
        <f t="shared" si="158"/>
        <v>45967.708333333001</v>
      </c>
      <c r="EM18" s="3119">
        <f t="shared" si="159"/>
        <v>45967.749999999665</v>
      </c>
      <c r="EN18" s="3119">
        <f t="shared" si="160"/>
        <v>45967.79166666633</v>
      </c>
      <c r="EO18" s="3119">
        <f t="shared" si="161"/>
        <v>45967.833333332994</v>
      </c>
      <c r="EP18" s="3119">
        <f t="shared" si="162"/>
        <v>45967.874999999658</v>
      </c>
      <c r="EQ18" s="3119">
        <f t="shared" si="163"/>
        <v>45967.916666666322</v>
      </c>
      <c r="ER18" s="3119">
        <f t="shared" si="164"/>
        <v>45967.958333332987</v>
      </c>
      <c r="ES18" s="3119">
        <f t="shared" si="165"/>
        <v>45967.999999999651</v>
      </c>
      <c r="ET18" s="3119">
        <f t="shared" si="166"/>
        <v>45968.041666666315</v>
      </c>
      <c r="EU18" s="3119">
        <f t="shared" si="167"/>
        <v>45968.083333332979</v>
      </c>
      <c r="EV18" s="3119">
        <f t="shared" si="168"/>
        <v>45968.124999999643</v>
      </c>
      <c r="EW18" s="3119">
        <f t="shared" si="169"/>
        <v>45968.166666666308</v>
      </c>
      <c r="EX18" s="3119">
        <f t="shared" si="170"/>
        <v>45968.208333332972</v>
      </c>
      <c r="EY18" s="3119">
        <f t="shared" si="171"/>
        <v>45968.249999999636</v>
      </c>
      <c r="EZ18" s="3119">
        <f t="shared" si="172"/>
        <v>45968.2916666663</v>
      </c>
      <c r="FA18" s="3119">
        <f t="shared" si="173"/>
        <v>45968.333333332965</v>
      </c>
      <c r="FB18" s="3119">
        <f t="shared" si="174"/>
        <v>45968.374999999629</v>
      </c>
      <c r="FC18" s="3119">
        <f t="shared" si="175"/>
        <v>45968.416666666293</v>
      </c>
      <c r="FD18" s="3119">
        <f t="shared" si="176"/>
        <v>45968.458333332957</v>
      </c>
      <c r="FE18" s="3119">
        <f t="shared" si="177"/>
        <v>45968.499999999622</v>
      </c>
      <c r="FF18" s="3119">
        <f t="shared" si="178"/>
        <v>45968.541666666286</v>
      </c>
      <c r="FG18" s="3119">
        <f t="shared" si="179"/>
        <v>45968.58333333295</v>
      </c>
      <c r="FH18" s="3119">
        <f t="shared" si="180"/>
        <v>45968.624999999614</v>
      </c>
      <c r="FI18" s="3119">
        <f t="shared" si="181"/>
        <v>45968.666666666279</v>
      </c>
      <c r="FJ18" s="3119">
        <f t="shared" si="182"/>
        <v>45968.708333332943</v>
      </c>
      <c r="FK18" s="3119">
        <f t="shared" si="183"/>
        <v>45968.749999999607</v>
      </c>
      <c r="FL18" s="3119">
        <f t="shared" si="184"/>
        <v>45968.791666666271</v>
      </c>
      <c r="FM18" s="3119">
        <f t="shared" si="185"/>
        <v>45968.833333332936</v>
      </c>
      <c r="FN18" s="3119">
        <f t="shared" si="186"/>
        <v>45968.8749999996</v>
      </c>
      <c r="FO18" s="3119">
        <f t="shared" si="187"/>
        <v>45968.916666666264</v>
      </c>
      <c r="FP18" s="3119">
        <f t="shared" si="188"/>
        <v>45968.958333332928</v>
      </c>
      <c r="FQ18" s="3119">
        <f t="shared" si="189"/>
        <v>45968.999999999593</v>
      </c>
      <c r="FR18" s="3119">
        <f t="shared" si="190"/>
        <v>45969.041666666257</v>
      </c>
      <c r="FS18" s="3119">
        <f t="shared" si="191"/>
        <v>45969.083333332921</v>
      </c>
      <c r="FT18" s="3119">
        <f t="shared" si="192"/>
        <v>45969.124999999585</v>
      </c>
      <c r="FU18" s="3119">
        <f t="shared" si="193"/>
        <v>45969.16666666625</v>
      </c>
      <c r="FV18" s="3119">
        <f t="shared" si="194"/>
        <v>45969.208333332914</v>
      </c>
      <c r="FW18" s="3119">
        <f t="shared" si="195"/>
        <v>45969.249999999578</v>
      </c>
      <c r="FX18" s="3119">
        <f t="shared" si="196"/>
        <v>45969.291666666242</v>
      </c>
      <c r="FY18" s="3119">
        <f t="shared" si="197"/>
        <v>45969.333333332906</v>
      </c>
      <c r="FZ18" s="3119">
        <f t="shared" si="198"/>
        <v>45969.374999999571</v>
      </c>
      <c r="GA18" s="3119">
        <f t="shared" si="199"/>
        <v>45969.416666666235</v>
      </c>
      <c r="GB18" s="3119">
        <f t="shared" si="200"/>
        <v>45969.458333332899</v>
      </c>
      <c r="GC18" s="3119">
        <f t="shared" si="201"/>
        <v>45969.499999999563</v>
      </c>
      <c r="GD18" s="3119">
        <f t="shared" si="202"/>
        <v>45969.541666666228</v>
      </c>
      <c r="GE18" s="3119">
        <f t="shared" si="203"/>
        <v>45969.583333332892</v>
      </c>
      <c r="GF18" s="3119">
        <f t="shared" si="204"/>
        <v>45969.624999999556</v>
      </c>
      <c r="GG18" s="3119">
        <f t="shared" si="205"/>
        <v>45969.66666666622</v>
      </c>
      <c r="GH18" s="3119">
        <f t="shared" si="206"/>
        <v>45969.708333332885</v>
      </c>
      <c r="GI18" s="3119">
        <f t="shared" si="207"/>
        <v>45969.749999999549</v>
      </c>
      <c r="GJ18" s="3119">
        <f t="shared" si="208"/>
        <v>45969.791666666213</v>
      </c>
      <c r="GK18" s="3119">
        <f t="shared" si="209"/>
        <v>45969.833333332877</v>
      </c>
      <c r="GL18" s="3119">
        <f t="shared" si="210"/>
        <v>45969.874999999542</v>
      </c>
      <c r="GM18" s="3119">
        <f t="shared" si="211"/>
        <v>45969.916666666206</v>
      </c>
      <c r="GN18" s="3119">
        <f t="shared" si="212"/>
        <v>45969.95833333287</v>
      </c>
      <c r="GO18" s="3119">
        <f t="shared" si="213"/>
        <v>45969.999999999534</v>
      </c>
      <c r="GP18" s="3119">
        <f t="shared" si="16"/>
        <v>45970.041666666199</v>
      </c>
      <c r="GQ18" s="3119">
        <f t="shared" si="214"/>
        <v>45970.083333332863</v>
      </c>
      <c r="GR18" s="3119">
        <f t="shared" si="215"/>
        <v>45970.124999999527</v>
      </c>
      <c r="GS18" s="3119">
        <f t="shared" si="216"/>
        <v>45970.166666666191</v>
      </c>
      <c r="GT18" s="3119">
        <f t="shared" si="217"/>
        <v>45970.208333332856</v>
      </c>
      <c r="GU18" s="3119">
        <f t="shared" si="218"/>
        <v>45970.24999999952</v>
      </c>
      <c r="GV18" s="3119">
        <f t="shared" si="219"/>
        <v>45970.291666666184</v>
      </c>
      <c r="GW18" s="3119">
        <f t="shared" si="220"/>
        <v>45970.333333332848</v>
      </c>
      <c r="GX18" s="3119">
        <f t="shared" si="221"/>
        <v>45970.374999999513</v>
      </c>
      <c r="GY18" s="3119">
        <f t="shared" si="222"/>
        <v>45970.416666666177</v>
      </c>
      <c r="GZ18" s="3119">
        <f t="shared" si="223"/>
        <v>45970.458333332841</v>
      </c>
      <c r="HA18" s="3119">
        <f t="shared" si="224"/>
        <v>45970.499999999505</v>
      </c>
      <c r="HB18" s="3119">
        <f t="shared" si="225"/>
        <v>45970.541666666169</v>
      </c>
      <c r="HC18" s="3119">
        <f t="shared" si="226"/>
        <v>45970.583333332834</v>
      </c>
      <c r="HD18" s="3119">
        <f t="shared" si="227"/>
        <v>45970.624999999498</v>
      </c>
      <c r="HE18" s="3119">
        <f t="shared" si="228"/>
        <v>45970.666666666162</v>
      </c>
      <c r="HF18" s="3119">
        <f t="shared" si="229"/>
        <v>45970.708333332826</v>
      </c>
      <c r="HG18" s="3119">
        <f t="shared" si="230"/>
        <v>45970.749999999491</v>
      </c>
      <c r="HH18" s="3119">
        <f t="shared" si="231"/>
        <v>45970.791666666155</v>
      </c>
      <c r="HI18" s="3119">
        <f t="shared" si="232"/>
        <v>45970.833333332819</v>
      </c>
      <c r="HJ18" s="3119">
        <f t="shared" si="233"/>
        <v>45970.874999999483</v>
      </c>
      <c r="HK18" s="3119">
        <f t="shared" si="234"/>
        <v>45970.916666666148</v>
      </c>
      <c r="HL18" s="3119">
        <f t="shared" si="235"/>
        <v>45970.958333332812</v>
      </c>
      <c r="HM18" s="3119">
        <f t="shared" si="236"/>
        <v>45970.999999999476</v>
      </c>
      <c r="HN18" s="3119">
        <f t="shared" si="237"/>
        <v>45971.04166666614</v>
      </c>
      <c r="HO18" s="3119">
        <f t="shared" si="238"/>
        <v>45971.083333332805</v>
      </c>
      <c r="HP18" s="3119">
        <f t="shared" si="239"/>
        <v>45971.124999999469</v>
      </c>
      <c r="HQ18" s="3119">
        <f t="shared" si="240"/>
        <v>45971.166666666133</v>
      </c>
      <c r="HR18" s="3119">
        <f t="shared" si="241"/>
        <v>45971.208333332797</v>
      </c>
      <c r="HS18" s="3119">
        <f t="shared" si="242"/>
        <v>45971.249999999462</v>
      </c>
      <c r="HT18" s="3119">
        <f t="shared" si="243"/>
        <v>45971.291666666126</v>
      </c>
      <c r="HU18" s="3119">
        <f t="shared" si="244"/>
        <v>45971.33333333279</v>
      </c>
      <c r="HV18" s="3119">
        <f t="shared" si="245"/>
        <v>45971.374999999454</v>
      </c>
      <c r="HW18" s="3119">
        <f t="shared" si="246"/>
        <v>45971.416666666119</v>
      </c>
      <c r="HX18" s="3119">
        <f t="shared" si="247"/>
        <v>45971.458333332783</v>
      </c>
      <c r="HY18" s="3119">
        <f t="shared" si="248"/>
        <v>45971.499999999447</v>
      </c>
      <c r="HZ18" s="3119">
        <f t="shared" si="249"/>
        <v>45971.541666666111</v>
      </c>
      <c r="IA18" s="3119">
        <f t="shared" si="250"/>
        <v>45971.583333332776</v>
      </c>
      <c r="IB18" s="3119">
        <f t="shared" si="251"/>
        <v>45971.62499999944</v>
      </c>
      <c r="IC18" s="3119">
        <f t="shared" si="252"/>
        <v>45971.666666666104</v>
      </c>
      <c r="ID18" s="3119">
        <f t="shared" si="253"/>
        <v>45971.708333332768</v>
      </c>
      <c r="IE18" s="3119">
        <f t="shared" si="254"/>
        <v>45971.749999999432</v>
      </c>
      <c r="IF18" s="3119">
        <f t="shared" si="255"/>
        <v>45971.791666666097</v>
      </c>
      <c r="IG18" s="3119">
        <f t="shared" si="256"/>
        <v>45971.833333332761</v>
      </c>
      <c r="IH18" s="3119">
        <f t="shared" si="257"/>
        <v>45971.874999999425</v>
      </c>
      <c r="II18" s="3119">
        <f t="shared" si="258"/>
        <v>45971.916666666089</v>
      </c>
      <c r="IJ18" s="3119">
        <f t="shared" si="259"/>
        <v>45971.958333332754</v>
      </c>
      <c r="IK18" s="3119">
        <f t="shared" si="260"/>
        <v>45971.999999999418</v>
      </c>
      <c r="IL18" s="3119">
        <f t="shared" si="261"/>
        <v>45972.041666666082</v>
      </c>
      <c r="IM18" s="3119">
        <f t="shared" si="262"/>
        <v>45972.083333332746</v>
      </c>
      <c r="IN18" s="3119">
        <f t="shared" si="263"/>
        <v>45972.124999999411</v>
      </c>
      <c r="IO18" s="3119">
        <f t="shared" si="264"/>
        <v>45972.166666666075</v>
      </c>
      <c r="IP18" s="3119">
        <f t="shared" si="265"/>
        <v>45972.208333332739</v>
      </c>
      <c r="IQ18" s="3119">
        <f t="shared" si="266"/>
        <v>45972.249999999403</v>
      </c>
      <c r="IR18" s="3119">
        <f t="shared" si="267"/>
        <v>45972.291666666068</v>
      </c>
      <c r="IS18" s="3119">
        <f t="shared" si="268"/>
        <v>45972.333333332732</v>
      </c>
      <c r="IT18" s="3119">
        <f t="shared" si="269"/>
        <v>45972.374999999396</v>
      </c>
      <c r="IU18" s="3119">
        <f t="shared" si="270"/>
        <v>45972.41666666606</v>
      </c>
      <c r="IV18" s="3119">
        <f t="shared" si="271"/>
        <v>45972.458333332725</v>
      </c>
      <c r="IW18" s="3119">
        <f t="shared" si="272"/>
        <v>45972.499999999389</v>
      </c>
      <c r="IX18" s="3119">
        <f t="shared" si="273"/>
        <v>45972.541666666053</v>
      </c>
      <c r="IY18" s="3119">
        <f t="shared" si="274"/>
        <v>45972.583333332717</v>
      </c>
      <c r="IZ18" s="3119">
        <f t="shared" si="275"/>
        <v>45972.624999999382</v>
      </c>
      <c r="JA18" s="3119">
        <f t="shared" si="276"/>
        <v>45972.666666666046</v>
      </c>
      <c r="JB18" s="3119">
        <f t="shared" si="17"/>
        <v>45972.70833333271</v>
      </c>
      <c r="JC18" s="3119">
        <f t="shared" si="277"/>
        <v>45972.749999999374</v>
      </c>
      <c r="JD18" s="3119">
        <f t="shared" si="278"/>
        <v>45972.791666666039</v>
      </c>
      <c r="JE18" s="3119">
        <f t="shared" si="279"/>
        <v>45972.833333332703</v>
      </c>
      <c r="JF18" s="3119">
        <f t="shared" si="280"/>
        <v>45972.874999999367</v>
      </c>
      <c r="JG18" s="3119">
        <f t="shared" si="281"/>
        <v>45972.916666666031</v>
      </c>
      <c r="JH18" s="3119">
        <f t="shared" si="282"/>
        <v>45972.958333332695</v>
      </c>
      <c r="JI18" s="3119">
        <f t="shared" si="283"/>
        <v>45972.99999999936</v>
      </c>
      <c r="JJ18" s="3119">
        <f t="shared" si="284"/>
        <v>45973.041666666024</v>
      </c>
      <c r="JK18" s="3119">
        <f t="shared" si="285"/>
        <v>45973.083333332688</v>
      </c>
      <c r="JL18" s="3119">
        <f t="shared" si="286"/>
        <v>45973.124999999352</v>
      </c>
      <c r="JM18" s="3119">
        <f t="shared" si="287"/>
        <v>45973.166666666017</v>
      </c>
      <c r="JN18" s="3119">
        <f t="shared" si="288"/>
        <v>45973.208333332681</v>
      </c>
      <c r="JO18" s="3119">
        <f t="shared" si="289"/>
        <v>45973.249999999345</v>
      </c>
      <c r="JP18" s="3119">
        <f t="shared" si="290"/>
        <v>45973.291666666009</v>
      </c>
      <c r="JQ18" s="3119">
        <f t="shared" si="291"/>
        <v>45973.333333332674</v>
      </c>
      <c r="JR18" s="3119">
        <f t="shared" si="292"/>
        <v>45973.374999999338</v>
      </c>
      <c r="JS18" s="3119">
        <f t="shared" si="293"/>
        <v>45973.416666666002</v>
      </c>
      <c r="JT18" s="3119">
        <f t="shared" si="294"/>
        <v>45973.458333332666</v>
      </c>
      <c r="JU18" s="3119">
        <f t="shared" si="295"/>
        <v>45973.499999999331</v>
      </c>
      <c r="JV18" s="3119">
        <f t="shared" si="296"/>
        <v>45973.541666665995</v>
      </c>
      <c r="JW18" s="3119">
        <f t="shared" si="297"/>
        <v>45973.583333332659</v>
      </c>
      <c r="JX18" s="3119">
        <f t="shared" si="298"/>
        <v>45973.624999999323</v>
      </c>
      <c r="JY18" s="3119">
        <f t="shared" si="299"/>
        <v>45973.666666665988</v>
      </c>
      <c r="JZ18" s="3119">
        <f t="shared" si="300"/>
        <v>45973.708333332652</v>
      </c>
      <c r="KA18" s="3119">
        <f t="shared" si="301"/>
        <v>45973.749999999316</v>
      </c>
      <c r="KB18" s="3119">
        <f t="shared" si="302"/>
        <v>45973.79166666598</v>
      </c>
      <c r="KC18" s="3119">
        <f t="shared" si="303"/>
        <v>45973.833333332645</v>
      </c>
      <c r="KD18" s="3119">
        <f t="shared" si="304"/>
        <v>45973.874999999309</v>
      </c>
      <c r="KE18" s="3119">
        <f t="shared" si="305"/>
        <v>45973.916666665973</v>
      </c>
      <c r="KF18" s="3119">
        <f t="shared" si="306"/>
        <v>45973.958333332637</v>
      </c>
      <c r="KG18" s="3119">
        <f t="shared" si="307"/>
        <v>45973.999999999302</v>
      </c>
      <c r="KH18" s="3119">
        <f t="shared" si="308"/>
        <v>45974.041666665966</v>
      </c>
      <c r="KI18" s="3119">
        <f t="shared" si="309"/>
        <v>45974.08333333263</v>
      </c>
      <c r="KJ18" s="3119">
        <f t="shared" si="310"/>
        <v>45974.124999999294</v>
      </c>
      <c r="KK18" s="3119">
        <f t="shared" si="311"/>
        <v>45974.166666665958</v>
      </c>
      <c r="KL18" s="3119">
        <f t="shared" si="312"/>
        <v>45974.208333332623</v>
      </c>
      <c r="KM18" s="3119">
        <f t="shared" si="313"/>
        <v>45974.249999999287</v>
      </c>
      <c r="KN18" s="3119">
        <f t="shared" si="314"/>
        <v>45974.291666665951</v>
      </c>
      <c r="KO18" s="3119">
        <f t="shared" si="315"/>
        <v>45974.333333332615</v>
      </c>
      <c r="KP18" s="3119">
        <f t="shared" si="316"/>
        <v>45974.37499999928</v>
      </c>
      <c r="KQ18" s="3119">
        <f t="shared" si="317"/>
        <v>45974.416666665944</v>
      </c>
      <c r="KR18" s="3119">
        <f t="shared" si="318"/>
        <v>45974.458333332608</v>
      </c>
      <c r="KS18" s="3119">
        <f t="shared" si="319"/>
        <v>45974.499999999272</v>
      </c>
      <c r="KT18" s="3119">
        <f t="shared" si="320"/>
        <v>45974.541666665937</v>
      </c>
      <c r="KU18" s="3119">
        <f t="shared" si="321"/>
        <v>45974.583333332601</v>
      </c>
      <c r="KV18" s="3119">
        <f t="shared" si="322"/>
        <v>45974.624999999265</v>
      </c>
      <c r="KW18" s="3119">
        <f t="shared" si="323"/>
        <v>45974.666666665929</v>
      </c>
      <c r="KX18" s="3119">
        <f t="shared" si="324"/>
        <v>45974.708333332594</v>
      </c>
      <c r="KY18" s="3119">
        <f t="shared" si="325"/>
        <v>45974.749999999258</v>
      </c>
      <c r="KZ18" s="3119">
        <f t="shared" si="326"/>
        <v>45974.791666665922</v>
      </c>
      <c r="LA18" s="3119">
        <f t="shared" si="327"/>
        <v>45974.833333332586</v>
      </c>
      <c r="LB18" s="3119">
        <f t="shared" si="328"/>
        <v>45974.874999999251</v>
      </c>
      <c r="LC18" s="3119">
        <f t="shared" si="329"/>
        <v>45974.916666665915</v>
      </c>
      <c r="LD18" s="3119">
        <f t="shared" si="330"/>
        <v>45974.958333332579</v>
      </c>
      <c r="LE18" s="3119">
        <f t="shared" si="331"/>
        <v>45974.999999999243</v>
      </c>
      <c r="LF18" s="3119">
        <f t="shared" si="332"/>
        <v>45975.041666665908</v>
      </c>
      <c r="LG18" s="3119">
        <f t="shared" si="333"/>
        <v>45975.083333332572</v>
      </c>
      <c r="LH18" s="3119">
        <f t="shared" si="334"/>
        <v>45975.124999999236</v>
      </c>
      <c r="LI18" s="3119">
        <f t="shared" si="335"/>
        <v>45975.1666666659</v>
      </c>
      <c r="LJ18" s="3119">
        <f t="shared" si="336"/>
        <v>45975.208333332565</v>
      </c>
      <c r="LK18" s="3119">
        <f t="shared" si="337"/>
        <v>45975.249999999229</v>
      </c>
      <c r="LL18" s="3119">
        <f t="shared" si="338"/>
        <v>45975.291666665893</v>
      </c>
      <c r="LM18" s="3119">
        <f t="shared" si="339"/>
        <v>45975.333333332557</v>
      </c>
      <c r="LN18" s="3119">
        <f t="shared" si="18"/>
        <v>45975.374999999221</v>
      </c>
      <c r="LO18" s="3119">
        <f t="shared" si="340"/>
        <v>45975.416666665886</v>
      </c>
      <c r="LP18" s="3119">
        <f t="shared" si="341"/>
        <v>45975.45833333255</v>
      </c>
      <c r="LQ18" s="3119">
        <f t="shared" si="342"/>
        <v>45975.499999999214</v>
      </c>
      <c r="LR18" s="3119">
        <f t="shared" si="343"/>
        <v>45975.541666665878</v>
      </c>
      <c r="LS18" s="3119">
        <f t="shared" si="344"/>
        <v>45975.583333332543</v>
      </c>
      <c r="LT18" s="3119">
        <f t="shared" si="345"/>
        <v>45975.624999999207</v>
      </c>
      <c r="LU18" s="3119">
        <f t="shared" si="346"/>
        <v>45975.666666665871</v>
      </c>
      <c r="LV18" s="3119">
        <f t="shared" si="347"/>
        <v>45975.708333332535</v>
      </c>
      <c r="LW18" s="3119">
        <f t="shared" si="348"/>
        <v>45975.7499999992</v>
      </c>
      <c r="LX18" s="3119">
        <f t="shared" si="349"/>
        <v>45975.791666665864</v>
      </c>
      <c r="LY18" s="3119">
        <f t="shared" si="350"/>
        <v>45975.833333332528</v>
      </c>
      <c r="LZ18" s="3119">
        <f t="shared" si="351"/>
        <v>45975.874999999192</v>
      </c>
      <c r="MA18" s="3119">
        <f t="shared" si="352"/>
        <v>45975.916666665857</v>
      </c>
      <c r="MB18" s="3119">
        <f t="shared" si="353"/>
        <v>45975.958333332521</v>
      </c>
      <c r="MC18" s="3119">
        <f t="shared" si="354"/>
        <v>45975.999999999185</v>
      </c>
      <c r="MD18" s="3119">
        <f t="shared" si="355"/>
        <v>45976.041666665849</v>
      </c>
      <c r="ME18" s="3119">
        <f t="shared" si="356"/>
        <v>45976.083333332514</v>
      </c>
      <c r="MF18" s="3119">
        <f t="shared" si="357"/>
        <v>45976.124999999178</v>
      </c>
      <c r="MG18" s="3119">
        <f t="shared" si="358"/>
        <v>45976.166666665842</v>
      </c>
      <c r="MH18" s="3119">
        <f t="shared" si="359"/>
        <v>45976.208333332506</v>
      </c>
      <c r="MI18" s="3119">
        <f t="shared" si="360"/>
        <v>45976.249999999171</v>
      </c>
      <c r="MJ18" s="3119">
        <f t="shared" si="361"/>
        <v>45976.291666665835</v>
      </c>
      <c r="MK18" s="3119">
        <f t="shared" si="362"/>
        <v>45976.333333332499</v>
      </c>
      <c r="ML18" s="3119">
        <f t="shared" si="363"/>
        <v>45976.374999999163</v>
      </c>
      <c r="MM18" s="3119">
        <f t="shared" si="364"/>
        <v>45976.416666665828</v>
      </c>
      <c r="MN18" s="3119">
        <f t="shared" si="365"/>
        <v>45976.458333332492</v>
      </c>
      <c r="MO18" s="3119">
        <f t="shared" si="366"/>
        <v>45976.499999999156</v>
      </c>
      <c r="MP18" s="3119">
        <f t="shared" si="367"/>
        <v>45976.54166666582</v>
      </c>
      <c r="MQ18" s="3119">
        <f t="shared" si="368"/>
        <v>45976.583333332484</v>
      </c>
      <c r="MR18" s="3119">
        <f t="shared" si="369"/>
        <v>45976.624999999149</v>
      </c>
      <c r="MS18" s="3119">
        <f t="shared" si="370"/>
        <v>45976.666666665813</v>
      </c>
      <c r="MT18" s="3119">
        <f t="shared" si="371"/>
        <v>45976.708333332477</v>
      </c>
      <c r="MU18" s="3119">
        <f t="shared" si="372"/>
        <v>45976.749999999141</v>
      </c>
      <c r="MV18" s="3119">
        <f t="shared" si="373"/>
        <v>45976.791666665806</v>
      </c>
      <c r="MW18" s="3119">
        <f t="shared" si="374"/>
        <v>45976.83333333247</v>
      </c>
      <c r="MX18" s="3119">
        <f t="shared" si="375"/>
        <v>45976.874999999134</v>
      </c>
      <c r="MY18" s="3119">
        <f t="shared" si="376"/>
        <v>45976.916666665798</v>
      </c>
      <c r="MZ18" s="3119">
        <f t="shared" si="377"/>
        <v>45976.958333332463</v>
      </c>
      <c r="NA18" s="3119">
        <f t="shared" si="378"/>
        <v>45976.999999999127</v>
      </c>
      <c r="NB18" s="3119">
        <f t="shared" si="379"/>
        <v>45977.041666665791</v>
      </c>
      <c r="NC18" s="3119">
        <f t="shared" si="380"/>
        <v>45977.083333332455</v>
      </c>
      <c r="ND18" s="3119">
        <f t="shared" si="381"/>
        <v>45977.12499999912</v>
      </c>
      <c r="NE18" s="3119">
        <f t="shared" si="382"/>
        <v>45977.166666665784</v>
      </c>
      <c r="NF18" s="3119">
        <f t="shared" si="383"/>
        <v>45977.208333332448</v>
      </c>
      <c r="NG18" s="3119">
        <f t="shared" si="384"/>
        <v>45977.249999999112</v>
      </c>
      <c r="NH18" s="3119">
        <f t="shared" si="385"/>
        <v>45977.291666665777</v>
      </c>
      <c r="NI18" s="3119">
        <f t="shared" si="386"/>
        <v>45977.333333332441</v>
      </c>
      <c r="NJ18" s="3119">
        <f t="shared" si="387"/>
        <v>45977.374999999105</v>
      </c>
      <c r="NK18" s="3119">
        <f t="shared" si="388"/>
        <v>45977.416666665769</v>
      </c>
      <c r="NL18" s="3119">
        <f t="shared" si="389"/>
        <v>45977.458333332434</v>
      </c>
      <c r="NM18" s="3119">
        <f t="shared" si="390"/>
        <v>45977.499999999098</v>
      </c>
      <c r="NN18" s="3119">
        <f t="shared" si="391"/>
        <v>45977.541666665762</v>
      </c>
      <c r="NO18" s="3119">
        <f t="shared" si="392"/>
        <v>45977.583333332426</v>
      </c>
      <c r="NP18" s="3119">
        <f t="shared" si="393"/>
        <v>45977.624999999091</v>
      </c>
      <c r="NQ18" s="3119">
        <f t="shared" si="394"/>
        <v>45977.666666665755</v>
      </c>
      <c r="NR18" s="3119">
        <f t="shared" si="395"/>
        <v>45977.708333332419</v>
      </c>
      <c r="NS18" s="3119">
        <f t="shared" si="396"/>
        <v>45977.749999999083</v>
      </c>
      <c r="NT18" s="3119">
        <f t="shared" si="397"/>
        <v>45977.791666665747</v>
      </c>
      <c r="NU18" s="3119">
        <f t="shared" si="398"/>
        <v>45977.833333332412</v>
      </c>
      <c r="NV18" s="3119">
        <f t="shared" si="399"/>
        <v>45977.874999999076</v>
      </c>
      <c r="NW18" s="3119">
        <f t="shared" si="400"/>
        <v>45977.91666666574</v>
      </c>
      <c r="NX18" s="3119">
        <f t="shared" si="401"/>
        <v>45977.958333332404</v>
      </c>
      <c r="NY18" s="3119">
        <f t="shared" si="402"/>
        <v>45977.999999999069</v>
      </c>
      <c r="NZ18" s="3119">
        <f t="shared" si="19"/>
        <v>45978.041666665733</v>
      </c>
      <c r="OA18" s="3119">
        <f t="shared" si="403"/>
        <v>45978.083333332397</v>
      </c>
      <c r="OB18" s="3119">
        <f t="shared" si="404"/>
        <v>45978.124999999061</v>
      </c>
      <c r="OC18" s="3119">
        <f t="shared" si="405"/>
        <v>45978.166666665726</v>
      </c>
      <c r="OD18" s="3119">
        <f t="shared" si="406"/>
        <v>45978.20833333239</v>
      </c>
      <c r="OE18" s="3119">
        <f t="shared" si="407"/>
        <v>45978.249999999054</v>
      </c>
      <c r="OF18" s="3119">
        <f t="shared" si="408"/>
        <v>45978.291666665718</v>
      </c>
      <c r="OG18" s="3119">
        <f t="shared" si="409"/>
        <v>45978.333333332383</v>
      </c>
      <c r="OH18" s="3119">
        <f t="shared" si="410"/>
        <v>45978.374999999047</v>
      </c>
      <c r="OI18" s="3119">
        <f t="shared" si="411"/>
        <v>45978.416666665711</v>
      </c>
      <c r="OJ18" s="3119">
        <f t="shared" si="412"/>
        <v>45978.458333332375</v>
      </c>
      <c r="OK18" s="3119">
        <f t="shared" si="413"/>
        <v>45978.49999999904</v>
      </c>
      <c r="OL18" s="3119">
        <f t="shared" si="414"/>
        <v>45978.541666665704</v>
      </c>
      <c r="OM18" s="3119">
        <f t="shared" si="415"/>
        <v>45978.583333332368</v>
      </c>
      <c r="ON18" s="3119">
        <f t="shared" si="416"/>
        <v>45978.624999999032</v>
      </c>
      <c r="OO18" s="3119">
        <f t="shared" si="417"/>
        <v>45978.666666665697</v>
      </c>
      <c r="OP18" s="3119">
        <f t="shared" si="418"/>
        <v>45978.708333332361</v>
      </c>
      <c r="OQ18" s="3119">
        <f t="shared" si="419"/>
        <v>45978.749999999025</v>
      </c>
      <c r="OR18" s="3119">
        <f t="shared" si="420"/>
        <v>45978.791666665689</v>
      </c>
      <c r="OS18" s="3119">
        <f t="shared" si="421"/>
        <v>45978.833333332354</v>
      </c>
      <c r="OT18" s="3119">
        <f t="shared" si="422"/>
        <v>45978.874999999018</v>
      </c>
      <c r="OU18" s="3119">
        <f t="shared" si="423"/>
        <v>45978.916666665682</v>
      </c>
      <c r="OV18" s="3119">
        <f t="shared" si="424"/>
        <v>45978.958333332346</v>
      </c>
      <c r="OW18" s="3119">
        <f t="shared" si="425"/>
        <v>45978.99999999901</v>
      </c>
      <c r="OX18" s="3119">
        <f t="shared" si="426"/>
        <v>45979.041666665675</v>
      </c>
      <c r="OY18" s="3119">
        <f t="shared" si="427"/>
        <v>45979.083333332339</v>
      </c>
      <c r="OZ18" s="3119">
        <f t="shared" si="428"/>
        <v>45979.124999999003</v>
      </c>
      <c r="PA18" s="3119">
        <f t="shared" si="429"/>
        <v>45979.166666665667</v>
      </c>
      <c r="PB18" s="3119">
        <f t="shared" si="430"/>
        <v>45979.208333332332</v>
      </c>
      <c r="PC18" s="3119">
        <f t="shared" si="431"/>
        <v>45979.249999998996</v>
      </c>
      <c r="PD18" s="3119">
        <f t="shared" si="432"/>
        <v>45979.29166666566</v>
      </c>
      <c r="PE18" s="3119">
        <f t="shared" si="433"/>
        <v>45979.333333332324</v>
      </c>
      <c r="PF18" s="3119">
        <f t="shared" si="434"/>
        <v>45979.374999998989</v>
      </c>
      <c r="PG18" s="3119">
        <f t="shared" si="435"/>
        <v>45979.416666665653</v>
      </c>
      <c r="PH18" s="3119">
        <f t="shared" si="436"/>
        <v>45979.458333332317</v>
      </c>
      <c r="PI18" s="3119">
        <f t="shared" si="437"/>
        <v>45979.499999998981</v>
      </c>
      <c r="PJ18" s="3119">
        <f t="shared" si="438"/>
        <v>45979.541666665646</v>
      </c>
      <c r="PK18" s="3119">
        <f t="shared" si="439"/>
        <v>45979.58333333231</v>
      </c>
      <c r="PL18" s="3119">
        <f t="shared" si="440"/>
        <v>45979.624999998974</v>
      </c>
      <c r="PM18" s="3119">
        <f t="shared" si="441"/>
        <v>45979.666666665638</v>
      </c>
      <c r="PN18" s="3119">
        <f t="shared" si="442"/>
        <v>45979.708333332303</v>
      </c>
      <c r="PO18" s="3119">
        <f t="shared" si="443"/>
        <v>45979.749999998967</v>
      </c>
      <c r="PP18" s="3119">
        <f t="shared" si="444"/>
        <v>45979.791666665631</v>
      </c>
      <c r="PQ18" s="3119">
        <f t="shared" si="445"/>
        <v>45979.833333332295</v>
      </c>
      <c r="PR18" s="3119">
        <f t="shared" si="446"/>
        <v>45979.87499999896</v>
      </c>
      <c r="PS18" s="3119">
        <f t="shared" si="447"/>
        <v>45979.916666665624</v>
      </c>
      <c r="PT18" s="3119">
        <f t="shared" si="448"/>
        <v>45979.958333332288</v>
      </c>
      <c r="PU18" s="3119">
        <f t="shared" si="449"/>
        <v>45979.999999998952</v>
      </c>
      <c r="PV18" s="3119">
        <f t="shared" si="450"/>
        <v>45980.041666665617</v>
      </c>
      <c r="PW18" s="3119">
        <f t="shared" si="451"/>
        <v>45980.083333332281</v>
      </c>
      <c r="PX18" s="3119">
        <f t="shared" si="452"/>
        <v>45980.124999998945</v>
      </c>
      <c r="PY18" s="3119">
        <f t="shared" si="453"/>
        <v>45980.166666665609</v>
      </c>
      <c r="PZ18" s="3119">
        <f t="shared" si="454"/>
        <v>45980.208333332273</v>
      </c>
      <c r="QA18" s="3119">
        <f t="shared" si="455"/>
        <v>45980.249999998938</v>
      </c>
      <c r="QB18" s="3119">
        <f t="shared" si="456"/>
        <v>45980.291666665602</v>
      </c>
      <c r="QC18" s="3119">
        <f t="shared" si="457"/>
        <v>45980.333333332266</v>
      </c>
      <c r="QD18" s="3119">
        <f t="shared" si="458"/>
        <v>45980.37499999893</v>
      </c>
      <c r="QE18" s="3119">
        <f t="shared" si="459"/>
        <v>45980.416666665595</v>
      </c>
      <c r="QF18" s="3119">
        <f t="shared" si="460"/>
        <v>45980.458333332259</v>
      </c>
      <c r="QG18" s="3119">
        <f t="shared" si="461"/>
        <v>45980.499999998923</v>
      </c>
      <c r="QH18" s="3119">
        <f t="shared" si="462"/>
        <v>45980.541666665587</v>
      </c>
      <c r="QI18" s="3119">
        <f t="shared" si="463"/>
        <v>45980.583333332252</v>
      </c>
      <c r="QJ18" s="3119">
        <f t="shared" si="464"/>
        <v>45980.624999998916</v>
      </c>
      <c r="QK18" s="3119">
        <f t="shared" si="465"/>
        <v>45980.66666666558</v>
      </c>
      <c r="QL18" s="3119">
        <f t="shared" si="20"/>
        <v>45980.708333332244</v>
      </c>
      <c r="QM18" s="3119">
        <f t="shared" si="466"/>
        <v>45980.749999998909</v>
      </c>
      <c r="QN18" s="3119">
        <f t="shared" si="467"/>
        <v>45980.791666665573</v>
      </c>
      <c r="QO18" s="3119">
        <f t="shared" si="468"/>
        <v>45980.833333332237</v>
      </c>
      <c r="QP18" s="3119">
        <f t="shared" si="469"/>
        <v>45980.874999998901</v>
      </c>
      <c r="QQ18" s="3119">
        <f t="shared" si="470"/>
        <v>45980.916666665566</v>
      </c>
      <c r="QR18" s="3119">
        <f t="shared" si="471"/>
        <v>45980.95833333223</v>
      </c>
      <c r="QS18" s="3119">
        <f t="shared" si="472"/>
        <v>45980.999999998894</v>
      </c>
      <c r="QT18" s="3119">
        <f t="shared" si="473"/>
        <v>45981.041666665558</v>
      </c>
      <c r="QU18" s="3119">
        <f t="shared" si="474"/>
        <v>45981.083333332223</v>
      </c>
      <c r="QV18" s="3119">
        <f t="shared" si="475"/>
        <v>45981.124999998887</v>
      </c>
      <c r="QW18" s="3119">
        <f t="shared" si="476"/>
        <v>45981.166666665551</v>
      </c>
      <c r="QX18" s="3119">
        <f t="shared" si="477"/>
        <v>45981.208333332215</v>
      </c>
      <c r="QY18" s="3119">
        <f t="shared" si="478"/>
        <v>45981.24999999888</v>
      </c>
      <c r="QZ18" s="3119">
        <f t="shared" si="479"/>
        <v>45981.291666665544</v>
      </c>
      <c r="RA18" s="3119">
        <f t="shared" si="480"/>
        <v>45981.333333332208</v>
      </c>
      <c r="RB18" s="3119">
        <f t="shared" si="481"/>
        <v>45981.374999998872</v>
      </c>
      <c r="RC18" s="3119">
        <f t="shared" si="482"/>
        <v>45981.416666665536</v>
      </c>
      <c r="RD18" s="3119">
        <f t="shared" si="483"/>
        <v>45981.458333332201</v>
      </c>
      <c r="RE18" s="3119">
        <f t="shared" si="484"/>
        <v>45981.499999998865</v>
      </c>
      <c r="RF18" s="3119">
        <f t="shared" si="485"/>
        <v>45981.541666665529</v>
      </c>
      <c r="RG18" s="3119">
        <f t="shared" si="486"/>
        <v>45981.583333332193</v>
      </c>
      <c r="RH18" s="3119">
        <f t="shared" si="487"/>
        <v>45981.624999998858</v>
      </c>
      <c r="RI18" s="3119">
        <f t="shared" si="488"/>
        <v>45981.666666665522</v>
      </c>
      <c r="RJ18" s="3119">
        <f t="shared" si="489"/>
        <v>45981.708333332186</v>
      </c>
      <c r="RK18" s="3119">
        <f t="shared" si="490"/>
        <v>45981.74999999885</v>
      </c>
      <c r="RL18" s="3119">
        <f t="shared" si="491"/>
        <v>45981.791666665515</v>
      </c>
      <c r="RM18" s="3119">
        <f t="shared" si="492"/>
        <v>45981.833333332179</v>
      </c>
      <c r="RN18" s="3119">
        <f t="shared" si="493"/>
        <v>45981.874999998843</v>
      </c>
      <c r="RO18" s="3119">
        <f t="shared" si="494"/>
        <v>45981.916666665507</v>
      </c>
      <c r="RP18" s="3119">
        <f t="shared" si="495"/>
        <v>45981.958333332172</v>
      </c>
      <c r="RQ18" s="3119">
        <f t="shared" si="496"/>
        <v>45981.999999998836</v>
      </c>
      <c r="RR18" s="3119">
        <f t="shared" si="497"/>
        <v>45982.0416666655</v>
      </c>
      <c r="RS18" s="3119">
        <f t="shared" si="498"/>
        <v>45982.083333332164</v>
      </c>
      <c r="RT18" s="3119">
        <f t="shared" si="499"/>
        <v>45982.124999998829</v>
      </c>
      <c r="RU18" s="3119">
        <f t="shared" si="500"/>
        <v>45982.166666665493</v>
      </c>
      <c r="RV18" s="3119">
        <f t="shared" si="501"/>
        <v>45982.208333332157</v>
      </c>
      <c r="RW18" s="3119">
        <f t="shared" si="502"/>
        <v>45982.249999998821</v>
      </c>
      <c r="RX18" s="3119">
        <f t="shared" si="503"/>
        <v>45982.291666665486</v>
      </c>
      <c r="RY18" s="3119">
        <f t="shared" si="504"/>
        <v>45982.33333333215</v>
      </c>
      <c r="RZ18" s="3119">
        <f t="shared" si="505"/>
        <v>45982.374999998814</v>
      </c>
      <c r="SA18" s="3119">
        <f t="shared" si="506"/>
        <v>45982.416666665478</v>
      </c>
      <c r="SB18" s="3119">
        <f t="shared" si="507"/>
        <v>45982.458333332143</v>
      </c>
      <c r="SC18" s="3119">
        <f t="shared" si="508"/>
        <v>45982.499999998807</v>
      </c>
      <c r="SD18" s="3119">
        <f t="shared" si="509"/>
        <v>45982.541666665471</v>
      </c>
      <c r="SE18" s="3119">
        <f t="shared" si="510"/>
        <v>45982.583333332135</v>
      </c>
      <c r="SF18" s="3119">
        <f t="shared" si="511"/>
        <v>45982.624999998799</v>
      </c>
      <c r="SG18" s="3119">
        <f t="shared" si="512"/>
        <v>45982.666666665464</v>
      </c>
      <c r="SH18" s="3119">
        <f t="shared" si="513"/>
        <v>45982.708333332128</v>
      </c>
      <c r="SI18" s="3119">
        <f t="shared" si="514"/>
        <v>45982.749999998792</v>
      </c>
      <c r="SJ18" s="3119">
        <f t="shared" si="515"/>
        <v>45982.791666665456</v>
      </c>
      <c r="SK18" s="3119">
        <f t="shared" si="516"/>
        <v>45982.833333332121</v>
      </c>
      <c r="SL18" s="3119">
        <f t="shared" si="517"/>
        <v>45982.874999998785</v>
      </c>
      <c r="SM18" s="3119">
        <f t="shared" si="518"/>
        <v>45982.916666665449</v>
      </c>
      <c r="SN18" s="3119">
        <f t="shared" si="519"/>
        <v>45982.958333332113</v>
      </c>
      <c r="SO18" s="3119">
        <f t="shared" si="520"/>
        <v>45982.999999998778</v>
      </c>
      <c r="SP18" s="3119">
        <f t="shared" si="521"/>
        <v>45983.041666665442</v>
      </c>
      <c r="SQ18" s="3119">
        <f t="shared" si="522"/>
        <v>45983.083333332106</v>
      </c>
      <c r="SR18" s="3119">
        <f t="shared" si="523"/>
        <v>45983.12499999877</v>
      </c>
      <c r="SS18" s="3119">
        <f t="shared" si="524"/>
        <v>45983.166666665435</v>
      </c>
      <c r="ST18" s="3119">
        <f t="shared" si="525"/>
        <v>45983.208333332099</v>
      </c>
      <c r="SU18" s="3119">
        <f t="shared" si="526"/>
        <v>45983.249999998763</v>
      </c>
      <c r="SV18" s="3119">
        <f t="shared" si="527"/>
        <v>45983.291666665427</v>
      </c>
      <c r="SW18" s="3119">
        <f t="shared" si="528"/>
        <v>45983.333333332092</v>
      </c>
      <c r="SX18" s="3119">
        <f t="shared" si="21"/>
        <v>45983.374999998756</v>
      </c>
      <c r="SY18" s="3119">
        <f t="shared" si="529"/>
        <v>45983.41666666542</v>
      </c>
      <c r="SZ18" s="3119">
        <f t="shared" si="530"/>
        <v>45983.458333332084</v>
      </c>
      <c r="TA18" s="3119">
        <f t="shared" si="531"/>
        <v>45983.499999998749</v>
      </c>
      <c r="TB18" s="3119">
        <f t="shared" si="532"/>
        <v>45983.541666665413</v>
      </c>
      <c r="TC18" s="3119">
        <f t="shared" si="533"/>
        <v>45983.583333332077</v>
      </c>
      <c r="TD18" s="3119">
        <f t="shared" si="534"/>
        <v>45983.624999998741</v>
      </c>
      <c r="TE18" s="3119">
        <f t="shared" si="535"/>
        <v>45983.666666665406</v>
      </c>
      <c r="TF18" s="3119">
        <f t="shared" si="536"/>
        <v>45983.70833333207</v>
      </c>
      <c r="TG18" s="3119">
        <f t="shared" si="537"/>
        <v>45983.749999998734</v>
      </c>
      <c r="TH18" s="3119">
        <f t="shared" si="538"/>
        <v>45983.791666665398</v>
      </c>
      <c r="TI18" s="3119">
        <f t="shared" si="539"/>
        <v>45983.833333332062</v>
      </c>
      <c r="TJ18" s="3119">
        <f t="shared" si="540"/>
        <v>45983.874999998727</v>
      </c>
      <c r="TK18" s="3119">
        <f t="shared" si="541"/>
        <v>45983.916666665391</v>
      </c>
      <c r="TL18" s="3119">
        <f t="shared" si="542"/>
        <v>45983.958333332055</v>
      </c>
      <c r="TM18" s="3119">
        <f t="shared" si="543"/>
        <v>45983.999999998719</v>
      </c>
      <c r="TN18" s="3119">
        <f t="shared" si="544"/>
        <v>45984.041666665384</v>
      </c>
      <c r="TO18" s="3119">
        <f t="shared" si="545"/>
        <v>45984.083333332048</v>
      </c>
      <c r="TP18" s="3119">
        <f t="shared" si="546"/>
        <v>45984.124999998712</v>
      </c>
      <c r="TQ18" s="3119">
        <f t="shared" si="547"/>
        <v>45984.166666665376</v>
      </c>
      <c r="TR18" s="3119">
        <f t="shared" si="548"/>
        <v>45984.208333332041</v>
      </c>
      <c r="TS18" s="3119">
        <f t="shared" si="549"/>
        <v>45984.249999998705</v>
      </c>
      <c r="TT18" s="3119">
        <f t="shared" si="550"/>
        <v>45984.291666665369</v>
      </c>
      <c r="TU18" s="3119">
        <f t="shared" si="551"/>
        <v>45984.333333332033</v>
      </c>
      <c r="TV18" s="3119">
        <f t="shared" si="552"/>
        <v>45984.374999998698</v>
      </c>
      <c r="TW18" s="3119">
        <f t="shared" si="553"/>
        <v>45984.416666665362</v>
      </c>
      <c r="TX18" s="3119">
        <f t="shared" si="554"/>
        <v>45984.458333332026</v>
      </c>
      <c r="TY18" s="3119">
        <f t="shared" si="555"/>
        <v>45984.49999999869</v>
      </c>
      <c r="TZ18" s="3119">
        <f t="shared" si="556"/>
        <v>45984.541666665355</v>
      </c>
      <c r="UA18" s="3119">
        <f t="shared" si="557"/>
        <v>45984.583333332019</v>
      </c>
      <c r="UB18" s="3119">
        <f t="shared" si="558"/>
        <v>45984.624999998683</v>
      </c>
      <c r="UC18" s="3119">
        <f t="shared" si="559"/>
        <v>45984.666666665347</v>
      </c>
      <c r="UD18" s="3119">
        <f t="shared" si="560"/>
        <v>45984.708333332012</v>
      </c>
      <c r="UE18" s="3119">
        <f t="shared" si="561"/>
        <v>45984.749999998676</v>
      </c>
      <c r="UF18" s="3119">
        <f t="shared" si="562"/>
        <v>45984.79166666534</v>
      </c>
      <c r="UG18" s="3119">
        <f t="shared" si="563"/>
        <v>45984.833333332004</v>
      </c>
      <c r="UH18" s="3119">
        <f t="shared" si="564"/>
        <v>45984.874999998668</v>
      </c>
      <c r="UI18" s="3119">
        <f t="shared" si="565"/>
        <v>45984.916666665333</v>
      </c>
      <c r="UJ18" s="3119">
        <f t="shared" si="566"/>
        <v>45984.958333331997</v>
      </c>
      <c r="UK18" s="3119">
        <f t="shared" si="567"/>
        <v>45984.999999998661</v>
      </c>
      <c r="UL18" s="3119">
        <f t="shared" si="568"/>
        <v>45985.041666665325</v>
      </c>
      <c r="UM18" s="3119">
        <f t="shared" si="569"/>
        <v>45985.08333333199</v>
      </c>
      <c r="UN18" s="3119">
        <f t="shared" si="570"/>
        <v>45985.124999998654</v>
      </c>
      <c r="UO18" s="3119">
        <f t="shared" si="571"/>
        <v>45985.166666665318</v>
      </c>
      <c r="UP18" s="3119">
        <f t="shared" si="572"/>
        <v>45985.208333331982</v>
      </c>
      <c r="UQ18" s="3119">
        <f t="shared" si="573"/>
        <v>45985.249999998647</v>
      </c>
      <c r="UR18" s="3119">
        <f t="shared" si="574"/>
        <v>45985.291666665311</v>
      </c>
      <c r="US18" s="3119">
        <f t="shared" si="575"/>
        <v>45985.333333331975</v>
      </c>
      <c r="UT18" s="3119">
        <f t="shared" si="576"/>
        <v>45985.374999998639</v>
      </c>
      <c r="UU18" s="3119">
        <f t="shared" si="577"/>
        <v>45985.416666665304</v>
      </c>
      <c r="UV18" s="3119">
        <f t="shared" si="578"/>
        <v>45985.458333331968</v>
      </c>
      <c r="UW18" s="3119">
        <f t="shared" si="579"/>
        <v>45985.499999998632</v>
      </c>
      <c r="UX18" s="3119">
        <f t="shared" si="580"/>
        <v>45985.541666665296</v>
      </c>
      <c r="UY18" s="3119">
        <f t="shared" si="581"/>
        <v>45985.583333331961</v>
      </c>
      <c r="UZ18" s="3119">
        <f t="shared" si="582"/>
        <v>45985.624999998625</v>
      </c>
      <c r="VA18" s="3119">
        <f t="shared" si="583"/>
        <v>45985.666666665289</v>
      </c>
      <c r="VB18" s="3119">
        <f t="shared" si="584"/>
        <v>45985.708333331953</v>
      </c>
      <c r="VC18" s="3119">
        <f t="shared" si="585"/>
        <v>45985.749999998618</v>
      </c>
      <c r="VD18" s="3119">
        <f t="shared" si="586"/>
        <v>45985.791666665282</v>
      </c>
      <c r="VE18" s="3119">
        <f t="shared" si="587"/>
        <v>45985.833333331946</v>
      </c>
      <c r="VF18" s="3119">
        <f t="shared" si="588"/>
        <v>45985.87499999861</v>
      </c>
      <c r="VG18" s="3119">
        <f t="shared" si="589"/>
        <v>45985.916666665275</v>
      </c>
      <c r="VH18" s="3119">
        <f t="shared" si="590"/>
        <v>45985.958333331939</v>
      </c>
      <c r="VI18" s="3119">
        <f t="shared" si="591"/>
        <v>45985.999999998603</v>
      </c>
      <c r="VJ18" s="3119">
        <f t="shared" si="22"/>
        <v>45986.041666665267</v>
      </c>
      <c r="VK18" s="3119">
        <f t="shared" si="592"/>
        <v>45986.083333331931</v>
      </c>
      <c r="VL18" s="3119">
        <f t="shared" si="593"/>
        <v>45986.124999998596</v>
      </c>
      <c r="VM18" s="3119">
        <f t="shared" si="594"/>
        <v>45986.16666666526</v>
      </c>
      <c r="VN18" s="3119">
        <f t="shared" si="595"/>
        <v>45986.208333331924</v>
      </c>
      <c r="VO18" s="3119">
        <f t="shared" si="596"/>
        <v>45986.249999998588</v>
      </c>
      <c r="VP18" s="3119">
        <f t="shared" si="597"/>
        <v>45986.291666665253</v>
      </c>
      <c r="VQ18" s="3119">
        <f t="shared" si="598"/>
        <v>45986.333333331917</v>
      </c>
      <c r="VR18" s="3119">
        <f t="shared" si="599"/>
        <v>45986.374999998581</v>
      </c>
      <c r="VS18" s="3119">
        <f t="shared" si="600"/>
        <v>45986.416666665245</v>
      </c>
      <c r="VT18" s="3119">
        <f t="shared" si="601"/>
        <v>45986.45833333191</v>
      </c>
      <c r="VU18" s="3119">
        <f t="shared" si="602"/>
        <v>45986.499999998574</v>
      </c>
      <c r="VV18" s="3119">
        <f t="shared" si="603"/>
        <v>45986.541666665238</v>
      </c>
      <c r="VW18" s="3119">
        <f t="shared" si="604"/>
        <v>45986.583333331902</v>
      </c>
      <c r="VX18" s="3119">
        <f t="shared" si="605"/>
        <v>45986.624999998567</v>
      </c>
      <c r="VY18" s="3119">
        <f t="shared" si="606"/>
        <v>45986.666666665231</v>
      </c>
      <c r="VZ18" s="3119">
        <f t="shared" si="607"/>
        <v>45986.708333331895</v>
      </c>
      <c r="WA18" s="3119">
        <f t="shared" si="608"/>
        <v>45986.749999998559</v>
      </c>
      <c r="WB18" s="3119">
        <f t="shared" si="609"/>
        <v>45986.791666665224</v>
      </c>
      <c r="WC18" s="3119">
        <f t="shared" si="610"/>
        <v>45986.833333331888</v>
      </c>
      <c r="WD18" s="3119">
        <f t="shared" si="611"/>
        <v>45986.874999998552</v>
      </c>
      <c r="WE18" s="3119">
        <f t="shared" si="612"/>
        <v>45986.916666665216</v>
      </c>
      <c r="WF18" s="3119">
        <f t="shared" si="613"/>
        <v>45986.958333331881</v>
      </c>
      <c r="WG18" s="3119">
        <f t="shared" si="614"/>
        <v>45986.999999998545</v>
      </c>
      <c r="WH18" s="3119">
        <f t="shared" si="615"/>
        <v>45987.041666665209</v>
      </c>
      <c r="WI18" s="3119">
        <f t="shared" si="616"/>
        <v>45987.083333331873</v>
      </c>
      <c r="WJ18" s="3119">
        <f t="shared" si="617"/>
        <v>45987.124999998538</v>
      </c>
      <c r="WK18" s="3119">
        <f t="shared" si="618"/>
        <v>45987.166666665202</v>
      </c>
      <c r="WL18" s="3119">
        <f t="shared" si="619"/>
        <v>45987.208333331866</v>
      </c>
      <c r="WM18" s="3119">
        <f t="shared" si="620"/>
        <v>45987.24999999853</v>
      </c>
      <c r="WN18" s="3119">
        <f t="shared" si="621"/>
        <v>45987.291666665194</v>
      </c>
      <c r="WO18" s="3119">
        <f t="shared" si="622"/>
        <v>45987.333333331859</v>
      </c>
      <c r="WP18" s="3119">
        <f t="shared" si="623"/>
        <v>45987.374999998523</v>
      </c>
      <c r="WQ18" s="3119">
        <f t="shared" si="624"/>
        <v>45987.416666665187</v>
      </c>
      <c r="WR18" s="3119">
        <f t="shared" si="625"/>
        <v>45987.458333331851</v>
      </c>
      <c r="WS18" s="3119">
        <f t="shared" si="626"/>
        <v>45987.499999998516</v>
      </c>
      <c r="WT18" s="3119">
        <f t="shared" si="627"/>
        <v>45987.54166666518</v>
      </c>
      <c r="WU18" s="3119">
        <f t="shared" si="628"/>
        <v>45987.583333331844</v>
      </c>
      <c r="WV18" s="3119">
        <f t="shared" si="629"/>
        <v>45987.624999998508</v>
      </c>
      <c r="WW18" s="3119">
        <f t="shared" si="630"/>
        <v>45987.666666665173</v>
      </c>
      <c r="WX18" s="3119">
        <f t="shared" si="631"/>
        <v>45987.708333331837</v>
      </c>
      <c r="WY18" s="3119">
        <f t="shared" si="632"/>
        <v>45987.749999998501</v>
      </c>
      <c r="WZ18" s="3119">
        <f t="shared" si="633"/>
        <v>45987.791666665165</v>
      </c>
      <c r="XA18" s="3119">
        <f t="shared" si="634"/>
        <v>45987.83333333183</v>
      </c>
      <c r="XB18" s="3119">
        <f t="shared" si="635"/>
        <v>45987.874999998494</v>
      </c>
      <c r="XC18" s="3119">
        <f t="shared" si="636"/>
        <v>45987.916666665158</v>
      </c>
      <c r="XD18" s="3119">
        <f t="shared" si="637"/>
        <v>45987.958333331822</v>
      </c>
      <c r="XE18" s="3119">
        <f t="shared" si="638"/>
        <v>45987.999999998487</v>
      </c>
      <c r="XF18" s="3119">
        <f t="shared" si="639"/>
        <v>45988.041666665151</v>
      </c>
      <c r="XG18" s="3119">
        <f t="shared" si="640"/>
        <v>45988.083333331815</v>
      </c>
      <c r="XH18" s="3119">
        <f t="shared" si="641"/>
        <v>45988.124999998479</v>
      </c>
      <c r="XI18" s="3119">
        <f t="shared" si="642"/>
        <v>45988.166666665144</v>
      </c>
      <c r="XJ18" s="3119">
        <f t="shared" si="643"/>
        <v>45988.208333331808</v>
      </c>
      <c r="XK18" s="3119">
        <f t="shared" si="644"/>
        <v>45988.249999998472</v>
      </c>
      <c r="XL18" s="3119">
        <f t="shared" si="645"/>
        <v>45988.291666665136</v>
      </c>
      <c r="XM18" s="3119">
        <f t="shared" si="646"/>
        <v>45988.333333331801</v>
      </c>
      <c r="XN18" s="3119">
        <f t="shared" si="647"/>
        <v>45988.374999998465</v>
      </c>
      <c r="XO18" s="3119">
        <f t="shared" si="648"/>
        <v>45988.416666665129</v>
      </c>
      <c r="XP18" s="3119">
        <f t="shared" si="649"/>
        <v>45988.458333331793</v>
      </c>
      <c r="XQ18" s="3119">
        <f t="shared" si="650"/>
        <v>45988.499999998457</v>
      </c>
      <c r="XR18" s="3119">
        <f t="shared" si="651"/>
        <v>45988.541666665122</v>
      </c>
      <c r="XS18" s="3119">
        <f t="shared" si="652"/>
        <v>45988.583333331786</v>
      </c>
      <c r="XT18" s="3119">
        <f t="shared" si="653"/>
        <v>45988.62499999845</v>
      </c>
      <c r="XU18" s="3119">
        <f t="shared" si="654"/>
        <v>45988.666666665114</v>
      </c>
      <c r="XV18" s="3119">
        <f t="shared" si="23"/>
        <v>45988.708333331779</v>
      </c>
      <c r="XW18" s="3119">
        <f t="shared" si="655"/>
        <v>45988.749999998443</v>
      </c>
      <c r="XX18" s="3119">
        <f t="shared" si="656"/>
        <v>45988.791666665107</v>
      </c>
      <c r="XY18" s="3119">
        <f t="shared" si="657"/>
        <v>45988.833333331771</v>
      </c>
      <c r="XZ18" s="3119">
        <f t="shared" si="658"/>
        <v>45988.874999998436</v>
      </c>
      <c r="YA18" s="3119">
        <f t="shared" si="659"/>
        <v>45988.9166666651</v>
      </c>
      <c r="YB18" s="3119">
        <f t="shared" si="660"/>
        <v>45988.958333331764</v>
      </c>
      <c r="YC18" s="3119">
        <f t="shared" si="661"/>
        <v>45988.999999998428</v>
      </c>
      <c r="YD18" s="3119">
        <f t="shared" si="662"/>
        <v>45989.041666665093</v>
      </c>
      <c r="YE18" s="3119">
        <f t="shared" si="663"/>
        <v>45989.083333331757</v>
      </c>
      <c r="YF18" s="3119">
        <f t="shared" si="664"/>
        <v>45989.124999998421</v>
      </c>
      <c r="YG18" s="3119">
        <f t="shared" si="665"/>
        <v>45989.166666665085</v>
      </c>
      <c r="YH18" s="3119">
        <f t="shared" si="666"/>
        <v>45989.20833333175</v>
      </c>
      <c r="YI18" s="3119">
        <f t="shared" si="667"/>
        <v>45989.249999998414</v>
      </c>
      <c r="YJ18" s="3119">
        <f t="shared" si="668"/>
        <v>45989.291666665078</v>
      </c>
      <c r="YK18" s="3119">
        <f t="shared" si="669"/>
        <v>45989.333333331742</v>
      </c>
      <c r="YL18" s="3119">
        <f t="shared" si="670"/>
        <v>45989.374999998407</v>
      </c>
      <c r="YM18" s="3119">
        <f t="shared" si="671"/>
        <v>45989.416666665071</v>
      </c>
      <c r="YN18" s="3119">
        <f t="shared" si="672"/>
        <v>45989.458333331735</v>
      </c>
      <c r="YO18" s="3119">
        <f t="shared" si="673"/>
        <v>45989.499999998399</v>
      </c>
      <c r="YP18" s="3119">
        <f t="shared" si="674"/>
        <v>45989.541666665064</v>
      </c>
      <c r="YQ18" s="3119">
        <f t="shared" si="675"/>
        <v>45989.583333331728</v>
      </c>
      <c r="YR18" s="3119">
        <f t="shared" si="676"/>
        <v>45989.624999998392</v>
      </c>
      <c r="YS18" s="3119">
        <f t="shared" si="677"/>
        <v>45989.666666665056</v>
      </c>
      <c r="YT18" s="3119">
        <f t="shared" si="678"/>
        <v>45989.70833333172</v>
      </c>
      <c r="YU18" s="3119">
        <f t="shared" si="679"/>
        <v>45989.749999998385</v>
      </c>
      <c r="YV18" s="3119">
        <f t="shared" si="680"/>
        <v>45989.791666665049</v>
      </c>
      <c r="YW18" s="3119">
        <f t="shared" si="681"/>
        <v>45989.833333331713</v>
      </c>
      <c r="YX18" s="3119">
        <f t="shared" si="682"/>
        <v>45989.874999998377</v>
      </c>
      <c r="YY18" s="3119">
        <f t="shared" si="683"/>
        <v>45989.916666665042</v>
      </c>
      <c r="YZ18" s="3119">
        <f t="shared" si="684"/>
        <v>45989.958333331706</v>
      </c>
      <c r="ZA18" s="3119">
        <f t="shared" si="685"/>
        <v>45989.99999999837</v>
      </c>
      <c r="ZB18" s="3119">
        <f t="shared" si="686"/>
        <v>45990.041666665034</v>
      </c>
      <c r="ZC18" s="3119">
        <f t="shared" si="687"/>
        <v>45990.083333331699</v>
      </c>
      <c r="ZD18" s="3119">
        <f t="shared" si="688"/>
        <v>45990.124999998363</v>
      </c>
      <c r="ZE18" s="3119">
        <f t="shared" si="689"/>
        <v>45990.166666665027</v>
      </c>
      <c r="ZF18" s="3119">
        <f t="shared" si="690"/>
        <v>45990.208333331691</v>
      </c>
      <c r="ZG18" s="3119">
        <f t="shared" si="691"/>
        <v>45990.249999998356</v>
      </c>
      <c r="ZH18" s="3119">
        <f t="shared" si="692"/>
        <v>45990.29166666502</v>
      </c>
      <c r="ZI18" s="3119">
        <f t="shared" si="693"/>
        <v>45990.333333331684</v>
      </c>
      <c r="ZJ18" s="3119">
        <f t="shared" si="694"/>
        <v>45990.374999998348</v>
      </c>
      <c r="ZK18" s="3119">
        <f t="shared" si="695"/>
        <v>45990.416666665013</v>
      </c>
      <c r="ZL18" s="3119">
        <f t="shared" si="696"/>
        <v>45990.458333331677</v>
      </c>
      <c r="ZM18" s="3119">
        <f t="shared" si="697"/>
        <v>45990.499999998341</v>
      </c>
      <c r="ZN18" s="3119">
        <f t="shared" si="698"/>
        <v>45990.541666665005</v>
      </c>
      <c r="ZO18" s="3119">
        <f t="shared" si="699"/>
        <v>45990.58333333167</v>
      </c>
      <c r="ZP18" s="3119">
        <f t="shared" si="700"/>
        <v>45990.624999998334</v>
      </c>
      <c r="ZQ18" s="3119">
        <f t="shared" si="701"/>
        <v>45990.666666664998</v>
      </c>
      <c r="ZR18" s="3119">
        <f t="shared" si="702"/>
        <v>45990.708333331662</v>
      </c>
      <c r="ZS18" s="3119">
        <f t="shared" si="703"/>
        <v>45990.749999998327</v>
      </c>
      <c r="ZT18" s="3119">
        <f t="shared" si="704"/>
        <v>45990.791666664991</v>
      </c>
      <c r="ZU18" s="3119">
        <f t="shared" si="705"/>
        <v>45990.833333331655</v>
      </c>
      <c r="ZV18" s="3119">
        <f t="shared" si="706"/>
        <v>45990.874999998319</v>
      </c>
      <c r="ZW18" s="3119">
        <f t="shared" si="707"/>
        <v>45990.916666664983</v>
      </c>
      <c r="ZX18" s="3119">
        <f t="shared" si="708"/>
        <v>45990.958333331648</v>
      </c>
      <c r="ZY18" s="3119">
        <f t="shared" si="709"/>
        <v>45990.999999998312</v>
      </c>
      <c r="ZZ18" s="3119">
        <f t="shared" si="710"/>
        <v>45991.041666664976</v>
      </c>
      <c r="AAA18" s="3119">
        <f t="shared" si="711"/>
        <v>45991.08333333164</v>
      </c>
      <c r="AAB18" s="3119">
        <f t="shared" si="712"/>
        <v>45991.124999998305</v>
      </c>
      <c r="AAC18" s="3119">
        <f t="shared" si="713"/>
        <v>45991.166666664969</v>
      </c>
      <c r="AAD18" s="3119">
        <f t="shared" si="714"/>
        <v>45991.208333331633</v>
      </c>
      <c r="AAE18" s="3119">
        <f t="shared" si="715"/>
        <v>45991.249999998297</v>
      </c>
      <c r="AAF18" s="3119">
        <f t="shared" si="716"/>
        <v>45991.291666664962</v>
      </c>
      <c r="AAG18" s="3119">
        <f t="shared" si="717"/>
        <v>45991.333333331626</v>
      </c>
      <c r="AAH18" s="3119">
        <f t="shared" si="24"/>
        <v>45991.37499999829</v>
      </c>
      <c r="AAI18" s="3119">
        <f t="shared" si="12"/>
        <v>45991.416666664954</v>
      </c>
      <c r="AAJ18" s="3119">
        <f t="shared" si="12"/>
        <v>45991.458333331619</v>
      </c>
      <c r="AAK18" s="3119">
        <f t="shared" si="12"/>
        <v>45991.499999998283</v>
      </c>
      <c r="AAL18" s="3119">
        <f t="shared" si="12"/>
        <v>45991.541666664947</v>
      </c>
      <c r="AAM18" s="3119">
        <f t="shared" si="12"/>
        <v>45991.583333331611</v>
      </c>
      <c r="AAN18" s="3119">
        <f t="shared" si="12"/>
        <v>45991.624999998276</v>
      </c>
      <c r="AAO18" s="3119">
        <f t="shared" si="12"/>
        <v>45991.66666666494</v>
      </c>
      <c r="AAP18" s="3119">
        <f t="shared" si="12"/>
        <v>45991.708333331604</v>
      </c>
      <c r="AAQ18" s="3119">
        <f t="shared" si="12"/>
        <v>45991.749999998268</v>
      </c>
      <c r="AAR18" s="3119">
        <f t="shared" si="12"/>
        <v>45991.791666664933</v>
      </c>
      <c r="AAS18" s="3119">
        <f t="shared" si="12"/>
        <v>45991.833333331597</v>
      </c>
      <c r="AAT18" s="3119">
        <f t="shared" si="12"/>
        <v>45991.874999998261</v>
      </c>
      <c r="AAU18" s="3119">
        <f t="shared" si="12"/>
        <v>45991.916666664925</v>
      </c>
      <c r="AAV18" s="3119">
        <f t="shared" si="12"/>
        <v>45991.95833333159</v>
      </c>
    </row>
    <row r="19" spans="1:724" s="282" customFormat="1" ht="13">
      <c r="A19" s="3115" t="s">
        <v>1542</v>
      </c>
      <c r="B19" s="3119">
        <v>45966.875</v>
      </c>
      <c r="C19" s="3119">
        <v>45967.875</v>
      </c>
      <c r="D19" s="3116">
        <f t="shared" si="0"/>
        <v>24</v>
      </c>
      <c r="E19" s="3119">
        <v>45962</v>
      </c>
      <c r="F19" s="3119">
        <f t="shared" si="13"/>
        <v>45962.041666666664</v>
      </c>
      <c r="G19" s="3119">
        <f t="shared" si="25"/>
        <v>45962.083333333328</v>
      </c>
      <c r="H19" s="3119">
        <f t="shared" si="26"/>
        <v>45962.124999999993</v>
      </c>
      <c r="I19" s="3119">
        <f t="shared" si="27"/>
        <v>45962.166666666657</v>
      </c>
      <c r="J19" s="3119">
        <f t="shared" si="28"/>
        <v>45962.208333333321</v>
      </c>
      <c r="K19" s="3119">
        <f t="shared" si="29"/>
        <v>45962.249999999985</v>
      </c>
      <c r="L19" s="3119">
        <f t="shared" si="30"/>
        <v>45962.29166666665</v>
      </c>
      <c r="M19" s="3119">
        <f t="shared" si="31"/>
        <v>45962.333333333314</v>
      </c>
      <c r="N19" s="3119">
        <f t="shared" si="32"/>
        <v>45962.374999999978</v>
      </c>
      <c r="O19" s="3119">
        <f t="shared" si="33"/>
        <v>45962.416666666642</v>
      </c>
      <c r="P19" s="3119">
        <f t="shared" si="34"/>
        <v>45962.458333333307</v>
      </c>
      <c r="Q19" s="3119">
        <f t="shared" si="35"/>
        <v>45962.499999999971</v>
      </c>
      <c r="R19" s="3119">
        <f t="shared" si="36"/>
        <v>45962.541666666635</v>
      </c>
      <c r="S19" s="3119">
        <f t="shared" si="37"/>
        <v>45962.583333333299</v>
      </c>
      <c r="T19" s="3119">
        <f t="shared" si="38"/>
        <v>45962.624999999964</v>
      </c>
      <c r="U19" s="3119">
        <f t="shared" si="39"/>
        <v>45962.666666666628</v>
      </c>
      <c r="V19" s="3119">
        <f t="shared" si="40"/>
        <v>45962.708333333292</v>
      </c>
      <c r="W19" s="3119">
        <f t="shared" si="41"/>
        <v>45962.749999999956</v>
      </c>
      <c r="X19" s="3119">
        <f t="shared" si="42"/>
        <v>45962.791666666621</v>
      </c>
      <c r="Y19" s="3119">
        <f t="shared" si="43"/>
        <v>45962.833333333285</v>
      </c>
      <c r="Z19" s="3119">
        <f t="shared" si="44"/>
        <v>45962.874999999949</v>
      </c>
      <c r="AA19" s="3119">
        <f t="shared" si="45"/>
        <v>45962.916666666613</v>
      </c>
      <c r="AB19" s="3119">
        <f t="shared" si="46"/>
        <v>45962.958333333278</v>
      </c>
      <c r="AC19" s="3119">
        <f t="shared" si="47"/>
        <v>45962.999999999942</v>
      </c>
      <c r="AD19" s="3119">
        <f t="shared" si="48"/>
        <v>45963.041666666606</v>
      </c>
      <c r="AE19" s="3119">
        <f t="shared" si="49"/>
        <v>45963.08333333327</v>
      </c>
      <c r="AF19" s="3119">
        <f t="shared" si="50"/>
        <v>45963.124999999935</v>
      </c>
      <c r="AG19" s="3119">
        <f t="shared" si="51"/>
        <v>45963.166666666599</v>
      </c>
      <c r="AH19" s="3119">
        <f t="shared" si="52"/>
        <v>45963.208333333263</v>
      </c>
      <c r="AI19" s="3119">
        <f t="shared" si="53"/>
        <v>45963.249999999927</v>
      </c>
      <c r="AJ19" s="3119">
        <f t="shared" si="54"/>
        <v>45963.291666666591</v>
      </c>
      <c r="AK19" s="3119">
        <f t="shared" si="55"/>
        <v>45963.333333333256</v>
      </c>
      <c r="AL19" s="3119">
        <f t="shared" si="56"/>
        <v>45963.37499999992</v>
      </c>
      <c r="AM19" s="3119">
        <f t="shared" si="57"/>
        <v>45963.416666666584</v>
      </c>
      <c r="AN19" s="3119">
        <f t="shared" si="58"/>
        <v>45963.458333333248</v>
      </c>
      <c r="AO19" s="3119">
        <f t="shared" si="59"/>
        <v>45963.499999999913</v>
      </c>
      <c r="AP19" s="3119">
        <f t="shared" si="60"/>
        <v>45963.541666666577</v>
      </c>
      <c r="AQ19" s="3119">
        <f t="shared" si="61"/>
        <v>45963.583333333241</v>
      </c>
      <c r="AR19" s="3119">
        <f t="shared" si="62"/>
        <v>45963.624999999905</v>
      </c>
      <c r="AS19" s="3119">
        <f t="shared" si="63"/>
        <v>45963.66666666657</v>
      </c>
      <c r="AT19" s="3119">
        <f t="shared" si="64"/>
        <v>45963.708333333234</v>
      </c>
      <c r="AU19" s="3119">
        <f t="shared" si="65"/>
        <v>45963.749999999898</v>
      </c>
      <c r="AV19" s="3119">
        <f t="shared" si="66"/>
        <v>45963.791666666562</v>
      </c>
      <c r="AW19" s="3119">
        <f t="shared" si="67"/>
        <v>45963.833333333227</v>
      </c>
      <c r="AX19" s="3119">
        <f t="shared" si="68"/>
        <v>45963.874999999891</v>
      </c>
      <c r="AY19" s="3119">
        <f t="shared" si="69"/>
        <v>45963.916666666555</v>
      </c>
      <c r="AZ19" s="3119">
        <f t="shared" si="70"/>
        <v>45963.958333333219</v>
      </c>
      <c r="BA19" s="3119">
        <f t="shared" si="71"/>
        <v>45963.999999999884</v>
      </c>
      <c r="BB19" s="3119">
        <f t="shared" si="72"/>
        <v>45964.041666666548</v>
      </c>
      <c r="BC19" s="3119">
        <f t="shared" si="73"/>
        <v>45964.083333333212</v>
      </c>
      <c r="BD19" s="3119">
        <f t="shared" si="74"/>
        <v>45964.124999999876</v>
      </c>
      <c r="BE19" s="3119">
        <f t="shared" si="75"/>
        <v>45964.166666666541</v>
      </c>
      <c r="BF19" s="3119">
        <f t="shared" si="76"/>
        <v>45964.208333333205</v>
      </c>
      <c r="BG19" s="3119">
        <f t="shared" si="77"/>
        <v>45964.249999999869</v>
      </c>
      <c r="BH19" s="3119">
        <f t="shared" si="78"/>
        <v>45964.291666666533</v>
      </c>
      <c r="BI19" s="3119">
        <f t="shared" si="79"/>
        <v>45964.333333333198</v>
      </c>
      <c r="BJ19" s="3119">
        <f t="shared" si="80"/>
        <v>45964.374999999862</v>
      </c>
      <c r="BK19" s="3119">
        <f t="shared" si="81"/>
        <v>45964.416666666526</v>
      </c>
      <c r="BL19" s="3119">
        <f t="shared" si="82"/>
        <v>45964.45833333319</v>
      </c>
      <c r="BM19" s="3119">
        <f t="shared" si="83"/>
        <v>45964.499999999854</v>
      </c>
      <c r="BN19" s="3119">
        <f t="shared" si="84"/>
        <v>45964.541666666519</v>
      </c>
      <c r="BO19" s="3119">
        <f t="shared" si="85"/>
        <v>45964.583333333183</v>
      </c>
      <c r="BP19" s="3119">
        <f t="shared" si="86"/>
        <v>45964.624999999847</v>
      </c>
      <c r="BQ19" s="3119">
        <f t="shared" si="87"/>
        <v>45964.666666666511</v>
      </c>
      <c r="BR19" s="3119">
        <f t="shared" si="14"/>
        <v>45964.708333333176</v>
      </c>
      <c r="BS19" s="3119">
        <f t="shared" si="88"/>
        <v>45964.74999999984</v>
      </c>
      <c r="BT19" s="3119">
        <f t="shared" si="89"/>
        <v>45964.791666666504</v>
      </c>
      <c r="BU19" s="3119">
        <f t="shared" si="90"/>
        <v>45964.833333333168</v>
      </c>
      <c r="BV19" s="3119">
        <f t="shared" si="91"/>
        <v>45964.874999999833</v>
      </c>
      <c r="BW19" s="3119">
        <f t="shared" si="92"/>
        <v>45964.916666666497</v>
      </c>
      <c r="BX19" s="3119">
        <f t="shared" si="93"/>
        <v>45964.958333333161</v>
      </c>
      <c r="BY19" s="3119">
        <f t="shared" si="94"/>
        <v>45964.999999999825</v>
      </c>
      <c r="BZ19" s="3119">
        <f t="shared" si="95"/>
        <v>45965.04166666649</v>
      </c>
      <c r="CA19" s="3119">
        <f t="shared" si="96"/>
        <v>45965.083333333154</v>
      </c>
      <c r="CB19" s="3119">
        <f t="shared" si="97"/>
        <v>45965.124999999818</v>
      </c>
      <c r="CC19" s="3119">
        <f t="shared" si="98"/>
        <v>45965.166666666482</v>
      </c>
      <c r="CD19" s="3119">
        <f t="shared" si="99"/>
        <v>45965.208333333147</v>
      </c>
      <c r="CE19" s="3119">
        <f t="shared" si="100"/>
        <v>45965.249999999811</v>
      </c>
      <c r="CF19" s="3119">
        <f t="shared" si="101"/>
        <v>45965.291666666475</v>
      </c>
      <c r="CG19" s="3119">
        <f t="shared" si="102"/>
        <v>45965.333333333139</v>
      </c>
      <c r="CH19" s="3119">
        <f t="shared" si="103"/>
        <v>45965.374999999804</v>
      </c>
      <c r="CI19" s="3119">
        <f t="shared" si="104"/>
        <v>45965.416666666468</v>
      </c>
      <c r="CJ19" s="3119">
        <f t="shared" si="105"/>
        <v>45965.458333333132</v>
      </c>
      <c r="CK19" s="3119">
        <f t="shared" si="106"/>
        <v>45965.499999999796</v>
      </c>
      <c r="CL19" s="3119">
        <f t="shared" si="107"/>
        <v>45965.541666666461</v>
      </c>
      <c r="CM19" s="3119">
        <f t="shared" si="108"/>
        <v>45965.583333333125</v>
      </c>
      <c r="CN19" s="3119">
        <f t="shared" si="109"/>
        <v>45965.624999999789</v>
      </c>
      <c r="CO19" s="3119">
        <f t="shared" si="110"/>
        <v>45965.666666666453</v>
      </c>
      <c r="CP19" s="3119">
        <f t="shared" si="111"/>
        <v>45965.708333333117</v>
      </c>
      <c r="CQ19" s="3119">
        <f t="shared" si="112"/>
        <v>45965.749999999782</v>
      </c>
      <c r="CR19" s="3119">
        <f t="shared" si="113"/>
        <v>45965.791666666446</v>
      </c>
      <c r="CS19" s="3119">
        <f t="shared" si="114"/>
        <v>45965.83333333311</v>
      </c>
      <c r="CT19" s="3119">
        <f t="shared" si="115"/>
        <v>45965.874999999774</v>
      </c>
      <c r="CU19" s="3119">
        <f t="shared" si="116"/>
        <v>45965.916666666439</v>
      </c>
      <c r="CV19" s="3119">
        <f t="shared" si="117"/>
        <v>45965.958333333103</v>
      </c>
      <c r="CW19" s="3119">
        <f t="shared" si="118"/>
        <v>45965.999999999767</v>
      </c>
      <c r="CX19" s="3119">
        <f t="shared" si="119"/>
        <v>45966.041666666431</v>
      </c>
      <c r="CY19" s="3119">
        <f t="shared" si="120"/>
        <v>45966.083333333096</v>
      </c>
      <c r="CZ19" s="3119">
        <f t="shared" si="121"/>
        <v>45966.12499999976</v>
      </c>
      <c r="DA19" s="3119">
        <f t="shared" si="122"/>
        <v>45966.166666666424</v>
      </c>
      <c r="DB19" s="3119">
        <f t="shared" si="123"/>
        <v>45966.208333333088</v>
      </c>
      <c r="DC19" s="3119">
        <f t="shared" si="124"/>
        <v>45966.249999999753</v>
      </c>
      <c r="DD19" s="3119">
        <f t="shared" si="125"/>
        <v>45966.291666666417</v>
      </c>
      <c r="DE19" s="3119">
        <f t="shared" si="126"/>
        <v>45966.333333333081</v>
      </c>
      <c r="DF19" s="3119">
        <f t="shared" si="127"/>
        <v>45966.374999999745</v>
      </c>
      <c r="DG19" s="3119">
        <f t="shared" si="128"/>
        <v>45966.41666666641</v>
      </c>
      <c r="DH19" s="3119">
        <f t="shared" si="129"/>
        <v>45966.458333333074</v>
      </c>
      <c r="DI19" s="3119">
        <f t="shared" si="130"/>
        <v>45966.499999999738</v>
      </c>
      <c r="DJ19" s="3119">
        <f t="shared" si="131"/>
        <v>45966.541666666402</v>
      </c>
      <c r="DK19" s="3119">
        <f t="shared" si="132"/>
        <v>45966.583333333067</v>
      </c>
      <c r="DL19" s="3119">
        <f t="shared" si="133"/>
        <v>45966.624999999731</v>
      </c>
      <c r="DM19" s="3119">
        <f t="shared" si="134"/>
        <v>45966.666666666395</v>
      </c>
      <c r="DN19" s="3119">
        <f t="shared" si="135"/>
        <v>45966.708333333059</v>
      </c>
      <c r="DO19" s="3119">
        <f t="shared" si="136"/>
        <v>45966.749999999724</v>
      </c>
      <c r="DP19" s="3119">
        <f t="shared" si="137"/>
        <v>45966.791666666388</v>
      </c>
      <c r="DQ19" s="3119">
        <f t="shared" si="138"/>
        <v>45966.833333333052</v>
      </c>
      <c r="DR19" s="3119">
        <f t="shared" si="139"/>
        <v>45966.874999999716</v>
      </c>
      <c r="DS19" s="3119">
        <f t="shared" si="140"/>
        <v>45966.91666666638</v>
      </c>
      <c r="DT19" s="3119">
        <f t="shared" si="141"/>
        <v>45966.958333333045</v>
      </c>
      <c r="DU19" s="3119">
        <f t="shared" si="142"/>
        <v>45966.999999999709</v>
      </c>
      <c r="DV19" s="3119">
        <f t="shared" si="143"/>
        <v>45967.041666666373</v>
      </c>
      <c r="DW19" s="3119">
        <f t="shared" si="144"/>
        <v>45967.083333333037</v>
      </c>
      <c r="DX19" s="3119">
        <f t="shared" si="145"/>
        <v>45967.124999999702</v>
      </c>
      <c r="DY19" s="3119">
        <f t="shared" si="146"/>
        <v>45967.166666666366</v>
      </c>
      <c r="DZ19" s="3119">
        <f t="shared" si="147"/>
        <v>45967.20833333303</v>
      </c>
      <c r="EA19" s="3119">
        <f t="shared" si="148"/>
        <v>45967.249999999694</v>
      </c>
      <c r="EB19" s="3119">
        <f t="shared" si="149"/>
        <v>45967.291666666359</v>
      </c>
      <c r="EC19" s="3119">
        <f t="shared" si="150"/>
        <v>45967.333333333023</v>
      </c>
      <c r="ED19" s="3119">
        <f t="shared" si="15"/>
        <v>45967.374999999687</v>
      </c>
      <c r="EE19" s="3119">
        <f t="shared" si="151"/>
        <v>45967.416666666351</v>
      </c>
      <c r="EF19" s="3119">
        <f t="shared" si="152"/>
        <v>45967.458333333016</v>
      </c>
      <c r="EG19" s="3119">
        <f t="shared" si="153"/>
        <v>45967.49999999968</v>
      </c>
      <c r="EH19" s="3119">
        <f t="shared" si="154"/>
        <v>45967.541666666344</v>
      </c>
      <c r="EI19" s="3119">
        <f t="shared" si="155"/>
        <v>45967.583333333008</v>
      </c>
      <c r="EJ19" s="3119">
        <f t="shared" si="156"/>
        <v>45967.624999999673</v>
      </c>
      <c r="EK19" s="3119">
        <f t="shared" si="157"/>
        <v>45967.666666666337</v>
      </c>
      <c r="EL19" s="3119">
        <f t="shared" si="158"/>
        <v>45967.708333333001</v>
      </c>
      <c r="EM19" s="3119">
        <f t="shared" si="159"/>
        <v>45967.749999999665</v>
      </c>
      <c r="EN19" s="3119">
        <f t="shared" si="160"/>
        <v>45967.79166666633</v>
      </c>
      <c r="EO19" s="3119">
        <f t="shared" si="161"/>
        <v>45967.833333332994</v>
      </c>
      <c r="EP19" s="3119">
        <f t="shared" si="162"/>
        <v>45967.874999999658</v>
      </c>
      <c r="EQ19" s="3119">
        <f t="shared" si="163"/>
        <v>45967.916666666322</v>
      </c>
      <c r="ER19" s="3119">
        <f t="shared" si="164"/>
        <v>45967.958333332987</v>
      </c>
      <c r="ES19" s="3119">
        <f t="shared" si="165"/>
        <v>45967.999999999651</v>
      </c>
      <c r="ET19" s="3119">
        <f t="shared" si="166"/>
        <v>45968.041666666315</v>
      </c>
      <c r="EU19" s="3119">
        <f t="shared" si="167"/>
        <v>45968.083333332979</v>
      </c>
      <c r="EV19" s="3119">
        <f t="shared" si="168"/>
        <v>45968.124999999643</v>
      </c>
      <c r="EW19" s="3119">
        <f t="shared" si="169"/>
        <v>45968.166666666308</v>
      </c>
      <c r="EX19" s="3119">
        <f t="shared" si="170"/>
        <v>45968.208333332972</v>
      </c>
      <c r="EY19" s="3119">
        <f t="shared" si="171"/>
        <v>45968.249999999636</v>
      </c>
      <c r="EZ19" s="3119">
        <f t="shared" si="172"/>
        <v>45968.2916666663</v>
      </c>
      <c r="FA19" s="3119">
        <f t="shared" si="173"/>
        <v>45968.333333332965</v>
      </c>
      <c r="FB19" s="3119">
        <f t="shared" si="174"/>
        <v>45968.374999999629</v>
      </c>
      <c r="FC19" s="3119">
        <f t="shared" si="175"/>
        <v>45968.416666666293</v>
      </c>
      <c r="FD19" s="3119">
        <f t="shared" si="176"/>
        <v>45968.458333332957</v>
      </c>
      <c r="FE19" s="3119">
        <f t="shared" si="177"/>
        <v>45968.499999999622</v>
      </c>
      <c r="FF19" s="3119">
        <f t="shared" si="178"/>
        <v>45968.541666666286</v>
      </c>
      <c r="FG19" s="3119">
        <f t="shared" si="179"/>
        <v>45968.58333333295</v>
      </c>
      <c r="FH19" s="3119">
        <f t="shared" si="180"/>
        <v>45968.624999999614</v>
      </c>
      <c r="FI19" s="3119">
        <f t="shared" si="181"/>
        <v>45968.666666666279</v>
      </c>
      <c r="FJ19" s="3119">
        <f t="shared" si="182"/>
        <v>45968.708333332943</v>
      </c>
      <c r="FK19" s="3119">
        <f t="shared" si="183"/>
        <v>45968.749999999607</v>
      </c>
      <c r="FL19" s="3119">
        <f t="shared" si="184"/>
        <v>45968.791666666271</v>
      </c>
      <c r="FM19" s="3119">
        <f t="shared" si="185"/>
        <v>45968.833333332936</v>
      </c>
      <c r="FN19" s="3119">
        <f t="shared" si="186"/>
        <v>45968.8749999996</v>
      </c>
      <c r="FO19" s="3119">
        <f t="shared" si="187"/>
        <v>45968.916666666264</v>
      </c>
      <c r="FP19" s="3119">
        <f t="shared" si="188"/>
        <v>45968.958333332928</v>
      </c>
      <c r="FQ19" s="3119">
        <f t="shared" si="189"/>
        <v>45968.999999999593</v>
      </c>
      <c r="FR19" s="3119">
        <f t="shared" si="190"/>
        <v>45969.041666666257</v>
      </c>
      <c r="FS19" s="3119">
        <f t="shared" si="191"/>
        <v>45969.083333332921</v>
      </c>
      <c r="FT19" s="3119">
        <f t="shared" si="192"/>
        <v>45969.124999999585</v>
      </c>
      <c r="FU19" s="3119">
        <f t="shared" si="193"/>
        <v>45969.16666666625</v>
      </c>
      <c r="FV19" s="3119">
        <f t="shared" si="194"/>
        <v>45969.208333332914</v>
      </c>
      <c r="FW19" s="3119">
        <f t="shared" si="195"/>
        <v>45969.249999999578</v>
      </c>
      <c r="FX19" s="3119">
        <f t="shared" si="196"/>
        <v>45969.291666666242</v>
      </c>
      <c r="FY19" s="3119">
        <f t="shared" si="197"/>
        <v>45969.333333332906</v>
      </c>
      <c r="FZ19" s="3119">
        <f t="shared" si="198"/>
        <v>45969.374999999571</v>
      </c>
      <c r="GA19" s="3119">
        <f t="shared" si="199"/>
        <v>45969.416666666235</v>
      </c>
      <c r="GB19" s="3119">
        <f t="shared" si="200"/>
        <v>45969.458333332899</v>
      </c>
      <c r="GC19" s="3119">
        <f t="shared" si="201"/>
        <v>45969.499999999563</v>
      </c>
      <c r="GD19" s="3119">
        <f t="shared" si="202"/>
        <v>45969.541666666228</v>
      </c>
      <c r="GE19" s="3119">
        <f t="shared" si="203"/>
        <v>45969.583333332892</v>
      </c>
      <c r="GF19" s="3119">
        <f t="shared" si="204"/>
        <v>45969.624999999556</v>
      </c>
      <c r="GG19" s="3119">
        <f t="shared" si="205"/>
        <v>45969.66666666622</v>
      </c>
      <c r="GH19" s="3119">
        <f t="shared" si="206"/>
        <v>45969.708333332885</v>
      </c>
      <c r="GI19" s="3119">
        <f t="shared" si="207"/>
        <v>45969.749999999549</v>
      </c>
      <c r="GJ19" s="3119">
        <f t="shared" si="208"/>
        <v>45969.791666666213</v>
      </c>
      <c r="GK19" s="3119">
        <f t="shared" si="209"/>
        <v>45969.833333332877</v>
      </c>
      <c r="GL19" s="3119">
        <f t="shared" si="210"/>
        <v>45969.874999999542</v>
      </c>
      <c r="GM19" s="3119">
        <f t="shared" si="211"/>
        <v>45969.916666666206</v>
      </c>
      <c r="GN19" s="3119">
        <f t="shared" si="212"/>
        <v>45969.95833333287</v>
      </c>
      <c r="GO19" s="3119">
        <f t="shared" si="213"/>
        <v>45969.999999999534</v>
      </c>
      <c r="GP19" s="3119">
        <f t="shared" si="16"/>
        <v>45970.041666666199</v>
      </c>
      <c r="GQ19" s="3119">
        <f t="shared" si="214"/>
        <v>45970.083333332863</v>
      </c>
      <c r="GR19" s="3119">
        <f t="shared" si="215"/>
        <v>45970.124999999527</v>
      </c>
      <c r="GS19" s="3119">
        <f t="shared" si="216"/>
        <v>45970.166666666191</v>
      </c>
      <c r="GT19" s="3119">
        <f t="shared" si="217"/>
        <v>45970.208333332856</v>
      </c>
      <c r="GU19" s="3119">
        <f t="shared" si="218"/>
        <v>45970.24999999952</v>
      </c>
      <c r="GV19" s="3119">
        <f t="shared" si="219"/>
        <v>45970.291666666184</v>
      </c>
      <c r="GW19" s="3119">
        <f t="shared" si="220"/>
        <v>45970.333333332848</v>
      </c>
      <c r="GX19" s="3119">
        <f t="shared" si="221"/>
        <v>45970.374999999513</v>
      </c>
      <c r="GY19" s="3119">
        <f t="shared" si="222"/>
        <v>45970.416666666177</v>
      </c>
      <c r="GZ19" s="3119">
        <f t="shared" si="223"/>
        <v>45970.458333332841</v>
      </c>
      <c r="HA19" s="3119">
        <f t="shared" si="224"/>
        <v>45970.499999999505</v>
      </c>
      <c r="HB19" s="3119">
        <f t="shared" si="225"/>
        <v>45970.541666666169</v>
      </c>
      <c r="HC19" s="3119">
        <f t="shared" si="226"/>
        <v>45970.583333332834</v>
      </c>
      <c r="HD19" s="3119">
        <f t="shared" si="227"/>
        <v>45970.624999999498</v>
      </c>
      <c r="HE19" s="3119">
        <f t="shared" si="228"/>
        <v>45970.666666666162</v>
      </c>
      <c r="HF19" s="3119">
        <f t="shared" si="229"/>
        <v>45970.708333332826</v>
      </c>
      <c r="HG19" s="3119">
        <f t="shared" si="230"/>
        <v>45970.749999999491</v>
      </c>
      <c r="HH19" s="3119">
        <f t="shared" si="231"/>
        <v>45970.791666666155</v>
      </c>
      <c r="HI19" s="3119">
        <f t="shared" si="232"/>
        <v>45970.833333332819</v>
      </c>
      <c r="HJ19" s="3119">
        <f t="shared" si="233"/>
        <v>45970.874999999483</v>
      </c>
      <c r="HK19" s="3119">
        <f t="shared" si="234"/>
        <v>45970.916666666148</v>
      </c>
      <c r="HL19" s="3119">
        <f t="shared" si="235"/>
        <v>45970.958333332812</v>
      </c>
      <c r="HM19" s="3119">
        <f t="shared" si="236"/>
        <v>45970.999999999476</v>
      </c>
      <c r="HN19" s="3119">
        <f t="shared" si="237"/>
        <v>45971.04166666614</v>
      </c>
      <c r="HO19" s="3119">
        <f t="shared" si="238"/>
        <v>45971.083333332805</v>
      </c>
      <c r="HP19" s="3119">
        <f t="shared" si="239"/>
        <v>45971.124999999469</v>
      </c>
      <c r="HQ19" s="3119">
        <f t="shared" si="240"/>
        <v>45971.166666666133</v>
      </c>
      <c r="HR19" s="3119">
        <f t="shared" si="241"/>
        <v>45971.208333332797</v>
      </c>
      <c r="HS19" s="3119">
        <f t="shared" si="242"/>
        <v>45971.249999999462</v>
      </c>
      <c r="HT19" s="3119">
        <f t="shared" si="243"/>
        <v>45971.291666666126</v>
      </c>
      <c r="HU19" s="3119">
        <f t="shared" si="244"/>
        <v>45971.33333333279</v>
      </c>
      <c r="HV19" s="3119">
        <f t="shared" si="245"/>
        <v>45971.374999999454</v>
      </c>
      <c r="HW19" s="3119">
        <f t="shared" si="246"/>
        <v>45971.416666666119</v>
      </c>
      <c r="HX19" s="3119">
        <f t="shared" si="247"/>
        <v>45971.458333332783</v>
      </c>
      <c r="HY19" s="3119">
        <f t="shared" si="248"/>
        <v>45971.499999999447</v>
      </c>
      <c r="HZ19" s="3119">
        <f t="shared" si="249"/>
        <v>45971.541666666111</v>
      </c>
      <c r="IA19" s="3119">
        <f t="shared" si="250"/>
        <v>45971.583333332776</v>
      </c>
      <c r="IB19" s="3119">
        <f t="shared" si="251"/>
        <v>45971.62499999944</v>
      </c>
      <c r="IC19" s="3119">
        <f t="shared" si="252"/>
        <v>45971.666666666104</v>
      </c>
      <c r="ID19" s="3119">
        <f t="shared" si="253"/>
        <v>45971.708333332768</v>
      </c>
      <c r="IE19" s="3119">
        <f t="shared" si="254"/>
        <v>45971.749999999432</v>
      </c>
      <c r="IF19" s="3119">
        <f t="shared" si="255"/>
        <v>45971.791666666097</v>
      </c>
      <c r="IG19" s="3119">
        <f t="shared" si="256"/>
        <v>45971.833333332761</v>
      </c>
      <c r="IH19" s="3119">
        <f t="shared" si="257"/>
        <v>45971.874999999425</v>
      </c>
      <c r="II19" s="3119">
        <f t="shared" si="258"/>
        <v>45971.916666666089</v>
      </c>
      <c r="IJ19" s="3119">
        <f t="shared" si="259"/>
        <v>45971.958333332754</v>
      </c>
      <c r="IK19" s="3119">
        <f t="shared" si="260"/>
        <v>45971.999999999418</v>
      </c>
      <c r="IL19" s="3119">
        <f t="shared" si="261"/>
        <v>45972.041666666082</v>
      </c>
      <c r="IM19" s="3119">
        <f t="shared" si="262"/>
        <v>45972.083333332746</v>
      </c>
      <c r="IN19" s="3119">
        <f t="shared" si="263"/>
        <v>45972.124999999411</v>
      </c>
      <c r="IO19" s="3119">
        <f t="shared" si="264"/>
        <v>45972.166666666075</v>
      </c>
      <c r="IP19" s="3119">
        <f t="shared" si="265"/>
        <v>45972.208333332739</v>
      </c>
      <c r="IQ19" s="3119">
        <f t="shared" si="266"/>
        <v>45972.249999999403</v>
      </c>
      <c r="IR19" s="3119">
        <f t="shared" si="267"/>
        <v>45972.291666666068</v>
      </c>
      <c r="IS19" s="3119">
        <f t="shared" si="268"/>
        <v>45972.333333332732</v>
      </c>
      <c r="IT19" s="3119">
        <f t="shared" si="269"/>
        <v>45972.374999999396</v>
      </c>
      <c r="IU19" s="3119">
        <f t="shared" si="270"/>
        <v>45972.41666666606</v>
      </c>
      <c r="IV19" s="3119">
        <f t="shared" si="271"/>
        <v>45972.458333332725</v>
      </c>
      <c r="IW19" s="3119">
        <f t="shared" si="272"/>
        <v>45972.499999999389</v>
      </c>
      <c r="IX19" s="3119">
        <f t="shared" si="273"/>
        <v>45972.541666666053</v>
      </c>
      <c r="IY19" s="3119">
        <f t="shared" si="274"/>
        <v>45972.583333332717</v>
      </c>
      <c r="IZ19" s="3119">
        <f t="shared" si="275"/>
        <v>45972.624999999382</v>
      </c>
      <c r="JA19" s="3119">
        <f t="shared" si="276"/>
        <v>45972.666666666046</v>
      </c>
      <c r="JB19" s="3119">
        <f t="shared" si="17"/>
        <v>45972.70833333271</v>
      </c>
      <c r="JC19" s="3119">
        <f t="shared" si="277"/>
        <v>45972.749999999374</v>
      </c>
      <c r="JD19" s="3119">
        <f t="shared" si="278"/>
        <v>45972.791666666039</v>
      </c>
      <c r="JE19" s="3119">
        <f t="shared" si="279"/>
        <v>45972.833333332703</v>
      </c>
      <c r="JF19" s="3119">
        <f t="shared" si="280"/>
        <v>45972.874999999367</v>
      </c>
      <c r="JG19" s="3119">
        <f t="shared" si="281"/>
        <v>45972.916666666031</v>
      </c>
      <c r="JH19" s="3119">
        <f t="shared" si="282"/>
        <v>45972.958333332695</v>
      </c>
      <c r="JI19" s="3119">
        <f t="shared" si="283"/>
        <v>45972.99999999936</v>
      </c>
      <c r="JJ19" s="3119">
        <f t="shared" si="284"/>
        <v>45973.041666666024</v>
      </c>
      <c r="JK19" s="3119">
        <f t="shared" si="285"/>
        <v>45973.083333332688</v>
      </c>
      <c r="JL19" s="3119">
        <f t="shared" si="286"/>
        <v>45973.124999999352</v>
      </c>
      <c r="JM19" s="3119">
        <f t="shared" si="287"/>
        <v>45973.166666666017</v>
      </c>
      <c r="JN19" s="3119">
        <f t="shared" si="288"/>
        <v>45973.208333332681</v>
      </c>
      <c r="JO19" s="3119">
        <f t="shared" si="289"/>
        <v>45973.249999999345</v>
      </c>
      <c r="JP19" s="3119">
        <f t="shared" si="290"/>
        <v>45973.291666666009</v>
      </c>
      <c r="JQ19" s="3119">
        <f t="shared" si="291"/>
        <v>45973.333333332674</v>
      </c>
      <c r="JR19" s="3119">
        <f t="shared" si="292"/>
        <v>45973.374999999338</v>
      </c>
      <c r="JS19" s="3119">
        <f t="shared" si="293"/>
        <v>45973.416666666002</v>
      </c>
      <c r="JT19" s="3119">
        <f t="shared" si="294"/>
        <v>45973.458333332666</v>
      </c>
      <c r="JU19" s="3119">
        <f t="shared" si="295"/>
        <v>45973.499999999331</v>
      </c>
      <c r="JV19" s="3119">
        <f t="shared" si="296"/>
        <v>45973.541666665995</v>
      </c>
      <c r="JW19" s="3119">
        <f t="shared" si="297"/>
        <v>45973.583333332659</v>
      </c>
      <c r="JX19" s="3119">
        <f t="shared" si="298"/>
        <v>45973.624999999323</v>
      </c>
      <c r="JY19" s="3119">
        <f t="shared" si="299"/>
        <v>45973.666666665988</v>
      </c>
      <c r="JZ19" s="3119">
        <f t="shared" si="300"/>
        <v>45973.708333332652</v>
      </c>
      <c r="KA19" s="3119">
        <f t="shared" si="301"/>
        <v>45973.749999999316</v>
      </c>
      <c r="KB19" s="3119">
        <f t="shared" si="302"/>
        <v>45973.79166666598</v>
      </c>
      <c r="KC19" s="3119">
        <f t="shared" si="303"/>
        <v>45973.833333332645</v>
      </c>
      <c r="KD19" s="3119">
        <f t="shared" si="304"/>
        <v>45973.874999999309</v>
      </c>
      <c r="KE19" s="3119">
        <f t="shared" si="305"/>
        <v>45973.916666665973</v>
      </c>
      <c r="KF19" s="3119">
        <f t="shared" si="306"/>
        <v>45973.958333332637</v>
      </c>
      <c r="KG19" s="3119">
        <f t="shared" si="307"/>
        <v>45973.999999999302</v>
      </c>
      <c r="KH19" s="3119">
        <f t="shared" si="308"/>
        <v>45974.041666665966</v>
      </c>
      <c r="KI19" s="3119">
        <f t="shared" si="309"/>
        <v>45974.08333333263</v>
      </c>
      <c r="KJ19" s="3119">
        <f t="shared" si="310"/>
        <v>45974.124999999294</v>
      </c>
      <c r="KK19" s="3119">
        <f t="shared" si="311"/>
        <v>45974.166666665958</v>
      </c>
      <c r="KL19" s="3119">
        <f t="shared" si="312"/>
        <v>45974.208333332623</v>
      </c>
      <c r="KM19" s="3119">
        <f t="shared" si="313"/>
        <v>45974.249999999287</v>
      </c>
      <c r="KN19" s="3119">
        <f t="shared" si="314"/>
        <v>45974.291666665951</v>
      </c>
      <c r="KO19" s="3119">
        <f t="shared" si="315"/>
        <v>45974.333333332615</v>
      </c>
      <c r="KP19" s="3119">
        <f t="shared" si="316"/>
        <v>45974.37499999928</v>
      </c>
      <c r="KQ19" s="3119">
        <f t="shared" si="317"/>
        <v>45974.416666665944</v>
      </c>
      <c r="KR19" s="3119">
        <f t="shared" si="318"/>
        <v>45974.458333332608</v>
      </c>
      <c r="KS19" s="3119">
        <f t="shared" si="319"/>
        <v>45974.499999999272</v>
      </c>
      <c r="KT19" s="3119">
        <f t="shared" si="320"/>
        <v>45974.541666665937</v>
      </c>
      <c r="KU19" s="3119">
        <f t="shared" si="321"/>
        <v>45974.583333332601</v>
      </c>
      <c r="KV19" s="3119">
        <f t="shared" si="322"/>
        <v>45974.624999999265</v>
      </c>
      <c r="KW19" s="3119">
        <f t="shared" si="323"/>
        <v>45974.666666665929</v>
      </c>
      <c r="KX19" s="3119">
        <f t="shared" si="324"/>
        <v>45974.708333332594</v>
      </c>
      <c r="KY19" s="3119">
        <f t="shared" si="325"/>
        <v>45974.749999999258</v>
      </c>
      <c r="KZ19" s="3119">
        <f t="shared" si="326"/>
        <v>45974.791666665922</v>
      </c>
      <c r="LA19" s="3119">
        <f t="shared" si="327"/>
        <v>45974.833333332586</v>
      </c>
      <c r="LB19" s="3119">
        <f t="shared" si="328"/>
        <v>45974.874999999251</v>
      </c>
      <c r="LC19" s="3119">
        <f t="shared" si="329"/>
        <v>45974.916666665915</v>
      </c>
      <c r="LD19" s="3119">
        <f t="shared" si="330"/>
        <v>45974.958333332579</v>
      </c>
      <c r="LE19" s="3119">
        <f t="shared" si="331"/>
        <v>45974.999999999243</v>
      </c>
      <c r="LF19" s="3119">
        <f t="shared" si="332"/>
        <v>45975.041666665908</v>
      </c>
      <c r="LG19" s="3119">
        <f t="shared" si="333"/>
        <v>45975.083333332572</v>
      </c>
      <c r="LH19" s="3119">
        <f t="shared" si="334"/>
        <v>45975.124999999236</v>
      </c>
      <c r="LI19" s="3119">
        <f t="shared" si="335"/>
        <v>45975.1666666659</v>
      </c>
      <c r="LJ19" s="3119">
        <f t="shared" si="336"/>
        <v>45975.208333332565</v>
      </c>
      <c r="LK19" s="3119">
        <f t="shared" si="337"/>
        <v>45975.249999999229</v>
      </c>
      <c r="LL19" s="3119">
        <f t="shared" si="338"/>
        <v>45975.291666665893</v>
      </c>
      <c r="LM19" s="3119">
        <f t="shared" si="339"/>
        <v>45975.333333332557</v>
      </c>
      <c r="LN19" s="3119">
        <f t="shared" si="18"/>
        <v>45975.374999999221</v>
      </c>
      <c r="LO19" s="3119">
        <f t="shared" si="340"/>
        <v>45975.416666665886</v>
      </c>
      <c r="LP19" s="3119">
        <f t="shared" si="341"/>
        <v>45975.45833333255</v>
      </c>
      <c r="LQ19" s="3119">
        <f t="shared" si="342"/>
        <v>45975.499999999214</v>
      </c>
      <c r="LR19" s="3119">
        <f t="shared" si="343"/>
        <v>45975.541666665878</v>
      </c>
      <c r="LS19" s="3119">
        <f t="shared" si="344"/>
        <v>45975.583333332543</v>
      </c>
      <c r="LT19" s="3119">
        <f t="shared" si="345"/>
        <v>45975.624999999207</v>
      </c>
      <c r="LU19" s="3119">
        <f t="shared" si="346"/>
        <v>45975.666666665871</v>
      </c>
      <c r="LV19" s="3119">
        <f t="shared" si="347"/>
        <v>45975.708333332535</v>
      </c>
      <c r="LW19" s="3119">
        <f t="shared" si="348"/>
        <v>45975.7499999992</v>
      </c>
      <c r="LX19" s="3119">
        <f t="shared" si="349"/>
        <v>45975.791666665864</v>
      </c>
      <c r="LY19" s="3119">
        <f t="shared" si="350"/>
        <v>45975.833333332528</v>
      </c>
      <c r="LZ19" s="3119">
        <f t="shared" si="351"/>
        <v>45975.874999999192</v>
      </c>
      <c r="MA19" s="3119">
        <f t="shared" si="352"/>
        <v>45975.916666665857</v>
      </c>
      <c r="MB19" s="3119">
        <f t="shared" si="353"/>
        <v>45975.958333332521</v>
      </c>
      <c r="MC19" s="3119">
        <f t="shared" si="354"/>
        <v>45975.999999999185</v>
      </c>
      <c r="MD19" s="3119">
        <f t="shared" si="355"/>
        <v>45976.041666665849</v>
      </c>
      <c r="ME19" s="3119">
        <f t="shared" si="356"/>
        <v>45976.083333332514</v>
      </c>
      <c r="MF19" s="3119">
        <f t="shared" si="357"/>
        <v>45976.124999999178</v>
      </c>
      <c r="MG19" s="3119">
        <f t="shared" si="358"/>
        <v>45976.166666665842</v>
      </c>
      <c r="MH19" s="3119">
        <f t="shared" si="359"/>
        <v>45976.208333332506</v>
      </c>
      <c r="MI19" s="3119">
        <f t="shared" si="360"/>
        <v>45976.249999999171</v>
      </c>
      <c r="MJ19" s="3119">
        <f t="shared" si="361"/>
        <v>45976.291666665835</v>
      </c>
      <c r="MK19" s="3119">
        <f t="shared" si="362"/>
        <v>45976.333333332499</v>
      </c>
      <c r="ML19" s="3119">
        <f t="shared" si="363"/>
        <v>45976.374999999163</v>
      </c>
      <c r="MM19" s="3119">
        <f t="shared" si="364"/>
        <v>45976.416666665828</v>
      </c>
      <c r="MN19" s="3119">
        <f t="shared" si="365"/>
        <v>45976.458333332492</v>
      </c>
      <c r="MO19" s="3119">
        <f t="shared" si="366"/>
        <v>45976.499999999156</v>
      </c>
      <c r="MP19" s="3119">
        <f t="shared" si="367"/>
        <v>45976.54166666582</v>
      </c>
      <c r="MQ19" s="3119">
        <f t="shared" si="368"/>
        <v>45976.583333332484</v>
      </c>
      <c r="MR19" s="3119">
        <f t="shared" si="369"/>
        <v>45976.624999999149</v>
      </c>
      <c r="MS19" s="3119">
        <f t="shared" si="370"/>
        <v>45976.666666665813</v>
      </c>
      <c r="MT19" s="3119">
        <f t="shared" si="371"/>
        <v>45976.708333332477</v>
      </c>
      <c r="MU19" s="3119">
        <f t="shared" si="372"/>
        <v>45976.749999999141</v>
      </c>
      <c r="MV19" s="3119">
        <f t="shared" si="373"/>
        <v>45976.791666665806</v>
      </c>
      <c r="MW19" s="3119">
        <f t="shared" si="374"/>
        <v>45976.83333333247</v>
      </c>
      <c r="MX19" s="3119">
        <f t="shared" si="375"/>
        <v>45976.874999999134</v>
      </c>
      <c r="MY19" s="3119">
        <f t="shared" si="376"/>
        <v>45976.916666665798</v>
      </c>
      <c r="MZ19" s="3119">
        <f t="shared" si="377"/>
        <v>45976.958333332463</v>
      </c>
      <c r="NA19" s="3119">
        <f t="shared" si="378"/>
        <v>45976.999999999127</v>
      </c>
      <c r="NB19" s="3119">
        <f t="shared" si="379"/>
        <v>45977.041666665791</v>
      </c>
      <c r="NC19" s="3119">
        <f t="shared" si="380"/>
        <v>45977.083333332455</v>
      </c>
      <c r="ND19" s="3119">
        <f t="shared" si="381"/>
        <v>45977.12499999912</v>
      </c>
      <c r="NE19" s="3119">
        <f t="shared" si="382"/>
        <v>45977.166666665784</v>
      </c>
      <c r="NF19" s="3119">
        <f t="shared" si="383"/>
        <v>45977.208333332448</v>
      </c>
      <c r="NG19" s="3119">
        <f t="shared" si="384"/>
        <v>45977.249999999112</v>
      </c>
      <c r="NH19" s="3119">
        <f t="shared" si="385"/>
        <v>45977.291666665777</v>
      </c>
      <c r="NI19" s="3119">
        <f t="shared" si="386"/>
        <v>45977.333333332441</v>
      </c>
      <c r="NJ19" s="3119">
        <f t="shared" si="387"/>
        <v>45977.374999999105</v>
      </c>
      <c r="NK19" s="3119">
        <f t="shared" si="388"/>
        <v>45977.416666665769</v>
      </c>
      <c r="NL19" s="3119">
        <f t="shared" si="389"/>
        <v>45977.458333332434</v>
      </c>
      <c r="NM19" s="3119">
        <f t="shared" si="390"/>
        <v>45977.499999999098</v>
      </c>
      <c r="NN19" s="3119">
        <f t="shared" si="391"/>
        <v>45977.541666665762</v>
      </c>
      <c r="NO19" s="3119">
        <f t="shared" si="392"/>
        <v>45977.583333332426</v>
      </c>
      <c r="NP19" s="3119">
        <f t="shared" si="393"/>
        <v>45977.624999999091</v>
      </c>
      <c r="NQ19" s="3119">
        <f t="shared" si="394"/>
        <v>45977.666666665755</v>
      </c>
      <c r="NR19" s="3119">
        <f t="shared" si="395"/>
        <v>45977.708333332419</v>
      </c>
      <c r="NS19" s="3119">
        <f t="shared" si="396"/>
        <v>45977.749999999083</v>
      </c>
      <c r="NT19" s="3119">
        <f t="shared" si="397"/>
        <v>45977.791666665747</v>
      </c>
      <c r="NU19" s="3119">
        <f t="shared" si="398"/>
        <v>45977.833333332412</v>
      </c>
      <c r="NV19" s="3119">
        <f t="shared" si="399"/>
        <v>45977.874999999076</v>
      </c>
      <c r="NW19" s="3119">
        <f t="shared" si="400"/>
        <v>45977.91666666574</v>
      </c>
      <c r="NX19" s="3119">
        <f t="shared" si="401"/>
        <v>45977.958333332404</v>
      </c>
      <c r="NY19" s="3119">
        <f t="shared" si="402"/>
        <v>45977.999999999069</v>
      </c>
      <c r="NZ19" s="3119">
        <f t="shared" si="19"/>
        <v>45978.041666665733</v>
      </c>
      <c r="OA19" s="3119">
        <f t="shared" si="403"/>
        <v>45978.083333332397</v>
      </c>
      <c r="OB19" s="3119">
        <f t="shared" si="404"/>
        <v>45978.124999999061</v>
      </c>
      <c r="OC19" s="3119">
        <f t="shared" si="405"/>
        <v>45978.166666665726</v>
      </c>
      <c r="OD19" s="3119">
        <f t="shared" si="406"/>
        <v>45978.20833333239</v>
      </c>
      <c r="OE19" s="3119">
        <f t="shared" si="407"/>
        <v>45978.249999999054</v>
      </c>
      <c r="OF19" s="3119">
        <f t="shared" si="408"/>
        <v>45978.291666665718</v>
      </c>
      <c r="OG19" s="3119">
        <f t="shared" si="409"/>
        <v>45978.333333332383</v>
      </c>
      <c r="OH19" s="3119">
        <f t="shared" si="410"/>
        <v>45978.374999999047</v>
      </c>
      <c r="OI19" s="3119">
        <f t="shared" si="411"/>
        <v>45978.416666665711</v>
      </c>
      <c r="OJ19" s="3119">
        <f t="shared" si="412"/>
        <v>45978.458333332375</v>
      </c>
      <c r="OK19" s="3119">
        <f t="shared" si="413"/>
        <v>45978.49999999904</v>
      </c>
      <c r="OL19" s="3119">
        <f t="shared" si="414"/>
        <v>45978.541666665704</v>
      </c>
      <c r="OM19" s="3119">
        <f t="shared" si="415"/>
        <v>45978.583333332368</v>
      </c>
      <c r="ON19" s="3119">
        <f t="shared" si="416"/>
        <v>45978.624999999032</v>
      </c>
      <c r="OO19" s="3119">
        <f t="shared" si="417"/>
        <v>45978.666666665697</v>
      </c>
      <c r="OP19" s="3119">
        <f t="shared" si="418"/>
        <v>45978.708333332361</v>
      </c>
      <c r="OQ19" s="3119">
        <f t="shared" si="419"/>
        <v>45978.749999999025</v>
      </c>
      <c r="OR19" s="3119">
        <f t="shared" si="420"/>
        <v>45978.791666665689</v>
      </c>
      <c r="OS19" s="3119">
        <f t="shared" si="421"/>
        <v>45978.833333332354</v>
      </c>
      <c r="OT19" s="3119">
        <f t="shared" si="422"/>
        <v>45978.874999999018</v>
      </c>
      <c r="OU19" s="3119">
        <f t="shared" si="423"/>
        <v>45978.916666665682</v>
      </c>
      <c r="OV19" s="3119">
        <f t="shared" si="424"/>
        <v>45978.958333332346</v>
      </c>
      <c r="OW19" s="3119">
        <f t="shared" si="425"/>
        <v>45978.99999999901</v>
      </c>
      <c r="OX19" s="3119">
        <f t="shared" si="426"/>
        <v>45979.041666665675</v>
      </c>
      <c r="OY19" s="3119">
        <f t="shared" si="427"/>
        <v>45979.083333332339</v>
      </c>
      <c r="OZ19" s="3119">
        <f t="shared" si="428"/>
        <v>45979.124999999003</v>
      </c>
      <c r="PA19" s="3119">
        <f t="shared" si="429"/>
        <v>45979.166666665667</v>
      </c>
      <c r="PB19" s="3119">
        <f t="shared" si="430"/>
        <v>45979.208333332332</v>
      </c>
      <c r="PC19" s="3119">
        <f t="shared" si="431"/>
        <v>45979.249999998996</v>
      </c>
      <c r="PD19" s="3119">
        <f t="shared" si="432"/>
        <v>45979.29166666566</v>
      </c>
      <c r="PE19" s="3119">
        <f t="shared" si="433"/>
        <v>45979.333333332324</v>
      </c>
      <c r="PF19" s="3119">
        <f t="shared" si="434"/>
        <v>45979.374999998989</v>
      </c>
      <c r="PG19" s="3119">
        <f t="shared" si="435"/>
        <v>45979.416666665653</v>
      </c>
      <c r="PH19" s="3119">
        <f t="shared" si="436"/>
        <v>45979.458333332317</v>
      </c>
      <c r="PI19" s="3119">
        <f t="shared" si="437"/>
        <v>45979.499999998981</v>
      </c>
      <c r="PJ19" s="3119">
        <f t="shared" si="438"/>
        <v>45979.541666665646</v>
      </c>
      <c r="PK19" s="3119">
        <f t="shared" si="439"/>
        <v>45979.58333333231</v>
      </c>
      <c r="PL19" s="3119">
        <f t="shared" si="440"/>
        <v>45979.624999998974</v>
      </c>
      <c r="PM19" s="3119">
        <f t="shared" si="441"/>
        <v>45979.666666665638</v>
      </c>
      <c r="PN19" s="3119">
        <f t="shared" si="442"/>
        <v>45979.708333332303</v>
      </c>
      <c r="PO19" s="3119">
        <f t="shared" si="443"/>
        <v>45979.749999998967</v>
      </c>
      <c r="PP19" s="3119">
        <f t="shared" si="444"/>
        <v>45979.791666665631</v>
      </c>
      <c r="PQ19" s="3119">
        <f t="shared" si="445"/>
        <v>45979.833333332295</v>
      </c>
      <c r="PR19" s="3119">
        <f t="shared" si="446"/>
        <v>45979.87499999896</v>
      </c>
      <c r="PS19" s="3119">
        <f t="shared" si="447"/>
        <v>45979.916666665624</v>
      </c>
      <c r="PT19" s="3119">
        <f t="shared" si="448"/>
        <v>45979.958333332288</v>
      </c>
      <c r="PU19" s="3119">
        <f t="shared" si="449"/>
        <v>45979.999999998952</v>
      </c>
      <c r="PV19" s="3119">
        <f t="shared" si="450"/>
        <v>45980.041666665617</v>
      </c>
      <c r="PW19" s="3119">
        <f t="shared" si="451"/>
        <v>45980.083333332281</v>
      </c>
      <c r="PX19" s="3119">
        <f t="shared" si="452"/>
        <v>45980.124999998945</v>
      </c>
      <c r="PY19" s="3119">
        <f t="shared" si="453"/>
        <v>45980.166666665609</v>
      </c>
      <c r="PZ19" s="3119">
        <f t="shared" si="454"/>
        <v>45980.208333332273</v>
      </c>
      <c r="QA19" s="3119">
        <f t="shared" si="455"/>
        <v>45980.249999998938</v>
      </c>
      <c r="QB19" s="3119">
        <f t="shared" si="456"/>
        <v>45980.291666665602</v>
      </c>
      <c r="QC19" s="3119">
        <f t="shared" si="457"/>
        <v>45980.333333332266</v>
      </c>
      <c r="QD19" s="3119">
        <f t="shared" si="458"/>
        <v>45980.37499999893</v>
      </c>
      <c r="QE19" s="3119">
        <f t="shared" si="459"/>
        <v>45980.416666665595</v>
      </c>
      <c r="QF19" s="3119">
        <f t="shared" si="460"/>
        <v>45980.458333332259</v>
      </c>
      <c r="QG19" s="3119">
        <f t="shared" si="461"/>
        <v>45980.499999998923</v>
      </c>
      <c r="QH19" s="3119">
        <f t="shared" si="462"/>
        <v>45980.541666665587</v>
      </c>
      <c r="QI19" s="3119">
        <f t="shared" si="463"/>
        <v>45980.583333332252</v>
      </c>
      <c r="QJ19" s="3119">
        <f t="shared" si="464"/>
        <v>45980.624999998916</v>
      </c>
      <c r="QK19" s="3119">
        <f t="shared" si="465"/>
        <v>45980.66666666558</v>
      </c>
      <c r="QL19" s="3119">
        <f t="shared" si="20"/>
        <v>45980.708333332244</v>
      </c>
      <c r="QM19" s="3119">
        <f t="shared" si="466"/>
        <v>45980.749999998909</v>
      </c>
      <c r="QN19" s="3119">
        <f t="shared" si="467"/>
        <v>45980.791666665573</v>
      </c>
      <c r="QO19" s="3119">
        <f t="shared" si="468"/>
        <v>45980.833333332237</v>
      </c>
      <c r="QP19" s="3119">
        <f t="shared" si="469"/>
        <v>45980.874999998901</v>
      </c>
      <c r="QQ19" s="3119">
        <f t="shared" si="470"/>
        <v>45980.916666665566</v>
      </c>
      <c r="QR19" s="3119">
        <f t="shared" si="471"/>
        <v>45980.95833333223</v>
      </c>
      <c r="QS19" s="3119">
        <f t="shared" si="472"/>
        <v>45980.999999998894</v>
      </c>
      <c r="QT19" s="3119">
        <f t="shared" si="473"/>
        <v>45981.041666665558</v>
      </c>
      <c r="QU19" s="3119">
        <f t="shared" si="474"/>
        <v>45981.083333332223</v>
      </c>
      <c r="QV19" s="3119">
        <f t="shared" si="475"/>
        <v>45981.124999998887</v>
      </c>
      <c r="QW19" s="3119">
        <f t="shared" si="476"/>
        <v>45981.166666665551</v>
      </c>
      <c r="QX19" s="3119">
        <f t="shared" si="477"/>
        <v>45981.208333332215</v>
      </c>
      <c r="QY19" s="3119">
        <f t="shared" si="478"/>
        <v>45981.24999999888</v>
      </c>
      <c r="QZ19" s="3119">
        <f t="shared" si="479"/>
        <v>45981.291666665544</v>
      </c>
      <c r="RA19" s="3119">
        <f t="shared" si="480"/>
        <v>45981.333333332208</v>
      </c>
      <c r="RB19" s="3119">
        <f t="shared" si="481"/>
        <v>45981.374999998872</v>
      </c>
      <c r="RC19" s="3119">
        <f t="shared" si="482"/>
        <v>45981.416666665536</v>
      </c>
      <c r="RD19" s="3119">
        <f t="shared" si="483"/>
        <v>45981.458333332201</v>
      </c>
      <c r="RE19" s="3119">
        <f t="shared" si="484"/>
        <v>45981.499999998865</v>
      </c>
      <c r="RF19" s="3119">
        <f t="shared" si="485"/>
        <v>45981.541666665529</v>
      </c>
      <c r="RG19" s="3119">
        <f t="shared" si="486"/>
        <v>45981.583333332193</v>
      </c>
      <c r="RH19" s="3119">
        <f t="shared" si="487"/>
        <v>45981.624999998858</v>
      </c>
      <c r="RI19" s="3119">
        <f t="shared" si="488"/>
        <v>45981.666666665522</v>
      </c>
      <c r="RJ19" s="3119">
        <f t="shared" si="489"/>
        <v>45981.708333332186</v>
      </c>
      <c r="RK19" s="3119">
        <f t="shared" si="490"/>
        <v>45981.74999999885</v>
      </c>
      <c r="RL19" s="3119">
        <f t="shared" si="491"/>
        <v>45981.791666665515</v>
      </c>
      <c r="RM19" s="3119">
        <f t="shared" si="492"/>
        <v>45981.833333332179</v>
      </c>
      <c r="RN19" s="3119">
        <f t="shared" si="493"/>
        <v>45981.874999998843</v>
      </c>
      <c r="RO19" s="3119">
        <f t="shared" si="494"/>
        <v>45981.916666665507</v>
      </c>
      <c r="RP19" s="3119">
        <f t="shared" si="495"/>
        <v>45981.958333332172</v>
      </c>
      <c r="RQ19" s="3119">
        <f t="shared" si="496"/>
        <v>45981.999999998836</v>
      </c>
      <c r="RR19" s="3119">
        <f t="shared" si="497"/>
        <v>45982.0416666655</v>
      </c>
      <c r="RS19" s="3119">
        <f t="shared" si="498"/>
        <v>45982.083333332164</v>
      </c>
      <c r="RT19" s="3119">
        <f t="shared" si="499"/>
        <v>45982.124999998829</v>
      </c>
      <c r="RU19" s="3119">
        <f t="shared" si="500"/>
        <v>45982.166666665493</v>
      </c>
      <c r="RV19" s="3119">
        <f t="shared" si="501"/>
        <v>45982.208333332157</v>
      </c>
      <c r="RW19" s="3119">
        <f t="shared" si="502"/>
        <v>45982.249999998821</v>
      </c>
      <c r="RX19" s="3119">
        <f t="shared" si="503"/>
        <v>45982.291666665486</v>
      </c>
      <c r="RY19" s="3119">
        <f t="shared" si="504"/>
        <v>45982.33333333215</v>
      </c>
      <c r="RZ19" s="3119">
        <f t="shared" si="505"/>
        <v>45982.374999998814</v>
      </c>
      <c r="SA19" s="3119">
        <f t="shared" si="506"/>
        <v>45982.416666665478</v>
      </c>
      <c r="SB19" s="3119">
        <f t="shared" si="507"/>
        <v>45982.458333332143</v>
      </c>
      <c r="SC19" s="3119">
        <f t="shared" si="508"/>
        <v>45982.499999998807</v>
      </c>
      <c r="SD19" s="3119">
        <f t="shared" si="509"/>
        <v>45982.541666665471</v>
      </c>
      <c r="SE19" s="3119">
        <f t="shared" si="510"/>
        <v>45982.583333332135</v>
      </c>
      <c r="SF19" s="3119">
        <f t="shared" si="511"/>
        <v>45982.624999998799</v>
      </c>
      <c r="SG19" s="3119">
        <f t="shared" si="512"/>
        <v>45982.666666665464</v>
      </c>
      <c r="SH19" s="3119">
        <f t="shared" si="513"/>
        <v>45982.708333332128</v>
      </c>
      <c r="SI19" s="3119">
        <f t="shared" si="514"/>
        <v>45982.749999998792</v>
      </c>
      <c r="SJ19" s="3119">
        <f t="shared" si="515"/>
        <v>45982.791666665456</v>
      </c>
      <c r="SK19" s="3119">
        <f t="shared" si="516"/>
        <v>45982.833333332121</v>
      </c>
      <c r="SL19" s="3119">
        <f t="shared" si="517"/>
        <v>45982.874999998785</v>
      </c>
      <c r="SM19" s="3119">
        <f t="shared" si="518"/>
        <v>45982.916666665449</v>
      </c>
      <c r="SN19" s="3119">
        <f t="shared" si="519"/>
        <v>45982.958333332113</v>
      </c>
      <c r="SO19" s="3119">
        <f t="shared" si="520"/>
        <v>45982.999999998778</v>
      </c>
      <c r="SP19" s="3119">
        <f t="shared" si="521"/>
        <v>45983.041666665442</v>
      </c>
      <c r="SQ19" s="3119">
        <f t="shared" si="522"/>
        <v>45983.083333332106</v>
      </c>
      <c r="SR19" s="3119">
        <f t="shared" si="523"/>
        <v>45983.12499999877</v>
      </c>
      <c r="SS19" s="3119">
        <f t="shared" si="524"/>
        <v>45983.166666665435</v>
      </c>
      <c r="ST19" s="3119">
        <f t="shared" si="525"/>
        <v>45983.208333332099</v>
      </c>
      <c r="SU19" s="3119">
        <f t="shared" si="526"/>
        <v>45983.249999998763</v>
      </c>
      <c r="SV19" s="3119">
        <f t="shared" si="527"/>
        <v>45983.291666665427</v>
      </c>
      <c r="SW19" s="3119">
        <f t="shared" si="528"/>
        <v>45983.333333332092</v>
      </c>
      <c r="SX19" s="3119">
        <f t="shared" si="21"/>
        <v>45983.374999998756</v>
      </c>
      <c r="SY19" s="3119">
        <f t="shared" si="529"/>
        <v>45983.41666666542</v>
      </c>
      <c r="SZ19" s="3119">
        <f t="shared" si="530"/>
        <v>45983.458333332084</v>
      </c>
      <c r="TA19" s="3119">
        <f t="shared" si="531"/>
        <v>45983.499999998749</v>
      </c>
      <c r="TB19" s="3119">
        <f t="shared" si="532"/>
        <v>45983.541666665413</v>
      </c>
      <c r="TC19" s="3119">
        <f t="shared" si="533"/>
        <v>45983.583333332077</v>
      </c>
      <c r="TD19" s="3119">
        <f t="shared" si="534"/>
        <v>45983.624999998741</v>
      </c>
      <c r="TE19" s="3119">
        <f t="shared" si="535"/>
        <v>45983.666666665406</v>
      </c>
      <c r="TF19" s="3119">
        <f t="shared" si="536"/>
        <v>45983.70833333207</v>
      </c>
      <c r="TG19" s="3119">
        <f t="shared" si="537"/>
        <v>45983.749999998734</v>
      </c>
      <c r="TH19" s="3119">
        <f t="shared" si="538"/>
        <v>45983.791666665398</v>
      </c>
      <c r="TI19" s="3119">
        <f t="shared" si="539"/>
        <v>45983.833333332062</v>
      </c>
      <c r="TJ19" s="3119">
        <f t="shared" si="540"/>
        <v>45983.874999998727</v>
      </c>
      <c r="TK19" s="3119">
        <f t="shared" si="541"/>
        <v>45983.916666665391</v>
      </c>
      <c r="TL19" s="3119">
        <f t="shared" si="542"/>
        <v>45983.958333332055</v>
      </c>
      <c r="TM19" s="3119">
        <f t="shared" si="543"/>
        <v>45983.999999998719</v>
      </c>
      <c r="TN19" s="3119">
        <f t="shared" si="544"/>
        <v>45984.041666665384</v>
      </c>
      <c r="TO19" s="3119">
        <f t="shared" si="545"/>
        <v>45984.083333332048</v>
      </c>
      <c r="TP19" s="3119">
        <f t="shared" si="546"/>
        <v>45984.124999998712</v>
      </c>
      <c r="TQ19" s="3119">
        <f t="shared" si="547"/>
        <v>45984.166666665376</v>
      </c>
      <c r="TR19" s="3119">
        <f t="shared" si="548"/>
        <v>45984.208333332041</v>
      </c>
      <c r="TS19" s="3119">
        <f t="shared" si="549"/>
        <v>45984.249999998705</v>
      </c>
      <c r="TT19" s="3119">
        <f t="shared" si="550"/>
        <v>45984.291666665369</v>
      </c>
      <c r="TU19" s="3119">
        <f t="shared" si="551"/>
        <v>45984.333333332033</v>
      </c>
      <c r="TV19" s="3119">
        <f t="shared" si="552"/>
        <v>45984.374999998698</v>
      </c>
      <c r="TW19" s="3119">
        <f t="shared" si="553"/>
        <v>45984.416666665362</v>
      </c>
      <c r="TX19" s="3119">
        <f t="shared" si="554"/>
        <v>45984.458333332026</v>
      </c>
      <c r="TY19" s="3119">
        <f t="shared" si="555"/>
        <v>45984.49999999869</v>
      </c>
      <c r="TZ19" s="3119">
        <f t="shared" si="556"/>
        <v>45984.541666665355</v>
      </c>
      <c r="UA19" s="3119">
        <f t="shared" si="557"/>
        <v>45984.583333332019</v>
      </c>
      <c r="UB19" s="3119">
        <f t="shared" si="558"/>
        <v>45984.624999998683</v>
      </c>
      <c r="UC19" s="3119">
        <f t="shared" si="559"/>
        <v>45984.666666665347</v>
      </c>
      <c r="UD19" s="3119">
        <f t="shared" si="560"/>
        <v>45984.708333332012</v>
      </c>
      <c r="UE19" s="3119">
        <f t="shared" si="561"/>
        <v>45984.749999998676</v>
      </c>
      <c r="UF19" s="3119">
        <f t="shared" si="562"/>
        <v>45984.79166666534</v>
      </c>
      <c r="UG19" s="3119">
        <f t="shared" si="563"/>
        <v>45984.833333332004</v>
      </c>
      <c r="UH19" s="3119">
        <f t="shared" si="564"/>
        <v>45984.874999998668</v>
      </c>
      <c r="UI19" s="3119">
        <f t="shared" si="565"/>
        <v>45984.916666665333</v>
      </c>
      <c r="UJ19" s="3119">
        <f t="shared" si="566"/>
        <v>45984.958333331997</v>
      </c>
      <c r="UK19" s="3119">
        <f t="shared" si="567"/>
        <v>45984.999999998661</v>
      </c>
      <c r="UL19" s="3119">
        <f t="shared" si="568"/>
        <v>45985.041666665325</v>
      </c>
      <c r="UM19" s="3119">
        <f t="shared" si="569"/>
        <v>45985.08333333199</v>
      </c>
      <c r="UN19" s="3119">
        <f t="shared" si="570"/>
        <v>45985.124999998654</v>
      </c>
      <c r="UO19" s="3119">
        <f t="shared" si="571"/>
        <v>45985.166666665318</v>
      </c>
      <c r="UP19" s="3119">
        <f t="shared" si="572"/>
        <v>45985.208333331982</v>
      </c>
      <c r="UQ19" s="3119">
        <f t="shared" si="573"/>
        <v>45985.249999998647</v>
      </c>
      <c r="UR19" s="3119">
        <f t="shared" si="574"/>
        <v>45985.291666665311</v>
      </c>
      <c r="US19" s="3119">
        <f t="shared" si="575"/>
        <v>45985.333333331975</v>
      </c>
      <c r="UT19" s="3119">
        <f t="shared" si="576"/>
        <v>45985.374999998639</v>
      </c>
      <c r="UU19" s="3119">
        <f t="shared" si="577"/>
        <v>45985.416666665304</v>
      </c>
      <c r="UV19" s="3119">
        <f t="shared" si="578"/>
        <v>45985.458333331968</v>
      </c>
      <c r="UW19" s="3119">
        <f t="shared" si="579"/>
        <v>45985.499999998632</v>
      </c>
      <c r="UX19" s="3119">
        <f t="shared" si="580"/>
        <v>45985.541666665296</v>
      </c>
      <c r="UY19" s="3119">
        <f t="shared" si="581"/>
        <v>45985.583333331961</v>
      </c>
      <c r="UZ19" s="3119">
        <f t="shared" si="582"/>
        <v>45985.624999998625</v>
      </c>
      <c r="VA19" s="3119">
        <f t="shared" si="583"/>
        <v>45985.666666665289</v>
      </c>
      <c r="VB19" s="3119">
        <f t="shared" si="584"/>
        <v>45985.708333331953</v>
      </c>
      <c r="VC19" s="3119">
        <f t="shared" si="585"/>
        <v>45985.749999998618</v>
      </c>
      <c r="VD19" s="3119">
        <f t="shared" si="586"/>
        <v>45985.791666665282</v>
      </c>
      <c r="VE19" s="3119">
        <f t="shared" si="587"/>
        <v>45985.833333331946</v>
      </c>
      <c r="VF19" s="3119">
        <f t="shared" si="588"/>
        <v>45985.87499999861</v>
      </c>
      <c r="VG19" s="3119">
        <f t="shared" si="589"/>
        <v>45985.916666665275</v>
      </c>
      <c r="VH19" s="3119">
        <f t="shared" si="590"/>
        <v>45985.958333331939</v>
      </c>
      <c r="VI19" s="3119">
        <f t="shared" si="591"/>
        <v>45985.999999998603</v>
      </c>
      <c r="VJ19" s="3119">
        <f t="shared" si="22"/>
        <v>45986.041666665267</v>
      </c>
      <c r="VK19" s="3119">
        <f t="shared" si="592"/>
        <v>45986.083333331931</v>
      </c>
      <c r="VL19" s="3119">
        <f t="shared" si="593"/>
        <v>45986.124999998596</v>
      </c>
      <c r="VM19" s="3119">
        <f t="shared" si="594"/>
        <v>45986.16666666526</v>
      </c>
      <c r="VN19" s="3119">
        <f t="shared" si="595"/>
        <v>45986.208333331924</v>
      </c>
      <c r="VO19" s="3119">
        <f t="shared" si="596"/>
        <v>45986.249999998588</v>
      </c>
      <c r="VP19" s="3119">
        <f t="shared" si="597"/>
        <v>45986.291666665253</v>
      </c>
      <c r="VQ19" s="3119">
        <f t="shared" si="598"/>
        <v>45986.333333331917</v>
      </c>
      <c r="VR19" s="3119">
        <f t="shared" si="599"/>
        <v>45986.374999998581</v>
      </c>
      <c r="VS19" s="3119">
        <f t="shared" si="600"/>
        <v>45986.416666665245</v>
      </c>
      <c r="VT19" s="3119">
        <f t="shared" si="601"/>
        <v>45986.45833333191</v>
      </c>
      <c r="VU19" s="3119">
        <f t="shared" si="602"/>
        <v>45986.499999998574</v>
      </c>
      <c r="VV19" s="3119">
        <f t="shared" si="603"/>
        <v>45986.541666665238</v>
      </c>
      <c r="VW19" s="3119">
        <f t="shared" si="604"/>
        <v>45986.583333331902</v>
      </c>
      <c r="VX19" s="3119">
        <f t="shared" si="605"/>
        <v>45986.624999998567</v>
      </c>
      <c r="VY19" s="3119">
        <f t="shared" si="606"/>
        <v>45986.666666665231</v>
      </c>
      <c r="VZ19" s="3119">
        <f t="shared" si="607"/>
        <v>45986.708333331895</v>
      </c>
      <c r="WA19" s="3119">
        <f t="shared" si="608"/>
        <v>45986.749999998559</v>
      </c>
      <c r="WB19" s="3119">
        <f t="shared" si="609"/>
        <v>45986.791666665224</v>
      </c>
      <c r="WC19" s="3119">
        <f t="shared" si="610"/>
        <v>45986.833333331888</v>
      </c>
      <c r="WD19" s="3119">
        <f t="shared" si="611"/>
        <v>45986.874999998552</v>
      </c>
      <c r="WE19" s="3119">
        <f t="shared" si="612"/>
        <v>45986.916666665216</v>
      </c>
      <c r="WF19" s="3119">
        <f t="shared" si="613"/>
        <v>45986.958333331881</v>
      </c>
      <c r="WG19" s="3119">
        <f t="shared" si="614"/>
        <v>45986.999999998545</v>
      </c>
      <c r="WH19" s="3119">
        <f t="shared" si="615"/>
        <v>45987.041666665209</v>
      </c>
      <c r="WI19" s="3119">
        <f t="shared" si="616"/>
        <v>45987.083333331873</v>
      </c>
      <c r="WJ19" s="3119">
        <f t="shared" si="617"/>
        <v>45987.124999998538</v>
      </c>
      <c r="WK19" s="3119">
        <f t="shared" si="618"/>
        <v>45987.166666665202</v>
      </c>
      <c r="WL19" s="3119">
        <f t="shared" si="619"/>
        <v>45987.208333331866</v>
      </c>
      <c r="WM19" s="3119">
        <f t="shared" si="620"/>
        <v>45987.24999999853</v>
      </c>
      <c r="WN19" s="3119">
        <f t="shared" si="621"/>
        <v>45987.291666665194</v>
      </c>
      <c r="WO19" s="3119">
        <f t="shared" si="622"/>
        <v>45987.333333331859</v>
      </c>
      <c r="WP19" s="3119">
        <f t="shared" si="623"/>
        <v>45987.374999998523</v>
      </c>
      <c r="WQ19" s="3119">
        <f t="shared" si="624"/>
        <v>45987.416666665187</v>
      </c>
      <c r="WR19" s="3119">
        <f t="shared" si="625"/>
        <v>45987.458333331851</v>
      </c>
      <c r="WS19" s="3119">
        <f t="shared" si="626"/>
        <v>45987.499999998516</v>
      </c>
      <c r="WT19" s="3119">
        <f t="shared" si="627"/>
        <v>45987.54166666518</v>
      </c>
      <c r="WU19" s="3119">
        <f t="shared" si="628"/>
        <v>45987.583333331844</v>
      </c>
      <c r="WV19" s="3119">
        <f t="shared" si="629"/>
        <v>45987.624999998508</v>
      </c>
      <c r="WW19" s="3119">
        <f t="shared" si="630"/>
        <v>45987.666666665173</v>
      </c>
      <c r="WX19" s="3119">
        <f t="shared" si="631"/>
        <v>45987.708333331837</v>
      </c>
      <c r="WY19" s="3119">
        <f t="shared" si="632"/>
        <v>45987.749999998501</v>
      </c>
      <c r="WZ19" s="3119">
        <f t="shared" si="633"/>
        <v>45987.791666665165</v>
      </c>
      <c r="XA19" s="3119">
        <f t="shared" si="634"/>
        <v>45987.83333333183</v>
      </c>
      <c r="XB19" s="3119">
        <f t="shared" si="635"/>
        <v>45987.874999998494</v>
      </c>
      <c r="XC19" s="3119">
        <f t="shared" si="636"/>
        <v>45987.916666665158</v>
      </c>
      <c r="XD19" s="3119">
        <f t="shared" si="637"/>
        <v>45987.958333331822</v>
      </c>
      <c r="XE19" s="3119">
        <f t="shared" si="638"/>
        <v>45987.999999998487</v>
      </c>
      <c r="XF19" s="3119">
        <f t="shared" si="639"/>
        <v>45988.041666665151</v>
      </c>
      <c r="XG19" s="3119">
        <f t="shared" si="640"/>
        <v>45988.083333331815</v>
      </c>
      <c r="XH19" s="3119">
        <f t="shared" si="641"/>
        <v>45988.124999998479</v>
      </c>
      <c r="XI19" s="3119">
        <f t="shared" si="642"/>
        <v>45988.166666665144</v>
      </c>
      <c r="XJ19" s="3119">
        <f t="shared" si="643"/>
        <v>45988.208333331808</v>
      </c>
      <c r="XK19" s="3119">
        <f t="shared" si="644"/>
        <v>45988.249999998472</v>
      </c>
      <c r="XL19" s="3119">
        <f t="shared" si="645"/>
        <v>45988.291666665136</v>
      </c>
      <c r="XM19" s="3119">
        <f t="shared" si="646"/>
        <v>45988.333333331801</v>
      </c>
      <c r="XN19" s="3119">
        <f t="shared" si="647"/>
        <v>45988.374999998465</v>
      </c>
      <c r="XO19" s="3119">
        <f t="shared" si="648"/>
        <v>45988.416666665129</v>
      </c>
      <c r="XP19" s="3119">
        <f t="shared" si="649"/>
        <v>45988.458333331793</v>
      </c>
      <c r="XQ19" s="3119">
        <f t="shared" si="650"/>
        <v>45988.499999998457</v>
      </c>
      <c r="XR19" s="3119">
        <f t="shared" si="651"/>
        <v>45988.541666665122</v>
      </c>
      <c r="XS19" s="3119">
        <f t="shared" si="652"/>
        <v>45988.583333331786</v>
      </c>
      <c r="XT19" s="3119">
        <f t="shared" si="653"/>
        <v>45988.62499999845</v>
      </c>
      <c r="XU19" s="3119">
        <f t="shared" si="654"/>
        <v>45988.666666665114</v>
      </c>
      <c r="XV19" s="3119">
        <f t="shared" si="23"/>
        <v>45988.708333331779</v>
      </c>
      <c r="XW19" s="3119">
        <f t="shared" si="655"/>
        <v>45988.749999998443</v>
      </c>
      <c r="XX19" s="3119">
        <f t="shared" si="656"/>
        <v>45988.791666665107</v>
      </c>
      <c r="XY19" s="3119">
        <f t="shared" si="657"/>
        <v>45988.833333331771</v>
      </c>
      <c r="XZ19" s="3119">
        <f t="shared" si="658"/>
        <v>45988.874999998436</v>
      </c>
      <c r="YA19" s="3119">
        <f t="shared" si="659"/>
        <v>45988.9166666651</v>
      </c>
      <c r="YB19" s="3119">
        <f t="shared" si="660"/>
        <v>45988.958333331764</v>
      </c>
      <c r="YC19" s="3119">
        <f t="shared" si="661"/>
        <v>45988.999999998428</v>
      </c>
      <c r="YD19" s="3119">
        <f t="shared" si="662"/>
        <v>45989.041666665093</v>
      </c>
      <c r="YE19" s="3119">
        <f t="shared" si="663"/>
        <v>45989.083333331757</v>
      </c>
      <c r="YF19" s="3119">
        <f t="shared" si="664"/>
        <v>45989.124999998421</v>
      </c>
      <c r="YG19" s="3119">
        <f t="shared" si="665"/>
        <v>45989.166666665085</v>
      </c>
      <c r="YH19" s="3119">
        <f t="shared" si="666"/>
        <v>45989.20833333175</v>
      </c>
      <c r="YI19" s="3119">
        <f t="shared" si="667"/>
        <v>45989.249999998414</v>
      </c>
      <c r="YJ19" s="3119">
        <f t="shared" si="668"/>
        <v>45989.291666665078</v>
      </c>
      <c r="YK19" s="3119">
        <f t="shared" si="669"/>
        <v>45989.333333331742</v>
      </c>
      <c r="YL19" s="3119">
        <f t="shared" si="670"/>
        <v>45989.374999998407</v>
      </c>
      <c r="YM19" s="3119">
        <f t="shared" si="671"/>
        <v>45989.416666665071</v>
      </c>
      <c r="YN19" s="3119">
        <f t="shared" si="672"/>
        <v>45989.458333331735</v>
      </c>
      <c r="YO19" s="3119">
        <f t="shared" si="673"/>
        <v>45989.499999998399</v>
      </c>
      <c r="YP19" s="3119">
        <f t="shared" si="674"/>
        <v>45989.541666665064</v>
      </c>
      <c r="YQ19" s="3119">
        <f t="shared" si="675"/>
        <v>45989.583333331728</v>
      </c>
      <c r="YR19" s="3119">
        <f t="shared" si="676"/>
        <v>45989.624999998392</v>
      </c>
      <c r="YS19" s="3119">
        <f t="shared" si="677"/>
        <v>45989.666666665056</v>
      </c>
      <c r="YT19" s="3119">
        <f t="shared" si="678"/>
        <v>45989.70833333172</v>
      </c>
      <c r="YU19" s="3119">
        <f t="shared" si="679"/>
        <v>45989.749999998385</v>
      </c>
      <c r="YV19" s="3119">
        <f t="shared" si="680"/>
        <v>45989.791666665049</v>
      </c>
      <c r="YW19" s="3119">
        <f t="shared" si="681"/>
        <v>45989.833333331713</v>
      </c>
      <c r="YX19" s="3119">
        <f t="shared" si="682"/>
        <v>45989.874999998377</v>
      </c>
      <c r="YY19" s="3119">
        <f t="shared" si="683"/>
        <v>45989.916666665042</v>
      </c>
      <c r="YZ19" s="3119">
        <f t="shared" si="684"/>
        <v>45989.958333331706</v>
      </c>
      <c r="ZA19" s="3119">
        <f t="shared" si="685"/>
        <v>45989.99999999837</v>
      </c>
      <c r="ZB19" s="3119">
        <f t="shared" si="686"/>
        <v>45990.041666665034</v>
      </c>
      <c r="ZC19" s="3119">
        <f t="shared" si="687"/>
        <v>45990.083333331699</v>
      </c>
      <c r="ZD19" s="3119">
        <f t="shared" si="688"/>
        <v>45990.124999998363</v>
      </c>
      <c r="ZE19" s="3119">
        <f t="shared" si="689"/>
        <v>45990.166666665027</v>
      </c>
      <c r="ZF19" s="3119">
        <f t="shared" si="690"/>
        <v>45990.208333331691</v>
      </c>
      <c r="ZG19" s="3119">
        <f t="shared" si="691"/>
        <v>45990.249999998356</v>
      </c>
      <c r="ZH19" s="3119">
        <f t="shared" si="692"/>
        <v>45990.29166666502</v>
      </c>
      <c r="ZI19" s="3119">
        <f t="shared" si="693"/>
        <v>45990.333333331684</v>
      </c>
      <c r="ZJ19" s="3119">
        <f t="shared" si="694"/>
        <v>45990.374999998348</v>
      </c>
      <c r="ZK19" s="3119">
        <f t="shared" si="695"/>
        <v>45990.416666665013</v>
      </c>
      <c r="ZL19" s="3119">
        <f t="shared" si="696"/>
        <v>45990.458333331677</v>
      </c>
      <c r="ZM19" s="3119">
        <f t="shared" si="697"/>
        <v>45990.499999998341</v>
      </c>
      <c r="ZN19" s="3119">
        <f t="shared" si="698"/>
        <v>45990.541666665005</v>
      </c>
      <c r="ZO19" s="3119">
        <f t="shared" si="699"/>
        <v>45990.58333333167</v>
      </c>
      <c r="ZP19" s="3119">
        <f t="shared" si="700"/>
        <v>45990.624999998334</v>
      </c>
      <c r="ZQ19" s="3119">
        <f t="shared" si="701"/>
        <v>45990.666666664998</v>
      </c>
      <c r="ZR19" s="3119">
        <f t="shared" si="702"/>
        <v>45990.708333331662</v>
      </c>
      <c r="ZS19" s="3119">
        <f t="shared" si="703"/>
        <v>45990.749999998327</v>
      </c>
      <c r="ZT19" s="3119">
        <f t="shared" si="704"/>
        <v>45990.791666664991</v>
      </c>
      <c r="ZU19" s="3119">
        <f t="shared" si="705"/>
        <v>45990.833333331655</v>
      </c>
      <c r="ZV19" s="3119">
        <f t="shared" si="706"/>
        <v>45990.874999998319</v>
      </c>
      <c r="ZW19" s="3119">
        <f t="shared" si="707"/>
        <v>45990.916666664983</v>
      </c>
      <c r="ZX19" s="3119">
        <f t="shared" si="708"/>
        <v>45990.958333331648</v>
      </c>
      <c r="ZY19" s="3119">
        <f t="shared" si="709"/>
        <v>45990.999999998312</v>
      </c>
      <c r="ZZ19" s="3119">
        <f t="shared" si="710"/>
        <v>45991.041666664976</v>
      </c>
      <c r="AAA19" s="3119">
        <f t="shared" si="711"/>
        <v>45991.08333333164</v>
      </c>
      <c r="AAB19" s="3119">
        <f t="shared" si="712"/>
        <v>45991.124999998305</v>
      </c>
      <c r="AAC19" s="3119">
        <f t="shared" si="713"/>
        <v>45991.166666664969</v>
      </c>
      <c r="AAD19" s="3119">
        <f t="shared" si="714"/>
        <v>45991.208333331633</v>
      </c>
      <c r="AAE19" s="3119">
        <f t="shared" si="715"/>
        <v>45991.249999998297</v>
      </c>
      <c r="AAF19" s="3119">
        <f t="shared" si="716"/>
        <v>45991.291666664962</v>
      </c>
      <c r="AAG19" s="3119">
        <f t="shared" si="717"/>
        <v>45991.333333331626</v>
      </c>
      <c r="AAH19" s="3119">
        <f t="shared" si="24"/>
        <v>45991.37499999829</v>
      </c>
      <c r="AAI19" s="3119">
        <f t="shared" ref="AAI19:AAV19" si="718">+AAH19+1/24</f>
        <v>45991.416666664954</v>
      </c>
      <c r="AAJ19" s="3119">
        <f t="shared" si="718"/>
        <v>45991.458333331619</v>
      </c>
      <c r="AAK19" s="3119">
        <f t="shared" si="718"/>
        <v>45991.499999998283</v>
      </c>
      <c r="AAL19" s="3119">
        <f t="shared" si="718"/>
        <v>45991.541666664947</v>
      </c>
      <c r="AAM19" s="3119">
        <f t="shared" si="718"/>
        <v>45991.583333331611</v>
      </c>
      <c r="AAN19" s="3119">
        <f t="shared" si="718"/>
        <v>45991.624999998276</v>
      </c>
      <c r="AAO19" s="3119">
        <f t="shared" si="718"/>
        <v>45991.66666666494</v>
      </c>
      <c r="AAP19" s="3119">
        <f t="shared" si="718"/>
        <v>45991.708333331604</v>
      </c>
      <c r="AAQ19" s="3119">
        <f t="shared" si="718"/>
        <v>45991.749999998268</v>
      </c>
      <c r="AAR19" s="3119">
        <f t="shared" si="718"/>
        <v>45991.791666664933</v>
      </c>
      <c r="AAS19" s="3119">
        <f t="shared" si="718"/>
        <v>45991.833333331597</v>
      </c>
      <c r="AAT19" s="3119">
        <f t="shared" si="718"/>
        <v>45991.874999998261</v>
      </c>
      <c r="AAU19" s="3119">
        <f t="shared" si="718"/>
        <v>45991.916666664925</v>
      </c>
      <c r="AAV19" s="3119">
        <f t="shared" si="718"/>
        <v>45991.95833333159</v>
      </c>
    </row>
    <row r="20" spans="1:724" s="282" customFormat="1" ht="13">
      <c r="A20" s="3115" t="s">
        <v>1538</v>
      </c>
      <c r="B20" s="3119">
        <v>45965.25</v>
      </c>
      <c r="C20" s="3119">
        <v>45969</v>
      </c>
      <c r="D20" s="3116">
        <f t="shared" si="0"/>
        <v>90</v>
      </c>
      <c r="E20" s="3119">
        <v>45962</v>
      </c>
      <c r="F20" s="3119">
        <f t="shared" si="13"/>
        <v>45962.041666666664</v>
      </c>
      <c r="G20" s="3119">
        <f t="shared" si="25"/>
        <v>45962.083333333328</v>
      </c>
      <c r="H20" s="3119">
        <f t="shared" si="26"/>
        <v>45962.124999999993</v>
      </c>
      <c r="I20" s="3119">
        <f t="shared" si="27"/>
        <v>45962.166666666657</v>
      </c>
      <c r="J20" s="3119">
        <f t="shared" si="28"/>
        <v>45962.208333333321</v>
      </c>
      <c r="K20" s="3119">
        <f t="shared" si="29"/>
        <v>45962.249999999985</v>
      </c>
      <c r="L20" s="3119">
        <f t="shared" si="30"/>
        <v>45962.29166666665</v>
      </c>
      <c r="M20" s="3119">
        <f t="shared" si="31"/>
        <v>45962.333333333314</v>
      </c>
      <c r="N20" s="3119">
        <f t="shared" si="32"/>
        <v>45962.374999999978</v>
      </c>
      <c r="O20" s="3119">
        <f t="shared" si="33"/>
        <v>45962.416666666642</v>
      </c>
      <c r="P20" s="3119">
        <f t="shared" si="34"/>
        <v>45962.458333333307</v>
      </c>
      <c r="Q20" s="3119">
        <f t="shared" si="35"/>
        <v>45962.499999999971</v>
      </c>
      <c r="R20" s="3119">
        <f t="shared" si="36"/>
        <v>45962.541666666635</v>
      </c>
      <c r="S20" s="3119">
        <f t="shared" si="37"/>
        <v>45962.583333333299</v>
      </c>
      <c r="T20" s="3119">
        <f t="shared" si="38"/>
        <v>45962.624999999964</v>
      </c>
      <c r="U20" s="3119">
        <f t="shared" si="39"/>
        <v>45962.666666666628</v>
      </c>
      <c r="V20" s="3119">
        <f t="shared" si="40"/>
        <v>45962.708333333292</v>
      </c>
      <c r="W20" s="3119">
        <f t="shared" si="41"/>
        <v>45962.749999999956</v>
      </c>
      <c r="X20" s="3119">
        <f t="shared" si="42"/>
        <v>45962.791666666621</v>
      </c>
      <c r="Y20" s="3119">
        <f t="shared" si="43"/>
        <v>45962.833333333285</v>
      </c>
      <c r="Z20" s="3119">
        <f t="shared" si="44"/>
        <v>45962.874999999949</v>
      </c>
      <c r="AA20" s="3119">
        <f t="shared" si="45"/>
        <v>45962.916666666613</v>
      </c>
      <c r="AB20" s="3119">
        <f t="shared" si="46"/>
        <v>45962.958333333278</v>
      </c>
      <c r="AC20" s="3119">
        <f t="shared" si="47"/>
        <v>45962.999999999942</v>
      </c>
      <c r="AD20" s="3119">
        <f t="shared" si="48"/>
        <v>45963.041666666606</v>
      </c>
      <c r="AE20" s="3119">
        <f t="shared" si="49"/>
        <v>45963.08333333327</v>
      </c>
      <c r="AF20" s="3119">
        <f t="shared" si="50"/>
        <v>45963.124999999935</v>
      </c>
      <c r="AG20" s="3119">
        <f t="shared" si="51"/>
        <v>45963.166666666599</v>
      </c>
      <c r="AH20" s="3119">
        <f t="shared" si="52"/>
        <v>45963.208333333263</v>
      </c>
      <c r="AI20" s="3119">
        <f t="shared" si="53"/>
        <v>45963.249999999927</v>
      </c>
      <c r="AJ20" s="3119">
        <f t="shared" si="54"/>
        <v>45963.291666666591</v>
      </c>
      <c r="AK20" s="3119">
        <f t="shared" si="55"/>
        <v>45963.333333333256</v>
      </c>
      <c r="AL20" s="3119">
        <f t="shared" si="56"/>
        <v>45963.37499999992</v>
      </c>
      <c r="AM20" s="3119">
        <f t="shared" si="57"/>
        <v>45963.416666666584</v>
      </c>
      <c r="AN20" s="3119">
        <f t="shared" si="58"/>
        <v>45963.458333333248</v>
      </c>
      <c r="AO20" s="3119">
        <f t="shared" si="59"/>
        <v>45963.499999999913</v>
      </c>
      <c r="AP20" s="3119">
        <f t="shared" si="60"/>
        <v>45963.541666666577</v>
      </c>
      <c r="AQ20" s="3119">
        <f t="shared" si="61"/>
        <v>45963.583333333241</v>
      </c>
      <c r="AR20" s="3119">
        <f t="shared" si="62"/>
        <v>45963.624999999905</v>
      </c>
      <c r="AS20" s="3119">
        <f t="shared" si="63"/>
        <v>45963.66666666657</v>
      </c>
      <c r="AT20" s="3119">
        <f t="shared" si="64"/>
        <v>45963.708333333234</v>
      </c>
      <c r="AU20" s="3119">
        <f t="shared" si="65"/>
        <v>45963.749999999898</v>
      </c>
      <c r="AV20" s="3119">
        <f t="shared" si="66"/>
        <v>45963.791666666562</v>
      </c>
      <c r="AW20" s="3119">
        <f t="shared" si="67"/>
        <v>45963.833333333227</v>
      </c>
      <c r="AX20" s="3119">
        <f t="shared" si="68"/>
        <v>45963.874999999891</v>
      </c>
      <c r="AY20" s="3119">
        <f t="shared" si="69"/>
        <v>45963.916666666555</v>
      </c>
      <c r="AZ20" s="3119">
        <f t="shared" si="70"/>
        <v>45963.958333333219</v>
      </c>
      <c r="BA20" s="3119">
        <f t="shared" si="71"/>
        <v>45963.999999999884</v>
      </c>
      <c r="BB20" s="3119">
        <f t="shared" si="72"/>
        <v>45964.041666666548</v>
      </c>
      <c r="BC20" s="3119">
        <f t="shared" si="73"/>
        <v>45964.083333333212</v>
      </c>
      <c r="BD20" s="3119">
        <f t="shared" si="74"/>
        <v>45964.124999999876</v>
      </c>
      <c r="BE20" s="3119">
        <f t="shared" si="75"/>
        <v>45964.166666666541</v>
      </c>
      <c r="BF20" s="3119">
        <f t="shared" si="76"/>
        <v>45964.208333333205</v>
      </c>
      <c r="BG20" s="3119">
        <f t="shared" si="77"/>
        <v>45964.249999999869</v>
      </c>
      <c r="BH20" s="3119">
        <f t="shared" si="78"/>
        <v>45964.291666666533</v>
      </c>
      <c r="BI20" s="3119">
        <f t="shared" si="79"/>
        <v>45964.333333333198</v>
      </c>
      <c r="BJ20" s="3119">
        <f t="shared" si="80"/>
        <v>45964.374999999862</v>
      </c>
      <c r="BK20" s="3119">
        <f t="shared" si="81"/>
        <v>45964.416666666526</v>
      </c>
      <c r="BL20" s="3119">
        <f t="shared" si="82"/>
        <v>45964.45833333319</v>
      </c>
      <c r="BM20" s="3119">
        <f t="shared" si="83"/>
        <v>45964.499999999854</v>
      </c>
      <c r="BN20" s="3119">
        <f t="shared" si="84"/>
        <v>45964.541666666519</v>
      </c>
      <c r="BO20" s="3119">
        <f t="shared" si="85"/>
        <v>45964.583333333183</v>
      </c>
      <c r="BP20" s="3119">
        <f t="shared" si="86"/>
        <v>45964.624999999847</v>
      </c>
      <c r="BQ20" s="3119">
        <f t="shared" si="87"/>
        <v>45964.666666666511</v>
      </c>
      <c r="BR20" s="3119">
        <f t="shared" si="14"/>
        <v>45964.708333333176</v>
      </c>
      <c r="BS20" s="3119">
        <f t="shared" si="88"/>
        <v>45964.74999999984</v>
      </c>
      <c r="BT20" s="3119">
        <f t="shared" si="89"/>
        <v>45964.791666666504</v>
      </c>
      <c r="BU20" s="3119">
        <f t="shared" si="90"/>
        <v>45964.833333333168</v>
      </c>
      <c r="BV20" s="3119">
        <f t="shared" si="91"/>
        <v>45964.874999999833</v>
      </c>
      <c r="BW20" s="3119">
        <f t="shared" si="92"/>
        <v>45964.916666666497</v>
      </c>
      <c r="BX20" s="3119">
        <f t="shared" si="93"/>
        <v>45964.958333333161</v>
      </c>
      <c r="BY20" s="3119">
        <f t="shared" si="94"/>
        <v>45964.999999999825</v>
      </c>
      <c r="BZ20" s="3119">
        <f t="shared" si="95"/>
        <v>45965.04166666649</v>
      </c>
      <c r="CA20" s="3119">
        <f t="shared" si="96"/>
        <v>45965.083333333154</v>
      </c>
      <c r="CB20" s="3119">
        <f t="shared" si="97"/>
        <v>45965.124999999818</v>
      </c>
      <c r="CC20" s="3119">
        <f t="shared" si="98"/>
        <v>45965.166666666482</v>
      </c>
      <c r="CD20" s="3119">
        <f t="shared" si="99"/>
        <v>45965.208333333147</v>
      </c>
      <c r="CE20" s="3119">
        <f t="shared" si="100"/>
        <v>45965.249999999811</v>
      </c>
      <c r="CF20" s="3119">
        <f t="shared" si="101"/>
        <v>45965.291666666475</v>
      </c>
      <c r="CG20" s="3119">
        <f t="shared" si="102"/>
        <v>45965.333333333139</v>
      </c>
      <c r="CH20" s="3119">
        <f t="shared" si="103"/>
        <v>45965.374999999804</v>
      </c>
      <c r="CI20" s="3119">
        <f t="shared" si="104"/>
        <v>45965.416666666468</v>
      </c>
      <c r="CJ20" s="3119">
        <f t="shared" si="105"/>
        <v>45965.458333333132</v>
      </c>
      <c r="CK20" s="3119">
        <f t="shared" si="106"/>
        <v>45965.499999999796</v>
      </c>
      <c r="CL20" s="3119">
        <f t="shared" si="107"/>
        <v>45965.541666666461</v>
      </c>
      <c r="CM20" s="3119">
        <f t="shared" si="108"/>
        <v>45965.583333333125</v>
      </c>
      <c r="CN20" s="3119">
        <f t="shared" si="109"/>
        <v>45965.624999999789</v>
      </c>
      <c r="CO20" s="3119">
        <f t="shared" si="110"/>
        <v>45965.666666666453</v>
      </c>
      <c r="CP20" s="3119">
        <f t="shared" si="111"/>
        <v>45965.708333333117</v>
      </c>
      <c r="CQ20" s="3119">
        <f t="shared" si="112"/>
        <v>45965.749999999782</v>
      </c>
      <c r="CR20" s="3119">
        <f t="shared" si="113"/>
        <v>45965.791666666446</v>
      </c>
      <c r="CS20" s="3119">
        <f t="shared" si="114"/>
        <v>45965.83333333311</v>
      </c>
      <c r="CT20" s="3119">
        <f t="shared" si="115"/>
        <v>45965.874999999774</v>
      </c>
      <c r="CU20" s="3119">
        <f t="shared" si="116"/>
        <v>45965.916666666439</v>
      </c>
      <c r="CV20" s="3119">
        <f t="shared" si="117"/>
        <v>45965.958333333103</v>
      </c>
      <c r="CW20" s="3119">
        <f t="shared" si="118"/>
        <v>45965.999999999767</v>
      </c>
      <c r="CX20" s="3119">
        <f t="shared" si="119"/>
        <v>45966.041666666431</v>
      </c>
      <c r="CY20" s="3119">
        <f t="shared" si="120"/>
        <v>45966.083333333096</v>
      </c>
      <c r="CZ20" s="3119">
        <f t="shared" si="121"/>
        <v>45966.12499999976</v>
      </c>
      <c r="DA20" s="3119">
        <f t="shared" si="122"/>
        <v>45966.166666666424</v>
      </c>
      <c r="DB20" s="3119">
        <f t="shared" si="123"/>
        <v>45966.208333333088</v>
      </c>
      <c r="DC20" s="3119">
        <f t="shared" si="124"/>
        <v>45966.249999999753</v>
      </c>
      <c r="DD20" s="3119">
        <f t="shared" si="125"/>
        <v>45966.291666666417</v>
      </c>
      <c r="DE20" s="3119">
        <f t="shared" si="126"/>
        <v>45966.333333333081</v>
      </c>
      <c r="DF20" s="3119">
        <f t="shared" si="127"/>
        <v>45966.374999999745</v>
      </c>
      <c r="DG20" s="3119">
        <f t="shared" si="128"/>
        <v>45966.41666666641</v>
      </c>
      <c r="DH20" s="3119">
        <f t="shared" si="129"/>
        <v>45966.458333333074</v>
      </c>
      <c r="DI20" s="3119">
        <f t="shared" si="130"/>
        <v>45966.499999999738</v>
      </c>
      <c r="DJ20" s="3119">
        <f t="shared" si="131"/>
        <v>45966.541666666402</v>
      </c>
      <c r="DK20" s="3119">
        <f t="shared" si="132"/>
        <v>45966.583333333067</v>
      </c>
      <c r="DL20" s="3119">
        <f t="shared" si="133"/>
        <v>45966.624999999731</v>
      </c>
      <c r="DM20" s="3119">
        <f t="shared" si="134"/>
        <v>45966.666666666395</v>
      </c>
      <c r="DN20" s="3119">
        <f t="shared" si="135"/>
        <v>45966.708333333059</v>
      </c>
      <c r="DO20" s="3119">
        <f t="shared" si="136"/>
        <v>45966.749999999724</v>
      </c>
      <c r="DP20" s="3119">
        <f t="shared" si="137"/>
        <v>45966.791666666388</v>
      </c>
      <c r="DQ20" s="3119">
        <f t="shared" si="138"/>
        <v>45966.833333333052</v>
      </c>
      <c r="DR20" s="3119">
        <f t="shared" si="139"/>
        <v>45966.874999999716</v>
      </c>
      <c r="DS20" s="3119">
        <f t="shared" si="140"/>
        <v>45966.91666666638</v>
      </c>
      <c r="DT20" s="3119">
        <f t="shared" si="141"/>
        <v>45966.958333333045</v>
      </c>
      <c r="DU20" s="3119">
        <f t="shared" si="142"/>
        <v>45966.999999999709</v>
      </c>
      <c r="DV20" s="3119">
        <f t="shared" si="143"/>
        <v>45967.041666666373</v>
      </c>
      <c r="DW20" s="3119">
        <f t="shared" si="144"/>
        <v>45967.083333333037</v>
      </c>
      <c r="DX20" s="3119">
        <f t="shared" si="145"/>
        <v>45967.124999999702</v>
      </c>
      <c r="DY20" s="3119">
        <f t="shared" si="146"/>
        <v>45967.166666666366</v>
      </c>
      <c r="DZ20" s="3119">
        <f t="shared" si="147"/>
        <v>45967.20833333303</v>
      </c>
      <c r="EA20" s="3119">
        <f t="shared" si="148"/>
        <v>45967.249999999694</v>
      </c>
      <c r="EB20" s="3119">
        <f t="shared" si="149"/>
        <v>45967.291666666359</v>
      </c>
      <c r="EC20" s="3119">
        <f t="shared" si="150"/>
        <v>45967.333333333023</v>
      </c>
      <c r="ED20" s="3119">
        <f t="shared" si="15"/>
        <v>45967.374999999687</v>
      </c>
      <c r="EE20" s="3119">
        <f t="shared" si="151"/>
        <v>45967.416666666351</v>
      </c>
      <c r="EF20" s="3119">
        <f t="shared" si="152"/>
        <v>45967.458333333016</v>
      </c>
      <c r="EG20" s="3119">
        <f t="shared" si="153"/>
        <v>45967.49999999968</v>
      </c>
      <c r="EH20" s="3119">
        <f t="shared" si="154"/>
        <v>45967.541666666344</v>
      </c>
      <c r="EI20" s="3119">
        <f t="shared" si="155"/>
        <v>45967.583333333008</v>
      </c>
      <c r="EJ20" s="3119">
        <f t="shared" si="156"/>
        <v>45967.624999999673</v>
      </c>
      <c r="EK20" s="3119">
        <f t="shared" si="157"/>
        <v>45967.666666666337</v>
      </c>
      <c r="EL20" s="3119">
        <f t="shared" si="158"/>
        <v>45967.708333333001</v>
      </c>
      <c r="EM20" s="3119">
        <f t="shared" si="159"/>
        <v>45967.749999999665</v>
      </c>
      <c r="EN20" s="3119">
        <f t="shared" si="160"/>
        <v>45967.79166666633</v>
      </c>
      <c r="EO20" s="3119">
        <f t="shared" si="161"/>
        <v>45967.833333332994</v>
      </c>
      <c r="EP20" s="3119">
        <f t="shared" si="162"/>
        <v>45967.874999999658</v>
      </c>
      <c r="EQ20" s="3119">
        <f t="shared" si="163"/>
        <v>45967.916666666322</v>
      </c>
      <c r="ER20" s="3119">
        <f t="shared" si="164"/>
        <v>45967.958333332987</v>
      </c>
      <c r="ES20" s="3119">
        <f t="shared" si="165"/>
        <v>45967.999999999651</v>
      </c>
      <c r="ET20" s="3119">
        <f t="shared" si="166"/>
        <v>45968.041666666315</v>
      </c>
      <c r="EU20" s="3119">
        <f t="shared" si="167"/>
        <v>45968.083333332979</v>
      </c>
      <c r="EV20" s="3119">
        <f t="shared" si="168"/>
        <v>45968.124999999643</v>
      </c>
      <c r="EW20" s="3119">
        <f t="shared" si="169"/>
        <v>45968.166666666308</v>
      </c>
      <c r="EX20" s="3119">
        <f t="shared" si="170"/>
        <v>45968.208333332972</v>
      </c>
      <c r="EY20" s="3119">
        <f t="shared" si="171"/>
        <v>45968.249999999636</v>
      </c>
      <c r="EZ20" s="3119">
        <f t="shared" si="172"/>
        <v>45968.2916666663</v>
      </c>
      <c r="FA20" s="3119">
        <f t="shared" si="173"/>
        <v>45968.333333332965</v>
      </c>
      <c r="FB20" s="3119">
        <f t="shared" si="174"/>
        <v>45968.374999999629</v>
      </c>
      <c r="FC20" s="3119">
        <f t="shared" si="175"/>
        <v>45968.416666666293</v>
      </c>
      <c r="FD20" s="3119">
        <f t="shared" si="176"/>
        <v>45968.458333332957</v>
      </c>
      <c r="FE20" s="3119">
        <f t="shared" si="177"/>
        <v>45968.499999999622</v>
      </c>
      <c r="FF20" s="3119">
        <f t="shared" si="178"/>
        <v>45968.541666666286</v>
      </c>
      <c r="FG20" s="3119">
        <f t="shared" si="179"/>
        <v>45968.58333333295</v>
      </c>
      <c r="FH20" s="3119">
        <f t="shared" si="180"/>
        <v>45968.624999999614</v>
      </c>
      <c r="FI20" s="3119">
        <f t="shared" si="181"/>
        <v>45968.666666666279</v>
      </c>
      <c r="FJ20" s="3119">
        <f t="shared" si="182"/>
        <v>45968.708333332943</v>
      </c>
      <c r="FK20" s="3119">
        <f t="shared" si="183"/>
        <v>45968.749999999607</v>
      </c>
      <c r="FL20" s="3119">
        <f t="shared" si="184"/>
        <v>45968.791666666271</v>
      </c>
      <c r="FM20" s="3119">
        <f t="shared" si="185"/>
        <v>45968.833333332936</v>
      </c>
      <c r="FN20" s="3119">
        <f t="shared" si="186"/>
        <v>45968.8749999996</v>
      </c>
      <c r="FO20" s="3119">
        <f t="shared" si="187"/>
        <v>45968.916666666264</v>
      </c>
      <c r="FP20" s="3119">
        <f t="shared" si="188"/>
        <v>45968.958333332928</v>
      </c>
      <c r="FQ20" s="3119">
        <f t="shared" si="189"/>
        <v>45968.999999999593</v>
      </c>
      <c r="FR20" s="3119">
        <f t="shared" si="190"/>
        <v>45969.041666666257</v>
      </c>
      <c r="FS20" s="3119">
        <f t="shared" si="191"/>
        <v>45969.083333332921</v>
      </c>
      <c r="FT20" s="3119">
        <f t="shared" si="192"/>
        <v>45969.124999999585</v>
      </c>
      <c r="FU20" s="3119">
        <f t="shared" si="193"/>
        <v>45969.16666666625</v>
      </c>
      <c r="FV20" s="3119">
        <f t="shared" si="194"/>
        <v>45969.208333332914</v>
      </c>
      <c r="FW20" s="3119">
        <f t="shared" si="195"/>
        <v>45969.249999999578</v>
      </c>
      <c r="FX20" s="3119">
        <f t="shared" si="196"/>
        <v>45969.291666666242</v>
      </c>
      <c r="FY20" s="3119">
        <f t="shared" si="197"/>
        <v>45969.333333332906</v>
      </c>
      <c r="FZ20" s="3119">
        <f t="shared" si="198"/>
        <v>45969.374999999571</v>
      </c>
      <c r="GA20" s="3119">
        <f t="shared" si="199"/>
        <v>45969.416666666235</v>
      </c>
      <c r="GB20" s="3119">
        <f t="shared" si="200"/>
        <v>45969.458333332899</v>
      </c>
      <c r="GC20" s="3119">
        <f t="shared" si="201"/>
        <v>45969.499999999563</v>
      </c>
      <c r="GD20" s="3119">
        <f t="shared" si="202"/>
        <v>45969.541666666228</v>
      </c>
      <c r="GE20" s="3119">
        <f t="shared" si="203"/>
        <v>45969.583333332892</v>
      </c>
      <c r="GF20" s="3119">
        <f t="shared" si="204"/>
        <v>45969.624999999556</v>
      </c>
      <c r="GG20" s="3119">
        <f t="shared" si="205"/>
        <v>45969.66666666622</v>
      </c>
      <c r="GH20" s="3119">
        <f t="shared" si="206"/>
        <v>45969.708333332885</v>
      </c>
      <c r="GI20" s="3119">
        <f t="shared" si="207"/>
        <v>45969.749999999549</v>
      </c>
      <c r="GJ20" s="3119">
        <f t="shared" si="208"/>
        <v>45969.791666666213</v>
      </c>
      <c r="GK20" s="3119">
        <f t="shared" si="209"/>
        <v>45969.833333332877</v>
      </c>
      <c r="GL20" s="3119">
        <f t="shared" si="210"/>
        <v>45969.874999999542</v>
      </c>
      <c r="GM20" s="3119">
        <f t="shared" si="211"/>
        <v>45969.916666666206</v>
      </c>
      <c r="GN20" s="3119">
        <f t="shared" si="212"/>
        <v>45969.95833333287</v>
      </c>
      <c r="GO20" s="3119">
        <f t="shared" si="213"/>
        <v>45969.999999999534</v>
      </c>
      <c r="GP20" s="3119">
        <f t="shared" si="16"/>
        <v>45970.041666666199</v>
      </c>
      <c r="GQ20" s="3119">
        <f t="shared" si="214"/>
        <v>45970.083333332863</v>
      </c>
      <c r="GR20" s="3119">
        <f t="shared" si="215"/>
        <v>45970.124999999527</v>
      </c>
      <c r="GS20" s="3119">
        <f t="shared" si="216"/>
        <v>45970.166666666191</v>
      </c>
      <c r="GT20" s="3119">
        <f t="shared" si="217"/>
        <v>45970.208333332856</v>
      </c>
      <c r="GU20" s="3119">
        <f t="shared" si="218"/>
        <v>45970.24999999952</v>
      </c>
      <c r="GV20" s="3119">
        <f t="shared" si="219"/>
        <v>45970.291666666184</v>
      </c>
      <c r="GW20" s="3119">
        <f t="shared" si="220"/>
        <v>45970.333333332848</v>
      </c>
      <c r="GX20" s="3119">
        <f t="shared" si="221"/>
        <v>45970.374999999513</v>
      </c>
      <c r="GY20" s="3119">
        <f t="shared" si="222"/>
        <v>45970.416666666177</v>
      </c>
      <c r="GZ20" s="3119">
        <f t="shared" si="223"/>
        <v>45970.458333332841</v>
      </c>
      <c r="HA20" s="3119">
        <f t="shared" si="224"/>
        <v>45970.499999999505</v>
      </c>
      <c r="HB20" s="3119">
        <f t="shared" si="225"/>
        <v>45970.541666666169</v>
      </c>
      <c r="HC20" s="3119">
        <f t="shared" si="226"/>
        <v>45970.583333332834</v>
      </c>
      <c r="HD20" s="3119">
        <f t="shared" si="227"/>
        <v>45970.624999999498</v>
      </c>
      <c r="HE20" s="3119">
        <f t="shared" si="228"/>
        <v>45970.666666666162</v>
      </c>
      <c r="HF20" s="3119">
        <f t="shared" si="229"/>
        <v>45970.708333332826</v>
      </c>
      <c r="HG20" s="3119">
        <f t="shared" si="230"/>
        <v>45970.749999999491</v>
      </c>
      <c r="HH20" s="3119">
        <f t="shared" si="231"/>
        <v>45970.791666666155</v>
      </c>
      <c r="HI20" s="3119">
        <f t="shared" si="232"/>
        <v>45970.833333332819</v>
      </c>
      <c r="HJ20" s="3119">
        <f t="shared" si="233"/>
        <v>45970.874999999483</v>
      </c>
      <c r="HK20" s="3119">
        <f t="shared" si="234"/>
        <v>45970.916666666148</v>
      </c>
      <c r="HL20" s="3119">
        <f t="shared" si="235"/>
        <v>45970.958333332812</v>
      </c>
      <c r="HM20" s="3119">
        <f t="shared" si="236"/>
        <v>45970.999999999476</v>
      </c>
      <c r="HN20" s="3119">
        <f t="shared" si="237"/>
        <v>45971.04166666614</v>
      </c>
      <c r="HO20" s="3119">
        <f t="shared" si="238"/>
        <v>45971.083333332805</v>
      </c>
      <c r="HP20" s="3119">
        <f t="shared" si="239"/>
        <v>45971.124999999469</v>
      </c>
      <c r="HQ20" s="3119">
        <f t="shared" si="240"/>
        <v>45971.166666666133</v>
      </c>
      <c r="HR20" s="3119">
        <f t="shared" si="241"/>
        <v>45971.208333332797</v>
      </c>
      <c r="HS20" s="3119">
        <f t="shared" si="242"/>
        <v>45971.249999999462</v>
      </c>
      <c r="HT20" s="3119">
        <f t="shared" si="243"/>
        <v>45971.291666666126</v>
      </c>
      <c r="HU20" s="3119">
        <f t="shared" si="244"/>
        <v>45971.33333333279</v>
      </c>
      <c r="HV20" s="3119">
        <f t="shared" si="245"/>
        <v>45971.374999999454</v>
      </c>
      <c r="HW20" s="3119">
        <f t="shared" si="246"/>
        <v>45971.416666666119</v>
      </c>
      <c r="HX20" s="3119">
        <f t="shared" si="247"/>
        <v>45971.458333332783</v>
      </c>
      <c r="HY20" s="3119">
        <f t="shared" si="248"/>
        <v>45971.499999999447</v>
      </c>
      <c r="HZ20" s="3119">
        <f t="shared" si="249"/>
        <v>45971.541666666111</v>
      </c>
      <c r="IA20" s="3119">
        <f t="shared" si="250"/>
        <v>45971.583333332776</v>
      </c>
      <c r="IB20" s="3119">
        <f t="shared" si="251"/>
        <v>45971.62499999944</v>
      </c>
      <c r="IC20" s="3119">
        <f t="shared" si="252"/>
        <v>45971.666666666104</v>
      </c>
      <c r="ID20" s="3119">
        <f t="shared" si="253"/>
        <v>45971.708333332768</v>
      </c>
      <c r="IE20" s="3119">
        <f t="shared" si="254"/>
        <v>45971.749999999432</v>
      </c>
      <c r="IF20" s="3119">
        <f t="shared" si="255"/>
        <v>45971.791666666097</v>
      </c>
      <c r="IG20" s="3119">
        <f t="shared" si="256"/>
        <v>45971.833333332761</v>
      </c>
      <c r="IH20" s="3119">
        <f t="shared" si="257"/>
        <v>45971.874999999425</v>
      </c>
      <c r="II20" s="3119">
        <f t="shared" si="258"/>
        <v>45971.916666666089</v>
      </c>
      <c r="IJ20" s="3119">
        <f t="shared" si="259"/>
        <v>45971.958333332754</v>
      </c>
      <c r="IK20" s="3119">
        <f t="shared" si="260"/>
        <v>45971.999999999418</v>
      </c>
      <c r="IL20" s="3119">
        <f t="shared" si="261"/>
        <v>45972.041666666082</v>
      </c>
      <c r="IM20" s="3119">
        <f t="shared" si="262"/>
        <v>45972.083333332746</v>
      </c>
      <c r="IN20" s="3119">
        <f t="shared" si="263"/>
        <v>45972.124999999411</v>
      </c>
      <c r="IO20" s="3119">
        <f t="shared" si="264"/>
        <v>45972.166666666075</v>
      </c>
      <c r="IP20" s="3119">
        <f t="shared" si="265"/>
        <v>45972.208333332739</v>
      </c>
      <c r="IQ20" s="3119">
        <f t="shared" si="266"/>
        <v>45972.249999999403</v>
      </c>
      <c r="IR20" s="3119">
        <f t="shared" si="267"/>
        <v>45972.291666666068</v>
      </c>
      <c r="IS20" s="3119">
        <f t="shared" si="268"/>
        <v>45972.333333332732</v>
      </c>
      <c r="IT20" s="3119">
        <f t="shared" si="269"/>
        <v>45972.374999999396</v>
      </c>
      <c r="IU20" s="3119">
        <f t="shared" si="270"/>
        <v>45972.41666666606</v>
      </c>
      <c r="IV20" s="3119">
        <f t="shared" si="271"/>
        <v>45972.458333332725</v>
      </c>
      <c r="IW20" s="3119">
        <f t="shared" si="272"/>
        <v>45972.499999999389</v>
      </c>
      <c r="IX20" s="3119">
        <f t="shared" si="273"/>
        <v>45972.541666666053</v>
      </c>
      <c r="IY20" s="3119">
        <f t="shared" si="274"/>
        <v>45972.583333332717</v>
      </c>
      <c r="IZ20" s="3119">
        <f t="shared" si="275"/>
        <v>45972.624999999382</v>
      </c>
      <c r="JA20" s="3119">
        <f t="shared" si="276"/>
        <v>45972.666666666046</v>
      </c>
      <c r="JB20" s="3119">
        <f t="shared" si="17"/>
        <v>45972.70833333271</v>
      </c>
      <c r="JC20" s="3119">
        <f t="shared" si="277"/>
        <v>45972.749999999374</v>
      </c>
      <c r="JD20" s="3119">
        <f t="shared" si="278"/>
        <v>45972.791666666039</v>
      </c>
      <c r="JE20" s="3119">
        <f t="shared" si="279"/>
        <v>45972.833333332703</v>
      </c>
      <c r="JF20" s="3119">
        <f t="shared" si="280"/>
        <v>45972.874999999367</v>
      </c>
      <c r="JG20" s="3119">
        <f t="shared" si="281"/>
        <v>45972.916666666031</v>
      </c>
      <c r="JH20" s="3119">
        <f t="shared" si="282"/>
        <v>45972.958333332695</v>
      </c>
      <c r="JI20" s="3119">
        <f t="shared" si="283"/>
        <v>45972.99999999936</v>
      </c>
      <c r="JJ20" s="3119">
        <f t="shared" si="284"/>
        <v>45973.041666666024</v>
      </c>
      <c r="JK20" s="3119">
        <f t="shared" si="285"/>
        <v>45973.083333332688</v>
      </c>
      <c r="JL20" s="3119">
        <f t="shared" si="286"/>
        <v>45973.124999999352</v>
      </c>
      <c r="JM20" s="3119">
        <f t="shared" si="287"/>
        <v>45973.166666666017</v>
      </c>
      <c r="JN20" s="3119">
        <f t="shared" si="288"/>
        <v>45973.208333332681</v>
      </c>
      <c r="JO20" s="3119">
        <f t="shared" si="289"/>
        <v>45973.249999999345</v>
      </c>
      <c r="JP20" s="3119">
        <f t="shared" si="290"/>
        <v>45973.291666666009</v>
      </c>
      <c r="JQ20" s="3119">
        <f t="shared" si="291"/>
        <v>45973.333333332674</v>
      </c>
      <c r="JR20" s="3119">
        <f t="shared" si="292"/>
        <v>45973.374999999338</v>
      </c>
      <c r="JS20" s="3119">
        <f t="shared" si="293"/>
        <v>45973.416666666002</v>
      </c>
      <c r="JT20" s="3119">
        <f t="shared" si="294"/>
        <v>45973.458333332666</v>
      </c>
      <c r="JU20" s="3119">
        <f t="shared" si="295"/>
        <v>45973.499999999331</v>
      </c>
      <c r="JV20" s="3119">
        <f t="shared" si="296"/>
        <v>45973.541666665995</v>
      </c>
      <c r="JW20" s="3119">
        <f t="shared" si="297"/>
        <v>45973.583333332659</v>
      </c>
      <c r="JX20" s="3119">
        <f t="shared" si="298"/>
        <v>45973.624999999323</v>
      </c>
      <c r="JY20" s="3119">
        <f t="shared" si="299"/>
        <v>45973.666666665988</v>
      </c>
      <c r="JZ20" s="3119">
        <f t="shared" si="300"/>
        <v>45973.708333332652</v>
      </c>
      <c r="KA20" s="3119">
        <f t="shared" si="301"/>
        <v>45973.749999999316</v>
      </c>
      <c r="KB20" s="3119">
        <f t="shared" si="302"/>
        <v>45973.79166666598</v>
      </c>
      <c r="KC20" s="3119">
        <f t="shared" si="303"/>
        <v>45973.833333332645</v>
      </c>
      <c r="KD20" s="3119">
        <f t="shared" si="304"/>
        <v>45973.874999999309</v>
      </c>
      <c r="KE20" s="3119">
        <f t="shared" si="305"/>
        <v>45973.916666665973</v>
      </c>
      <c r="KF20" s="3119">
        <f t="shared" si="306"/>
        <v>45973.958333332637</v>
      </c>
      <c r="KG20" s="3119">
        <f t="shared" si="307"/>
        <v>45973.999999999302</v>
      </c>
      <c r="KH20" s="3119">
        <f t="shared" si="308"/>
        <v>45974.041666665966</v>
      </c>
      <c r="KI20" s="3119">
        <f t="shared" si="309"/>
        <v>45974.08333333263</v>
      </c>
      <c r="KJ20" s="3119">
        <f t="shared" si="310"/>
        <v>45974.124999999294</v>
      </c>
      <c r="KK20" s="3119">
        <f t="shared" si="311"/>
        <v>45974.166666665958</v>
      </c>
      <c r="KL20" s="3119">
        <f t="shared" si="312"/>
        <v>45974.208333332623</v>
      </c>
      <c r="KM20" s="3119">
        <f t="shared" si="313"/>
        <v>45974.249999999287</v>
      </c>
      <c r="KN20" s="3119">
        <f t="shared" si="314"/>
        <v>45974.291666665951</v>
      </c>
      <c r="KO20" s="3119">
        <f t="shared" si="315"/>
        <v>45974.333333332615</v>
      </c>
      <c r="KP20" s="3119">
        <f t="shared" si="316"/>
        <v>45974.37499999928</v>
      </c>
      <c r="KQ20" s="3119">
        <f t="shared" si="317"/>
        <v>45974.416666665944</v>
      </c>
      <c r="KR20" s="3119">
        <f t="shared" si="318"/>
        <v>45974.458333332608</v>
      </c>
      <c r="KS20" s="3119">
        <f t="shared" si="319"/>
        <v>45974.499999999272</v>
      </c>
      <c r="KT20" s="3119">
        <f t="shared" si="320"/>
        <v>45974.541666665937</v>
      </c>
      <c r="KU20" s="3119">
        <f t="shared" si="321"/>
        <v>45974.583333332601</v>
      </c>
      <c r="KV20" s="3119">
        <f t="shared" si="322"/>
        <v>45974.624999999265</v>
      </c>
      <c r="KW20" s="3119">
        <f t="shared" si="323"/>
        <v>45974.666666665929</v>
      </c>
      <c r="KX20" s="3119">
        <f t="shared" si="324"/>
        <v>45974.708333332594</v>
      </c>
      <c r="KY20" s="3119">
        <f t="shared" si="325"/>
        <v>45974.749999999258</v>
      </c>
      <c r="KZ20" s="3119">
        <f t="shared" si="326"/>
        <v>45974.791666665922</v>
      </c>
      <c r="LA20" s="3119">
        <f t="shared" si="327"/>
        <v>45974.833333332586</v>
      </c>
      <c r="LB20" s="3119">
        <f t="shared" si="328"/>
        <v>45974.874999999251</v>
      </c>
      <c r="LC20" s="3119">
        <f t="shared" si="329"/>
        <v>45974.916666665915</v>
      </c>
      <c r="LD20" s="3119">
        <f t="shared" si="330"/>
        <v>45974.958333332579</v>
      </c>
      <c r="LE20" s="3119">
        <f t="shared" si="331"/>
        <v>45974.999999999243</v>
      </c>
      <c r="LF20" s="3119">
        <f t="shared" si="332"/>
        <v>45975.041666665908</v>
      </c>
      <c r="LG20" s="3119">
        <f t="shared" si="333"/>
        <v>45975.083333332572</v>
      </c>
      <c r="LH20" s="3119">
        <f t="shared" si="334"/>
        <v>45975.124999999236</v>
      </c>
      <c r="LI20" s="3119">
        <f t="shared" si="335"/>
        <v>45975.1666666659</v>
      </c>
      <c r="LJ20" s="3119">
        <f t="shared" si="336"/>
        <v>45975.208333332565</v>
      </c>
      <c r="LK20" s="3119">
        <f t="shared" si="337"/>
        <v>45975.249999999229</v>
      </c>
      <c r="LL20" s="3119">
        <f t="shared" si="338"/>
        <v>45975.291666665893</v>
      </c>
      <c r="LM20" s="3119">
        <f t="shared" si="339"/>
        <v>45975.333333332557</v>
      </c>
      <c r="LN20" s="3119">
        <f t="shared" si="18"/>
        <v>45975.374999999221</v>
      </c>
      <c r="LO20" s="3119">
        <f t="shared" si="340"/>
        <v>45975.416666665886</v>
      </c>
      <c r="LP20" s="3119">
        <f t="shared" si="341"/>
        <v>45975.45833333255</v>
      </c>
      <c r="LQ20" s="3119">
        <f t="shared" si="342"/>
        <v>45975.499999999214</v>
      </c>
      <c r="LR20" s="3119">
        <f t="shared" si="343"/>
        <v>45975.541666665878</v>
      </c>
      <c r="LS20" s="3119">
        <f t="shared" si="344"/>
        <v>45975.583333332543</v>
      </c>
      <c r="LT20" s="3119">
        <f t="shared" si="345"/>
        <v>45975.624999999207</v>
      </c>
      <c r="LU20" s="3119">
        <f t="shared" si="346"/>
        <v>45975.666666665871</v>
      </c>
      <c r="LV20" s="3119">
        <f t="shared" si="347"/>
        <v>45975.708333332535</v>
      </c>
      <c r="LW20" s="3119">
        <f t="shared" si="348"/>
        <v>45975.7499999992</v>
      </c>
      <c r="LX20" s="3119">
        <f t="shared" si="349"/>
        <v>45975.791666665864</v>
      </c>
      <c r="LY20" s="3119">
        <f t="shared" si="350"/>
        <v>45975.833333332528</v>
      </c>
      <c r="LZ20" s="3119">
        <f t="shared" si="351"/>
        <v>45975.874999999192</v>
      </c>
      <c r="MA20" s="3119">
        <f t="shared" si="352"/>
        <v>45975.916666665857</v>
      </c>
      <c r="MB20" s="3119">
        <f t="shared" si="353"/>
        <v>45975.958333332521</v>
      </c>
      <c r="MC20" s="3119">
        <f t="shared" si="354"/>
        <v>45975.999999999185</v>
      </c>
      <c r="MD20" s="3119">
        <f t="shared" si="355"/>
        <v>45976.041666665849</v>
      </c>
      <c r="ME20" s="3119">
        <f t="shared" si="356"/>
        <v>45976.083333332514</v>
      </c>
      <c r="MF20" s="3119">
        <f t="shared" si="357"/>
        <v>45976.124999999178</v>
      </c>
      <c r="MG20" s="3119">
        <f t="shared" si="358"/>
        <v>45976.166666665842</v>
      </c>
      <c r="MH20" s="3119">
        <f t="shared" si="359"/>
        <v>45976.208333332506</v>
      </c>
      <c r="MI20" s="3119">
        <f t="shared" si="360"/>
        <v>45976.249999999171</v>
      </c>
      <c r="MJ20" s="3119">
        <f t="shared" si="361"/>
        <v>45976.291666665835</v>
      </c>
      <c r="MK20" s="3119">
        <f t="shared" si="362"/>
        <v>45976.333333332499</v>
      </c>
      <c r="ML20" s="3119">
        <f t="shared" si="363"/>
        <v>45976.374999999163</v>
      </c>
      <c r="MM20" s="3119">
        <f t="shared" si="364"/>
        <v>45976.416666665828</v>
      </c>
      <c r="MN20" s="3119">
        <f t="shared" si="365"/>
        <v>45976.458333332492</v>
      </c>
      <c r="MO20" s="3119">
        <f t="shared" si="366"/>
        <v>45976.499999999156</v>
      </c>
      <c r="MP20" s="3119">
        <f t="shared" si="367"/>
        <v>45976.54166666582</v>
      </c>
      <c r="MQ20" s="3119">
        <f t="shared" si="368"/>
        <v>45976.583333332484</v>
      </c>
      <c r="MR20" s="3119">
        <f t="shared" si="369"/>
        <v>45976.624999999149</v>
      </c>
      <c r="MS20" s="3119">
        <f t="shared" si="370"/>
        <v>45976.666666665813</v>
      </c>
      <c r="MT20" s="3119">
        <f t="shared" si="371"/>
        <v>45976.708333332477</v>
      </c>
      <c r="MU20" s="3119">
        <f t="shared" si="372"/>
        <v>45976.749999999141</v>
      </c>
      <c r="MV20" s="3119">
        <f t="shared" si="373"/>
        <v>45976.791666665806</v>
      </c>
      <c r="MW20" s="3119">
        <f t="shared" si="374"/>
        <v>45976.83333333247</v>
      </c>
      <c r="MX20" s="3119">
        <f t="shared" si="375"/>
        <v>45976.874999999134</v>
      </c>
      <c r="MY20" s="3119">
        <f t="shared" si="376"/>
        <v>45976.916666665798</v>
      </c>
      <c r="MZ20" s="3119">
        <f t="shared" si="377"/>
        <v>45976.958333332463</v>
      </c>
      <c r="NA20" s="3119">
        <f t="shared" si="378"/>
        <v>45976.999999999127</v>
      </c>
      <c r="NB20" s="3119">
        <f t="shared" si="379"/>
        <v>45977.041666665791</v>
      </c>
      <c r="NC20" s="3119">
        <f t="shared" si="380"/>
        <v>45977.083333332455</v>
      </c>
      <c r="ND20" s="3119">
        <f t="shared" si="381"/>
        <v>45977.12499999912</v>
      </c>
      <c r="NE20" s="3119">
        <f t="shared" si="382"/>
        <v>45977.166666665784</v>
      </c>
      <c r="NF20" s="3119">
        <f t="shared" si="383"/>
        <v>45977.208333332448</v>
      </c>
      <c r="NG20" s="3119">
        <f t="shared" si="384"/>
        <v>45977.249999999112</v>
      </c>
      <c r="NH20" s="3119">
        <f t="shared" si="385"/>
        <v>45977.291666665777</v>
      </c>
      <c r="NI20" s="3119">
        <f t="shared" si="386"/>
        <v>45977.333333332441</v>
      </c>
      <c r="NJ20" s="3119">
        <f t="shared" si="387"/>
        <v>45977.374999999105</v>
      </c>
      <c r="NK20" s="3119">
        <f t="shared" si="388"/>
        <v>45977.416666665769</v>
      </c>
      <c r="NL20" s="3119">
        <f t="shared" si="389"/>
        <v>45977.458333332434</v>
      </c>
      <c r="NM20" s="3119">
        <f t="shared" si="390"/>
        <v>45977.499999999098</v>
      </c>
      <c r="NN20" s="3119">
        <f t="shared" si="391"/>
        <v>45977.541666665762</v>
      </c>
      <c r="NO20" s="3119">
        <f t="shared" si="392"/>
        <v>45977.583333332426</v>
      </c>
      <c r="NP20" s="3119">
        <f t="shared" si="393"/>
        <v>45977.624999999091</v>
      </c>
      <c r="NQ20" s="3119">
        <f t="shared" si="394"/>
        <v>45977.666666665755</v>
      </c>
      <c r="NR20" s="3119">
        <f t="shared" si="395"/>
        <v>45977.708333332419</v>
      </c>
      <c r="NS20" s="3119">
        <f t="shared" si="396"/>
        <v>45977.749999999083</v>
      </c>
      <c r="NT20" s="3119">
        <f t="shared" si="397"/>
        <v>45977.791666665747</v>
      </c>
      <c r="NU20" s="3119">
        <f t="shared" si="398"/>
        <v>45977.833333332412</v>
      </c>
      <c r="NV20" s="3119">
        <f t="shared" si="399"/>
        <v>45977.874999999076</v>
      </c>
      <c r="NW20" s="3119">
        <f t="shared" si="400"/>
        <v>45977.91666666574</v>
      </c>
      <c r="NX20" s="3119">
        <f t="shared" si="401"/>
        <v>45977.958333332404</v>
      </c>
      <c r="NY20" s="3119">
        <f t="shared" si="402"/>
        <v>45977.999999999069</v>
      </c>
      <c r="NZ20" s="3119">
        <f t="shared" si="19"/>
        <v>45978.041666665733</v>
      </c>
      <c r="OA20" s="3119">
        <f t="shared" si="403"/>
        <v>45978.083333332397</v>
      </c>
      <c r="OB20" s="3119">
        <f t="shared" si="404"/>
        <v>45978.124999999061</v>
      </c>
      <c r="OC20" s="3119">
        <f t="shared" si="405"/>
        <v>45978.166666665726</v>
      </c>
      <c r="OD20" s="3119">
        <f t="shared" si="406"/>
        <v>45978.20833333239</v>
      </c>
      <c r="OE20" s="3119">
        <f t="shared" si="407"/>
        <v>45978.249999999054</v>
      </c>
      <c r="OF20" s="3119">
        <f t="shared" si="408"/>
        <v>45978.291666665718</v>
      </c>
      <c r="OG20" s="3119">
        <f t="shared" si="409"/>
        <v>45978.333333332383</v>
      </c>
      <c r="OH20" s="3119">
        <f t="shared" si="410"/>
        <v>45978.374999999047</v>
      </c>
      <c r="OI20" s="3119">
        <f t="shared" si="411"/>
        <v>45978.416666665711</v>
      </c>
      <c r="OJ20" s="3119">
        <f t="shared" si="412"/>
        <v>45978.458333332375</v>
      </c>
      <c r="OK20" s="3119">
        <f t="shared" si="413"/>
        <v>45978.49999999904</v>
      </c>
      <c r="OL20" s="3119">
        <f t="shared" si="414"/>
        <v>45978.541666665704</v>
      </c>
      <c r="OM20" s="3119">
        <f t="shared" si="415"/>
        <v>45978.583333332368</v>
      </c>
      <c r="ON20" s="3119">
        <f t="shared" si="416"/>
        <v>45978.624999999032</v>
      </c>
      <c r="OO20" s="3119">
        <f t="shared" si="417"/>
        <v>45978.666666665697</v>
      </c>
      <c r="OP20" s="3119">
        <f t="shared" si="418"/>
        <v>45978.708333332361</v>
      </c>
      <c r="OQ20" s="3119">
        <f t="shared" si="419"/>
        <v>45978.749999999025</v>
      </c>
      <c r="OR20" s="3119">
        <f t="shared" si="420"/>
        <v>45978.791666665689</v>
      </c>
      <c r="OS20" s="3119">
        <f t="shared" si="421"/>
        <v>45978.833333332354</v>
      </c>
      <c r="OT20" s="3119">
        <f t="shared" si="422"/>
        <v>45978.874999999018</v>
      </c>
      <c r="OU20" s="3119">
        <f t="shared" si="423"/>
        <v>45978.916666665682</v>
      </c>
      <c r="OV20" s="3119">
        <f t="shared" si="424"/>
        <v>45978.958333332346</v>
      </c>
      <c r="OW20" s="3119">
        <f t="shared" si="425"/>
        <v>45978.99999999901</v>
      </c>
      <c r="OX20" s="3119">
        <f t="shared" si="426"/>
        <v>45979.041666665675</v>
      </c>
      <c r="OY20" s="3119">
        <f t="shared" si="427"/>
        <v>45979.083333332339</v>
      </c>
      <c r="OZ20" s="3119">
        <f t="shared" si="428"/>
        <v>45979.124999999003</v>
      </c>
      <c r="PA20" s="3119">
        <f t="shared" si="429"/>
        <v>45979.166666665667</v>
      </c>
      <c r="PB20" s="3119">
        <f t="shared" si="430"/>
        <v>45979.208333332332</v>
      </c>
      <c r="PC20" s="3119">
        <f t="shared" si="431"/>
        <v>45979.249999998996</v>
      </c>
      <c r="PD20" s="3119">
        <f t="shared" si="432"/>
        <v>45979.29166666566</v>
      </c>
      <c r="PE20" s="3119">
        <f t="shared" si="433"/>
        <v>45979.333333332324</v>
      </c>
      <c r="PF20" s="3119">
        <f t="shared" si="434"/>
        <v>45979.374999998989</v>
      </c>
      <c r="PG20" s="3119">
        <f t="shared" si="435"/>
        <v>45979.416666665653</v>
      </c>
      <c r="PH20" s="3119">
        <f t="shared" si="436"/>
        <v>45979.458333332317</v>
      </c>
      <c r="PI20" s="3119">
        <f t="shared" si="437"/>
        <v>45979.499999998981</v>
      </c>
      <c r="PJ20" s="3119">
        <f t="shared" si="438"/>
        <v>45979.541666665646</v>
      </c>
      <c r="PK20" s="3119">
        <f t="shared" si="439"/>
        <v>45979.58333333231</v>
      </c>
      <c r="PL20" s="3119">
        <f t="shared" si="440"/>
        <v>45979.624999998974</v>
      </c>
      <c r="PM20" s="3119">
        <f t="shared" si="441"/>
        <v>45979.666666665638</v>
      </c>
      <c r="PN20" s="3119">
        <f t="shared" si="442"/>
        <v>45979.708333332303</v>
      </c>
      <c r="PO20" s="3119">
        <f t="shared" si="443"/>
        <v>45979.749999998967</v>
      </c>
      <c r="PP20" s="3119">
        <f t="shared" si="444"/>
        <v>45979.791666665631</v>
      </c>
      <c r="PQ20" s="3119">
        <f t="shared" si="445"/>
        <v>45979.833333332295</v>
      </c>
      <c r="PR20" s="3119">
        <f t="shared" si="446"/>
        <v>45979.87499999896</v>
      </c>
      <c r="PS20" s="3119">
        <f t="shared" si="447"/>
        <v>45979.916666665624</v>
      </c>
      <c r="PT20" s="3119">
        <f t="shared" si="448"/>
        <v>45979.958333332288</v>
      </c>
      <c r="PU20" s="3119">
        <f t="shared" si="449"/>
        <v>45979.999999998952</v>
      </c>
      <c r="PV20" s="3119">
        <f t="shared" si="450"/>
        <v>45980.041666665617</v>
      </c>
      <c r="PW20" s="3119">
        <f t="shared" si="451"/>
        <v>45980.083333332281</v>
      </c>
      <c r="PX20" s="3119">
        <f t="shared" si="452"/>
        <v>45980.124999998945</v>
      </c>
      <c r="PY20" s="3119">
        <f t="shared" si="453"/>
        <v>45980.166666665609</v>
      </c>
      <c r="PZ20" s="3119">
        <f t="shared" si="454"/>
        <v>45980.208333332273</v>
      </c>
      <c r="QA20" s="3119">
        <f t="shared" si="455"/>
        <v>45980.249999998938</v>
      </c>
      <c r="QB20" s="3119">
        <f t="shared" si="456"/>
        <v>45980.291666665602</v>
      </c>
      <c r="QC20" s="3119">
        <f t="shared" si="457"/>
        <v>45980.333333332266</v>
      </c>
      <c r="QD20" s="3119">
        <f t="shared" si="458"/>
        <v>45980.37499999893</v>
      </c>
      <c r="QE20" s="3119">
        <f t="shared" si="459"/>
        <v>45980.416666665595</v>
      </c>
      <c r="QF20" s="3119">
        <f t="shared" si="460"/>
        <v>45980.458333332259</v>
      </c>
      <c r="QG20" s="3119">
        <f t="shared" si="461"/>
        <v>45980.499999998923</v>
      </c>
      <c r="QH20" s="3119">
        <f t="shared" si="462"/>
        <v>45980.541666665587</v>
      </c>
      <c r="QI20" s="3119">
        <f t="shared" si="463"/>
        <v>45980.583333332252</v>
      </c>
      <c r="QJ20" s="3119">
        <f t="shared" si="464"/>
        <v>45980.624999998916</v>
      </c>
      <c r="QK20" s="3119">
        <f t="shared" si="465"/>
        <v>45980.66666666558</v>
      </c>
      <c r="QL20" s="3119">
        <f t="shared" si="20"/>
        <v>45980.708333332244</v>
      </c>
      <c r="QM20" s="3119">
        <f t="shared" si="466"/>
        <v>45980.749999998909</v>
      </c>
      <c r="QN20" s="3119">
        <f t="shared" si="467"/>
        <v>45980.791666665573</v>
      </c>
      <c r="QO20" s="3119">
        <f t="shared" si="468"/>
        <v>45980.833333332237</v>
      </c>
      <c r="QP20" s="3119">
        <f t="shared" si="469"/>
        <v>45980.874999998901</v>
      </c>
      <c r="QQ20" s="3119">
        <f t="shared" si="470"/>
        <v>45980.916666665566</v>
      </c>
      <c r="QR20" s="3119">
        <f t="shared" si="471"/>
        <v>45980.95833333223</v>
      </c>
      <c r="QS20" s="3119">
        <f t="shared" si="472"/>
        <v>45980.999999998894</v>
      </c>
      <c r="QT20" s="3119">
        <f t="shared" si="473"/>
        <v>45981.041666665558</v>
      </c>
      <c r="QU20" s="3119">
        <f t="shared" si="474"/>
        <v>45981.083333332223</v>
      </c>
      <c r="QV20" s="3119">
        <f t="shared" si="475"/>
        <v>45981.124999998887</v>
      </c>
      <c r="QW20" s="3119">
        <f t="shared" si="476"/>
        <v>45981.166666665551</v>
      </c>
      <c r="QX20" s="3119">
        <f t="shared" si="477"/>
        <v>45981.208333332215</v>
      </c>
      <c r="QY20" s="3119">
        <f t="shared" si="478"/>
        <v>45981.24999999888</v>
      </c>
      <c r="QZ20" s="3119">
        <f t="shared" si="479"/>
        <v>45981.291666665544</v>
      </c>
      <c r="RA20" s="3119">
        <f t="shared" si="480"/>
        <v>45981.333333332208</v>
      </c>
      <c r="RB20" s="3119">
        <f t="shared" si="481"/>
        <v>45981.374999998872</v>
      </c>
      <c r="RC20" s="3119">
        <f t="shared" si="482"/>
        <v>45981.416666665536</v>
      </c>
      <c r="RD20" s="3119">
        <f t="shared" si="483"/>
        <v>45981.458333332201</v>
      </c>
      <c r="RE20" s="3119">
        <f t="shared" si="484"/>
        <v>45981.499999998865</v>
      </c>
      <c r="RF20" s="3119">
        <f t="shared" si="485"/>
        <v>45981.541666665529</v>
      </c>
      <c r="RG20" s="3119">
        <f t="shared" si="486"/>
        <v>45981.583333332193</v>
      </c>
      <c r="RH20" s="3119">
        <f t="shared" si="487"/>
        <v>45981.624999998858</v>
      </c>
      <c r="RI20" s="3119">
        <f t="shared" si="488"/>
        <v>45981.666666665522</v>
      </c>
      <c r="RJ20" s="3119">
        <f t="shared" si="489"/>
        <v>45981.708333332186</v>
      </c>
      <c r="RK20" s="3119">
        <f t="shared" si="490"/>
        <v>45981.74999999885</v>
      </c>
      <c r="RL20" s="3119">
        <f t="shared" si="491"/>
        <v>45981.791666665515</v>
      </c>
      <c r="RM20" s="3119">
        <f t="shared" si="492"/>
        <v>45981.833333332179</v>
      </c>
      <c r="RN20" s="3119">
        <f t="shared" si="493"/>
        <v>45981.874999998843</v>
      </c>
      <c r="RO20" s="3119">
        <f t="shared" si="494"/>
        <v>45981.916666665507</v>
      </c>
      <c r="RP20" s="3119">
        <f t="shared" si="495"/>
        <v>45981.958333332172</v>
      </c>
      <c r="RQ20" s="3119">
        <f t="shared" si="496"/>
        <v>45981.999999998836</v>
      </c>
      <c r="RR20" s="3119">
        <f t="shared" si="497"/>
        <v>45982.0416666655</v>
      </c>
      <c r="RS20" s="3119">
        <f t="shared" si="498"/>
        <v>45982.083333332164</v>
      </c>
      <c r="RT20" s="3119">
        <f t="shared" si="499"/>
        <v>45982.124999998829</v>
      </c>
      <c r="RU20" s="3119">
        <f t="shared" si="500"/>
        <v>45982.166666665493</v>
      </c>
      <c r="RV20" s="3119">
        <f t="shared" si="501"/>
        <v>45982.208333332157</v>
      </c>
      <c r="RW20" s="3119">
        <f t="shared" si="502"/>
        <v>45982.249999998821</v>
      </c>
      <c r="RX20" s="3119">
        <f t="shared" si="503"/>
        <v>45982.291666665486</v>
      </c>
      <c r="RY20" s="3119">
        <f t="shared" si="504"/>
        <v>45982.33333333215</v>
      </c>
      <c r="RZ20" s="3119">
        <f t="shared" si="505"/>
        <v>45982.374999998814</v>
      </c>
      <c r="SA20" s="3119">
        <f t="shared" si="506"/>
        <v>45982.416666665478</v>
      </c>
      <c r="SB20" s="3119">
        <f t="shared" si="507"/>
        <v>45982.458333332143</v>
      </c>
      <c r="SC20" s="3119">
        <f t="shared" si="508"/>
        <v>45982.499999998807</v>
      </c>
      <c r="SD20" s="3119">
        <f t="shared" si="509"/>
        <v>45982.541666665471</v>
      </c>
      <c r="SE20" s="3119">
        <f t="shared" si="510"/>
        <v>45982.583333332135</v>
      </c>
      <c r="SF20" s="3119">
        <f t="shared" si="511"/>
        <v>45982.624999998799</v>
      </c>
      <c r="SG20" s="3119">
        <f t="shared" si="512"/>
        <v>45982.666666665464</v>
      </c>
      <c r="SH20" s="3119">
        <f t="shared" si="513"/>
        <v>45982.708333332128</v>
      </c>
      <c r="SI20" s="3119">
        <f t="shared" si="514"/>
        <v>45982.749999998792</v>
      </c>
      <c r="SJ20" s="3119">
        <f t="shared" si="515"/>
        <v>45982.791666665456</v>
      </c>
      <c r="SK20" s="3119">
        <f t="shared" si="516"/>
        <v>45982.833333332121</v>
      </c>
      <c r="SL20" s="3119">
        <f t="shared" si="517"/>
        <v>45982.874999998785</v>
      </c>
      <c r="SM20" s="3119">
        <f t="shared" si="518"/>
        <v>45982.916666665449</v>
      </c>
      <c r="SN20" s="3119">
        <f t="shared" si="519"/>
        <v>45982.958333332113</v>
      </c>
      <c r="SO20" s="3119">
        <f t="shared" si="520"/>
        <v>45982.999999998778</v>
      </c>
      <c r="SP20" s="3119">
        <f t="shared" si="521"/>
        <v>45983.041666665442</v>
      </c>
      <c r="SQ20" s="3119">
        <f t="shared" si="522"/>
        <v>45983.083333332106</v>
      </c>
      <c r="SR20" s="3119">
        <f t="shared" si="523"/>
        <v>45983.12499999877</v>
      </c>
      <c r="SS20" s="3119">
        <f t="shared" si="524"/>
        <v>45983.166666665435</v>
      </c>
      <c r="ST20" s="3119">
        <f t="shared" si="525"/>
        <v>45983.208333332099</v>
      </c>
      <c r="SU20" s="3119">
        <f t="shared" si="526"/>
        <v>45983.249999998763</v>
      </c>
      <c r="SV20" s="3119">
        <f t="shared" si="527"/>
        <v>45983.291666665427</v>
      </c>
      <c r="SW20" s="3119">
        <f t="shared" si="528"/>
        <v>45983.333333332092</v>
      </c>
      <c r="SX20" s="3119">
        <f t="shared" si="21"/>
        <v>45983.374999998756</v>
      </c>
      <c r="SY20" s="3119">
        <f t="shared" si="529"/>
        <v>45983.41666666542</v>
      </c>
      <c r="SZ20" s="3119">
        <f t="shared" si="530"/>
        <v>45983.458333332084</v>
      </c>
      <c r="TA20" s="3119">
        <f t="shared" si="531"/>
        <v>45983.499999998749</v>
      </c>
      <c r="TB20" s="3119">
        <f t="shared" si="532"/>
        <v>45983.541666665413</v>
      </c>
      <c r="TC20" s="3119">
        <f t="shared" si="533"/>
        <v>45983.583333332077</v>
      </c>
      <c r="TD20" s="3119">
        <f t="shared" si="534"/>
        <v>45983.624999998741</v>
      </c>
      <c r="TE20" s="3119">
        <f t="shared" si="535"/>
        <v>45983.666666665406</v>
      </c>
      <c r="TF20" s="3119">
        <f t="shared" si="536"/>
        <v>45983.70833333207</v>
      </c>
      <c r="TG20" s="3119">
        <f t="shared" si="537"/>
        <v>45983.749999998734</v>
      </c>
      <c r="TH20" s="3119">
        <f t="shared" si="538"/>
        <v>45983.791666665398</v>
      </c>
      <c r="TI20" s="3119">
        <f t="shared" si="539"/>
        <v>45983.833333332062</v>
      </c>
      <c r="TJ20" s="3119">
        <f t="shared" si="540"/>
        <v>45983.874999998727</v>
      </c>
      <c r="TK20" s="3119">
        <f t="shared" si="541"/>
        <v>45983.916666665391</v>
      </c>
      <c r="TL20" s="3119">
        <f t="shared" si="542"/>
        <v>45983.958333332055</v>
      </c>
      <c r="TM20" s="3119">
        <f t="shared" si="543"/>
        <v>45983.999999998719</v>
      </c>
      <c r="TN20" s="3119">
        <f t="shared" si="544"/>
        <v>45984.041666665384</v>
      </c>
      <c r="TO20" s="3119">
        <f t="shared" si="545"/>
        <v>45984.083333332048</v>
      </c>
      <c r="TP20" s="3119">
        <f t="shared" si="546"/>
        <v>45984.124999998712</v>
      </c>
      <c r="TQ20" s="3119">
        <f t="shared" si="547"/>
        <v>45984.166666665376</v>
      </c>
      <c r="TR20" s="3119">
        <f t="shared" si="548"/>
        <v>45984.208333332041</v>
      </c>
      <c r="TS20" s="3119">
        <f t="shared" si="549"/>
        <v>45984.249999998705</v>
      </c>
      <c r="TT20" s="3119">
        <f t="shared" si="550"/>
        <v>45984.291666665369</v>
      </c>
      <c r="TU20" s="3119">
        <f t="shared" si="551"/>
        <v>45984.333333332033</v>
      </c>
      <c r="TV20" s="3119">
        <f t="shared" si="552"/>
        <v>45984.374999998698</v>
      </c>
      <c r="TW20" s="3119">
        <f t="shared" si="553"/>
        <v>45984.416666665362</v>
      </c>
      <c r="TX20" s="3119">
        <f t="shared" si="554"/>
        <v>45984.458333332026</v>
      </c>
      <c r="TY20" s="3119">
        <f t="shared" si="555"/>
        <v>45984.49999999869</v>
      </c>
      <c r="TZ20" s="3119">
        <f t="shared" si="556"/>
        <v>45984.541666665355</v>
      </c>
      <c r="UA20" s="3119">
        <f t="shared" si="557"/>
        <v>45984.583333332019</v>
      </c>
      <c r="UB20" s="3119">
        <f t="shared" si="558"/>
        <v>45984.624999998683</v>
      </c>
      <c r="UC20" s="3119">
        <f t="shared" si="559"/>
        <v>45984.666666665347</v>
      </c>
      <c r="UD20" s="3119">
        <f t="shared" si="560"/>
        <v>45984.708333332012</v>
      </c>
      <c r="UE20" s="3119">
        <f t="shared" si="561"/>
        <v>45984.749999998676</v>
      </c>
      <c r="UF20" s="3119">
        <f t="shared" si="562"/>
        <v>45984.79166666534</v>
      </c>
      <c r="UG20" s="3119">
        <f t="shared" si="563"/>
        <v>45984.833333332004</v>
      </c>
      <c r="UH20" s="3119">
        <f t="shared" si="564"/>
        <v>45984.874999998668</v>
      </c>
      <c r="UI20" s="3119">
        <f t="shared" si="565"/>
        <v>45984.916666665333</v>
      </c>
      <c r="UJ20" s="3119">
        <f t="shared" si="566"/>
        <v>45984.958333331997</v>
      </c>
      <c r="UK20" s="3119">
        <f t="shared" si="567"/>
        <v>45984.999999998661</v>
      </c>
      <c r="UL20" s="3119">
        <f t="shared" si="568"/>
        <v>45985.041666665325</v>
      </c>
      <c r="UM20" s="3119">
        <f t="shared" si="569"/>
        <v>45985.08333333199</v>
      </c>
      <c r="UN20" s="3119">
        <f t="shared" si="570"/>
        <v>45985.124999998654</v>
      </c>
      <c r="UO20" s="3119">
        <f t="shared" si="571"/>
        <v>45985.166666665318</v>
      </c>
      <c r="UP20" s="3119">
        <f t="shared" si="572"/>
        <v>45985.208333331982</v>
      </c>
      <c r="UQ20" s="3119">
        <f t="shared" si="573"/>
        <v>45985.249999998647</v>
      </c>
      <c r="UR20" s="3119">
        <f t="shared" si="574"/>
        <v>45985.291666665311</v>
      </c>
      <c r="US20" s="3119">
        <f t="shared" si="575"/>
        <v>45985.333333331975</v>
      </c>
      <c r="UT20" s="3119">
        <f t="shared" si="576"/>
        <v>45985.374999998639</v>
      </c>
      <c r="UU20" s="3119">
        <f t="shared" si="577"/>
        <v>45985.416666665304</v>
      </c>
      <c r="UV20" s="3119">
        <f t="shared" si="578"/>
        <v>45985.458333331968</v>
      </c>
      <c r="UW20" s="3119">
        <f t="shared" si="579"/>
        <v>45985.499999998632</v>
      </c>
      <c r="UX20" s="3119">
        <f t="shared" si="580"/>
        <v>45985.541666665296</v>
      </c>
      <c r="UY20" s="3119">
        <f t="shared" si="581"/>
        <v>45985.583333331961</v>
      </c>
      <c r="UZ20" s="3119">
        <f t="shared" si="582"/>
        <v>45985.624999998625</v>
      </c>
      <c r="VA20" s="3119">
        <f t="shared" si="583"/>
        <v>45985.666666665289</v>
      </c>
      <c r="VB20" s="3119">
        <f t="shared" si="584"/>
        <v>45985.708333331953</v>
      </c>
      <c r="VC20" s="3119">
        <f t="shared" si="585"/>
        <v>45985.749999998618</v>
      </c>
      <c r="VD20" s="3119">
        <f t="shared" si="586"/>
        <v>45985.791666665282</v>
      </c>
      <c r="VE20" s="3119">
        <f t="shared" si="587"/>
        <v>45985.833333331946</v>
      </c>
      <c r="VF20" s="3119">
        <f t="shared" si="588"/>
        <v>45985.87499999861</v>
      </c>
      <c r="VG20" s="3119">
        <f t="shared" si="589"/>
        <v>45985.916666665275</v>
      </c>
      <c r="VH20" s="3119">
        <f t="shared" si="590"/>
        <v>45985.958333331939</v>
      </c>
      <c r="VI20" s="3119">
        <f t="shared" si="591"/>
        <v>45985.999999998603</v>
      </c>
      <c r="VJ20" s="3119">
        <f t="shared" si="22"/>
        <v>45986.041666665267</v>
      </c>
      <c r="VK20" s="3119">
        <f t="shared" si="592"/>
        <v>45986.083333331931</v>
      </c>
      <c r="VL20" s="3119">
        <f t="shared" si="593"/>
        <v>45986.124999998596</v>
      </c>
      <c r="VM20" s="3119">
        <f t="shared" si="594"/>
        <v>45986.16666666526</v>
      </c>
      <c r="VN20" s="3119">
        <f t="shared" si="595"/>
        <v>45986.208333331924</v>
      </c>
      <c r="VO20" s="3119">
        <f t="shared" si="596"/>
        <v>45986.249999998588</v>
      </c>
      <c r="VP20" s="3119">
        <f t="shared" si="597"/>
        <v>45986.291666665253</v>
      </c>
      <c r="VQ20" s="3119">
        <f t="shared" si="598"/>
        <v>45986.333333331917</v>
      </c>
      <c r="VR20" s="3119">
        <f t="shared" si="599"/>
        <v>45986.374999998581</v>
      </c>
      <c r="VS20" s="3119">
        <f t="shared" si="600"/>
        <v>45986.416666665245</v>
      </c>
      <c r="VT20" s="3119">
        <f t="shared" si="601"/>
        <v>45986.45833333191</v>
      </c>
      <c r="VU20" s="3119">
        <f t="shared" si="602"/>
        <v>45986.499999998574</v>
      </c>
      <c r="VV20" s="3119">
        <f t="shared" si="603"/>
        <v>45986.541666665238</v>
      </c>
      <c r="VW20" s="3119">
        <f t="shared" si="604"/>
        <v>45986.583333331902</v>
      </c>
      <c r="VX20" s="3119">
        <f t="shared" si="605"/>
        <v>45986.624999998567</v>
      </c>
      <c r="VY20" s="3119">
        <f t="shared" si="606"/>
        <v>45986.666666665231</v>
      </c>
      <c r="VZ20" s="3119">
        <f t="shared" si="607"/>
        <v>45986.708333331895</v>
      </c>
      <c r="WA20" s="3119">
        <f t="shared" si="608"/>
        <v>45986.749999998559</v>
      </c>
      <c r="WB20" s="3119">
        <f t="shared" si="609"/>
        <v>45986.791666665224</v>
      </c>
      <c r="WC20" s="3119">
        <f t="shared" si="610"/>
        <v>45986.833333331888</v>
      </c>
      <c r="WD20" s="3119">
        <f t="shared" si="611"/>
        <v>45986.874999998552</v>
      </c>
      <c r="WE20" s="3119">
        <f t="shared" si="612"/>
        <v>45986.916666665216</v>
      </c>
      <c r="WF20" s="3119">
        <f t="shared" si="613"/>
        <v>45986.958333331881</v>
      </c>
      <c r="WG20" s="3119">
        <f t="shared" si="614"/>
        <v>45986.999999998545</v>
      </c>
      <c r="WH20" s="3119">
        <f t="shared" si="615"/>
        <v>45987.041666665209</v>
      </c>
      <c r="WI20" s="3119">
        <f t="shared" si="616"/>
        <v>45987.083333331873</v>
      </c>
      <c r="WJ20" s="3119">
        <f t="shared" si="617"/>
        <v>45987.124999998538</v>
      </c>
      <c r="WK20" s="3119">
        <f t="shared" si="618"/>
        <v>45987.166666665202</v>
      </c>
      <c r="WL20" s="3119">
        <f t="shared" si="619"/>
        <v>45987.208333331866</v>
      </c>
      <c r="WM20" s="3119">
        <f t="shared" si="620"/>
        <v>45987.24999999853</v>
      </c>
      <c r="WN20" s="3119">
        <f t="shared" si="621"/>
        <v>45987.291666665194</v>
      </c>
      <c r="WO20" s="3119">
        <f t="shared" si="622"/>
        <v>45987.333333331859</v>
      </c>
      <c r="WP20" s="3119">
        <f t="shared" si="623"/>
        <v>45987.374999998523</v>
      </c>
      <c r="WQ20" s="3119">
        <f t="shared" si="624"/>
        <v>45987.416666665187</v>
      </c>
      <c r="WR20" s="3119">
        <f t="shared" si="625"/>
        <v>45987.458333331851</v>
      </c>
      <c r="WS20" s="3119">
        <f t="shared" si="626"/>
        <v>45987.499999998516</v>
      </c>
      <c r="WT20" s="3119">
        <f t="shared" si="627"/>
        <v>45987.54166666518</v>
      </c>
      <c r="WU20" s="3119">
        <f t="shared" si="628"/>
        <v>45987.583333331844</v>
      </c>
      <c r="WV20" s="3119">
        <f t="shared" si="629"/>
        <v>45987.624999998508</v>
      </c>
      <c r="WW20" s="3119">
        <f t="shared" si="630"/>
        <v>45987.666666665173</v>
      </c>
      <c r="WX20" s="3119">
        <f t="shared" si="631"/>
        <v>45987.708333331837</v>
      </c>
      <c r="WY20" s="3119">
        <f t="shared" si="632"/>
        <v>45987.749999998501</v>
      </c>
      <c r="WZ20" s="3119">
        <f t="shared" si="633"/>
        <v>45987.791666665165</v>
      </c>
      <c r="XA20" s="3119">
        <f t="shared" si="634"/>
        <v>45987.83333333183</v>
      </c>
      <c r="XB20" s="3119">
        <f t="shared" si="635"/>
        <v>45987.874999998494</v>
      </c>
      <c r="XC20" s="3119">
        <f t="shared" si="636"/>
        <v>45987.916666665158</v>
      </c>
      <c r="XD20" s="3119">
        <f t="shared" si="637"/>
        <v>45987.958333331822</v>
      </c>
      <c r="XE20" s="3119">
        <f t="shared" si="638"/>
        <v>45987.999999998487</v>
      </c>
      <c r="XF20" s="3119">
        <f t="shared" si="639"/>
        <v>45988.041666665151</v>
      </c>
      <c r="XG20" s="3119">
        <f t="shared" si="640"/>
        <v>45988.083333331815</v>
      </c>
      <c r="XH20" s="3119">
        <f t="shared" si="641"/>
        <v>45988.124999998479</v>
      </c>
      <c r="XI20" s="3119">
        <f t="shared" si="642"/>
        <v>45988.166666665144</v>
      </c>
      <c r="XJ20" s="3119">
        <f t="shared" si="643"/>
        <v>45988.208333331808</v>
      </c>
      <c r="XK20" s="3119">
        <f t="shared" si="644"/>
        <v>45988.249999998472</v>
      </c>
      <c r="XL20" s="3119">
        <f t="shared" si="645"/>
        <v>45988.291666665136</v>
      </c>
      <c r="XM20" s="3119">
        <f t="shared" si="646"/>
        <v>45988.333333331801</v>
      </c>
      <c r="XN20" s="3119">
        <f t="shared" si="647"/>
        <v>45988.374999998465</v>
      </c>
      <c r="XO20" s="3119">
        <f t="shared" si="648"/>
        <v>45988.416666665129</v>
      </c>
      <c r="XP20" s="3119">
        <f t="shared" si="649"/>
        <v>45988.458333331793</v>
      </c>
      <c r="XQ20" s="3119">
        <f t="shared" si="650"/>
        <v>45988.499999998457</v>
      </c>
      <c r="XR20" s="3119">
        <f t="shared" si="651"/>
        <v>45988.541666665122</v>
      </c>
      <c r="XS20" s="3119">
        <f t="shared" si="652"/>
        <v>45988.583333331786</v>
      </c>
      <c r="XT20" s="3119">
        <f t="shared" si="653"/>
        <v>45988.62499999845</v>
      </c>
      <c r="XU20" s="3119">
        <f t="shared" si="654"/>
        <v>45988.666666665114</v>
      </c>
      <c r="XV20" s="3119">
        <f t="shared" si="23"/>
        <v>45988.708333331779</v>
      </c>
      <c r="XW20" s="3119">
        <f t="shared" si="655"/>
        <v>45988.749999998443</v>
      </c>
      <c r="XX20" s="3119">
        <f t="shared" si="656"/>
        <v>45988.791666665107</v>
      </c>
      <c r="XY20" s="3119">
        <f t="shared" si="657"/>
        <v>45988.833333331771</v>
      </c>
      <c r="XZ20" s="3119">
        <f t="shared" si="658"/>
        <v>45988.874999998436</v>
      </c>
      <c r="YA20" s="3119">
        <f t="shared" si="659"/>
        <v>45988.9166666651</v>
      </c>
      <c r="YB20" s="3119">
        <f t="shared" si="660"/>
        <v>45988.958333331764</v>
      </c>
      <c r="YC20" s="3119">
        <f t="shared" si="661"/>
        <v>45988.999999998428</v>
      </c>
      <c r="YD20" s="3119">
        <f t="shared" si="662"/>
        <v>45989.041666665093</v>
      </c>
      <c r="YE20" s="3119">
        <f t="shared" si="663"/>
        <v>45989.083333331757</v>
      </c>
      <c r="YF20" s="3119">
        <f t="shared" si="664"/>
        <v>45989.124999998421</v>
      </c>
      <c r="YG20" s="3119">
        <f t="shared" si="665"/>
        <v>45989.166666665085</v>
      </c>
      <c r="YH20" s="3119">
        <f t="shared" si="666"/>
        <v>45989.20833333175</v>
      </c>
      <c r="YI20" s="3119">
        <f t="shared" si="667"/>
        <v>45989.249999998414</v>
      </c>
      <c r="YJ20" s="3119">
        <f t="shared" si="668"/>
        <v>45989.291666665078</v>
      </c>
      <c r="YK20" s="3119">
        <f t="shared" si="669"/>
        <v>45989.333333331742</v>
      </c>
      <c r="YL20" s="3119">
        <f t="shared" si="670"/>
        <v>45989.374999998407</v>
      </c>
      <c r="YM20" s="3119">
        <f t="shared" si="671"/>
        <v>45989.416666665071</v>
      </c>
      <c r="YN20" s="3119">
        <f t="shared" si="672"/>
        <v>45989.458333331735</v>
      </c>
      <c r="YO20" s="3119">
        <f t="shared" si="673"/>
        <v>45989.499999998399</v>
      </c>
      <c r="YP20" s="3119">
        <f t="shared" si="674"/>
        <v>45989.541666665064</v>
      </c>
      <c r="YQ20" s="3119">
        <f t="shared" si="675"/>
        <v>45989.583333331728</v>
      </c>
      <c r="YR20" s="3119">
        <f t="shared" si="676"/>
        <v>45989.624999998392</v>
      </c>
      <c r="YS20" s="3119">
        <f t="shared" si="677"/>
        <v>45989.666666665056</v>
      </c>
      <c r="YT20" s="3119">
        <f t="shared" si="678"/>
        <v>45989.70833333172</v>
      </c>
      <c r="YU20" s="3119">
        <f t="shared" si="679"/>
        <v>45989.749999998385</v>
      </c>
      <c r="YV20" s="3119">
        <f t="shared" si="680"/>
        <v>45989.791666665049</v>
      </c>
      <c r="YW20" s="3119">
        <f t="shared" si="681"/>
        <v>45989.833333331713</v>
      </c>
      <c r="YX20" s="3119">
        <f t="shared" si="682"/>
        <v>45989.874999998377</v>
      </c>
      <c r="YY20" s="3119">
        <f t="shared" si="683"/>
        <v>45989.916666665042</v>
      </c>
      <c r="YZ20" s="3119">
        <f t="shared" si="684"/>
        <v>45989.958333331706</v>
      </c>
      <c r="ZA20" s="3119">
        <f t="shared" si="685"/>
        <v>45989.99999999837</v>
      </c>
      <c r="ZB20" s="3119">
        <f t="shared" si="686"/>
        <v>45990.041666665034</v>
      </c>
      <c r="ZC20" s="3119">
        <f t="shared" si="687"/>
        <v>45990.083333331699</v>
      </c>
      <c r="ZD20" s="3119">
        <f t="shared" si="688"/>
        <v>45990.124999998363</v>
      </c>
      <c r="ZE20" s="3119">
        <f t="shared" si="689"/>
        <v>45990.166666665027</v>
      </c>
      <c r="ZF20" s="3119">
        <f t="shared" si="690"/>
        <v>45990.208333331691</v>
      </c>
      <c r="ZG20" s="3119">
        <f t="shared" si="691"/>
        <v>45990.249999998356</v>
      </c>
      <c r="ZH20" s="3119">
        <f t="shared" si="692"/>
        <v>45990.29166666502</v>
      </c>
      <c r="ZI20" s="3119">
        <f t="shared" si="693"/>
        <v>45990.333333331684</v>
      </c>
      <c r="ZJ20" s="3119">
        <f t="shared" si="694"/>
        <v>45990.374999998348</v>
      </c>
      <c r="ZK20" s="3119">
        <f t="shared" si="695"/>
        <v>45990.416666665013</v>
      </c>
      <c r="ZL20" s="3119">
        <f t="shared" si="696"/>
        <v>45990.458333331677</v>
      </c>
      <c r="ZM20" s="3119">
        <f t="shared" si="697"/>
        <v>45990.499999998341</v>
      </c>
      <c r="ZN20" s="3119">
        <f t="shared" si="698"/>
        <v>45990.541666665005</v>
      </c>
      <c r="ZO20" s="3119">
        <f t="shared" si="699"/>
        <v>45990.58333333167</v>
      </c>
      <c r="ZP20" s="3119">
        <f t="shared" si="700"/>
        <v>45990.624999998334</v>
      </c>
      <c r="ZQ20" s="3119">
        <f t="shared" si="701"/>
        <v>45990.666666664998</v>
      </c>
      <c r="ZR20" s="3119">
        <f t="shared" si="702"/>
        <v>45990.708333331662</v>
      </c>
      <c r="ZS20" s="3119">
        <f t="shared" si="703"/>
        <v>45990.749999998327</v>
      </c>
      <c r="ZT20" s="3119">
        <f t="shared" si="704"/>
        <v>45990.791666664991</v>
      </c>
      <c r="ZU20" s="3119">
        <f t="shared" si="705"/>
        <v>45990.833333331655</v>
      </c>
      <c r="ZV20" s="3119">
        <f t="shared" si="706"/>
        <v>45990.874999998319</v>
      </c>
      <c r="ZW20" s="3119">
        <f t="shared" si="707"/>
        <v>45990.916666664983</v>
      </c>
      <c r="ZX20" s="3119">
        <f t="shared" si="708"/>
        <v>45990.958333331648</v>
      </c>
      <c r="ZY20" s="3119">
        <f t="shared" si="709"/>
        <v>45990.999999998312</v>
      </c>
      <c r="ZZ20" s="3119">
        <f t="shared" si="710"/>
        <v>45991.041666664976</v>
      </c>
      <c r="AAA20" s="3119">
        <f t="shared" si="711"/>
        <v>45991.08333333164</v>
      </c>
      <c r="AAB20" s="3119">
        <f t="shared" si="712"/>
        <v>45991.124999998305</v>
      </c>
      <c r="AAC20" s="3119">
        <f t="shared" si="713"/>
        <v>45991.166666664969</v>
      </c>
      <c r="AAD20" s="3119">
        <f t="shared" si="714"/>
        <v>45991.208333331633</v>
      </c>
      <c r="AAE20" s="3119">
        <f t="shared" si="715"/>
        <v>45991.249999998297</v>
      </c>
      <c r="AAF20" s="3119">
        <f t="shared" si="716"/>
        <v>45991.291666664962</v>
      </c>
      <c r="AAG20" s="3119">
        <f t="shared" si="717"/>
        <v>45991.333333331626</v>
      </c>
      <c r="AAH20" s="3119">
        <f t="shared" si="24"/>
        <v>45991.37499999829</v>
      </c>
      <c r="AAI20" s="3119">
        <f t="shared" ref="AAI20:AAV20" si="719">+AAH20+1/24</f>
        <v>45991.416666664954</v>
      </c>
      <c r="AAJ20" s="3119">
        <f t="shared" si="719"/>
        <v>45991.458333331619</v>
      </c>
      <c r="AAK20" s="3119">
        <f t="shared" si="719"/>
        <v>45991.499999998283</v>
      </c>
      <c r="AAL20" s="3119">
        <f t="shared" si="719"/>
        <v>45991.541666664947</v>
      </c>
      <c r="AAM20" s="3119">
        <f t="shared" si="719"/>
        <v>45991.583333331611</v>
      </c>
      <c r="AAN20" s="3119">
        <f t="shared" si="719"/>
        <v>45991.624999998276</v>
      </c>
      <c r="AAO20" s="3119">
        <f t="shared" si="719"/>
        <v>45991.66666666494</v>
      </c>
      <c r="AAP20" s="3119">
        <f t="shared" si="719"/>
        <v>45991.708333331604</v>
      </c>
      <c r="AAQ20" s="3119">
        <f t="shared" si="719"/>
        <v>45991.749999998268</v>
      </c>
      <c r="AAR20" s="3119">
        <f t="shared" si="719"/>
        <v>45991.791666664933</v>
      </c>
      <c r="AAS20" s="3119">
        <f t="shared" si="719"/>
        <v>45991.833333331597</v>
      </c>
      <c r="AAT20" s="3119">
        <f t="shared" si="719"/>
        <v>45991.874999998261</v>
      </c>
      <c r="AAU20" s="3119">
        <f t="shared" si="719"/>
        <v>45991.916666664925</v>
      </c>
      <c r="AAV20" s="3119">
        <f t="shared" si="719"/>
        <v>45991.95833333159</v>
      </c>
    </row>
    <row r="21" spans="1:724" ht="13">
      <c r="B21" s="3119"/>
      <c r="C21" s="3119"/>
      <c r="D21" s="3116">
        <f t="shared" si="0"/>
        <v>0</v>
      </c>
    </row>
    <row r="22" spans="1:724" ht="13">
      <c r="B22" s="3119"/>
      <c r="C22" s="3119"/>
      <c r="D22" s="3116">
        <f t="shared" si="0"/>
        <v>0</v>
      </c>
    </row>
    <row r="23" spans="1:724" ht="13">
      <c r="B23" s="3119"/>
      <c r="C23" s="3119"/>
      <c r="D23" s="3116">
        <f t="shared" si="0"/>
        <v>0</v>
      </c>
    </row>
    <row r="24" spans="1:724" ht="13">
      <c r="B24" s="3119"/>
      <c r="C24" s="3119"/>
      <c r="D24" s="3116">
        <f t="shared" si="0"/>
        <v>0</v>
      </c>
    </row>
    <row r="25" spans="1:724" ht="13">
      <c r="B25" s="3119"/>
      <c r="C25" s="3119"/>
      <c r="D25" s="3116">
        <f t="shared" si="0"/>
        <v>0</v>
      </c>
    </row>
    <row r="26" spans="1:724" ht="13">
      <c r="B26" s="3119"/>
      <c r="C26" s="3119"/>
      <c r="D26" s="3116">
        <f t="shared" si="0"/>
        <v>0</v>
      </c>
    </row>
    <row r="27" spans="1:724" ht="13">
      <c r="B27" s="3119"/>
      <c r="C27" s="3119"/>
      <c r="D27" s="3116">
        <f t="shared" si="0"/>
        <v>0</v>
      </c>
    </row>
    <row r="28" spans="1:724" ht="13">
      <c r="D28" s="3116">
        <f t="shared" si="0"/>
        <v>0</v>
      </c>
    </row>
  </sheetData>
  <mergeCells count="34">
    <mergeCell ref="ZY1:AAV1"/>
    <mergeCell ref="PU1:QR1"/>
    <mergeCell ref="QS1:RP1"/>
    <mergeCell ref="RQ1:SN1"/>
    <mergeCell ref="SO1:TL1"/>
    <mergeCell ref="TM1:UJ1"/>
    <mergeCell ref="UK1:VH1"/>
    <mergeCell ref="VI1:WF1"/>
    <mergeCell ref="WG1:XD1"/>
    <mergeCell ref="XE1:YB1"/>
    <mergeCell ref="YC1:YZ1"/>
    <mergeCell ref="ZA1:ZX1"/>
    <mergeCell ref="OW1:PT1"/>
    <mergeCell ref="ES1:FP1"/>
    <mergeCell ref="FQ1:GN1"/>
    <mergeCell ref="GO1:HL1"/>
    <mergeCell ref="HM1:IJ1"/>
    <mergeCell ref="IK1:JH1"/>
    <mergeCell ref="JI1:KF1"/>
    <mergeCell ref="KG1:LD1"/>
    <mergeCell ref="LE1:MB1"/>
    <mergeCell ref="MC1:MZ1"/>
    <mergeCell ref="NA1:NX1"/>
    <mergeCell ref="NY1:OV1"/>
    <mergeCell ref="DU1:ER1"/>
    <mergeCell ref="A1:A2"/>
    <mergeCell ref="B1:B2"/>
    <mergeCell ref="C1:C2"/>
    <mergeCell ref="D1:D2"/>
    <mergeCell ref="E1:AB1"/>
    <mergeCell ref="AC1:AZ1"/>
    <mergeCell ref="BA1:BX1"/>
    <mergeCell ref="BY1:CV1"/>
    <mergeCell ref="CW1:DT1"/>
  </mergeCells>
  <conditionalFormatting sqref="E6:AAV6">
    <cfRule type="expression" dxfId="235" priority="1">
      <formula>AND(E$6&gt;=$B6,E$6&lt;$C6)</formula>
    </cfRule>
  </conditionalFormatting>
  <dataValidations count="3">
    <dataValidation allowBlank="1" showInputMessage="1" showErrorMessage="1" prompt="Escriba el periodo de duración del plan en la columna D, a partir de la celda D5." sqref="C1:D2" xr:uid="{ED187F28-5943-4853-9113-521C07EA4EC4}"/>
    <dataValidation allowBlank="1" showInputMessage="1" showErrorMessage="1" prompt="Escriba el periodo de inicio del plan en la columna C, a partir de la celda C5." sqref="B1:B2" xr:uid="{A647B9FC-938B-43B0-B015-D538630CC5F8}"/>
    <dataValidation allowBlank="1" showInputMessage="1" showErrorMessage="1" prompt="Escriba la actividad en la columna B, a partir de la celda B5_x000a_" sqref="A1:A2" xr:uid="{37C8E518-ABBC-4E43-90D5-95B7A7CBC83F}"/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tabColor rgb="FF92D050"/>
    <pageSetUpPr fitToPage="1"/>
  </sheetPr>
  <dimension ref="A1:FJ98"/>
  <sheetViews>
    <sheetView zoomScale="90" zoomScaleNormal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I32" sqref="I32"/>
    </sheetView>
  </sheetViews>
  <sheetFormatPr baseColWidth="10" defaultColWidth="11.453125" defaultRowHeight="13"/>
  <cols>
    <col min="1" max="1" width="3.453125" style="3" customWidth="1"/>
    <col min="2" max="2" width="13.54296875" style="3" customWidth="1"/>
    <col min="3" max="3" width="19.81640625" style="3" customWidth="1"/>
    <col min="4" max="4" width="14.81640625" style="3" customWidth="1"/>
    <col min="5" max="5" width="24.54296875" style="3" bestFit="1" customWidth="1"/>
    <col min="6" max="6" width="18.453125" style="3" customWidth="1"/>
    <col min="7" max="7" width="15.1796875" style="3" customWidth="1"/>
    <col min="8" max="8" width="8.1796875" style="3" bestFit="1" customWidth="1"/>
    <col min="9" max="9" width="12.453125" style="3" customWidth="1"/>
    <col min="10" max="10" width="15.81640625" style="3" customWidth="1"/>
    <col min="11" max="11" width="10.1796875" style="3" customWidth="1"/>
    <col min="12" max="12" width="10.54296875" style="3" customWidth="1"/>
    <col min="13" max="13" width="11.81640625" style="3" customWidth="1"/>
    <col min="14" max="14" width="8.54296875" style="3" customWidth="1"/>
    <col min="15" max="15" width="7.453125" style="3" customWidth="1"/>
    <col min="16" max="16" width="8.54296875" style="3" customWidth="1"/>
    <col min="17" max="17" width="11.54296875" style="3" customWidth="1"/>
    <col min="18" max="18" width="11.453125" style="3" customWidth="1"/>
    <col min="19" max="19" width="14.54296875" style="3" customWidth="1"/>
    <col min="20" max="20" width="9.453125" style="3" customWidth="1"/>
    <col min="21" max="21" width="10.453125" style="3" customWidth="1"/>
    <col min="22" max="22" width="12.54296875" style="3" customWidth="1"/>
    <col min="23" max="23" width="8.453125" style="3" customWidth="1"/>
    <col min="24" max="24" width="5.54296875" style="3" customWidth="1"/>
    <col min="25" max="26" width="7.54296875" style="3" customWidth="1"/>
    <col min="27" max="27" width="8.453125" style="3" customWidth="1"/>
    <col min="28" max="28" width="7.453125" style="3" customWidth="1"/>
    <col min="29" max="34" width="6.453125" style="3" customWidth="1"/>
    <col min="35" max="36" width="11.1796875" style="3" customWidth="1"/>
    <col min="37" max="37" width="9.1796875" style="18" customWidth="1"/>
    <col min="38" max="43" width="8.81640625" style="3" customWidth="1"/>
    <col min="44" max="44" width="9.453125" style="3" customWidth="1"/>
    <col min="45" max="45" width="14.453125" style="3" customWidth="1"/>
    <col min="46" max="46" width="5.54296875" style="3" customWidth="1"/>
    <col min="47" max="47" width="8.1796875" style="3" customWidth="1"/>
    <col min="48" max="48" width="5.54296875" style="3" customWidth="1"/>
    <col min="49" max="49" width="15.54296875" style="3" customWidth="1"/>
    <col min="50" max="50" width="12.1796875" style="3" customWidth="1"/>
    <col min="51" max="69" width="11.453125" style="3"/>
    <col min="70" max="70" width="13.81640625" style="3" customWidth="1"/>
    <col min="71" max="71" width="12.1796875" style="3" customWidth="1"/>
    <col min="72" max="72" width="11.81640625" style="3" customWidth="1"/>
    <col min="73" max="73" width="15.1796875" style="3" customWidth="1"/>
    <col min="74" max="74" width="11.453125" style="3"/>
    <col min="75" max="75" width="19.453125" style="3" bestFit="1" customWidth="1"/>
    <col min="76" max="16384" width="11.453125" style="3"/>
  </cols>
  <sheetData>
    <row r="1" spans="1:75" ht="15" customHeight="1">
      <c r="C1" s="3">
        <v>158253.03660530091</v>
      </c>
      <c r="F1" s="1259"/>
      <c r="G1" s="1259"/>
      <c r="K1" s="54" t="s">
        <v>4</v>
      </c>
      <c r="M1" s="240" t="s">
        <v>11</v>
      </c>
      <c r="O1" s="142"/>
      <c r="P1" s="142"/>
      <c r="Q1" s="142"/>
      <c r="R1" s="142"/>
      <c r="S1" s="550"/>
      <c r="T1" s="550">
        <f>87.7*0.97</f>
        <v>85.069000000000003</v>
      </c>
      <c r="U1" s="550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737"/>
      <c r="AL1" s="142"/>
      <c r="AM1" s="142"/>
      <c r="AN1" s="142"/>
      <c r="AO1" s="142"/>
      <c r="AP1" s="142"/>
      <c r="AQ1" s="550"/>
      <c r="AR1" s="550"/>
      <c r="AS1" s="550"/>
      <c r="AX1" s="550"/>
    </row>
    <row r="2" spans="1:75">
      <c r="C2" s="3">
        <v>145968.67274475098</v>
      </c>
      <c r="D2" s="3">
        <f>1451000*0.9772</f>
        <v>1417917.2</v>
      </c>
      <c r="E2" s="3" t="e">
        <v>#DIV/0!</v>
      </c>
      <c r="H2" s="3">
        <f>+H4*H9+I4*I9</f>
        <v>91.259679515859375</v>
      </c>
      <c r="K2" s="3" t="s">
        <v>5</v>
      </c>
      <c r="M2" s="314">
        <f>Factores!D2</f>
        <v>46082.791666666664</v>
      </c>
      <c r="O2" s="143"/>
      <c r="P2" s="143"/>
      <c r="Q2" s="143"/>
      <c r="R2" s="143"/>
      <c r="S2" s="549"/>
      <c r="T2" s="549"/>
      <c r="U2" s="549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544"/>
      <c r="AL2" s="143"/>
      <c r="AM2" s="143"/>
      <c r="AN2" s="143"/>
      <c r="AO2" s="143"/>
      <c r="AP2" s="54"/>
      <c r="AQ2" s="549"/>
      <c r="AR2" s="549"/>
      <c r="AS2" s="549"/>
      <c r="AX2" s="549"/>
    </row>
    <row r="3" spans="1:75">
      <c r="K3" s="3" t="s">
        <v>0</v>
      </c>
      <c r="M3" s="4557">
        <f>Factores!D3</f>
        <v>46098.791666666664</v>
      </c>
      <c r="N3" s="4557"/>
      <c r="O3" s="143"/>
      <c r="P3" s="543"/>
      <c r="Q3" s="544"/>
      <c r="R3" s="545">
        <f>F40*K40*L40/10000</f>
        <v>12974.353297126541</v>
      </c>
      <c r="S3" s="1713"/>
      <c r="T3" s="549"/>
      <c r="U3" s="549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544"/>
      <c r="AL3" s="143"/>
      <c r="AM3" s="1713"/>
      <c r="AN3" s="143"/>
      <c r="AO3" s="549">
        <v>1613.4633999999999</v>
      </c>
      <c r="AP3" s="549">
        <v>33.323399999999999</v>
      </c>
      <c r="AQ3" s="549"/>
      <c r="AR3" s="2931">
        <v>0.5</v>
      </c>
      <c r="AS3" s="549"/>
      <c r="AX3" s="549"/>
    </row>
    <row r="4" spans="1:75">
      <c r="H4" s="1726">
        <v>0.81579000000000002</v>
      </c>
      <c r="I4" s="1726">
        <v>0.18421000000000001</v>
      </c>
      <c r="K4" s="3">
        <v>88</v>
      </c>
      <c r="L4" s="3">
        <v>27.39</v>
      </c>
      <c r="AL4" s="3">
        <f>16*153</f>
        <v>2448</v>
      </c>
      <c r="AM4" s="3">
        <f>+AL4*0.27*0.964</f>
        <v>637.16543999999999</v>
      </c>
      <c r="AQ4" s="447"/>
      <c r="AR4" s="447">
        <v>4366</v>
      </c>
      <c r="AS4" s="447"/>
      <c r="AX4" s="447"/>
    </row>
    <row r="5" spans="1:75" ht="14.15" customHeight="1">
      <c r="A5" s="4564" t="s">
        <v>250</v>
      </c>
      <c r="B5" s="579"/>
      <c r="C5" s="4568" t="s">
        <v>251</v>
      </c>
      <c r="D5" s="4569"/>
      <c r="E5" s="4570" t="s">
        <v>252</v>
      </c>
      <c r="F5" s="4570"/>
      <c r="G5" s="4570"/>
      <c r="H5" s="4570" t="s">
        <v>23</v>
      </c>
      <c r="I5" s="4570"/>
      <c r="J5" s="4570"/>
      <c r="K5" s="4570" t="s">
        <v>253</v>
      </c>
      <c r="L5" s="4570"/>
      <c r="M5" s="4570"/>
      <c r="N5" s="4570"/>
      <c r="O5" s="4570"/>
      <c r="P5" s="4570"/>
      <c r="Q5" s="4570"/>
      <c r="R5" s="4570" t="s">
        <v>254</v>
      </c>
      <c r="S5" s="4570"/>
      <c r="T5" s="4570"/>
      <c r="U5" s="4570"/>
      <c r="V5" s="4570"/>
      <c r="W5" s="4570"/>
      <c r="X5" s="4570"/>
      <c r="Y5" s="4570"/>
      <c r="Z5" s="4570"/>
      <c r="AA5" s="4570"/>
      <c r="AB5" s="4570"/>
      <c r="AK5" s="18">
        <f>F40/(24*((COUNT(C9:C39)-$AR$3))*J40/100)</f>
        <v>8365.4530972161592</v>
      </c>
      <c r="AL5" s="18"/>
      <c r="AM5" s="18"/>
      <c r="AN5" s="18"/>
      <c r="AQ5" s="447"/>
      <c r="AR5" s="447"/>
      <c r="AS5" s="447"/>
      <c r="AX5" s="447"/>
    </row>
    <row r="6" spans="1:75" ht="24.65" customHeight="1">
      <c r="A6" s="4565"/>
      <c r="B6" s="8" t="s">
        <v>258</v>
      </c>
      <c r="C6" s="1717" t="s">
        <v>259</v>
      </c>
      <c r="D6" s="1717" t="s">
        <v>260</v>
      </c>
      <c r="E6" s="1718" t="s">
        <v>261</v>
      </c>
      <c r="F6" s="1717" t="s">
        <v>262</v>
      </c>
      <c r="G6" s="1718" t="s">
        <v>263</v>
      </c>
      <c r="H6" s="1719" t="s">
        <v>264</v>
      </c>
      <c r="I6" s="1719" t="s">
        <v>265</v>
      </c>
      <c r="J6" s="1719" t="s">
        <v>266</v>
      </c>
      <c r="K6" s="1717" t="s">
        <v>267</v>
      </c>
      <c r="L6" s="1717" t="s">
        <v>268</v>
      </c>
      <c r="M6" s="1717" t="s">
        <v>269</v>
      </c>
      <c r="N6" s="4568" t="s">
        <v>270</v>
      </c>
      <c r="O6" s="4569"/>
      <c r="P6" s="4568" t="s">
        <v>271</v>
      </c>
      <c r="Q6" s="4569"/>
      <c r="R6" s="1717" t="s">
        <v>267</v>
      </c>
      <c r="S6" s="1717" t="s">
        <v>272</v>
      </c>
      <c r="T6" s="1717" t="s">
        <v>273</v>
      </c>
      <c r="U6" s="1720" t="s">
        <v>274</v>
      </c>
      <c r="V6" s="1717" t="s">
        <v>269</v>
      </c>
      <c r="W6" s="4568" t="s">
        <v>275</v>
      </c>
      <c r="X6" s="4569"/>
      <c r="Y6" s="4568" t="s">
        <v>276</v>
      </c>
      <c r="Z6" s="4569"/>
      <c r="AA6" s="4568" t="s">
        <v>277</v>
      </c>
      <c r="AB6" s="4569"/>
      <c r="AC6" s="2036" t="s">
        <v>580</v>
      </c>
      <c r="AD6" s="2036" t="s">
        <v>278</v>
      </c>
      <c r="AE6" s="4581" t="s">
        <v>279</v>
      </c>
      <c r="AF6" s="4582"/>
      <c r="AG6" s="2036" t="s">
        <v>280</v>
      </c>
      <c r="AH6" s="2036" t="s">
        <v>120</v>
      </c>
      <c r="AI6" s="2036" t="s">
        <v>281</v>
      </c>
      <c r="AJ6" s="2036" t="s">
        <v>282</v>
      </c>
      <c r="AK6" s="2036" t="s">
        <v>283</v>
      </c>
      <c r="AL6" s="4580" t="s">
        <v>284</v>
      </c>
      <c r="AM6" s="4580"/>
      <c r="AN6" s="4580"/>
      <c r="AO6" s="4580" t="s">
        <v>285</v>
      </c>
      <c r="AP6" s="4580"/>
      <c r="AQ6" s="4580"/>
      <c r="AR6" s="2038"/>
      <c r="AS6" s="2036" t="s">
        <v>83</v>
      </c>
      <c r="AT6" s="2036" t="s">
        <v>289</v>
      </c>
      <c r="AU6" s="2036" t="s">
        <v>88</v>
      </c>
      <c r="AV6" s="2036" t="s">
        <v>290</v>
      </c>
      <c r="AW6" s="2036" t="s">
        <v>1303</v>
      </c>
      <c r="AX6" s="2036" t="s">
        <v>1452</v>
      </c>
      <c r="AY6" s="2036" t="s">
        <v>1264</v>
      </c>
      <c r="AZ6" s="2036" t="s">
        <v>1265</v>
      </c>
      <c r="BA6" s="2036" t="s">
        <v>1266</v>
      </c>
      <c r="BB6" s="2036" t="s">
        <v>1267</v>
      </c>
      <c r="BC6" s="2036" t="s">
        <v>1268</v>
      </c>
      <c r="BD6" s="2036" t="s">
        <v>1269</v>
      </c>
      <c r="BE6" s="2036" t="s">
        <v>1270</v>
      </c>
      <c r="BF6" s="2036" t="s">
        <v>1271</v>
      </c>
      <c r="BG6" s="2036" t="s">
        <v>1272</v>
      </c>
      <c r="BH6" s="2036" t="s">
        <v>1273</v>
      </c>
      <c r="BI6" s="2036" t="s">
        <v>1274</v>
      </c>
      <c r="BJ6" s="2036" t="s">
        <v>1275</v>
      </c>
      <c r="BK6" s="2036" t="s">
        <v>1276</v>
      </c>
      <c r="BL6" s="2036" t="s">
        <v>1277</v>
      </c>
      <c r="BM6" s="2036" t="s">
        <v>1278</v>
      </c>
      <c r="BN6" s="2036" t="s">
        <v>1279</v>
      </c>
      <c r="BO6" s="2036" t="s">
        <v>1280</v>
      </c>
      <c r="BP6" s="2036" t="s">
        <v>1281</v>
      </c>
      <c r="BQ6" s="2036" t="s">
        <v>1282</v>
      </c>
      <c r="BR6" s="2037" t="s">
        <v>1290</v>
      </c>
      <c r="BS6" s="2037" t="s">
        <v>1290</v>
      </c>
      <c r="BT6" s="2037" t="s">
        <v>1290</v>
      </c>
      <c r="BU6" s="2037" t="s">
        <v>1290</v>
      </c>
      <c r="BV6" s="2037" t="s">
        <v>1290</v>
      </c>
      <c r="BW6" s="2037" t="s">
        <v>1490</v>
      </c>
    </row>
    <row r="7" spans="1:75" ht="23">
      <c r="A7" s="4573"/>
      <c r="B7" s="8"/>
      <c r="C7" s="1717" t="s">
        <v>291</v>
      </c>
      <c r="D7" s="1717" t="s">
        <v>292</v>
      </c>
      <c r="E7" s="1717" t="s">
        <v>291</v>
      </c>
      <c r="F7" s="1717" t="s">
        <v>291</v>
      </c>
      <c r="G7" s="1717" t="s">
        <v>291</v>
      </c>
      <c r="H7" s="1721" t="s">
        <v>48</v>
      </c>
      <c r="I7" s="1721" t="s">
        <v>48</v>
      </c>
      <c r="J7" s="1721" t="s">
        <v>48</v>
      </c>
      <c r="K7" s="1717" t="s">
        <v>293</v>
      </c>
      <c r="L7" s="1717" t="s">
        <v>293</v>
      </c>
      <c r="M7" s="1717" t="s">
        <v>293</v>
      </c>
      <c r="N7" s="1717" t="s">
        <v>291</v>
      </c>
      <c r="O7" s="1717" t="s">
        <v>192</v>
      </c>
      <c r="P7" s="1717" t="s">
        <v>294</v>
      </c>
      <c r="Q7" s="1717" t="s">
        <v>192</v>
      </c>
      <c r="R7" s="1717" t="s">
        <v>295</v>
      </c>
      <c r="S7" s="1717" t="s">
        <v>296</v>
      </c>
      <c r="T7" s="1717" t="s">
        <v>296</v>
      </c>
      <c r="U7" s="1717" t="s">
        <v>296</v>
      </c>
      <c r="V7" s="1717" t="s">
        <v>296</v>
      </c>
      <c r="W7" s="1717" t="s">
        <v>291</v>
      </c>
      <c r="X7" s="1717" t="s">
        <v>192</v>
      </c>
      <c r="Y7" s="1717" t="s">
        <v>294</v>
      </c>
      <c r="Z7" s="1717" t="s">
        <v>192</v>
      </c>
      <c r="AA7" s="1717" t="s">
        <v>294</v>
      </c>
      <c r="AB7" s="1717" t="s">
        <v>192</v>
      </c>
      <c r="AC7" s="2036"/>
      <c r="AD7" s="2036"/>
      <c r="AE7" s="4583" t="s">
        <v>297</v>
      </c>
      <c r="AF7" s="2036" t="s">
        <v>298</v>
      </c>
      <c r="AG7" s="2036" t="s">
        <v>198</v>
      </c>
      <c r="AH7" s="4583" t="s">
        <v>198</v>
      </c>
      <c r="AI7" s="4559" t="s">
        <v>121</v>
      </c>
      <c r="AJ7" s="4559" t="s">
        <v>121</v>
      </c>
      <c r="AK7" s="4559" t="s">
        <v>121</v>
      </c>
      <c r="AL7" s="2036" t="s">
        <v>299</v>
      </c>
      <c r="AM7" s="2036" t="s">
        <v>300</v>
      </c>
      <c r="AN7" s="2036" t="s">
        <v>301</v>
      </c>
      <c r="AO7" s="2036" t="s">
        <v>299</v>
      </c>
      <c r="AP7" s="2036" t="s">
        <v>300</v>
      </c>
      <c r="AQ7" s="2036" t="s">
        <v>301</v>
      </c>
      <c r="AR7" s="4574" t="s">
        <v>302</v>
      </c>
      <c r="AS7" s="2036" t="s">
        <v>303</v>
      </c>
      <c r="AT7" s="2036" t="s">
        <v>121</v>
      </c>
      <c r="AU7" s="2036"/>
      <c r="AV7" s="2023" t="s">
        <v>305</v>
      </c>
      <c r="AW7" s="2036"/>
      <c r="AX7" s="2036" t="s">
        <v>1453</v>
      </c>
      <c r="AY7" s="2036" t="s">
        <v>22</v>
      </c>
      <c r="AZ7" s="2036" t="s">
        <v>22</v>
      </c>
      <c r="BA7" s="2036" t="s">
        <v>22</v>
      </c>
      <c r="BB7" s="2036" t="s">
        <v>379</v>
      </c>
      <c r="BC7" s="2036" t="s">
        <v>379</v>
      </c>
      <c r="BD7" s="2036" t="s">
        <v>379</v>
      </c>
      <c r="BE7" s="2036" t="s">
        <v>1283</v>
      </c>
      <c r="BF7" s="2036" t="s">
        <v>1283</v>
      </c>
      <c r="BG7" s="2036" t="s">
        <v>1283</v>
      </c>
      <c r="BH7" s="2036" t="s">
        <v>1283</v>
      </c>
      <c r="BI7" s="2036" t="s">
        <v>1283</v>
      </c>
      <c r="BJ7" s="2036" t="s">
        <v>1283</v>
      </c>
      <c r="BK7" s="2036" t="s">
        <v>1283</v>
      </c>
      <c r="BL7" s="2036" t="s">
        <v>1283</v>
      </c>
      <c r="BM7" s="2036" t="s">
        <v>1283</v>
      </c>
      <c r="BN7" s="2036" t="s">
        <v>1283</v>
      </c>
      <c r="BO7" s="2036" t="s">
        <v>1283</v>
      </c>
      <c r="BP7" s="2036" t="s">
        <v>1283</v>
      </c>
      <c r="BQ7" s="2036" t="s">
        <v>1283</v>
      </c>
      <c r="BR7" s="2036" t="s">
        <v>1342</v>
      </c>
      <c r="BS7" s="2036" t="s">
        <v>1342</v>
      </c>
      <c r="BT7" s="2036" t="s">
        <v>1342</v>
      </c>
      <c r="BU7" s="2036" t="s">
        <v>1342</v>
      </c>
      <c r="BV7" s="2036" t="s">
        <v>1342</v>
      </c>
      <c r="BW7" s="2036" t="s">
        <v>121</v>
      </c>
    </row>
    <row r="8" spans="1:75" ht="18.649999999999999" customHeight="1">
      <c r="A8" s="132"/>
      <c r="B8" s="11">
        <f>B9-1</f>
        <v>46081.791666666664</v>
      </c>
      <c r="C8" s="1722" t="s">
        <v>306</v>
      </c>
      <c r="D8" s="1723" t="s">
        <v>307</v>
      </c>
      <c r="E8" s="1717" t="s">
        <v>308</v>
      </c>
      <c r="F8" s="1717" t="s">
        <v>1262</v>
      </c>
      <c r="G8" s="1717"/>
      <c r="H8" s="1717"/>
      <c r="I8" s="2022" t="s">
        <v>1257</v>
      </c>
      <c r="J8" s="1717" t="s">
        <v>309</v>
      </c>
      <c r="K8" s="1722" t="s">
        <v>310</v>
      </c>
      <c r="L8" s="1724" t="s">
        <v>311</v>
      </c>
      <c r="M8" s="1724" t="s">
        <v>312</v>
      </c>
      <c r="N8" s="1724"/>
      <c r="O8" s="1724"/>
      <c r="P8" s="1724"/>
      <c r="Q8" s="1725"/>
      <c r="R8" s="1722" t="s">
        <v>313</v>
      </c>
      <c r="S8" s="1724" t="s">
        <v>314</v>
      </c>
      <c r="T8" s="1724" t="s">
        <v>315</v>
      </c>
      <c r="U8" s="1724"/>
      <c r="V8" s="1724" t="s">
        <v>316</v>
      </c>
      <c r="W8" s="1724"/>
      <c r="X8" s="1724"/>
      <c r="Y8" s="1722"/>
      <c r="Z8" s="1725"/>
      <c r="AA8" s="1724" t="s">
        <v>317</v>
      </c>
      <c r="AB8" s="1725"/>
      <c r="AC8" s="2041" t="s">
        <v>1335</v>
      </c>
      <c r="AD8" s="2041" t="s">
        <v>318</v>
      </c>
      <c r="AE8" s="4584"/>
      <c r="AF8" s="2041" t="s">
        <v>319</v>
      </c>
      <c r="AG8" s="2040"/>
      <c r="AH8" s="4584"/>
      <c r="AI8" s="4560"/>
      <c r="AJ8" s="4560"/>
      <c r="AK8" s="4560"/>
      <c r="AL8" s="2038" t="s">
        <v>320</v>
      </c>
      <c r="AM8" s="2043" t="s">
        <v>321</v>
      </c>
      <c r="AN8" s="2039"/>
      <c r="AO8" s="2044" t="s">
        <v>322</v>
      </c>
      <c r="AP8" s="2045" t="s">
        <v>323</v>
      </c>
      <c r="AQ8" s="2046"/>
      <c r="AR8" s="4575"/>
      <c r="AS8" s="2037" t="s">
        <v>324</v>
      </c>
      <c r="AT8" s="2037" t="s">
        <v>325</v>
      </c>
      <c r="AU8" s="2037" t="s">
        <v>1302</v>
      </c>
      <c r="AV8" s="2042" t="s">
        <v>1258</v>
      </c>
      <c r="AW8" s="2042" t="s">
        <v>1492</v>
      </c>
      <c r="AX8" s="2042" t="s">
        <v>1493</v>
      </c>
      <c r="AY8" s="2037" t="s">
        <v>1284</v>
      </c>
      <c r="AZ8" s="2037" t="s">
        <v>1285</v>
      </c>
      <c r="BA8" s="2037" t="s">
        <v>1286</v>
      </c>
      <c r="BB8" s="2037" t="s">
        <v>1287</v>
      </c>
      <c r="BC8" s="2037" t="s">
        <v>1288</v>
      </c>
      <c r="BD8" s="2037" t="s">
        <v>1289</v>
      </c>
      <c r="BE8" s="2037" t="s">
        <v>1290</v>
      </c>
      <c r="BF8" s="2037" t="s">
        <v>1291</v>
      </c>
      <c r="BG8" s="2037" t="s">
        <v>1290</v>
      </c>
      <c r="BH8" s="2037" t="s">
        <v>1292</v>
      </c>
      <c r="BI8" s="2037" t="s">
        <v>1293</v>
      </c>
      <c r="BJ8" s="2037" t="s">
        <v>1294</v>
      </c>
      <c r="BK8" s="2037" t="s">
        <v>1295</v>
      </c>
      <c r="BL8" s="2037" t="s">
        <v>1296</v>
      </c>
      <c r="BM8" s="2037" t="s">
        <v>1297</v>
      </c>
      <c r="BN8" s="2037" t="s">
        <v>1298</v>
      </c>
      <c r="BO8" s="2037" t="s">
        <v>1299</v>
      </c>
      <c r="BP8" s="2037" t="s">
        <v>1300</v>
      </c>
      <c r="BQ8" s="2037" t="s">
        <v>1301</v>
      </c>
      <c r="BR8" s="2037" t="s">
        <v>1341</v>
      </c>
      <c r="BS8" s="2037" t="s">
        <v>1338</v>
      </c>
      <c r="BT8" s="2037" t="s">
        <v>1339</v>
      </c>
      <c r="BU8" s="2037" t="s">
        <v>1340</v>
      </c>
      <c r="BV8" s="2037" t="s">
        <v>1344</v>
      </c>
      <c r="BW8" s="2037" t="s">
        <v>1491</v>
      </c>
    </row>
    <row r="9" spans="1:75" ht="14.25" customHeight="1">
      <c r="A9" s="1559" t="s">
        <v>326</v>
      </c>
      <c r="B9" s="585">
        <f>M2</f>
        <v>46082.791666666664</v>
      </c>
      <c r="C9" s="459">
        <f>IF($M$3&gt;=$B9,_xll.PICalcVal(C$8,$B8,$B9,"total", 1, 0,"")*0.9772,"")</f>
        <v>178584.27719999998</v>
      </c>
      <c r="D9" s="459">
        <f>IF($M$3&gt;=$B9,_xll.PICalcVal(D$8,$B8,$B9,"total", 1, 0,"")*0.9772,"")</f>
        <v>681321.42959999992</v>
      </c>
      <c r="E9" s="12">
        <f>IF($M$3&gt;=$B9,_xll.PICalcVal(E$8,$B8,$B9,"average", 1, 0,""),"")</f>
        <v>98057.835933685317</v>
      </c>
      <c r="F9" s="12">
        <f>IF($M$3&gt;=$B9,_xll.PICalcVal(F$8,$B8,$B9,"average", 1, 0,""),"")</f>
        <v>22673.609375</v>
      </c>
      <c r="G9" s="12">
        <f t="shared" ref="G9:G36" si="0">+IF(ISNUMBER(E9-F9),E9-F9,"")</f>
        <v>75384.226558685317</v>
      </c>
      <c r="H9" s="460">
        <f t="shared" ref="H9" si="1">+IF(ISNUMBER(J9-I9*$I$4)/$H$4,(J9-I9*$I$4)/$H$4,"")</f>
        <v>89.286065673591693</v>
      </c>
      <c r="I9" s="2062">
        <f>IF(ISNUMBER(_xll.PIArcVal(Real!$I$8,Real!$B8,0,"MLPfaepi01","exact time")),_xll.PIArcVal(Real!$I$8,Real!$B8,0,"MLPfaepi01","exact time"),"")</f>
        <v>100</v>
      </c>
      <c r="J9" s="2062">
        <f>IF($M$3&gt;=$B9,_xll.PICalcVal(J$8,$B8,$B9,"average", 1, 0,""),"")</f>
        <v>91.259679515859375</v>
      </c>
      <c r="K9" s="460">
        <f>IF($M$3&gt;=$B9,_xll.PICalcVal(K$8,$B8,$B9,"average", 1, 0,""),"")</f>
        <v>0.57768797734094401</v>
      </c>
      <c r="L9" s="133">
        <f>IF(ISNUMBER(_xll.PIArcVal(Real!$L$8,Real!$B8,0,"MLPfaepi01","exact time")),_xll.PIArcVal(Real!$L$8,Real!$B8,0,"MLPfaepi01","exact time"),"")</f>
        <v>91.162820073210312</v>
      </c>
      <c r="M9" s="2062">
        <f>IF($M$3&gt;=$B9,_xll.PICalcVal(M$8,$B8,$B9,"average", 1, 0,""),"")</f>
        <v>24.56</v>
      </c>
      <c r="N9" s="16">
        <f t="shared" ref="N9" si="2">IF(ISNUMBER(+E9*K9*L9/M9/100),+E9*K9*L9/M9/100,"")</f>
        <v>2102.6404868281052</v>
      </c>
      <c r="O9" s="16">
        <f>IF($M$3&gt;=$B9,SUM(N$9:N9),"")</f>
        <v>2102.6404868281052</v>
      </c>
      <c r="P9" s="16">
        <f t="shared" ref="P9" si="3">IF(ISNUMBER(+N9*M9/100),+N9*M9/100,"")</f>
        <v>516.40850356498265</v>
      </c>
      <c r="Q9" s="16">
        <f>IF($M$3&gt;=$B9,SUM(P$9:P9),"")</f>
        <v>516.40850356498265</v>
      </c>
      <c r="R9" s="461">
        <f>IF($M$3&gt;=$B9,_xll.PICalcVal(R$8,$B8,$B9,"average", 1, 0,"")*10000,"")</f>
        <v>249.16097142540599</v>
      </c>
      <c r="S9" s="133">
        <f>IF($M$3&gt;=$B9,_xll.PICalcVal(S$8,$B8,$B9,"average", 1, 0,""),"")</f>
        <v>93.716144970833057</v>
      </c>
      <c r="T9" s="133">
        <f>IF($M$3&gt;=$B9,_xll.PICalcVal(T$8,$B8,$B9,"average", 1, 0,""),"")</f>
        <v>84.8</v>
      </c>
      <c r="U9" s="133">
        <f t="shared" ref="U9" si="4">IF(ISNUMBER(S9*T9/100),S9*T9/100,"")</f>
        <v>79.471290935266438</v>
      </c>
      <c r="V9" s="462">
        <f>IF($M$3&gt;=$B9,_xll.PICalcVal(V$8,$B8,$B9,"average", 1, 0,""),"")</f>
        <v>49.645088747180047</v>
      </c>
      <c r="W9" s="16">
        <f t="shared" ref="W9" si="5">IF(ISNUMBER(Y9/V9*100),Y9/V9*100,"")</f>
        <v>39.110763693637921</v>
      </c>
      <c r="X9" s="16">
        <f>IF($M$3&gt;=$B9,SUM(W$9:W9),"")</f>
        <v>39.110763693637921</v>
      </c>
      <c r="Y9" s="50">
        <f t="shared" ref="Y9" si="6">IF(ISNUMBER(E9*R9/1000000*U9/100),(E9*R9/1000000*U9/100),"")</f>
        <v>19.41657334540642</v>
      </c>
      <c r="Z9" s="440">
        <f>IF($M$3&gt;=$B9,SUM(Y$9:Y9),"")</f>
        <v>19.41657334540642</v>
      </c>
      <c r="AA9" s="463">
        <f>IF($M$3&gt;=$B9,_xll.PICalcVal(AA$8,$B8,$B9,"average", 1, 0,""),"")</f>
        <v>23.247016525000099</v>
      </c>
      <c r="AB9" s="440">
        <f>IF($M$3&gt;=$B9,SUM(AA$9:AA9),"")</f>
        <v>23.247016525000099</v>
      </c>
      <c r="AC9" s="1730">
        <f>IF($M$3&gt;=$B9,_xll.PICalcVal(AC$8,($B8+2/24),($B9+2/24),"average", 1, 0,""),"")</f>
        <v>80.621353149414063</v>
      </c>
      <c r="AD9" s="1730">
        <f>IF($M$3&gt;=$B9,_xll.PICalcVal(AD$8,$B8,$B9,"average", 1, 0,""),"")</f>
        <v>62.156635284423828</v>
      </c>
      <c r="AE9" s="218">
        <f t="shared" ref="AE9" si="7">+IF(ISNUMBER(SUMPRODUCT(AY9:BA9,BB9:BD9)/SUM(AY9:BA9)),(SUMPRODUCT(AY9:BA9,BB9:BD9)/SUM(AY9:BA9)),"")</f>
        <v>17.034815264907841</v>
      </c>
      <c r="AF9" s="218">
        <f>IF($M$3&gt;=$B9,_xll.PICalcVal(AF$8,$B8,$B9,"average", 1, 0,""),"")</f>
        <v>342.5</v>
      </c>
      <c r="AG9" s="451">
        <f t="shared" ref="AG9" si="8">IF(ISNUMBER(C9),C9/1000,"")</f>
        <v>178.58427719999997</v>
      </c>
      <c r="AH9" s="450">
        <f t="shared" ref="AH9" si="9">IF(ISNUMBER(E9),E9/1000,"")</f>
        <v>98.057835933685311</v>
      </c>
      <c r="AI9" s="450">
        <f>IF(ISNUMBER(G9/(12*H9/100)),G9/(12*H9/100),"")</f>
        <v>7035.8334556435575</v>
      </c>
      <c r="AJ9" s="450">
        <f>IF(ISNUMBER(F9/(12*I9/100)),F9/(12*I9/100),"")</f>
        <v>1889.4674479166667</v>
      </c>
      <c r="AK9" s="21">
        <f>IF(ISNUMBER(E9/(12*J9/100)),E9/(12*J9/100),"")</f>
        <v>8954.10368648845</v>
      </c>
      <c r="AL9" s="22">
        <f>IF($M$3&gt;=$B9,_xll.PICalcVal(AL$8,$B8,$B9,"average", 1, 0,""),"")</f>
        <v>4047.765380859375</v>
      </c>
      <c r="AM9" s="22">
        <f>IF($M$3&gt;=$B9,_xll.PICalcVal(AM$8,$B8,$B9,"average", 1, 0,""),"")</f>
        <v>28.905000000000001</v>
      </c>
      <c r="AN9" s="21">
        <f t="shared" ref="AN9:AN15" si="10">IF(ISNUMBER(AL9*AM9/100),(AL9*AM9/100),"")</f>
        <v>1170.0065833374024</v>
      </c>
      <c r="AO9" s="16">
        <f>IF($M$3&gt;=$B9,_xll.PICalcVal(AO$8,$B8,$B9,"average", 1, 0,""),"")</f>
        <v>1935.9126368102898</v>
      </c>
      <c r="AP9" s="32">
        <f>IF($M$3&gt;=$B9,_xll.PICalcVal(AP$8,$B8,$B9,"average", 1, 0,""),"")</f>
        <v>27.703726942107984</v>
      </c>
      <c r="AQ9" s="21">
        <f t="shared" ref="AQ9" si="11">IF(ISNUMBER(AO9*AP9/100),(AO9*AP9/100),"")</f>
        <v>536.31995073968528</v>
      </c>
      <c r="AR9" s="449">
        <f>+AQ9*0.962</f>
        <v>515.93979261157722</v>
      </c>
      <c r="AS9" s="272">
        <f>IF(ISNUMBER(_xll.PIArcVal(Real!AS$8,Real!$B8,0,"","exact time")),_xll.PIArcVal(Real!AS$8,Real!$B8,0,"","exact time"),"")</f>
        <v>4.680816650390625</v>
      </c>
      <c r="AT9" s="1762">
        <f>IF(ISNUMBER(_xll.PIAdvCalcVal(Real!$AT$8,Real!$B8,Real!$B9,"average","time-weighted",0,1,0,"MLPfaepi01")),_xll.PIAdvCalcVal(Real!$AT$8,Real!$B8,Real!$B9,"average","time-weighted",0,1,0,"MLPfaepi01"),"")</f>
        <v>4.2626890896095171</v>
      </c>
      <c r="AU9" s="2100">
        <f>IF($M$3&gt;=$B9,_xll.PICalcVal(AU$8,$B8,$B9,"average", 1, 0,""),"")</f>
        <v>38.137563387552895</v>
      </c>
      <c r="AV9" s="61">
        <f>IF($M$3&gt;=$B9,_xll.PICalcVal(AV$8,$B8,$B9,"average", 1, 0,""),"")</f>
        <v>186.6812296818824</v>
      </c>
      <c r="AW9" s="3972">
        <f>IF($C$1&gt;=$B9,_xll.PICalcVal(AW$8,$B8,$B9,"average", 1, 0,""),"")</f>
        <v>393068.93229166669</v>
      </c>
      <c r="AX9" s="3972">
        <f>IF($C$1&gt;=$B9,_xll.PICalcVal(AX$8,$B8,$B9,"average", 1, 0,""),"")</f>
        <v>237.86026000976563</v>
      </c>
      <c r="AY9" s="16">
        <f>IF(ISNUMBER(_xll.PIArcVal($AY$8,$B8,0,"","exact time")),_xll.PIArcVal($AY$8,$B8,0,"","exact time"),"")</f>
        <v>2079.4568684895835</v>
      </c>
      <c r="AZ9" s="16">
        <f>IF(ISNUMBER(_xll.PIArcVal($AZ$8,$B8,0,"","exact time")),_xll.PIArcVal($AZ$8,$B8,0,"","exact time"),"")</f>
        <v>1958.78369140625</v>
      </c>
      <c r="BA9" s="16">
        <f>IF(ISNUMBER(_xll.PIArcVal($BA$8,$B8,0,"","exact time")),_xll.PIArcVal($BA$8,$B8,0,"","exact time"),"")</f>
        <v>2261.3616536458335</v>
      </c>
      <c r="BB9" s="32">
        <f>IF(ISNUMBER(_xll.PIAdvCalcVal($BB$8,$B8,$B9,"average","time-weighted",0,1,0,"")),_xll.PIAdvCalcVal($BB$8,$B8,$B9,"average","time-weighted",0,1,0,""),"")</f>
        <v>16.75</v>
      </c>
      <c r="BC9" s="32">
        <f>IF(ISNUMBER(_xll.PIAdvCalcVal($BC$8,$B8,$B9,"average","time-weighted",0,1,0,"")),_xll.PIAdvCalcVal($BC$8,$B8,$B9,"average","time-weighted",0,1,0,""),"")</f>
        <v>18.916666666666668</v>
      </c>
      <c r="BD9" s="32">
        <f>IF(ISNUMBER(_xll.PIAdvCalcVal(BD$8,$B8,$B9,"average","time-weighted",0,1,0,"")),_xll.PIAdvCalcVal(BD$8,$B8,$B9,"average","time-weighted",0,1,0,""),"")</f>
        <v>15.666666666666666</v>
      </c>
      <c r="BE9" s="16">
        <f t="shared" ref="BE9" si="12">+BI9+BL9+BO9</f>
        <v>36485.411478652044</v>
      </c>
      <c r="BF9" s="16">
        <f>IF(ISNUMBER(_xll.PIAdvCalcVal(BF$8,$B8,$B9,"average","time-weighted",0,1,0,"")),_xll.PIAdvCalcVal(BF$8,$B8,$B9,"average","time-weighted",0,1,0,""),"")</f>
        <v>16010.401833230619</v>
      </c>
      <c r="BG9" s="16">
        <f t="shared" ref="BG9" si="13">+BJ9+BK9+BM9+BN9+BP9+BQ9</f>
        <v>47070.61589147881</v>
      </c>
      <c r="BH9" s="16">
        <f>IF(ISNUMBER(_xll.PIAdvCalcVal(BH$8,$B8,$B9,"average","time-weighted",0,1,0,"")),_xll.PIAdvCalcVal(BH$8,$B8,$B9,"average","time-weighted",0,1,0,""),"")</f>
        <v>11816.566396271895</v>
      </c>
      <c r="BI9" s="2592">
        <f>IF(ISNUMBER(_xll.PIAdvCalcVal(BI$8,$B8,$B9,"average","time-weighted",0,1,0,"")),_xll.PIAdvCalcVal(BI$8,$B8,$B9,"average","time-weighted",0,1,0,""),"")</f>
        <v>13076.56149247664</v>
      </c>
      <c r="BJ9" s="16">
        <f>IF(ISNUMBER(_xll.PIAdvCalcVal(BJ$8,$B8,$B9,"average","time-weighted",0,1,0,"")),_xll.PIAdvCalcVal(BJ$8,$B8,$B9,"average","time-weighted",0,1,0,""),"")</f>
        <v>7197.2013186014246</v>
      </c>
      <c r="BK9" s="16">
        <f>IF(ISNUMBER(_xll.PIAdvCalcVal(BK$8,$B8,$B9,"average","time-weighted",0,1,0,"")),_xll.PIAdvCalcVal(BK$8,$B8,$B9,"average","time-weighted",0,1,0,""),"")</f>
        <v>7445.6323614460116</v>
      </c>
      <c r="BL9" s="2592">
        <f>IF(ISNUMBER(_xll.PIAdvCalcVal(BL$8,$B8,$B9,"average","time-weighted",0,1,0,"")),_xll.PIAdvCalcVal(BL$8,$B8,$B9,"average","time-weighted",0,1,0,""),"")</f>
        <v>10959.452729892908</v>
      </c>
      <c r="BM9" s="16">
        <f>IF(ISNUMBER(_xll.PIAdvCalcVal(BM$8,$B8,$B9,"average","time-weighted",0,1,0,"")),_xll.PIAdvCalcVal(BM$8,$B8,$B9,"average","time-weighted",0,1,0,""),"")</f>
        <v>7602.9296070190876</v>
      </c>
      <c r="BN9" s="16">
        <f>IF(ISNUMBER(_xll.PIAdvCalcVal(BN$8,$B8,$B9,"average","time-weighted",0,1,0,"")),_xll.PIAdvCalcVal(BN$8,$B8,$B9,"average","time-weighted",0,1,0,""),"")</f>
        <v>7092.1623790882595</v>
      </c>
      <c r="BO9" s="2592">
        <f>IF(ISNUMBER(_xll.PIAdvCalcVal(BO$8,$B8,$B9,"average","time-weighted",0,1,0,"")),_xll.PIAdvCalcVal(BO$8,$B8,$B9,"average","time-weighted",0,1,0,""),"")</f>
        <v>12449.397256282497</v>
      </c>
      <c r="BP9" s="16">
        <f>IF(ISNUMBER(_xll.PIAdvCalcVal(BP$8,$B8,$B9,"average","time-weighted",0,1,0,"")),_xll.PIAdvCalcVal(BP$8,$B8,$B9,"average","time-weighted",0,1,0,""),"")</f>
        <v>7312.5366333128923</v>
      </c>
      <c r="BQ9" s="16">
        <f>IF(ISNUMBER(_xll.PIAdvCalcVal(BQ$8,$B8,$B9,"average","time-weighted",0,1,0,"")),_xll.PIAdvCalcVal(BQ$8,$B8,$B9,"average","time-weighted",0,1,0,""),"")</f>
        <v>10420.153592011135</v>
      </c>
      <c r="BR9" s="2304">
        <f t="shared" ref="BR9" si="14">+BE9/SUM(AY9:BA9)</f>
        <v>5.7917008474317253</v>
      </c>
      <c r="BS9" s="2304">
        <f t="shared" ref="BS9" si="15">+BI9/AY9</f>
        <v>6.2884504558033072</v>
      </c>
      <c r="BT9" s="2304">
        <f t="shared" ref="BT9" si="16">+BL9/AZ9</f>
        <v>5.595029598201779</v>
      </c>
      <c r="BU9" s="2304">
        <f t="shared" ref="BU9" si="17">+BO9/BA9</f>
        <v>5.505265925161158</v>
      </c>
      <c r="BV9" s="2304">
        <f t="shared" ref="BV9" si="18">+BF9/AJ9</f>
        <v>8.4734996894938526</v>
      </c>
      <c r="BW9" s="62">
        <f>IF(ISNUMBER(_xll.PIAdvCalcVal(BW$8,$B8,$B9,"average","time-weighted",0,1,0,"")),_xll.PIAdvCalcVal(BW$8,$B8,$B9,"average","time-weighted",0,1,0,""),"")</f>
        <v>150.23495483398438</v>
      </c>
    </row>
    <row r="10" spans="1:75" ht="13.5" customHeight="1">
      <c r="A10" s="124"/>
      <c r="B10" s="11">
        <f>B9+1</f>
        <v>46083.791666666664</v>
      </c>
      <c r="C10" s="459">
        <f>IF($M$3&gt;=$B10,_xll.PICalcVal(C$8,$B9,$B10,"total", 1, 0,"")*0.9772,"")</f>
        <v>131187.14559999999</v>
      </c>
      <c r="D10" s="459">
        <f>IF($M$3&gt;=$B10,_xll.PICalcVal(D$8,$B9,$B10,"total", 1, 0,"")*0.9772,"")</f>
        <v>641093.03720000002</v>
      </c>
      <c r="E10" s="12">
        <f>IF($M$3&gt;=$B10,_xll.PICalcVal(E$8,$B9,$B10,"average", 1, 0,""),"")</f>
        <v>170436.89745330811</v>
      </c>
      <c r="F10" s="12">
        <f>IF($M$3&gt;=$B10,_xll.PICalcVal(F$8,$B9,$B10,"average", 1, 0,""),"")</f>
        <v>44562.3125</v>
      </c>
      <c r="G10" s="12">
        <f t="shared" ref="G10" si="19">+IF(ISNUMBER(E10-F10),E10-F10,"")</f>
        <v>125874.58495330811</v>
      </c>
      <c r="H10" s="460">
        <f t="shared" ref="H10" si="20">+IF(ISNUMBER(J10-I10*$I$4)/$H$4,(J10-I10*$I$4)/$H$4,"")</f>
        <v>83.487125596200372</v>
      </c>
      <c r="I10" s="2062">
        <f>IF(ISNUMBER(_xll.PIArcVal(Real!$I$8,Real!$B9,0,"MLPfaepi01","exact time")),_xll.PIArcVal(Real!$I$8,Real!$B9,0,"MLPfaepi01","exact time"),"")</f>
        <v>100</v>
      </c>
      <c r="J10" s="2062">
        <f>IF($M$3&gt;=$B10,_xll.PICalcVal(J$8,$B9,$B10,"average", 1, 0,""),"")</f>
        <v>86.528962190124304</v>
      </c>
      <c r="K10" s="460">
        <f>IF($M$3&gt;=$B10,_xll.PICalcVal(K$8,$B9,$B10,"average", 1, 0,""),"")</f>
        <v>0.55229968808243912</v>
      </c>
      <c r="L10" s="133">
        <f>IF(ISNUMBER(_xll.PIArcVal(Real!$L$8,Real!$B9,0,"MLPfaepi01","exact time")),_xll.PIArcVal(Real!$L$8,Real!$B9,0,"MLPfaepi01","exact time"),"")</f>
        <v>92.159479170723415</v>
      </c>
      <c r="M10" s="2062">
        <f>IF($M$3&gt;=$B10,_xll.PICalcVal(M$8,$B9,$B10,"average", 1, 0,""),"")</f>
        <v>30.560018202104374</v>
      </c>
      <c r="N10" s="16">
        <f t="shared" ref="N10" si="21">IF(ISNUMBER(+E10*K10*L10/M10/100),+E10*K10*L10/M10/100,"")</f>
        <v>2838.7347948412084</v>
      </c>
      <c r="O10" s="16">
        <f>IF($M$3&gt;=$B10,SUM(N$9:N10),"")</f>
        <v>4941.3752816693141</v>
      </c>
      <c r="P10" s="16">
        <f t="shared" ref="P10" si="22">IF(ISNUMBER(+N10*M10/100),+N10*M10/100,"")</f>
        <v>867.5178700129436</v>
      </c>
      <c r="Q10" s="16">
        <f>IF($M$3&gt;=$B10,SUM(P$9:P10),"")</f>
        <v>1383.9263735779264</v>
      </c>
      <c r="R10" s="461">
        <f>IF($M$3&gt;=$B10,_xll.PICalcVal(R$8,$B9,$B10,"average", 1, 0,"")*10000,"")</f>
        <v>259.27553862179718</v>
      </c>
      <c r="S10" s="133">
        <f>IF($M$3&gt;=$B10,_xll.PICalcVal(S$8,$B9,$B10,"average", 1, 0,""),"")</f>
        <v>91.151954632776594</v>
      </c>
      <c r="T10" s="133">
        <f>IF($M$3&gt;=$B10,_xll.PICalcVal(T$8,$B9,$B10,"average", 1, 0,""),"")</f>
        <v>88.9</v>
      </c>
      <c r="U10" s="133">
        <f t="shared" ref="U10" si="23">IF(ISNUMBER(S10*T10/100),S10*T10/100,"")</f>
        <v>81.03408766853839</v>
      </c>
      <c r="V10" s="462">
        <f>IF($M$3&gt;=$B10,_xll.PICalcVal(V$8,$B9,$B10,"average", 1, 0,""),"")</f>
        <v>50.175218421570399</v>
      </c>
      <c r="W10" s="16">
        <f t="shared" ref="W10" si="24">IF(ISNUMBER(Y10/V10*100),Y10/V10*100,"")</f>
        <v>71.36801871929363</v>
      </c>
      <c r="X10" s="16">
        <f>IF($M$3&gt;=$B10,SUM(W$9:W10),"")</f>
        <v>110.47878241293155</v>
      </c>
      <c r="Y10" s="50">
        <f t="shared" ref="Y10" si="25">IF(ISNUMBER(E10*R10/1000000*U10/100),(E10*R10/1000000*U10/100),"")</f>
        <v>35.809059275552826</v>
      </c>
      <c r="Z10" s="440">
        <f>IF($M$3&gt;=$B10,SUM(Y$9:Y10),"")</f>
        <v>55.225632620959246</v>
      </c>
      <c r="AA10" s="463">
        <f>IF($M$3&gt;=$B10,_xll.PICalcVal(AA$8,$B9,$B10,"average", 1, 0,""),"")</f>
        <v>24.272793768749899</v>
      </c>
      <c r="AB10" s="440">
        <f>IF($M$3&gt;=$B10,SUM(AA$9:AA10),"")</f>
        <v>47.519810293749998</v>
      </c>
      <c r="AC10" s="1730">
        <f>IF($M$3&gt;=$B10,_xll.PICalcVal(AC$8,($B9+2/24),($B10+2/24),"average", 1, 0,""),"")</f>
        <v>92.158538818359375</v>
      </c>
      <c r="AD10" s="1730">
        <f>IF($M$3&gt;=$B10,_xll.PICalcVal(AD$8,$B9,$B10,"average", 1, 0,""),"")</f>
        <v>87.753082275390625</v>
      </c>
      <c r="AE10" s="218">
        <f t="shared" ref="AE10" si="26">+IF(ISNUMBER(SUMPRODUCT(AY10:BA10,BB10:BD10)/SUM(AY10:BA10)),(SUMPRODUCT(AY10:BA10,BB10:BD10)/SUM(AY10:BA10)),"")</f>
        <v>17.92604013467345</v>
      </c>
      <c r="AF10" s="218">
        <f>IF($M$3&gt;=$B10,_xll.PICalcVal(AF$8,$B9,$B10,"average", 1, 0,""),"")</f>
        <v>474.75</v>
      </c>
      <c r="AG10" s="451">
        <f t="shared" ref="AG10" si="27">IF(ISNUMBER(C10),C10/1000,"")</f>
        <v>131.18714559999998</v>
      </c>
      <c r="AH10" s="450">
        <f t="shared" ref="AH10" si="28">IF(ISNUMBER(E10),E10/1000,"")</f>
        <v>170.43689745330809</v>
      </c>
      <c r="AI10" s="450">
        <f t="shared" ref="AI10" si="29">IF(ISNUMBER(G10/(24*H10/100)),G10/(24*H10/100),"")</f>
        <v>6282.1355216153261</v>
      </c>
      <c r="AJ10" s="450">
        <f t="shared" ref="AJ10" si="30">IF(ISNUMBER(F10/(24*I10/100)),F10/(24*I10/100),"")</f>
        <v>1856.7630208333333</v>
      </c>
      <c r="AK10" s="21">
        <f t="shared" ref="AK10" si="31">IF(ISNUMBER(E10/(24*J10/100)),E10/(24*J10/100),"")</f>
        <v>8207.1218862929418</v>
      </c>
      <c r="AL10" s="22">
        <f>IF($M$3&gt;=$B10,_xll.PICalcVal(AL$8,$B9,$B10,"average", 1, 0,""),"")</f>
        <v>1492.4541015625</v>
      </c>
      <c r="AM10" s="22">
        <f>IF($M$3&gt;=$B10,_xll.PICalcVal(AM$8,$B9,$B10,"average", 1, 0,""),"")</f>
        <v>27.09</v>
      </c>
      <c r="AN10" s="21">
        <f t="shared" ref="AN10" si="32">IF(ISNUMBER(AL10*AM10/100),(AL10*AM10/100),"")</f>
        <v>404.30581611328125</v>
      </c>
      <c r="AO10" s="16">
        <f>IF($M$3&gt;=$B10,_xll.PICalcVal(AO$8,$B9,$B10,"average", 1, 0,""),"")</f>
        <v>3701.3238304092597</v>
      </c>
      <c r="AP10" s="32">
        <f>IF($M$3&gt;=$B10,_xll.PICalcVal(AP$8,$B9,$B10,"average", 1, 0,""),"")</f>
        <v>28.229502212624933</v>
      </c>
      <c r="AQ10" s="21">
        <f t="shared" ref="AQ10" si="33">IF(ISNUMBER(AO10*AP10/100),(AO10*AP10/100),"")</f>
        <v>1044.865292601796</v>
      </c>
      <c r="AR10" s="449">
        <f>+AQ10*0.962</f>
        <v>1005.1604114829278</v>
      </c>
      <c r="AS10" s="272">
        <f>IF(ISNUMBER(_xll.PIArcVal(Real!AS$8,Real!$B9,0,"","exact time")),_xll.PIArcVal(Real!AS$8,Real!$B9,0,"","exact time"),"")</f>
        <v>5.0939540863037109</v>
      </c>
      <c r="AT10" s="1762">
        <f>IF(ISNUMBER(_xll.PIAdvCalcVal(Real!$AT$8,Real!$B9,Real!$B10,"average","time-weighted",0,1,0,"MLPfaepi01")),_xll.PIAdvCalcVal(Real!$AT$8,Real!$B9,Real!$B10,"average","time-weighted",0,1,0,"MLPfaepi01"),"")</f>
        <v>3.2130024187738955</v>
      </c>
      <c r="AU10" s="2100">
        <f>IF($M$3&gt;=$B10,_xll.PICalcVal(AU$8,$B9,$B10,"average", 1, 0,""),"")</f>
        <v>37.389012972513832</v>
      </c>
      <c r="AV10" s="61">
        <f>IF($M$3&gt;=$B10,_xll.PICalcVal(AV$8,$B9,$B10,"average", 1, 0,""),"")</f>
        <v>193.32714113595617</v>
      </c>
      <c r="AW10" s="3972">
        <f>IF($C$1&gt;=$B10,_xll.PICalcVal(AW$8,$B9,$B10,"average", 1, 0,""),"")</f>
        <v>404941.87239583331</v>
      </c>
      <c r="AX10" s="3972">
        <f>IF($C$1&gt;=$B10,_xll.PICalcVal(AX$8,$B9,$B10,"average", 1, 0,""),"")</f>
        <v>270.4515380859375</v>
      </c>
      <c r="AY10" s="16">
        <f>IF(ISNUMBER(_xll.PIArcVal($AY$8,$B9,0,"","exact time")),_xll.PIArcVal($AY$8,$B9,0,"","exact time"),"")</f>
        <v>1851.2172272245762</v>
      </c>
      <c r="AZ10" s="16">
        <f>IF(ISNUMBER(_xll.PIArcVal($AZ$8,$B9,0,"","exact time")),_xll.PIArcVal($AZ$8,$B9,0,"","exact time"),"")</f>
        <v>2075.5716959635415</v>
      </c>
      <c r="BA10" s="16">
        <f>IF(ISNUMBER(_xll.PIArcVal($BA$8,$B9,0,"","exact time")),_xll.PIArcVal($BA$8,$B9,0,"","exact time"),"")</f>
        <v>2077.5027262785266</v>
      </c>
      <c r="BB10" s="32">
        <f>IF(ISNUMBER(_xll.PIAdvCalcVal($BB$8,$B9,$B10,"average","time-weighted",0,1,0,"")),_xll.PIAdvCalcVal($BB$8,$B9,$B10,"average","time-weighted",0,1,0,""),"")</f>
        <v>13.833333333333334</v>
      </c>
      <c r="BC10" s="32">
        <f>IF(ISNUMBER(_xll.PIAdvCalcVal($BC$8,$B9,$B10,"average","time-weighted",0,1,0,"")),_xll.PIAdvCalcVal($BC$8,$B9,$B10,"average","time-weighted",0,1,0,""),"")</f>
        <v>19</v>
      </c>
      <c r="BD10" s="32">
        <f>IF(ISNUMBER(_xll.PIAdvCalcVal(BD$8,$B9,$B10,"average","time-weighted",0,1,0,"")),_xll.PIAdvCalcVal(BD$8,$B9,$B10,"average","time-weighted",0,1,0,""),"")</f>
        <v>20.5</v>
      </c>
      <c r="BE10" s="16">
        <f t="shared" ref="BE10" si="34">+BI10+BL10+BO10</f>
        <v>34827.794814309957</v>
      </c>
      <c r="BF10" s="16">
        <f>IF(ISNUMBER(_xll.PIAdvCalcVal(BF$8,$B9,$B10,"average","time-weighted",0,1,0,"")),_xll.PIAdvCalcVal(BF$8,$B9,$B10,"average","time-weighted",0,1,0,""),"")</f>
        <v>17059.767930888262</v>
      </c>
      <c r="BG10" s="16">
        <f t="shared" ref="BG10" si="35">+BJ10+BK10+BM10+BN10+BP10+BQ10</f>
        <v>41937.784959060176</v>
      </c>
      <c r="BH10" s="16">
        <f>IF(ISNUMBER(_xll.PIAdvCalcVal(BH$8,$B9,$B10,"average","time-weighted",0,1,0,"")),_xll.PIAdvCalcVal(BH$8,$B9,$B10,"average","time-weighted",0,1,0,""),"")</f>
        <v>11820.159990717066</v>
      </c>
      <c r="BI10" s="2592">
        <f>IF(ISNUMBER(_xll.PIAdvCalcVal(BI$8,$B9,$B10,"average","time-weighted",0,1,0,"")),_xll.PIAdvCalcVal(BI$8,$B9,$B10,"average","time-weighted",0,1,0,""),"")</f>
        <v>8872.0592866364241</v>
      </c>
      <c r="BJ10" s="16">
        <f>IF(ISNUMBER(_xll.PIAdvCalcVal(BJ$8,$B9,$B10,"average","time-weighted",0,1,0,"")),_xll.PIAdvCalcVal(BJ$8,$B9,$B10,"average","time-weighted",0,1,0,""),"")</f>
        <v>5780.4914543886107</v>
      </c>
      <c r="BK10" s="16">
        <f>IF(ISNUMBER(_xll.PIAdvCalcVal(BK$8,$B9,$B10,"average","time-weighted",0,1,0,"")),_xll.PIAdvCalcVal(BK$8,$B9,$B10,"average","time-weighted",0,1,0,""),"")</f>
        <v>6407.1344437149937</v>
      </c>
      <c r="BL10" s="2592">
        <f>IF(ISNUMBER(_xll.PIAdvCalcVal(BL$8,$B9,$B10,"average","time-weighted",0,1,0,"")),_xll.PIAdvCalcVal(BL$8,$B9,$B10,"average","time-weighted",0,1,0,""),"")</f>
        <v>13559.263379061311</v>
      </c>
      <c r="BM10" s="16">
        <f>IF(ISNUMBER(_xll.PIAdvCalcVal(BM$8,$B9,$B10,"average","time-weighted",0,1,0,"")),_xll.PIAdvCalcVal(BM$8,$B9,$B10,"average","time-weighted",0,1,0,""),"")</f>
        <v>7443.0482654223906</v>
      </c>
      <c r="BN10" s="16">
        <f>IF(ISNUMBER(_xll.PIAdvCalcVal(BN$8,$B9,$B10,"average","time-weighted",0,1,0,"")),_xll.PIAdvCalcVal(BN$8,$B9,$B10,"average","time-weighted",0,1,0,""),"")</f>
        <v>6990.0550045635728</v>
      </c>
      <c r="BO10" s="2592">
        <f>IF(ISNUMBER(_xll.PIAdvCalcVal(BO$8,$B9,$B10,"average","time-weighted",0,1,0,"")),_xll.PIAdvCalcVal(BO$8,$B9,$B10,"average","time-weighted",0,1,0,""),"")</f>
        <v>12396.472148612222</v>
      </c>
      <c r="BP10" s="16">
        <f>IF(ISNUMBER(_xll.PIAdvCalcVal(BP$8,$B9,$B10,"average","time-weighted",0,1,0,"")),_xll.PIAdvCalcVal(BP$8,$B9,$B10,"average","time-weighted",0,1,0,""),"")</f>
        <v>7148.9092118518756</v>
      </c>
      <c r="BQ10" s="16">
        <f>IF(ISNUMBER(_xll.PIAdvCalcVal(BQ$8,$B9,$B10,"average","time-weighted",0,1,0,"")),_xll.PIAdvCalcVal(BQ$8,$B9,$B10,"average","time-weighted",0,1,0,""),"")</f>
        <v>8168.1465791187265</v>
      </c>
      <c r="BR10" s="2304">
        <f t="shared" ref="BR10" si="36">+BE10/SUM(AY10:BA10)</f>
        <v>5.8004835287112808</v>
      </c>
      <c r="BS10" s="2304">
        <f t="shared" ref="BS10:BS13" si="37">+BI10/AY10</f>
        <v>4.7925544102340671</v>
      </c>
      <c r="BT10" s="2304">
        <f t="shared" ref="BT10" si="38">+BL10/AZ10</f>
        <v>6.5327848734065057</v>
      </c>
      <c r="BU10" s="2304">
        <f t="shared" ref="BU10" si="39">+BO10/BA10</f>
        <v>5.9670064408619465</v>
      </c>
      <c r="BV10" s="2304">
        <f t="shared" ref="BV10" si="40">+BF10/AJ10</f>
        <v>9.1879080633734684</v>
      </c>
      <c r="BW10" s="62">
        <f>IF(ISNUMBER(_xll.PIAdvCalcVal(BW$8,$B9,$B10,"average","time-weighted",0,1,0,"")),_xll.PIAdvCalcVal(BW$8,$B9,$B10,"average","time-weighted",0,1,0,""),"")</f>
        <v>126.48219299316406</v>
      </c>
    </row>
    <row r="11" spans="1:75" ht="14.15" customHeight="1">
      <c r="A11" s="124"/>
      <c r="B11" s="11">
        <f t="shared" ref="B11:B39" si="41">B10+1</f>
        <v>46084.791666666664</v>
      </c>
      <c r="C11" s="459">
        <f>IF($M$3&gt;=$B11,_xll.PICalcVal(C$8,$B10,$B11,"total", 1, 0,"")*0.9772,"")</f>
        <v>217133.84</v>
      </c>
      <c r="D11" s="459">
        <f>IF($M$3&gt;=$B11,_xll.PICalcVal(D$8,$B10,$B11,"total", 1, 0,"")*0.9772,"")</f>
        <v>672529.5612</v>
      </c>
      <c r="E11" s="12">
        <f>IF($M$3&gt;=$B11,_xll.PICalcVal(E$8,$B10,$B11,"average", 1, 0,""),"")</f>
        <v>158186.81954193115</v>
      </c>
      <c r="F11" s="12">
        <f>IF($M$3&gt;=$B11,_xll.PICalcVal(F$8,$B10,$B11,"average", 1, 0,""),"")</f>
        <v>48085.234375</v>
      </c>
      <c r="G11" s="12">
        <f t="shared" si="0"/>
        <v>110101.58516693115</v>
      </c>
      <c r="H11" s="460">
        <f t="shared" ref="H11" si="42">+IF(ISNUMBER(J11-I11*$I$4)/$H$4,(J11-I11*$I$4)/$H$4,"")</f>
        <v>66.670344083649098</v>
      </c>
      <c r="I11" s="2062">
        <f>IF(ISNUMBER(_xll.PIArcVal(Real!$I$8,Real!$B10,0,"MLPfaepi01","exact time")),_xll.PIArcVal(Real!$I$8,Real!$B10,0,"MLPfaepi01","exact time"),"")</f>
        <v>100</v>
      </c>
      <c r="J11" s="2062">
        <f>IF($M$3&gt;=$B11,_xll.PICalcVal(J$8,$B10,$B11,"average", 1, 0,""),"")</f>
        <v>72.810000000000102</v>
      </c>
      <c r="K11" s="460">
        <f>IF($M$3&gt;=$B11,_xll.PICalcVal(K$8,$B10,$B11,"average", 1, 0,""),"")</f>
        <v>0.53249797248699349</v>
      </c>
      <c r="L11" s="133">
        <f>IF(ISNUMBER(_xll.PIArcVal(Real!$L$8,Real!$B10,0,"MLPfaepi01","exact time")),_xll.PIArcVal(Real!$L$8,Real!$B10,0,"MLPfaepi01","exact time"),"")</f>
        <v>91.369201831492987</v>
      </c>
      <c r="M11" s="2062">
        <f>IF($M$3&gt;=$B11,_xll.PICalcVal(M$8,$B10,$B11,"average", 1, 0,""),"")</f>
        <v>29.31537385710142</v>
      </c>
      <c r="N11" s="16">
        <f t="shared" ref="N11" si="43">IF(ISNUMBER(+E11*K11*L11/M11/100),+E11*K11*L11/M11/100,"")</f>
        <v>2625.3828676434409</v>
      </c>
      <c r="O11" s="16">
        <f>IF($M$3&gt;=$B11,SUM(N$9:N11),"")</f>
        <v>7566.7581493127545</v>
      </c>
      <c r="P11" s="16">
        <f t="shared" ref="P11" si="44">IF(ISNUMBER(+N11*M11/100),+N11*M11/100,"")</f>
        <v>769.64080282996485</v>
      </c>
      <c r="Q11" s="16">
        <f>IF($M$3&gt;=$B11,SUM(P$9:P11),"")</f>
        <v>2153.5671764078911</v>
      </c>
      <c r="R11" s="461">
        <f>IF($M$3&gt;=$B11,_xll.PICalcVal(R$8,$B10,$B11,"average", 1, 0,"")*10000,"")</f>
        <v>269.88477488477827</v>
      </c>
      <c r="S11" s="133">
        <f>IF($M$3&gt;=$B11,_xll.PICalcVal(S$8,$B10,$B11,"average", 1, 0,""),"")</f>
        <v>88.881512615796723</v>
      </c>
      <c r="T11" s="133">
        <f>IF($M$3&gt;=$B11,_xll.PICalcVal(T$8,$B10,$B11,"average", 1, 0,""),"")</f>
        <v>90.6</v>
      </c>
      <c r="U11" s="133">
        <f t="shared" ref="U11" si="45">IF(ISNUMBER(S11*T11/100),S11*T11/100,"")</f>
        <v>80.526650429911825</v>
      </c>
      <c r="V11" s="462">
        <f>IF($M$3&gt;=$B11,_xll.PICalcVal(V$8,$B10,$B11,"average", 1, 0,""),"")</f>
        <v>52.127496689047312</v>
      </c>
      <c r="W11" s="16">
        <f t="shared" ref="W11" si="46">IF(ISNUMBER(Y11/V11*100),Y11/V11*100,"")</f>
        <v>65.951009080781958</v>
      </c>
      <c r="X11" s="16">
        <f>IF($M$3&gt;=$B11,SUM(W$9:W11),"")</f>
        <v>176.42979149371351</v>
      </c>
      <c r="Y11" s="50">
        <f t="shared" ref="Y11:Y16" si="47">IF(ISNUMBER(E11*R11/1000000*U11/100),(E11*R11/1000000*U11/100),"")</f>
        <v>34.378610074977907</v>
      </c>
      <c r="Z11" s="440">
        <f>IF($M$3&gt;=$B11,SUM(Y$9:Y11),"")</f>
        <v>89.60424269593716</v>
      </c>
      <c r="AA11" s="463">
        <f>IF($M$3&gt;=$B11,_xll.PICalcVal(AA$8,$B10,$B11,"average", 1, 0,""),"")</f>
        <v>60.48460438893089</v>
      </c>
      <c r="AB11" s="440">
        <f>IF($M$3&gt;=$B11,SUM(AA$9:AA11),"")</f>
        <v>108.00441468268089</v>
      </c>
      <c r="AC11" s="1730">
        <f>IF($M$3&gt;=$B11,_xll.PICalcVal(AC$8,($B10+2/24),($B11+2/24),"average", 1, 0,""),"")</f>
        <v>90.481964111328125</v>
      </c>
      <c r="AD11" s="1730">
        <f>IF($M$3&gt;=$B11,_xll.PICalcVal(AD$8,$B10,$B11,"average", 1, 0,""),"")</f>
        <v>87.695640563964844</v>
      </c>
      <c r="AE11" s="218">
        <f t="shared" ref="AE11" si="48">+IF(ISNUMBER(SUMPRODUCT(AY11:BA11,BB11:BD11)/SUM(AY11:BA11)),(SUMPRODUCT(AY11:BA11,BB11:BD11)/SUM(AY11:BA11)),"")</f>
        <v>15.503640437725355</v>
      </c>
      <c r="AF11" s="218">
        <f>IF($M$3&gt;=$B11,_xll.PICalcVal(AF$8,$B10,$B11,"average", 1, 0,""),"")</f>
        <v>670.75</v>
      </c>
      <c r="AG11" s="451">
        <f t="shared" ref="AG11" si="49">IF(ISNUMBER(C11),C11/1000,"")</f>
        <v>217.13383999999999</v>
      </c>
      <c r="AH11" s="450">
        <f t="shared" ref="AH11" si="50">IF(ISNUMBER(E11),E11/1000,"")</f>
        <v>158.18681954193116</v>
      </c>
      <c r="AI11" s="450">
        <f t="shared" ref="AI11" si="51">IF(ISNUMBER(G11/(24*H11/100)),G11/(24*H11/100),"")</f>
        <v>6880.9695100212211</v>
      </c>
      <c r="AJ11" s="450">
        <f t="shared" ref="AJ11" si="52">IF(ISNUMBER(F11/(24*I11/100)),F11/(24*I11/100),"")</f>
        <v>2003.5514322916667</v>
      </c>
      <c r="AK11" s="21">
        <f t="shared" ref="AK11" si="53">IF(ISNUMBER(E11/(24*J11/100)),E11/(24*J11/100),"")</f>
        <v>9052.4893296439895</v>
      </c>
      <c r="AL11" s="22">
        <f>IF($M$3&gt;=$B11,_xll.PICalcVal(AL$8,$B10,$B11,"average", 1, 0,""),"")</f>
        <v>3793.09423828125</v>
      </c>
      <c r="AM11" s="22">
        <f>IF($M$3&gt;=$B11,_xll.PICalcVal(AM$8,$B10,$B11,"average", 1, 0,""),"")</f>
        <v>30.48</v>
      </c>
      <c r="AN11" s="21">
        <f t="shared" ref="AN11" si="54">IF(ISNUMBER(AL11*AM11/100),(AL11*AM11/100),"")</f>
        <v>1156.135123828125</v>
      </c>
      <c r="AO11" s="16">
        <f>IF($M$3&gt;=$B11,_xll.PICalcVal(AO$8,$B10,$B11,"average", 1, 0,""),"")</f>
        <v>2382.0728229587339</v>
      </c>
      <c r="AP11" s="32">
        <f>IF($M$3&gt;=$B11,_xll.PICalcVal(AP$8,$B10,$B11,"average", 1, 0,""),"")</f>
        <v>28.243913645658555</v>
      </c>
      <c r="AQ11" s="21">
        <f t="shared" ref="AQ11" si="55">IF(ISNUMBER(AO11*AP11/100),(AO11*AP11/100),"")</f>
        <v>672.79059109316586</v>
      </c>
      <c r="AR11" s="449">
        <f>+AQ11*0.962</f>
        <v>647.22454863162557</v>
      </c>
      <c r="AS11" s="272">
        <f>IF(ISNUMBER(_xll.PIArcVal(Real!AS$8,Real!$B10,0,"","exact time")),_xll.PIArcVal(Real!AS$8,Real!$B10,0,"","exact time"),"")</f>
        <v>4.9400463104248047</v>
      </c>
      <c r="AT11" s="1762">
        <f>IF(ISNUMBER(_xll.PIAdvCalcVal(Real!$AT$8,Real!$B10,Real!$B11,"average","time-weighted",0,1,0,"MLPfaepi01")),_xll.PIAdvCalcVal(Real!$AT$8,Real!$B10,Real!$B11,"average","time-weighted",0,1,0,"MLPfaepi01"),"")</f>
        <v>7.843952173522363E-2</v>
      </c>
      <c r="AU11" s="2100">
        <f>IF($M$3&gt;=$B11,_xll.PICalcVal(AU$8,$B10,$B11,"average", 1, 0,""),"")</f>
        <v>37.039354642232261</v>
      </c>
      <c r="AV11" s="61">
        <f>IF($M$3&gt;=$B11,_xll.PICalcVal(AV$8,$B10,$B11,"average", 1, 0,""),"")</f>
        <v>197.38903675404183</v>
      </c>
      <c r="AW11" s="3972">
        <f>IF($C$1&gt;=$B11,_xll.PICalcVal(AW$8,$B10,$B11,"average", 1, 0,""),"")</f>
        <v>419590.40234375</v>
      </c>
      <c r="AX11" s="3972">
        <f>IF($C$1&gt;=$B11,_xll.PICalcVal(AX$8,$B10,$B11,"average", 1, 0,""),"")</f>
        <v>268.99571990966797</v>
      </c>
      <c r="AY11" s="16">
        <f>IF(ISNUMBER(_xll.PIArcVal($AY$8,$B10,0,"","exact time")),_xll.PIArcVal($AY$8,$B10,0,"","exact time"),"")</f>
        <v>0</v>
      </c>
      <c r="AZ11" s="16">
        <f>IF(ISNUMBER(_xll.PIArcVal($AZ$8,$B10,0,"","exact time")),_xll.PIArcVal($AZ$8,$B10,0,"","exact time"),"")</f>
        <v>2204.28125</v>
      </c>
      <c r="BA11" s="16">
        <f>IF(ISNUMBER(_xll.PIArcVal($BA$8,$B10,0,"","exact time")),_xll.PIArcVal($BA$8,$B10,0,"","exact time"),"")</f>
        <v>2405.6680501302085</v>
      </c>
      <c r="BB11" s="32">
        <f>IF(ISNUMBER(_xll.PIAdvCalcVal($BB$8,$B10,$B11,"average","time-weighted",0,1,0,"")),_xll.PIAdvCalcVal($BB$8,$B10,$B11,"average","time-weighted",0,1,0,""),"")</f>
        <v>10</v>
      </c>
      <c r="BC11" s="32">
        <f>IF(ISNUMBER(_xll.PIAdvCalcVal($BC$8,$B10,$B11,"average","time-weighted",0,1,0,"")),_xll.PIAdvCalcVal($BC$8,$B10,$B11,"average","time-weighted",0,1,0,""),"")</f>
        <v>15.416666666666666</v>
      </c>
      <c r="BD11" s="32">
        <f>IF(ISNUMBER(_xll.PIAdvCalcVal(BD$8,$B10,$B11,"average","time-weighted",0,1,0,"")),_xll.PIAdvCalcVal(BD$8,$B10,$B11,"average","time-weighted",0,1,0,""),"")</f>
        <v>15.583333333333334</v>
      </c>
      <c r="BE11" s="16">
        <f t="shared" ref="BE11" si="56">+BI11+BL11+BO11</f>
        <v>26074.524148741144</v>
      </c>
      <c r="BF11" s="16">
        <f>IF(ISNUMBER(_xll.PIAdvCalcVal(BF$8,$B10,$B11,"average","time-weighted",0,1,0,"")),_xll.PIAdvCalcVal(BF$8,$B10,$B11,"average","time-weighted",0,1,0,""),"")</f>
        <v>16234.00609135925</v>
      </c>
      <c r="BG11" s="16">
        <f t="shared" ref="BG11" si="57">+BJ11+BK11+BM11+BN11+BP11+BQ11</f>
        <v>31655.367243321671</v>
      </c>
      <c r="BH11" s="16">
        <f>IF(ISNUMBER(_xll.PIAdvCalcVal(BH$8,$B10,$B11,"average","time-weighted",0,1,0,"")),_xll.PIAdvCalcVal(BH$8,$B10,$B11,"average","time-weighted",0,1,0,""),"")</f>
        <v>11834.932483642311</v>
      </c>
      <c r="BI11" s="2592">
        <f>IF(ISNUMBER(_xll.PIAdvCalcVal(BI$8,$B10,$B11,"average","time-weighted",0,1,0,"")),_xll.PIAdvCalcVal(BI$8,$B10,$B11,"average","time-weighted",0,1,0,""),"")</f>
        <v>0</v>
      </c>
      <c r="BJ11" s="16">
        <f>IF(ISNUMBER(_xll.PIAdvCalcVal(BJ$8,$B10,$B11,"average","time-weighted",0,1,0,"")),_xll.PIAdvCalcVal(BJ$8,$B10,$B11,"average","time-weighted",0,1,0,""),"")</f>
        <v>0</v>
      </c>
      <c r="BK11" s="16">
        <f>IF(ISNUMBER(_xll.PIAdvCalcVal(BK$8,$B10,$B11,"average","time-weighted",0,1,0,"")),_xll.PIAdvCalcVal(BK$8,$B10,$B11,"average","time-weighted",0,1,0,""),"")</f>
        <v>0</v>
      </c>
      <c r="BL11" s="2592">
        <f>IF(ISNUMBER(_xll.PIAdvCalcVal(BL$8,$B10,$B11,"average","time-weighted",0,1,0,"")),_xll.PIAdvCalcVal(BL$8,$B10,$B11,"average","time-weighted",0,1,0,""),"")</f>
        <v>13239.494541233027</v>
      </c>
      <c r="BM11" s="16">
        <f>IF(ISNUMBER(_xll.PIAdvCalcVal(BM$8,$B10,$B11,"average","time-weighted",0,1,0,"")),_xll.PIAdvCalcVal(BM$8,$B10,$B11,"average","time-weighted",0,1,0,""),"")</f>
        <v>7389.9282247265846</v>
      </c>
      <c r="BN11" s="16">
        <f>IF(ISNUMBER(_xll.PIAdvCalcVal(BN$8,$B10,$B11,"average","time-weighted",0,1,0,"")),_xll.PIAdvCalcVal(BN$8,$B10,$B11,"average","time-weighted",0,1,0,""),"")</f>
        <v>6993.7094654057755</v>
      </c>
      <c r="BO11" s="2592">
        <f>IF(ISNUMBER(_xll.PIAdvCalcVal(BO$8,$B10,$B11,"average","time-weighted",0,1,0,"")),_xll.PIAdvCalcVal(BO$8,$B10,$B11,"average","time-weighted",0,1,0,""),"")</f>
        <v>12835.029607508117</v>
      </c>
      <c r="BP11" s="16">
        <f>IF(ISNUMBER(_xll.PIAdvCalcVal(BP$8,$B10,$B11,"average","time-weighted",0,1,0,"")),_xll.PIAdvCalcVal(BP$8,$B10,$B11,"average","time-weighted",0,1,0,""),"")</f>
        <v>7027.9974550405022</v>
      </c>
      <c r="BQ11" s="16">
        <f>IF(ISNUMBER(_xll.PIAdvCalcVal(BQ$8,$B10,$B11,"average","time-weighted",0,1,0,"")),_xll.PIAdvCalcVal(BQ$8,$B10,$B11,"average","time-weighted",0,1,0,""),"")</f>
        <v>10243.73209814881</v>
      </c>
      <c r="BR11" s="2304">
        <f t="shared" ref="BR11" si="58">+BE11/SUM(AY11:BA11)</f>
        <v>5.6561411961742536</v>
      </c>
      <c r="BS11" s="2304" t="e">
        <f t="shared" si="37"/>
        <v>#DIV/0!</v>
      </c>
      <c r="BT11" s="2304">
        <f t="shared" ref="BT11" si="59">+BL11/AZ11</f>
        <v>6.0062637384558011</v>
      </c>
      <c r="BU11" s="2304">
        <f t="shared" ref="BU11" si="60">+BO11/BA11</f>
        <v>5.3353286239194189</v>
      </c>
      <c r="BV11" s="2304">
        <f t="shared" ref="BV11" si="61">+BF11/AJ11</f>
        <v>8.1026151012209144</v>
      </c>
      <c r="BW11" s="62">
        <f>IF(ISNUMBER(_xll.PIAdvCalcVal(BW$8,$B10,$B11,"average","time-weighted",0,1,0,"")),_xll.PIAdvCalcVal(BW$8,$B10,$B11,"average","time-weighted",0,1,0,""),"")</f>
        <v>136.12440490722656</v>
      </c>
    </row>
    <row r="12" spans="1:75" ht="14.15" customHeight="1">
      <c r="A12" s="124"/>
      <c r="B12" s="11">
        <f t="shared" si="41"/>
        <v>46085.791666666664</v>
      </c>
      <c r="C12" s="459">
        <f>IF($M$3&gt;=$B12,_xll.PICalcVal(C$8,$B11,$B12,"total", 1, 0,"")*0.9772,"")</f>
        <v>132733.076</v>
      </c>
      <c r="D12" s="459">
        <f>IF($M$3&gt;=$B12,_xll.PICalcVal(D$8,$B11,$B12,"total", 1, 0,"")*0.9772,"")</f>
        <v>646135.38919999998</v>
      </c>
      <c r="E12" s="12">
        <f>IF($M$3&gt;=$B12,_xll.PICalcVal(E$8,$B11,$B12,"average", 1, 0,""),"")</f>
        <v>156047.44256210327</v>
      </c>
      <c r="F12" s="12">
        <f>IF($M$3&gt;=$B12,_xll.PICalcVal(F$8,$B11,$B12,"average", 1, 0,""),"")</f>
        <v>46182.26953125</v>
      </c>
      <c r="G12" s="12">
        <f t="shared" si="0"/>
        <v>109865.17303085327</v>
      </c>
      <c r="H12" s="460">
        <f t="shared" ref="H12:H13" si="62">+IF(ISNUMBER(J12-I12*$I$4)/$H$4,(J12-I12*$I$4)/$H$4,"")</f>
        <v>66.501623076937662</v>
      </c>
      <c r="I12" s="2062">
        <f>IF(ISNUMBER(_xll.PIArcVal(Real!$I$8,Real!$B11,0,"MLPfaepi01","exact time")),_xll.PIArcVal(Real!$I$8,Real!$B11,0,"MLPfaepi01","exact time"),"")</f>
        <v>94.930557250976563</v>
      </c>
      <c r="J12" s="2062">
        <f>IF($M$3&gt;=$B12,_xll.PICalcVal(J$8,$B11,$B12,"average", 1, 0,""),"")</f>
        <v>71.738517041137371</v>
      </c>
      <c r="K12" s="460">
        <f>IF($M$3&gt;=$B12,_xll.PICalcVal(K$8,$B11,$B12,"average", 1, 0,""),"")</f>
        <v>0.50968564255413329</v>
      </c>
      <c r="L12" s="133">
        <f>IF(ISNUMBER(_xll.PIArcVal(Real!$L$8,Real!$B11,0,"MLPfaepi01","exact time")),_xll.PIArcVal(Real!$L$8,Real!$B11,0,"MLPfaepi01","exact time"),"")</f>
        <v>89.989231510253532</v>
      </c>
      <c r="M12" s="2062">
        <f>IF($M$3&gt;=$B12,_xll.PICalcVal(M$8,$B11,$B12,"average", 1, 0,""),"")</f>
        <v>26.130492122859852</v>
      </c>
      <c r="N12" s="16">
        <f t="shared" ref="N12:N13" si="63">IF(ISNUMBER(+E12*K12*L12/M12/100),+E12*K12*L12/M12/100,"")</f>
        <v>2739.0629253382481</v>
      </c>
      <c r="O12" s="16">
        <f>IF($M$3&gt;=$B12,SUM(N$9:N12),"")</f>
        <v>10305.821074651003</v>
      </c>
      <c r="P12" s="16">
        <f t="shared" ref="P12:P13" si="64">IF(ISNUMBER(+N12*M12/100),+N12*M12/100,"")</f>
        <v>715.73062194568558</v>
      </c>
      <c r="Q12" s="16">
        <f>IF($M$3&gt;=$B12,SUM(P$9:P12),"")</f>
        <v>2869.2977983535766</v>
      </c>
      <c r="R12" s="461">
        <f>IF($M$3&gt;=$B12,_xll.PICalcVal(R$8,$B11,$B12,"average", 1, 0,"")*10000,"")</f>
        <v>231.36382293887166</v>
      </c>
      <c r="S12" s="133">
        <f>IF($M$3&gt;=$B12,_xll.PICalcVal(S$8,$B11,$B12,"average", 1, 0,""),"")</f>
        <v>86.43393509511337</v>
      </c>
      <c r="T12" s="133">
        <f>IF($M$3&gt;=$B12,_xll.PICalcVal(T$8,$B11,$B12,"average", 1, 0,""),"")</f>
        <v>91.9</v>
      </c>
      <c r="U12" s="133">
        <f t="shared" ref="U12:U16" si="65">IF(ISNUMBER(S12*T12/100),S12*T12/100,"")</f>
        <v>79.432786352409195</v>
      </c>
      <c r="V12" s="462">
        <f>IF($M$3&gt;=$B12,_xll.PICalcVal(V$8,$B11,$B12,"average", 1, 0,""),"")</f>
        <v>53.301272417593424</v>
      </c>
      <c r="W12" s="16">
        <f t="shared" ref="W12:W16" si="66">IF(ISNUMBER(Y12/V12*100),Y12/V12*100,"")</f>
        <v>53.8039707044625</v>
      </c>
      <c r="X12" s="16">
        <f>IF($M$3&gt;=$B12,SUM(W$9:W12),"")</f>
        <v>230.23376219817601</v>
      </c>
      <c r="Y12" s="50">
        <f t="shared" si="47"/>
        <v>28.678200996667716</v>
      </c>
      <c r="Z12" s="440">
        <f>IF($M$3&gt;=$B12,SUM(Y$9:Y12),"")</f>
        <v>118.28244369260487</v>
      </c>
      <c r="AA12" s="463">
        <f>IF($M$3&gt;=$B12,_xll.PICalcVal(AA$8,$B11,$B12,"average", 1, 0,""),"")</f>
        <v>53.2</v>
      </c>
      <c r="AB12" s="440">
        <f>IF($M$3&gt;=$B12,SUM(AA$9:AA12),"")</f>
        <v>161.20441468268089</v>
      </c>
      <c r="AC12" s="1730">
        <f>IF($M$3&gt;=$B12,_xll.PICalcVal(AC$8,($B11+2/24),($B12+2/24),"average", 1, 0,""),"")</f>
        <v>72.676597595214844</v>
      </c>
      <c r="AD12" s="1730">
        <f>IF($M$3&gt;=$B12,_xll.PICalcVal(AD$8,$B11,$B12,"average", 1, 0,""),"")</f>
        <v>60.027790069580078</v>
      </c>
      <c r="AE12" s="218">
        <f t="shared" ref="AE12:AE15" si="67">+IF(ISNUMBER(SUMPRODUCT(AY12:BA12,BB12:BD12)/SUM(AY12:BA12)),(SUMPRODUCT(AY12:BA12,BB12:BD12)/SUM(AY12:BA12)),"")</f>
        <v>29.562249012118791</v>
      </c>
      <c r="AF12" s="218">
        <f>IF($M$3&gt;=$B12,_xll.PICalcVal(AF$8,$B11,$B12,"average", 1, 0,""),"")</f>
        <v>1534.1666666666667</v>
      </c>
      <c r="AG12" s="451">
        <f t="shared" ref="AG12:AG15" si="68">IF(ISNUMBER(C12),C12/1000,"")</f>
        <v>132.73307600000001</v>
      </c>
      <c r="AH12" s="450">
        <f t="shared" ref="AH12:AH15" si="69">IF(ISNUMBER(E12),E12/1000,"")</f>
        <v>156.04744256210327</v>
      </c>
      <c r="AI12" s="450">
        <f t="shared" ref="AI12:AI36" si="70">IF(ISNUMBER(G12/(24*H12/100)),G12/(24*H12/100),"")</f>
        <v>6883.6147617872839</v>
      </c>
      <c r="AJ12" s="450">
        <f t="shared" ref="AJ12:AJ36" si="71">IF(ISNUMBER(F12/(24*I12/100)),F12/(24*I12/100),"")</f>
        <v>2027.0198408099568</v>
      </c>
      <c r="AK12" s="21">
        <f t="shared" ref="AK12:AK15" si="72">IF(ISNUMBER(E12/(24*J12/100)),E12/(24*J12/100),"")</f>
        <v>9063.4390583966324</v>
      </c>
      <c r="AL12" s="22">
        <f>IF($M$3&gt;=$B12,_xll.PICalcVal(AL$8,$B11,$B12,"average", 1, 0,""),"")</f>
        <v>1417.927978515625</v>
      </c>
      <c r="AM12" s="22">
        <f>IF($M$3&gt;=$B12,_xll.PICalcVal(AM$8,$B11,$B12,"average", 1, 0,""),"")</f>
        <v>28.574999999999999</v>
      </c>
      <c r="AN12" s="21">
        <f t="shared" si="10"/>
        <v>405.17291986083984</v>
      </c>
      <c r="AO12" s="16">
        <f>IF($M$3&gt;=$B12,_xll.PICalcVal(AO$8,$B11,$B12,"average", 1, 0,""),"")</f>
        <v>3548.5994519746951</v>
      </c>
      <c r="AP12" s="32">
        <f>IF($M$3&gt;=$B12,_xll.PICalcVal(AP$8,$B11,$B12,"average", 1, 0,""),"")</f>
        <v>29.281493122561514</v>
      </c>
      <c r="AQ12" s="21">
        <f t="shared" ref="AQ12:AQ14" si="73">IF(ISNUMBER(AO12*AP12/100),(AO12*AP12/100),"")</f>
        <v>1039.0829044772261</v>
      </c>
      <c r="AR12" s="449">
        <f t="shared" ref="AR12:AR13" si="74">+AQ12*0.962</f>
        <v>999.59775410709142</v>
      </c>
      <c r="AS12" s="272">
        <f>IF(ISNUMBER(_xll.PIArcVal(Real!AS$8,Real!$B11,0,"","exact time")),_xll.PIArcVal(Real!AS$8,Real!$B11,0,"","exact time"),"")</f>
        <v>5.0126819610595703</v>
      </c>
      <c r="AT12" s="1762">
        <f>IF(ISNUMBER(_xll.PIAdvCalcVal(Real!$AT$8,Real!$B11,Real!$B12,"average","time-weighted",0,1,0,"MLPfaepi01")),_xll.PIAdvCalcVal(Real!$AT$8,Real!$B11,Real!$B12,"average","time-weighted",0,1,0,"MLPfaepi01"),"")</f>
        <v>0.51619495733660492</v>
      </c>
      <c r="AU12" s="2100">
        <f>IF($M$3&gt;=$B12,_xll.PICalcVal(AU$8,$B11,$B12,"average", 1, 0,""),"")</f>
        <v>38.602929433186851</v>
      </c>
      <c r="AV12" s="61">
        <f>IF($M$3&gt;=$B12,_xll.PICalcVal(AV$8,$B11,$B12,"average", 1, 0,""),"")</f>
        <v>202.30597793456923</v>
      </c>
      <c r="AW12" s="3972">
        <f>IF($C$1&gt;=$B12,_xll.PICalcVal(AW$8,$B11,$B12,"average", 1, 0,""),"")</f>
        <v>398361.19270833331</v>
      </c>
      <c r="AX12" s="3972">
        <f>IF($C$1&gt;=$B12,_xll.PICalcVal(AX$8,$B11,$B12,"average", 1, 0,""),"")</f>
        <v>207.69040743509927</v>
      </c>
      <c r="AY12" s="16">
        <f>IF(ISNUMBER(_xll.PIArcVal($AY$8,$B11,0,"","exact time")),_xll.PIArcVal($AY$8,$B11,0,"","exact time"),"")</f>
        <v>0</v>
      </c>
      <c r="AZ12" s="16">
        <f>IF(ISNUMBER(_xll.PIArcVal($AZ$8,$B11,0,"","exact time")),_xll.PIArcVal($AZ$8,$B11,0,"","exact time"),"")</f>
        <v>2242.3062337239585</v>
      </c>
      <c r="BA12" s="16">
        <f>IF(ISNUMBER(_xll.PIArcVal($BA$8,$B11,0,"","exact time")),_xll.PIArcVal($BA$8,$B11,0,"","exact time"),"")</f>
        <v>2360.8759765625</v>
      </c>
      <c r="BB12" s="32">
        <f>IF(ISNUMBER(_xll.PIAdvCalcVal($BB$8,$B11,$B12,"average","time-weighted",0,1,0,"")),_xll.PIAdvCalcVal($BB$8,$B11,$B12,"average","time-weighted",0,1,0,""),"")</f>
        <v>10</v>
      </c>
      <c r="BC12" s="32">
        <f>IF(ISNUMBER(_xll.PIAdvCalcVal($BC$8,$B11,$B12,"average","time-weighted",0,1,0,"")),_xll.PIAdvCalcVal($BC$8,$B11,$B12,"average","time-weighted",0,1,0,""),"")</f>
        <v>27.083333333333332</v>
      </c>
      <c r="BD12" s="32">
        <f>IF(ISNUMBER(_xll.PIAdvCalcVal(BD$8,$B11,$B12,"average","time-weighted",0,1,0,"")),_xll.PIAdvCalcVal(BD$8,$B11,$B12,"average","time-weighted",0,1,0,""),"")</f>
        <v>31.916666666666668</v>
      </c>
      <c r="BE12" s="16">
        <f t="shared" ref="BE12:BE13" si="75">+BI12+BL12+BO12</f>
        <v>25907.422052105798</v>
      </c>
      <c r="BF12" s="16">
        <f>IF(ISNUMBER(_xll.PIAdvCalcVal(BF$8,$B11,$B12,"average","time-weighted",0,1,0,"")),_xll.PIAdvCalcVal(BF$8,$B11,$B12,"average","time-weighted",0,1,0,""),"")</f>
        <v>15655.308245229549</v>
      </c>
      <c r="BG12" s="16">
        <f t="shared" ref="BG12:BG13" si="76">+BJ12+BK12+BM12+BN12+BP12+BQ12</f>
        <v>32154.403651357286</v>
      </c>
      <c r="BH12" s="16">
        <f>IF(ISNUMBER(_xll.PIAdvCalcVal(BH$8,$B11,$B12,"average","time-weighted",0,1,0,"")),_xll.PIAdvCalcVal(BH$8,$B11,$B12,"average","time-weighted",0,1,0,""),"")</f>
        <v>11847.021197915134</v>
      </c>
      <c r="BI12" s="2592">
        <f>IF(ISNUMBER(_xll.PIAdvCalcVal(BI$8,$B11,$B12,"average","time-weighted",0,1,0,"")),_xll.PIAdvCalcVal(BI$8,$B11,$B12,"average","time-weighted",0,1,0,""),"")</f>
        <v>0.55342866385424583</v>
      </c>
      <c r="BJ12" s="16">
        <f>IF(ISNUMBER(_xll.PIAdvCalcVal(BJ$8,$B11,$B12,"average","time-weighted",0,1,0,"")),_xll.PIAdvCalcVal(BJ$8,$B11,$B12,"average","time-weighted",0,1,0,""),"")</f>
        <v>0</v>
      </c>
      <c r="BK12" s="16">
        <f>IF(ISNUMBER(_xll.PIAdvCalcVal(BK$8,$B11,$B12,"average","time-weighted",0,1,0,"")),_xll.PIAdvCalcVal(BK$8,$B11,$B12,"average","time-weighted",0,1,0,""),"")</f>
        <v>0</v>
      </c>
      <c r="BL12" s="2592">
        <f>IF(ISNUMBER(_xll.PIAdvCalcVal(BL$8,$B11,$B12,"average","time-weighted",0,1,0,"")),_xll.PIAdvCalcVal(BL$8,$B11,$B12,"average","time-weighted",0,1,0,""),"")</f>
        <v>13264.966887927056</v>
      </c>
      <c r="BM12" s="16">
        <f>IF(ISNUMBER(_xll.PIAdvCalcVal(BM$8,$B11,$B12,"average","time-weighted",0,1,0,"")),_xll.PIAdvCalcVal(BM$8,$B11,$B12,"average","time-weighted",0,1,0,""),"")</f>
        <v>7540.5481790813101</v>
      </c>
      <c r="BN12" s="16">
        <f>IF(ISNUMBER(_xll.PIAdvCalcVal(BN$8,$B11,$B12,"average","time-weighted",0,1,0,"")),_xll.PIAdvCalcVal(BN$8,$B11,$B12,"average","time-weighted",0,1,0,""),"")</f>
        <v>7154.7342886194447</v>
      </c>
      <c r="BO12" s="2592">
        <f>IF(ISNUMBER(_xll.PIAdvCalcVal(BO$8,$B11,$B12,"average","time-weighted",0,1,0,"")),_xll.PIAdvCalcVal(BO$8,$B11,$B12,"average","time-weighted",0,1,0,""),"")</f>
        <v>12641.901735514888</v>
      </c>
      <c r="BP12" s="16">
        <f>IF(ISNUMBER(_xll.PIAdvCalcVal(BP$8,$B11,$B12,"average","time-weighted",0,1,0,"")),_xll.PIAdvCalcVal(BP$8,$B11,$B12,"average","time-weighted",0,1,0,""),"")</f>
        <v>7105.647599561501</v>
      </c>
      <c r="BQ12" s="16">
        <f>IF(ISNUMBER(_xll.PIAdvCalcVal(BQ$8,$B11,$B12,"average","time-weighted",0,1,0,"")),_xll.PIAdvCalcVal(BQ$8,$B11,$B12,"average","time-weighted",0,1,0,""),"")</f>
        <v>10353.473584095031</v>
      </c>
      <c r="BR12" s="2304">
        <f t="shared" ref="BR12:BR13" si="77">+BE12/SUM(AY12:BA12)</f>
        <v>5.6281548000016191</v>
      </c>
      <c r="BS12" s="2304" t="e">
        <f t="shared" si="37"/>
        <v>#DIV/0!</v>
      </c>
      <c r="BT12" s="2304">
        <f t="shared" ref="BT12:BT13" si="78">+BL12/AZ12</f>
        <v>5.9157695271162742</v>
      </c>
      <c r="BU12" s="2304">
        <f t="shared" ref="BU12:BU13" si="79">+BO12/BA12</f>
        <v>5.3547504659358864</v>
      </c>
      <c r="BV12" s="2304">
        <f t="shared" ref="BV12:BV13" si="80">+BF12/AJ12</f>
        <v>7.7233127816716385</v>
      </c>
      <c r="BW12" s="62">
        <f>IF(ISNUMBER(_xll.PIAdvCalcVal(BW$8,$B11,$B12,"average","time-weighted",0,1,0,"")),_xll.PIAdvCalcVal(BW$8,$B11,$B12,"average","time-weighted",0,1,0,""),"")</f>
        <v>198.92355346679688</v>
      </c>
    </row>
    <row r="13" spans="1:75" ht="14.15" customHeight="1">
      <c r="A13" s="124"/>
      <c r="B13" s="11">
        <f t="shared" si="41"/>
        <v>46086.791666666664</v>
      </c>
      <c r="C13" s="459">
        <f>IF($M$3&gt;=$B13,_xll.PICalcVal(C$8,$B12,$B13,"total", 1, 0,"")*0.9772,"")</f>
        <v>194218.5</v>
      </c>
      <c r="D13" s="459">
        <f>IF($M$3&gt;=$B13,_xll.PICalcVal(D$8,$B12,$B13,"total", 1, 0,"")*0.9772,"")</f>
        <v>675776.79680000001</v>
      </c>
      <c r="E13" s="12">
        <f>IF($M$3&gt;=$B13,_xll.PICalcVal(E$8,$B12,$B13,"average", 1, 0,""),"")</f>
        <v>164038.849609375</v>
      </c>
      <c r="F13" s="12">
        <f>IF($M$3&gt;=$B13,_xll.PICalcVal(F$8,$B12,$B13,"average", 1, 0,""),"")</f>
        <v>49533.0703125</v>
      </c>
      <c r="G13" s="12">
        <f t="shared" si="0"/>
        <v>114505.779296875</v>
      </c>
      <c r="H13" s="460">
        <f t="shared" si="62"/>
        <v>66.670344083649098</v>
      </c>
      <c r="I13" s="2062">
        <f>IF(ISNUMBER(_xll.PIArcVal(Real!$I$8,Real!$B12,0,"MLPfaepi01","exact time")),_xll.PIArcVal(Real!$I$8,Real!$B12,0,"MLPfaepi01","exact time"),"")</f>
        <v>100</v>
      </c>
      <c r="J13" s="2062">
        <f>IF($M$3&gt;=$B13,_xll.PICalcVal(J$8,$B12,$B13,"average", 1, 0,""),"")</f>
        <v>72.810000000000102</v>
      </c>
      <c r="K13" s="460">
        <f>IF($M$3&gt;=$B13,_xll.PICalcVal(K$8,$B12,$B13,"average", 1, 0,""),"")</f>
        <v>0.50356762584558978</v>
      </c>
      <c r="L13" s="133">
        <f>IF(ISNUMBER(_xll.PIArcVal(Real!$L$8,Real!$B12,0,"MLPfaepi01","exact time")),_xll.PIArcVal(Real!$L$8,Real!$B12,0,"MLPfaepi01","exact time"),"")</f>
        <v>89.948819597781579</v>
      </c>
      <c r="M13" s="2062">
        <f>IF($M$3&gt;=$B13,_xll.PICalcVal(M$8,$B12,$B13,"average", 1, 0,""),"")</f>
        <v>23.372671716380356</v>
      </c>
      <c r="N13" s="16">
        <f t="shared" si="63"/>
        <v>3179.0080375598218</v>
      </c>
      <c r="O13" s="16">
        <f>IF($M$3&gt;=$B13,SUM(N$9:N13),"")</f>
        <v>13484.829112210824</v>
      </c>
      <c r="P13" s="16">
        <f t="shared" si="64"/>
        <v>743.01911245620272</v>
      </c>
      <c r="Q13" s="16">
        <f>IF($M$3&gt;=$B13,SUM(P$9:P13),"")</f>
        <v>3612.3169108097791</v>
      </c>
      <c r="R13" s="461">
        <f>IF($M$3&gt;=$B13,_xll.PICalcVal(R$8,$B12,$B13,"average", 1, 0,"")*10000,"")</f>
        <v>223.67231341819254</v>
      </c>
      <c r="S13" s="133">
        <f>IF($M$3&gt;=$B13,_xll.PICalcVal(S$8,$B12,$B13,"average", 1, 0,""),"")</f>
        <v>85.970100015671889</v>
      </c>
      <c r="T13" s="133">
        <f>IF($M$3&gt;=$B13,_xll.PICalcVal(T$8,$B12,$B13,"average", 1, 0,""),"")</f>
        <v>80.8</v>
      </c>
      <c r="U13" s="133">
        <f t="shared" si="65"/>
        <v>69.46384081266288</v>
      </c>
      <c r="V13" s="462">
        <f>IF($M$3&gt;=$B13,_xll.PICalcVal(V$8,$B12,$B13,"average", 1, 0,""),"")</f>
        <v>51.0091743119266</v>
      </c>
      <c r="W13" s="16">
        <f t="shared" si="66"/>
        <v>49.965408649951463</v>
      </c>
      <c r="X13" s="16">
        <f>IF($M$3&gt;=$B13,SUM(W$9:W13),"")</f>
        <v>280.19917084812749</v>
      </c>
      <c r="Y13" s="50">
        <f t="shared" si="47"/>
        <v>25.486942393920195</v>
      </c>
      <c r="Z13" s="440">
        <f>IF($M$3&gt;=$B13,SUM(Y$9:Y13),"")</f>
        <v>143.76938608652506</v>
      </c>
      <c r="AA13" s="463">
        <f>IF($M$3&gt;=$B13,_xll.PICalcVal(AA$8,$B12,$B13,"average", 1, 0,""),"")</f>
        <v>47.26</v>
      </c>
      <c r="AB13" s="440">
        <f>IF($M$3&gt;=$B13,SUM(AA$9:AA13),"")</f>
        <v>208.46441468268088</v>
      </c>
      <c r="AC13" s="1730">
        <f>IF($M$3&gt;=$B13,_xll.PICalcVal(AC$8,($B12+2/24),($B13+2/24),"average", 1, 0,""),"")</f>
        <v>71.630889892578125</v>
      </c>
      <c r="AD13" s="1730">
        <f>IF($M$3&gt;=$B13,_xll.PICalcVal(AD$8,$B12,$B13,"average", 1, 0,""),"")</f>
        <v>57.888607025146484</v>
      </c>
      <c r="AE13" s="218">
        <f t="shared" si="67"/>
        <v>27.704608070403381</v>
      </c>
      <c r="AF13" s="218">
        <f>IF($M$3&gt;=$B13,_xll.PICalcVal(AF$8,$B12,$B13,"average", 1, 0,""),"")</f>
        <v>1680.5</v>
      </c>
      <c r="AG13" s="451">
        <f t="shared" si="68"/>
        <v>194.21850000000001</v>
      </c>
      <c r="AH13" s="450">
        <f t="shared" si="69"/>
        <v>164.03884960937501</v>
      </c>
      <c r="AI13" s="450">
        <f t="shared" si="70"/>
        <v>7156.2164601755794</v>
      </c>
      <c r="AJ13" s="450">
        <f t="shared" si="71"/>
        <v>2063.8779296875</v>
      </c>
      <c r="AK13" s="21">
        <f t="shared" si="72"/>
        <v>9387.3809463772595</v>
      </c>
      <c r="AL13" s="22">
        <f>IF($M$3&gt;=$B13,_xll.PICalcVal(AL$8,$B12,$B13,"average", 1, 0,""),"")</f>
        <v>3852.89111328125</v>
      </c>
      <c r="AM13" s="22">
        <f>IF($M$3&gt;=$B13,_xll.PICalcVal(AM$8,$B12,$B13,"average", 1, 0,""),"")</f>
        <v>25.155000000000001</v>
      </c>
      <c r="AN13" s="21">
        <f t="shared" si="10"/>
        <v>969.19475954589836</v>
      </c>
      <c r="AO13" s="16">
        <f>IF($M$3&gt;=$B13,_xll.PICalcVal(AO$8,$B12,$B13,"average", 1, 0,""),"")</f>
        <v>1591.4503938331845</v>
      </c>
      <c r="AP13" s="32">
        <f>IF($M$3&gt;=$B13,_xll.PICalcVal(AP$8,$B12,$B13,"average", 1, 0,""),"")</f>
        <v>28.164670517597706</v>
      </c>
      <c r="AQ13" s="21">
        <f t="shared" si="73"/>
        <v>448.22675987412754</v>
      </c>
      <c r="AR13" s="449">
        <f t="shared" si="74"/>
        <v>431.19414299891065</v>
      </c>
      <c r="AS13" s="272">
        <f>IF(ISNUMBER(_xll.PIArcVal(Real!AS$8,Real!$B12,0,"","exact time")),_xll.PIArcVal(Real!AS$8,Real!$B12,0,"","exact time"),"")</f>
        <v>4.7600526809692383</v>
      </c>
      <c r="AT13" s="1762">
        <f>IF(ISNUMBER(_xll.PIAdvCalcVal(Real!$AT$8,Real!$B12,Real!$B13,"average","time-weighted",0,1,0,"MLPfaepi01")),_xll.PIAdvCalcVal(Real!$AT$8,Real!$B12,Real!$B13,"average","time-weighted",0,1,0,"MLPfaepi01"),"")</f>
        <v>0</v>
      </c>
      <c r="AU13" s="2100">
        <f>IF($M$3&gt;=$B13,_xll.PICalcVal(AU$8,$B12,$B13,"average", 1, 0,""),"")</f>
        <v>38.006473541259766</v>
      </c>
      <c r="AV13" s="61">
        <f>IF($M$3&gt;=$B13,_xll.PICalcVal(AV$8,$B12,$B13,"average", 1, 0,""),"")</f>
        <v>208.91605148388487</v>
      </c>
      <c r="AW13" s="3972">
        <f>IF($C$1&gt;=$B13,_xll.PICalcVal(AW$8,$B12,$B13,"average", 1, 0,""),"")</f>
        <v>404763.86458333331</v>
      </c>
      <c r="AX13" s="3972">
        <f>IF($C$1&gt;=$B13,_xll.PICalcVal(AX$8,$B12,$B13,"average", 1, 0,""),"")</f>
        <v>212.32687822977701</v>
      </c>
      <c r="AY13" s="16">
        <f>IF(ISNUMBER(_xll.PIArcVal($AY$8,$B12,0,"","exact time")),_xll.PIArcVal($AY$8,$B12,0,"","exact time"),"")</f>
        <v>0</v>
      </c>
      <c r="AZ13" s="16">
        <f>IF(ISNUMBER(_xll.PIArcVal($AZ$8,$B12,0,"","exact time")),_xll.PIArcVal($AZ$8,$B12,0,"","exact time"),"")</f>
        <v>2342.880615234375</v>
      </c>
      <c r="BA13" s="16">
        <f>IF(ISNUMBER(_xll.PIArcVal($BA$8,$B12,0,"","exact time")),_xll.PIArcVal($BA$8,$B12,0,"","exact time"),"")</f>
        <v>2428.1934407552085</v>
      </c>
      <c r="BB13" s="32">
        <f>IF(ISNUMBER(_xll.PIAdvCalcVal($BB$8,$B12,$B13,"average","time-weighted",0,1,0,"")),_xll.PIAdvCalcVal($BB$8,$B12,$B13,"average","time-weighted",0,1,0,""),"")</f>
        <v>10</v>
      </c>
      <c r="BC13" s="32">
        <f>IF(ISNUMBER(_xll.PIAdvCalcVal($BC$8,$B12,$B13,"average","time-weighted",0,1,0,"")),_xll.PIAdvCalcVal($BC$8,$B12,$B13,"average","time-weighted",0,1,0,""),"")</f>
        <v>27.916666666666668</v>
      </c>
      <c r="BD13" s="32">
        <f>IF(ISNUMBER(_xll.PIAdvCalcVal(BD$8,$B12,$B13,"average","time-weighted",0,1,0,"")),_xll.PIAdvCalcVal(BD$8,$B12,$B13,"average","time-weighted",0,1,0,""),"")</f>
        <v>27.5</v>
      </c>
      <c r="BE13" s="16">
        <f t="shared" si="75"/>
        <v>26102.341015992861</v>
      </c>
      <c r="BF13" s="16">
        <f>IF(ISNUMBER(_xll.PIAdvCalcVal(BF$8,$B12,$B13,"average","time-weighted",0,1,0,"")),_xll.PIAdvCalcVal(BF$8,$B12,$B13,"average","time-weighted",0,1,0,""),"")</f>
        <v>14832.734291977209</v>
      </c>
      <c r="BG13" s="16">
        <f t="shared" si="76"/>
        <v>32171.334534409369</v>
      </c>
      <c r="BH13" s="16">
        <f>IF(ISNUMBER(_xll.PIAdvCalcVal(BH$8,$B12,$B13,"average","time-weighted",0,1,0,"")),_xll.PIAdvCalcVal(BH$8,$B12,$B13,"average","time-weighted",0,1,0,""),"")</f>
        <v>11803.696605720714</v>
      </c>
      <c r="BI13" s="2592">
        <f>IF(ISNUMBER(_xll.PIAdvCalcVal(BI$8,$B12,$B13,"average","time-weighted",0,1,0,"")),_xll.PIAdvCalcVal(BI$8,$B12,$B13,"average","time-weighted",0,1,0,""),"")</f>
        <v>0.23699775007035997</v>
      </c>
      <c r="BJ13" s="16">
        <f>IF(ISNUMBER(_xll.PIAdvCalcVal(BJ$8,$B12,$B13,"average","time-weighted",0,1,0,"")),_xll.PIAdvCalcVal(BJ$8,$B12,$B13,"average","time-weighted",0,1,0,""),"")</f>
        <v>0</v>
      </c>
      <c r="BK13" s="16">
        <f>IF(ISNUMBER(_xll.PIAdvCalcVal(BK$8,$B12,$B13,"average","time-weighted",0,1,0,"")),_xll.PIAdvCalcVal(BK$8,$B12,$B13,"average","time-weighted",0,1,0,""),"")</f>
        <v>0</v>
      </c>
      <c r="BL13" s="2592">
        <f>IF(ISNUMBER(_xll.PIAdvCalcVal(BL$8,$B12,$B13,"average","time-weighted",0,1,0,"")),_xll.PIAdvCalcVal(BL$8,$B12,$B13,"average","time-weighted",0,1,0,""),"")</f>
        <v>13378.638055215235</v>
      </c>
      <c r="BM13" s="16">
        <f>IF(ISNUMBER(_xll.PIAdvCalcVal(BM$8,$B12,$B13,"average","time-weighted",0,1,0,"")),_xll.PIAdvCalcVal(BM$8,$B12,$B13,"average","time-weighted",0,1,0,""),"")</f>
        <v>7535.8367204115293</v>
      </c>
      <c r="BN13" s="16">
        <f>IF(ISNUMBER(_xll.PIAdvCalcVal(BN$8,$B12,$B13,"average","time-weighted",0,1,0,"")),_xll.PIAdvCalcVal(BN$8,$B12,$B13,"average","time-weighted",0,1,0,""),"")</f>
        <v>7149.6004545397245</v>
      </c>
      <c r="BO13" s="2592">
        <f>IF(ISNUMBER(_xll.PIAdvCalcVal(BO$8,$B12,$B13,"average","time-weighted",0,1,0,"")),_xll.PIAdvCalcVal(BO$8,$B12,$B13,"average","time-weighted",0,1,0,""),"")</f>
        <v>12723.465963027555</v>
      </c>
      <c r="BP13" s="16">
        <f>IF(ISNUMBER(_xll.PIAdvCalcVal(BP$8,$B12,$B13,"average","time-weighted",0,1,0,"")),_xll.PIAdvCalcVal(BP$8,$B12,$B13,"average","time-weighted",0,1,0,""),"")</f>
        <v>7092.3302925001117</v>
      </c>
      <c r="BQ13" s="16">
        <f>IF(ISNUMBER(_xll.PIAdvCalcVal(BQ$8,$B12,$B13,"average","time-weighted",0,1,0,"")),_xll.PIAdvCalcVal(BQ$8,$B12,$B13,"average","time-weighted",0,1,0,""),"")</f>
        <v>10393.567066958003</v>
      </c>
      <c r="BR13" s="2304">
        <f t="shared" si="77"/>
        <v>5.4709570024854477</v>
      </c>
      <c r="BS13" s="2304" t="e">
        <f t="shared" si="37"/>
        <v>#DIV/0!</v>
      </c>
      <c r="BT13" s="2304">
        <f t="shared" si="78"/>
        <v>5.710337081719751</v>
      </c>
      <c r="BU13" s="2304">
        <f t="shared" si="79"/>
        <v>5.2398897672132518</v>
      </c>
      <c r="BV13" s="2304">
        <f t="shared" si="80"/>
        <v>7.1868273208498783</v>
      </c>
      <c r="BW13" s="62">
        <f>IF(ISNUMBER(_xll.PIAdvCalcVal(BW$8,$B12,$B13,"average","time-weighted",0,1,0,"")),_xll.PIAdvCalcVal(BW$8,$B12,$B13,"average","time-weighted",0,1,0,""),"")</f>
        <v>202.20939636230469</v>
      </c>
    </row>
    <row r="14" spans="1:75" ht="14.15" customHeight="1">
      <c r="A14" s="124"/>
      <c r="B14" s="11">
        <f t="shared" si="41"/>
        <v>46087.791666666664</v>
      </c>
      <c r="C14" s="459">
        <f>IF($M$3&gt;=$B14,_xll.PICalcVal(C$8,$B13,$B14,"total", 1, 0,"")*0.9772,"")</f>
        <v>176980.69199999998</v>
      </c>
      <c r="D14" s="459">
        <f>IF($M$3&gt;=$B14,_xll.PICalcVal(D$8,$B13,$B14,"total", 1, 0,"")*0.9772,"")</f>
        <v>699376.17680000002</v>
      </c>
      <c r="E14" s="12">
        <f>IF($M$3&gt;=$B14,_xll.PICalcVal(E$8,$B13,$B14,"average", 1, 0,""),"")</f>
        <v>152878.49609375</v>
      </c>
      <c r="F14" s="12">
        <f>IF($M$3&gt;=$B14,_xll.PICalcVal(F$8,$B13,$B14,"average", 1, 0,""),"")</f>
        <v>47342.2734375</v>
      </c>
      <c r="G14" s="12">
        <f t="shared" si="0"/>
        <v>105536.22265625</v>
      </c>
      <c r="H14" s="460">
        <f t="shared" ref="H14" si="81">+IF(ISNUMBER(J14-I14*$I$4)/$H$4,(J14-I14*$I$4)/$H$4,"")</f>
        <v>66.651260889397165</v>
      </c>
      <c r="I14" s="2062">
        <f>IF(ISNUMBER(_xll.PIArcVal(Real!$I$8,Real!$B13,0,"MLPfaepi01","exact time")),_xll.PIArcVal(Real!$I$8,Real!$B13,0,"MLPfaepi01","exact time"),"")</f>
        <v>100</v>
      </c>
      <c r="J14" s="2062">
        <f>IF($M$3&gt;=$B14,_xll.PICalcVal(J$8,$B13,$B14,"average", 1, 0,""),"")</f>
        <v>72.794432120961318</v>
      </c>
      <c r="K14" s="460">
        <f>IF($M$3&gt;=$B14,_xll.PICalcVal(K$8,$B13,$B14,"average", 1, 0,""),"")</f>
        <v>0.48054678130049139</v>
      </c>
      <c r="L14" s="133">
        <f>IF(ISNUMBER(_xll.PIArcVal(Real!$L$8,Real!$B13,0,"MLPfaepi01","exact time")),_xll.PIArcVal(Real!$L$8,Real!$B13,0,"MLPfaepi01","exact time"),"")</f>
        <v>90.812762789164807</v>
      </c>
      <c r="M14" s="2062">
        <f>IF($M$3&gt;=$B14,_xll.PICalcVal(M$8,$B13,$B14,"average", 1, 0,""),"")</f>
        <v>22.58546180713488</v>
      </c>
      <c r="N14" s="16">
        <f t="shared" ref="N14" si="82">IF(ISNUMBER(+E14*K14*L14/M14/100),+E14*K14*L14/M14/100,"")</f>
        <v>2953.9285601540573</v>
      </c>
      <c r="O14" s="16">
        <f>IF($M$3&gt;=$B14,SUM(N$9:N14),"")</f>
        <v>16438.757672364882</v>
      </c>
      <c r="P14" s="16">
        <f t="shared" ref="P14:P16" si="83">IF(ISNUMBER(+N14*M14/100),+N14*M14/100,"")</f>
        <v>667.15840676364382</v>
      </c>
      <c r="Q14" s="16">
        <f>IF($M$3&gt;=$B14,SUM(P$9:P14),"")</f>
        <v>4279.4753175734231</v>
      </c>
      <c r="R14" s="461">
        <f>IF($M$3&gt;=$B14,_xll.PICalcVal(R$8,$B13,$B14,"average", 1, 0,"")*10000,"")</f>
        <v>220.37776975596302</v>
      </c>
      <c r="S14" s="133">
        <f>IF($M$3&gt;=$B14,_xll.PICalcVal(S$8,$B13,$B14,"average", 1, 0,""),"")</f>
        <v>89.303099454427908</v>
      </c>
      <c r="T14" s="133">
        <f>IF($M$3&gt;=$B14,_xll.PICalcVal(T$8,$B13,$B14,"average", 1, 0,""),"")</f>
        <v>94.8</v>
      </c>
      <c r="U14" s="133">
        <f t="shared" si="65"/>
        <v>84.659338282797648</v>
      </c>
      <c r="V14" s="462">
        <f>IF($M$3&gt;=$B14,_xll.PICalcVal(V$8,$B13,$B14,"average", 1, 0,""),"")</f>
        <v>52.409793814433002</v>
      </c>
      <c r="W14" s="16">
        <f t="shared" si="66"/>
        <v>54.422263895420684</v>
      </c>
      <c r="X14" s="16">
        <f>IF($M$3&gt;=$B14,SUM(W$9:W14),"")</f>
        <v>334.62143474354821</v>
      </c>
      <c r="Y14" s="50">
        <f t="shared" si="47"/>
        <v>28.522596296736598</v>
      </c>
      <c r="Z14" s="440">
        <f>IF($M$3&gt;=$B14,SUM(Y$9:Y14),"")</f>
        <v>172.29198238326165</v>
      </c>
      <c r="AA14" s="463">
        <f>IF($M$3&gt;=$B14,_xll.PICalcVal(AA$8,$B13,$B14,"average", 1, 0,""),"")</f>
        <v>40.67</v>
      </c>
      <c r="AB14" s="440">
        <f>IF($M$3&gt;=$B14,SUM(AA$9:AA14),"")</f>
        <v>249.13441468268087</v>
      </c>
      <c r="AC14" s="1730">
        <f>IF($M$3&gt;=$B14,_xll.PICalcVal(AC$8,($B13+2/24),($B14+2/24),"average", 1, 0,""),"")</f>
        <v>61.548969268798828</v>
      </c>
      <c r="AD14" s="1730">
        <f>IF($M$3&gt;=$B14,_xll.PICalcVal(AD$8,$B13,$B14,"average", 1, 0,""),"")</f>
        <v>47.643745422363281</v>
      </c>
      <c r="AE14" s="218">
        <f t="shared" si="67"/>
        <v>19.997306590670725</v>
      </c>
      <c r="AF14" s="218">
        <f>IF($M$3&gt;=$B14,_xll.PICalcVal(AF$8,$B13,$B14,"average", 1, 0,""),"")</f>
        <v>1334.9166666666667</v>
      </c>
      <c r="AG14" s="451">
        <f t="shared" si="68"/>
        <v>176.98069199999998</v>
      </c>
      <c r="AH14" s="450">
        <f t="shared" si="69"/>
        <v>152.87849609374999</v>
      </c>
      <c r="AI14" s="450">
        <f t="shared" si="70"/>
        <v>6597.5385191499199</v>
      </c>
      <c r="AJ14" s="450">
        <f t="shared" si="71"/>
        <v>1972.5947265625</v>
      </c>
      <c r="AK14" s="21">
        <f t="shared" si="72"/>
        <v>8750.5831856133755</v>
      </c>
      <c r="AL14" s="22">
        <f>IF($M$3&gt;=$B14,_xll.PICalcVal(AL$8,$B13,$B14,"average", 1, 0,""),"")</f>
        <v>3855.560791015625</v>
      </c>
      <c r="AM14" s="22">
        <f>IF($M$3&gt;=$B14,_xll.PICalcVal(AM$8,$B13,$B14,"average", 1, 0,""),"")</f>
        <v>20.274999999999999</v>
      </c>
      <c r="AN14" s="21">
        <f t="shared" si="10"/>
        <v>781.71495037841783</v>
      </c>
      <c r="AO14" s="16">
        <f>IF($M$3&gt;=$B14,_xll.PICalcVal(AO$8,$B13,$B14,"average", 1, 0,""),"")</f>
        <v>3312.5036460227739</v>
      </c>
      <c r="AP14" s="32">
        <f>IF($M$3&gt;=$B14,_xll.PICalcVal(AP$8,$B13,$B14,"average", 1, 0,""),"")</f>
        <v>25.776449771180374</v>
      </c>
      <c r="AQ14" s="21">
        <f t="shared" si="73"/>
        <v>853.84583848557884</v>
      </c>
      <c r="AR14" s="449">
        <f t="shared" ref="AR14" si="84">+AQ14*0.962</f>
        <v>821.39969662312683</v>
      </c>
      <c r="AS14" s="272">
        <f>IF(ISNUMBER(_xll.PIArcVal(Real!AS$8,Real!$B13,0,"","exact time")),_xll.PIArcVal(Real!AS$8,Real!$B13,0,"","exact time"),"")</f>
        <v>4.8626461029052734</v>
      </c>
      <c r="AT14" s="1762">
        <f>IF(ISNUMBER(_xll.PIAdvCalcVal(Real!$AT$8,Real!$B13,Real!$B14,"average","time-weighted",0,1,0,"MLPfaepi01")),_xll.PIAdvCalcVal(Real!$AT$8,Real!$B13,Real!$B14,"average","time-weighted",0,1,0,"MLPfaepi01"),"")</f>
        <v>3.1475350599529013</v>
      </c>
      <c r="AU14" s="2100">
        <f>IF($M$3&gt;=$B14,_xll.PICalcVal(AU$8,$B13,$B14,"average", 1, 0,""),"")</f>
        <v>39.112162907918297</v>
      </c>
      <c r="AV14" s="61">
        <f>IF($M$3&gt;=$B14,_xll.PICalcVal(AV$8,$B13,$B14,"average", 1, 0,""),"")</f>
        <v>203.14131839028616</v>
      </c>
      <c r="AW14" s="3972">
        <f>IF($C$1&gt;=$B14,_xll.PICalcVal(AW$8,$B13,$B14,"average", 1, 0,""),"")</f>
        <v>421171.46223958331</v>
      </c>
      <c r="AX14" s="3972">
        <f>IF($C$1&gt;=$B14,_xll.PICalcVal(AX$8,$B13,$B14,"average", 1, 0,""),"")</f>
        <v>216.92421722412109</v>
      </c>
      <c r="AY14" s="16">
        <f>IF(ISNUMBER(_xll.PIArcVal($AY$8,$B13,0,"","exact time")),_xll.PIArcVal($AY$8,$B13,0,"","exact time"),"")</f>
        <v>0</v>
      </c>
      <c r="AZ14" s="16">
        <f>IF(ISNUMBER(_xll.PIArcVal($AZ$8,$B13,0,"","exact time")),_xll.PIArcVal($AZ$8,$B13,0,"","exact time"),"")</f>
        <v>2165.6651204427085</v>
      </c>
      <c r="BA14" s="16">
        <f>IF(ISNUMBER(_xll.PIArcVal($BA$8,$B13,0,"","exact time")),_xll.PIArcVal($BA$8,$B13,0,"","exact time"),"")</f>
        <v>2251.146240234375</v>
      </c>
      <c r="BB14" s="32">
        <f>IF(ISNUMBER(_xll.PIAdvCalcVal($BB$8,$B13,$B14,"average","time-weighted",0,1,0,"")),_xll.PIAdvCalcVal($BB$8,$B13,$B14,"average","time-weighted",0,1,0,""),"")</f>
        <v>10</v>
      </c>
      <c r="BC14" s="32">
        <f>IF(ISNUMBER(_xll.PIAdvCalcVal($BC$8,$B13,$B14,"average","time-weighted",0,1,0,"")),_xll.PIAdvCalcVal($BC$8,$B13,$B14,"average","time-weighted",0,1,0,""),"")</f>
        <v>15.75</v>
      </c>
      <c r="BD14" s="32">
        <f>IF(ISNUMBER(_xll.PIAdvCalcVal(BD$8,$B13,$B14,"average","time-weighted",0,1,0,"")),_xll.PIAdvCalcVal(BD$8,$B13,$B14,"average","time-weighted",0,1,0,""),"")</f>
        <v>24.083333333333332</v>
      </c>
      <c r="BE14" s="16">
        <f t="shared" ref="BE14" si="85">+BI14+BL14+BO14</f>
        <v>26287.857336899106</v>
      </c>
      <c r="BF14" s="16">
        <f>IF(ISNUMBER(_xll.PIAdvCalcVal(BF$8,$B13,$B14,"average","time-weighted",0,1,0,"")),_xll.PIAdvCalcVal(BF$8,$B13,$B14,"average","time-weighted",0,1,0,""),"")</f>
        <v>15624.337880167081</v>
      </c>
      <c r="BG14" s="16">
        <f t="shared" ref="BG14" si="86">+BJ14+BK14+BM14+BN14+BP14+BQ14</f>
        <v>32301.409964675848</v>
      </c>
      <c r="BH14" s="16">
        <f>IF(ISNUMBER(_xll.PIAdvCalcVal(BH$8,$B13,$B14,"average","time-weighted",0,1,0,"")),_xll.PIAdvCalcVal(BH$8,$B13,$B14,"average","time-weighted",0,1,0,""),"")</f>
        <v>11737.449228656342</v>
      </c>
      <c r="BI14" s="2592">
        <f>IF(ISNUMBER(_xll.PIAdvCalcVal(BI$8,$B13,$B14,"average","time-weighted",0,1,0,"")),_xll.PIAdvCalcVal(BI$8,$B13,$B14,"average","time-weighted",0,1,0,""),"")</f>
        <v>0.59347397097834831</v>
      </c>
      <c r="BJ14" s="16">
        <f>IF(ISNUMBER(_xll.PIAdvCalcVal(BJ$8,$B13,$B14,"average","time-weighted",0,1,0,"")),_xll.PIAdvCalcVal(BJ$8,$B13,$B14,"average","time-weighted",0,1,0,""),"")</f>
        <v>-249.80965958150708</v>
      </c>
      <c r="BK14" s="16">
        <f>IF(ISNUMBER(_xll.PIAdvCalcVal(BK$8,$B13,$B14,"average","time-weighted",0,1,0,"")),_xll.PIAdvCalcVal(BK$8,$B13,$B14,"average","time-weighted",0,1,0,""),"")</f>
        <v>0</v>
      </c>
      <c r="BL14" s="2592">
        <f>IF(ISNUMBER(_xll.PIAdvCalcVal(BL$8,$B13,$B14,"average","time-weighted",0,1,0,"")),_xll.PIAdvCalcVal(BL$8,$B13,$B14,"average","time-weighted",0,1,0,""),"")</f>
        <v>13258.405757834646</v>
      </c>
      <c r="BM14" s="16">
        <f>IF(ISNUMBER(_xll.PIAdvCalcVal(BM$8,$B13,$B14,"average","time-weighted",0,1,0,"")),_xll.PIAdvCalcVal(BM$8,$B13,$B14,"average","time-weighted",0,1,0,""),"")</f>
        <v>7548.7512391085829</v>
      </c>
      <c r="BN14" s="16">
        <f>IF(ISNUMBER(_xll.PIAdvCalcVal(BN$8,$B13,$B14,"average","time-weighted",0,1,0,"")),_xll.PIAdvCalcVal(BN$8,$B13,$B14,"average","time-weighted",0,1,0,""),"")</f>
        <v>7242.131286113342</v>
      </c>
      <c r="BO14" s="2592">
        <f>IF(ISNUMBER(_xll.PIAdvCalcVal(BO$8,$B13,$B14,"average","time-weighted",0,1,0,"")),_xll.PIAdvCalcVal(BO$8,$B13,$B14,"average","time-weighted",0,1,0,""),"")</f>
        <v>13028.858105093481</v>
      </c>
      <c r="BP14" s="16">
        <f>IF(ISNUMBER(_xll.PIAdvCalcVal(BP$8,$B13,$B14,"average","time-weighted",0,1,0,"")),_xll.PIAdvCalcVal(BP$8,$B13,$B14,"average","time-weighted",0,1,0,""),"")</f>
        <v>7176.3650542414671</v>
      </c>
      <c r="BQ14" s="16">
        <f>IF(ISNUMBER(_xll.PIAdvCalcVal(BQ$8,$B13,$B14,"average","time-weighted",0,1,0,"")),_xll.PIAdvCalcVal(BQ$8,$B13,$B14,"average","time-weighted",0,1,0,""),"")</f>
        <v>10583.97204479396</v>
      </c>
      <c r="BR14" s="2304">
        <f t="shared" ref="BR14" si="87">+BE14/SUM(AY14:BA14)</f>
        <v>5.9517727134421374</v>
      </c>
      <c r="BS14" s="2304" t="e">
        <f t="shared" ref="BS14" si="88">+BI14/AY14</f>
        <v>#DIV/0!</v>
      </c>
      <c r="BT14" s="2304">
        <f t="shared" ref="BT14" si="89">+BL14/AZ14</f>
        <v>6.1220941468200509</v>
      </c>
      <c r="BU14" s="2304">
        <f t="shared" ref="BU14" si="90">+BO14/BA14</f>
        <v>5.7876551386270663</v>
      </c>
      <c r="BV14" s="2304">
        <f t="shared" ref="BV14" si="91">+BF14/AJ14</f>
        <v>7.9207034621827761</v>
      </c>
      <c r="BW14" s="62">
        <f>IF(ISNUMBER(_xll.PIAdvCalcVal(BW$8,$B13,$B14,"average","time-weighted",0,1,0,"")),_xll.PIAdvCalcVal(BW$8,$B13,$B14,"average","time-weighted",0,1,0,""),"")</f>
        <v>39.798324584960938</v>
      </c>
    </row>
    <row r="15" spans="1:75" ht="14.15" customHeight="1">
      <c r="A15" s="546"/>
      <c r="B15" s="454">
        <f t="shared" si="41"/>
        <v>46088.791666666664</v>
      </c>
      <c r="C15" s="459">
        <f>IF($M$3&gt;=$B15,_xll.PICalcVal(C$8,$B14,$B15,"total", 1, 0,"")*0.9772,"")</f>
        <v>159283.6</v>
      </c>
      <c r="D15" s="459">
        <f>IF($M$3&gt;=$B15,_xll.PICalcVal(D$8,$B14,$B15,"total", 1, 0,"")*0.9772,"")</f>
        <v>711982.05680000002</v>
      </c>
      <c r="E15" s="12">
        <f>IF($M$3&gt;=$B15,_xll.PICalcVal(E$8,$B14,$B15,"average", 1, 0,""),"")</f>
        <v>146198.26675415039</v>
      </c>
      <c r="F15" s="12">
        <f>IF($M$3&gt;=$B15,_xll.PICalcVal(F$8,$B14,$B15,"average", 1, 0,""),"")</f>
        <v>45987.48828125</v>
      </c>
      <c r="G15" s="12">
        <f t="shared" si="0"/>
        <v>100210.77847290039</v>
      </c>
      <c r="H15" s="460">
        <f t="shared" ref="H15" si="92">+IF(ISNUMBER(J15-I15*$I$4)/$H$4,(J15-I15*$I$4)/$H$4,"")</f>
        <v>67.323233647325978</v>
      </c>
      <c r="I15" s="2062">
        <f>IF(ISNUMBER(_xll.PIArcVal(Real!$I$8,Real!$B14,0,"MLPfaepi01","exact time")),_xll.PIArcVal(Real!$I$8,Real!$B14,0,"MLPfaepi01","exact time"),"")</f>
        <v>100</v>
      </c>
      <c r="J15" s="2062">
        <f>IF($M$3&gt;=$B15,_xll.PICalcVal(J$8,$B14,$B15,"average", 1, 0,""),"")</f>
        <v>73.342620777152064</v>
      </c>
      <c r="K15" s="460">
        <f>IF($M$3&gt;=$B15,_xll.PICalcVal(K$8,$B14,$B15,"average", 1, 0,""),"")</f>
        <v>0.49060469501399878</v>
      </c>
      <c r="L15" s="133">
        <f>IF(ISNUMBER(_xll.PIArcVal(Real!$L$8,Real!$B14,0,"MLPfaepi01","exact time")),_xll.PIArcVal(Real!$L$8,Real!$B14,0,"MLPfaepi01","exact time"),"")</f>
        <v>91.995220066034463</v>
      </c>
      <c r="M15" s="2062">
        <f>IF($M$3&gt;=$B15,_xll.PICalcVal(M$8,$B14,$B15,"average", 1, 0,""),"")</f>
        <v>26.337203181109299</v>
      </c>
      <c r="N15" s="16">
        <f t="shared" ref="N15" si="93">IF(ISNUMBER(+E15*K15*L15/M15/100),+E15*K15*L15/M15/100,"")</f>
        <v>2505.3564988938097</v>
      </c>
      <c r="O15" s="16">
        <f>IF($M$3&gt;=$B15,SUM(N$9:N15),"")</f>
        <v>18944.11417125869</v>
      </c>
      <c r="P15" s="16">
        <f t="shared" ref="P15" si="94">IF(ISNUMBER(+N15*M15/100),+N15*M15/100,"")</f>
        <v>659.840831524789</v>
      </c>
      <c r="Q15" s="16">
        <f>IF($M$3&gt;=$B15,SUM(P$9:P15),"")</f>
        <v>4939.316149098212</v>
      </c>
      <c r="R15" s="461">
        <f>IF($M$3&gt;=$B15,_xll.PICalcVal(R$8,$B14,$B15,"average", 1, 0,"")*10000,"")</f>
        <v>254.95096306564102</v>
      </c>
      <c r="S15" s="133">
        <f>IF($M$3&gt;=$B15,_xll.PICalcVal(S$8,$B14,$B15,"average", 1, 0,""),"")</f>
        <v>89.787635580070429</v>
      </c>
      <c r="T15" s="133">
        <f>IF($M$3&gt;=$B15,_xll.PICalcVal(T$8,$B14,$B15,"average", 1, 0,""),"")</f>
        <v>91.9</v>
      </c>
      <c r="U15" s="133">
        <f t="shared" si="65"/>
        <v>82.51483709808474</v>
      </c>
      <c r="V15" s="462">
        <f>IF($M$3&gt;=$B15,_xll.PICalcVal(V$8,$B14,$B15,"average", 1, 0,""),"")</f>
        <v>52.620057463401281</v>
      </c>
      <c r="W15" s="16">
        <f t="shared" si="66"/>
        <v>58.449339701594546</v>
      </c>
      <c r="X15" s="16">
        <f>IF($M$3&gt;=$B15,SUM(W$9:W15),"")</f>
        <v>393.07077444514277</v>
      </c>
      <c r="Y15" s="50">
        <f t="shared" si="47"/>
        <v>30.75607613795767</v>
      </c>
      <c r="Z15" s="440">
        <f>IF($M$3&gt;=$B15,SUM(Y$9:Y15),"")</f>
        <v>203.04805852121933</v>
      </c>
      <c r="AA15" s="463">
        <f>IF($M$3&gt;=$B15,_xll.PICalcVal(AA$8,$B14,$B15,"average", 1, 0,""),"")</f>
        <v>38.46</v>
      </c>
      <c r="AB15" s="440">
        <f>IF($M$3&gt;=$B15,SUM(AA$9:AA15),"")</f>
        <v>287.59441468268085</v>
      </c>
      <c r="AC15" s="1730">
        <f>IF($M$3&gt;=$B15,_xll.PICalcVal(AC$8,($B14+2/24),($B15+2/24),"average", 1, 0,""),"")</f>
        <v>75.483802795410156</v>
      </c>
      <c r="AD15" s="1730">
        <f>IF($M$3&gt;=$B15,_xll.PICalcVal(AD$8,$B14,$B15,"average", 1, 0,""),"")</f>
        <v>69.931587219238281</v>
      </c>
      <c r="AE15" s="218">
        <f t="shared" si="67"/>
        <v>10.436780522061136</v>
      </c>
      <c r="AF15" s="218">
        <f>IF($M$3&gt;=$B15,_xll.PICalcVal(AF$8,$B14,$B15,"average", 1, 0,""),"")</f>
        <v>857</v>
      </c>
      <c r="AG15" s="451">
        <f t="shared" si="68"/>
        <v>159.28360000000001</v>
      </c>
      <c r="AH15" s="450">
        <f t="shared" si="69"/>
        <v>146.19826675415038</v>
      </c>
      <c r="AI15" s="450">
        <f t="shared" si="70"/>
        <v>6202.0923191400543</v>
      </c>
      <c r="AJ15" s="450">
        <f t="shared" si="71"/>
        <v>1916.1453450520833</v>
      </c>
      <c r="AK15" s="21">
        <f t="shared" si="72"/>
        <v>8305.6678143512345</v>
      </c>
      <c r="AL15" s="22">
        <f>IF($M$3&gt;=$B15,_xll.PICalcVal(AL$8,$B14,$B15,"average", 1, 0,""),"")</f>
        <v>3973.20654296875</v>
      </c>
      <c r="AM15" s="22">
        <f>IF($M$3&gt;=$B15,_xll.PICalcVal(AM$8,$B14,$B15,"average", 1, 0,""),"")</f>
        <v>25.195</v>
      </c>
      <c r="AN15" s="21">
        <f t="shared" si="10"/>
        <v>1001.0493885009766</v>
      </c>
      <c r="AO15" s="16">
        <f>IF($M$3&gt;=$B15,_xll.PICalcVal(AO$8,$B14,$B15,"average", 1, 0,""),"")</f>
        <v>4163.1529862503085</v>
      </c>
      <c r="AP15" s="32">
        <f>IF($M$3&gt;=$B15,_xll.PICalcVal(AP$8,$B14,$B15,"average", 1, 0,""),"")</f>
        <v>21.425165542232428</v>
      </c>
      <c r="AQ15" s="21">
        <f t="shared" ref="AQ15" si="95">IF(ISNUMBER(AO15*AP15/100),(AO15*AP15/100),"")</f>
        <v>891.96241908052139</v>
      </c>
      <c r="AR15" s="449">
        <f t="shared" ref="AR15" si="96">+AQ15*0.962</f>
        <v>858.06784715546155</v>
      </c>
      <c r="AS15" s="272">
        <f>IF(ISNUMBER(_xll.PIArcVal(Real!AS$8,Real!$B14,0,"","exact time")),_xll.PIArcVal(Real!AS$8,Real!$B14,0,"","exact time"),"")</f>
        <v>5.0858817100524902</v>
      </c>
      <c r="AT15" s="1762">
        <f>IF(ISNUMBER(_xll.PIAdvCalcVal(Real!$AT$8,Real!$B14,Real!$B15,"average","time-weighted",0,1,0,"MLPfaepi01")),_xll.PIAdvCalcVal(Real!$AT$8,Real!$B14,Real!$B15,"average","time-weighted",0,1,0,"MLPfaepi01"),"")</f>
        <v>1.6252210655197916</v>
      </c>
      <c r="AU15" s="2100">
        <f>IF($M$3&gt;=$B15,_xll.PICalcVal(AU$8,$B14,$B15,"average", 1, 0,""),"")</f>
        <v>36.839482307434082</v>
      </c>
      <c r="AV15" s="61">
        <f>IF($M$3&gt;=$B15,_xll.PICalcVal(AV$8,$B14,$B15,"average", 1, 0,""),"")</f>
        <v>194.70421613476231</v>
      </c>
      <c r="AW15" s="3972">
        <f>IF($C$1&gt;=$B15,_xll.PICalcVal(AW$8,$B14,$B15,"average", 1, 0,""),"")</f>
        <v>423904.97005208331</v>
      </c>
      <c r="AX15" s="3972">
        <f>IF($C$1&gt;=$B15,_xll.PICalcVal(AX$8,$B14,$B15,"average", 1, 0,""),"")</f>
        <v>216.70269775390625</v>
      </c>
      <c r="AY15" s="16">
        <f>IF(ISNUMBER(_xll.PIArcVal($AY$8,$B14,0,"","exact time")),_xll.PIArcVal($AY$8,$B14,0,"","exact time"),"")</f>
        <v>728.48899841308594</v>
      </c>
      <c r="AZ15" s="16">
        <f>IF(ISNUMBER(_xll.PIArcVal($AZ$8,$B14,0,"","exact time")),_xll.PIArcVal($AZ$8,$B14,0,"","exact time"),"")</f>
        <v>2022.1072591145833</v>
      </c>
      <c r="BA15" s="16">
        <f>IF(ISNUMBER(_xll.PIArcVal($BA$8,$B14,0,"","exact time")),_xll.PIArcVal($BA$8,$B14,0,"","exact time"),"")</f>
        <v>2133.1060384114585</v>
      </c>
      <c r="BB15" s="32">
        <f>IF(ISNUMBER(_xll.PIAdvCalcVal($BB$8,$B14,$B15,"average","time-weighted",0,1,0,"")),_xll.PIAdvCalcVal($BB$8,$B14,$B15,"average","time-weighted",0,1,0,""),"")</f>
        <v>10</v>
      </c>
      <c r="BC15" s="32">
        <f>IF(ISNUMBER(_xll.PIAdvCalcVal($BC$8,$B14,$B15,"average","time-weighted",0,1,0,"")),_xll.PIAdvCalcVal($BC$8,$B14,$B15,"average","time-weighted",0,1,0,""),"")</f>
        <v>10</v>
      </c>
      <c r="BD15" s="32">
        <f>IF(ISNUMBER(_xll.PIAdvCalcVal(BD$8,$B14,$B15,"average","time-weighted",0,1,0,"")),_xll.PIAdvCalcVal(BD$8,$B14,$B15,"average","time-weighted",0,1,0,""),"")</f>
        <v>11</v>
      </c>
      <c r="BE15" s="16">
        <f t="shared" ref="BE15" si="97">+BI15+BL15+BO15</f>
        <v>26806.846170211687</v>
      </c>
      <c r="BF15" s="16">
        <f>IF(ISNUMBER(_xll.PIAdvCalcVal(BF$8,$B14,$B15,"average","time-weighted",0,1,0,"")),_xll.PIAdvCalcVal(BF$8,$B14,$B15,"average","time-weighted",0,1,0,""),"")</f>
        <v>16974.323187286507</v>
      </c>
      <c r="BG15" s="16">
        <f t="shared" ref="BG15" si="98">+BJ15+BK15+BM15+BN15+BP15+BQ15</f>
        <v>44334.343421353537</v>
      </c>
      <c r="BH15" s="16">
        <f>IF(ISNUMBER(_xll.PIAdvCalcVal(BH$8,$B14,$B15,"average","time-weighted",0,1,0,"")),_xll.PIAdvCalcVal(BH$8,$B14,$B15,"average","time-weighted",0,1,0,""),"")</f>
        <v>11668.349939696729</v>
      </c>
      <c r="BI15" s="2592">
        <f>IF(ISNUMBER(_xll.PIAdvCalcVal(BI$8,$B14,$B15,"average","time-weighted",0,1,0,"")),_xll.PIAdvCalcVal(BI$8,$B14,$B15,"average","time-weighted",0,1,0,""),"")</f>
        <v>233.69794141875374</v>
      </c>
      <c r="BJ15" s="16">
        <f>IF(ISNUMBER(_xll.PIAdvCalcVal(BJ$8,$B14,$B15,"average","time-weighted",0,1,0,"")),_xll.PIAdvCalcVal(BJ$8,$B14,$B15,"average","time-weighted",0,1,0,""),"")</f>
        <v>4598.7658934642841</v>
      </c>
      <c r="BK15" s="16">
        <f>IF(ISNUMBER(_xll.PIAdvCalcVal(BK$8,$B14,$B15,"average","time-weighted",0,1,0,"")),_xll.PIAdvCalcVal(BK$8,$B14,$B15,"average","time-weighted",0,1,0,""),"")</f>
        <v>7056.8091656605829</v>
      </c>
      <c r="BL15" s="2592">
        <f>IF(ISNUMBER(_xll.PIAdvCalcVal(BL$8,$B14,$B15,"average","time-weighted",0,1,0,"")),_xll.PIAdvCalcVal(BL$8,$B14,$B15,"average","time-weighted",0,1,0,""),"")</f>
        <v>13509.416245671908</v>
      </c>
      <c r="BM15" s="16">
        <f>IF(ISNUMBER(_xll.PIAdvCalcVal(BM$8,$B14,$B15,"average","time-weighted",0,1,0,"")),_xll.PIAdvCalcVal(BM$8,$B14,$B15,"average","time-weighted",0,1,0,""),"")</f>
        <v>7537.3659406005781</v>
      </c>
      <c r="BN15" s="16">
        <f>IF(ISNUMBER(_xll.PIAdvCalcVal(BN$8,$B14,$B15,"average","time-weighted",0,1,0,"")),_xll.PIAdvCalcVal(BN$8,$B14,$B15,"average","time-weighted",0,1,0,""),"")</f>
        <v>7287.1869479859415</v>
      </c>
      <c r="BO15" s="2592">
        <f>IF(ISNUMBER(_xll.PIAdvCalcVal(BO$8,$B14,$B15,"average","time-weighted",0,1,0,"")),_xll.PIAdvCalcVal(BO$8,$B14,$B15,"average","time-weighted",0,1,0,""),"")</f>
        <v>13063.731983121026</v>
      </c>
      <c r="BP15" s="16">
        <f>IF(ISNUMBER(_xll.PIAdvCalcVal(BP$8,$B14,$B15,"average","time-weighted",0,1,0,"")),_xll.PIAdvCalcVal(BP$8,$B14,$B15,"average","time-weighted",0,1,0,""),"")</f>
        <v>7213.0622350998747</v>
      </c>
      <c r="BQ15" s="16">
        <f>IF(ISNUMBER(_xll.PIAdvCalcVal(BQ$8,$B14,$B15,"average","time-weighted",0,1,0,"")),_xll.PIAdvCalcVal(BQ$8,$B14,$B15,"average","time-weighted",0,1,0,""),"")</f>
        <v>10641.153238542274</v>
      </c>
      <c r="BR15" s="2304">
        <f t="shared" ref="BR15" si="99">+BE15/SUM(AY15:BA15)</f>
        <v>5.489041826423775</v>
      </c>
      <c r="BS15" s="2304">
        <f t="shared" ref="BS15" si="100">+BI15/AY15</f>
        <v>0.32079817530234894</v>
      </c>
      <c r="BT15" s="2304">
        <f t="shared" ref="BT15" si="101">+BL15/AZ15</f>
        <v>6.6808603672127926</v>
      </c>
      <c r="BU15" s="2304">
        <f t="shared" ref="BU15" si="102">+BO15/BA15</f>
        <v>6.1242768750726029</v>
      </c>
      <c r="BV15" s="2304">
        <f t="shared" ref="BV15" si="103">+BF15/AJ15</f>
        <v>8.8585780985341298</v>
      </c>
      <c r="BW15" s="62">
        <f>IF(ISNUMBER(_xll.PIAdvCalcVal(BW$8,$B14,$B15,"average","time-weighted",0,1,0,"")),_xll.PIAdvCalcVal(BW$8,$B14,$B15,"average","time-weighted",0,1,0,""),"")</f>
        <v>0.91015839576721191</v>
      </c>
    </row>
    <row r="16" spans="1:75" ht="13.5" customHeight="1">
      <c r="A16" s="1559" t="s">
        <v>327</v>
      </c>
      <c r="B16" s="585">
        <f t="shared" si="41"/>
        <v>46089.791666666664</v>
      </c>
      <c r="C16" s="459">
        <f>IF($M$3&gt;=$B16,_xll.PICalcVal(C$8,$B15,$B16,"total", 1, 0,"")*0.9772,"")</f>
        <v>184593.08</v>
      </c>
      <c r="D16" s="459">
        <f>IF($M$3&gt;=$B16,_xll.PICalcVal(D$8,$B15,$B16,"total", 1, 0,"")*0.9772,"")</f>
        <v>727616.27960000001</v>
      </c>
      <c r="E16" s="12">
        <f>IF($M$3&gt;=$B16,_xll.PICalcVal(E$8,$B15,$B16,"average", 1, 0,""),"")</f>
        <v>168405.05169918062</v>
      </c>
      <c r="F16" s="12">
        <f>IF($M$3&gt;=$B16,_xll.PICalcVal(F$8,$B15,$B16,"average", 1, 0,""),"")</f>
        <v>47425.68359375</v>
      </c>
      <c r="G16" s="12">
        <f t="shared" si="0"/>
        <v>120979.36810543062</v>
      </c>
      <c r="H16" s="460">
        <f t="shared" ref="H16" si="104">+IF(ISNUMBER(J16-I16*$I$4)/$H$4,(J16-I16*$I$4)/$H$4,"")</f>
        <v>84.2110752066218</v>
      </c>
      <c r="I16" s="2062">
        <f>IF(ISNUMBER(_xll.PIArcVal(Real!$I$8,Real!$B15,0,"MLPfaepi01","exact time")),_xll.PIArcVal(Real!$I$8,Real!$B15,0,"MLPfaepi01","exact time"),"")</f>
        <v>98.611114501953125</v>
      </c>
      <c r="J16" s="2062">
        <f>IF($M$3&gt;=$B16,_xll.PICalcVal(J$8,$B15,$B16,"average", 1, 0,""),"")</f>
        <v>86.863706445214788</v>
      </c>
      <c r="K16" s="460">
        <f>IF($M$3&gt;=$B16,_xll.PICalcVal(K$8,$B15,$B16,"average", 1, 0,""),"")</f>
        <v>0.45280785718900496</v>
      </c>
      <c r="L16" s="133">
        <f>IF(ISNUMBER(_xll.PIArcVal(Real!$L$8,Real!$B15,0,"MLPfaepi01","exact time")),_xll.PIArcVal(Real!$L$8,Real!$B15,0,"MLPfaepi01","exact time"),"")</f>
        <v>89.265649751578508</v>
      </c>
      <c r="M16" s="2062">
        <f>IF($M$3&gt;=$B16,_xll.PICalcVal(M$8,$B15,$B16,"average", 1, 0,""),"")</f>
        <v>24.684469784139811</v>
      </c>
      <c r="N16" s="16">
        <f t="shared" ref="N16" si="105">IF(ISNUMBER(+E16*K16*L16/M16/100),+E16*K16*L16/M16/100,"")</f>
        <v>2757.5896259469755</v>
      </c>
      <c r="O16" s="16">
        <f>IF($M$3&gt;=$B16,SUM(N$9:N16),"")</f>
        <v>21701.703797205664</v>
      </c>
      <c r="P16" s="16">
        <f t="shared" si="83"/>
        <v>680.69637798745521</v>
      </c>
      <c r="Q16" s="16">
        <f>IF($M$3&gt;=$B16,SUM(P$9:P16),"")</f>
        <v>5620.012527085667</v>
      </c>
      <c r="R16" s="461">
        <f>IF($M$3&gt;=$B16,_xll.PICalcVal(R$8,$B15,$B16,"average", 1, 0,"")*10000,"")</f>
        <v>216.85481365052408</v>
      </c>
      <c r="S16" s="133">
        <f>IF($M$3&gt;=$B16,_xll.PICalcVal(S$8,$B15,$B16,"average", 1, 0,""),"")</f>
        <v>90.239534700287507</v>
      </c>
      <c r="T16" s="133">
        <f>IF($M$3&gt;=$B16,_xll.PICalcVal(T$8,$B15,$B16,"average", 1, 0,""),"")</f>
        <v>93.529300057313378</v>
      </c>
      <c r="U16" s="133">
        <f t="shared" si="65"/>
        <v>84.400405180155317</v>
      </c>
      <c r="V16" s="462">
        <f>IF($M$3&gt;=$B16,_xll.PICalcVal(V$8,$B15,$B16,"average", 1, 0,""),"")</f>
        <v>51.078897864335502</v>
      </c>
      <c r="W16" s="16">
        <f t="shared" si="66"/>
        <v>60.343041392976247</v>
      </c>
      <c r="X16" s="16">
        <f>IF($M$3&gt;=$B16,SUM(W$9:W16),"")</f>
        <v>453.41381583811904</v>
      </c>
      <c r="Y16" s="50">
        <f t="shared" si="47"/>
        <v>30.822560481352035</v>
      </c>
      <c r="Z16" s="440">
        <f>IF($M$3&gt;=$B16,SUM(Y$9:Y16),"")</f>
        <v>233.87061900257137</v>
      </c>
      <c r="AA16" s="463">
        <f>IF($M$3&gt;=$B16,_xll.PICalcVal(AA$8,$B15,$B16,"average", 1, 0,""),"")</f>
        <v>46.16</v>
      </c>
      <c r="AB16" s="440">
        <f>IF($M$3&gt;=$B16,SUM(AA$9:AA16),"")</f>
        <v>333.75441468268082</v>
      </c>
      <c r="AC16" s="1730">
        <f>IF($M$3&gt;=$B16,_xll.PICalcVal(AC$8,($B15+2/24),($B16+2/24),"average", 1, 0,""),"")</f>
        <v>74.989967346191406</v>
      </c>
      <c r="AD16" s="1730">
        <f>IF($M$3&gt;=$B16,_xll.PICalcVal(AD$8,$B15,$B16,"average", 1, 0,""),"")</f>
        <v>65.60400390625</v>
      </c>
      <c r="AE16" s="218">
        <f t="shared" ref="AE16" si="106">+IF(ISNUMBER(SUMPRODUCT(AY16:BA16,BB16:BD16)/SUM(AY16:BA16)),(SUMPRODUCT(AY16:BA16,BB16:BD16)/SUM(AY16:BA16)),"")</f>
        <v>15.06626195211736</v>
      </c>
      <c r="AF16" s="218">
        <f>IF($M$3&gt;=$B16,_xll.PICalcVal(AF$8,$B15,$B16,"average", 1, 0,""),"")</f>
        <v>1167.8333333333333</v>
      </c>
      <c r="AG16" s="451">
        <f t="shared" ref="AG16" si="107">IF(ISNUMBER(C16),C16/1000,"")</f>
        <v>184.59307999999999</v>
      </c>
      <c r="AH16" s="450">
        <f t="shared" ref="AH16" si="108">IF(ISNUMBER(E16),E16/1000,"")</f>
        <v>168.40505169918063</v>
      </c>
      <c r="AI16" s="450">
        <f t="shared" ref="AI16" si="109">IF(ISNUMBER(G16/(24*H16/100)),G16/(24*H16/100),"")</f>
        <v>5985.9193010239187</v>
      </c>
      <c r="AJ16" s="450">
        <f t="shared" ref="AJ16" si="110">IF(ISNUMBER(F16/(24*I16/100)),F16/(24*I16/100),"")</f>
        <v>2003.9020547733944</v>
      </c>
      <c r="AK16" s="21">
        <f t="shared" ref="AK16" si="111">IF(ISNUMBER(E16/(24*J16/100)),E16/(24*J16/100),"")</f>
        <v>8078.0310227241944</v>
      </c>
      <c r="AL16" s="22">
        <f>IF($M$3&gt;=$B16,_xll.PICalcVal(AL$8,$B15,$B16,"average", 1, 0,""),"")</f>
        <v>1622.51611328125</v>
      </c>
      <c r="AM16" s="22">
        <f>IF($M$3&gt;=$B16,_xll.PICalcVal(AM$8,$B15,$B16,"average", 1, 0,""),"")</f>
        <v>23</v>
      </c>
      <c r="AN16" s="21">
        <f t="shared" ref="AN16" si="112">IF(ISNUMBER(AL16*AM16/100),(AL16*AM16/100),"")</f>
        <v>373.1787060546875</v>
      </c>
      <c r="AO16" s="16">
        <f>IF($M$3&gt;=$B16,_xll.PICalcVal(AO$8,$B15,$B16,"average", 1, 0,""),"")</f>
        <v>3526.0765367960466</v>
      </c>
      <c r="AP16" s="32">
        <f>IF($M$3&gt;=$B16,_xll.PICalcVal(AP$8,$B15,$B16,"average", 1, 0,""),"")</f>
        <v>26.053388472880567</v>
      </c>
      <c r="AQ16" s="21">
        <f t="shared" ref="AQ16" si="113">IF(ISNUMBER(AO16*AP16/100),(AO16*AP16/100),"")</f>
        <v>918.6624179825676</v>
      </c>
      <c r="AR16" s="449">
        <f t="shared" ref="AR16" si="114">+AQ16*0.962</f>
        <v>883.75324609922995</v>
      </c>
      <c r="AS16" s="272">
        <f>IF(ISNUMBER(_xll.PIArcVal(Real!AS$8,Real!$B15,0,"","exact time")),_xll.PIArcVal(Real!AS$8,Real!$B15,0,"","exact time"),"")</f>
        <v>4.7262206077575684</v>
      </c>
      <c r="AT16" s="1762">
        <f>IF(ISNUMBER(_xll.PIAdvCalcVal(Real!$AT$8,Real!$B15,Real!$B16,"average","time-weighted",0,1,0,"MLPfaepi01")),_xll.PIAdvCalcVal(Real!$AT$8,Real!$B15,Real!$B16,"average","time-weighted",0,1,0,"MLPfaepi01"),"")</f>
        <v>2.24496067588528</v>
      </c>
      <c r="AU16" s="2100">
        <f>IF($M$3&gt;=$B16,_xll.PICalcVal(AU$8,$B15,$B16,"average", 1, 0,""),"")</f>
        <v>38.836497624715172</v>
      </c>
      <c r="AV16" s="61">
        <f>IF($M$3&gt;=$B16,_xll.PICalcVal(AV$8,$B15,$B16,"average", 1, 0,""),"")</f>
        <v>184.09220137204403</v>
      </c>
      <c r="AW16" s="3972">
        <f>IF($C$1&gt;=$B16,_xll.PICalcVal(AW$8,$B15,$B16,"average", 1, 0,""),"")</f>
        <v>407135.87369791669</v>
      </c>
      <c r="AX16" s="3972">
        <f>IF($C$1&gt;=$B16,_xll.PICalcVal(AX$8,$B15,$B16,"average", 1, 0,""),"")</f>
        <v>217.65841674804688</v>
      </c>
      <c r="AY16" s="16">
        <f>IF(ISNUMBER(_xll.PIArcVal($AY$8,$B15,0,"","exact time")),_xll.PIArcVal($AY$8,$B15,0,"","exact time"),"")</f>
        <v>1489.8166738013699</v>
      </c>
      <c r="AZ16" s="16">
        <f>IF(ISNUMBER(_xll.PIArcVal($AZ$8,$B15,0,"","exact time")),_xll.PIArcVal($AZ$8,$B15,0,"","exact time"),"")</f>
        <v>2157.091064453125</v>
      </c>
      <c r="BA16" s="16">
        <f>IF(ISNUMBER(_xll.PIArcVal($BA$8,$B15,0,"","exact time")),_xll.PIArcVal($BA$8,$B15,0,"","exact time"),"")</f>
        <v>1945.3911504090192</v>
      </c>
      <c r="BB16" s="32">
        <f>IF(ISNUMBER(_xll.PIAdvCalcVal($BB$8,$B15,$B16,"average","time-weighted",0,1,0,"")),_xll.PIAdvCalcVal($BB$8,$B15,$B16,"average","time-weighted",0,1,0,""),"")</f>
        <v>12.833333333333334</v>
      </c>
      <c r="BC16" s="32">
        <f>IF(ISNUMBER(_xll.PIAdvCalcVal($BC$8,$B15,$B16,"average","time-weighted",0,1,0,"")),_xll.PIAdvCalcVal($BC$8,$B15,$B16,"average","time-weighted",0,1,0,""),"")</f>
        <v>15.916666666666666</v>
      </c>
      <c r="BD16" s="32">
        <f>IF(ISNUMBER(_xll.PIAdvCalcVal(BD$8,$B15,$B16,"average","time-weighted",0,1,0,"")),_xll.PIAdvCalcVal(BD$8,$B15,$B16,"average","time-weighted",0,1,0,""),"")</f>
        <v>15.833333333333334</v>
      </c>
      <c r="BE16" s="16">
        <f t="shared" ref="BE16" si="115">+BI16+BL16+BO16</f>
        <v>34286.222424410342</v>
      </c>
      <c r="BF16" s="16">
        <f>IF(ISNUMBER(_xll.PIAdvCalcVal(BF$8,$B15,$B16,"average","time-weighted",0,1,0,"")),_xll.PIAdvCalcVal(BF$8,$B15,$B16,"average","time-weighted",0,1,0,""),"")</f>
        <v>14990.926939195795</v>
      </c>
      <c r="BG16" s="16">
        <f t="shared" ref="BG16" si="116">+BJ16+BK16+BM16+BN16+BP16+BQ16</f>
        <v>43589.399296177711</v>
      </c>
      <c r="BH16" s="16">
        <f>IF(ISNUMBER(_xll.PIAdvCalcVal(BH$8,$B15,$B16,"average","time-weighted",0,1,0,"")),_xll.PIAdvCalcVal(BH$8,$B15,$B16,"average","time-weighted",0,1,0,""),"")</f>
        <v>11887.379565883555</v>
      </c>
      <c r="BI16" s="2592">
        <f>IF(ISNUMBER(_xll.PIAdvCalcVal(BI$8,$B15,$B16,"average","time-weighted",0,1,0,"")),_xll.PIAdvCalcVal(BI$8,$B15,$B16,"average","time-weighted",0,1,0,""),"")</f>
        <v>9244.5208908395416</v>
      </c>
      <c r="BJ16" s="16">
        <f>IF(ISNUMBER(_xll.PIAdvCalcVal(BJ$8,$B15,$B16,"average","time-weighted",0,1,0,"")),_xll.PIAdvCalcVal(BJ$8,$B15,$B16,"average","time-weighted",0,1,0,""),"")</f>
        <v>5762.4471019339171</v>
      </c>
      <c r="BK16" s="16">
        <f>IF(ISNUMBER(_xll.PIAdvCalcVal(BK$8,$B15,$B16,"average","time-weighted",0,1,0,"")),_xll.PIAdvCalcVal(BK$8,$B15,$B16,"average","time-weighted",0,1,0,""),"")</f>
        <v>7214.3851305213002</v>
      </c>
      <c r="BL16" s="2592">
        <f>IF(ISNUMBER(_xll.PIAdvCalcVal(BL$8,$B15,$B16,"average","time-weighted",0,1,0,"")),_xll.PIAdvCalcVal(BL$8,$B15,$B16,"average","time-weighted",0,1,0,""),"")</f>
        <v>13335.457130841325</v>
      </c>
      <c r="BM16" s="16">
        <f>IF(ISNUMBER(_xll.PIAdvCalcVal(BM$8,$B15,$B16,"average","time-weighted",0,1,0,"")),_xll.PIAdvCalcVal(BM$8,$B15,$B16,"average","time-weighted",0,1,0,""),"")</f>
        <v>7420.3681829576744</v>
      </c>
      <c r="BN16" s="16">
        <f>IF(ISNUMBER(_xll.PIAdvCalcVal(BN$8,$B15,$B16,"average","time-weighted",0,1,0,"")),_xll.PIAdvCalcVal(BN$8,$B15,$B16,"average","time-weighted",0,1,0,""),"")</f>
        <v>7213.5799006411125</v>
      </c>
      <c r="BO16" s="2592">
        <f>IF(ISNUMBER(_xll.PIAdvCalcVal(BO$8,$B15,$B16,"average","time-weighted",0,1,0,"")),_xll.PIAdvCalcVal(BO$8,$B15,$B16,"average","time-weighted",0,1,0,""),"")</f>
        <v>11706.244402729477</v>
      </c>
      <c r="BP16" s="16">
        <f>IF(ISNUMBER(_xll.PIAdvCalcVal(BP$8,$B15,$B16,"average","time-weighted",0,1,0,"")),_xll.PIAdvCalcVal(BP$8,$B15,$B16,"average","time-weighted",0,1,0,""),"")</f>
        <v>7367.0547005870994</v>
      </c>
      <c r="BQ16" s="16">
        <f>IF(ISNUMBER(_xll.PIAdvCalcVal(BQ$8,$B15,$B16,"average","time-weighted",0,1,0,"")),_xll.PIAdvCalcVal(BQ$8,$B15,$B16,"average","time-weighted",0,1,0,""),"")</f>
        <v>8611.5642795366057</v>
      </c>
      <c r="BR16" s="2304">
        <f t="shared" ref="BR16" si="117">+BE16/SUM(AY16:BA16)</f>
        <v>6.1309710205071495</v>
      </c>
      <c r="BS16" s="2304">
        <f t="shared" ref="BS16" si="118">+BI16/AY16</f>
        <v>6.2051399030536487</v>
      </c>
      <c r="BT16" s="2304">
        <f t="shared" ref="BT16" si="119">+BL16/AZ16</f>
        <v>6.1821484269242886</v>
      </c>
      <c r="BU16" s="2304">
        <f t="shared" ref="BU16" si="120">+BO16/BA16</f>
        <v>6.0174245165391209</v>
      </c>
      <c r="BV16" s="2304">
        <f t="shared" ref="BV16" si="121">+BF16/AJ16</f>
        <v>7.4808680910759389</v>
      </c>
      <c r="BW16" s="62">
        <f>IF(ISNUMBER(_xll.PIAdvCalcVal(BW$8,$B15,$B16,"average","time-weighted",0,1,0,"")),_xll.PIAdvCalcVal(BW$8,$B15,$B16,"average","time-weighted",0,1,0,""),"")</f>
        <v>0.15062882006168365</v>
      </c>
    </row>
    <row r="17" spans="1:75" ht="14.15" customHeight="1">
      <c r="A17" s="124"/>
      <c r="B17" s="11">
        <f t="shared" si="41"/>
        <v>46090.791666666664</v>
      </c>
      <c r="C17" s="459">
        <f>IF($M$3&gt;=$B17,_xll.PICalcVal(C$8,$B16,$B17,"total", 1, 0,"")*0.9772,"")</f>
        <v>206345.552</v>
      </c>
      <c r="D17" s="459">
        <f>IF($M$3&gt;=$B17,_xll.PICalcVal(D$8,$B16,$B17,"total", 1, 0,"")*0.9772,"")</f>
        <v>725808.45959999994</v>
      </c>
      <c r="E17" s="12">
        <f>IF($M$3&gt;=$B17,_xll.PICalcVal(E$8,$B16,$B17,"average", 1, 0,""),"")</f>
        <v>178661.44506835938</v>
      </c>
      <c r="F17" s="12">
        <f>IF($M$3&gt;=$B17,_xll.PICalcVal(F$8,$B16,$B17,"average", 1, 0,""),"")</f>
        <v>49677.7109375</v>
      </c>
      <c r="G17" s="12">
        <f t="shared" ref="G17" si="122">+IF(ISNUMBER(E17-F17),E17-F17,"")</f>
        <v>128983.73413085938</v>
      </c>
      <c r="H17" s="460">
        <f t="shared" ref="H17" si="123">+IF(ISNUMBER(J17-I17*$I$4)/$H$4,(J17-I17*$I$4)/$H$4,"")</f>
        <v>86.220463191098972</v>
      </c>
      <c r="I17" s="2062">
        <f>IF(ISNUMBER(_xll.PIArcVal(Real!$I$8,Real!$B16,0,"MLPfaepi01","exact time")),_xll.PIArcVal(Real!$I$8,Real!$B16,0,"MLPfaepi01","exact time"),"")</f>
        <v>100</v>
      </c>
      <c r="J17" s="2062">
        <f>IF($M$3&gt;=$B17,_xll.PICalcVal(J$8,$B16,$B17,"average", 1, 0,""),"")</f>
        <v>88.758791666666639</v>
      </c>
      <c r="K17" s="460">
        <f>IF($M$3&gt;=$B17,_xll.PICalcVal(K$8,$B16,$B17,"average", 1, 0,""),"")</f>
        <v>0.49214030023699734</v>
      </c>
      <c r="L17" s="133">
        <f>IF(ISNUMBER(_xll.PIArcVal(Real!$L$8,Real!$B16,0,"MLPfaepi01","exact time")),_xll.PIArcVal(Real!$L$8,Real!$B16,0,"MLPfaepi01","exact time"),"")</f>
        <v>90.683867345650697</v>
      </c>
      <c r="M17" s="2062">
        <f>IF($M$3&gt;=$B17,_xll.PICalcVal(M$8,$B16,$B17,"average", 1, 0,""),"")</f>
        <v>23.722167919491373</v>
      </c>
      <c r="N17" s="16">
        <f t="shared" ref="N17" si="124">IF(ISNUMBER(+E17*K17*L17/M17/100),+E17*K17*L17/M17/100,"")</f>
        <v>3361.2083165540448</v>
      </c>
      <c r="O17" s="16">
        <f>IF($M$3&gt;=$B17,SUM(N$9:N17),"")</f>
        <v>25062.91211375971</v>
      </c>
      <c r="P17" s="16">
        <f t="shared" ref="P17" si="125">IF(ISNUMBER(+N17*M17/100),+N17*M17/100,"")</f>
        <v>797.35148097685965</v>
      </c>
      <c r="Q17" s="16">
        <f>IF($M$3&gt;=$B17,SUM(P$9:P17),"")</f>
        <v>6417.3640080625264</v>
      </c>
      <c r="R17" s="461">
        <f>IF($M$3&gt;=$B17,_xll.PICalcVal(R$8,$B16,$B17,"average", 1, 0,"")*10000,"")</f>
        <v>147.58360105483416</v>
      </c>
      <c r="S17" s="133">
        <f>IF($M$3&gt;=$B17,_xll.PICalcVal(S$8,$B16,$B17,"average", 1, 0,""),"")</f>
        <v>88.333190120234391</v>
      </c>
      <c r="T17" s="133">
        <f>IF($M$3&gt;=$B17,_xll.PICalcVal(T$8,$B16,$B17,"average", 1, 0,""),"")</f>
        <v>93.4</v>
      </c>
      <c r="U17" s="133">
        <f t="shared" ref="U17" si="126">IF(ISNUMBER(S17*T17/100),S17*T17/100,"")</f>
        <v>82.503199572298925</v>
      </c>
      <c r="V17" s="462">
        <f>IF($M$3&gt;=$B17,_xll.PICalcVal(V$8,$B16,$B17,"average", 1, 0,""),"")</f>
        <v>50.262116187011877</v>
      </c>
      <c r="W17" s="16">
        <f t="shared" ref="W17" si="127">IF(ISNUMBER(Y17/V17*100),Y17/V17*100,"")</f>
        <v>43.28116746689934</v>
      </c>
      <c r="X17" s="16">
        <f>IF($M$3&gt;=$B17,SUM(W$9:W17),"")</f>
        <v>496.69498330501835</v>
      </c>
      <c r="Y17" s="50">
        <f t="shared" ref="Y17" si="128">IF(ISNUMBER(E17*R17/1000000*U17/100),(E17*R17/1000000*U17/100),"")</f>
        <v>21.75403067930813</v>
      </c>
      <c r="Z17" s="440">
        <f>IF($M$3&gt;=$B17,SUM(Y$9:Y17),"")</f>
        <v>255.6246496818795</v>
      </c>
      <c r="AA17" s="463">
        <f>IF($M$3&gt;=$B17,_xll.PICalcVal(AA$8,$B16,$B17,"average", 1, 0,""),"")</f>
        <v>46.98</v>
      </c>
      <c r="AB17" s="440">
        <f>IF($M$3&gt;=$B17,SUM(AA$9:AA17),"")</f>
        <v>380.73441468268084</v>
      </c>
      <c r="AC17" s="1730">
        <f>IF($M$3&gt;=$B17,_xll.PICalcVal(AC$8,($B16+2/24),($B17+2/24),"average", 1, 0,""),"")</f>
        <v>66.209373474121094</v>
      </c>
      <c r="AD17" s="1730">
        <f>IF($M$3&gt;=$B17,_xll.PICalcVal(AD$8,$B16,$B17,"average", 1, 0,""),"")</f>
        <v>51.043968200683594</v>
      </c>
      <c r="AE17" s="218">
        <f t="shared" ref="AE17" si="129">+IF(ISNUMBER(SUMPRODUCT(AY17:BA17,BB17:BD17)/SUM(AY17:BA17)),(SUMPRODUCT(AY17:BA17,BB17:BD17)/SUM(AY17:BA17)),"")</f>
        <v>10.905295760365252</v>
      </c>
      <c r="AF17" s="218">
        <f>IF($M$3&gt;=$B17,_xll.PICalcVal(AF$8,$B16,$B17,"average", 1, 0,""),"")</f>
        <v>1089.1666666666667</v>
      </c>
      <c r="AG17" s="451">
        <f t="shared" ref="AG17" si="130">IF(ISNUMBER(C17),C17/1000,"")</f>
        <v>206.345552</v>
      </c>
      <c r="AH17" s="450">
        <f t="shared" ref="AH17" si="131">IF(ISNUMBER(E17),E17/1000,"")</f>
        <v>178.66144506835937</v>
      </c>
      <c r="AI17" s="450">
        <f t="shared" ref="AI17" si="132">IF(ISNUMBER(G17/(24*H17/100)),G17/(24*H17/100),"")</f>
        <v>6233.232873663449</v>
      </c>
      <c r="AJ17" s="450">
        <f t="shared" ref="AJ17" si="133">IF(ISNUMBER(F17/(24*I17/100)),F17/(24*I17/100),"")</f>
        <v>2069.9046223958335</v>
      </c>
      <c r="AK17" s="21">
        <f t="shared" ref="AK17" si="134">IF(ISNUMBER(E17/(24*J17/100)),E17/(24*J17/100),"")</f>
        <v>8387.0304429166608</v>
      </c>
      <c r="AL17" s="22">
        <f>IF($M$3&gt;=$B17,_xll.PICalcVal(AL$8,$B16,$B17,"average", 1, 0,""),"")</f>
        <v>3388.8486328125</v>
      </c>
      <c r="AM17" s="22">
        <f>IF($M$3&gt;=$B17,_xll.PICalcVal(AM$8,$B16,$B17,"average", 1, 0,""),"")</f>
        <v>23.15</v>
      </c>
      <c r="AN17" s="21">
        <f t="shared" ref="AN17" si="135">IF(ISNUMBER(AL17*AM17/100),(AL17*AM17/100),"")</f>
        <v>784.51845849609367</v>
      </c>
      <c r="AO17" s="16">
        <f>IF($M$3&gt;=$B17,_xll.PICalcVal(AO$8,$B16,$B17,"average", 1, 0,""),"")</f>
        <v>2773.9461710604287</v>
      </c>
      <c r="AP17" s="32">
        <f>IF($M$3&gt;=$B17,_xll.PICalcVal(AP$8,$B16,$B17,"average", 1, 0,""),"")</f>
        <v>24.240734842676101</v>
      </c>
      <c r="AQ17" s="21">
        <f t="shared" ref="AQ17" si="136">IF(ISNUMBER(AO17*AP17/100),(AO17*AP17/100),"")</f>
        <v>672.42493600532498</v>
      </c>
      <c r="AR17" s="449">
        <f t="shared" ref="AR17" si="137">+AQ17*0.962</f>
        <v>646.87278843712261</v>
      </c>
      <c r="AS17" s="272">
        <f>IF(ISNUMBER(_xll.PIArcVal(Real!AS$8,Real!$B16,0,"","exact time")),_xll.PIArcVal(Real!AS$8,Real!$B16,0,"","exact time"),"")</f>
        <v>4.4285073280334473</v>
      </c>
      <c r="AT17" s="1762">
        <f>IF(ISNUMBER(_xll.PIAdvCalcVal(Real!$AT$8,Real!$B16,Real!$B17,"average","time-weighted",0,1,0,"MLPfaepi01")),_xll.PIAdvCalcVal(Real!$AT$8,Real!$B16,Real!$B17,"average","time-weighted",0,1,0,"MLPfaepi01"),"")</f>
        <v>5.5008659147553978</v>
      </c>
      <c r="AU17" s="2100">
        <f>IF($M$3&gt;=$B17,_xll.PICalcVal(AU$8,$B16,$B17,"average", 1, 0,""),"")</f>
        <v>38.75600210825602</v>
      </c>
      <c r="AV17" s="61">
        <f>IF($M$3&gt;=$B17,_xll.PICalcVal(AV$8,$B16,$B17,"average", 1, 0,""),"")</f>
        <v>183.80527480041081</v>
      </c>
      <c r="AW17" s="3972">
        <f>IF($C$1&gt;=$B17,_xll.PICalcVal(AW$8,$B16,$B17,"average", 1, 0,""),"")</f>
        <v>434888.16796875</v>
      </c>
      <c r="AX17" s="3972">
        <f>IF($C$1&gt;=$B17,_xll.PICalcVal(AX$8,$B16,$B17,"average", 1, 0,""),"")</f>
        <v>160.66615994771323</v>
      </c>
      <c r="AY17" s="16">
        <f>IF(ISNUMBER(_xll.PIArcVal($AY$8,$B16,0,"","exact time")),_xll.PIArcVal($AY$8,$B16,0,"","exact time"),"")</f>
        <v>1496.6551362798455</v>
      </c>
      <c r="AZ17" s="16">
        <f>IF(ISNUMBER(_xll.PIArcVal($AZ$8,$B16,0,"","exact time")),_xll.PIArcVal($AZ$8,$B16,0,"","exact time"),"")</f>
        <v>2384.397705078125</v>
      </c>
      <c r="BA17" s="16">
        <f>IF(ISNUMBER(_xll.PIArcVal($BA$8,$B16,0,"","exact time")),_xll.PIArcVal($BA$8,$B16,0,"","exact time"),"")</f>
        <v>2064.9085286458335</v>
      </c>
      <c r="BB17" s="32">
        <f>IF(ISNUMBER(_xll.PIAdvCalcVal($BB$8,$B16,$B17,"average","time-weighted",0,1,0,"")),_xll.PIAdvCalcVal($BB$8,$B16,$B17,"average","time-weighted",0,1,0,""),"")</f>
        <v>13</v>
      </c>
      <c r="BC17" s="32">
        <f>IF(ISNUMBER(_xll.PIAdvCalcVal($BC$8,$B16,$B17,"average","time-weighted",0,1,0,"")),_xll.PIAdvCalcVal($BC$8,$B16,$B17,"average","time-weighted",0,1,0,""),"")</f>
        <v>13.333333333333334</v>
      </c>
      <c r="BD17" s="32">
        <f>IF(ISNUMBER(_xll.PIAdvCalcVal(BD$8,$B16,$B17,"average","time-weighted",0,1,0,"")),_xll.PIAdvCalcVal(BD$8,$B16,$B17,"average","time-weighted",0,1,0,""),"")</f>
        <v>6.583333333333333</v>
      </c>
      <c r="BE17" s="16">
        <f t="shared" ref="BE17" si="138">+BI17+BL17+BO17</f>
        <v>34542.451949472998</v>
      </c>
      <c r="BF17" s="16">
        <f>IF(ISNUMBER(_xll.PIAdvCalcVal(BF$8,$B16,$B17,"average","time-weighted",0,1,0,"")),_xll.PIAdvCalcVal(BF$8,$B16,$B17,"average","time-weighted",0,1,0,""),"")</f>
        <v>15807.59412658009</v>
      </c>
      <c r="BG17" s="16">
        <f t="shared" ref="BG17" si="139">+BJ17+BK17+BM17+BN17+BP17+BQ17</f>
        <v>45308.445295418293</v>
      </c>
      <c r="BH17" s="16">
        <f>IF(ISNUMBER(_xll.PIAdvCalcVal(BH$8,$B16,$B17,"average","time-weighted",0,1,0,"")),_xll.PIAdvCalcVal(BH$8,$B16,$B17,"average","time-weighted",0,1,0,""),"")</f>
        <v>11671.175836107899</v>
      </c>
      <c r="BI17" s="2592">
        <f>IF(ISNUMBER(_xll.PIAdvCalcVal(BI$8,$B16,$B17,"average","time-weighted",0,1,0,"")),_xll.PIAdvCalcVal(BI$8,$B16,$B17,"average","time-weighted",0,1,0,""),"")</f>
        <v>7717.0531684004818</v>
      </c>
      <c r="BJ17" s="16">
        <f>IF(ISNUMBER(_xll.PIAdvCalcVal(BJ$8,$B16,$B17,"average","time-weighted",0,1,0,"")),_xll.PIAdvCalcVal(BJ$8,$B16,$B17,"average","time-weighted",0,1,0,""),"")</f>
        <v>5137.2263699314053</v>
      </c>
      <c r="BK17" s="16">
        <f>IF(ISNUMBER(_xll.PIAdvCalcVal(BK$8,$B16,$B17,"average","time-weighted",0,1,0,"")),_xll.PIAdvCalcVal(BK$8,$B16,$B17,"average","time-weighted",0,1,0,""),"")</f>
        <v>7285.3114970778388</v>
      </c>
      <c r="BL17" s="2592">
        <f>IF(ISNUMBER(_xll.PIAdvCalcVal(BL$8,$B16,$B17,"average","time-weighted",0,1,0,"")),_xll.PIAdvCalcVal(BL$8,$B16,$B17,"average","time-weighted",0,1,0,""),"")</f>
        <v>13550.742968513878</v>
      </c>
      <c r="BM17" s="16">
        <f>IF(ISNUMBER(_xll.PIAdvCalcVal(BM$8,$B16,$B17,"average","time-weighted",0,1,0,"")),_xll.PIAdvCalcVal(BM$8,$B16,$B17,"average","time-weighted",0,1,0,""),"")</f>
        <v>7431.6210520179611</v>
      </c>
      <c r="BN17" s="16">
        <f>IF(ISNUMBER(_xll.PIAdvCalcVal(BN$8,$B16,$B17,"average","time-weighted",0,1,0,"")),_xll.PIAdvCalcVal(BN$8,$B16,$B17,"average","time-weighted",0,1,0,""),"")</f>
        <v>7237.2078317372925</v>
      </c>
      <c r="BO17" s="2592">
        <f>IF(ISNUMBER(_xll.PIAdvCalcVal(BO$8,$B16,$B17,"average","time-weighted",0,1,0,"")),_xll.PIAdvCalcVal(BO$8,$B16,$B17,"average","time-weighted",0,1,0,""),"")</f>
        <v>13274.65581255864</v>
      </c>
      <c r="BP17" s="16">
        <f>IF(ISNUMBER(_xll.PIAdvCalcVal(BP$8,$B16,$B17,"average","time-weighted",0,1,0,"")),_xll.PIAdvCalcVal(BP$8,$B16,$B17,"average","time-weighted",0,1,0,""),"")</f>
        <v>7497.6071473469156</v>
      </c>
      <c r="BQ17" s="16">
        <f>IF(ISNUMBER(_xll.PIAdvCalcVal(BQ$8,$B16,$B17,"average","time-weighted",0,1,0,"")),_xll.PIAdvCalcVal(BQ$8,$B16,$B17,"average","time-weighted",0,1,0,""),"")</f>
        <v>10719.471397306877</v>
      </c>
      <c r="BR17" s="2304">
        <f t="shared" ref="BR17" si="140">+BE17/SUM(AY17:BA17)</f>
        <v>5.8093973034760733</v>
      </c>
      <c r="BS17" s="2304">
        <f t="shared" ref="BS17" si="141">+BI17/AY17</f>
        <v>5.1561999697420893</v>
      </c>
      <c r="BT17" s="2304">
        <f t="shared" ref="BT17" si="142">+BL17/AZ17</f>
        <v>5.6830884124969776</v>
      </c>
      <c r="BU17" s="2304">
        <f t="shared" ref="BU17" si="143">+BO17/BA17</f>
        <v>6.4286895174306613</v>
      </c>
      <c r="BV17" s="2304">
        <f t="shared" ref="BV17" si="144">+BF17/AJ17</f>
        <v>7.6368707792359141</v>
      </c>
      <c r="BW17" s="62">
        <f>IF(ISNUMBER(_xll.PIAdvCalcVal(BW$8,$B16,$B17,"average","time-weighted",0,1,0,"")),_xll.PIAdvCalcVal(BW$8,$B16,$B17,"average","time-weighted",0,1,0,""),"")</f>
        <v>209.44706726074219</v>
      </c>
    </row>
    <row r="18" spans="1:75" ht="13.5" customHeight="1">
      <c r="A18" s="124"/>
      <c r="B18" s="11">
        <f t="shared" si="41"/>
        <v>46091.791666666664</v>
      </c>
      <c r="C18" s="459">
        <f>IF($M$3&gt;=$B18,_xll.PICalcVal(C$8,$B17,$B18,"total", 1, 0,"")*0.9772,"")</f>
        <v>93058.755999999994</v>
      </c>
      <c r="D18" s="459">
        <f>IF($M$3&gt;=$B18,_xll.PICalcVal(D$8,$B17,$B18,"total", 1, 0,"")*0.9772,"")</f>
        <v>641426.26240000001</v>
      </c>
      <c r="E18" s="12">
        <f>IF($M$3&gt;=$B18,_xll.PICalcVal(E$8,$B17,$B18,"average", 1, 0,""),"")</f>
        <v>176859.1845703125</v>
      </c>
      <c r="F18" s="12">
        <f>IF($M$3&gt;=$B18,_xll.PICalcVal(F$8,$B17,$B18,"average", 1, 0,""),"")</f>
        <v>47381.328125</v>
      </c>
      <c r="G18" s="12">
        <f t="shared" ref="G18:G22" si="145">+IF(ISNUMBER(E18-F18),E18-F18,"")</f>
        <v>129477.8564453125</v>
      </c>
      <c r="H18" s="460">
        <f t="shared" ref="H18:H22" si="146">+IF(ISNUMBER(J18-I18*$I$4)/$H$4,(J18-I18*$I$4)/$H$4,"")</f>
        <v>91.470833975202908</v>
      </c>
      <c r="I18" s="2062">
        <f>IF(ISNUMBER(_xll.PIArcVal(Real!$I$8,Real!$B17,0,"MLPfaepi01","exact time")),_xll.PIArcVal(Real!$I$8,Real!$B17,0,"MLPfaepi01","exact time"),"")</f>
        <v>100</v>
      </c>
      <c r="J18" s="2062">
        <f>IF($M$3&gt;=$B18,_xll.PICalcVal(J$8,$B17,$B18,"average", 1, 0,""),"")</f>
        <v>93.041991648630784</v>
      </c>
      <c r="K18" s="460">
        <f>IF($M$3&gt;=$B18,_xll.PICalcVal(K$8,$B17,$B18,"average", 1, 0,""),"")</f>
        <v>0.46573363589994649</v>
      </c>
      <c r="L18" s="133">
        <f>IF(ISNUMBER(_xll.PIArcVal(Real!$L$8,Real!$B17,0,"MLPfaepi01","exact time")),_xll.PIArcVal(Real!$L$8,Real!$B17,0,"MLPfaepi01","exact time"),"")</f>
        <v>90.647679773231701</v>
      </c>
      <c r="M18" s="2062">
        <f>IF($M$3&gt;=$B18,_xll.PICalcVal(M$8,$B17,$B18,"average", 1, 0,""),"")</f>
        <v>24.576180043199944</v>
      </c>
      <c r="N18" s="16">
        <f t="shared" ref="N18:N22" si="147">IF(ISNUMBER(+E18*K18*L18/M18/100),+E18*K18*L18/M18/100,"")</f>
        <v>3038.1382681057039</v>
      </c>
      <c r="O18" s="16">
        <f>IF($M$3&gt;=$B18,SUM(N$9:N18),"")</f>
        <v>28101.050381865414</v>
      </c>
      <c r="P18" s="16">
        <f t="shared" ref="P18:P22" si="148">IF(ISNUMBER(+N18*M18/100),+N18*M18/100,"")</f>
        <v>746.65833073101442</v>
      </c>
      <c r="Q18" s="16">
        <f>IF($M$3&gt;=$B18,SUM(P$9:P18),"")</f>
        <v>7164.0223387935412</v>
      </c>
      <c r="R18" s="461">
        <f>IF($M$3&gt;=$B18,_xll.PICalcVal(R$8,$B17,$B18,"average", 1, 0,"")*10000,"")</f>
        <v>143.07290563254753</v>
      </c>
      <c r="S18" s="133">
        <f>IF($M$3&gt;=$B18,_xll.PICalcVal(S$8,$B17,$B18,"average", 1, 0,""),"")</f>
        <v>88.629088659903886</v>
      </c>
      <c r="T18" s="133">
        <f>IF($M$3&gt;=$B18,_xll.PICalcVal(T$8,$B17,$B18,"average", 1, 0,""),"")</f>
        <v>92.941093161156758</v>
      </c>
      <c r="U18" s="133">
        <f t="shared" ref="U18:U22" si="149">IF(ISNUMBER(S18*T18/100),S18*T18/100,"")</f>
        <v>82.372843859285496</v>
      </c>
      <c r="V18" s="462">
        <f>IF($M$3&gt;=$B18,_xll.PICalcVal(V$8,$B17,$B18,"average", 1, 0,""),"")</f>
        <v>49.53147877013177</v>
      </c>
      <c r="W18" s="16">
        <f t="shared" ref="W18:W22" si="150">IF(ISNUMBER(Y18/V18*100),Y18/V18*100,"")</f>
        <v>42.081167595184887</v>
      </c>
      <c r="X18" s="16">
        <f>IF($M$3&gt;=$B18,SUM(W$9:W18),"")</f>
        <v>538.77615090020322</v>
      </c>
      <c r="Y18" s="50">
        <f t="shared" ref="Y18:Y22" si="151">IF(ISNUMBER(E18*R18/1000000*U18/100),(E18*R18/1000000*U18/100),"")</f>
        <v>20.843424593632573</v>
      </c>
      <c r="Z18" s="440">
        <f>IF($M$3&gt;=$B18,SUM(Y$9:Y18),"")</f>
        <v>276.46807427551209</v>
      </c>
      <c r="AA18" s="463">
        <f>IF($M$3&gt;=$B18,_xll.PICalcVal(AA$8,$B17,$B18,"average", 1, 0,""),"")</f>
        <v>33.83</v>
      </c>
      <c r="AB18" s="440">
        <f>IF($M$3&gt;=$B18,SUM(AA$9:AA18),"")</f>
        <v>414.56441468268082</v>
      </c>
      <c r="AC18" s="1730">
        <f>IF($M$3&gt;=$B18,_xll.PICalcVal(AC$8,($B17+2/24),($B18+2/24),"average", 1, 0,""),"")</f>
        <v>63.325965881347656</v>
      </c>
      <c r="AD18" s="1730">
        <f>IF($M$3&gt;=$B18,_xll.PICalcVal(AD$8,$B17,$B18,"average", 1, 0,""),"")</f>
        <v>54.683158874511719</v>
      </c>
      <c r="AE18" s="218">
        <f t="shared" ref="AE18:AE22" si="152">+IF(ISNUMBER(SUMPRODUCT(AY18:BA18,BB18:BD18)/SUM(AY18:BA18)),(SUMPRODUCT(AY18:BA18,BB18:BD18)/SUM(AY18:BA18)),"")</f>
        <v>6.6719571850409691</v>
      </c>
      <c r="AF18" s="218">
        <f>IF($M$3&gt;=$B18,_xll.PICalcVal(AF$8,$B17,$B18,"average", 1, 0,""),"")</f>
        <v>720.41666666666663</v>
      </c>
      <c r="AG18" s="451">
        <f t="shared" ref="AG18:AG22" si="153">IF(ISNUMBER(C18),C18/1000,"")</f>
        <v>93.058755999999988</v>
      </c>
      <c r="AH18" s="450">
        <f t="shared" ref="AH18:AH22" si="154">IF(ISNUMBER(E18),E18/1000,"")</f>
        <v>176.85918457031249</v>
      </c>
      <c r="AI18" s="450">
        <f t="shared" ref="AI18:AI22" si="155">IF(ISNUMBER(G18/(24*H18/100)),G18/(24*H18/100),"")</f>
        <v>5897.9572512522154</v>
      </c>
      <c r="AJ18" s="450">
        <f t="shared" ref="AJ18:AJ22" si="156">IF(ISNUMBER(F18/(24*I18/100)),F18/(24*I18/100),"")</f>
        <v>1974.2220052083333</v>
      </c>
      <c r="AK18" s="21">
        <f t="shared" ref="AK18:AK22" si="157">IF(ISNUMBER(E18/(24*J18/100)),E18/(24*J18/100),"")</f>
        <v>7920.2224284481244</v>
      </c>
      <c r="AL18" s="22">
        <f>IF($M$3&gt;=$B18,_xll.PICalcVal(AL$8,$B17,$B18,"average", 1, 0,""),"")</f>
        <v>3502.358154296875</v>
      </c>
      <c r="AM18" s="22">
        <f>IF($M$3&gt;=$B18,_xll.PICalcVal(AM$8,$B17,$B18,"average", 1, 0,""),"")</f>
        <v>23.835000000000001</v>
      </c>
      <c r="AN18" s="21">
        <f t="shared" ref="AN18:AN22" si="158">IF(ISNUMBER(AL18*AM18/100),(AL18*AM18/100),"")</f>
        <v>834.78706607666015</v>
      </c>
      <c r="AO18" s="16">
        <f>IF($M$3&gt;=$B18,_xll.PICalcVal(AO$8,$B17,$B18,"average", 1, 0,""),"")</f>
        <v>2291.124008847567</v>
      </c>
      <c r="AP18" s="32">
        <f>IF($M$3&gt;=$B18,_xll.PICalcVal(AP$8,$B17,$B18,"average", 1, 0,""),"")</f>
        <v>22.897542472365355</v>
      </c>
      <c r="AQ18" s="21">
        <f t="shared" ref="AQ18:AQ22" si="159">IF(ISNUMBER(AO18*AP18/100),(AO18*AP18/100),"")</f>
        <v>524.61109302043144</v>
      </c>
      <c r="AR18" s="449">
        <f t="shared" ref="AR18:AR22" si="160">+AQ18*0.962</f>
        <v>504.67587148565502</v>
      </c>
      <c r="AS18" s="272">
        <f>IF(ISNUMBER(_xll.PIArcVal(Real!AS$8,Real!$B17,0,"","exact time")),_xll.PIArcVal(Real!AS$8,Real!$B17,0,"","exact time"),"")</f>
        <v>4.6536588668823242</v>
      </c>
      <c r="AT18" s="1762">
        <f>IF(ISNUMBER(_xll.PIAdvCalcVal(Real!$AT$8,Real!$B17,Real!$B18,"average","time-weighted",0,1,0,"MLPfaepi01")),_xll.PIAdvCalcVal(Real!$AT$8,Real!$B17,Real!$B18,"average","time-weighted",0,1,0,"MLPfaepi01"),"")</f>
        <v>6.4619841098785402</v>
      </c>
      <c r="AU18" s="2100">
        <f>IF($M$3&gt;=$B18,_xll.PICalcVal(AU$8,$B17,$B18,"average", 1, 0,""),"")</f>
        <v>37.69762134552002</v>
      </c>
      <c r="AV18" s="61">
        <f>IF($M$3&gt;=$B18,_xll.PICalcVal(AV$8,$B17,$B18,"average", 1, 0,""),"")</f>
        <v>182.41418632831559</v>
      </c>
      <c r="AW18" s="3972">
        <f>IF($C$1&gt;=$B18,_xll.PICalcVal(AW$8,$B17,$B18,"average", 1, 0,""),"")</f>
        <v>398963.47786458331</v>
      </c>
      <c r="AX18" s="3972">
        <f>IF($C$1&gt;=$B18,_xll.PICalcVal(AX$8,$B17,$B18,"average", 1, 0,""),"")</f>
        <v>127.43731721242268</v>
      </c>
      <c r="AY18" s="16">
        <f>IF(ISNUMBER(_xll.PIArcVal($AY$8,$B17,0,"","exact time")),_xll.PIArcVal($AY$8,$B17,0,"","exact time"),"")</f>
        <v>1527.7040346746576</v>
      </c>
      <c r="AZ18" s="16">
        <f>IF(ISNUMBER(_xll.PIArcVal($AZ$8,$B17,0,"","exact time")),_xll.PIArcVal($AZ$8,$B17,0,"","exact time"),"")</f>
        <v>2217.1388346354165</v>
      </c>
      <c r="BA18" s="16">
        <f>IF(ISNUMBER(_xll.PIArcVal($BA$8,$B17,0,"","exact time")),_xll.PIArcVal($BA$8,$B17,0,"","exact time"),"")</f>
        <v>2016.080322265625</v>
      </c>
      <c r="BB18" s="32">
        <f>IF(ISNUMBER(_xll.PIAdvCalcVal($BB$8,$B17,$B18,"average","time-weighted",0,1,0,"")),_xll.PIAdvCalcVal($BB$8,$B17,$B18,"average","time-weighted",0,1,0,""),"")</f>
        <v>7.5</v>
      </c>
      <c r="BC18" s="32">
        <f>IF(ISNUMBER(_xll.PIAdvCalcVal($BC$8,$B17,$B18,"average","time-weighted",0,1,0,"")),_xll.PIAdvCalcVal($BC$8,$B17,$B18,"average","time-weighted",0,1,0,""),"")</f>
        <v>5.5</v>
      </c>
      <c r="BD18" s="32">
        <f>IF(ISNUMBER(_xll.PIAdvCalcVal(BD$8,$B17,$B18,"average","time-weighted",0,1,0,"")),_xll.PIAdvCalcVal(BD$8,$B17,$B18,"average","time-weighted",0,1,0,""),"")</f>
        <v>7.333333333333333</v>
      </c>
      <c r="BE18" s="16">
        <f t="shared" ref="BE18:BE22" si="161">+BI18+BL18+BO18</f>
        <v>36969.179581071818</v>
      </c>
      <c r="BF18" s="16">
        <f>IF(ISNUMBER(_xll.PIAdvCalcVal(BF$8,$B17,$B18,"average","time-weighted",0,1,0,"")),_xll.PIAdvCalcVal(BF$8,$B17,$B18,"average","time-weighted",0,1,0,""),"")</f>
        <v>16661.734575540831</v>
      </c>
      <c r="BG18" s="16">
        <f t="shared" ref="BG18:BG22" si="162">+BJ18+BK18+BM18+BN18+BP18+BQ18</f>
        <v>47291.645291795103</v>
      </c>
      <c r="BH18" s="16">
        <f>IF(ISNUMBER(_xll.PIAdvCalcVal(BH$8,$B17,$B18,"average","time-weighted",0,1,0,"")),_xll.PIAdvCalcVal(BH$8,$B17,$B18,"average","time-weighted",0,1,0,""),"")</f>
        <v>11682.285869571746</v>
      </c>
      <c r="BI18" s="2592">
        <f>IF(ISNUMBER(_xll.PIAdvCalcVal(BI$8,$B17,$B18,"average","time-weighted",0,1,0,"")),_xll.PIAdvCalcVal(BI$8,$B17,$B18,"average","time-weighted",0,1,0,""),"")</f>
        <v>9711.8981571912773</v>
      </c>
      <c r="BJ18" s="16">
        <f>IF(ISNUMBER(_xll.PIAdvCalcVal(BJ$8,$B17,$B18,"average","time-weighted",0,1,0,"")),_xll.PIAdvCalcVal(BJ$8,$B17,$B18,"average","time-weighted",0,1,0,""),"")</f>
        <v>6862.7699088563395</v>
      </c>
      <c r="BK18" s="16">
        <f>IF(ISNUMBER(_xll.PIAdvCalcVal(BK$8,$B17,$B18,"average","time-weighted",0,1,0,"")),_xll.PIAdvCalcVal(BK$8,$B17,$B18,"average","time-weighted",0,1,0,""),"")</f>
        <v>7277.346223384091</v>
      </c>
      <c r="BL18" s="2592">
        <f>IF(ISNUMBER(_xll.PIAdvCalcVal(BL$8,$B17,$B18,"average","time-weighted",0,1,0,"")),_xll.PIAdvCalcVal(BL$8,$B17,$B18,"average","time-weighted",0,1,0,""),"")</f>
        <v>13929.427817657788</v>
      </c>
      <c r="BM18" s="16">
        <f>IF(ISNUMBER(_xll.PIAdvCalcVal(BM$8,$B17,$B18,"average","time-weighted",0,1,0,"")),_xll.PIAdvCalcVal(BM$8,$B17,$B18,"average","time-weighted",0,1,0,""),"")</f>
        <v>7488.160246079462</v>
      </c>
      <c r="BN18" s="16">
        <f>IF(ISNUMBER(_xll.PIAdvCalcVal(BN$8,$B17,$B18,"average","time-weighted",0,1,0,"")),_xll.PIAdvCalcVal(BN$8,$B17,$B18,"average","time-weighted",0,1,0,""),"")</f>
        <v>7274.664624957426</v>
      </c>
      <c r="BO18" s="2592">
        <f>IF(ISNUMBER(_xll.PIAdvCalcVal(BO$8,$B17,$B18,"average","time-weighted",0,1,0,"")),_xll.PIAdvCalcVal(BO$8,$B17,$B18,"average","time-weighted",0,1,0,""),"")</f>
        <v>13327.853606222747</v>
      </c>
      <c r="BP18" s="16">
        <f>IF(ISNUMBER(_xll.PIAdvCalcVal(BP$8,$B17,$B18,"average","time-weighted",0,1,0,"")),_xll.PIAdvCalcVal(BP$8,$B17,$B18,"average","time-weighted",0,1,0,""),"")</f>
        <v>7561.6871021020506</v>
      </c>
      <c r="BQ18" s="16">
        <f>IF(ISNUMBER(_xll.PIAdvCalcVal(BQ$8,$B17,$B18,"average","time-weighted",0,1,0,"")),_xll.PIAdvCalcVal(BQ$8,$B17,$B18,"average","time-weighted",0,1,0,""),"")</f>
        <v>10827.017186415738</v>
      </c>
      <c r="BR18" s="2304">
        <f t="shared" ref="BR18:BR22" si="163">+BE18/SUM(AY18:BA18)</f>
        <v>6.417231813667037</v>
      </c>
      <c r="BS18" s="2304">
        <f t="shared" ref="BS18:BS22" si="164">+BI18/AY18</f>
        <v>6.3571856437883527</v>
      </c>
      <c r="BT18" s="2304">
        <f t="shared" ref="BT18:BT22" si="165">+BL18/AZ18</f>
        <v>6.2826141512010123</v>
      </c>
      <c r="BU18" s="2304">
        <f t="shared" ref="BU18:BU22" si="166">+BO18/BA18</f>
        <v>6.6107751060459785</v>
      </c>
      <c r="BV18" s="2304">
        <f t="shared" ref="BV18:BV22" si="167">+BF18/AJ18</f>
        <v>8.4396458612984464</v>
      </c>
      <c r="BW18" s="62">
        <f>IF(ISNUMBER(_xll.PIAdvCalcVal(BW$8,$B17,$B18,"average","time-weighted",0,1,0,"")),_xll.PIAdvCalcVal(BW$8,$B17,$B18,"average","time-weighted",0,1,0,""),"")</f>
        <v>229.11236572265625</v>
      </c>
    </row>
    <row r="19" spans="1:75" ht="14.15" customHeight="1">
      <c r="A19" s="124"/>
      <c r="B19" s="11">
        <f t="shared" si="41"/>
        <v>46092.791666666664</v>
      </c>
      <c r="C19" s="459">
        <f>IF($M$3&gt;=$B19,_xll.PICalcVal(C$8,$B18,$B19,"total", 1, 0,"")*0.9772,"")</f>
        <v>47366.838400000001</v>
      </c>
      <c r="D19" s="459">
        <f>IF($M$3&gt;=$B19,_xll.PICalcVal(D$8,$B18,$B19,"total", 1, 0,"")*0.9772,"")</f>
        <v>507401.32799999998</v>
      </c>
      <c r="E19" s="12">
        <f>IF($M$3&gt;=$B19,_xll.PICalcVal(E$8,$B18,$B19,"average", 1, 0,""),"")</f>
        <v>180799.115234375</v>
      </c>
      <c r="F19" s="12">
        <f>IF($M$3&gt;=$B19,_xll.PICalcVal(F$8,$B18,$B19,"average", 1, 0,""),"")</f>
        <v>46612.328125</v>
      </c>
      <c r="G19" s="12">
        <f t="shared" si="145"/>
        <v>134186.787109375</v>
      </c>
      <c r="H19" s="460">
        <f t="shared" si="146"/>
        <v>99.876417566271982</v>
      </c>
      <c r="I19" s="2062">
        <f>IF(ISNUMBER(_xll.PIArcVal(Real!$I$8,Real!$B18,0,"MLPfaepi01","exact time")),_xll.PIArcVal(Real!$I$8,Real!$B18,0,"MLPfaepi01","exact time"),"")</f>
        <v>100</v>
      </c>
      <c r="J19" s="2062">
        <f>IF($M$3&gt;=$B19,_xll.PICalcVal(J$8,$B18,$B19,"average", 1, 0,""),"")</f>
        <v>99.899182686389025</v>
      </c>
      <c r="K19" s="460">
        <f>IF($M$3&gt;=$B19,_xll.PICalcVal(K$8,$B18,$B19,"average", 1, 0,""),"")</f>
        <v>0.47658156517142597</v>
      </c>
      <c r="L19" s="133">
        <f>IF(ISNUMBER(_xll.PIArcVal(Real!$L$8,Real!$B18,0,"MLPfaepi01","exact time")),_xll.PIArcVal(Real!$L$8,Real!$B18,0,"MLPfaepi01","exact time"),"")</f>
        <v>90.386544993863694</v>
      </c>
      <c r="M19" s="2062">
        <f>IF($M$3&gt;=$B19,_xll.PICalcVal(M$8,$B18,$B19,"average", 1, 0,""),"")</f>
        <v>26.432665827081919</v>
      </c>
      <c r="N19" s="16">
        <f t="shared" si="147"/>
        <v>2946.4315790945502</v>
      </c>
      <c r="O19" s="16">
        <f>IF($M$3&gt;=$B19,SUM(N$9:N19),"")</f>
        <v>31047.481960959965</v>
      </c>
      <c r="P19" s="16">
        <f t="shared" si="148"/>
        <v>778.82041312567537</v>
      </c>
      <c r="Q19" s="16">
        <f>IF($M$3&gt;=$B19,SUM(P$9:P19),"")</f>
        <v>7942.8427519192164</v>
      </c>
      <c r="R19" s="461">
        <f>IF($M$3&gt;=$B19,_xll.PICalcVal(R$8,$B18,$B19,"average", 1, 0,"")*10000,"")</f>
        <v>192.29128018995152</v>
      </c>
      <c r="S19" s="133">
        <f>IF($M$3&gt;=$B19,_xll.PICalcVal(S$8,$B18,$B19,"average", 1, 0,""),"")</f>
        <v>90.065450522715977</v>
      </c>
      <c r="T19" s="133">
        <f>IF($M$3&gt;=$B19,_xll.PICalcVal(T$8,$B18,$B19,"average", 1, 0,""),"")</f>
        <v>94.120160423021716</v>
      </c>
      <c r="U19" s="133">
        <f t="shared" si="149"/>
        <v>84.769746517697527</v>
      </c>
      <c r="V19" s="462">
        <f>IF($M$3&gt;=$B19,_xll.PICalcVal(V$8,$B18,$B19,"average", 1, 0,""),"")</f>
        <v>48.743532889874345</v>
      </c>
      <c r="W19" s="16">
        <f t="shared" si="150"/>
        <v>60.461619088680386</v>
      </c>
      <c r="X19" s="16">
        <f>IF($M$3&gt;=$B19,SUM(W$9:W19),"")</f>
        <v>599.23776998888366</v>
      </c>
      <c r="Y19" s="50">
        <f t="shared" si="151"/>
        <v>29.471129186241466</v>
      </c>
      <c r="Z19" s="440">
        <f>IF($M$3&gt;=$B19,SUM(Y$9:Y19),"")</f>
        <v>305.93920346175355</v>
      </c>
      <c r="AA19" s="463">
        <f>IF($M$3&gt;=$B19,_xll.PICalcVal(AA$8,$B18,$B19,"average", 1, 0,""),"")</f>
        <v>26.38</v>
      </c>
      <c r="AB19" s="440">
        <f>IF($M$3&gt;=$B19,SUM(AA$9:AA19),"")</f>
        <v>440.94441468268082</v>
      </c>
      <c r="AC19" s="1730">
        <f>IF($M$3&gt;=$B19,_xll.PICalcVal(AC$8,($B18+2/24),($B19+2/24),"average", 1, 0,""),"")</f>
        <v>76.92333984375</v>
      </c>
      <c r="AD19" s="1730">
        <f>IF($M$3&gt;=$B19,_xll.PICalcVal(AD$8,$B18,$B19,"average", 1, 0,""),"")</f>
        <v>56.82244873046875</v>
      </c>
      <c r="AE19" s="218">
        <f t="shared" si="152"/>
        <v>8.9223053203658296</v>
      </c>
      <c r="AF19" s="218">
        <f>IF($M$3&gt;=$B19,_xll.PICalcVal(AF$8,$B18,$B19,"average", 1, 0,""),"")</f>
        <v>1109.1666666666667</v>
      </c>
      <c r="AG19" s="451">
        <f t="shared" si="153"/>
        <v>47.366838399999999</v>
      </c>
      <c r="AH19" s="450">
        <f t="shared" si="154"/>
        <v>180.79911523437499</v>
      </c>
      <c r="AI19" s="450">
        <f t="shared" si="155"/>
        <v>5598.0343166066841</v>
      </c>
      <c r="AJ19" s="450">
        <f t="shared" si="156"/>
        <v>1942.1803385416667</v>
      </c>
      <c r="AK19" s="21">
        <f t="shared" si="157"/>
        <v>7540.8989998927682</v>
      </c>
      <c r="AL19" s="22">
        <f>IF($M$3&gt;=$B19,_xll.PICalcVal(AL$8,$B18,$B19,"average", 1, 0,""),"")</f>
        <v>3650.838623046875</v>
      </c>
      <c r="AM19" s="22">
        <f>IF($M$3&gt;=$B19,_xll.PICalcVal(AM$8,$B18,$B19,"average", 1, 0,""),"")</f>
        <v>26.055</v>
      </c>
      <c r="AN19" s="21">
        <f t="shared" si="158"/>
        <v>951.22600323486336</v>
      </c>
      <c r="AO19" s="16">
        <f>IF($M$3&gt;=$B19,_xll.PICalcVal(AO$8,$B18,$B19,"average", 1, 0,""),"")</f>
        <v>3548.4114762561267</v>
      </c>
      <c r="AP19" s="32">
        <f>IF($M$3&gt;=$B19,_xll.PICalcVal(AP$8,$B18,$B19,"average", 1, 0,""),"")</f>
        <v>23.900516326378163</v>
      </c>
      <c r="AQ19" s="21">
        <f t="shared" si="159"/>
        <v>848.08866420967195</v>
      </c>
      <c r="AR19" s="449">
        <f t="shared" si="160"/>
        <v>815.86129496970443</v>
      </c>
      <c r="AS19" s="272">
        <f>IF(ISNUMBER(_xll.PIArcVal(Real!AS$8,Real!$B18,0,"","exact time")),_xll.PIArcVal(Real!AS$8,Real!$B18,0,"","exact time"),"")</f>
        <v>4.911552906036377</v>
      </c>
      <c r="AT19" s="1762">
        <f>IF(ISNUMBER(_xll.PIAdvCalcVal(Real!$AT$8,Real!$B18,Real!$B19,"average","time-weighted",0,1,0,"MLPfaepi01")),_xll.PIAdvCalcVal(Real!$AT$8,Real!$B18,Real!$B19,"average","time-weighted",0,1,0,"MLPfaepi01"),"")</f>
        <v>6.2676447500785191</v>
      </c>
      <c r="AU19" s="2100">
        <f>IF($M$3&gt;=$B19,_xll.PICalcVal(AU$8,$B18,$B19,"average", 1, 0,""),"")</f>
        <v>36.961177508036293</v>
      </c>
      <c r="AV19" s="61">
        <f>IF($M$3&gt;=$B19,_xll.PICalcVal(AV$8,$B18,$B19,"average", 1, 0,""),"")</f>
        <v>177.87432710908848</v>
      </c>
      <c r="AW19" s="3972">
        <f>IF($C$1&gt;=$B19,_xll.PICalcVal(AW$8,$B18,$B19,"average", 1, 0,""),"")</f>
        <v>354917.41927083331</v>
      </c>
      <c r="AX19" s="3972">
        <f>IF($C$1&gt;=$B19,_xll.PICalcVal(AX$8,$B18,$B19,"average", 1, 0,""),"")</f>
        <v>169.58137925465903</v>
      </c>
      <c r="AY19" s="16">
        <f>IF(ISNUMBER(_xll.PIArcVal($AY$8,$B18,0,"","exact time")),_xll.PIArcVal($AY$8,$B18,0,"","exact time"),"")</f>
        <v>1580.0113118489583</v>
      </c>
      <c r="AZ19" s="16">
        <f>IF(ISNUMBER(_xll.PIArcVal($AZ$8,$B18,0,"","exact time")),_xll.PIArcVal($AZ$8,$B18,0,"","exact time"),"")</f>
        <v>2161.4691569010415</v>
      </c>
      <c r="BA19" s="16">
        <f>IF(ISNUMBER(_xll.PIArcVal($BA$8,$B18,0,"","exact time")),_xll.PIArcVal($BA$8,$B18,0,"","exact time"),"")</f>
        <v>1849.6355794270833</v>
      </c>
      <c r="BB19" s="32">
        <f>IF(ISNUMBER(_xll.PIAdvCalcVal($BB$8,$B18,$B19,"average","time-weighted",0,1,0,"")),_xll.PIAdvCalcVal($BB$8,$B18,$B19,"average","time-weighted",0,1,0,""),"")</f>
        <v>9.9166666666666661</v>
      </c>
      <c r="BC19" s="32">
        <f>IF(ISNUMBER(_xll.PIAdvCalcVal($BC$8,$B18,$B19,"average","time-weighted",0,1,0,"")),_xll.PIAdvCalcVal($BC$8,$B18,$B19,"average","time-weighted",0,1,0,""),"")</f>
        <v>6.916666666666667</v>
      </c>
      <c r="BD19" s="32">
        <f>IF(ISNUMBER(_xll.PIAdvCalcVal(BD$8,$B18,$B19,"average","time-weighted",0,1,0,"")),_xll.PIAdvCalcVal(BD$8,$B18,$B19,"average","time-weighted",0,1,0,""),"")</f>
        <v>10.416666666666666</v>
      </c>
      <c r="BE19" s="16">
        <f t="shared" si="161"/>
        <v>39770.673654524137</v>
      </c>
      <c r="BF19" s="16">
        <f>IF(ISNUMBER(_xll.PIAdvCalcVal(BF$8,$B18,$B19,"average","time-weighted",0,1,0,"")),_xll.PIAdvCalcVal(BF$8,$B18,$B19,"average","time-weighted",0,1,0,""),"")</f>
        <v>16346.58268802872</v>
      </c>
      <c r="BG19" s="16">
        <f t="shared" si="162"/>
        <v>47546.569949049685</v>
      </c>
      <c r="BH19" s="16">
        <f>IF(ISNUMBER(_xll.PIAdvCalcVal(BH$8,$B18,$B19,"average","time-weighted",0,1,0,"")),_xll.PIAdvCalcVal(BH$8,$B18,$B19,"average","time-weighted",0,1,0,""),"")</f>
        <v>11658.20850710559</v>
      </c>
      <c r="BI19" s="2592">
        <f>IF(ISNUMBER(_xll.PIAdvCalcVal(BI$8,$B18,$B19,"average","time-weighted",0,1,0,"")),_xll.PIAdvCalcVal(BI$8,$B18,$B19,"average","time-weighted",0,1,0,""),"")</f>
        <v>12625.434935452144</v>
      </c>
      <c r="BJ19" s="16">
        <f>IF(ISNUMBER(_xll.PIAdvCalcVal(BJ$8,$B18,$B19,"average","time-weighted",0,1,0,"")),_xll.PIAdvCalcVal(BJ$8,$B18,$B19,"average","time-weighted",0,1,0,""),"")</f>
        <v>7134.89784178437</v>
      </c>
      <c r="BK19" s="16">
        <f>IF(ISNUMBER(_xll.PIAdvCalcVal(BK$8,$B18,$B19,"average","time-weighted",0,1,0,"")),_xll.PIAdvCalcVal(BK$8,$B18,$B19,"average","time-weighted",0,1,0,""),"")</f>
        <v>7169.4043833367441</v>
      </c>
      <c r="BL19" s="2592">
        <f>IF(ISNUMBER(_xll.PIAdvCalcVal(BL$8,$B18,$B19,"average","time-weighted",0,1,0,"")),_xll.PIAdvCalcVal(BL$8,$B18,$B19,"average","time-weighted",0,1,0,""),"")</f>
        <v>13803.686234878081</v>
      </c>
      <c r="BM19" s="16">
        <f>IF(ISNUMBER(_xll.PIAdvCalcVal(BM$8,$B18,$B19,"average","time-weighted",0,1,0,"")),_xll.PIAdvCalcVal(BM$8,$B18,$B19,"average","time-weighted",0,1,0,""),"")</f>
        <v>7491.9920974827046</v>
      </c>
      <c r="BN19" s="16">
        <f>IF(ISNUMBER(_xll.PIAdvCalcVal(BN$8,$B18,$B19,"average","time-weighted",0,1,0,"")),_xll.PIAdvCalcVal(BN$8,$B18,$B19,"average","time-weighted",0,1,0,""),"")</f>
        <v>7281.8202676428036</v>
      </c>
      <c r="BO19" s="2592">
        <f>IF(ISNUMBER(_xll.PIAdvCalcVal(BO$8,$B18,$B19,"average","time-weighted",0,1,0,"")),_xll.PIAdvCalcVal(BO$8,$B18,$B19,"average","time-weighted",0,1,0,""),"")</f>
        <v>13341.552484193913</v>
      </c>
      <c r="BP19" s="16">
        <f>IF(ISNUMBER(_xll.PIAdvCalcVal(BP$8,$B18,$B19,"average","time-weighted",0,1,0,"")),_xll.PIAdvCalcVal(BP$8,$B18,$B19,"average","time-weighted",0,1,0,""),"")</f>
        <v>7585.442660902183</v>
      </c>
      <c r="BQ19" s="16">
        <f>IF(ISNUMBER(_xll.PIAdvCalcVal(BQ$8,$B18,$B19,"average","time-weighted",0,1,0,"")),_xll.PIAdvCalcVal(BQ$8,$B18,$B19,"average","time-weighted",0,1,0,""),"")</f>
        <v>10883.012697900878</v>
      </c>
      <c r="BR19" s="2304">
        <f t="shared" si="163"/>
        <v>7.1131905172118355</v>
      </c>
      <c r="BS19" s="2304">
        <f t="shared" si="164"/>
        <v>7.9907243959396901</v>
      </c>
      <c r="BT19" s="2304">
        <f t="shared" si="165"/>
        <v>6.3862517726918719</v>
      </c>
      <c r="BU19" s="2304">
        <f t="shared" si="166"/>
        <v>7.2130708516790119</v>
      </c>
      <c r="BV19" s="2304">
        <f t="shared" si="167"/>
        <v>8.4166142369163044</v>
      </c>
      <c r="BW19" s="62">
        <f>IF(ISNUMBER(_xll.PIAdvCalcVal(BW$8,$B18,$B19,"average","time-weighted",0,1,0,"")),_xll.PIAdvCalcVal(BW$8,$B18,$B19,"average","time-weighted",0,1,0,""),"")</f>
        <v>118.08673858642578</v>
      </c>
    </row>
    <row r="20" spans="1:75" ht="14.15" customHeight="1">
      <c r="A20" s="124"/>
      <c r="B20" s="11">
        <f t="shared" si="41"/>
        <v>46093.791666666664</v>
      </c>
      <c r="C20" s="459">
        <f>IF($M$3&gt;=$B20,_xll.PICalcVal(C$8,$B19,$B20,"total", 1, 0,"")*0.9772,"")</f>
        <v>164023.99719999998</v>
      </c>
      <c r="D20" s="459">
        <f>IF($M$3&gt;=$B20,_xll.PICalcVal(D$8,$B19,$B20,"total", 1, 0,"")*0.9772,"")</f>
        <v>486208.7916</v>
      </c>
      <c r="E20" s="12">
        <f>IF($M$3&gt;=$B20,_xll.PICalcVal(E$8,$B19,$B20,"average", 1, 0,""),"")</f>
        <v>184089.18730926514</v>
      </c>
      <c r="F20" s="12">
        <f>IF($M$3&gt;=$B20,_xll.PICalcVal(F$8,$B19,$B20,"average", 1, 0,""),"")</f>
        <v>47369.75390625</v>
      </c>
      <c r="G20" s="12">
        <f t="shared" si="145"/>
        <v>136719.43340301514</v>
      </c>
      <c r="H20" s="460">
        <f t="shared" si="146"/>
        <v>95.202418045694827</v>
      </c>
      <c r="I20" s="2062">
        <f>IF(ISNUMBER(_xll.PIArcVal(Real!$I$8,Real!$B19,0,"MLPfaepi01","exact time")),_xll.PIArcVal(Real!$I$8,Real!$B19,0,"MLPfaepi01","exact time"),"")</f>
        <v>99.930557250976563</v>
      </c>
      <c r="J20" s="2062">
        <f>IF($M$3&gt;=$B20,_xll.PICalcVal(J$8,$B19,$B20,"average", 1, 0,""),"")</f>
        <v>96.07338856869977</v>
      </c>
      <c r="K20" s="460">
        <f>IF($M$3&gt;=$B20,_xll.PICalcVal(K$8,$B19,$B20,"average", 1, 0,""),"")</f>
        <v>0.50065835137126502</v>
      </c>
      <c r="L20" s="133">
        <f>IF(ISNUMBER(_xll.PIArcVal(Real!$L$8,Real!$B19,0,"MLPfaepi01","exact time")),_xll.PIArcVal(Real!$L$8,Real!$B19,0,"MLPfaepi01","exact time"),"")</f>
        <v>89.649250320746972</v>
      </c>
      <c r="M20" s="2062">
        <f>IF($M$3&gt;=$B20,_xll.PICalcVal(M$8,$B19,$B20,"average", 1, 0,""),"")</f>
        <v>26.275214523599825</v>
      </c>
      <c r="N20" s="16">
        <f t="shared" si="147"/>
        <v>3144.6342269664647</v>
      </c>
      <c r="O20" s="16">
        <f>IF($M$3&gt;=$B20,SUM(N$9:N20),"")</f>
        <v>34192.116187926433</v>
      </c>
      <c r="P20" s="16">
        <f t="shared" si="148"/>
        <v>826.25938911798369</v>
      </c>
      <c r="Q20" s="16">
        <f>IF($M$3&gt;=$B20,SUM(P$9:P20),"")</f>
        <v>8769.1021410371995</v>
      </c>
      <c r="R20" s="461">
        <f>IF($M$3&gt;=$B20,_xll.PICalcVal(R$8,$B19,$B20,"average", 1, 0,"")*10000,"")</f>
        <v>209.98560786847108</v>
      </c>
      <c r="S20" s="133">
        <f>IF($M$3&gt;=$B20,_xll.PICalcVal(S$8,$B19,$B20,"average", 1, 0,""),"")</f>
        <v>88.766497764321159</v>
      </c>
      <c r="T20" s="133">
        <f>IF($M$3&gt;=$B20,_xll.PICalcVal(T$8,$B19,$B20,"average", 1, 0,""),"")</f>
        <v>93.4</v>
      </c>
      <c r="U20" s="133">
        <f t="shared" si="149"/>
        <v>82.907908911875964</v>
      </c>
      <c r="V20" s="462">
        <f>IF($M$3&gt;=$B20,_xll.PICalcVal(V$8,$B19,$B20,"average", 1, 0,""),"")</f>
        <v>48.161876771353974</v>
      </c>
      <c r="W20" s="16">
        <f t="shared" si="150"/>
        <v>66.544224727452089</v>
      </c>
      <c r="X20" s="16">
        <f>IF($M$3&gt;=$B20,SUM(W$9:W20),"")</f>
        <v>665.7819947163357</v>
      </c>
      <c r="Y20" s="50">
        <f t="shared" si="151"/>
        <v>32.04894751168834</v>
      </c>
      <c r="Z20" s="440">
        <f>IF($M$3&gt;=$B20,SUM(Y$9:Y20),"")</f>
        <v>337.98815097344186</v>
      </c>
      <c r="AA20" s="463">
        <f>IF($M$3&gt;=$B20,_xll.PICalcVal(AA$8,$B19,$B20,"average", 1, 0,""),"")</f>
        <v>26.333017135184665</v>
      </c>
      <c r="AB20" s="440">
        <f>IF($M$3&gt;=$B20,SUM(AA$9:AA20),"")</f>
        <v>467.27743181786548</v>
      </c>
      <c r="AC20" s="1730">
        <f>IF($M$3&gt;=$B20,_xll.PICalcVal(AC$8,($B19+2/24),($B20+2/24),"average", 1, 0,""),"")</f>
        <v>67.635406494140625</v>
      </c>
      <c r="AD20" s="1730">
        <f>IF($M$3&gt;=$B20,_xll.PICalcVal(AD$8,$B19,$B20,"average", 1, 0,""),"")</f>
        <v>43.550209045410156</v>
      </c>
      <c r="AE20" s="218">
        <f t="shared" si="152"/>
        <v>21.273388437093605</v>
      </c>
      <c r="AF20" s="218">
        <f>IF($M$3&gt;=$B20,_xll.PICalcVal(AF$8,$B19,$B20,"average", 1, 0,""),"")</f>
        <v>992.08333333333337</v>
      </c>
      <c r="AG20" s="451">
        <f t="shared" si="153"/>
        <v>164.0239972</v>
      </c>
      <c r="AH20" s="450">
        <f t="shared" si="154"/>
        <v>184.08918730926513</v>
      </c>
      <c r="AI20" s="450">
        <f t="shared" si="155"/>
        <v>5983.7167746356126</v>
      </c>
      <c r="AJ20" s="450">
        <f t="shared" si="156"/>
        <v>1975.1113176890262</v>
      </c>
      <c r="AK20" s="21">
        <f t="shared" si="157"/>
        <v>7983.8786981764551</v>
      </c>
      <c r="AL20" s="22">
        <f>IF($M$3&gt;=$B20,_xll.PICalcVal(AL$8,$B19,$B20,"average", 1, 0,""),"")</f>
        <v>2260.442138671875</v>
      </c>
      <c r="AM20" s="22">
        <f>IF($M$3&gt;=$B20,_xll.PICalcVal(AM$8,$B19,$B20,"average", 1, 0,""),"")</f>
        <v>26.28</v>
      </c>
      <c r="AN20" s="21">
        <f t="shared" si="158"/>
        <v>594.0441940429688</v>
      </c>
      <c r="AO20" s="16">
        <f>IF($M$3&gt;=$B20,_xll.PICalcVal(AO$8,$B19,$B20,"average", 1, 0,""),"")</f>
        <v>1861.0586181049425</v>
      </c>
      <c r="AP20" s="32">
        <f>IF($M$3&gt;=$B20,_xll.PICalcVal(AP$8,$B19,$B20,"average", 1, 0,""),"")</f>
        <v>25.879253666727216</v>
      </c>
      <c r="AQ20" s="21">
        <f t="shared" si="159"/>
        <v>481.62808066586621</v>
      </c>
      <c r="AR20" s="449">
        <f t="shared" si="160"/>
        <v>463.32621360056328</v>
      </c>
      <c r="AS20" s="272">
        <f>IF(ISNUMBER(_xll.PIArcVal(Real!AS$8,Real!$B19,0,"","exact time")),_xll.PIArcVal(Real!AS$8,Real!$B19,0,"","exact time"),"")</f>
        <v>4.3060340881347656</v>
      </c>
      <c r="AT20" s="1762">
        <f>IF(ISNUMBER(_xll.PIAdvCalcVal(Real!$AT$8,Real!$B19,Real!$B20,"average","time-weighted",0,1,0,"MLPfaepi01")),_xll.PIAdvCalcVal(Real!$AT$8,Real!$B19,Real!$B20,"average","time-weighted",0,1,0,"MLPfaepi01"),"")</f>
        <v>8.0048654602633587</v>
      </c>
      <c r="AU20" s="2100">
        <f>IF($M$3&gt;=$B20,_xll.PICalcVal(AU$8,$B19,$B20,"average", 1, 0,""),"")</f>
        <v>37.888394037882485</v>
      </c>
      <c r="AV20" s="61">
        <f>IF($M$3&gt;=$B20,_xll.PICalcVal(AV$8,$B19,$B20,"average", 1, 0,""),"")</f>
        <v>192.10402705833587</v>
      </c>
      <c r="AW20" s="3972">
        <f>IF($C$1&gt;=$B20,_xll.PICalcVal(AW$8,$B19,$B20,"average", 1, 0,""),"")</f>
        <v>399858.9375</v>
      </c>
      <c r="AX20" s="3972">
        <f>IF($C$1&gt;=$B20,_xll.PICalcVal(AX$8,$B19,$B20,"average", 1, 0,""),"")</f>
        <v>181.9344482421875</v>
      </c>
      <c r="AY20" s="16">
        <f>IF(ISNUMBER(_xll.PIArcVal($AY$8,$B19,0,"","exact time")),_xll.PIArcVal($AY$8,$B19,0,"","exact time"),"")</f>
        <v>1692.8319407577219</v>
      </c>
      <c r="AZ20" s="16">
        <f>IF(ISNUMBER(_xll.PIArcVal($AZ$8,$B19,0,"","exact time")),_xll.PIArcVal($AZ$8,$B19,0,"","exact time"),"")</f>
        <v>2310.73820455431</v>
      </c>
      <c r="BA20" s="16">
        <f>IF(ISNUMBER(_xll.PIArcVal($BA$8,$B19,0,"","exact time")),_xll.PIArcVal($BA$8,$B19,0,"","exact time"),"")</f>
        <v>1945.6682942708333</v>
      </c>
      <c r="BB20" s="32">
        <f>IF(ISNUMBER(_xll.PIAdvCalcVal($BB$8,$B19,$B20,"average","time-weighted",0,1,0,"")),_xll.PIAdvCalcVal($BB$8,$B19,$B20,"average","time-weighted",0,1,0,""),"")</f>
        <v>17.416666666666668</v>
      </c>
      <c r="BC20" s="32">
        <f>IF(ISNUMBER(_xll.PIAdvCalcVal($BC$8,$B19,$B20,"average","time-weighted",0,1,0,"")),_xll.PIAdvCalcVal($BC$8,$B19,$B20,"average","time-weighted",0,1,0,""),"")</f>
        <v>24.75</v>
      </c>
      <c r="BD20" s="32">
        <f>IF(ISNUMBER(_xll.PIAdvCalcVal(BD$8,$B19,$B20,"average","time-weighted",0,1,0,"")),_xll.PIAdvCalcVal(BD$8,$B19,$B20,"average","time-weighted",0,1,0,""),"")</f>
        <v>20.5</v>
      </c>
      <c r="BE20" s="16">
        <f t="shared" si="161"/>
        <v>37934.838548377265</v>
      </c>
      <c r="BF20" s="16">
        <f>IF(ISNUMBER(_xll.PIAdvCalcVal(BF$8,$B19,$B20,"average","time-weighted",0,1,0,"")),_xll.PIAdvCalcVal(BF$8,$B19,$B20,"average","time-weighted",0,1,0,""),"")</f>
        <v>16069.461186899236</v>
      </c>
      <c r="BG20" s="16">
        <f t="shared" si="162"/>
        <v>47541.463593515939</v>
      </c>
      <c r="BH20" s="16">
        <f>IF(ISNUMBER(_xll.PIAdvCalcVal(BH$8,$B19,$B20,"average","time-weighted",0,1,0,"")),_xll.PIAdvCalcVal(BH$8,$B19,$B20,"average","time-weighted",0,1,0,""),"")</f>
        <v>11765.274123902391</v>
      </c>
      <c r="BI20" s="2592">
        <f>IF(ISNUMBER(_xll.PIAdvCalcVal(BI$8,$B19,$B20,"average","time-weighted",0,1,0,"")),_xll.PIAdvCalcVal(BI$8,$B19,$B20,"average","time-weighted",0,1,0,""),"")</f>
        <v>11316.858696859677</v>
      </c>
      <c r="BJ20" s="16">
        <f>IF(ISNUMBER(_xll.PIAdvCalcVal(BJ$8,$B19,$B20,"average","time-weighted",0,1,0,"")),_xll.PIAdvCalcVal(BJ$8,$B19,$B20,"average","time-weighted",0,1,0,""),"")</f>
        <v>7143.7816345010142</v>
      </c>
      <c r="BK20" s="16">
        <f>IF(ISNUMBER(_xll.PIAdvCalcVal(BK$8,$B19,$B20,"average","time-weighted",0,1,0,"")),_xll.PIAdvCalcVal(BK$8,$B19,$B20,"average","time-weighted",0,1,0,""),"")</f>
        <v>7163.7565297675756</v>
      </c>
      <c r="BL20" s="2592">
        <f>IF(ISNUMBER(_xll.PIAdvCalcVal(BL$8,$B19,$B20,"average","time-weighted",0,1,0,"")),_xll.PIAdvCalcVal(BL$8,$B19,$B20,"average","time-weighted",0,1,0,""),"")</f>
        <v>13317.060459013692</v>
      </c>
      <c r="BM20" s="16">
        <f>IF(ISNUMBER(_xll.PIAdvCalcVal(BM$8,$B19,$B20,"average","time-weighted",0,1,0,"")),_xll.PIAdvCalcVal(BM$8,$B19,$B20,"average","time-weighted",0,1,0,""),"")</f>
        <v>7498.8616075546752</v>
      </c>
      <c r="BN20" s="16">
        <f>IF(ISNUMBER(_xll.PIAdvCalcVal(BN$8,$B19,$B20,"average","time-weighted",0,1,0,"")),_xll.PIAdvCalcVal(BN$8,$B19,$B20,"average","time-weighted",0,1,0,""),"")</f>
        <v>7264.850656881059</v>
      </c>
      <c r="BO20" s="2592">
        <f>IF(ISNUMBER(_xll.PIAdvCalcVal(BO$8,$B19,$B20,"average","time-weighted",0,1,0,"")),_xll.PIAdvCalcVal(BO$8,$B19,$B20,"average","time-weighted",0,1,0,""),"")</f>
        <v>13300.919392503894</v>
      </c>
      <c r="BP20" s="16">
        <f>IF(ISNUMBER(_xll.PIAdvCalcVal(BP$8,$B19,$B20,"average","time-weighted",0,1,0,"")),_xll.PIAdvCalcVal(BP$8,$B19,$B20,"average","time-weighted",0,1,0,""),"")</f>
        <v>7663.960911012121</v>
      </c>
      <c r="BQ20" s="16">
        <f>IF(ISNUMBER(_xll.PIAdvCalcVal(BQ$8,$B19,$B20,"average","time-weighted",0,1,0,"")),_xll.PIAdvCalcVal(BQ$8,$B19,$B20,"average","time-weighted",0,1,0,""),"")</f>
        <v>10806.252253799496</v>
      </c>
      <c r="BR20" s="2304">
        <f t="shared" si="163"/>
        <v>6.3764192566195232</v>
      </c>
      <c r="BS20" s="2304">
        <f t="shared" si="164"/>
        <v>6.6851637332611897</v>
      </c>
      <c r="BT20" s="2304">
        <f t="shared" si="165"/>
        <v>5.7631195229155168</v>
      </c>
      <c r="BU20" s="2304">
        <f t="shared" si="166"/>
        <v>6.8361700869924507</v>
      </c>
      <c r="BV20" s="2304">
        <f t="shared" si="167"/>
        <v>8.1359774727539236</v>
      </c>
      <c r="BW20" s="62">
        <f>IF(ISNUMBER(_xll.PIAdvCalcVal(BW$8,$B19,$B20,"average","time-weighted",0,1,0,"")),_xll.PIAdvCalcVal(BW$8,$B19,$B20,"average","time-weighted",0,1,0,""),"")</f>
        <v>221.25128173828125</v>
      </c>
    </row>
    <row r="21" spans="1:75" ht="14.15" customHeight="1">
      <c r="A21" s="124"/>
      <c r="B21" s="11">
        <f>B20+1</f>
        <v>46094.791666666664</v>
      </c>
      <c r="C21" s="459">
        <f>IF($M$3&gt;=$B21,_xll.PICalcVal(C$8,$B20,$B21,"total", 1, 0,"")*0.9772,"")</f>
        <v>207299.29919999998</v>
      </c>
      <c r="D21" s="459">
        <f>IF($M$3&gt;=$B21,_xll.PICalcVal(D$8,$B20,$B21,"total", 1, 0,"")*0.9772,"")</f>
        <v>494549.1936</v>
      </c>
      <c r="E21" s="12">
        <f>IF($M$3&gt;=$B21,_xll.PICalcVal(E$8,$B20,$B21,"average", 1, 0,""),"")</f>
        <v>198001.22031784058</v>
      </c>
      <c r="F21" s="12">
        <f>IF($M$3&gt;=$B21,_xll.PICalcVal(F$8,$B20,$B21,"average", 1, 0,""),"")</f>
        <v>49809.8125</v>
      </c>
      <c r="G21" s="12">
        <f t="shared" si="145"/>
        <v>148191.40781784058</v>
      </c>
      <c r="H21" s="460">
        <f t="shared" si="146"/>
        <v>99.805951931413816</v>
      </c>
      <c r="I21" s="2062">
        <f>IF(ISNUMBER(_xll.PIArcVal(Real!$I$8,Real!$B20,0,"MLPfaepi01","exact time")),_xll.PIArcVal(Real!$I$8,Real!$B20,0,"MLPfaepi01","exact time"),"")</f>
        <v>100</v>
      </c>
      <c r="J21" s="2062">
        <f>IF($M$3&gt;=$B21,_xll.PICalcVal(J$8,$B20,$B21,"average", 1, 0,""),"")</f>
        <v>99.841697526128087</v>
      </c>
      <c r="K21" s="460">
        <f>IF($M$3&gt;=$B21,_xll.PICalcVal(K$8,$B20,$B21,"average", 1, 0,""),"")</f>
        <v>0.46982106798898832</v>
      </c>
      <c r="L21" s="133">
        <f>IF(ISNUMBER(_xll.PIArcVal(Real!$L$8,Real!$B20,0,"MLPfaepi01","exact time")),_xll.PIArcVal(Real!$L$8,Real!$B20,0,"MLPfaepi01","exact time"),"")</f>
        <v>91.021522591440998</v>
      </c>
      <c r="M21" s="2062">
        <f>IF($M$3&gt;=$B21,_xll.PICalcVal(M$8,$B20,$B21,"average", 1, 0,""),"")</f>
        <v>25.452571036761611</v>
      </c>
      <c r="N21" s="16">
        <f t="shared" si="147"/>
        <v>3326.6935218862882</v>
      </c>
      <c r="O21" s="16">
        <f>IF($M$3&gt;=$B21,SUM(N$9:N21),"")</f>
        <v>37518.809709812718</v>
      </c>
      <c r="P21" s="16">
        <f t="shared" si="148"/>
        <v>846.7290318334542</v>
      </c>
      <c r="Q21" s="16">
        <f>IF($M$3&gt;=$B21,SUM(P$9:P21),"")</f>
        <v>9615.831172870654</v>
      </c>
      <c r="R21" s="461">
        <f>IF($M$3&gt;=$B21,_xll.PICalcVal(R$8,$B20,$B21,"average", 1, 0,"")*10000,"")</f>
        <v>169.1222634558317</v>
      </c>
      <c r="S21" s="133">
        <f>IF($M$3&gt;=$B21,_xll.PICalcVal(S$8,$B20,$B21,"average", 1, 0,""),"")</f>
        <v>88.048377209512722</v>
      </c>
      <c r="T21" s="133">
        <f>IF($M$3&gt;=$B21,_xll.PICalcVal(T$8,$B20,$B21,"average", 1, 0,""),"")</f>
        <v>93.4</v>
      </c>
      <c r="U21" s="133">
        <f t="shared" si="149"/>
        <v>82.237184313684878</v>
      </c>
      <c r="V21" s="462">
        <f>IF($M$3&gt;=$B21,_xll.PICalcVal(V$8,$B20,$B21,"average", 1, 0,""),"")</f>
        <v>48.25854477840155</v>
      </c>
      <c r="W21" s="16">
        <f t="shared" si="150"/>
        <v>57.064058971636747</v>
      </c>
      <c r="X21" s="16">
        <f>IF($M$3&gt;=$B21,SUM(W$9:W21),"")</f>
        <v>722.84605368797247</v>
      </c>
      <c r="Y21" s="50">
        <f t="shared" si="151"/>
        <v>27.538284451200784</v>
      </c>
      <c r="Z21" s="440">
        <f>IF($M$3&gt;=$B21,SUM(Y$9:Y21),"")</f>
        <v>365.52643542464267</v>
      </c>
      <c r="AA21" s="463">
        <f>IF($M$3&gt;=$B21,_xll.PICalcVal(AA$8,$B20,$B21,"average", 1, 0,""),"")</f>
        <v>15.138711110207137</v>
      </c>
      <c r="AB21" s="440">
        <f>IF($M$3&gt;=$B21,SUM(AA$9:AA21),"")</f>
        <v>482.41614292807259</v>
      </c>
      <c r="AC21" s="1730">
        <f>IF($M$3&gt;=$B21,_xll.PICalcVal(AC$8,($B20+2/24),($B21+2/24),"average", 1, 0,""),"")</f>
        <v>77.12432861328125</v>
      </c>
      <c r="AD21" s="1730">
        <f>IF($M$3&gt;=$B21,_xll.PICalcVal(AD$8,$B20,$B21,"average", 1, 0,""),"")</f>
        <v>57.050479888916016</v>
      </c>
      <c r="AE21" s="218">
        <f t="shared" si="152"/>
        <v>22.070081928928818</v>
      </c>
      <c r="AF21" s="218">
        <f>IF($M$3&gt;=$B21,_xll.PICalcVal(AF$8,$B20,$B21,"average", 1, 0,""),"")</f>
        <v>620.91666666666663</v>
      </c>
      <c r="AG21" s="451">
        <f t="shared" si="153"/>
        <v>207.29929919999998</v>
      </c>
      <c r="AH21" s="450">
        <f t="shared" si="154"/>
        <v>198.00122031784056</v>
      </c>
      <c r="AI21" s="450">
        <f t="shared" si="155"/>
        <v>6186.6470615431917</v>
      </c>
      <c r="AJ21" s="450">
        <f t="shared" si="156"/>
        <v>2075.4088541666665</v>
      </c>
      <c r="AK21" s="21">
        <f t="shared" si="157"/>
        <v>8263.1315883002626</v>
      </c>
      <c r="AL21" s="22">
        <f>IF($M$3&gt;=$B21,_xll.PICalcVal(AL$8,$B20,$B21,"average", 1, 0,""),"")</f>
        <v>2580.423828125</v>
      </c>
      <c r="AM21" s="22">
        <f>IF($M$3&gt;=$B21,_xll.PICalcVal(AM$8,$B20,$B21,"average", 1, 0,""),"")</f>
        <v>25.17</v>
      </c>
      <c r="AN21" s="21">
        <f t="shared" si="158"/>
        <v>649.49267753906258</v>
      </c>
      <c r="AO21" s="16">
        <f>IF($M$3&gt;=$B21,_xll.PICalcVal(AO$8,$B20,$B21,"average", 1, 0,""),"")</f>
        <v>2926.8109366210256</v>
      </c>
      <c r="AP21" s="32">
        <f>IF($M$3&gt;=$B21,_xll.PICalcVal(AP$8,$B20,$B21,"average", 1, 0,""),"")</f>
        <v>25.170484626978908</v>
      </c>
      <c r="AQ21" s="21">
        <f t="shared" si="159"/>
        <v>736.69249686293256</v>
      </c>
      <c r="AR21" s="449">
        <f t="shared" si="160"/>
        <v>708.69818198214114</v>
      </c>
      <c r="AS21" s="272">
        <f>IF(ISNUMBER(_xll.PIArcVal(Real!AS$8,Real!$B20,0,"","exact time")),_xll.PIArcVal(Real!AS$8,Real!$B20,0,"","exact time"),"")</f>
        <v>4.4469394683837891</v>
      </c>
      <c r="AT21" s="1762">
        <f>IF(ISNUMBER(_xll.PIAdvCalcVal(Real!$AT$8,Real!$B20,Real!$B21,"average","time-weighted",0,1,0,"MLPfaepi01")),_xll.PIAdvCalcVal(Real!$AT$8,Real!$B20,Real!$B21,"average","time-weighted",0,1,0,"MLPfaepi01"),"")</f>
        <v>6.164277034501235</v>
      </c>
      <c r="AU21" s="2100">
        <f>IF($M$3&gt;=$B21,_xll.PICalcVal(AU$8,$B20,$B21,"average", 1, 0,""),"")</f>
        <v>37.351792335510254</v>
      </c>
      <c r="AV21" s="61">
        <f>IF($M$3&gt;=$B21,_xll.PICalcVal(AV$8,$B20,$B21,"average", 1, 0,""),"")</f>
        <v>199.53224577794737</v>
      </c>
      <c r="AW21" s="3972">
        <f>IF($C$1&gt;=$B21,_xll.PICalcVal(AW$8,$B20,$B21,"average", 1, 0,""),"")</f>
        <v>462687.39583333331</v>
      </c>
      <c r="AX21" s="3972">
        <f>IF($C$1&gt;=$B21,_xll.PICalcVal(AX$8,$B20,$B21,"average", 1, 0,""),"")</f>
        <v>157.81404304504395</v>
      </c>
      <c r="AY21" s="16">
        <f>IF(ISNUMBER(_xll.PIArcVal($AY$8,$B20,0,"","exact time")),_xll.PIArcVal($AY$8,$B20,0,"","exact time"),"")</f>
        <v>1831.0054524739583</v>
      </c>
      <c r="AZ21" s="16">
        <f>IF(ISNUMBER(_xll.PIArcVal($AZ$8,$B20,0,"","exact time")),_xll.PIArcVal($AZ$8,$B20,0,"","exact time"),"")</f>
        <v>2299.2151692708335</v>
      </c>
      <c r="BA21" s="16">
        <f>IF(ISNUMBER(_xll.PIArcVal($BA$8,$B20,0,"","exact time")),_xll.PIArcVal($BA$8,$B20,0,"","exact time"),"")</f>
        <v>2057.1962890625</v>
      </c>
      <c r="BB21" s="32">
        <f>IF(ISNUMBER(_xll.PIAdvCalcVal($BB$8,$B20,$B21,"average","time-weighted",0,1,0,"")),_xll.PIAdvCalcVal($BB$8,$B20,$B21,"average","time-weighted",0,1,0,""),"")</f>
        <v>22</v>
      </c>
      <c r="BC21" s="32">
        <f>IF(ISNUMBER(_xll.PIAdvCalcVal($BC$8,$B20,$B21,"average","time-weighted",0,1,0,"")),_xll.PIAdvCalcVal($BC$8,$B20,$B21,"average","time-weighted",0,1,0,""),"")</f>
        <v>21.666666666666668</v>
      </c>
      <c r="BD21" s="32">
        <f>IF(ISNUMBER(_xll.PIAdvCalcVal(BD$8,$B20,$B21,"average","time-weighted",0,1,0,"")),_xll.PIAdvCalcVal(BD$8,$B20,$B21,"average","time-weighted",0,1,0,""),"")</f>
        <v>22.583333333333332</v>
      </c>
      <c r="BE21" s="16">
        <f t="shared" si="161"/>
        <v>39916.143953301907</v>
      </c>
      <c r="BF21" s="16">
        <f>IF(ISNUMBER(_xll.PIAdvCalcVal(BF$8,$B20,$B21,"average","time-weighted",0,1,0,"")),_xll.PIAdvCalcVal(BF$8,$B20,$B21,"average","time-weighted",0,1,0,""),"")</f>
        <v>15494.039362654043</v>
      </c>
      <c r="BG21" s="16">
        <f t="shared" si="162"/>
        <v>47370.99572993286</v>
      </c>
      <c r="BH21" s="16">
        <f>IF(ISNUMBER(_xll.PIAdvCalcVal(BH$8,$B20,$B21,"average","time-weighted",0,1,0,"")),_xll.PIAdvCalcVal(BH$8,$B20,$B21,"average","time-weighted",0,1,0,""),"")</f>
        <v>12043.299339202356</v>
      </c>
      <c r="BI21" s="2592">
        <f>IF(ISNUMBER(_xll.PIAdvCalcVal(BI$8,$B20,$B21,"average","time-weighted",0,1,0,"")),_xll.PIAdvCalcVal(BI$8,$B20,$B21,"average","time-weighted",0,1,0,""),"")</f>
        <v>12671.887450741309</v>
      </c>
      <c r="BJ21" s="16">
        <f>IF(ISNUMBER(_xll.PIAdvCalcVal(BJ$8,$B20,$B21,"average","time-weighted",0,1,0,"")),_xll.PIAdvCalcVal(BJ$8,$B20,$B21,"average","time-weighted",0,1,0,""),"")</f>
        <v>7105.0873126493507</v>
      </c>
      <c r="BK21" s="16">
        <f>IF(ISNUMBER(_xll.PIAdvCalcVal(BK$8,$B20,$B21,"average","time-weighted",0,1,0,"")),_xll.PIAdvCalcVal(BK$8,$B20,$B21,"average","time-weighted",0,1,0,""),"")</f>
        <v>7093.2445420404119</v>
      </c>
      <c r="BL21" s="2592">
        <f>IF(ISNUMBER(_xll.PIAdvCalcVal(BL$8,$B20,$B21,"average","time-weighted",0,1,0,"")),_xll.PIAdvCalcVal(BL$8,$B20,$B21,"average","time-weighted",0,1,0,""),"")</f>
        <v>13745.146363201318</v>
      </c>
      <c r="BM21" s="16">
        <f>IF(ISNUMBER(_xll.PIAdvCalcVal(BM$8,$B20,$B21,"average","time-weighted",0,1,0,"")),_xll.PIAdvCalcVal(BM$8,$B20,$B21,"average","time-weighted",0,1,0,""),"")</f>
        <v>7534.6792336951858</v>
      </c>
      <c r="BN21" s="16">
        <f>IF(ISNUMBER(_xll.PIAdvCalcVal(BN$8,$B20,$B21,"average","time-weighted",0,1,0,"")),_xll.PIAdvCalcVal(BN$8,$B20,$B21,"average","time-weighted",0,1,0,""),"")</f>
        <v>7367.4313595944805</v>
      </c>
      <c r="BO21" s="2592">
        <f>IF(ISNUMBER(_xll.PIAdvCalcVal(BO$8,$B20,$B21,"average","time-weighted",0,1,0,"")),_xll.PIAdvCalcVal(BO$8,$B20,$B21,"average","time-weighted",0,1,0,""),"")</f>
        <v>13499.110139359278</v>
      </c>
      <c r="BP21" s="16">
        <f>IF(ISNUMBER(_xll.PIAdvCalcVal(BP$8,$B20,$B21,"average","time-weighted",0,1,0,"")),_xll.PIAdvCalcVal(BP$8,$B20,$B21,"average","time-weighted",0,1,0,""),"")</f>
        <v>7535.3389285536841</v>
      </c>
      <c r="BQ21" s="16">
        <f>IF(ISNUMBER(_xll.PIAdvCalcVal(BQ$8,$B20,$B21,"average","time-weighted",0,1,0,"")),_xll.PIAdvCalcVal(BQ$8,$B20,$B21,"average","time-weighted",0,1,0,""),"")</f>
        <v>10735.214353399744</v>
      </c>
      <c r="BR21" s="2304">
        <f t="shared" si="163"/>
        <v>6.45118060229336</v>
      </c>
      <c r="BS21" s="2304">
        <f t="shared" si="164"/>
        <v>6.920726223736648</v>
      </c>
      <c r="BT21" s="2304">
        <f t="shared" si="165"/>
        <v>5.9781905351470064</v>
      </c>
      <c r="BU21" s="2304">
        <f t="shared" si="166"/>
        <v>6.5618969911281804</v>
      </c>
      <c r="BV21" s="2304">
        <f t="shared" si="167"/>
        <v>7.4655359263538097</v>
      </c>
      <c r="BW21" s="62">
        <f>IF(ISNUMBER(_xll.PIAdvCalcVal(BW$8,$B20,$B21,"average","time-weighted",0,1,0,"")),_xll.PIAdvCalcVal(BW$8,$B20,$B21,"average","time-weighted",0,1,0,""),"")</f>
        <v>241.09208679199219</v>
      </c>
    </row>
    <row r="22" spans="1:75" ht="13.5" customHeight="1">
      <c r="A22" s="546"/>
      <c r="B22" s="454">
        <f>B21+1</f>
        <v>46095.791666666664</v>
      </c>
      <c r="C22" s="459">
        <f>IF($M$3&gt;=$B22,_xll.PICalcVal(C$8,$B21,$B22,"total", 1, 0,"")*0.9772,"")</f>
        <v>151402.48199999999</v>
      </c>
      <c r="D22" s="459">
        <f>IF($M$3&gt;=$B22,_xll.PICalcVal(D$8,$B21,$B22,"total", 1, 0,"")*0.9772,"")</f>
        <v>455007.77279999998</v>
      </c>
      <c r="E22" s="12">
        <f>IF($M$3&gt;=$B22,_xll.PICalcVal(E$8,$B21,$B22,"average", 1, 0,""),"")</f>
        <v>188416.49098777771</v>
      </c>
      <c r="F22" s="12">
        <f>IF($M$3&gt;=$B22,_xll.PICalcVal(F$8,$B21,$B22,"average", 1, 0,""),"")</f>
        <v>46778.01953125</v>
      </c>
      <c r="G22" s="12">
        <f t="shared" si="145"/>
        <v>141638.47145652771</v>
      </c>
      <c r="H22" s="460">
        <f t="shared" si="146"/>
        <v>98.842743710058812</v>
      </c>
      <c r="I22" s="2062">
        <f>IF(ISNUMBER(_xll.PIArcVal(Real!$I$8,Real!$B21,0,"MLPfaepi01","exact time")),_xll.PIArcVal(Real!$I$8,Real!$B21,0,"MLPfaepi01","exact time"),"")</f>
        <v>98.055557250976563</v>
      </c>
      <c r="J22" s="2062">
        <f>IF($M$3&gt;=$B22,_xll.PICalcVal(J$8,$B21,$B22,"average", 1, 0,""),"")</f>
        <v>98.697736092431271</v>
      </c>
      <c r="K22" s="460">
        <f>IF($M$3&gt;=$B22,_xll.PICalcVal(K$8,$B21,$B22,"average", 1, 0,""),"")</f>
        <v>0.44887259686871089</v>
      </c>
      <c r="L22" s="133">
        <f>IF(ISNUMBER(_xll.PIArcVal(Real!$L$8,Real!$B21,0,"MLPfaepi01","exact time")),_xll.PIArcVal(Real!$L$8,Real!$B21,0,"MLPfaepi01","exact time"),"")</f>
        <v>91.060718516678335</v>
      </c>
      <c r="M22" s="2062">
        <f>IF($M$3&gt;=$B22,_xll.PICalcVal(M$8,$B21,$B22,"average", 1, 0,""),"")</f>
        <v>26.857676001075948</v>
      </c>
      <c r="N22" s="16">
        <f t="shared" si="147"/>
        <v>2867.5080569330084</v>
      </c>
      <c r="O22" s="16">
        <f>IF($M$3&gt;=$B22,SUM(N$9:N22),"")</f>
        <v>40386.317766745728</v>
      </c>
      <c r="P22" s="16">
        <f t="shared" si="148"/>
        <v>770.14602323581585</v>
      </c>
      <c r="Q22" s="16">
        <f>IF($M$3&gt;=$B22,SUM(P$9:P22),"")</f>
        <v>10385.977196106469</v>
      </c>
      <c r="R22" s="461">
        <f>IF($M$3&gt;=$B22,_xll.PICalcVal(R$8,$B21,$B22,"average", 1, 0,"")*10000,"")</f>
        <v>265.11258551932724</v>
      </c>
      <c r="S22" s="133">
        <f>IF($M$3&gt;=$B22,_xll.PICalcVal(S$8,$B21,$B22,"average", 1, 0,""),"")</f>
        <v>92.366651892299217</v>
      </c>
      <c r="T22" s="133">
        <f>IF($M$3&gt;=$B22,_xll.PICalcVal(T$8,$B21,$B22,"average", 1, 0,""),"")</f>
        <v>91</v>
      </c>
      <c r="U22" s="133">
        <f t="shared" si="149"/>
        <v>84.053653221992278</v>
      </c>
      <c r="V22" s="462">
        <f>IF($M$3&gt;=$B22,_xll.PICalcVal(V$8,$B21,$B22,"average", 1, 0,""),"")</f>
        <v>48.270430461397723</v>
      </c>
      <c r="W22" s="16">
        <f t="shared" si="150"/>
        <v>86.981056559552201</v>
      </c>
      <c r="X22" s="16">
        <f>IF($M$3&gt;=$B22,SUM(W$9:W22),"")</f>
        <v>809.82711024752462</v>
      </c>
      <c r="Y22" s="50">
        <f t="shared" si="151"/>
        <v>41.986130421167665</v>
      </c>
      <c r="Z22" s="440">
        <f>IF($M$3&gt;=$B22,SUM(Y$9:Y22),"")</f>
        <v>407.51256584581034</v>
      </c>
      <c r="AA22" s="463">
        <f>IF($M$3&gt;=$B22,_xll.PICalcVal(AA$8,$B21,$B22,"average", 1, 0,""),"")</f>
        <v>36.136825100000017</v>
      </c>
      <c r="AB22" s="440">
        <f>IF($M$3&gt;=$B22,SUM(AA$9:AA22),"")</f>
        <v>518.55296802807266</v>
      </c>
      <c r="AC22" s="1730">
        <f>IF($M$3&gt;=$B22,_xll.PICalcVal(AC$8,($B21+2/24),($B22+2/24),"average", 1, 0,""),"")</f>
        <v>85.574386596679688</v>
      </c>
      <c r="AD22" s="1730">
        <f>IF($M$3&gt;=$B22,_xll.PICalcVal(AD$8,$B21,$B22,"average", 1, 0,""),"")</f>
        <v>69.448814392089844</v>
      </c>
      <c r="AE22" s="218">
        <f t="shared" si="152"/>
        <v>21.400749721323734</v>
      </c>
      <c r="AF22" s="218">
        <f>IF($M$3&gt;=$B22,_xll.PICalcVal(AF$8,$B21,$B22,"average", 1, 0,""),"")</f>
        <v>549.16666666666663</v>
      </c>
      <c r="AG22" s="451">
        <f t="shared" si="153"/>
        <v>151.40248199999999</v>
      </c>
      <c r="AH22" s="450">
        <f t="shared" si="154"/>
        <v>188.41649098777771</v>
      </c>
      <c r="AI22" s="450">
        <f t="shared" si="155"/>
        <v>5970.6992702133375</v>
      </c>
      <c r="AJ22" s="450">
        <f t="shared" si="156"/>
        <v>1987.7345066192106</v>
      </c>
      <c r="AK22" s="21">
        <f t="shared" si="157"/>
        <v>7954.2727475922075</v>
      </c>
      <c r="AL22" s="22">
        <f>IF($M$3&gt;=$B22,_xll.PICalcVal(AL$8,$B21,$B22,"average", 1, 0,""),"")</f>
        <v>3728.71875</v>
      </c>
      <c r="AM22" s="22">
        <f>IF($M$3&gt;=$B22,_xll.PICalcVal(AM$8,$B21,$B22,"average", 1, 0,""),"")</f>
        <v>25.92</v>
      </c>
      <c r="AN22" s="21">
        <f t="shared" si="158"/>
        <v>966.48389999999995</v>
      </c>
      <c r="AO22" s="16">
        <f>IF($M$3&gt;=$B22,_xll.PICalcVal(AO$8,$B21,$B22,"average", 1, 0,""),"")</f>
        <v>2665.0686157279829</v>
      </c>
      <c r="AP22" s="32">
        <f>IF($M$3&gt;=$B22,_xll.PICalcVal(AP$8,$B21,$B22,"average", 1, 0,""),"")</f>
        <v>25.52902971040816</v>
      </c>
      <c r="AQ22" s="21">
        <f t="shared" si="159"/>
        <v>680.36615871196034</v>
      </c>
      <c r="AR22" s="449">
        <f t="shared" si="160"/>
        <v>654.51224468090584</v>
      </c>
      <c r="AS22" s="272">
        <f>IF(ISNUMBER(_xll.PIArcVal(Real!AS$8,Real!$B21,0,"","exact time")),_xll.PIArcVal(Real!AS$8,Real!$B21,0,"","exact time"),"")</f>
        <v>4.8530058860778809</v>
      </c>
      <c r="AT22" s="1762">
        <f>IF(ISNUMBER(_xll.PIAdvCalcVal(Real!$AT$8,Real!$B21,Real!$B22,"average","time-weighted",0,1,0,"MLPfaepi01")),_xll.PIAdvCalcVal(Real!$AT$8,Real!$B21,Real!$B22,"average","time-weighted",0,1,0,"MLPfaepi01"),"")</f>
        <v>4.1913903079099128</v>
      </c>
      <c r="AU22" s="2100">
        <f>IF($M$3&gt;=$B22,_xll.PICalcVal(AU$8,$B21,$B22,"average", 1, 0,""),"")</f>
        <v>37.591156005859375</v>
      </c>
      <c r="AV22" s="61">
        <f>IF($M$3&gt;=$B22,_xll.PICalcVal(AV$8,$B21,$B22,"average", 1, 0,""),"")</f>
        <v>203.96794766912714</v>
      </c>
      <c r="AW22" s="3972">
        <f>IF($C$1&gt;=$B22,_xll.PICalcVal(AW$8,$B21,$B22,"average", 1, 0,""),"")</f>
        <v>427993.1796875</v>
      </c>
      <c r="AX22" s="3972">
        <f>IF($C$1&gt;=$B22,_xll.PICalcVal(AX$8,$B21,$B22,"average", 1, 0,""),"")</f>
        <v>271.62990125020343</v>
      </c>
      <c r="AY22" s="16">
        <f>IF(ISNUMBER(_xll.PIArcVal($AY$8,$B21,0,"","exact time")),_xll.PIArcVal($AY$8,$B21,0,"","exact time"),"")</f>
        <v>1879.150146484375</v>
      </c>
      <c r="AZ22" s="16">
        <f>IF(ISNUMBER(_xll.PIArcVal($AZ$8,$B21,0,"","exact time")),_xll.PIArcVal($AZ$8,$B21,0,"","exact time"),"")</f>
        <v>2217.3735796487103</v>
      </c>
      <c r="BA22" s="16">
        <f>IF(ISNUMBER(_xll.PIArcVal($BA$8,$B21,0,"","exact time")),_xll.PIArcVal($BA$8,$B21,0,"","exact time"),"")</f>
        <v>1937.3115234375</v>
      </c>
      <c r="BB22" s="32">
        <f>IF(ISNUMBER(_xll.PIAdvCalcVal($BB$8,$B21,$B22,"average","time-weighted",0,1,0,"")),_xll.PIAdvCalcVal($BB$8,$B21,$B22,"average","time-weighted",0,1,0,""),"")</f>
        <v>22.666666666666668</v>
      </c>
      <c r="BC22" s="32">
        <f>IF(ISNUMBER(_xll.PIAdvCalcVal($BC$8,$B21,$B22,"average","time-weighted",0,1,0,"")),_xll.PIAdvCalcVal($BC$8,$B21,$B22,"average","time-weighted",0,1,0,""),"")</f>
        <v>21.333333333333332</v>
      </c>
      <c r="BD22" s="32">
        <f>IF(ISNUMBER(_xll.PIAdvCalcVal(BD$8,$B21,$B22,"average","time-weighted",0,1,0,"")),_xll.PIAdvCalcVal(BD$8,$B21,$B22,"average","time-weighted",0,1,0,""),"")</f>
        <v>20.25</v>
      </c>
      <c r="BE22" s="16">
        <f t="shared" si="161"/>
        <v>39578.068257553678</v>
      </c>
      <c r="BF22" s="16">
        <f>IF(ISNUMBER(_xll.PIAdvCalcVal(BF$8,$B21,$B22,"average","time-weighted",0,1,0,"")),_xll.PIAdvCalcVal(BF$8,$B21,$B22,"average","time-weighted",0,1,0,""),"")</f>
        <v>15951.436048816324</v>
      </c>
      <c r="BG22" s="16">
        <f t="shared" si="162"/>
        <v>47421.589068901223</v>
      </c>
      <c r="BH22" s="16">
        <f>IF(ISNUMBER(_xll.PIAdvCalcVal(BH$8,$B21,$B22,"average","time-weighted",0,1,0,"")),_xll.PIAdvCalcVal(BH$8,$B21,$B22,"average","time-weighted",0,1,0,""),"")</f>
        <v>11991.594729953309</v>
      </c>
      <c r="BI22" s="2592">
        <f>IF(ISNUMBER(_xll.PIAdvCalcVal(BI$8,$B21,$B22,"average","time-weighted",0,1,0,"")),_xll.PIAdvCalcVal(BI$8,$B21,$B22,"average","time-weighted",0,1,0,""),"")</f>
        <v>12752.51811875414</v>
      </c>
      <c r="BJ22" s="16">
        <f>IF(ISNUMBER(_xll.PIAdvCalcVal(BJ$8,$B21,$B22,"average","time-weighted",0,1,0,"")),_xll.PIAdvCalcVal(BJ$8,$B21,$B22,"average","time-weighted",0,1,0,""),"")</f>
        <v>6972.8680192583925</v>
      </c>
      <c r="BK22" s="16">
        <f>IF(ISNUMBER(_xll.PIAdvCalcVal(BK$8,$B21,$B22,"average","time-weighted",0,1,0,"")),_xll.PIAdvCalcVal(BK$8,$B21,$B22,"average","time-weighted",0,1,0,""),"")</f>
        <v>7006.4214050628952</v>
      </c>
      <c r="BL22" s="2592">
        <f>IF(ISNUMBER(_xll.PIAdvCalcVal(BL$8,$B21,$B22,"average","time-weighted",0,1,0,"")),_xll.PIAdvCalcVal(BL$8,$B21,$B22,"average","time-weighted",0,1,0,""),"")</f>
        <v>13306.143959589888</v>
      </c>
      <c r="BM22" s="16">
        <f>IF(ISNUMBER(_xll.PIAdvCalcVal(BM$8,$B21,$B22,"average","time-weighted",0,1,0,"")),_xll.PIAdvCalcVal(BM$8,$B21,$B22,"average","time-weighted",0,1,0,""),"")</f>
        <v>7582.0206114244147</v>
      </c>
      <c r="BN22" s="16">
        <f>IF(ISNUMBER(_xll.PIAdvCalcVal(BN$8,$B21,$B22,"average","time-weighted",0,1,0,"")),_xll.PIAdvCalcVal(BN$8,$B21,$B22,"average","time-weighted",0,1,0,""),"")</f>
        <v>7362.814363460262</v>
      </c>
      <c r="BO22" s="2592">
        <f>IF(ISNUMBER(_xll.PIAdvCalcVal(BO$8,$B21,$B22,"average","time-weighted",0,1,0,"")),_xll.PIAdvCalcVal(BO$8,$B21,$B22,"average","time-weighted",0,1,0,""),"")</f>
        <v>13519.406179209644</v>
      </c>
      <c r="BP22" s="16">
        <f>IF(ISNUMBER(_xll.PIAdvCalcVal(BP$8,$B21,$B22,"average","time-weighted",0,1,0,"")),_xll.PIAdvCalcVal(BP$8,$B21,$B22,"average","time-weighted",0,1,0,""),"")</f>
        <v>7689.4592257228014</v>
      </c>
      <c r="BQ22" s="16">
        <f>IF(ISNUMBER(_xll.PIAdvCalcVal(BQ$8,$B21,$B22,"average","time-weighted",0,1,0,"")),_xll.PIAdvCalcVal(BQ$8,$B21,$B22,"average","time-weighted",0,1,0,""),"")</f>
        <v>10808.005443972463</v>
      </c>
      <c r="BR22" s="2304">
        <f t="shared" si="163"/>
        <v>6.5593551398955343</v>
      </c>
      <c r="BS22" s="2304">
        <f t="shared" si="164"/>
        <v>6.7863220736311591</v>
      </c>
      <c r="BT22" s="2304">
        <f t="shared" si="165"/>
        <v>6.0008579888003934</v>
      </c>
      <c r="BU22" s="2304">
        <f t="shared" si="166"/>
        <v>6.9784368779375594</v>
      </c>
      <c r="BV22" s="2304">
        <f t="shared" si="167"/>
        <v>8.024932905122693</v>
      </c>
      <c r="BW22" s="62">
        <f>IF(ISNUMBER(_xll.PIAdvCalcVal(BW$8,$B21,$B22,"average","time-weighted",0,1,0,"")),_xll.PIAdvCalcVal(BW$8,$B21,$B22,"average","time-weighted",0,1,0,""),"")</f>
        <v>236.96464538574219</v>
      </c>
    </row>
    <row r="23" spans="1:75" ht="14.15" customHeight="1">
      <c r="A23" s="4564" t="s">
        <v>328</v>
      </c>
      <c r="B23" s="585">
        <f t="shared" si="41"/>
        <v>46096.791666666664</v>
      </c>
      <c r="C23" s="459">
        <f>IF($M$3&gt;=$B23,_xll.PICalcVal(C$8,$B22,$B23,"total", 1, 0,"")*0.9772,"")</f>
        <v>199249.1256</v>
      </c>
      <c r="D23" s="459">
        <f>IF($M$3&gt;=$B23,_xll.PICalcVal(D$8,$B22,$B23,"total", 1, 0,"")*0.9772,"")</f>
        <v>456144.25639999995</v>
      </c>
      <c r="E23" s="12">
        <f>IF($M$3&gt;=$B23,_xll.PICalcVal(E$8,$B22,$B23,"average", 1, 0,""),"")</f>
        <v>196432.52658081055</v>
      </c>
      <c r="F23" s="12">
        <f>IF($M$3&gt;=$B23,_xll.PICalcVal(F$8,$B22,$B23,"average", 1, 0,""),"")</f>
        <v>48349.4453125</v>
      </c>
      <c r="G23" s="12">
        <f t="shared" ref="G23" si="168">+IF(ISNUMBER(E23-F23),E23-F23,"")</f>
        <v>148083.08126831055</v>
      </c>
      <c r="H23" s="460">
        <f t="shared" ref="H23" si="169">+IF(ISNUMBER(J23-I23*$I$4)/$H$4,(J23-I23*$I$4)/$H$4,"")</f>
        <v>96.037580556891996</v>
      </c>
      <c r="I23" s="2062">
        <f>IF(ISNUMBER(_xll.PIArcVal(Real!$I$8,Real!$B22,0,"MLPfaepi01","exact time")),_xll.PIArcVal(Real!$I$8,Real!$B22,0,"MLPfaepi01","exact time"),"")</f>
        <v>100</v>
      </c>
      <c r="J23" s="2062">
        <f>IF($M$3&gt;=$B23,_xll.PICalcVal(J$8,$B22,$B23,"average", 1, 0,""),"")</f>
        <v>96.767497842506927</v>
      </c>
      <c r="K23" s="460">
        <f>IF($M$3&gt;=$B23,_xll.PICalcVal(K$8,$B22,$B23,"average", 1, 0,""),"")</f>
        <v>0.50152470580131181</v>
      </c>
      <c r="L23" s="133">
        <f>IF(ISNUMBER(_xll.PIArcVal(Real!$L$8,Real!$B22,0,"MLPfaepi01","exact time")),_xll.PIArcVal(Real!$L$8,Real!$B22,0,"MLPfaepi01","exact time"),"")</f>
        <v>89.632065303415771</v>
      </c>
      <c r="M23" s="2062">
        <f>IF($M$3&gt;=$B23,_xll.PICalcVal(M$8,$B22,$B23,"average", 1, 0,""),"")</f>
        <v>27.739082253931837</v>
      </c>
      <c r="N23" s="16">
        <f t="shared" ref="N23" si="170">IF(ISNUMBER(+E23*K23*L23/M23/100),+E23*K23*L23/M23/100,"")</f>
        <v>3183.296192107724</v>
      </c>
      <c r="O23" s="16">
        <f>IF($M$3&gt;=$B23,SUM(N$9:N23),"")</f>
        <v>43569.61395885345</v>
      </c>
      <c r="P23" s="16">
        <f t="shared" ref="P23" si="171">IF(ISNUMBER(+N23*M23/100),+N23*M23/100,"")</f>
        <v>883.01714911504155</v>
      </c>
      <c r="Q23" s="16">
        <f>IF($M$3&gt;=$B23,SUM(P$9:P23),"")</f>
        <v>11268.99434522151</v>
      </c>
      <c r="R23" s="461">
        <f>IF($M$3&gt;=$B23,_xll.PICalcVal(R$8,$B22,$B23,"average", 1, 0,"")*10000,"")</f>
        <v>248.15478246911778</v>
      </c>
      <c r="S23" s="133">
        <f>IF($M$3&gt;=$B23,_xll.PICalcVal(S$8,$B22,$B23,"average", 1, 0,""),"")</f>
        <v>89.485051903885761</v>
      </c>
      <c r="T23" s="133">
        <f>IF($M$3&gt;=$B23,_xll.PICalcVal(T$8,$B22,$B23,"average", 1, 0,""),"")</f>
        <v>91.8</v>
      </c>
      <c r="U23" s="133">
        <f t="shared" ref="U23" si="172">IF(ISNUMBER(S23*T23/100),S23*T23/100,"")</f>
        <v>82.147277647767126</v>
      </c>
      <c r="V23" s="462">
        <f>IF($M$3&gt;=$B23,_xll.PICalcVal(V$8,$B22,$B23,"average", 1, 0,""),"")</f>
        <v>48.391985391848749</v>
      </c>
      <c r="W23" s="16">
        <f t="shared" ref="W23" si="173">IF(ISNUMBER(Y23/V23*100),Y23/V23*100,"")</f>
        <v>82.747672562173008</v>
      </c>
      <c r="X23" s="16">
        <f>IF($M$3&gt;=$B23,SUM(W$9:W23),"")</f>
        <v>892.57478280969758</v>
      </c>
      <c r="Y23" s="50">
        <f t="shared" ref="Y23" si="174">IF(ISNUMBER(E23*R23/1000000*U23/100),(E23*R23/1000000*U23/100),"")</f>
        <v>40.0432416183816</v>
      </c>
      <c r="Z23" s="440">
        <f>IF($M$3&gt;=$B23,SUM(Y$9:Y23),"")</f>
        <v>447.55580746419196</v>
      </c>
      <c r="AA23" s="463">
        <f>IF($M$3&gt;=$B23,_xll.PICalcVal(AA$8,$B22,$B23,"average", 1, 0,""),"")</f>
        <v>38.957000000000001</v>
      </c>
      <c r="AB23" s="440">
        <f>IF($M$3&gt;=$B23,SUM(AA$9:AA23),"")</f>
        <v>557.50996802807265</v>
      </c>
      <c r="AC23" s="1730">
        <f>IF($M$3&gt;=$B23,_xll.PICalcVal(AC$8,($B22+2/24),($B23+2/24),"average", 1, 0,""),"")</f>
        <v>78.537673950195313</v>
      </c>
      <c r="AD23" s="1730">
        <f>IF($M$3&gt;=$B23,_xll.PICalcVal(AD$8,$B22,$B23,"average", 1, 0,""),"")</f>
        <v>56.61859130859375</v>
      </c>
      <c r="AE23" s="218">
        <f t="shared" ref="AE23" si="175">+IF(ISNUMBER(SUMPRODUCT(AY23:BA23,BB23:BD23)/SUM(AY23:BA23)),(SUMPRODUCT(AY23:BA23,BB23:BD23)/SUM(AY23:BA23)),"")</f>
        <v>19.068582309827722</v>
      </c>
      <c r="AF23" s="218">
        <f>IF($M$3&gt;=$B23,_xll.PICalcVal(AF$8,$B22,$B23,"average", 1, 0,""),"")</f>
        <v>473.16666666666669</v>
      </c>
      <c r="AG23" s="451">
        <f t="shared" ref="AG23" si="176">IF(ISNUMBER(C23),C23/1000,"")</f>
        <v>199.24912560000001</v>
      </c>
      <c r="AH23" s="450">
        <f t="shared" ref="AH23" si="177">IF(ISNUMBER(E23),E23/1000,"")</f>
        <v>196.43252658081056</v>
      </c>
      <c r="AI23" s="450">
        <f t="shared" ref="AI23" si="178">IF(ISNUMBER(G23/(24*H23/100)),G23/(24*H23/100),"")</f>
        <v>6424.7020285194149</v>
      </c>
      <c r="AJ23" s="450">
        <f t="shared" ref="AJ23" si="179">IF(ISNUMBER(F23/(24*I23/100)),F23/(24*I23/100),"")</f>
        <v>2014.5602213541667</v>
      </c>
      <c r="AK23" s="21">
        <f t="shared" ref="AK23" si="180">IF(ISNUMBER(E23/(24*J23/100)),E23/(24*J23/100),"")</f>
        <v>8458.0967680436352</v>
      </c>
      <c r="AL23" s="22">
        <f>IF($M$3&gt;=$B23,_xll.PICalcVal(AL$8,$B22,$B23,"average", 1, 0,""),"")</f>
        <v>3696.66064453125</v>
      </c>
      <c r="AM23" s="22">
        <f>IF($M$3&gt;=$B23,_xll.PICalcVal(AM$8,$B22,$B23,"average", 1, 0,""),"")</f>
        <v>27.47</v>
      </c>
      <c r="AN23" s="21">
        <f t="shared" ref="AN23" si="181">IF(ISNUMBER(AL23*AM23/100),(AL23*AM23/100),"")</f>
        <v>1015.4726790527343</v>
      </c>
      <c r="AO23" s="16">
        <f>IF($M$3&gt;=$B23,_xll.PICalcVal(AO$8,$B22,$B23,"average", 1, 0,""),"")</f>
        <v>3466.0088072953054</v>
      </c>
      <c r="AP23" s="32">
        <f>IF($M$3&gt;=$B23,_xll.PICalcVal(AP$8,$B22,$B23,"average", 1, 0,""),"")</f>
        <v>25.593761048129746</v>
      </c>
      <c r="AQ23" s="21">
        <f t="shared" ref="AQ23" si="182">IF(ISNUMBER(AO23*AP23/100),(AO23*AP23/100),"")</f>
        <v>887.08201204629222</v>
      </c>
      <c r="AR23" s="449">
        <f t="shared" ref="AR23" si="183">+AQ23*0.962</f>
        <v>853.37289558853308</v>
      </c>
      <c r="AS23" s="272">
        <f>IF(ISNUMBER(_xll.PIArcVal(Real!AS$8,Real!$B22,0,"","exact time")),_xll.PIArcVal(Real!AS$8,Real!$B22,0,"","exact time"),"")</f>
        <v>4.4734606742858887</v>
      </c>
      <c r="AT23" s="1762">
        <f>IF(ISNUMBER(_xll.PIAdvCalcVal(Real!$AT$8,Real!$B22,Real!$B23,"average","time-weighted",0,1,0,"MLPfaepi01")),_xll.PIAdvCalcVal(Real!$AT$8,Real!$B22,Real!$B23,"average","time-weighted",0,1,0,"MLPfaepi01"),"")</f>
        <v>6.4377268509732355</v>
      </c>
      <c r="AU23" s="2100">
        <f>IF($M$3&gt;=$B23,_xll.PICalcVal(AU$8,$B22,$B23,"average", 1, 0,""),"")</f>
        <v>38.568299611409508</v>
      </c>
      <c r="AV23" s="61">
        <f>IF($M$3&gt;=$B23,_xll.PICalcVal(AV$8,$B22,$B23,"average", 1, 0,""),"")</f>
        <v>209.39771345939471</v>
      </c>
      <c r="AW23" s="3972">
        <f>IF($C$1&gt;=$B23,_xll.PICalcVal(AW$8,$B22,$B23,"average", 1, 0,""),"")</f>
        <v>408455.71744791669</v>
      </c>
      <c r="AX23" s="3972">
        <f>IF($C$1&gt;=$B23,_xll.PICalcVal(AX$8,$B22,$B23,"average", 1, 0,""),"")</f>
        <v>221.31625684102377</v>
      </c>
      <c r="AY23" s="16">
        <f>IF(ISNUMBER(_xll.PIArcVal($AY$8,$B22,0,"","exact time")),_xll.PIArcVal($AY$8,$B22,0,"","exact time"),"")</f>
        <v>2012.2773742675779</v>
      </c>
      <c r="AZ23" s="16">
        <f>IF(ISNUMBER(_xll.PIArcVal($AZ$8,$B22,0,"","exact time")),_xll.PIArcVal($AZ$8,$B22,0,"","exact time"),"")</f>
        <v>2333.607177734375</v>
      </c>
      <c r="BA23" s="16">
        <f>IF(ISNUMBER(_xll.PIArcVal($BA$8,$B22,0,"","exact time")),_xll.PIArcVal($BA$8,$B22,0,"","exact time"),"")</f>
        <v>2091.8802897135415</v>
      </c>
      <c r="BB23" s="32">
        <f>IF(ISNUMBER(_xll.PIAdvCalcVal($BB$8,$B22,$B23,"average","time-weighted",0,1,0,"")),_xll.PIAdvCalcVal($BB$8,$B22,$B23,"average","time-weighted",0,1,0,""),"")</f>
        <v>17.833333333333332</v>
      </c>
      <c r="BC23" s="32">
        <f>IF(ISNUMBER(_xll.PIAdvCalcVal($BC$8,$B22,$B23,"average","time-weighted",0,1,0,"")),_xll.PIAdvCalcVal($BC$8,$B22,$B23,"average","time-weighted",0,1,0,""),"")</f>
        <v>19</v>
      </c>
      <c r="BD23" s="32">
        <f>IF(ISNUMBER(_xll.PIAdvCalcVal(BD$8,$B22,$B23,"average","time-weighted",0,1,0,"")),_xll.PIAdvCalcVal(BD$8,$B22,$B23,"average","time-weighted",0,1,0,""),"")</f>
        <v>20.333333333333332</v>
      </c>
      <c r="BE23" s="16">
        <f t="shared" ref="BE23" si="184">+BI23+BL23+BO23</f>
        <v>38263.25656860321</v>
      </c>
      <c r="BF23" s="16">
        <f>IF(ISNUMBER(_xll.PIAdvCalcVal(BF$8,$B22,$B23,"average","time-weighted",0,1,0,"")),_xll.PIAdvCalcVal(BF$8,$B22,$B23,"average","time-weighted",0,1,0,""),"")</f>
        <v>15927.914048884111</v>
      </c>
      <c r="BG23" s="16">
        <f t="shared" ref="BG23" si="185">+BJ23+BK23+BM23+BN23+BP23+BQ23</f>
        <v>46739.334885325552</v>
      </c>
      <c r="BH23" s="16">
        <f>IF(ISNUMBER(_xll.PIAdvCalcVal(BH$8,$B22,$B23,"average","time-weighted",0,1,0,"")),_xll.PIAdvCalcVal(BH$8,$B22,$B23,"average","time-weighted",0,1,0,""),"")</f>
        <v>12026.572420714287</v>
      </c>
      <c r="BI23" s="2592">
        <f>IF(ISNUMBER(_xll.PIAdvCalcVal(BI$8,$B22,$B23,"average","time-weighted",0,1,0,"")),_xll.PIAdvCalcVal(BI$8,$B22,$B23,"average","time-weighted",0,1,0,""),"")</f>
        <v>11260.378816498298</v>
      </c>
      <c r="BJ23" s="16">
        <f>IF(ISNUMBER(_xll.PIAdvCalcVal(BJ$8,$B22,$B23,"average","time-weighted",0,1,0,"")),_xll.PIAdvCalcVal(BJ$8,$B22,$B23,"average","time-weighted",0,1,0,""),"")</f>
        <v>6960.2783741327385</v>
      </c>
      <c r="BK23" s="16">
        <f>IF(ISNUMBER(_xll.PIAdvCalcVal(BK$8,$B22,$B23,"average","time-weighted",0,1,0,"")),_xll.PIAdvCalcVal(BK$8,$B22,$B23,"average","time-weighted",0,1,0,""),"")</f>
        <v>7036.7074630171655</v>
      </c>
      <c r="BL23" s="2592">
        <f>IF(ISNUMBER(_xll.PIAdvCalcVal(BL$8,$B22,$B23,"average","time-weighted",0,1,0,"")),_xll.PIAdvCalcVal(BL$8,$B22,$B23,"average","time-weighted",0,1,0,""),"")</f>
        <v>13587.867239439753</v>
      </c>
      <c r="BM23" s="16">
        <f>IF(ISNUMBER(_xll.PIAdvCalcVal(BM$8,$B22,$B23,"average","time-weighted",0,1,0,"")),_xll.PIAdvCalcVal(BM$8,$B22,$B23,"average","time-weighted",0,1,0,""),"")</f>
        <v>7557.4457656044378</v>
      </c>
      <c r="BN23" s="16">
        <f>IF(ISNUMBER(_xll.PIAdvCalcVal(BN$8,$B22,$B23,"average","time-weighted",0,1,0,"")),_xll.PIAdvCalcVal(BN$8,$B22,$B23,"average","time-weighted",0,1,0,""),"")</f>
        <v>7390.8714671987527</v>
      </c>
      <c r="BO23" s="2592">
        <f>IF(ISNUMBER(_xll.PIAdvCalcVal(BO$8,$B22,$B23,"average","time-weighted",0,1,0,"")),_xll.PIAdvCalcVal(BO$8,$B22,$B23,"average","time-weighted",0,1,0,""),"")</f>
        <v>13415.010512665163</v>
      </c>
      <c r="BP23" s="16">
        <f>IF(ISNUMBER(_xll.PIAdvCalcVal(BP$8,$B22,$B23,"average","time-weighted",0,1,0,"")),_xll.PIAdvCalcVal(BP$8,$B22,$B23,"average","time-weighted",0,1,0,""),"")</f>
        <v>7154.7411333541086</v>
      </c>
      <c r="BQ23" s="16">
        <f>IF(ISNUMBER(_xll.PIAdvCalcVal(BQ$8,$B22,$B23,"average","time-weighted",0,1,0,"")),_xll.PIAdvCalcVal(BQ$8,$B22,$B23,"average","time-weighted",0,1,0,""),"")</f>
        <v>10639.290682018351</v>
      </c>
      <c r="BR23" s="2304">
        <f t="shared" ref="BR23" si="186">+BE23/SUM(AY23:BA23)</f>
        <v>5.9435623247162699</v>
      </c>
      <c r="BS23" s="2304">
        <f t="shared" ref="BS23" si="187">+BI23/AY23</f>
        <v>5.5958383076273535</v>
      </c>
      <c r="BT23" s="2304">
        <f t="shared" ref="BT23" si="188">+BL23/AZ23</f>
        <v>5.8226883123627431</v>
      </c>
      <c r="BU23" s="2304">
        <f t="shared" ref="BU23" si="189">+BO23/BA23</f>
        <v>6.4128958901860447</v>
      </c>
      <c r="BV23" s="2304">
        <f t="shared" ref="BV23" si="190">+BF23/AJ23</f>
        <v>7.9063975750387501</v>
      </c>
      <c r="BW23" s="62">
        <f>IF(ISNUMBER(_xll.PIAdvCalcVal(BW$8,$B22,$B23,"average","time-weighted",0,1,0,"")),_xll.PIAdvCalcVal(BW$8,$B22,$B23,"average","time-weighted",0,1,0,""),"")</f>
        <v>87.289543151855469</v>
      </c>
    </row>
    <row r="24" spans="1:75" ht="14.15" customHeight="1">
      <c r="A24" s="4565"/>
      <c r="B24" s="11">
        <f t="shared" si="41"/>
        <v>46097.791666666664</v>
      </c>
      <c r="C24" s="459">
        <f>IF($M$3&gt;=$B24,_xll.PICalcVal(C$8,$B23,$B24,"total", 1, 0,"")*0.9772,"")</f>
        <v>242801.95239999998</v>
      </c>
      <c r="D24" s="459">
        <f>IF($M$3&gt;=$B24,_xll.PICalcVal(D$8,$B23,$B24,"total", 1, 0,"")*0.9772,"")</f>
        <v>495057.33759999997</v>
      </c>
      <c r="E24" s="12">
        <f>IF($M$3&gt;=$B24,_xll.PICalcVal(E$8,$B23,$B24,"average", 1, 0,""),"")</f>
        <v>202874.56951904297</v>
      </c>
      <c r="F24" s="12">
        <f>IF($M$3&gt;=$B24,_xll.PICalcVal(F$8,$B23,$B24,"average", 1, 0,""),"")</f>
        <v>48400.546875</v>
      </c>
      <c r="G24" s="12">
        <f t="shared" ref="G24" si="191">+IF(ISNUMBER(E24-F24),E24-F24,"")</f>
        <v>154474.02264404297</v>
      </c>
      <c r="H24" s="460">
        <f t="shared" ref="H24:H25" si="192">+IF(ISNUMBER(J24-I24*$I$4)/$H$4,(J24-I24*$I$4)/$H$4,"")</f>
        <v>96.036194077696607</v>
      </c>
      <c r="I24" s="2062">
        <f>IF(ISNUMBER(_xll.PIArcVal(Real!$I$8,Real!$B23,0,"MLPfaepi01","exact time")),_xll.PIArcVal(Real!$I$8,Real!$B23,0,"MLPfaepi01","exact time"),"")</f>
        <v>100</v>
      </c>
      <c r="J24" s="2062">
        <f>IF($M$3&gt;=$B24,_xll.PICalcVal(J$8,$B23,$B24,"average", 1, 0,""),"")</f>
        <v>96.766366766644126</v>
      </c>
      <c r="K24" s="460">
        <f>IF($M$3&gt;=$B24,_xll.PICalcVal(K$8,$B23,$B24,"average", 1, 0,""),"")</f>
        <v>0.467733572529271</v>
      </c>
      <c r="L24" s="133">
        <f>IF(ISNUMBER(_xll.PIArcVal(Real!$L$8,Real!$B23,0,"MLPfaepi01","exact time")),_xll.PIArcVal(Real!$L$8,Real!$B23,0,"MLPfaepi01","exact time"),"")</f>
        <v>90.447779795990385</v>
      </c>
      <c r="M24" s="2062">
        <f>IF($M$3&gt;=$B24,_xll.PICalcVal(M$8,$B23,$B24,"average", 1, 0,""),"")</f>
        <v>25.476195229938828</v>
      </c>
      <c r="N24" s="16">
        <f t="shared" ref="N24:N25" si="193">IF(ISNUMBER(+E24*K24*L24/M24/100),+E24*K24*L24/M24/100,"")</f>
        <v>3368.9106837660856</v>
      </c>
      <c r="O24" s="16">
        <f>IF($M$3&gt;=$B24,SUM(N$9:N24),"")</f>
        <v>46938.524642619537</v>
      </c>
      <c r="P24" s="16">
        <f t="shared" ref="P24:P25" si="194">IF(ISNUMBER(+N24*M24/100),+N24*M24/100,"")</f>
        <v>858.27026291851507</v>
      </c>
      <c r="Q24" s="16">
        <f>IF($M$3&gt;=$B24,SUM(P$9:P24),"")</f>
        <v>12127.264608140025</v>
      </c>
      <c r="R24" s="461">
        <f>IF($M$3&gt;=$B24,_xll.PICalcVal(R$8,$B23,$B24,"average", 1, 0,"")*10000,"")</f>
        <v>162.5607758546133</v>
      </c>
      <c r="S24" s="133">
        <f>IF($M$3&gt;=$B24,_xll.PICalcVal(S$8,$B23,$B24,"average", 1, 0,""),"")</f>
        <v>87.920187059157087</v>
      </c>
      <c r="T24" s="133">
        <f>IF($M$3&gt;=$B24,_xll.PICalcVal(T$8,$B23,$B24,"average", 1, 0,""),"")</f>
        <v>89.5</v>
      </c>
      <c r="U24" s="133">
        <f t="shared" ref="U24" si="195">IF(ISNUMBER(S24*T24/100),S24*T24/100,"")</f>
        <v>78.688567417945592</v>
      </c>
      <c r="V24" s="462">
        <f>IF($M$3&gt;=$B24,_xll.PICalcVal(V$8,$B23,$B24,"average", 1, 0,""),"")</f>
        <v>3.3742705090273684</v>
      </c>
      <c r="W24" s="16">
        <f t="shared" ref="W24" si="196">IF(ISNUMBER(Y24/V24*100),Y24/V24*100,"")</f>
        <v>769.08637435690844</v>
      </c>
      <c r="X24" s="16">
        <f>IF($M$3&gt;=$B24,SUM(W$9:W24),"")</f>
        <v>1661.661157166606</v>
      </c>
      <c r="Y24" s="50">
        <f t="shared" ref="Y24" si="197">IF(ISNUMBER(E24*R24/1000000*U24/100),(E24*R24/1000000*U24/100),"")</f>
        <v>25.951054718872989</v>
      </c>
      <c r="Z24" s="440">
        <f>IF($M$3&gt;=$B24,SUM(Y$9:Y24),"")</f>
        <v>473.50686218306492</v>
      </c>
      <c r="AA24" s="463">
        <f>IF($M$3&gt;=$B24,_xll.PICalcVal(AA$8,$B23,$B24,"average", 1, 0,""),"")</f>
        <v>2.4033503206511853</v>
      </c>
      <c r="AB24" s="440">
        <f>IF($M$3&gt;=$B24,SUM(AA$9:AA24),"")</f>
        <v>559.91331834872381</v>
      </c>
      <c r="AC24" s="1730">
        <f>IF($M$3&gt;=$B24,_xll.PICalcVal(AC$8,($B23+2/24),($B24+2/24),"average", 1, 0,""),"")</f>
        <v>76.773506164550781</v>
      </c>
      <c r="AD24" s="1730">
        <f>IF($M$3&gt;=$B24,_xll.PICalcVal(AD$8,$B23,$B24,"average", 1, 0,""),"")</f>
        <v>64.830177307128906</v>
      </c>
      <c r="AE24" s="218">
        <f t="shared" ref="AE24:AE25" si="198">+IF(ISNUMBER(SUMPRODUCT(AY24:BA24,BB24:BD24)/SUM(AY24:BA24)),(SUMPRODUCT(AY24:BA24,BB24:BD24)/SUM(AY24:BA24)),"")</f>
        <v>23.478859918414088</v>
      </c>
      <c r="AF24" s="218">
        <f>IF($M$3&gt;=$B24,_xll.PICalcVal(AF$8,$B23,$B24,"average", 1, 0,""),"")</f>
        <v>586.25</v>
      </c>
      <c r="AG24" s="451">
        <f t="shared" ref="AG24:AG25" si="199">IF(ISNUMBER(C24),C24/1000,"")</f>
        <v>242.80195239999998</v>
      </c>
      <c r="AH24" s="450">
        <f t="shared" ref="AH24:AH25" si="200">IF(ISNUMBER(E24),E24/1000,"")</f>
        <v>202.87456951904298</v>
      </c>
      <c r="AI24" s="450">
        <f t="shared" ref="AI24:AI25" si="201">IF(ISNUMBER(G24/(24*H24/100)),G24/(24*H24/100),"")</f>
        <v>6702.074849989549</v>
      </c>
      <c r="AJ24" s="450">
        <f t="shared" ref="AJ24:AJ25" si="202">IF(ISNUMBER(F24/(24*I24/100)),F24/(24*I24/100),"")</f>
        <v>2016.689453125</v>
      </c>
      <c r="AK24" s="21">
        <f t="shared" ref="AK24:AK25" si="203">IF(ISNUMBER(E24/(24*J24/100)),E24/(24*J24/100),"")</f>
        <v>8735.5838043175227</v>
      </c>
      <c r="AL24" s="22">
        <f>IF($M$3&gt;=$B24,_xll.PICalcVal(AL$8,$B23,$B24,"average", 1, 0,""),"")</f>
        <v>3723.693359375</v>
      </c>
      <c r="AM24" s="22">
        <f>IF($M$3&gt;=$B24,_xll.PICalcVal(AM$8,$B23,$B24,"average", 1, 0,""),"")</f>
        <v>26.8</v>
      </c>
      <c r="AN24" s="21">
        <f t="shared" ref="AN24:AN25" si="204">IF(ISNUMBER(AL24*AM24/100),(AL24*AM24/100),"")</f>
        <v>997.94982031250004</v>
      </c>
      <c r="AO24" s="16">
        <f>IF($M$3&gt;=$B24,_xll.PICalcVal(AO$8,$B23,$B24,"average", 1, 0,""),"")</f>
        <v>2817.7501734203638</v>
      </c>
      <c r="AP24" s="32">
        <f>IF($M$3&gt;=$B24,_xll.PICalcVal(AP$8,$B23,$B24,"average", 1, 0,""),"")</f>
        <v>27.033858314670162</v>
      </c>
      <c r="AQ24" s="21">
        <f t="shared" ref="AQ24:AQ25" si="205">IF(ISNUMBER(AO24*AP24/100),(AO24*AP24/100),"")</f>
        <v>761.74658954383403</v>
      </c>
      <c r="AR24" s="449">
        <f t="shared" ref="AR24:AR25" si="206">+AQ24*0.962</f>
        <v>732.80021914116833</v>
      </c>
      <c r="AS24" s="272">
        <f>IF(ISNUMBER(_xll.PIArcVal(Real!AS$8,Real!$B23,0,"","exact time")),_xll.PIArcVal(Real!AS$8,Real!$B23,0,"","exact time"),"")</f>
        <v>4.3253636360168457</v>
      </c>
      <c r="AT24" s="1762">
        <f>IF(ISNUMBER(_xll.PIAdvCalcVal(Real!$AT$8,Real!$B23,Real!$B24,"average","time-weighted",0,1,0,"MLPfaepi01")),_xll.PIAdvCalcVal(Real!$AT$8,Real!$B23,Real!$B24,"average","time-weighted",0,1,0,"MLPfaepi01"),"")</f>
        <v>6.1438097192004699</v>
      </c>
      <c r="AU24" s="2100">
        <f>IF($M$3&gt;=$B24,_xll.PICalcVal(AU$8,$B23,$B24,"average", 1, 0,""),"")</f>
        <v>38.450010617574058</v>
      </c>
      <c r="AV24" s="61">
        <f>IF($M$3&gt;=$B24,_xll.PICalcVal(AV$8,$B23,$B24,"average", 1, 0,""),"")</f>
        <v>218.18493202559094</v>
      </c>
      <c r="AW24" s="3972">
        <f>IF($C$1&gt;=$B24,_xll.PICalcVal(AW$8,$B23,$B24,"average", 1, 0,""),"")</f>
        <v>413517.13671875</v>
      </c>
      <c r="AX24" s="3972">
        <f>IF($C$1&gt;=$B24,_xll.PICalcVal(AX$8,$B23,$B24,"average", 1, 0,""),"")</f>
        <v>165.36261431376138</v>
      </c>
      <c r="AY24" s="16">
        <f>IF(ISNUMBER(_xll.PIArcVal($AY$8,$B23,0,"","exact time")),_xll.PIArcVal($AY$8,$B23,0,"","exact time"),"")</f>
        <v>2045.3812827797201</v>
      </c>
      <c r="AZ24" s="16">
        <f>IF(ISNUMBER(_xll.PIArcVal($AZ$8,$B23,0,"","exact time")),_xll.PIArcVal($AZ$8,$B23,0,"","exact time"),"")</f>
        <v>2354.6610693920516</v>
      </c>
      <c r="BA24" s="16">
        <f>IF(ISNUMBER(_xll.PIArcVal($BA$8,$B23,0,"","exact time")),_xll.PIArcVal($BA$8,$B23,0,"","exact time"),"")</f>
        <v>2088.1966959635415</v>
      </c>
      <c r="BB24" s="32">
        <f>IF(ISNUMBER(_xll.PIAdvCalcVal($BB$8,$B23,$B24,"average","time-weighted",0,1,0,"")),_xll.PIAdvCalcVal($BB$8,$B23,$B24,"average","time-weighted",0,1,0,""),"")</f>
        <v>21.083333333333332</v>
      </c>
      <c r="BC24" s="32">
        <f>IF(ISNUMBER(_xll.PIAdvCalcVal($BC$8,$B23,$B24,"average","time-weighted",0,1,0,"")),_xll.PIAdvCalcVal($BC$8,$B23,$B24,"average","time-weighted",0,1,0,""),"")</f>
        <v>23.25</v>
      </c>
      <c r="BD24" s="32">
        <f>IF(ISNUMBER(_xll.PIAdvCalcVal(BD$8,$B23,$B24,"average","time-weighted",0,1,0,"")),_xll.PIAdvCalcVal(BD$8,$B23,$B24,"average","time-weighted",0,1,0,""),"")</f>
        <v>26.083333333333332</v>
      </c>
      <c r="BE24" s="16">
        <f t="shared" ref="BE24:BE25" si="207">+BI24+BL24+BO24</f>
        <v>39156.136595741198</v>
      </c>
      <c r="BF24" s="16">
        <f>IF(ISNUMBER(_xll.PIAdvCalcVal(BF$8,$B23,$B24,"average","time-weighted",0,1,0,"")),_xll.PIAdvCalcVal(BF$8,$B23,$B24,"average","time-weighted",0,1,0,""),"")</f>
        <v>15526.336354215482</v>
      </c>
      <c r="BG24" s="16">
        <f t="shared" ref="BG24:BG25" si="208">+BJ24+BK24+BM24+BN24+BP24+BQ24</f>
        <v>44389.606520517853</v>
      </c>
      <c r="BH24" s="16">
        <f>IF(ISNUMBER(_xll.PIAdvCalcVal(BH$8,$B23,$B24,"average","time-weighted",0,1,0,"")),_xll.PIAdvCalcVal(BH$8,$B23,$B24,"average","time-weighted",0,1,0,""),"")</f>
        <v>12101.585128579889</v>
      </c>
      <c r="BI24" s="2592">
        <f>IF(ISNUMBER(_xll.PIAdvCalcVal(BI$8,$B23,$B24,"average","time-weighted",0,1,0,"")),_xll.PIAdvCalcVal(BI$8,$B23,$B24,"average","time-weighted",0,1,0,""),"")</f>
        <v>12681.206697041018</v>
      </c>
      <c r="BJ24" s="16">
        <f>IF(ISNUMBER(_xll.PIAdvCalcVal(BJ$8,$B23,$B24,"average","time-weighted",0,1,0,"")),_xll.PIAdvCalcVal(BJ$8,$B23,$B24,"average","time-weighted",0,1,0,""),"")</f>
        <v>6984.4924658640002</v>
      </c>
      <c r="BK24" s="16">
        <f>IF(ISNUMBER(_xll.PIAdvCalcVal(BK$8,$B23,$B24,"average","time-weighted",0,1,0,"")),_xll.PIAdvCalcVal(BK$8,$B23,$B24,"average","time-weighted",0,1,0,""),"")</f>
        <v>7055.3506103560176</v>
      </c>
      <c r="BL24" s="2592">
        <f>IF(ISNUMBER(_xll.PIAdvCalcVal(BL$8,$B23,$B24,"average","time-weighted",0,1,0,"")),_xll.PIAdvCalcVal(BL$8,$B23,$B24,"average","time-weighted",0,1,0,""),"")</f>
        <v>13356.213982057925</v>
      </c>
      <c r="BM24" s="16">
        <f>IF(ISNUMBER(_xll.PIAdvCalcVal(BM$8,$B23,$B24,"average","time-weighted",0,1,0,"")),_xll.PIAdvCalcVal(BM$8,$B23,$B24,"average","time-weighted",0,1,0,""),"")</f>
        <v>7303.9195855049747</v>
      </c>
      <c r="BN24" s="16">
        <f>IF(ISNUMBER(_xll.PIAdvCalcVal(BN$8,$B23,$B24,"average","time-weighted",0,1,0,"")),_xll.PIAdvCalcVal(BN$8,$B23,$B24,"average","time-weighted",0,1,0,""),"")</f>
        <v>7355.4764700377509</v>
      </c>
      <c r="BO24" s="2592">
        <f>IF(ISNUMBER(_xll.PIAdvCalcVal(BO$8,$B23,$B24,"average","time-weighted",0,1,0,"")),_xll.PIAdvCalcVal(BO$8,$B23,$B24,"average","time-weighted",0,1,0,""),"")</f>
        <v>13118.715916642257</v>
      </c>
      <c r="BP24" s="16">
        <f>IF(ISNUMBER(_xll.PIAdvCalcVal(BP$8,$B23,$B24,"average","time-weighted",0,1,0,"")),_xll.PIAdvCalcVal(BP$8,$B23,$B24,"average","time-weighted",0,1,0,""),"")</f>
        <v>7422.3342630816514</v>
      </c>
      <c r="BQ24" s="16">
        <f>IF(ISNUMBER(_xll.PIAdvCalcVal(BQ$8,$B23,$B24,"average","time-weighted",0,1,0,"")),_xll.PIAdvCalcVal(BQ$8,$B23,$B24,"average","time-weighted",0,1,0,""),"")</f>
        <v>8268.0331256734553</v>
      </c>
      <c r="BR24" s="2304">
        <f t="shared" ref="BR24:BR25" si="209">+BE24/SUM(AY24:BA24)</f>
        <v>6.0349404985308732</v>
      </c>
      <c r="BS24" s="2304">
        <f t="shared" ref="BS24:BS25" si="210">+BI24/AY24</f>
        <v>6.199923116440651</v>
      </c>
      <c r="BT24" s="2304">
        <f t="shared" ref="BT24:BT25" si="211">+BL24/AZ24</f>
        <v>5.6722447895681043</v>
      </c>
      <c r="BU24" s="2304">
        <f t="shared" ref="BU24:BU25" si="212">+BO24/BA24</f>
        <v>6.2823181082512836</v>
      </c>
      <c r="BV24" s="2304">
        <f t="shared" ref="BV24:BV25" si="213">+BF24/AJ24</f>
        <v>7.6989227717516684</v>
      </c>
      <c r="BW24" s="62">
        <f>IF(ISNUMBER(_xll.PIAdvCalcVal(BW$8,$B23,$B24,"average","time-weighted",0,1,0,"")),_xll.PIAdvCalcVal(BW$8,$B23,$B24,"average","time-weighted",0,1,0,""),"")</f>
        <v>224.55351257324219</v>
      </c>
    </row>
    <row r="25" spans="1:75" ht="14.15" customHeight="1">
      <c r="A25" s="4565"/>
      <c r="B25" s="11">
        <f t="shared" si="41"/>
        <v>46098.791666666664</v>
      </c>
      <c r="C25" s="459">
        <f>IF($M$3&gt;=$B25,_xll.PICalcVal(C$8,$B24,$B25,"total", 1, 0,"")*0.9772,"")</f>
        <v>190294.06479999999</v>
      </c>
      <c r="D25" s="459">
        <f>IF($M$3&gt;=$B25,_xll.PICalcVal(D$8,$B24,$B25,"total", 1, 0,"")*0.9772,"")</f>
        <v>485334.19759999996</v>
      </c>
      <c r="E25" s="12">
        <f>IF($M$3&gt;=$B25,_xll.PICalcVal(E$8,$B24,$B25,"average", 1, 0,""),"")</f>
        <v>198696.43357086182</v>
      </c>
      <c r="F25" s="12">
        <f>IF($M$3&gt;=$B25,_xll.PICalcVal(F$8,$B24,$B25,"average", 1, 0,""),"")</f>
        <v>49281.3984375</v>
      </c>
      <c r="G25" s="12">
        <f t="shared" si="0"/>
        <v>149415.03513336182</v>
      </c>
      <c r="H25" s="460">
        <f t="shared" si="192"/>
        <v>99.999999999999986</v>
      </c>
      <c r="I25" s="2062">
        <f>IF(ISNUMBER(_xll.PIArcVal(Real!$I$8,Real!$B24,0,"MLPfaepi01","exact time")),_xll.PIArcVal(Real!$I$8,Real!$B24,0,"MLPfaepi01","exact time"),"")</f>
        <v>100</v>
      </c>
      <c r="J25" s="2062">
        <f>IF($M$3&gt;=$B25,_xll.PICalcVal(J$8,$B24,$B25,"average", 1, 0,""),"")</f>
        <v>100</v>
      </c>
      <c r="K25" s="460">
        <f>IF($M$3&gt;=$B25,_xll.PICalcVal(K$8,$B24,$B25,"average", 1, 0,""),"")</f>
        <v>0.47046577768558123</v>
      </c>
      <c r="L25" s="133">
        <f>IF(ISNUMBER(_xll.PIArcVal(Real!$L$8,Real!$B24,0,"MLPfaepi01","exact time")),_xll.PIArcVal(Real!$L$8,Real!$B24,0,"MLPfaepi01","exact time"),"")</f>
        <v>90.617228026186297</v>
      </c>
      <c r="M25" s="2062">
        <f>IF($M$3&gt;=$B25,_xll.PICalcVal(M$8,$B24,$B25,"average", 1, 0,""),"")</f>
        <v>27.374828607405782</v>
      </c>
      <c r="N25" s="16">
        <f t="shared" si="193"/>
        <v>3094.4072787997325</v>
      </c>
      <c r="O25" s="16">
        <f>IF($M$3&gt;=$B25,SUM(N$9:N25),"")</f>
        <v>50032.931921419273</v>
      </c>
      <c r="P25" s="16">
        <f t="shared" si="194"/>
        <v>847.08868898651588</v>
      </c>
      <c r="Q25" s="16">
        <f>IF($M$3&gt;=$B25,SUM(P$9:P25),"")</f>
        <v>12974.353297126541</v>
      </c>
      <c r="R25" s="461">
        <f>IF($M$3&gt;=$B25,_xll.PICalcVal(R$8,$B24,$B25,"average", 1, 0,"")*10000,"")</f>
        <v>142.93735238620241</v>
      </c>
      <c r="S25" s="133">
        <f>IF($M$3&gt;=$B25,_xll.PICalcVal(S$8,$B24,$B25,"average", 1, 0,""),"")</f>
        <v>88.276168638074765</v>
      </c>
      <c r="T25" s="133">
        <f>IF($M$3&gt;=$B25,_xll.PICalcVal(T$8,$B24,$B25,"average", 1, 0,""),"")</f>
        <v>87.1</v>
      </c>
      <c r="U25" s="133">
        <f t="shared" ref="U25:U35" si="214">IF(ISNUMBER(S25*T25/100),S25*T25/100,"")</f>
        <v>76.888542883763108</v>
      </c>
      <c r="V25" s="462">
        <f>IF($M$3&gt;=$B25,_xll.PICalcVal(V$8,$B24,$B25,"average", 1, 0,""),"")</f>
        <v>54.799848811839958</v>
      </c>
      <c r="W25" s="16">
        <f t="shared" ref="W25:W35" si="215">IF(ISNUMBER(Y25/V25*100),Y25/V25*100,"")</f>
        <v>39.849059495096064</v>
      </c>
      <c r="X25" s="16">
        <f>IF($M$3&gt;=$B25,SUM(W$9:W25),"")</f>
        <v>1701.5102166617021</v>
      </c>
      <c r="Y25" s="50">
        <f t="shared" ref="Y25:Y35" si="216">IF(ISNUMBER(E25*R25/1000000*U25/100),(E25*R25/1000000*U25/100),"")</f>
        <v>21.837224356252797</v>
      </c>
      <c r="Z25" s="440">
        <f>IF($M$3&gt;=$B25,SUM(Y$9:Y25),"")</f>
        <v>495.34408653931774</v>
      </c>
      <c r="AA25" s="463">
        <f>IF($M$3&gt;=$B25,_xll.PICalcVal(AA$8,$B24,$B25,"average", 1, 0,""),"")</f>
        <v>8.5319142179054914</v>
      </c>
      <c r="AB25" s="440">
        <f>IF($M$3&gt;=$B25,SUM(AA$9:AA25),"")</f>
        <v>568.44523256662933</v>
      </c>
      <c r="AC25" s="1730">
        <f>IF($M$3&gt;=$B25,_xll.PICalcVal(AC$8,($B24+2/24),($B25+2/24),"average", 1, 0,""),"")</f>
        <v>75.00286865234375</v>
      </c>
      <c r="AD25" s="1730">
        <f>IF($M$3&gt;=$B25,_xll.PICalcVal(AD$8,$B24,$B25,"average", 1, 0,""),"")</f>
        <v>67.192497253417969</v>
      </c>
      <c r="AE25" s="218">
        <f t="shared" si="198"/>
        <v>19.184468234775274</v>
      </c>
      <c r="AF25" s="218">
        <f>IF($M$3&gt;=$B25,_xll.PICalcVal(AF$8,$B24,$B25,"average", 1, 0,""),"")</f>
        <v>761.25</v>
      </c>
      <c r="AG25" s="451">
        <f t="shared" si="199"/>
        <v>190.2940648</v>
      </c>
      <c r="AH25" s="450">
        <f t="shared" si="200"/>
        <v>198.69643357086181</v>
      </c>
      <c r="AI25" s="450">
        <f t="shared" si="201"/>
        <v>6225.6264638900766</v>
      </c>
      <c r="AJ25" s="450">
        <f t="shared" si="202"/>
        <v>2053.3916015625</v>
      </c>
      <c r="AK25" s="21">
        <f t="shared" si="203"/>
        <v>8279.0180654525757</v>
      </c>
      <c r="AL25" s="22">
        <f>IF($M$3&gt;=$B25,_xll.PICalcVal(AL$8,$B24,$B25,"average", 1, 0,""),"")</f>
        <v>3726.638916015625</v>
      </c>
      <c r="AM25" s="22">
        <f>IF($M$3&gt;=$B25,_xll.PICalcVal(AM$8,$B24,$B25,"average", 1, 0,""),"")</f>
        <v>25.8</v>
      </c>
      <c r="AN25" s="21">
        <f t="shared" si="204"/>
        <v>961.4728403320313</v>
      </c>
      <c r="AO25" s="16">
        <f>IF($M$3&gt;=$B25,_xll.PICalcVal(AO$8,$B24,$B25,"average", 1, 0,""),"")</f>
        <v>4229.7663880051159</v>
      </c>
      <c r="AP25" s="32">
        <f>IF($M$3&gt;=$B25,_xll.PICalcVal(AP$8,$B24,$B25,"average", 1, 0,""),"")</f>
        <v>25.952261538945066</v>
      </c>
      <c r="AQ25" s="21">
        <f t="shared" si="205"/>
        <v>1097.7200355014777</v>
      </c>
      <c r="AR25" s="449">
        <f t="shared" si="206"/>
        <v>1056.0066741524215</v>
      </c>
      <c r="AS25" s="272">
        <f>IF(ISNUMBER(_xll.PIArcVal(Real!AS$8,Real!$B24,0,"","exact time")),_xll.PIArcVal(Real!AS$8,Real!$B24,0,"","exact time"),"")</f>
        <v>4.4823174476623535</v>
      </c>
      <c r="AT25" s="1762">
        <f>IF(ISNUMBER(_xll.PIAdvCalcVal(Real!$AT$8,Real!$B24,Real!$B25,"average","time-weighted",0,1,0,"MLPfaepi01")),_xll.PIAdvCalcVal(Real!$AT$8,Real!$B24,Real!$B25,"average","time-weighted",0,1,0,"MLPfaepi01"),"")</f>
        <v>4.7885561081131156</v>
      </c>
      <c r="AU25" s="2100">
        <f>IF($M$3&gt;=$B25,_xll.PICalcVal(AU$8,$B24,$B25,"average", 1, 0,""),"")</f>
        <v>37.843695958455406</v>
      </c>
      <c r="AV25" s="61">
        <f>IF($M$3&gt;=$B25,_xll.PICalcVal(AV$8,$B24,$B25,"average", 1, 0,""),"")</f>
        <v>203.28845224747985</v>
      </c>
      <c r="AW25" s="3972">
        <f>IF($C$1&gt;=$B25,_xll.PICalcVal(AW$8,$B24,$B25,"average", 1, 0,""),"")</f>
        <v>454465.51953125</v>
      </c>
      <c r="AX25" s="3972">
        <f>IF($C$1&gt;=$B25,_xll.PICalcVal(AX$8,$B24,$B25,"average", 1, 0,""),"")</f>
        <v>134.34304682413736</v>
      </c>
      <c r="AY25" s="16">
        <f>IF(ISNUMBER(_xll.PIArcVal($AY$8,$B24,0,"","exact time")),_xll.PIArcVal($AY$8,$B24,0,"","exact time"),"")</f>
        <v>1941.2814127604167</v>
      </c>
      <c r="AZ25" s="16">
        <f>IF(ISNUMBER(_xll.PIArcVal($AZ$8,$B24,0,"","exact time")),_xll.PIArcVal($AZ$8,$B24,0,"","exact time"),"")</f>
        <v>2251.5320638020835</v>
      </c>
      <c r="BA25" s="16">
        <f>IF(ISNUMBER(_xll.PIArcVal($BA$8,$B24,0,"","exact time")),_xll.PIArcVal($BA$8,$B24,0,"","exact time"),"")</f>
        <v>2060.5629069010415</v>
      </c>
      <c r="BB25" s="32">
        <f>IF(ISNUMBER(_xll.PIAdvCalcVal($BB$8,$B24,$B25,"average","time-weighted",0,1,0,"")),_xll.PIAdvCalcVal($BB$8,$B24,$B25,"average","time-weighted",0,1,0,""),"")</f>
        <v>16</v>
      </c>
      <c r="BC25" s="32">
        <f>IF(ISNUMBER(_xll.PIAdvCalcVal($BC$8,$B24,$B25,"average","time-weighted",0,1,0,"")),_xll.PIAdvCalcVal($BC$8,$B24,$B25,"average","time-weighted",0,1,0,""),"")</f>
        <v>23.166666666666668</v>
      </c>
      <c r="BD25" s="32">
        <f>IF(ISNUMBER(_xll.PIAdvCalcVal(BD$8,$B24,$B25,"average","time-weighted",0,1,0,"")),_xll.PIAdvCalcVal(BD$8,$B24,$B25,"average","time-weighted",0,1,0,""),"")</f>
        <v>17.833333333333332</v>
      </c>
      <c r="BE25" s="16">
        <f t="shared" si="207"/>
        <v>40047.459004311531</v>
      </c>
      <c r="BF25" s="16">
        <f>IF(ISNUMBER(_xll.PIAdvCalcVal(BF$8,$B24,$B25,"average","time-weighted",0,1,0,"")),_xll.PIAdvCalcVal(BF$8,$B24,$B25,"average","time-weighted",0,1,0,""),"")</f>
        <v>15898.626443867402</v>
      </c>
      <c r="BG25" s="16">
        <f t="shared" si="208"/>
        <v>46795.854003756358</v>
      </c>
      <c r="BH25" s="16">
        <f>IF(ISNUMBER(_xll.PIAdvCalcVal(BH$8,$B24,$B25,"average","time-weighted",0,1,0,"")),_xll.PIAdvCalcVal(BH$8,$B24,$B25,"average","time-weighted",0,1,0,""),"")</f>
        <v>11935.714066524648</v>
      </c>
      <c r="BI25" s="2592">
        <f>IF(ISNUMBER(_xll.PIAdvCalcVal(BI$8,$B24,$B25,"average","time-weighted",0,1,0,"")),_xll.PIAdvCalcVal(BI$8,$B24,$B25,"average","time-weighted",0,1,0,""),"")</f>
        <v>12872.747994711664</v>
      </c>
      <c r="BJ25" s="16">
        <f>IF(ISNUMBER(_xll.PIAdvCalcVal(BJ$8,$B24,$B25,"average","time-weighted",0,1,0,"")),_xll.PIAdvCalcVal(BJ$8,$B24,$B25,"average","time-weighted",0,1,0,""),"")</f>
        <v>6947.289546405952</v>
      </c>
      <c r="BK25" s="16">
        <f>IF(ISNUMBER(_xll.PIAdvCalcVal(BK$8,$B24,$B25,"average","time-weighted",0,1,0,"")),_xll.PIAdvCalcVal(BK$8,$B24,$B25,"average","time-weighted",0,1,0,""),"")</f>
        <v>7133.9732918577465</v>
      </c>
      <c r="BL25" s="2592">
        <f>IF(ISNUMBER(_xll.PIAdvCalcVal(BL$8,$B24,$B25,"average","time-weighted",0,1,0,"")),_xll.PIAdvCalcVal(BL$8,$B24,$B25,"average","time-weighted",0,1,0,""),"")</f>
        <v>13712.01102522797</v>
      </c>
      <c r="BM25" s="16">
        <f>IF(ISNUMBER(_xll.PIAdvCalcVal(BM$8,$B24,$B25,"average","time-weighted",0,1,0,"")),_xll.PIAdvCalcVal(BM$8,$B24,$B25,"average","time-weighted",0,1,0,""),"")</f>
        <v>7335.1231635199747</v>
      </c>
      <c r="BN25" s="16">
        <f>IF(ISNUMBER(_xll.PIAdvCalcVal(BN$8,$B24,$B25,"average","time-weighted",0,1,0,"")),_xll.PIAdvCalcVal(BN$8,$B24,$B25,"average","time-weighted",0,1,0,""),"")</f>
        <v>7350.4054326638661</v>
      </c>
      <c r="BO25" s="2592">
        <f>IF(ISNUMBER(_xll.PIAdvCalcVal(BO$8,$B24,$B25,"average","time-weighted",0,1,0,"")),_xll.PIAdvCalcVal(BO$8,$B24,$B25,"average","time-weighted",0,1,0,""),"")</f>
        <v>13462.699984371899</v>
      </c>
      <c r="BP25" s="16">
        <f>IF(ISNUMBER(_xll.PIAdvCalcVal(BP$8,$B24,$B25,"average","time-weighted",0,1,0,"")),_xll.PIAdvCalcVal(BP$8,$B24,$B25,"average","time-weighted",0,1,0,""),"")</f>
        <v>7501.03021092769</v>
      </c>
      <c r="BQ25" s="16">
        <f>IF(ISNUMBER(_xll.PIAdvCalcVal(BQ$8,$B24,$B25,"average","time-weighted",0,1,0,"")),_xll.PIAdvCalcVal(BQ$8,$B24,$B25,"average","time-weighted",0,1,0,""),"")</f>
        <v>10528.032358381135</v>
      </c>
      <c r="BR25" s="2304">
        <f t="shared" si="209"/>
        <v>6.4041337908610823</v>
      </c>
      <c r="BS25" s="2304">
        <f t="shared" si="210"/>
        <v>6.6310571512695748</v>
      </c>
      <c r="BT25" s="2304">
        <f t="shared" si="211"/>
        <v>6.0900802816340871</v>
      </c>
      <c r="BU25" s="2304">
        <f t="shared" si="212"/>
        <v>6.5335059363069687</v>
      </c>
      <c r="BV25" s="2304">
        <f t="shared" si="213"/>
        <v>7.7426178385893669</v>
      </c>
      <c r="BW25" s="62">
        <f>IF(ISNUMBER(_xll.PIAdvCalcVal(BW$8,$B24,$B25,"average","time-weighted",0,1,0,"")),_xll.PIAdvCalcVal(BW$8,$B24,$B25,"average","time-weighted",0,1,0,""),"")</f>
        <v>168.45268249511719</v>
      </c>
    </row>
    <row r="26" spans="1:75" ht="14.15" customHeight="1">
      <c r="A26" s="4565"/>
      <c r="B26" s="11">
        <f t="shared" si="41"/>
        <v>46099.791666666664</v>
      </c>
      <c r="C26" s="459" t="str">
        <f>IF($M$3&gt;=$B26,_xll.PICalcVal(C$8,$B25,$B26,"total", 1, 0,"")*0.9772,"")</f>
        <v/>
      </c>
      <c r="D26" s="459" t="str">
        <f>IF($M$3&gt;=$B26,_xll.PICalcVal(D$8,$B25,$B26,"total", 1, 0,"")*0.9772,"")</f>
        <v/>
      </c>
      <c r="E26" s="12" t="str">
        <f>IF($M$3&gt;=$B26,_xll.PICalcVal(E$8,$B25,$B26,"average", 1, 0,""),"")</f>
        <v/>
      </c>
      <c r="F26" s="12" t="str">
        <f>IF($M$3&gt;=$B26,_xll.PICalcVal(F$8,$B25,$B26,"average", 1, 0,""),"")</f>
        <v/>
      </c>
      <c r="G26" s="12" t="str">
        <f t="shared" si="0"/>
        <v/>
      </c>
      <c r="H26" s="460"/>
      <c r="I26" s="2062"/>
      <c r="J26" s="2062" t="str">
        <f>IF($M$3&gt;=$B26,_xll.PICalcVal(J$8,$B25,$B26,"average", 1, 0,""),"")</f>
        <v/>
      </c>
      <c r="K26" s="460" t="str">
        <f>IF($M$3&gt;=$B26,_xll.PICalcVal(K$8,$B25,$B26,"average", 1, 0,""),"")</f>
        <v/>
      </c>
      <c r="L26" s="133" t="str">
        <f>IF(ISNUMBER(_xll.PIArcVal(Real!$L$8,Real!$B25,0,"MLPfaepi01","exact time")),_xll.PIArcVal(Real!$L$8,Real!$B25,0,"MLPfaepi01","exact time"),"")</f>
        <v/>
      </c>
      <c r="M26" s="133" t="str">
        <f>IF($M$3&gt;=$B26,_xll.PICalcVal(M$8,$B25,$B26,"average", 1, 0,""),"")</f>
        <v/>
      </c>
      <c r="N26" s="16" t="str">
        <f t="shared" ref="N26:N35" si="217">IF(ISNUMBER(+E26*K26*L26/M26/100),+E26*K26*L26/M26/100,"")</f>
        <v/>
      </c>
      <c r="O26" s="16" t="str">
        <f>IF($M$3&gt;=$B26,SUM(N$9:N26),"")</f>
        <v/>
      </c>
      <c r="P26" s="16" t="str">
        <f t="shared" ref="P26:P35" si="218">IF(ISNUMBER(+N26*M26/100),+N26*M26/100,"")</f>
        <v/>
      </c>
      <c r="Q26" s="16" t="str">
        <f>IF($M$3&gt;=$B26,SUM(P$9:P26),"")</f>
        <v/>
      </c>
      <c r="R26" s="461" t="str">
        <f>IF($M$3&gt;=$B26,_xll.PICalcVal(R$8,$B25,$B26,"average", 1, 0,"")*10000,"")</f>
        <v/>
      </c>
      <c r="S26" s="133" t="str">
        <f>IF($M$3&gt;=$B26,_xll.PICalcVal(S$8,$B25,$B26,"average", 1, 0,""),"")</f>
        <v/>
      </c>
      <c r="T26" s="133" t="str">
        <f>IF($M$3&gt;=$B26,_xll.PICalcVal(T$8,$B25,$B26,"average", 1, 0,""),"")</f>
        <v/>
      </c>
      <c r="U26" s="133" t="str">
        <f t="shared" si="214"/>
        <v/>
      </c>
      <c r="V26" s="462" t="str">
        <f>IF($M$3&gt;=$B26,_xll.PICalcVal(V$8,$B25,$B26,"average", 1, 0,""),"")</f>
        <v/>
      </c>
      <c r="W26" s="16" t="str">
        <f t="shared" si="215"/>
        <v/>
      </c>
      <c r="X26" s="16" t="str">
        <f>IF($M$3&gt;=$B26,SUM(W$9:W26),"")</f>
        <v/>
      </c>
      <c r="Y26" s="50" t="str">
        <f t="shared" si="216"/>
        <v/>
      </c>
      <c r="Z26" s="440" t="str">
        <f>IF($M$3&gt;=$B26,SUM(Y$9:Y26),"")</f>
        <v/>
      </c>
      <c r="AA26" s="463" t="str">
        <f>IF($M$3&gt;=$B26,_xll.PICalcVal(AA$8,$B25,$B26,"average", 1, 0,""),"")</f>
        <v/>
      </c>
      <c r="AB26" s="440" t="str">
        <f>IF($M$3&gt;=$B26,SUM(AA$9:AA26),"")</f>
        <v/>
      </c>
      <c r="AC26" s="1730" t="str">
        <f>IF($M$3&gt;=$B26,_xll.PICalcVal(AC$8,($B25+2/24),($B26+2/24),"average", 1, 0,""),"")</f>
        <v/>
      </c>
      <c r="AD26" s="1730" t="str">
        <f>IF($M$3&gt;=$B26,_xll.PICalcVal(AD$8,$B25,$B26,"average", 1, 0,""),"")</f>
        <v/>
      </c>
      <c r="AE26" s="218" t="str">
        <f t="shared" ref="AE26:AE35" si="219">+IF(ISNUMBER(SUMPRODUCT(AY26:BA26,BB26:BD26)/SUM(AY26:BA26)),(SUMPRODUCT(AY26:BA26,BB26:BD26)/SUM(AY26:BA26)),"")</f>
        <v/>
      </c>
      <c r="AF26" s="218" t="str">
        <f>IF($M$3&gt;=$B26,_xll.PICalcVal(AF$8,$B25,$B26,"average", 1, 0,""),"")</f>
        <v/>
      </c>
      <c r="AG26" s="451" t="str">
        <f t="shared" ref="AG26:AG35" si="220">IF(ISNUMBER(C26),C26/1000,"")</f>
        <v/>
      </c>
      <c r="AH26" s="450" t="str">
        <f t="shared" ref="AH26:AH35" si="221">IF(ISNUMBER(E26),E26/1000,"")</f>
        <v/>
      </c>
      <c r="AI26" s="450" t="str">
        <f t="shared" si="70"/>
        <v/>
      </c>
      <c r="AJ26" s="450" t="str">
        <f t="shared" si="71"/>
        <v/>
      </c>
      <c r="AK26" s="21" t="str">
        <f t="shared" ref="AK26:AK35" si="222">IF(ISNUMBER(E26/(24*J26/100)),E26/(24*J26/100),"")</f>
        <v/>
      </c>
      <c r="AL26" s="19" t="str">
        <f>IF(ISNUMBER(_xll.PIArcVal(Real!$AL$8,Real!$B25,0,"MLPfaepi01","exact time")),_xll.PIArcVal(Real!$AL$8,Real!$B25,0,"MLPfaepi01","exact time"),"")</f>
        <v/>
      </c>
      <c r="AM26" s="22" t="str">
        <f>IF($M$3&gt;=$B26,_xll.PICalcVal(AM$8,$B25,$B26,"average", 1, 0,""),"")</f>
        <v/>
      </c>
      <c r="AN26" s="21" t="str">
        <f t="shared" ref="AN26:AN35" si="223">IF(ISNUMBER(AL26*AM26/100),(AL26*AM26/100),"")</f>
        <v/>
      </c>
      <c r="AO26" s="16" t="str">
        <f>IF($M$3&gt;=$B26,_xll.PICalcVal(AO$8,$B25,$B26,"average", 1, 0,""),"")</f>
        <v/>
      </c>
      <c r="AP26" s="32" t="str">
        <f>IF($M$3&gt;=$B26,_xll.PICalcVal(AP$8,$B25,$B26,"average", 1, 0,""),"")</f>
        <v/>
      </c>
      <c r="AQ26" s="218"/>
      <c r="AR26" s="449"/>
      <c r="AS26" s="272" t="str">
        <f>IF(ISNUMBER(_xll.PIArcVal(Real!AS$8,Real!$B25,0,"","exact time")),_xll.PIArcVal(Real!AS$8,Real!$B25,0,"","exact time"),"")</f>
        <v/>
      </c>
      <c r="AT26" s="1762" t="str">
        <f>IF(ISNUMBER(_xll.PIAdvCalcVal(Real!$AT$8,Real!$B25,Real!$B26,"average","time-weighted",0,1,0,"MLPfaepi01")),_xll.PIAdvCalcVal(Real!$AT$8,Real!$B25,Real!$B26,"average","time-weighted",0,1,0,"MLPfaepi01"),"")</f>
        <v/>
      </c>
      <c r="AU26" s="2100" t="str">
        <f>IF($M$3&gt;=$B26,_xll.PICalcVal(AU$8,$B25,$B26,"average", 1, 0,""),"")</f>
        <v/>
      </c>
      <c r="AV26" s="61" t="str">
        <f>IF($M$3&gt;=$B26,_xll.PICalcVal(AV$8,$B25,$B26,"average", 1, 0,""),"")</f>
        <v/>
      </c>
      <c r="AW26" s="61"/>
      <c r="AX26" s="61"/>
      <c r="AY26" s="16"/>
      <c r="AZ26" s="16"/>
      <c r="BA26" s="16"/>
      <c r="BB26" s="32"/>
      <c r="BC26" s="32"/>
      <c r="BD26" s="32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2304"/>
      <c r="BS26" s="2304"/>
      <c r="BT26" s="2304"/>
      <c r="BU26" s="2304"/>
      <c r="BV26" s="2304"/>
    </row>
    <row r="27" spans="1:75" ht="14.15" customHeight="1">
      <c r="A27" s="4565"/>
      <c r="B27" s="11">
        <f t="shared" si="41"/>
        <v>46100.791666666664</v>
      </c>
      <c r="C27" s="459" t="str">
        <f>IF($M$3&gt;=$B27,_xll.PICalcVal(C$8,$B26,$B27,"total", 1, 0,"")*0.9772,"")</f>
        <v/>
      </c>
      <c r="D27" s="459" t="str">
        <f>IF($M$3&gt;=$B27,_xll.PICalcVal(D$8,$B26,$B27,"total", 1, 0,"")*0.9772,"")</f>
        <v/>
      </c>
      <c r="E27" s="12" t="str">
        <f>IF($M$3&gt;=$B27,_xll.PICalcVal(E$8,$B26,$B27,"average", 1, 0,""),"")</f>
        <v/>
      </c>
      <c r="F27" s="12" t="str">
        <f>IF($M$3&gt;=$B27,_xll.PICalcVal(F$8,$B26,$B27,"average", 1, 0,""),"")</f>
        <v/>
      </c>
      <c r="G27" s="12" t="str">
        <f t="shared" si="0"/>
        <v/>
      </c>
      <c r="H27" s="460"/>
      <c r="I27" s="2062"/>
      <c r="J27" s="2062" t="str">
        <f>IF($M$3&gt;=$B27,_xll.PICalcVal(J$8,$B26,$B27,"average", 1, 0,""),"")</f>
        <v/>
      </c>
      <c r="K27" s="460" t="str">
        <f>IF($M$3&gt;=$B27,_xll.PICalcVal(K$8,$B26,$B27,"average", 1, 0,""),"")</f>
        <v/>
      </c>
      <c r="L27" s="133" t="str">
        <f>IF(ISNUMBER(_xll.PIArcVal(Real!$L$8,Real!$B26,0,"MLPfaepi01","exact time")),_xll.PIArcVal(Real!$L$8,Real!$B26,0,"MLPfaepi01","exact time"),"")</f>
        <v/>
      </c>
      <c r="M27" s="133" t="str">
        <f>IF($M$3&gt;=$B27,_xll.PICalcVal(M$8,$B26,$B27,"average", 1, 0,""),"")</f>
        <v/>
      </c>
      <c r="N27" s="16" t="str">
        <f t="shared" si="217"/>
        <v/>
      </c>
      <c r="O27" s="16" t="str">
        <f>IF($M$3&gt;=$B27,SUM(N$9:N27),"")</f>
        <v/>
      </c>
      <c r="P27" s="16" t="str">
        <f t="shared" si="218"/>
        <v/>
      </c>
      <c r="Q27" s="16" t="str">
        <f>IF($M$3&gt;=$B27,SUM(P$9:P27),"")</f>
        <v/>
      </c>
      <c r="R27" s="461" t="str">
        <f>IF($M$3&gt;=$B27,_xll.PICalcVal(R$8,$B26,$B27,"average", 1, 0,"")*10000,"")</f>
        <v/>
      </c>
      <c r="S27" s="133" t="str">
        <f>IF($M$3&gt;=$B27,_xll.PICalcVal(S$8,$B26,$B27,"average", 1, 0,""),"")</f>
        <v/>
      </c>
      <c r="T27" s="133" t="str">
        <f>IF($M$3&gt;=$B27,_xll.PICalcVal(T$8,$B26,$B27,"average", 1, 0,""),"")</f>
        <v/>
      </c>
      <c r="U27" s="133" t="str">
        <f t="shared" si="214"/>
        <v/>
      </c>
      <c r="V27" s="462" t="str">
        <f>IF($M$3&gt;=$B27,_xll.PICalcVal(V$8,$B26,$B27,"average", 1, 0,""),"")</f>
        <v/>
      </c>
      <c r="W27" s="16" t="str">
        <f t="shared" si="215"/>
        <v/>
      </c>
      <c r="X27" s="16" t="str">
        <f>IF($M$3&gt;=$B27,SUM(W$9:W27),"")</f>
        <v/>
      </c>
      <c r="Y27" s="50" t="str">
        <f t="shared" si="216"/>
        <v/>
      </c>
      <c r="Z27" s="440" t="str">
        <f>IF($M$3&gt;=$B27,SUM(Y$9:Y27),"")</f>
        <v/>
      </c>
      <c r="AA27" s="463" t="str">
        <f>IF($M$3&gt;=$B27,_xll.PICalcVal(AA$8,$B26,$B27,"average", 1, 0,""),"")</f>
        <v/>
      </c>
      <c r="AB27" s="440" t="str">
        <f>IF($M$3&gt;=$B27,SUM(AA$9:AA27),"")</f>
        <v/>
      </c>
      <c r="AC27" s="1730" t="str">
        <f>IF($M$3&gt;=$B27,_xll.PICalcVal(AC$8,($B26+2/24),($B27+2/24),"average", 1, 0,""),"")</f>
        <v/>
      </c>
      <c r="AD27" s="1730" t="str">
        <f>IF($M$3&gt;=$B27,_xll.PICalcVal(AD$8,$B26,$B27,"average", 1, 0,""),"")</f>
        <v/>
      </c>
      <c r="AE27" s="218" t="str">
        <f t="shared" si="219"/>
        <v/>
      </c>
      <c r="AF27" s="218" t="str">
        <f>IF($M$3&gt;=$B27,_xll.PICalcVal(AF$8,$B26,$B27,"average", 1, 0,""),"")</f>
        <v/>
      </c>
      <c r="AG27" s="451" t="str">
        <f t="shared" si="220"/>
        <v/>
      </c>
      <c r="AH27" s="450" t="str">
        <f t="shared" si="221"/>
        <v/>
      </c>
      <c r="AI27" s="450" t="str">
        <f t="shared" si="70"/>
        <v/>
      </c>
      <c r="AJ27" s="450" t="str">
        <f t="shared" si="71"/>
        <v/>
      </c>
      <c r="AK27" s="21" t="str">
        <f>IF(ISNUMBER(E27/(24*J27/100)),E27/(24*J27/100),"")</f>
        <v/>
      </c>
      <c r="AL27" s="19" t="str">
        <f>IF(ISNUMBER(_xll.PIArcVal(Real!$AL$8,Real!$B26,0,"MLPfaepi01","exact time")),_xll.PIArcVal(Real!$AL$8,Real!$B26,0,"MLPfaepi01","exact time"),"")</f>
        <v/>
      </c>
      <c r="AM27" s="22" t="str">
        <f>IF($M$3&gt;=$B27,_xll.PICalcVal(AM$8,$B26,$B27,"average", 1, 0,""),"")</f>
        <v/>
      </c>
      <c r="AN27" s="21" t="str">
        <f t="shared" si="223"/>
        <v/>
      </c>
      <c r="AO27" s="16" t="str">
        <f>IF($M$3&gt;=$B27,_xll.PICalcVal(AO$8,$B26,$B27,"average", 1, 0,""),"")</f>
        <v/>
      </c>
      <c r="AP27" s="32" t="str">
        <f>IF($M$3&gt;=$B27,_xll.PICalcVal(AP$8,$B26,$B27,"average", 1, 0,""),"")</f>
        <v/>
      </c>
      <c r="AQ27" s="218"/>
      <c r="AR27" s="449"/>
      <c r="AS27" s="272" t="str">
        <f>IF(ISNUMBER(_xll.PIArcVal(Real!AS$8,Real!$B26,0,"","exact time")),_xll.PIArcVal(Real!AS$8,Real!$B26,0,"","exact time"),"")</f>
        <v/>
      </c>
      <c r="AT27" s="1762" t="str">
        <f>IF(ISNUMBER(_xll.PIAdvCalcVal(Real!$AT$8,Real!$B26,Real!$B27,"average","time-weighted",0,1,0,"MLPfaepi01")),_xll.PIAdvCalcVal(Real!$AT$8,Real!$B26,Real!$B27,"average","time-weighted",0,1,0,"MLPfaepi01"),"")</f>
        <v/>
      </c>
      <c r="AU27" s="2100" t="str">
        <f>IF($M$3&gt;=$B27,_xll.PICalcVal(AU$8,$B26,$B27,"average", 1, 0,""),"")</f>
        <v/>
      </c>
      <c r="AV27" s="61" t="str">
        <f>IF($M$3&gt;=$B27,_xll.PICalcVal(AV$8,$B26,$B27,"average", 1, 0,""),"")</f>
        <v/>
      </c>
      <c r="AW27" s="61"/>
      <c r="AX27" s="61"/>
      <c r="AY27" s="16"/>
      <c r="AZ27" s="16"/>
      <c r="BA27" s="16"/>
      <c r="BB27" s="32"/>
      <c r="BC27" s="32"/>
      <c r="BD27" s="32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2304"/>
      <c r="BS27" s="2304"/>
      <c r="BT27" s="2304"/>
      <c r="BU27" s="2304"/>
      <c r="BV27" s="2304"/>
    </row>
    <row r="28" spans="1:75" ht="14.15" customHeight="1">
      <c r="A28" s="4565"/>
      <c r="B28" s="11">
        <f t="shared" si="41"/>
        <v>46101.791666666664</v>
      </c>
      <c r="C28" s="459" t="str">
        <f>IF($M$3&gt;=$B28,_xll.PICalcVal(C$8,$B27,$B28,"total", 1, 0,"")*0.9772,"")</f>
        <v/>
      </c>
      <c r="D28" s="459" t="str">
        <f>IF($M$3&gt;=$B28,_xll.PICalcVal(D$8,$B27,$B28,"total", 1, 0,"")*0.9772,"")</f>
        <v/>
      </c>
      <c r="E28" s="12" t="str">
        <f>IF($M$3&gt;=$B28,_xll.PICalcVal(E$8,$B27,$B28,"average", 1, 0,""),"")</f>
        <v/>
      </c>
      <c r="F28" s="12" t="str">
        <f>IF($M$3&gt;=$B28,_xll.PICalcVal(F$8,$B27,$B28,"average", 1, 0,""),"")</f>
        <v/>
      </c>
      <c r="G28" s="12" t="str">
        <f t="shared" si="0"/>
        <v/>
      </c>
      <c r="H28" s="460"/>
      <c r="I28" s="2062"/>
      <c r="J28" s="2062" t="str">
        <f>IF($M$3&gt;=$B28,_xll.PICalcVal(J$8,$B27,$B28,"average", 1, 0,""),"")</f>
        <v/>
      </c>
      <c r="K28" s="460" t="str">
        <f>IF($M$3&gt;=$B28,_xll.PICalcVal(K$8,$B27,$B28,"average", 1, 0,""),"")</f>
        <v/>
      </c>
      <c r="L28" s="133" t="str">
        <f>IF(ISNUMBER(_xll.PIArcVal(Real!$L$8,Real!$B27,0,"MLPfaepi01","exact time")),_xll.PIArcVal(Real!$L$8,Real!$B27,0,"MLPfaepi01","exact time"),"")</f>
        <v/>
      </c>
      <c r="M28" s="133" t="str">
        <f>IF($M$3&gt;=$B28,_xll.PICalcVal(M$8,$B27,$B28,"average", 1, 0,""),"")</f>
        <v/>
      </c>
      <c r="N28" s="16" t="str">
        <f t="shared" si="217"/>
        <v/>
      </c>
      <c r="O28" s="16" t="str">
        <f>IF($M$3&gt;=$B28,SUM(N$9:N28),"")</f>
        <v/>
      </c>
      <c r="P28" s="16" t="str">
        <f t="shared" si="218"/>
        <v/>
      </c>
      <c r="Q28" s="16" t="str">
        <f>IF($M$3&gt;=$B28,SUM(P$9:P28),"")</f>
        <v/>
      </c>
      <c r="R28" s="461" t="str">
        <f>IF($M$3&gt;=$B28,_xll.PICalcVal(R$8,$B27,$B28,"average", 1, 0,"")*10000,"")</f>
        <v/>
      </c>
      <c r="S28" s="133" t="str">
        <f>IF($M$3&gt;=$B28,_xll.PICalcVal(S$8,$B27,$B28,"average", 1, 0,""),"")</f>
        <v/>
      </c>
      <c r="T28" s="133" t="str">
        <f>IF($M$3&gt;=$B28,_xll.PICalcVal(T$8,$B27,$B28,"average", 1, 0,""),"")</f>
        <v/>
      </c>
      <c r="U28" s="133" t="str">
        <f t="shared" si="214"/>
        <v/>
      </c>
      <c r="V28" s="462" t="str">
        <f>IF($M$3&gt;=$B28,_xll.PICalcVal(V$8,$B27,$B28,"average", 1, 0,""),"")</f>
        <v/>
      </c>
      <c r="W28" s="16" t="str">
        <f t="shared" si="215"/>
        <v/>
      </c>
      <c r="X28" s="16" t="str">
        <f>IF($M$3&gt;=$B28,SUM(W$9:W28),"")</f>
        <v/>
      </c>
      <c r="Y28" s="50" t="str">
        <f t="shared" si="216"/>
        <v/>
      </c>
      <c r="Z28" s="440" t="str">
        <f>IF($M$3&gt;=$B28,SUM(Y$9:Y28),"")</f>
        <v/>
      </c>
      <c r="AA28" s="463" t="str">
        <f>IF($M$3&gt;=$B28,_xll.PICalcVal(AA$8,$B27,$B28,"average", 1, 0,""),"")</f>
        <v/>
      </c>
      <c r="AB28" s="440" t="str">
        <f>IF($M$3&gt;=$B28,SUM(AA$9:AA28),"")</f>
        <v/>
      </c>
      <c r="AC28" s="1730" t="str">
        <f>IF($M$3&gt;=$B28,_xll.PICalcVal(AC$8,($B27+2/24),($B28+2/24),"average", 1, 0,""),"")</f>
        <v/>
      </c>
      <c r="AD28" s="1730" t="str">
        <f>IF($M$3&gt;=$B28,_xll.PICalcVal(AD$8,$B27,$B28,"average", 1, 0,""),"")</f>
        <v/>
      </c>
      <c r="AE28" s="218" t="str">
        <f>+IF(ISNUMBER(SUMPRODUCT(AY28:BA28,BB28:BD28)/SUM(AY28:BA28)),(SUMPRODUCT(AY28:BA28,BB28:BD28)/SUM(AY28:BA28)),"")</f>
        <v/>
      </c>
      <c r="AF28" s="218" t="str">
        <f>IF($M$3&gt;=$B28,_xll.PICalcVal(AF$8,$B27,$B28,"average", 1, 0,""),"")</f>
        <v/>
      </c>
      <c r="AG28" s="451" t="str">
        <f t="shared" si="220"/>
        <v/>
      </c>
      <c r="AH28" s="450" t="str">
        <f t="shared" si="221"/>
        <v/>
      </c>
      <c r="AI28" s="450" t="str">
        <f t="shared" si="70"/>
        <v/>
      </c>
      <c r="AJ28" s="450" t="str">
        <f t="shared" si="71"/>
        <v/>
      </c>
      <c r="AK28" s="21" t="str">
        <f t="shared" si="222"/>
        <v/>
      </c>
      <c r="AL28" s="19" t="str">
        <f>IF(ISNUMBER(_xll.PIArcVal(Real!$AL$8,Real!$B27,0,"MLPfaepi01","exact time")),_xll.PIArcVal(Real!$AL$8,Real!$B27,0,"MLPfaepi01","exact time"),"")</f>
        <v/>
      </c>
      <c r="AM28" s="22" t="str">
        <f>IF($M$3&gt;=$B28,_xll.PICalcVal(AM$8,$B27,$B28,"average", 1, 0,""),"")</f>
        <v/>
      </c>
      <c r="AN28" s="21" t="str">
        <f t="shared" si="223"/>
        <v/>
      </c>
      <c r="AO28" s="16" t="str">
        <f>IF($M$3&gt;=$B28,_xll.PICalcVal(AO$8,$B27,$B28,"average", 1, 0,""),"")</f>
        <v/>
      </c>
      <c r="AP28" s="32" t="str">
        <f>IF($M$3&gt;=$B28,_xll.PICalcVal(AP$8,$B27,$B28,"average", 1, 0,""),"")</f>
        <v/>
      </c>
      <c r="AQ28" s="218"/>
      <c r="AR28" s="449"/>
      <c r="AS28" s="272" t="str">
        <f>IF(ISNUMBER(_xll.PIArcVal(Real!AS$8,Real!$B27,0,"","exact time")),_xll.PIArcVal(Real!AS$8,Real!$B27,0,"","exact time"),"")</f>
        <v/>
      </c>
      <c r="AT28" s="1762" t="str">
        <f>IF(ISNUMBER(_xll.PIAdvCalcVal(Real!$AT$8,Real!$B27,Real!$B28,"average","time-weighted",0,1,0,"MLPfaepi01")),_xll.PIAdvCalcVal(Real!$AT$8,Real!$B27,Real!$B28,"average","time-weighted",0,1,0,"MLPfaepi01"),"")</f>
        <v/>
      </c>
      <c r="AU28" s="2100" t="str">
        <f>IF($M$3&gt;=$B28,_xll.PICalcVal(AU$8,$B27,$B28,"average", 1, 0,""),"")</f>
        <v/>
      </c>
      <c r="AV28" s="61" t="str">
        <f>IF($M$3&gt;=$B28,_xll.PICalcVal(AV$8,$B27,$B28,"average", 1, 0,""),"")</f>
        <v/>
      </c>
      <c r="AW28" s="61"/>
      <c r="AX28" s="61"/>
      <c r="AY28" s="16"/>
      <c r="AZ28" s="16"/>
      <c r="BA28" s="16"/>
      <c r="BB28" s="32"/>
      <c r="BC28" s="32"/>
      <c r="BD28" s="32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2304"/>
      <c r="BS28" s="2304"/>
      <c r="BT28" s="2304"/>
      <c r="BU28" s="2304"/>
      <c r="BV28" s="2304"/>
    </row>
    <row r="29" spans="1:75" ht="14.15" customHeight="1">
      <c r="A29" s="4573"/>
      <c r="B29" s="454">
        <f>B28+1</f>
        <v>46102.791666666664</v>
      </c>
      <c r="C29" s="459" t="str">
        <f>IF($M$3&gt;=$B29,_xll.PICalcVal(C$8,$B28,$B29,"total", 1, 0,"")*0.9772,"")</f>
        <v/>
      </c>
      <c r="D29" s="459" t="str">
        <f>IF($M$3&gt;=$B29,_xll.PICalcVal(D$8,$B28,$B29,"total", 1, 0,"")*0.9772,"")</f>
        <v/>
      </c>
      <c r="E29" s="12" t="str">
        <f>IF($M$3&gt;=$B29,_xll.PICalcVal(E$8,$B28,$B29,"average", 1, 0,""),"")</f>
        <v/>
      </c>
      <c r="F29" s="12" t="str">
        <f>IF($M$3&gt;=$B29,_xll.PICalcVal(F$8,$B28,$B29,"average", 1, 0,""),"")</f>
        <v/>
      </c>
      <c r="G29" s="12" t="str">
        <f t="shared" si="0"/>
        <v/>
      </c>
      <c r="H29" s="460"/>
      <c r="I29" s="2062"/>
      <c r="J29" s="2062" t="str">
        <f>IF($M$3&gt;=$B29,_xll.PICalcVal(J$8,$B28,$B29,"average", 1, 0,""),"")</f>
        <v/>
      </c>
      <c r="K29" s="460" t="str">
        <f>IF($M$3&gt;=$B29,_xll.PICalcVal(K$8,$B28,$B29,"average", 1, 0,""),"")</f>
        <v/>
      </c>
      <c r="L29" s="133" t="str">
        <f>IF(ISNUMBER(_xll.PIArcVal(Real!$L$8,Real!$B28,0,"MLPfaepi01","exact time")),_xll.PIArcVal(Real!$L$8,Real!$B28,0,"MLPfaepi01","exact time"),"")</f>
        <v/>
      </c>
      <c r="M29" s="133" t="str">
        <f>IF($M$3&gt;=$B29,_xll.PICalcVal(M$8,$B28,$B29,"average", 1, 0,""),"")</f>
        <v/>
      </c>
      <c r="N29" s="16" t="str">
        <f t="shared" si="217"/>
        <v/>
      </c>
      <c r="O29" s="16" t="str">
        <f>IF($M$3&gt;=$B29,SUM(N$9:N29),"")</f>
        <v/>
      </c>
      <c r="P29" s="16" t="str">
        <f t="shared" si="218"/>
        <v/>
      </c>
      <c r="Q29" s="16" t="str">
        <f>IF($M$3&gt;=$B29,SUM(P$9:P29),"")</f>
        <v/>
      </c>
      <c r="R29" s="461" t="str">
        <f>IF($M$3&gt;=$B29,_xll.PICalcVal(R$8,$B28,$B29,"average", 1, 0,"")*10000,"")</f>
        <v/>
      </c>
      <c r="S29" s="133" t="str">
        <f>IF($M$3&gt;=$B29,_xll.PICalcVal(S$8,$B28,$B29,"average", 1, 0,""),"")</f>
        <v/>
      </c>
      <c r="T29" s="133" t="str">
        <f>IF($M$3&gt;=$B29,_xll.PICalcVal(T$8,$B28,$B29,"average", 1, 0,""),"")</f>
        <v/>
      </c>
      <c r="U29" s="133" t="str">
        <f t="shared" si="214"/>
        <v/>
      </c>
      <c r="V29" s="462" t="str">
        <f>IF($M$3&gt;=$B29,_xll.PICalcVal(V$8,$B28,$B29,"average", 1, 0,""),"")</f>
        <v/>
      </c>
      <c r="W29" s="16" t="str">
        <f t="shared" si="215"/>
        <v/>
      </c>
      <c r="X29" s="16" t="str">
        <f>IF($M$3&gt;=$B29,SUM(W$9:W29),"")</f>
        <v/>
      </c>
      <c r="Y29" s="50" t="str">
        <f t="shared" si="216"/>
        <v/>
      </c>
      <c r="Z29" s="440" t="str">
        <f>IF($M$3&gt;=$B29,SUM(Y$9:Y29),"")</f>
        <v/>
      </c>
      <c r="AA29" s="463" t="str">
        <f>IF($M$3&gt;=$B29,_xll.PICalcVal(AA$8,$B28,$B29,"average", 1, 0,""),"")</f>
        <v/>
      </c>
      <c r="AB29" s="440" t="str">
        <f>IF($M$3&gt;=$B29,SUM(AA$9:AA29),"")</f>
        <v/>
      </c>
      <c r="AC29" s="1730" t="str">
        <f>IF($M$3&gt;=$B29,_xll.PICalcVal(AC$8,($B28+2/24),($B29+2/24),"average", 1, 0,""),"")</f>
        <v/>
      </c>
      <c r="AD29" s="1730" t="str">
        <f>IF($M$3&gt;=$B29,_xll.PICalcVal(AD$8,$B28,$B29,"average", 1, 0,""),"")</f>
        <v/>
      </c>
      <c r="AE29" s="218" t="str">
        <f>+IF(ISNUMBER(SUMPRODUCT(AY29:BA29,BB29:BD29)/SUM(AY29:BA29)),(SUMPRODUCT(AY29:BA29,BB29:BD29)/SUM(AY29:BA29)),"")</f>
        <v/>
      </c>
      <c r="AF29" s="218" t="str">
        <f>IF($M$3&gt;=$B29,_xll.PICalcVal(AF$8,$B28,$B29,"average", 1, 0,""),"")</f>
        <v/>
      </c>
      <c r="AG29" s="451" t="str">
        <f t="shared" si="220"/>
        <v/>
      </c>
      <c r="AH29" s="450" t="str">
        <f t="shared" si="221"/>
        <v/>
      </c>
      <c r="AI29" s="450" t="str">
        <f t="shared" si="70"/>
        <v/>
      </c>
      <c r="AJ29" s="450" t="str">
        <f t="shared" si="71"/>
        <v/>
      </c>
      <c r="AK29" s="21" t="str">
        <f t="shared" si="222"/>
        <v/>
      </c>
      <c r="AL29" s="19" t="str">
        <f>IF(ISNUMBER(_xll.PIArcVal(Real!$AL$8,Real!$B28,0,"MLPfaepi01","exact time")),_xll.PIArcVal(Real!$AL$8,Real!$B28,0,"MLPfaepi01","exact time"),"")</f>
        <v/>
      </c>
      <c r="AM29" s="22" t="str">
        <f>IF($M$3&gt;=$B29,_xll.PICalcVal(AM$8,$B28,$B29,"average", 1, 0,""),"")</f>
        <v/>
      </c>
      <c r="AN29" s="21" t="str">
        <f t="shared" si="223"/>
        <v/>
      </c>
      <c r="AO29" s="16" t="str">
        <f>IF($M$3&gt;=$B29,_xll.PICalcVal(AO$8,$B28,$B29,"average", 1, 0,""),"")</f>
        <v/>
      </c>
      <c r="AP29" s="32" t="str">
        <f>IF($M$3&gt;=$B29,_xll.PICalcVal(AP$8,$B28,$B29,"average", 1, 0,""),"")</f>
        <v/>
      </c>
      <c r="AQ29" s="218"/>
      <c r="AR29" s="449"/>
      <c r="AS29" s="272" t="str">
        <f>IF(ISNUMBER(_xll.PIArcVal(Real!AS$8,Real!$B28,0,"","exact time")),_xll.PIArcVal(Real!AS$8,Real!$B28,0,"","exact time"),"")</f>
        <v/>
      </c>
      <c r="AT29" s="1762" t="str">
        <f>IF(ISNUMBER(_xll.PIAdvCalcVal(Real!$AT$8,Real!$B28,Real!$B29,"average","time-weighted",0,1,0,"MLPfaepi01")),_xll.PIAdvCalcVal(Real!$AT$8,Real!$B28,Real!$B29,"average","time-weighted",0,1,0,"MLPfaepi01"),"")</f>
        <v/>
      </c>
      <c r="AU29" s="2100" t="str">
        <f>IF($M$3&gt;=$B29,_xll.PICalcVal(AU$8,$B28,$B29,"average", 1, 0,""),"")</f>
        <v/>
      </c>
      <c r="AV29" s="61" t="str">
        <f>IF($M$3&gt;=$B29,_xll.PICalcVal(AV$8,$B28,$B29,"average", 1, 0,""),"")</f>
        <v/>
      </c>
      <c r="AW29" s="61"/>
      <c r="AX29" s="61"/>
      <c r="AY29" s="16"/>
      <c r="AZ29" s="16"/>
      <c r="BA29" s="16"/>
      <c r="BB29" s="32"/>
      <c r="BC29" s="32"/>
      <c r="BD29" s="32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2304"/>
      <c r="BS29" s="2304"/>
      <c r="BT29" s="2304"/>
      <c r="BU29" s="2304"/>
      <c r="BV29" s="2304"/>
    </row>
    <row r="30" spans="1:75" ht="14.15" customHeight="1">
      <c r="A30" s="4576" t="s">
        <v>329</v>
      </c>
      <c r="B30" s="585">
        <f t="shared" si="41"/>
        <v>46103.791666666664</v>
      </c>
      <c r="C30" s="459" t="str">
        <f>IF($M$3&gt;=$B30,_xll.PICalcVal(C$8,$B29,$B30,"total", 1, 0,"")*0.9772,"")</f>
        <v/>
      </c>
      <c r="D30" s="459" t="str">
        <f>IF($M$3&gt;=$B30,_xll.PICalcVal(D$8,$B29,$B30,"total", 1, 0,"")*0.9772,"")</f>
        <v/>
      </c>
      <c r="E30" s="12" t="str">
        <f>IF($M$3&gt;=$B30,_xll.PICalcVal(E$8,$B29,$B30,"average", 1, 0,""),"")</f>
        <v/>
      </c>
      <c r="F30" s="12" t="str">
        <f>IF($M$3&gt;=$B30,_xll.PICalcVal(F$8,$B29,$B30,"average", 1, 0,""),"")</f>
        <v/>
      </c>
      <c r="G30" s="12" t="str">
        <f t="shared" si="0"/>
        <v/>
      </c>
      <c r="H30" s="460"/>
      <c r="I30" s="2062"/>
      <c r="J30" s="2062" t="str">
        <f>IF($M$3&gt;=$B30,_xll.PICalcVal(J$8,$B29,$B30,"average", 1, 0,""),"")</f>
        <v/>
      </c>
      <c r="K30" s="460" t="str">
        <f>IF($M$3&gt;=$B30,_xll.PICalcVal(K$8,$B29,$B30,"average", 1, 0,""),"")</f>
        <v/>
      </c>
      <c r="L30" s="133" t="str">
        <f>IF(ISNUMBER(_xll.PIArcVal(Real!$L$8,Real!$B29,0,"MLPfaepi01","exact time")),_xll.PIArcVal(Real!$L$8,Real!$B29,0,"MLPfaepi01","exact time"),"")</f>
        <v/>
      </c>
      <c r="M30" s="133" t="str">
        <f>IF($M$3&gt;=$B30,_xll.PICalcVal(M$8,$B29,$B30,"average", 1, 0,""),"")</f>
        <v/>
      </c>
      <c r="N30" s="16" t="str">
        <f t="shared" si="217"/>
        <v/>
      </c>
      <c r="O30" s="16" t="str">
        <f>IF($M$3&gt;=$B30,SUM(N$9:N30),"")</f>
        <v/>
      </c>
      <c r="P30" s="16" t="str">
        <f t="shared" si="218"/>
        <v/>
      </c>
      <c r="Q30" s="16" t="str">
        <f>IF($M$3&gt;=$B30,SUM(P$9:P30),"")</f>
        <v/>
      </c>
      <c r="R30" s="461" t="str">
        <f>IF($M$3&gt;=$B30,_xll.PICalcVal(R$8,$B29,$B30,"average", 1, 0,"")*10000,"")</f>
        <v/>
      </c>
      <c r="S30" s="133" t="str">
        <f>IF($M$3&gt;=$B30,_xll.PICalcVal(S$8,$B29,$B30,"average", 1, 0,""),"")</f>
        <v/>
      </c>
      <c r="T30" s="133" t="str">
        <f>IF($M$3&gt;=$B30,_xll.PICalcVal(T$8,$B29,$B30,"average", 1, 0,""),"")</f>
        <v/>
      </c>
      <c r="U30" s="133" t="str">
        <f t="shared" si="214"/>
        <v/>
      </c>
      <c r="V30" s="462" t="str">
        <f>IF($M$3&gt;=$B30,_xll.PICalcVal(V$8,$B29,$B30,"average", 1, 0,""),"")</f>
        <v/>
      </c>
      <c r="W30" s="16" t="str">
        <f t="shared" si="215"/>
        <v/>
      </c>
      <c r="X30" s="16" t="str">
        <f>IF($M$3&gt;=$B30,SUM(W$9:W30),"")</f>
        <v/>
      </c>
      <c r="Y30" s="50" t="str">
        <f t="shared" si="216"/>
        <v/>
      </c>
      <c r="Z30" s="440" t="str">
        <f>IF($M$3&gt;=$B30,SUM(Y$9:Y30),"")</f>
        <v/>
      </c>
      <c r="AA30" s="463" t="str">
        <f>IF($M$3&gt;=$B30,_xll.PICalcVal(AA$8,$B29,$B30,"average", 1, 0,""),"")</f>
        <v/>
      </c>
      <c r="AB30" s="440" t="str">
        <f>IF($M$3&gt;=$B30,SUM(AA$9:AA30),"")</f>
        <v/>
      </c>
      <c r="AC30" s="1730" t="str">
        <f>IF($M$3&gt;=$B30,_xll.PICalcVal(AC$8,($B29+2/24),($B30+2/24),"average", 1, 0,""),"")</f>
        <v/>
      </c>
      <c r="AD30" s="1730" t="str">
        <f>IF($M$3&gt;=$B30,_xll.PICalcVal(AD$8,$B29,$B30,"average", 1, 0,""),"")</f>
        <v/>
      </c>
      <c r="AE30" s="218" t="str">
        <f t="shared" si="219"/>
        <v/>
      </c>
      <c r="AF30" s="218" t="str">
        <f>IF($M$3&gt;=$B30,_xll.PICalcVal(AF$8,$B29,$B30,"average", 1, 0,""),"")</f>
        <v/>
      </c>
      <c r="AG30" s="451" t="str">
        <f t="shared" si="220"/>
        <v/>
      </c>
      <c r="AH30" s="450" t="str">
        <f t="shared" si="221"/>
        <v/>
      </c>
      <c r="AI30" s="450" t="str">
        <f t="shared" si="70"/>
        <v/>
      </c>
      <c r="AJ30" s="450" t="str">
        <f t="shared" si="71"/>
        <v/>
      </c>
      <c r="AK30" s="21" t="str">
        <f t="shared" si="222"/>
        <v/>
      </c>
      <c r="AL30" s="19" t="str">
        <f>IF(ISNUMBER(_xll.PIArcVal(Real!$AL$8,Real!$B29,0,"MLPfaepi01","exact time")),_xll.PIArcVal(Real!$AL$8,Real!$B29,0,"MLPfaepi01","exact time"),"")</f>
        <v/>
      </c>
      <c r="AM30" s="22" t="str">
        <f>IF($M$3&gt;=$B30,_xll.PICalcVal(AM$8,$B29,$B30,"average", 1, 0,""),"")</f>
        <v/>
      </c>
      <c r="AN30" s="21" t="str">
        <f t="shared" si="223"/>
        <v/>
      </c>
      <c r="AO30" s="16" t="str">
        <f>IF($M$3&gt;=$B30,_xll.PICalcVal(AO$8,$B29,$B30,"average", 1, 0,""),"")</f>
        <v/>
      </c>
      <c r="AP30" s="32" t="str">
        <f>IF($M$3&gt;=$B30,_xll.PICalcVal(AP$8,$B29,$B30,"average", 1, 0,""),"")</f>
        <v/>
      </c>
      <c r="AQ30" s="218"/>
      <c r="AR30" s="449"/>
      <c r="AS30" s="272" t="str">
        <f>IF(ISNUMBER(_xll.PIArcVal(Real!AS$8,Real!$B29,0,"","exact time")),_xll.PIArcVal(Real!AS$8,Real!$B29,0,"","exact time"),"")</f>
        <v/>
      </c>
      <c r="AT30" s="1762" t="str">
        <f>IF(ISNUMBER(_xll.PIAdvCalcVal(Real!$AT$8,Real!$B29,Real!$B30,"average","time-weighted",0,1,0,"MLPfaepi01")),_xll.PIAdvCalcVal(Real!$AT$8,Real!$B29,Real!$B30,"average","time-weighted",0,1,0,"MLPfaepi01"),"")</f>
        <v/>
      </c>
      <c r="AU30" s="2100" t="str">
        <f>IF($M$3&gt;=$B30,_xll.PICalcVal(AU$8,$B29,$B30,"average", 1, 0,""),"")</f>
        <v/>
      </c>
      <c r="AV30" s="61" t="str">
        <f>IF($M$3&gt;=$B30,_xll.PICalcVal(AV$8,$B29,$B30,"average", 1, 0,""),"")</f>
        <v/>
      </c>
      <c r="AW30" s="61"/>
      <c r="AX30" s="61"/>
      <c r="AY30" s="16"/>
      <c r="AZ30" s="16"/>
      <c r="BA30" s="16"/>
      <c r="BB30" s="32"/>
      <c r="BC30" s="32"/>
      <c r="BD30" s="32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2304"/>
      <c r="BS30" s="2304"/>
      <c r="BT30" s="2304"/>
      <c r="BU30" s="2304"/>
      <c r="BV30" s="2304"/>
    </row>
    <row r="31" spans="1:75" ht="14.15" customHeight="1">
      <c r="A31" s="4577"/>
      <c r="B31" s="11">
        <f t="shared" si="41"/>
        <v>46104.791666666664</v>
      </c>
      <c r="C31" s="459" t="str">
        <f>IF($M$3&gt;=$B31,_xll.PICalcVal(C$8,$B30,$B31,"total", 1, 0,"")*0.9772,"")</f>
        <v/>
      </c>
      <c r="D31" s="459" t="str">
        <f>IF($M$3&gt;=$B31,_xll.PICalcVal(D$8,$B30,$B31,"total", 1, 0,"")*0.9772,"")</f>
        <v/>
      </c>
      <c r="E31" s="12" t="str">
        <f>IF($M$3&gt;=$B31,_xll.PICalcVal(E$8,$B30,$B31,"average", 1, 0,""),"")</f>
        <v/>
      </c>
      <c r="F31" s="12" t="str">
        <f>IF($M$3&gt;=$B31,_xll.PICalcVal(F$8,$B30,$B31,"average", 1, 0,""),"")</f>
        <v/>
      </c>
      <c r="G31" s="12" t="str">
        <f t="shared" si="0"/>
        <v/>
      </c>
      <c r="H31" s="460"/>
      <c r="I31" s="2062"/>
      <c r="J31" s="2062" t="str">
        <f>IF($M$3&gt;=$B31,_xll.PICalcVal(J$8,$B30,$B31,"average", 1, 0,""),"")</f>
        <v/>
      </c>
      <c r="K31" s="460" t="str">
        <f>IF($M$3&gt;=$B31,_xll.PICalcVal(K$8,$B30,$B31,"average", 1, 0,""),"")</f>
        <v/>
      </c>
      <c r="L31" s="133" t="str">
        <f>IF(ISNUMBER(_xll.PIArcVal(Real!$L$8,Real!$B30,0,"MLPfaepi01","exact time")),_xll.PIArcVal(Real!$L$8,Real!$B30,0,"MLPfaepi01","exact time"),"")</f>
        <v/>
      </c>
      <c r="M31" s="133" t="str">
        <f>IF($M$3&gt;=$B31,_xll.PICalcVal(M$8,$B30,$B31,"average", 1, 0,""),"")</f>
        <v/>
      </c>
      <c r="N31" s="16" t="str">
        <f t="shared" si="217"/>
        <v/>
      </c>
      <c r="O31" s="16" t="str">
        <f>IF($M$3&gt;=$B31,SUM(N$9:N31),"")</f>
        <v/>
      </c>
      <c r="P31" s="16" t="str">
        <f t="shared" si="218"/>
        <v/>
      </c>
      <c r="Q31" s="16" t="str">
        <f>IF($M$3&gt;=$B31,SUM(P$9:P31),"")</f>
        <v/>
      </c>
      <c r="R31" s="461" t="str">
        <f>IF($M$3&gt;=$B31,_xll.PICalcVal(R$8,$B30,$B31,"average", 1, 0,"")*10000,"")</f>
        <v/>
      </c>
      <c r="S31" s="133" t="str">
        <f>IF($M$3&gt;=$B31,_xll.PICalcVal(S$8,$B30,$B31,"average", 1, 0,""),"")</f>
        <v/>
      </c>
      <c r="T31" s="133" t="str">
        <f>IF($M$3&gt;=$B31,_xll.PICalcVal(T$8,$B30,$B31,"average", 1, 0,""),"")</f>
        <v/>
      </c>
      <c r="U31" s="133" t="str">
        <f t="shared" si="214"/>
        <v/>
      </c>
      <c r="V31" s="462" t="str">
        <f>IF($M$3&gt;=$B31,_xll.PICalcVal(V$8,$B30,$B31,"average", 1, 0,""),"")</f>
        <v/>
      </c>
      <c r="W31" s="16" t="str">
        <f t="shared" si="215"/>
        <v/>
      </c>
      <c r="X31" s="16" t="str">
        <f>IF($M$3&gt;=$B31,SUM(W$9:W31),"")</f>
        <v/>
      </c>
      <c r="Y31" s="50" t="str">
        <f t="shared" si="216"/>
        <v/>
      </c>
      <c r="Z31" s="440" t="str">
        <f>IF($M$3&gt;=$B31,SUM(Y$9:Y31),"")</f>
        <v/>
      </c>
      <c r="AA31" s="463" t="str">
        <f>IF($M$3&gt;=$B31,_xll.PICalcVal(AA$8,$B30,$B31,"average", 1, 0,""),"")</f>
        <v/>
      </c>
      <c r="AB31" s="440" t="str">
        <f>IF($M$3&gt;=$B31,SUM(AA$9:AA31),"")</f>
        <v/>
      </c>
      <c r="AC31" s="1730" t="str">
        <f>IF($M$3&gt;=$B31,_xll.PICalcVal(AC$8,($B30+2/24),($B31+2/24),"average", 1, 0,""),"")</f>
        <v/>
      </c>
      <c r="AD31" s="1730" t="str">
        <f>IF($M$3&gt;=$B31,_xll.PICalcVal(AD$8,$B30,$B31,"average", 1, 0,""),"")</f>
        <v/>
      </c>
      <c r="AE31" s="218" t="str">
        <f t="shared" si="219"/>
        <v/>
      </c>
      <c r="AF31" s="218" t="str">
        <f>IF($M$3&gt;=$B31,_xll.PICalcVal(AF$8,$B30,$B31,"average", 1, 0,""),"")</f>
        <v/>
      </c>
      <c r="AG31" s="451" t="str">
        <f t="shared" si="220"/>
        <v/>
      </c>
      <c r="AH31" s="450" t="str">
        <f t="shared" si="221"/>
        <v/>
      </c>
      <c r="AI31" s="450" t="str">
        <f t="shared" si="70"/>
        <v/>
      </c>
      <c r="AJ31" s="450" t="str">
        <f t="shared" si="71"/>
        <v/>
      </c>
      <c r="AK31" s="21" t="str">
        <f t="shared" si="222"/>
        <v/>
      </c>
      <c r="AL31" s="19" t="str">
        <f>IF(ISNUMBER(_xll.PIArcVal(Real!$AL$8,Real!$B30,0,"MLPfaepi01","exact time")),_xll.PIArcVal(Real!$AL$8,Real!$B30,0,"MLPfaepi01","exact time"),"")</f>
        <v/>
      </c>
      <c r="AM31" s="22" t="str">
        <f>IF($M$3&gt;=$B31,_xll.PICalcVal(AM$8,$B30,$B31,"average", 1, 0,""),"")</f>
        <v/>
      </c>
      <c r="AN31" s="21" t="str">
        <f t="shared" si="223"/>
        <v/>
      </c>
      <c r="AO31" s="16" t="str">
        <f>IF($M$3&gt;=$B31,_xll.PICalcVal(AO$8,$B30,$B31,"average", 1, 0,""),"")</f>
        <v/>
      </c>
      <c r="AP31" s="32" t="str">
        <f>IF($M$3&gt;=$B31,_xll.PICalcVal(AP$8,$B30,$B31,"average", 1, 0,""),"")</f>
        <v/>
      </c>
      <c r="AQ31" s="218"/>
      <c r="AR31" s="449"/>
      <c r="AS31" s="272" t="str">
        <f>IF(ISNUMBER(_xll.PIArcVal(Real!AS$8,Real!$B30,0,"","exact time")),_xll.PIArcVal(Real!AS$8,Real!$B30,0,"","exact time"),"")</f>
        <v/>
      </c>
      <c r="AT31" s="1762" t="str">
        <f>IF(ISNUMBER(_xll.PIAdvCalcVal(Real!$AT$8,Real!$B30,Real!$B31,"average","time-weighted",0,1,0,"MLPfaepi01")),_xll.PIAdvCalcVal(Real!$AT$8,Real!$B30,Real!$B31,"average","time-weighted",0,1,0,"MLPfaepi01"),"")</f>
        <v/>
      </c>
      <c r="AU31" s="2100" t="str">
        <f>IF($M$3&gt;=$B31,_xll.PICalcVal(AU$8,$B30,$B31,"average", 1, 0,""),"")</f>
        <v/>
      </c>
      <c r="AV31" s="61" t="str">
        <f>IF($M$3&gt;=$B31,_xll.PICalcVal(AV$8,$B30,$B31,"average", 1, 0,""),"")</f>
        <v/>
      </c>
      <c r="AW31" s="61"/>
      <c r="AX31" s="61"/>
      <c r="AY31" s="16"/>
      <c r="AZ31" s="16"/>
      <c r="BA31" s="16"/>
      <c r="BB31" s="32"/>
      <c r="BC31" s="32"/>
      <c r="BD31" s="32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2304"/>
      <c r="BS31" s="2304"/>
      <c r="BT31" s="2304"/>
      <c r="BU31" s="2304"/>
      <c r="BV31" s="2304"/>
    </row>
    <row r="32" spans="1:75" ht="14.15" customHeight="1">
      <c r="A32" s="4577"/>
      <c r="B32" s="11">
        <f t="shared" si="41"/>
        <v>46105.791666666664</v>
      </c>
      <c r="C32" s="459" t="str">
        <f>IF($M$3&gt;=$B32,_xll.PICalcVal(C$8,$B31,$B32,"total", 1, 0,"")*0.9772,"")</f>
        <v/>
      </c>
      <c r="D32" s="459" t="str">
        <f>IF($M$3&gt;=$B32,_xll.PICalcVal(D$8,$B31,$B32,"total", 1, 0,"")*0.9772,"")</f>
        <v/>
      </c>
      <c r="E32" s="12" t="str">
        <f>IF($M$3&gt;=$B32,_xll.PICalcVal(E$8,$B31,$B32,"average", 1, 0,""),"")</f>
        <v/>
      </c>
      <c r="F32" s="12" t="str">
        <f>IF($M$3&gt;=$B32,_xll.PICalcVal(F$8,$B31,$B32,"average", 1, 0,""),"")</f>
        <v/>
      </c>
      <c r="G32" s="12" t="str">
        <f t="shared" si="0"/>
        <v/>
      </c>
      <c r="H32" s="460"/>
      <c r="I32" s="2062"/>
      <c r="J32" s="2062" t="str">
        <f>IF($M$3&gt;=$B32,_xll.PICalcVal(J$8,$B31,$B32,"average", 1, 0,""),"")</f>
        <v/>
      </c>
      <c r="K32" s="460" t="str">
        <f>IF($M$3&gt;=$B32,_xll.PICalcVal(K$8,$B31,$B32,"average", 1, 0,""),"")</f>
        <v/>
      </c>
      <c r="L32" s="133" t="str">
        <f>IF(ISNUMBER(_xll.PIArcVal(Real!$L$8,Real!$B31,0,"MLPfaepi01","exact time")),_xll.PIArcVal(Real!$L$8,Real!$B31,0,"MLPfaepi01","exact time"),"")</f>
        <v/>
      </c>
      <c r="M32" s="133" t="str">
        <f>IF($M$3&gt;=$B32,_xll.PICalcVal(M$8,$B31,$B32,"average", 1, 0,""),"")</f>
        <v/>
      </c>
      <c r="N32" s="16" t="str">
        <f t="shared" si="217"/>
        <v/>
      </c>
      <c r="O32" s="16" t="str">
        <f>IF($M$3&gt;=$B32,SUM(N$9:N32),"")</f>
        <v/>
      </c>
      <c r="P32" s="16" t="str">
        <f t="shared" si="218"/>
        <v/>
      </c>
      <c r="Q32" s="16" t="str">
        <f>IF($M$3&gt;=$B32,SUM(P$9:P32),"")</f>
        <v/>
      </c>
      <c r="R32" s="461" t="str">
        <f>IF($M$3&gt;=$B32,_xll.PICalcVal(R$8,$B31,$B32,"average", 1, 0,"")*10000,"")</f>
        <v/>
      </c>
      <c r="S32" s="133" t="str">
        <f>IF($M$3&gt;=$B32,_xll.PICalcVal(S$8,$B31,$B32,"average", 1, 0,""),"")</f>
        <v/>
      </c>
      <c r="T32" s="133" t="str">
        <f>IF($M$3&gt;=$B32,_xll.PICalcVal(T$8,$B31,$B32,"average", 1, 0,""),"")</f>
        <v/>
      </c>
      <c r="U32" s="133" t="str">
        <f t="shared" si="214"/>
        <v/>
      </c>
      <c r="V32" s="462" t="str">
        <f>IF($M$3&gt;=$B32,_xll.PICalcVal(V$8,$B31,$B32,"average", 1, 0,""),"")</f>
        <v/>
      </c>
      <c r="W32" s="16" t="str">
        <f t="shared" si="215"/>
        <v/>
      </c>
      <c r="X32" s="16" t="str">
        <f>IF($M$3&gt;=$B32,SUM(W$9:W32),"")</f>
        <v/>
      </c>
      <c r="Y32" s="50" t="str">
        <f t="shared" si="216"/>
        <v/>
      </c>
      <c r="Z32" s="440" t="str">
        <f>IF($M$3&gt;=$B32,SUM(Y$9:Y32),"")</f>
        <v/>
      </c>
      <c r="AA32" s="463" t="str">
        <f>IF($M$3&gt;=$B32,_xll.PICalcVal(AA$8,$B31,$B32,"average", 1, 0,""),"")</f>
        <v/>
      </c>
      <c r="AB32" s="440" t="str">
        <f>IF($M$3&gt;=$B32,SUM(AA$9:AA32),"")</f>
        <v/>
      </c>
      <c r="AC32" s="1730" t="str">
        <f>IF($M$3&gt;=$B32,_xll.PICalcVal(AC$8,($B31+2/24),($B32+2/24),"average", 1, 0,""),"")</f>
        <v/>
      </c>
      <c r="AD32" s="1730" t="str">
        <f>IF($M$3&gt;=$B32,_xll.PICalcVal(AD$8,$B31,$B32,"average", 1, 0,""),"")</f>
        <v/>
      </c>
      <c r="AE32" s="218" t="str">
        <f t="shared" si="219"/>
        <v/>
      </c>
      <c r="AF32" s="218" t="str">
        <f>IF($M$3&gt;=$B32,_xll.PICalcVal(AF$8,$B31,$B32,"average", 1, 0,""),"")</f>
        <v/>
      </c>
      <c r="AG32" s="451" t="str">
        <f t="shared" si="220"/>
        <v/>
      </c>
      <c r="AH32" s="450" t="str">
        <f t="shared" si="221"/>
        <v/>
      </c>
      <c r="AI32" s="450" t="str">
        <f t="shared" si="70"/>
        <v/>
      </c>
      <c r="AJ32" s="450" t="str">
        <f t="shared" si="71"/>
        <v/>
      </c>
      <c r="AK32" s="21" t="str">
        <f t="shared" si="222"/>
        <v/>
      </c>
      <c r="AL32" s="19" t="str">
        <f>IF(ISNUMBER(_xll.PIArcVal(Real!$AL$8,Real!$B31,0,"MLPfaepi01","exact time")),_xll.PIArcVal(Real!$AL$8,Real!$B31,0,"MLPfaepi01","exact time"),"")</f>
        <v/>
      </c>
      <c r="AM32" s="22" t="str">
        <f>IF($M$3&gt;=$B32,_xll.PICalcVal(AM$8,$B31,$B32,"average", 1, 0,""),"")</f>
        <v/>
      </c>
      <c r="AN32" s="21" t="str">
        <f t="shared" si="223"/>
        <v/>
      </c>
      <c r="AO32" s="16" t="str">
        <f>IF($M$3&gt;=$B32,_xll.PICalcVal(AO$8,$B31,$B32,"average", 1, 0,""),"")</f>
        <v/>
      </c>
      <c r="AP32" s="32" t="str">
        <f>IF($M$3&gt;=$B32,_xll.PICalcVal(AP$8,$B31,$B32,"average", 1, 0,""),"")</f>
        <v/>
      </c>
      <c r="AQ32" s="218"/>
      <c r="AR32" s="449"/>
      <c r="AS32" s="272" t="str">
        <f>IF(ISNUMBER(_xll.PIArcVal(Real!AS$8,Real!$B31,0,"","exact time")),_xll.PIArcVal(Real!AS$8,Real!$B31,0,"","exact time"),"")</f>
        <v/>
      </c>
      <c r="AT32" s="1762" t="str">
        <f>IF(ISNUMBER(_xll.PIAdvCalcVal(Real!$AT$8,Real!$B31,Real!$B32,"average","time-weighted",0,1,0,"MLPfaepi01")),_xll.PIAdvCalcVal(Real!$AT$8,Real!$B31,Real!$B32,"average","time-weighted",0,1,0,"MLPfaepi01"),"")</f>
        <v/>
      </c>
      <c r="AU32" s="2100" t="str">
        <f>IF($M$3&gt;=$B32,_xll.PICalcVal(AU$8,$B31,$B32,"average", 1, 0,""),"")</f>
        <v/>
      </c>
      <c r="AV32" s="61" t="str">
        <f>IF($M$3&gt;=$B32,_xll.PICalcVal(AV$8,$B31,$B32,"average", 1, 0,""),"")</f>
        <v/>
      </c>
      <c r="AW32" s="61"/>
      <c r="AX32" s="61"/>
      <c r="AY32" s="16"/>
      <c r="AZ32" s="16"/>
      <c r="BA32" s="16"/>
      <c r="BB32" s="32"/>
      <c r="BC32" s="32"/>
      <c r="BD32" s="32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2304"/>
      <c r="BS32" s="2304"/>
      <c r="BT32" s="2304"/>
      <c r="BU32" s="2304"/>
      <c r="BV32" s="2304"/>
    </row>
    <row r="33" spans="1:74" ht="14.15" customHeight="1">
      <c r="A33" s="4577"/>
      <c r="B33" s="11">
        <f t="shared" si="41"/>
        <v>46106.791666666664</v>
      </c>
      <c r="C33" s="459" t="str">
        <f>IF($M$3&gt;=$B33,_xll.PICalcVal(C$8,$B32,$B33,"total", 1, 0,"")*0.9772,"")</f>
        <v/>
      </c>
      <c r="D33" s="459" t="str">
        <f>IF($M$3&gt;=$B33,_xll.PICalcVal(D$8,$B32,$B33,"total", 1, 0,"")*0.9772,"")</f>
        <v/>
      </c>
      <c r="E33" s="12" t="str">
        <f>IF($M$3&gt;=$B33,_xll.PICalcVal(E$8,$B32,$B33,"average", 1, 0,""),"")</f>
        <v/>
      </c>
      <c r="F33" s="12" t="str">
        <f>IF($M$3&gt;=$B33,_xll.PICalcVal(F$8,$B32,$B33,"average", 1, 0,""),"")</f>
        <v/>
      </c>
      <c r="G33" s="12" t="str">
        <f t="shared" si="0"/>
        <v/>
      </c>
      <c r="H33" s="460"/>
      <c r="I33" s="2062"/>
      <c r="J33" s="2062" t="str">
        <f>IF($M$3&gt;=$B33,_xll.PICalcVal(J$8,$B32,$B33,"average", 1, 0,""),"")</f>
        <v/>
      </c>
      <c r="K33" s="460" t="str">
        <f>IF($M$3&gt;=$B33,_xll.PICalcVal(K$8,$B32,$B33,"average", 1, 0,""),"")</f>
        <v/>
      </c>
      <c r="L33" s="133" t="str">
        <f>IF(ISNUMBER(_xll.PIArcVal(Real!$L$8,Real!$B32,0,"MLPfaepi01","exact time")),_xll.PIArcVal(Real!$L$8,Real!$B32,0,"MLPfaepi01","exact time"),"")</f>
        <v/>
      </c>
      <c r="M33" s="133" t="str">
        <f>IF($M$3&gt;=$B33,_xll.PICalcVal(M$8,$B32,$B33,"average", 1, 0,""),"")</f>
        <v/>
      </c>
      <c r="N33" s="16" t="str">
        <f t="shared" si="217"/>
        <v/>
      </c>
      <c r="O33" s="16" t="str">
        <f>IF($M$3&gt;=$B33,SUM(N$9:N33),"")</f>
        <v/>
      </c>
      <c r="P33" s="16" t="str">
        <f t="shared" si="218"/>
        <v/>
      </c>
      <c r="Q33" s="16" t="str">
        <f>IF($M$3&gt;=$B33,SUM(P$9:P33),"")</f>
        <v/>
      </c>
      <c r="R33" s="461" t="str">
        <f>IF($M$3&gt;=$B33,_xll.PICalcVal(R$8,$B32,$B33,"average", 1, 0,"")*10000,"")</f>
        <v/>
      </c>
      <c r="S33" s="133" t="str">
        <f>IF($M$3&gt;=$B33,_xll.PICalcVal(S$8,$B32,$B33,"average", 1, 0,""),"")</f>
        <v/>
      </c>
      <c r="T33" s="133" t="str">
        <f>IF($M$3&gt;=$B33,_xll.PICalcVal(T$8,$B32,$B33,"average", 1, 0,""),"")</f>
        <v/>
      </c>
      <c r="U33" s="133" t="str">
        <f t="shared" si="214"/>
        <v/>
      </c>
      <c r="V33" s="462" t="str">
        <f>IF($M$3&gt;=$B33,_xll.PICalcVal(V$8,$B32,$B33,"average", 1, 0,""),"")</f>
        <v/>
      </c>
      <c r="W33" s="16" t="str">
        <f t="shared" si="215"/>
        <v/>
      </c>
      <c r="X33" s="16" t="str">
        <f>IF($M$3&gt;=$B33,SUM(W$9:W33),"")</f>
        <v/>
      </c>
      <c r="Y33" s="50" t="str">
        <f t="shared" si="216"/>
        <v/>
      </c>
      <c r="Z33" s="440" t="str">
        <f>IF($M$3&gt;=$B33,SUM(Y$9:Y33),"")</f>
        <v/>
      </c>
      <c r="AA33" s="463" t="str">
        <f>IF($M$3&gt;=$B33,_xll.PICalcVal(AA$8,$B32,$B33,"average", 1, 0,""),"")</f>
        <v/>
      </c>
      <c r="AB33" s="440" t="str">
        <f>IF($M$3&gt;=$B33,SUM(AA$9:AA33),"")</f>
        <v/>
      </c>
      <c r="AC33" s="1730" t="str">
        <f>IF($M$3&gt;=$B33,_xll.PICalcVal(AC$8,($B32+2/24),($B33+2/24),"average", 1, 0,""),"")</f>
        <v/>
      </c>
      <c r="AD33" s="1730" t="str">
        <f>IF($M$3&gt;=$B33,_xll.PICalcVal(AD$8,$B32,$B33,"average", 1, 0,""),"")</f>
        <v/>
      </c>
      <c r="AE33" s="218" t="str">
        <f t="shared" si="219"/>
        <v/>
      </c>
      <c r="AF33" s="218" t="str">
        <f>IF($M$3&gt;=$B33,_xll.PICalcVal(AF$8,$B32,$B33,"average", 1, 0,""),"")</f>
        <v/>
      </c>
      <c r="AG33" s="451" t="str">
        <f t="shared" si="220"/>
        <v/>
      </c>
      <c r="AH33" s="450" t="str">
        <f t="shared" si="221"/>
        <v/>
      </c>
      <c r="AI33" s="450" t="str">
        <f t="shared" si="70"/>
        <v/>
      </c>
      <c r="AJ33" s="450" t="str">
        <f t="shared" si="71"/>
        <v/>
      </c>
      <c r="AK33" s="21" t="str">
        <f t="shared" si="222"/>
        <v/>
      </c>
      <c r="AL33" s="19" t="str">
        <f>IF(ISNUMBER(_xll.PIArcVal(Real!$AL$8,Real!$B32,0,"MLPfaepi01","exact time")),_xll.PIArcVal(Real!$AL$8,Real!$B32,0,"MLPfaepi01","exact time"),"")</f>
        <v/>
      </c>
      <c r="AM33" s="22" t="str">
        <f>IF($M$3&gt;=$B33,_xll.PICalcVal(AM$8,$B32,$B33,"average", 1, 0,""),"")</f>
        <v/>
      </c>
      <c r="AN33" s="21" t="str">
        <f t="shared" si="223"/>
        <v/>
      </c>
      <c r="AO33" s="16" t="str">
        <f>IF($M$3&gt;=$B33,_xll.PICalcVal(AO$8,$B32,$B33,"average", 1, 0,""),"")</f>
        <v/>
      </c>
      <c r="AP33" s="32" t="str">
        <f>IF($M$3&gt;=$B33,_xll.PICalcVal(AP$8,$B32,$B33,"average", 1, 0,""),"")</f>
        <v/>
      </c>
      <c r="AQ33" s="218"/>
      <c r="AR33" s="449"/>
      <c r="AS33" s="272" t="str">
        <f>IF(ISNUMBER(_xll.PIArcVal(Real!AS$8,Real!$B32,0,"","exact time")),_xll.PIArcVal(Real!AS$8,Real!$B32,0,"","exact time"),"")</f>
        <v/>
      </c>
      <c r="AT33" s="1762" t="str">
        <f>IF(ISNUMBER(_xll.PIAdvCalcVal(Real!$AT$8,Real!$B32,Real!$B33,"average","time-weighted",0,1,0,"MLPfaepi01")),_xll.PIAdvCalcVal(Real!$AT$8,Real!$B32,Real!$B33,"average","time-weighted",0,1,0,"MLPfaepi01"),"")</f>
        <v/>
      </c>
      <c r="AU33" s="2100" t="str">
        <f>IF($M$3&gt;=$B33,_xll.PICalcVal(AU$8,$B32,$B33,"average", 1, 0,""),"")</f>
        <v/>
      </c>
      <c r="AV33" s="61" t="str">
        <f>IF($M$3&gt;=$B33,_xll.PICalcVal(AV$8,$B32,$B33,"average", 1, 0,""),"")</f>
        <v/>
      </c>
      <c r="AW33" s="61"/>
      <c r="AX33" s="61"/>
      <c r="AY33" s="16"/>
      <c r="AZ33" s="16"/>
      <c r="BA33" s="16"/>
      <c r="BB33" s="32"/>
      <c r="BC33" s="32"/>
      <c r="BD33" s="32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2304"/>
      <c r="BS33" s="2304"/>
      <c r="BT33" s="2304"/>
      <c r="BU33" s="2304"/>
      <c r="BV33" s="2304"/>
    </row>
    <row r="34" spans="1:74">
      <c r="A34" s="4577"/>
      <c r="B34" s="11">
        <f t="shared" si="41"/>
        <v>46107.791666666664</v>
      </c>
      <c r="C34" s="459" t="str">
        <f>IF($M$3&gt;=$B34,_xll.PICalcVal(C$8,$B33,$B34,"total", 1, 0,"")*0.9772,"")</f>
        <v/>
      </c>
      <c r="D34" s="459" t="str">
        <f>IF($M$3&gt;=$B34,_xll.PICalcVal(D$8,$B33,$B34,"total", 1, 0,"")*0.9772,"")</f>
        <v/>
      </c>
      <c r="E34" s="12" t="str">
        <f>IF($M$3&gt;=$B34,_xll.PICalcVal(E$8,$B33,$B34,"average", 1, 0,""),"")</f>
        <v/>
      </c>
      <c r="F34" s="12" t="str">
        <f>IF($M$3&gt;=$B34,_xll.PICalcVal(F$8,$B33,$B34,"average", 1, 0,""),"")</f>
        <v/>
      </c>
      <c r="G34" s="12" t="str">
        <f t="shared" si="0"/>
        <v/>
      </c>
      <c r="H34" s="460"/>
      <c r="I34" s="2062"/>
      <c r="J34" s="2062" t="str">
        <f>IF($M$3&gt;=$B34,_xll.PICalcVal(J$8,$B33,$B34,"average", 1, 0,""),"")</f>
        <v/>
      </c>
      <c r="K34" s="460" t="str">
        <f>IF($M$3&gt;=$B34,_xll.PICalcVal(K$8,$B33,$B34,"average", 1, 0,""),"")</f>
        <v/>
      </c>
      <c r="L34" s="133" t="str">
        <f>IF(ISNUMBER(_xll.PIArcVal(Real!$L$8,Real!$B33,0,"MLPfaepi01","exact time")),_xll.PIArcVal(Real!$L$8,Real!$B33,0,"MLPfaepi01","exact time"),"")</f>
        <v/>
      </c>
      <c r="M34" s="133" t="str">
        <f>IF($M$3&gt;=$B34,_xll.PICalcVal(M$8,$B33,$B34,"average", 1, 0,""),"")</f>
        <v/>
      </c>
      <c r="N34" s="16" t="str">
        <f t="shared" si="217"/>
        <v/>
      </c>
      <c r="O34" s="16" t="str">
        <f>IF($M$3&gt;=$B34,SUM(N$9:N34),"")</f>
        <v/>
      </c>
      <c r="P34" s="16" t="str">
        <f t="shared" si="218"/>
        <v/>
      </c>
      <c r="Q34" s="16" t="str">
        <f>IF($M$3&gt;=$B34,SUM(P$9:P34),"")</f>
        <v/>
      </c>
      <c r="R34" s="461" t="str">
        <f>IF($M$3&gt;=$B34,_xll.PICalcVal(R$8,$B33,$B34,"average", 1, 0,"")*10000,"")</f>
        <v/>
      </c>
      <c r="S34" s="133" t="str">
        <f>IF($M$3&gt;=$B34,_xll.PICalcVal(S$8,$B33,$B34,"average", 1, 0,""),"")</f>
        <v/>
      </c>
      <c r="T34" s="133" t="str">
        <f>IF($M$3&gt;=$B34,_xll.PICalcVal(T$8,$B33,$B34,"average", 1, 0,""),"")</f>
        <v/>
      </c>
      <c r="U34" s="133" t="str">
        <f t="shared" si="214"/>
        <v/>
      </c>
      <c r="V34" s="462" t="str">
        <f>IF($M$3&gt;=$B34,_xll.PICalcVal(V$8,$B33,$B34,"average", 1, 0,""),"")</f>
        <v/>
      </c>
      <c r="W34" s="16" t="str">
        <f t="shared" si="215"/>
        <v/>
      </c>
      <c r="X34" s="16" t="str">
        <f>IF($M$3&gt;=$B34,SUM(W$9:W34),"")</f>
        <v/>
      </c>
      <c r="Y34" s="50" t="str">
        <f t="shared" si="216"/>
        <v/>
      </c>
      <c r="Z34" s="440" t="str">
        <f>IF($M$3&gt;=$B34,SUM(Y$9:Y34),"")</f>
        <v/>
      </c>
      <c r="AA34" s="463" t="str">
        <f>IF($M$3&gt;=$B34,_xll.PICalcVal(AA$8,$B33,$B34,"average", 1, 0,""),"")</f>
        <v/>
      </c>
      <c r="AB34" s="440" t="str">
        <f>IF($M$3&gt;=$B34,SUM(AA$9:AA34),"")</f>
        <v/>
      </c>
      <c r="AC34" s="1730" t="str">
        <f>IF($M$3&gt;=$B34,_xll.PICalcVal(AC$8,($B33+2/24),($B34+2/24),"average", 1, 0,""),"")</f>
        <v/>
      </c>
      <c r="AD34" s="1730" t="str">
        <f>IF($M$3&gt;=$B34,_xll.PICalcVal(AD$8,$B33,$B34,"average", 1, 0,""),"")</f>
        <v/>
      </c>
      <c r="AE34" s="218" t="str">
        <f t="shared" si="219"/>
        <v/>
      </c>
      <c r="AF34" s="218" t="str">
        <f>IF($M$3&gt;=$B34,_xll.PICalcVal(AF$8,$B33,$B34,"average", 1, 0,""),"")</f>
        <v/>
      </c>
      <c r="AG34" s="451" t="str">
        <f t="shared" si="220"/>
        <v/>
      </c>
      <c r="AH34" s="450" t="str">
        <f t="shared" si="221"/>
        <v/>
      </c>
      <c r="AI34" s="450" t="str">
        <f t="shared" si="70"/>
        <v/>
      </c>
      <c r="AJ34" s="450" t="str">
        <f t="shared" si="71"/>
        <v/>
      </c>
      <c r="AK34" s="21" t="str">
        <f t="shared" si="222"/>
        <v/>
      </c>
      <c r="AL34" s="19" t="str">
        <f>IF(ISNUMBER(_xll.PIArcVal(Real!$AL$8,Real!$B33,0,"MLPfaepi01","exact time")),_xll.PIArcVal(Real!$AL$8,Real!$B33,0,"MLPfaepi01","exact time"),"")</f>
        <v/>
      </c>
      <c r="AM34" s="22" t="str">
        <f>IF($M$3&gt;=$B34,_xll.PICalcVal(AM$8,$B33,$B34,"average", 1, 0,""),"")</f>
        <v/>
      </c>
      <c r="AN34" s="21" t="str">
        <f t="shared" si="223"/>
        <v/>
      </c>
      <c r="AO34" s="16" t="str">
        <f>IF($M$3&gt;=$B34,_xll.PICalcVal(AO$8,$B33,$B34,"average", 1, 0,""),"")</f>
        <v/>
      </c>
      <c r="AP34" s="32" t="str">
        <f>IF($M$3&gt;=$B34,_xll.PICalcVal(AP$8,$B33,$B34,"average", 1, 0,""),"")</f>
        <v/>
      </c>
      <c r="AQ34" s="218"/>
      <c r="AR34" s="449"/>
      <c r="AS34" s="272" t="str">
        <f>IF(ISNUMBER(_xll.PIArcVal(Real!AS$8,Real!$B33,0,"","exact time")),_xll.PIArcVal(Real!AS$8,Real!$B33,0,"","exact time"),"")</f>
        <v/>
      </c>
      <c r="AT34" s="1762" t="str">
        <f>IF(ISNUMBER(_xll.PIAdvCalcVal(Real!$AT$8,Real!$B33,Real!$B34,"average","time-weighted",0,1,0,"MLPfaepi01")),_xll.PIAdvCalcVal(Real!$AT$8,Real!$B33,Real!$B34,"average","time-weighted",0,1,0,"MLPfaepi01"),"")</f>
        <v/>
      </c>
      <c r="AU34" s="2100" t="str">
        <f>IF($M$3&gt;=$B34,_xll.PICalcVal(AU$8,$B33,$B34,"average", 1, 0,""),"")</f>
        <v/>
      </c>
      <c r="AV34" s="61" t="str">
        <f>IF($M$3&gt;=$B34,_xll.PICalcVal(AV$8,$B33,$B34,"average", 1, 0,""),"")</f>
        <v/>
      </c>
      <c r="AW34" s="61"/>
      <c r="AX34" s="61"/>
      <c r="AY34" s="16"/>
      <c r="AZ34" s="16"/>
      <c r="BA34" s="16"/>
      <c r="BB34" s="32"/>
      <c r="BC34" s="32"/>
      <c r="BD34" s="32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2304"/>
      <c r="BS34" s="2304"/>
      <c r="BT34" s="2304"/>
      <c r="BU34" s="2304"/>
      <c r="BV34" s="2304"/>
    </row>
    <row r="35" spans="1:74" ht="14.15" customHeight="1">
      <c r="A35" s="4577"/>
      <c r="B35" s="11">
        <f t="shared" si="41"/>
        <v>46108.791666666664</v>
      </c>
      <c r="C35" s="459" t="str">
        <f>IF($M$3&gt;=$B35,_xll.PICalcVal(C$8,$B34,$B35,"total", 1, 0,"")*0.9772,"")</f>
        <v/>
      </c>
      <c r="D35" s="459" t="str">
        <f>IF($M$3&gt;=$B35,_xll.PICalcVal(D$8,$B34,$B35,"total", 1, 0,"")*0.9772,"")</f>
        <v/>
      </c>
      <c r="E35" s="12" t="str">
        <f>IF($M$3&gt;=$B35,_xll.PICalcVal(E$8,$B34,$B35,"average", 1, 0,""),"")</f>
        <v/>
      </c>
      <c r="F35" s="12" t="str">
        <f>IF($M$3&gt;=$B35,_xll.PICalcVal(F$8,$B34,$B35,"average", 1, 0,""),"")</f>
        <v/>
      </c>
      <c r="G35" s="12" t="str">
        <f t="shared" si="0"/>
        <v/>
      </c>
      <c r="H35" s="460"/>
      <c r="I35" s="2062"/>
      <c r="J35" s="2062" t="str">
        <f>IF($M$3&gt;=$B35,_xll.PICalcVal(J$8,$B34,$B35,"average", 1, 0,""),"")</f>
        <v/>
      </c>
      <c r="K35" s="460" t="str">
        <f>IF($M$3&gt;=$B35,_xll.PICalcVal(K$8,$B34,$B35,"average", 1, 0,""),"")</f>
        <v/>
      </c>
      <c r="L35" s="133" t="str">
        <f>IF(ISNUMBER(_xll.PIArcVal(Real!$L$8,Real!$B34,0,"MLPfaepi01","exact time")),_xll.PIArcVal(Real!$L$8,Real!$B34,0,"MLPfaepi01","exact time"),"")</f>
        <v/>
      </c>
      <c r="M35" s="133" t="str">
        <f>IF($M$3&gt;=$B35,_xll.PICalcVal(M$8,$B34,$B35,"average", 1, 0,""),"")</f>
        <v/>
      </c>
      <c r="N35" s="16" t="str">
        <f t="shared" si="217"/>
        <v/>
      </c>
      <c r="O35" s="16" t="str">
        <f>IF($M$3&gt;=$B35,SUM(N$9:N35),"")</f>
        <v/>
      </c>
      <c r="P35" s="16" t="str">
        <f t="shared" si="218"/>
        <v/>
      </c>
      <c r="Q35" s="16" t="str">
        <f>IF($M$3&gt;=$B35,SUM(P$9:P35),"")</f>
        <v/>
      </c>
      <c r="R35" s="461" t="str">
        <f>IF($M$3&gt;=$B35,_xll.PICalcVal(R$8,$B34,$B35,"average", 1, 0,"")*10000,"")</f>
        <v/>
      </c>
      <c r="S35" s="133" t="str">
        <f>IF($M$3&gt;=$B35,_xll.PICalcVal(S$8,$B34,$B35,"average", 1, 0,""),"")</f>
        <v/>
      </c>
      <c r="T35" s="133" t="str">
        <f>IF($M$3&gt;=$B35,_xll.PICalcVal(T$8,$B34,$B35,"average", 1, 0,""),"")</f>
        <v/>
      </c>
      <c r="U35" s="133" t="str">
        <f t="shared" si="214"/>
        <v/>
      </c>
      <c r="V35" s="462" t="str">
        <f>IF($M$3&gt;=$B35,_xll.PICalcVal(V$8,$B34,$B35,"average", 1, 0,""),"")</f>
        <v/>
      </c>
      <c r="W35" s="16" t="str">
        <f t="shared" si="215"/>
        <v/>
      </c>
      <c r="X35" s="16" t="str">
        <f>IF($M$3&gt;=$B35,SUM(W$9:W35),"")</f>
        <v/>
      </c>
      <c r="Y35" s="50" t="str">
        <f t="shared" si="216"/>
        <v/>
      </c>
      <c r="Z35" s="440" t="str">
        <f>IF($M$3&gt;=$B35,SUM(Y$9:Y35),"")</f>
        <v/>
      </c>
      <c r="AA35" s="463" t="str">
        <f>IF($M$3&gt;=$B35,_xll.PICalcVal(AA$8,$B34,$B35,"average", 1, 0,""),"")</f>
        <v/>
      </c>
      <c r="AB35" s="440" t="str">
        <f>IF($M$3&gt;=$B35,SUM(AA$9:AA35),"")</f>
        <v/>
      </c>
      <c r="AC35" s="1730" t="str">
        <f>IF($M$3&gt;=$B35,_xll.PICalcVal(AC$8,($B34+2/24),($B35+2/24),"average", 1, 0,""),"")</f>
        <v/>
      </c>
      <c r="AD35" s="1730" t="str">
        <f>IF($M$3&gt;=$B35,_xll.PICalcVal(AD$8,$B34,$B35,"average", 1, 0,""),"")</f>
        <v/>
      </c>
      <c r="AE35" s="218" t="str">
        <f t="shared" si="219"/>
        <v/>
      </c>
      <c r="AF35" s="218" t="str">
        <f>IF($M$3&gt;=$B35,_xll.PICalcVal(AF$8,$B34,$B35,"average", 1, 0,""),"")</f>
        <v/>
      </c>
      <c r="AG35" s="451" t="str">
        <f t="shared" si="220"/>
        <v/>
      </c>
      <c r="AH35" s="450" t="str">
        <f t="shared" si="221"/>
        <v/>
      </c>
      <c r="AI35" s="450" t="str">
        <f t="shared" si="70"/>
        <v/>
      </c>
      <c r="AJ35" s="450" t="str">
        <f t="shared" si="71"/>
        <v/>
      </c>
      <c r="AK35" s="21" t="str">
        <f t="shared" si="222"/>
        <v/>
      </c>
      <c r="AL35" s="19" t="str">
        <f>IF(ISNUMBER(_xll.PIArcVal(Real!$AL$8,Real!$B34,0,"MLPfaepi01","exact time")),_xll.PIArcVal(Real!$AL$8,Real!$B34,0,"MLPfaepi01","exact time"),"")</f>
        <v/>
      </c>
      <c r="AM35" s="22" t="str">
        <f>IF($M$3&gt;=$B35,_xll.PICalcVal(AM$8,$B34,$B35,"average", 1, 0,""),"")</f>
        <v/>
      </c>
      <c r="AN35" s="21" t="str">
        <f t="shared" si="223"/>
        <v/>
      </c>
      <c r="AO35" s="16" t="str">
        <f>IF($M$3&gt;=$B35,_xll.PICalcVal(AO$8,$B34,$B35,"average", 1, 0,""),"")</f>
        <v/>
      </c>
      <c r="AP35" s="32" t="str">
        <f>IF($M$3&gt;=$B35,_xll.PICalcVal(AP$8,$B34,$B35,"average", 1, 0,""),"")</f>
        <v/>
      </c>
      <c r="AQ35" s="218"/>
      <c r="AR35" s="449"/>
      <c r="AS35" s="272" t="str">
        <f>IF(ISNUMBER(_xll.PIArcVal(Real!AS$8,Real!$B34,0,"","exact time")),_xll.PIArcVal(Real!AS$8,Real!$B34,0,"","exact time"),"")</f>
        <v/>
      </c>
      <c r="AT35" s="1762" t="str">
        <f>IF(ISNUMBER(_xll.PIAdvCalcVal(Real!$AT$8,Real!$B34,Real!$B35,"average","time-weighted",0,1,0,"MLPfaepi01")),_xll.PIAdvCalcVal(Real!$AT$8,Real!$B34,Real!$B35,"average","time-weighted",0,1,0,"MLPfaepi01"),"")</f>
        <v/>
      </c>
      <c r="AU35" s="2100" t="str">
        <f>IF($M$3&gt;=$B35,_xll.PICalcVal(AU$8,$B34,$B35,"average", 1, 0,""),"")</f>
        <v/>
      </c>
      <c r="AV35" s="61" t="str">
        <f>IF($M$3&gt;=$B35,_xll.PICalcVal(AV$8,$B34,$B35,"average", 1, 0,""),"")</f>
        <v/>
      </c>
      <c r="AW35" s="61"/>
      <c r="AX35" s="61"/>
      <c r="AY35" s="16"/>
      <c r="AZ35" s="16"/>
      <c r="BA35" s="16"/>
      <c r="BB35" s="32"/>
      <c r="BC35" s="32"/>
      <c r="BD35" s="32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2304"/>
      <c r="BS35" s="2304"/>
      <c r="BT35" s="2304"/>
      <c r="BU35" s="2304"/>
      <c r="BV35" s="2304"/>
    </row>
    <row r="36" spans="1:74" ht="14.15" customHeight="1">
      <c r="A36" s="124"/>
      <c r="B36" s="11">
        <f t="shared" si="41"/>
        <v>46109.791666666664</v>
      </c>
      <c r="C36" s="459" t="str">
        <f>IF($M$3&gt;=$B36,_xll.PICalcVal(C$8,$B35,$B36,"total", 1, 0,"")*0.9772,"")</f>
        <v/>
      </c>
      <c r="D36" s="459" t="str">
        <f>IF($M$3&gt;=$B36,_xll.PICalcVal(D$8,$B35,$B36,"total", 1, 0,"")*0.9772,"")</f>
        <v/>
      </c>
      <c r="E36" s="12" t="str">
        <f>IF($M$3&gt;=$B36,_xll.PICalcVal(E$8,$B35,$B36,"average", 1, 0,""),"")</f>
        <v/>
      </c>
      <c r="F36" s="12" t="str">
        <f>IF($M$3&gt;=$B36,_xll.PICalcVal(F$8,$B35,$B36,"average", 1, 0,""),"")</f>
        <v/>
      </c>
      <c r="G36" s="12" t="str">
        <f t="shared" si="0"/>
        <v/>
      </c>
      <c r="H36" s="460"/>
      <c r="I36" s="2062"/>
      <c r="J36" s="2062" t="str">
        <f>IF($M$3&gt;=$B36,_xll.PICalcVal(J$8,$B35,$B36,"average", 1, 0,""),"")</f>
        <v/>
      </c>
      <c r="K36" s="460" t="str">
        <f>IF($M$3&gt;=$B36,_xll.PICalcVal(K$8,$B35,$B36,"average", 1, 0,""),"")</f>
        <v/>
      </c>
      <c r="L36" s="133" t="str">
        <f>IF(ISNUMBER(_xll.PIArcVal(Real!$L$8,Real!$B35,0,"MLPfaepi01","exact time")),_xll.PIArcVal(Real!$L$8,Real!$B35,0,"MLPfaepi01","exact time"),"")</f>
        <v/>
      </c>
      <c r="M36" s="133" t="str">
        <f>IF($M$3&gt;=$B36,_xll.PICalcVal(M$8,$B35,$B36,"average", 1, 0,""),"")</f>
        <v/>
      </c>
      <c r="N36" s="16" t="str">
        <f>IF(ISNUMBER(+E36*K36*L36/M36/100),+E36*K36*L36/M36/100,"")</f>
        <v/>
      </c>
      <c r="O36" s="16" t="str">
        <f>IF($M$3&gt;=$B36,SUM(N$9:N36),"")</f>
        <v/>
      </c>
      <c r="P36" s="16" t="str">
        <f>IF(ISNUMBER(+N36*M36/100),+N36*M36/100,"")</f>
        <v/>
      </c>
      <c r="Q36" s="16" t="str">
        <f>IF($M$3&gt;=$B36,SUM(P$9:P36),"")</f>
        <v/>
      </c>
      <c r="R36" s="461" t="str">
        <f>IF($M$3&gt;=$B36,_xll.PICalcVal(R$8,$B35,$B36,"average", 1, 0,"")*10000,"")</f>
        <v/>
      </c>
      <c r="S36" s="133" t="str">
        <f>IF($M$3&gt;=$B36,_xll.PICalcVal(S$8,$B35,$B36,"average", 1, 0,""),"")</f>
        <v/>
      </c>
      <c r="T36" s="133" t="str">
        <f>IF($M$3&gt;=$B36,_xll.PICalcVal(T$8,$B35,$B36,"average", 1, 0,""),"")</f>
        <v/>
      </c>
      <c r="U36" s="133" t="str">
        <f>IF(ISNUMBER(S36*T36/100),S36*T36/100,"")</f>
        <v/>
      </c>
      <c r="V36" s="462" t="str">
        <f>IF($M$3&gt;=$B36,_xll.PICalcVal(V$8,$B35,$B36,"average", 1, 0,""),"")</f>
        <v/>
      </c>
      <c r="W36" s="16" t="str">
        <f>IF(ISNUMBER(Y36/V36*100),Y36/V36*100,"")</f>
        <v/>
      </c>
      <c r="X36" s="16" t="str">
        <f>IF($M$3&gt;=$B36,SUM(W$9:W36),"")</f>
        <v/>
      </c>
      <c r="Y36" s="50" t="str">
        <f>IF(ISNUMBER(E36*R36/1000000*U36/100),(E36*R36/1000000*U36/100),"")</f>
        <v/>
      </c>
      <c r="Z36" s="440" t="str">
        <f>IF($M$3&gt;=$B36,SUM(Y$9:Y36),"")</f>
        <v/>
      </c>
      <c r="AA36" s="463" t="str">
        <f>IF($M$3&gt;=$B36,_xll.PICalcVal(AA$8,$B35,$B36,"average", 1, 0,""),"")</f>
        <v/>
      </c>
      <c r="AB36" s="440" t="str">
        <f>IF($M$3&gt;=$B36,SUM(AA$9:AA36),"")</f>
        <v/>
      </c>
      <c r="AC36" s="1730" t="str">
        <f>IF($M$3&gt;=$B36,_xll.PICalcVal(AC$8,($B35+2/24),($B36+2/24),"average", 1, 0,""),"")</f>
        <v/>
      </c>
      <c r="AD36" s="1730" t="str">
        <f>IF($M$3&gt;=$B36,_xll.PICalcVal(AD$8,$B35,$B36,"average", 1, 0,""),"")</f>
        <v/>
      </c>
      <c r="AE36" s="218" t="str">
        <f>+IF(ISNUMBER(SUMPRODUCT(AY36:BA36,BB36:BD36)/SUM(AY36:BA36)),(SUMPRODUCT(AY36:BA36,BB36:BD36)/SUM(AY36:BA36)),"")</f>
        <v/>
      </c>
      <c r="AF36" s="218" t="str">
        <f>IF($M$3&gt;=$B36,_xll.PICalcVal(AF$8,$B35,$B36,"average", 1, 0,""),"")</f>
        <v/>
      </c>
      <c r="AG36" s="451" t="str">
        <f>IF(ISNUMBER(C36),C36/1000,"")</f>
        <v/>
      </c>
      <c r="AH36" s="450" t="str">
        <f>IF(ISNUMBER(E36),E36/1000,"")</f>
        <v/>
      </c>
      <c r="AI36" s="450" t="str">
        <f t="shared" si="70"/>
        <v/>
      </c>
      <c r="AJ36" s="450" t="str">
        <f t="shared" si="71"/>
        <v/>
      </c>
      <c r="AK36" s="21" t="str">
        <f>IF(ISNUMBER(E36/(24*J36/100)),E36/(24*J36/100),"")</f>
        <v/>
      </c>
      <c r="AL36" s="19" t="str">
        <f>IF(ISNUMBER(_xll.PIArcVal(Real!$AL$8,Real!$B35,0,"MLPfaepi01","exact time")),_xll.PIArcVal(Real!$AL$8,Real!$B35,0,"MLPfaepi01","exact time"),"")</f>
        <v/>
      </c>
      <c r="AM36" s="22" t="str">
        <f>IF($M$3&gt;=$B36,_xll.PICalcVal(AM$8,$B35,$B36,"average", 1, 0,""),"")</f>
        <v/>
      </c>
      <c r="AN36" s="21" t="str">
        <f>IF(ISNUMBER(AL36*AM36/100),(AL36*AM36/100),"")</f>
        <v/>
      </c>
      <c r="AO36" s="16" t="str">
        <f>IF($M$3&gt;=$B36,_xll.PICalcVal(AO$8,$B35,$B36,"average", 1, 0,""),"")</f>
        <v/>
      </c>
      <c r="AP36" s="32" t="str">
        <f>IF($M$3&gt;=$B36,_xll.PICalcVal(AP$8,$B35,$B36,"average", 1, 0,""),"")</f>
        <v/>
      </c>
      <c r="AQ36" s="218"/>
      <c r="AR36" s="449"/>
      <c r="AS36" s="272" t="str">
        <f>IF(ISNUMBER(_xll.PIArcVal(Real!AS$8,Real!$B35,0,"","exact time")),_xll.PIArcVal(Real!AS$8,Real!$B35,0,"","exact time"),"")</f>
        <v/>
      </c>
      <c r="AT36" s="1762" t="str">
        <f>IF(ISNUMBER(_xll.PIAdvCalcVal(Real!$AT$8,Real!$B35,Real!$B36,"average","time-weighted",0,1,0,"MLPfaepi01")),_xll.PIAdvCalcVal(Real!$AT$8,Real!$B35,Real!$B36,"average","time-weighted",0,1,0,"MLPfaepi01"),"")</f>
        <v/>
      </c>
      <c r="AU36" s="2100" t="str">
        <f>IF($M$3&gt;=$B36,_xll.PICalcVal(AU$8,$B35,$B36,"average", 1, 0,""),"")</f>
        <v/>
      </c>
      <c r="AV36" s="61" t="str">
        <f>IF($M$3&gt;=$B36,_xll.PICalcVal(AV$8,$B35,$B36,"average", 1, 0,""),"")</f>
        <v/>
      </c>
      <c r="AW36" s="61"/>
      <c r="AX36" s="61"/>
      <c r="AY36" s="16"/>
      <c r="AZ36" s="16"/>
      <c r="BA36" s="16"/>
      <c r="BB36" s="32"/>
      <c r="BC36" s="32"/>
      <c r="BD36" s="32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2304"/>
      <c r="BS36" s="2304"/>
      <c r="BT36" s="2304"/>
      <c r="BU36" s="2304"/>
      <c r="BV36" s="2304"/>
    </row>
    <row r="37" spans="1:74" ht="14.15" customHeight="1">
      <c r="A37" s="124"/>
      <c r="B37" s="11">
        <f t="shared" si="41"/>
        <v>46110.791666666664</v>
      </c>
      <c r="C37" s="459"/>
      <c r="D37" s="459"/>
      <c r="E37" s="12"/>
      <c r="F37" s="12"/>
      <c r="G37" s="12"/>
      <c r="H37" s="460"/>
      <c r="I37" s="2062"/>
      <c r="J37" s="2062"/>
      <c r="K37" s="460"/>
      <c r="L37" s="133"/>
      <c r="M37" s="133"/>
      <c r="N37" s="16"/>
      <c r="O37" s="16"/>
      <c r="P37" s="16"/>
      <c r="Q37" s="16"/>
      <c r="R37" s="461"/>
      <c r="S37" s="133"/>
      <c r="T37" s="133"/>
      <c r="U37" s="133"/>
      <c r="V37" s="462"/>
      <c r="W37" s="16"/>
      <c r="X37" s="16"/>
      <c r="Y37" s="50"/>
      <c r="Z37" s="440"/>
      <c r="AA37" s="463"/>
      <c r="AB37" s="440"/>
      <c r="AC37" s="1730"/>
      <c r="AD37" s="1730"/>
      <c r="AE37" s="218"/>
      <c r="AF37" s="218"/>
      <c r="AG37" s="451"/>
      <c r="AH37" s="450"/>
      <c r="AI37" s="450"/>
      <c r="AJ37" s="450"/>
      <c r="AK37" s="21"/>
      <c r="AL37" s="19"/>
      <c r="AM37" s="22"/>
      <c r="AN37" s="21"/>
      <c r="AO37" s="16"/>
      <c r="AP37" s="32"/>
      <c r="AQ37" s="218"/>
      <c r="AR37" s="449"/>
      <c r="AS37" s="272"/>
      <c r="AT37" s="1762"/>
      <c r="AU37" s="2100"/>
      <c r="AV37" s="61"/>
      <c r="AW37" s="61"/>
      <c r="AX37" s="61"/>
      <c r="AY37" s="16"/>
      <c r="AZ37" s="16"/>
      <c r="BA37" s="16"/>
      <c r="BB37" s="32"/>
      <c r="BC37" s="32"/>
      <c r="BD37" s="32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2304"/>
      <c r="BS37" s="2304"/>
      <c r="BT37" s="2304"/>
      <c r="BU37" s="2304"/>
      <c r="BV37" s="2304"/>
    </row>
    <row r="38" spans="1:74" ht="14.15" customHeight="1">
      <c r="A38" s="124"/>
      <c r="B38" s="11">
        <f t="shared" si="41"/>
        <v>46111.791666666664</v>
      </c>
      <c r="C38" s="459"/>
      <c r="D38" s="459"/>
      <c r="E38" s="12"/>
      <c r="F38" s="12"/>
      <c r="G38" s="12"/>
      <c r="H38" s="460"/>
      <c r="I38" s="2062"/>
      <c r="J38" s="2062"/>
      <c r="K38" s="460"/>
      <c r="L38" s="133"/>
      <c r="M38" s="133"/>
      <c r="N38" s="16"/>
      <c r="O38" s="16"/>
      <c r="P38" s="16"/>
      <c r="Q38" s="16"/>
      <c r="R38" s="461"/>
      <c r="S38" s="133"/>
      <c r="T38" s="133"/>
      <c r="U38" s="133"/>
      <c r="V38" s="462"/>
      <c r="W38" s="16"/>
      <c r="X38" s="16"/>
      <c r="Y38" s="50"/>
      <c r="Z38" s="440"/>
      <c r="AA38" s="463"/>
      <c r="AB38" s="440"/>
      <c r="AC38" s="1730"/>
      <c r="AD38" s="1730"/>
      <c r="AE38" s="218"/>
      <c r="AF38" s="218"/>
      <c r="AG38" s="451"/>
      <c r="AH38" s="450"/>
      <c r="AI38" s="450"/>
      <c r="AJ38" s="450"/>
      <c r="AK38" s="21"/>
      <c r="AL38" s="19"/>
      <c r="AM38" s="22"/>
      <c r="AN38" s="21"/>
      <c r="AO38" s="16"/>
      <c r="AP38" s="32"/>
      <c r="AQ38" s="218"/>
      <c r="AR38" s="449"/>
      <c r="AS38" s="272"/>
      <c r="AT38" s="1762"/>
      <c r="AU38" s="2100"/>
      <c r="AV38" s="61"/>
      <c r="AW38" s="61"/>
      <c r="AX38" s="61"/>
      <c r="AY38" s="16"/>
      <c r="AZ38" s="16"/>
      <c r="BA38" s="16"/>
      <c r="BB38" s="32"/>
      <c r="BC38" s="32"/>
      <c r="BD38" s="32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2304"/>
      <c r="BS38" s="2304"/>
      <c r="BT38" s="2304"/>
      <c r="BU38" s="2304"/>
      <c r="BV38" s="2304"/>
    </row>
    <row r="39" spans="1:74" ht="14.15" customHeight="1">
      <c r="A39" s="124"/>
      <c r="B39" s="11">
        <f t="shared" si="41"/>
        <v>46112.791666666664</v>
      </c>
      <c r="C39" s="459"/>
      <c r="D39" s="459"/>
      <c r="E39" s="12"/>
      <c r="F39" s="12"/>
      <c r="G39" s="12"/>
      <c r="H39" s="460"/>
      <c r="I39" s="2062"/>
      <c r="J39" s="2062"/>
      <c r="K39" s="460"/>
      <c r="L39" s="133"/>
      <c r="M39" s="133"/>
      <c r="N39" s="16"/>
      <c r="O39" s="16"/>
      <c r="P39" s="16"/>
      <c r="Q39" s="16"/>
      <c r="R39" s="461"/>
      <c r="S39" s="133"/>
      <c r="T39" s="133"/>
      <c r="U39" s="133"/>
      <c r="V39" s="462"/>
      <c r="W39" s="16"/>
      <c r="X39" s="16"/>
      <c r="Y39" s="50"/>
      <c r="Z39" s="440"/>
      <c r="AA39" s="463"/>
      <c r="AB39" s="440"/>
      <c r="AC39" s="1730"/>
      <c r="AD39" s="1730"/>
      <c r="AE39" s="218"/>
      <c r="AF39" s="218"/>
      <c r="AG39" s="451"/>
      <c r="AH39" s="450"/>
      <c r="AI39" s="450"/>
      <c r="AJ39" s="450"/>
      <c r="AK39" s="21"/>
      <c r="AL39" s="19"/>
      <c r="AM39" s="22"/>
      <c r="AN39" s="21"/>
      <c r="AO39" s="16"/>
      <c r="AP39" s="32"/>
      <c r="AQ39" s="218"/>
      <c r="AR39" s="449"/>
      <c r="AS39" s="272"/>
      <c r="AT39" s="1762"/>
      <c r="AU39" s="2100"/>
      <c r="AV39" s="61"/>
      <c r="AW39" s="61"/>
      <c r="AX39" s="61"/>
      <c r="AY39" s="16"/>
      <c r="AZ39" s="16"/>
      <c r="BA39" s="16"/>
      <c r="BB39" s="32"/>
      <c r="BC39" s="32"/>
      <c r="BD39" s="32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2304"/>
      <c r="BS39" s="2304"/>
      <c r="BT39" s="2304"/>
      <c r="BU39" s="2304"/>
      <c r="BV39" s="2304"/>
    </row>
    <row r="40" spans="1:74" ht="14.15" customHeight="1">
      <c r="A40" s="313" t="s">
        <v>330</v>
      </c>
      <c r="B40" s="311"/>
      <c r="C40" s="28">
        <f>AVERAGE(C9:C39)</f>
        <v>169209.19284705882</v>
      </c>
      <c r="D40" s="30">
        <f>+SUM(C9:C39)</f>
        <v>2876556.2783999997</v>
      </c>
      <c r="E40" s="28">
        <f>SUM(E9:E39)</f>
        <v>2919079.8328061295</v>
      </c>
      <c r="F40" s="28">
        <f>SUM(E9:E39)</f>
        <v>2919079.8328061295</v>
      </c>
      <c r="G40" s="28">
        <f>AVERAGE(G9:G39)</f>
        <v>125507.50280293409</v>
      </c>
      <c r="H40" s="43">
        <f>+SUM(H9:H39)/COUNT(C9:C39)</f>
        <v>85.546686783041338</v>
      </c>
      <c r="I40" s="43">
        <f>+SUM(I9:I39)/COUNT(C9:C39)</f>
        <v>99.501634485581349</v>
      </c>
      <c r="J40" s="43">
        <f>+SUM(J9:J39)/COUNT(E9:E39)</f>
        <v>88.117327699326225</v>
      </c>
      <c r="K40" s="64">
        <f>SUMPRODUCT(K9:K39,E9:E39)/SUM(F40)</f>
        <v>0.49046726479369607</v>
      </c>
      <c r="L40" s="43">
        <f>+Q40*100/(F40*K40%)</f>
        <v>90.621181612764147</v>
      </c>
      <c r="M40" s="43">
        <f>+SUMPRODUCT(M9:M39,N9:N39)/SUM(N9:N39)</f>
        <v>25.931627028181765</v>
      </c>
      <c r="N40" s="29">
        <f>+SUM(N9:N39)</f>
        <v>50032.931921419273</v>
      </c>
      <c r="O40" s="29">
        <f>SUM(N9:N39)</f>
        <v>50032.931921419273</v>
      </c>
      <c r="P40" s="1728">
        <f>+SUM(P9:P39)</f>
        <v>12974.353297126541</v>
      </c>
      <c r="Q40" s="30">
        <f>+SUM(P9:P39)</f>
        <v>12974.353297126541</v>
      </c>
      <c r="R40" s="29">
        <f>+SUMPRODUCT(R9:R39,E9:E39)/F40</f>
        <v>209.05586014639971</v>
      </c>
      <c r="S40" s="31">
        <f>SUMPRODUCT(E9:E39,R9:R39,S9:S39)/SUMPRODUCT(E9:E39,R9:R39)</f>
        <v>89.313167038140008</v>
      </c>
      <c r="T40" s="31">
        <f>SUMPRODUCT(E9:E39,R9:R39,S9:S39,T9:T39)/SUMPRODUCT(E9:E39,R9:R39,S9:S39)</f>
        <v>90.883108840805434</v>
      </c>
      <c r="U40" s="31">
        <f>SUMPRODUCT(E9:E39,R9:R39,U9:U39)/SUMPRODUCT(E9:E39,R9:R39)</f>
        <v>81.170582808443143</v>
      </c>
      <c r="V40" s="31">
        <f>Y40/W40*100</f>
        <v>29.112025404770353</v>
      </c>
      <c r="W40" s="29">
        <f>+SUM(W9:W21,W22:W39)</f>
        <v>1701.5102166617021</v>
      </c>
      <c r="X40" s="29">
        <f>+SUM(W9:W21,W22:W39)</f>
        <v>1701.5102166617021</v>
      </c>
      <c r="Y40" s="31">
        <f>+SUM(Y9:Y21,Y22:Y39)</f>
        <v>495.34408653931774</v>
      </c>
      <c r="Z40" s="30">
        <f>+SUM(Y9:Y20,Y22:Y39)</f>
        <v>467.80580208811693</v>
      </c>
      <c r="AA40" s="43">
        <f>SUM(AA9:AA39)</f>
        <v>568.44523256662933</v>
      </c>
      <c r="AB40" s="30">
        <f>+SUM(AA9:AA39)</f>
        <v>568.44523256662933</v>
      </c>
      <c r="AC40" s="128">
        <f>SUMPRODUCT(D9:D39,AC9:AC39)/SUM(D9:D39)</f>
        <v>75.419100999518875</v>
      </c>
      <c r="AD40" s="413">
        <f>SUMPRODUCT(E9:E39,AD9:AD39)/SUM(E9:E39)</f>
        <v>62.153207792152699</v>
      </c>
      <c r="AE40" s="453">
        <f>SUMPRODUCT(AE9:AE39,E9:E39)/SUM(E9:E39)</f>
        <v>18.100498246288893</v>
      </c>
      <c r="AF40" s="200">
        <f>SUMPRODUCT(AF9:AF39,N9:N39)/SUM(N9:N39)</f>
        <v>887.39033379184934</v>
      </c>
      <c r="AG40" s="128"/>
      <c r="AH40" s="128"/>
      <c r="AI40" s="338">
        <f>SUMPRODUCT(AI9:AI39,H9:H39)/SUM(H9:H39)</f>
        <v>6328.9938491249077</v>
      </c>
      <c r="AJ40" s="338">
        <f>SUMPRODUCT(AJ9:AJ39,I9:I39)/SUM(I9:I39)</f>
        <v>1990.6212919319823</v>
      </c>
      <c r="AK40" s="338">
        <f>SUM(AI40:AJ40)</f>
        <v>8319.6151410568891</v>
      </c>
      <c r="AL40" s="170">
        <f>SUM(AL9:AL39)</f>
        <v>54314.039306640625</v>
      </c>
      <c r="AM40" s="251">
        <f>AN40/AL40*100</f>
        <v>25.805861735996633</v>
      </c>
      <c r="AN40" s="249">
        <f>SUM(AN9:AN39)</f>
        <v>14016.205886706543</v>
      </c>
      <c r="AO40" s="170">
        <f>SUM(AO9:AO39)</f>
        <v>50741.037500394166</v>
      </c>
      <c r="AP40" s="1282">
        <f>AQ40/AO40*100</f>
        <v>25.80971317506215</v>
      </c>
      <c r="AQ40" s="171">
        <f>SUM(AQ9:AQ39)</f>
        <v>13096.11624090246</v>
      </c>
      <c r="AR40" s="540">
        <f>SUM(AR9:AR39)</f>
        <v>12598.463823748167</v>
      </c>
      <c r="AS40" s="1715">
        <f>SUMPRODUCT(E9:E39,AS9:AS39)/SUM(E9:E39)</f>
        <v>4.6902586066660286</v>
      </c>
      <c r="AT40" s="387">
        <f>+SUMPRODUCT(AT9:AT39,E9:E39)/SUM(E9:E39)</f>
        <v>4.2344168154378883</v>
      </c>
      <c r="AU40" s="1714">
        <f>+SUMPRODUCT(AU9:AU39,E9:E39)/SUM(E9:E39)</f>
        <v>37.942957957818315</v>
      </c>
      <c r="AV40" s="2101">
        <f>+SUMPRODUCT(AV9:AV39,F9:F39)/SUM(F9:F39)</f>
        <v>196.931418088729</v>
      </c>
      <c r="AW40" s="338">
        <f>SUM(AW9:AW39)</f>
        <v>7028685.522135417</v>
      </c>
      <c r="AX40" s="2101">
        <f>+SUMPRODUCT(AX9:AX39,E9:E39)/$F$40</f>
        <v>199.46250841364704</v>
      </c>
    </row>
    <row r="41" spans="1:74" ht="11.5" customHeight="1">
      <c r="A41" s="1560"/>
      <c r="B41" s="1560"/>
      <c r="C41" s="588"/>
      <c r="D41" s="588"/>
      <c r="E41" s="16">
        <f>COUNT(E9:E39)-0.5</f>
        <v>16.5</v>
      </c>
      <c r="F41" s="16"/>
      <c r="G41" s="16"/>
      <c r="H41" s="16"/>
      <c r="I41" s="16"/>
      <c r="J41" s="16"/>
      <c r="K41" s="32"/>
      <c r="L41" s="15"/>
      <c r="M41" s="15"/>
      <c r="N41" s="16"/>
      <c r="O41" s="16"/>
      <c r="P41" s="16"/>
      <c r="Q41" s="16"/>
      <c r="R41" s="16"/>
      <c r="S41" s="15"/>
      <c r="T41" s="15"/>
      <c r="U41" s="15"/>
      <c r="V41" s="16"/>
      <c r="W41" s="16"/>
      <c r="X41" s="16"/>
      <c r="Y41" s="16"/>
      <c r="Z41" s="16"/>
      <c r="AA41" s="16"/>
      <c r="AB41" s="16"/>
      <c r="AO41" s="18">
        <f>+AO40+4000</f>
        <v>54741.037500394166</v>
      </c>
      <c r="AW41" s="217"/>
    </row>
    <row r="42" spans="1:74" ht="14.15" customHeight="1">
      <c r="A42" s="4571" t="s">
        <v>331</v>
      </c>
      <c r="B42" s="4572"/>
      <c r="C42" s="586">
        <f>AVERAGE(C9:C15)</f>
        <v>170017.30439999999</v>
      </c>
      <c r="D42" s="1554">
        <f>SUM(C9:C15)</f>
        <v>1190121.1307999999</v>
      </c>
      <c r="E42" s="586">
        <f>AVERAGE(E9:E15)</f>
        <v>149406.37256404333</v>
      </c>
      <c r="F42" s="588">
        <f>SUM(E9:E15)</f>
        <v>1045844.6079483032</v>
      </c>
      <c r="G42" s="588"/>
      <c r="H42" s="1561">
        <f>+SUM(H9:H15)/COUNT(B9:B15)</f>
        <v>72.369999578678716</v>
      </c>
      <c r="I42" s="590"/>
      <c r="J42" s="590"/>
      <c r="K42" s="589">
        <f>SUMPRODUCT(E9:E15,K9:K15)/SUM(E9:E15)</f>
        <v>0.51857021123261393</v>
      </c>
      <c r="L42" s="590">
        <f>Q42*100/(F42*K42/100)</f>
        <v>91.07351479623</v>
      </c>
      <c r="M42" s="590">
        <f>L42*F42*K42/(100*O42)</f>
        <v>26.073091116564111</v>
      </c>
      <c r="N42" s="588">
        <f>AVERAGE(N9:N15)</f>
        <v>2706.3020244655272</v>
      </c>
      <c r="O42" s="588">
        <f>+SUM(N9:N15)</f>
        <v>18944.11417125869</v>
      </c>
      <c r="P42" s="588">
        <f>AVERAGE(P9:P15)</f>
        <v>705.61659272831605</v>
      </c>
      <c r="Q42" s="1554">
        <f>+SUM(P9:P15)</f>
        <v>4939.316149098212</v>
      </c>
      <c r="R42" s="586">
        <f>SUMPRODUCT(E9:E15,R9:R15)/SUM(E9:E15)</f>
        <v>243.892456931461</v>
      </c>
      <c r="S42" s="588"/>
      <c r="T42" s="588"/>
      <c r="U42" s="590">
        <f>+AB42*100000000/(F42*R42)</f>
        <v>112.7495759181129</v>
      </c>
      <c r="V42" s="588"/>
      <c r="W42" s="588">
        <f>AVERAGE(W9:W15)</f>
        <v>56.152967777877542</v>
      </c>
      <c r="X42" s="588">
        <f>+SUM(W9:W15)</f>
        <v>393.07077444514277</v>
      </c>
      <c r="Y42" s="588"/>
      <c r="Z42" s="588"/>
      <c r="AA42" s="588">
        <f>AVERAGE(AA9:AA15)</f>
        <v>41.08491638324012</v>
      </c>
      <c r="AB42" s="1554">
        <f>+SUM(AA9:AA15)</f>
        <v>287.59441468268085</v>
      </c>
      <c r="AO42" s="18">
        <f>+AL40-AO40</f>
        <v>3573.0018062464587</v>
      </c>
    </row>
    <row r="43" spans="1:74" ht="14.15" customHeight="1">
      <c r="A43" s="4566" t="s">
        <v>332</v>
      </c>
      <c r="B43" s="4567"/>
      <c r="C43" s="33">
        <f>AVERAGE(C16:C22)</f>
        <v>150584.28640000001</v>
      </c>
      <c r="D43" s="12">
        <f>SUM(C16:C22)</f>
        <v>1054090.0048</v>
      </c>
      <c r="E43" s="33">
        <f>AVERAGE(E16:E22)</f>
        <v>182175.95645530155</v>
      </c>
      <c r="F43" s="16">
        <f>SUM(E16:E22)</f>
        <v>1275231.6951871109</v>
      </c>
      <c r="G43" s="16"/>
      <c r="H43" s="13">
        <f>+SUM(H16:H22)/COUNT(B16:B22)</f>
        <v>93.661414803766164</v>
      </c>
      <c r="I43" s="15"/>
      <c r="J43" s="15"/>
      <c r="K43" s="32">
        <f>SUMPRODUCT(E16:E22,K16:K22)/SUM(E16:E22)</f>
        <v>0.47244932815069618</v>
      </c>
      <c r="L43" s="15">
        <f>Q43*100/(F43*K43/100)</f>
        <v>90.40366042344219</v>
      </c>
      <c r="M43" s="15">
        <f>L43*F43*K43/(100*O43)</f>
        <v>25.401591878152956</v>
      </c>
      <c r="N43" s="16">
        <f>AVERAGE(N16:N22)</f>
        <v>3063.1719422124338</v>
      </c>
      <c r="O43" s="16">
        <f>+SUM(N16:N22)</f>
        <v>21442.203595487037</v>
      </c>
      <c r="P43" s="16">
        <f>AVERAGE(P16:P22)</f>
        <v>778.09443528689394</v>
      </c>
      <c r="Q43" s="12">
        <f>+SUM(P16:P22)</f>
        <v>5446.6610470082578</v>
      </c>
      <c r="R43" s="33">
        <f>SUMPRODUCT(E16:E22,R16:R22)/SUM(E16:E22)</f>
        <v>192.16184379529545</v>
      </c>
      <c r="S43" s="16"/>
      <c r="T43" s="16"/>
      <c r="U43" s="15">
        <f>+AB43*100000000/(F43*R43)</f>
        <v>94.249226599903025</v>
      </c>
      <c r="V43" s="16"/>
      <c r="W43" s="16">
        <f>AVERAGE(W16:W22)</f>
        <v>59.536619400340271</v>
      </c>
      <c r="X43" s="16">
        <f>+SUM(W16:W22)</f>
        <v>416.7563358023819</v>
      </c>
      <c r="Y43" s="16"/>
      <c r="Z43" s="16"/>
      <c r="AA43" s="16">
        <f>AVERAGE(AA16:AA22)</f>
        <v>32.994079049341686</v>
      </c>
      <c r="AB43" s="12">
        <f>+SUM(AA16:AA22)</f>
        <v>230.95855334539181</v>
      </c>
      <c r="AO43" s="18"/>
      <c r="AQ43" s="62"/>
    </row>
    <row r="44" spans="1:74" ht="14.15" customHeight="1">
      <c r="A44" s="4566" t="s">
        <v>333</v>
      </c>
      <c r="B44" s="4567"/>
      <c r="C44" s="33">
        <f>AVERAGE(C23:C27)</f>
        <v>210781.71426666668</v>
      </c>
      <c r="D44" s="12">
        <f>SUM(C23:C27)</f>
        <v>632345.14280000003</v>
      </c>
      <c r="E44" s="33">
        <f>AVERAGE(E23:E27)</f>
        <v>199334.50989023843</v>
      </c>
      <c r="F44" s="16">
        <f>SUM(E23:E27)</f>
        <v>598003.52967071533</v>
      </c>
      <c r="G44" s="16"/>
      <c r="H44" s="13">
        <f>+SUM(H23:H27)/COUNT(B23:B27)</f>
        <v>58.414754926917716</v>
      </c>
      <c r="I44" s="15"/>
      <c r="J44" s="15"/>
      <c r="K44" s="32">
        <f>SUMPRODUCT(E23:E27,K23:K27)/SUM(E23:E27)</f>
        <v>0.47974112223211735</v>
      </c>
      <c r="L44" s="15">
        <f>Q44*100/(F44*K44/100)</f>
        <v>90.222880220752032</v>
      </c>
      <c r="M44" s="15">
        <f>L44*F44*K44/(100*O44)</f>
        <v>26.831964661570606</v>
      </c>
      <c r="N44" s="16">
        <f>AVERAGE(N23:N27)</f>
        <v>3215.5380515578472</v>
      </c>
      <c r="O44" s="16">
        <f>+SUM(N23:N27)</f>
        <v>9646.6141546735416</v>
      </c>
      <c r="P44" s="16">
        <f>AVERAGE(P23:P27)</f>
        <v>862.79203367335742</v>
      </c>
      <c r="Q44" s="12">
        <f>+SUM(P23:P27)</f>
        <v>2588.3761010200724</v>
      </c>
      <c r="R44" s="33">
        <f>SUMPRODUCT(E23:E27,R23:R27)/SUM(E23:E27)</f>
        <v>184.15653922569052</v>
      </c>
      <c r="S44" s="16"/>
      <c r="T44" s="16"/>
      <c r="U44" s="15">
        <f>+AB44*100000000/(F44*R44)</f>
        <v>45.304602486382862</v>
      </c>
      <c r="V44" s="16"/>
      <c r="W44" s="16">
        <f>AVERAGE(W23:W27)</f>
        <v>297.22770213805916</v>
      </c>
      <c r="X44" s="16">
        <f>+SUM(W23:W27)</f>
        <v>891.68310641417747</v>
      </c>
      <c r="Y44" s="16"/>
      <c r="Z44" s="16"/>
      <c r="AA44" s="16">
        <f>AVERAGE(AA23:AA27)</f>
        <v>16.630754846185557</v>
      </c>
      <c r="AB44" s="12">
        <f>+SUM(AA23:AA27)</f>
        <v>49.892264538556674</v>
      </c>
    </row>
    <row r="45" spans="1:74" ht="14.15" customHeight="1">
      <c r="A45" s="4561" t="s">
        <v>334</v>
      </c>
      <c r="B45" s="4562"/>
      <c r="C45" s="23" t="e">
        <f>AVERAGE(C30:C39)</f>
        <v>#DIV/0!</v>
      </c>
      <c r="D45" s="24">
        <f>SUM(C30:C39)</f>
        <v>0</v>
      </c>
      <c r="E45" s="23" t="e">
        <f>AVERAGE(E30:E39)</f>
        <v>#DIV/0!</v>
      </c>
      <c r="F45" s="26">
        <f>SUM(E30:E39)</f>
        <v>0</v>
      </c>
      <c r="G45" s="26"/>
      <c r="H45" s="27">
        <f>+SUM(H30:H39)/COUNT(B30:B39)</f>
        <v>0</v>
      </c>
      <c r="I45" s="25"/>
      <c r="J45" s="25"/>
      <c r="K45" s="34" t="e">
        <f>SUMPRODUCT(E30:E39,K30:K39)/SUM(E30:E39)</f>
        <v>#DIV/0!</v>
      </c>
      <c r="L45" s="25" t="e">
        <f>Q45*100/(F45*K45/100)</f>
        <v>#DIV/0!</v>
      </c>
      <c r="M45" s="25" t="e">
        <f>L45*F45*K45/(100*O45)</f>
        <v>#DIV/0!</v>
      </c>
      <c r="N45" s="26" t="e">
        <f>AVERAGE(N30:N39)</f>
        <v>#DIV/0!</v>
      </c>
      <c r="O45" s="26">
        <f>+SUM(N30:N39)</f>
        <v>0</v>
      </c>
      <c r="P45" s="26" t="e">
        <f>AVERAGE(P30:P39)</f>
        <v>#DIV/0!</v>
      </c>
      <c r="Q45" s="24">
        <f>+SUM(P30:P39)</f>
        <v>0</v>
      </c>
      <c r="R45" s="23" t="e">
        <f>SUMPRODUCT(E30:E39,R30:R39)/SUM(E30:E39)</f>
        <v>#DIV/0!</v>
      </c>
      <c r="S45" s="26"/>
      <c r="T45" s="26"/>
      <c r="U45" s="25" t="e">
        <f>+AB45*100000000/(F45*R45)</f>
        <v>#DIV/0!</v>
      </c>
      <c r="V45" s="26"/>
      <c r="W45" s="26" t="e">
        <f>AVERAGE(W30:W39)</f>
        <v>#DIV/0!</v>
      </c>
      <c r="X45" s="26">
        <f>+SUM(W30:W39)</f>
        <v>0</v>
      </c>
      <c r="Y45" s="26"/>
      <c r="Z45" s="26"/>
      <c r="AA45" s="26" t="e">
        <f>AVERAGE(AA30:AA39)</f>
        <v>#DIV/0!</v>
      </c>
      <c r="AB45" s="24">
        <f>+SUM(AA30:AA39)</f>
        <v>0</v>
      </c>
      <c r="AM45" s="18"/>
      <c r="AO45" s="3">
        <v>21751.983067233017</v>
      </c>
    </row>
    <row r="46" spans="1:74" ht="14.15" customHeight="1"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E46" s="205"/>
      <c r="AO46" s="18">
        <f>+AO45-AO40</f>
        <v>-28989.054433161149</v>
      </c>
    </row>
    <row r="47" spans="1:74" ht="14.15" customHeight="1">
      <c r="A47" s="4558" t="s">
        <v>288</v>
      </c>
      <c r="B47" s="4558"/>
      <c r="C47" s="586"/>
      <c r="D47" s="588"/>
      <c r="E47" s="586" t="e">
        <f>'ST Original'!#REF!</f>
        <v>#REF!</v>
      </c>
      <c r="F47" s="1554"/>
      <c r="G47" s="588"/>
      <c r="H47" s="1562" t="e">
        <f>'ST Original'!#REF!</f>
        <v>#REF!</v>
      </c>
      <c r="I47" s="1562"/>
      <c r="J47" s="1562"/>
      <c r="K47" s="1563" t="e">
        <f>'ST Original'!#REF!</f>
        <v>#REF!</v>
      </c>
      <c r="L47" s="590" t="e">
        <f>'ST Original'!#REF!</f>
        <v>#REF!</v>
      </c>
      <c r="M47" s="590" t="e">
        <f>'ST Original'!#REF!</f>
        <v>#REF!</v>
      </c>
      <c r="N47" s="590"/>
      <c r="O47" s="588" t="e">
        <f>'ST Original'!#REF!</f>
        <v>#REF!</v>
      </c>
      <c r="P47" s="590"/>
      <c r="Q47" s="588" t="e">
        <f>'ST Original'!#REF!</f>
        <v>#REF!</v>
      </c>
      <c r="R47" s="590" t="e">
        <f>'ST Original'!#REF!</f>
        <v>#REF!</v>
      </c>
      <c r="S47" s="590"/>
      <c r="T47" s="590"/>
      <c r="U47" s="590" t="e">
        <f>'ST Original'!#REF!</f>
        <v>#REF!</v>
      </c>
      <c r="V47" s="588" t="e">
        <f>'ST Original'!#REF!</f>
        <v>#REF!</v>
      </c>
      <c r="W47" s="590"/>
      <c r="X47" s="588" t="e">
        <f>'ST Original'!#REF!</f>
        <v>#REF!</v>
      </c>
      <c r="Y47" s="588"/>
      <c r="Z47" s="588"/>
      <c r="AA47" s="590"/>
      <c r="AB47" s="590" t="e">
        <f>'ST Original'!#REF!</f>
        <v>#REF!</v>
      </c>
      <c r="AT47" s="3">
        <v>3833</v>
      </c>
      <c r="AU47" s="3">
        <f>0.91*AT47</f>
        <v>3488.03</v>
      </c>
    </row>
    <row r="48" spans="1:74" ht="14.15" customHeight="1">
      <c r="A48" s="4558" t="s">
        <v>335</v>
      </c>
      <c r="B48" s="4558"/>
      <c r="C48" s="33"/>
      <c r="D48" s="16"/>
      <c r="E48" s="33" t="e">
        <f>'ST Original'!#REF!</f>
        <v>#REF!</v>
      </c>
      <c r="F48" s="12"/>
      <c r="G48" s="16"/>
      <c r="H48" s="50" t="e">
        <f>'ST Original'!#REF!</f>
        <v>#REF!</v>
      </c>
      <c r="I48" s="50"/>
      <c r="J48" s="50"/>
      <c r="K48" s="14" t="e">
        <f>'ST Original'!#REF!</f>
        <v>#REF!</v>
      </c>
      <c r="L48" s="15" t="e">
        <f>'ST Original'!#REF!</f>
        <v>#REF!</v>
      </c>
      <c r="M48" s="15" t="e">
        <f>'ST Original'!#REF!</f>
        <v>#REF!</v>
      </c>
      <c r="N48" s="15"/>
      <c r="O48" s="16" t="e">
        <f>'ST Original'!#REF!</f>
        <v>#REF!</v>
      </c>
      <c r="P48" s="15"/>
      <c r="Q48" s="16" t="e">
        <f>'ST Original'!#REF!</f>
        <v>#REF!</v>
      </c>
      <c r="R48" s="15" t="e">
        <f>'ST Original'!#REF!</f>
        <v>#REF!</v>
      </c>
      <c r="S48" s="15"/>
      <c r="T48" s="15"/>
      <c r="U48" s="15" t="e">
        <f>'ST Original'!#REF!</f>
        <v>#REF!</v>
      </c>
      <c r="V48" s="16" t="e">
        <f>'ST Original'!#REF!</f>
        <v>#REF!</v>
      </c>
      <c r="W48" s="15"/>
      <c r="X48" s="16" t="e">
        <f>'ST Original'!#REF!</f>
        <v>#REF!</v>
      </c>
      <c r="Y48" s="16"/>
      <c r="Z48" s="16"/>
      <c r="AA48" s="15"/>
      <c r="AB48" s="15" t="e">
        <f>'ST Original'!#REF!</f>
        <v>#REF!</v>
      </c>
    </row>
    <row r="49" spans="1:50" s="54" customFormat="1" ht="14.15" customHeight="1">
      <c r="A49" s="4563" t="s">
        <v>287</v>
      </c>
      <c r="B49" s="4563"/>
      <c r="C49" s="53">
        <f>C40</f>
        <v>169209.19284705882</v>
      </c>
      <c r="D49" s="55">
        <f>D40</f>
        <v>2876556.2783999997</v>
      </c>
      <c r="E49" s="53">
        <f>+E40</f>
        <v>2919079.8328061295</v>
      </c>
      <c r="F49" s="56"/>
      <c r="G49" s="55"/>
      <c r="H49" s="57">
        <f>+H40</f>
        <v>85.546686783041338</v>
      </c>
      <c r="I49" s="57"/>
      <c r="J49" s="57"/>
      <c r="K49" s="58">
        <f>+K40</f>
        <v>0.49046726479369607</v>
      </c>
      <c r="L49" s="57">
        <f>+L40</f>
        <v>90.621181612764147</v>
      </c>
      <c r="M49" s="57">
        <f>+M40</f>
        <v>25.931627028181765</v>
      </c>
      <c r="N49" s="55">
        <f>+N40</f>
        <v>50032.931921419273</v>
      </c>
      <c r="O49" s="55">
        <f>O40</f>
        <v>50032.931921419273</v>
      </c>
      <c r="P49" s="55">
        <f>+P40</f>
        <v>12974.353297126541</v>
      </c>
      <c r="Q49" s="55">
        <f>+Q40</f>
        <v>12974.353297126541</v>
      </c>
      <c r="R49" s="55">
        <f>+R40</f>
        <v>209.05586014639971</v>
      </c>
      <c r="S49" s="55">
        <f>S40</f>
        <v>89.313167038140008</v>
      </c>
      <c r="T49" s="55">
        <f>T40</f>
        <v>90.883108840805434</v>
      </c>
      <c r="U49" s="57">
        <f>+U40</f>
        <v>81.170582808443143</v>
      </c>
      <c r="V49" s="57">
        <f>+V40</f>
        <v>29.112025404770353</v>
      </c>
      <c r="W49" s="55"/>
      <c r="X49" s="55">
        <f>+X40</f>
        <v>1701.5102166617021</v>
      </c>
      <c r="Y49" s="55"/>
      <c r="Z49" s="55"/>
      <c r="AA49" s="55"/>
      <c r="AB49" s="55">
        <f>+AB40</f>
        <v>568.44523256662933</v>
      </c>
      <c r="AK49" s="738"/>
    </row>
    <row r="50" spans="1:50" ht="14.15" customHeight="1">
      <c r="C50" s="16"/>
      <c r="D50" s="16"/>
      <c r="E50" s="16"/>
      <c r="F50" s="16"/>
      <c r="G50" s="16"/>
      <c r="H50" s="16"/>
      <c r="I50" s="16"/>
      <c r="J50" s="16"/>
      <c r="K50" s="16"/>
      <c r="L50" s="15"/>
      <c r="M50" s="15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spans="1:50" ht="14.15" customHeight="1">
      <c r="A51" s="4558" t="s">
        <v>336</v>
      </c>
      <c r="B51" s="4558"/>
      <c r="C51" s="586"/>
      <c r="D51" s="588"/>
      <c r="E51" s="586" t="e">
        <f>+E49-E48</f>
        <v>#REF!</v>
      </c>
      <c r="F51" s="1554"/>
      <c r="G51" s="588"/>
      <c r="H51" s="586" t="e">
        <f t="shared" ref="H51:R51" si="224">+H49-H48</f>
        <v>#REF!</v>
      </c>
      <c r="I51" s="586"/>
      <c r="J51" s="586"/>
      <c r="K51" s="586" t="e">
        <f t="shared" si="224"/>
        <v>#REF!</v>
      </c>
      <c r="L51" s="588" t="e">
        <f t="shared" si="224"/>
        <v>#REF!</v>
      </c>
      <c r="M51" s="588" t="e">
        <f t="shared" si="224"/>
        <v>#REF!</v>
      </c>
      <c r="N51" s="588">
        <f t="shared" si="224"/>
        <v>50032.931921419273</v>
      </c>
      <c r="O51" s="588" t="e">
        <f t="shared" si="224"/>
        <v>#REF!</v>
      </c>
      <c r="P51" s="588">
        <f t="shared" si="224"/>
        <v>12974.353297126541</v>
      </c>
      <c r="Q51" s="588" t="e">
        <f t="shared" si="224"/>
        <v>#REF!</v>
      </c>
      <c r="R51" s="586" t="e">
        <f t="shared" si="224"/>
        <v>#REF!</v>
      </c>
      <c r="S51" s="588"/>
      <c r="T51" s="588"/>
      <c r="U51" s="588" t="e">
        <f>+U49-U48</f>
        <v>#REF!</v>
      </c>
      <c r="V51" s="588" t="e">
        <f>+V49-V48</f>
        <v>#REF!</v>
      </c>
      <c r="W51" s="588"/>
      <c r="X51" s="588" t="e">
        <f>+X49-X48</f>
        <v>#REF!</v>
      </c>
      <c r="Y51" s="588"/>
      <c r="Z51" s="588"/>
      <c r="AA51" s="588"/>
      <c r="AB51" s="588" t="e">
        <f>+AB49-AB48</f>
        <v>#REF!</v>
      </c>
    </row>
    <row r="52" spans="1:50" ht="14.15" customHeight="1">
      <c r="A52" s="4558" t="s">
        <v>337</v>
      </c>
      <c r="B52" s="4558"/>
      <c r="C52" s="33"/>
      <c r="D52" s="16"/>
      <c r="E52" s="35" t="e">
        <f>+E51/E47</f>
        <v>#REF!</v>
      </c>
      <c r="F52" s="12"/>
      <c r="G52" s="16"/>
      <c r="H52" s="35" t="e">
        <f t="shared" ref="H52:R52" si="225">+H51/H47</f>
        <v>#REF!</v>
      </c>
      <c r="I52" s="35"/>
      <c r="J52" s="35"/>
      <c r="K52" s="35" t="e">
        <f t="shared" si="225"/>
        <v>#REF!</v>
      </c>
      <c r="L52" s="36" t="e">
        <f t="shared" si="225"/>
        <v>#REF!</v>
      </c>
      <c r="M52" s="36" t="e">
        <f t="shared" si="225"/>
        <v>#REF!</v>
      </c>
      <c r="N52" s="36" t="e">
        <f t="shared" si="225"/>
        <v>#DIV/0!</v>
      </c>
      <c r="O52" s="36" t="e">
        <f t="shared" si="225"/>
        <v>#REF!</v>
      </c>
      <c r="P52" s="36" t="e">
        <f t="shared" si="225"/>
        <v>#DIV/0!</v>
      </c>
      <c r="Q52" s="36" t="e">
        <f t="shared" si="225"/>
        <v>#REF!</v>
      </c>
      <c r="R52" s="35" t="e">
        <f t="shared" si="225"/>
        <v>#REF!</v>
      </c>
      <c r="S52" s="16"/>
      <c r="T52" s="16"/>
      <c r="U52" s="36" t="e">
        <f>+U51/U47</f>
        <v>#REF!</v>
      </c>
      <c r="V52" s="36" t="e">
        <f>+V51/V47</f>
        <v>#REF!</v>
      </c>
      <c r="W52" s="36"/>
      <c r="X52" s="36" t="e">
        <f>+X51/X47</f>
        <v>#REF!</v>
      </c>
      <c r="Y52" s="36"/>
      <c r="Z52" s="36"/>
      <c r="AA52" s="36"/>
      <c r="AB52" s="36" t="e">
        <f>+AB51/AB47</f>
        <v>#REF!</v>
      </c>
    </row>
    <row r="53" spans="1:50" ht="14.15" customHeight="1">
      <c r="A53" s="37" t="s">
        <v>338</v>
      </c>
      <c r="B53" s="10"/>
      <c r="C53" s="271"/>
      <c r="D53" s="38"/>
      <c r="E53" s="39" t="e">
        <f>+E49/E48</f>
        <v>#REF!</v>
      </c>
      <c r="F53" s="310"/>
      <c r="G53" s="38"/>
      <c r="H53" s="39" t="e">
        <f t="shared" ref="H53:R53" si="226">+H49/H48</f>
        <v>#REF!</v>
      </c>
      <c r="I53" s="39"/>
      <c r="J53" s="39"/>
      <c r="K53" s="39" t="e">
        <f t="shared" si="226"/>
        <v>#REF!</v>
      </c>
      <c r="L53" s="40" t="e">
        <f t="shared" si="226"/>
        <v>#REF!</v>
      </c>
      <c r="M53" s="40" t="e">
        <f t="shared" si="226"/>
        <v>#REF!</v>
      </c>
      <c r="N53" s="40" t="e">
        <f t="shared" si="226"/>
        <v>#DIV/0!</v>
      </c>
      <c r="O53" s="40" t="e">
        <f t="shared" si="226"/>
        <v>#REF!</v>
      </c>
      <c r="P53" s="40" t="e">
        <f t="shared" si="226"/>
        <v>#DIV/0!</v>
      </c>
      <c r="Q53" s="40" t="e">
        <f t="shared" si="226"/>
        <v>#REF!</v>
      </c>
      <c r="R53" s="39" t="e">
        <f t="shared" si="226"/>
        <v>#REF!</v>
      </c>
      <c r="S53" s="38"/>
      <c r="T53" s="38"/>
      <c r="U53" s="40" t="e">
        <f>+U49/U48</f>
        <v>#REF!</v>
      </c>
      <c r="V53" s="40" t="e">
        <f>+V49/V48</f>
        <v>#REF!</v>
      </c>
      <c r="W53" s="40"/>
      <c r="X53" s="40" t="e">
        <f>+X49/X48</f>
        <v>#REF!</v>
      </c>
      <c r="Y53" s="40"/>
      <c r="Z53" s="40"/>
      <c r="AA53" s="40"/>
      <c r="AB53" s="40" t="e">
        <f>+AB49/AB48</f>
        <v>#REF!</v>
      </c>
    </row>
    <row r="54" spans="1:50" ht="14.15" customHeight="1">
      <c r="C54" s="16"/>
      <c r="D54" s="16"/>
      <c r="E54" s="16"/>
      <c r="F54" s="16"/>
      <c r="G54" s="16"/>
      <c r="H54" s="16"/>
      <c r="I54" s="16"/>
      <c r="J54" s="16"/>
      <c r="K54" s="16"/>
      <c r="L54" s="15"/>
      <c r="M54" s="15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spans="1:50" ht="12.75" customHeight="1">
      <c r="A55" s="4558" t="s">
        <v>339</v>
      </c>
      <c r="B55" s="4558"/>
      <c r="C55" s="586"/>
      <c r="D55" s="588"/>
      <c r="E55" s="586" t="e">
        <f>+E49-E47</f>
        <v>#REF!</v>
      </c>
      <c r="F55" s="1554"/>
      <c r="G55" s="1554"/>
      <c r="H55" s="1564" t="e">
        <f t="shared" ref="H55:R55" si="227">+H49-H47</f>
        <v>#REF!</v>
      </c>
      <c r="I55" s="589"/>
      <c r="J55" s="589"/>
      <c r="K55" s="589" t="e">
        <f t="shared" si="227"/>
        <v>#REF!</v>
      </c>
      <c r="L55" s="590" t="e">
        <f t="shared" si="227"/>
        <v>#REF!</v>
      </c>
      <c r="M55" s="590" t="e">
        <f t="shared" si="227"/>
        <v>#REF!</v>
      </c>
      <c r="N55" s="588">
        <f t="shared" si="227"/>
        <v>50032.931921419273</v>
      </c>
      <c r="O55" s="588" t="e">
        <f t="shared" si="227"/>
        <v>#REF!</v>
      </c>
      <c r="P55" s="588">
        <f t="shared" si="227"/>
        <v>12974.353297126541</v>
      </c>
      <c r="Q55" s="588" t="e">
        <f t="shared" si="227"/>
        <v>#REF!</v>
      </c>
      <c r="R55" s="586" t="e">
        <f t="shared" si="227"/>
        <v>#REF!</v>
      </c>
      <c r="S55" s="588"/>
      <c r="T55" s="588"/>
      <c r="U55" s="588" t="e">
        <f>+U49-U47</f>
        <v>#REF!</v>
      </c>
      <c r="V55" s="588" t="e">
        <f>+V49-V47</f>
        <v>#REF!</v>
      </c>
      <c r="W55" s="588"/>
      <c r="X55" s="588" t="e">
        <f>+X49-X47</f>
        <v>#REF!</v>
      </c>
      <c r="Y55" s="588"/>
      <c r="Z55" s="588"/>
      <c r="AA55" s="588"/>
      <c r="AB55" s="588" t="e">
        <f>+AB49-AB47</f>
        <v>#REF!</v>
      </c>
    </row>
    <row r="56" spans="1:50" ht="14.15" customHeight="1">
      <c r="A56" s="4558" t="s">
        <v>340</v>
      </c>
      <c r="B56" s="4558"/>
      <c r="C56" s="33"/>
      <c r="D56" s="16"/>
      <c r="E56" s="35" t="e">
        <f>+E55/E47</f>
        <v>#REF!</v>
      </c>
      <c r="F56" s="12"/>
      <c r="G56" s="12"/>
      <c r="H56" s="41" t="e">
        <f t="shared" ref="H56:R56" si="228">+H55/H47</f>
        <v>#REF!</v>
      </c>
      <c r="I56" s="36"/>
      <c r="J56" s="36"/>
      <c r="K56" s="36" t="e">
        <f t="shared" si="228"/>
        <v>#REF!</v>
      </c>
      <c r="L56" s="36" t="e">
        <f t="shared" si="228"/>
        <v>#REF!</v>
      </c>
      <c r="M56" s="36" t="e">
        <f t="shared" si="228"/>
        <v>#REF!</v>
      </c>
      <c r="N56" s="36" t="e">
        <f t="shared" si="228"/>
        <v>#DIV/0!</v>
      </c>
      <c r="O56" s="36" t="e">
        <f t="shared" si="228"/>
        <v>#REF!</v>
      </c>
      <c r="P56" s="36" t="e">
        <f t="shared" si="228"/>
        <v>#DIV/0!</v>
      </c>
      <c r="Q56" s="36" t="e">
        <f t="shared" si="228"/>
        <v>#REF!</v>
      </c>
      <c r="R56" s="35" t="e">
        <f t="shared" si="228"/>
        <v>#REF!</v>
      </c>
      <c r="S56" s="16"/>
      <c r="T56" s="16"/>
      <c r="U56" s="36" t="e">
        <f>+U55/U47</f>
        <v>#REF!</v>
      </c>
      <c r="V56" s="36" t="e">
        <f>+V55/V47</f>
        <v>#REF!</v>
      </c>
      <c r="W56" s="36"/>
      <c r="X56" s="36" t="e">
        <f>+X55/X47</f>
        <v>#REF!</v>
      </c>
      <c r="Y56" s="36"/>
      <c r="Z56" s="36"/>
      <c r="AA56" s="36"/>
      <c r="AB56" s="36" t="e">
        <f>+AB55/AB47</f>
        <v>#REF!</v>
      </c>
      <c r="AO56" s="386"/>
    </row>
    <row r="57" spans="1:50" ht="14.15" customHeight="1">
      <c r="A57" s="37" t="s">
        <v>341</v>
      </c>
      <c r="B57" s="10"/>
      <c r="C57" s="271"/>
      <c r="D57" s="38"/>
      <c r="E57" s="39" t="e">
        <f>+E49/E47</f>
        <v>#REF!</v>
      </c>
      <c r="F57" s="310"/>
      <c r="G57" s="310"/>
      <c r="H57" s="42" t="e">
        <f t="shared" ref="H57:R57" si="229">+H49/H47</f>
        <v>#REF!</v>
      </c>
      <c r="I57" s="40"/>
      <c r="J57" s="40"/>
      <c r="K57" s="40" t="e">
        <f t="shared" si="229"/>
        <v>#REF!</v>
      </c>
      <c r="L57" s="40" t="e">
        <f t="shared" si="229"/>
        <v>#REF!</v>
      </c>
      <c r="M57" s="40" t="e">
        <f t="shared" si="229"/>
        <v>#REF!</v>
      </c>
      <c r="N57" s="40" t="e">
        <f t="shared" si="229"/>
        <v>#DIV/0!</v>
      </c>
      <c r="O57" s="40" t="e">
        <f t="shared" si="229"/>
        <v>#REF!</v>
      </c>
      <c r="P57" s="40" t="e">
        <f t="shared" si="229"/>
        <v>#DIV/0!</v>
      </c>
      <c r="Q57" s="40" t="e">
        <f t="shared" si="229"/>
        <v>#REF!</v>
      </c>
      <c r="R57" s="39" t="e">
        <f t="shared" si="229"/>
        <v>#REF!</v>
      </c>
      <c r="S57" s="38"/>
      <c r="T57" s="38"/>
      <c r="U57" s="40" t="e">
        <f>+U49/U47</f>
        <v>#REF!</v>
      </c>
      <c r="V57" s="40" t="e">
        <f>+V49/V47</f>
        <v>#REF!</v>
      </c>
      <c r="W57" s="40"/>
      <c r="X57" s="40" t="e">
        <f>+X49/X47</f>
        <v>#REF!</v>
      </c>
      <c r="Y57" s="40"/>
      <c r="Z57" s="40"/>
      <c r="AA57" s="40"/>
      <c r="AB57" s="40" t="e">
        <f>+AB49/AB47</f>
        <v>#REF!</v>
      </c>
    </row>
    <row r="58" spans="1:50" ht="8.25" customHeight="1"/>
    <row r="59" spans="1:50" s="495" customFormat="1">
      <c r="AK59" s="496"/>
    </row>
    <row r="60" spans="1:50">
      <c r="C60" s="3" t="s">
        <v>342</v>
      </c>
      <c r="D60" s="3" t="s">
        <v>342</v>
      </c>
      <c r="E60" s="54"/>
      <c r="F60" s="115"/>
      <c r="G60" s="115"/>
      <c r="H60" s="115"/>
      <c r="I60" s="115"/>
      <c r="J60" s="115"/>
      <c r="K60" s="115"/>
      <c r="L60" s="115"/>
      <c r="M60" s="115"/>
    </row>
    <row r="61" spans="1:50" ht="12.75" customHeight="1"/>
    <row r="62" spans="1:50" ht="12.75" customHeight="1">
      <c r="A62" s="4564" t="s">
        <v>250</v>
      </c>
      <c r="B62" s="579"/>
      <c r="C62" s="4558" t="s">
        <v>251</v>
      </c>
      <c r="D62" s="4558"/>
      <c r="E62" s="4558" t="s">
        <v>252</v>
      </c>
      <c r="F62" s="4558"/>
      <c r="G62" s="579"/>
      <c r="H62" s="579" t="s">
        <v>23</v>
      </c>
      <c r="I62" s="579"/>
      <c r="J62" s="579"/>
      <c r="K62" s="4558" t="s">
        <v>253</v>
      </c>
      <c r="L62" s="4558"/>
      <c r="M62" s="4558"/>
      <c r="N62" s="4558"/>
      <c r="O62" s="4558"/>
      <c r="P62" s="4558"/>
      <c r="Q62" s="4558"/>
      <c r="R62" s="4558" t="s">
        <v>254</v>
      </c>
      <c r="S62" s="4558"/>
      <c r="T62" s="4558"/>
      <c r="U62" s="4558"/>
      <c r="V62" s="4558"/>
      <c r="W62" s="4558"/>
      <c r="X62" s="4558"/>
      <c r="Y62" s="4558"/>
      <c r="Z62" s="4558"/>
      <c r="AA62" s="4558"/>
      <c r="AB62" s="4558"/>
    </row>
    <row r="63" spans="1:50">
      <c r="A63" s="4565"/>
      <c r="B63" s="8" t="s">
        <v>258</v>
      </c>
      <c r="C63" s="7" t="s">
        <v>259</v>
      </c>
      <c r="D63" s="7" t="s">
        <v>260</v>
      </c>
      <c r="E63" s="7" t="s">
        <v>343</v>
      </c>
      <c r="F63" s="7" t="s">
        <v>192</v>
      </c>
      <c r="G63" s="9"/>
      <c r="H63" s="9" t="s">
        <v>344</v>
      </c>
      <c r="I63" s="9"/>
      <c r="J63" s="9"/>
      <c r="K63" s="7" t="s">
        <v>267</v>
      </c>
      <c r="L63" s="7" t="s">
        <v>268</v>
      </c>
      <c r="M63" s="7" t="s">
        <v>269</v>
      </c>
      <c r="N63" s="4578" t="s">
        <v>270</v>
      </c>
      <c r="O63" s="4579"/>
      <c r="P63" s="4578" t="s">
        <v>271</v>
      </c>
      <c r="Q63" s="4579"/>
      <c r="R63" s="7" t="s">
        <v>267</v>
      </c>
      <c r="S63" s="7" t="s">
        <v>272</v>
      </c>
      <c r="T63" s="7" t="s">
        <v>273</v>
      </c>
      <c r="U63" s="10" t="s">
        <v>274</v>
      </c>
      <c r="V63" s="7" t="s">
        <v>269</v>
      </c>
      <c r="W63" s="4578" t="s">
        <v>270</v>
      </c>
      <c r="X63" s="4579"/>
      <c r="Y63" s="4578" t="s">
        <v>276</v>
      </c>
      <c r="Z63" s="4579"/>
      <c r="AA63" s="4578" t="s">
        <v>345</v>
      </c>
      <c r="AB63" s="4579"/>
      <c r="AD63" s="312" t="s">
        <v>278</v>
      </c>
      <c r="AE63" s="330"/>
      <c r="AF63" s="448"/>
      <c r="AG63" s="118" t="s">
        <v>280</v>
      </c>
      <c r="AH63" s="118" t="s">
        <v>120</v>
      </c>
      <c r="AI63" s="118"/>
      <c r="AJ63" s="118"/>
      <c r="AK63" s="187" t="s">
        <v>36</v>
      </c>
      <c r="AL63" s="558"/>
      <c r="AM63" s="558"/>
      <c r="AN63" s="558"/>
      <c r="AO63" s="558"/>
      <c r="AP63" s="558"/>
      <c r="AQ63" s="558"/>
      <c r="AR63" s="558"/>
      <c r="AX63" s="131" t="s">
        <v>286</v>
      </c>
    </row>
    <row r="64" spans="1:50">
      <c r="A64" s="4565"/>
      <c r="B64" s="8"/>
      <c r="C64" s="579" t="s">
        <v>291</v>
      </c>
      <c r="D64" s="579" t="s">
        <v>292</v>
      </c>
      <c r="E64" s="579" t="s">
        <v>291</v>
      </c>
      <c r="F64" s="579" t="s">
        <v>292</v>
      </c>
      <c r="G64" s="579"/>
      <c r="H64" s="579" t="s">
        <v>48</v>
      </c>
      <c r="I64" s="579"/>
      <c r="J64" s="579"/>
      <c r="K64" s="579" t="s">
        <v>293</v>
      </c>
      <c r="L64" s="579" t="s">
        <v>293</v>
      </c>
      <c r="M64" s="579" t="s">
        <v>293</v>
      </c>
      <c r="N64" s="579" t="s">
        <v>291</v>
      </c>
      <c r="O64" s="579" t="s">
        <v>192</v>
      </c>
      <c r="P64" s="579" t="s">
        <v>294</v>
      </c>
      <c r="Q64" s="579" t="s">
        <v>192</v>
      </c>
      <c r="R64" s="579" t="s">
        <v>295</v>
      </c>
      <c r="S64" s="579" t="s">
        <v>296</v>
      </c>
      <c r="T64" s="579" t="s">
        <v>296</v>
      </c>
      <c r="U64" s="579" t="s">
        <v>296</v>
      </c>
      <c r="V64" s="579" t="s">
        <v>296</v>
      </c>
      <c r="W64" s="579" t="s">
        <v>291</v>
      </c>
      <c r="X64" s="579" t="s">
        <v>192</v>
      </c>
      <c r="Y64" s="579" t="s">
        <v>294</v>
      </c>
      <c r="Z64" s="579" t="s">
        <v>192</v>
      </c>
      <c r="AA64" s="579" t="s">
        <v>294</v>
      </c>
      <c r="AB64" s="579" t="s">
        <v>192</v>
      </c>
      <c r="AC64" s="121"/>
      <c r="AD64" s="580"/>
      <c r="AE64" s="581"/>
      <c r="AF64" s="582"/>
      <c r="AG64" s="580" t="s">
        <v>198</v>
      </c>
      <c r="AH64" s="580" t="s">
        <v>198</v>
      </c>
      <c r="AI64" s="580"/>
      <c r="AJ64" s="580"/>
      <c r="AK64" s="592" t="s">
        <v>121</v>
      </c>
      <c r="AX64" s="583" t="s">
        <v>198</v>
      </c>
    </row>
    <row r="65" spans="1:50" s="123" customFormat="1">
      <c r="A65" s="584"/>
      <c r="B65" s="585">
        <f>IF(ISNUMBER(B9),B9,"")</f>
        <v>46082.791666666664</v>
      </c>
      <c r="C65" s="586"/>
      <c r="D65" s="587"/>
      <c r="E65" s="588"/>
      <c r="F65" s="586"/>
      <c r="G65" s="586"/>
      <c r="H65" s="586"/>
      <c r="I65" s="588"/>
      <c r="J65" s="588"/>
      <c r="K65" s="589"/>
      <c r="L65" s="590"/>
      <c r="M65" s="590"/>
      <c r="N65" s="588"/>
      <c r="O65" s="586"/>
      <c r="P65" s="588"/>
      <c r="Q65" s="586"/>
      <c r="R65" s="589"/>
      <c r="S65" s="591"/>
      <c r="T65" s="591"/>
      <c r="U65" s="590"/>
      <c r="V65" s="590"/>
      <c r="W65" s="588"/>
      <c r="X65" s="586"/>
      <c r="Y65" s="588"/>
      <c r="Z65" s="586"/>
      <c r="AA65" s="588"/>
      <c r="AB65" s="586"/>
      <c r="AC65" s="582"/>
      <c r="AD65" s="1389"/>
      <c r="AE65" s="581"/>
      <c r="AF65" s="582"/>
      <c r="AG65" s="62"/>
      <c r="AH65" s="214"/>
      <c r="AI65" s="214"/>
      <c r="AJ65" s="214"/>
      <c r="AK65" s="1390"/>
      <c r="AL65" s="558"/>
      <c r="AM65" s="558"/>
      <c r="AN65" s="558"/>
      <c r="AO65" s="558"/>
      <c r="AP65" s="558"/>
      <c r="AQ65" s="558"/>
      <c r="AR65" s="558"/>
      <c r="AX65" s="586"/>
    </row>
    <row r="66" spans="1:50" s="130" customFormat="1">
      <c r="A66" s="129"/>
      <c r="B66" s="11">
        <f t="shared" ref="B66:B95" si="230">IF(ISNUMBER(B10),B10,"")</f>
        <v>46083.791666666664</v>
      </c>
      <c r="C66" s="33"/>
      <c r="D66" s="61"/>
      <c r="E66" s="16"/>
      <c r="F66" s="33"/>
      <c r="G66" s="33"/>
      <c r="H66" s="33"/>
      <c r="I66" s="16"/>
      <c r="J66" s="16"/>
      <c r="K66" s="32"/>
      <c r="L66" s="15"/>
      <c r="M66" s="15"/>
      <c r="N66" s="16"/>
      <c r="O66" s="33"/>
      <c r="P66" s="16"/>
      <c r="Q66" s="33"/>
      <c r="R66" s="32"/>
      <c r="S66" s="17"/>
      <c r="T66" s="17"/>
      <c r="U66" s="15"/>
      <c r="V66" s="15"/>
      <c r="W66" s="16"/>
      <c r="X66" s="33"/>
      <c r="Y66" s="16"/>
      <c r="Z66" s="33"/>
      <c r="AA66" s="16"/>
      <c r="AB66" s="33"/>
      <c r="AC66" s="121"/>
      <c r="AD66" s="1389"/>
      <c r="AE66" s="69"/>
      <c r="AF66" s="121"/>
      <c r="AG66" s="62"/>
      <c r="AH66" s="214"/>
      <c r="AI66" s="214"/>
      <c r="AJ66" s="214"/>
      <c r="AK66" s="214"/>
      <c r="AL66" s="3"/>
      <c r="AM66" s="3"/>
      <c r="AN66" s="3"/>
      <c r="AO66" s="3"/>
      <c r="AP66" s="3"/>
      <c r="AQ66" s="3"/>
      <c r="AR66" s="3"/>
      <c r="AS66" s="3"/>
      <c r="AX66" s="33"/>
    </row>
    <row r="67" spans="1:50" s="130" customFormat="1">
      <c r="A67" s="129"/>
      <c r="B67" s="11">
        <f t="shared" si="230"/>
        <v>46084.791666666664</v>
      </c>
      <c r="C67" s="33"/>
      <c r="D67" s="61"/>
      <c r="E67" s="16"/>
      <c r="F67" s="33"/>
      <c r="G67" s="33"/>
      <c r="H67" s="33"/>
      <c r="I67" s="16"/>
      <c r="J67" s="16"/>
      <c r="K67" s="32"/>
      <c r="L67" s="15"/>
      <c r="M67" s="15"/>
      <c r="N67" s="16"/>
      <c r="O67" s="33"/>
      <c r="P67" s="16"/>
      <c r="Q67" s="33"/>
      <c r="R67" s="32"/>
      <c r="S67" s="17"/>
      <c r="T67" s="17"/>
      <c r="U67" s="15"/>
      <c r="V67" s="15"/>
      <c r="W67" s="16"/>
      <c r="X67" s="33"/>
      <c r="Y67" s="16"/>
      <c r="Z67" s="33"/>
      <c r="AA67" s="16"/>
      <c r="AB67" s="33"/>
      <c r="AC67" s="121"/>
      <c r="AD67" s="1389"/>
      <c r="AE67" s="69"/>
      <c r="AF67" s="121"/>
      <c r="AG67" s="62"/>
      <c r="AH67" s="214"/>
      <c r="AI67" s="214"/>
      <c r="AJ67" s="214"/>
      <c r="AK67" s="214"/>
      <c r="AL67" s="3"/>
      <c r="AM67" s="3"/>
      <c r="AN67" s="3"/>
      <c r="AO67" s="3"/>
      <c r="AP67" s="3"/>
      <c r="AQ67" s="3"/>
      <c r="AR67" s="3"/>
      <c r="AS67" s="3"/>
      <c r="AX67" s="33"/>
    </row>
    <row r="68" spans="1:50" s="130" customFormat="1">
      <c r="B68" s="11">
        <f t="shared" si="230"/>
        <v>46085.791666666664</v>
      </c>
      <c r="C68" s="33"/>
      <c r="D68" s="61"/>
      <c r="E68" s="16"/>
      <c r="F68" s="33"/>
      <c r="G68" s="33"/>
      <c r="H68" s="33"/>
      <c r="I68" s="16"/>
      <c r="J68" s="16"/>
      <c r="K68" s="32"/>
      <c r="L68" s="15"/>
      <c r="M68" s="15"/>
      <c r="N68" s="16"/>
      <c r="O68" s="33"/>
      <c r="P68" s="16"/>
      <c r="Q68" s="33"/>
      <c r="R68" s="32"/>
      <c r="S68" s="17"/>
      <c r="T68" s="17"/>
      <c r="U68" s="15"/>
      <c r="V68" s="15"/>
      <c r="W68" s="16"/>
      <c r="X68" s="33"/>
      <c r="Y68" s="16"/>
      <c r="Z68" s="33"/>
      <c r="AA68" s="16"/>
      <c r="AB68" s="33"/>
      <c r="AC68" s="121"/>
      <c r="AD68" s="1389"/>
      <c r="AE68" s="69"/>
      <c r="AF68" s="121"/>
      <c r="AG68" s="62"/>
      <c r="AH68" s="214"/>
      <c r="AI68" s="214"/>
      <c r="AJ68" s="214"/>
      <c r="AK68" s="1406"/>
      <c r="AL68" s="3"/>
      <c r="AM68" s="3"/>
      <c r="AN68" s="3"/>
      <c r="AO68" s="3"/>
      <c r="AP68" s="3"/>
      <c r="AQ68" s="3"/>
      <c r="AR68" s="3"/>
      <c r="AS68" s="3"/>
      <c r="AX68" s="33"/>
    </row>
    <row r="69" spans="1:50" s="130" customFormat="1">
      <c r="A69" s="129"/>
      <c r="B69" s="11">
        <f t="shared" si="230"/>
        <v>46086.791666666664</v>
      </c>
      <c r="C69" s="33">
        <f>SUM($C$9:$C$13)</f>
        <v>853856.83879999991</v>
      </c>
      <c r="D69" s="61"/>
      <c r="E69" s="16"/>
      <c r="F69" s="33">
        <f>SUM($E$9:$E$13)</f>
        <v>746767.84510040283</v>
      </c>
      <c r="G69" s="33"/>
      <c r="H69" s="33">
        <f>AVERAGE($H$9:$H$13)</f>
        <v>74.523100502805576</v>
      </c>
      <c r="I69" s="16"/>
      <c r="J69" s="16"/>
      <c r="K69" s="32">
        <f>SUMPRODUCT($E$9:$E$13,$K$9:$K$13)/SUM($E$9:$E$13)</f>
        <v>0.53182931826214097</v>
      </c>
      <c r="L69" s="15">
        <f>Q69/(F69*K69/100)*100</f>
        <v>90.955289319912353</v>
      </c>
      <c r="M69" s="15">
        <f>Q69/O69*100</f>
        <v>26.788006586889136</v>
      </c>
      <c r="N69" s="16"/>
      <c r="O69" s="33">
        <f>SUM($N$9:$N$13)</f>
        <v>13484.829112210824</v>
      </c>
      <c r="P69" s="16"/>
      <c r="Q69" s="33">
        <f>SUM($P$9:$P$13)</f>
        <v>3612.3169108097791</v>
      </c>
      <c r="R69" s="32">
        <f>SUMPRODUCT($E$9:$E$13,$R$9:$R$13)/SUM($E$9:$E$13)</f>
        <v>246.54141349108886</v>
      </c>
      <c r="S69" s="17">
        <f>SUMPRODUCT(E$9:E$13,R$9:R$13,S$9:S$13)/SUMPRODUCT(E$9:E$13,R$9:R$13)</f>
        <v>89.00786458859119</v>
      </c>
      <c r="T69" s="17">
        <f>SUMPRODUCT(E$9:E$13,R$9:R$13,S$9:S$13,T$9:T$13)/SUMPRODUCT(E$9:E$13,R$9:R$13,S$9:S$13)</f>
        <v>87.732912148394362</v>
      </c>
      <c r="U69" s="15">
        <f>AA69/(F69*R69/1000000)*100</f>
        <v>0</v>
      </c>
      <c r="V69" s="15">
        <f>AA69/X69*100</f>
        <v>0</v>
      </c>
      <c r="W69" s="16"/>
      <c r="X69" s="33">
        <f>SUM($W$9:$W$13)</f>
        <v>280.19917084812749</v>
      </c>
      <c r="Y69" s="16"/>
      <c r="Z69" s="33">
        <f>SUM($Y$9:$Y$13)</f>
        <v>143.76938608652506</v>
      </c>
      <c r="AA69" s="16"/>
      <c r="AB69" s="33">
        <f>SUM($AA$9:$AA$13)</f>
        <v>208.46441468268088</v>
      </c>
      <c r="AC69" s="121"/>
      <c r="AD69" s="1389">
        <f>SUMPRODUCT(AD$9:AD$13,E$9:E$13)/F69</f>
        <v>72.026087727536989</v>
      </c>
      <c r="AE69" s="69"/>
      <c r="AF69" s="121"/>
      <c r="AG69" s="62">
        <f>C69/1000</f>
        <v>853.85683879999988</v>
      </c>
      <c r="AH69" s="214">
        <f>F69/1000</f>
        <v>746.76784510040284</v>
      </c>
      <c r="AI69" s="214"/>
      <c r="AJ69" s="214"/>
      <c r="AK69" s="214">
        <f>F69/(COUNT(B$9:B$13)*24*H69/100)</f>
        <v>8350.5186094644705</v>
      </c>
      <c r="AL69" s="3"/>
      <c r="AM69" s="3"/>
      <c r="AN69" s="3"/>
      <c r="AO69" s="3"/>
      <c r="AP69" s="3"/>
      <c r="AQ69" s="3"/>
      <c r="AR69" s="3"/>
      <c r="AS69" s="3"/>
      <c r="AX69" s="33">
        <f>SUM($AX$9:$AX$13)</f>
        <v>1197.3248036702473</v>
      </c>
    </row>
    <row r="70" spans="1:50" s="130" customFormat="1">
      <c r="A70" s="129"/>
      <c r="B70" s="11">
        <f t="shared" si="230"/>
        <v>46087.791666666664</v>
      </c>
      <c r="C70" s="33"/>
      <c r="D70" s="61"/>
      <c r="E70" s="16"/>
      <c r="F70" s="33"/>
      <c r="G70" s="33"/>
      <c r="H70" s="33"/>
      <c r="I70" s="16"/>
      <c r="J70" s="16"/>
      <c r="K70" s="32"/>
      <c r="L70" s="15"/>
      <c r="M70" s="15"/>
      <c r="N70" s="16"/>
      <c r="O70" s="33"/>
      <c r="P70" s="16"/>
      <c r="Q70" s="33"/>
      <c r="R70" s="32"/>
      <c r="S70" s="17"/>
      <c r="T70" s="17"/>
      <c r="U70" s="15"/>
      <c r="V70" s="15"/>
      <c r="W70" s="16"/>
      <c r="X70" s="33"/>
      <c r="Y70" s="16"/>
      <c r="Z70" s="33"/>
      <c r="AA70" s="16"/>
      <c r="AB70" s="33"/>
      <c r="AC70" s="121"/>
      <c r="AD70" s="1389"/>
      <c r="AE70" s="69"/>
      <c r="AF70" s="121"/>
      <c r="AG70" s="62"/>
      <c r="AH70" s="214"/>
      <c r="AI70" s="214"/>
      <c r="AJ70" s="214"/>
      <c r="AK70" s="1406"/>
      <c r="AL70" s="3"/>
      <c r="AM70" s="3"/>
      <c r="AN70" s="3"/>
      <c r="AO70" s="3"/>
      <c r="AP70" s="3"/>
      <c r="AQ70" s="3"/>
      <c r="AR70" s="3"/>
      <c r="AX70" s="33"/>
    </row>
    <row r="71" spans="1:50" s="123" customFormat="1">
      <c r="A71" s="116"/>
      <c r="B71" s="454">
        <f t="shared" si="230"/>
        <v>46088.791666666664</v>
      </c>
      <c r="C71" s="33">
        <f>SUM($C$9:$C$15)</f>
        <v>1190121.1307999999</v>
      </c>
      <c r="D71" s="61"/>
      <c r="E71" s="16"/>
      <c r="F71" s="33">
        <f>SUM($E$9:$E$15)</f>
        <v>1045844.6079483032</v>
      </c>
      <c r="G71" s="33"/>
      <c r="H71" s="33">
        <f>AVERAGE($H$9:$H$15)</f>
        <v>72.369999578678716</v>
      </c>
      <c r="I71" s="16"/>
      <c r="J71" s="16"/>
      <c r="K71" s="32">
        <f>SUMPRODUCT($E$9:$E$15,$K$9:$K$15)/SUM($E$9:$E$15)</f>
        <v>0.51857021123261393</v>
      </c>
      <c r="L71" s="15">
        <f>Q71/(F71*K71/100)*100</f>
        <v>91.07351479623</v>
      </c>
      <c r="M71" s="15">
        <f>Q71/O71*100</f>
        <v>26.073091116564107</v>
      </c>
      <c r="N71" s="16"/>
      <c r="O71" s="33">
        <f>SUM($N$9:$N$15)</f>
        <v>18944.11417125869</v>
      </c>
      <c r="P71" s="16"/>
      <c r="Q71" s="33">
        <f>SUM($P$9:$P$15)</f>
        <v>4939.316149098212</v>
      </c>
      <c r="R71" s="32">
        <f>SUMPRODUCT($E$9:$E$15,$R$9:$R$15)/SUM($E$9:$E$15)</f>
        <v>243.892456931461</v>
      </c>
      <c r="S71" s="17">
        <f>SUMPRODUCT(E$9:E$15,R$9:R$15,S$9:S$15)/SUMPRODUCT(E$9:E$15,R$9:R$15)</f>
        <v>89.160806602604083</v>
      </c>
      <c r="T71" s="17">
        <f>SUMPRODUCT(E$9:E$15,R$9:R$15,S$9:S$15,T$9:T$15)/SUMPRODUCT(E$9:E$15,R$9:R$15,S$9:S$15)</f>
        <v>89.281056777272582</v>
      </c>
      <c r="U71" s="15">
        <f>AA71/(F71*R71/1000000)*100</f>
        <v>0</v>
      </c>
      <c r="V71" s="15">
        <f>AA71/X71*100</f>
        <v>0</v>
      </c>
      <c r="W71" s="16"/>
      <c r="X71" s="33">
        <f>SUM($W$9:$W$15)</f>
        <v>393.07077444514277</v>
      </c>
      <c r="Y71" s="16"/>
      <c r="Z71" s="33">
        <f>SUM($Y$9:$Y$15)</f>
        <v>203.04805852121933</v>
      </c>
      <c r="AA71" s="16"/>
      <c r="AB71" s="33">
        <f>SUM($AA$9:$AA$15)</f>
        <v>287.59441468268085</v>
      </c>
      <c r="AC71" s="121"/>
      <c r="AD71" s="1389">
        <f>SUMPRODUCT(AD$9:AD$15,E$9:E$15)/F71</f>
        <v>68.169158948413497</v>
      </c>
      <c r="AE71" s="69"/>
      <c r="AF71" s="121"/>
      <c r="AG71" s="62">
        <f>C71/1000</f>
        <v>1190.1211307999999</v>
      </c>
      <c r="AH71" s="214">
        <f>F71/1000</f>
        <v>1045.8446079483033</v>
      </c>
      <c r="AI71" s="214"/>
      <c r="AJ71" s="214"/>
      <c r="AK71" s="214">
        <f>F71/(COUNT(B$9:B$15)*24*H71/100)</f>
        <v>8601.9974571560761</v>
      </c>
      <c r="AL71" s="3"/>
      <c r="AM71" s="3"/>
      <c r="AN71" s="3"/>
      <c r="AO71" s="3"/>
      <c r="AP71" s="3"/>
      <c r="AQ71" s="3"/>
      <c r="AR71" s="3"/>
      <c r="AS71" s="3"/>
      <c r="AX71" s="33">
        <f>SUM($AX$9:$AX$15)</f>
        <v>1630.9517186482747</v>
      </c>
    </row>
    <row r="72" spans="1:50" s="123" customFormat="1">
      <c r="A72" s="116"/>
      <c r="B72" s="585">
        <f t="shared" si="230"/>
        <v>46089.791666666664</v>
      </c>
      <c r="C72" s="33"/>
      <c r="D72" s="61"/>
      <c r="E72" s="16"/>
      <c r="F72" s="33"/>
      <c r="G72" s="33"/>
      <c r="H72" s="33"/>
      <c r="I72" s="16"/>
      <c r="J72" s="16"/>
      <c r="K72" s="32"/>
      <c r="L72" s="15"/>
      <c r="M72" s="15"/>
      <c r="N72" s="16"/>
      <c r="O72" s="33"/>
      <c r="P72" s="16"/>
      <c r="Q72" s="33"/>
      <c r="R72" s="32"/>
      <c r="S72" s="17"/>
      <c r="T72" s="17"/>
      <c r="U72" s="15"/>
      <c r="V72" s="15"/>
      <c r="W72" s="16"/>
      <c r="X72" s="33"/>
      <c r="Y72" s="16"/>
      <c r="Z72" s="33"/>
      <c r="AA72" s="16"/>
      <c r="AB72" s="33"/>
      <c r="AC72" s="121"/>
      <c r="AD72" s="1389"/>
      <c r="AE72" s="69"/>
      <c r="AF72" s="121"/>
      <c r="AG72" s="62"/>
      <c r="AH72" s="214"/>
      <c r="AI72" s="214"/>
      <c r="AJ72" s="214"/>
      <c r="AK72" s="1390"/>
      <c r="AL72" s="3"/>
      <c r="AM72" s="3"/>
      <c r="AN72" s="3"/>
      <c r="AO72" s="3"/>
      <c r="AP72" s="3"/>
      <c r="AQ72" s="3"/>
      <c r="AR72" s="3"/>
      <c r="AX72" s="33"/>
    </row>
    <row r="73" spans="1:50" s="130" customFormat="1">
      <c r="A73" s="129"/>
      <c r="B73" s="11">
        <f t="shared" si="230"/>
        <v>46090.791666666664</v>
      </c>
      <c r="C73" s="33"/>
      <c r="D73" s="61"/>
      <c r="E73" s="16"/>
      <c r="F73" s="33"/>
      <c r="G73" s="33"/>
      <c r="H73" s="33"/>
      <c r="I73" s="16"/>
      <c r="J73" s="16"/>
      <c r="K73" s="32"/>
      <c r="L73" s="15"/>
      <c r="M73" s="15"/>
      <c r="N73" s="16"/>
      <c r="O73" s="33"/>
      <c r="P73" s="16"/>
      <c r="Q73" s="33"/>
      <c r="R73" s="32"/>
      <c r="S73" s="17"/>
      <c r="T73" s="17"/>
      <c r="U73" s="15"/>
      <c r="V73" s="15"/>
      <c r="W73" s="16"/>
      <c r="X73" s="33"/>
      <c r="Y73" s="16"/>
      <c r="Z73" s="33"/>
      <c r="AA73" s="16"/>
      <c r="AB73" s="33"/>
      <c r="AC73" s="121"/>
      <c r="AD73" s="1389"/>
      <c r="AE73" s="69"/>
      <c r="AF73" s="121"/>
      <c r="AG73" s="62"/>
      <c r="AH73" s="214"/>
      <c r="AI73" s="214"/>
      <c r="AJ73" s="214"/>
      <c r="AK73" s="214"/>
      <c r="AL73" s="3"/>
      <c r="AM73" s="3"/>
      <c r="AN73" s="3"/>
      <c r="AO73" s="3"/>
      <c r="AP73" s="3"/>
      <c r="AQ73" s="3"/>
      <c r="AR73" s="3"/>
      <c r="AS73" s="3"/>
      <c r="AX73" s="33"/>
    </row>
    <row r="74" spans="1:50" s="130" customFormat="1">
      <c r="A74" s="129"/>
      <c r="B74" s="11">
        <f t="shared" si="230"/>
        <v>46091.791666666664</v>
      </c>
      <c r="C74" s="33"/>
      <c r="D74" s="61"/>
      <c r="E74" s="16"/>
      <c r="F74" s="33"/>
      <c r="G74" s="33"/>
      <c r="H74" s="33"/>
      <c r="I74" s="16"/>
      <c r="J74" s="16"/>
      <c r="K74" s="32"/>
      <c r="L74" s="15"/>
      <c r="M74" s="15"/>
      <c r="N74" s="16"/>
      <c r="O74" s="33"/>
      <c r="P74" s="16"/>
      <c r="Q74" s="33"/>
      <c r="R74" s="32"/>
      <c r="S74" s="17"/>
      <c r="T74" s="17"/>
      <c r="U74" s="15"/>
      <c r="V74" s="15"/>
      <c r="W74" s="16"/>
      <c r="X74" s="33"/>
      <c r="Y74" s="16"/>
      <c r="Z74" s="33"/>
      <c r="AA74" s="16"/>
      <c r="AB74" s="33"/>
      <c r="AC74" s="121"/>
      <c r="AD74" s="498"/>
      <c r="AE74" s="69"/>
      <c r="AF74" s="121"/>
      <c r="AG74" s="62"/>
      <c r="AH74" s="214"/>
      <c r="AI74" s="214"/>
      <c r="AJ74" s="214"/>
      <c r="AK74" s="214"/>
      <c r="AL74" s="3"/>
      <c r="AM74" s="3"/>
      <c r="AN74" s="3"/>
      <c r="AO74" s="3"/>
      <c r="AP74" s="3"/>
      <c r="AQ74" s="3"/>
      <c r="AR74" s="3"/>
      <c r="AS74" s="3"/>
      <c r="AX74" s="33"/>
    </row>
    <row r="75" spans="1:50" s="130" customFormat="1">
      <c r="A75" s="129"/>
      <c r="B75" s="11">
        <f t="shared" si="230"/>
        <v>46092.791666666664</v>
      </c>
      <c r="C75" s="33"/>
      <c r="D75" s="61"/>
      <c r="E75" s="16"/>
      <c r="F75" s="33"/>
      <c r="G75" s="33"/>
      <c r="H75" s="33"/>
      <c r="I75" s="16"/>
      <c r="J75" s="16"/>
      <c r="K75" s="32"/>
      <c r="L75" s="15"/>
      <c r="M75" s="15"/>
      <c r="N75" s="16"/>
      <c r="O75" s="33"/>
      <c r="P75" s="16"/>
      <c r="Q75" s="33"/>
      <c r="R75" s="32"/>
      <c r="S75" s="17"/>
      <c r="T75" s="17"/>
      <c r="U75" s="15"/>
      <c r="V75" s="15"/>
      <c r="W75" s="16"/>
      <c r="X75" s="33"/>
      <c r="Y75" s="16"/>
      <c r="Z75" s="33"/>
      <c r="AA75" s="16"/>
      <c r="AB75" s="33"/>
      <c r="AC75" s="121"/>
      <c r="AD75" s="1389"/>
      <c r="AE75" s="69"/>
      <c r="AF75" s="121"/>
      <c r="AG75" s="62"/>
      <c r="AH75" s="214"/>
      <c r="AI75" s="214"/>
      <c r="AJ75" s="214"/>
      <c r="AK75" s="1406"/>
      <c r="AL75" s="3"/>
      <c r="AM75" s="3"/>
      <c r="AN75" s="3"/>
      <c r="AO75" s="3"/>
      <c r="AP75" s="3"/>
      <c r="AQ75" s="3"/>
      <c r="AR75" s="3"/>
      <c r="AS75" s="3"/>
      <c r="AX75" s="33"/>
    </row>
    <row r="76" spans="1:50" s="130" customFormat="1">
      <c r="A76" s="129"/>
      <c r="B76" s="11">
        <f t="shared" si="230"/>
        <v>46093.791666666664</v>
      </c>
      <c r="C76" s="33">
        <f>SUM($C$16:$C$20)</f>
        <v>695388.22359999991</v>
      </c>
      <c r="D76" s="61"/>
      <c r="E76" s="16"/>
      <c r="F76" s="33">
        <f>SUM($E$16:$E$20)</f>
        <v>888813.98388149263</v>
      </c>
      <c r="G76" s="33"/>
      <c r="H76" s="33">
        <f>AVERAGE($H$16:$H$20)</f>
        <v>91.396241596978101</v>
      </c>
      <c r="I76" s="16"/>
      <c r="J76" s="16"/>
      <c r="K76" s="32">
        <f>SUMPRODUCT($E$16:$E$20,$K$16:$K$20)/SUM($E$16:$E$20)</f>
        <v>0.47803277281565548</v>
      </c>
      <c r="L76" s="15">
        <f>Q76/(F76*K76/100)*100</f>
        <v>90.137592788474763</v>
      </c>
      <c r="M76" s="15">
        <f>Q76/O76*100</f>
        <v>25.116641431137086</v>
      </c>
      <c r="N76" s="16"/>
      <c r="O76" s="33">
        <f>SUM($N$16:$N$20)</f>
        <v>15248.002016667739</v>
      </c>
      <c r="P76" s="16"/>
      <c r="Q76" s="33">
        <f>SUM($P$16:$P$20)</f>
        <v>3829.785991938988</v>
      </c>
      <c r="R76" s="32">
        <f>SUMPRODUCT($E$16:$E$20,$R$16:$R$20)/SUM($E$16:$E$20)</f>
        <v>181.82980816769506</v>
      </c>
      <c r="S76" s="17">
        <f>SUMPRODUCT(E$16:E$20,R$16:R$20,S$16:S$20)/SUMPRODUCT(E$16:E$20,R$16:R$20)</f>
        <v>89.286578850024625</v>
      </c>
      <c r="T76" s="17">
        <f>SUMPRODUCT(E$16:E$20,R$16:R$20,S$16:S$20,T$16:T$20)/SUMPRODUCT(E$16:E$20,R$16:R$20,S$16:S$20)</f>
        <v>93.514479594249309</v>
      </c>
      <c r="U76" s="15">
        <f>AA76/(F76*R76/1000000)*100</f>
        <v>0</v>
      </c>
      <c r="V76" s="15">
        <f>AA76/X76*100</f>
        <v>0</v>
      </c>
      <c r="W76" s="16"/>
      <c r="X76" s="33">
        <f>SUM($W$16:$W$20)</f>
        <v>272.71122027119293</v>
      </c>
      <c r="Y76" s="16"/>
      <c r="Z76" s="33">
        <f>SUM($Y$16:$Y$20)</f>
        <v>134.94009245222253</v>
      </c>
      <c r="AA76" s="16"/>
      <c r="AB76" s="33">
        <f>SUM($AA$16:$AA$20)</f>
        <v>179.68301713518466</v>
      </c>
      <c r="AC76" s="121"/>
      <c r="AD76" s="1389">
        <f>SUMPRODUCT(AD$16:AD$20,E$16:E$20)/F76</f>
        <v>54.150165948775765</v>
      </c>
      <c r="AE76" s="69"/>
      <c r="AF76" s="121"/>
      <c r="AG76" s="62">
        <f>C76/1000</f>
        <v>695.38822359999995</v>
      </c>
      <c r="AH76" s="214">
        <f>F76/1000</f>
        <v>888.81398388149262</v>
      </c>
      <c r="AI76" s="214"/>
      <c r="AJ76" s="214"/>
      <c r="AK76" s="214">
        <f>F76/(COUNT(B$16:B$20)*24*H76/100)</f>
        <v>8104.0347716632305</v>
      </c>
      <c r="AL76" s="3"/>
      <c r="AM76" s="3"/>
      <c r="AN76" s="3"/>
      <c r="AO76" s="3"/>
      <c r="AP76" s="3"/>
      <c r="AQ76" s="3"/>
      <c r="AR76" s="3"/>
      <c r="AS76" s="3"/>
      <c r="AX76" s="33">
        <f>SUM($AX$16:$AX$20)</f>
        <v>857.2777214050293</v>
      </c>
    </row>
    <row r="77" spans="1:50" s="130" customFormat="1">
      <c r="A77" s="129"/>
      <c r="B77" s="11">
        <f t="shared" si="230"/>
        <v>46094.791666666664</v>
      </c>
      <c r="C77" s="33"/>
      <c r="D77" s="61"/>
      <c r="E77" s="16"/>
      <c r="F77" s="33"/>
      <c r="G77" s="33"/>
      <c r="H77" s="33"/>
      <c r="I77" s="16"/>
      <c r="J77" s="16"/>
      <c r="K77" s="32"/>
      <c r="L77" s="15"/>
      <c r="M77" s="15"/>
      <c r="N77" s="16"/>
      <c r="O77" s="33"/>
      <c r="P77" s="16"/>
      <c r="Q77" s="33"/>
      <c r="R77" s="32"/>
      <c r="S77" s="17"/>
      <c r="T77" s="17"/>
      <c r="U77" s="15"/>
      <c r="V77" s="15"/>
      <c r="W77" s="16"/>
      <c r="X77" s="33"/>
      <c r="Y77" s="16"/>
      <c r="Z77" s="33"/>
      <c r="AA77" s="16"/>
      <c r="AB77" s="33"/>
      <c r="AC77" s="121"/>
      <c r="AD77" s="1389"/>
      <c r="AE77" s="69"/>
      <c r="AF77" s="121"/>
      <c r="AG77" s="62"/>
      <c r="AH77" s="214"/>
      <c r="AI77" s="214"/>
      <c r="AJ77" s="214"/>
      <c r="AK77" s="1406"/>
      <c r="AL77" s="3"/>
      <c r="AM77" s="3"/>
      <c r="AN77" s="3"/>
      <c r="AO77" s="3"/>
      <c r="AP77" s="3"/>
      <c r="AQ77" s="3"/>
      <c r="AR77" s="3"/>
      <c r="AS77" s="3"/>
      <c r="AX77" s="33"/>
    </row>
    <row r="78" spans="1:50" s="123" customFormat="1">
      <c r="A78" s="116"/>
      <c r="B78" s="454">
        <f t="shared" si="230"/>
        <v>46095.791666666664</v>
      </c>
      <c r="C78" s="33">
        <f>SUM($C$16:$C$22)</f>
        <v>1054090.0048</v>
      </c>
      <c r="D78" s="61"/>
      <c r="E78" s="16"/>
      <c r="F78" s="33">
        <f>SUM($E$16:$E$22)</f>
        <v>1275231.6951871109</v>
      </c>
      <c r="G78" s="33"/>
      <c r="H78" s="33">
        <f>AVERAGE($H$16:$H$22)</f>
        <v>93.661414803766164</v>
      </c>
      <c r="I78" s="16"/>
      <c r="J78" s="16"/>
      <c r="K78" s="32">
        <f>SUMPRODUCT($E$16:$E$22,$K$16:$K$22)/SUM($E$16:$E$22)</f>
        <v>0.47244932815069618</v>
      </c>
      <c r="L78" s="15">
        <f>Q78/(F78*K78/100)*100</f>
        <v>90.403660423442204</v>
      </c>
      <c r="M78" s="15">
        <f>Q78/O78*100</f>
        <v>25.401591878152963</v>
      </c>
      <c r="N78" s="16"/>
      <c r="O78" s="33">
        <f>SUM($N$16:$N$22)</f>
        <v>21442.203595487037</v>
      </c>
      <c r="P78" s="16"/>
      <c r="Q78" s="33">
        <f>SUM($P$16:$P$22)</f>
        <v>5446.6610470082578</v>
      </c>
      <c r="R78" s="32">
        <f>SUMPRODUCT($E$16:$E$22,$R$16:$R$22)/SUM($E$16:$E$22)</f>
        <v>192.16184379529545</v>
      </c>
      <c r="S78" s="17">
        <f>SUMPRODUCT(E$16:E$22,R$16:R$22,S$16:S$22)/SUMPRODUCT(E$16:E$22,R$16:R$22)</f>
        <v>89.74522480091747</v>
      </c>
      <c r="T78" s="17">
        <f>SUMPRODUCT(E$16:E$22,R$16:R$22,S$16:S$22,T$16:T$22)/SUMPRODUCT(E$16:E$22,R$16:R$22,S$16:S$22)</f>
        <v>92.971604305520771</v>
      </c>
      <c r="U78" s="15">
        <f>AA78/(F78*R78/1000000)*100</f>
        <v>0</v>
      </c>
      <c r="V78" s="15">
        <f>AA78/X78*100</f>
        <v>0</v>
      </c>
      <c r="W78" s="16"/>
      <c r="X78" s="33">
        <f>SUM($W$16:$W$22)</f>
        <v>416.7563358023819</v>
      </c>
      <c r="Y78" s="16"/>
      <c r="Z78" s="33">
        <f>SUM($Y$16:$Y$22)</f>
        <v>204.46450732459098</v>
      </c>
      <c r="AA78" s="16"/>
      <c r="AB78" s="33">
        <f>SUM($AA$16:$AA$22)</f>
        <v>230.95855334539181</v>
      </c>
      <c r="AC78" s="121"/>
      <c r="AD78" s="1389">
        <f>SUMPRODUCT(AD$16:AD$22,E$16:E$22)/F78</f>
        <v>56.860875986052783</v>
      </c>
      <c r="AE78" s="69"/>
      <c r="AF78" s="121"/>
      <c r="AG78" s="62">
        <f>C78/1000</f>
        <v>1054.0900048000001</v>
      </c>
      <c r="AH78" s="214">
        <f>F78/1000</f>
        <v>1275.231695187111</v>
      </c>
      <c r="AI78" s="214"/>
      <c r="AJ78" s="214"/>
      <c r="AK78" s="214">
        <f>F78/(COUNT(B$16:B$22)*24*H78/100)</f>
        <v>8104.3670632220774</v>
      </c>
      <c r="AL78" s="3"/>
      <c r="AM78" s="3"/>
      <c r="AN78" s="3"/>
      <c r="AO78" s="3"/>
      <c r="AP78" s="3"/>
      <c r="AQ78" s="3"/>
      <c r="AR78" s="3"/>
      <c r="AS78" s="3"/>
      <c r="AX78" s="33">
        <f>SUM($AX$16:$AX$22)</f>
        <v>1286.7216657002766</v>
      </c>
    </row>
    <row r="79" spans="1:50" s="123" customFormat="1">
      <c r="A79" s="116"/>
      <c r="B79" s="585">
        <f t="shared" si="230"/>
        <v>46096.791666666664</v>
      </c>
      <c r="C79" s="33"/>
      <c r="D79" s="61"/>
      <c r="E79" s="16"/>
      <c r="F79" s="33"/>
      <c r="G79" s="33"/>
      <c r="H79" s="33"/>
      <c r="I79" s="16"/>
      <c r="J79" s="16"/>
      <c r="K79" s="32"/>
      <c r="L79" s="15"/>
      <c r="M79" s="15"/>
      <c r="N79" s="16"/>
      <c r="O79" s="33"/>
      <c r="P79" s="16"/>
      <c r="Q79" s="33"/>
      <c r="R79" s="32"/>
      <c r="S79" s="17"/>
      <c r="T79" s="17"/>
      <c r="U79" s="15"/>
      <c r="V79" s="15"/>
      <c r="W79" s="16"/>
      <c r="X79" s="33"/>
      <c r="Y79" s="16"/>
      <c r="Z79" s="33"/>
      <c r="AA79" s="16"/>
      <c r="AB79" s="33"/>
      <c r="AC79" s="121"/>
      <c r="AD79" s="1389"/>
      <c r="AE79" s="69"/>
      <c r="AF79" s="121"/>
      <c r="AG79" s="62"/>
      <c r="AH79" s="214"/>
      <c r="AI79" s="214"/>
      <c r="AJ79" s="214"/>
      <c r="AK79" s="1390"/>
      <c r="AL79" s="3"/>
      <c r="AM79" s="3"/>
      <c r="AN79" s="3"/>
      <c r="AO79" s="3"/>
      <c r="AP79" s="3"/>
      <c r="AQ79" s="3"/>
      <c r="AR79" s="3"/>
      <c r="AX79" s="33"/>
    </row>
    <row r="80" spans="1:50" s="130" customFormat="1">
      <c r="A80" s="129"/>
      <c r="B80" s="11">
        <f t="shared" si="230"/>
        <v>46097.791666666664</v>
      </c>
      <c r="C80" s="33"/>
      <c r="D80" s="61"/>
      <c r="E80" s="16"/>
      <c r="F80" s="33"/>
      <c r="G80" s="33"/>
      <c r="H80" s="33"/>
      <c r="I80" s="16"/>
      <c r="J80" s="16"/>
      <c r="K80" s="32"/>
      <c r="L80" s="15"/>
      <c r="M80" s="15"/>
      <c r="N80" s="16"/>
      <c r="O80" s="33"/>
      <c r="P80" s="16"/>
      <c r="Q80" s="33"/>
      <c r="R80" s="32"/>
      <c r="S80" s="17"/>
      <c r="T80" s="17"/>
      <c r="U80" s="15"/>
      <c r="V80" s="15"/>
      <c r="W80" s="16"/>
      <c r="X80" s="33"/>
      <c r="Y80" s="16"/>
      <c r="Z80" s="33"/>
      <c r="AA80" s="16"/>
      <c r="AB80" s="33"/>
      <c r="AC80" s="121"/>
      <c r="AD80" s="498"/>
      <c r="AE80" s="69"/>
      <c r="AF80" s="121"/>
      <c r="AG80" s="62"/>
      <c r="AH80" s="214"/>
      <c r="AI80" s="214"/>
      <c r="AJ80" s="214"/>
      <c r="AK80" s="214"/>
      <c r="AL80" s="3"/>
      <c r="AM80" s="3"/>
      <c r="AN80" s="3"/>
      <c r="AO80" s="3"/>
      <c r="AP80" s="3"/>
      <c r="AQ80" s="3"/>
      <c r="AR80" s="3"/>
      <c r="AS80" s="3"/>
      <c r="AX80" s="33"/>
    </row>
    <row r="81" spans="1:50" s="130" customFormat="1">
      <c r="A81" s="129"/>
      <c r="B81" s="11">
        <f t="shared" si="230"/>
        <v>46098.791666666664</v>
      </c>
      <c r="C81" s="33"/>
      <c r="D81" s="61"/>
      <c r="E81" s="16"/>
      <c r="F81" s="33"/>
      <c r="G81" s="33"/>
      <c r="H81" s="33"/>
      <c r="I81" s="16"/>
      <c r="J81" s="16"/>
      <c r="K81" s="32"/>
      <c r="L81" s="15"/>
      <c r="M81" s="15"/>
      <c r="N81" s="16"/>
      <c r="O81" s="33"/>
      <c r="P81" s="16"/>
      <c r="Q81" s="33"/>
      <c r="R81" s="32"/>
      <c r="S81" s="17"/>
      <c r="T81" s="17"/>
      <c r="U81" s="15"/>
      <c r="V81" s="15"/>
      <c r="W81" s="16"/>
      <c r="X81" s="33"/>
      <c r="Y81" s="16"/>
      <c r="Z81" s="33"/>
      <c r="AA81" s="16"/>
      <c r="AB81" s="33"/>
      <c r="AC81" s="121"/>
      <c r="AD81" s="498"/>
      <c r="AE81" s="69"/>
      <c r="AF81" s="121"/>
      <c r="AG81" s="62"/>
      <c r="AH81" s="214"/>
      <c r="AI81" s="214"/>
      <c r="AJ81" s="214"/>
      <c r="AK81" s="214"/>
      <c r="AL81" s="3"/>
      <c r="AM81" s="3"/>
      <c r="AN81" s="3"/>
      <c r="AO81" s="3"/>
      <c r="AP81" s="3"/>
      <c r="AQ81" s="3"/>
      <c r="AR81" s="3"/>
      <c r="AS81" s="3"/>
      <c r="AX81" s="33"/>
    </row>
    <row r="82" spans="1:50" s="130" customFormat="1">
      <c r="A82" s="129"/>
      <c r="B82" s="11">
        <f t="shared" si="230"/>
        <v>46099.791666666664</v>
      </c>
      <c r="C82" s="33"/>
      <c r="D82" s="61"/>
      <c r="E82" s="16"/>
      <c r="F82" s="33"/>
      <c r="G82" s="33"/>
      <c r="H82" s="33"/>
      <c r="I82" s="16"/>
      <c r="J82" s="16"/>
      <c r="K82" s="32"/>
      <c r="L82" s="15"/>
      <c r="M82" s="15"/>
      <c r="N82" s="16"/>
      <c r="O82" s="33"/>
      <c r="P82" s="16"/>
      <c r="Q82" s="33"/>
      <c r="R82" s="32"/>
      <c r="S82" s="17"/>
      <c r="T82" s="17"/>
      <c r="U82" s="15"/>
      <c r="V82" s="15"/>
      <c r="W82" s="16"/>
      <c r="X82" s="33"/>
      <c r="Y82" s="16"/>
      <c r="Z82" s="33"/>
      <c r="AA82" s="16"/>
      <c r="AB82" s="33"/>
      <c r="AC82" s="121"/>
      <c r="AD82" s="1389"/>
      <c r="AE82" s="69"/>
      <c r="AF82" s="121"/>
      <c r="AG82" s="62"/>
      <c r="AH82" s="214"/>
      <c r="AI82" s="214"/>
      <c r="AJ82" s="214"/>
      <c r="AK82" s="1406"/>
      <c r="AL82" s="3"/>
      <c r="AM82" s="3"/>
      <c r="AN82" s="3"/>
      <c r="AO82" s="3"/>
      <c r="AP82" s="3"/>
      <c r="AQ82" s="3"/>
      <c r="AR82" s="3"/>
      <c r="AS82" s="3"/>
      <c r="AX82" s="33"/>
    </row>
    <row r="83" spans="1:50" s="130" customFormat="1">
      <c r="A83" s="129"/>
      <c r="B83" s="11">
        <f t="shared" si="230"/>
        <v>46100.791666666664</v>
      </c>
      <c r="C83" s="33">
        <f>SUM($C$23:$C$27)</f>
        <v>632345.14280000003</v>
      </c>
      <c r="D83" s="61"/>
      <c r="E83" s="16"/>
      <c r="F83" s="33">
        <f>SUM($E$23:$E$27)</f>
        <v>598003.52967071533</v>
      </c>
      <c r="G83" s="33"/>
      <c r="H83" s="33">
        <f>AVERAGE($H$23:$H$27)</f>
        <v>97.357924878196187</v>
      </c>
      <c r="I83" s="16"/>
      <c r="J83" s="16"/>
      <c r="K83" s="32">
        <f>SUMPRODUCT($E$23:$E$27,$K$23:$K$27)/SUM($E$23:$E$27)</f>
        <v>0.47974112223211735</v>
      </c>
      <c r="L83" s="15">
        <f>Q83/(F83*K83/100)*100</f>
        <v>90.222880220752032</v>
      </c>
      <c r="M83" s="15">
        <f>Q83/O83*100</f>
        <v>26.831964661570602</v>
      </c>
      <c r="N83" s="16"/>
      <c r="O83" s="33">
        <f>SUM($N$23:$N$27)</f>
        <v>9646.6141546735416</v>
      </c>
      <c r="P83" s="16"/>
      <c r="Q83" s="33">
        <f>SUM($P$23:$P$27)</f>
        <v>2588.3761010200724</v>
      </c>
      <c r="R83" s="32">
        <f>SUMPRODUCT($E$23:$E$27,$R$23:$R$27)/SUM($E$23:$E$27)</f>
        <v>184.15653922569052</v>
      </c>
      <c r="S83" s="17">
        <f>SUMPRODUCT(E$23:E$27,R$23:R$27,S$23:S$27)/SUMPRODUCT(E$23:E$27,R$23:R$27)</f>
        <v>88.704656356352785</v>
      </c>
      <c r="T83" s="17">
        <f>SUMPRODUCT(E$23:E$27,R$23:R$27,S$23:S$27,T$23:T$27)/SUMPRODUCT(E$23:E$27,R$23:R$27,S$23:S$27)</f>
        <v>89.91105467944314</v>
      </c>
      <c r="U83" s="15">
        <f>AA83/(F83*R83/1000000)*100</f>
        <v>0</v>
      </c>
      <c r="V83" s="15">
        <f>AA83/X83*100</f>
        <v>0</v>
      </c>
      <c r="W83" s="16"/>
      <c r="X83" s="33">
        <f>SUM($W$23:$W$27)</f>
        <v>891.68310641417747</v>
      </c>
      <c r="Y83" s="16"/>
      <c r="Z83" s="33">
        <f>SUM($Y$23:$Y$27)</f>
        <v>87.831520693507372</v>
      </c>
      <c r="AA83" s="16"/>
      <c r="AB83" s="33">
        <f>SUM($AA$23:$AA$27)</f>
        <v>49.892264538556674</v>
      </c>
      <c r="AC83" s="121"/>
      <c r="AD83" s="1389">
        <f>SUMPRODUCT(AD$23:AD$27,E$23:E$27)/F83</f>
        <v>62.917750406778254</v>
      </c>
      <c r="AE83" s="69"/>
      <c r="AF83" s="121"/>
      <c r="AG83" s="62">
        <f>C83/1000</f>
        <v>632.34514280000008</v>
      </c>
      <c r="AH83" s="214">
        <f>F83/1000</f>
        <v>598.00352967071535</v>
      </c>
      <c r="AI83" s="214"/>
      <c r="AJ83" s="214"/>
      <c r="AK83" s="214">
        <f>F83/(COUNT(B$23:B$27)*24*H83/100)</f>
        <v>5118.6000045611199</v>
      </c>
      <c r="AL83" s="3"/>
      <c r="AM83" s="3"/>
      <c r="AN83" s="3"/>
      <c r="AO83" s="3"/>
      <c r="AP83" s="3"/>
      <c r="AQ83" s="3"/>
      <c r="AR83" s="3"/>
      <c r="AS83" s="3"/>
      <c r="AX83" s="33">
        <f>SUM($AX$23:$AX$27)</f>
        <v>521.02191797892249</v>
      </c>
    </row>
    <row r="84" spans="1:50" s="130" customFormat="1">
      <c r="A84" s="129"/>
      <c r="B84" s="11">
        <f t="shared" si="230"/>
        <v>46101.791666666664</v>
      </c>
      <c r="C84" s="33"/>
      <c r="D84" s="61"/>
      <c r="E84" s="16"/>
      <c r="F84" s="33"/>
      <c r="G84" s="33"/>
      <c r="H84" s="33"/>
      <c r="I84" s="16"/>
      <c r="J84" s="16"/>
      <c r="K84" s="32"/>
      <c r="L84" s="15"/>
      <c r="M84" s="15"/>
      <c r="N84" s="16"/>
      <c r="O84" s="33"/>
      <c r="P84" s="16"/>
      <c r="Q84" s="33"/>
      <c r="R84" s="32"/>
      <c r="S84" s="17"/>
      <c r="T84" s="17"/>
      <c r="U84" s="15"/>
      <c r="V84" s="15"/>
      <c r="W84" s="16"/>
      <c r="X84" s="33"/>
      <c r="Y84" s="16"/>
      <c r="Z84" s="33"/>
      <c r="AA84" s="16"/>
      <c r="AB84" s="33"/>
      <c r="AC84" s="121"/>
      <c r="AD84" s="1389"/>
      <c r="AE84" s="69"/>
      <c r="AF84" s="121"/>
      <c r="AG84" s="62"/>
      <c r="AH84" s="214"/>
      <c r="AI84" s="214"/>
      <c r="AJ84" s="214"/>
      <c r="AK84" s="1406"/>
      <c r="AL84" s="3"/>
      <c r="AM84" s="3"/>
      <c r="AN84" s="3"/>
      <c r="AO84" s="3"/>
      <c r="AP84" s="3"/>
      <c r="AQ84" s="3"/>
      <c r="AR84" s="3"/>
      <c r="AX84" s="33"/>
    </row>
    <row r="85" spans="1:50" s="123" customFormat="1">
      <c r="A85" s="116"/>
      <c r="B85" s="454">
        <f t="shared" si="230"/>
        <v>46102.791666666664</v>
      </c>
      <c r="C85" s="33">
        <f>SUM($C$23:$C$29)</f>
        <v>632345.14280000003</v>
      </c>
      <c r="D85" s="61"/>
      <c r="E85" s="16"/>
      <c r="F85" s="33">
        <f>SUM($E$23:$E$29)</f>
        <v>598003.52967071533</v>
      </c>
      <c r="G85" s="33"/>
      <c r="H85" s="33">
        <f>AVERAGE($H$23:$H$29)</f>
        <v>97.357924878196187</v>
      </c>
      <c r="I85" s="16"/>
      <c r="J85" s="16"/>
      <c r="K85" s="32">
        <f>SUMPRODUCT($E$23:$E$29,$K$23:$K$29)/SUM($E$23:$E$29)</f>
        <v>0.47974112223211735</v>
      </c>
      <c r="L85" s="15">
        <f>Q85/(F85*K85/100)*100</f>
        <v>90.222880220752032</v>
      </c>
      <c r="M85" s="15">
        <f>Q85/O85*100</f>
        <v>26.831964661570602</v>
      </c>
      <c r="N85" s="16"/>
      <c r="O85" s="33">
        <f>SUM($N$23:$N$29)</f>
        <v>9646.6141546735416</v>
      </c>
      <c r="P85" s="16"/>
      <c r="Q85" s="33">
        <f>SUM($P$23:$P$29)</f>
        <v>2588.3761010200724</v>
      </c>
      <c r="R85" s="32">
        <f>SUMPRODUCT($E$23:$E$29,$R$23:$R$29)/SUM($E$23:$E$29)</f>
        <v>184.15653922569052</v>
      </c>
      <c r="S85" s="17">
        <f>SUMPRODUCT(E$23:E$29,R$23:R$29,S$23:S$29)/SUMPRODUCT(E$23:E$29,R$23:R$29)</f>
        <v>88.704656356352785</v>
      </c>
      <c r="T85" s="17">
        <f>SUMPRODUCT(E$23:E$29,R$23:R$29,S$23:S$29,T$23:T$29)/SUMPRODUCT(E$23:E$29,R$23:R$29,S$23:S$29)</f>
        <v>89.91105467944314</v>
      </c>
      <c r="U85" s="15">
        <f>AA85/(F85*R85/1000000)*100</f>
        <v>0</v>
      </c>
      <c r="V85" s="15">
        <f>AA85/X85*100</f>
        <v>0</v>
      </c>
      <c r="W85" s="16"/>
      <c r="X85" s="33">
        <f>SUM($W$23:$W$29)</f>
        <v>891.68310641417747</v>
      </c>
      <c r="Y85" s="16"/>
      <c r="Z85" s="33">
        <f>SUM($Y$23:$Y$29)</f>
        <v>87.831520693507372</v>
      </c>
      <c r="AA85" s="16"/>
      <c r="AB85" s="33">
        <f>SUM($AA$23:$AA$29)</f>
        <v>49.892264538556674</v>
      </c>
      <c r="AC85" s="121"/>
      <c r="AD85" s="1389">
        <f>SUMPRODUCT(AD$23:AD$29,E$23:E$29)/F85</f>
        <v>62.917750406778254</v>
      </c>
      <c r="AE85" s="69"/>
      <c r="AF85" s="121"/>
      <c r="AG85" s="62">
        <f>C85/1000</f>
        <v>632.34514280000008</v>
      </c>
      <c r="AH85" s="214">
        <f>F85/1000</f>
        <v>598.00352967071535</v>
      </c>
      <c r="AI85" s="214"/>
      <c r="AJ85" s="214"/>
      <c r="AK85" s="214">
        <f>F85/(COUNT(B$23:B$29)*24*H85/100)</f>
        <v>3656.1428604007997</v>
      </c>
      <c r="AL85" s="3"/>
      <c r="AM85" s="3"/>
      <c r="AN85" s="3"/>
      <c r="AO85" s="3"/>
      <c r="AP85" s="3"/>
      <c r="AQ85" s="3"/>
      <c r="AR85" s="3"/>
      <c r="AS85" s="3"/>
      <c r="AX85" s="33">
        <f>SUM($AX$23:$AX$29)</f>
        <v>521.02191797892249</v>
      </c>
    </row>
    <row r="86" spans="1:50" s="123" customFormat="1">
      <c r="A86" s="116"/>
      <c r="B86" s="585">
        <f t="shared" si="230"/>
        <v>46103.791666666664</v>
      </c>
      <c r="C86" s="33"/>
      <c r="D86" s="61"/>
      <c r="E86" s="16"/>
      <c r="F86" s="33"/>
      <c r="G86" s="33"/>
      <c r="H86" s="33"/>
      <c r="I86" s="16"/>
      <c r="J86" s="16"/>
      <c r="K86" s="32"/>
      <c r="L86" s="15"/>
      <c r="M86" s="15"/>
      <c r="N86" s="16"/>
      <c r="O86" s="33"/>
      <c r="P86" s="16"/>
      <c r="Q86" s="33"/>
      <c r="R86" s="32"/>
      <c r="S86" s="17"/>
      <c r="T86" s="17"/>
      <c r="U86" s="15"/>
      <c r="V86" s="15"/>
      <c r="W86" s="16"/>
      <c r="X86" s="33"/>
      <c r="Y86" s="16"/>
      <c r="Z86" s="33"/>
      <c r="AA86" s="16"/>
      <c r="AB86" s="33"/>
      <c r="AC86" s="121"/>
      <c r="AD86" s="1389"/>
      <c r="AE86" s="69"/>
      <c r="AF86" s="121"/>
      <c r="AG86" s="62"/>
      <c r="AH86" s="214"/>
      <c r="AI86" s="214"/>
      <c r="AJ86" s="214"/>
      <c r="AK86" s="1390"/>
      <c r="AL86" s="3"/>
      <c r="AM86" s="3"/>
      <c r="AN86" s="3"/>
      <c r="AO86" s="3"/>
      <c r="AP86" s="3"/>
      <c r="AQ86" s="3"/>
      <c r="AR86" s="3"/>
      <c r="AX86" s="33"/>
    </row>
    <row r="87" spans="1:50" s="130" customFormat="1">
      <c r="A87" s="129"/>
      <c r="B87" s="11">
        <f t="shared" si="230"/>
        <v>46104.791666666664</v>
      </c>
      <c r="C87" s="33"/>
      <c r="D87" s="61"/>
      <c r="E87" s="16"/>
      <c r="F87" s="33"/>
      <c r="G87" s="33"/>
      <c r="H87" s="33"/>
      <c r="I87" s="16"/>
      <c r="J87" s="16"/>
      <c r="K87" s="32"/>
      <c r="L87" s="15"/>
      <c r="M87" s="15"/>
      <c r="N87" s="16"/>
      <c r="O87" s="33"/>
      <c r="P87" s="16"/>
      <c r="Q87" s="33"/>
      <c r="R87" s="32"/>
      <c r="S87" s="17"/>
      <c r="T87" s="17"/>
      <c r="U87" s="15"/>
      <c r="V87" s="15"/>
      <c r="W87" s="16"/>
      <c r="X87" s="33"/>
      <c r="Y87" s="16"/>
      <c r="Z87" s="33"/>
      <c r="AA87" s="16"/>
      <c r="AB87" s="33"/>
      <c r="AC87" s="121"/>
      <c r="AD87" s="498"/>
      <c r="AE87" s="69"/>
      <c r="AF87" s="121"/>
      <c r="AG87" s="62"/>
      <c r="AH87" s="214"/>
      <c r="AI87" s="214"/>
      <c r="AJ87" s="214"/>
      <c r="AK87" s="214"/>
      <c r="AL87" s="3"/>
      <c r="AM87" s="3"/>
      <c r="AN87" s="3"/>
      <c r="AO87" s="3"/>
      <c r="AP87" s="3"/>
      <c r="AQ87" s="3"/>
      <c r="AR87" s="3"/>
      <c r="AS87" s="3"/>
      <c r="AX87" s="33"/>
    </row>
    <row r="88" spans="1:50" s="130" customFormat="1">
      <c r="A88" s="129"/>
      <c r="B88" s="11">
        <f t="shared" si="230"/>
        <v>46105.791666666664</v>
      </c>
      <c r="C88" s="33"/>
      <c r="D88" s="61"/>
      <c r="E88" s="16"/>
      <c r="F88" s="33"/>
      <c r="G88" s="33"/>
      <c r="H88" s="33"/>
      <c r="I88" s="16"/>
      <c r="J88" s="16"/>
      <c r="K88" s="32"/>
      <c r="L88" s="15"/>
      <c r="M88" s="15"/>
      <c r="N88" s="16"/>
      <c r="O88" s="33"/>
      <c r="P88" s="16"/>
      <c r="Q88" s="33"/>
      <c r="R88" s="32"/>
      <c r="S88" s="17"/>
      <c r="T88" s="17"/>
      <c r="U88" s="15"/>
      <c r="V88" s="15"/>
      <c r="W88" s="16"/>
      <c r="X88" s="33"/>
      <c r="Y88" s="16"/>
      <c r="Z88" s="33"/>
      <c r="AA88" s="16"/>
      <c r="AB88" s="33"/>
      <c r="AC88" s="121"/>
      <c r="AD88" s="498"/>
      <c r="AE88" s="69"/>
      <c r="AF88" s="121"/>
      <c r="AG88" s="62"/>
      <c r="AH88" s="214"/>
      <c r="AI88" s="214"/>
      <c r="AJ88" s="214"/>
      <c r="AK88" s="214"/>
      <c r="AL88" s="3"/>
      <c r="AM88" s="3"/>
      <c r="AN88" s="3"/>
      <c r="AO88" s="3"/>
      <c r="AP88" s="3"/>
      <c r="AQ88" s="3"/>
      <c r="AR88" s="3"/>
      <c r="AS88" s="3"/>
      <c r="AX88" s="33"/>
    </row>
    <row r="89" spans="1:50" s="130" customFormat="1">
      <c r="A89" s="129"/>
      <c r="B89" s="11">
        <f t="shared" si="230"/>
        <v>46106.791666666664</v>
      </c>
      <c r="C89" s="33"/>
      <c r="D89" s="61"/>
      <c r="E89" s="16"/>
      <c r="F89" s="33"/>
      <c r="G89" s="33"/>
      <c r="H89" s="33"/>
      <c r="I89" s="16"/>
      <c r="J89" s="16"/>
      <c r="K89" s="32"/>
      <c r="L89" s="15"/>
      <c r="M89" s="15"/>
      <c r="N89" s="16"/>
      <c r="O89" s="33"/>
      <c r="P89" s="16"/>
      <c r="Q89" s="33"/>
      <c r="R89" s="32"/>
      <c r="S89" s="17"/>
      <c r="T89" s="17"/>
      <c r="U89" s="15"/>
      <c r="V89" s="15"/>
      <c r="W89" s="16"/>
      <c r="X89" s="33"/>
      <c r="Y89" s="16"/>
      <c r="Z89" s="33"/>
      <c r="AA89" s="16"/>
      <c r="AB89" s="33"/>
      <c r="AC89" s="121"/>
      <c r="AD89" s="1389"/>
      <c r="AE89" s="69"/>
      <c r="AF89" s="121"/>
      <c r="AG89" s="62"/>
      <c r="AH89" s="214"/>
      <c r="AI89" s="214"/>
      <c r="AJ89" s="214"/>
      <c r="AK89" s="1406"/>
      <c r="AL89" s="3"/>
      <c r="AM89" s="3"/>
      <c r="AN89" s="3"/>
      <c r="AO89" s="3"/>
      <c r="AP89" s="3"/>
      <c r="AQ89" s="3"/>
      <c r="AR89" s="3"/>
      <c r="AS89" s="3"/>
      <c r="AX89" s="33"/>
    </row>
    <row r="90" spans="1:50" s="130" customFormat="1">
      <c r="A90" s="129"/>
      <c r="B90" s="11">
        <f t="shared" si="230"/>
        <v>46107.791666666664</v>
      </c>
      <c r="C90" s="33">
        <f>SUM($C$30:$C$34)</f>
        <v>0</v>
      </c>
      <c r="D90" s="61"/>
      <c r="E90" s="16"/>
      <c r="F90" s="33">
        <f>SUM($E$30:$E$34)</f>
        <v>0</v>
      </c>
      <c r="G90" s="33"/>
      <c r="H90" s="33" t="e">
        <f>AVERAGE($H$30:$H$34)</f>
        <v>#DIV/0!</v>
      </c>
      <c r="I90" s="16"/>
      <c r="J90" s="16"/>
      <c r="K90" s="32" t="e">
        <f>SUMPRODUCT($E$30:$E$34,$K$30:$K$34)/SUM($E$30:$E$34)</f>
        <v>#DIV/0!</v>
      </c>
      <c r="L90" s="15" t="e">
        <f>Q90/(F90*K90/100)*100</f>
        <v>#DIV/0!</v>
      </c>
      <c r="M90" s="15" t="e">
        <f>Q90/O90*100</f>
        <v>#DIV/0!</v>
      </c>
      <c r="N90" s="16"/>
      <c r="O90" s="33">
        <f>SUM($N$30:$N$34)</f>
        <v>0</v>
      </c>
      <c r="P90" s="16"/>
      <c r="Q90" s="33">
        <f>SUM($P$30:$P$34)</f>
        <v>0</v>
      </c>
      <c r="R90" s="32" t="e">
        <f>SUMPRODUCT($E$30:$E$34,$R$30:$R$34)/SUM($E$30:$E$34)</f>
        <v>#DIV/0!</v>
      </c>
      <c r="S90" s="17" t="e">
        <f>SUMPRODUCT(E$30:E$34,R$30:R$34,S$30:S$34)/SUMPRODUCT(E$30:E$34,R$30:R$34)</f>
        <v>#DIV/0!</v>
      </c>
      <c r="T90" s="17" t="e">
        <f>SUMPRODUCT(E$30:E$34,R$30:R$34,S$30:S$34,T$30:T$34)/SUMPRODUCT(E$30:E$34,R$30:R$34,S$30:S$34)</f>
        <v>#DIV/0!</v>
      </c>
      <c r="U90" s="15" t="e">
        <f>AA90/(F90*R90/1000000)*100</f>
        <v>#DIV/0!</v>
      </c>
      <c r="V90" s="15" t="e">
        <f>AA90/X90*100</f>
        <v>#DIV/0!</v>
      </c>
      <c r="W90" s="16"/>
      <c r="X90" s="33">
        <f>SUM($W$30:$W$34)</f>
        <v>0</v>
      </c>
      <c r="Y90" s="16"/>
      <c r="Z90" s="33">
        <f>SUM($Y$30:$Y$34)</f>
        <v>0</v>
      </c>
      <c r="AA90" s="16"/>
      <c r="AB90" s="33">
        <f>SUM($AA$30:$AA$34)</f>
        <v>0</v>
      </c>
      <c r="AC90" s="121"/>
      <c r="AD90" s="1389" t="e">
        <f>SUMPRODUCT(AD$30:AD$34,E$30:E$34)/F90</f>
        <v>#DIV/0!</v>
      </c>
      <c r="AE90" s="69"/>
      <c r="AF90" s="121"/>
      <c r="AG90" s="62">
        <f>C90/1000</f>
        <v>0</v>
      </c>
      <c r="AH90" s="214">
        <f>F90/1000</f>
        <v>0</v>
      </c>
      <c r="AI90" s="214"/>
      <c r="AJ90" s="214"/>
      <c r="AK90" s="1390" t="e">
        <f>F90/(COUNT(B$30:B$34)*24*H90/100)</f>
        <v>#DIV/0!</v>
      </c>
      <c r="AL90" s="3"/>
      <c r="AM90" s="3"/>
      <c r="AN90" s="3"/>
      <c r="AO90" s="3"/>
      <c r="AP90" s="3"/>
      <c r="AQ90" s="3"/>
      <c r="AR90" s="3"/>
      <c r="AS90" s="3"/>
      <c r="AX90" s="33">
        <f>SUM($AX$30:$AX$34)</f>
        <v>0</v>
      </c>
    </row>
    <row r="91" spans="1:50" s="130" customFormat="1">
      <c r="A91" s="129"/>
      <c r="B91" s="11">
        <f t="shared" si="230"/>
        <v>46108.791666666664</v>
      </c>
      <c r="C91" s="33"/>
      <c r="D91" s="61"/>
      <c r="E91" s="16"/>
      <c r="F91" s="33"/>
      <c r="G91" s="33"/>
      <c r="H91" s="33"/>
      <c r="I91" s="16"/>
      <c r="J91" s="16"/>
      <c r="K91" s="32"/>
      <c r="L91" s="15"/>
      <c r="M91" s="15"/>
      <c r="N91" s="16"/>
      <c r="O91" s="33"/>
      <c r="P91" s="16"/>
      <c r="Q91" s="33"/>
      <c r="R91" s="32"/>
      <c r="S91" s="17"/>
      <c r="T91" s="17"/>
      <c r="U91" s="15"/>
      <c r="V91" s="15"/>
      <c r="W91" s="16"/>
      <c r="X91" s="33"/>
      <c r="Y91" s="16"/>
      <c r="Z91" s="33"/>
      <c r="AA91" s="16"/>
      <c r="AB91" s="33"/>
      <c r="AC91" s="121"/>
      <c r="AD91" s="1389"/>
      <c r="AE91" s="69"/>
      <c r="AF91" s="121"/>
      <c r="AG91" s="62"/>
      <c r="AH91" s="214"/>
      <c r="AI91" s="214"/>
      <c r="AJ91" s="214"/>
      <c r="AK91" s="1406"/>
      <c r="AL91" s="3"/>
      <c r="AM91" s="3"/>
      <c r="AN91" s="3"/>
      <c r="AO91" s="3"/>
      <c r="AP91" s="3"/>
      <c r="AQ91" s="3"/>
      <c r="AR91" s="3"/>
      <c r="AX91" s="33"/>
    </row>
    <row r="92" spans="1:50" s="123" customFormat="1">
      <c r="A92" s="116"/>
      <c r="B92" s="11">
        <f t="shared" si="230"/>
        <v>46109.791666666664</v>
      </c>
      <c r="C92" s="33">
        <f>SUM($C$30:$C$36)</f>
        <v>0</v>
      </c>
      <c r="D92" s="61"/>
      <c r="E92" s="16"/>
      <c r="F92" s="33">
        <f>SUM($E$30:$E$36)</f>
        <v>0</v>
      </c>
      <c r="G92" s="33"/>
      <c r="H92" s="33" t="e">
        <f>AVERAGE($H$30:$H$36)</f>
        <v>#DIV/0!</v>
      </c>
      <c r="I92" s="16"/>
      <c r="J92" s="16"/>
      <c r="K92" s="32" t="e">
        <f>SUMPRODUCT($E$30:$E$36,$K$30:$K$36)/SUM($E$30:$E$36)</f>
        <v>#DIV/0!</v>
      </c>
      <c r="L92" s="15" t="e">
        <f>Q92/(F92*K92/100)*100</f>
        <v>#DIV/0!</v>
      </c>
      <c r="M92" s="15" t="e">
        <f>Q92/O92*100</f>
        <v>#DIV/0!</v>
      </c>
      <c r="N92" s="16"/>
      <c r="O92" s="33">
        <f>SUM($N$30:$N$36)</f>
        <v>0</v>
      </c>
      <c r="P92" s="16"/>
      <c r="Q92" s="33">
        <f>SUM($P$30:$P$36)</f>
        <v>0</v>
      </c>
      <c r="R92" s="32" t="e">
        <f>SUMPRODUCT($E$30:$E$36,$R$30:$R$36)/SUM($E$30:$E$36)</f>
        <v>#DIV/0!</v>
      </c>
      <c r="S92" s="17" t="e">
        <f>SUMPRODUCT(E$30:E$36,R$30:R$36,S$30:S$36)/SUMPRODUCT(E$30:E$36,R$30:R$36)</f>
        <v>#DIV/0!</v>
      </c>
      <c r="T92" s="17" t="e">
        <f>SUMPRODUCT(E$30:E$36,R$30:R$36,S$30:S$36,T$30:T$36)/SUMPRODUCT(E$30:E$36,R$30:R$36,S$30:S$36)</f>
        <v>#DIV/0!</v>
      </c>
      <c r="U92" s="15" t="e">
        <f>AA92/(F92*R92/1000000)*100</f>
        <v>#DIV/0!</v>
      </c>
      <c r="V92" s="15" t="e">
        <f>AA92/X92*100</f>
        <v>#DIV/0!</v>
      </c>
      <c r="W92" s="16"/>
      <c r="X92" s="33">
        <f>SUM($W$30:$W$36)</f>
        <v>0</v>
      </c>
      <c r="Y92" s="16"/>
      <c r="Z92" s="33">
        <f>SUM($Y$30:$Y$36)</f>
        <v>0</v>
      </c>
      <c r="AA92" s="16"/>
      <c r="AB92" s="33">
        <f>SUM($AA$30:$AA$36)</f>
        <v>0</v>
      </c>
      <c r="AC92" s="121"/>
      <c r="AD92" s="1389" t="e">
        <f>SUMPRODUCT(AD$30:AD$36,E$30:E$36)/F92</f>
        <v>#DIV/0!</v>
      </c>
      <c r="AE92" s="69"/>
      <c r="AF92" s="121"/>
      <c r="AG92" s="62">
        <f>C92/1000</f>
        <v>0</v>
      </c>
      <c r="AH92" s="214">
        <f>F92/1000</f>
        <v>0</v>
      </c>
      <c r="AI92" s="214"/>
      <c r="AJ92" s="214"/>
      <c r="AK92" s="1390" t="e">
        <f>F92/(COUNT(B$30:B$36)*24*H92/100)</f>
        <v>#DIV/0!</v>
      </c>
      <c r="AL92" s="3"/>
      <c r="AM92" s="3"/>
      <c r="AN92" s="3"/>
      <c r="AO92" s="3"/>
      <c r="AP92" s="3"/>
      <c r="AQ92" s="3"/>
      <c r="AR92" s="3"/>
      <c r="AS92" s="3"/>
      <c r="AX92" s="33">
        <f>SUM($AX$30:$AX$36)</f>
        <v>0</v>
      </c>
    </row>
    <row r="93" spans="1:50" s="123" customFormat="1">
      <c r="A93" s="116"/>
      <c r="B93" s="11">
        <f t="shared" si="230"/>
        <v>46110.791666666664</v>
      </c>
      <c r="C93" s="33"/>
      <c r="D93" s="61"/>
      <c r="E93" s="16"/>
      <c r="F93" s="33"/>
      <c r="G93" s="33"/>
      <c r="H93" s="33"/>
      <c r="I93" s="16"/>
      <c r="J93" s="16"/>
      <c r="K93" s="32"/>
      <c r="L93" s="15"/>
      <c r="M93" s="15"/>
      <c r="N93" s="16"/>
      <c r="O93" s="33"/>
      <c r="P93" s="16"/>
      <c r="Q93" s="33"/>
      <c r="R93" s="32"/>
      <c r="S93" s="17"/>
      <c r="T93" s="17"/>
      <c r="U93" s="15"/>
      <c r="V93" s="15"/>
      <c r="W93" s="16"/>
      <c r="X93" s="33"/>
      <c r="Y93" s="16"/>
      <c r="Z93" s="33"/>
      <c r="AA93" s="16"/>
      <c r="AB93" s="33"/>
      <c r="AC93" s="121"/>
      <c r="AD93" s="1389"/>
      <c r="AE93" s="69"/>
      <c r="AF93" s="121"/>
      <c r="AG93" s="62"/>
      <c r="AH93" s="214"/>
      <c r="AI93" s="214"/>
      <c r="AJ93" s="214"/>
      <c r="AK93" s="1390"/>
      <c r="AL93" s="3"/>
      <c r="AM93" s="3"/>
      <c r="AN93" s="3"/>
      <c r="AO93" s="3"/>
      <c r="AP93" s="3"/>
      <c r="AQ93" s="3"/>
      <c r="AR93" s="3"/>
      <c r="AX93" s="33"/>
    </row>
    <row r="94" spans="1:50" s="130" customFormat="1">
      <c r="A94" s="129"/>
      <c r="B94" s="11">
        <f t="shared" si="230"/>
        <v>46111.791666666664</v>
      </c>
      <c r="C94" s="33"/>
      <c r="D94" s="61"/>
      <c r="E94" s="16"/>
      <c r="F94" s="33"/>
      <c r="G94" s="33"/>
      <c r="H94" s="33"/>
      <c r="I94" s="16"/>
      <c r="J94" s="16"/>
      <c r="K94" s="32"/>
      <c r="L94" s="15"/>
      <c r="M94" s="15"/>
      <c r="N94" s="16"/>
      <c r="O94" s="33"/>
      <c r="P94" s="16"/>
      <c r="Q94" s="33"/>
      <c r="R94" s="32"/>
      <c r="S94" s="17"/>
      <c r="T94" s="17"/>
      <c r="U94" s="15"/>
      <c r="V94" s="15"/>
      <c r="W94" s="16"/>
      <c r="X94" s="33"/>
      <c r="Y94" s="16"/>
      <c r="Z94" s="33"/>
      <c r="AA94" s="16"/>
      <c r="AB94" s="33"/>
      <c r="AC94" s="121"/>
      <c r="AD94" s="498"/>
      <c r="AE94" s="69"/>
      <c r="AF94" s="121"/>
      <c r="AG94" s="62"/>
      <c r="AH94" s="214"/>
      <c r="AI94" s="214"/>
      <c r="AJ94" s="214"/>
      <c r="AK94" s="214"/>
      <c r="AL94" s="3"/>
      <c r="AM94" s="3"/>
      <c r="AN94" s="3"/>
      <c r="AO94" s="3"/>
      <c r="AP94" s="3"/>
      <c r="AQ94" s="3"/>
      <c r="AR94" s="3"/>
      <c r="AS94" s="3"/>
      <c r="AX94" s="33"/>
    </row>
    <row r="95" spans="1:50" s="130" customFormat="1">
      <c r="A95" s="114"/>
      <c r="B95" s="11">
        <f t="shared" si="230"/>
        <v>46112.791666666664</v>
      </c>
      <c r="C95" s="23"/>
      <c r="D95" s="452"/>
      <c r="E95" s="26"/>
      <c r="F95" s="23"/>
      <c r="G95" s="23"/>
      <c r="H95" s="23"/>
      <c r="I95" s="26"/>
      <c r="J95" s="26"/>
      <c r="K95" s="34"/>
      <c r="L95" s="25"/>
      <c r="M95" s="25"/>
      <c r="N95" s="26"/>
      <c r="O95" s="23"/>
      <c r="P95" s="26"/>
      <c r="Q95" s="23"/>
      <c r="R95" s="34"/>
      <c r="S95" s="453"/>
      <c r="T95" s="453"/>
      <c r="U95" s="25"/>
      <c r="V95" s="25"/>
      <c r="W95" s="26"/>
      <c r="X95" s="23"/>
      <c r="Y95" s="26"/>
      <c r="Z95" s="23"/>
      <c r="AA95" s="26"/>
      <c r="AB95" s="23"/>
      <c r="AC95" s="465"/>
      <c r="AD95" s="499"/>
      <c r="AE95" s="464"/>
      <c r="AF95" s="465"/>
      <c r="AG95" s="458"/>
      <c r="AH95" s="456"/>
      <c r="AI95" s="456"/>
      <c r="AJ95" s="456"/>
      <c r="AK95" s="456"/>
      <c r="AL95" s="63"/>
      <c r="AM95" s="63"/>
      <c r="AN95" s="63"/>
      <c r="AO95" s="63"/>
      <c r="AP95" s="63"/>
      <c r="AQ95" s="63"/>
      <c r="AR95" s="63"/>
      <c r="AS95" s="3"/>
      <c r="AX95" s="23"/>
    </row>
    <row r="96" spans="1:50">
      <c r="B96" s="558"/>
    </row>
    <row r="98" spans="2:166">
      <c r="B98" s="1840">
        <v>1</v>
      </c>
      <c r="C98" s="1840">
        <f>B98+1</f>
        <v>2</v>
      </c>
      <c r="D98" s="1840">
        <f t="shared" ref="D98:BB98" si="231">C98+1</f>
        <v>3</v>
      </c>
      <c r="E98" s="1840">
        <f t="shared" si="231"/>
        <v>4</v>
      </c>
      <c r="F98" s="1840">
        <f t="shared" si="231"/>
        <v>5</v>
      </c>
      <c r="G98" s="1840">
        <f t="shared" si="231"/>
        <v>6</v>
      </c>
      <c r="H98" s="1840">
        <f t="shared" si="231"/>
        <v>7</v>
      </c>
      <c r="I98" s="1840">
        <f t="shared" si="231"/>
        <v>8</v>
      </c>
      <c r="J98" s="1840">
        <f t="shared" si="231"/>
        <v>9</v>
      </c>
      <c r="K98" s="1840">
        <f t="shared" si="231"/>
        <v>10</v>
      </c>
      <c r="L98" s="1840">
        <f t="shared" si="231"/>
        <v>11</v>
      </c>
      <c r="M98" s="1840">
        <f t="shared" si="231"/>
        <v>12</v>
      </c>
      <c r="N98" s="1840">
        <f t="shared" si="231"/>
        <v>13</v>
      </c>
      <c r="O98" s="1840">
        <f t="shared" si="231"/>
        <v>14</v>
      </c>
      <c r="P98" s="1840">
        <f t="shared" si="231"/>
        <v>15</v>
      </c>
      <c r="Q98" s="1840">
        <f t="shared" si="231"/>
        <v>16</v>
      </c>
      <c r="R98" s="1840">
        <f t="shared" si="231"/>
        <v>17</v>
      </c>
      <c r="S98" s="1840">
        <f t="shared" si="231"/>
        <v>18</v>
      </c>
      <c r="T98" s="1840">
        <f t="shared" si="231"/>
        <v>19</v>
      </c>
      <c r="U98" s="1840">
        <f t="shared" si="231"/>
        <v>20</v>
      </c>
      <c r="V98" s="1840">
        <f t="shared" si="231"/>
        <v>21</v>
      </c>
      <c r="W98" s="1840">
        <f t="shared" si="231"/>
        <v>22</v>
      </c>
      <c r="X98" s="1840">
        <f t="shared" si="231"/>
        <v>23</v>
      </c>
      <c r="Y98" s="1840">
        <f t="shared" si="231"/>
        <v>24</v>
      </c>
      <c r="Z98" s="1840">
        <f t="shared" si="231"/>
        <v>25</v>
      </c>
      <c r="AA98" s="1840">
        <f t="shared" si="231"/>
        <v>26</v>
      </c>
      <c r="AB98" s="1840">
        <f t="shared" si="231"/>
        <v>27</v>
      </c>
      <c r="AC98" s="1840" t="e">
        <f>#REF!+1</f>
        <v>#REF!</v>
      </c>
      <c r="AD98" s="1840" t="e">
        <f t="shared" si="231"/>
        <v>#REF!</v>
      </c>
      <c r="AE98" s="1840" t="e">
        <f t="shared" si="231"/>
        <v>#REF!</v>
      </c>
      <c r="AF98" s="1840" t="e">
        <f t="shared" si="231"/>
        <v>#REF!</v>
      </c>
      <c r="AG98" s="1840" t="e">
        <f t="shared" si="231"/>
        <v>#REF!</v>
      </c>
      <c r="AH98" s="1840" t="e">
        <f t="shared" si="231"/>
        <v>#REF!</v>
      </c>
      <c r="AI98" s="1840" t="e">
        <f t="shared" si="231"/>
        <v>#REF!</v>
      </c>
      <c r="AJ98" s="1840" t="e">
        <f t="shared" si="231"/>
        <v>#REF!</v>
      </c>
      <c r="AK98" s="1840" t="e">
        <f t="shared" si="231"/>
        <v>#REF!</v>
      </c>
      <c r="AL98" s="1840" t="e">
        <f>#REF!+1</f>
        <v>#REF!</v>
      </c>
      <c r="AM98" s="1840" t="e">
        <f t="shared" si="231"/>
        <v>#REF!</v>
      </c>
      <c r="AN98" s="1840" t="e">
        <f t="shared" si="231"/>
        <v>#REF!</v>
      </c>
      <c r="AO98" s="1840" t="e">
        <f t="shared" si="231"/>
        <v>#REF!</v>
      </c>
      <c r="AP98" s="1840" t="e">
        <f t="shared" si="231"/>
        <v>#REF!</v>
      </c>
      <c r="AQ98" s="1840" t="e">
        <f t="shared" si="231"/>
        <v>#REF!</v>
      </c>
      <c r="AR98" s="1840" t="e">
        <f t="shared" si="231"/>
        <v>#REF!</v>
      </c>
      <c r="AS98" s="1840" t="e">
        <f>AX98+1</f>
        <v>#REF!</v>
      </c>
      <c r="AT98" s="1840" t="e">
        <f>#REF!+1</f>
        <v>#REF!</v>
      </c>
      <c r="AU98" s="1840" t="e">
        <f t="shared" si="231"/>
        <v>#REF!</v>
      </c>
      <c r="AV98" s="1840" t="e">
        <f t="shared" si="231"/>
        <v>#REF!</v>
      </c>
      <c r="AW98" s="1840" t="e">
        <f>#REF!+1</f>
        <v>#REF!</v>
      </c>
      <c r="AX98" s="1840" t="e">
        <f>AR98+1</f>
        <v>#REF!</v>
      </c>
      <c r="AY98" s="1840" t="e">
        <f>#REF!+1</f>
        <v>#REF!</v>
      </c>
      <c r="AZ98" s="1840" t="e">
        <f t="shared" si="231"/>
        <v>#REF!</v>
      </c>
      <c r="BA98" s="1840" t="e">
        <f t="shared" si="231"/>
        <v>#REF!</v>
      </c>
      <c r="BB98" s="1840" t="e">
        <f t="shared" si="231"/>
        <v>#REF!</v>
      </c>
      <c r="BC98" s="1840" t="e">
        <f t="shared" ref="BC98:DN98" si="232">BB98+1</f>
        <v>#REF!</v>
      </c>
      <c r="BD98" s="1840" t="e">
        <f t="shared" si="232"/>
        <v>#REF!</v>
      </c>
      <c r="BE98" s="1840" t="e">
        <f t="shared" si="232"/>
        <v>#REF!</v>
      </c>
      <c r="BF98" s="1840" t="e">
        <f t="shared" si="232"/>
        <v>#REF!</v>
      </c>
      <c r="BG98" s="1840" t="e">
        <f t="shared" si="232"/>
        <v>#REF!</v>
      </c>
      <c r="BH98" s="1840" t="e">
        <f t="shared" si="232"/>
        <v>#REF!</v>
      </c>
      <c r="BI98" s="1840" t="e">
        <f t="shared" si="232"/>
        <v>#REF!</v>
      </c>
      <c r="BJ98" s="1840" t="e">
        <f t="shared" si="232"/>
        <v>#REF!</v>
      </c>
      <c r="BK98" s="1840" t="e">
        <f t="shared" si="232"/>
        <v>#REF!</v>
      </c>
      <c r="BL98" s="1840" t="e">
        <f t="shared" si="232"/>
        <v>#REF!</v>
      </c>
      <c r="BM98" s="1840" t="e">
        <f t="shared" si="232"/>
        <v>#REF!</v>
      </c>
      <c r="BN98" s="1840" t="e">
        <f t="shared" si="232"/>
        <v>#REF!</v>
      </c>
      <c r="BO98" s="1840" t="e">
        <f t="shared" si="232"/>
        <v>#REF!</v>
      </c>
      <c r="BP98" s="1840" t="e">
        <f t="shared" si="232"/>
        <v>#REF!</v>
      </c>
      <c r="BQ98" s="1840" t="e">
        <f t="shared" si="232"/>
        <v>#REF!</v>
      </c>
      <c r="BR98" s="1840" t="e">
        <f t="shared" si="232"/>
        <v>#REF!</v>
      </c>
      <c r="BS98" s="1840" t="e">
        <f t="shared" si="232"/>
        <v>#REF!</v>
      </c>
      <c r="BT98" s="1840" t="e">
        <f t="shared" si="232"/>
        <v>#REF!</v>
      </c>
      <c r="BU98" s="1840" t="e">
        <f t="shared" si="232"/>
        <v>#REF!</v>
      </c>
      <c r="BV98" s="1840" t="e">
        <f t="shared" si="232"/>
        <v>#REF!</v>
      </c>
      <c r="BW98" s="1840" t="e">
        <f t="shared" si="232"/>
        <v>#REF!</v>
      </c>
      <c r="BX98" s="1840" t="e">
        <f t="shared" si="232"/>
        <v>#REF!</v>
      </c>
      <c r="BY98" s="1840" t="e">
        <f t="shared" si="232"/>
        <v>#REF!</v>
      </c>
      <c r="BZ98" s="1840" t="e">
        <f t="shared" si="232"/>
        <v>#REF!</v>
      </c>
      <c r="CA98" s="1840" t="e">
        <f t="shared" si="232"/>
        <v>#REF!</v>
      </c>
      <c r="CB98" s="1840" t="e">
        <f t="shared" si="232"/>
        <v>#REF!</v>
      </c>
      <c r="CC98" s="1840" t="e">
        <f t="shared" si="232"/>
        <v>#REF!</v>
      </c>
      <c r="CD98" s="1840" t="e">
        <f t="shared" si="232"/>
        <v>#REF!</v>
      </c>
      <c r="CE98" s="1840" t="e">
        <f t="shared" si="232"/>
        <v>#REF!</v>
      </c>
      <c r="CF98" s="1840" t="e">
        <f t="shared" si="232"/>
        <v>#REF!</v>
      </c>
      <c r="CG98" s="1840" t="e">
        <f t="shared" si="232"/>
        <v>#REF!</v>
      </c>
      <c r="CH98" s="1840" t="e">
        <f t="shared" si="232"/>
        <v>#REF!</v>
      </c>
      <c r="CI98" s="1840" t="e">
        <f t="shared" si="232"/>
        <v>#REF!</v>
      </c>
      <c r="CJ98" s="1840" t="e">
        <f t="shared" si="232"/>
        <v>#REF!</v>
      </c>
      <c r="CK98" s="1840" t="e">
        <f t="shared" si="232"/>
        <v>#REF!</v>
      </c>
      <c r="CL98" s="1840" t="e">
        <f t="shared" si="232"/>
        <v>#REF!</v>
      </c>
      <c r="CM98" s="1840" t="e">
        <f t="shared" si="232"/>
        <v>#REF!</v>
      </c>
      <c r="CN98" s="1840" t="e">
        <f t="shared" si="232"/>
        <v>#REF!</v>
      </c>
      <c r="CO98" s="1840" t="e">
        <f t="shared" si="232"/>
        <v>#REF!</v>
      </c>
      <c r="CP98" s="1840" t="e">
        <f t="shared" si="232"/>
        <v>#REF!</v>
      </c>
      <c r="CQ98" s="1840" t="e">
        <f t="shared" si="232"/>
        <v>#REF!</v>
      </c>
      <c r="CR98" s="1840" t="e">
        <f t="shared" si="232"/>
        <v>#REF!</v>
      </c>
      <c r="CS98" s="1840" t="e">
        <f t="shared" si="232"/>
        <v>#REF!</v>
      </c>
      <c r="CT98" s="1840" t="e">
        <f t="shared" si="232"/>
        <v>#REF!</v>
      </c>
      <c r="CU98" s="1840" t="e">
        <f t="shared" si="232"/>
        <v>#REF!</v>
      </c>
      <c r="CV98" s="1840" t="e">
        <f t="shared" si="232"/>
        <v>#REF!</v>
      </c>
      <c r="CW98" s="1840" t="e">
        <f t="shared" si="232"/>
        <v>#REF!</v>
      </c>
      <c r="CX98" s="1840" t="e">
        <f t="shared" si="232"/>
        <v>#REF!</v>
      </c>
      <c r="CY98" s="1840" t="e">
        <f t="shared" si="232"/>
        <v>#REF!</v>
      </c>
      <c r="CZ98" s="1840" t="e">
        <f t="shared" si="232"/>
        <v>#REF!</v>
      </c>
      <c r="DA98" s="1840" t="e">
        <f t="shared" si="232"/>
        <v>#REF!</v>
      </c>
      <c r="DB98" s="1840" t="e">
        <f t="shared" si="232"/>
        <v>#REF!</v>
      </c>
      <c r="DC98" s="1840" t="e">
        <f t="shared" si="232"/>
        <v>#REF!</v>
      </c>
      <c r="DD98" s="1840" t="e">
        <f t="shared" si="232"/>
        <v>#REF!</v>
      </c>
      <c r="DE98" s="1840" t="e">
        <f t="shared" si="232"/>
        <v>#REF!</v>
      </c>
      <c r="DF98" s="1840" t="e">
        <f t="shared" si="232"/>
        <v>#REF!</v>
      </c>
      <c r="DG98" s="1840" t="e">
        <f t="shared" si="232"/>
        <v>#REF!</v>
      </c>
      <c r="DH98" s="1840" t="e">
        <f t="shared" si="232"/>
        <v>#REF!</v>
      </c>
      <c r="DI98" s="1840" t="e">
        <f t="shared" si="232"/>
        <v>#REF!</v>
      </c>
      <c r="DJ98" s="1840" t="e">
        <f t="shared" si="232"/>
        <v>#REF!</v>
      </c>
      <c r="DK98" s="1840" t="e">
        <f t="shared" si="232"/>
        <v>#REF!</v>
      </c>
      <c r="DL98" s="1840" t="e">
        <f t="shared" si="232"/>
        <v>#REF!</v>
      </c>
      <c r="DM98" s="1840" t="e">
        <f t="shared" si="232"/>
        <v>#REF!</v>
      </c>
      <c r="DN98" s="1840" t="e">
        <f t="shared" si="232"/>
        <v>#REF!</v>
      </c>
      <c r="DO98" s="1840" t="e">
        <f t="shared" ref="DO98:FJ98" si="233">DN98+1</f>
        <v>#REF!</v>
      </c>
      <c r="DP98" s="1840" t="e">
        <f t="shared" si="233"/>
        <v>#REF!</v>
      </c>
      <c r="DQ98" s="1840" t="e">
        <f t="shared" si="233"/>
        <v>#REF!</v>
      </c>
      <c r="DR98" s="1840" t="e">
        <f t="shared" si="233"/>
        <v>#REF!</v>
      </c>
      <c r="DS98" s="1840" t="e">
        <f t="shared" si="233"/>
        <v>#REF!</v>
      </c>
      <c r="DT98" s="1840" t="e">
        <f t="shared" si="233"/>
        <v>#REF!</v>
      </c>
      <c r="DU98" s="1840" t="e">
        <f t="shared" si="233"/>
        <v>#REF!</v>
      </c>
      <c r="DV98" s="1840" t="e">
        <f t="shared" si="233"/>
        <v>#REF!</v>
      </c>
      <c r="DW98" s="1840" t="e">
        <f t="shared" si="233"/>
        <v>#REF!</v>
      </c>
      <c r="DX98" s="1840" t="e">
        <f t="shared" si="233"/>
        <v>#REF!</v>
      </c>
      <c r="DY98" s="1840" t="e">
        <f t="shared" si="233"/>
        <v>#REF!</v>
      </c>
      <c r="DZ98" s="1840" t="e">
        <f t="shared" si="233"/>
        <v>#REF!</v>
      </c>
      <c r="EA98" s="1840" t="e">
        <f t="shared" si="233"/>
        <v>#REF!</v>
      </c>
      <c r="EB98" s="1840" t="e">
        <f t="shared" si="233"/>
        <v>#REF!</v>
      </c>
      <c r="EC98" s="1840" t="e">
        <f t="shared" si="233"/>
        <v>#REF!</v>
      </c>
      <c r="ED98" s="1840" t="e">
        <f t="shared" si="233"/>
        <v>#REF!</v>
      </c>
      <c r="EE98" s="1840" t="e">
        <f t="shared" si="233"/>
        <v>#REF!</v>
      </c>
      <c r="EF98" s="1840" t="e">
        <f t="shared" si="233"/>
        <v>#REF!</v>
      </c>
      <c r="EG98" s="1840" t="e">
        <f t="shared" si="233"/>
        <v>#REF!</v>
      </c>
      <c r="EH98" s="1840" t="e">
        <f t="shared" si="233"/>
        <v>#REF!</v>
      </c>
      <c r="EI98" s="1840" t="e">
        <f t="shared" si="233"/>
        <v>#REF!</v>
      </c>
      <c r="EJ98" s="1840" t="e">
        <f t="shared" si="233"/>
        <v>#REF!</v>
      </c>
      <c r="EK98" s="1840" t="e">
        <f t="shared" si="233"/>
        <v>#REF!</v>
      </c>
      <c r="EL98" s="1840" t="e">
        <f t="shared" si="233"/>
        <v>#REF!</v>
      </c>
      <c r="EM98" s="1840" t="e">
        <f t="shared" si="233"/>
        <v>#REF!</v>
      </c>
      <c r="EN98" s="1840" t="e">
        <f t="shared" si="233"/>
        <v>#REF!</v>
      </c>
      <c r="EO98" s="1840" t="e">
        <f t="shared" si="233"/>
        <v>#REF!</v>
      </c>
      <c r="EP98" s="1840" t="e">
        <f t="shared" si="233"/>
        <v>#REF!</v>
      </c>
      <c r="EQ98" s="1840" t="e">
        <f t="shared" si="233"/>
        <v>#REF!</v>
      </c>
      <c r="ER98" s="1840" t="e">
        <f t="shared" si="233"/>
        <v>#REF!</v>
      </c>
      <c r="ES98" s="1840" t="e">
        <f t="shared" si="233"/>
        <v>#REF!</v>
      </c>
      <c r="ET98" s="1840" t="e">
        <f t="shared" si="233"/>
        <v>#REF!</v>
      </c>
      <c r="EU98" s="1840" t="e">
        <f t="shared" si="233"/>
        <v>#REF!</v>
      </c>
      <c r="EV98" s="1840" t="e">
        <f t="shared" si="233"/>
        <v>#REF!</v>
      </c>
      <c r="EW98" s="1840" t="e">
        <f t="shared" si="233"/>
        <v>#REF!</v>
      </c>
      <c r="EX98" s="1840" t="e">
        <f t="shared" si="233"/>
        <v>#REF!</v>
      </c>
      <c r="EY98" s="1840" t="e">
        <f t="shared" si="233"/>
        <v>#REF!</v>
      </c>
      <c r="EZ98" s="1840" t="e">
        <f t="shared" si="233"/>
        <v>#REF!</v>
      </c>
      <c r="FA98" s="1840" t="e">
        <f t="shared" si="233"/>
        <v>#REF!</v>
      </c>
      <c r="FB98" s="1840" t="e">
        <f t="shared" si="233"/>
        <v>#REF!</v>
      </c>
      <c r="FC98" s="1840" t="e">
        <f t="shared" si="233"/>
        <v>#REF!</v>
      </c>
      <c r="FD98" s="1840" t="e">
        <f t="shared" si="233"/>
        <v>#REF!</v>
      </c>
      <c r="FE98" s="1840" t="e">
        <f t="shared" si="233"/>
        <v>#REF!</v>
      </c>
      <c r="FF98" s="1840" t="e">
        <f t="shared" si="233"/>
        <v>#REF!</v>
      </c>
      <c r="FG98" s="1840" t="e">
        <f t="shared" si="233"/>
        <v>#REF!</v>
      </c>
      <c r="FH98" s="1840" t="e">
        <f t="shared" si="233"/>
        <v>#REF!</v>
      </c>
      <c r="FI98" s="1840" t="e">
        <f t="shared" si="233"/>
        <v>#REF!</v>
      </c>
      <c r="FJ98" s="1840" t="e">
        <f t="shared" si="233"/>
        <v>#REF!</v>
      </c>
    </row>
  </sheetData>
  <mergeCells count="44">
    <mergeCell ref="W63:X63"/>
    <mergeCell ref="AA63:AB63"/>
    <mergeCell ref="N63:O63"/>
    <mergeCell ref="AO6:AQ6"/>
    <mergeCell ref="K62:Q62"/>
    <mergeCell ref="Y63:Z63"/>
    <mergeCell ref="P63:Q63"/>
    <mergeCell ref="R62:AB62"/>
    <mergeCell ref="AE6:AF6"/>
    <mergeCell ref="AL6:AN6"/>
    <mergeCell ref="W6:X6"/>
    <mergeCell ref="AE7:AE8"/>
    <mergeCell ref="AH7:AH8"/>
    <mergeCell ref="AI7:AI8"/>
    <mergeCell ref="AJ7:AJ8"/>
    <mergeCell ref="A43:B43"/>
    <mergeCell ref="A42:B42"/>
    <mergeCell ref="A5:A7"/>
    <mergeCell ref="C5:D5"/>
    <mergeCell ref="AR7:AR8"/>
    <mergeCell ref="A23:A29"/>
    <mergeCell ref="A30:A35"/>
    <mergeCell ref="AA6:AB6"/>
    <mergeCell ref="E5:G5"/>
    <mergeCell ref="H5:J5"/>
    <mergeCell ref="N6:O6"/>
    <mergeCell ref="P6:Q6"/>
    <mergeCell ref="K5:Q5"/>
    <mergeCell ref="M3:N3"/>
    <mergeCell ref="E62:F62"/>
    <mergeCell ref="AK7:AK8"/>
    <mergeCell ref="C62:D62"/>
    <mergeCell ref="A45:B45"/>
    <mergeCell ref="A56:B56"/>
    <mergeCell ref="A55:B55"/>
    <mergeCell ref="A49:B49"/>
    <mergeCell ref="A51:B51"/>
    <mergeCell ref="A47:B47"/>
    <mergeCell ref="A48:B48"/>
    <mergeCell ref="A52:B52"/>
    <mergeCell ref="A62:A64"/>
    <mergeCell ref="A44:B44"/>
    <mergeCell ref="Y6:Z6"/>
    <mergeCell ref="R5:AB5"/>
  </mergeCells>
  <phoneticPr fontId="98" type="noConversion"/>
  <conditionalFormatting sqref="B9:B39">
    <cfRule type="expression" dxfId="234" priority="3">
      <formula>WEEKDAY($B9)=3</formula>
    </cfRule>
    <cfRule type="expression" dxfId="233" priority="4">
      <formula>WEEKDAY($B9)=1</formula>
    </cfRule>
  </conditionalFormatting>
  <conditionalFormatting sqref="B65:B95">
    <cfRule type="expression" dxfId="232" priority="1">
      <formula>WEEKDAY($B65)=3</formula>
    </cfRule>
    <cfRule type="expression" dxfId="231" priority="2">
      <formula>WEEKDAY($B65)=1</formula>
    </cfRule>
  </conditionalFormatting>
  <printOptions horizontalCentered="1" verticalCentered="1" headings="1" gridLines="1"/>
  <pageMargins left="0.19685039370078741" right="0.19685039370078741" top="0.23622047244094491" bottom="0.19685039370078741" header="0" footer="0"/>
  <pageSetup paperSize="17" scale="10" orientation="landscape" verticalDpi="300" r:id="rId1"/>
  <headerFooter alignWithMargins="0"/>
  <ignoredErrors>
    <ignoredError sqref="AM40 AP40 P26:P35 M26:O35 AN26:AN35 AE36:AN36 AE26:AM35 U25:AA36 M36:P36" formula="1"/>
  </ignoredError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5">
    <tabColor indexed="61"/>
    <pageSetUpPr fitToPage="1"/>
  </sheetPr>
  <dimension ref="A1:AF66"/>
  <sheetViews>
    <sheetView topLeftCell="B1" zoomScale="70" zoomScaleNormal="70" workbookViewId="0">
      <selection activeCell="H9" sqref="H9"/>
    </sheetView>
  </sheetViews>
  <sheetFormatPr baseColWidth="10" defaultColWidth="13" defaultRowHeight="15.5"/>
  <cols>
    <col min="1" max="1" width="1.54296875" style="220" hidden="1" customWidth="1"/>
    <col min="2" max="2" width="3.453125" style="426" customWidth="1"/>
    <col min="3" max="3" width="41.453125" style="426" customWidth="1"/>
    <col min="4" max="4" width="8.54296875" style="73" customWidth="1"/>
    <col min="5" max="5" width="1.81640625" style="426" customWidth="1"/>
    <col min="6" max="7" width="10.81640625" style="426" customWidth="1"/>
    <col min="8" max="8" width="11.453125" style="2779" customWidth="1"/>
    <col min="9" max="9" width="12.81640625" style="426" customWidth="1"/>
    <col min="10" max="10" width="11.453125" style="426" customWidth="1"/>
    <col min="11" max="11" width="12.54296875" style="426" customWidth="1"/>
    <col min="12" max="13" width="11.453125" style="426" customWidth="1"/>
    <col min="14" max="14" width="15.81640625" style="426" customWidth="1"/>
    <col min="15" max="16" width="13.1796875" style="426" customWidth="1"/>
    <col min="17" max="17" width="12.81640625" style="426" customWidth="1"/>
    <col min="18" max="18" width="1" style="426" customWidth="1"/>
    <col min="19" max="19" width="16" style="426" customWidth="1"/>
    <col min="20" max="20" width="2.1796875" style="426" customWidth="1"/>
    <col min="21" max="21" width="18" style="426" bestFit="1" customWidth="1"/>
    <col min="22" max="22" width="24.1796875" style="426" bestFit="1" customWidth="1"/>
    <col min="23" max="23" width="2.81640625" style="426" customWidth="1"/>
    <col min="24" max="24" width="11.453125" style="426" customWidth="1"/>
    <col min="25" max="25" width="3.54296875" style="426" customWidth="1"/>
    <col min="26" max="26" width="19.54296875" style="426" customWidth="1"/>
    <col min="27" max="27" width="16" style="426" customWidth="1"/>
    <col min="28" max="28" width="10.453125" style="426" customWidth="1"/>
    <col min="29" max="29" width="15" style="426" customWidth="1"/>
    <col min="30" max="30" width="15.1796875" style="426" customWidth="1"/>
    <col min="31" max="31" width="12.453125" style="426" bestFit="1" customWidth="1"/>
    <col min="32" max="32" width="16.453125" style="220" bestFit="1" customWidth="1"/>
    <col min="33" max="44" width="13" style="220"/>
    <col min="45" max="48" width="16.453125" style="220" bestFit="1" customWidth="1"/>
    <col min="49" max="88" width="13" style="220"/>
    <col min="89" max="89" width="29.54296875" style="220" customWidth="1"/>
    <col min="90" max="95" width="13" style="220"/>
    <col min="96" max="96" width="25" style="220" customWidth="1"/>
    <col min="97" max="16384" width="13" style="220"/>
  </cols>
  <sheetData>
    <row r="1" spans="1:32">
      <c r="A1" s="601">
        <v>44895.791666666664</v>
      </c>
      <c r="C1" s="562"/>
      <c r="D1" s="562"/>
      <c r="E1" s="562"/>
      <c r="F1" s="562"/>
      <c r="G1" s="562"/>
      <c r="H1" s="4262"/>
      <c r="I1" s="562"/>
      <c r="J1" s="562"/>
      <c r="K1" s="562"/>
      <c r="L1" s="562"/>
      <c r="M1" s="562"/>
      <c r="N1" s="562"/>
      <c r="O1" s="562"/>
      <c r="P1" s="562"/>
      <c r="Q1" s="562"/>
      <c r="R1" s="562"/>
      <c r="S1" s="562"/>
      <c r="T1" s="562"/>
      <c r="U1" s="562"/>
      <c r="V1" s="562"/>
      <c r="W1" s="562"/>
      <c r="X1" s="562"/>
      <c r="Y1" s="562"/>
      <c r="Z1" s="562"/>
      <c r="AA1" s="562"/>
      <c r="AB1" s="562"/>
      <c r="AC1" s="562"/>
      <c r="AD1" s="562"/>
      <c r="AE1" s="562"/>
      <c r="AF1" s="562"/>
    </row>
    <row r="2" spans="1:32" ht="21" customHeight="1" thickBot="1">
      <c r="A2" s="220">
        <v>11</v>
      </c>
      <c r="C2" s="563"/>
      <c r="D2" s="563"/>
      <c r="E2" s="563"/>
      <c r="F2" s="3971" t="s">
        <v>1855</v>
      </c>
      <c r="G2" s="3971"/>
      <c r="H2" s="4263"/>
      <c r="I2" s="563"/>
      <c r="J2" s="563"/>
      <c r="K2" s="563"/>
      <c r="L2" s="563"/>
      <c r="M2" s="563"/>
      <c r="N2" s="563"/>
      <c r="O2" s="563"/>
      <c r="P2" s="563"/>
      <c r="Q2" s="563"/>
      <c r="R2" s="563"/>
      <c r="S2" s="563"/>
      <c r="T2" s="563"/>
      <c r="U2" s="563"/>
      <c r="V2" s="563"/>
      <c r="W2" s="563"/>
      <c r="X2" s="563"/>
      <c r="Y2" s="563"/>
      <c r="Z2" s="563"/>
      <c r="AA2" s="563"/>
      <c r="AB2" s="563"/>
      <c r="AC2" s="563"/>
      <c r="AD2" s="563"/>
      <c r="AE2" s="563"/>
      <c r="AF2" s="563"/>
    </row>
    <row r="3" spans="1:32" ht="33" customHeight="1" thickBot="1">
      <c r="A3" s="220">
        <v>2022</v>
      </c>
      <c r="C3" s="2398"/>
      <c r="D3" s="2399"/>
      <c r="E3" s="2400"/>
      <c r="F3" s="2400"/>
      <c r="G3" s="2400"/>
      <c r="H3" s="4264"/>
      <c r="I3" s="2400" t="s">
        <v>1589</v>
      </c>
      <c r="J3" s="2400"/>
      <c r="K3" s="2400"/>
      <c r="L3" s="2400"/>
      <c r="M3" s="2400"/>
      <c r="N3" s="2400"/>
      <c r="O3" s="2400"/>
      <c r="P3" s="2400"/>
      <c r="Q3" s="2400"/>
      <c r="R3" s="2400"/>
      <c r="S3" s="2401"/>
      <c r="T3" s="565"/>
      <c r="U3" s="602"/>
      <c r="W3" s="565"/>
      <c r="Y3" s="565"/>
      <c r="AC3" s="4588" t="s">
        <v>970</v>
      </c>
      <c r="AD3" s="4588"/>
      <c r="AE3" s="4588"/>
    </row>
    <row r="4" spans="1:32" ht="18" customHeight="1">
      <c r="A4" s="220">
        <v>2</v>
      </c>
      <c r="C4" s="4585"/>
      <c r="D4" s="4548" t="s">
        <v>159</v>
      </c>
      <c r="E4" s="2402"/>
      <c r="F4" s="3707">
        <v>46023</v>
      </c>
      <c r="G4" s="3707">
        <v>46054</v>
      </c>
      <c r="H4" s="4265">
        <v>46082</v>
      </c>
      <c r="I4" s="3707">
        <v>46113</v>
      </c>
      <c r="J4" s="3707">
        <v>46143</v>
      </c>
      <c r="K4" s="3707">
        <v>46174</v>
      </c>
      <c r="L4" s="3707">
        <v>46204</v>
      </c>
      <c r="M4" s="3707">
        <v>46235</v>
      </c>
      <c r="N4" s="3707">
        <v>46266</v>
      </c>
      <c r="O4" s="3707">
        <v>46296</v>
      </c>
      <c r="P4" s="3707">
        <v>46327</v>
      </c>
      <c r="Q4" s="3707">
        <v>46357</v>
      </c>
      <c r="R4" s="2403">
        <v>46023</v>
      </c>
      <c r="S4" s="4586" t="s">
        <v>192</v>
      </c>
      <c r="U4" s="2484" t="s">
        <v>193</v>
      </c>
      <c r="V4" s="2485" t="s">
        <v>193</v>
      </c>
      <c r="X4" s="4586" t="s">
        <v>971</v>
      </c>
      <c r="Z4" s="4589" t="s">
        <v>115</v>
      </c>
      <c r="AA4" s="4590"/>
      <c r="AC4" s="4591" t="s">
        <v>972</v>
      </c>
      <c r="AD4" s="4592" t="s">
        <v>846</v>
      </c>
      <c r="AE4" s="4592" t="s">
        <v>498</v>
      </c>
    </row>
    <row r="5" spans="1:32" ht="15" customHeight="1" thickBot="1">
      <c r="C5" s="4547"/>
      <c r="D5" s="4549"/>
      <c r="E5" s="2404"/>
      <c r="F5" s="3708" t="s">
        <v>11</v>
      </c>
      <c r="G5" s="3708" t="s">
        <v>57</v>
      </c>
      <c r="H5" s="4266" t="s">
        <v>50</v>
      </c>
      <c r="I5" s="3708" t="s">
        <v>171</v>
      </c>
      <c r="J5" s="3708" t="s">
        <v>171</v>
      </c>
      <c r="K5" s="3708" t="s">
        <v>171</v>
      </c>
      <c r="L5" s="3708" t="s">
        <v>171</v>
      </c>
      <c r="M5" s="3708" t="s">
        <v>171</v>
      </c>
      <c r="N5" s="3708" t="s">
        <v>171</v>
      </c>
      <c r="O5" s="3708" t="s">
        <v>171</v>
      </c>
      <c r="P5" s="3708" t="s">
        <v>171</v>
      </c>
      <c r="Q5" s="3708" t="s">
        <v>171</v>
      </c>
      <c r="R5" s="2406"/>
      <c r="S5" s="4587"/>
      <c r="U5" s="2486" t="s">
        <v>847</v>
      </c>
      <c r="V5" s="2487" t="s">
        <v>195</v>
      </c>
      <c r="X5" s="4587"/>
      <c r="Z5" s="2407" t="s">
        <v>10</v>
      </c>
      <c r="AA5" s="2483" t="s">
        <v>48</v>
      </c>
      <c r="AC5" s="4591"/>
      <c r="AD5" s="4591"/>
      <c r="AE5" s="4591"/>
    </row>
    <row r="6" spans="1:32" s="3263" customFormat="1" ht="30" customHeight="1">
      <c r="B6" s="427"/>
      <c r="C6" s="3264" t="s">
        <v>196</v>
      </c>
      <c r="D6" s="3265"/>
      <c r="E6" s="427"/>
      <c r="F6" s="3630">
        <v>30.5</v>
      </c>
      <c r="G6" s="3630">
        <v>28.5</v>
      </c>
      <c r="H6" s="4267">
        <v>31</v>
      </c>
      <c r="I6" s="3252">
        <v>30</v>
      </c>
      <c r="J6" s="3252">
        <v>31</v>
      </c>
      <c r="K6" s="3252">
        <v>30</v>
      </c>
      <c r="L6" s="3252">
        <v>31</v>
      </c>
      <c r="M6" s="3252">
        <v>31</v>
      </c>
      <c r="N6" s="3252">
        <v>30</v>
      </c>
      <c r="O6" s="3252">
        <v>31</v>
      </c>
      <c r="P6" s="3252">
        <v>30</v>
      </c>
      <c r="Q6" s="3252">
        <v>31.5</v>
      </c>
      <c r="R6" s="434"/>
      <c r="S6" s="1391">
        <f>SUM(F6:Q6)</f>
        <v>365.5</v>
      </c>
      <c r="T6" s="434"/>
      <c r="U6" s="3266">
        <f>IF(MONTH(Factores!$D$2)=1,SUM($F6:F6),IF(MONTH(Factores!$D$2)=2,SUM($F6:G6),IF(MONTH(Factores!$D$2)=3,SUM($F6:H6),IF(MONTH(Factores!$D$2)=4,SUM($F6:I6),IF(MONTH(Factores!$D$2)=5,SUM($F6:J6),IF(MONTH(Factores!$D$2)=6,SUM($F6:K6),IF(MONTH(Factores!$D$2)=7,SUM($F6:L6),IF(MONTH(Factores!$D$2)=8,SUM($F6:M6),IF(MONTH(Factores!$D$2)=9,SUM($F6:N6),IF(MONTH(Factores!$D$2)=10,SUM($F6:O6),IF(MONTH(Factores!$D$2)=11,SUM($F6:P6),IF(MONTH(Factores!$D$2)=12,SUM($F6:Q6)))))))))))))</f>
        <v>90</v>
      </c>
      <c r="V6" s="3266">
        <f>IF(MONTH(Factores!$D$2)=1,SUM($F6:F6),IF(MONTH(Factores!$D$2)=2,SUM($F6:F6),IF(MONTH(Factores!$D$2)=3,SUM($F6:G6),IF(MONTH(Factores!$D$2)=4,SUM($F6:H6),IF(MONTH(Factores!$D$2)=5,SUM($F6:I6),IF(MONTH(Factores!$D$2)=6,SUM($F6:J6),IF(MONTH(Factores!$D$2)=7,SUM($F6:K6),IF(MONTH(Factores!$D$2)=8,SUM($F6:L6),IF(MONTH(Factores!$D$2)=9,SUM($F6:M6),IF(MONTH(Factores!$D$2)=10,SUM($F6:N6),IF(MONTH(Factores!$D$2)=11,SUM($F6:O6),IF(MONTH(Factores!$D$2)=12,SUM($F6:P6)))))))))))))</f>
        <v>59</v>
      </c>
      <c r="W6" s="427"/>
      <c r="X6" s="1411">
        <f>SUM(F6:Q6)</f>
        <v>365.5</v>
      </c>
      <c r="Y6" s="427"/>
      <c r="Z6" s="1429">
        <f>S6-X6</f>
        <v>0</v>
      </c>
      <c r="AA6" s="3267">
        <f>Z6/X6*100</f>
        <v>0</v>
      </c>
      <c r="AB6" s="427"/>
      <c r="AC6" s="3255">
        <f>SUMIF($F$5:$Q$5,"=REAL",F6:Q6)</f>
        <v>59</v>
      </c>
      <c r="AD6" s="3255">
        <f>COUNT(Real!C9:C39)</f>
        <v>17</v>
      </c>
      <c r="AE6" s="3255">
        <f>SUM(AC6:AD6)</f>
        <v>76</v>
      </c>
    </row>
    <row r="7" spans="1:32" s="3263" customFormat="1">
      <c r="B7" s="427"/>
      <c r="C7" s="427">
        <v>1000</v>
      </c>
      <c r="D7" s="1415"/>
      <c r="E7" s="427"/>
      <c r="F7" s="427"/>
      <c r="G7" s="427"/>
      <c r="H7" s="2779"/>
      <c r="I7" s="427"/>
      <c r="J7" s="427"/>
      <c r="K7" s="427"/>
      <c r="L7" s="427"/>
      <c r="M7" s="427"/>
      <c r="N7" s="427"/>
      <c r="O7" s="427"/>
      <c r="P7" s="427"/>
      <c r="Q7" s="427"/>
      <c r="R7" s="427"/>
      <c r="S7" s="427"/>
      <c r="T7" s="3268"/>
      <c r="U7" s="3269"/>
      <c r="V7" s="3270"/>
      <c r="W7" s="427"/>
      <c r="X7" s="1429"/>
      <c r="Y7" s="3268"/>
      <c r="Z7" s="1429"/>
      <c r="AA7" s="3267"/>
      <c r="AB7" s="427"/>
      <c r="AC7" s="427"/>
      <c r="AD7" s="427"/>
      <c r="AE7" s="427"/>
    </row>
    <row r="8" spans="1:32" s="427" customFormat="1" ht="30" customHeight="1">
      <c r="C8" s="3271" t="s">
        <v>203</v>
      </c>
      <c r="D8" s="1418" t="s">
        <v>204</v>
      </c>
      <c r="E8" s="1419"/>
      <c r="F8" s="3253">
        <v>20.773837341654339</v>
      </c>
      <c r="G8" s="3253">
        <v>25.154047005162397</v>
      </c>
      <c r="H8" s="4268">
        <f t="shared" ref="H8:P8" si="0">H10+H12*$D$64</f>
        <v>29.993231941487949</v>
      </c>
      <c r="I8" s="3253">
        <f t="shared" si="0"/>
        <v>24.365061413343849</v>
      </c>
      <c r="J8" s="3253">
        <f t="shared" si="0"/>
        <v>36.440887204118283</v>
      </c>
      <c r="K8" s="3253">
        <f t="shared" si="0"/>
        <v>34.619929150636636</v>
      </c>
      <c r="L8" s="3253">
        <f t="shared" si="0"/>
        <v>31.092537045674938</v>
      </c>
      <c r="M8" s="3253">
        <f t="shared" si="0"/>
        <v>38.19397377832064</v>
      </c>
      <c r="N8" s="3253">
        <f t="shared" si="0"/>
        <v>34.270160835488042</v>
      </c>
      <c r="O8" s="3253">
        <f t="shared" si="0"/>
        <v>37.208793562217309</v>
      </c>
      <c r="P8" s="3253">
        <f t="shared" si="0"/>
        <v>36.131911414240065</v>
      </c>
      <c r="Q8" s="3253">
        <f>Q10+Q12*$D$64</f>
        <v>41.316086057931464</v>
      </c>
      <c r="R8" s="3272"/>
      <c r="S8" s="1448">
        <f t="shared" ref="S8:S13" si="1">SUM(F8:Q8)</f>
        <v>389.56045675027588</v>
      </c>
      <c r="T8" s="3273"/>
      <c r="U8" s="3274">
        <f>IF(MONTH(Factores!$D$2)=1,SUM($F8:F8),IF(MONTH(Factores!$D$2)=2,SUM($F8:G8),IF(MONTH(Factores!$D$2)=3,SUM($F8:H8),IF(MONTH(Factores!$D$2)=4,SUM($F8:I8),IF(MONTH(Factores!$D$2)=5,SUM($F8:J8),IF(MONTH(Factores!$D$2)=6,SUM($F8:K8),IF(MONTH(Factores!$D$2)=7,SUM($F8:L8),IF(MONTH(Factores!$D$2)=8,SUM($F8:M8),IF(MONTH(Factores!$D$2)=9,SUM($F8:N8),IF(MONTH(Factores!$D$2)=10,SUM($F8:O8),IF(MONTH(Factores!$D$2)=11,SUM($F8:P8),IF(MONTH(Factores!$D$2)=12,SUM($F8:Q8)))))))))))))</f>
        <v>75.921116288304688</v>
      </c>
      <c r="V8" s="3274">
        <f>IF(MONTH(Factores!$D$2)=1,SUM($F8:F8),IF(MONTH(Factores!$D$2)=2,SUM($F8:F8),IF(MONTH(Factores!$D$2)=3,SUM($F8:G8),IF(MONTH(Factores!$D$2)=4,SUM($F8:H8),IF(MONTH(Factores!$D$2)=5,SUM($F8:I8),IF(MONTH(Factores!$D$2)=6,SUM($F8:J8),IF(MONTH(Factores!$D$2)=7,SUM($F8:K8),IF(MONTH(Factores!$D$2)=8,SUM($F8:L8),IF(MONTH(Factores!$D$2)=9,SUM($F8:M8),IF(MONTH(Factores!$D$2)=10,SUM($F8:N8),IF(MONTH(Factores!$D$2)=11,SUM($F8:O8),IF(MONTH(Factores!$D$2)=12,SUM($F8:P8)))))))))))))</f>
        <v>45.927884346816739</v>
      </c>
      <c r="X8" s="1422">
        <f>X10+X12*$D$64</f>
        <v>378.12353600595827</v>
      </c>
      <c r="Z8" s="1422">
        <f t="shared" ref="Z8:Z13" si="2">S8-X8</f>
        <v>11.436920744317604</v>
      </c>
      <c r="AA8" s="1429">
        <f t="shared" ref="AA8:AA13" si="3">Z8/X8*100</f>
        <v>3.0246519074489422</v>
      </c>
      <c r="AB8" s="3275"/>
      <c r="AC8" s="3276">
        <f t="shared" ref="AC8:AC13" si="4">SUMIF($F$5:$Q$5,"=REAL",F8:Q8)</f>
        <v>45.927884346816739</v>
      </c>
      <c r="AD8" s="3276">
        <f>AD10+AD12*$D$64</f>
        <v>14.410355804004023</v>
      </c>
      <c r="AE8" s="3276">
        <f t="shared" ref="AE8:AE13" si="5">SUM(AC8:AD8)</f>
        <v>60.338240150820766</v>
      </c>
    </row>
    <row r="9" spans="1:32" s="427" customFormat="1" ht="30" customHeight="1">
      <c r="C9" s="3271" t="s">
        <v>205</v>
      </c>
      <c r="D9" s="1418" t="s">
        <v>204</v>
      </c>
      <c r="E9" s="1419"/>
      <c r="F9" s="3253">
        <v>19.700687236899999</v>
      </c>
      <c r="G9" s="3253">
        <v>23.384647785978963</v>
      </c>
      <c r="H9" s="4268">
        <f t="shared" ref="H9:P9" si="6">H11+H13*$D$64</f>
        <v>29.291621244280762</v>
      </c>
      <c r="I9" s="3253">
        <f t="shared" si="6"/>
        <v>23.555462990389945</v>
      </c>
      <c r="J9" s="3253">
        <f t="shared" si="6"/>
        <v>35.246943698766145</v>
      </c>
      <c r="K9" s="3253">
        <f t="shared" si="6"/>
        <v>33.40619354187691</v>
      </c>
      <c r="L9" s="3253">
        <f t="shared" si="6"/>
        <v>29.980420223456179</v>
      </c>
      <c r="M9" s="3253">
        <f t="shared" si="6"/>
        <v>32.420009217370705</v>
      </c>
      <c r="N9" s="3253">
        <f t="shared" si="6"/>
        <v>36.428124952893306</v>
      </c>
      <c r="O9" s="3253">
        <f t="shared" si="6"/>
        <v>37.05717939789168</v>
      </c>
      <c r="P9" s="3253">
        <f t="shared" si="6"/>
        <v>34.31587638049362</v>
      </c>
      <c r="Q9" s="3253">
        <f>Q11+Q13*$D$64</f>
        <v>39.741781053947498</v>
      </c>
      <c r="R9" s="3272"/>
      <c r="S9" s="1448">
        <f t="shared" si="1"/>
        <v>374.52894772424571</v>
      </c>
      <c r="T9" s="3273"/>
      <c r="U9" s="3274">
        <f>IF(MONTH(Factores!$D$2)=1,SUM($F9:F9),IF(MONTH(Factores!$D$2)=2,SUM($F9:G9),IF(MONTH(Factores!$D$2)=3,SUM($F9:H9),IF(MONTH(Factores!$D$2)=4,SUM($F9:I9),IF(MONTH(Factores!$D$2)=5,SUM($F9:J9),IF(MONTH(Factores!$D$2)=6,SUM($F9:K9),IF(MONTH(Factores!$D$2)=7,SUM($F9:L9),IF(MONTH(Factores!$D$2)=8,SUM($F9:M9),IF(MONTH(Factores!$D$2)=9,SUM($F9:N9),IF(MONTH(Factores!$D$2)=10,SUM($F9:O9),IF(MONTH(Factores!$D$2)=11,SUM($F9:P9),IF(MONTH(Factores!$D$2)=12,SUM($F9:Q9)))))))))))))</f>
        <v>72.376956267159727</v>
      </c>
      <c r="V9" s="3274">
        <f>IF(MONTH(Factores!$D$2)=1,SUM($F9:F9),IF(MONTH(Factores!$D$2)=2,SUM($F9:F9),IF(MONTH(Factores!$D$2)=3,SUM($F9:G9),IF(MONTH(Factores!$D$2)=4,SUM($F9:H9),IF(MONTH(Factores!$D$2)=5,SUM($F9:I9),IF(MONTH(Factores!$D$2)=6,SUM($F9:J9),IF(MONTH(Factores!$D$2)=7,SUM($F9:K9),IF(MONTH(Factores!$D$2)=8,SUM($F9:L9),IF(MONTH(Factores!$D$2)=9,SUM($F9:M9),IF(MONTH(Factores!$D$2)=10,SUM($F9:N9),IF(MONTH(Factores!$D$2)=11,SUM($F9:O9),IF(MONTH(Factores!$D$2)=12,SUM($F9:P9)))))))))))))</f>
        <v>43.085335022878965</v>
      </c>
      <c r="X9" s="1422">
        <f>X11+X13*$D$64</f>
        <v>364.01742800921545</v>
      </c>
      <c r="Z9" s="1422">
        <f t="shared" si="2"/>
        <v>10.511519715030261</v>
      </c>
      <c r="AA9" s="1429">
        <f t="shared" si="3"/>
        <v>2.8876418836639193</v>
      </c>
      <c r="AB9" s="3275"/>
      <c r="AC9" s="3276">
        <f t="shared" si="4"/>
        <v>43.085335022878965</v>
      </c>
      <c r="AD9" s="3276">
        <f>AD11+AD13*$D$64</f>
        <v>14.238146939312772</v>
      </c>
      <c r="AE9" s="3276">
        <f t="shared" si="5"/>
        <v>57.323481962191735</v>
      </c>
    </row>
    <row r="10" spans="1:32" s="427" customFormat="1" ht="30" customHeight="1">
      <c r="A10" s="427" t="s">
        <v>973</v>
      </c>
      <c r="C10" s="3271" t="s">
        <v>206</v>
      </c>
      <c r="D10" s="1418" t="s">
        <v>204</v>
      </c>
      <c r="E10" s="1419"/>
      <c r="F10" s="3253">
        <v>18.9589961662154</v>
      </c>
      <c r="G10" s="3253">
        <v>22.926810091406999</v>
      </c>
      <c r="H10" s="4268">
        <f>IF(H5="R+P",'R+P'!$R$47/1000,IF(H5="Bdgt",BDGT!G7,""))</f>
        <v>27.362020259444645</v>
      </c>
      <c r="I10" s="3253">
        <f>IF(I5="R+P",'R+P'!$R$47/1000,IF(I5="Bdgt",BDGT!H7,""))</f>
        <v>22.933613081531071</v>
      </c>
      <c r="J10" s="3253">
        <f>IF(J5="R+P",'R+P'!$R$47/1000,IF(J5="Bdgt",BDGT!I7,""))</f>
        <v>32.636744171986003</v>
      </c>
      <c r="K10" s="3253">
        <f>IF(K5="R+P",'R+P'!$R$47/1000,IF(K5="Bdgt",BDGT!J7,""))</f>
        <v>32.519873843953484</v>
      </c>
      <c r="L10" s="3253">
        <f>IF(L5="R+P",'R+P'!$R$47/1000,IF(L5="Bdgt",BDGT!K7,""))</f>
        <v>28.989519302738831</v>
      </c>
      <c r="M10" s="3253">
        <f>IF(M5="R+P",'R+P'!$R$47/1000,IF(M5="Bdgt",BDGT!L7,""))</f>
        <v>35.774530485678795</v>
      </c>
      <c r="N10" s="3253">
        <f>IF(N5="R+P",'R+P'!$R$47/1000,IF(N5="Bdgt",BDGT!M7,""))</f>
        <v>31.23886560475556</v>
      </c>
      <c r="O10" s="3253">
        <f>IF(O5="R+P",'R+P'!$R$47/1000,IF(O5="Bdgt",BDGT!N7,""))</f>
        <v>34.556932012049913</v>
      </c>
      <c r="P10" s="3253">
        <f>IF(P5="R+P",'R+P'!$R$47/1000,IF(P5="Bdgt",BDGT!O7,""))</f>
        <v>34.353290890419864</v>
      </c>
      <c r="Q10" s="3253">
        <f>IF(Q5="R+P",'R+P'!$R$47/1000,IF(Q5="Bdgt",BDGT!P7,""))</f>
        <v>38.799795171415298</v>
      </c>
      <c r="R10" s="3272"/>
      <c r="S10" s="1448">
        <f t="shared" si="1"/>
        <v>361.05099108159595</v>
      </c>
      <c r="T10" s="3273"/>
      <c r="U10" s="3274">
        <f>IF(MONTH(Factores!$D$2)=1,SUM($F10:F10),IF(MONTH(Factores!$D$2)=2,SUM($F10:G10),IF(MONTH(Factores!$D$2)=3,SUM($F10:H10),IF(MONTH(Factores!$D$2)=4,SUM($F10:I10),IF(MONTH(Factores!$D$2)=5,SUM($F10:J10),IF(MONTH(Factores!$D$2)=6,SUM($F10:K10),IF(MONTH(Factores!$D$2)=7,SUM($F10:L10),IF(MONTH(Factores!$D$2)=8,SUM($F10:M10),IF(MONTH(Factores!$D$2)=9,SUM($F10:N10),IF(MONTH(Factores!$D$2)=10,SUM($F10:O10),IF(MONTH(Factores!$D$2)=11,SUM($F10:P10),IF(MONTH(Factores!$D$2)=12,SUM($F10:Q10)))))))))))))</f>
        <v>69.24782651706704</v>
      </c>
      <c r="V10" s="3274">
        <f>IF(MONTH(Factores!$D$2)=1,SUM($F10:F10),IF(MONTH(Factores!$D$2)=2,SUM($F10:F10),IF(MONTH(Factores!$D$2)=3,SUM($F10:G10),IF(MONTH(Factores!$D$2)=4,SUM($F10:H10),IF(MONTH(Factores!$D$2)=5,SUM($F10:I10),IF(MONTH(Factores!$D$2)=6,SUM($F10:J10),IF(MONTH(Factores!$D$2)=7,SUM($F10:K10),IF(MONTH(Factores!$D$2)=8,SUM($F10:L10),IF(MONTH(Factores!$D$2)=9,SUM($F10:M10),IF(MONTH(Factores!$D$2)=10,SUM($F10:N10),IF(MONTH(Factores!$D$2)=11,SUM($F10:O10),IF(MONTH(Factores!$D$2)=12,SUM($F10:P10)))))))))))))</f>
        <v>41.885806257622399</v>
      </c>
      <c r="X10" s="1422">
        <f>BDGT!R8</f>
        <v>349.0140090489449</v>
      </c>
      <c r="Z10" s="1422">
        <f t="shared" si="2"/>
        <v>12.036982032651053</v>
      </c>
      <c r="AA10" s="1429">
        <f t="shared" si="3"/>
        <v>3.448853547584394</v>
      </c>
      <c r="AB10" s="3275"/>
      <c r="AC10" s="3276">
        <f t="shared" si="4"/>
        <v>41.885806257622399</v>
      </c>
      <c r="AD10" s="3276">
        <f>Real!P40/1000</f>
        <v>12.974353297126541</v>
      </c>
      <c r="AE10" s="3276">
        <f>SUM(AC10:AD10)</f>
        <v>54.86015955474894</v>
      </c>
    </row>
    <row r="11" spans="1:32" s="427" customFormat="1" ht="30" customHeight="1">
      <c r="C11" s="3271" t="s">
        <v>207</v>
      </c>
      <c r="D11" s="1418" t="s">
        <v>204</v>
      </c>
      <c r="E11" s="1419"/>
      <c r="F11" s="3253">
        <v>17.834986793799999</v>
      </c>
      <c r="G11" s="3253">
        <v>21.883887200491401</v>
      </c>
      <c r="H11" s="4268">
        <f>IF(H5="R+P",H58*0.962,IF(H5="Bdgt",BDGT!G8,""))</f>
        <v>26.405692061497174</v>
      </c>
      <c r="I11" s="3253">
        <f>IF(I5="R+P",I58*$D$65,IF(I5="Bdgt",BDGT!H8,""))</f>
        <v>22.131171900236232</v>
      </c>
      <c r="J11" s="3253">
        <f>IF(J5="R+P",J58*$D$65,IF(J5="Bdgt",BDGT!I8,""))</f>
        <v>31.461821381794522</v>
      </c>
      <c r="K11" s="3253">
        <f>IF(K5="R+P",K58*$D$65,IF(K5="Bdgt",BDGT!J8,""))</f>
        <v>31.316638511727174</v>
      </c>
      <c r="L11" s="3253">
        <f>IF(L5="R+P",L58*$D$65,IF(L5="Bdgt",BDGT!K8,""))</f>
        <v>27.887917569234752</v>
      </c>
      <c r="M11" s="3253">
        <f>IF(M5="R+P",M58*$D$65,IF(M5="Bdgt",BDGT!L8,""))</f>
        <v>30.012663141192068</v>
      </c>
      <c r="N11" s="3253">
        <f>IF(N5="R+P",N58*$D$65,IF(N5="Bdgt",BDGT!M8,""))</f>
        <v>33.41198619831448</v>
      </c>
      <c r="O11" s="3253">
        <f>IF(O5="R+P",O58*$D$65,IF(O5="Bdgt",BDGT!N8,""))</f>
        <v>34.41857715547512</v>
      </c>
      <c r="P11" s="3253">
        <f>IF(P5="R+P",P58*$D$65,IF(P5="Bdgt",BDGT!O8,""))</f>
        <v>32.546148959292516</v>
      </c>
      <c r="Q11" s="3253">
        <f>IF(Q5="R+P",Q58*$D$65,IF(Q5="Bdgt",BDGT!P8,""))</f>
        <v>37.238071621863909</v>
      </c>
      <c r="R11" s="3272"/>
      <c r="S11" s="1448">
        <f t="shared" si="1"/>
        <v>346.54956249491937</v>
      </c>
      <c r="T11" s="3273"/>
      <c r="U11" s="3274">
        <f>IF(MONTH(Factores!$D$2)=1,SUM($F11:F11),IF(MONTH(Factores!$D$2)=2,SUM($F11:G11),IF(MONTH(Factores!$D$2)=3,SUM($F11:H11),IF(MONTH(Factores!$D$2)=4,SUM($F11:I11),IF(MONTH(Factores!$D$2)=5,SUM($F11:J11),IF(MONTH(Factores!$D$2)=6,SUM($F11:K11),IF(MONTH(Factores!$D$2)=7,SUM($F11:L11),IF(MONTH(Factores!$D$2)=8,SUM($F11:M11),IF(MONTH(Factores!$D$2)=9,SUM($F11:N11),IF(MONTH(Factores!$D$2)=10,SUM($F11:O11),IF(MONTH(Factores!$D$2)=11,SUM($F11:P11),IF(MONTH(Factores!$D$2)=12,SUM($F11:Q11)))))))))))))</f>
        <v>66.124566055788577</v>
      </c>
      <c r="V11" s="3274">
        <f>IF(MONTH(Factores!$D$2)=1,SUM($F11:F11),IF(MONTH(Factores!$D$2)=2,SUM($F11:F11),IF(MONTH(Factores!$D$2)=3,SUM($F11:G11),IF(MONTH(Factores!$D$2)=4,SUM($F11:H11),IF(MONTH(Factores!$D$2)=5,SUM($F11:I11),IF(MONTH(Factores!$D$2)=6,SUM($F11:J11),IF(MONTH(Factores!$D$2)=7,SUM($F11:K11),IF(MONTH(Factores!$D$2)=8,SUM($F11:L11),IF(MONTH(Factores!$D$2)=9,SUM($F11:M11),IF(MONTH(Factores!$D$2)=10,SUM($F11:N11),IF(MONTH(Factores!$D$2)=11,SUM($F11:O11),IF(MONTH(Factores!$D$2)=12,SUM($F11:P11)))))))))))))</f>
        <v>39.7188739942914</v>
      </c>
      <c r="X11" s="1422">
        <f>X10*$D$65</f>
        <v>335.05344868698711</v>
      </c>
      <c r="Z11" s="1422">
        <f t="shared" si="2"/>
        <v>11.496113807932261</v>
      </c>
      <c r="AA11" s="1429">
        <f t="shared" si="3"/>
        <v>3.4311283328028463</v>
      </c>
      <c r="AB11" s="3275"/>
      <c r="AC11" s="3276">
        <f t="shared" si="4"/>
        <v>39.7188739942914</v>
      </c>
      <c r="AD11" s="3276">
        <f>Real!AR40/1000</f>
        <v>12.598463823748167</v>
      </c>
      <c r="AE11" s="3276">
        <f>SUM(AC11:AD11)</f>
        <v>52.317337818039569</v>
      </c>
    </row>
    <row r="12" spans="1:32" s="427" customFormat="1" ht="30" customHeight="1">
      <c r="C12" s="3271" t="s">
        <v>208</v>
      </c>
      <c r="D12" s="1418" t="s">
        <v>204</v>
      </c>
      <c r="E12" s="1419"/>
      <c r="F12" s="3253">
        <v>0.62602317193478396</v>
      </c>
      <c r="G12" s="3253">
        <v>0.76827765220952005</v>
      </c>
      <c r="H12" s="4268">
        <f>IF(H5="R+P",H15*H34/1000000*H35%,IF(H5="Bdgt",BDGT!G9,""))</f>
        <v>0.90762734806598977</v>
      </c>
      <c r="I12" s="3253">
        <f>IF(I5="R+P",I15*I34/1000000*I35%,IF(I5="Bdgt",BDGT!H9,""))</f>
        <v>0.49377313963876424</v>
      </c>
      <c r="J12" s="3253">
        <f>IF(J5="R+P",J15*J34/1000000*J35%,IF(J5="Bdgt",BDGT!I9,""))</f>
        <v>1.312225951063223</v>
      </c>
      <c r="K12" s="3253">
        <f>IF(K5="R+P",K15*K34/1000000*K35%,IF(K5="Bdgt",BDGT!J9,""))</f>
        <v>0.72440679775203554</v>
      </c>
      <c r="L12" s="3253">
        <f>IF(L5="R+P",L15*L34/1000000*L35%,IF(L5="Bdgt",BDGT!K9,""))</f>
        <v>0.72542867986757742</v>
      </c>
      <c r="M12" s="3253">
        <f>IF(M5="R+P",M15*M34/1000000*M35%,IF(M5="Bdgt",BDGT!L9,""))</f>
        <v>0.83457857628211296</v>
      </c>
      <c r="N12" s="3253">
        <f>IF(N5="R+P",N15*N34/1000000*N35%,IF(N5="Bdgt",BDGT!M9,""))</f>
        <v>1.0456347812116198</v>
      </c>
      <c r="O12" s="3253">
        <f>IF(O5="R+P",O15*O34/1000000*O35%,IF(O5="Bdgt",BDGT!N9,""))</f>
        <v>0.91475044848823694</v>
      </c>
      <c r="P12" s="3253">
        <f>IF(P5="R+P",P15*P34/1000000*P35%,IF(P5="Bdgt",BDGT!O9,""))</f>
        <v>0.61352898372549314</v>
      </c>
      <c r="Q12" s="3253">
        <f>IF(Q5="R+P",Q15*Q34/1000000*Q35%,IF(Q5="Bdgt",BDGT!P9,""))</f>
        <v>0.86798581804628094</v>
      </c>
      <c r="R12" s="1416"/>
      <c r="S12" s="1448">
        <f t="shared" si="1"/>
        <v>9.8342413482856355</v>
      </c>
      <c r="T12" s="3275"/>
      <c r="U12" s="3274">
        <f>IF(MONTH(Factores!$D$2)=1,SUM($F12:F12),IF(MONTH(Factores!$D$2)=2,SUM($F12:G12),IF(MONTH(Factores!$D$2)=3,SUM($F12:H12),IF(MONTH(Factores!$D$2)=4,SUM($F12:I12),IF(MONTH(Factores!$D$2)=5,SUM($F12:J12),IF(MONTH(Factores!$D$2)=6,SUM($F12:K12),IF(MONTH(Factores!$D$2)=7,SUM($F12:L12),IF(MONTH(Factores!$D$2)=8,SUM($F12:M12),IF(MONTH(Factores!$D$2)=9,SUM($F12:N12),IF(MONTH(Factores!$D$2)=10,SUM($F12:O12),IF(MONTH(Factores!$D$2)=11,SUM($F12:P12),IF(MONTH(Factores!$D$2)=12,SUM($F12:Q12)))))))))))))</f>
        <v>2.3019281722102938</v>
      </c>
      <c r="V12" s="3274">
        <f>IF(MONTH(Factores!$D$2)=1,SUM($F12:F12),IF(MONTH(Factores!$D$2)=2,SUM($F12:F12),IF(MONTH(Factores!$D$2)=3,SUM($F12:G12),IF(MONTH(Factores!$D$2)=4,SUM($F12:H12),IF(MONTH(Factores!$D$2)=5,SUM($F12:I12),IF(MONTH(Factores!$D$2)=6,SUM($F12:J12),IF(MONTH(Factores!$D$2)=7,SUM($F12:K12),IF(MONTH(Factores!$D$2)=8,SUM($F12:L12),IF(MONTH(Factores!$D$2)=9,SUM($F12:M12),IF(MONTH(Factores!$D$2)=10,SUM($F12:N12),IF(MONTH(Factores!$D$2)=11,SUM($F12:O12),IF(MONTH(Factores!$D$2)=12,SUM($F12:P12)))))))))))))</f>
        <v>1.394300824144304</v>
      </c>
      <c r="X12" s="1422">
        <f>BDGT!R9</f>
        <v>10.041230409456157</v>
      </c>
      <c r="Z12" s="1422">
        <f t="shared" si="2"/>
        <v>-0.20698906117052118</v>
      </c>
      <c r="AA12" s="1429">
        <f t="shared" si="3"/>
        <v>-2.0613914105147195</v>
      </c>
      <c r="AB12" s="3275"/>
      <c r="AC12" s="3276">
        <f t="shared" si="4"/>
        <v>1.394300824144304</v>
      </c>
      <c r="AD12" s="3276">
        <f>Real!Y40/1000</f>
        <v>0.49534408653931772</v>
      </c>
      <c r="AE12" s="3276">
        <f t="shared" si="5"/>
        <v>1.8896449106836217</v>
      </c>
    </row>
    <row r="13" spans="1:32" s="427" customFormat="1" ht="30" customHeight="1">
      <c r="A13" s="427" t="s">
        <v>974</v>
      </c>
      <c r="C13" s="3271" t="s">
        <v>209</v>
      </c>
      <c r="D13" s="1418" t="s">
        <v>204</v>
      </c>
      <c r="E13" s="1419"/>
      <c r="F13" s="3253">
        <v>0.64356690000000005</v>
      </c>
      <c r="G13" s="3253">
        <v>0.54975877832134801</v>
      </c>
      <c r="H13" s="4268">
        <f>IF(H5="R+P",H61*$D$66,IF(H5="Bdgt",BDGT!G10,""))</f>
        <v>0.9954912669139665</v>
      </c>
      <c r="I13" s="3253">
        <f>IF(I5="R+P",I61*$D$66,IF(I5="Bdgt",BDGT!H10,""))</f>
        <v>0.49130427394057041</v>
      </c>
      <c r="J13" s="3253">
        <f>IF(J5="R+P",J61*$D$66,IF(J5="Bdgt",BDGT!I10,""))</f>
        <v>1.305664821307907</v>
      </c>
      <c r="K13" s="3253">
        <f>IF(K5="R+P",K61*$D$66,IF(K5="Bdgt",BDGT!J10,""))</f>
        <v>0.72078476376327538</v>
      </c>
      <c r="L13" s="3253">
        <f>IF(L5="R+P",L61*$D$66,IF(L5="Bdgt",BDGT!K10,""))</f>
        <v>0.72180153646823952</v>
      </c>
      <c r="M13" s="3253">
        <f>IF(M5="R+P",M61*$D$66,IF(M5="Bdgt",BDGT!L10,""))</f>
        <v>0.83040568340070242</v>
      </c>
      <c r="N13" s="3253">
        <f>IF(N5="R+P",N61*$D$66,IF(N5="Bdgt",BDGT!M10,""))</f>
        <v>1.0404066073055618</v>
      </c>
      <c r="O13" s="3253">
        <f>IF(O5="R+P",O61*$D$66,IF(O5="Bdgt",BDGT!N10,""))</f>
        <v>0.91017669624579578</v>
      </c>
      <c r="P13" s="3253">
        <f>IF(P5="R+P",P61*$D$66,IF(P5="Bdgt",BDGT!O10,""))</f>
        <v>0.61046133880686571</v>
      </c>
      <c r="Q13" s="3253">
        <f>IF(Q5="R+P",Q61*$D$66,IF(Q5="Bdgt",BDGT!P10,""))</f>
        <v>0.86364588895604955</v>
      </c>
      <c r="R13" s="1416"/>
      <c r="S13" s="1448">
        <f t="shared" si="1"/>
        <v>9.6834685554302826</v>
      </c>
      <c r="T13" s="3275"/>
      <c r="U13" s="3274">
        <f>IF(MONTH(Factores!$D$2)=1,SUM($F13:F13),IF(MONTH(Factores!$D$2)=2,SUM($F13:G13),IF(MONTH(Factores!$D$2)=3,SUM($F13:H13),IF(MONTH(Factores!$D$2)=4,SUM($F13:I13),IF(MONTH(Factores!$D$2)=5,SUM($F13:J13),IF(MONTH(Factores!$D$2)=6,SUM($F13:K13),IF(MONTH(Factores!$D$2)=7,SUM($F13:L13),IF(MONTH(Factores!$D$2)=8,SUM($F13:M13),IF(MONTH(Factores!$D$2)=9,SUM($F13:N13),IF(MONTH(Factores!$D$2)=10,SUM($F13:O13),IF(MONTH(Factores!$D$2)=11,SUM($F13:P13),IF(MONTH(Factores!$D$2)=12,SUM($F13:Q13)))))))))))))</f>
        <v>2.1888169452353146</v>
      </c>
      <c r="V13" s="3274">
        <f>IF(MONTH(Factores!$D$2)=1,SUM($F13:F13),IF(MONTH(Factores!$D$2)=2,SUM($F13:F13),IF(MONTH(Factores!$D$2)=3,SUM($F13:G13),IF(MONTH(Factores!$D$2)=4,SUM($F13:H13),IF(MONTH(Factores!$D$2)=5,SUM($F13:I13),IF(MONTH(Factores!$D$2)=6,SUM($F13:J13),IF(MONTH(Factores!$D$2)=7,SUM($F13:K13),IF(MONTH(Factores!$D$2)=8,SUM($F13:L13),IF(MONTH(Factores!$D$2)=9,SUM($F13:M13),IF(MONTH(Factores!$D$2)=10,SUM($F13:N13),IF(MONTH(Factores!$D$2)=11,SUM($F13:O13),IF(MONTH(Factores!$D$2)=12,SUM($F13:P13)))))))))))))</f>
        <v>1.1933256783213482</v>
      </c>
      <c r="X13" s="1422">
        <f>X12*$D$66</f>
        <v>9.9910242574088759</v>
      </c>
      <c r="Z13" s="1422">
        <f t="shared" si="2"/>
        <v>-0.30755570197859328</v>
      </c>
      <c r="AA13" s="1429">
        <f t="shared" si="3"/>
        <v>-3.0783200406156994</v>
      </c>
      <c r="AB13" s="3275"/>
      <c r="AC13" s="3276">
        <f t="shared" si="4"/>
        <v>1.1933256783213482</v>
      </c>
      <c r="AD13" s="3276">
        <f>Real!AA40*Factores!$D$8/1000</f>
        <v>0.56560300640379613</v>
      </c>
      <c r="AE13" s="3276">
        <f t="shared" si="5"/>
        <v>1.7589286847251442</v>
      </c>
    </row>
    <row r="14" spans="1:32" s="427" customFormat="1" ht="15" customHeight="1">
      <c r="C14" s="3254"/>
      <c r="D14" s="3254"/>
      <c r="E14" s="3254"/>
      <c r="F14" s="3254"/>
      <c r="G14" s="3254"/>
      <c r="H14" s="4269"/>
      <c r="I14" s="3254"/>
      <c r="J14" s="3254"/>
      <c r="K14" s="3254"/>
      <c r="L14" s="3254"/>
      <c r="M14" s="3254"/>
      <c r="N14" s="3254"/>
      <c r="O14" s="3254"/>
      <c r="P14" s="3254"/>
      <c r="Q14" s="3254"/>
      <c r="R14" s="3254"/>
      <c r="S14" s="3254"/>
      <c r="T14" s="3254"/>
      <c r="U14" s="3254"/>
      <c r="V14" s="3254"/>
      <c r="W14" s="3254"/>
      <c r="X14" s="3254"/>
      <c r="Y14" s="3254"/>
      <c r="Z14" s="3254"/>
      <c r="AA14" s="3254"/>
      <c r="AB14" s="3254"/>
      <c r="AC14" s="3254"/>
      <c r="AD14" s="3254"/>
      <c r="AE14" s="3254"/>
      <c r="AF14" s="3254"/>
    </row>
    <row r="15" spans="1:32" s="427" customFormat="1" ht="30" customHeight="1">
      <c r="A15" s="427" t="s">
        <v>973</v>
      </c>
      <c r="C15" s="3271" t="s">
        <v>210</v>
      </c>
      <c r="D15" s="1418" t="s">
        <v>204</v>
      </c>
      <c r="E15" s="1419"/>
      <c r="F15" s="3255">
        <v>3982.39335865362</v>
      </c>
      <c r="G15" s="3255">
        <v>5112.4394212164798</v>
      </c>
      <c r="H15" s="4270">
        <f>IF(H5="R+P",'R+P'!$E$47,IF(H5="Bdgt",BDGT!G12,""))</f>
        <v>5834.8510407595058</v>
      </c>
      <c r="I15" s="3255">
        <f>IF(I5="R+P",'R+P'!$E$47,IF(I5="Bdgt",BDGT!H12,""))</f>
        <v>3980.5481482771197</v>
      </c>
      <c r="J15" s="3255">
        <f>IF(J5="R+P",'R+P'!$E$47,IF(J5="Bdgt",BDGT!I12,""))</f>
        <v>6129.4208066457013</v>
      </c>
      <c r="K15" s="3255">
        <f>IF(K5="R+P",'R+P'!$E$47,IF(K5="Bdgt",BDGT!J12,""))</f>
        <v>5958.2514526882424</v>
      </c>
      <c r="L15" s="3255">
        <f>IF(L5="R+P",'R+P'!$E$47,IF(L5="Bdgt",BDGT!K12,""))</f>
        <v>5834.336989403525</v>
      </c>
      <c r="M15" s="3255">
        <f>IF(M5="R+P",'R+P'!$E$47,IF(M5="Bdgt",BDGT!L12,""))</f>
        <v>5718.2081153361341</v>
      </c>
      <c r="N15" s="3255">
        <f>IF(N5="R+P",'R+P'!$E$47,IF(N5="Bdgt",BDGT!M12,""))</f>
        <v>5688.8212958587765</v>
      </c>
      <c r="O15" s="3255">
        <f>IF(O5="R+P",'R+P'!$E$47,IF(O5="Bdgt",BDGT!N12,""))</f>
        <v>5994.4699651701922</v>
      </c>
      <c r="P15" s="3255">
        <f>IF(P5="R+P",'R+P'!$E$47,IF(P5="Bdgt",BDGT!O12,""))</f>
        <v>5578.2795626892439</v>
      </c>
      <c r="Q15" s="3255">
        <f>IF(Q5="R+P",'R+P'!$E$47,IF(Q5="Bdgt",BDGT!P12,""))</f>
        <v>6159.894634180926</v>
      </c>
      <c r="R15" s="3277"/>
      <c r="S15" s="1394">
        <f>SUM(F15:Q15)</f>
        <v>65971.914790879469</v>
      </c>
      <c r="T15" s="1413"/>
      <c r="U15" s="3278">
        <f>IF(MONTH(Factores!$D$2)=1,SUM($F15:F15),IF(MONTH(Factores!$D$2)=2,SUM($F15:G15),IF(MONTH(Factores!$D$2)=3,SUM($F15:H15),IF(MONTH(Factores!$D$2)=4,SUM($F15:I15),IF(MONTH(Factores!$D$2)=5,SUM($F15:J15),IF(MONTH(Factores!$D$2)=6,SUM($F15:K15),IF(MONTH(Factores!$D$2)=7,SUM($F15:L15),IF(MONTH(Factores!$D$2)=8,SUM($F15:M15),IF(MONTH(Factores!$D$2)=9,SUM($F15:N15),IF(MONTH(Factores!$D$2)=10,SUM($F15:O15),IF(MONTH(Factores!$D$2)=11,SUM($F15:P15),IF(MONTH(Factores!$D$2)=12,SUM($F15:Q15)))))))))))))</f>
        <v>14929.683820629605</v>
      </c>
      <c r="V15" s="3278">
        <f>IF(MONTH(Factores!$D$2)=1,SUM($F15:F15),IF(MONTH(Factores!$D$2)=2,SUM($F15:F15),IF(MONTH(Factores!$D$2)=3,SUM($F15:G15),IF(MONTH(Factores!$D$2)=4,SUM($F15:H15),IF(MONTH(Factores!$D$2)=5,SUM($F15:I15),IF(MONTH(Factores!$D$2)=6,SUM($F15:J15),IF(MONTH(Factores!$D$2)=7,SUM($F15:K15),IF(MONTH(Factores!$D$2)=8,SUM($F15:L15),IF(MONTH(Factores!$D$2)=9,SUM($F15:M15),IF(MONTH(Factores!$D$2)=10,SUM($F15:N15),IF(MONTH(Factores!$D$2)=11,SUM($F15:O15),IF(MONTH(Factores!$D$2)=12,SUM($F15:P15)))))))))))))</f>
        <v>9094.8327798700993</v>
      </c>
      <c r="X15" s="1394">
        <f>BDGT!R12</f>
        <v>66232.169283387193</v>
      </c>
      <c r="Z15" s="3279">
        <f t="shared" ref="Z15:Z21" si="7">S15-X15</f>
        <v>-260.25449250772363</v>
      </c>
      <c r="AA15" s="3280">
        <f t="shared" ref="AA15:AA21" si="8">Z15/X15*100</f>
        <v>-0.39294272756517196</v>
      </c>
      <c r="AC15" s="2107">
        <f>SUMIF($F$5:$Q$5,"=REAL",F15:Q15)</f>
        <v>9094.8327798700993</v>
      </c>
      <c r="AD15" s="2107">
        <f>Real!F40/1000</f>
        <v>2919.0798328061296</v>
      </c>
      <c r="AE15" s="2107">
        <f>SUM(AC15:AD15)</f>
        <v>12013.912612676229</v>
      </c>
    </row>
    <row r="16" spans="1:32" s="427" customFormat="1" ht="30" customHeight="1">
      <c r="C16" s="3271" t="s">
        <v>210</v>
      </c>
      <c r="D16" s="1418" t="s">
        <v>211</v>
      </c>
      <c r="E16" s="1419"/>
      <c r="F16" s="3255">
        <v>130.57027405421704</v>
      </c>
      <c r="G16" s="3255">
        <v>179.38383934092911</v>
      </c>
      <c r="H16" s="4270">
        <f t="shared" ref="H16:P16" si="9">+H15/H6</f>
        <v>188.22100131482276</v>
      </c>
      <c r="I16" s="3255">
        <f t="shared" si="9"/>
        <v>132.68493827590399</v>
      </c>
      <c r="J16" s="3255">
        <f t="shared" si="9"/>
        <v>197.72325182728068</v>
      </c>
      <c r="K16" s="3255">
        <f t="shared" si="9"/>
        <v>198.60838175627475</v>
      </c>
      <c r="L16" s="3255">
        <f t="shared" si="9"/>
        <v>188.20441901301695</v>
      </c>
      <c r="M16" s="3255">
        <f t="shared" si="9"/>
        <v>184.45832630116561</v>
      </c>
      <c r="N16" s="3255">
        <f t="shared" si="9"/>
        <v>189.62737652862589</v>
      </c>
      <c r="O16" s="3255">
        <f t="shared" si="9"/>
        <v>193.3699988764578</v>
      </c>
      <c r="P16" s="3255">
        <f t="shared" si="9"/>
        <v>185.94265208964146</v>
      </c>
      <c r="Q16" s="3255">
        <f>+Q15/Q6</f>
        <v>195.55221060891827</v>
      </c>
      <c r="R16" s="1412"/>
      <c r="S16" s="1394">
        <f>S15/S6</f>
        <v>180.49771488612714</v>
      </c>
      <c r="T16" s="1413"/>
      <c r="U16" s="3278">
        <f>U15/U6</f>
        <v>165.8853757847734</v>
      </c>
      <c r="V16" s="1394">
        <f>V15/V6</f>
        <v>154.14970813339153</v>
      </c>
      <c r="X16" s="1395">
        <f>BDGT!R13</f>
        <v>181.45799803667725</v>
      </c>
      <c r="Z16" s="3280">
        <f t="shared" si="7"/>
        <v>-0.96028315055011149</v>
      </c>
      <c r="AA16" s="3280">
        <f t="shared" si="8"/>
        <v>-0.52920409182295403</v>
      </c>
      <c r="AC16" s="2107">
        <f>AC15/AC6</f>
        <v>154.14970813339153</v>
      </c>
      <c r="AD16" s="2107">
        <f>AD15/AD6</f>
        <v>171.71057840036056</v>
      </c>
      <c r="AE16" s="2107">
        <f>AE15/AE6</f>
        <v>158.07779753521353</v>
      </c>
    </row>
    <row r="17" spans="1:31" s="427" customFormat="1" ht="30" customHeight="1">
      <c r="C17" s="3271" t="s">
        <v>212</v>
      </c>
      <c r="D17" s="1418" t="s">
        <v>81</v>
      </c>
      <c r="E17" s="1419"/>
      <c r="F17" s="3255">
        <v>8392.9974470560392</v>
      </c>
      <c r="G17" s="3255">
        <v>8370.756317996691</v>
      </c>
      <c r="H17" s="4270">
        <f>+H15*1000/H27</f>
        <v>8500.2775224732668</v>
      </c>
      <c r="I17" s="3255">
        <f t="shared" ref="I17:Q17" si="10">+I15*1000/I27</f>
        <v>8128.3803061107201</v>
      </c>
      <c r="J17" s="3255">
        <f t="shared" si="10"/>
        <v>8661.0975586449185</v>
      </c>
      <c r="K17" s="3255">
        <f t="shared" si="10"/>
        <v>8654.3680079502992</v>
      </c>
      <c r="L17" s="3255">
        <f t="shared" si="10"/>
        <v>8408.087754964552</v>
      </c>
      <c r="M17" s="3255">
        <f t="shared" si="10"/>
        <v>8482.9059760188811</v>
      </c>
      <c r="N17" s="3255">
        <f t="shared" si="10"/>
        <v>8364.5327229303475</v>
      </c>
      <c r="O17" s="3255">
        <f t="shared" si="10"/>
        <v>8356.9411169448867</v>
      </c>
      <c r="P17" s="3255">
        <f t="shared" si="10"/>
        <v>8019.8941528948308</v>
      </c>
      <c r="Q17" s="3255">
        <f t="shared" si="10"/>
        <v>8622.2928185499331</v>
      </c>
      <c r="R17" s="1412"/>
      <c r="S17" s="1394">
        <f>+S15*1000/S27</f>
        <v>8422.3992884020336</v>
      </c>
      <c r="T17" s="1413"/>
      <c r="U17" s="3278">
        <f>+U15*1000/U27</f>
        <v>8426.8957127773465</v>
      </c>
      <c r="V17" s="3278">
        <f>+V15*1000/V27</f>
        <v>16503.495186455493</v>
      </c>
      <c r="X17" s="1394">
        <f>BDGT!R14</f>
        <v>8357.8085862785792</v>
      </c>
      <c r="Z17" s="3279">
        <f t="shared" si="7"/>
        <v>64.590702123454321</v>
      </c>
      <c r="AA17" s="3280">
        <f t="shared" si="8"/>
        <v>0.7728186336965891</v>
      </c>
      <c r="AC17" s="2107">
        <f>AC15*1000/(24*AC6*AC21%)</f>
        <v>8380.4806124636925</v>
      </c>
      <c r="AD17" s="2107">
        <f>AD15*1000/(24*AD6*AD21%)</f>
        <v>8363.3951265622545</v>
      </c>
      <c r="AE17" s="2107">
        <f>AE15*1000/(24*AE6*AE21%)</f>
        <v>8376.3228504130984</v>
      </c>
    </row>
    <row r="18" spans="1:31" s="427" customFormat="1" ht="30" customHeight="1">
      <c r="C18" s="3271" t="s">
        <v>213</v>
      </c>
      <c r="D18" s="1418" t="s">
        <v>48</v>
      </c>
      <c r="E18" s="1419"/>
      <c r="F18" s="3256" t="s">
        <v>342</v>
      </c>
      <c r="G18" s="3256"/>
      <c r="H18" s="4271"/>
      <c r="I18" s="3256"/>
      <c r="J18" s="3256"/>
      <c r="K18" s="3256"/>
      <c r="L18" s="3256"/>
      <c r="M18" s="3256"/>
      <c r="N18" s="3256"/>
      <c r="O18" s="3256"/>
      <c r="P18" s="3256"/>
      <c r="Q18" s="3256"/>
      <c r="R18" s="3281"/>
      <c r="S18" s="1447"/>
      <c r="T18" s="3282"/>
      <c r="U18" s="3278"/>
      <c r="V18" s="1447"/>
      <c r="X18" s="1429"/>
      <c r="Z18" s="3267"/>
      <c r="AA18" s="3267"/>
      <c r="AC18" s="3283"/>
      <c r="AD18" s="3283"/>
      <c r="AE18" s="3283"/>
    </row>
    <row r="19" spans="1:31" s="427" customFormat="1" ht="30" customHeight="1">
      <c r="C19" s="3271" t="s">
        <v>86</v>
      </c>
      <c r="D19" s="1418" t="s">
        <v>214</v>
      </c>
      <c r="E19" s="1419"/>
      <c r="F19" s="3256">
        <v>37.018843718888668</v>
      </c>
      <c r="G19" s="3256">
        <v>38.332457972165074</v>
      </c>
      <c r="H19" s="4271">
        <f>IF(H5="R+P",'R+P'!$BE$39,IF(H5="Bdgt",BDGT!G18,""))</f>
        <v>37.974110352002597</v>
      </c>
      <c r="I19" s="3256">
        <f>IF(I5="R+P",'R+P'!$BE$39,IF(I5="Bdgt",BDGT!H18,""))</f>
        <v>38.632785314390482</v>
      </c>
      <c r="J19" s="3256">
        <f>IF(J5="R+P",'R+P'!$BE$39,IF(J5="Bdgt",BDGT!I18,""))</f>
        <v>38.520013706286214</v>
      </c>
      <c r="K19" s="3256">
        <f>IF(K5="R+P",'R+P'!$BE$39,IF(K5="Bdgt",BDGT!J18,""))</f>
        <v>37.153993002975291</v>
      </c>
      <c r="L19" s="3256">
        <f>IF(L5="R+P",'R+P'!$BE$39,IF(L5="Bdgt",BDGT!K18,""))</f>
        <v>38.66808848460073</v>
      </c>
      <c r="M19" s="3256">
        <f>IF(M5="R+P",'R+P'!$BE$39,IF(M5="Bdgt",BDGT!L18,""))</f>
        <v>39.59523776241894</v>
      </c>
      <c r="N19" s="3256">
        <f>IF(N5="R+P",'R+P'!$BE$39,IF(N5="Bdgt",BDGT!M18,""))</f>
        <v>38.826739279076349</v>
      </c>
      <c r="O19" s="3256">
        <f>IF(O5="R+P",'R+P'!$BE$39,IF(O5="Bdgt",BDGT!N18,""))</f>
        <v>39.415801618901426</v>
      </c>
      <c r="P19" s="3256">
        <f>IF(P5="R+P",'R+P'!$BE$39,IF(P5="Bdgt",BDGT!O18,""))</f>
        <v>38.445227586824721</v>
      </c>
      <c r="Q19" s="3256">
        <f>IF(Q5="R+P",'R+P'!$BE$39,IF(Q5="Bdgt",BDGT!P18,""))</f>
        <v>38.733096261656463</v>
      </c>
      <c r="R19" s="3281"/>
      <c r="S19" s="1447">
        <f>SUMPRODUCT(F15:Q15,F19:Q19)/SUM(F15:Q15)</f>
        <v>38.477719322240532</v>
      </c>
      <c r="T19" s="3282"/>
      <c r="U19" s="3284">
        <f>IF(MONTH(Factores!$D$2)=1,SUMPRODUCT($F$15:$F$15,$F19:F19)/SUM($F$15:$F$15),IF(MONTH(Factores!$D$2)=2,SUMPRODUCT($F$15:$G$15,$F19:G19)/SUM($F$15:$G$15),IF(MONTH(Factores!$D$2)=3,SUMPRODUCT($F$15:$H$15,$F19:H19)/SUM($F$15:$H$15),IF(MONTH(Factores!$D$2)=4,SUMPRODUCT($F$15:$I$15,$F19:I19)/SUM($F$15:$I$15),IF(MONTH(Factores!$D$2)=5,SUMPRODUCT($F$15:$J$15,$F19:J19)/SUM($F$15:$J$15),IF(MONTH(Factores!$D$2)=6,SUMPRODUCT($F$15:$K$15,$F19:K19)/SUM($F$15:$K$15),IF(MONTH(Factores!$D$2)=7,SUMPRODUCT($F$15:$L$15,$F19:L19)/SUM($F$15:$L$15),IF(MONTH(Factores!$D$2)=8,SUMPRODUCT($F$15:$M$15,$F19:M19)/SUM($F$15:$M$15),IF(MONTH(Factores!$D$2)=9,SUMPRODUCT($F$15:$N$15,$F19:N19)/SUM($F$15:$N$15),IF(MONTH(Factores!$D$2)=10,SUMPRODUCT($F$15:$O$15,$F19:O19)/SUM($F$15:$O$15),IF(MONTH(Factores!$D$2)=11,SUMPRODUCT($F$15:$P$15,$F19:P19)/SUM($F$15:$P$15),IF(MONTH(Factores!$D$2)=12,SUMPRODUCT($F$15:$Q$15,$F19:Q19)/SUM($F$15:$Q$15)))))))))))))</f>
        <v>37.842009965997548</v>
      </c>
      <c r="V19" s="1447">
        <f>IF(MONTH(Factores!$D$2)=1,SUMPRODUCT($F$15:$F$15,$F19:F19)/SUM($F$15:$F$15),IF(MONTH(Factores!$D$2)=2,SUMPRODUCT($F$15:$F$15,$F19:F19)/SUM($F$15:$F$15),IF(MONTH(Factores!$D$2)=3,SUMPRODUCT($F$15:$G$15,$F19:G19)/SUM($F$15:$G$15),IF(MONTH(Factores!$D$2)=4,SUMPRODUCT($F$15:$H$15,$F19:H19)/SUM($F$15:$H$15),IF(MONTH(Factores!$D$2)=5,SUMPRODUCT($F$15:$I$15,$F19:I19)/SUM($F$15:$I$15),IF(MONTH(Factores!$D$2)=6,SUMPRODUCT($F$15:$J$15,$F19:J19)/SUM($F$15:$J$15),IF(MONTH(Factores!$D$2)=7,SUMPRODUCT($F$15:$K$15,$F19:K19)/SUM($F$15:$K$15),IF(MONTH(Factores!$D$2)=8,SUMPRODUCT($F$15:$L$15,$F19:L19)/SUM($F$15:$L$15),IF(MONTH(Factores!$D$2)=9,SUMPRODUCT($F$15:$M$15,$F19:M19)/SUM($F$15:$M$15),IF(MONTH(Factores!$D$2)=10,SUMPRODUCT($F$15:$N$15,$F19:N19)/SUM($F$15:$N$15),IF(MONTH(Factores!$D$2)=11,SUMPRODUCT($F$15:$O$15,$F19:O19)/SUM($F$15:$O$15),IF(MONTH(Factores!$D$2)=12,SUMPRODUCT($F$15:$P$15,$F19:P19)/SUM($F$15:$P$15)))))))))))))</f>
        <v>37.75726007631598</v>
      </c>
      <c r="X19" s="1429">
        <f>BDGT!R18</f>
        <v>38.557867980903005</v>
      </c>
      <c r="Z19" s="3267">
        <f t="shared" si="7"/>
        <v>-8.0148658662473338E-2</v>
      </c>
      <c r="AA19" s="3267">
        <f t="shared" si="8"/>
        <v>-0.2078658983483461</v>
      </c>
      <c r="AC19" s="3283">
        <f>(IF(F5="REAL",F19*F15,0)+IF(G5="REAL",G19*G15,0)+IF(H5="REAL",H19*H15,0)+IF(I5="REAL",I19*I15,0)+IF(J5="REAL",J19*J15,0)+IF(K5="REAL",K19*K15,0)+IF(L5="REAL",L19*L15,0)+IF(M5="REAL",M19*M15,0)+IF(N5="REAL",N19*N15,0)+IF(O5="REAL",O19*O15,0)+IF(P5="REAL",P19*P15,0)+IF(Q5="REAL",Q19*Q15,0))/AC15</f>
        <v>37.75726007631598</v>
      </c>
      <c r="AD19" s="3283">
        <f>Real!$AU$40</f>
        <v>37.942957957818315</v>
      </c>
      <c r="AE19" s="3283">
        <f>(IF(F5="REAL",F19*F15,0)+IF(G5="REAL",G19*G15,0)+IF(H5="REAL",H19*H15,0)+IF(I5="REAL",I19*I15,0)+IF(J5="REAL",J19*J15,0)+IF(K5="REAL",K19*K15,0)+IF(L5="REAL",L19*L15,0)+IF(M5="REAL",M19*M15,0)+IF(N5="REAL",N19*N15,0)+IF(O5="REAL",O19*O15,0)+IF(P5="REAL",P19*P15,0)+IF(Q5="REAL",Q19*Q15,0)+AD15*AD19)/AE15</f>
        <v>37.802380010043173</v>
      </c>
    </row>
    <row r="20" spans="1:31" s="427" customFormat="1" ht="30" customHeight="1">
      <c r="C20" s="3271" t="s">
        <v>83</v>
      </c>
      <c r="D20" s="1418" t="s">
        <v>84</v>
      </c>
      <c r="E20" s="1419"/>
      <c r="F20" s="3257">
        <v>4.903292918675187</v>
      </c>
      <c r="G20" s="3257">
        <v>4.8062200834427573</v>
      </c>
      <c r="H20" s="4272">
        <f>IF(H5="R+P",'R+P'!$BD$39,IF(H5="Bdgt",BDGT!G19,""))</f>
        <v>4.4644232416284408</v>
      </c>
      <c r="I20" s="3257">
        <f>IF(I5="R+P",'R+P'!$BD$39,IF(I5="Bdgt",BDGT!H19,""))</f>
        <v>4.07400549699606</v>
      </c>
      <c r="J20" s="3257">
        <f>IF(J5="R+P",'R+P'!$BD$39,IF(J5="Bdgt",BDGT!I19,""))</f>
        <v>4.2016067113902942</v>
      </c>
      <c r="K20" s="3257">
        <f>IF(K5="R+P",'R+P'!$BD$39,IF(K5="Bdgt",BDGT!J19,""))</f>
        <v>4.1464879403675798</v>
      </c>
      <c r="L20" s="3257">
        <f>IF(L5="R+P",'R+P'!$BD$39,IF(L5="Bdgt",BDGT!K19,""))</f>
        <v>4.0484953134678117</v>
      </c>
      <c r="M20" s="3257">
        <f>IF(M5="R+P",'R+P'!$BD$39,IF(M5="Bdgt",BDGT!L19,""))</f>
        <v>4.1248689581482569</v>
      </c>
      <c r="N20" s="3257">
        <f>IF(N5="R+P",'R+P'!$BD$39,IF(N5="Bdgt",BDGT!M19,""))</f>
        <v>4.112501213934566</v>
      </c>
      <c r="O20" s="3257">
        <f>IF(O5="R+P",'R+P'!$BD$39,IF(O5="Bdgt",BDGT!N19,""))</f>
        <v>4.1223747873045244</v>
      </c>
      <c r="P20" s="3257">
        <f>IF(P5="R+P",'R+P'!$BD$39,IF(P5="Bdgt",BDGT!O19,""))</f>
        <v>4.1120914909760256</v>
      </c>
      <c r="Q20" s="3257">
        <f>IF(Q5="R+P",'R+P'!$BD$39,IF(Q5="Bdgt",BDGT!P19,""))</f>
        <v>4.187087295920759</v>
      </c>
      <c r="R20" s="3272"/>
      <c r="S20" s="1442">
        <f>SUMPRODUCT(F15:Q15,F20:Q20)/SUM(F15:Q15)</f>
        <v>4.2573858592382905</v>
      </c>
      <c r="T20" s="3273"/>
      <c r="U20" s="3285">
        <f>IF(MONTH(Factores!$D$2)=1,SUMPRODUCT($F$15:$F$15,$F20:F20)/SUM($F$15:$F$15),IF(MONTH(Factores!$D$2)=2,SUMPRODUCT($F$15:$G$15,$F20:G20)/SUM($F$15:$G$15),IF(MONTH(Factores!$D$2)=3,SUMPRODUCT($F$15:$H$15,$F20:H20)/SUM($F$15:$H$15),IF(MONTH(Factores!$D$2)=4,SUMPRODUCT($F$15:$I$15,$F20:I20)/SUM($F$15:$I$15),IF(MONTH(Factores!$D$2)=5,SUMPRODUCT($F$15:$J$15,$F20:J20)/SUM($F$15:$J$15),IF(MONTH(Factores!$D$2)=6,SUMPRODUCT($F$15:$K$15,$F20:K20)/SUM($F$15:$K$15),IF(MONTH(Factores!$D$2)=7,SUMPRODUCT($F$15:$L$15,$F20:L20)/SUM($F$15:$L$15),IF(MONTH(Factores!$D$2)=8,SUMPRODUCT($F$15:$M$15,$F20:M20)/SUM($F$15:$M$15),IF(MONTH(Factores!$D$2)=9,SUMPRODUCT($F$15:$N$15,$F20:N20)/SUM($F$15:$N$15),IF(MONTH(Factores!$D$2)=10,SUMPRODUCT($F$15:$O$15,$F20:O20)/SUM($F$15:$O$15),IF(MONTH(Factores!$D$2)=11,SUMPRODUCT($F$15:$P$15,$F20:P20)/SUM($F$15:$P$15),IF(MONTH(Factores!$D$2)=12,SUMPRODUCT($F$15:$Q$15,$F20:Q20)/SUM($F$15:$Q$15)))))))))))))</f>
        <v>4.6985318387907373</v>
      </c>
      <c r="V20" s="1442">
        <f>IF(MONTH(Factores!$D$2)=1,SUMPRODUCT($F$15:$F$15,$F20:F20)/SUM($F$15:$F$15),IF(MONTH(Factores!$D$2)=2,SUMPRODUCT($F$15:$F$15,$F20:F20)/SUM($F$15:$F$15),IF(MONTH(Factores!$D$2)=3,SUMPRODUCT($F$15:$G$15,$F20:G20)/SUM($F$15:$G$15),IF(MONTH(Factores!$D$2)=4,SUMPRODUCT($F$15:$H$15,$F20:H20)/SUM($F$15:$H$15),IF(MONTH(Factores!$D$2)=5,SUMPRODUCT($F$15:$I$15,$F20:I20)/SUM($F$15:$I$15),IF(MONTH(Factores!$D$2)=6,SUMPRODUCT($F$15:$J$15,$F20:J20)/SUM($F$15:$J$15),IF(MONTH(Factores!$D$2)=7,SUMPRODUCT($F$15:$K$15,$F20:K20)/SUM($F$15:$K$15),IF(MONTH(Factores!$D$2)=8,SUMPRODUCT($F$15:$L$15,$F20:L20)/SUM($F$15:$L$15),IF(MONTH(Factores!$D$2)=9,SUMPRODUCT($F$15:$M$15,$F20:M20)/SUM($F$15:$M$15),IF(MONTH(Factores!$D$2)=10,SUMPRODUCT($F$15:$N$15,$F20:N20)/SUM($F$15:$N$15),IF(MONTH(Factores!$D$2)=11,SUMPRODUCT($F$15:$O$15,$F20:O20)/SUM($F$15:$O$15),IF(MONTH(Factores!$D$2)=12,SUMPRODUCT($F$15:$P$15,$F20:P20)/SUM($F$15:$P$15)))))))))))))</f>
        <v>4.8487257813145144</v>
      </c>
      <c r="X20" s="1432">
        <f>BDGT!R19</f>
        <v>4.133865942313296</v>
      </c>
      <c r="Z20" s="3267">
        <f t="shared" si="7"/>
        <v>0.12351991692499453</v>
      </c>
      <c r="AA20" s="3267">
        <f t="shared" si="8"/>
        <v>2.9880000621373135</v>
      </c>
      <c r="AC20" s="3286">
        <f>(IF(F5="REAL",F20*F15,0)+IF(G5="REAL",G20*G15,0)+IF(H5="REAL",H20*H15,0)+IF(I5="REAL",I20*I15,0)+IF(J5="REAL",J20*J15,0)+IF(K5="REAL",K20*K15,0)+IF(L5="REAL",L20*L15,0)+IF(M5="REAL",M20*M15,0)+IF(N5="REAL",N20*N15,0)+IF(O5="REAL",O20*O15,0)+IF(P5="REAL",P20*P15,0)+IF(Q5="REAL",Q20*Q15,0))/AC15</f>
        <v>4.8487257813145144</v>
      </c>
      <c r="AD20" s="3286">
        <f>+Real!AS40</f>
        <v>4.6902586066660286</v>
      </c>
      <c r="AE20" s="3286">
        <f>(IF(F5="REAL",F20*F15,0)+IF(G5="REAL",G20*G15,0)+IF(H5="REAL",H20*H15,0)+IF(I5="REAL",I20*I15,0)+IF(J5="REAL",J20*J15,0)+IF(K5="REAL",K20*K15,0)+IF(L5="REAL",L20*L15,0)+IF(M5="REAL",M20*M15,0)+IF(N5="REAL",N20*N15,0)+IF(O5="REAL",O20*O15,0)+IF(P5="REAL",P20*P15,0)+IF(Q5="REAL",Q20*Q15,0)+AD15*AD20)/AE15</f>
        <v>4.8102222272608515</v>
      </c>
    </row>
    <row r="21" spans="1:31" s="427" customFormat="1" ht="30" customHeight="1">
      <c r="C21" s="3271" t="s">
        <v>215</v>
      </c>
      <c r="D21" s="1418" t="s">
        <v>48</v>
      </c>
      <c r="E21" s="1419"/>
      <c r="F21" s="3257">
        <v>64.821038251366119</v>
      </c>
      <c r="G21" s="3257">
        <v>89.290935672514621</v>
      </c>
      <c r="H21" s="4272">
        <f>IF(H5="R+P",'R+P'!$J$47,IF(H5="Bdgt",BDGT!G20,""))</f>
        <v>92.324230243716514</v>
      </c>
      <c r="I21" s="3257">
        <f>IF(I5="R+P",'R+P'!$J$47,IF(I5="Bdgt",BDGT!H20,""))</f>
        <v>0.68062526822697333</v>
      </c>
      <c r="J21" s="3257">
        <f>IF(J5="R+P",'R+P'!$J$47,IF(J5="Bdgt",BDGT!I20,""))</f>
        <v>0.95699204868154153</v>
      </c>
      <c r="K21" s="3257">
        <f>IF(K5="R+P",'R+P'!$J$47,IF(K5="Bdgt",BDGT!J20,""))</f>
        <v>0.96491596355991593</v>
      </c>
      <c r="L21" s="3257">
        <f>IF(L5="R+P",'R+P'!$J$47,IF(L5="Bdgt",BDGT!K20,""))</f>
        <v>0.94087569491525413</v>
      </c>
      <c r="M21" s="3257">
        <f>IF(M5="R+P",'R+P'!$J$47,IF(M5="Bdgt",BDGT!L20,""))</f>
        <v>0.91154292765382017</v>
      </c>
      <c r="N21" s="3257">
        <f>IF(N5="R+P",'R+P'!$J$47,IF(N5="Bdgt",BDGT!M20,""))</f>
        <v>0.94525679638637938</v>
      </c>
      <c r="O21" s="3257">
        <f>IF(O5="R+P",'R+P'!$J$47,IF(O5="Bdgt",BDGT!N20,""))</f>
        <v>0.96476707464694011</v>
      </c>
      <c r="P21" s="3257">
        <f>IF(P5="R+P",'R+P'!$J$47,IF(P5="Bdgt",BDGT!O20,""))</f>
        <v>0.96672030576789436</v>
      </c>
      <c r="Q21" s="3257">
        <f>IF(Q5="R+P",'R+P'!$J$47,IF(Q5="Bdgt",BDGT!P20,""))</f>
        <v>0.96088086079354407</v>
      </c>
      <c r="R21" s="3281"/>
      <c r="S21" s="1442">
        <f>SUMPRODUCT(F23:Q23,F21:Q21)/SUM(F23:Q23)</f>
        <v>20.976337356805104</v>
      </c>
      <c r="T21" s="3282"/>
      <c r="U21" s="3285">
        <f>IF(MONTH(Factores!$D$2)=1,SUMPRODUCT($F$6:$F$6,$F21:F21)/SUM($F$6:$F$6),IF(MONTH(Factores!$D$2)=2,SUMPRODUCT($F$6:$G$6,$F21:G21)/SUM($F$6:$G$6),IF(MONTH(Factores!$D$2)=3,SUMPRODUCT($F$6:$H$6,$F21:H21)/SUM($F$6:$H$6),IF(MONTH(Factores!$D$2)=4,SUMPRODUCT($F$6:$I$6,$F21:I21)/SUM($F$6:$I$6),IF(MONTH(Factores!$D$2)=5,SUMPRODUCT($F$6:$J$6,$F21:J21)/SUM($F$6:$J$6),IF(MONTH(Factores!$D$2)=6,SUMPRODUCT($F$6:$K$6,$F21:K21)/SUM($F$6:$K$6),IF(MONTH(Factores!$D$2)=7,SUMPRODUCT($F$6:$L$6,$F21:L21)/SUM($F$6:$L$6),IF(MONTH(Factores!$D$2)=8,SUMPRODUCT($F$6:$M$6,$F21:M21)/SUM($F$6:$M$6),IF(MONTH(Factores!$D$2)=9,SUMPRODUCT($F$6:$N$6,$F21:N21)/SUM($F$6:$N$6),IF(MONTH(Factores!$D$2)=10,SUMPRODUCT($F$6:$O$6,$F21:O21)/SUM($F$6:$O$6),IF(MONTH(Factores!$D$2)=11,SUMPRODUCT($F$6:$P$6,$F21:P21)/SUM($F$6:$P$6),IF(MONTH(Factores!$D$2)=12,SUMPRODUCT($F$6:$Q$6,$F21:Q21)/SUM($F$6:$Q$6)))))))))))))</f>
        <v>82.043160787650493</v>
      </c>
      <c r="V21" s="1442">
        <f>IF(MONTH(Factores!$D$2)=1,SUMPRODUCT($F$6:$F$6,$F21:F21)/SUM($F$6:$F$6),IF(MONTH(Factores!$D$2)=2,SUMPRODUCT($F$6:$F$6,$F21:F21)/SUM($F$6:$F$6),IF(MONTH(Factores!$D$2)=3,SUMPRODUCT($F$6:$G$6,$F21:G21)/SUM($F$6:$G$6),IF(MONTH(Factores!$D$2)=4,SUMPRODUCT($F$6:$H$6,$F21:H21)/SUM($F$6:$H$6),IF(MONTH(Factores!$D$2)=5,SUMPRODUCT($F$6:$I$6,$F21:I21)/SUM($F$6:$I$6),IF(MONTH(Factores!$D$2)=6,SUMPRODUCT($F$6:$J$6,$F21:J21)/SUM($F$6:$J$6),IF(MONTH(Factores!$D$2)=7,SUMPRODUCT($F$6:$K$6,$F21:K21)/SUM($F$6:$K$6),IF(MONTH(Factores!$D$2)=8,SUMPRODUCT($F$6:$L$6,$F21:L21)/SUM($F$6:$L$6),IF(MONTH(Factores!$D$2)=9,SUMPRODUCT($F$6:$M$6,$F21:M21)/SUM($F$6:$M$6),IF(MONTH(Factores!$D$2)=10,SUMPRODUCT($F$6:$N$6,$F21:N21)/SUM($F$6:$N$6),IF(MONTH(Factores!$D$2)=11,SUMPRODUCT($F$6:$O$6,$F21:O21)/SUM($F$6:$O$6),IF(MONTH(Factores!$D$2)=12,SUMPRODUCT($F$6:$P$6,$F21:P21)/SUM($F$6:$P$6)))))))))))))</f>
        <v>76.641242937853107</v>
      </c>
      <c r="X21" s="1396">
        <f>BDGT!R20</f>
        <v>0.90732603224888497</v>
      </c>
      <c r="Z21" s="3287">
        <f t="shared" si="7"/>
        <v>20.069011324556218</v>
      </c>
      <c r="AA21" s="3280">
        <f t="shared" si="8"/>
        <v>2211.8853214002315</v>
      </c>
      <c r="AC21" s="3286">
        <f>(IF(F5="REAL",F21*F6,0)+IF(G5="REAL",G21*G6,0)+IF(H5="REAL",H21*H6,0)+IF(I5="REAL",I21*I6,0)+IF(J5="REAL",J21*J6,0)+IF(K5="REAL",K21*K6,0)+IF(L5="REAL",L21*L6,0)+IF(M5="REAL",M21*M6,0)+IF(N5="REAL",N21*N6,0)+IF(O5="REAL",O21*O6,0)+IF(P5="REAL",P21*P6,0)+IF(Q5="REAL",Q21*Q6,0))/AC6</f>
        <v>76.641242937853107</v>
      </c>
      <c r="AD21" s="3286">
        <f>Real!H40</f>
        <v>85.546686783041338</v>
      </c>
      <c r="AE21" s="3286">
        <f>(IF(F5="REAL",F21*F6,0)+IF(G5="REAL",G21*G6,0)+IF(H5="REAL",H21*H6,0)+IF(I5="REAL",I21*I6,0)+IF(J5="REAL",J21*J6,0)+IF(K5="REAL",K21*K6,0)+IF(L5="REAL",L21*L6,0)+IF(M5="REAL",M21*M6,0)+IF(N5="REAL",N21*N6,0)+IF(O5="REAL",O21*O6,0)+IF(P5="REAL",P21*P6,0)+IF(Q5="REAL",Q21*Q6,0)+AD6*AD21)/AE6</f>
        <v>78.633250113750478</v>
      </c>
    </row>
    <row r="22" spans="1:31" s="427" customFormat="1" ht="18.75" customHeight="1">
      <c r="C22" s="3271" t="s">
        <v>216</v>
      </c>
      <c r="D22" s="1418" t="s">
        <v>48</v>
      </c>
      <c r="E22" s="1419"/>
      <c r="F22" s="3259"/>
      <c r="G22" s="3259"/>
      <c r="H22" s="4273"/>
      <c r="I22" s="3259"/>
      <c r="J22" s="3259"/>
      <c r="K22" s="3259"/>
      <c r="L22" s="3259"/>
      <c r="M22" s="3259"/>
      <c r="N22" s="3259"/>
      <c r="O22" s="3259"/>
      <c r="P22" s="3259"/>
      <c r="Q22" s="3259"/>
      <c r="R22" s="1415"/>
      <c r="S22" s="1397"/>
      <c r="U22" s="3269"/>
      <c r="V22" s="3288"/>
      <c r="X22" s="1397"/>
      <c r="Z22" s="1397"/>
      <c r="AA22" s="3289"/>
      <c r="AC22" s="3276"/>
      <c r="AD22" s="3276"/>
      <c r="AE22" s="3276"/>
    </row>
    <row r="23" spans="1:31" s="427" customFormat="1" ht="18.75" customHeight="1">
      <c r="C23" s="3271" t="s">
        <v>217</v>
      </c>
      <c r="D23" s="1418" t="s">
        <v>218</v>
      </c>
      <c r="E23" s="1419"/>
      <c r="F23" s="3259">
        <v>732</v>
      </c>
      <c r="G23" s="3259">
        <v>684</v>
      </c>
      <c r="H23" s="4273">
        <f>744-0.5</f>
        <v>743.5</v>
      </c>
      <c r="I23" s="3259">
        <f>IF(I5="R+P",'R+P'!$J$47,IF(I5="Bdgt",BDGT!H27,""))</f>
        <v>719.5</v>
      </c>
      <c r="J23" s="3259">
        <f>IF(J5="R+P",'R+P'!$J$47,IF(J5="Bdgt",BDGT!I27,""))</f>
        <v>739.5</v>
      </c>
      <c r="K23" s="3259">
        <f>IF(K5="R+P",'R+P'!$J$47,IF(K5="Bdgt",BDGT!J27,""))</f>
        <v>713.5</v>
      </c>
      <c r="L23" s="3259">
        <f>IF(L5="R+P",'R+P'!$J$47,IF(L5="Bdgt",BDGT!K27,""))</f>
        <v>737.5</v>
      </c>
      <c r="M23" s="3259">
        <f>IF(M5="R+P",'R+P'!$J$47,IF(M5="Bdgt",BDGT!L27,""))</f>
        <v>739.5</v>
      </c>
      <c r="N23" s="3259">
        <f>IF(N5="R+P",'R+P'!$J$47,IF(N5="Bdgt",BDGT!M27,""))</f>
        <v>719.5</v>
      </c>
      <c r="O23" s="3259">
        <f>IF(O5="R+P",'R+P'!$J$47,IF(O5="Bdgt",BDGT!N27,""))</f>
        <v>743.5</v>
      </c>
      <c r="P23" s="3259">
        <f>IF(P5="R+P",'R+P'!$J$47,IF(P5="Bdgt",BDGT!O27,""))</f>
        <v>719.5</v>
      </c>
      <c r="Q23" s="3257">
        <f>IF(Q5="R+P",'R+P'!$J$47,IF(Q5="Bdgt",BDGT!P27,""))</f>
        <v>743.5</v>
      </c>
      <c r="R23" s="1415"/>
      <c r="S23" s="1394">
        <f>SUM(F23:Q23)</f>
        <v>8735</v>
      </c>
      <c r="U23" s="3278">
        <f>IF(MONTH(Factores!$D$2)=1,SUM($F23:F23),IF(MONTH(Factores!$D$2)=2,SUM($F23:G23),IF(MONTH(Factores!$D$2)=3,SUM($F23:H23),IF(MONTH(Factores!$D$2)=4,SUM($F23:I23),IF(MONTH(Factores!$D$2)=5,SUM($F23:J23),IF(MONTH(Factores!$D$2)=6,SUM($F23:K23),IF(MONTH(Factores!$D$2)=7,SUM($F23:L23),IF(MONTH(Factores!$D$2)=8,SUM($F23:M23),IF(MONTH(Factores!$D$2)=9,SUM($F23:N23),IF(MONTH(Factores!$D$2)=10,SUM($F23:O23),IF(MONTH(Factores!$D$2)=11,SUM($F23:P23),IF(MONTH(Factores!$D$2)=12,SUM($F23:Q23)))))))))))))</f>
        <v>2159.5</v>
      </c>
      <c r="V23" s="3290"/>
      <c r="X23" s="1436"/>
      <c r="Z23" s="1436"/>
      <c r="AA23" s="3267"/>
      <c r="AC23" s="3276"/>
      <c r="AD23" s="3276"/>
      <c r="AE23" s="3276"/>
    </row>
    <row r="24" spans="1:31" s="427" customFormat="1" ht="18.75" customHeight="1">
      <c r="C24" s="3271" t="s">
        <v>219</v>
      </c>
      <c r="D24" s="1418" t="s">
        <v>218</v>
      </c>
      <c r="E24" s="1419"/>
      <c r="F24" s="3259"/>
      <c r="G24" s="3259"/>
      <c r="H24" s="4273"/>
      <c r="I24" s="3259"/>
      <c r="J24" s="3259"/>
      <c r="K24" s="3259"/>
      <c r="L24" s="3259"/>
      <c r="M24" s="3259"/>
      <c r="N24" s="3259"/>
      <c r="O24" s="3259"/>
      <c r="P24" s="3259"/>
      <c r="Q24" s="3259"/>
      <c r="R24" s="1415"/>
      <c r="S24" s="1436"/>
      <c r="U24" s="3269"/>
      <c r="V24" s="3290"/>
      <c r="X24" s="1436"/>
      <c r="Z24" s="1436"/>
      <c r="AA24" s="3267"/>
      <c r="AC24" s="3276"/>
      <c r="AD24" s="3276"/>
      <c r="AE24" s="3276"/>
    </row>
    <row r="25" spans="1:31" s="427" customFormat="1" ht="18.75" customHeight="1">
      <c r="C25" s="3271" t="s">
        <v>220</v>
      </c>
      <c r="D25" s="1418" t="s">
        <v>218</v>
      </c>
      <c r="E25" s="1419"/>
      <c r="F25" s="3259"/>
      <c r="G25" s="3259"/>
      <c r="H25" s="4273"/>
      <c r="I25" s="3259"/>
      <c r="J25" s="3259"/>
      <c r="K25" s="3259"/>
      <c r="L25" s="3259"/>
      <c r="M25" s="3259"/>
      <c r="N25" s="3259"/>
      <c r="O25" s="3259"/>
      <c r="P25" s="3259"/>
      <c r="Q25" s="3259"/>
      <c r="R25" s="1446"/>
      <c r="S25" s="1436"/>
      <c r="U25" s="3269"/>
      <c r="V25" s="3290"/>
      <c r="X25" s="1436"/>
      <c r="Z25" s="1436"/>
      <c r="AA25" s="3267"/>
      <c r="AC25" s="3276"/>
      <c r="AD25" s="3276"/>
      <c r="AE25" s="3276"/>
    </row>
    <row r="26" spans="1:31" s="427" customFormat="1" ht="18.75" customHeight="1">
      <c r="C26" s="3271" t="s">
        <v>221</v>
      </c>
      <c r="D26" s="1418" t="s">
        <v>218</v>
      </c>
      <c r="E26" s="1419"/>
      <c r="F26" s="3259"/>
      <c r="G26" s="3259"/>
      <c r="H26" s="4273"/>
      <c r="I26" s="3259"/>
      <c r="J26" s="3259"/>
      <c r="K26" s="3259"/>
      <c r="L26" s="3259"/>
      <c r="M26" s="3259"/>
      <c r="N26" s="3259"/>
      <c r="O26" s="3259"/>
      <c r="P26" s="3259"/>
      <c r="Q26" s="3259"/>
      <c r="R26" s="1415"/>
      <c r="S26" s="1436"/>
      <c r="U26" s="3269"/>
      <c r="V26" s="3290"/>
      <c r="X26" s="1436"/>
      <c r="Z26" s="1436"/>
      <c r="AA26" s="3267"/>
      <c r="AC26" s="3276"/>
      <c r="AD26" s="3276"/>
      <c r="AE26" s="3276"/>
    </row>
    <row r="27" spans="1:31" s="427" customFormat="1" ht="18.75" customHeight="1">
      <c r="C27" s="3271" t="s">
        <v>1588</v>
      </c>
      <c r="D27" s="1418" t="s">
        <v>218</v>
      </c>
      <c r="E27" s="1419"/>
      <c r="F27" s="3259">
        <v>474.49</v>
      </c>
      <c r="G27" s="3259">
        <v>610.75</v>
      </c>
      <c r="H27" s="4273">
        <f>+H23*H21%</f>
        <v>686.43065186203228</v>
      </c>
      <c r="I27" s="3259">
        <f>IF(I5="R+P",'R+P'!$J$47,IF(I5="Bdgt",BDGT!H22,""))</f>
        <v>489.7098804893073</v>
      </c>
      <c r="J27" s="3259">
        <f>IF(J5="R+P",'R+P'!$J$47,IF(J5="Bdgt",BDGT!I22,""))</f>
        <v>707.69561999999996</v>
      </c>
      <c r="K27" s="3259">
        <f>IF(K5="R+P",'R+P'!$J$47,IF(K5="Bdgt",BDGT!J22,""))</f>
        <v>688.46753999999999</v>
      </c>
      <c r="L27" s="3259">
        <f>IF(L5="R+P",'R+P'!$J$47,IF(L5="Bdgt",BDGT!K22,""))</f>
        <v>693.89582499999995</v>
      </c>
      <c r="M27" s="3259">
        <f>IF(M5="R+P",'R+P'!$J$47,IF(M5="Bdgt",BDGT!L22,""))</f>
        <v>674.08599500000003</v>
      </c>
      <c r="N27" s="3259">
        <f>IF(N5="R+P",'R+P'!$J$47,IF(N5="Bdgt",BDGT!M22,""))</f>
        <v>680.11226499999998</v>
      </c>
      <c r="O27" s="3259">
        <f>IF(O5="R+P",'R+P'!$J$47,IF(O5="Bdgt",BDGT!N22,""))</f>
        <v>717.30431999999996</v>
      </c>
      <c r="P27" s="3259">
        <f>IF(P5="R+P",'R+P'!$J$47,IF(P5="Bdgt",BDGT!O22,""))</f>
        <v>695.55525999999998</v>
      </c>
      <c r="Q27" s="3257">
        <f>IF(Q5="R+P",'R+P'!$J$47,IF(Q5="Bdgt",BDGT!P22,""))</f>
        <v>714.41492000000005</v>
      </c>
      <c r="R27" s="1415"/>
      <c r="S27" s="1394">
        <f>SUM(F27:Q27)</f>
        <v>7832.91227735134</v>
      </c>
      <c r="U27" s="3278">
        <f>IF(MONTH(Factores!$D$2)=1,SUM($F27:F27),IF(MONTH(Factores!$D$2)=2,SUM($F27:G27),IF(MONTH(Factores!$D$2)=3,SUM($F27:H27),IF(MONTH(Factores!$D$2)=4,SUM($F27:I27),IF(MONTH(Factores!$D$2)=5,SUM($F27:J27),IF(MONTH(Factores!$D$2)=6,SUM($F27:K27),IF(MONTH(Factores!$D$2)=7,SUM($F27:L27),IF(MONTH(Factores!$D$2)=8,SUM($F27:M27),IF(MONTH(Factores!$D$2)=9,SUM($F27:N27),IF(MONTH(Factores!$D$2)=10,SUM($F27:O27),IF(MONTH(Factores!$D$2)=11,SUM($F27:P27),IF(MONTH(Factores!$D$2)=12,SUM($F27:Q27)))))))))))))</f>
        <v>1771.6706518620322</v>
      </c>
      <c r="V27" s="1447">
        <f>IF(MONTH(Factores!$D$2)=1,SUMPRODUCT($F$15:$F$15,$F27:F27)/SUM($F$15:$F$15),IF(MONTH(Factores!$D$2)=2,SUMPRODUCT($F$15:$F$15,$F27:F27)/SUM($F$15:$F$15),IF(MONTH(Factores!$D$2)=3,SUMPRODUCT($F$15:$G$15,$F27:G27)/SUM($F$15:$G$15),IF(MONTH(Factores!$D$2)=4,SUMPRODUCT($F$15:$H$15,$F27:H27)/SUM($F$15:$H$15),IF(MONTH(Factores!$D$2)=5,SUMPRODUCT($F$15:$I$15,$F27:I27)/SUM($F$15:$I$15),IF(MONTH(Factores!$D$2)=6,SUMPRODUCT($F$15:$J$15,$F27:J27)/SUM($F$15:$J$15),IF(MONTH(Factores!$D$2)=7,SUMPRODUCT($F$15:$K$15,$F27:K27)/SUM($F$15:$K$15),IF(MONTH(Factores!$D$2)=8,SUMPRODUCT($F$15:$L$15,$F27:L27)/SUM($F$15:$L$15),IF(MONTH(Factores!$D$2)=9,SUMPRODUCT($F$15:$M$15,$F27:M27)/SUM($F$15:$M$15),IF(MONTH(Factores!$D$2)=10,SUMPRODUCT($F$15:$N$15,$F27:N27)/SUM($F$15:$N$15),IF(MONTH(Factores!$D$2)=11,SUMPRODUCT($F$15:$O$15,$F27:O27)/SUM($F$15:$O$15),IF(MONTH(Factores!$D$2)=12,SUMPRODUCT($F$15:$P$15,$F27:P27)/SUM($F$15:$P$15)))))))))))))</f>
        <v>551.08525055554753</v>
      </c>
      <c r="X27" s="1436"/>
      <c r="Z27" s="1436"/>
      <c r="AA27" s="3267"/>
      <c r="AC27" s="3276"/>
      <c r="AD27" s="3276"/>
      <c r="AE27" s="3276"/>
    </row>
    <row r="28" spans="1:31" s="427" customFormat="1" ht="13.5" customHeight="1">
      <c r="C28" s="3254"/>
      <c r="D28" s="3254"/>
      <c r="E28" s="3254"/>
      <c r="F28" s="3254"/>
      <c r="G28" s="3254"/>
      <c r="H28" s="4269"/>
      <c r="I28" s="3254"/>
      <c r="J28" s="3254"/>
      <c r="K28" s="3254"/>
      <c r="L28" s="3254"/>
      <c r="M28" s="3254"/>
      <c r="N28" s="3254"/>
      <c r="O28" s="3254"/>
      <c r="P28" s="3254"/>
      <c r="Q28" s="3254"/>
      <c r="R28" s="3254"/>
      <c r="S28" s="3254"/>
      <c r="T28" s="3254"/>
      <c r="U28" s="3254"/>
      <c r="V28" s="3254"/>
      <c r="W28" s="3254"/>
      <c r="X28" s="3254"/>
      <c r="Y28" s="3254"/>
      <c r="Z28" s="3254"/>
      <c r="AA28" s="3254"/>
      <c r="AB28" s="3254"/>
      <c r="AC28" s="3254"/>
    </row>
    <row r="29" spans="1:31" s="427" customFormat="1" ht="30" customHeight="1">
      <c r="A29" s="427" t="s">
        <v>975</v>
      </c>
      <c r="C29" s="3271" t="s">
        <v>223</v>
      </c>
      <c r="D29" s="1443" t="s">
        <v>48</v>
      </c>
      <c r="E29" s="1419"/>
      <c r="F29" s="3253">
        <v>0.52516576586130848</v>
      </c>
      <c r="G29" s="3253">
        <v>0.49560564088439679</v>
      </c>
      <c r="H29" s="4268">
        <f>IF(H5="R+P",'R+P'!$L$47,IF(H5="Bdgt",BDGT!G29,""))</f>
        <v>0.5187562183850154</v>
      </c>
      <c r="I29" s="3253">
        <f>IF(I5="R+P",'R+P'!$L$47,IF(I5="Bdgt",BDGT!H29,""))</f>
        <v>0.63704189198698991</v>
      </c>
      <c r="J29" s="3253">
        <f>IF(J5="R+P",'R+P'!$L$47,IF(J5="Bdgt",BDGT!I29,""))</f>
        <v>0.59109678083398087</v>
      </c>
      <c r="K29" s="3253">
        <f>IF(K5="R+P",'R+P'!$L$47,IF(K5="Bdgt",BDGT!J29,""))</f>
        <v>0.60545287776415124</v>
      </c>
      <c r="L29" s="3253">
        <f>IF(L5="R+P",'R+P'!$L$47,IF(L5="Bdgt",BDGT!K29,""))</f>
        <v>0.54789445382078417</v>
      </c>
      <c r="M29" s="3253">
        <f>IF(M5="R+P",'R+P'!$L$47,IF(M5="Bdgt",BDGT!L29,""))</f>
        <v>0.6886811649345963</v>
      </c>
      <c r="N29" s="3253">
        <f>IF(N5="R+P",'R+P'!$L$47,IF(N5="Bdgt",BDGT!M29,""))</f>
        <v>0.60633707854687813</v>
      </c>
      <c r="O29" s="3253">
        <f>IF(O5="R+P",'R+P'!$L$47,IF(O5="Bdgt",BDGT!N29,""))</f>
        <v>0.63541411872800913</v>
      </c>
      <c r="P29" s="3253">
        <f>IF(P5="R+P",'R+P'!$L$47,IF(P5="Bdgt",BDGT!O29,""))</f>
        <v>0.67569467246353854</v>
      </c>
      <c r="Q29" s="3253">
        <f>IF(Q5="R+P",'R+P'!$L$47,IF(Q5="Bdgt",BDGT!P29,""))</f>
        <v>0.69002820599001813</v>
      </c>
      <c r="R29" s="3291"/>
      <c r="S29" s="1448">
        <f>SUMPRODUCT(F29:Q29,F15:Q15)/SUM(F15:Q15)</f>
        <v>0.60375669321103564</v>
      </c>
      <c r="T29" s="3275"/>
      <c r="U29" s="3274">
        <f>IF(MONTH(Factores!$D$2)=1,SUMPRODUCT($F$15:$F$15,$F29:F29)/SUM($F$15:$F$15),IF(MONTH(Factores!$D$2)=2,SUMPRODUCT($F$15:$G$15,$F29:G29)/SUM($F$15:$G$15),IF(MONTH(Factores!$D$2)=3,SUMPRODUCT($F$15:$H$15,$F29:H29)/SUM($F$15:$H$15),IF(MONTH(Factores!$D$2)=4,SUMPRODUCT($F$15:$I$15,$F29:I29)/SUM($F$15:$I$15),IF(MONTH(Factores!$D$2)=5,SUMPRODUCT($F$15:$J$15,$F29:J29)/SUM($F$15:$J$15),IF(MONTH(Factores!$D$2)=6,SUMPRODUCT($F$15:$K$15,$F29:K29)/SUM($F$15:$K$15),IF(MONTH(Factores!$D$2)=7,SUMPRODUCT($F$15:$L$15,$F29:L29)/SUM($F$15:$L$15),IF(MONTH(Factores!$D$2)=8,SUMPRODUCT($F$15:$M$15,$F29:M29)/SUM($F$15:$M$15),IF(MONTH(Factores!$D$2)=9,SUMPRODUCT($F$15:$N$15,$F29:N29)/SUM($F$15:$N$15),IF(MONTH(Factores!$D$2)=10,SUMPRODUCT($F$15:$O$15,$F29:O29)/SUM($F$15:$O$15),IF(MONTH(Factores!$D$2)=11,SUMPRODUCT($F$15:$P$15,$F29:P29)/SUM($F$15:$P$15),IF(MONTH(Factores!$D$2)=12,SUMPRODUCT($F$15:$Q$15,$F29:Q29)/SUM($F$15:$Q$15)))))))))))))</f>
        <v>0.51253836495611338</v>
      </c>
      <c r="V29" s="1448">
        <f>IF(MONTH(Factores!$D$2)=1,SUMPRODUCT($F$15:$F$15,$F29:F29)/SUM($F$15:$F$15),IF(MONTH(Factores!$D$2)=2,SUMPRODUCT($F$15:$F$15,$F29:F29)/SUM($F$15:$F$15),IF(MONTH(Factores!$D$2)=3,SUMPRODUCT($F$15:$G$15,$F29:G29)/SUM($F$15:$G$15),IF(MONTH(Factores!$D$2)=4,SUMPRODUCT($F$15:$H$15,$F29:H29)/SUM($F$15:$H$15),IF(MONTH(Factores!$D$2)=5,SUMPRODUCT($F$15:$I$15,$F29:I29)/SUM($F$15:$I$15),IF(MONTH(Factores!$D$2)=6,SUMPRODUCT($F$15:$J$15,$F29:J29)/SUM($F$15:$J$15),IF(MONTH(Factores!$D$2)=7,SUMPRODUCT($F$15:$K$15,$F29:K29)/SUM($F$15:$K$15),IF(MONTH(Factores!$D$2)=8,SUMPRODUCT($F$15:$L$15,$F29:L29)/SUM($F$15:$L$15),IF(MONTH(Factores!$D$2)=9,SUMPRODUCT($F$15:$M$15,$F29:M29)/SUM($F$15:$M$15),IF(MONTH(Factores!$D$2)=10,SUMPRODUCT($F$15:$N$15,$F29:N29)/SUM($F$15:$N$15),IF(MONTH(Factores!$D$2)=11,SUMPRODUCT($F$15:$O$15,$F29:O29)/SUM($F$15:$O$15),IF(MONTH(Factores!$D$2)=12,SUMPRODUCT($F$15:$P$15,$F29:P29)/SUM($F$15:$P$15)))))))))))))</f>
        <v>0.50854925933657746</v>
      </c>
      <c r="W29" s="3273"/>
      <c r="X29" s="3292">
        <f>BDGT!R29</f>
        <v>0.60530185578174789</v>
      </c>
      <c r="Z29" s="3292">
        <f>S29-X29</f>
        <v>-1.5451625707122441E-3</v>
      </c>
      <c r="AA29" s="3267">
        <f>Z29/X29*100</f>
        <v>-0.25527140813349486</v>
      </c>
      <c r="AC29" s="3276">
        <f>(IF(F5="REAL",F29*F15,0)+IF(G5="REAL",G29*G15,0)+IF(H5="REAL",H29*H15,0)+IF(I5="REAL",I29*I15,0)+IF(J5="REAL",J29*J15,0)+IF(K5="REAL",K29*K15,0)+IF(L5="REAL",L29*L15,0)+IF(M5="REAL",M29*M15,0)+IF(N5="REAL",N29*N15,0)+IF(O5="REAL",O29*O15,0)+IF(P5="REAL",P29*P15,0)+IF(Q5="REAL",Q29*Q15,0))/AC15</f>
        <v>0.50854925933657746</v>
      </c>
      <c r="AD29" s="3276">
        <f>Real!K40</f>
        <v>0.49046726479369607</v>
      </c>
      <c r="AE29" s="3276">
        <f>(IF(F5="REAL",F29*F15,0)+IF(G5="REAL",G29*G15,0)+IF(H5="REAL",H29*H15,0)+IF(I5="REAL",I29*I15,0)+IF(J5="REAL",J29*J15,0)+IF(K5="REAL",K29*K15,0)+IF(L5="REAL",L29*L15,0)+IF(M5="REAL",M29*M15,0)+IF(N5="REAL",N29*N15,0)+IF(O5="REAL",O29*O15,0)+IF(P5="REAL",P29*P15,0)+IF(Q5="REAL",Q29*Q15,0)+AD15*AD29)/AE15</f>
        <v>0.50415578759188173</v>
      </c>
    </row>
    <row r="30" spans="1:31" s="427" customFormat="1" ht="30" customHeight="1">
      <c r="A30" s="427" t="s">
        <v>976</v>
      </c>
      <c r="C30" s="3271" t="s">
        <v>224</v>
      </c>
      <c r="D30" s="1443" t="s">
        <v>48</v>
      </c>
      <c r="E30" s="1419"/>
      <c r="F30" s="3257">
        <v>90.651454325273122</v>
      </c>
      <c r="G30" s="3257">
        <v>90.512384176816894</v>
      </c>
      <c r="H30" s="4272">
        <f>IF(H5="R+P",'R+P'!$M$47,IF(H5="Bdgt",BDGT!G30,""))</f>
        <v>90.397219242975567</v>
      </c>
      <c r="I30" s="3257">
        <f>IF(I5="R+P",'R+P'!$M$47,IF(I5="Bdgt",BDGT!H30,""))</f>
        <v>90.440219377357522</v>
      </c>
      <c r="J30" s="3257">
        <f>IF(J5="R+P",'R+P'!$M$47,IF(J5="Bdgt",BDGT!I30,""))</f>
        <v>90.080086556341016</v>
      </c>
      <c r="K30" s="3257">
        <f>IF(K5="R+P",'R+P'!$M$47,IF(K5="Bdgt",BDGT!J30,""))</f>
        <v>90.14666755520922</v>
      </c>
      <c r="L30" s="3257">
        <f>IF(L5="R+P",'R+P'!$M$47,IF(L5="Bdgt",BDGT!K30,""))</f>
        <v>90.688579548038277</v>
      </c>
      <c r="M30" s="3257">
        <f>IF(M5="R+P",'R+P'!$M$47,IF(M5="Bdgt",BDGT!L30,""))</f>
        <v>90.843901915011372</v>
      </c>
      <c r="N30" s="3257">
        <f>IF(N5="R+P",'R+P'!$M$47,IF(N5="Bdgt",BDGT!M30,""))</f>
        <v>90.564675720886868</v>
      </c>
      <c r="O30" s="3257">
        <f>IF(O5="R+P",'R+P'!$M$47,IF(O5="Bdgt",BDGT!N30,""))</f>
        <v>90.725115448434224</v>
      </c>
      <c r="P30" s="3257">
        <f>IF(P5="R+P",'R+P'!$M$47,IF(P5="Bdgt",BDGT!O30,""))</f>
        <v>91.141794753803609</v>
      </c>
      <c r="Q30" s="3257">
        <f>IF(Q5="R+P",'R+P'!$M$47,IF(Q5="Bdgt",BDGT!P30,""))</f>
        <v>91.28287412291094</v>
      </c>
      <c r="R30" s="3293"/>
      <c r="S30" s="1442">
        <f>SUMPRODUCT(F15:Q15,F29:Q29,F30:Q30)/SUMPRODUCT(F15:Q15,F29:Q29)</f>
        <v>90.647466988537573</v>
      </c>
      <c r="T30" s="3273"/>
      <c r="U30" s="3274">
        <f>IF(MONTH(Factores!$D$2)=1,SUMPRODUCT($F$15:$F$15,$F$29:$F$29,$F30:F30)/SUMPRODUCT($F$15:$F$15,$F$29:$F$29),IF(MONTH(Factores!$D$2)=2,SUMPRODUCT($F$15:$G$15,$F$29:$G$29,$F30:G30)/SUMPRODUCT($F$15:$G$15,$F$29:$G$29),IF(MONTH(Factores!$D$2)=3,SUMPRODUCT($F$15:$H$15,$F$29:$H$29,$F30:H30)/SUMPRODUCT($F$15:$H$15,$F$29:$H$29),IF(MONTH(Factores!$D$2)=4,SUMPRODUCT($F$15:$I$15,$F$29:$I$29,$F30:I30)/SUMPRODUCT($F$15:$I$15,$F$29:$I$29),IF(MONTH(Factores!$D$2)=5,SUMPRODUCT($F$15:$J$15,$F$29:$J$29,$F30:J30)/SUMPRODUCT($F$15:$J$15,$F$29:$J$29),IF(MONTH(Factores!$D$2)=6,SUMPRODUCT($F$15:$K$15,$F$29:$K$29,$F30:K30)/SUMPRODUCT($F$15:$K$15,$F$29:$K$29),IF(MONTH(Factores!$D$2)=7,SUMPRODUCT($F$15:$L$15,$F$29:$L$29,$F30:L30)/SUMPRODUCT($F$15:$L$15,$F$29:$L$29),IF(MONTH(Factores!$D$2)=8,SUMPRODUCT($F$15:$M$15,$F$29:$M$29,$F30:M30)/SUMPRODUCT($F$15:$M$15,$F$29:$M$29),IF(MONTH(Factores!$D$2)=9,SUMPRODUCT($F$15:$N$15,$F$29:$N$29,$F30:N30)/SUMPRODUCT($F$15:$N$15,$F$29:$N$29),IF(MONTH(Factores!$D$2)=10,SUMPRODUCT($F$15:$O$15,$F$29:$O$29,$F30:O30)/SUMPRODUCT($F$15:$O$15,$F$29:$O$29),IF(MONTH(Factores!$D$2)=11,SUMPRODUCT($F$15:$P$15,$F$29:$P$29,$F30:P30)/SUMPRODUCT($F$15:$P$15,$F$29:$P$29),IF(MONTH(Factores!$D$2)=12,SUMPRODUCT($F$15:$Q$15,$F$29:$Q$29,$F30:Q30)/SUMPRODUCT($F$15:$Q$15,$F$29:$Q$29)))))))))))))</f>
        <v>90.504839111115729</v>
      </c>
      <c r="V30" s="1442">
        <f>IF(MONTH(Factores!$D$2)=1,SUMPRODUCT($F$15:$F$15,$F$29:$F$29,$F30:F30)/SUMPRODUCT($F$15:$F$15,$F$29:$F$29),IF(MONTH(Factores!$D$2)=2,SUMPRODUCT($F$15:$F$15,$F$29:$F$29,$F30:F30)/SUMPRODUCT($F$15:$F$15,$F$29:$F$29),IF(MONTH(Factores!$D$2)=3,SUMPRODUCT($F$15:$G$15,$F$29:$G$29,$F30:G30)/SUMPRODUCT($F$15:$G$15,$F$29:$G$29),IF(MONTH(Factores!$D$2)=4,SUMPRODUCT($F$15:$H$15,$F$29:$H$29,$F30:H30)/SUMPRODUCT($F$15:$H$15,$F$29:$H$29),IF(MONTH(Factores!$D$2)=5,SUMPRODUCT($F$15:$I$15,$F$29:$I$29,$F30:I30)/SUMPRODUCT($F$15:$I$15,$F$29:$I$29),IF(MONTH(Factores!$D$2)=6,SUMPRODUCT($F$15:$J$15,$F$29:$J$29,$F30:J30)/SUMPRODUCT($F$15:$J$15,$F$29:$J$29),IF(MONTH(Factores!$D$2)=7,SUMPRODUCT($F$15:$K$15,$F$29:$K$29,$F30:K30)/SUMPRODUCT($F$15:$K$15,$F$29:$K$29),IF(MONTH(Factores!$D$2)=8,SUMPRODUCT($F$15:$L$15,$F$29:$L$29,$F30:L30)/SUMPRODUCT($F$15:$L$15,$F$29:$L$29),IF(MONTH(Factores!$D$2)=9,SUMPRODUCT($F$15:$M$15,$F$29:$M$29,$F30:M30)/SUMPRODUCT($F$15:$M$15,$F$29:$M$29),IF(MONTH(Factores!$D$2)=10,SUMPRODUCT($F$15:$N$15,$F$29:$N$29,$F30:N30)/SUMPRODUCT($F$15:$N$15,$F$29:$N$29),IF(MONTH(Factores!$D$2)=11,SUMPRODUCT($F$15:$O$15,$F$29:$O$29,$F30:O30)/SUMPRODUCT($F$15:$O$15,$F$29:$O$29),IF(MONTH(Factores!$D$2)=12,SUMPRODUCT($F$15:$P$15,$F$29:$P$29,$F30:P30)/SUMPRODUCT($F$15:$P$15,$F$29:$P$29)))))))))))))</f>
        <v>90.575269129224452</v>
      </c>
      <c r="X30" s="1442">
        <f>BDGT!R30</f>
        <v>90.546524499481052</v>
      </c>
      <c r="Z30" s="3294">
        <f>S30-X30</f>
        <v>0.10094248905652137</v>
      </c>
      <c r="AA30" s="3267">
        <f>Z30/X30*100</f>
        <v>0.11148135128819869</v>
      </c>
      <c r="AB30" s="3295"/>
      <c r="AC30" s="3276">
        <f>(IF(F5="REAL",F29*F15*F30,0)+IF(G5="REAL",G29*G15*G30,0)+IF(H5="REAL",H29*H15*H30,0)+IF(I5="REAL",I29*I15*I30,0)+IF(J5="REAL",J29*J15*J30,0)+IF(K5="REAL",K29*K15*K30,0)+IF(L5="REAL",L29*L15*L30,0)+IF(M5="REAL",M29*M15*M30,0)+IF(N5="REAL",N29*N15*N30,0)+IF(O5="REAL",O29*O15*O30,0)+IF(P5="REAL",P29*P15*P30,0)+IF(Q5="REAL",Q29*Q15*Q30,0))/(IF(F5="REAL",F29*F15,0)+IF(G5="REAL",G29*G15,0)+IF(H5="REAL",H29*H15,0)+IF(I5="REAL",I29*I15,0)+IF(J5="REAL",J29*J15,0)+IF(K5="REAL",K29*K15,0)+IF(L5="REAL",L29*L15,0)+IF(M5="REAL",M29*M15,0)+IF(N5="REAL",N29*N15,0)+IF(O5="REAL",O29*O15,0)+IF(P5="REAL",P29*P15,0)+IF(Q5="REAL",Q29*Q15,0))</f>
        <v>90.575269129224452</v>
      </c>
      <c r="AD30" s="3276">
        <f>Real!L40</f>
        <v>90.621181612764147</v>
      </c>
      <c r="AE30" s="3276">
        <f>(IF(F5="REAL",F29*F15*F30,0)+IF(G5="REAL",G29*G15*G30,0)+IF(H5="REAL",H29*H15*H30,0)+IF(I5="REAL",I29*I15*I30,0)+IF(J5="REAL",J29*J15*J30,0)+IF(K5="REAL",K29*K15*K30,0)+IF(L5="REAL",L29*L15*L30,0)+IF(M5="REAL",M29*M15*M30,0)+IF(N5="REAL",N29*N15*N30,0)+IF(O5="REAL",O29*O15*O30,0)+IF(P5="REAL",P29*P15*P30,0)+IF(Q5="REAL",Q29*Q15*Q30,0)+AD15*AD29*AD30)/(IF(F5="REAL",F29*F15,0)+IF(G5="REAL",G29*G15,0)+IF(H5="REAL",H29*H15,0)+IF(I5="REAL",I29*I15,0)+IF(J5="REAL",J29*J15,0)+IF(K5="REAL",K29*K15,0)+IF(L5="REAL",L29*L15,0)+IF(M5="REAL",M29*M15,0)+IF(N5="REAL",N29*N15,0)+IF(O5="REAL",O29*O15,0)+IF(P5="REAL",P29*P15,0)+IF(Q5="REAL",Q29*Q15,0)+AD15*AD29)</f>
        <v>90.586121823251048</v>
      </c>
    </row>
    <row r="31" spans="1:31" s="427" customFormat="1" ht="30" customHeight="1">
      <c r="A31" s="427" t="s">
        <v>977</v>
      </c>
      <c r="C31" s="3271" t="s">
        <v>225</v>
      </c>
      <c r="D31" s="1443" t="s">
        <v>204</v>
      </c>
      <c r="E31" s="1419"/>
      <c r="F31" s="3253">
        <v>70.931306150247394</v>
      </c>
      <c r="G31" s="3253">
        <v>84.453190956582219</v>
      </c>
      <c r="H31" s="4268">
        <f>IF(H5="R+P",'R+P'!$P$47/1000,IF(H5="Bdgt",BDGT!G32,""))</f>
        <v>103.61851052323014</v>
      </c>
      <c r="I31" s="3253">
        <f>IF(I5="R+P",'R+P'!$P$47/1000,IF(I5="Bdgt",BDGT!H32,""))</f>
        <v>78.045538606281255</v>
      </c>
      <c r="J31" s="3253">
        <f>IF(J5="R+P",'R+P'!$P$47/1000,IF(J5="Bdgt",BDGT!I32,""))</f>
        <v>114.67985592043745</v>
      </c>
      <c r="K31" s="3253">
        <f>IF(K5="R+P",'R+P'!$P$47/1000,IF(K5="Bdgt",BDGT!J32,""))</f>
        <v>117.12857977934337</v>
      </c>
      <c r="L31" s="3253">
        <f>IF(L5="R+P",'R+P'!$P$47/1000,IF(L5="Bdgt",BDGT!K32,""))</f>
        <v>109.44743428939684</v>
      </c>
      <c r="M31" s="3253">
        <f>IF(M5="R+P",'R+P'!$P$47/1000,IF(M5="Bdgt",BDGT!L32,""))</f>
        <v>124.87632373805671</v>
      </c>
      <c r="N31" s="3253">
        <f>IF(N5="R+P",'R+P'!$P$47/1000,IF(N5="Bdgt",BDGT!M32,""))</f>
        <v>113.59857596095441</v>
      </c>
      <c r="O31" s="3253">
        <f>IF(O5="R+P",'R+P'!$P$47/1000,IF(O5="Bdgt",BDGT!N32,""))</f>
        <v>126.99611083551126</v>
      </c>
      <c r="P31" s="3253">
        <f>IF(P5="R+P",'R+P'!$P$47/1000,IF(P5="Bdgt",BDGT!O32,""))</f>
        <v>125.91159715948285</v>
      </c>
      <c r="Q31" s="3253">
        <f>IF(Q5="R+P",'R+P'!$P$47/1000,IF(Q5="Bdgt",BDGT!P32,""))</f>
        <v>142.34322439793107</v>
      </c>
      <c r="R31" s="3296"/>
      <c r="S31" s="1448">
        <f>SUM(F31:Q31)</f>
        <v>1312.0302483174551</v>
      </c>
      <c r="T31" s="3282"/>
      <c r="U31" s="3274">
        <f>IF(MONTH(Factores!$D$2)=1,SUM($F31:F31),IF(MONTH(Factores!$D$2)=2,SUM($F31:G31),IF(MONTH(Factores!$D$2)=3,SUM($F31:H31),IF(MONTH(Factores!$D$2)=4,SUM($F31:I31),IF(MONTH(Factores!$D$2)=5,SUM($F31:J31),IF(MONTH(Factores!$D$2)=6,SUM($F31:K31),IF(MONTH(Factores!$D$2)=7,SUM($F31:L31),IF(MONTH(Factores!$D$2)=8,SUM($F31:M31),IF(MONTH(Factores!$D$2)=9,SUM($F31:N31),IF(MONTH(Factores!$D$2)=10,SUM($F31:O31),IF(MONTH(Factores!$D$2)=11,SUM($F31:P31),IF(MONTH(Factores!$D$2)=12,SUM($F31:Q31)))))))))))))</f>
        <v>259.00300763005976</v>
      </c>
      <c r="V31" s="1448">
        <f>IF(MONTH(Factores!$D$2)=1,SUM($F31:F31),IF(MONTH(Factores!$D$2)=2,SUM($F31:F31),IF(MONTH(Factores!$D$2)=3,SUM($F31:G31),IF(MONTH(Factores!$D$2)=4,SUM($F31:H31),IF(MONTH(Factores!$D$2)=5,SUM($F31:I31),IF(MONTH(Factores!$D$2)=6,SUM($F31:J31),IF(MONTH(Factores!$D$2)=7,SUM($F31:K31),IF(MONTH(Factores!$D$2)=8,SUM($F31:L31),IF(MONTH(Factores!$D$2)=9,SUM($F31:M31),IF(MONTH(Factores!$D$2)=10,SUM($F31:N31),IF(MONTH(Factores!$D$2)=11,SUM($F31:O31),IF(MONTH(Factores!$D$2)=12,SUM($F31:P31)))))))))))))</f>
        <v>155.3844971068296</v>
      </c>
      <c r="X31" s="1422">
        <f>BDGT!R32</f>
        <v>27.762152298751158</v>
      </c>
      <c r="Z31" s="3292">
        <f>S31-X31</f>
        <v>1284.268096018704</v>
      </c>
      <c r="AA31" s="3267">
        <f>Z31/X31*100</f>
        <v>4625.9673320662359</v>
      </c>
      <c r="AC31" s="3276">
        <f>SUMIF($F$5:$Q$5,"=REAL",F31:Q31)</f>
        <v>155.3844971068296</v>
      </c>
      <c r="AD31" s="3276">
        <f>Real!N40/1000</f>
        <v>50.032931921419269</v>
      </c>
      <c r="AE31" s="3276">
        <f>SUM(AC31:AD31)</f>
        <v>205.41742902824888</v>
      </c>
    </row>
    <row r="32" spans="1:31" s="427" customFormat="1" ht="30" customHeight="1">
      <c r="A32" s="427" t="s">
        <v>978</v>
      </c>
      <c r="C32" s="3271" t="s">
        <v>226</v>
      </c>
      <c r="D32" s="3297" t="s">
        <v>48</v>
      </c>
      <c r="E32" s="1419"/>
      <c r="F32" s="3256">
        <v>26.728671999999996</v>
      </c>
      <c r="G32" s="3256">
        <v>27.147358000000001</v>
      </c>
      <c r="H32" s="4271">
        <f>IF(H5="R+P",'R+P'!$N$47,IF(H5="Bdgt",BDGT!G33,""))</f>
        <v>26.406498338258178</v>
      </c>
      <c r="I32" s="3256">
        <f>IF(I5="R+P",'R+P'!$N$47,IF(I5="Bdgt",BDGT!H33,""))</f>
        <v>29.384912310266678</v>
      </c>
      <c r="J32" s="3256">
        <f>IF(J5="R+P",'R+P'!$N$47,IF(J5="Bdgt",BDGT!I33,""))</f>
        <v>28.459003466684429</v>
      </c>
      <c r="K32" s="3256">
        <f>IF(K5="R+P",'R+P'!$N$47,IF(K5="Bdgt",BDGT!J33,""))</f>
        <v>27.764251820706054</v>
      </c>
      <c r="L32" s="3256">
        <f>IF(L5="R+P",'R+P'!$N$47,IF(L5="Bdgt",BDGT!K33,""))</f>
        <v>26.487162070958941</v>
      </c>
      <c r="M32" s="3256">
        <f>IF(M5="R+P",'R+P'!$N$47,IF(M5="Bdgt",BDGT!L33,""))</f>
        <v>28.647968978267031</v>
      </c>
      <c r="N32" s="3256">
        <f>IF(N5="R+P",'R+P'!$N$47,IF(N5="Bdgt",BDGT!M33,""))</f>
        <v>27.499346132202255</v>
      </c>
      <c r="O32" s="3256">
        <f>IF(O5="R+P",'R+P'!$N$47,IF(O5="Bdgt",BDGT!N33,""))</f>
        <v>27.211015978913693</v>
      </c>
      <c r="P32" s="3256">
        <f>IF(P5="R+P",'R+P'!$N$47,IF(P5="Bdgt",BDGT!O33,""))</f>
        <v>27.283659063515099</v>
      </c>
      <c r="Q32" s="3256">
        <f>IF(Q5="R+P",'R+P'!$N$47,IF(Q5="Bdgt",BDGT!P33,""))</f>
        <v>27.257915039881059</v>
      </c>
      <c r="R32" s="3296"/>
      <c r="S32" s="1447">
        <f>S10/S31*100</f>
        <v>27.518495975577316</v>
      </c>
      <c r="T32" s="3282"/>
      <c r="U32" s="3274">
        <f>U10/U31*100</f>
        <v>26.736302080312278</v>
      </c>
      <c r="V32" s="1447">
        <f>V10/V31*100</f>
        <v>26.956232466888359</v>
      </c>
      <c r="W32" s="3282"/>
      <c r="X32" s="1447">
        <f>BDGT!R33</f>
        <v>27.762152298751158</v>
      </c>
      <c r="Y32" s="3282"/>
      <c r="Z32" s="1447">
        <f>S32-X32</f>
        <v>-0.24365632317384112</v>
      </c>
      <c r="AA32" s="3267">
        <f>Z32/X32*100</f>
        <v>-0.87765646031990707</v>
      </c>
      <c r="AB32" s="3295"/>
      <c r="AC32" s="3276">
        <f>AC10/AC31*100</f>
        <v>26.956232466888359</v>
      </c>
      <c r="AD32" s="3276">
        <f>Real!M40</f>
        <v>25.931627028181765</v>
      </c>
      <c r="AE32" s="3276">
        <f>AE10/AE31*100</f>
        <v>26.70667226937428</v>
      </c>
    </row>
    <row r="33" spans="1:31" s="3263" customFormat="1">
      <c r="B33" s="427"/>
      <c r="C33" s="427"/>
      <c r="D33" s="1415"/>
      <c r="E33" s="1415"/>
      <c r="F33" s="1415"/>
      <c r="G33" s="1415"/>
      <c r="H33" s="4274"/>
      <c r="I33" s="1415"/>
      <c r="J33" s="1415"/>
      <c r="K33" s="1415"/>
      <c r="L33" s="1415"/>
      <c r="M33" s="1415"/>
      <c r="N33" s="1415"/>
      <c r="O33" s="1415"/>
      <c r="P33" s="1415"/>
      <c r="Q33" s="1413"/>
      <c r="R33" s="427"/>
      <c r="S33" s="1415"/>
      <c r="T33" s="427"/>
      <c r="U33" s="3269"/>
      <c r="V33" s="3268"/>
      <c r="W33" s="427"/>
      <c r="X33" s="1415"/>
      <c r="Y33" s="427"/>
      <c r="Z33" s="1415"/>
      <c r="AA33" s="3298"/>
      <c r="AB33" s="427"/>
      <c r="AC33" s="427"/>
      <c r="AD33" s="427"/>
      <c r="AE33" s="427"/>
    </row>
    <row r="34" spans="1:31" s="1444" customFormat="1" ht="30" customHeight="1">
      <c r="A34" s="1444" t="s">
        <v>979</v>
      </c>
      <c r="C34" s="3299" t="s">
        <v>227</v>
      </c>
      <c r="D34" s="3300" t="s">
        <v>95</v>
      </c>
      <c r="E34" s="3301"/>
      <c r="F34" s="3260">
        <v>192.60869814129398</v>
      </c>
      <c r="G34" s="3260">
        <v>192.467801497751</v>
      </c>
      <c r="H34" s="4275">
        <f>IF(H$5="R+P",'R+P'!$S$47,IF(H$5="Bdgt",BDGT!G35,""))</f>
        <v>192.88224256745204</v>
      </c>
      <c r="I34" s="3260">
        <f>IF(I$5="R+P",'R+P'!$S$47,IF(I$5="Bdgt",BDGT!H35,""))</f>
        <v>151.11835423943415</v>
      </c>
      <c r="J34" s="3260">
        <f>IF(J$5="R+P",'R+P'!$S$47,IF(J$5="Bdgt",BDGT!I35,""))</f>
        <v>252.62383173540093</v>
      </c>
      <c r="K34" s="3260">
        <f>IF(K$5="R+P",'R+P'!$S$47,IF(K$5="Bdgt",BDGT!J35,""))</f>
        <v>148.28931286590435</v>
      </c>
      <c r="L34" s="3260">
        <f>IF(L$5="R+P",'R+P'!$S$47,IF(L$5="Bdgt",BDGT!K35,""))</f>
        <v>151.23353377959347</v>
      </c>
      <c r="M34" s="3260">
        <f>IF(M$5="R+P",'R+P'!$S$47,IF(M$5="Bdgt",BDGT!L35,""))</f>
        <v>175.85869940108665</v>
      </c>
      <c r="N34" s="3260">
        <f>IF(N$5="R+P",'R+P'!$S$47,IF(N$5="Bdgt",BDGT!M35,""))</f>
        <v>218.50604796431512</v>
      </c>
      <c r="O34" s="3260">
        <f>IF(O$5="R+P",'R+P'!$S$47,IF(O$5="Bdgt",BDGT!N35,""))</f>
        <v>183.38989605310553</v>
      </c>
      <c r="P34" s="3260">
        <f>IF(P$5="R+P",'R+P'!$S$47,IF(P$5="Bdgt",BDGT!O35,""))</f>
        <v>134.74752575300215</v>
      </c>
      <c r="Q34" s="3260">
        <f>IF(Q$5="R+P",'R+P'!$S$47,IF(Q$5="Bdgt",BDGT!P35,""))</f>
        <v>170.13401958349039</v>
      </c>
      <c r="R34" s="1428"/>
      <c r="S34" s="3302">
        <f>SUMPRODUCT(F34:Q34,F15:Q15)/SUM(F15:Q15)</f>
        <v>180.98546275925418</v>
      </c>
      <c r="U34" s="3302">
        <f>IF(MONTH(Factores!$D$2)=1,SUMPRODUCT($F$15:$F$15,$F34:F34)/SUM($F$15:$F$15),IF(MONTH(Factores!$D$2)=2,SUMPRODUCT($F$15:$G$15,$F34:G34)/SUM($F$15:$G$15),IF(MONTH(Factores!$D$2)=3,SUMPRODUCT($F$15:$H$15,$F34:H34)/SUM($F$15:$H$15),IF(MONTH(Factores!$D$2)=4,SUMPRODUCT($F$15:$I$15,$F34:I34)/SUM($F$15:$I$15),IF(MONTH(Factores!$D$2)=5,SUMPRODUCT($F$15:$J$15,$F34:J34)/SUM($F$15:$J$15),IF(MONTH(Factores!$D$2)=6,SUMPRODUCT($F$15:$K$15,$F34:K34)/SUM($F$15:$K$15),IF(MONTH(Factores!$D$2)=7,SUMPRODUCT($F$15:$L$15,$F34:L34)/SUM($F$15:$L$15),IF(MONTH(Factores!$D$2)=8,SUMPRODUCT($F$15:$M$15,$F34:M34)/SUM($F$15:$M$15),IF(MONTH(Factores!$D$2)=9,SUMPRODUCT($F$15:$N$15,$F34:N34)/SUM($F$15:$N$15),IF(MONTH(Factores!$D$2)=10,SUMPRODUCT($F$15:$O$15,$F34:O34)/SUM($F$15:$O$15),IF(MONTH(Factores!$D$2)=11,SUMPRODUCT($F$15:$P$15,$F34:P34)/SUM($F$15:$P$15),IF(MONTH(Factores!$D$2)=12,SUMPRODUCT($F$15:$Q$15,$F34:Q34)/SUM($F$15:$Q$15)))))))))))))</f>
        <v>192.66735748300661</v>
      </c>
      <c r="V34" s="3302">
        <f>IF(MONTH(Factores!$D$2)=1,SUMPRODUCT($F$15:$F$15,$F34:F34)/SUM($F$15:$F$15),IF(MONTH(Factores!$D$2)=2,SUMPRODUCT($F$15:$F$15,$F34:F34)/SUM($F$15:$F$15),IF(MONTH(Factores!$D$2)=3,SUMPRODUCT($F$15:$G$15,$F34:G34)/SUM($F$15:$G$15),IF(MONTH(Factores!$D$2)=4,SUMPRODUCT($F$15:$H$15,$F34:H34)/SUM($F$15:$H$15),IF(MONTH(Factores!$D$2)=5,SUMPRODUCT($F$15:$I$15,$F34:I34)/SUM($F$15:$I$15),IF(MONTH(Factores!$D$2)=6,SUMPRODUCT($F$15:$J$15,$F34:J34)/SUM($F$15:$J$15),IF(MONTH(Factores!$D$2)=7,SUMPRODUCT($F$15:$K$15,$F34:K34)/SUM($F$15:$K$15),IF(MONTH(Factores!$D$2)=8,SUMPRODUCT($F$15:$L$15,$F34:L34)/SUM($F$15:$L$15),IF(MONTH(Factores!$D$2)=9,SUMPRODUCT($F$15:$M$15,$F34:M34)/SUM($F$15:$M$15),IF(MONTH(Factores!$D$2)=10,SUMPRODUCT($F$15:$N$15,$F34:N34)/SUM($F$15:$N$15),IF(MONTH(Factores!$D$2)=11,SUMPRODUCT($F$15:$O$15,$F34:O34)/SUM($F$15:$O$15),IF(MONTH(Factores!$D$2)=12,SUMPRODUCT($F$15:$P$15,$F34:P34)/SUM($F$15:$P$15)))))))))))))</f>
        <v>192.5294965141502</v>
      </c>
      <c r="X34" s="3302">
        <f>BDGT!R35</f>
        <v>182.14572923375275</v>
      </c>
      <c r="Z34" s="3302">
        <f t="shared" ref="Z34:Z39" si="11">S34-X34</f>
        <v>-1.1602664744985702</v>
      </c>
      <c r="AA34" s="3302">
        <f t="shared" ref="AA34:AA39" si="12">Z34/X34*100</f>
        <v>-0.63699900040454283</v>
      </c>
      <c r="AC34" s="1544">
        <f>(IF(F5="REAL",F34*F15,0)+IF(G5="REAL",G34*G15,0)+IF(H5="REAL",H34*H15,0)+IF(I5="REAL",I34*I15,0)+IF(J5="REAL",J34*J15,0)+IF(K5="REAL",K34*K15,0)+IF(L5="REAL",L34*L15,0)+IF(M5="REAL",M34*M15,0)+IF(N5="REAL",N34*N15,0)+IF(O5="REAL",O34*O15,0)+IF(P5="REAL",P34*P15,0)+IF(Q5="REAL",Q34*Q15,0))/AC15</f>
        <v>192.5294965141502</v>
      </c>
      <c r="AD34" s="1544">
        <f>Real!R40</f>
        <v>209.05586014639971</v>
      </c>
      <c r="AE34" s="1544">
        <f>(IF(F5="REAL",F34*F15,0)+IF(G5="REAL",G34*G15,0)+IF(H5="REAL",H34*H15,0)+IF(I5="REAL",I34*I15,0)+IF(J5="REAL",J34*J15,0)+IF(K5="REAL",K34*K15,0)+IF(L5="REAL",L34*L15,0)+IF(M5="REAL",M34*M15,0)+IF(N5="REAL",N34*N15,0)+IF(O5="REAL",O34*O15,0)+IF(P5="REAL",P34*P15,0)+IF(Q5="REAL",Q34*Q15,0)+AD15*AD34)/AE15</f>
        <v>196.54498891398828</v>
      </c>
    </row>
    <row r="35" spans="1:31" s="427" customFormat="1" ht="30" customHeight="1">
      <c r="A35" s="427" t="s">
        <v>980</v>
      </c>
      <c r="C35" s="3271" t="s">
        <v>228</v>
      </c>
      <c r="D35" s="1443" t="s">
        <v>48</v>
      </c>
      <c r="E35" s="1419"/>
      <c r="F35" s="3261">
        <v>81.615070081093577</v>
      </c>
      <c r="G35" s="3261">
        <v>78.07858606769291</v>
      </c>
      <c r="H35" s="4276">
        <f>IF(H$5="R+P",'R+P'!$V$47,IF(H$5="Bdgt",BDGT!G36,""))</f>
        <v>80.64650541173333</v>
      </c>
      <c r="I35" s="3261">
        <f>IF(I$5="R+P",'R+P'!$V$47,IF(I$5="Bdgt",BDGT!H36,""))</f>
        <v>82.085673282578924</v>
      </c>
      <c r="J35" s="3261">
        <f>IF(J$5="R+P",'R+P'!$V$47,IF(J$5="Bdgt",BDGT!I36,""))</f>
        <v>84.745152570450486</v>
      </c>
      <c r="K35" s="3261">
        <f>IF(K$5="R+P",'R+P'!$V$47,IF(K$5="Bdgt",BDGT!J36,""))</f>
        <v>81.988669104169929</v>
      </c>
      <c r="L35" s="3261">
        <f>IF(L$5="R+P",'R+P'!$V$47,IF(L$5="Bdgt",BDGT!K36,""))</f>
        <v>82.215766684307383</v>
      </c>
      <c r="M35" s="3261">
        <f>IF(M$5="R+P",'R+P'!$V$47,IF(M$5="Bdgt",BDGT!L36,""))</f>
        <v>82.993373423166616</v>
      </c>
      <c r="N35" s="3261">
        <f>IF(N$5="R+P",'R+P'!$V$47,IF(N$5="Bdgt",BDGT!M36,""))</f>
        <v>84.119032170717716</v>
      </c>
      <c r="O35" s="3261">
        <f>IF(O$5="R+P",'R+P'!$V$47,IF(O$5="Bdgt",BDGT!N36,""))</f>
        <v>83.210175540340757</v>
      </c>
      <c r="P35" s="3261">
        <f>IF(P$5="R+P",'R+P'!$V$47,IF(P$5="Bdgt",BDGT!O36,""))</f>
        <v>81.623273653396012</v>
      </c>
      <c r="Q35" s="3261">
        <f>IF(Q$5="R+P",'R+P'!$V$47,IF(Q$5="Bdgt",BDGT!P36,""))</f>
        <v>82.822470907493127</v>
      </c>
      <c r="R35" s="3303"/>
      <c r="S35" s="1432">
        <f>SUMPRODUCT(F15:Q15,F34:Q34,F35:Q35)/SUMPRODUCT(F15:Q15,F34:Q34)</f>
        <v>82.364123369797568</v>
      </c>
      <c r="T35" s="3304"/>
      <c r="U35" s="3302">
        <f>IF(MONTH(Factores!$D$2)=1,SUMPRODUCT($F$15:$F$15,$F$34:$F$34,$F35:F35)/SUMPRODUCT($F$15:$F$15,$F$34:$F$34),IF(MONTH(Factores!$D$2)=2,SUMPRODUCT($F$15:$G$15,$F$34:$G$34,$F35:G35)/SUMPRODUCT($F$15:$G$15,$F$34:$G$34),IF(MONTH(Factores!$D$2)=3,SUMPRODUCT($F$15:$H$15,$F$34:$H$34,$F35:H35)/SUMPRODUCT($F$15:$H$15,$F$34:$H$34),IF(MONTH(Factores!$D$2)=4,SUMPRODUCT($F$15:$I$15,$F$34:$I$34,$F35:I35)/SUMPRODUCT($F$15:$I$15,$F$34:$I$34),IF(MONTH(Factores!$D$2)=5,SUMPRODUCT($F$15:$J$15,$F$34:$J$34,$F35:J35)/SUMPRODUCT($F$15:$J$15,$F$34:$J$34),IF(MONTH(Factores!$D$2)=6,SUMPRODUCT($F$15:$K$15,$F$34:$K$34,$F35:K35)/SUMPRODUCT($F$15:$K$15,$F$34:$K$34),IF(MONTH(Factores!$D$2)=7,SUMPRODUCT($F$15:$L$15,$F$34:$L$34,$F35:L35)/SUMPRODUCT($F$15:$L$15,$F$34:$L$34),IF(MONTH(Factores!$D$2)=8,SUMPRODUCT($F$15:$M$15,$F$34:$M$34,$F35:M35)/SUMPRODUCT($F$15:$M$15,$F$34:$M$34),IF(MONTH(Factores!$D$2)=9,SUMPRODUCT($F$15:$N$15,$F$34:$N$34,$F35:N35)/SUMPRODUCT($F$15:$N$15,$F$34:$N$34),IF(MONTH(Factores!$D$2)=10,SUMPRODUCT($F$15:$O$15,$F$34:$O$34,$F35:O35)/SUMPRODUCT($F$15:$O$15,$F$34:$O$34),IF(MONTH(Factores!$D$2)=11,SUMPRODUCT($F$15:$P$15,$F$34:$P$34,$F35:P35)/SUMPRODUCT($F$15:$P$15,$F$34:$P$34),IF(MONTH(Factores!$D$2)=12,SUMPRODUCT($F$15:$Q$15,$F$34:$Q$34,$F35:Q35)/SUMPRODUCT($F$15:$Q$15,$F$34:$Q$34)))))))))))))</f>
        <v>80.026351406553701</v>
      </c>
      <c r="V35" s="1432">
        <f>IF(MONTH(Factores!$D$2)=1,SUMPRODUCT($F$15:$F$15,$F$34:$F$34,$F35:F35)/SUMPRODUCT($F$15:$F$15,$F$34:$F$34),IF(MONTH(Factores!$D$2)=2,SUMPRODUCT($F$15:$F$15,$F$34:$F$34,$F35:F35)/SUMPRODUCT($F$15:$F$15,$F$34:$F$34),IF(MONTH(Factores!$D$2)=3,SUMPRODUCT($F$15:$G$15,$F$34:$G$34,$F35:G35)/SUMPRODUCT($F$15:$G$15,$F$34:$G$34),IF(MONTH(Factores!$D$2)=4,SUMPRODUCT($F$15:$H$15,$F$34:$H$34,$F35:H35)/SUMPRODUCT($F$15:$H$15,$F$34:$H$34),IF(MONTH(Factores!$D$2)=5,SUMPRODUCT($F$15:$I$15,$F$34:$I$34,$F35:I35)/SUMPRODUCT($F$15:$I$15,$F$34:$I$34),IF(MONTH(Factores!$D$2)=6,SUMPRODUCT($F$15:$J$15,$F$34:$J$34,$F35:J35)/SUMPRODUCT($F$15:$J$15,$F$34:$J$34),IF(MONTH(Factores!$D$2)=7,SUMPRODUCT($F$15:$K$15,$F$34:$K$34,$F35:K35)/SUMPRODUCT($F$15:$K$15,$F$34:$K$34),IF(MONTH(Factores!$D$2)=8,SUMPRODUCT($F$15:$L$15,$F$34:$L$34,$F35:L35)/SUMPRODUCT($F$15:$L$15,$F$34:$L$34),IF(MONTH(Factores!$D$2)=9,SUMPRODUCT($F$15:$M$15,$F$34:$M$34,$F35:M35)/SUMPRODUCT($F$15:$M$15,$F$34:$M$34),IF(MONTH(Factores!$D$2)=10,SUMPRODUCT($F$15:$N$15,$F$34:$N$34,$F35:N35)/SUMPRODUCT($F$15:$N$15,$F$34:$N$34),IF(MONTH(Factores!$D$2)=11,SUMPRODUCT($F$15:$O$15,$F$34:$O$34,$F35:O35)/SUMPRODUCT($F$15:$O$15,$F$34:$O$34),IF(MONTH(Factores!$D$2)=12,SUMPRODUCT($F$15:$P$15,$F$34:$P$34,$F35:P35)/SUMPRODUCT($F$15:$P$15,$F$34:$P$34)))))))))))))</f>
        <v>79.627758487315631</v>
      </c>
      <c r="X35" s="1429">
        <f>BDGT!R36</f>
        <v>83.233653894351761</v>
      </c>
      <c r="Z35" s="3267">
        <f t="shared" si="11"/>
        <v>-0.86953052455419311</v>
      </c>
      <c r="AA35" s="3267">
        <f t="shared" si="12"/>
        <v>-1.0446862343180148</v>
      </c>
      <c r="AB35" s="3295"/>
      <c r="AC35" s="3276">
        <f>(IF(F5="REAL",F34*F15*F35,0)+IF(G5="REAL",G34*G15*G35,0)+IF(H5="REAL",H34*H15*H35,0)+IF(I5="REAL",I34*I15*I35,0)+IF(J5="REAL",J34*J15*J35,0)+IF(K5="REAL",K34*K15*K35,0)+IF(L5="REAL",L34*L15*L35,0)+IF(M5="REAL",M34*M15*M35,0)+IF(N5="REAL",N34*N15*N35,0)+IF(O5="REAL",O34*O15*O35,0)+IF(P5="REAL",P34*P15*P35,0)+IF(Q5="REAL",Q34*Q15*Q35,0))/(IF(F5="REAL",F34*F15,0)+IF(G5="REAL",G34*G15,0)+IF(H5="REAL",H34*H15,0)+IF(I5="REAL",I34*I15,0)+IF(J5="REAL",J34*J15,0)+IF(K5="REAL",K34*K15,0)+IF(L5="REAL",L34*L15,0)+IF(M5="REAL",M34*M15,0)+IF(N5="REAL",N34*N15,0)+IF(O5="REAL",O34*O15,0)+IF(P5="REAL",P34*P15,0)+IF(Q5="REAL",Q34*Q15,0))</f>
        <v>79.627758487315631</v>
      </c>
      <c r="AD35" s="3276">
        <f>Real!U40</f>
        <v>81.170582808443143</v>
      </c>
      <c r="AE35" s="3276">
        <f>(IF(F5="REAL",F34*F15*F35,0)+IF(G5="REAL",G34*G15*G35,0)+IF(H5="REAL",H34*H15*H35,0)+IF(I5="REAL",I34*I15*I35,0)+IF(J5="REAL",J34*J15*J35,0)+IF(K5="REAL",K34*K15*K35,0)+IF(L5="REAL",L34*L15*L35,0)+IF(M5="REAL",M34*M15*M35,0)+IF(N5="REAL",N34*N15*N35,0)+IF(O5="REAL",O34*O15*O35,0)+IF(P5="REAL",P34*P15*P35,0)+IF(Q5="REAL",Q34*Q15*Q35,0)+AD15*AD34*AD35)/(IF(F5="REAL",F34*F15,0)+IF(G5="REAL",G34*G15,0)+IF(H5="REAL",H34*H15,0)+IF(I5="REAL",I34*I15,0)+IF(J5="REAL",J34*J15,0)+IF(K5="REAL",K34*K15,0)+IF(L5="REAL",L34*L15,0)+IF(M5="REAL",M34*M15,0)+IF(N5="REAL",N34*N15,0)+IF(O5="REAL",O34*O15,0)+IF(P5="REAL",P34*P15,0)+IF(Q5="REAL",Q34*Q15,0)+AD15*AD34)</f>
        <v>80.026487971360524</v>
      </c>
    </row>
    <row r="36" spans="1:31" s="427" customFormat="1" ht="30" customHeight="1">
      <c r="C36" s="3271" t="s">
        <v>229</v>
      </c>
      <c r="D36" s="1443" t="s">
        <v>48</v>
      </c>
      <c r="E36" s="1419"/>
      <c r="F36" s="3261">
        <v>91.398437365766711</v>
      </c>
      <c r="G36" s="3261">
        <v>90.049358991265478</v>
      </c>
      <c r="H36" s="4276">
        <f>IF(H$5="R+P",'R+P'!$T$47,IF(H$5="Bdgt",BDGT!G37,""))</f>
        <v>89.806766154820934</v>
      </c>
      <c r="I36" s="3261">
        <f>IF(I$5="R+P",'R+P'!$T$47,IF(I$5="Bdgt",BDGT!H37,""))</f>
        <v>92.833487014930043</v>
      </c>
      <c r="J36" s="3261">
        <f>IF(J$5="R+P",'R+P'!$T$47,IF(J$5="Bdgt",BDGT!I37,""))</f>
        <v>94.269664835637428</v>
      </c>
      <c r="K36" s="3261">
        <f>IF(K$5="R+P",'R+P'!$T$47,IF(K$5="Bdgt",BDGT!J37,""))</f>
        <v>92.780666684410789</v>
      </c>
      <c r="L36" s="3261">
        <f>IF(L$5="R+P",'R+P'!$T$47,IF(L$5="Bdgt",BDGT!K37,""))</f>
        <v>92.835616499435176</v>
      </c>
      <c r="M36" s="3261">
        <f>IF(M$5="R+P",'R+P'!$T$47,IF(M$5="Bdgt",BDGT!L37,""))</f>
        <v>93.257257915025974</v>
      </c>
      <c r="N36" s="3261">
        <f>IF(N$5="R+P",'R+P'!$T$47,IF(N$5="Bdgt",BDGT!M37,""))</f>
        <v>93.864144273676644</v>
      </c>
      <c r="O36" s="3261">
        <f>IF(O$5="R+P",'R+P'!$T$47,IF(O$5="Bdgt",BDGT!N37,""))</f>
        <v>93.374462432192516</v>
      </c>
      <c r="P36" s="3261">
        <f>IF(P$5="R+P",'R+P'!$T$47,IF(P$5="Bdgt",BDGT!O37,""))</f>
        <v>92.513010959773538</v>
      </c>
      <c r="Q36" s="3261">
        <f>IF(Q$5="R+P",'R+P'!$T$47,IF(Q$5="Bdgt",BDGT!P37,""))</f>
        <v>93.164759203093013</v>
      </c>
      <c r="R36" s="3303"/>
      <c r="S36" s="1432">
        <f>SUMPRODUCT(F15:Q15,F34:Q34,F36:Q36)/SUMPRODUCT(F15:Q15,F34:Q34)</f>
        <v>92.610761543727762</v>
      </c>
      <c r="T36" s="3304"/>
      <c r="U36" s="1432">
        <f>IF(MONTH(Factores!$D$2)=1,SUMPRODUCT($F$15:$F$15,$F$34:$F$34,$F36:F36)/SUMPRODUCT($F$15:$F$15,$F$34:$F$34),IF(MONTH(Factores!$D$2)=2,SUMPRODUCT($F$15:$G$15,$F$34:$G$34,$F36:G36)/SUMPRODUCT($F$15:$G$15,$F$34:$G$34),IF(MONTH(Factores!$D$2)=3,SUMPRODUCT($F$15:$H$15,$F$34:$H$34,$F36:H36)/SUMPRODUCT($F$15:$H$15,$F$34:$H$34),IF(MONTH(Factores!$D$2)=4,SUMPRODUCT($F$15:$I$15,$F$34:$I$34,$F36:I36)/SUMPRODUCT($F$15:$I$15,$F$34:$I$34),IF(MONTH(Factores!$D$2)=5,SUMPRODUCT($F$15:$J$15,$F$34:$J$34,$F36:J36)/SUMPRODUCT($F$15:$J$15,$F$34:$J$34),IF(MONTH(Factores!$D$2)=6,SUMPRODUCT($F$15:$K$15,$F$34:$K$34,$F36:K36)/SUMPRODUCT($F$15:$K$15,$F$34:$K$34),IF(MONTH(Factores!$D$2)=7,SUMPRODUCT($F$15:$L$15,$F$34:$L$34,$F36:L36)/SUMPRODUCT($F$15:$L$15,$F$34:$L$34),IF(MONTH(Factores!$D$2)=8,SUMPRODUCT($F$15:$M$15,$F$34:$M$34,$F36:M36)/SUMPRODUCT($F$15:$M$15,$F$34:$M$34),IF(MONTH(Factores!$D$2)=9,SUMPRODUCT($F$15:$N$15,$F$34:$N$34,$F36:N36)/SUMPRODUCT($F$15:$N$15,$F$34:$N$34),IF(MONTH(Factores!$D$2)=10,SUMPRODUCT($F$15:$O$15,$F$34:$O$34,$F36:O36)/SUMPRODUCT($F$15:$O$15,$F$34:$O$34),IF(MONTH(Factores!$D$2)=11,SUMPRODUCT($F$15:$P$15,$F$34:$P$34,$F36:P36)/SUMPRODUCT($F$15:$P$15,$F$34:$P$34),IF(MONTH(Factores!$D$2)=12,SUMPRODUCT($F$15:$Q$15,$F$34:$Q$34,$F36:Q36)/SUMPRODUCT($F$15:$Q$15,$F$34:$Q$34)))))))))))))</f>
        <v>90.314190671165463</v>
      </c>
      <c r="V36" s="1432">
        <f>IF(MONTH(Factores!$D$2)=1,SUMPRODUCT($F$15:$F$15,$F$34:$F$34,$F36:F36)/SUMPRODUCT($F$15:$F$15,$F$34:$F$34),IF(MONTH(Factores!$D$2)=2,SUMPRODUCT($F$15:$F$15,$F$34:$F$34,$F36:F36)/SUMPRODUCT($F$15:$F$15,$F$34:$F$34),IF(MONTH(Factores!$D$2)=3,SUMPRODUCT($F$15:$G$15,$F$34:$G$34,$F36:G36)/SUMPRODUCT($F$15:$G$15,$F$34:$G$34),IF(MONTH(Factores!$D$2)=4,SUMPRODUCT($F$15:$H$15,$F$34:$H$34,$F36:H36)/SUMPRODUCT($F$15:$H$15,$F$34:$H$34),IF(MONTH(Factores!$D$2)=5,SUMPRODUCT($F$15:$I$15,$F$34:$I$34,$F36:I36)/SUMPRODUCT($F$15:$I$15,$F$34:$I$34),IF(MONTH(Factores!$D$2)=6,SUMPRODUCT($F$15:$J$15,$F$34:$J$34,$F36:J36)/SUMPRODUCT($F$15:$J$15,$F$34:$J$34),IF(MONTH(Factores!$D$2)=7,SUMPRODUCT($F$15:$K$15,$F$34:$K$34,$F36:K36)/SUMPRODUCT($F$15:$K$15,$F$34:$K$34),IF(MONTH(Factores!$D$2)=8,SUMPRODUCT($F$15:$L$15,$F$34:$L$34,$F36:L36)/SUMPRODUCT($F$15:$L$15,$F$34:$L$34),IF(MONTH(Factores!$D$2)=9,SUMPRODUCT($F$15:$M$15,$F$34:$M$34,$F36:M36)/SUMPRODUCT($F$15:$M$15,$F$34:$M$34),IF(MONTH(Factores!$D$2)=10,SUMPRODUCT($F$15:$N$15,$F$34:$N$34,$F36:N36)/SUMPRODUCT($F$15:$N$15,$F$34:$N$34),IF(MONTH(Factores!$D$2)=11,SUMPRODUCT($F$15:$O$15,$F$34:$O$34,$F36:O36)/SUMPRODUCT($F$15:$O$15,$F$34:$O$34),IF(MONTH(Factores!$D$2)=12,SUMPRODUCT($F$15:$P$15,$F$34:$P$34,$F36:P36)/SUMPRODUCT($F$15:$P$15,$F$34:$P$34)))))))))))))</f>
        <v>90.640328723283901</v>
      </c>
      <c r="X36" s="1429">
        <f>BDGT!R37</f>
        <v>93.419816641434906</v>
      </c>
      <c r="Z36" s="3267">
        <f t="shared" si="11"/>
        <v>-0.80905509770714445</v>
      </c>
      <c r="AA36" s="3267">
        <f t="shared" si="12"/>
        <v>-0.86604226682703711</v>
      </c>
      <c r="AB36" s="3295"/>
      <c r="AC36" s="3276">
        <f>(IF(F5="REAL",F34*F15*F36,0)+IF(G5="REAL",G34*G15*G36,0)+IF(H5="REAL",H34*H15*H36,0)+IF(I5="REAL",I34*I15*I36,0)+IF(J5="REAL",J34*J15*J36,0)+IF(K5="REAL",K34*K15*K36,0)+IF(L5="REAL",L34*L15*L36,0)+IF(M5="REAL",M34*M15*M36,0)+IF(N5="REAL",N34*N15*N36,0)+IF(O5="REAL",O34*O15*O36,0)+IF(P5="REAL",P34*P15*P36,0)+IF(Q5="REAL",Q34*Q15*Q36,0))/(IF(F5="REAL",F34*F15,0)+IF(G5="REAL",G34*G15,0)+IF(H5="REAL",H34*H15,0)+IF(I5="REAL",I34*I15,0)+IF(J5="REAL",J34*J15,0)+IF(K5="REAL",K34*K15,0)+IF(L5="REAL",L34*L15,0)+IF(M5="REAL",M34*M15,0)+IF(N5="REAL",N34*N15,0)+IF(O5="REAL",O34*O15,0)+IF(P5="REAL",P34*P15,0)+IF(Q5="REAL",Q34*Q15,0))</f>
        <v>90.640328723283901</v>
      </c>
      <c r="AD36" s="3276">
        <f>Real!S40</f>
        <v>89.313167038140008</v>
      </c>
      <c r="AE36" s="3276">
        <f>(IF(F5="REAL",F34*F15*F36,0)+IF(G5="REAL",G34*G15*G36,0)+IF(H5="REAL",H34*H15*H36,0)+IF(I5="REAL",I34*I15*I36,0)+IF(J5="REAL",J34*J15*J36,0)+IF(K5="REAL",K34*K15*K36,0)+IF(L5="REAL",L34*L15*L36,0)+IF(M5="REAL",M34*M15*M36,0)+IF(N5="REAL",N34*N15*N36,0)+IF(O5="REAL",O34*O15*O36,0)+IF(P5="REAL",P34*P15*P36,0)+IF(Q5="REAL",Q34*Q15*Q36,0)+AD15*AD34*AD36)/(IF(F5="REAL",F34*F15,0)+IF(G5="REAL",G34*G15,0)+IF(H5="REAL",H34*H15,0)+IF(I5="REAL",I34*I15,0)+IF(J5="REAL",J34*J15,0)+IF(K5="REAL",K34*K15,0)+IF(L5="REAL",L34*L15,0)+IF(M5="REAL",M34*M15,0)+IF(N5="REAL",N34*N15,0)+IF(O5="REAL",O34*O15,0)+IF(P5="REAL",P34*P15,0)+IF(Q5="REAL",Q34*Q15,0)+AD15*AD34)</f>
        <v>90.297335365767452</v>
      </c>
    </row>
    <row r="37" spans="1:31" s="427" customFormat="1" ht="30" customHeight="1">
      <c r="C37" s="3271" t="s">
        <v>230</v>
      </c>
      <c r="D37" s="1443" t="s">
        <v>48</v>
      </c>
      <c r="E37" s="1419"/>
      <c r="F37" s="3261">
        <v>89.296019599098031</v>
      </c>
      <c r="G37" s="3261">
        <v>86.707012128457734</v>
      </c>
      <c r="H37" s="4276">
        <f>IF(H$5="R+P",'R+P'!$U$47,IF(H$5="Bdgt",BDGT!G38,""))</f>
        <v>89.800032742192343</v>
      </c>
      <c r="I37" s="3261">
        <f>IF(I$5="R+P",'R+P'!$U$47,IF(I$5="Bdgt",BDGT!H38,""))</f>
        <v>88.422481931953499</v>
      </c>
      <c r="J37" s="3261">
        <f>IF(J$5="R+P",'R+P'!$U$47,IF(J$5="Bdgt",BDGT!I38,""))</f>
        <v>89.896524739115947</v>
      </c>
      <c r="K37" s="3261">
        <f>IF(K$5="R+P",'R+P'!$U$47,IF(K$5="Bdgt",BDGT!J38,""))</f>
        <v>88.368268987601326</v>
      </c>
      <c r="L37" s="3261">
        <f>IF(L$5="R+P",'R+P'!$U$47,IF(L$5="Bdgt",BDGT!K38,""))</f>
        <v>88.560586749383617</v>
      </c>
      <c r="M37" s="3261">
        <f>IF(M$5="R+P",'R+P'!$U$47,IF(M$5="Bdgt",BDGT!L38,""))</f>
        <v>88.994009987714207</v>
      </c>
      <c r="N37" s="3261">
        <f>IF(N$5="R+P",'R+P'!$U$47,IF(N$5="Bdgt",BDGT!M38,""))</f>
        <v>89.6178544231486</v>
      </c>
      <c r="O37" s="3261">
        <f>IF(O$5="R+P",'R+P'!$U$47,IF(O$5="Bdgt",BDGT!N38,""))</f>
        <v>89.114489521979351</v>
      </c>
      <c r="P37" s="3261">
        <f>IF(P$5="R+P",'R+P'!$U$47,IF(P$5="Bdgt",BDGT!O38,""))</f>
        <v>88.228966722191544</v>
      </c>
      <c r="Q37" s="3261">
        <f>IF(Q$5="R+P",'R+P'!$U$47,IF(Q$5="Bdgt",BDGT!P38,""))</f>
        <v>88.89892660694332</v>
      </c>
      <c r="R37" s="3303"/>
      <c r="S37" s="1432">
        <f>SUMPRODUCT(F15:Q15,F34:Q34,F36:Q36,F37:Q37)/SUMPRODUCT(F15:Q15,F34:Q34,F36:Q36)</f>
        <v>88.935855032226343</v>
      </c>
      <c r="T37" s="3304"/>
      <c r="U37" s="1432">
        <f>IF(MONTH(Factores!$D$2)=1,SUMPRODUCT($F$15:$F$15,$F$34:$F$34,$F$35:$F$35,$F37:F37)/SUMPRODUCT($F$15:$F$15,$F$34:$F$34,$F$35:$F$35),IF(MONTH(Factores!$D$2)=2,SUMPRODUCT($F$15:$G$15,$F$34:$G$34,$F$35:$G$35,$F37:G37)/SUMPRODUCT($F$15:$G$15,$F$34:$G$34,$F$35:$G$35),IF(MONTH(Factores!$D$2)=3,SUMPRODUCT($F$15:$H$15,$F$34:$H$34,$F$35:$H$35,$F37:H37)/SUMPRODUCT($F$15:$H$15,$F$34:$H$34,$F$35:$H$35),IF(MONTH(Factores!$D$2)=4,SUMPRODUCT($F$15:$I$15,$F$34:$I$34,$F$35:$I$35,$F37:I37)/SUMPRODUCT($F$15:$I$15,$F$34:$I$34,$F$35:$I$35),IF(MONTH(Factores!$D$2)=5,SUMPRODUCT($F$15:$J$15,$F$34:$J$34,$F$35:$J$35,$F37:J37)/SUMPRODUCT($F$15:$J$15,$F$34:$J$34,$F$35:$J$35),IF(MONTH(Factores!$D$2)=6,SUMPRODUCT($F$15:$K$15,$F$34:$K$34,$F$35:$K$35,$F37:K37)/SUMPRODUCT($F$15:$K$15,$F$34:$K$34,$F$35:$K$35),IF(MONTH(Factores!$D$2)=7,SUMPRODUCT($F$15:$L$15,$F$34:$L$34,$F$35:$L$35,$F37:L37)/SUMPRODUCT($F$15:$L$15,$F$34:$L$34,$F$35:$L$35),IF(MONTH(Factores!$D$2)=8,SUMPRODUCT($F$15:$M$15,$F$34:$M$34,$F$35:$M$35,$F37:M37)/SUMPRODUCT($F$15:$M$15,$F$34:$M$34,$F$35:$M$35),IF(MONTH(Factores!$D$2)=9,SUMPRODUCT($F$15:$N$15,$F$34:$N$34,$F$35:$N$35,$F37:N37)/SUMPRODUCT($F$15:$N$15,$F$34:$N$34,$F$35:$N$35),IF(MONTH(Factores!$D$2)=10,SUMPRODUCT($F$15:$O$15,$F$34:$O$34,$F$35:$O$35,$F37:O37)/SUMPRODUCT($F$15:$O$15,$F$34:$O$34,$F$35:$O$35),IF(MONTH(Factores!$D$2)=11,SUMPRODUCT($F$15:$P$15,$F$34:$P$34,$F$35:$P$35,$F37:P37)/SUMPRODUCT($F$15:$P$15,$F$34:$P$34,$F$35:$P$35),IF(MONTH(Factores!$D$2)=12,SUMPRODUCT($F$15:$Q$15,$F$34:$Q$34,$F$35:$Q$35,$F37:Q37)/SUMPRODUCT($F$15:$Q$15,$F$34:$Q$34,$F$35:$Q$35)))))))))))))</f>
        <v>88.630655454756081</v>
      </c>
      <c r="V37" s="1432">
        <f>IF(MONTH(Factores!$D$2)=1,SUMPRODUCT($F$15:$F$15,$F$34:$F$34,$F$35:$F$35,$F37:F37)/SUMPRODUCT($F$15:$F$15,$F$34:$F$34,$F$35:$F$35),IF(MONTH(Factores!$D$2)=2,SUMPRODUCT($F$15:$F$15,$F$34:$F$34,$F$35:$F$35,$F37:F37)/SUMPRODUCT($F$15:$F$15,$F$34:$F$34,$F$35:$F$35),IF(MONTH(Factores!$D$2)=3,SUMPRODUCT($F$15:$G$15,$F$34:$G$34,$F$35:$G$35,$F37:G37)/SUMPRODUCT($F$15:$G$15,$F$34:$G$34,$F$35:$G$35),IF(MONTH(Factores!$D$2)=4,SUMPRODUCT($F$15:$H$15,$F$34:$H$34,$F$35:$H$35,$F37:H37)/SUMPRODUCT($F$15:$H$15,$F$34:$H$34,$F$35:$H$35),IF(MONTH(Factores!$D$2)=5,SUMPRODUCT($F$15:$I$15,$F$34:$I$34,$F$35:$I$35,$F37:I37)/SUMPRODUCT($F$15:$I$15,$F$34:$I$34,$F$35:$I$35),IF(MONTH(Factores!$D$2)=6,SUMPRODUCT($F$15:$J$15,$F$34:$J$34,$F$35:$J$35,$F37:J37)/SUMPRODUCT($F$15:$J$15,$F$34:$J$34,$F$35:$J$35),IF(MONTH(Factores!$D$2)=7,SUMPRODUCT($F$15:$K$15,$F$34:$K$34,$F$35:$K$35,$F37:K37)/SUMPRODUCT($F$15:$K$15,$F$34:$K$34,$F$35:$K$35),IF(MONTH(Factores!$D$2)=8,SUMPRODUCT($F$15:$L$15,$F$34:$L$34,$F$35:$L$35,$F37:L37)/SUMPRODUCT($F$15:$L$15,$F$34:$L$34,$F$35:$L$35),IF(MONTH(Factores!$D$2)=9,SUMPRODUCT($F$15:$M$15,$F$34:$M$34,$F$35:$M$35,$F37:M37)/SUMPRODUCT($F$15:$M$15,$F$34:$M$34,$F$35:$M$35),IF(MONTH(Factores!$D$2)=10,SUMPRODUCT($F$15:$N$15,$F$34:$N$34,$F$35:$N$35,$F37:N37)/SUMPRODUCT($F$15:$N$15,$F$34:$N$34,$F$35:$N$35),IF(MONTH(Factores!$D$2)=11,SUMPRODUCT($F$15:$O$15,$F$34:$O$34,$F$35:$O$35,$F37:O37)/SUMPRODUCT($F$15:$O$15,$F$34:$O$34,$F$35:$O$35),IF(MONTH(Factores!$D$2)=12,SUMPRODUCT($F$15:$P$15,$F$34:$P$34,$F$35:$P$35,$F37:P37)/SUMPRODUCT($F$15:$P$15,$F$34:$P$34,$F$35:$P$35)))))))))))))</f>
        <v>87.869443248677271</v>
      </c>
      <c r="X37" s="1429">
        <f>BDGT!R38</f>
        <v>89.09635758954677</v>
      </c>
      <c r="Z37" s="3267">
        <f t="shared" si="11"/>
        <v>-0.16050255732042729</v>
      </c>
      <c r="AA37" s="3267">
        <f t="shared" si="12"/>
        <v>-0.18014491463258006</v>
      </c>
      <c r="AB37" s="3295"/>
      <c r="AC37" s="3276">
        <f>(IF(F5="REAL",F34*F15*F36*F37,0)+IF(G5="REAL",G34*G15*G36*G37,0)+IF(H5="REAL",H34*H15*H36*H37,0)+IF(I5="REAL",I34*I15*I36*I37,0)+IF(J5="REAL",J34*J15*J36*J37,0)+IF(K5="REAL",K34*K15*K36*K37,0)+IF(L5="REAL",L34*L15*L36*L37,0)+IF(M5="REAL",M34*M15*M36*M37,0)+IF(N5="REAL",N34*N15*N36*N37,0)+IF(O5="REAL",O34*O15*O36*O37,0)+IF(P5="REAL",P34*P15*P36*P37,0)+IF(Q5="REAL",Q34*Q15*Q36*Q37,0))/(IF(F5="REAL",F34*F15*F36,0)+IF(G5="REAL",G34*G15*G36,0)+IF(H5="REAL",H34*H15*H36,0)+IF(I5="REAL",I34*I15*I36,0)+IF(J5="REAL",J34*J15*J36,0)+IF(K5="REAL",K34*K15*K36,0)+IF(L5="REAL",L34*L15*L36,0)+IF(M5="REAL",M34*M15*M36,0)+IF(N5="REAL",N34*N15*N36,0)+IF(O5="REAL",O34*O15*O36,0)+IF(P5="REAL",P34*P15*P36,0)+IF(Q5="REAL",Q34*Q15*Q36,0))</f>
        <v>87.850624012329448</v>
      </c>
      <c r="AD37" s="3276">
        <f>Real!T40</f>
        <v>90.883108840805434</v>
      </c>
      <c r="AE37" s="3276">
        <f>(IF(F5="REAL",F34*F15*F36*F37,0)+IF(G5="REAL",G34*G15*G36*G37,0)+IF(H5="REAL",H34*H15*H36*H37,0)+IF(I5="REAL",I34*I15*I36*I37,0)+IF(J5="REAL",J34*J15*J36*J37,0)+IF(K5="REAL",K34*K15*K36*K37,0)+IF(L5="REAL",L34*L15*L36*L37,0)+IF(M5="REAL",M34*M15*M36*M37,0)+IF(N5="REAL",N34*N15*N36*N37,0)+IF(O5="REAL",O34*O15*O36*O37,0)+IF(P5="REAL",P34*P15*P36*P37,0)+IF(Q5="REAL",Q34*Q15*Q36*Q37,0)+AD15*AD34*AD36*AD37)/(IF(F5="REAL",F34*F15*F36,0)+IF(G5="REAL",G34*G15*G36,0)+IF(H5="REAL",H34*H15*H36,0)+IF(I5="REAL",I34*I15*I36,0)+IF(J5="REAL",J34*J15*J36,0)+IF(K5="REAL",K34*K15*K36,0)+IF(L5="REAL",L34*L15*L36,0)+IF(M5="REAL",M34*M15*M36,0)+IF(N5="REAL",N34*N15*N36,0)+IF(O5="REAL",O34*O15*O36,0)+IF(P5="REAL",P34*P15*P36,0)+IF(Q5="REAL",Q34*Q15*Q36,0)+AD15*AD34*AD36)</f>
        <v>88.625801347220715</v>
      </c>
    </row>
    <row r="38" spans="1:31" s="427" customFormat="1" ht="30" customHeight="1">
      <c r="A38" s="427" t="s">
        <v>981</v>
      </c>
      <c r="C38" s="3271" t="s">
        <v>231</v>
      </c>
      <c r="D38" s="1443" t="s">
        <v>204</v>
      </c>
      <c r="E38" s="1419"/>
      <c r="F38" s="3253">
        <v>1.1851013344500001</v>
      </c>
      <c r="G38" s="3253">
        <v>1.00669583557</v>
      </c>
      <c r="H38" s="4268">
        <f>IF(H$5="R+P",'R+P'!$X$39/1000,IF(H$5="Bdgt",BDGT!G39,""))</f>
        <v>2.5260767397150459</v>
      </c>
      <c r="I38" s="3253">
        <f>IF(I$5="R+P",'R+P'!$X$39/1000,IF(I$5="Bdgt",BDGT!H39,""))</f>
        <v>0.91439470303474857</v>
      </c>
      <c r="J38" s="3253">
        <f>IF(J$5="R+P",'R+P'!$X$39/1000,IF(J$5="Bdgt",BDGT!I39,""))</f>
        <v>2.4300480575244872</v>
      </c>
      <c r="K38" s="3253">
        <f>IF(K$5="R+P",'R+P'!$X$39/1000,IF(K$5="Bdgt",BDGT!J39,""))</f>
        <v>1.3414940699111766</v>
      </c>
      <c r="L38" s="3253">
        <f>IF(L$5="R+P",'R+P'!$X$39/1000,IF(L$5="Bdgt",BDGT!K39,""))</f>
        <v>1.3433864441992174</v>
      </c>
      <c r="M38" s="3253">
        <f>IF(M$5="R+P",'R+P'!$X$39/1000,IF(M$5="Bdgt",BDGT!L39,""))</f>
        <v>1.545515882003913</v>
      </c>
      <c r="N38" s="3253">
        <f>IF(N$5="R+P",'R+P'!$X$39/1000,IF(N$5="Bdgt",BDGT!M39,""))</f>
        <v>1.9363607059474439</v>
      </c>
      <c r="O38" s="3253">
        <f>IF(O$5="R+P",'R+P'!$X$39/1000,IF(O$5="Bdgt",BDGT!N39,""))</f>
        <v>1.6939823120152537</v>
      </c>
      <c r="P38" s="3253">
        <f>IF(P$5="R+P",'R+P'!$X$39/1000,IF(P$5="Bdgt",BDGT!O39,""))</f>
        <v>1.136164784676839</v>
      </c>
      <c r="Q38" s="3253">
        <f>IF(Q$5="R+P",'R+P'!$X$39/1000,IF(Q$5="Bdgt",BDGT!P39,""))</f>
        <v>1.60738114453015</v>
      </c>
      <c r="R38" s="3272"/>
      <c r="S38" s="1448">
        <f>SUM(F38:Q38)</f>
        <v>18.666602013578277</v>
      </c>
      <c r="T38" s="3273"/>
      <c r="U38" s="1422">
        <f>IF(MONTH(Factores!$D$2)=1,SUM($F38:F38),IF(MONTH(Factores!$D$2)=2,SUM($F38:G38),IF(MONTH(Factores!$D$2)=3,SUM($F38:H38),IF(MONTH(Factores!$D$2)=4,SUM($F38:I38),IF(MONTH(Factores!$D$2)=5,SUM($F38:J38),IF(MONTH(Factores!$D$2)=6,SUM($F38:K38),IF(MONTH(Factores!$D$2)=7,SUM($F38:L38),IF(MONTH(Factores!$D$2)=8,SUM($F38:M38),IF(MONTH(Factores!$D$2)=9,SUM($F38:N38),IF(MONTH(Factores!$D$2)=10,SUM($F38:O38),IF(MONTH(Factores!$D$2)=11,SUM($F38:P38),IF(MONTH(Factores!$D$2)=12,SUM($F38:Q38)))))))))))))</f>
        <v>4.7178739097350455</v>
      </c>
      <c r="V38" s="1448">
        <f>IF(MONTH(Factores!$D$2)=1,SUM($F38:F38),IF(MONTH(Factores!$D$2)=2,SUM($F38:F38),IF(MONTH(Factores!$D$2)=3,SUM($F38:G38),IF(MONTH(Factores!$D$2)=4,SUM($F38:H38),IF(MONTH(Factores!$D$2)=5,SUM($F38:I38),IF(MONTH(Factores!$D$2)=6,SUM($F38:J38),IF(MONTH(Factores!$D$2)=7,SUM($F38:K38),IF(MONTH(Factores!$D$2)=8,SUM($F38:L38),IF(MONTH(Factores!$D$2)=9,SUM($F38:M38),IF(MONTH(Factores!$D$2)=10,SUM($F38:N38),IF(MONTH(Factores!$D$2)=11,SUM($F38:O38),IF(MONTH(Factores!$D$2)=12,SUM($F38:P38)))))))))))))</f>
        <v>2.1917971700200001</v>
      </c>
      <c r="X38" s="1448">
        <f>BDGT!R39</f>
        <v>18.594871128622515</v>
      </c>
      <c r="Z38" s="3292">
        <f>S38-X38</f>
        <v>7.1730884955762519E-2</v>
      </c>
      <c r="AA38" s="3267">
        <f t="shared" si="12"/>
        <v>0.38575628978331217</v>
      </c>
      <c r="AC38" s="3276">
        <f>SUMIF($F$5:$Q$5,"=REAL",F38:Q38)</f>
        <v>2.1917971700200001</v>
      </c>
      <c r="AD38" s="3276">
        <f>Real!W40/1000</f>
        <v>1.701510216661702</v>
      </c>
      <c r="AE38" s="3276">
        <f>SUM(AC38:AD38)</f>
        <v>3.8933073866817018</v>
      </c>
    </row>
    <row r="39" spans="1:31" s="427" customFormat="1" ht="30" customHeight="1">
      <c r="A39" s="427" t="s">
        <v>982</v>
      </c>
      <c r="C39" s="3271" t="s">
        <v>232</v>
      </c>
      <c r="D39" s="1443" t="s">
        <v>48</v>
      </c>
      <c r="E39" s="1419"/>
      <c r="F39" s="3257">
        <v>54.542668711771896</v>
      </c>
      <c r="G39" s="3257">
        <v>54.884639999999997</v>
      </c>
      <c r="H39" s="4272">
        <f>IF(H$5="R+P",'R+P'!$W$39,IF(H$5="Bdgt",BDGT!G40,""))</f>
        <v>48.603537799049718</v>
      </c>
      <c r="I39" s="3257">
        <f>IF(I$5="R+P",'R+P'!$W$39,IF(I$5="Bdgt",BDGT!H40,""))</f>
        <v>54</v>
      </c>
      <c r="J39" s="3257">
        <f>IF(J$5="R+P",'R+P'!$W$39,IF(J$5="Bdgt",BDGT!I40,""))</f>
        <v>54</v>
      </c>
      <c r="K39" s="3257">
        <f>IF(K$5="R+P",'R+P'!$W$39,IF(K$5="Bdgt",BDGT!J40,""))</f>
        <v>54</v>
      </c>
      <c r="L39" s="3257">
        <f>IF(L$5="R+P",'R+P'!$W$39,IF(L$5="Bdgt",BDGT!K40,""))</f>
        <v>54</v>
      </c>
      <c r="M39" s="3257">
        <f>IF(M$5="R+P",'R+P'!$W$39,IF(M$5="Bdgt",BDGT!L40,""))</f>
        <v>54</v>
      </c>
      <c r="N39" s="3257">
        <f>IF(N$5="R+P",'R+P'!$W$39,IF(N$5="Bdgt",BDGT!M40,""))</f>
        <v>54</v>
      </c>
      <c r="O39" s="3257">
        <f>IF(O$5="R+P",'R+P'!$W$39,IF(O$5="Bdgt",BDGT!N40,""))</f>
        <v>54</v>
      </c>
      <c r="P39" s="3257">
        <f>IF(P$5="R+P",'R+P'!$W$39,IF(P$5="Bdgt",BDGT!O40,""))</f>
        <v>54</v>
      </c>
      <c r="Q39" s="3257">
        <f>IF(Q$5="R+P",'R+P'!$W$39,IF(Q$5="Bdgt",BDGT!P40,""))</f>
        <v>54</v>
      </c>
      <c r="R39" s="3281"/>
      <c r="S39" s="1447">
        <f>S12/S38*100</f>
        <v>52.683618267171006</v>
      </c>
      <c r="T39" s="3282"/>
      <c r="U39" s="1429">
        <f>U12/U38*100</f>
        <v>48.79164251211558</v>
      </c>
      <c r="V39" s="1447">
        <f>V12/V38*100</f>
        <v>63.614500612371039</v>
      </c>
      <c r="W39" s="3282"/>
      <c r="X39" s="1447">
        <f>BDGT!R40</f>
        <v>54</v>
      </c>
      <c r="Y39" s="3282"/>
      <c r="Z39" s="1447">
        <f t="shared" si="11"/>
        <v>-1.3163817328289937</v>
      </c>
      <c r="AA39" s="3267">
        <f t="shared" si="12"/>
        <v>-2.437743949683322</v>
      </c>
      <c r="AC39" s="3276">
        <f>(IF(F5="REAL",F39*F38,0)+IF(G5="REAL",G39*G38,0)+IF(H5="REAL",H39*H38,0)+IF(I5="REAL",I39*I38,0)+IF(J5="REAL",J39*J38,0)+IF(K5="REAL",K39*K38,0)+IF(L5="REAL",L39*L38,0)+IF(M5="REAL",M39*M38,0)+IF(N5="REAL",N39*N38,0)+IF(O5="REAL",O39*O38,0)+IF(P5="REAL",P39*P38,0)+IF(Q5="REAL",Q39*Q38,0))/AC38</f>
        <v>54.699736654213204</v>
      </c>
      <c r="AD39" s="3276">
        <f>Real!V40</f>
        <v>29.112025404770353</v>
      </c>
      <c r="AE39" s="3276">
        <f>(IF(F5="REAL",F39*F38,0)+IF(G5="REAL",G39*G38,0)+IF(H5="REAL",H39*H38,0)+IF(I5="REAL",I39*I38,0)+IF(J5="REAL",J39*J38,0)+IF(K5="REAL",K39*K38,0)+IF(L5="REAL",L39*L38,0)+IF(M5="REAL",M39*M38,0)+IF(N5="REAL",N39*N38,0)+IF(O5="REAL",O39*O38,0)+IF(P5="REAL",P39*P38,0)+IF(Q5="REAL",Q39*Q38,0)+AD38*AD39)/AE38</f>
        <v>43.517020318777853</v>
      </c>
    </row>
    <row r="40" spans="1:31" s="3263" customFormat="1">
      <c r="B40" s="427"/>
      <c r="C40" s="427"/>
      <c r="D40" s="1415"/>
      <c r="E40" s="1415"/>
      <c r="F40" s="1415"/>
      <c r="G40" s="1415"/>
      <c r="H40" s="4274"/>
      <c r="I40" s="1415"/>
      <c r="J40" s="1415"/>
      <c r="K40" s="1415"/>
      <c r="L40" s="1415"/>
      <c r="M40" s="1415"/>
      <c r="N40" s="1415"/>
      <c r="O40" s="1415"/>
      <c r="P40" s="1415"/>
      <c r="Q40" s="1415"/>
      <c r="R40" s="1415"/>
      <c r="S40" s="1415"/>
      <c r="T40" s="427"/>
      <c r="U40" s="3269"/>
      <c r="V40" s="427"/>
      <c r="W40" s="427"/>
      <c r="X40" s="427"/>
      <c r="Y40" s="427"/>
      <c r="Z40" s="427"/>
      <c r="AA40" s="427"/>
      <c r="AB40" s="427"/>
      <c r="AC40" s="427"/>
      <c r="AD40" s="427"/>
      <c r="AE40" s="427"/>
    </row>
    <row r="41" spans="1:31" s="3263" customFormat="1" ht="30" customHeight="1">
      <c r="A41" s="3263" t="s">
        <v>983</v>
      </c>
      <c r="B41" s="427"/>
      <c r="C41" s="3305" t="s">
        <v>233</v>
      </c>
      <c r="D41" s="1451" t="s">
        <v>234</v>
      </c>
      <c r="E41" s="427"/>
      <c r="F41" s="3253">
        <v>0</v>
      </c>
      <c r="G41" s="3253">
        <v>3.9184403842763504E-2</v>
      </c>
      <c r="H41" s="4268">
        <f>+BDGT!G42</f>
        <v>5.1404491470992943E-2</v>
      </c>
      <c r="I41" s="3253">
        <f>+BDGT!H42</f>
        <v>4.6736655639521708E-2</v>
      </c>
      <c r="J41" s="3253">
        <f>+BDGT!I42</f>
        <v>4.7295830916229645E-2</v>
      </c>
      <c r="K41" s="3253">
        <f>+BDGT!J42</f>
        <v>4.6584206591493774E-2</v>
      </c>
      <c r="L41" s="3253">
        <f>+BDGT!K42</f>
        <v>4.0333289011960004E-2</v>
      </c>
      <c r="M41" s="3253">
        <f>+BDGT!L42</f>
        <v>5.99846853683874E-2</v>
      </c>
      <c r="N41" s="3253">
        <f>+BDGT!M42</f>
        <v>4.5816713418892381E-2</v>
      </c>
      <c r="O41" s="3253">
        <f>+BDGT!N42</f>
        <v>4.8860522928392977E-2</v>
      </c>
      <c r="P41" s="3253">
        <f>+BDGT!O42</f>
        <v>5.2935517706570026E-2</v>
      </c>
      <c r="Q41" s="3253">
        <f>+BDGT!P42</f>
        <v>5.1242385456036425E-2</v>
      </c>
      <c r="R41" s="1416"/>
      <c r="S41" s="1448">
        <f>SUMPRODUCT(F41:Q41,F15:Q15)/SUM(F15:Q15)</f>
        <v>4.5421679578612283E-2</v>
      </c>
      <c r="T41" s="3275"/>
      <c r="U41" s="3274">
        <f>IF(MONTH(Factores!$D$2)=1,SUMPRODUCT($F$15:$F$15,$F41:F41)/SUM($F$15:$F$15),IF(MONTH(Factores!$D$2)=2,SUMPRODUCT($F$15:$G$15,$F41:G41)/SUM($F$15:$G$15),IF(MONTH(Factores!$D$2)=3,SUMPRODUCT($F$15:$H$15,$F41:H41)/SUM($F$15:$H$15),IF(MONTH(Factores!$D$2)=4,SUMPRODUCT($F$15:$I$15,$F41:I41)/SUM($F$15:$I$15),IF(MONTH(Factores!$D$2)=5,SUMPRODUCT($F$15:$J$15,$F41:J41)/SUM($F$15:$J$15),IF(MONTH(Factores!$D$2)=6,SUMPRODUCT($F$15:$K$15,$F41:K41)/SUM($F$15:$K$15),IF(MONTH(Factores!$D$2)=7,SUMPRODUCT($F$15:$L$15,$F41:L41)/SUM($F$15:$L$15),IF(MONTH(Factores!$D$2)=8,SUMPRODUCT($F$15:$M$15,$F41:M41)/SUM($F$15:$M$15),IF(MONTH(Factores!$D$2)=9,SUMPRODUCT($F$15:$N$15,$F41:N41)/SUM($F$15:$N$15),IF(MONTH(Factores!$D$2)=10,SUMPRODUCT($F$15:$O$15,$F41:O41)/SUM($F$15:$O$15),IF(MONTH(Factores!$D$2)=11,SUMPRODUCT($F$15:$P$15,$F41:P41)/SUM($F$15:$P$15),IF(MONTH(Factores!$D$2)=12,SUMPRODUCT($F$15:$Q$15,$F41:Q41)/SUM($F$15:$Q$15)))))))))))))</f>
        <v>3.350810690113798E-2</v>
      </c>
      <c r="V41" s="1448">
        <f>IF(MONTH(Factores!$D$2)=1,SUMPRODUCT($F$15:$F$15,$F41:F41)/SUM($F$15:$F$15),IF(MONTH(Factores!$D$2)=2,SUMPRODUCT($F$15:$F$15,$F41:F41)/SUM($F$15:$F$15),IF(MONTH(Factores!$D$2)=3,SUMPRODUCT($F$15:$G$15,$F41:G41)/SUM($F$15:$G$15),IF(MONTH(Factores!$D$2)=4,SUMPRODUCT($F$15:$H$15,$F41:H41)/SUM($F$15:$H$15),IF(MONTH(Factores!$D$2)=5,SUMPRODUCT($F$15:$I$15,$F41:I41)/SUM($F$15:$I$15),IF(MONTH(Factores!$D$2)=6,SUMPRODUCT($F$15:$J$15,$F41:J41)/SUM($F$15:$J$15),IF(MONTH(Factores!$D$2)=7,SUMPRODUCT($F$15:$K$15,$F41:K41)/SUM($F$15:$K$15),IF(MONTH(Factores!$D$2)=8,SUMPRODUCT($F$15:$L$15,$F41:L41)/SUM($F$15:$L$15),IF(MONTH(Factores!$D$2)=9,SUMPRODUCT($F$15:$M$15,$F41:M41)/SUM($F$15:$M$15),IF(MONTH(Factores!$D$2)=10,SUMPRODUCT($F$15:$N$15,$F41:N41)/SUM($F$15:$N$15),IF(MONTH(Factores!$D$2)=11,SUMPRODUCT($F$15:$O$15,$F41:O41)/SUM($F$15:$O$15),IF(MONTH(Factores!$D$2)=12,SUMPRODUCT($F$15:$P$15,$F41:P41)/SUM($F$15:$P$15)))))))))))))</f>
        <v>2.2026561208030468E-2</v>
      </c>
      <c r="W41" s="427"/>
      <c r="X41" s="1448"/>
      <c r="Y41" s="427"/>
      <c r="Z41" s="1448"/>
      <c r="AA41" s="1448"/>
      <c r="AB41" s="3295"/>
      <c r="AC41" s="427"/>
      <c r="AD41" s="427"/>
      <c r="AE41" s="427"/>
    </row>
    <row r="42" spans="1:31" s="3263" customFormat="1" ht="30" customHeight="1">
      <c r="A42" s="3263" t="s">
        <v>984</v>
      </c>
      <c r="B42" s="427"/>
      <c r="C42" s="3305" t="s">
        <v>235</v>
      </c>
      <c r="D42" s="1451" t="s">
        <v>234</v>
      </c>
      <c r="E42" s="427"/>
      <c r="F42" s="3257">
        <v>0</v>
      </c>
      <c r="G42" s="3257">
        <v>1.6566731946851032</v>
      </c>
      <c r="H42" s="4272">
        <f>+BDGT!G43</f>
        <v>1.9863659123708997</v>
      </c>
      <c r="I42" s="3257">
        <f>+BDGT!H43</f>
        <v>1.6685932081364816</v>
      </c>
      <c r="J42" s="3257">
        <f>+BDGT!I43</f>
        <v>1.7695107255860287</v>
      </c>
      <c r="K42" s="3257">
        <f>+BDGT!J43</f>
        <v>1.6587949071293442</v>
      </c>
      <c r="L42" s="3257">
        <f>+BDGT!K43</f>
        <v>1.5050384786105933</v>
      </c>
      <c r="M42" s="3257">
        <f>+BDGT!L43</f>
        <v>1.9227298905133086</v>
      </c>
      <c r="N42" s="3257">
        <f>+BDGT!M43</f>
        <v>1.6060955426524752</v>
      </c>
      <c r="O42" s="3257">
        <f>+BDGT!N43</f>
        <v>1.6144199588071382</v>
      </c>
      <c r="P42" s="3257">
        <f>+BDGT!O43</f>
        <v>1.6416468876352937</v>
      </c>
      <c r="Q42" s="3257">
        <f>+BDGT!P43</f>
        <v>1.5522578442623798</v>
      </c>
      <c r="R42" s="3272"/>
      <c r="S42" s="1442">
        <f>SUMPRODUCT(F42:Q42,F31:Q31)/SUM(F31:Q31)</f>
        <v>1.5953431187211677</v>
      </c>
      <c r="T42" s="3273"/>
      <c r="U42" s="3274">
        <f>IF(MONTH(Factores!$D$2)=1,SUMPRODUCT($F$31:$F$31,$F42:F42)/SUM($F$31:$F$31),IF(MONTH(Factores!$D$2)=2,SUMPRODUCT($F$31:$G$31,$F42:G42)/SUM($F$31:$G$31),IF(MONTH(Factores!$D$2)=3,SUMPRODUCT($F$31:$H$31,$F42:H42)/SUM($F$31:$H$31),IF(MONTH(Factores!$D$2)=4,SUMPRODUCT($F$31:$I$31,$F42:I42)/SUM($F$31:$I$31),IF(MONTH(Factores!$D$2)=5,SUMPRODUCT($F$31:$J$31,$F42:J42)/SUM($F$31:$J$31),IF(MONTH(Factores!$D$2)=6,SUMPRODUCT($F$31:$K$31,$F42:K42)/SUM($F$31:$K$31),IF(MONTH(Factores!$D$2)=7,SUMPRODUCT($F$31:$L$31,$F42:L42)/SUM($F$31:$L$31),IF(MONTH(Factores!$D$2)=8,SUMPRODUCT($F$31:$M$31,$F42:M42)/SUM($F$31:$M$31),IF(MONTH(Factores!$D$2)=9,SUMPRODUCT($F$31:$N$31,$F42:N42)/SUM($F$31:$N$31),IF(MONTH(Factores!$D$2)=10,SUMPRODUCT($F$31:$O$31,$F42:O42)/SUM($F$31:$O$31),IF(MONTH(Factores!$D$2)=11,SUMPRODUCT($F$31:$P$31,$F42:P42)/SUM($F$31:$P$31),IF(MONTH(Factores!$D$2)=12,SUMPRODUCT($F$31:$Q$31,$F42:Q42)/SUM($F$31:$Q$31)))))))))))))</f>
        <v>1.3348710426992585</v>
      </c>
      <c r="V42" s="1442">
        <f>IF(MONTH(Factores!$D$2)=1,SUMPRODUCT($F$31:$F$31,$F42:F42)/SUM($F$31:$F$31),IF(MONTH(Factores!$D$2)=2,SUMPRODUCT($F$31:$F$31,$F42:F42)/SUM($F$31:$F$31),IF(MONTH(Factores!$D$2)=3,SUMPRODUCT($F$31:$G$31,$F42:G42)/SUM($F$31:$G$31),IF(MONTH(Factores!$D$2)=4,SUMPRODUCT($F$31:$H$31,$F42:H42)/SUM($F$31:$H$31),IF(MONTH(Factores!$D$2)=5,SUMPRODUCT($F$31:$I$31,$F42:I42)/SUM($F$31:$I$31),IF(MONTH(Factores!$D$2)=6,SUMPRODUCT($F$31:$J$31,$F42:J42)/SUM($F$31:$J$31),IF(MONTH(Factores!$D$2)=7,SUMPRODUCT($F$31:$K$31,$F42:K42)/SUM($F$31:$K$31),IF(MONTH(Factores!$D$2)=8,SUMPRODUCT($F$31:$L$31,$F42:L42)/SUM($F$31:$L$31),IF(MONTH(Factores!$D$2)=9,SUMPRODUCT($F$31:$M$31,$F42:M42)/SUM($F$31:$M$31),IF(MONTH(Factores!$D$2)=10,SUMPRODUCT($F$31:$N$31,$F42:N42)/SUM($F$31:$N$31),IF(MONTH(Factores!$D$2)=11,SUMPRODUCT($F$31:$O$31,$F42:O42)/SUM($F$31:$O$31),IF(MONTH(Factores!$D$2)=12,SUMPRODUCT($F$31:$P$31,$F42:P42)/SUM($F$31:$P$31)))))))))))))</f>
        <v>0.900420185208056</v>
      </c>
      <c r="W42" s="427"/>
      <c r="X42" s="1442"/>
      <c r="Y42" s="427"/>
      <c r="Z42" s="1442"/>
      <c r="AA42" s="1442"/>
      <c r="AB42" s="3295"/>
      <c r="AC42" s="427"/>
      <c r="AD42" s="427"/>
      <c r="AE42" s="427"/>
    </row>
    <row r="43" spans="1:31" s="3263" customFormat="1" ht="30" customHeight="1">
      <c r="A43" s="3263" t="s">
        <v>985</v>
      </c>
      <c r="B43" s="427"/>
      <c r="C43" s="3305" t="s">
        <v>986</v>
      </c>
      <c r="D43" s="1451" t="s">
        <v>241</v>
      </c>
      <c r="E43" s="427"/>
      <c r="F43" s="3255">
        <v>0</v>
      </c>
      <c r="G43" s="3255">
        <v>3887.3312256515187</v>
      </c>
      <c r="H43" s="4270">
        <f>+BDGT!G44</f>
        <v>6751.2964896958383</v>
      </c>
      <c r="I43" s="3255">
        <f>+BDGT!H44</f>
        <v>4186.8709110297141</v>
      </c>
      <c r="J43" s="3255">
        <f>+BDGT!I44</f>
        <v>6524.2614350508202</v>
      </c>
      <c r="K43" s="3255">
        <f>+BDGT!J44</f>
        <v>6246.6415853553317</v>
      </c>
      <c r="L43" s="3255">
        <f>+BDGT!K44</f>
        <v>5295.9540215675761</v>
      </c>
      <c r="M43" s="3255">
        <f>+BDGT!L44</f>
        <v>7719.5040641297446</v>
      </c>
      <c r="N43" s="3255">
        <f>+BDGT!M44</f>
        <v>5865.9084611290273</v>
      </c>
      <c r="O43" s="3255">
        <f>+BDGT!N44</f>
        <v>6591.7079382671272</v>
      </c>
      <c r="P43" s="3255">
        <f>+BDGT!O44</f>
        <v>6645.6352020434342</v>
      </c>
      <c r="Q43" s="3255">
        <f>+BDGT!P44</f>
        <v>7103.8156067838272</v>
      </c>
      <c r="R43" s="1412"/>
      <c r="S43" s="1436">
        <f>SUM(F43:Q43)</f>
        <v>66818.926940703954</v>
      </c>
      <c r="T43" s="1413"/>
      <c r="U43" s="3278">
        <f>IF(MONTH(Factores!$D$2)=1,SUM($F43:F43),IF(MONTH(Factores!$D$2)=2,SUM($F43:G43),IF(MONTH(Factores!$D$2)=3,SUM($F43:H43),IF(MONTH(Factores!$D$2)=4,SUM($F43:I43),IF(MONTH(Factores!$D$2)=5,SUM($F43:J43),IF(MONTH(Factores!$D$2)=6,SUM($F43:K43),IF(MONTH(Factores!$D$2)=7,SUM($F43:L43),IF(MONTH(Factores!$D$2)=8,SUM($F43:M43),IF(MONTH(Factores!$D$2)=9,SUM($F43:N43),IF(MONTH(Factores!$D$2)=10,SUM($F43:O43),IF(MONTH(Factores!$D$2)=11,SUM($F43:P43),IF(MONTH(Factores!$D$2)=12,SUM($F43:Q43)))))))))))))</f>
        <v>10638.627715347357</v>
      </c>
      <c r="V43" s="1436">
        <f>IF(MONTH(Factores!$D$2)=1,SUM($F43:F43),IF(MONTH(Factores!$D$2)=2,SUM($F43:F43),IF(MONTH(Factores!$D$2)=3,SUM($F43:G43),IF(MONTH(Factores!$D$2)=4,SUM($F43:H43),IF(MONTH(Factores!$D$2)=5,SUM($F43:I43),IF(MONTH(Factores!$D$2)=6,SUM($F43:J43),IF(MONTH(Factores!$D$2)=7,SUM($F43:K43),IF(MONTH(Factores!$D$2)=8,SUM($F43:L43),IF(MONTH(Factores!$D$2)=9,SUM($F43:M43),IF(MONTH(Factores!$D$2)=10,SUM($F43:N43),IF(MONTH(Factores!$D$2)=11,SUM($F43:O43),IF(MONTH(Factores!$D$2)=12,SUM($F43:P43)))))))))))))</f>
        <v>3887.3312256515187</v>
      </c>
      <c r="W43" s="427"/>
      <c r="X43" s="1436"/>
      <c r="Y43" s="427"/>
      <c r="Z43" s="1436"/>
      <c r="AA43" s="1436"/>
      <c r="AB43" s="3295"/>
      <c r="AC43" s="427"/>
      <c r="AD43" s="427"/>
      <c r="AE43" s="427"/>
    </row>
    <row r="44" spans="1:31" s="3263" customFormat="1">
      <c r="B44" s="427"/>
      <c r="C44" s="427"/>
      <c r="D44" s="1415"/>
      <c r="E44" s="1415"/>
      <c r="F44" s="1415"/>
      <c r="G44" s="1415"/>
      <c r="H44" s="4274"/>
      <c r="I44" s="1415"/>
      <c r="J44" s="1415"/>
      <c r="K44" s="1415"/>
      <c r="L44" s="1415"/>
      <c r="M44" s="1415"/>
      <c r="N44" s="1415"/>
      <c r="O44" s="1415"/>
      <c r="P44" s="1415"/>
      <c r="Q44" s="1413"/>
      <c r="R44" s="427"/>
      <c r="S44" s="427"/>
      <c r="T44" s="427"/>
      <c r="U44" s="3269"/>
      <c r="V44" s="427"/>
      <c r="W44" s="427"/>
      <c r="X44" s="427"/>
      <c r="Y44" s="427"/>
      <c r="Z44" s="427"/>
      <c r="AA44" s="427"/>
      <c r="AB44" s="427"/>
      <c r="AC44" s="427"/>
      <c r="AD44" s="427"/>
      <c r="AE44" s="427"/>
    </row>
    <row r="45" spans="1:31" s="3263" customFormat="1" ht="30" customHeight="1">
      <c r="A45" s="3263" t="s">
        <v>987</v>
      </c>
      <c r="B45" s="427"/>
      <c r="C45" s="3305" t="s">
        <v>238</v>
      </c>
      <c r="D45" s="1451" t="s">
        <v>234</v>
      </c>
      <c r="E45" s="427"/>
      <c r="F45" s="3633">
        <v>0</v>
      </c>
      <c r="G45" s="3633">
        <v>1.2570857641175415</v>
      </c>
      <c r="H45" s="4277">
        <f>+BDGT!G48</f>
        <v>1.5117587416303118</v>
      </c>
      <c r="I45" s="3633">
        <f>+BDGT!H48</f>
        <v>1.4837751194889428</v>
      </c>
      <c r="J45" s="3633">
        <f>+BDGT!I48</f>
        <v>1.4509919767308952</v>
      </c>
      <c r="K45" s="3633">
        <f>+BDGT!J48</f>
        <v>1.3994230050471075</v>
      </c>
      <c r="L45" s="3633">
        <f>+BDGT!K48</f>
        <v>1.3124240456803287</v>
      </c>
      <c r="M45" s="3633">
        <f>+BDGT!L48</f>
        <v>1.7066892450978774</v>
      </c>
      <c r="N45" s="3633">
        <f>+BDGT!M48</f>
        <v>1.4462223538088381</v>
      </c>
      <c r="O45" s="3633">
        <f>+BDGT!N48</f>
        <v>1.4883362881514637</v>
      </c>
      <c r="P45" s="3633">
        <f>+BDGT!O48</f>
        <v>1.5800658602068305</v>
      </c>
      <c r="Q45" s="3633">
        <f>+BDGT!P48</f>
        <v>1.6059821394643417</v>
      </c>
      <c r="R45" s="3272"/>
      <c r="S45" s="1442">
        <f>SUMPRODUCT(F45:Q45,F15:Q15)/SUM(F15:Q15)</f>
        <v>1.389347285917311</v>
      </c>
      <c r="T45" s="3273"/>
      <c r="U45" s="3285">
        <f>IF(MONTH(Factores!$D$2)=1,SUMPRODUCT($F$15:$F$15,$F45:F45)/SUM($F$15:$F$15),IF(MONTH(Factores!$D$2)=2,SUMPRODUCT($F$15:$G$15,$F45:G45)/SUM($F$15:$G$15),IF(MONTH(Factores!$D$2)=3,SUMPRODUCT($F$15:$H$15,$F45:H45)/SUM($F$15:$H$15),IF(MONTH(Factores!$D$2)=4,SUMPRODUCT($F$15:$I$15,$F45:I45)/SUM($F$15:$I$15),IF(MONTH(Factores!$D$2)=5,SUMPRODUCT($F$15:$J$15,$F45:J45)/SUM($F$15:$J$15),IF(MONTH(Factores!$D$2)=6,SUMPRODUCT($F$15:$K$15,$F45:K45)/SUM($F$15:$K$15),IF(MONTH(Factores!$D$2)=7,SUMPRODUCT($F$15:$L$15,$F45:L45)/SUM($F$15:$L$15),IF(MONTH(Factores!$D$2)=8,SUMPRODUCT($F$15:$M$15,$F45:M45)/SUM($F$15:$M$15),IF(MONTH(Factores!$D$2)=9,SUMPRODUCT($F$15:$N$15,$F45:N45)/SUM($F$15:$N$15),IF(MONTH(Factores!$D$2)=10,SUMPRODUCT($F$15:$O$15,$F45:O45)/SUM($F$15:$O$15),IF(MONTH(Factores!$D$2)=11,SUMPRODUCT($F$15:$P$15,$F45:P45)/SUM($F$15:$P$15),IF(MONTH(Factores!$D$2)=12,SUMPRODUCT($F$15:$Q$15,$F45:Q45)/SUM($F$15:$Q$15)))))))))))))</f>
        <v>1.0212983788869314</v>
      </c>
      <c r="V45" s="1442">
        <f>IF(MONTH(Factores!$D$2)=1,SUMPRODUCT($F$15:$F$15,$F45:F45)/SUM($F$15:$F$15),IF(MONTH(Factores!$D$2)=2,SUMPRODUCT($F$15:$F$15,$F45:F45)/SUM($F$15:$F$15),IF(MONTH(Factores!$D$2)=3,SUMPRODUCT($F$15:$G$15,$F45:G45)/SUM($F$15:$G$15),IF(MONTH(Factores!$D$2)=4,SUMPRODUCT($F$15:$H$15,$F45:H45)/SUM($F$15:$H$15),IF(MONTH(Factores!$D$2)=5,SUMPRODUCT($F$15:$I$15,$F45:I45)/SUM($F$15:$I$15),IF(MONTH(Factores!$D$2)=6,SUMPRODUCT($F$15:$J$15,$F45:J45)/SUM($F$15:$J$15),IF(MONTH(Factores!$D$2)=7,SUMPRODUCT($F$15:$K$15,$F45:K45)/SUM($F$15:$K$15),IF(MONTH(Factores!$D$2)=8,SUMPRODUCT($F$15:$L$15,$F45:L45)/SUM($F$15:$L$15),IF(MONTH(Factores!$D$2)=9,SUMPRODUCT($F$15:$M$15,$F45:M45)/SUM($F$15:$M$15),IF(MONTH(Factores!$D$2)=10,SUMPRODUCT($F$15:$N$15,$F45:N45)/SUM($F$15:$N$15),IF(MONTH(Factores!$D$2)=11,SUMPRODUCT($F$15:$O$15,$F45:O45)/SUM($F$15:$O$15),IF(MONTH(Factores!$D$2)=12,SUMPRODUCT($F$15:$P$15,$F45:P45)/SUM($F$15:$P$15)))))))))))))</f>
        <v>0.7066402397797964</v>
      </c>
      <c r="W45" s="427"/>
      <c r="X45" s="1442"/>
      <c r="Y45" s="427"/>
      <c r="Z45" s="1442"/>
      <c r="AA45" s="1442"/>
      <c r="AB45" s="3295"/>
      <c r="AC45" s="427"/>
      <c r="AD45" s="427"/>
      <c r="AE45" s="427"/>
    </row>
    <row r="46" spans="1:31" s="427" customFormat="1" ht="30" customHeight="1">
      <c r="A46" s="427" t="s">
        <v>988</v>
      </c>
      <c r="C46" s="3305" t="s">
        <v>239</v>
      </c>
      <c r="D46" s="1451" t="s">
        <v>234</v>
      </c>
      <c r="F46" s="3632">
        <v>0</v>
      </c>
      <c r="G46" s="3632">
        <v>60.740792898568451</v>
      </c>
      <c r="H46" s="4278">
        <f>+BDGT!G49</f>
        <v>66.762504791132926</v>
      </c>
      <c r="I46" s="3632">
        <f>+BDGT!H49</f>
        <v>60.541457306219705</v>
      </c>
      <c r="J46" s="3632">
        <f>+BDGT!I49</f>
        <v>62.042215460198143</v>
      </c>
      <c r="K46" s="3632">
        <f>+BDGT!J49</f>
        <v>56.950159685742371</v>
      </c>
      <c r="L46" s="3632">
        <f>+BDGT!K49</f>
        <v>55.969327779753556</v>
      </c>
      <c r="M46" s="3632">
        <f>+BDGT!L49</f>
        <v>62.52076614392783</v>
      </c>
      <c r="N46" s="3632">
        <f>+BDGT!M49</f>
        <v>57.939462394124213</v>
      </c>
      <c r="O46" s="3632">
        <f>+BDGT!N49</f>
        <v>56.201955280048374</v>
      </c>
      <c r="P46" s="3632">
        <f>+BDGT!O49</f>
        <v>56.001507689752593</v>
      </c>
      <c r="Q46" s="3632">
        <f>+BDGT!P49</f>
        <v>55.59902583530679</v>
      </c>
      <c r="R46" s="3281"/>
      <c r="S46" s="1447">
        <f>SUMPRODUCT(F46:Q46,F31:Q31)/SUM(F31:Q31)</f>
        <v>55.772933804806044</v>
      </c>
      <c r="T46" s="3282"/>
      <c r="U46" s="3285">
        <f>IF(MONTH(Factores!$D$2)=1,SUMPRODUCT($F$31:$F$31,$F46:F46)/SUM($F$31:$F$31),IF(MONTH(Factores!$D$2)=2,SUMPRODUCT($F$31:$G$31,$F46:G46)/SUM($F$31:$G$31),IF(MONTH(Factores!$D$2)=3,SUMPRODUCT($F$31:$H$31,$F46:H46)/SUM($F$31:$H$31),IF(MONTH(Factores!$D$2)=4,SUMPRODUCT($F$31:$I$31,$F46:I46)/SUM($F$31:$I$31),IF(MONTH(Factores!$D$2)=5,SUMPRODUCT($F$31:$J$31,$F46:J46)/SUM($F$31:$J$31),IF(MONTH(Factores!$D$2)=6,SUMPRODUCT($F$31:$K$31,$F46:K46)/SUM($F$31:$K$31),IF(MONTH(Factores!$D$2)=7,SUMPRODUCT($F$31:$L$31,$F46:L46)/SUM($F$31:$L$31),IF(MONTH(Factores!$D$2)=8,SUMPRODUCT($F$31:$M$31,$F46:M46)/SUM($F$31:$M$31),IF(MONTH(Factores!$D$2)=9,SUMPRODUCT($F$31:$N$31,$F46:N46)/SUM($F$31:$N$31),IF(MONTH(Factores!$D$2)=10,SUMPRODUCT($F$31:$O$31,$F46:O46)/SUM($F$31:$O$31),IF(MONTH(Factores!$D$2)=11,SUMPRODUCT($F$31:$P$31,$F46:P46)/SUM($F$31:$P$31),IF(MONTH(Factores!$D$2)=12,SUMPRODUCT($F$31:$Q$31,$F46:Q46)/SUM($F$31:$Q$31)))))))))))))</f>
        <v>46.515232379008047</v>
      </c>
      <c r="V46" s="1447">
        <f>IF(MONTH(Factores!$D$2)=1,SUMPRODUCT($F$31:$F$31,$F46:F46)/SUM($F$31:$F$31),IF(MONTH(Factores!$D$2)=2,SUMPRODUCT($F$31:$F$31,$F46:F46)/SUM($F$31:$F$31),IF(MONTH(Factores!$D$2)=3,SUMPRODUCT($F$31:$G$31,$F46:G46)/SUM($F$31:$G$31),IF(MONTH(Factores!$D$2)=4,SUMPRODUCT($F$31:$H$31,$F46:H46)/SUM($F$31:$H$31),IF(MONTH(Factores!$D$2)=5,SUMPRODUCT($F$31:$I$31,$F46:I46)/SUM($F$31:$I$31),IF(MONTH(Factores!$D$2)=6,SUMPRODUCT($F$31:$J$31,$F46:J46)/SUM($F$31:$J$31),IF(MONTH(Factores!$D$2)=7,SUMPRODUCT($F$31:$K$31,$F46:K46)/SUM($F$31:$K$31),IF(MONTH(Factores!$D$2)=8,SUMPRODUCT($F$31:$L$31,$F46:L46)/SUM($F$31:$L$31),IF(MONTH(Factores!$D$2)=9,SUMPRODUCT($F$31:$M$31,$F46:M46)/SUM($F$31:$M$31),IF(MONTH(Factores!$D$2)=10,SUMPRODUCT($F$31:$N$31,$F46:N46)/SUM($F$31:$N$31),IF(MONTH(Factores!$D$2)=11,SUMPRODUCT($F$31:$O$31,$F46:O46)/SUM($F$31:$O$31),IF(MONTH(Factores!$D$2)=12,SUMPRODUCT($F$31:$P$31,$F46:P46)/SUM($F$31:$P$31)))))))))))))</f>
        <v>33.013292040262023</v>
      </c>
      <c r="X46" s="1442"/>
      <c r="Z46" s="1442"/>
      <c r="AA46" s="1442"/>
      <c r="AB46" s="3295"/>
    </row>
    <row r="47" spans="1:31" s="3263" customFormat="1" ht="30" customHeight="1">
      <c r="A47" s="3263" t="s">
        <v>989</v>
      </c>
      <c r="B47" s="427"/>
      <c r="C47" s="3305" t="s">
        <v>990</v>
      </c>
      <c r="D47" s="1451" t="s">
        <v>241</v>
      </c>
      <c r="E47" s="427"/>
      <c r="F47" s="3631">
        <v>0</v>
      </c>
      <c r="G47" s="3631">
        <v>142.5263483847931</v>
      </c>
      <c r="H47" s="4279">
        <f>+BDGT!G50</f>
        <v>226.91361215602413</v>
      </c>
      <c r="I47" s="3631">
        <f>+BDGT!H50</f>
        <v>151.91196108837656</v>
      </c>
      <c r="J47" s="3631">
        <f>+BDGT!I50</f>
        <v>228.75229170370196</v>
      </c>
      <c r="K47" s="3631">
        <f>+BDGT!J50</f>
        <v>214.4612539239281</v>
      </c>
      <c r="L47" s="3631">
        <f>+BDGT!K50</f>
        <v>196.94578627202776</v>
      </c>
      <c r="M47" s="3631">
        <f>+BDGT!L50</f>
        <v>251.01253728973307</v>
      </c>
      <c r="N47" s="3631">
        <f>+BDGT!M50</f>
        <v>211.61106152481267</v>
      </c>
      <c r="O47" s="3631">
        <f>+BDGT!N50</f>
        <v>229.47367117497691</v>
      </c>
      <c r="P47" s="3631">
        <f>+BDGT!O50</f>
        <v>226.70258365159813</v>
      </c>
      <c r="Q47" s="3631">
        <f>+BDGT!P50</f>
        <v>254.44563151073257</v>
      </c>
      <c r="R47" s="1412"/>
      <c r="S47" s="1436">
        <f>SUM(F47:Q47)</f>
        <v>2334.756738680705</v>
      </c>
      <c r="T47" s="1413"/>
      <c r="U47" s="3285">
        <f>IF(MONTH(Factores!$D$2)=1,SUM($F47:F47),IF(MONTH(Factores!$D$2)=2,SUM($F47:G47),IF(MONTH(Factores!$D$2)=3,SUM($F47:H47),IF(MONTH(Factores!$D$2)=4,SUM($F47:I47),IF(MONTH(Factores!$D$2)=5,SUM($F47:J47),IF(MONTH(Factores!$D$2)=6,SUM($F47:K47),IF(MONTH(Factores!$D$2)=7,SUM($F47:L47),IF(MONTH(Factores!$D$2)=8,SUM($F47:M47),IF(MONTH(Factores!$D$2)=9,SUM($F47:N47),IF(MONTH(Factores!$D$2)=10,SUM($F47:O47),IF(MONTH(Factores!$D$2)=11,SUM($F47:P47),IF(MONTH(Factores!$D$2)=12,SUM($F47:Q47)))))))))))))</f>
        <v>369.4399605408172</v>
      </c>
      <c r="V47" s="1436">
        <f>IF(MONTH(Factores!$D$2)=1,SUM($F47:F47),IF(MONTH(Factores!$D$2)=2,SUM($F47:F47),IF(MONTH(Factores!$D$2)=3,SUM($F47:G47),IF(MONTH(Factores!$D$2)=4,SUM($F47:H47),IF(MONTH(Factores!$D$2)=5,SUM($F47:I47),IF(MONTH(Factores!$D$2)=6,SUM($F47:J47),IF(MONTH(Factores!$D$2)=7,SUM($F47:K47),IF(MONTH(Factores!$D$2)=8,SUM($F47:L47),IF(MONTH(Factores!$D$2)=9,SUM($F47:M47),IF(MONTH(Factores!$D$2)=10,SUM($F47:N47),IF(MONTH(Factores!$D$2)=11,SUM($F47:O47),IF(MONTH(Factores!$D$2)=12,SUM($F47:P47)))))))))))))</f>
        <v>142.5263483847931</v>
      </c>
      <c r="W47" s="427"/>
      <c r="X47" s="1436"/>
      <c r="Y47" s="427"/>
      <c r="Z47" s="1436"/>
      <c r="AA47" s="1436"/>
      <c r="AB47" s="3295"/>
      <c r="AC47" s="427"/>
      <c r="AD47" s="427"/>
      <c r="AE47" s="427"/>
    </row>
    <row r="48" spans="1:31" s="3263" customFormat="1">
      <c r="B48" s="427"/>
      <c r="C48" s="427"/>
      <c r="D48" s="1415"/>
      <c r="E48" s="1415"/>
      <c r="F48" s="1415"/>
      <c r="G48" s="1415"/>
      <c r="H48" s="4274"/>
      <c r="I48" s="1415"/>
      <c r="J48" s="1415"/>
      <c r="K48" s="1415"/>
      <c r="L48" s="1413"/>
      <c r="M48" s="1413"/>
      <c r="N48" s="1413"/>
      <c r="O48" s="1413"/>
      <c r="P48" s="1413"/>
      <c r="Q48" s="1413"/>
      <c r="R48" s="427"/>
      <c r="S48" s="427"/>
      <c r="T48" s="427"/>
      <c r="U48" s="3269"/>
      <c r="V48" s="427"/>
      <c r="W48" s="427"/>
      <c r="X48" s="427"/>
      <c r="Y48" s="427"/>
      <c r="Z48" s="427"/>
      <c r="AA48" s="427"/>
      <c r="AB48" s="427"/>
      <c r="AC48" s="427"/>
      <c r="AD48" s="427"/>
      <c r="AE48" s="427"/>
    </row>
    <row r="49" spans="1:31" s="3263" customFormat="1" ht="30" customHeight="1">
      <c r="A49" s="3263" t="s">
        <v>991</v>
      </c>
      <c r="B49" s="427"/>
      <c r="C49" s="3305" t="s">
        <v>242</v>
      </c>
      <c r="D49" s="1451" t="s">
        <v>95</v>
      </c>
      <c r="E49" s="427"/>
      <c r="F49" s="3256">
        <v>12.036679627829974</v>
      </c>
      <c r="G49" s="3256" t="s">
        <v>342</v>
      </c>
      <c r="H49" s="4271">
        <f>IF(H5="R+P",'R+P'!$BA$47,IF(H5="Bdgt",BDGT!G54,""))</f>
        <v>20.726944183805845</v>
      </c>
      <c r="I49" s="3256">
        <f>IF(I5="R+P",'R+P'!$BA$47,IF(I5="Bdgt",BDGT!H54,""))</f>
        <v>24.957699004762887</v>
      </c>
      <c r="J49" s="3256">
        <f>IF(J5="R+P",'R+P'!$BA$47,IF(J5="Bdgt",BDGT!I54,""))</f>
        <v>20.00231618587987</v>
      </c>
      <c r="K49" s="3256">
        <f>IF(K5="R+P",'R+P'!$BA$47,IF(K5="Bdgt",BDGT!J54,""))</f>
        <v>26.348003550125103</v>
      </c>
      <c r="L49" s="3256">
        <f>IF(L5="R+P",'R+P'!$BA$47,IF(L5="Bdgt",BDGT!K54,""))</f>
        <v>20.013305077124766</v>
      </c>
      <c r="M49" s="3256">
        <f>IF(M5="R+P",'R+P'!$BA$47,IF(M5="Bdgt",BDGT!L54,""))</f>
        <v>26.469868818010202</v>
      </c>
      <c r="N49" s="3256">
        <f>IF(N5="R+P",'R+P'!$BA$47,IF(N5="Bdgt",BDGT!M54,""))</f>
        <v>15.672033075573559</v>
      </c>
      <c r="O49" s="3256">
        <f>IF(O5="R+P",'R+P'!$BA$47,IF(O5="Bdgt",BDGT!N54,""))</f>
        <v>19.493722559906317</v>
      </c>
      <c r="P49" s="3256">
        <f>IF(P5="R+P",'R+P'!$BA$47,IF(P5="Bdgt",BDGT!O54,""))</f>
        <v>23.812871604670281</v>
      </c>
      <c r="Q49" s="3256">
        <f>IF(Q5="R+P",'R+P'!$BA$47,IF(Q5="Bdgt",BDGT!P54,""))</f>
        <v>21.80157746890206</v>
      </c>
      <c r="R49" s="3281"/>
      <c r="S49" s="1447">
        <f>SUMPRODUCT(F15:Q15,F49:Q49)/SUM(F15:Q15)</f>
        <v>19.539741792976518</v>
      </c>
      <c r="T49" s="3282"/>
      <c r="U49" s="3284">
        <f>IF(MONTH(Factores!$D$2)=1,SUMPRODUCT($F$15:$F$15,$F49:F49)/SUM($F$15:$F$15),IF(MONTH(Factores!$D$2)=2,SUMPRODUCT($F$15:$G$15,$F49:G49)/SUM($F$15:$G$15),IF(MONTH(Factores!$D$2)=3,SUMPRODUCT($F$15:$H$15,$F49:H49)/SUM($F$15:$H$15),IF(MONTH(Factores!$D$2)=4,SUMPRODUCT($F$15:$I$15,$F49:I49)/SUM($F$15:$I$15),IF(MONTH(Factores!$D$2)=5,SUMPRODUCT($F$15:$J$15,$F49:J49)/SUM($F$15:$J$15),IF(MONTH(Factores!$D$2)=6,SUMPRODUCT($F$15:$K$15,$F49:K49)/SUM($F$15:$K$15),IF(MONTH(Factores!$D$2)=7,SUMPRODUCT($F$15:$L$15,$F49:L49)/SUM($F$15:$L$15),IF(MONTH(Factores!$D$2)=8,SUMPRODUCT($F$15:$M$15,$F49:M49)/SUM($F$15:$M$15),IF(MONTH(Factores!$D$2)=9,SUMPRODUCT($F$15:$N$15,$F49:N49)/SUM($F$15:$N$15),IF(MONTH(Factores!$D$2)=10,SUMPRODUCT($F$15:$O$15,$F49:O49)/SUM($F$15:$O$15),IF(MONTH(Factores!$D$2)=11,SUMPRODUCT($F$15:$P$15,$F49:P49)/SUM($F$15:$P$15),IF(MONTH(Factores!$D$2)=12,SUMPRODUCT($F$15:$Q$15,$F49:Q49)/SUM($F$15:$Q$15)))))))))))))</f>
        <v>11.311252594606758</v>
      </c>
      <c r="V49" s="1447">
        <f>IF(MONTH(Factores!$D$2)=1,SUMPRODUCT($F$15:$F$15,$F49:F49)/SUM($F$15:$F$15),IF(MONTH(Factores!$D$2)=2,SUMPRODUCT($F$15:$F$15,$F49:F49)/SUM($F$15:$F$15),IF(MONTH(Factores!$D$2)=3,SUMPRODUCT($F$15:$G$15,$F49:G49)/SUM($F$15:$G$15),IF(MONTH(Factores!$D$2)=4,SUMPRODUCT($F$15:$H$15,$F49:H49)/SUM($F$15:$H$15),IF(MONTH(Factores!$D$2)=5,SUMPRODUCT($F$15:$I$15,$F49:I49)/SUM($F$15:$I$15),IF(MONTH(Factores!$D$2)=6,SUMPRODUCT($F$15:$J$15,$F49:J49)/SUM($F$15:$J$15),IF(MONTH(Factores!$D$2)=7,SUMPRODUCT($F$15:$K$15,$F49:K49)/SUM($F$15:$K$15),IF(MONTH(Factores!$D$2)=8,SUMPRODUCT($F$15:$L$15,$F49:L49)/SUM($F$15:$L$15),IF(MONTH(Factores!$D$2)=9,SUMPRODUCT($F$15:$M$15,$F49:M49)/SUM($F$15:$M$15),IF(MONTH(Factores!$D$2)=10,SUMPRODUCT($F$15:$N$15,$F49:N49)/SUM($F$15:$N$15),IF(MONTH(Factores!$D$2)=11,SUMPRODUCT($F$15:$O$15,$F49:O49)/SUM($F$15:$O$15),IF(MONTH(Factores!$D$2)=12,SUMPRODUCT($F$15:$P$15,$F49:P49)/SUM($F$15:$P$15)))))))))))))</f>
        <v>5.2705524301894933</v>
      </c>
      <c r="W49" s="427"/>
      <c r="X49" s="1447"/>
      <c r="Y49" s="427"/>
      <c r="Z49" s="1447"/>
      <c r="AA49" s="1447"/>
      <c r="AB49" s="427"/>
      <c r="AC49" s="427"/>
      <c r="AD49" s="427"/>
      <c r="AE49" s="427"/>
    </row>
    <row r="50" spans="1:31" s="3263" customFormat="1" ht="30" customHeight="1">
      <c r="A50" s="3263" t="s">
        <v>992</v>
      </c>
      <c r="B50" s="427"/>
      <c r="C50" s="3305" t="s">
        <v>243</v>
      </c>
      <c r="D50" s="1451" t="s">
        <v>95</v>
      </c>
      <c r="E50" s="427"/>
      <c r="F50" s="3255">
        <v>877.00005194965081</v>
      </c>
      <c r="G50" s="3255" t="s">
        <v>342</v>
      </c>
      <c r="H50" s="4270">
        <f>IF(H5="R+P",'R+P'!$BB$47,IF(H5="Bdgt",BDGT!G55,""))</f>
        <v>978.90255714948728</v>
      </c>
      <c r="I50" s="3255">
        <f>IF(I5="R+P",'R+P'!$BB$47,IF(I5="Bdgt",BDGT!H55,""))</f>
        <v>998.12728311955425</v>
      </c>
      <c r="J50" s="3255">
        <f>IF(J5="R+P",'R+P'!$BB$47,IF(J5="Bdgt",BDGT!I55,""))</f>
        <v>799.94784402602568</v>
      </c>
      <c r="K50" s="3255">
        <f>IF(K5="R+P",'R+P'!$BB$47,IF(K5="Bdgt",BDGT!J55,""))</f>
        <v>1053.7294000577515</v>
      </c>
      <c r="L50" s="3255">
        <f>IF(L5="R+P",'R+P'!$BB$47,IF(L5="Bdgt",BDGT!K55,""))</f>
        <v>800.53220308499067</v>
      </c>
      <c r="M50" s="3255">
        <f>IF(M5="R+P",'R+P'!$BB$47,IF(M5="Bdgt",BDGT!L55,""))</f>
        <v>1058.794752720408</v>
      </c>
      <c r="N50" s="3255">
        <f>IF(N5="R+P",'R+P'!$BB$47,IF(N5="Bdgt",BDGT!M55,""))</f>
        <v>626.8813230229423</v>
      </c>
      <c r="O50" s="3255">
        <f>IF(O5="R+P",'R+P'!$BB$47,IF(O5="Bdgt",BDGT!N55,""))</f>
        <v>779.74890239625267</v>
      </c>
      <c r="P50" s="3255">
        <f>IF(P5="R+P",'R+P'!$BB$47,IF(P5="Bdgt",BDGT!O55,""))</f>
        <v>952.51486418681122</v>
      </c>
      <c r="Q50" s="3255">
        <f>IF(Q5="R+P",'R+P'!$BB$47,IF(Q5="Bdgt",BDGT!P55,""))</f>
        <v>872.06309875608235</v>
      </c>
      <c r="R50" s="1412"/>
      <c r="S50" s="1436">
        <f>SUMPRODUCT(F31:Q31,F50:Q50)/SUM(F31:Q31)</f>
        <v>831.41050700397534</v>
      </c>
      <c r="T50" s="1413"/>
      <c r="U50" s="3284">
        <f>IF(MONTH(Factores!$D$2)=1,SUMPRODUCT($F$31:$F$31,$F50:F50)/SUM($F$31:$F$31),IF(MONTH(Factores!$D$2)=2,SUMPRODUCT($F$31:$G$31,$F50:G50)/SUM($F$31:$G$31),IF(MONTH(Factores!$D$2)=3,SUMPRODUCT($F$31:$H$31,$F50:H50)/SUM($F$31:$H$31),IF(MONTH(Factores!$D$2)=4,SUMPRODUCT($F$31:$I$31,$F50:I50)/SUM($F$31:$I$31),IF(MONTH(Factores!$D$2)=5,SUMPRODUCT($F$31:$J$31,$F50:J50)/SUM($F$31:$J$31),IF(MONTH(Factores!$D$2)=6,SUMPRODUCT($F$31:$K$31,$F50:K50)/SUM($F$31:$K$31),IF(MONTH(Factores!$D$2)=7,SUMPRODUCT($F$31:$L$31,$F50:L50)/SUM($F$31:$L$31),IF(MONTH(Factores!$D$2)=8,SUMPRODUCT($F$31:$M$31,$F50:M50)/SUM($F$31:$M$31),IF(MONTH(Factores!$D$2)=9,SUMPRODUCT($F$31:$N$31,$F50:N50)/SUM($F$31:$N$31),IF(MONTH(Factores!$D$2)=10,SUMPRODUCT($F$31:$O$31,$F50:O50)/SUM($F$31:$O$31),IF(MONTH(Factores!$D$2)=11,SUMPRODUCT($F$31:$P$31,$F50:P50)/SUM($F$31:$P$31),IF(MONTH(Factores!$D$2)=12,SUMPRODUCT($F$31:$Q$31,$F50:Q50)/SUM($F$31:$Q$31)))))))))))))</f>
        <v>631.80418480531466</v>
      </c>
      <c r="V50" s="1436">
        <f>IF(MONTH(Factores!$D$2)=1,SUMPRODUCT($F$31:$F$31,$F50:F50)/SUM($F$31:$F$31),IF(MONTH(Factores!$D$2)=2,SUMPRODUCT($F$31:$F$31,$F50:F50)/SUM($F$31:$F$31),IF(MONTH(Factores!$D$2)=3,SUMPRODUCT($F$31:$G$31,$F50:G50)/SUM($F$31:$G$31),IF(MONTH(Factores!$D$2)=4,SUMPRODUCT($F$31:$H$31,$F50:H50)/SUM($F$31:$H$31),IF(MONTH(Factores!$D$2)=5,SUMPRODUCT($F$31:$I$31,$F50:I50)/SUM($F$31:$I$31),IF(MONTH(Factores!$D$2)=6,SUMPRODUCT($F$31:$J$31,$F50:J50)/SUM($F$31:$J$31),IF(MONTH(Factores!$D$2)=7,SUMPRODUCT($F$31:$K$31,$F50:K50)/SUM($F$31:$K$31),IF(MONTH(Factores!$D$2)=8,SUMPRODUCT($F$31:$L$31,$F50:L50)/SUM($F$31:$L$31),IF(MONTH(Factores!$D$2)=9,SUMPRODUCT($F$31:$M$31,$F50:M50)/SUM($F$31:$M$31),IF(MONTH(Factores!$D$2)=10,SUMPRODUCT($F$31:$N$31,$F50:N50)/SUM($F$31:$N$31),IF(MONTH(Factores!$D$2)=11,SUMPRODUCT($F$31:$O$31,$F50:O50)/SUM($F$31:$O$31),IF(MONTH(Factores!$D$2)=12,SUMPRODUCT($F$31:$P$31,$F50:P50)/SUM($F$31:$P$31)))))))))))))</f>
        <v>400.34083410428838</v>
      </c>
      <c r="W50" s="427"/>
      <c r="X50" s="1447"/>
      <c r="Y50" s="427"/>
      <c r="Z50" s="1447"/>
      <c r="AA50" s="1447"/>
      <c r="AB50" s="427"/>
      <c r="AC50" s="427"/>
      <c r="AD50" s="427"/>
      <c r="AE50" s="427"/>
    </row>
    <row r="51" spans="1:31" s="3263" customFormat="1" ht="12.75" customHeight="1">
      <c r="B51" s="427"/>
      <c r="C51" s="427"/>
      <c r="D51" s="1415"/>
      <c r="E51" s="1415"/>
      <c r="F51" s="1415"/>
      <c r="G51" s="1415"/>
      <c r="H51" s="4274"/>
      <c r="I51" s="1415"/>
      <c r="J51" s="1415"/>
      <c r="K51" s="1415"/>
      <c r="L51" s="436"/>
      <c r="M51" s="436"/>
      <c r="N51" s="436"/>
      <c r="O51" s="436"/>
      <c r="P51" s="436"/>
      <c r="Q51" s="436"/>
      <c r="R51" s="427"/>
      <c r="S51" s="436"/>
      <c r="T51" s="427"/>
      <c r="U51" s="427"/>
      <c r="V51" s="427"/>
      <c r="W51" s="427"/>
      <c r="X51" s="436"/>
      <c r="Y51" s="427"/>
      <c r="Z51" s="436"/>
      <c r="AA51" s="436"/>
      <c r="AB51" s="3295"/>
      <c r="AC51" s="427"/>
      <c r="AD51" s="427"/>
      <c r="AE51" s="427"/>
    </row>
    <row r="52" spans="1:31" s="3263" customFormat="1" ht="30" customHeight="1">
      <c r="B52" s="427"/>
      <c r="C52" s="427"/>
      <c r="D52" s="1415"/>
      <c r="E52" s="1415"/>
      <c r="F52" s="1415"/>
      <c r="G52" s="1415"/>
      <c r="H52" s="4274"/>
      <c r="I52" s="1415"/>
      <c r="J52" s="1415"/>
      <c r="K52" s="1415"/>
      <c r="L52" s="1413"/>
      <c r="M52" s="1413"/>
      <c r="N52" s="1413"/>
      <c r="O52" s="1413"/>
      <c r="P52" s="1413"/>
      <c r="Q52" s="1413"/>
      <c r="R52" s="427"/>
      <c r="S52" s="427"/>
      <c r="T52" s="427"/>
      <c r="U52" s="427"/>
      <c r="V52" s="427"/>
      <c r="W52" s="427"/>
      <c r="X52" s="427"/>
      <c r="Y52" s="427"/>
      <c r="Z52" s="427"/>
      <c r="AA52" s="427"/>
      <c r="AB52" s="427"/>
      <c r="AC52" s="427"/>
      <c r="AD52" s="427"/>
      <c r="AE52" s="427"/>
    </row>
    <row r="53" spans="1:31" s="3263" customFormat="1" ht="30" customHeight="1">
      <c r="B53" s="427"/>
      <c r="C53" s="3305" t="s">
        <v>580</v>
      </c>
      <c r="D53" s="1451"/>
      <c r="E53" s="427"/>
      <c r="F53" s="3256">
        <v>87.482340543465142</v>
      </c>
      <c r="G53" s="3256">
        <v>80.971026304530483</v>
      </c>
      <c r="H53" s="4271">
        <f>IF(H5="R+P",'R+P'!$AW$39,IF(H5="Bdgt",BDGT!G57,""))</f>
        <v>80.339422141886743</v>
      </c>
      <c r="I53" s="3256">
        <f>IF(I5="R+P",'R+P'!$AW$39,IF(I5="Bdgt",BDGT!H57,""))</f>
        <v>76.33713761526711</v>
      </c>
      <c r="J53" s="3256">
        <f>IF(J5="R+P",'R+P'!$AW$39,IF(J5="Bdgt",BDGT!I57,""))</f>
        <v>82.561115512493771</v>
      </c>
      <c r="K53" s="3256">
        <f>IF(K5="R+P",'R+P'!$AW$39,IF(K5="Bdgt",BDGT!J57,""))</f>
        <v>83.115869984236838</v>
      </c>
      <c r="L53" s="3256">
        <f>IF(L5="R+P",'R+P'!$AW$39,IF(L5="Bdgt",BDGT!K57,""))</f>
        <v>73.987118768588786</v>
      </c>
      <c r="M53" s="3256">
        <f>IF(M5="R+P",'R+P'!$AW$39,IF(M5="Bdgt",BDGT!L57,""))</f>
        <v>78.771873018528936</v>
      </c>
      <c r="N53" s="3256">
        <f>IF(N5="R+P",'R+P'!$AW$39,IF(N5="Bdgt",BDGT!M57,""))</f>
        <v>80.018776984399281</v>
      </c>
      <c r="O53" s="3256">
        <f>IF(O5="R+P",'R+P'!$AW$39,IF(O5="Bdgt",BDGT!N57,""))</f>
        <v>79.190396099450012</v>
      </c>
      <c r="P53" s="3256">
        <f>IF(P5="R+P",'R+P'!$AW$39,IF(P5="Bdgt",BDGT!O57,""))</f>
        <v>79.588732339380542</v>
      </c>
      <c r="Q53" s="3256">
        <f>IF(Q5="R+P",'R+P'!$AW$39,IF(Q5="Bdgt",BDGT!P57,""))</f>
        <v>81.584031662048034</v>
      </c>
      <c r="R53" s="3281"/>
      <c r="S53" s="1447">
        <f>SUMPRODUCT(F49:Q49,F53:Q53)/SUM(F49:Q49)</f>
        <v>79.980172983363872</v>
      </c>
      <c r="T53" s="3282"/>
      <c r="U53" s="3284">
        <f>IF(MONTH(Factores!$D$2)=1,SUMPRODUCT($F$15:$F$15,$F53:F53)/SUM($F$15:$F$15),IF(MONTH(Factores!$D$2)=2,SUMPRODUCT($F$15:$G$15,$F53:G53)/SUM($F$15:$G$15),IF(MONTH(Factores!$D$2)=3,SUMPRODUCT($F$15:$H$15,$F53:H53)/SUM($F$15:$H$15),IF(MONTH(Factores!$D$2)=4,SUMPRODUCT($F$15:$I$15,$F53:I53)/SUM($F$15:$I$15),IF(MONTH(Factores!$D$2)=5,SUMPRODUCT($F$15:$J$15,$F53:J53)/SUM($F$15:$J$15),IF(MONTH(Factores!$D$2)=6,SUMPRODUCT($F$15:$K$15,$F53:K53)/SUM($F$15:$K$15),IF(MONTH(Factores!$D$2)=7,SUMPRODUCT($F$15:$L$15,$F53:L53)/SUM($F$15:$L$15),IF(MONTH(Factores!$D$2)=8,SUMPRODUCT($F$15:$M$15,$F53:M53)/SUM($F$15:$M$15),IF(MONTH(Factores!$D$2)=9,SUMPRODUCT($F$15:$N$15,$F53:N53)/SUM($F$15:$N$15),IF(MONTH(Factores!$D$2)=10,SUMPRODUCT($F$15:$O$15,$F53:O53)/SUM($F$15:$O$15),IF(MONTH(Factores!$D$2)=11,SUMPRODUCT($F$15:$P$15,$F53:P53)/SUM($F$15:$P$15),IF(MONTH(Factores!$D$2)=12,SUMPRODUCT($F$15:$Q$15,$F53:Q53)/SUM($F$15:$Q$15)))))))))))))</f>
        <v>82.461030958530728</v>
      </c>
      <c r="V53" s="1447">
        <f>IF(MONTH(Factores!$D$2)=1,SUMPRODUCT($F$15:$F$15,$F53:F53)/SUM($F$15:$F$15),IF(MONTH(Factores!$D$2)=2,SUMPRODUCT($F$15:$F$15,$F53:F53)/SUM($F$15:$F$15),IF(MONTH(Factores!$D$2)=3,SUMPRODUCT($F$15:$G$15,$F53:G53)/SUM($F$15:$G$15),IF(MONTH(Factores!$D$2)=4,SUMPRODUCT($F$15:$H$15,$F53:H53)/SUM($F$15:$H$15),IF(MONTH(Factores!$D$2)=5,SUMPRODUCT($F$15:$I$15,$F53:I53)/SUM($F$15:$I$15),IF(MONTH(Factores!$D$2)=6,SUMPRODUCT($F$15:$J$15,$F53:J53)/SUM($F$15:$J$15),IF(MONTH(Factores!$D$2)=7,SUMPRODUCT($F$15:$K$15,$F53:K53)/SUM($F$15:$K$15),IF(MONTH(Factores!$D$2)=8,SUMPRODUCT($F$15:$L$15,$F53:L53)/SUM($F$15:$L$15),IF(MONTH(Factores!$D$2)=9,SUMPRODUCT($F$15:$M$15,$F53:M53)/SUM($F$15:$M$15),IF(MONTH(Factores!$D$2)=10,SUMPRODUCT($F$15:$N$15,$F53:N53)/SUM($F$15:$N$15),IF(MONTH(Factores!$D$2)=11,SUMPRODUCT($F$15:$O$15,$F53:O53)/SUM($F$15:$O$15),IF(MONTH(Factores!$D$2)=12,SUMPRODUCT($F$15:$P$15,$F53:P53)/SUM($F$15:$P$15)))))))))))))</f>
        <v>83.822163341226002</v>
      </c>
      <c r="W53" s="427"/>
      <c r="X53" s="1429">
        <f>BDGT!R52</f>
        <v>2250.513327161329</v>
      </c>
      <c r="Y53" s="427"/>
      <c r="Z53" s="1422"/>
      <c r="AA53" s="1429"/>
      <c r="AB53" s="427"/>
      <c r="AC53" s="427"/>
      <c r="AD53" s="427"/>
      <c r="AE53" s="427"/>
    </row>
    <row r="54" spans="1:31" s="3263" customFormat="1" ht="30" customHeight="1">
      <c r="B54" s="427"/>
      <c r="C54" s="3305" t="s">
        <v>1432</v>
      </c>
      <c r="D54" s="1451"/>
      <c r="E54" s="427"/>
      <c r="F54" s="3699">
        <v>96.331602000000004</v>
      </c>
      <c r="G54" s="3699">
        <v>96.409668808000006</v>
      </c>
      <c r="H54" s="4280"/>
      <c r="I54" s="3700"/>
      <c r="J54" s="3700"/>
      <c r="K54" s="3700"/>
      <c r="L54" s="3700"/>
      <c r="M54" s="3700"/>
      <c r="N54" s="3700"/>
      <c r="O54" s="3700"/>
      <c r="P54" s="3700"/>
      <c r="Q54" s="3700"/>
      <c r="R54" s="3281"/>
      <c r="S54" s="1447"/>
      <c r="T54" s="3282"/>
      <c r="U54" s="3274" t="e">
        <f>IF(MONTH(#REF!)=1,SUM($F54:F54),IF(MONTH(#REF!)=2,SUM($F54:G54),IF(MONTH(#REF!)=3,SUM($F54:H54),IF(MONTH(#REF!)=4,SUM($F54:I54),IF(MONTH(#REF!)=5,SUM($F54:J54),IF(MONTH(#REF!)=6,SUM($F54:K54),IF(MONTH(#REF!)=7,SUM($F54:L54),IF(MONTH(#REF!)=8,SUM($F54:M54),IF(MONTH(#REF!)=9,SUM($F54:N54),IF(MONTH(#REF!)=10,SUM($F54:O54),IF(MONTH(#REF!)=11,SUM($F54:P54),IF(MONTH(#REF!)=12,SUM($F54:Q54)))))))))))))</f>
        <v>#REF!</v>
      </c>
      <c r="V54" s="3274" t="e">
        <f>IF(MONTH(#REF!)=1,SUM($F54:F54),IF(MONTH(#REF!)=2,SUM($F54:F54),IF(MONTH(#REF!)=3,SUM($F54:G54),IF(MONTH(#REF!)=4,SUM($F54:H54),IF(MONTH(#REF!)=5,SUM($F54:I54),IF(MONTH(#REF!)=6,SUM($F54:J54),IF(MONTH(#REF!)=7,SUM($F54:K54),IF(MONTH(#REF!)=8,SUM($F54:L54),IF(MONTH(#REF!)=9,SUM($F54:M54),IF(MONTH(#REF!)=10,SUM($F54:N54),IF(MONTH(#REF!)=11,SUM($F54:O54),IF(MONTH(#REF!)=12,SUM($F54:P54)))))))))))))</f>
        <v>#REF!</v>
      </c>
      <c r="W54" s="427"/>
      <c r="X54" s="1422">
        <f>X53*$D$65</f>
        <v>2160.4927940748757</v>
      </c>
      <c r="Y54" s="427"/>
      <c r="Z54" s="1422"/>
      <c r="AA54" s="1429"/>
      <c r="AB54" s="427"/>
      <c r="AC54" s="427"/>
      <c r="AD54" s="427"/>
      <c r="AE54" s="427"/>
    </row>
    <row r="55" spans="1:31" s="3263" customFormat="1" ht="30" customHeight="1">
      <c r="B55" s="427"/>
      <c r="C55" s="3305" t="s">
        <v>290</v>
      </c>
      <c r="D55" s="1451" t="s">
        <v>822</v>
      </c>
      <c r="E55" s="427"/>
      <c r="F55" s="3700">
        <v>186.32021836193738</v>
      </c>
      <c r="G55" s="3700">
        <v>186.255</v>
      </c>
      <c r="H55" s="4281">
        <f>+BDGT!G58</f>
        <v>186.66677021919605</v>
      </c>
      <c r="I55" s="3700">
        <f>+BDGT!H58</f>
        <v>183.00800800800801</v>
      </c>
      <c r="J55" s="3700">
        <f>+BDGT!I58</f>
        <v>187.84546833937438</v>
      </c>
      <c r="K55" s="3700">
        <f>+BDGT!J58</f>
        <v>187.30015387247312</v>
      </c>
      <c r="L55" s="3700">
        <f>+BDGT!K58</f>
        <v>186.69975001244205</v>
      </c>
      <c r="M55" s="3700">
        <f>+BDGT!L58</f>
        <v>186.55581322886673</v>
      </c>
      <c r="N55" s="3700">
        <f>+BDGT!M58</f>
        <v>185.61763209856858</v>
      </c>
      <c r="O55" s="3700">
        <f>+BDGT!N58</f>
        <v>185.67938719945457</v>
      </c>
      <c r="P55" s="3700">
        <f>+BDGT!O58</f>
        <v>184.33066933066931</v>
      </c>
      <c r="Q55" s="3700">
        <f>+BDGT!P58</f>
        <v>183.48583162141628</v>
      </c>
      <c r="R55" s="3281"/>
      <c r="S55" s="1447"/>
      <c r="T55" s="3282"/>
      <c r="U55" s="3274" t="e">
        <f>IF(MONTH(#REF!)=1,SUM($F55:F55),IF(MONTH(#REF!)=2,SUM($F55:G55),IF(MONTH(#REF!)=3,SUM($F55:H55),IF(MONTH(#REF!)=4,SUM($F55:I55),IF(MONTH(#REF!)=5,SUM($F55:J55),IF(MONTH(#REF!)=6,SUM($F55:K55),IF(MONTH(#REF!)=7,SUM($F55:L55),IF(MONTH(#REF!)=8,SUM($F55:M55),IF(MONTH(#REF!)=9,SUM($F55:N55),IF(MONTH(#REF!)=10,SUM($F55:O55),IF(MONTH(#REF!)=11,SUM($F55:P55),IF(MONTH(#REF!)=12,SUM($F55:Q55)))))))))))))</f>
        <v>#REF!</v>
      </c>
      <c r="V55" s="3274" t="e">
        <f>IF(MONTH(#REF!)=1,SUM($F55:F55),IF(MONTH(#REF!)=2,SUM($F55:F55),IF(MONTH(#REF!)=3,SUM($F55:G55),IF(MONTH(#REF!)=4,SUM($F55:H55),IF(MONTH(#REF!)=5,SUM($F55:I55),IF(MONTH(#REF!)=6,SUM($F55:J55),IF(MONTH(#REF!)=7,SUM($F55:K55),IF(MONTH(#REF!)=8,SUM($F55:L55),IF(MONTH(#REF!)=9,SUM($F55:M55),IF(MONTH(#REF!)=10,SUM($F55:N55),IF(MONTH(#REF!)=11,SUM($F55:O55),IF(MONTH(#REF!)=12,SUM($F55:P55)))))))))))))</f>
        <v>#REF!</v>
      </c>
      <c r="W55" s="427"/>
      <c r="X55" s="1422">
        <f>X54*$D$65</f>
        <v>2074.0730823118806</v>
      </c>
      <c r="Y55" s="427"/>
      <c r="Z55" s="1422"/>
      <c r="AA55" s="1429"/>
      <c r="AB55" s="427"/>
      <c r="AC55" s="427"/>
      <c r="AD55" s="427"/>
      <c r="AE55" s="427"/>
    </row>
    <row r="56" spans="1:31" s="3263" customFormat="1" ht="32.25" customHeight="1">
      <c r="B56" s="427"/>
      <c r="C56" s="427"/>
      <c r="D56" s="1415"/>
      <c r="E56" s="1415"/>
      <c r="F56" s="1415"/>
      <c r="G56" s="1415"/>
      <c r="H56" s="4274"/>
      <c r="I56" s="1415"/>
      <c r="J56" s="1415"/>
      <c r="K56" s="1415"/>
      <c r="L56" s="1413"/>
      <c r="M56" s="1413"/>
      <c r="N56" s="1413"/>
      <c r="O56" s="1413"/>
      <c r="P56" s="1413"/>
      <c r="Q56" s="1413"/>
      <c r="R56" s="427"/>
      <c r="S56" s="427"/>
      <c r="T56" s="427"/>
      <c r="U56" s="427"/>
      <c r="V56" s="427"/>
      <c r="W56" s="427"/>
      <c r="X56" s="427"/>
      <c r="Y56" s="427"/>
      <c r="Z56" s="427"/>
      <c r="AA56" s="427"/>
      <c r="AB56" s="427"/>
      <c r="AC56" s="427"/>
      <c r="AD56" s="427"/>
      <c r="AE56" s="427"/>
    </row>
    <row r="57" spans="1:31" s="3263" customFormat="1" ht="30" customHeight="1">
      <c r="B57" s="427"/>
      <c r="C57" s="3264" t="s">
        <v>993</v>
      </c>
      <c r="D57" s="3265" t="s">
        <v>198</v>
      </c>
      <c r="E57" s="3629"/>
      <c r="F57" s="3262">
        <v>18.9589961662154</v>
      </c>
      <c r="G57" s="3262">
        <v>22.926810091406999</v>
      </c>
      <c r="H57" s="4282">
        <f t="shared" ref="H57:P57" si="13">H10</f>
        <v>27.362020259444645</v>
      </c>
      <c r="I57" s="3262">
        <f t="shared" si="13"/>
        <v>22.933613081531071</v>
      </c>
      <c r="J57" s="3262">
        <f t="shared" si="13"/>
        <v>32.636744171986003</v>
      </c>
      <c r="K57" s="3262">
        <f t="shared" si="13"/>
        <v>32.519873843953484</v>
      </c>
      <c r="L57" s="3262">
        <f t="shared" si="13"/>
        <v>28.989519302738831</v>
      </c>
      <c r="M57" s="3262">
        <f t="shared" si="13"/>
        <v>35.774530485678795</v>
      </c>
      <c r="N57" s="3262">
        <f t="shared" si="13"/>
        <v>31.23886560475556</v>
      </c>
      <c r="O57" s="3262">
        <f t="shared" si="13"/>
        <v>34.556932012049913</v>
      </c>
      <c r="P57" s="3262">
        <f t="shared" si="13"/>
        <v>34.353290890419864</v>
      </c>
      <c r="Q57" s="3262">
        <f>Q10</f>
        <v>38.799795171415298</v>
      </c>
      <c r="R57" s="3306"/>
      <c r="S57" s="1392">
        <f t="shared" ref="S57:S62" si="14">SUM(F57:Q57)</f>
        <v>361.05099108159595</v>
      </c>
      <c r="T57" s="3306"/>
      <c r="U57" s="3262">
        <f>IF(MONTH(Factores!$D$2)=1,SUM($F57:F57),IF(MONTH(Factores!$D$2)=2,SUM($F57:G57),IF(MONTH(Factores!$D$2)=3,SUM($F57:H57),IF(MONTH(Factores!$D$2)=4,SUM($F57:I57),IF(MONTH(Factores!$D$2)=5,SUM($F57:J57),IF(MONTH(Factores!$D$2)=6,SUM($F57:K57),IF(MONTH(Factores!$D$2)=7,SUM($F57:L57),IF(MONTH(Factores!$D$2)=8,SUM($F57:M57),IF(MONTH(Factores!$D$2)=9,SUM($F57:N57),IF(MONTH(Factores!$D$2)=10,SUM($F57:O57),IF(MONTH(Factores!$D$2)=11,SUM($F57:P57),IF(MONTH(Factores!$D$2)=12,SUM($F57:Q57)))))))))))))</f>
        <v>69.24782651706704</v>
      </c>
      <c r="V57" s="3262">
        <f>IF(MONTH(Factores!$D$2)=1,SUM($F57:F57),IF(MONTH(Factores!$D$2)=2,SUM($F57:F57),IF(MONTH(Factores!$D$2)=3,SUM($F57:G57),IF(MONTH(Factores!$D$2)=4,SUM($F57:H57),IF(MONTH(Factores!$D$2)=5,SUM($F57:I57),IF(MONTH(Factores!$D$2)=6,SUM($F57:J57),IF(MONTH(Factores!$D$2)=7,SUM($F57:K57),IF(MONTH(Factores!$D$2)=8,SUM($F57:L57),IF(MONTH(Factores!$D$2)=9,SUM($F57:M57),IF(MONTH(Factores!$D$2)=10,SUM($F57:N57),IF(MONTH(Factores!$D$2)=11,SUM($F57:O57),IF(MONTH(Factores!$D$2)=12,SUM($F57:P57)))))))))))))</f>
        <v>41.885806257622399</v>
      </c>
      <c r="W57" s="427"/>
      <c r="X57" s="427"/>
      <c r="Y57" s="427"/>
      <c r="Z57" s="427"/>
      <c r="AA57" s="427"/>
      <c r="AB57" s="427"/>
      <c r="AC57" s="427"/>
      <c r="AD57" s="427"/>
      <c r="AE57" s="427"/>
    </row>
    <row r="58" spans="1:31" s="3263" customFormat="1" ht="30" customHeight="1">
      <c r="B58" s="427"/>
      <c r="C58" s="3264" t="s">
        <v>994</v>
      </c>
      <c r="D58" s="3265" t="s">
        <v>198</v>
      </c>
      <c r="E58" s="3629"/>
      <c r="F58" s="3262">
        <v>18.514159950485901</v>
      </c>
      <c r="G58" s="3262">
        <v>22.698851132943101</v>
      </c>
      <c r="H58" s="4282">
        <f>IF(H5="R+P",'R+P'!$AO$39/1000,IF(H5="Bdgt",BDGT!G8,""))</f>
        <v>27.448744346670662</v>
      </c>
      <c r="I58" s="3262">
        <f>IF(I5="R+P",'R+P'!$AO$39/1000,IF(I5="Bdgt",BDGT!H8,""))</f>
        <v>22.131171900236232</v>
      </c>
      <c r="J58" s="3262">
        <f>IF(J5="R+P",'R+P'!$AO$39/1000,IF(J5="Bdgt",BDGT!I8,""))</f>
        <v>31.461821381794522</v>
      </c>
      <c r="K58" s="3262">
        <f>IF(K5="R+P",'R+P'!$AO$39/1000,IF(K5="Bdgt",BDGT!J8,""))</f>
        <v>31.316638511727174</v>
      </c>
      <c r="L58" s="3262">
        <f>IF(L5="R+P",'R+P'!$AO$39/1000,IF(L5="Bdgt",BDGT!K8,""))</f>
        <v>27.887917569234752</v>
      </c>
      <c r="M58" s="3262">
        <f>IF(M5="R+P",'R+P'!$AO$39/1000,IF(M5="Bdgt",BDGT!L8,""))</f>
        <v>30.012663141192068</v>
      </c>
      <c r="N58" s="3262">
        <f>IF(N5="R+P",'R+P'!$AO$39/1000,IF(N5="Bdgt",BDGT!M8,""))</f>
        <v>33.41198619831448</v>
      </c>
      <c r="O58" s="3262">
        <f>IF(O5="R+P",'R+P'!$AO$39/1000,IF(O5="Bdgt",BDGT!N8,""))</f>
        <v>34.41857715547512</v>
      </c>
      <c r="P58" s="3262">
        <f>IF(P5="R+P",'R+P'!$AO$39/1000,IF(P5="Bdgt",BDGT!O8,""))</f>
        <v>32.546148959292516</v>
      </c>
      <c r="Q58" s="3262">
        <f>IF(Q5="R+P",'R+P'!$AO$39/1000,IF(Q5="Bdgt",BDGT!P8,""))</f>
        <v>37.238071621863909</v>
      </c>
      <c r="R58" s="3306"/>
      <c r="S58" s="1392">
        <f t="shared" si="14"/>
        <v>349.08675186923045</v>
      </c>
      <c r="T58" s="3306"/>
      <c r="U58" s="3262">
        <f>IF(MONTH(Factores!$D$2)=1,SUM($F58:F58),IF(MONTH(Factores!$D$2)=2,SUM($F58:G58),IF(MONTH(Factores!$D$2)=3,SUM($F58:H58),IF(MONTH(Factores!$D$2)=4,SUM($F58:I58),IF(MONTH(Factores!$D$2)=5,SUM($F58:J58),IF(MONTH(Factores!$D$2)=6,SUM($F58:K58),IF(MONTH(Factores!$D$2)=7,SUM($F58:L58),IF(MONTH(Factores!$D$2)=8,SUM($F58:M58),IF(MONTH(Factores!$D$2)=9,SUM($F58:N58),IF(MONTH(Factores!$D$2)=10,SUM($F58:O58),IF(MONTH(Factores!$D$2)=11,SUM($F58:P58),IF(MONTH(Factores!$D$2)=12,SUM($F58:Q58)))))))))))))</f>
        <v>68.66175543009966</v>
      </c>
      <c r="V58" s="3262">
        <f>IF(MONTH(Factores!$D$2)=1,SUM($F58:F58),IF(MONTH(Factores!$D$2)=2,SUM($F58:F58),IF(MONTH(Factores!$D$2)=3,SUM($F58:G58),IF(MONTH(Factores!$D$2)=4,SUM($F58:H58),IF(MONTH(Factores!$D$2)=5,SUM($F58:I58),IF(MONTH(Factores!$D$2)=6,SUM($F58:J58),IF(MONTH(Factores!$D$2)=7,SUM($F58:K58),IF(MONTH(Factores!$D$2)=8,SUM($F58:L58),IF(MONTH(Factores!$D$2)=9,SUM($F58:M58),IF(MONTH(Factores!$D$2)=10,SUM($F58:N58),IF(MONTH(Factores!$D$2)=11,SUM($F58:O58),IF(MONTH(Factores!$D$2)=12,SUM($F58:P58)))))))))))))</f>
        <v>41.213011083429002</v>
      </c>
      <c r="W58" s="427"/>
      <c r="X58" s="427"/>
      <c r="Y58" s="427"/>
      <c r="Z58" s="427"/>
      <c r="AA58" s="427"/>
      <c r="AB58" s="427"/>
      <c r="AC58" s="427"/>
      <c r="AD58" s="427"/>
      <c r="AE58" s="427"/>
    </row>
    <row r="59" spans="1:31" s="3263" customFormat="1" ht="30" customHeight="1">
      <c r="B59" s="427"/>
      <c r="C59" s="3264" t="s">
        <v>995</v>
      </c>
      <c r="D59" s="3265" t="s">
        <v>198</v>
      </c>
      <c r="E59" s="3629"/>
      <c r="F59" s="3262">
        <v>0.44483621572949872</v>
      </c>
      <c r="G59" s="3262">
        <v>0.22795895846389769</v>
      </c>
      <c r="H59" s="4282">
        <f t="shared" ref="H59:P59" si="15">H57-H58</f>
        <v>-8.6724087226016877E-2</v>
      </c>
      <c r="I59" s="3262">
        <f t="shared" si="15"/>
        <v>0.80244118129483866</v>
      </c>
      <c r="J59" s="3262">
        <f t="shared" si="15"/>
        <v>1.1749227901914807</v>
      </c>
      <c r="K59" s="3262">
        <f t="shared" si="15"/>
        <v>1.2032353322263099</v>
      </c>
      <c r="L59" s="3262">
        <f t="shared" si="15"/>
        <v>1.1016017335040793</v>
      </c>
      <c r="M59" s="3262">
        <f t="shared" si="15"/>
        <v>5.7618673444867277</v>
      </c>
      <c r="N59" s="3262">
        <f t="shared" si="15"/>
        <v>-2.1731205935589202</v>
      </c>
      <c r="O59" s="3262">
        <f t="shared" si="15"/>
        <v>0.13835485657479296</v>
      </c>
      <c r="P59" s="3262">
        <f t="shared" si="15"/>
        <v>1.8071419311273473</v>
      </c>
      <c r="Q59" s="3262">
        <f>Q57-Q58</f>
        <v>1.5617235495513881</v>
      </c>
      <c r="R59" s="3306"/>
      <c r="S59" s="1392">
        <f t="shared" si="14"/>
        <v>11.964239212365424</v>
      </c>
      <c r="T59" s="3306"/>
      <c r="U59" s="3262">
        <f>IF(MONTH(Factores!$D$2)=1,SUM($F59:F59),IF(MONTH(Factores!$D$2)=2,SUM($F59:G59),IF(MONTH(Factores!$D$2)=3,SUM($F59:H59),IF(MONTH(Factores!$D$2)=4,SUM($F59:I59),IF(MONTH(Factores!$D$2)=5,SUM($F59:J59),IF(MONTH(Factores!$D$2)=6,SUM($F59:K59),IF(MONTH(Factores!$D$2)=7,SUM($F59:L59),IF(MONTH(Factores!$D$2)=8,SUM($F59:M59),IF(MONTH(Factores!$D$2)=9,SUM($F59:N59),IF(MONTH(Factores!$D$2)=10,SUM($F59:O59),IF(MONTH(Factores!$D$2)=11,SUM($F59:P59),IF(MONTH(Factores!$D$2)=12,SUM($F59:Q59)))))))))))))</f>
        <v>0.58607108696737953</v>
      </c>
      <c r="V59" s="3262">
        <f>IF(MONTH(Factores!$D$2)=1,SUM($F59:F59),IF(MONTH(Factores!$D$2)=2,SUM($F59:F59),IF(MONTH(Factores!$D$2)=3,SUM($F59:G59),IF(MONTH(Factores!$D$2)=4,SUM($F59:H59),IF(MONTH(Factores!$D$2)=5,SUM($F59:I59),IF(MONTH(Factores!$D$2)=6,SUM($F59:J59),IF(MONTH(Factores!$D$2)=7,SUM($F59:K59),IF(MONTH(Factores!$D$2)=8,SUM($F59:L59),IF(MONTH(Factores!$D$2)=9,SUM($F59:M59),IF(MONTH(Factores!$D$2)=10,SUM($F59:N59),IF(MONTH(Factores!$D$2)=11,SUM($F59:O59),IF(MONTH(Factores!$D$2)=12,SUM($F59:P59)))))))))))))</f>
        <v>0.67279517419339641</v>
      </c>
      <c r="W59" s="427"/>
      <c r="X59" s="427"/>
      <c r="Y59" s="427"/>
      <c r="Z59" s="427"/>
      <c r="AA59" s="427"/>
      <c r="AB59" s="427"/>
      <c r="AC59" s="427"/>
      <c r="AD59" s="427"/>
      <c r="AE59" s="427"/>
    </row>
    <row r="60" spans="1:31" s="3263" customFormat="1" ht="30" customHeight="1">
      <c r="B60" s="427"/>
      <c r="C60" s="3264" t="s">
        <v>208</v>
      </c>
      <c r="D60" s="3265" t="s">
        <v>198</v>
      </c>
      <c r="E60" s="3629"/>
      <c r="F60" s="3262">
        <v>0.62602317193478396</v>
      </c>
      <c r="G60" s="3262">
        <v>0.76827765220952005</v>
      </c>
      <c r="H60" s="4282">
        <f t="shared" ref="H60:P60" si="16">H12</f>
        <v>0.90762734806598977</v>
      </c>
      <c r="I60" s="3262">
        <f t="shared" si="16"/>
        <v>0.49377313963876424</v>
      </c>
      <c r="J60" s="3262">
        <f t="shared" si="16"/>
        <v>1.312225951063223</v>
      </c>
      <c r="K60" s="3262">
        <f t="shared" si="16"/>
        <v>0.72440679775203554</v>
      </c>
      <c r="L60" s="3262">
        <f t="shared" si="16"/>
        <v>0.72542867986757742</v>
      </c>
      <c r="M60" s="3262">
        <f t="shared" si="16"/>
        <v>0.83457857628211296</v>
      </c>
      <c r="N60" s="3262">
        <f t="shared" si="16"/>
        <v>1.0456347812116198</v>
      </c>
      <c r="O60" s="3262">
        <f t="shared" si="16"/>
        <v>0.91475044848823694</v>
      </c>
      <c r="P60" s="3262">
        <f t="shared" si="16"/>
        <v>0.61352898372549314</v>
      </c>
      <c r="Q60" s="3262">
        <f>Q12</f>
        <v>0.86798581804628094</v>
      </c>
      <c r="R60" s="3306"/>
      <c r="S60" s="1392">
        <f t="shared" si="14"/>
        <v>9.8342413482856355</v>
      </c>
      <c r="T60" s="3306"/>
      <c r="U60" s="3262">
        <f>IF(MONTH(Factores!$D$2)=1,SUM($F60:F60),IF(MONTH(Factores!$D$2)=2,SUM($F60:G60),IF(MONTH(Factores!$D$2)=3,SUM($F60:H60),IF(MONTH(Factores!$D$2)=4,SUM($F60:I60),IF(MONTH(Factores!$D$2)=5,SUM($F60:J60),IF(MONTH(Factores!$D$2)=6,SUM($F60:K60),IF(MONTH(Factores!$D$2)=7,SUM($F60:L60),IF(MONTH(Factores!$D$2)=8,SUM($F60:M60),IF(MONTH(Factores!$D$2)=9,SUM($F60:N60),IF(MONTH(Factores!$D$2)=10,SUM($F60:O60),IF(MONTH(Factores!$D$2)=11,SUM($F60:P60),IF(MONTH(Factores!$D$2)=12,SUM($F60:Q60)))))))))))))</f>
        <v>2.3019281722102938</v>
      </c>
      <c r="V60" s="3262">
        <f>IF(MONTH(Factores!$D$2)=1,SUM($F60:F60),IF(MONTH(Factores!$D$2)=2,SUM($F60:F60),IF(MONTH(Factores!$D$2)=3,SUM($F60:G60),IF(MONTH(Factores!$D$2)=4,SUM($F60:H60),IF(MONTH(Factores!$D$2)=5,SUM($F60:I60),IF(MONTH(Factores!$D$2)=6,SUM($F60:J60),IF(MONTH(Factores!$D$2)=7,SUM($F60:K60),IF(MONTH(Factores!$D$2)=8,SUM($F60:L60),IF(MONTH(Factores!$D$2)=9,SUM($F60:M60),IF(MONTH(Factores!$D$2)=10,SUM($F60:N60),IF(MONTH(Factores!$D$2)=11,SUM($F60:O60),IF(MONTH(Factores!$D$2)=12,SUM($F60:P60)))))))))))))</f>
        <v>1.394300824144304</v>
      </c>
      <c r="W60" s="427"/>
      <c r="X60" s="427"/>
      <c r="Y60" s="427"/>
      <c r="Z60" s="427"/>
      <c r="AA60" s="427"/>
      <c r="AB60" s="427"/>
      <c r="AC60" s="427"/>
      <c r="AD60" s="427"/>
      <c r="AE60" s="427"/>
    </row>
    <row r="61" spans="1:31" s="3263" customFormat="1" ht="30" customHeight="1">
      <c r="B61" s="427"/>
      <c r="C61" s="3264" t="s">
        <v>850</v>
      </c>
      <c r="D61" s="3265" t="s">
        <v>198</v>
      </c>
      <c r="E61" s="3629"/>
      <c r="F61" s="3262">
        <v>0.64638589474785102</v>
      </c>
      <c r="G61" s="3262">
        <v>0.55252138524758598</v>
      </c>
      <c r="H61" s="4282">
        <f>IF(H5="R+P",'R+P'!$AC$39/1000,IF(H5="Bdgt",BDGT!G10,""))</f>
        <v>1.0004937355919261</v>
      </c>
      <c r="I61" s="3262">
        <f>IF(I5="R+P",'R+P'!$AC$39/1000,IF(I5="Bdgt",BDGT!H10,""))</f>
        <v>0.49130427394057041</v>
      </c>
      <c r="J61" s="3262">
        <f>IF(J5="R+P",'R+P'!$AC$39/1000,IF(J5="Bdgt",BDGT!I10,""))</f>
        <v>1.305664821307907</v>
      </c>
      <c r="K61" s="3262">
        <f>IF(K5="R+P",'R+P'!$AC$39/1000,IF(K5="Bdgt",BDGT!J10,""))</f>
        <v>0.72078476376327538</v>
      </c>
      <c r="L61" s="3262">
        <f>IF(L5="R+P",'R+P'!$AC$39/1000,IF(L5="Bdgt",BDGT!K10,""))</f>
        <v>0.72180153646823952</v>
      </c>
      <c r="M61" s="3262">
        <f>IF(M5="R+P",'R+P'!$AC$39/1000,IF(M5="Bdgt",BDGT!L10,""))</f>
        <v>0.83040568340070242</v>
      </c>
      <c r="N61" s="3262">
        <f>IF(N5="R+P",'R+P'!$AC$39/1000,IF(N5="Bdgt",BDGT!M10,""))</f>
        <v>1.0404066073055618</v>
      </c>
      <c r="O61" s="3262">
        <f>IF(O5="R+P",'R+P'!$AC$39/1000,IF(O5="Bdgt",BDGT!N10,""))</f>
        <v>0.91017669624579578</v>
      </c>
      <c r="P61" s="3262">
        <f>IF(P5="R+P",'R+P'!$AC$39/1000,IF(P5="Bdgt",BDGT!O10,""))</f>
        <v>0.61046133880686571</v>
      </c>
      <c r="Q61" s="3262">
        <f>IF(Q5="R+P",'R+P'!$AC$39/1000,IF(Q5="Bdgt",BDGT!P10,""))</f>
        <v>0.86364588895604955</v>
      </c>
      <c r="R61" s="3306"/>
      <c r="S61" s="1392">
        <f t="shared" si="14"/>
        <v>9.6940526257823301</v>
      </c>
      <c r="T61" s="3306"/>
      <c r="U61" s="3262">
        <f>IF(MONTH(Factores!$D$2)=1,SUM($F61:F61),IF(MONTH(Factores!$D$2)=2,SUM($F61:G61),IF(MONTH(Factores!$D$2)=3,SUM($F61:H61),IF(MONTH(Factores!$D$2)=4,SUM($F61:I61),IF(MONTH(Factores!$D$2)=5,SUM($F61:J61),IF(MONTH(Factores!$D$2)=6,SUM($F61:K61),IF(MONTH(Factores!$D$2)=7,SUM($F61:L61),IF(MONTH(Factores!$D$2)=8,SUM($F61:M61),IF(MONTH(Factores!$D$2)=9,SUM($F61:N61),IF(MONTH(Factores!$D$2)=10,SUM($F61:O61),IF(MONTH(Factores!$D$2)=11,SUM($F61:P61),IF(MONTH(Factores!$D$2)=12,SUM($F61:Q61)))))))))))))</f>
        <v>2.1994010155873633</v>
      </c>
      <c r="V61" s="3262">
        <f>IF(MONTH(Factores!$D$2)=1,SUM($F61:F61),IF(MONTH(Factores!$D$2)=2,SUM($F61:F61),IF(MONTH(Factores!$D$2)=3,SUM($F61:G61),IF(MONTH(Factores!$D$2)=4,SUM($F61:H61),IF(MONTH(Factores!$D$2)=5,SUM($F61:I61),IF(MONTH(Factores!$D$2)=6,SUM($F61:J61),IF(MONTH(Factores!$D$2)=7,SUM($F61:K61),IF(MONTH(Factores!$D$2)=8,SUM($F61:L61),IF(MONTH(Factores!$D$2)=9,SUM($F61:M61),IF(MONTH(Factores!$D$2)=10,SUM($F61:N61),IF(MONTH(Factores!$D$2)=11,SUM($F61:O61),IF(MONTH(Factores!$D$2)=12,SUM($F61:P61)))))))))))))</f>
        <v>1.198907279995437</v>
      </c>
      <c r="W61" s="427"/>
      <c r="X61" s="427"/>
      <c r="Y61" s="427"/>
      <c r="Z61" s="427"/>
      <c r="AA61" s="427"/>
      <c r="AB61" s="427"/>
      <c r="AC61" s="427"/>
      <c r="AD61" s="427"/>
      <c r="AE61" s="427"/>
    </row>
    <row r="62" spans="1:31" s="3263" customFormat="1" ht="30" customHeight="1">
      <c r="B62" s="427"/>
      <c r="C62" s="3264" t="s">
        <v>996</v>
      </c>
      <c r="D62" s="3265" t="s">
        <v>198</v>
      </c>
      <c r="E62" s="3629"/>
      <c r="F62" s="3262">
        <v>-2.0362722813067058E-2</v>
      </c>
      <c r="G62" s="3262">
        <v>0.21575626696193406</v>
      </c>
      <c r="H62" s="4282">
        <f t="shared" ref="H62:P62" si="17">H60-H61</f>
        <v>-9.2866387525936345E-2</v>
      </c>
      <c r="I62" s="3262">
        <f t="shared" si="17"/>
        <v>2.4688656981938228E-3</v>
      </c>
      <c r="J62" s="3262">
        <f t="shared" si="17"/>
        <v>6.5611297553160863E-3</v>
      </c>
      <c r="K62" s="3262">
        <f t="shared" si="17"/>
        <v>3.6220339887601538E-3</v>
      </c>
      <c r="L62" s="3262">
        <f t="shared" si="17"/>
        <v>3.6271433993378954E-3</v>
      </c>
      <c r="M62" s="3262">
        <f t="shared" si="17"/>
        <v>4.1728928814105393E-3</v>
      </c>
      <c r="N62" s="3262">
        <f t="shared" si="17"/>
        <v>5.228173906058009E-3</v>
      </c>
      <c r="O62" s="3262">
        <f t="shared" si="17"/>
        <v>4.5737522424411647E-3</v>
      </c>
      <c r="P62" s="3262">
        <f t="shared" si="17"/>
        <v>3.0676449186274324E-3</v>
      </c>
      <c r="Q62" s="3262">
        <f>Q60-Q61</f>
        <v>4.3399290902313981E-3</v>
      </c>
      <c r="R62" s="3306"/>
      <c r="S62" s="1392">
        <f t="shared" si="14"/>
        <v>0.14018872250330716</v>
      </c>
      <c r="T62" s="3306"/>
      <c r="U62" s="3262">
        <f>IF(MONTH(Factores!$D$2)=1,SUM($F62:F62),IF(MONTH(Factores!$D$2)=2,SUM($F62:G62),IF(MONTH(Factores!$D$2)=3,SUM($F62:H62),IF(MONTH(Factores!$D$2)=4,SUM($F62:I62),IF(MONTH(Factores!$D$2)=5,SUM($F62:J62),IF(MONTH(Factores!$D$2)=6,SUM($F62:K62),IF(MONTH(Factores!$D$2)=7,SUM($F62:L62),IF(MONTH(Factores!$D$2)=8,SUM($F62:M62),IF(MONTH(Factores!$D$2)=9,SUM($F62:N62),IF(MONTH(Factores!$D$2)=10,SUM($F62:O62),IF(MONTH(Factores!$D$2)=11,SUM($F62:P62),IF(MONTH(Factores!$D$2)=12,SUM($F62:Q62)))))))))))))</f>
        <v>0.10252715662293066</v>
      </c>
      <c r="V62" s="3262">
        <f>IF(MONTH(Factores!$D$2)=1,SUM($F62:F62),IF(MONTH(Factores!$D$2)=2,SUM($F62:F62),IF(MONTH(Factores!$D$2)=3,SUM($F62:G62),IF(MONTH(Factores!$D$2)=4,SUM($F62:H62),IF(MONTH(Factores!$D$2)=5,SUM($F62:I62),IF(MONTH(Factores!$D$2)=6,SUM($F62:J62),IF(MONTH(Factores!$D$2)=7,SUM($F62:K62),IF(MONTH(Factores!$D$2)=8,SUM($F62:L62),IF(MONTH(Factores!$D$2)=9,SUM($F62:M62),IF(MONTH(Factores!$D$2)=10,SUM($F62:N62),IF(MONTH(Factores!$D$2)=11,SUM($F62:O62),IF(MONTH(Factores!$D$2)=12,SUM($F62:P62)))))))))))))</f>
        <v>0.195393544148867</v>
      </c>
      <c r="W62" s="427"/>
      <c r="X62" s="427"/>
      <c r="Y62" s="427"/>
      <c r="Z62" s="427"/>
      <c r="AA62" s="427"/>
      <c r="AB62" s="427"/>
      <c r="AC62" s="427"/>
      <c r="AD62" s="427"/>
      <c r="AE62" s="427"/>
    </row>
    <row r="63" spans="1:31" s="3263" customFormat="1" ht="30" customHeight="1">
      <c r="B63" s="427"/>
      <c r="C63" s="427"/>
      <c r="D63" s="1415"/>
      <c r="E63" s="427"/>
      <c r="F63" s="427"/>
      <c r="G63" s="427"/>
      <c r="H63" s="2779"/>
      <c r="I63" s="427"/>
      <c r="J63" s="427"/>
      <c r="K63" s="427"/>
      <c r="L63" s="427"/>
      <c r="M63" s="427"/>
      <c r="N63" s="427"/>
      <c r="O63" s="427"/>
      <c r="P63" s="427"/>
      <c r="Q63" s="427"/>
      <c r="R63" s="1398"/>
      <c r="S63" s="1398"/>
      <c r="T63" s="1398"/>
      <c r="U63" s="1398"/>
      <c r="V63" s="1398"/>
      <c r="W63" s="427"/>
      <c r="X63" s="427"/>
      <c r="Y63" s="427"/>
      <c r="Z63" s="427"/>
      <c r="AA63" s="427"/>
      <c r="AB63" s="427"/>
      <c r="AC63" s="427"/>
      <c r="AD63" s="427"/>
      <c r="AE63" s="427"/>
    </row>
    <row r="64" spans="1:31" s="3263" customFormat="1" ht="30" customHeight="1">
      <c r="B64" s="427"/>
      <c r="C64" s="2093" t="s">
        <v>244</v>
      </c>
      <c r="D64" s="2094">
        <v>2.899</v>
      </c>
      <c r="E64" s="427"/>
      <c r="F64" s="427"/>
      <c r="G64" s="427"/>
      <c r="H64" s="2779"/>
      <c r="I64" s="427"/>
      <c r="J64" s="427"/>
      <c r="K64" s="427"/>
      <c r="L64" s="427"/>
      <c r="M64" s="427"/>
      <c r="N64" s="427"/>
      <c r="O64" s="427"/>
      <c r="P64" s="427"/>
      <c r="Q64" s="427"/>
      <c r="R64" s="1398"/>
      <c r="S64" s="1398"/>
      <c r="T64" s="1398"/>
      <c r="U64" s="1398"/>
      <c r="V64" s="1398"/>
      <c r="W64" s="427"/>
      <c r="X64" s="427"/>
      <c r="Y64" s="427"/>
      <c r="Z64" s="427"/>
      <c r="AA64" s="427"/>
      <c r="AB64" s="427"/>
      <c r="AC64" s="427"/>
      <c r="AD64" s="427"/>
      <c r="AE64" s="427"/>
    </row>
    <row r="65" spans="2:31" s="3263" customFormat="1" ht="30" customHeight="1">
      <c r="B65" s="427"/>
      <c r="C65" s="2095" t="s">
        <v>245</v>
      </c>
      <c r="D65" s="2094">
        <v>0.96</v>
      </c>
      <c r="E65" s="427"/>
      <c r="F65" s="427"/>
      <c r="G65" s="427"/>
      <c r="H65" s="2779"/>
      <c r="I65" s="427"/>
      <c r="J65" s="427"/>
      <c r="K65" s="427"/>
      <c r="L65" s="427"/>
      <c r="M65" s="427"/>
      <c r="N65" s="427"/>
      <c r="O65" s="427"/>
      <c r="P65" s="427"/>
      <c r="Q65" s="427"/>
      <c r="R65" s="1398"/>
      <c r="S65" s="1398"/>
      <c r="T65" s="1398"/>
      <c r="U65" s="1398"/>
      <c r="V65" s="1398"/>
      <c r="W65" s="427"/>
      <c r="X65" s="427"/>
      <c r="Y65" s="427"/>
      <c r="Z65" s="427"/>
      <c r="AA65" s="427"/>
      <c r="AB65" s="427"/>
      <c r="AC65" s="427"/>
      <c r="AD65" s="427"/>
      <c r="AE65" s="427"/>
    </row>
    <row r="66" spans="2:31" s="3263" customFormat="1" ht="30" customHeight="1">
      <c r="B66" s="427"/>
      <c r="C66" s="2095" t="s">
        <v>71</v>
      </c>
      <c r="D66" s="2094">
        <v>0.995</v>
      </c>
      <c r="E66" s="427"/>
      <c r="F66" s="427"/>
      <c r="G66" s="427"/>
      <c r="H66" s="2779"/>
      <c r="I66" s="427"/>
      <c r="J66" s="427"/>
      <c r="K66" s="427"/>
      <c r="L66" s="427"/>
      <c r="M66" s="427"/>
      <c r="N66" s="427"/>
      <c r="O66" s="427"/>
      <c r="P66" s="427"/>
      <c r="Q66" s="427"/>
      <c r="R66" s="1398"/>
      <c r="S66" s="1398"/>
      <c r="T66" s="1398"/>
      <c r="U66" s="1398"/>
      <c r="V66" s="1398"/>
      <c r="W66" s="427"/>
      <c r="X66" s="427"/>
      <c r="Y66" s="427"/>
      <c r="Z66" s="427"/>
      <c r="AA66" s="427"/>
      <c r="AB66" s="427"/>
      <c r="AC66" s="427"/>
      <c r="AD66" s="427"/>
      <c r="AE66" s="427"/>
    </row>
  </sheetData>
  <mergeCells count="9">
    <mergeCell ref="C4:C5"/>
    <mergeCell ref="D4:D5"/>
    <mergeCell ref="X4:X5"/>
    <mergeCell ref="AC3:AE3"/>
    <mergeCell ref="Z4:AA4"/>
    <mergeCell ref="AC4:AC5"/>
    <mergeCell ref="AD4:AD5"/>
    <mergeCell ref="AE4:AE5"/>
    <mergeCell ref="S4:S5"/>
  </mergeCells>
  <phoneticPr fontId="0" type="noConversion"/>
  <printOptions horizontalCentered="1"/>
  <pageMargins left="0.39370078740157483" right="0.2" top="1.32" bottom="0.59055118110236227" header="0.59055118110236227" footer="0"/>
  <pageSetup scale="48" orientation="portrait" horizontalDpi="300" verticalDpi="300" r:id="rId1"/>
  <headerFooter alignWithMargins="0">
    <oddHeader>&amp;C&amp;A</oddHeader>
    <oddFooter>Respaldo Costos Abril 2000.xls&amp;RPágina &amp;P</oddFooter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2C58-4887-47FC-8033-6AF791392AEA}">
  <sheetPr codeName="Hoja42"/>
  <dimension ref="A2:Y369"/>
  <sheetViews>
    <sheetView showGridLines="0" zoomScale="85" zoomScaleNormal="85" workbookViewId="0">
      <selection activeCell="M30" sqref="M30"/>
    </sheetView>
  </sheetViews>
  <sheetFormatPr baseColWidth="10" defaultColWidth="11.54296875" defaultRowHeight="13"/>
  <cols>
    <col min="1" max="2" width="11.54296875" style="3060"/>
    <col min="3" max="3" width="16.1796875" style="3060" customWidth="1"/>
    <col min="4" max="4" width="13.81640625" style="3060" customWidth="1"/>
    <col min="5" max="5" width="14.1796875" style="3060" customWidth="1"/>
    <col min="6" max="6" width="14.54296875" style="3060" customWidth="1"/>
    <col min="7" max="8" width="13.54296875" style="3060" customWidth="1"/>
    <col min="9" max="10" width="12.81640625" style="3060" customWidth="1"/>
    <col min="11" max="11" width="23.81640625" style="3060" bestFit="1" customWidth="1"/>
    <col min="12" max="12" width="23.81640625" style="3060" customWidth="1"/>
    <col min="13" max="13" width="23.1796875" style="3060" customWidth="1"/>
    <col min="14" max="16384" width="11.54296875" style="3060"/>
  </cols>
  <sheetData>
    <row r="2" spans="1:14">
      <c r="E2" s="3104">
        <f>(3011-2300)/0.27</f>
        <v>2633.333333333333</v>
      </c>
      <c r="F2" s="3060" t="s">
        <v>1522</v>
      </c>
    </row>
    <row r="3" spans="1:14" ht="37.4" customHeight="1">
      <c r="B3" s="3058" t="s">
        <v>482</v>
      </c>
      <c r="C3" s="3059" t="s">
        <v>1508</v>
      </c>
      <c r="D3" s="3059" t="s">
        <v>1509</v>
      </c>
      <c r="E3" s="3059" t="s">
        <v>1528</v>
      </c>
      <c r="F3" s="3059" t="s">
        <v>1510</v>
      </c>
      <c r="G3" s="3059" t="s">
        <v>1511</v>
      </c>
      <c r="H3" s="3059" t="s">
        <v>1512</v>
      </c>
      <c r="I3" s="3059" t="s">
        <v>1513</v>
      </c>
      <c r="J3" s="3157" t="s">
        <v>28</v>
      </c>
    </row>
    <row r="4" spans="1:14">
      <c r="B4" s="3061">
        <f>+'ST Original'!B8</f>
        <v>46082.791666666664</v>
      </c>
      <c r="C4" s="3062">
        <f>'ST Original'!O8</f>
        <v>1463.0330727479554</v>
      </c>
      <c r="D4" s="3062">
        <f>IF(C4&gt;=4250,4250,C4)</f>
        <v>1463.0330727479554</v>
      </c>
      <c r="E4" s="3068"/>
      <c r="F4" s="3062">
        <f>+C4-D4</f>
        <v>0</v>
      </c>
      <c r="G4" s="3062">
        <v>0</v>
      </c>
      <c r="H4" s="3062">
        <f>+D4-G4+E2+D4</f>
        <v>5559.3994788292439</v>
      </c>
      <c r="I4" s="3074">
        <f>$E$2+H4</f>
        <v>8192.732812162576</v>
      </c>
      <c r="J4" s="3062">
        <f>'ST Original'!AR8</f>
        <v>2509.1420319118588</v>
      </c>
      <c r="M4" s="3063"/>
      <c r="N4" s="3060" t="s">
        <v>1514</v>
      </c>
    </row>
    <row r="5" spans="1:14">
      <c r="B5" s="3061">
        <f>+B4+1</f>
        <v>46083.791666666664</v>
      </c>
      <c r="C5" s="3062">
        <f>'ST Original'!O9</f>
        <v>2672.3851878727478</v>
      </c>
      <c r="D5" s="3062">
        <f t="shared" ref="D5:D26" si="0">IF(C5&gt;=4250,4250,C5)</f>
        <v>2672.3851878727478</v>
      </c>
      <c r="E5" s="3068"/>
      <c r="F5" s="3062">
        <f t="shared" ref="F5:F34" si="1">+C5-D5</f>
        <v>0</v>
      </c>
      <c r="G5" s="3062">
        <v>0</v>
      </c>
      <c r="H5" s="3062">
        <f>+D5</f>
        <v>2672.3851878727478</v>
      </c>
      <c r="I5" s="3074">
        <f>+I4+H5</f>
        <v>10865.118000035323</v>
      </c>
      <c r="J5" s="3062">
        <f>'ST Original'!AR9</f>
        <v>3287.7182761034001</v>
      </c>
      <c r="M5" s="3064"/>
      <c r="N5" s="3060" t="s">
        <v>1515</v>
      </c>
    </row>
    <row r="6" spans="1:14">
      <c r="B6" s="3061">
        <f t="shared" ref="B6:B34" si="2">+B5+1</f>
        <v>46084.791666666664</v>
      </c>
      <c r="C6" s="3062">
        <f>'ST Original'!O10</f>
        <v>2216.6115750776935</v>
      </c>
      <c r="D6" s="3062">
        <f t="shared" si="0"/>
        <v>2216.6115750776935</v>
      </c>
      <c r="E6" s="3068">
        <v>700</v>
      </c>
      <c r="F6" s="3062">
        <f t="shared" si="1"/>
        <v>0</v>
      </c>
      <c r="G6" s="3062">
        <f t="shared" ref="G6:G33" si="3">IF((D6+E6)&gt;=4366,4366,(D6+E6))</f>
        <v>2916.6115750776935</v>
      </c>
      <c r="H6" s="3062">
        <f t="shared" ref="H6:H27" si="4">+D6-G6</f>
        <v>-700</v>
      </c>
      <c r="I6" s="3074">
        <f t="shared" ref="I6:I23" si="5">+I5+H6</f>
        <v>10165.118000035323</v>
      </c>
      <c r="J6" s="3062">
        <f>'ST Original'!AR10</f>
        <v>3939.6360939549991</v>
      </c>
      <c r="M6" s="3065"/>
      <c r="N6" s="3060" t="s">
        <v>1516</v>
      </c>
    </row>
    <row r="7" spans="1:14">
      <c r="B7" s="3061">
        <f t="shared" si="2"/>
        <v>46085.791666666664</v>
      </c>
      <c r="C7" s="3062">
        <f>'ST Original'!O11</f>
        <v>2313.8490400997584</v>
      </c>
      <c r="D7" s="3062">
        <f t="shared" si="0"/>
        <v>2313.8490400997584</v>
      </c>
      <c r="E7" s="3068">
        <v>700</v>
      </c>
      <c r="F7" s="3062">
        <f t="shared" si="1"/>
        <v>0</v>
      </c>
      <c r="G7" s="3062">
        <f t="shared" si="3"/>
        <v>3013.8490400997584</v>
      </c>
      <c r="H7" s="3062">
        <f t="shared" si="4"/>
        <v>-700</v>
      </c>
      <c r="I7" s="3074">
        <f t="shared" si="5"/>
        <v>9465.1180000353233</v>
      </c>
      <c r="J7" s="3062">
        <f>'ST Original'!AR11</f>
        <v>3710.747476724262</v>
      </c>
      <c r="M7" s="3066"/>
      <c r="N7" s="3060" t="s">
        <v>1517</v>
      </c>
    </row>
    <row r="8" spans="1:14">
      <c r="B8" s="3061">
        <f t="shared" si="2"/>
        <v>46086.791666666664</v>
      </c>
      <c r="C8" s="3062">
        <f>'ST Original'!O12</f>
        <v>2500.0029699779629</v>
      </c>
      <c r="D8" s="3062">
        <f t="shared" si="0"/>
        <v>2500.0029699779629</v>
      </c>
      <c r="E8" s="3068">
        <v>800</v>
      </c>
      <c r="F8" s="3062">
        <f t="shared" si="1"/>
        <v>0</v>
      </c>
      <c r="G8" s="3062">
        <f t="shared" si="3"/>
        <v>3300.0029699779629</v>
      </c>
      <c r="H8" s="3062">
        <f t="shared" si="4"/>
        <v>-800</v>
      </c>
      <c r="I8" s="3074">
        <f>+I7+H8</f>
        <v>8665.1180000353233</v>
      </c>
      <c r="J8" s="3062">
        <f>'ST Original'!AR12</f>
        <v>3508.4173558058574</v>
      </c>
      <c r="M8" s="3075"/>
      <c r="N8" s="3060" t="s">
        <v>1518</v>
      </c>
    </row>
    <row r="9" spans="1:14">
      <c r="A9" s="3060">
        <v>3000</v>
      </c>
      <c r="B9" s="3061">
        <f t="shared" si="2"/>
        <v>46087.791666666664</v>
      </c>
      <c r="C9" s="3062">
        <f>'ST Original'!O13</f>
        <v>2791.9596992475977</v>
      </c>
      <c r="D9" s="3062">
        <f t="shared" si="0"/>
        <v>2791.9596992475977</v>
      </c>
      <c r="E9" s="3068">
        <v>800</v>
      </c>
      <c r="F9" s="3062">
        <f t="shared" si="1"/>
        <v>0</v>
      </c>
      <c r="G9" s="3062">
        <f t="shared" si="3"/>
        <v>3591.9596992475977</v>
      </c>
      <c r="H9" s="3062">
        <f t="shared" si="4"/>
        <v>-800</v>
      </c>
      <c r="I9" s="3074">
        <f>+I8+H9</f>
        <v>7865.1180000353233</v>
      </c>
      <c r="J9" s="3062">
        <f>'ST Original'!AR13</f>
        <v>3403.4214210851128</v>
      </c>
    </row>
    <row r="10" spans="1:14">
      <c r="B10" s="3061">
        <f t="shared" si="2"/>
        <v>46088.791666666664</v>
      </c>
      <c r="C10" s="3062">
        <f>'ST Original'!O14</f>
        <v>3403.0292033892138</v>
      </c>
      <c r="D10" s="3062">
        <f t="shared" si="0"/>
        <v>3403.0292033892138</v>
      </c>
      <c r="E10" s="3068">
        <v>900</v>
      </c>
      <c r="F10" s="3062">
        <f t="shared" si="1"/>
        <v>0</v>
      </c>
      <c r="G10" s="3062">
        <f>IF((D10+E10)&gt;=4366,4366,(D10+E10))</f>
        <v>4303.0292033892138</v>
      </c>
      <c r="H10" s="3062">
        <f t="shared" si="4"/>
        <v>-900</v>
      </c>
      <c r="I10" s="3074">
        <f t="shared" si="5"/>
        <v>6965.1180000353233</v>
      </c>
      <c r="J10" s="3062">
        <f>'ST Original'!AR14</f>
        <v>3351.6386294369354</v>
      </c>
    </row>
    <row r="11" spans="1:14">
      <c r="B11" s="3061">
        <f t="shared" si="2"/>
        <v>46089.791666666664</v>
      </c>
      <c r="C11" s="3062">
        <f>'ST Original'!O15</f>
        <v>3953.8202768151364</v>
      </c>
      <c r="D11" s="3062">
        <f t="shared" si="0"/>
        <v>3953.8202768151364</v>
      </c>
      <c r="E11" s="3068">
        <v>800</v>
      </c>
      <c r="F11" s="3062">
        <f t="shared" si="1"/>
        <v>0</v>
      </c>
      <c r="G11" s="3062">
        <f t="shared" si="3"/>
        <v>4366</v>
      </c>
      <c r="H11" s="3062">
        <f t="shared" si="4"/>
        <v>-412.17972318486363</v>
      </c>
      <c r="I11" s="3074">
        <f t="shared" si="5"/>
        <v>6552.9382768504602</v>
      </c>
      <c r="J11" s="3062">
        <f>'ST Original'!AR15</f>
        <v>3472.2738083304657</v>
      </c>
    </row>
    <row r="12" spans="1:14">
      <c r="B12" s="3061">
        <f t="shared" si="2"/>
        <v>46090.791666666664</v>
      </c>
      <c r="C12" s="3062">
        <f>'ST Original'!O16</f>
        <v>3717.8219958657969</v>
      </c>
      <c r="D12" s="3062">
        <f t="shared" si="0"/>
        <v>3717.8219958657969</v>
      </c>
      <c r="E12" s="3068">
        <v>900</v>
      </c>
      <c r="F12" s="3062">
        <f t="shared" si="1"/>
        <v>0</v>
      </c>
      <c r="G12" s="3062">
        <f t="shared" si="3"/>
        <v>4366</v>
      </c>
      <c r="H12" s="3062">
        <f t="shared" si="4"/>
        <v>-648.17800413420309</v>
      </c>
      <c r="I12" s="3074">
        <f t="shared" si="5"/>
        <v>5904.7602727162575</v>
      </c>
      <c r="J12" s="3062">
        <f>'ST Original'!AR16</f>
        <v>3637.9876764600831</v>
      </c>
    </row>
    <row r="13" spans="1:14">
      <c r="B13" s="3061">
        <f t="shared" si="2"/>
        <v>46091.791666666664</v>
      </c>
      <c r="C13" s="3062">
        <f>'ST Original'!O17</f>
        <v>3538.1846492588006</v>
      </c>
      <c r="D13" s="3062">
        <f t="shared" si="0"/>
        <v>3538.1846492588006</v>
      </c>
      <c r="E13" s="3068">
        <v>800</v>
      </c>
      <c r="F13" s="3062">
        <f t="shared" si="1"/>
        <v>0</v>
      </c>
      <c r="G13" s="3062">
        <f t="shared" si="3"/>
        <v>4338.1846492588011</v>
      </c>
      <c r="H13" s="3062">
        <f t="shared" si="4"/>
        <v>-800.00000000000045</v>
      </c>
      <c r="I13" s="3074">
        <f t="shared" si="5"/>
        <v>5104.7602727162575</v>
      </c>
      <c r="J13" s="3062">
        <f>'ST Original'!AR17</f>
        <v>4485.2685181732622</v>
      </c>
      <c r="M13" s="3068"/>
    </row>
    <row r="14" spans="1:14">
      <c r="B14" s="3061">
        <f t="shared" si="2"/>
        <v>46092.791666666664</v>
      </c>
      <c r="C14" s="3062">
        <f>'ST Original'!O18</f>
        <v>3573.5840270533877</v>
      </c>
      <c r="D14" s="3062">
        <f t="shared" si="0"/>
        <v>3573.5840270533877</v>
      </c>
      <c r="E14" s="3068"/>
      <c r="F14" s="3062">
        <f t="shared" si="1"/>
        <v>0</v>
      </c>
      <c r="G14" s="3158">
        <v>2500</v>
      </c>
      <c r="H14" s="3062">
        <v>1464</v>
      </c>
      <c r="I14" s="3074">
        <f t="shared" si="5"/>
        <v>6568.7602727162575</v>
      </c>
      <c r="J14" s="3062">
        <f>'ST Original'!AR18</f>
        <v>4414.3734952848845</v>
      </c>
      <c r="M14" s="3062"/>
    </row>
    <row r="15" spans="1:14">
      <c r="B15" s="3061">
        <f t="shared" si="2"/>
        <v>46093.791666666664</v>
      </c>
      <c r="C15" s="3062">
        <f>'ST Original'!O19</f>
        <v>3453.8396878561921</v>
      </c>
      <c r="D15" s="3062">
        <f t="shared" si="0"/>
        <v>3453.8396878561921</v>
      </c>
      <c r="E15" s="3068">
        <v>350</v>
      </c>
      <c r="F15" s="3062">
        <f t="shared" si="1"/>
        <v>0</v>
      </c>
      <c r="G15" s="3062">
        <f t="shared" si="3"/>
        <v>3803.8396878561921</v>
      </c>
      <c r="H15" s="3062">
        <f t="shared" si="4"/>
        <v>-350</v>
      </c>
      <c r="I15" s="3074">
        <f t="shared" si="5"/>
        <v>6218.7602727162575</v>
      </c>
      <c r="J15" s="3062">
        <f>'ST Original'!AR19</f>
        <v>4235.0680667002653</v>
      </c>
      <c r="K15" s="3076">
        <v>4366</v>
      </c>
      <c r="L15" s="3076"/>
      <c r="M15" s="3062"/>
    </row>
    <row r="16" spans="1:14">
      <c r="B16" s="3061">
        <f t="shared" si="2"/>
        <v>46094.791666666664</v>
      </c>
      <c r="C16" s="3062">
        <f>'ST Original'!O20</f>
        <v>3403.3874176114095</v>
      </c>
      <c r="D16" s="3062">
        <f t="shared" si="0"/>
        <v>3403.3874176114095</v>
      </c>
      <c r="E16" s="3068">
        <v>1000</v>
      </c>
      <c r="F16" s="3062">
        <f t="shared" si="1"/>
        <v>0</v>
      </c>
      <c r="G16" s="3062">
        <f t="shared" si="3"/>
        <v>4366</v>
      </c>
      <c r="H16" s="3062">
        <f>+D16-G16</f>
        <v>-962.61258238859045</v>
      </c>
      <c r="I16" s="3074">
        <f t="shared" si="5"/>
        <v>5256.1476903276671</v>
      </c>
      <c r="J16" s="3062">
        <f>'ST Original'!AR20</f>
        <v>4064.0056846382627</v>
      </c>
      <c r="K16" s="3076">
        <v>4366</v>
      </c>
      <c r="L16" s="3076"/>
      <c r="M16" s="3062"/>
    </row>
    <row r="17" spans="1:15">
      <c r="B17" s="3061">
        <f t="shared" si="2"/>
        <v>46095.791666666664</v>
      </c>
      <c r="C17" s="3062">
        <f>'ST Original'!O21</f>
        <v>2855.9933074574506</v>
      </c>
      <c r="D17" s="3062">
        <f t="shared" si="0"/>
        <v>2855.9933074574506</v>
      </c>
      <c r="E17" s="3068">
        <v>800</v>
      </c>
      <c r="F17" s="3062">
        <f t="shared" si="1"/>
        <v>0</v>
      </c>
      <c r="G17" s="3062">
        <f t="shared" si="3"/>
        <v>3655.9933074574506</v>
      </c>
      <c r="H17" s="3062">
        <f t="shared" si="4"/>
        <v>-800</v>
      </c>
      <c r="I17" s="3074">
        <f t="shared" si="5"/>
        <v>4456.1476903276671</v>
      </c>
      <c r="J17" s="3062">
        <f>'ST Original'!AR21</f>
        <v>3820.5577484710525</v>
      </c>
      <c r="K17" s="3076">
        <v>4260.4715885466885</v>
      </c>
      <c r="L17" s="3076"/>
      <c r="M17" s="3062"/>
    </row>
    <row r="18" spans="1:15">
      <c r="B18" s="3061">
        <f t="shared" si="2"/>
        <v>46096.791666666664</v>
      </c>
      <c r="C18" s="3062">
        <f>'ST Original'!O22</f>
        <v>2807.7294668069771</v>
      </c>
      <c r="D18" s="3062">
        <f t="shared" si="0"/>
        <v>2807.7294668069771</v>
      </c>
      <c r="E18" s="3068">
        <v>800</v>
      </c>
      <c r="F18" s="3062">
        <f t="shared" si="1"/>
        <v>0</v>
      </c>
      <c r="G18" s="3062">
        <f t="shared" si="3"/>
        <v>3607.7294668069771</v>
      </c>
      <c r="H18" s="3062">
        <f t="shared" si="4"/>
        <v>-800</v>
      </c>
      <c r="I18" s="3074">
        <f t="shared" si="5"/>
        <v>3656.1476903276671</v>
      </c>
      <c r="J18" s="3062">
        <f>'ST Original'!AR22</f>
        <v>3468.000866451368</v>
      </c>
      <c r="K18" s="3076"/>
      <c r="L18" s="3076"/>
      <c r="M18" s="3062"/>
    </row>
    <row r="19" spans="1:15">
      <c r="B19" s="3061">
        <f t="shared" si="2"/>
        <v>46097.791666666664</v>
      </c>
      <c r="C19" s="3062">
        <f>'ST Original'!O23</f>
        <v>3326.5242019084485</v>
      </c>
      <c r="D19" s="3062">
        <f t="shared" si="0"/>
        <v>3326.5242019084485</v>
      </c>
      <c r="E19" s="3068"/>
      <c r="F19" s="3062">
        <f t="shared" si="1"/>
        <v>0</v>
      </c>
      <c r="G19" s="3158">
        <v>2200</v>
      </c>
      <c r="H19" s="3062">
        <v>1019</v>
      </c>
      <c r="I19" s="3074">
        <f t="shared" si="5"/>
        <v>4675.1476903276671</v>
      </c>
      <c r="J19" s="3062">
        <f>'ST Original'!AR23</f>
        <v>3524.207605602076</v>
      </c>
      <c r="K19" s="3062"/>
      <c r="L19" s="3062"/>
      <c r="M19" s="3062"/>
      <c r="N19" s="3060">
        <v>2024</v>
      </c>
      <c r="O19" s="3060">
        <v>5569</v>
      </c>
    </row>
    <row r="20" spans="1:15">
      <c r="B20" s="3061">
        <f t="shared" si="2"/>
        <v>46098.791666666664</v>
      </c>
      <c r="C20" s="3062">
        <f>'ST Original'!O24</f>
        <v>3316.8274150967682</v>
      </c>
      <c r="D20" s="3062">
        <f t="shared" si="0"/>
        <v>3316.8274150967682</v>
      </c>
      <c r="E20" s="3068">
        <v>900</v>
      </c>
      <c r="F20" s="3062">
        <f t="shared" si="1"/>
        <v>0</v>
      </c>
      <c r="G20" s="3062">
        <f t="shared" si="3"/>
        <v>4216.8274150967682</v>
      </c>
      <c r="H20" s="3062">
        <f t="shared" si="4"/>
        <v>-900</v>
      </c>
      <c r="I20" s="3074">
        <f t="shared" si="5"/>
        <v>3775.1476903276671</v>
      </c>
      <c r="J20" s="3062">
        <f>'ST Original'!AR24</f>
        <v>3547.322063980881</v>
      </c>
      <c r="K20" s="3062"/>
      <c r="L20" s="3062"/>
      <c r="N20" s="3060">
        <v>2023</v>
      </c>
      <c r="O20" s="3060">
        <v>5951</v>
      </c>
    </row>
    <row r="21" spans="1:15">
      <c r="B21" s="3061">
        <f t="shared" si="2"/>
        <v>46099.791666666664</v>
      </c>
      <c r="C21" s="3062">
        <f>'ST Original'!O25</f>
        <v>3632.4211664982063</v>
      </c>
      <c r="D21" s="3062">
        <f t="shared" si="0"/>
        <v>3632.4211664982063</v>
      </c>
      <c r="E21" s="3068">
        <v>700</v>
      </c>
      <c r="F21" s="3062">
        <f t="shared" si="1"/>
        <v>0</v>
      </c>
      <c r="G21" s="3062">
        <f t="shared" si="3"/>
        <v>4332.4211664982067</v>
      </c>
      <c r="H21" s="3062">
        <f t="shared" si="4"/>
        <v>-700.00000000000045</v>
      </c>
      <c r="I21" s="3074">
        <f t="shared" si="5"/>
        <v>3075.1476903276666</v>
      </c>
      <c r="J21" s="3062">
        <f>'ST Original'!AR25</f>
        <v>3690.5108464206196</v>
      </c>
      <c r="K21" s="3062"/>
      <c r="L21" s="3062"/>
      <c r="M21" s="3062"/>
      <c r="N21" s="3060">
        <v>2022</v>
      </c>
      <c r="O21" s="3060">
        <v>4474</v>
      </c>
    </row>
    <row r="22" spans="1:15">
      <c r="B22" s="3061">
        <f t="shared" si="2"/>
        <v>46100.791666666664</v>
      </c>
      <c r="C22" s="3062">
        <f>'ST Original'!O26</f>
        <v>3610.6050996937756</v>
      </c>
      <c r="D22" s="3062">
        <f t="shared" si="0"/>
        <v>3610.6050996937756</v>
      </c>
      <c r="E22" s="3068">
        <v>800</v>
      </c>
      <c r="F22" s="3062">
        <f t="shared" si="1"/>
        <v>0</v>
      </c>
      <c r="G22" s="3062">
        <f t="shared" si="3"/>
        <v>4366</v>
      </c>
      <c r="H22" s="3062">
        <f>+D22-G22</f>
        <v>-755.39490030622437</v>
      </c>
      <c r="I22" s="3074">
        <f t="shared" si="5"/>
        <v>2319.7527900214423</v>
      </c>
      <c r="J22" s="3062">
        <f>'ST Original'!AR26</f>
        <v>3866.3927426440441</v>
      </c>
      <c r="K22" s="3062"/>
      <c r="L22" s="3062"/>
      <c r="N22" s="3060">
        <v>2021</v>
      </c>
    </row>
    <row r="23" spans="1:15">
      <c r="B23" s="3061">
        <f t="shared" si="2"/>
        <v>46101.791666666664</v>
      </c>
      <c r="C23" s="3062">
        <f>'ST Original'!O27</f>
        <v>3391.9085359484216</v>
      </c>
      <c r="D23" s="3062">
        <f t="shared" si="0"/>
        <v>3391.9085359484216</v>
      </c>
      <c r="E23" s="3068">
        <v>600</v>
      </c>
      <c r="F23" s="3062">
        <f t="shared" si="1"/>
        <v>0</v>
      </c>
      <c r="G23" s="3062">
        <f t="shared" si="3"/>
        <v>3991.9085359484216</v>
      </c>
      <c r="H23" s="3062">
        <f t="shared" si="4"/>
        <v>-600</v>
      </c>
      <c r="I23" s="3074">
        <f t="shared" si="5"/>
        <v>1719.7527900214423</v>
      </c>
      <c r="J23" s="3062">
        <f>'ST Original'!AR27</f>
        <v>4013.2818423313943</v>
      </c>
      <c r="K23" s="3062"/>
      <c r="L23" s="3062"/>
      <c r="N23" s="3060">
        <v>2020</v>
      </c>
    </row>
    <row r="24" spans="1:15">
      <c r="B24" s="3061">
        <f t="shared" si="2"/>
        <v>46102.791666666664</v>
      </c>
      <c r="C24" s="3062">
        <f>'ST Original'!O28</f>
        <v>3385.9909628403943</v>
      </c>
      <c r="D24" s="3062">
        <f t="shared" si="0"/>
        <v>3385.9909628403943</v>
      </c>
      <c r="E24" s="3068">
        <v>650</v>
      </c>
      <c r="F24" s="3062">
        <f t="shared" si="1"/>
        <v>0</v>
      </c>
      <c r="G24" s="3062">
        <f t="shared" si="3"/>
        <v>4035.9909628403943</v>
      </c>
      <c r="H24" s="3062">
        <f>+D24-G24</f>
        <v>-650</v>
      </c>
      <c r="I24" s="3062">
        <f t="shared" ref="I24:I33" si="6">+I23+H24</f>
        <v>1069.7527900214423</v>
      </c>
      <c r="J24" s="3062">
        <f>'ST Original'!AR28</f>
        <v>4114.993083460753</v>
      </c>
      <c r="K24" s="3062"/>
      <c r="L24" s="3062"/>
    </row>
    <row r="25" spans="1:15">
      <c r="B25" s="3061">
        <f t="shared" si="2"/>
        <v>46103.791666666664</v>
      </c>
      <c r="C25" s="3062">
        <f>'ST Original'!O29</f>
        <v>3503.7034300578671</v>
      </c>
      <c r="D25" s="3062">
        <f t="shared" si="0"/>
        <v>3503.7034300578671</v>
      </c>
      <c r="E25" s="3068">
        <v>700</v>
      </c>
      <c r="F25" s="3062">
        <f t="shared" si="1"/>
        <v>0</v>
      </c>
      <c r="G25" s="3062">
        <f t="shared" si="3"/>
        <v>4203.7034300578671</v>
      </c>
      <c r="H25" s="3062">
        <f t="shared" si="4"/>
        <v>-700</v>
      </c>
      <c r="I25" s="3062">
        <f t="shared" si="6"/>
        <v>369.75279002144225</v>
      </c>
      <c r="J25" s="3062">
        <f>'ST Original'!AR29</f>
        <v>3932.9842458640069</v>
      </c>
      <c r="K25" s="3062"/>
      <c r="L25" s="3062"/>
    </row>
    <row r="26" spans="1:15">
      <c r="B26" s="3061">
        <f t="shared" si="2"/>
        <v>46104.791666666664</v>
      </c>
      <c r="C26" s="3062">
        <f>'ST Original'!O30</f>
        <v>3273.2138555551828</v>
      </c>
      <c r="D26" s="3062">
        <f t="shared" si="0"/>
        <v>3273.2138555551828</v>
      </c>
      <c r="E26" s="3068">
        <v>700</v>
      </c>
      <c r="F26" s="3062">
        <f t="shared" si="1"/>
        <v>0</v>
      </c>
      <c r="G26" s="3062">
        <f t="shared" si="3"/>
        <v>3973.2138555551828</v>
      </c>
      <c r="H26" s="3062">
        <f t="shared" si="4"/>
        <v>-700</v>
      </c>
      <c r="I26" s="3062">
        <f t="shared" si="6"/>
        <v>-330.24720997855775</v>
      </c>
      <c r="J26" s="3062">
        <f>'ST Original'!AR30</f>
        <v>3672.3351473933412</v>
      </c>
      <c r="K26" s="3062"/>
      <c r="L26" s="3062"/>
    </row>
    <row r="27" spans="1:15">
      <c r="A27" s="3067">
        <f>4366-D27</f>
        <v>648.4538265604433</v>
      </c>
      <c r="B27" s="3061">
        <f t="shared" si="2"/>
        <v>46105.791666666664</v>
      </c>
      <c r="C27" s="3062">
        <f>'ST Original'!O31</f>
        <v>3717.5461734395567</v>
      </c>
      <c r="D27" s="3156">
        <f>IF(C27&gt;=4366,4366,C27)</f>
        <v>3717.5461734395567</v>
      </c>
      <c r="E27" s="3068">
        <v>0</v>
      </c>
      <c r="F27" s="3062">
        <f t="shared" si="1"/>
        <v>0</v>
      </c>
      <c r="G27" s="3062">
        <f t="shared" si="3"/>
        <v>3717.5461734395567</v>
      </c>
      <c r="H27" s="3062">
        <f t="shared" si="4"/>
        <v>0</v>
      </c>
      <c r="I27" s="3074">
        <f t="shared" si="6"/>
        <v>-330.24720997855775</v>
      </c>
      <c r="J27" s="3062">
        <f>'ST Original'!AR31</f>
        <v>3342.6092404109831</v>
      </c>
      <c r="K27" s="3062"/>
      <c r="L27" s="3062"/>
    </row>
    <row r="28" spans="1:15">
      <c r="A28" s="3067">
        <f t="shared" ref="A28:A33" si="7">4366-D28</f>
        <v>639.64498180566352</v>
      </c>
      <c r="B28" s="3061">
        <f t="shared" si="2"/>
        <v>46106.791666666664</v>
      </c>
      <c r="C28" s="3062">
        <f>'ST Original'!O32</f>
        <v>3726.3550181943365</v>
      </c>
      <c r="D28" s="3156">
        <f>IF(C28&gt;=4366,4366,C28)</f>
        <v>3726.3550181943365</v>
      </c>
      <c r="E28" s="3068">
        <v>0</v>
      </c>
      <c r="F28" s="3062">
        <f t="shared" si="1"/>
        <v>0</v>
      </c>
      <c r="G28" s="3062">
        <f t="shared" si="3"/>
        <v>3726.3550181943365</v>
      </c>
      <c r="H28" s="3062">
        <f t="shared" ref="H28:H34" si="8">+D28-G28</f>
        <v>0</v>
      </c>
      <c r="I28" s="3074">
        <f t="shared" si="6"/>
        <v>-330.24720997855775</v>
      </c>
      <c r="J28" s="3062">
        <f>'ST Original'!AR32</f>
        <v>2974.7388353818715</v>
      </c>
      <c r="K28" s="3062"/>
      <c r="L28" s="3062"/>
    </row>
    <row r="29" spans="1:15">
      <c r="A29" s="3067">
        <f t="shared" si="7"/>
        <v>-126.30781556782495</v>
      </c>
      <c r="B29" s="3061">
        <f t="shared" si="2"/>
        <v>46107.791666666664</v>
      </c>
      <c r="C29" s="3062">
        <f>'ST Original'!O33</f>
        <v>3996.3078155678249</v>
      </c>
      <c r="D29" s="3156">
        <f>IF(C29&gt;=4366,4366,C29)+496</f>
        <v>4492.3078155678249</v>
      </c>
      <c r="E29" s="3068">
        <v>0</v>
      </c>
      <c r="F29" s="3062">
        <f t="shared" si="1"/>
        <v>-496</v>
      </c>
      <c r="G29" s="3062">
        <f t="shared" si="3"/>
        <v>4366</v>
      </c>
      <c r="H29" s="3062">
        <f t="shared" si="8"/>
        <v>126.30781556782495</v>
      </c>
      <c r="I29" s="3074">
        <f t="shared" si="6"/>
        <v>-203.9393944107328</v>
      </c>
      <c r="J29" s="3062">
        <f>'ST Original'!AR33</f>
        <v>2817.3753623486359</v>
      </c>
      <c r="K29" s="3062"/>
      <c r="L29" s="3062"/>
    </row>
    <row r="30" spans="1:15">
      <c r="A30" s="3067">
        <f t="shared" si="7"/>
        <v>-150.40738629171756</v>
      </c>
      <c r="B30" s="3061">
        <f t="shared" si="2"/>
        <v>46108.791666666664</v>
      </c>
      <c r="C30" s="3062">
        <f>'ST Original'!O34</f>
        <v>4142.4073862917176</v>
      </c>
      <c r="D30" s="3156">
        <f>IF(C30&gt;=4366,4366,C30)+374</f>
        <v>4516.4073862917176</v>
      </c>
      <c r="E30" s="3068">
        <v>0</v>
      </c>
      <c r="F30" s="3062">
        <f t="shared" si="1"/>
        <v>-374</v>
      </c>
      <c r="G30" s="3062">
        <f t="shared" si="3"/>
        <v>4366</v>
      </c>
      <c r="H30" s="3062">
        <f t="shared" si="8"/>
        <v>150.40738629171756</v>
      </c>
      <c r="I30" s="3074">
        <f t="shared" si="6"/>
        <v>-53.532008119015245</v>
      </c>
      <c r="J30" s="3062">
        <f>'ST Original'!AR34</f>
        <v>2872.8133566280071</v>
      </c>
      <c r="K30" s="3062"/>
      <c r="L30" s="3062"/>
    </row>
    <row r="31" spans="1:15">
      <c r="A31" s="3067">
        <f t="shared" si="7"/>
        <v>-281</v>
      </c>
      <c r="B31" s="3061">
        <f t="shared" si="2"/>
        <v>46109.791666666664</v>
      </c>
      <c r="C31" s="3062">
        <f>'ST Original'!O35</f>
        <v>4461.1844597926402</v>
      </c>
      <c r="D31" s="3156">
        <f>IF(C31&gt;=4366,4366,C31)+281</f>
        <v>4647</v>
      </c>
      <c r="E31" s="3068">
        <v>0</v>
      </c>
      <c r="F31" s="3062">
        <f t="shared" si="1"/>
        <v>-185.81554020735985</v>
      </c>
      <c r="G31" s="3062">
        <f t="shared" si="3"/>
        <v>4366</v>
      </c>
      <c r="H31" s="3062">
        <f t="shared" si="8"/>
        <v>281</v>
      </c>
      <c r="I31" s="3062">
        <f t="shared" si="6"/>
        <v>227.46799188098475</v>
      </c>
      <c r="J31" s="3062">
        <f>'ST Original'!AR35</f>
        <v>2904.6839337255205</v>
      </c>
      <c r="K31" s="3062"/>
      <c r="L31" s="3062"/>
    </row>
    <row r="32" spans="1:15">
      <c r="A32" s="3067">
        <f t="shared" si="7"/>
        <v>-575.00159937226545</v>
      </c>
      <c r="B32" s="3061">
        <f t="shared" si="2"/>
        <v>46110.791666666664</v>
      </c>
      <c r="C32" s="3062">
        <f>'ST Original'!O36</f>
        <v>4138.0015993722654</v>
      </c>
      <c r="D32" s="3156">
        <f>IF(C32&gt;=4366,4366,C32)+803</f>
        <v>4941.0015993722654</v>
      </c>
      <c r="E32" s="3068">
        <v>0</v>
      </c>
      <c r="F32" s="3062">
        <f t="shared" si="1"/>
        <v>-803</v>
      </c>
      <c r="G32" s="3062">
        <f t="shared" si="3"/>
        <v>4366</v>
      </c>
      <c r="H32" s="3062">
        <f t="shared" si="8"/>
        <v>575.00159937226545</v>
      </c>
      <c r="I32" s="3062">
        <f t="shared" si="6"/>
        <v>802.4695912532502</v>
      </c>
      <c r="J32" s="3062">
        <f>'ST Original'!AR36</f>
        <v>2837.9259001714604</v>
      </c>
      <c r="K32" s="3062"/>
      <c r="L32" s="3062"/>
    </row>
    <row r="33" spans="1:25">
      <c r="A33" s="3067">
        <f t="shared" si="7"/>
        <v>-289.39734261523881</v>
      </c>
      <c r="B33" s="3061">
        <f t="shared" si="2"/>
        <v>46111.791666666664</v>
      </c>
      <c r="C33" s="3062">
        <f>'ST Original'!O37</f>
        <v>3776.3973426152384</v>
      </c>
      <c r="D33" s="3156">
        <f>IF(C33&gt;=4366,4366,C33)+879</f>
        <v>4655.3973426152388</v>
      </c>
      <c r="E33" s="3062">
        <v>0</v>
      </c>
      <c r="F33" s="3062">
        <f>+C33-D33</f>
        <v>-879.00000000000045</v>
      </c>
      <c r="G33" s="3062">
        <f t="shared" si="3"/>
        <v>4366</v>
      </c>
      <c r="H33" s="3062">
        <f t="shared" si="8"/>
        <v>289.39734261523881</v>
      </c>
      <c r="I33" s="3071">
        <f t="shared" si="6"/>
        <v>1091.866933868489</v>
      </c>
      <c r="J33" s="3062">
        <f>'ST Original'!AR37</f>
        <v>2771.9246644454961</v>
      </c>
      <c r="K33" s="3062"/>
      <c r="L33" s="3062"/>
    </row>
    <row r="34" spans="1:25">
      <c r="B34" s="3061">
        <f t="shared" si="2"/>
        <v>46112.791666666664</v>
      </c>
      <c r="C34" s="3069">
        <f>'ST Original'!O38</f>
        <v>5688.8408911197957</v>
      </c>
      <c r="D34" s="3069">
        <f>IF(C34&gt;=4366,4366,C34)</f>
        <v>4366</v>
      </c>
      <c r="E34" s="3069">
        <v>0</v>
      </c>
      <c r="F34" s="3069">
        <f t="shared" si="1"/>
        <v>1322.8408911197957</v>
      </c>
      <c r="G34" s="3069">
        <f>(IF((D34+E34)&gt;=4366,4366,(D34+E34)))*1.34</f>
        <v>5850.4400000000005</v>
      </c>
      <c r="H34" s="3069">
        <f t="shared" si="8"/>
        <v>-1484.4400000000005</v>
      </c>
      <c r="I34" s="3103">
        <f>+I33+H34</f>
        <v>-392.5730661315115</v>
      </c>
      <c r="J34" s="3062">
        <f>'ST Original'!AR38</f>
        <v>2612.9511557866726</v>
      </c>
      <c r="K34" s="3062"/>
      <c r="L34" s="3062"/>
    </row>
    <row r="35" spans="1:25">
      <c r="B35" s="3070"/>
      <c r="C35" s="3071">
        <f>+SUM(C4:C34)</f>
        <v>105753.4669311305</v>
      </c>
      <c r="D35" s="3071">
        <f>+SUM(D4:D34)</f>
        <v>107168.44158021807</v>
      </c>
      <c r="E35" s="3071">
        <f>+SUM(E4:E34)</f>
        <v>14400</v>
      </c>
      <c r="F35" s="3071">
        <f>F34</f>
        <v>1322.8408911197957</v>
      </c>
      <c r="G35" s="3071">
        <f>+SUM(G4:G34)</f>
        <v>114573.60615680239</v>
      </c>
      <c r="H35" s="3071">
        <f>H34</f>
        <v>-1484.4400000000005</v>
      </c>
      <c r="I35" s="3071">
        <f>I34</f>
        <v>-392.5730661315115</v>
      </c>
      <c r="J35" s="3071"/>
      <c r="K35" s="3067" t="s">
        <v>1523</v>
      </c>
      <c r="L35" s="3067"/>
    </row>
    <row r="36" spans="1:25">
      <c r="D36" s="3067"/>
      <c r="F36" s="3073"/>
      <c r="G36" s="3067">
        <f>G35-G38</f>
        <v>4771.8312432509847</v>
      </c>
      <c r="I36" s="3067">
        <f>I35*0.28</f>
        <v>-109.92045851682323</v>
      </c>
      <c r="J36" s="3067"/>
      <c r="K36" s="3060" t="s">
        <v>1524</v>
      </c>
    </row>
    <row r="37" spans="1:25">
      <c r="C37" s="3067">
        <f>C34-D34</f>
        <v>1322.8408911197957</v>
      </c>
      <c r="D37" s="3067">
        <f>(4250/24)/0.7</f>
        <v>252.97619047619051</v>
      </c>
      <c r="E37" s="3060" t="s">
        <v>121</v>
      </c>
      <c r="G37" s="3067">
        <f>G34-D34</f>
        <v>1484.4400000000005</v>
      </c>
      <c r="H37" s="3062"/>
    </row>
    <row r="38" spans="1:25">
      <c r="D38" s="3067">
        <f>D37*0.7</f>
        <v>177.08333333333334</v>
      </c>
      <c r="E38" s="3060" t="s">
        <v>121</v>
      </c>
      <c r="F38" s="3067"/>
      <c r="G38" s="3159">
        <f>D35+E2</f>
        <v>109801.7749135514</v>
      </c>
    </row>
    <row r="39" spans="1:25">
      <c r="C39" s="3072"/>
      <c r="E39" s="3067"/>
    </row>
    <row r="40" spans="1:25">
      <c r="A40" s="3675"/>
      <c r="B40" s="3675"/>
      <c r="C40" s="3675"/>
      <c r="D40" s="3675"/>
      <c r="E40" s="3675"/>
      <c r="F40" s="3675"/>
      <c r="G40" s="3675"/>
      <c r="H40" s="3675"/>
      <c r="I40" s="3675"/>
      <c r="J40" s="3675"/>
      <c r="K40" s="3675"/>
      <c r="L40" s="3675"/>
      <c r="M40" s="3675"/>
      <c r="N40" s="3675"/>
      <c r="O40" s="3675"/>
      <c r="P40" s="3675"/>
      <c r="Q40" s="3675"/>
      <c r="R40" s="3675"/>
      <c r="S40" s="3675"/>
      <c r="T40" s="3675"/>
      <c r="U40" s="3675"/>
      <c r="V40" s="3675"/>
      <c r="W40" s="3675"/>
      <c r="X40" s="3675"/>
      <c r="Y40" s="3675"/>
    </row>
    <row r="41" spans="1:25">
      <c r="A41" s="3060" t="s">
        <v>1669</v>
      </c>
    </row>
    <row r="43" spans="1: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25">
      <c r="A44"/>
      <c r="B44" s="4480" t="s">
        <v>1670</v>
      </c>
      <c r="C44" s="4480"/>
      <c r="D44" s="4480"/>
      <c r="E44"/>
      <c r="F44" s="4480" t="s">
        <v>1671</v>
      </c>
      <c r="G44" s="4480"/>
      <c r="H44" s="4480"/>
      <c r="I44"/>
      <c r="J44" s="4480" t="s">
        <v>419</v>
      </c>
      <c r="K44" s="4480"/>
      <c r="L44" s="4480"/>
      <c r="M44"/>
      <c r="N44" t="s">
        <v>1672</v>
      </c>
      <c r="O44"/>
      <c r="P44"/>
      <c r="Q44"/>
      <c r="R44"/>
    </row>
    <row r="45" spans="1:25" ht="13.5" thickBot="1">
      <c r="A45"/>
      <c r="B45" t="s">
        <v>420</v>
      </c>
      <c r="C45" t="s">
        <v>1099</v>
      </c>
      <c r="D45" t="s">
        <v>28</v>
      </c>
      <c r="E45"/>
      <c r="F45" t="s">
        <v>420</v>
      </c>
      <c r="G45" t="s">
        <v>1099</v>
      </c>
      <c r="H45" t="s">
        <v>28</v>
      </c>
      <c r="I45"/>
      <c r="J45" t="s">
        <v>420</v>
      </c>
      <c r="K45" t="s">
        <v>28</v>
      </c>
      <c r="L45" t="s">
        <v>1099</v>
      </c>
      <c r="M45"/>
      <c r="N45" t="s">
        <v>28</v>
      </c>
      <c r="O45"/>
      <c r="P45"/>
      <c r="Q45"/>
      <c r="R45"/>
    </row>
    <row r="46" spans="1:25">
      <c r="A46" s="2359">
        <v>46054.791666666664</v>
      </c>
      <c r="B46">
        <v>3545.8526141124125</v>
      </c>
      <c r="C46">
        <f>+D46/B46*100</f>
        <v>21.068922578526358</v>
      </c>
      <c r="D46">
        <v>747.07294201599723</v>
      </c>
      <c r="E46"/>
      <c r="F46">
        <v>1560</v>
      </c>
      <c r="G46">
        <v>21.068922578526358</v>
      </c>
      <c r="H46">
        <f>+F46*G46/100</f>
        <v>328.67519222501119</v>
      </c>
      <c r="I46"/>
      <c r="J46">
        <f>+B46-F46</f>
        <v>1985.8526141124125</v>
      </c>
      <c r="K46">
        <f>+D46-H46</f>
        <v>418.39774979098604</v>
      </c>
      <c r="L46">
        <f>+K46/J46*100</f>
        <v>21.068922578526362</v>
      </c>
      <c r="M46"/>
      <c r="N46">
        <f>+G46*F46/100</f>
        <v>328.67519222501119</v>
      </c>
      <c r="O46">
        <f>+N46/F46*100</f>
        <v>21.068922578526358</v>
      </c>
      <c r="P46"/>
      <c r="Q46"/>
      <c r="R46"/>
    </row>
    <row r="47" spans="1:25">
      <c r="A47" s="2133">
        <v>46055.791666666664</v>
      </c>
      <c r="B47">
        <v>3601.3454132758225</v>
      </c>
      <c r="C47">
        <f t="shared" ref="C47:C73" si="9">+D47/B47*100</f>
        <v>22.245234598197825</v>
      </c>
      <c r="D47">
        <v>801.1277358746438</v>
      </c>
      <c r="E47"/>
      <c r="F47">
        <v>3684</v>
      </c>
      <c r="G47">
        <v>22.245234598197829</v>
      </c>
      <c r="H47">
        <v>819.51444259760797</v>
      </c>
      <c r="I47"/>
      <c r="J47">
        <f>+B47-F47+J46</f>
        <v>1903.198027388235</v>
      </c>
      <c r="K47">
        <f>+D47-H47+K46</f>
        <v>400.01104306802188</v>
      </c>
      <c r="L47">
        <f t="shared" ref="L47:L73" si="10">+K47/J47*100</f>
        <v>21.017836153233009</v>
      </c>
      <c r="M47"/>
      <c r="N47">
        <f t="shared" ref="N47:N58" si="11">+G47*F47/100</f>
        <v>819.51444259760797</v>
      </c>
      <c r="O47">
        <f t="shared" ref="O47:O73" si="12">+N47/F47*100</f>
        <v>22.245234598197825</v>
      </c>
      <c r="P47"/>
      <c r="Q47"/>
      <c r="R47"/>
    </row>
    <row r="48" spans="1:25">
      <c r="A48" s="2133">
        <v>46056.791666666664</v>
      </c>
      <c r="B48">
        <v>3437.5020713583299</v>
      </c>
      <c r="C48">
        <f t="shared" si="9"/>
        <v>23.156963759558501</v>
      </c>
      <c r="D48">
        <v>796.02110889852133</v>
      </c>
      <c r="E48"/>
      <c r="F48">
        <v>2900</v>
      </c>
      <c r="G48">
        <v>23.156963759558504</v>
      </c>
      <c r="H48">
        <v>671.55194902719666</v>
      </c>
      <c r="I48"/>
      <c r="J48">
        <f t="shared" ref="J48:J73" si="13">+B48-F48+J47</f>
        <v>2440.7000987465649</v>
      </c>
      <c r="K48">
        <f t="shared" ref="K48:K73" si="14">+D48-H48+K47</f>
        <v>524.48020293934655</v>
      </c>
      <c r="L48">
        <f t="shared" si="10"/>
        <v>21.488924559338372</v>
      </c>
      <c r="M48"/>
      <c r="N48">
        <f t="shared" si="11"/>
        <v>671.55194902719666</v>
      </c>
      <c r="O48">
        <f t="shared" si="12"/>
        <v>23.156963759558504</v>
      </c>
      <c r="P48"/>
      <c r="Q48"/>
      <c r="R48"/>
    </row>
    <row r="49" spans="1:18">
      <c r="A49" s="2133">
        <v>46057.791666666664</v>
      </c>
      <c r="B49">
        <v>2960.6480982327489</v>
      </c>
      <c r="C49">
        <f t="shared" si="9"/>
        <v>26.588235418457877</v>
      </c>
      <c r="D49">
        <v>787.18408627021927</v>
      </c>
      <c r="E49"/>
      <c r="F49">
        <v>2900</v>
      </c>
      <c r="G49">
        <v>26.588235418457874</v>
      </c>
      <c r="H49">
        <v>771.05882713527842</v>
      </c>
      <c r="I49"/>
      <c r="J49">
        <f t="shared" si="13"/>
        <v>2501.3481969793138</v>
      </c>
      <c r="K49">
        <f t="shared" si="14"/>
        <v>540.6054620742874</v>
      </c>
      <c r="L49">
        <f t="shared" si="10"/>
        <v>21.612563285956554</v>
      </c>
      <c r="M49"/>
      <c r="N49">
        <f t="shared" si="11"/>
        <v>771.05882713527842</v>
      </c>
      <c r="O49">
        <f t="shared" si="12"/>
        <v>26.588235418457877</v>
      </c>
      <c r="P49"/>
      <c r="Q49"/>
      <c r="R49"/>
    </row>
    <row r="50" spans="1:18">
      <c r="A50" s="2133">
        <v>46058.791666666664</v>
      </c>
      <c r="B50">
        <v>3189.1870600745724</v>
      </c>
      <c r="C50">
        <f t="shared" si="9"/>
        <v>26.170330985477612</v>
      </c>
      <c r="D50">
        <v>834.62080936753841</v>
      </c>
      <c r="E50"/>
      <c r="F50">
        <v>2900</v>
      </c>
      <c r="G50">
        <v>26.170330985477616</v>
      </c>
      <c r="H50">
        <v>758.93959857885091</v>
      </c>
      <c r="I50"/>
      <c r="J50">
        <f t="shared" si="13"/>
        <v>2790.5352570538862</v>
      </c>
      <c r="K50">
        <f t="shared" si="14"/>
        <v>616.28667286297491</v>
      </c>
      <c r="L50">
        <f t="shared" si="10"/>
        <v>22.084891108439926</v>
      </c>
      <c r="M50"/>
      <c r="N50">
        <f t="shared" si="11"/>
        <v>758.93959857885091</v>
      </c>
      <c r="O50">
        <f t="shared" si="12"/>
        <v>26.170330985477619</v>
      </c>
      <c r="P50"/>
      <c r="Q50"/>
      <c r="R50"/>
    </row>
    <row r="51" spans="1:18">
      <c r="A51" s="2133">
        <v>46059.791666666664</v>
      </c>
      <c r="B51">
        <v>3260.7462116251695</v>
      </c>
      <c r="C51">
        <f t="shared" si="9"/>
        <v>25.217440272427698</v>
      </c>
      <c r="D51">
        <v>822.276728352026</v>
      </c>
      <c r="E51"/>
      <c r="F51">
        <v>2900</v>
      </c>
      <c r="G51">
        <v>25.217440272427698</v>
      </c>
      <c r="H51">
        <v>731.30576790040334</v>
      </c>
      <c r="I51"/>
      <c r="J51">
        <f t="shared" si="13"/>
        <v>3151.2814686790557</v>
      </c>
      <c r="K51">
        <f t="shared" si="14"/>
        <v>707.25763331459757</v>
      </c>
      <c r="L51">
        <f t="shared" si="10"/>
        <v>22.443492920074309</v>
      </c>
      <c r="M51"/>
      <c r="N51">
        <f t="shared" si="11"/>
        <v>731.30576790040334</v>
      </c>
      <c r="O51">
        <f t="shared" si="12"/>
        <v>25.217440272427698</v>
      </c>
      <c r="P51"/>
      <c r="Q51"/>
      <c r="R51"/>
    </row>
    <row r="52" spans="1:18" ht="13.5" thickBot="1">
      <c r="A52" s="2142">
        <v>46060.791666666664</v>
      </c>
      <c r="B52">
        <v>3338.6595420955382</v>
      </c>
      <c r="C52">
        <f t="shared" si="9"/>
        <v>24.686032881043467</v>
      </c>
      <c r="D52">
        <v>824.18259234779975</v>
      </c>
      <c r="E52"/>
      <c r="F52">
        <v>2900</v>
      </c>
      <c r="G52">
        <v>24.686032881043467</v>
      </c>
      <c r="H52">
        <v>715.89495355026054</v>
      </c>
      <c r="I52"/>
      <c r="J52">
        <f t="shared" si="13"/>
        <v>3589.9410107745939</v>
      </c>
      <c r="K52">
        <f t="shared" si="14"/>
        <v>815.54527211213679</v>
      </c>
      <c r="L52">
        <f t="shared" si="10"/>
        <v>22.717511782628659</v>
      </c>
      <c r="M52"/>
      <c r="N52">
        <f t="shared" si="11"/>
        <v>715.89495355026054</v>
      </c>
      <c r="O52">
        <f t="shared" si="12"/>
        <v>24.686032881043467</v>
      </c>
      <c r="P52"/>
      <c r="Q52"/>
      <c r="R52"/>
    </row>
    <row r="53" spans="1:18">
      <c r="A53" s="2359">
        <v>46061.791666666664</v>
      </c>
      <c r="B53">
        <v>3388.4989506368684</v>
      </c>
      <c r="C53">
        <f t="shared" si="9"/>
        <v>26.540255031612915</v>
      </c>
      <c r="D53">
        <v>899.31626324255228</v>
      </c>
      <c r="E53"/>
      <c r="F53">
        <v>2900</v>
      </c>
      <c r="G53">
        <v>26.540255031612912</v>
      </c>
      <c r="H53">
        <v>769.66739591677435</v>
      </c>
      <c r="I53"/>
      <c r="J53">
        <f t="shared" si="13"/>
        <v>4078.4399614114623</v>
      </c>
      <c r="K53">
        <f t="shared" si="14"/>
        <v>945.19413943791471</v>
      </c>
      <c r="L53">
        <f t="shared" si="10"/>
        <v>23.175384421027566</v>
      </c>
      <c r="M53"/>
      <c r="N53">
        <f t="shared" si="11"/>
        <v>769.66739591677435</v>
      </c>
      <c r="O53">
        <f t="shared" si="12"/>
        <v>26.540255031612908</v>
      </c>
      <c r="P53"/>
      <c r="Q53"/>
      <c r="R53"/>
    </row>
    <row r="54" spans="1:18">
      <c r="A54" s="2133">
        <v>46062.791666666664</v>
      </c>
      <c r="B54">
        <v>3170.9288805513879</v>
      </c>
      <c r="C54">
        <f t="shared" si="9"/>
        <v>26.237088960719905</v>
      </c>
      <c r="D54">
        <v>831.95943127142755</v>
      </c>
      <c r="E54"/>
      <c r="F54">
        <v>4366</v>
      </c>
      <c r="G54">
        <v>26.237088960719909</v>
      </c>
      <c r="H54">
        <v>1145.5113040250312</v>
      </c>
      <c r="I54"/>
      <c r="J54">
        <f t="shared" si="13"/>
        <v>2883.3688419628502</v>
      </c>
      <c r="K54">
        <f t="shared" si="14"/>
        <v>631.64226668431104</v>
      </c>
      <c r="L54">
        <f t="shared" si="10"/>
        <v>21.906398428524369</v>
      </c>
      <c r="M54"/>
      <c r="N54">
        <f t="shared" si="11"/>
        <v>1145.5113040250312</v>
      </c>
      <c r="O54">
        <f t="shared" si="12"/>
        <v>26.237088960719905</v>
      </c>
      <c r="P54"/>
      <c r="Q54"/>
      <c r="R54"/>
    </row>
    <row r="55" spans="1:18">
      <c r="A55" s="2133">
        <v>46063.791666666664</v>
      </c>
      <c r="B55">
        <v>3521.9225291762978</v>
      </c>
      <c r="C55">
        <f t="shared" si="9"/>
        <v>24.489542695722928</v>
      </c>
      <c r="D55">
        <v>862.50272149291425</v>
      </c>
      <c r="E55"/>
      <c r="F55">
        <v>0</v>
      </c>
      <c r="G55">
        <v>0</v>
      </c>
      <c r="H55">
        <v>0</v>
      </c>
      <c r="I55"/>
      <c r="J55">
        <f t="shared" si="13"/>
        <v>6405.2913711391484</v>
      </c>
      <c r="K55">
        <f t="shared" si="14"/>
        <v>1494.1449881772253</v>
      </c>
      <c r="L55">
        <f t="shared" si="10"/>
        <v>23.326729442933981</v>
      </c>
      <c r="M55"/>
      <c r="N55">
        <f t="shared" si="11"/>
        <v>0</v>
      </c>
      <c r="O55" t="e">
        <f t="shared" si="12"/>
        <v>#DIV/0!</v>
      </c>
      <c r="P55"/>
      <c r="Q55"/>
      <c r="R55"/>
    </row>
    <row r="56" spans="1:18">
      <c r="A56" s="2133">
        <v>46064.791666666664</v>
      </c>
      <c r="B56">
        <v>3404.202948211655</v>
      </c>
      <c r="C56">
        <f t="shared" si="9"/>
        <v>24.231400981488818</v>
      </c>
      <c r="D56">
        <v>824.88606660483026</v>
      </c>
      <c r="E56"/>
      <c r="F56">
        <v>0</v>
      </c>
      <c r="G56">
        <v>0</v>
      </c>
      <c r="H56">
        <v>0</v>
      </c>
      <c r="I56"/>
      <c r="J56">
        <f t="shared" si="13"/>
        <v>9809.4943193508043</v>
      </c>
      <c r="K56">
        <f t="shared" si="14"/>
        <v>2319.0310547820554</v>
      </c>
      <c r="L56">
        <f t="shared" si="10"/>
        <v>23.640678910506058</v>
      </c>
      <c r="M56"/>
      <c r="N56">
        <f t="shared" si="11"/>
        <v>0</v>
      </c>
      <c r="O56" t="e">
        <f t="shared" si="12"/>
        <v>#DIV/0!</v>
      </c>
      <c r="P56"/>
      <c r="Q56"/>
      <c r="R56"/>
    </row>
    <row r="57" spans="1:18">
      <c r="A57" s="2133">
        <v>46065.791666666664</v>
      </c>
      <c r="B57">
        <v>3721.0200967993915</v>
      </c>
      <c r="C57">
        <f t="shared" si="9"/>
        <v>24.835628417998464</v>
      </c>
      <c r="D57">
        <v>924.13872460014363</v>
      </c>
      <c r="E57"/>
      <c r="F57">
        <v>0</v>
      </c>
      <c r="G57">
        <v>0</v>
      </c>
      <c r="H57">
        <v>0</v>
      </c>
      <c r="I57"/>
      <c r="J57">
        <f t="shared" si="13"/>
        <v>13530.514416150196</v>
      </c>
      <c r="K57">
        <f t="shared" si="14"/>
        <v>3243.1697793821991</v>
      </c>
      <c r="L57">
        <f t="shared" si="10"/>
        <v>23.969301385253395</v>
      </c>
      <c r="M57"/>
      <c r="N57">
        <f t="shared" si="11"/>
        <v>0</v>
      </c>
      <c r="O57" t="e">
        <f t="shared" si="12"/>
        <v>#DIV/0!</v>
      </c>
      <c r="P57"/>
      <c r="Q57"/>
      <c r="R57"/>
    </row>
    <row r="58" spans="1:18">
      <c r="A58" s="2133">
        <v>46066.791666666664</v>
      </c>
      <c r="B58">
        <v>3595.3455497154005</v>
      </c>
      <c r="C58">
        <f t="shared" si="9"/>
        <v>23.602078976084623</v>
      </c>
      <c r="D58">
        <v>848.57629610697268</v>
      </c>
      <c r="E58"/>
      <c r="F58" s="1514">
        <v>1080</v>
      </c>
      <c r="G58">
        <v>23.602078976084623</v>
      </c>
      <c r="H58">
        <v>254.90245294171393</v>
      </c>
      <c r="I58"/>
      <c r="J58">
        <f t="shared" si="13"/>
        <v>16045.859965865597</v>
      </c>
      <c r="K58">
        <f t="shared" si="14"/>
        <v>3836.8436225474579</v>
      </c>
      <c r="L58">
        <f t="shared" si="10"/>
        <v>23.911735679543423</v>
      </c>
      <c r="M58"/>
      <c r="N58">
        <f t="shared" si="11"/>
        <v>254.90245294171393</v>
      </c>
      <c r="O58">
        <f t="shared" si="12"/>
        <v>23.602078976084623</v>
      </c>
      <c r="P58"/>
      <c r="Q58"/>
      <c r="R58">
        <f>+F58*C58/100</f>
        <v>254.90245294171393</v>
      </c>
    </row>
    <row r="59" spans="1:18" ht="13.5" thickBot="1">
      <c r="A59" s="2142">
        <v>46067.791666666664</v>
      </c>
      <c r="B59">
        <v>3660.7535616448104</v>
      </c>
      <c r="C59">
        <f t="shared" si="9"/>
        <v>24.457337126025205</v>
      </c>
      <c r="D59">
        <v>895.32283992444616</v>
      </c>
      <c r="E59"/>
      <c r="F59" s="1514">
        <v>4366</v>
      </c>
      <c r="G59">
        <v>24.457337126025205</v>
      </c>
      <c r="H59">
        <v>1067.8073389222604</v>
      </c>
      <c r="I59"/>
      <c r="J59">
        <f t="shared" si="13"/>
        <v>15340.613527510406</v>
      </c>
      <c r="K59">
        <f t="shared" si="14"/>
        <v>3664.3591235496438</v>
      </c>
      <c r="L59">
        <f t="shared" si="10"/>
        <v>23.886653014094438</v>
      </c>
      <c r="M59"/>
      <c r="N59" s="945">
        <f>+G59*F59*$N$76/100</f>
        <v>1055.4145908315277</v>
      </c>
      <c r="O59">
        <f t="shared" si="12"/>
        <v>24.173490399256245</v>
      </c>
      <c r="P59"/>
      <c r="Q59" s="3676">
        <f>+F59-B59</f>
        <v>705.24643835518964</v>
      </c>
      <c r="R59">
        <f t="shared" ref="R59:R73" si="15">+F59*C59/100</f>
        <v>1067.8073389222604</v>
      </c>
    </row>
    <row r="60" spans="1:18">
      <c r="A60" s="2359">
        <v>46068.791666666664</v>
      </c>
      <c r="B60">
        <v>3204.6352449380811</v>
      </c>
      <c r="C60">
        <f t="shared" si="9"/>
        <v>24.756496223409396</v>
      </c>
      <c r="D60">
        <v>793.35540338714247</v>
      </c>
      <c r="E60"/>
      <c r="F60" s="1514">
        <v>4366</v>
      </c>
      <c r="G60">
        <v>24.756496223409396</v>
      </c>
      <c r="H60">
        <v>1080.8686251140543</v>
      </c>
      <c r="I60"/>
      <c r="J60">
        <f t="shared" si="13"/>
        <v>14179.248772448487</v>
      </c>
      <c r="K60">
        <f t="shared" si="14"/>
        <v>3376.8459018227318</v>
      </c>
      <c r="L60">
        <f t="shared" si="10"/>
        <v>23.815407684956039</v>
      </c>
      <c r="M60"/>
      <c r="N60" s="945">
        <f t="shared" ref="N60:N73" si="16">+G60*F60*$N$76/100</f>
        <v>1068.3242904743106</v>
      </c>
      <c r="O60">
        <f t="shared" si="12"/>
        <v>24.469177518880226</v>
      </c>
      <c r="P60"/>
      <c r="Q60" s="3676">
        <f t="shared" ref="Q60:Q72" si="17">+F60-B60</f>
        <v>1161.3647550619189</v>
      </c>
      <c r="R60">
        <f t="shared" si="15"/>
        <v>1080.8686251140543</v>
      </c>
    </row>
    <row r="61" spans="1:18">
      <c r="A61" s="2133">
        <v>46069.791666666664</v>
      </c>
      <c r="B61">
        <v>2711.7711292291856</v>
      </c>
      <c r="C61">
        <f t="shared" si="9"/>
        <v>26.616221075432623</v>
      </c>
      <c r="D61">
        <v>721.77099881539573</v>
      </c>
      <c r="E61"/>
      <c r="F61" s="1514">
        <v>4366</v>
      </c>
      <c r="G61">
        <v>26.616221075432623</v>
      </c>
      <c r="H61">
        <v>1162.0642121533883</v>
      </c>
      <c r="I61"/>
      <c r="J61">
        <f t="shared" si="13"/>
        <v>12525.019901677673</v>
      </c>
      <c r="K61">
        <f t="shared" si="14"/>
        <v>2936.5526884847391</v>
      </c>
      <c r="L61">
        <f t="shared" si="10"/>
        <v>23.445493193119798</v>
      </c>
      <c r="M61"/>
      <c r="N61" s="945">
        <f t="shared" si="16"/>
        <v>1148.5775385545649</v>
      </c>
      <c r="O61">
        <f t="shared" si="12"/>
        <v>26.307318794195254</v>
      </c>
      <c r="P61"/>
      <c r="Q61" s="3676">
        <f t="shared" si="17"/>
        <v>1654.2288707708144</v>
      </c>
      <c r="R61">
        <f t="shared" si="15"/>
        <v>1162.0642121533883</v>
      </c>
    </row>
    <row r="62" spans="1:18">
      <c r="A62" s="2133">
        <v>46070.791666666664</v>
      </c>
      <c r="B62">
        <v>2460.8590250760758</v>
      </c>
      <c r="C62">
        <f t="shared" si="9"/>
        <v>27.756251749047113</v>
      </c>
      <c r="D62">
        <v>683.04222618926201</v>
      </c>
      <c r="E62"/>
      <c r="F62" s="1514">
        <v>4366</v>
      </c>
      <c r="G62">
        <v>27.756251749047109</v>
      </c>
      <c r="H62">
        <v>1096.3719440873608</v>
      </c>
      <c r="I62"/>
      <c r="J62">
        <f t="shared" si="13"/>
        <v>10619.878926753749</v>
      </c>
      <c r="K62">
        <f t="shared" si="14"/>
        <v>2523.2229705866403</v>
      </c>
      <c r="L62">
        <f t="shared" si="10"/>
        <v>23.759432550874955</v>
      </c>
      <c r="M62"/>
      <c r="N62" s="945">
        <f t="shared" si="16"/>
        <v>1197.7736141832515</v>
      </c>
      <c r="O62">
        <f t="shared" si="12"/>
        <v>27.434118510839479</v>
      </c>
      <c r="P62"/>
      <c r="Q62" s="3676">
        <f t="shared" si="17"/>
        <v>1905.1409749239242</v>
      </c>
      <c r="R62">
        <f t="shared" si="15"/>
        <v>1211.837951363397</v>
      </c>
    </row>
    <row r="63" spans="1:18">
      <c r="A63" s="2133">
        <v>46071.791666666664</v>
      </c>
      <c r="B63">
        <v>2675.9456243011937</v>
      </c>
      <c r="C63">
        <f t="shared" si="9"/>
        <v>24.652610023994978</v>
      </c>
      <c r="D63">
        <v>659.69043921313107</v>
      </c>
      <c r="E63"/>
      <c r="F63" s="1514">
        <v>3000</v>
      </c>
      <c r="G63">
        <v>24.652610023994974</v>
      </c>
      <c r="H63">
        <v>727.25199570785173</v>
      </c>
      <c r="I63"/>
      <c r="J63">
        <f t="shared" si="13"/>
        <v>10295.824551054942</v>
      </c>
      <c r="K63">
        <f t="shared" si="14"/>
        <v>2455.6614140919196</v>
      </c>
      <c r="L63">
        <f t="shared" si="10"/>
        <v>23.851041768580885</v>
      </c>
      <c r="M63"/>
      <c r="N63" s="945">
        <f t="shared" si="16"/>
        <v>730.99491002743844</v>
      </c>
      <c r="O63">
        <f t="shared" si="12"/>
        <v>24.366497000914613</v>
      </c>
      <c r="P63"/>
      <c r="Q63" s="3676">
        <f t="shared" si="17"/>
        <v>324.05437569880633</v>
      </c>
      <c r="R63">
        <f t="shared" si="15"/>
        <v>739.57830071984938</v>
      </c>
    </row>
    <row r="64" spans="1:18">
      <c r="A64" s="2133">
        <v>46072.791666666664</v>
      </c>
      <c r="B64">
        <v>2691.7674704362494</v>
      </c>
      <c r="C64">
        <f t="shared" si="9"/>
        <v>23.073719943853959</v>
      </c>
      <c r="D64">
        <v>621.09088766822208</v>
      </c>
      <c r="E64"/>
      <c r="F64" s="1514">
        <v>3022</v>
      </c>
      <c r="G64">
        <v>23.073719943853959</v>
      </c>
      <c r="H64">
        <v>669.13787837176483</v>
      </c>
      <c r="I64"/>
      <c r="J64">
        <f t="shared" si="13"/>
        <v>9965.5920214911912</v>
      </c>
      <c r="K64">
        <f t="shared" si="14"/>
        <v>2407.614423388377</v>
      </c>
      <c r="L64">
        <f t="shared" si="10"/>
        <v>24.15927140300608</v>
      </c>
      <c r="M64"/>
      <c r="N64" s="945">
        <f t="shared" si="16"/>
        <v>689.19524050140012</v>
      </c>
      <c r="O64">
        <f t="shared" si="12"/>
        <v>22.805931188001328</v>
      </c>
      <c r="P64"/>
      <c r="Q64" s="3676">
        <f t="shared" si="17"/>
        <v>330.23252956375063</v>
      </c>
      <c r="R64">
        <f t="shared" si="15"/>
        <v>697.28781670326657</v>
      </c>
    </row>
    <row r="65" spans="1:18">
      <c r="A65" s="2133">
        <v>46073.791666666664</v>
      </c>
      <c r="B65">
        <v>2674.9676808365034</v>
      </c>
      <c r="C65">
        <f t="shared" si="9"/>
        <v>25.822032201808426</v>
      </c>
      <c r="D65">
        <v>690.73101593357001</v>
      </c>
      <c r="E65"/>
      <c r="F65" s="1514">
        <v>2900</v>
      </c>
      <c r="G65">
        <v>25.82203220180843</v>
      </c>
      <c r="H65">
        <v>748.83893385244448</v>
      </c>
      <c r="I65"/>
      <c r="J65">
        <f t="shared" si="13"/>
        <v>9740.559702327695</v>
      </c>
      <c r="K65">
        <f t="shared" si="14"/>
        <v>2349.5065054695024</v>
      </c>
      <c r="L65">
        <f t="shared" si="10"/>
        <v>24.120857294350778</v>
      </c>
      <c r="M65"/>
      <c r="N65" s="945">
        <f t="shared" si="16"/>
        <v>740.14806619355329</v>
      </c>
      <c r="O65">
        <f t="shared" si="12"/>
        <v>25.522347110122528</v>
      </c>
      <c r="P65"/>
      <c r="Q65" s="3676">
        <f t="shared" si="17"/>
        <v>225.0323191634966</v>
      </c>
      <c r="R65">
        <f t="shared" si="15"/>
        <v>748.83893385244437</v>
      </c>
    </row>
    <row r="66" spans="1:18" ht="13.5" thickBot="1">
      <c r="A66" s="2142">
        <v>46074.791666666664</v>
      </c>
      <c r="B66">
        <v>2737.1975692824381</v>
      </c>
      <c r="C66">
        <f t="shared" si="9"/>
        <v>27.440011331182856</v>
      </c>
      <c r="D66">
        <v>751.08732316796272</v>
      </c>
      <c r="E66"/>
      <c r="F66" s="1514">
        <v>4366</v>
      </c>
      <c r="G66">
        <v>27.440011331182859</v>
      </c>
      <c r="H66">
        <v>1198.0308947194435</v>
      </c>
      <c r="I66"/>
      <c r="J66">
        <f t="shared" si="13"/>
        <v>8111.7572716101331</v>
      </c>
      <c r="K66">
        <f t="shared" si="14"/>
        <v>1902.5629339180216</v>
      </c>
      <c r="L66">
        <f t="shared" si="10"/>
        <v>23.454386888235561</v>
      </c>
      <c r="M66"/>
      <c r="N66" s="945">
        <f t="shared" si="16"/>
        <v>1184.1267993438132</v>
      </c>
      <c r="O66">
        <f t="shared" si="12"/>
        <v>27.121548312959533</v>
      </c>
      <c r="P66"/>
      <c r="Q66" s="3676">
        <f t="shared" si="17"/>
        <v>1628.8024307175619</v>
      </c>
      <c r="R66">
        <f t="shared" si="15"/>
        <v>1198.0308947194435</v>
      </c>
    </row>
    <row r="67" spans="1:18">
      <c r="A67" s="2359">
        <v>46075.791666666664</v>
      </c>
      <c r="B67">
        <v>3256.7271180860826</v>
      </c>
      <c r="C67">
        <f t="shared" si="9"/>
        <v>29.89873609234489</v>
      </c>
      <c r="D67">
        <v>973.72024628438714</v>
      </c>
      <c r="E67"/>
      <c r="F67" s="1514">
        <v>4366</v>
      </c>
      <c r="G67">
        <v>29.898736092344887</v>
      </c>
      <c r="H67">
        <v>1305.3788177917777</v>
      </c>
      <c r="I67"/>
      <c r="J67">
        <f t="shared" si="13"/>
        <v>7002.4843896962157</v>
      </c>
      <c r="K67">
        <f t="shared" si="14"/>
        <v>1570.9043624106312</v>
      </c>
      <c r="L67">
        <f t="shared" si="10"/>
        <v>22.433528944700448</v>
      </c>
      <c r="M67"/>
      <c r="N67" s="945">
        <f t="shared" si="16"/>
        <v>1290.228864928371</v>
      </c>
      <c r="O67">
        <f t="shared" si="12"/>
        <v>29.551737630058888</v>
      </c>
      <c r="P67"/>
      <c r="Q67" s="3676">
        <f t="shared" si="17"/>
        <v>1109.2728819139174</v>
      </c>
      <c r="R67">
        <f t="shared" si="15"/>
        <v>1305.3788177917779</v>
      </c>
    </row>
    <row r="68" spans="1:18">
      <c r="A68" s="2133">
        <v>46076.791666666664</v>
      </c>
      <c r="B68">
        <v>2717.8085567555122</v>
      </c>
      <c r="C68">
        <f t="shared" si="9"/>
        <v>31.173674977146508</v>
      </c>
      <c r="D68">
        <v>847.24080598403987</v>
      </c>
      <c r="E68"/>
      <c r="F68" s="1514">
        <v>4366</v>
      </c>
      <c r="G68">
        <v>31.173674977146515</v>
      </c>
      <c r="H68">
        <v>1361.042649502217</v>
      </c>
      <c r="I68"/>
      <c r="J68">
        <f t="shared" si="13"/>
        <v>5354.2929464517274</v>
      </c>
      <c r="K68">
        <f t="shared" si="14"/>
        <v>1057.1025188924541</v>
      </c>
      <c r="L68">
        <f t="shared" si="10"/>
        <v>19.74308334386135</v>
      </c>
      <c r="M68"/>
      <c r="N68" s="945">
        <f t="shared" si="16"/>
        <v>1345.2466738788912</v>
      </c>
      <c r="O68">
        <f t="shared" si="12"/>
        <v>30.811879841477126</v>
      </c>
      <c r="P68"/>
      <c r="Q68" s="3676">
        <f t="shared" si="17"/>
        <v>1648.1914432444878</v>
      </c>
      <c r="R68">
        <f t="shared" si="15"/>
        <v>1361.0426495022166</v>
      </c>
    </row>
    <row r="69" spans="1:18">
      <c r="A69" s="2133">
        <v>46077.791666666664</v>
      </c>
      <c r="B69">
        <v>3593.2857175941126</v>
      </c>
      <c r="C69">
        <f t="shared" si="9"/>
        <v>29.114453356697783</v>
      </c>
      <c r="D69">
        <v>1046.1654942218211</v>
      </c>
      <c r="E69"/>
      <c r="F69" s="1514">
        <v>4366</v>
      </c>
      <c r="G69">
        <v>29.114453356697783</v>
      </c>
      <c r="H69">
        <v>1271.1370335534252</v>
      </c>
      <c r="I69"/>
      <c r="J69">
        <f t="shared" si="13"/>
        <v>4581.57866404584</v>
      </c>
      <c r="K69">
        <f t="shared" si="14"/>
        <v>832.13097956084994</v>
      </c>
      <c r="L69">
        <f t="shared" si="10"/>
        <v>18.162538299102842</v>
      </c>
      <c r="M69"/>
      <c r="N69" s="945">
        <f t="shared" si="16"/>
        <v>1256.3844836584897</v>
      </c>
      <c r="O69">
        <f t="shared" si="12"/>
        <v>28.776557115402881</v>
      </c>
      <c r="P69"/>
      <c r="Q69" s="3676">
        <f t="shared" si="17"/>
        <v>772.71428240588739</v>
      </c>
      <c r="R69">
        <f t="shared" si="15"/>
        <v>1271.1370335534252</v>
      </c>
    </row>
    <row r="70" spans="1:18">
      <c r="A70" s="2133">
        <v>46078.791666666664</v>
      </c>
      <c r="B70">
        <v>3554.572592459047</v>
      </c>
      <c r="C70">
        <f t="shared" si="9"/>
        <v>29.100582069975893</v>
      </c>
      <c r="D70">
        <v>1034.4013145054148</v>
      </c>
      <c r="E70"/>
      <c r="F70" s="1514">
        <v>4366</v>
      </c>
      <c r="G70">
        <v>29.100582069975896</v>
      </c>
      <c r="H70">
        <v>1270.5314131751477</v>
      </c>
      <c r="I70"/>
      <c r="J70">
        <f t="shared" si="13"/>
        <v>3770.151256504887</v>
      </c>
      <c r="K70">
        <f t="shared" si="14"/>
        <v>596.00088089111705</v>
      </c>
      <c r="L70">
        <f t="shared" si="10"/>
        <v>15.808407682922482</v>
      </c>
      <c r="M70"/>
      <c r="N70" s="945">
        <f t="shared" si="16"/>
        <v>1255.7858919833434</v>
      </c>
      <c r="O70">
        <f t="shared" si="12"/>
        <v>28.762846815926324</v>
      </c>
      <c r="P70"/>
      <c r="Q70" s="3676">
        <f t="shared" si="17"/>
        <v>811.42740754095303</v>
      </c>
      <c r="R70">
        <f t="shared" si="15"/>
        <v>1270.5314131751475</v>
      </c>
    </row>
    <row r="71" spans="1:18">
      <c r="A71" s="2133">
        <v>46079.791666666664</v>
      </c>
      <c r="B71">
        <v>3272.0850748526263</v>
      </c>
      <c r="C71">
        <f t="shared" si="9"/>
        <v>28.297684034541675</v>
      </c>
      <c r="D71">
        <v>925.92429582319278</v>
      </c>
      <c r="E71"/>
      <c r="F71" s="1514">
        <v>4366</v>
      </c>
      <c r="G71">
        <v>28.297684034541678</v>
      </c>
      <c r="H71">
        <v>1235.4768849480897</v>
      </c>
      <c r="I71"/>
      <c r="J71">
        <f t="shared" si="13"/>
        <v>2676.2363313575133</v>
      </c>
      <c r="K71">
        <f t="shared" si="14"/>
        <v>286.44829176622011</v>
      </c>
      <c r="L71">
        <f t="shared" si="10"/>
        <v>10.703400458692675</v>
      </c>
      <c r="M71"/>
      <c r="N71" s="945">
        <f t="shared" si="16"/>
        <v>1221.1381992610834</v>
      </c>
      <c r="O71">
        <f t="shared" si="12"/>
        <v>27.969267046749508</v>
      </c>
      <c r="P71"/>
      <c r="Q71" s="3676">
        <f t="shared" si="17"/>
        <v>1093.9149251473737</v>
      </c>
      <c r="R71">
        <f t="shared" si="15"/>
        <v>1235.4768849480895</v>
      </c>
    </row>
    <row r="72" spans="1:18">
      <c r="A72" s="2133">
        <v>46080.791666666664</v>
      </c>
      <c r="B72">
        <v>3216.6310938437755</v>
      </c>
      <c r="C72">
        <f t="shared" si="9"/>
        <v>28.326237434987107</v>
      </c>
      <c r="D72">
        <v>911.15056104981068</v>
      </c>
      <c r="E72"/>
      <c r="F72" s="1514">
        <v>4366</v>
      </c>
      <c r="G72">
        <v>28.326237434987103</v>
      </c>
      <c r="H72">
        <v>1236.7235264115368</v>
      </c>
      <c r="I72"/>
      <c r="J72">
        <f t="shared" si="13"/>
        <v>1526.8674252012888</v>
      </c>
      <c r="K72">
        <f t="shared" si="14"/>
        <v>-39.12467359550601</v>
      </c>
      <c r="L72">
        <f t="shared" si="10"/>
        <v>-2.5624145849040008</v>
      </c>
      <c r="M72"/>
      <c r="N72" s="945">
        <f t="shared" si="16"/>
        <v>1222.3703724650863</v>
      </c>
      <c r="O72">
        <f t="shared" si="12"/>
        <v>27.997489062416086</v>
      </c>
      <c r="P72"/>
      <c r="Q72" s="3676">
        <f t="shared" si="17"/>
        <v>1149.3689061562245</v>
      </c>
      <c r="R72">
        <f t="shared" si="15"/>
        <v>1236.723526411537</v>
      </c>
    </row>
    <row r="73" spans="1:18">
      <c r="A73" s="2133">
        <v>46081.791666666664</v>
      </c>
      <c r="B73">
        <v>3340.7580988841464</v>
      </c>
      <c r="C73">
        <f t="shared" si="9"/>
        <v>27.522097044143511</v>
      </c>
      <c r="D73">
        <v>919.44668598497867</v>
      </c>
      <c r="E73"/>
      <c r="F73">
        <v>3340.7580988841464</v>
      </c>
      <c r="G73">
        <v>27.522097044143514</v>
      </c>
      <c r="H73">
        <v>919.44668598497867</v>
      </c>
      <c r="I73"/>
      <c r="J73">
        <f t="shared" si="13"/>
        <v>1526.8674252012888</v>
      </c>
      <c r="K73">
        <f t="shared" si="14"/>
        <v>-39.12467359550601</v>
      </c>
      <c r="L73">
        <f t="shared" si="10"/>
        <v>-2.5624145849040008</v>
      </c>
      <c r="M73"/>
      <c r="N73" s="945">
        <f t="shared" si="16"/>
        <v>908.77578052578656</v>
      </c>
      <c r="O73">
        <f t="shared" si="12"/>
        <v>27.202681356346293</v>
      </c>
      <c r="P73"/>
      <c r="Q73"/>
      <c r="R73">
        <f t="shared" si="15"/>
        <v>919.44668598497856</v>
      </c>
    </row>
    <row r="74" spans="1:18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18">
      <c r="A75"/>
      <c r="B75">
        <f>+SUM(B46:B73)</f>
        <v>89905.625524085452</v>
      </c>
      <c r="C75">
        <f>+D75/B75*100</f>
        <v>25.891601230628503</v>
      </c>
      <c r="D75">
        <f>+SUM(D46:D73)</f>
        <v>23278.006044598362</v>
      </c>
      <c r="E75"/>
      <c r="F75">
        <f>+SUM(F46:F73)</f>
        <v>88378.758098884151</v>
      </c>
      <c r="G75">
        <f>+H75/F75*100</f>
        <v>26.383184398342735</v>
      </c>
      <c r="H75">
        <f>+SUM(H46:H73)</f>
        <v>23317.130718193872</v>
      </c>
      <c r="I75"/>
      <c r="J75">
        <f>+J73+F64</f>
        <v>4548.8674252012888</v>
      </c>
      <c r="K75"/>
      <c r="L75"/>
      <c r="M75" s="3677">
        <f>+N75/F76*100</f>
        <v>26.342916132322319</v>
      </c>
      <c r="N75">
        <f>+SUM(N46:N73)</f>
        <v>23281.507200709038</v>
      </c>
      <c r="O75">
        <f>+N75-D75</f>
        <v>3.5011561106766749</v>
      </c>
      <c r="P75">
        <v>3.5011561106766749</v>
      </c>
      <c r="Q75">
        <f>+O75-P75</f>
        <v>0</v>
      </c>
      <c r="R75"/>
    </row>
    <row r="76" spans="1:18">
      <c r="A76"/>
      <c r="B76"/>
      <c r="C76"/>
      <c r="D76"/>
      <c r="E76"/>
      <c r="F76" s="1514">
        <f>+B75-1527</f>
        <v>88378.625524085452</v>
      </c>
      <c r="G76"/>
      <c r="H76"/>
      <c r="I76"/>
      <c r="J76"/>
      <c r="K76"/>
      <c r="L76"/>
      <c r="M76"/>
      <c r="N76">
        <v>0.98839420966778446</v>
      </c>
      <c r="O76"/>
      <c r="P76"/>
      <c r="Q76"/>
      <c r="R76"/>
    </row>
    <row r="369" spans="5:5">
      <c r="E369" s="3060" t="s">
        <v>1564</v>
      </c>
    </row>
  </sheetData>
  <mergeCells count="3">
    <mergeCell ref="B44:D44"/>
    <mergeCell ref="F44:H44"/>
    <mergeCell ref="J44:L44"/>
  </mergeCells>
  <phoneticPr fontId="51" type="noConversion"/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33"/>
  <dimension ref="B1:L46"/>
  <sheetViews>
    <sheetView showGridLines="0" zoomScale="70" zoomScaleNormal="7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T26" sqref="T26"/>
    </sheetView>
  </sheetViews>
  <sheetFormatPr baseColWidth="10" defaultColWidth="11.453125" defaultRowHeight="17.25" customHeight="1"/>
  <cols>
    <col min="1" max="1" width="11.453125" style="871"/>
    <col min="2" max="2" width="21.1796875" style="871" customWidth="1"/>
    <col min="3" max="3" width="13" style="871" bestFit="1" customWidth="1"/>
    <col min="4" max="4" width="13.54296875" style="871" customWidth="1"/>
    <col min="5" max="5" width="12.81640625" style="871" customWidth="1"/>
    <col min="6" max="6" width="13.453125" style="871" customWidth="1"/>
    <col min="7" max="7" width="17.54296875" style="871" customWidth="1"/>
    <col min="8" max="8" width="11.453125" style="871"/>
    <col min="9" max="9" width="10.453125" style="871" customWidth="1"/>
    <col min="10" max="11" width="11.453125" style="871"/>
    <col min="12" max="12" width="15.81640625" style="871" bestFit="1" customWidth="1"/>
    <col min="13" max="14" width="11.453125" style="871"/>
    <col min="15" max="15" width="0" style="871" hidden="1" customWidth="1"/>
    <col min="16" max="22" width="11.453125" style="871"/>
    <col min="23" max="24" width="22.453125" style="871" bestFit="1" customWidth="1"/>
    <col min="25" max="16384" width="11.453125" style="871"/>
  </cols>
  <sheetData>
    <row r="1" spans="2:12" ht="17.25" customHeight="1">
      <c r="B1" s="1143"/>
      <c r="C1" s="1143"/>
      <c r="D1" s="1143"/>
      <c r="E1" s="1143"/>
      <c r="F1" s="1143"/>
      <c r="G1" s="1143"/>
      <c r="H1" s="1143"/>
      <c r="I1" s="1143"/>
      <c r="J1" s="1144"/>
      <c r="K1" s="1144"/>
    </row>
    <row r="2" spans="2:12" ht="17.25" customHeight="1">
      <c r="B2" s="1152"/>
      <c r="C2" s="1153">
        <v>4</v>
      </c>
      <c r="D2" s="1153"/>
      <c r="E2" s="1153">
        <v>8</v>
      </c>
      <c r="F2" s="1153">
        <v>9</v>
      </c>
      <c r="G2" s="1153"/>
      <c r="H2" s="1153"/>
      <c r="I2" s="1153"/>
      <c r="J2" s="1154"/>
      <c r="K2" s="1155"/>
    </row>
    <row r="3" spans="2:12" ht="17.25" customHeight="1">
      <c r="B3" s="1156"/>
      <c r="C3" s="1143" t="s">
        <v>248</v>
      </c>
      <c r="E3" s="1145"/>
      <c r="F3" s="1143" t="s">
        <v>916</v>
      </c>
      <c r="G3" s="1143"/>
      <c r="H3" s="1143"/>
      <c r="I3" s="1143"/>
      <c r="J3" s="1144"/>
      <c r="K3" s="1157"/>
    </row>
    <row r="4" spans="2:12" ht="17.25" customHeight="1">
      <c r="B4" s="1158"/>
      <c r="C4" s="1143" t="s">
        <v>917</v>
      </c>
      <c r="E4" s="1145"/>
      <c r="F4" s="1143" t="s">
        <v>918</v>
      </c>
      <c r="G4" s="1146">
        <f>+Factores!D2</f>
        <v>46082.791666666664</v>
      </c>
      <c r="H4" s="1143"/>
      <c r="I4" s="1143"/>
      <c r="J4" s="1144"/>
      <c r="K4" s="1157"/>
    </row>
    <row r="5" spans="2:12" ht="17.25" customHeight="1">
      <c r="B5" s="1158"/>
      <c r="C5" s="1143"/>
      <c r="D5" s="1143"/>
      <c r="E5" s="1143"/>
      <c r="F5" s="1145" t="s">
        <v>919</v>
      </c>
      <c r="G5" s="1147">
        <f ca="1">+NOW()-1</f>
        <v>46099.59042847222</v>
      </c>
      <c r="H5" s="1148"/>
      <c r="I5" s="1143"/>
      <c r="J5" s="1144"/>
      <c r="K5" s="1157"/>
    </row>
    <row r="6" spans="2:12" ht="17.25" customHeight="1">
      <c r="B6" s="1158"/>
      <c r="C6" s="1143"/>
      <c r="D6" s="1145"/>
      <c r="E6" s="1145"/>
      <c r="F6" s="1143"/>
      <c r="G6" s="1143"/>
      <c r="H6" s="1143"/>
      <c r="I6" s="1143"/>
      <c r="J6" s="1144"/>
      <c r="K6" s="1157"/>
    </row>
    <row r="7" spans="2:12" ht="17.25" customHeight="1">
      <c r="B7" s="1158"/>
      <c r="C7" s="1143"/>
      <c r="D7" s="1143"/>
      <c r="E7" s="1143"/>
      <c r="F7" s="1149"/>
      <c r="G7" s="1149"/>
      <c r="H7" s="1143"/>
      <c r="I7" s="1143"/>
      <c r="J7" s="1144"/>
      <c r="K7" s="1157"/>
    </row>
    <row r="8" spans="2:12" ht="36" customHeight="1">
      <c r="B8" s="4598" t="s">
        <v>920</v>
      </c>
      <c r="C8" s="4598" t="s">
        <v>921</v>
      </c>
      <c r="D8" s="4598" t="s">
        <v>922</v>
      </c>
      <c r="E8" s="4598"/>
      <c r="F8" s="4599" t="s">
        <v>923</v>
      </c>
      <c r="G8" s="4599"/>
      <c r="H8" s="4600" t="s">
        <v>924</v>
      </c>
      <c r="I8" s="4600"/>
      <c r="J8" s="4596" t="s">
        <v>925</v>
      </c>
      <c r="K8" s="4596"/>
      <c r="L8" s="4593" t="s">
        <v>926</v>
      </c>
    </row>
    <row r="9" spans="2:12" ht="17.25" customHeight="1">
      <c r="B9" s="4598"/>
      <c r="C9" s="4598"/>
      <c r="D9" s="4597" t="s">
        <v>927</v>
      </c>
      <c r="E9" s="4597"/>
      <c r="F9" s="4597" t="s">
        <v>928</v>
      </c>
      <c r="G9" s="4597"/>
      <c r="H9" s="4600"/>
      <c r="I9" s="4600"/>
      <c r="J9" s="4596"/>
      <c r="K9" s="4596"/>
      <c r="L9" s="4594"/>
    </row>
    <row r="10" spans="2:12" ht="17.25" customHeight="1">
      <c r="B10" s="4598"/>
      <c r="C10" s="1457" t="s">
        <v>420</v>
      </c>
      <c r="D10" s="1457" t="s">
        <v>420</v>
      </c>
      <c r="E10" s="1458" t="s">
        <v>929</v>
      </c>
      <c r="F10" s="1458" t="s">
        <v>930</v>
      </c>
      <c r="G10" s="1459" t="s">
        <v>931</v>
      </c>
      <c r="H10" s="1460" t="s">
        <v>932</v>
      </c>
      <c r="I10" s="1460" t="s">
        <v>420</v>
      </c>
      <c r="J10" s="1458" t="s">
        <v>932</v>
      </c>
      <c r="K10" s="1458" t="s">
        <v>420</v>
      </c>
      <c r="L10" s="4595"/>
    </row>
    <row r="11" spans="2:12" s="1150" customFormat="1" ht="17.25" customHeight="1">
      <c r="B11" s="2913"/>
      <c r="C11" s="2914"/>
      <c r="D11" s="2914"/>
      <c r="E11" s="2915"/>
      <c r="F11" s="2914"/>
      <c r="G11" s="2915"/>
      <c r="H11" s="2914" t="s">
        <v>933</v>
      </c>
      <c r="I11" s="2914"/>
      <c r="J11" s="3098">
        <v>14042</v>
      </c>
      <c r="K11" s="3098">
        <v>13017</v>
      </c>
      <c r="L11" s="2916"/>
    </row>
    <row r="12" spans="2:12" s="1150" customFormat="1" ht="17.5" customHeight="1">
      <c r="B12" s="1163">
        <f>+G4</f>
        <v>46082.791666666664</v>
      </c>
      <c r="C12" s="1164">
        <f>+'R+P'!E8</f>
        <v>98057.835933685317</v>
      </c>
      <c r="D12" s="1164">
        <f>+'R+P'!O8</f>
        <v>2102.6404868281052</v>
      </c>
      <c r="E12" s="1165">
        <f>+'R+P'!N8</f>
        <v>24.56</v>
      </c>
      <c r="F12" s="1164">
        <f>+'R+P'!AM8</f>
        <v>1935.9126368102898</v>
      </c>
      <c r="G12" s="1165">
        <f>+'R+P'!AN8</f>
        <v>27.703726942107984</v>
      </c>
      <c r="H12" s="1166"/>
      <c r="I12" s="1166"/>
      <c r="J12" s="1164">
        <f>+K12/0.91</f>
        <v>16431.772128362954</v>
      </c>
      <c r="K12" s="1164">
        <f>+K11+F12-I12</f>
        <v>14952.91263681029</v>
      </c>
      <c r="L12" s="1167"/>
    </row>
    <row r="13" spans="2:12" s="1150" customFormat="1" ht="17.149999999999999" customHeight="1">
      <c r="B13" s="1163">
        <f>+B12+1</f>
        <v>46083.791666666664</v>
      </c>
      <c r="C13" s="1164">
        <f>+'R+P'!E9</f>
        <v>170436.89745330811</v>
      </c>
      <c r="D13" s="1164">
        <f>+'R+P'!O9</f>
        <v>2838.7347948412084</v>
      </c>
      <c r="E13" s="1165">
        <f>+'R+P'!N9</f>
        <v>30.560018202104374</v>
      </c>
      <c r="F13" s="1164">
        <f>+'R+P'!AM9</f>
        <v>3701.3238304092597</v>
      </c>
      <c r="G13" s="1165">
        <f>+'R+P'!AN9</f>
        <v>28.229502212624933</v>
      </c>
      <c r="H13" s="1166"/>
      <c r="I13" s="1166"/>
      <c r="J13" s="1164">
        <f>+K13/0.91</f>
        <v>20499.160952988517</v>
      </c>
      <c r="K13" s="1164">
        <f>+K12+F13-I13</f>
        <v>18654.236467219551</v>
      </c>
      <c r="L13" s="1167"/>
    </row>
    <row r="14" spans="2:12" s="1150" customFormat="1" ht="17.25" customHeight="1">
      <c r="B14" s="1163">
        <f t="shared" ref="B14:B42" si="0">+B13+1</f>
        <v>46084.791666666664</v>
      </c>
      <c r="C14" s="1164">
        <f>+'R+P'!E10</f>
        <v>158186.81954193115</v>
      </c>
      <c r="D14" s="1164">
        <f>+'R+P'!O10</f>
        <v>2625.3828676434409</v>
      </c>
      <c r="E14" s="1165">
        <f>+'R+P'!N10</f>
        <v>29.31537385710142</v>
      </c>
      <c r="F14" s="1164">
        <f>+'R+P'!AM10</f>
        <v>2382.0728229587339</v>
      </c>
      <c r="G14" s="1165">
        <f>+'R+P'!AN10</f>
        <v>28.243913645658555</v>
      </c>
      <c r="H14" s="1166"/>
      <c r="I14" s="1166"/>
      <c r="J14" s="1164">
        <f t="shared" ref="J14:J39" si="1">+K14/0.91</f>
        <v>23116.823395800311</v>
      </c>
      <c r="K14" s="1164">
        <f t="shared" ref="K14:K39" si="2">+K13+F14-I14</f>
        <v>21036.309290178284</v>
      </c>
      <c r="L14" s="1167"/>
    </row>
    <row r="15" spans="2:12" s="1150" customFormat="1" ht="17.25" customHeight="1">
      <c r="B15" s="1163">
        <f t="shared" si="0"/>
        <v>46085.791666666664</v>
      </c>
      <c r="C15" s="1164">
        <f>+'R+P'!E11</f>
        <v>156047.44256210327</v>
      </c>
      <c r="D15" s="1164">
        <f>+'R+P'!O11</f>
        <v>2739.0629253382481</v>
      </c>
      <c r="E15" s="1165">
        <f>+'R+P'!N11</f>
        <v>26.130492122859852</v>
      </c>
      <c r="F15" s="1164">
        <f>+'R+P'!AM11</f>
        <v>3548.5994519746951</v>
      </c>
      <c r="G15" s="1165">
        <f>+'R+P'!AN11</f>
        <v>29.281493122561514</v>
      </c>
      <c r="H15" s="1166"/>
      <c r="I15" s="1166"/>
      <c r="J15" s="1164">
        <f t="shared" si="1"/>
        <v>27016.38323313514</v>
      </c>
      <c r="K15" s="1164">
        <f t="shared" si="2"/>
        <v>24584.90874215298</v>
      </c>
      <c r="L15" s="1167"/>
    </row>
    <row r="16" spans="2:12" s="1150" customFormat="1" ht="17.25" customHeight="1">
      <c r="B16" s="1163">
        <f t="shared" si="0"/>
        <v>46086.791666666664</v>
      </c>
      <c r="C16" s="1164">
        <f>+'R+P'!E12</f>
        <v>164038.849609375</v>
      </c>
      <c r="D16" s="1164">
        <f>+'R+P'!O12</f>
        <v>3179.0080375598218</v>
      </c>
      <c r="E16" s="1165">
        <f>+'R+P'!N12</f>
        <v>23.372671716380356</v>
      </c>
      <c r="F16" s="1164">
        <f>+'R+P'!AM12</f>
        <v>1591.4503938331845</v>
      </c>
      <c r="G16" s="1165">
        <f>+'R+P'!AN12</f>
        <v>28.164670517597706</v>
      </c>
      <c r="H16" s="3057">
        <v>21300</v>
      </c>
      <c r="I16" s="3056">
        <v>19489</v>
      </c>
      <c r="J16" s="1164">
        <f t="shared" si="1"/>
        <v>7348.7463032814985</v>
      </c>
      <c r="K16" s="1164">
        <f t="shared" si="2"/>
        <v>6687.3591359861639</v>
      </c>
      <c r="L16" s="1167" t="s">
        <v>1842</v>
      </c>
    </row>
    <row r="17" spans="2:12" s="1150" customFormat="1" ht="17.25" customHeight="1">
      <c r="B17" s="1163">
        <f t="shared" si="0"/>
        <v>46087.791666666664</v>
      </c>
      <c r="C17" s="1164">
        <f>+'R+P'!E13</f>
        <v>152878.49609375</v>
      </c>
      <c r="D17" s="1164">
        <f>+'R+P'!O13</f>
        <v>2953.9285601540573</v>
      </c>
      <c r="E17" s="1165">
        <f>+'R+P'!N13</f>
        <v>22.58546180713488</v>
      </c>
      <c r="F17" s="1164">
        <f>+'R+P'!AM13</f>
        <v>3312.5036460227739</v>
      </c>
      <c r="G17" s="1165">
        <f>+'R+P'!AN13</f>
        <v>25.776449771180374</v>
      </c>
      <c r="H17" s="1166"/>
      <c r="I17" s="1166"/>
      <c r="J17" s="1164">
        <f t="shared" si="1"/>
        <v>10988.860200009822</v>
      </c>
      <c r="K17" s="1164">
        <f t="shared" si="2"/>
        <v>9999.8627820089387</v>
      </c>
      <c r="L17" s="1166"/>
    </row>
    <row r="18" spans="2:12" s="1150" customFormat="1" ht="17.25" customHeight="1">
      <c r="B18" s="1163">
        <f t="shared" si="0"/>
        <v>46088.791666666664</v>
      </c>
      <c r="C18" s="1164">
        <f>+'R+P'!E14</f>
        <v>146198.26675415039</v>
      </c>
      <c r="D18" s="1164">
        <f>+'R+P'!O14</f>
        <v>2505.3564988938097</v>
      </c>
      <c r="E18" s="1165">
        <f>+'R+P'!N14</f>
        <v>26.337203181109299</v>
      </c>
      <c r="F18" s="1164">
        <f>+'R+P'!AM14</f>
        <v>4163.1529862503085</v>
      </c>
      <c r="G18" s="1165">
        <f>+'R+P'!AN14</f>
        <v>21.425165542232428</v>
      </c>
      <c r="H18" s="1166"/>
      <c r="I18" s="1166"/>
      <c r="J18" s="1164">
        <f t="shared" si="1"/>
        <v>15563.753591493678</v>
      </c>
      <c r="K18" s="1164">
        <f t="shared" si="2"/>
        <v>14163.015768259247</v>
      </c>
      <c r="L18" s="1166"/>
    </row>
    <row r="19" spans="2:12" s="1150" customFormat="1" ht="17.25" customHeight="1">
      <c r="B19" s="1163">
        <f t="shared" si="0"/>
        <v>46089.791666666664</v>
      </c>
      <c r="C19" s="1164">
        <f>+'R+P'!E15</f>
        <v>168405.05169918062</v>
      </c>
      <c r="D19" s="1164">
        <f>+'R+P'!O15</f>
        <v>2757.5896259469755</v>
      </c>
      <c r="E19" s="1165">
        <f>+'R+P'!N15</f>
        <v>24.684469784139811</v>
      </c>
      <c r="F19" s="1164">
        <f>+'R+P'!AM15</f>
        <v>3526.0765367960466</v>
      </c>
      <c r="G19" s="1165">
        <f>+'R+P'!AN15</f>
        <v>26.053388472880567</v>
      </c>
      <c r="H19" s="3057"/>
      <c r="I19" s="3056"/>
      <c r="J19" s="1164">
        <f t="shared" si="1"/>
        <v>19438.562972588235</v>
      </c>
      <c r="K19" s="1164">
        <f t="shared" si="2"/>
        <v>17689.092305055296</v>
      </c>
      <c r="L19" s="1167"/>
    </row>
    <row r="20" spans="2:12" s="1150" customFormat="1" ht="16.5" customHeight="1">
      <c r="B20" s="1163">
        <f t="shared" si="0"/>
        <v>46090.791666666664</v>
      </c>
      <c r="C20" s="1164">
        <f>+'R+P'!E16</f>
        <v>178661.44506835938</v>
      </c>
      <c r="D20" s="1164">
        <f>+'R+P'!O16</f>
        <v>3361.2083165540448</v>
      </c>
      <c r="E20" s="1165">
        <f>+'R+P'!N16</f>
        <v>23.722167919491373</v>
      </c>
      <c r="F20" s="1164">
        <f>+'R+P'!AM16</f>
        <v>2773.9461710604287</v>
      </c>
      <c r="G20" s="1165">
        <f>+'R+P'!AN16</f>
        <v>24.240734842676101</v>
      </c>
      <c r="H20" s="1166">
        <v>11500</v>
      </c>
      <c r="I20" s="1166">
        <v>10522</v>
      </c>
      <c r="J20" s="1164">
        <f t="shared" si="1"/>
        <v>10924.218105621676</v>
      </c>
      <c r="K20" s="1164">
        <f t="shared" si="2"/>
        <v>9941.0384761157256</v>
      </c>
      <c r="L20" s="1166" t="s">
        <v>1843</v>
      </c>
    </row>
    <row r="21" spans="2:12" s="1150" customFormat="1" ht="17.25" customHeight="1">
      <c r="B21" s="1163">
        <f t="shared" si="0"/>
        <v>46091.791666666664</v>
      </c>
      <c r="C21" s="1164">
        <f>+'R+P'!E17</f>
        <v>176859.1845703125</v>
      </c>
      <c r="D21" s="1164">
        <f>+'R+P'!O17</f>
        <v>3038.1382681057039</v>
      </c>
      <c r="E21" s="1165">
        <f>+'R+P'!N17</f>
        <v>24.576180043199944</v>
      </c>
      <c r="F21" s="1164">
        <f>+'R+P'!AM17</f>
        <v>2291.124008847567</v>
      </c>
      <c r="G21" s="1165">
        <f>+'R+P'!AN17</f>
        <v>22.897542472365355</v>
      </c>
      <c r="H21" s="1166"/>
      <c r="I21" s="1166"/>
      <c r="J21" s="1164">
        <f t="shared" si="1"/>
        <v>13441.93679666296</v>
      </c>
      <c r="K21" s="1164">
        <f t="shared" si="2"/>
        <v>12232.162484963294</v>
      </c>
      <c r="L21" s="1166"/>
    </row>
    <row r="22" spans="2:12" s="1150" customFormat="1" ht="17.25" customHeight="1">
      <c r="B22" s="1163">
        <f t="shared" si="0"/>
        <v>46092.791666666664</v>
      </c>
      <c r="C22" s="1164">
        <f>+'R+P'!E18</f>
        <v>180799.115234375</v>
      </c>
      <c r="D22" s="1164">
        <f>+'R+P'!O18</f>
        <v>2946.4315790945502</v>
      </c>
      <c r="E22" s="1165">
        <f>+'R+P'!N18</f>
        <v>26.432665827081919</v>
      </c>
      <c r="F22" s="1164">
        <f>+'R+P'!AM18</f>
        <v>3548.4114762561267</v>
      </c>
      <c r="G22" s="1165">
        <f>+'R+P'!AN18</f>
        <v>23.900516326378163</v>
      </c>
      <c r="H22" s="1166"/>
      <c r="I22" s="1166"/>
      <c r="J22" s="1164">
        <f t="shared" si="1"/>
        <v>17341.290067274087</v>
      </c>
      <c r="K22" s="1164">
        <f t="shared" si="2"/>
        <v>15780.573961219419</v>
      </c>
      <c r="L22" s="1166"/>
    </row>
    <row r="23" spans="2:12" s="1150" customFormat="1" ht="17.25" customHeight="1">
      <c r="B23" s="1163">
        <f t="shared" si="0"/>
        <v>46093.791666666664</v>
      </c>
      <c r="C23" s="1164">
        <f>+'R+P'!E19</f>
        <v>184089.18730926514</v>
      </c>
      <c r="D23" s="1164">
        <f>+'R+P'!O19</f>
        <v>3144.6342269664647</v>
      </c>
      <c r="E23" s="1165">
        <f>+'R+P'!N19</f>
        <v>26.275214523599825</v>
      </c>
      <c r="F23" s="1164">
        <f>+'R+P'!AM19</f>
        <v>1861.0586181049425</v>
      </c>
      <c r="G23" s="1165">
        <f>+'R+P'!AN19</f>
        <v>25.879253666727216</v>
      </c>
      <c r="H23" s="1166"/>
      <c r="I23" s="1166"/>
      <c r="J23" s="1164">
        <f t="shared" si="1"/>
        <v>19386.40942782897</v>
      </c>
      <c r="K23" s="1164">
        <f t="shared" si="2"/>
        <v>17641.632579324363</v>
      </c>
      <c r="L23" s="1166"/>
    </row>
    <row r="24" spans="2:12" s="1150" customFormat="1" ht="17.25" customHeight="1">
      <c r="B24" s="1163">
        <f t="shared" si="0"/>
        <v>46094.791666666664</v>
      </c>
      <c r="C24" s="1164">
        <f>+'R+P'!E20</f>
        <v>198001.22031784058</v>
      </c>
      <c r="D24" s="1164">
        <f>+'R+P'!O20</f>
        <v>3326.6935218862882</v>
      </c>
      <c r="E24" s="1165">
        <f>+'R+P'!N20</f>
        <v>25.452571036761611</v>
      </c>
      <c r="F24" s="1164">
        <f>+'R+P'!AM20</f>
        <v>2926.8109366210256</v>
      </c>
      <c r="G24" s="1165">
        <f>+'R+P'!AN20</f>
        <v>25.170484626978908</v>
      </c>
      <c r="H24" s="1166"/>
      <c r="I24" s="1166"/>
      <c r="J24" s="1164">
        <f t="shared" si="1"/>
        <v>22602.685182357571</v>
      </c>
      <c r="K24" s="1164">
        <f t="shared" si="2"/>
        <v>20568.44351594539</v>
      </c>
      <c r="L24" s="1166"/>
    </row>
    <row r="25" spans="2:12" s="1150" customFormat="1" ht="17.25" customHeight="1">
      <c r="B25" s="1163">
        <f t="shared" si="0"/>
        <v>46095.791666666664</v>
      </c>
      <c r="C25" s="1164">
        <f>+'R+P'!E21</f>
        <v>188416.49098777771</v>
      </c>
      <c r="D25" s="1164">
        <f>+'R+P'!O21</f>
        <v>2867.5080569330084</v>
      </c>
      <c r="E25" s="1165">
        <f>+'R+P'!N21</f>
        <v>26.857676001075948</v>
      </c>
      <c r="F25" s="1164">
        <f>+'R+P'!AM21</f>
        <v>2665.0686157279829</v>
      </c>
      <c r="G25" s="1165">
        <f>+'R+P'!AN21</f>
        <v>25.52902971040816</v>
      </c>
      <c r="H25" s="1166"/>
      <c r="I25" s="1166"/>
      <c r="J25" s="1164">
        <f t="shared" si="1"/>
        <v>25531.332012827879</v>
      </c>
      <c r="K25" s="1164">
        <f t="shared" si="2"/>
        <v>23233.512131673371</v>
      </c>
      <c r="L25" s="1166"/>
    </row>
    <row r="26" spans="2:12" s="1150" customFormat="1" ht="17.25" customHeight="1">
      <c r="B26" s="1163">
        <f t="shared" si="0"/>
        <v>46096.791666666664</v>
      </c>
      <c r="C26" s="1164">
        <f>+'R+P'!E22</f>
        <v>196432.52658081055</v>
      </c>
      <c r="D26" s="1164">
        <f>+'R+P'!O22</f>
        <v>3183.296192107724</v>
      </c>
      <c r="E26" s="1165">
        <f>+'R+P'!N22</f>
        <v>27.739082253931837</v>
      </c>
      <c r="F26" s="1164">
        <f>+'R+P'!AM22</f>
        <v>3466.0088072953054</v>
      </c>
      <c r="G26" s="1165">
        <f>+'R+P'!AN22</f>
        <v>25.593761048129746</v>
      </c>
      <c r="H26" s="1166"/>
      <c r="I26" s="1166"/>
      <c r="J26" s="1164">
        <f t="shared" si="1"/>
        <v>29340.132899965574</v>
      </c>
      <c r="K26" s="1164">
        <f t="shared" si="2"/>
        <v>26699.520938968675</v>
      </c>
      <c r="L26" s="1166"/>
    </row>
    <row r="27" spans="2:12" s="1150" customFormat="1" ht="17.149999999999999" customHeight="1">
      <c r="B27" s="1163">
        <f t="shared" si="0"/>
        <v>46097.791666666664</v>
      </c>
      <c r="C27" s="1164">
        <f>+'R+P'!E23</f>
        <v>202874.56951904297</v>
      </c>
      <c r="D27" s="1164">
        <f>+'R+P'!O23</f>
        <v>3368.9106837660856</v>
      </c>
      <c r="E27" s="1165">
        <f>+'R+P'!N23</f>
        <v>25.476195229938828</v>
      </c>
      <c r="F27" s="1164">
        <f>+'R+P'!AM23</f>
        <v>2817.7501734203638</v>
      </c>
      <c r="G27" s="1165">
        <f>+'R+P'!AN23</f>
        <v>27.033858314670162</v>
      </c>
      <c r="H27" s="1166">
        <v>23000</v>
      </c>
      <c r="I27" s="1166">
        <v>21045</v>
      </c>
      <c r="J27" s="1164">
        <f t="shared" si="1"/>
        <v>9310.1880355923513</v>
      </c>
      <c r="K27" s="1164">
        <f t="shared" si="2"/>
        <v>8472.2711123890404</v>
      </c>
      <c r="L27" s="1166" t="s">
        <v>1662</v>
      </c>
    </row>
    <row r="28" spans="2:12" s="1150" customFormat="1" ht="17.25" customHeight="1">
      <c r="B28" s="1163">
        <f t="shared" si="0"/>
        <v>46098.791666666664</v>
      </c>
      <c r="C28" s="1164">
        <f>+'R+P'!E24</f>
        <v>198696.43357086182</v>
      </c>
      <c r="D28" s="1164">
        <f>+'R+P'!O24</f>
        <v>3094.4072787997325</v>
      </c>
      <c r="E28" s="1165">
        <f>+'R+P'!N24</f>
        <v>27.374828607405782</v>
      </c>
      <c r="F28" s="1164">
        <f>+'R+P'!AM24</f>
        <v>4229.7663880051159</v>
      </c>
      <c r="G28" s="1165">
        <f>+'R+P'!AN24</f>
        <v>25.952261538945066</v>
      </c>
      <c r="H28" s="1166"/>
      <c r="I28" s="1166"/>
      <c r="J28" s="1164">
        <f t="shared" si="1"/>
        <v>13958.282967466104</v>
      </c>
      <c r="K28" s="1164">
        <f t="shared" si="2"/>
        <v>12702.037500394155</v>
      </c>
      <c r="L28" s="1166"/>
    </row>
    <row r="29" spans="2:12" ht="17.25" customHeight="1">
      <c r="B29" s="1159">
        <f t="shared" si="0"/>
        <v>46099.791666666664</v>
      </c>
      <c r="C29" s="1160">
        <f>+'R+P'!E25</f>
        <v>184400</v>
      </c>
      <c r="D29" s="1160">
        <f>+'R+P'!O25</f>
        <v>2868.1496402877697</v>
      </c>
      <c r="E29" s="1161">
        <f>+'R+P'!N25</f>
        <v>27.8</v>
      </c>
      <c r="F29" s="1160">
        <f>+'R+P'!AM25</f>
        <v>3726.638916015625</v>
      </c>
      <c r="G29" s="1161">
        <f>+'R+P'!AN25</f>
        <v>25.8</v>
      </c>
      <c r="H29" s="1166"/>
      <c r="I29" s="1166"/>
      <c r="J29" s="1164">
        <f t="shared" si="1"/>
        <v>18053.490567483273</v>
      </c>
      <c r="K29" s="1164">
        <f t="shared" si="2"/>
        <v>16428.67641640978</v>
      </c>
      <c r="L29" s="1166"/>
    </row>
    <row r="30" spans="2:12" ht="17.25" customHeight="1">
      <c r="B30" s="1159">
        <f t="shared" si="0"/>
        <v>46100.791666666664</v>
      </c>
      <c r="C30" s="1160">
        <f>+'R+P'!E26</f>
        <v>200651.2377070607</v>
      </c>
      <c r="D30" s="1160">
        <f>+'R+P'!O26</f>
        <v>3850.6820331641861</v>
      </c>
      <c r="E30" s="1161">
        <f>+'R+P'!N26</f>
        <v>27.54155477405439</v>
      </c>
      <c r="F30" s="1160">
        <f>+'R+P'!AM26</f>
        <v>1830.2980000000002</v>
      </c>
      <c r="G30" s="1161">
        <f>+'R+P'!AN26</f>
        <v>28.1</v>
      </c>
      <c r="H30" s="1162"/>
      <c r="I30" s="1162"/>
      <c r="J30" s="1164">
        <f t="shared" si="1"/>
        <v>20064.807050999756</v>
      </c>
      <c r="K30" s="1164">
        <f t="shared" si="2"/>
        <v>18258.974416409779</v>
      </c>
      <c r="L30" s="1162"/>
    </row>
    <row r="31" spans="2:12" ht="17.25" customHeight="1">
      <c r="B31" s="1163">
        <f t="shared" si="0"/>
        <v>46101.791666666664</v>
      </c>
      <c r="C31" s="1164">
        <f>+'R+P'!E27</f>
        <v>204835.77361949021</v>
      </c>
      <c r="D31" s="1164">
        <f>+'R+P'!O27</f>
        <v>3937.5680948292656</v>
      </c>
      <c r="E31" s="1165">
        <f>+'R+P'!N27</f>
        <v>25.463830076813228</v>
      </c>
      <c r="F31" s="1164">
        <f>+'R+P'!AM27</f>
        <v>3720</v>
      </c>
      <c r="G31" s="1165">
        <f>+'R+P'!AN27</f>
        <v>27.54155477405439</v>
      </c>
      <c r="H31" s="1166"/>
      <c r="I31" s="1166"/>
      <c r="J31" s="1164">
        <f t="shared" si="1"/>
        <v>24152.719138911845</v>
      </c>
      <c r="K31" s="1164">
        <f t="shared" si="2"/>
        <v>21978.974416409779</v>
      </c>
      <c r="L31" s="1166"/>
    </row>
    <row r="32" spans="2:12" ht="17.25" customHeight="1">
      <c r="B32" s="1159">
        <f t="shared" si="0"/>
        <v>46102.791666666664</v>
      </c>
      <c r="C32" s="1160">
        <f>+'R+P'!E28</f>
        <v>202732.90510208849</v>
      </c>
      <c r="D32" s="1160">
        <f>+'R+P'!O28</f>
        <v>3700.9212617490002</v>
      </c>
      <c r="E32" s="1161">
        <f>+'R+P'!N28</f>
        <v>27.191767251601942</v>
      </c>
      <c r="F32" s="1160">
        <f>+'R+P'!AM28</f>
        <v>3720</v>
      </c>
      <c r="G32" s="1161">
        <f>+'R+P'!AN28</f>
        <v>25.463830076813228</v>
      </c>
      <c r="H32" s="1162"/>
      <c r="I32" s="1162"/>
      <c r="J32" s="1164">
        <f t="shared" si="1"/>
        <v>28240.631226823931</v>
      </c>
      <c r="K32" s="1164">
        <f t="shared" si="2"/>
        <v>25698.974416409779</v>
      </c>
      <c r="L32" s="1166"/>
    </row>
    <row r="33" spans="2:12" ht="17.25" customHeight="1">
      <c r="B33" s="1159">
        <f t="shared" si="0"/>
        <v>46103.791666666664</v>
      </c>
      <c r="C33" s="1160">
        <f>+'R+P'!E29</f>
        <v>207633.99807777914</v>
      </c>
      <c r="D33" s="1160">
        <f>+'R+P'!O29</f>
        <v>4343.9116057068795</v>
      </c>
      <c r="E33" s="1161">
        <f>+'R+P'!N29</f>
        <v>23.645726239500451</v>
      </c>
      <c r="F33" s="1160">
        <f>+'R+P'!AM29</f>
        <v>3720</v>
      </c>
      <c r="G33" s="1161">
        <f>+'R+P'!AN29</f>
        <v>27.191767251601942</v>
      </c>
      <c r="H33" s="1162"/>
      <c r="I33" s="1166"/>
      <c r="J33" s="1164">
        <f t="shared" si="1"/>
        <v>32328.54331473602</v>
      </c>
      <c r="K33" s="1164">
        <f t="shared" si="2"/>
        <v>29418.974416409779</v>
      </c>
      <c r="L33" s="1166"/>
    </row>
    <row r="34" spans="2:12" s="1150" customFormat="1" ht="17.25" customHeight="1">
      <c r="B34" s="1163">
        <f t="shared" si="0"/>
        <v>46104.791666666664</v>
      </c>
      <c r="C34" s="1164">
        <f>+'R+P'!E30</f>
        <v>197367.70075599366</v>
      </c>
      <c r="D34" s="1164">
        <f>+'R+P'!O30</f>
        <v>4058.0194574746279</v>
      </c>
      <c r="E34" s="1165">
        <f>+'R+P'!N30</f>
        <v>22.937398694023585</v>
      </c>
      <c r="F34" s="1164">
        <f>+'R+P'!AM30</f>
        <v>3720</v>
      </c>
      <c r="G34" s="1165">
        <f>+'R+P'!AN30</f>
        <v>23.645726239500451</v>
      </c>
      <c r="H34" s="1166"/>
      <c r="I34" s="1166"/>
      <c r="J34" s="1164">
        <f t="shared" si="1"/>
        <v>36416.455402648106</v>
      </c>
      <c r="K34" s="1164">
        <f t="shared" si="2"/>
        <v>33138.974416409779</v>
      </c>
      <c r="L34" s="1166"/>
    </row>
    <row r="35" spans="2:12" ht="17.149999999999999" customHeight="1">
      <c r="B35" s="1163">
        <f t="shared" si="0"/>
        <v>46105.791666666664</v>
      </c>
      <c r="C35" s="1164">
        <f>+'R+P'!E31</f>
        <v>200368.38777048467</v>
      </c>
      <c r="D35" s="1164">
        <f>+'R+P'!O31</f>
        <v>3778.8739001934809</v>
      </c>
      <c r="E35" s="1165">
        <f>+'R+P'!N31</f>
        <v>24.166962778076822</v>
      </c>
      <c r="F35" s="1164">
        <f>+'R+P'!AM31</f>
        <v>3720</v>
      </c>
      <c r="G35" s="1165">
        <f>+'R+P'!AN31</f>
        <v>22.937398694023585</v>
      </c>
      <c r="H35" s="1166"/>
      <c r="I35" s="1166"/>
      <c r="J35" s="1164">
        <f t="shared" si="1"/>
        <v>40504.367490560195</v>
      </c>
      <c r="K35" s="1164">
        <f t="shared" si="2"/>
        <v>36858.974416409779</v>
      </c>
      <c r="L35" s="1166"/>
    </row>
    <row r="36" spans="2:12" ht="17.25" customHeight="1">
      <c r="B36" s="1159">
        <f t="shared" si="0"/>
        <v>46106.791666666664</v>
      </c>
      <c r="C36" s="1160">
        <f>+'R+P'!E32</f>
        <v>197295.19435247991</v>
      </c>
      <c r="D36" s="1160">
        <f>+'R+P'!O32</f>
        <v>3448.0869652046572</v>
      </c>
      <c r="E36" s="1161">
        <f>+'R+P'!N32</f>
        <v>25.229869264557234</v>
      </c>
      <c r="F36" s="1160">
        <f>+'R+P'!AM32</f>
        <v>3720</v>
      </c>
      <c r="G36" s="1161">
        <f>+'R+P'!AN32</f>
        <v>24.166962778076822</v>
      </c>
      <c r="H36" s="1166"/>
      <c r="I36" s="1166"/>
      <c r="J36" s="1164">
        <f t="shared" si="1"/>
        <v>44592.279578472284</v>
      </c>
      <c r="K36" s="1164">
        <f t="shared" si="2"/>
        <v>40578.974416409779</v>
      </c>
      <c r="L36" s="1166"/>
    </row>
    <row r="37" spans="2:12" s="1150" customFormat="1" ht="17.25" customHeight="1">
      <c r="B37" s="1163">
        <f t="shared" si="0"/>
        <v>46107.791666666664</v>
      </c>
      <c r="C37" s="1164">
        <f>+'R+P'!E33</f>
        <v>194197.02884296299</v>
      </c>
      <c r="D37" s="1164">
        <f>+'R+P'!O33</f>
        <v>3577.6501749069007</v>
      </c>
      <c r="E37" s="1165">
        <f>+'R+P'!N33</f>
        <v>25.74568622905867</v>
      </c>
      <c r="F37" s="1164">
        <f>+'R+P'!AM33</f>
        <v>4366</v>
      </c>
      <c r="G37" s="1165">
        <f>+'R+P'!AN33</f>
        <v>25.229869264557234</v>
      </c>
      <c r="H37" s="1166">
        <v>27500</v>
      </c>
      <c r="I37" s="1166">
        <v>25162</v>
      </c>
      <c r="J37" s="1164">
        <f t="shared" si="1"/>
        <v>21739.532325725031</v>
      </c>
      <c r="K37" s="1164">
        <f t="shared" si="2"/>
        <v>19782.974416409779</v>
      </c>
      <c r="L37" s="1167" t="s">
        <v>1662</v>
      </c>
    </row>
    <row r="38" spans="2:12" s="1150" customFormat="1" ht="17.25" customHeight="1">
      <c r="B38" s="1163">
        <f t="shared" si="0"/>
        <v>46108.791666666664</v>
      </c>
      <c r="C38" s="1164">
        <f>+'R+P'!E34</f>
        <v>203510.59671721514</v>
      </c>
      <c r="D38" s="1164">
        <f>+'R+P'!O34</f>
        <v>3644.7402322216662</v>
      </c>
      <c r="E38" s="1165">
        <f>+'R+P'!N34</f>
        <v>26.411054113784456</v>
      </c>
      <c r="F38" s="1164">
        <f>+'R+P'!AM34</f>
        <v>4366</v>
      </c>
      <c r="G38" s="1165">
        <f>+'R+P'!AN34</f>
        <v>25.74568622905867</v>
      </c>
      <c r="H38" s="1166"/>
      <c r="I38" s="1166"/>
      <c r="J38" s="1164">
        <f t="shared" si="1"/>
        <v>26537.334523527228</v>
      </c>
      <c r="K38" s="1164">
        <f t="shared" si="2"/>
        <v>24148.974416409779</v>
      </c>
      <c r="L38" s="1166"/>
    </row>
    <row r="39" spans="2:12" ht="17.149999999999999" customHeight="1">
      <c r="B39" s="1159">
        <f t="shared" si="0"/>
        <v>46109.791666666664</v>
      </c>
      <c r="C39" s="1160">
        <f>+'R+P'!E35</f>
        <v>206249.92537445974</v>
      </c>
      <c r="D39" s="1160">
        <f>+'R+P'!O35</f>
        <v>3570.0125218506764</v>
      </c>
      <c r="E39" s="1161">
        <f>+'R+P'!N35</f>
        <v>30.914583841702612</v>
      </c>
      <c r="F39" s="1160">
        <f>+'R+P'!AM35</f>
        <v>2573.2226391941244</v>
      </c>
      <c r="G39" s="1161">
        <f>+'R+P'!AN35</f>
        <v>26.411054113784456</v>
      </c>
      <c r="H39" s="1166"/>
      <c r="I39" s="1166"/>
      <c r="J39" s="1164">
        <f t="shared" si="1"/>
        <v>29365.051709454841</v>
      </c>
      <c r="K39" s="1164">
        <f t="shared" si="2"/>
        <v>26722.197055603905</v>
      </c>
      <c r="L39" s="1167"/>
    </row>
    <row r="40" spans="2:12" ht="17.25" customHeight="1">
      <c r="B40" s="1159">
        <f t="shared" si="0"/>
        <v>46110.791666666664</v>
      </c>
      <c r="C40" s="1160">
        <f>+'R+P'!E36</f>
        <v>209169.30110130421</v>
      </c>
      <c r="D40" s="1160">
        <f>+'R+P'!O36</f>
        <v>3765.2708407090422</v>
      </c>
      <c r="E40" s="1161">
        <f>+'R+P'!N36</f>
        <v>30.166707440864869</v>
      </c>
      <c r="F40" s="1160">
        <f>+'R+P'!AM36</f>
        <v>4366</v>
      </c>
      <c r="G40" s="1161">
        <f>+'R+P'!AN36</f>
        <v>30.914583841702612</v>
      </c>
      <c r="H40" s="1166"/>
      <c r="I40" s="1166"/>
      <c r="J40" s="1164">
        <f t="shared" ref="J40:J42" si="3">+K40/0.91</f>
        <v>34162.853907257035</v>
      </c>
      <c r="K40" s="1164">
        <f t="shared" ref="K40:K42" si="4">+K39+F40-I40</f>
        <v>31088.197055603905</v>
      </c>
      <c r="L40" s="1167"/>
    </row>
    <row r="41" spans="2:12" s="1150" customFormat="1" ht="17.25" customHeight="1">
      <c r="B41" s="1159">
        <f t="shared" si="0"/>
        <v>46111.791666666664</v>
      </c>
      <c r="C41" s="1160">
        <f>+'R+P'!E37</f>
        <v>200982.55747578535</v>
      </c>
      <c r="D41" s="1160">
        <f>+'R+P'!O37</f>
        <v>3558.9803271200471</v>
      </c>
      <c r="E41" s="1161">
        <f>+'R+P'!N37</f>
        <v>29.819750307075012</v>
      </c>
      <c r="F41" s="1160">
        <f>+'R+P'!AM37</f>
        <v>4366</v>
      </c>
      <c r="G41" s="1161">
        <f>+'R+P'!AN37</f>
        <v>30.166707440864869</v>
      </c>
      <c r="H41" s="1166"/>
      <c r="I41" s="1166"/>
      <c r="J41" s="1164">
        <f t="shared" si="3"/>
        <v>38960.656105059228</v>
      </c>
      <c r="K41" s="1164">
        <f t="shared" si="4"/>
        <v>35454.197055603901</v>
      </c>
      <c r="L41" s="1167"/>
    </row>
    <row r="42" spans="2:12" s="1150" customFormat="1" ht="17.25" customHeight="1">
      <c r="B42" s="1159">
        <f t="shared" si="0"/>
        <v>46112.791666666664</v>
      </c>
      <c r="C42" s="1160">
        <f>+'R+P'!E38</f>
        <v>306376.6010562717</v>
      </c>
      <c r="D42" s="1160">
        <f>+'R+P'!O38</f>
        <v>5482.7115463926684</v>
      </c>
      <c r="E42" s="1161">
        <f>+'R+P'!N38</f>
        <v>29.094089095777246</v>
      </c>
      <c r="F42" s="1160">
        <f>+'R+P'!AM38</f>
        <v>5666</v>
      </c>
      <c r="G42" s="1161">
        <f>+'R+P'!AN38</f>
        <v>29.819750307075012</v>
      </c>
      <c r="H42" s="1166"/>
      <c r="I42" s="1166"/>
      <c r="J42" s="1164">
        <f t="shared" si="3"/>
        <v>45187.029731432856</v>
      </c>
      <c r="K42" s="1164">
        <f t="shared" si="4"/>
        <v>41120.197055603901</v>
      </c>
      <c r="L42" s="1166"/>
    </row>
    <row r="43" spans="2:12" ht="17.25" customHeight="1">
      <c r="B43" s="3105" t="s">
        <v>498</v>
      </c>
      <c r="C43" s="1168">
        <f>+SUM(C12:C42)</f>
        <v>5834851.0407595057</v>
      </c>
      <c r="D43" s="1168">
        <f>SUM(D12:D42)</f>
        <v>103618.51052323014</v>
      </c>
      <c r="E43" s="1169">
        <f>+SUMPRODUCT(E12:E42,D12:D42)/SUM(D12:D42)</f>
        <v>26.406498338258181</v>
      </c>
      <c r="F43" s="1168">
        <f>SUM(F12:F42)</f>
        <v>104321.19705560392</v>
      </c>
      <c r="G43" s="1169">
        <f>+SUMPRODUCT(G12:G42,F12:F42)/SUM(F12:F42)</f>
        <v>26.311761292424862</v>
      </c>
      <c r="H43" s="1168">
        <f>+SUM(H12:H42)</f>
        <v>83300</v>
      </c>
      <c r="I43" s="1168">
        <f>+SUM(I12:I42)</f>
        <v>76218</v>
      </c>
      <c r="J43" s="1168"/>
      <c r="K43" s="1168"/>
      <c r="L43" s="1168"/>
    </row>
    <row r="44" spans="2:12" ht="17.25" customHeight="1">
      <c r="B44" s="1145"/>
      <c r="C44" s="1145"/>
      <c r="D44" s="1145"/>
      <c r="E44" s="1145"/>
      <c r="F44" s="1145"/>
      <c r="G44" s="1145"/>
      <c r="H44" s="1148"/>
      <c r="I44" s="1151"/>
      <c r="J44" s="1144"/>
      <c r="K44" s="1144"/>
    </row>
    <row r="45" spans="2:12" ht="17.25" customHeight="1">
      <c r="B45" s="1145"/>
      <c r="C45" s="1145"/>
      <c r="D45" s="1145"/>
      <c r="E45" s="1145"/>
      <c r="F45" s="1145"/>
      <c r="G45" s="1145"/>
      <c r="H45" s="1148"/>
      <c r="I45" s="1151"/>
      <c r="J45" s="1144"/>
      <c r="K45" s="1144"/>
    </row>
    <row r="46" spans="2:12" ht="17.25" customHeight="1">
      <c r="J46" s="3133"/>
    </row>
  </sheetData>
  <mergeCells count="9">
    <mergeCell ref="L8:L10"/>
    <mergeCell ref="J8:K9"/>
    <mergeCell ref="D9:E9"/>
    <mergeCell ref="F9:G9"/>
    <mergeCell ref="B8:B10"/>
    <mergeCell ref="C8:C9"/>
    <mergeCell ref="D8:E8"/>
    <mergeCell ref="F8:G8"/>
    <mergeCell ref="H8:I9"/>
  </mergeCells>
  <phoneticPr fontId="141"/>
  <conditionalFormatting sqref="J12:K42">
    <cfRule type="cellIs" dxfId="230" priority="1" operator="lessThan">
      <formula>0</formula>
    </cfRule>
    <cfRule type="cellIs" dxfId="229" priority="2" stopIfTrue="1" operator="lessThan">
      <formula>0</formula>
    </cfRule>
  </conditionalFormatting>
  <pageMargins left="0.7" right="0.7" top="0.75" bottom="0.75" header="0.3" footer="0.3"/>
  <pageSetup paperSize="9" orientation="portrait" r:id="rId1"/>
  <ignoredErrors>
    <ignoredError sqref="E43:F43" formula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90E8C-2826-4206-B2B6-019217F97EB4}">
  <sheetPr codeName="Hoja17">
    <tabColor theme="4" tint="0.39997558519241921"/>
  </sheetPr>
  <dimension ref="A1:CI81"/>
  <sheetViews>
    <sheetView topLeftCell="A4" zoomScaleNormal="100" workbookViewId="0">
      <pane xSplit="1" topLeftCell="AI1" activePane="topRight" state="frozen"/>
      <selection pane="topRight" activeCell="AV39" sqref="AV35:AV39"/>
    </sheetView>
  </sheetViews>
  <sheetFormatPr baseColWidth="10" defaultColWidth="11.453125" defaultRowHeight="12.5"/>
  <cols>
    <col min="1" max="1" width="12.1796875" style="331" bestFit="1" customWidth="1"/>
    <col min="2" max="2" width="17" style="331" customWidth="1"/>
    <col min="3" max="3" width="8.1796875" style="331" customWidth="1"/>
    <col min="4" max="4" width="7.1796875" style="331" bestFit="1" customWidth="1"/>
    <col min="5" max="5" width="9.81640625" style="331" bestFit="1" customWidth="1"/>
    <col min="6" max="6" width="10.1796875" style="331" bestFit="1" customWidth="1"/>
    <col min="7" max="7" width="10.453125" style="331" bestFit="1" customWidth="1"/>
    <col min="8" max="8" width="11.1796875" style="331" bestFit="1" customWidth="1"/>
    <col min="9" max="9" width="12" style="331" bestFit="1" customWidth="1"/>
    <col min="10" max="11" width="12.1796875" style="331" bestFit="1" customWidth="1"/>
    <col min="12" max="12" width="10.81640625" style="331" bestFit="1" customWidth="1"/>
    <col min="13" max="13" width="14.1796875" style="331" bestFit="1" customWidth="1"/>
    <col min="14" max="14" width="11.453125" style="331" bestFit="1" customWidth="1"/>
    <col min="15" max="15" width="10.1796875" style="331" bestFit="1" customWidth="1"/>
    <col min="16" max="16" width="14.81640625" style="331" customWidth="1"/>
    <col min="17" max="21" width="13.81640625" style="331" customWidth="1"/>
    <col min="22" max="22" width="22.81640625" style="331" bestFit="1" customWidth="1"/>
    <col min="23" max="23" width="37" style="331" bestFit="1" customWidth="1"/>
    <col min="24" max="24" width="10.1796875" style="331" bestFit="1" customWidth="1"/>
    <col min="25" max="25" width="13" style="331" bestFit="1" customWidth="1"/>
    <col min="26" max="26" width="19.54296875" style="331" customWidth="1"/>
    <col min="27" max="27" width="17.81640625" style="331" customWidth="1"/>
    <col min="28" max="28" width="11" style="331" customWidth="1"/>
    <col min="29" max="29" width="11.1796875" style="331" customWidth="1"/>
    <col min="30" max="30" width="12.81640625" style="331" customWidth="1"/>
    <col min="31" max="31" width="15.1796875" style="331" customWidth="1"/>
    <col min="32" max="32" width="7" style="331" customWidth="1"/>
    <col min="33" max="33" width="6.453125" style="331" customWidth="1"/>
    <col min="34" max="34" width="15.81640625" style="331" customWidth="1"/>
    <col min="35" max="35" width="20.54296875" style="331" customWidth="1"/>
    <col min="36" max="36" width="13" style="331" customWidth="1"/>
    <col min="37" max="37" width="16.54296875" style="331" customWidth="1"/>
    <col min="38" max="38" width="9" style="331" bestFit="1" customWidth="1"/>
    <col min="39" max="40" width="12.54296875" style="331" bestFit="1" customWidth="1"/>
    <col min="41" max="41" width="12" style="331" bestFit="1" customWidth="1"/>
    <col min="42" max="45" width="12.54296875" style="331" bestFit="1" customWidth="1"/>
    <col min="46" max="47" width="10.1796875" style="331" bestFit="1" customWidth="1"/>
    <col min="48" max="48" width="12.1796875" style="331" bestFit="1" customWidth="1"/>
    <col min="49" max="49" width="11.1796875" style="331" bestFit="1" customWidth="1"/>
    <col min="50" max="50" width="12.81640625" style="331" bestFit="1" customWidth="1"/>
    <col min="51" max="51" width="8.1796875" style="331" bestFit="1" customWidth="1"/>
    <col min="52" max="52" width="14.54296875" style="331" bestFit="1" customWidth="1"/>
    <col min="53" max="53" width="13" style="331" bestFit="1" customWidth="1"/>
    <col min="54" max="54" width="8.453125" style="331" bestFit="1" customWidth="1"/>
    <col min="55" max="55" width="10.81640625" style="331" customWidth="1"/>
    <col min="56" max="56" width="9.1796875" style="331" bestFit="1" customWidth="1"/>
    <col min="57" max="57" width="4.81640625" style="331" bestFit="1" customWidth="1"/>
    <col min="58" max="58" width="17.453125" style="331" bestFit="1" customWidth="1"/>
    <col min="59" max="59" width="14" style="331" bestFit="1" customWidth="1"/>
    <col min="60" max="60" width="23.81640625" style="331" bestFit="1" customWidth="1"/>
    <col min="61" max="61" width="18" style="331" bestFit="1" customWidth="1"/>
    <col min="62" max="62" width="18.1796875" style="331" bestFit="1" customWidth="1"/>
    <col min="63" max="63" width="18.453125" style="331" bestFit="1" customWidth="1"/>
    <col min="64" max="64" width="15.453125" style="331" bestFit="1" customWidth="1"/>
    <col min="65" max="65" width="8.453125" style="331" bestFit="1" customWidth="1"/>
    <col min="66" max="66" width="10.1796875" style="331" bestFit="1" customWidth="1"/>
    <col min="67" max="67" width="6.1796875" style="331" customWidth="1"/>
    <col min="68" max="68" width="15.54296875" style="331" bestFit="1" customWidth="1"/>
    <col min="69" max="69" width="8.54296875" style="331" bestFit="1" customWidth="1"/>
    <col min="70" max="70" width="10.1796875" style="331" bestFit="1" customWidth="1"/>
    <col min="71" max="71" width="6.1796875" style="331" customWidth="1"/>
    <col min="72" max="72" width="18" style="331" bestFit="1" customWidth="1"/>
    <col min="73" max="73" width="10.81640625" style="331" bestFit="1" customWidth="1"/>
    <col min="74" max="74" width="10.1796875" style="331" bestFit="1" customWidth="1"/>
    <col min="75" max="75" width="9.1796875" style="331" customWidth="1"/>
    <col min="76" max="76" width="27.81640625" style="331" bestFit="1" customWidth="1"/>
    <col min="77" max="77" width="18" style="331" bestFit="1" customWidth="1"/>
    <col min="78" max="78" width="10.1796875" style="331" bestFit="1" customWidth="1"/>
    <col min="79" max="79" width="5.54296875" style="331" bestFit="1" customWidth="1"/>
    <col min="80" max="80" width="28.81640625" style="331" bestFit="1" customWidth="1"/>
    <col min="81" max="81" width="27.81640625" style="331" bestFit="1" customWidth="1"/>
    <col min="82" max="82" width="9.1796875" style="331" bestFit="1" customWidth="1"/>
    <col min="83" max="83" width="11.54296875" style="331" bestFit="1" customWidth="1"/>
    <col min="84" max="84" width="18.1796875" style="331" bestFit="1" customWidth="1"/>
    <col min="85" max="85" width="14.1796875" style="331" bestFit="1" customWidth="1"/>
    <col min="86" max="86" width="12" style="331" bestFit="1" customWidth="1"/>
    <col min="87" max="87" width="18.1796875" style="331" bestFit="1" customWidth="1"/>
    <col min="88" max="88" width="12.453125" style="331" bestFit="1" customWidth="1"/>
    <col min="89" max="89" width="13.1796875" style="331" bestFit="1" customWidth="1"/>
    <col min="90" max="90" width="11.453125" style="331"/>
    <col min="91" max="97" width="12.453125" style="331" bestFit="1" customWidth="1"/>
    <col min="98" max="16384" width="11.453125" style="331"/>
  </cols>
  <sheetData>
    <row r="1" spans="1:87" ht="13" customHeight="1">
      <c r="A1" s="331">
        <v>100</v>
      </c>
      <c r="N1" s="2013" t="s">
        <v>1442</v>
      </c>
      <c r="P1" s="910">
        <v>0.08</v>
      </c>
      <c r="W1" s="2008"/>
      <c r="X1" s="2009"/>
      <c r="AT1" s="4601" t="s">
        <v>1211</v>
      </c>
      <c r="AU1" s="4601"/>
      <c r="AV1" s="4601"/>
      <c r="AW1" s="4601"/>
      <c r="AZ1" s="2030" t="s">
        <v>1204</v>
      </c>
      <c r="BA1" s="331">
        <v>6.0600000000000003E-3</v>
      </c>
      <c r="BC1" s="2126" t="s">
        <v>1261</v>
      </c>
      <c r="BD1" s="2490">
        <v>2.6589999999999999E-2</v>
      </c>
      <c r="BF1" s="2030" t="s">
        <v>1204</v>
      </c>
      <c r="BG1" s="331">
        <v>2.6589999999999999E-2</v>
      </c>
      <c r="BI1" s="2126"/>
      <c r="BJ1" s="2490"/>
    </row>
    <row r="2" spans="1:87" ht="13">
      <c r="D2" s="2014" t="s">
        <v>507</v>
      </c>
      <c r="E2" s="2014" t="s">
        <v>508</v>
      </c>
      <c r="F2" s="2014" t="s">
        <v>509</v>
      </c>
      <c r="G2" s="2014" t="s">
        <v>510</v>
      </c>
      <c r="H2" s="2014" t="s">
        <v>511</v>
      </c>
      <c r="I2" s="2014" t="s">
        <v>512</v>
      </c>
      <c r="K2" s="2013" t="s">
        <v>1213</v>
      </c>
      <c r="L2" s="1824">
        <v>7.75</v>
      </c>
      <c r="N2" s="2013" t="s">
        <v>501</v>
      </c>
      <c r="O2" s="2013"/>
      <c r="P2" s="1824">
        <v>0.65690000000000004</v>
      </c>
      <c r="Q2" s="1824">
        <v>9.7116000000000007</v>
      </c>
      <c r="R2" s="1824"/>
      <c r="T2" s="1996" t="s">
        <v>1219</v>
      </c>
      <c r="U2" s="331">
        <v>14909</v>
      </c>
      <c r="W2" s="1996" t="s">
        <v>500</v>
      </c>
      <c r="X2" s="331">
        <v>9.2279999999999998</v>
      </c>
      <c r="Y2" s="331">
        <v>-1.6231</v>
      </c>
      <c r="AA2" s="331">
        <v>0.78900000000000003</v>
      </c>
      <c r="AB2" s="331">
        <v>10.5</v>
      </c>
      <c r="AD2" s="1997" t="s">
        <v>1245</v>
      </c>
      <c r="AE2" s="2010">
        <v>49.54</v>
      </c>
      <c r="AF2" s="2010">
        <v>0.4541</v>
      </c>
      <c r="AI2" s="1999" t="s">
        <v>450</v>
      </c>
      <c r="AJ2" s="1824">
        <v>0.93</v>
      </c>
      <c r="AK2" s="1824"/>
      <c r="AL2" s="1824"/>
      <c r="AN2" s="2087" t="s">
        <v>1369</v>
      </c>
      <c r="AO2" s="331">
        <v>0.36499999999999999</v>
      </c>
      <c r="AP2" s="331">
        <v>1</v>
      </c>
      <c r="AT2" s="1825" t="s">
        <v>1204</v>
      </c>
      <c r="AU2" s="1998">
        <v>2.9219999999999999E-2</v>
      </c>
      <c r="AV2" s="1825" t="s">
        <v>960</v>
      </c>
      <c r="AW2" s="1998">
        <v>-9.5846999999999998</v>
      </c>
      <c r="AZ2" s="2030" t="s">
        <v>1205</v>
      </c>
      <c r="BA2" s="331">
        <v>1.0449999999999999E-2</v>
      </c>
      <c r="BD2" s="2490">
        <v>3.4719999999999998E-3</v>
      </c>
      <c r="BF2" s="2030" t="s">
        <v>1205</v>
      </c>
      <c r="BG2" s="331">
        <v>3.4719999999999998E-3</v>
      </c>
      <c r="BJ2" s="2490"/>
    </row>
    <row r="3" spans="1:87" ht="13">
      <c r="D3" s="2015">
        <v>0.63800000000000001</v>
      </c>
      <c r="E3" s="2015">
        <v>0.80300000000000005</v>
      </c>
      <c r="F3" s="2015">
        <v>0.435</v>
      </c>
      <c r="G3" s="2015">
        <v>0.1</v>
      </c>
      <c r="H3" s="2015">
        <v>0.48</v>
      </c>
      <c r="I3" s="2015">
        <v>0.14699999999999999</v>
      </c>
      <c r="J3" s="2012"/>
      <c r="K3" s="2013" t="s">
        <v>1214</v>
      </c>
      <c r="L3" s="1824">
        <v>7.75</v>
      </c>
      <c r="M3" s="2012"/>
      <c r="N3" s="2013" t="s">
        <v>503</v>
      </c>
      <c r="O3" s="2013"/>
      <c r="P3" s="1824">
        <v>0.12092</v>
      </c>
      <c r="Q3" s="1824">
        <v>0.60609999999999997</v>
      </c>
      <c r="R3" s="1824">
        <v>0.71243000000000001</v>
      </c>
      <c r="T3" s="1996" t="s">
        <v>1220</v>
      </c>
      <c r="U3" s="331">
        <v>1812</v>
      </c>
      <c r="W3" s="1996" t="s">
        <v>502</v>
      </c>
      <c r="X3" s="331">
        <v>10.884</v>
      </c>
      <c r="Y3" s="331">
        <v>-1.6352</v>
      </c>
      <c r="AA3" s="331">
        <v>0.78900000000000003</v>
      </c>
      <c r="AB3" s="331">
        <v>10.4</v>
      </c>
      <c r="AD3" s="1997" t="s">
        <v>1246</v>
      </c>
      <c r="AE3" s="2010">
        <v>58.17</v>
      </c>
      <c r="AF3" s="2010">
        <v>0.3579</v>
      </c>
      <c r="AI3" s="1999" t="s">
        <v>1225</v>
      </c>
      <c r="AJ3" s="1824">
        <v>4600</v>
      </c>
      <c r="AK3" s="1824">
        <v>1812</v>
      </c>
      <c r="AN3" s="2087" t="s">
        <v>1370</v>
      </c>
      <c r="AO3" s="331">
        <v>134.68</v>
      </c>
      <c r="AP3" s="331">
        <v>1</v>
      </c>
      <c r="AT3" s="1825" t="s">
        <v>1205</v>
      </c>
      <c r="AU3" s="1998">
        <v>7.6999999999999996E-4</v>
      </c>
      <c r="AV3" s="1825" t="s">
        <v>47</v>
      </c>
      <c r="AW3" s="1998">
        <v>1.3129</v>
      </c>
      <c r="AZ3" s="2030" t="s">
        <v>1206</v>
      </c>
      <c r="BA3" s="331">
        <v>4.2500000000000003E-3</v>
      </c>
      <c r="BD3" s="2490">
        <v>3.5739999999999999E-3</v>
      </c>
      <c r="BF3" s="2030" t="s">
        <v>1206</v>
      </c>
      <c r="BG3" s="331">
        <v>3.5739999999999999E-3</v>
      </c>
      <c r="BJ3" s="2490"/>
    </row>
    <row r="4" spans="1:87" ht="14.5">
      <c r="A4" s="3139"/>
      <c r="B4" s="247">
        <v>0</v>
      </c>
      <c r="D4" s="2014" t="s">
        <v>515</v>
      </c>
      <c r="E4" s="2014" t="s">
        <v>516</v>
      </c>
      <c r="F4" s="2014" t="s">
        <v>517</v>
      </c>
      <c r="G4" s="2014" t="s">
        <v>518</v>
      </c>
      <c r="H4" s="2014" t="s">
        <v>519</v>
      </c>
      <c r="I4" s="2014" t="s">
        <v>520</v>
      </c>
      <c r="K4" s="2013" t="s">
        <v>1215</v>
      </c>
      <c r="L4" s="1824">
        <v>25.4</v>
      </c>
      <c r="M4" s="1400"/>
      <c r="N4" s="2013" t="s">
        <v>506</v>
      </c>
      <c r="O4" s="2013"/>
      <c r="P4" s="1824">
        <v>1</v>
      </c>
      <c r="Q4" s="1824">
        <v>0</v>
      </c>
      <c r="R4" s="1824"/>
      <c r="T4" s="1996" t="s">
        <v>1221</v>
      </c>
      <c r="U4" s="331">
        <v>11400</v>
      </c>
      <c r="W4" s="1996" t="s">
        <v>505</v>
      </c>
      <c r="X4" s="331">
        <v>11.387</v>
      </c>
      <c r="Y4" s="331">
        <v>-1.3090999999999999</v>
      </c>
      <c r="AA4" s="331">
        <v>0.78900000000000003</v>
      </c>
      <c r="AB4" s="331">
        <v>10.25</v>
      </c>
      <c r="AD4" s="1997" t="s">
        <v>1247</v>
      </c>
      <c r="AE4" s="2010">
        <v>43.15</v>
      </c>
      <c r="AF4" s="2010">
        <v>0.52890000000000004</v>
      </c>
      <c r="AI4" s="1999" t="s">
        <v>1226</v>
      </c>
      <c r="AJ4" s="1824">
        <v>50000</v>
      </c>
      <c r="AK4" s="1824">
        <v>11400</v>
      </c>
      <c r="AL4" s="1824">
        <v>59000</v>
      </c>
      <c r="AT4" s="1825" t="s">
        <v>1206</v>
      </c>
      <c r="AU4" s="1998">
        <v>7.7660000000000003E-3</v>
      </c>
      <c r="AV4" s="1825" t="s">
        <v>1209</v>
      </c>
      <c r="AW4" s="1998">
        <v>0.99850000000000005</v>
      </c>
      <c r="AZ4" s="2030" t="s">
        <v>1207</v>
      </c>
      <c r="BA4" s="331">
        <v>8.3300000000000006E-3</v>
      </c>
      <c r="BD4" s="2490">
        <v>-1.6069999999999999E-3</v>
      </c>
      <c r="BF4" s="2030" t="s">
        <v>1207</v>
      </c>
      <c r="BG4" s="331">
        <v>-1.6069999999999999E-3</v>
      </c>
      <c r="BJ4" s="2490"/>
    </row>
    <row r="5" spans="1:87" ht="14.5">
      <c r="A5" s="2011"/>
      <c r="D5" s="1824">
        <v>1.62</v>
      </c>
      <c r="E5" s="1824">
        <v>0.1</v>
      </c>
      <c r="F5" s="1824">
        <v>2.294</v>
      </c>
      <c r="G5" s="1824">
        <v>6.4450000000000003</v>
      </c>
      <c r="H5" s="1824">
        <v>1.1819999999999999</v>
      </c>
      <c r="I5" s="1824">
        <v>3.5169999999999999</v>
      </c>
      <c r="K5" s="2013" t="s">
        <v>1216</v>
      </c>
      <c r="L5" s="1824">
        <v>0.71719999999999995</v>
      </c>
      <c r="M5" s="1824">
        <v>41100</v>
      </c>
      <c r="N5" s="2013" t="s">
        <v>1365</v>
      </c>
      <c r="O5" s="2013"/>
      <c r="P5" s="1825">
        <v>0.2</v>
      </c>
      <c r="R5" s="1824"/>
      <c r="T5" s="1996" t="s">
        <v>1222</v>
      </c>
      <c r="U5" s="331">
        <v>4000</v>
      </c>
      <c r="W5" s="1996" t="s">
        <v>513</v>
      </c>
      <c r="X5" s="331">
        <v>8.4390000000000001</v>
      </c>
      <c r="Y5" s="331">
        <v>-1.2408999999999999</v>
      </c>
      <c r="AA5" s="331">
        <v>0.78900000000000003</v>
      </c>
      <c r="AB5" s="331">
        <v>10.3</v>
      </c>
      <c r="AD5" s="1997" t="s">
        <v>1224</v>
      </c>
      <c r="AF5" s="2010"/>
      <c r="AI5" s="1999" t="s">
        <v>1227</v>
      </c>
      <c r="AJ5" s="1824">
        <v>300</v>
      </c>
      <c r="AK5" s="1824"/>
      <c r="AL5" s="331">
        <v>50000</v>
      </c>
      <c r="AN5" s="363">
        <f>+'PM vs OL y BD'!D21</f>
        <v>90.294153352101716</v>
      </c>
      <c r="AT5" s="1825" t="s">
        <v>1207</v>
      </c>
      <c r="AU5" s="1998">
        <v>-1.9599999999999999E-3</v>
      </c>
      <c r="AV5" s="1825" t="s">
        <v>1210</v>
      </c>
      <c r="AW5" s="1998">
        <v>-0.80430000000000001</v>
      </c>
      <c r="AZ5" s="2030" t="s">
        <v>1208</v>
      </c>
      <c r="BA5" s="331">
        <v>1.2319999999999999E-2</v>
      </c>
      <c r="BD5" s="2490">
        <v>-4.0049999999999999E-3</v>
      </c>
      <c r="BF5" s="2030" t="s">
        <v>1208</v>
      </c>
      <c r="BG5" s="331">
        <v>-4.0049999999999999E-3</v>
      </c>
      <c r="BJ5" s="2490"/>
      <c r="CG5" s="331">
        <f>+'TP sin BM'!G5</f>
        <v>28.318351668204937</v>
      </c>
      <c r="CH5" s="331">
        <v>24.986966675586711</v>
      </c>
      <c r="CI5" s="331">
        <f>+CG5-CH5</f>
        <v>3.3313849926182257</v>
      </c>
    </row>
    <row r="6" spans="1:87" ht="14.5">
      <c r="A6" s="2011" t="s">
        <v>504</v>
      </c>
      <c r="D6" s="555">
        <v>326.77</v>
      </c>
      <c r="E6" s="2489">
        <v>-1.0629999999999999</v>
      </c>
      <c r="F6" s="1400"/>
      <c r="J6" s="331">
        <v>100</v>
      </c>
      <c r="K6" s="2013" t="s">
        <v>1217</v>
      </c>
      <c r="L6" s="1824">
        <v>41850</v>
      </c>
      <c r="M6" s="1824">
        <v>41035</v>
      </c>
      <c r="N6" s="2013"/>
      <c r="O6" s="2013"/>
      <c r="P6" s="1824">
        <v>9000</v>
      </c>
      <c r="Q6" s="1824"/>
      <c r="R6" s="1824"/>
      <c r="T6" s="1996" t="s">
        <v>1223</v>
      </c>
      <c r="U6" s="219">
        <v>1</v>
      </c>
      <c r="W6" s="1996" t="s">
        <v>514</v>
      </c>
      <c r="X6" s="331">
        <v>9.0559999999999992</v>
      </c>
      <c r="Y6" s="331">
        <v>-1.4952000000000001</v>
      </c>
      <c r="AA6" s="331">
        <v>0.78900000000000003</v>
      </c>
      <c r="AB6" s="331">
        <v>12.5</v>
      </c>
      <c r="AD6" s="1997" t="s">
        <v>1197</v>
      </c>
      <c r="AE6" s="2010">
        <v>1.5129999999999999E-2</v>
      </c>
      <c r="AF6" s="2010"/>
      <c r="AI6" s="1999" t="s">
        <v>1228</v>
      </c>
      <c r="AJ6" s="1824">
        <v>150</v>
      </c>
      <c r="AK6" s="1824">
        <v>1</v>
      </c>
      <c r="AL6" s="1824"/>
      <c r="AT6" s="1825" t="s">
        <v>1208</v>
      </c>
      <c r="AU6" s="1998">
        <v>-7.3000000000000001E-3</v>
      </c>
      <c r="AV6" s="1825"/>
      <c r="AW6" s="1825"/>
      <c r="AZ6" s="2030" t="s">
        <v>960</v>
      </c>
      <c r="BA6" s="331">
        <v>-12.324</v>
      </c>
      <c r="BB6" s="2030" t="s">
        <v>47</v>
      </c>
      <c r="BC6" s="331">
        <v>1.4044000000000001</v>
      </c>
      <c r="BF6" s="2030" t="s">
        <v>960</v>
      </c>
      <c r="BG6" s="331">
        <v>0</v>
      </c>
      <c r="BH6" s="2030" t="s">
        <v>47</v>
      </c>
      <c r="BI6" s="556">
        <v>1</v>
      </c>
      <c r="CF6" s="331">
        <v>1</v>
      </c>
    </row>
    <row r="7" spans="1:87" ht="14.5">
      <c r="E7" s="2889">
        <v>0</v>
      </c>
      <c r="G7" s="555">
        <v>1</v>
      </c>
      <c r="I7" s="331">
        <f>+J7/15000</f>
        <v>0.91946666666666665</v>
      </c>
      <c r="J7" s="331">
        <f>+M7/3</f>
        <v>13792</v>
      </c>
      <c r="M7" s="2800">
        <f>41376</f>
        <v>41376</v>
      </c>
      <c r="N7" s="2013" t="s">
        <v>1441</v>
      </c>
      <c r="O7" s="2013"/>
      <c r="P7" s="2051">
        <v>0.5</v>
      </c>
      <c r="Q7" s="3617">
        <v>1.08</v>
      </c>
      <c r="U7" s="331">
        <v>14909</v>
      </c>
      <c r="AM7" s="1822">
        <v>137</v>
      </c>
      <c r="AN7" s="1822">
        <v>150</v>
      </c>
      <c r="AO7" s="1822">
        <v>180</v>
      </c>
      <c r="AP7" s="1822">
        <v>210</v>
      </c>
      <c r="AQ7" s="1822">
        <v>240</v>
      </c>
      <c r="AR7" s="1822">
        <v>250</v>
      </c>
      <c r="AS7" s="1822">
        <v>300</v>
      </c>
      <c r="BK7" s="331" t="s">
        <v>1312</v>
      </c>
    </row>
    <row r="8" spans="1:87" ht="14.5">
      <c r="A8" s="1830" t="s">
        <v>496</v>
      </c>
      <c r="B8" s="1830" t="s">
        <v>521</v>
      </c>
      <c r="C8" s="1830" t="s">
        <v>461</v>
      </c>
      <c r="D8" s="1830" t="s">
        <v>499</v>
      </c>
      <c r="E8" s="1830" t="s">
        <v>88</v>
      </c>
      <c r="F8" s="1830" t="s">
        <v>522</v>
      </c>
      <c r="G8" s="1830" t="s">
        <v>523</v>
      </c>
      <c r="H8" s="1830" t="s">
        <v>524</v>
      </c>
      <c r="I8" s="1830" t="s">
        <v>525</v>
      </c>
      <c r="J8" s="1830" t="s">
        <v>526</v>
      </c>
      <c r="K8" s="1830" t="s">
        <v>527</v>
      </c>
      <c r="L8" s="1830" t="s">
        <v>528</v>
      </c>
      <c r="M8" s="1830" t="s">
        <v>529</v>
      </c>
      <c r="N8" s="1830" t="s">
        <v>1153</v>
      </c>
      <c r="O8" s="1830" t="s">
        <v>1440</v>
      </c>
      <c r="P8" s="1830" t="s">
        <v>1218</v>
      </c>
      <c r="Q8" s="1830" t="s">
        <v>1200</v>
      </c>
      <c r="R8" s="1830" t="s">
        <v>1252</v>
      </c>
      <c r="S8" s="1830" t="s">
        <v>1251</v>
      </c>
      <c r="T8" s="3390" t="s">
        <v>1250</v>
      </c>
      <c r="U8" s="1830" t="s">
        <v>1249</v>
      </c>
      <c r="V8" s="1830" t="s">
        <v>1304</v>
      </c>
      <c r="W8" s="1830" t="s">
        <v>1307</v>
      </c>
      <c r="X8" s="1830" t="s">
        <v>1233</v>
      </c>
      <c r="Y8" s="1830" t="s">
        <v>1661</v>
      </c>
      <c r="Z8" s="1830" t="s">
        <v>1254</v>
      </c>
      <c r="AA8" s="1830" t="s">
        <v>1305</v>
      </c>
      <c r="AB8" s="2115" t="s">
        <v>1308</v>
      </c>
      <c r="AC8" s="1822" t="s">
        <v>531</v>
      </c>
      <c r="AD8" s="1822" t="s">
        <v>1609</v>
      </c>
      <c r="AE8" s="1822" t="s">
        <v>1610</v>
      </c>
      <c r="AF8" s="1822" t="s">
        <v>1229</v>
      </c>
      <c r="AG8" s="1822" t="s">
        <v>1229</v>
      </c>
      <c r="AH8" s="1822" t="s">
        <v>1230</v>
      </c>
      <c r="AI8" s="1822" t="s">
        <v>1306</v>
      </c>
      <c r="AJ8" s="2129" t="s">
        <v>1309</v>
      </c>
      <c r="AK8" s="1822" t="s">
        <v>1234</v>
      </c>
      <c r="AL8" s="3619" t="s">
        <v>290</v>
      </c>
      <c r="AM8" s="1822" t="s">
        <v>1155</v>
      </c>
      <c r="AN8" s="1822" t="s">
        <v>1156</v>
      </c>
      <c r="AO8" s="1822" t="s">
        <v>1157</v>
      </c>
      <c r="AP8" s="1822" t="s">
        <v>1158</v>
      </c>
      <c r="AQ8" s="1822" t="s">
        <v>1159</v>
      </c>
      <c r="AR8" s="1822" t="s">
        <v>1160</v>
      </c>
      <c r="AS8" s="1822" t="s">
        <v>1161</v>
      </c>
      <c r="AT8" s="1822" t="s">
        <v>533</v>
      </c>
      <c r="AU8" s="1822" t="s">
        <v>534</v>
      </c>
      <c r="AV8" s="1822" t="s">
        <v>1163</v>
      </c>
      <c r="AW8" s="1822" t="s">
        <v>1235</v>
      </c>
      <c r="AX8" s="1822" t="s">
        <v>1195</v>
      </c>
      <c r="AY8" s="1822" t="s">
        <v>1196</v>
      </c>
      <c r="AZ8" s="1822" t="s">
        <v>1198</v>
      </c>
      <c r="BA8" s="1822" t="s">
        <v>1199</v>
      </c>
      <c r="BB8" s="1822" t="str">
        <f>+'MCP ST'!N1</f>
        <v>cpy_min</v>
      </c>
      <c r="BC8" s="1822" t="str">
        <f>+'MCP ST'!O1</f>
        <v>py_min</v>
      </c>
      <c r="BD8" s="1822" t="str">
        <f>+'MCP ST'!P1</f>
        <v>bo_min</v>
      </c>
      <c r="BE8" s="1822" t="str">
        <f>+'MCP ST'!Q1</f>
        <v>Cccv</v>
      </c>
      <c r="BF8" s="2000" t="s">
        <v>1367</v>
      </c>
      <c r="BG8" s="2127" t="s">
        <v>1212</v>
      </c>
      <c r="BH8" s="2087" t="s">
        <v>1390</v>
      </c>
      <c r="BI8" s="2087" t="s">
        <v>1391</v>
      </c>
      <c r="BJ8" s="2087" t="s">
        <v>1310</v>
      </c>
      <c r="BK8" s="2087" t="s">
        <v>1311</v>
      </c>
      <c r="BL8" s="2000" t="s">
        <v>1236</v>
      </c>
      <c r="BM8" s="2000" t="s">
        <v>1237</v>
      </c>
      <c r="BN8" s="1777" t="s">
        <v>1244</v>
      </c>
      <c r="BP8" s="1777" t="s">
        <v>1238</v>
      </c>
      <c r="BQ8" s="1777" t="s">
        <v>1239</v>
      </c>
      <c r="BR8" s="1777" t="s">
        <v>1244</v>
      </c>
      <c r="BT8" s="1777" t="s">
        <v>1240</v>
      </c>
      <c r="BU8" s="1777" t="s">
        <v>1241</v>
      </c>
      <c r="BV8" s="1777" t="s">
        <v>1244</v>
      </c>
      <c r="BX8" s="1777" t="s">
        <v>1260</v>
      </c>
      <c r="BY8" s="1777" t="s">
        <v>1243</v>
      </c>
      <c r="BZ8" s="1777" t="s">
        <v>1244</v>
      </c>
      <c r="CC8" s="1777" t="s">
        <v>1260</v>
      </c>
      <c r="CD8" s="331" t="s">
        <v>1244</v>
      </c>
      <c r="CE8" s="1777" t="s">
        <v>1394</v>
      </c>
      <c r="CF8" s="1777" t="s">
        <v>1405</v>
      </c>
      <c r="CG8" s="1777" t="s">
        <v>1396</v>
      </c>
      <c r="CH8" s="1777" t="s">
        <v>1397</v>
      </c>
      <c r="CI8" s="1777" t="s">
        <v>1398</v>
      </c>
    </row>
    <row r="9" spans="1:87" s="362" customFormat="1">
      <c r="A9" s="3141">
        <f>+'ST Original'!B8</f>
        <v>46082.791666666664</v>
      </c>
      <c r="B9" s="2054">
        <f>+'MCP ST'!B2</f>
        <v>180000.00000031578</v>
      </c>
      <c r="C9" s="3142">
        <f>+'MCP ST'!L2</f>
        <v>12.475370071720862</v>
      </c>
      <c r="D9" s="3143">
        <v>7.75</v>
      </c>
      <c r="E9" s="3144">
        <f>+'MCP ST'!T2+$B$4</f>
        <v>36.675380974817763</v>
      </c>
      <c r="F9" s="3912">
        <f>IFERROR($D$6*((E9)^($E$6)),0)</f>
        <v>7.1008762208796741</v>
      </c>
      <c r="G9" s="3144">
        <f>+'MCP ST'!V2*$G$7</f>
        <v>96.378941330274941</v>
      </c>
      <c r="H9" s="2354">
        <f>+'MCP ST'!W2</f>
        <v>6169.7751907434522</v>
      </c>
      <c r="I9" s="2354">
        <f>+'MCP ST'!X2</f>
        <v>0</v>
      </c>
      <c r="J9" s="2354">
        <f>+SUM('MCP ST'!Y2:Z2)</f>
        <v>170766.89694059078</v>
      </c>
      <c r="K9" s="2354">
        <f>+'MCP ST'!AB2</f>
        <v>0</v>
      </c>
      <c r="L9" s="2354">
        <f>+'MCP ST'!AA2</f>
        <v>0</v>
      </c>
      <c r="M9" s="2354">
        <f>+'MCP ST'!AC2</f>
        <v>3063.2829569879746</v>
      </c>
      <c r="N9" s="2354">
        <v>5.5555555555595033</v>
      </c>
      <c r="O9" s="2354">
        <v>90.204917639744096</v>
      </c>
      <c r="P9" s="2063">
        <f>((($L$4*D9)^$L$5+SUMPRODUCT($D$3:$I$3,H9:M9)/SUM(H9:M9)*G9+SUMPRODUCT($D$5:$I$5,H9:M9)/SUM(H9:M9)*F9)*$Q$7)</f>
        <v>110.79642230970572</v>
      </c>
      <c r="Q9" s="2063">
        <f>+P9/25.4</f>
        <v>4.3620638704608554</v>
      </c>
      <c r="R9" s="3142">
        <f>($X$2+$Y$2*(F9^$AA$2)+$AB$2)*H9/SUM(H9:M9)+($X$3+$Y$3*(F9^$AA$3)+$AB$3)*I9/SUM(H9:M9)+($X$4+$Y$4*(F9^$AA$4)+$AB$4)*J9/SUM(H9:M9)+($X$5+$Y$5*(F9^$AA$5)+$AB$5)*K9/SUM(H9:M9)+($X$6+$Y$6*(F9^$AA$6)+$AB$6)*L9/SUM(H9:M9)+($X$6+$Y$6*(F9^$AA$6)+$AB$6)*M9/SUM(H9:M9)</f>
        <v>15.357853702852321</v>
      </c>
      <c r="S9" s="3142">
        <f t="shared" ref="S9" si="0">+$P$2*R9+$Q$2</f>
        <v>19.800174097403691</v>
      </c>
      <c r="T9" s="3142">
        <f>$P$3*(F9^$Q$3)*(P9^$R$3)*(1/(S9^$P$5))</f>
        <v>6.2477835561344701</v>
      </c>
      <c r="U9" s="2054">
        <f>+$M$7</f>
        <v>41376</v>
      </c>
      <c r="V9" s="2054">
        <f>IF((U9/T9)*$P$4+$Q$4&gt;$P$6,$P$6,(U9/T9)*$P$4+$Q$4)</f>
        <v>6622.5085469509295</v>
      </c>
      <c r="W9" s="2054">
        <f>+'ST Original'!BR8</f>
        <v>6352.8420754181961</v>
      </c>
      <c r="X9" s="2054">
        <f>IF(((((1/(Y9/V9/(10*$AJ$2*C9)+(1/SQRT($AJ$3))))^2))*$AO$2)+$AO$3&gt;$AJ$5,$AJ$5,IF(((((1/(Y9/V9/(10*$AJ$2*C9)+(1/SQRT($AJ$3))))^2))*$AO$2)+$AO$3&lt;$AJ$6,$AJ$6,((((1/(Y9/V9/(10*$AJ$2*C9)+(1/SQRT($AJ$3))))^2))*$AO$2)+$AO$3))</f>
        <v>182.92859732145553</v>
      </c>
      <c r="Y9" s="3622">
        <v>55500</v>
      </c>
      <c r="Z9" s="3145">
        <f>10*C9*$AJ$2*((1/(SQRT(X9)))-(1/(SQRT($AJ$3))))</f>
        <v>6.8675530121463382</v>
      </c>
      <c r="AA9" s="2054">
        <f>$AJ$4/Z9</f>
        <v>7280.6136205380872</v>
      </c>
      <c r="AB9" s="2354" t="str">
        <f>IF(AA9&lt;V9,"BOLAS","SAG")</f>
        <v>SAG</v>
      </c>
      <c r="AC9" s="3142">
        <f>+T9*1.4</f>
        <v>8.7468969785882571</v>
      </c>
      <c r="AD9" s="2054">
        <f>+$U$7/AC9</f>
        <v>1704.4901793740232</v>
      </c>
      <c r="AE9" s="3146">
        <f>+IF(ISNUMBER('ST Original'!BS8),('ST Original'!BS8),"0")</f>
        <v>1701.8682679652975</v>
      </c>
      <c r="AF9" s="2054">
        <f>IFERROR(IF(((1/($U$4/AE9/(10*$AJ$2*C9)+(1/SQRT($AJ$3))))^2)&gt;$AJ$5,$AJ$5,IF(((1/($U$4/AE9/(10*$AJ$2*C9)+(1/SQRT($AJ$3))))^2)&lt;$AJ$6,$AJ$6,((1/($U$4/AE9/(10*$AJ$2*C9)+(1/SQRT($AJ$3))))^2))),"0")</f>
        <v>190.35659435501205</v>
      </c>
      <c r="AG9" s="2054">
        <f>+IF(ISNUMBER(AF9),AF9,"0")</f>
        <v>190.35659435501205</v>
      </c>
      <c r="AH9" s="3147">
        <f>IF(ISNUMBER(10*C9*$AK$6*((1/(SQRT(AG9)))-(1/(SQRT($U$5))))),10*C9*$AK$6*((1/(SQRT(AG9)))-(1/(SQRT($U$5)))),"0")</f>
        <v>7.0695743059231608</v>
      </c>
      <c r="AI9" s="2054">
        <f>IFERROR($U$4/AH9,"0")</f>
        <v>1612.5440523977013</v>
      </c>
      <c r="AJ9" s="2354" t="str">
        <f>IF(AI9&gt;AD9,"SAG","BOLAS")</f>
        <v>BOLAS</v>
      </c>
      <c r="AK9" s="308">
        <f>+IFERROR((AG9*'ST Original'!F8+X9*'ST Original'!G8)/('ST Original'!E8),"0")</f>
        <v>184.47362349912126</v>
      </c>
      <c r="AL9" s="308">
        <f>+IFERROR((1/((($Y9/(AE9+W9)/(10*$AJ$2*C9)+(1/SQRT($AJ$3))))^2)*$AP$2+$AP$3),"0")</f>
        <v>182.95898445842676</v>
      </c>
      <c r="AM9" s="2063">
        <f>+'MCP ST'!AD2</f>
        <v>93.874951420972721</v>
      </c>
      <c r="AN9" s="2063">
        <f>+'MCP ST'!AE2</f>
        <v>92.59127551087353</v>
      </c>
      <c r="AO9" s="2063">
        <f>+'MCP ST'!AF2</f>
        <v>90.448370673904307</v>
      </c>
      <c r="AP9" s="2063">
        <f>+'MCP ST'!AG2</f>
        <v>88.594539234808551</v>
      </c>
      <c r="AQ9" s="2063">
        <f>+'MCP ST'!AH2</f>
        <v>85.664791516612681</v>
      </c>
      <c r="AR9" s="2063">
        <f>+'MCP ST'!AI2</f>
        <v>84.682302978505135</v>
      </c>
      <c r="AS9" s="2063">
        <f>+'MCP ST'!AJ2</f>
        <v>78.53523255715271</v>
      </c>
      <c r="AT9" s="2063">
        <f>+INTERCEPT(AM9:AS9,$AM$7:$AS$7)</f>
        <v>106.57610887252238</v>
      </c>
      <c r="AU9" s="2063">
        <f>+SLOPE(AM9:AS9,$AM$7:$AS$7)</f>
        <v>-8.9735036274592284E-2</v>
      </c>
      <c r="AV9" s="2063">
        <f>+AK9*AU9+AT9</f>
        <v>90.022361576123259</v>
      </c>
      <c r="AW9" s="2063">
        <f>+AV9*$AF$4+$AE$4</f>
        <v>90.762827037611601</v>
      </c>
      <c r="AX9" s="2063">
        <f>+'MCP ST'!D2</f>
        <v>0.53577266948079771</v>
      </c>
      <c r="AY9" s="3148">
        <f>+'MCP ST'!AL2</f>
        <v>5.8210469622854361E-3</v>
      </c>
      <c r="AZ9" s="2063">
        <f>+IF(AY9&gt;$AE$6,(AX9-(AY9-$AE$6))/AX9,1)</f>
        <v>1</v>
      </c>
      <c r="BA9" s="2063">
        <f>+AZ9*AW9</f>
        <v>90.762827037611601</v>
      </c>
      <c r="BB9" s="2063">
        <f>+'MCP ST'!N2</f>
        <v>0.95446819232470492</v>
      </c>
      <c r="BC9" s="2063">
        <f>+'MCP ST'!O2</f>
        <v>0.18277807486534425</v>
      </c>
      <c r="BD9" s="2063">
        <f>+'MCP ST'!P2</f>
        <v>0.29069118652483289</v>
      </c>
      <c r="BE9" s="2063">
        <f>+'MCP ST'!Q2</f>
        <v>8.7333390712014403E-3</v>
      </c>
      <c r="BF9" s="3149">
        <f>1/($BD$1+$BD$2*(BB9/AX9)+$BD$3*(BC9/AX9)+$BD$4*(BD9/AX9)+$BD$5*(BE9/AX9))</f>
        <v>30.250432592347522</v>
      </c>
      <c r="BG9" s="3149">
        <f>+($AW$2+($AW$3/($AU$2+$AU$3*($BB9/$AX9)+$AU$4*($BC9/$AX9)+$AU$5*($BD9/$AX9)+$AU$6*(($BE9)/$AX9))))*$AW$4+$AW$5</f>
        <v>30.516975429936949</v>
      </c>
      <c r="BH9" s="3150">
        <f>+$BA$6+$BC$6/($BA$1+$BA$2*(BB9/AX9)+$BA$3*(BC9/AX9)+$BA$4*(BD9/AX9)+$BA$5*(BE9/AX9))</f>
        <v>33.204328733511915</v>
      </c>
      <c r="BI9" s="1134">
        <f>+$BG$6+$BI$6/($BG$1+$BG$2*(BB9/AX9)+$BG$3*(BC9/AX9)+$BG$4*(BD9/AX9)+$BG$5*(BE9/AX9))</f>
        <v>30.250432592347522</v>
      </c>
      <c r="BJ9" s="3150">
        <f>(-5.9445+1.1996/(0.027558+0.003094*(BB9/AX9)+0.003571*(BC9/AX9)-0.001979*(BD9/AX9)-0.005204*(BE9/AX9)))</f>
        <v>30.264835928155811</v>
      </c>
      <c r="BK9" s="3150">
        <f>+'MCP ST'!I2</f>
        <v>29.182509309000007</v>
      </c>
      <c r="BL9" s="3150">
        <f>+Q9</f>
        <v>4.3620638704608554</v>
      </c>
      <c r="BM9" s="3150">
        <f>+'MCP ST'!AK2/25.4</f>
        <v>4.0540512479101842</v>
      </c>
      <c r="BN9" s="3150">
        <f>+BM9-BL9</f>
        <v>-0.30801262255067119</v>
      </c>
      <c r="BO9" s="3151"/>
      <c r="BP9" s="3152">
        <f>+AK9</f>
        <v>184.47362349912126</v>
      </c>
      <c r="BQ9" s="3152">
        <f>+'MCP ST'!S2</f>
        <v>204.23279003266484</v>
      </c>
      <c r="BR9" s="3150">
        <f>+BQ9-BP9</f>
        <v>19.759166533543578</v>
      </c>
      <c r="BS9" s="3151"/>
      <c r="BT9" s="3150">
        <f>+BA9</f>
        <v>90.762827037611601</v>
      </c>
      <c r="BU9" s="3150">
        <f>+'MCP ST'!J2</f>
        <v>89.807516984710873</v>
      </c>
      <c r="BV9" s="3150">
        <f>+BU9-BT9</f>
        <v>-0.95531005290072812</v>
      </c>
      <c r="BW9" s="3150"/>
      <c r="BX9" s="1134">
        <f>+BF9</f>
        <v>30.250432592347522</v>
      </c>
      <c r="BY9" s="1134">
        <f>+'MCP ST'!I2</f>
        <v>29.182509309000007</v>
      </c>
      <c r="BZ9" s="3150">
        <f>+BY9-BX9</f>
        <v>-1.0679232833475147</v>
      </c>
      <c r="CA9" s="3150"/>
      <c r="CB9" s="3151"/>
      <c r="CC9" s="3150">
        <v>26.938278358254387</v>
      </c>
      <c r="CD9" s="3150">
        <f>+BY9-CC9</f>
        <v>2.2442309507456208</v>
      </c>
      <c r="CE9" s="308">
        <f>+'MCP ST'!AK2</f>
        <v>102.97290169691868</v>
      </c>
      <c r="CF9" s="308">
        <f>+CE9*$CF$6</f>
        <v>102.97290169691868</v>
      </c>
      <c r="CG9" s="1134">
        <f>+(CE9-CF9)*45</f>
        <v>0</v>
      </c>
      <c r="CH9" s="308">
        <f>+'MCP ST'!AR2</f>
        <v>8756.1869417259022</v>
      </c>
      <c r="CI9" s="1134">
        <f>+CH9+CG9</f>
        <v>8756.1869417259022</v>
      </c>
    </row>
    <row r="10" spans="1:87" s="362" customFormat="1">
      <c r="A10" s="3141">
        <f>+A9+1</f>
        <v>46083.791666666664</v>
      </c>
      <c r="B10" s="2054">
        <f>+'MCP ST'!B3</f>
        <v>180000.00000038478</v>
      </c>
      <c r="C10" s="3142">
        <f>+'MCP ST'!L3</f>
        <v>12.657770878649988</v>
      </c>
      <c r="D10" s="3143">
        <v>7.75</v>
      </c>
      <c r="E10" s="3144">
        <f>+'MCP ST'!T3+$B$4</f>
        <v>37.065796219206057</v>
      </c>
      <c r="F10" s="3910">
        <f>IFERROR($D$6*((E10)^($E$6)),0)</f>
        <v>7.0213969188109626</v>
      </c>
      <c r="G10" s="3144">
        <f>+'MCP ST'!V3*$G$7</f>
        <v>90.130573498039709</v>
      </c>
      <c r="H10" s="2354">
        <f>+'MCP ST'!W3</f>
        <v>26600.671733175586</v>
      </c>
      <c r="I10" s="2354">
        <f>+'MCP ST'!X3</f>
        <v>0</v>
      </c>
      <c r="J10" s="2354">
        <f>+SUM('MCP ST'!Y3:Z3)</f>
        <v>147119.12276274778</v>
      </c>
      <c r="K10" s="2354">
        <f>+'MCP ST'!AB3</f>
        <v>0</v>
      </c>
      <c r="L10" s="2354">
        <f>+'MCP ST'!AA3</f>
        <v>0</v>
      </c>
      <c r="M10" s="2354">
        <f>+'MCP ST'!AC3</f>
        <v>6280.0830496513117</v>
      </c>
      <c r="N10" s="2354">
        <v>16.666666666739658</v>
      </c>
      <c r="O10" s="2354">
        <v>79.058703581096538</v>
      </c>
      <c r="P10" s="2063">
        <f t="shared" ref="P10:P39" si="1">((($L$4*D10)^$L$5+SUMPRODUCT($D$3:$I$3,H10:M10)/SUM(H10:M10)*G10+SUMPRODUCT($D$5:$I$5,H10:M10)/SUM(H10:M10)*F10)*$Q$7)</f>
        <v>108.9778398332526</v>
      </c>
      <c r="Q10" s="2063">
        <f t="shared" ref="Q10:Q39" si="2">+P10/25.4</f>
        <v>4.2904661351674251</v>
      </c>
      <c r="R10" s="3142">
        <f t="shared" ref="R10:R39" si="3">($X$2+$Y$2*(F10^$AA$2)+$AB$2)*H10/SUM(H10:M10)+($X$3+$Y$3*(F10^$AA$3)+$AB$3)*I10/SUM(H10:M10)+($X$4+$Y$4*(F10^$AA$4)+$AB$4)*J10/SUM(H10:M10)+($X$5+$Y$5*(F10^$AA$5)+$AB$5)*K10/SUM(H10:M10)+($X$6+$Y$6*(F10^$AA$6)+$AB$6)*L10/SUM(H10:M10)+($X$6+$Y$6*(F10^$AA$6)+$AB$6)*M10/SUM(H10:M10)</f>
        <v>15.01330190372351</v>
      </c>
      <c r="S10" s="3142">
        <f t="shared" ref="S10:S39" si="4">+$P$2*R10+$Q$2</f>
        <v>19.573838020555975</v>
      </c>
      <c r="T10" s="3142">
        <f t="shared" ref="T10:T39" si="5">$P$3*(F10^$Q$3)*(P10^$R$3)*(1/(S10^$P$5))</f>
        <v>6.1466868617857768</v>
      </c>
      <c r="U10" s="2054">
        <f t="shared" ref="U10:U39" si="6">+$M$7</f>
        <v>41376</v>
      </c>
      <c r="V10" s="2054">
        <f t="shared" ref="V10:V39" si="7">IF((U10/T10)*$P$4+$Q$4&gt;$P$6,$P$6,(U10/T10)*$P$4+$Q$4)</f>
        <v>6731.4312458694485</v>
      </c>
      <c r="W10" s="2054">
        <f>+'ST Original'!BR9</f>
        <v>6590.1560877884194</v>
      </c>
      <c r="X10" s="2054">
        <f t="shared" ref="X10:X39" si="8">IF(((((1/(Y10/V10/(10*$AJ$2*C10)+(1/SQRT($AJ$3))))^2))*$AO$2)+$AO$3&gt;$AJ$5,$AJ$5,IF(((((1/(Y10/V10/(10*$AJ$2*C10)+(1/SQRT($AJ$3))))^2))*$AO$2)+$AO$3&lt;$AJ$6,$AJ$6,((((1/(Y10/V10/(10*$AJ$2*C10)+(1/SQRT($AJ$3))))^2))*$AO$2)+$AO$3))</f>
        <v>185.45667875652856</v>
      </c>
      <c r="Y10" s="3622">
        <v>55500</v>
      </c>
      <c r="Z10" s="3145">
        <f t="shared" ref="Z10:Z39" si="9">10*C10*$AJ$2*((1/(SQRT(X10)))-(1/(SQRT($AJ$3))))</f>
        <v>6.9084367830523927</v>
      </c>
      <c r="AA10" s="2054">
        <f t="shared" ref="AA10:AA39" si="10">$AJ$4/Z10</f>
        <v>7237.5273263929648</v>
      </c>
      <c r="AB10" s="2354" t="str">
        <f t="shared" ref="AB10:AB39" si="11">IF(AA10&lt;V10,"BOLAS","SAG")</f>
        <v>SAG</v>
      </c>
      <c r="AC10" s="3142">
        <f t="shared" ref="AC10:AC39" si="12">+T10*1.4</f>
        <v>8.6053616065000877</v>
      </c>
      <c r="AD10" s="2054">
        <f t="shared" ref="AD10:AD39" si="13">+$U$7/AC10</f>
        <v>1732.5245215422951</v>
      </c>
      <c r="AE10" s="3146">
        <f>+IF(ISNUMBER('ST Original'!BS9),('ST Original'!BS9),"0")</f>
        <v>1731.1922354740043</v>
      </c>
      <c r="AF10" s="2054">
        <f t="shared" ref="AF10:AF39" si="14">IFERROR(IF(((1/($U$4/AE10/(10*$AJ$2*C10)+(1/SQRT($AJ$3))))^2)&gt;$AJ$5,$AJ$5,IF(((1/($U$4/AE10/(10*$AJ$2*C10)+(1/SQRT($AJ$3))))^2)&lt;$AJ$6,$AJ$6,((1/($U$4/AE10/(10*$AJ$2*C10)+(1/SQRT($AJ$3))))^2))),"0")</f>
        <v>200.15214224158632</v>
      </c>
      <c r="AG10" s="2054">
        <f t="shared" ref="AG10:AG39" si="15">+IF(ISNUMBER(AF10),AF10,"0")</f>
        <v>200.15214224158632</v>
      </c>
      <c r="AH10" s="3147">
        <f t="shared" ref="AH10:AH39" si="16">IF(ISNUMBER(10*C10*$AK$6*((1/(SQRT(AG10)))-(1/(SQRT($U$5))))),10*C10*$AK$6*((1/(SQRT(AG10)))-(1/(SQRT($U$5)))),"0")</f>
        <v>6.9456239270671851</v>
      </c>
      <c r="AI10" s="2054">
        <f t="shared" ref="AI10:AI39" si="17">IFERROR($U$4/AH10,"0")</f>
        <v>1641.3212289790201</v>
      </c>
      <c r="AJ10" s="2354" t="str">
        <f t="shared" ref="AJ10:AJ39" si="18">IF(AI10&gt;AD10,"SAG","BOLAS")</f>
        <v>BOLAS</v>
      </c>
      <c r="AK10" s="308">
        <f>+IFERROR((AG10*'ST Original'!F9+X10*'ST Original'!G9)/('ST Original'!E9),"0")</f>
        <v>189.0101845256458</v>
      </c>
      <c r="AL10" s="308">
        <f t="shared" ref="AL10:AL39" si="19">+IFERROR((1/((($Y10/(AE10+W10)/(10*$AJ$2*C10)+(1/SQRT($AJ$3))))^2)*$AP$2+$AP$3),"0")</f>
        <v>197.14636251005234</v>
      </c>
      <c r="AM10" s="2063">
        <f>+'MCP ST'!AD3</f>
        <v>93.31225386784854</v>
      </c>
      <c r="AN10" s="2063">
        <f>+'MCP ST'!AE3</f>
        <v>91.993854571975803</v>
      </c>
      <c r="AO10" s="2063">
        <f>+'MCP ST'!AF3</f>
        <v>89.924033590102539</v>
      </c>
      <c r="AP10" s="2063">
        <f>+'MCP ST'!AG3</f>
        <v>88.027099668965533</v>
      </c>
      <c r="AQ10" s="2063">
        <f>+'MCP ST'!AH3</f>
        <v>84.955663477492948</v>
      </c>
      <c r="AR10" s="2063">
        <f>+'MCP ST'!AI3</f>
        <v>83.929747788390372</v>
      </c>
      <c r="AS10" s="2063">
        <f>+'MCP ST'!AJ3</f>
        <v>78.345164640849902</v>
      </c>
      <c r="AT10" s="2063">
        <f t="shared" ref="AT10:AT36" si="20">+INTERCEPT(AM10:AS10,$AM$7:$AS$7)</f>
        <v>105.7876431183312</v>
      </c>
      <c r="AU10" s="2063">
        <f t="shared" ref="AU10:AU36" si="21">+SLOPE(AM10:AS10,$AM$7:$AS$7)</f>
        <v>-8.8633731576477554E-2</v>
      </c>
      <c r="AV10" s="2063">
        <f t="shared" ref="AV10:AV38" si="22">+AK10*AU10+AT10</f>
        <v>89.034965157864619</v>
      </c>
      <c r="AW10" s="2063">
        <f t="shared" ref="AW10:AW36" si="23">+AV10*$AF$4+$AE$4</f>
        <v>90.240593071994596</v>
      </c>
      <c r="AX10" s="2063">
        <f>+'MCP ST'!D3</f>
        <v>0.51534433766209709</v>
      </c>
      <c r="AY10" s="3148">
        <f>+'MCP ST'!AL3</f>
        <v>6.8306433269372342E-3</v>
      </c>
      <c r="AZ10" s="2063">
        <f t="shared" ref="AZ10:AZ36" si="24">+IF(AY10&gt;$AE$6,(AX10-(AY10-$AE$6))/AX10,1)</f>
        <v>1</v>
      </c>
      <c r="BA10" s="2063">
        <f t="shared" ref="BA10:BA36" si="25">+AZ10*AW10</f>
        <v>90.240593071994596</v>
      </c>
      <c r="BB10" s="2063">
        <f>+'MCP ST'!N3</f>
        <v>0.93728208140654778</v>
      </c>
      <c r="BC10" s="2063">
        <f>+'MCP ST'!O3</f>
        <v>0.46000023609861412</v>
      </c>
      <c r="BD10" s="2063">
        <f>+'MCP ST'!P3</f>
        <v>0.22957473308023896</v>
      </c>
      <c r="BE10" s="2063">
        <f>+'MCP ST'!Q3</f>
        <v>4.2880437327138421E-2</v>
      </c>
      <c r="BF10" s="3149">
        <f t="shared" ref="BF10:BF36" si="26">1/($BD$1+$BD$2*(BB10/AX10)+$BD$3*(BC10/AX10)+$BD$4*(BD10/AX10)+$BD$5*(BE10/AX10))</f>
        <v>28.534132599024684</v>
      </c>
      <c r="BG10" s="3149">
        <f t="shared" ref="BG10:BG39" si="27">+($AW$2+($AW$3/($AU$2+$AU$3*($BB10/$AX10)+$AU$4*($BC10/$AX10)+$AU$5*($BD10/$AX10)+$AU$6*(($BE10)/$AX10))))*$AW$4+$AW$5</f>
        <v>25.967558402395714</v>
      </c>
      <c r="BH10" s="3150">
        <f t="shared" ref="BH10:BH36" si="28">+$BA$6+$BC$6/($BA$1+$BA$2*(BB10/AX10)+$BA$3*(BC10/AX10)+$BA$4*(BD10/AX10)+$BA$5*(BE10/AX10))</f>
        <v>29.47926777285651</v>
      </c>
      <c r="BI10" s="1134">
        <f t="shared" ref="BI10:BI39" si="29">+$BG$6+$BI$6/($BG$1+$BG$2*(BB10/AX10)+$BG$3*(BC10/AX10)+$BG$4*(BD10/AX10)+$BG$5*(BE10/AX10))</f>
        <v>28.534132599024684</v>
      </c>
      <c r="BJ10" s="3150">
        <f t="shared" ref="BJ10:BJ36" si="30">(-5.9445+1.1996/(0.027558+0.003094*(BB10/AX10)+0.003571*(BC10/AX10)-0.001979*(BD10/AX10)-0.005204*(BE10/AX10)))</f>
        <v>28.272985933128595</v>
      </c>
      <c r="BK10" s="3150">
        <f>+'MCP ST'!I3</f>
        <v>27.738964166145095</v>
      </c>
      <c r="BL10" s="3150">
        <f t="shared" ref="BL10:BL36" si="31">+Q10</f>
        <v>4.2904661351674251</v>
      </c>
      <c r="BM10" s="3150">
        <f>+'MCP ST'!AK3/25.4</f>
        <v>3.9680348397656013</v>
      </c>
      <c r="BN10" s="3150">
        <f t="shared" ref="BN10:BN36" si="32">+BM10-BL10</f>
        <v>-0.3224312954018238</v>
      </c>
      <c r="BO10" s="3151"/>
      <c r="BP10" s="3152">
        <f t="shared" ref="BP10:BP36" si="33">+AK10</f>
        <v>189.0101845256458</v>
      </c>
      <c r="BQ10" s="3152">
        <f>+'MCP ST'!S3</f>
        <v>207.82240251876564</v>
      </c>
      <c r="BR10" s="3150">
        <f t="shared" ref="BR10:BR36" si="34">+BQ10-BP10</f>
        <v>18.812217993119845</v>
      </c>
      <c r="BS10" s="3151"/>
      <c r="BT10" s="3150">
        <f t="shared" ref="BT10:BT36" si="35">+BA10</f>
        <v>90.240593071994596</v>
      </c>
      <c r="BU10" s="3150">
        <f>+'MCP ST'!J3</f>
        <v>89.381371015675711</v>
      </c>
      <c r="BV10" s="3150">
        <f t="shared" ref="BV10:BV36" si="36">+BU10-BT10</f>
        <v>-0.8592220563188846</v>
      </c>
      <c r="BW10" s="3150"/>
      <c r="BX10" s="1134">
        <f t="shared" ref="BX10:BX36" si="37">+BF10</f>
        <v>28.534132599024684</v>
      </c>
      <c r="BY10" s="1134">
        <f>+'MCP ST'!I3</f>
        <v>27.738964166145095</v>
      </c>
      <c r="BZ10" s="3150">
        <f t="shared" ref="BZ10:BZ36" si="38">+BY10-BX10</f>
        <v>-0.79516843287958849</v>
      </c>
      <c r="CA10" s="3150"/>
      <c r="CB10" s="3151"/>
      <c r="CC10" s="3150">
        <v>27.938278358254401</v>
      </c>
      <c r="CD10" s="3150">
        <f t="shared" ref="CD10:CD36" si="39">+BY10-CC10</f>
        <v>-0.19931419210930557</v>
      </c>
      <c r="CE10" s="308">
        <f>+'MCP ST'!AK3</f>
        <v>100.78808493004627</v>
      </c>
      <c r="CF10" s="308">
        <f t="shared" ref="CF10:CF36" si="40">+CE10*$CF$6</f>
        <v>100.78808493004627</v>
      </c>
      <c r="CG10" s="1134">
        <f t="shared" ref="CG10:CG36" si="41">+(CE10-CF10)*45</f>
        <v>0</v>
      </c>
      <c r="CH10" s="308">
        <f>+'MCP ST'!AR3</f>
        <v>8813.0735087652793</v>
      </c>
      <c r="CI10" s="1134">
        <f t="shared" ref="CI10:CI36" si="42">+CH10+CG10</f>
        <v>8813.0735087652793</v>
      </c>
    </row>
    <row r="11" spans="1:87" s="362" customFormat="1">
      <c r="A11" s="3141">
        <f t="shared" ref="A11:A39" si="43">+A10+1</f>
        <v>46084.791666666664</v>
      </c>
      <c r="B11" s="2054">
        <f>+'MCP ST'!B4</f>
        <v>190000.00000005015</v>
      </c>
      <c r="C11" s="3142">
        <f>+'MCP ST'!L4</f>
        <v>12.600060268728631</v>
      </c>
      <c r="D11" s="3143">
        <v>7.75</v>
      </c>
      <c r="E11" s="3144">
        <f>+'MCP ST'!T4+$B$4</f>
        <v>36.156022597522785</v>
      </c>
      <c r="F11" s="3910">
        <f>IFERROR($D$6*((E11)^($E$6)),0)</f>
        <v>7.2093506286685862</v>
      </c>
      <c r="G11" s="3144">
        <f>+'MCP ST'!V4*$G$7</f>
        <v>96.270823334597765</v>
      </c>
      <c r="H11" s="2354">
        <f>+'MCP ST'!W4</f>
        <v>10389.325510548188</v>
      </c>
      <c r="I11" s="2354">
        <f>+'MCP ST'!X4</f>
        <v>0</v>
      </c>
      <c r="J11" s="2354">
        <f>+SUM('MCP ST'!Y4:Z4)</f>
        <v>175243.75533439484</v>
      </c>
      <c r="K11" s="2354">
        <f>+'MCP ST'!AB4</f>
        <v>0</v>
      </c>
      <c r="L11" s="2354">
        <f>+'MCP ST'!AA4</f>
        <v>1078.70511321708</v>
      </c>
      <c r="M11" s="2354">
        <f>+'MCP ST'!AC4</f>
        <v>3288.09892033096</v>
      </c>
      <c r="N11" s="2354">
        <v>5.2631578947506412</v>
      </c>
      <c r="O11" s="2354">
        <v>86.970455371098396</v>
      </c>
      <c r="P11" s="2063">
        <f t="shared" si="1"/>
        <v>111.30898387860118</v>
      </c>
      <c r="Q11" s="2063">
        <f t="shared" si="2"/>
        <v>4.382243459787448</v>
      </c>
      <c r="R11" s="3142">
        <f t="shared" si="3"/>
        <v>15.207941168982453</v>
      </c>
      <c r="S11" s="3142">
        <f t="shared" si="4"/>
        <v>19.701696553904576</v>
      </c>
      <c r="T11" s="3142">
        <f t="shared" si="5"/>
        <v>6.3325378171074984</v>
      </c>
      <c r="U11" s="2054">
        <f t="shared" si="6"/>
        <v>41376</v>
      </c>
      <c r="V11" s="2054">
        <f t="shared" si="7"/>
        <v>6533.8733371985199</v>
      </c>
      <c r="W11" s="2054">
        <f>+'ST Original'!BR10</f>
        <v>6710.5682057887007</v>
      </c>
      <c r="X11" s="2054">
        <f t="shared" si="8"/>
        <v>182.6465283850188</v>
      </c>
      <c r="Y11" s="3622">
        <v>55500</v>
      </c>
      <c r="Z11" s="3145">
        <f t="shared" si="9"/>
        <v>6.94288104167003</v>
      </c>
      <c r="AA11" s="2054">
        <f t="shared" si="10"/>
        <v>7201.6213010000065</v>
      </c>
      <c r="AB11" s="2354" t="str">
        <f t="shared" si="11"/>
        <v>SAG</v>
      </c>
      <c r="AC11" s="3142">
        <f t="shared" si="12"/>
        <v>8.8655529439504974</v>
      </c>
      <c r="AD11" s="2054">
        <f t="shared" si="13"/>
        <v>1681.6773972539763</v>
      </c>
      <c r="AE11" s="3146">
        <f>+IF(ISNUMBER('ST Original'!BS10),('ST Original'!BS10),"0")</f>
        <v>1680.3842118820737</v>
      </c>
      <c r="AF11" s="2054">
        <f t="shared" si="14"/>
        <v>189.52152303774361</v>
      </c>
      <c r="AG11" s="2054">
        <f t="shared" si="15"/>
        <v>189.52152303774361</v>
      </c>
      <c r="AH11" s="3147">
        <f t="shared" si="16"/>
        <v>7.1603317497729817</v>
      </c>
      <c r="AI11" s="2054">
        <f t="shared" si="17"/>
        <v>1592.1050027272042</v>
      </c>
      <c r="AJ11" s="2354" t="str">
        <f t="shared" si="18"/>
        <v>BOLAS</v>
      </c>
      <c r="AK11" s="308">
        <f>+IFERROR((AG11*'ST Original'!F10+X11*'ST Original'!G10)/('ST Original'!E10),"0")</f>
        <v>184.5108816616511</v>
      </c>
      <c r="AL11" s="308">
        <f t="shared" si="19"/>
        <v>198.31984056042879</v>
      </c>
      <c r="AM11" s="2063">
        <f>+'MCP ST'!AD4</f>
        <v>93.4379429744981</v>
      </c>
      <c r="AN11" s="2063">
        <f>+'MCP ST'!AE4</f>
        <v>92.211499235870107</v>
      </c>
      <c r="AO11" s="2063">
        <f>+'MCP ST'!AF4</f>
        <v>90.065653970156376</v>
      </c>
      <c r="AP11" s="2063">
        <f>+'MCP ST'!AG4</f>
        <v>88.289830685610426</v>
      </c>
      <c r="AQ11" s="2063">
        <f>+'MCP ST'!AH4</f>
        <v>85.137229006702512</v>
      </c>
      <c r="AR11" s="2063">
        <f>+'MCP ST'!AI4</f>
        <v>84.107347420172104</v>
      </c>
      <c r="AS11" s="2063">
        <f>+'MCP ST'!AJ4</f>
        <v>79.241430310605224</v>
      </c>
      <c r="AT11" s="2063">
        <f t="shared" si="20"/>
        <v>105.38037750085969</v>
      </c>
      <c r="AU11" s="2063">
        <f t="shared" si="21"/>
        <v>-8.5324954943696643E-2</v>
      </c>
      <c r="AV11" s="2063">
        <f t="shared" si="22"/>
        <v>89.636994836457575</v>
      </c>
      <c r="AW11" s="2063">
        <f t="shared" si="23"/>
        <v>90.559006569002406</v>
      </c>
      <c r="AX11" s="2063">
        <f>+'MCP ST'!D4</f>
        <v>0.49680204407498407</v>
      </c>
      <c r="AY11" s="3148">
        <f>+'MCP ST'!AL4</f>
        <v>5.6457581956521922E-3</v>
      </c>
      <c r="AZ11" s="2063">
        <f t="shared" si="24"/>
        <v>1</v>
      </c>
      <c r="BA11" s="2063">
        <f t="shared" si="25"/>
        <v>90.559006569002406</v>
      </c>
      <c r="BB11" s="2063">
        <f>+'MCP ST'!N4</f>
        <v>1.0058328114240622</v>
      </c>
      <c r="BC11" s="2063">
        <f>+'MCP ST'!O4</f>
        <v>0.25435446664700512</v>
      </c>
      <c r="BD11" s="2063">
        <f>+'MCP ST'!P4</f>
        <v>0.1997558473034855</v>
      </c>
      <c r="BE11" s="2063">
        <f>+'MCP ST'!Q4</f>
        <v>1.1616284463202731E-2</v>
      </c>
      <c r="BF11" s="3149">
        <f t="shared" si="26"/>
        <v>28.810557320073052</v>
      </c>
      <c r="BG11" s="3149">
        <f t="shared" si="27"/>
        <v>28.414617158751398</v>
      </c>
      <c r="BH11" s="3150">
        <f t="shared" si="28"/>
        <v>30.194178376321624</v>
      </c>
      <c r="BI11" s="1134">
        <f t="shared" si="29"/>
        <v>28.810557320073052</v>
      </c>
      <c r="BJ11" s="3150">
        <f t="shared" si="30"/>
        <v>28.593211669185514</v>
      </c>
      <c r="BK11" s="3150">
        <f>+'MCP ST'!I4</f>
        <v>27.780394265281327</v>
      </c>
      <c r="BL11" s="3150">
        <f t="shared" si="31"/>
        <v>4.382243459787448</v>
      </c>
      <c r="BM11" s="3150">
        <f>+'MCP ST'!AK4/25.4</f>
        <v>4.0707673227381251</v>
      </c>
      <c r="BN11" s="3150">
        <f t="shared" si="32"/>
        <v>-0.31147613704932287</v>
      </c>
      <c r="BO11" s="3151"/>
      <c r="BP11" s="3152">
        <f t="shared" si="33"/>
        <v>184.5108816616511</v>
      </c>
      <c r="BQ11" s="3152">
        <f>+'MCP ST'!S4</f>
        <v>203.86502669804298</v>
      </c>
      <c r="BR11" s="3150">
        <f t="shared" si="34"/>
        <v>19.354145036391884</v>
      </c>
      <c r="BS11" s="3151"/>
      <c r="BT11" s="3150">
        <f t="shared" si="35"/>
        <v>90.559006569002406</v>
      </c>
      <c r="BU11" s="3150">
        <f>+'MCP ST'!J4</f>
        <v>89.67475520919325</v>
      </c>
      <c r="BV11" s="3150">
        <f t="shared" si="36"/>
        <v>-0.8842513598091557</v>
      </c>
      <c r="BW11" s="3150"/>
      <c r="BX11" s="1134">
        <f t="shared" si="37"/>
        <v>28.810557320073052</v>
      </c>
      <c r="BY11" s="1134">
        <f>+'MCP ST'!I4</f>
        <v>27.780394265281327</v>
      </c>
      <c r="BZ11" s="3150">
        <f t="shared" si="38"/>
        <v>-1.0301630547917249</v>
      </c>
      <c r="CA11" s="3150"/>
      <c r="CB11" s="3151"/>
      <c r="CC11" s="3150">
        <v>28.938278358254401</v>
      </c>
      <c r="CD11" s="3150">
        <f t="shared" si="39"/>
        <v>-1.1578840929730738</v>
      </c>
      <c r="CE11" s="308">
        <f>+'MCP ST'!AK4</f>
        <v>103.39748999754836</v>
      </c>
      <c r="CF11" s="308">
        <f t="shared" si="40"/>
        <v>103.39748999754836</v>
      </c>
      <c r="CG11" s="1134">
        <f t="shared" si="41"/>
        <v>0</v>
      </c>
      <c r="CH11" s="308">
        <f>+'MCP ST'!AR4</f>
        <v>8630.8478395701077</v>
      </c>
      <c r="CI11" s="1134">
        <f t="shared" si="42"/>
        <v>8630.8478395701077</v>
      </c>
    </row>
    <row r="12" spans="1:87" s="362" customFormat="1">
      <c r="A12" s="3141">
        <f t="shared" si="43"/>
        <v>46085.791666666664</v>
      </c>
      <c r="B12" s="2054">
        <f>+'MCP ST'!B5</f>
        <v>175916.20114159485</v>
      </c>
      <c r="C12" s="3142">
        <f>+'MCP ST'!L5</f>
        <v>12.738623238526184</v>
      </c>
      <c r="D12" s="3143">
        <v>7.75</v>
      </c>
      <c r="E12" s="3144">
        <f>+'MCP ST'!T5+$B$4</f>
        <v>35.229162470968802</v>
      </c>
      <c r="F12" s="3910">
        <f>IFERROR($D$6*((E12)^($E$6)),0)</f>
        <v>7.4111399347375579</v>
      </c>
      <c r="G12" s="3144">
        <f>+'MCP ST'!V5*$G$7</f>
        <v>93.837024872477173</v>
      </c>
      <c r="H12" s="2354">
        <f>+'MCP ST'!W5</f>
        <v>12186.107942683591</v>
      </c>
      <c r="I12" s="2354">
        <f>+'MCP ST'!X5</f>
        <v>0</v>
      </c>
      <c r="J12" s="2354">
        <f>+SUM('MCP ST'!Y5:Z5)</f>
        <v>150770.06196649408</v>
      </c>
      <c r="K12" s="2354">
        <f>+'MCP ST'!AB5</f>
        <v>0</v>
      </c>
      <c r="L12" s="2354">
        <f>+'MCP ST'!AA5</f>
        <v>8035.1563877162562</v>
      </c>
      <c r="M12" s="2354">
        <f>+'MCP ST'!AC5</f>
        <v>4924.8541334186893</v>
      </c>
      <c r="N12" s="2354">
        <v>0</v>
      </c>
      <c r="O12" s="2354">
        <v>85.471472649133702</v>
      </c>
      <c r="P12" s="2063">
        <f t="shared" si="1"/>
        <v>110.48449774097553</v>
      </c>
      <c r="Q12" s="2063">
        <f t="shared" si="2"/>
        <v>4.3497833756289577</v>
      </c>
      <c r="R12" s="3142">
        <f t="shared" si="3"/>
        <v>14.968688946705425</v>
      </c>
      <c r="S12" s="3142">
        <f t="shared" si="4"/>
        <v>19.544531769090796</v>
      </c>
      <c r="T12" s="3142">
        <f t="shared" si="5"/>
        <v>6.4156338313232064</v>
      </c>
      <c r="U12" s="2054">
        <f t="shared" si="6"/>
        <v>41376</v>
      </c>
      <c r="V12" s="2054">
        <f t="shared" si="7"/>
        <v>6449.2458715441244</v>
      </c>
      <c r="W12" s="2054">
        <f>+'ST Original'!BR11</f>
        <v>6770.712788700449</v>
      </c>
      <c r="X12" s="2054">
        <f t="shared" si="8"/>
        <v>182.47940279822797</v>
      </c>
      <c r="Y12" s="3622">
        <v>55500</v>
      </c>
      <c r="Z12" s="3145">
        <f t="shared" si="9"/>
        <v>7.0232452431257055</v>
      </c>
      <c r="AA12" s="2054">
        <f t="shared" si="10"/>
        <v>7119.2160132724384</v>
      </c>
      <c r="AB12" s="2354" t="str">
        <f t="shared" si="11"/>
        <v>SAG</v>
      </c>
      <c r="AC12" s="3142">
        <f t="shared" si="12"/>
        <v>8.9818873638524881</v>
      </c>
      <c r="AD12" s="2054">
        <f t="shared" si="13"/>
        <v>1659.8961216103771</v>
      </c>
      <c r="AE12" s="3146">
        <f>+IF(ISNUMBER('ST Original'!BS11),('ST Original'!BS11),"0")</f>
        <v>1658.6196857215143</v>
      </c>
      <c r="AF12" s="2054">
        <f t="shared" si="14"/>
        <v>188.88810541211663</v>
      </c>
      <c r="AG12" s="2054">
        <f t="shared" si="15"/>
        <v>188.88810541211663</v>
      </c>
      <c r="AH12" s="3147">
        <f t="shared" si="16"/>
        <v>7.254575885871783</v>
      </c>
      <c r="AI12" s="2054">
        <f t="shared" si="17"/>
        <v>1571.4219796365203</v>
      </c>
      <c r="AJ12" s="2354" t="str">
        <f t="shared" si="18"/>
        <v>BOLAS</v>
      </c>
      <c r="AK12" s="308">
        <f>+IFERROR((AG12*'ST Original'!F11+X12*'ST Original'!G11)/('ST Original'!E11),"0")</f>
        <v>184.18963336392423</v>
      </c>
      <c r="AL12" s="308">
        <f t="shared" si="19"/>
        <v>203.22213043948199</v>
      </c>
      <c r="AM12" s="2063">
        <f>+'MCP ST'!AD5</f>
        <v>93.157842022969504</v>
      </c>
      <c r="AN12" s="2063">
        <f>+'MCP ST'!AE5</f>
        <v>92.013316550161463</v>
      </c>
      <c r="AO12" s="2063">
        <f>+'MCP ST'!AF5</f>
        <v>89.958256663488356</v>
      </c>
      <c r="AP12" s="2063">
        <f>+'MCP ST'!AG5</f>
        <v>88.157266059932567</v>
      </c>
      <c r="AQ12" s="2063">
        <f>+'MCP ST'!AH5</f>
        <v>85.131748229045101</v>
      </c>
      <c r="AR12" s="2063">
        <f>+'MCP ST'!AI5</f>
        <v>84.138837801055104</v>
      </c>
      <c r="AS12" s="2063">
        <f>+'MCP ST'!AJ5</f>
        <v>79.9059779986558</v>
      </c>
      <c r="AT12" s="2063">
        <f t="shared" si="20"/>
        <v>104.3868955053654</v>
      </c>
      <c r="AU12" s="2063">
        <f t="shared" si="21"/>
        <v>-8.0603287806577939E-2</v>
      </c>
      <c r="AV12" s="2063">
        <f t="shared" si="22"/>
        <v>89.54060547634495</v>
      </c>
      <c r="AW12" s="2063">
        <f t="shared" si="23"/>
        <v>90.508026236438837</v>
      </c>
      <c r="AX12" s="2063">
        <f>+'MCP ST'!D5</f>
        <v>0.4882136188061143</v>
      </c>
      <c r="AY12" s="3148">
        <f>+'MCP ST'!AL5</f>
        <v>5.9103655226860844E-3</v>
      </c>
      <c r="AZ12" s="2063">
        <f t="shared" si="24"/>
        <v>1</v>
      </c>
      <c r="BA12" s="2063">
        <f t="shared" si="25"/>
        <v>90.508026236438837</v>
      </c>
      <c r="BB12" s="2063">
        <f>+'MCP ST'!N5</f>
        <v>1.0349668571883945</v>
      </c>
      <c r="BC12" s="2063">
        <f>+'MCP ST'!O5</f>
        <v>0.48383970682165478</v>
      </c>
      <c r="BD12" s="2063">
        <f>+'MCP ST'!P5</f>
        <v>0.16775810913115535</v>
      </c>
      <c r="BE12" s="2063">
        <f>+'MCP ST'!Q5</f>
        <v>1.4048100956178441E-2</v>
      </c>
      <c r="BF12" s="3149">
        <f t="shared" si="26"/>
        <v>27.155568161543158</v>
      </c>
      <c r="BG12" s="3149">
        <f t="shared" si="27"/>
        <v>24.430191480480861</v>
      </c>
      <c r="BH12" s="3150">
        <f t="shared" si="28"/>
        <v>27.07921245279443</v>
      </c>
      <c r="BI12" s="1134">
        <f t="shared" si="29"/>
        <v>27.155568161543158</v>
      </c>
      <c r="BJ12" s="3150">
        <f t="shared" si="30"/>
        <v>26.630101801689193</v>
      </c>
      <c r="BK12" s="3150">
        <f>+'MCP ST'!I5</f>
        <v>26.712253442403213</v>
      </c>
      <c r="BL12" s="3150">
        <f t="shared" si="31"/>
        <v>4.3497833756289577</v>
      </c>
      <c r="BM12" s="3150">
        <f>+'MCP ST'!AK5/25.4</f>
        <v>4.0447002074878533</v>
      </c>
      <c r="BN12" s="3150">
        <f t="shared" si="32"/>
        <v>-0.30508316814110437</v>
      </c>
      <c r="BO12" s="3151"/>
      <c r="BP12" s="3152">
        <f t="shared" si="33"/>
        <v>184.18963336392423</v>
      </c>
      <c r="BQ12" s="3152">
        <f>+'MCP ST'!S5</f>
        <v>203.43099331327943</v>
      </c>
      <c r="BR12" s="3150">
        <f t="shared" si="34"/>
        <v>19.2413599493552</v>
      </c>
      <c r="BS12" s="3151"/>
      <c r="BT12" s="3150">
        <f t="shared" si="35"/>
        <v>90.508026236438837</v>
      </c>
      <c r="BU12" s="3150">
        <f>+'MCP ST'!J5</f>
        <v>89.658220041434518</v>
      </c>
      <c r="BV12" s="3150">
        <f t="shared" si="36"/>
        <v>-0.84980619500431942</v>
      </c>
      <c r="BW12" s="3150"/>
      <c r="BX12" s="1134">
        <f t="shared" si="37"/>
        <v>27.155568161543158</v>
      </c>
      <c r="BY12" s="1134">
        <f>+'MCP ST'!I5</f>
        <v>26.712253442403213</v>
      </c>
      <c r="BZ12" s="3150">
        <f t="shared" si="38"/>
        <v>-0.44331471913994491</v>
      </c>
      <c r="CA12" s="3150"/>
      <c r="CB12" s="3151"/>
      <c r="CC12" s="3150">
        <v>29.938278358254401</v>
      </c>
      <c r="CD12" s="3150">
        <f t="shared" si="39"/>
        <v>-3.2260249158511876</v>
      </c>
      <c r="CE12" s="308">
        <f>+'MCP ST'!AK5</f>
        <v>102.73538527019146</v>
      </c>
      <c r="CF12" s="308">
        <f t="shared" si="40"/>
        <v>102.73538527019146</v>
      </c>
      <c r="CG12" s="1134">
        <f t="shared" si="41"/>
        <v>0</v>
      </c>
      <c r="CH12" s="308">
        <f>+'MCP ST'!AR5</f>
        <v>8568.9623916155961</v>
      </c>
      <c r="CI12" s="1134">
        <f t="shared" si="42"/>
        <v>8568.9623916155961</v>
      </c>
    </row>
    <row r="13" spans="1:87" s="362" customFormat="1">
      <c r="A13" s="3141">
        <f t="shared" si="43"/>
        <v>46086.791666666664</v>
      </c>
      <c r="B13" s="2054">
        <f>+'MCP ST'!B6</f>
        <v>180000.09726478133</v>
      </c>
      <c r="C13" s="3142">
        <f>+'MCP ST'!L6</f>
        <v>12.621615419415265</v>
      </c>
      <c r="D13" s="3143">
        <v>7.75</v>
      </c>
      <c r="E13" s="3144">
        <f>+'MCP ST'!T6+$B$4</f>
        <v>36.905824554680905</v>
      </c>
      <c r="F13" s="3910">
        <f t="shared" ref="F13:F36" si="44">IFERROR($D$6*((E13)^($E$6)),0)</f>
        <v>7.053753613722586</v>
      </c>
      <c r="G13" s="3144">
        <f>+'MCP ST'!V6*$G$7</f>
        <v>86.83290792940636</v>
      </c>
      <c r="H13" s="2354">
        <f>+'MCP ST'!W6</f>
        <v>38139.534441541626</v>
      </c>
      <c r="I13" s="2354">
        <f>+'MCP ST'!X6</f>
        <v>0</v>
      </c>
      <c r="J13" s="2354">
        <f>+SUM('MCP ST'!Y6:Z6)</f>
        <v>136696.85448163204</v>
      </c>
      <c r="K13" s="2354">
        <f>+'MCP ST'!AB6</f>
        <v>0.60897246319332088</v>
      </c>
      <c r="L13" s="2354">
        <f>+'MCP ST'!AA6</f>
        <v>4771.4142113372009</v>
      </c>
      <c r="M13" s="2354">
        <f>+'MCP ST'!AC6</f>
        <v>391.61540188312591</v>
      </c>
      <c r="N13" s="2354">
        <v>11.111105107146809</v>
      </c>
      <c r="O13" s="2354">
        <v>63.380745094581869</v>
      </c>
      <c r="P13" s="2063">
        <f t="shared" si="1"/>
        <v>108.79301062277133</v>
      </c>
      <c r="Q13" s="2063">
        <f t="shared" si="2"/>
        <v>4.2831893945972972</v>
      </c>
      <c r="R13" s="3142">
        <f t="shared" si="3"/>
        <v>14.779757815589065</v>
      </c>
      <c r="S13" s="3142">
        <f t="shared" si="4"/>
        <v>19.420422909060456</v>
      </c>
      <c r="T13" s="3142">
        <f t="shared" si="5"/>
        <v>6.1660860909003139</v>
      </c>
      <c r="U13" s="2054">
        <f t="shared" si="6"/>
        <v>41376</v>
      </c>
      <c r="V13" s="2054">
        <f t="shared" si="7"/>
        <v>6710.2533746749332</v>
      </c>
      <c r="W13" s="2054">
        <f>+'ST Original'!BR12</f>
        <v>7057.1149875788478</v>
      </c>
      <c r="X13" s="2054">
        <f t="shared" si="8"/>
        <v>184.95458793609643</v>
      </c>
      <c r="Y13" s="3622">
        <v>55500</v>
      </c>
      <c r="Z13" s="3145">
        <f t="shared" si="9"/>
        <v>6.900395109232754</v>
      </c>
      <c r="AA13" s="2054">
        <f t="shared" si="10"/>
        <v>7245.9618918197621</v>
      </c>
      <c r="AB13" s="2354" t="str">
        <f t="shared" si="11"/>
        <v>SAG</v>
      </c>
      <c r="AC13" s="3142">
        <f t="shared" si="12"/>
        <v>8.6325205272604393</v>
      </c>
      <c r="AD13" s="2054">
        <f t="shared" si="13"/>
        <v>1727.0737964559955</v>
      </c>
      <c r="AE13" s="3146">
        <f>+IF(ISNUMBER('ST Original'!BS12),('ST Original'!BS12),"0")</f>
        <v>1725.7457019157346</v>
      </c>
      <c r="AF13" s="2054">
        <f t="shared" si="14"/>
        <v>198.25551439899826</v>
      </c>
      <c r="AG13" s="2054">
        <f t="shared" si="15"/>
        <v>198.25551439899826</v>
      </c>
      <c r="AH13" s="3147">
        <f t="shared" si="16"/>
        <v>6.9683568146731991</v>
      </c>
      <c r="AI13" s="2054">
        <f t="shared" si="17"/>
        <v>1635.9667426896301</v>
      </c>
      <c r="AJ13" s="2354" t="str">
        <f t="shared" si="18"/>
        <v>BOLAS</v>
      </c>
      <c r="AK13" s="308">
        <f>+IFERROR((AG13*'ST Original'!F12+X13*'ST Original'!G12)/('ST Original'!E12),"0")</f>
        <v>188.49951296333694</v>
      </c>
      <c r="AL13" s="308">
        <f t="shared" si="19"/>
        <v>213.62976044498907</v>
      </c>
      <c r="AM13" s="2063">
        <f>+'MCP ST'!AD6</f>
        <v>92.150415681576746</v>
      </c>
      <c r="AN13" s="2063">
        <f>+'MCP ST'!AE6</f>
        <v>90.970980731564993</v>
      </c>
      <c r="AO13" s="2063">
        <f>+'MCP ST'!AF6</f>
        <v>88.860619405702849</v>
      </c>
      <c r="AP13" s="2063">
        <f>+'MCP ST'!AG6</f>
        <v>86.763810610099824</v>
      </c>
      <c r="AQ13" s="2063">
        <f>+'MCP ST'!AH6</f>
        <v>83.83337279821157</v>
      </c>
      <c r="AR13" s="2063">
        <f>+'MCP ST'!AI6</f>
        <v>82.817404430680867</v>
      </c>
      <c r="AS13" s="2063">
        <f>+'MCP ST'!AJ6</f>
        <v>78.432360971645508</v>
      </c>
      <c r="AT13" s="2063">
        <f t="shared" si="20"/>
        <v>103.75998134582002</v>
      </c>
      <c r="AU13" s="2063">
        <f t="shared" si="21"/>
        <v>-8.3497549278294336E-2</v>
      </c>
      <c r="AV13" s="2063">
        <f t="shared" si="22"/>
        <v>88.020733973229312</v>
      </c>
      <c r="AW13" s="2063">
        <f t="shared" si="23"/>
        <v>89.704166198440987</v>
      </c>
      <c r="AX13" s="2063">
        <f>+'MCP ST'!D6</f>
        <v>0.49844229396827905</v>
      </c>
      <c r="AY13" s="3148">
        <f>+'MCP ST'!AL6</f>
        <v>7.8090613335430811E-3</v>
      </c>
      <c r="AZ13" s="2063">
        <f t="shared" si="24"/>
        <v>1</v>
      </c>
      <c r="BA13" s="2063">
        <f t="shared" si="25"/>
        <v>89.704166198440987</v>
      </c>
      <c r="BB13" s="2063">
        <f>+'MCP ST'!N6</f>
        <v>0.99219627436144897</v>
      </c>
      <c r="BC13" s="2063">
        <f>+'MCP ST'!O6</f>
        <v>0.74405936722098331</v>
      </c>
      <c r="BD13" s="2063">
        <f>+'MCP ST'!P6</f>
        <v>0.12445850225168868</v>
      </c>
      <c r="BE13" s="2063">
        <f>+'MCP ST'!Q6</f>
        <v>8.3813226325031881E-2</v>
      </c>
      <c r="BF13" s="3149">
        <f t="shared" si="26"/>
        <v>26.48178954514394</v>
      </c>
      <c r="BG13" s="3149">
        <f t="shared" si="27"/>
        <v>21.891496742307975</v>
      </c>
      <c r="BH13" s="3150">
        <f t="shared" si="28"/>
        <v>25.269473688418515</v>
      </c>
      <c r="BI13" s="1134">
        <f t="shared" si="29"/>
        <v>26.48178954514394</v>
      </c>
      <c r="BJ13" s="3150">
        <f t="shared" si="30"/>
        <v>25.893389510142427</v>
      </c>
      <c r="BK13" s="3150">
        <f>+'MCP ST'!I6</f>
        <v>25.9780525805396</v>
      </c>
      <c r="BL13" s="3150">
        <f t="shared" si="31"/>
        <v>4.2831893945972972</v>
      </c>
      <c r="BM13" s="3150">
        <f>+'MCP ST'!AK6/25.4</f>
        <v>3.9248910623191433</v>
      </c>
      <c r="BN13" s="3150">
        <f t="shared" si="32"/>
        <v>-0.35829833227815389</v>
      </c>
      <c r="BO13" s="3151"/>
      <c r="BP13" s="3152">
        <f t="shared" si="33"/>
        <v>188.49951296333694</v>
      </c>
      <c r="BQ13" s="3152">
        <f>+'MCP ST'!S6</f>
        <v>203.70604619052909</v>
      </c>
      <c r="BR13" s="3150">
        <f t="shared" si="34"/>
        <v>15.206533227192153</v>
      </c>
      <c r="BS13" s="3151"/>
      <c r="BT13" s="3150">
        <f t="shared" si="35"/>
        <v>89.704166198440987</v>
      </c>
      <c r="BU13" s="3150">
        <f>+'MCP ST'!J6</f>
        <v>88.913686320215149</v>
      </c>
      <c r="BV13" s="3150">
        <f t="shared" si="36"/>
        <v>-0.79047987822583821</v>
      </c>
      <c r="BW13" s="3150"/>
      <c r="BX13" s="1134">
        <f t="shared" si="37"/>
        <v>26.48178954514394</v>
      </c>
      <c r="BY13" s="1134">
        <f>+'MCP ST'!I6</f>
        <v>25.9780525805396</v>
      </c>
      <c r="BZ13" s="3150">
        <f t="shared" si="38"/>
        <v>-0.50373696460433948</v>
      </c>
      <c r="CA13" s="3150"/>
      <c r="CB13" s="3151"/>
      <c r="CC13" s="3150">
        <v>30.938278358254401</v>
      </c>
      <c r="CD13" s="3150">
        <f t="shared" si="39"/>
        <v>-4.9602257777148004</v>
      </c>
      <c r="CE13" s="308">
        <f>+'MCP ST'!AK6</f>
        <v>99.692232982906233</v>
      </c>
      <c r="CF13" s="308">
        <f t="shared" si="40"/>
        <v>99.692232982906233</v>
      </c>
      <c r="CG13" s="1134">
        <f t="shared" si="41"/>
        <v>0</v>
      </c>
      <c r="CH13" s="308">
        <f>+'MCP ST'!AR6</f>
        <v>8652.1409613878241</v>
      </c>
      <c r="CI13" s="1134">
        <f t="shared" si="42"/>
        <v>8652.1409613878241</v>
      </c>
    </row>
    <row r="14" spans="1:87" s="362" customFormat="1">
      <c r="A14" s="3141">
        <f t="shared" si="43"/>
        <v>46087.791666666664</v>
      </c>
      <c r="B14" s="2054">
        <f>+'MCP ST'!B7</f>
        <v>159999.99999997913</v>
      </c>
      <c r="C14" s="3142">
        <f>+'MCP ST'!L7</f>
        <v>12.559396532097116</v>
      </c>
      <c r="D14" s="3143">
        <v>7.75</v>
      </c>
      <c r="E14" s="3144">
        <f>+'MCP ST'!T7+$B$4</f>
        <v>36.486561420348757</v>
      </c>
      <c r="F14" s="3910">
        <f t="shared" si="44"/>
        <v>7.1399450067649353</v>
      </c>
      <c r="G14" s="3144">
        <f>+'MCP ST'!V7*$G$7</f>
        <v>81.236583504793145</v>
      </c>
      <c r="H14" s="2354">
        <f>+'MCP ST'!W7</f>
        <v>38131.542746562583</v>
      </c>
      <c r="I14" s="2354">
        <f>+'MCP ST'!X7</f>
        <v>0</v>
      </c>
      <c r="J14" s="2354">
        <f>+SUM('MCP ST'!Y7:Z7)</f>
        <v>118668.52243524104</v>
      </c>
      <c r="K14" s="2354">
        <f>+'MCP ST'!AB7</f>
        <v>76.056287930899913</v>
      </c>
      <c r="L14" s="2354">
        <f>+'MCP ST'!AA7</f>
        <v>2847.4788347452263</v>
      </c>
      <c r="M14" s="2354">
        <f>+'MCP ST'!AC7</f>
        <v>276.18215630581062</v>
      </c>
      <c r="N14" s="2354">
        <v>0</v>
      </c>
      <c r="O14" s="2354">
        <v>63.66146780975577</v>
      </c>
      <c r="P14" s="2063">
        <f t="shared" si="1"/>
        <v>106.48031993684724</v>
      </c>
      <c r="Q14" s="2063">
        <f t="shared" si="2"/>
        <v>4.1921385801908366</v>
      </c>
      <c r="R14" s="3142">
        <f t="shared" si="3"/>
        <v>14.635601683864223</v>
      </c>
      <c r="S14" s="3142">
        <f t="shared" si="4"/>
        <v>19.32572674613041</v>
      </c>
      <c r="T14" s="3142">
        <f t="shared" si="5"/>
        <v>6.1232632578343527</v>
      </c>
      <c r="U14" s="2054">
        <f t="shared" si="6"/>
        <v>41376</v>
      </c>
      <c r="V14" s="2054">
        <f t="shared" si="7"/>
        <v>6757.1813031330739</v>
      </c>
      <c r="W14" s="2054">
        <f>+'ST Original'!BR13</f>
        <v>7051.2200697811595</v>
      </c>
      <c r="X14" s="2054">
        <f t="shared" si="8"/>
        <v>185.12341832526764</v>
      </c>
      <c r="Y14" s="3622">
        <v>55500</v>
      </c>
      <c r="Z14" s="3145">
        <f t="shared" si="9"/>
        <v>6.8624620491957691</v>
      </c>
      <c r="AA14" s="2054">
        <f t="shared" si="10"/>
        <v>7286.0147920030595</v>
      </c>
      <c r="AB14" s="2354" t="str">
        <f t="shared" si="11"/>
        <v>SAG</v>
      </c>
      <c r="AC14" s="3142">
        <f t="shared" si="12"/>
        <v>8.5725685609680937</v>
      </c>
      <c r="AD14" s="2054">
        <f t="shared" si="13"/>
        <v>1739.15202823602</v>
      </c>
      <c r="AE14" s="3146">
        <f>+IF(ISNUMBER('ST Original'!BS13),('ST Original'!BS13),"0")</f>
        <v>1737.8146457118198</v>
      </c>
      <c r="AF14" s="2054">
        <f t="shared" si="14"/>
        <v>198.89339660418267</v>
      </c>
      <c r="AG14" s="2054">
        <f t="shared" si="15"/>
        <v>198.89339660418267</v>
      </c>
      <c r="AH14" s="3147">
        <f t="shared" si="16"/>
        <v>6.9196908329483175</v>
      </c>
      <c r="AI14" s="2054">
        <f t="shared" si="17"/>
        <v>1647.4724485837655</v>
      </c>
      <c r="AJ14" s="2354" t="str">
        <f t="shared" si="18"/>
        <v>BOLAS</v>
      </c>
      <c r="AK14" s="308">
        <f>+IFERROR((AG14*'ST Original'!F13+X14*'ST Original'!G13)/('ST Original'!E13),"0")</f>
        <v>188.81440115719769</v>
      </c>
      <c r="AL14" s="308">
        <f t="shared" si="19"/>
        <v>212.21870602910522</v>
      </c>
      <c r="AM14" s="2063">
        <f>+'MCP ST'!AD7</f>
        <v>92.304310358117007</v>
      </c>
      <c r="AN14" s="2063">
        <f>+'MCP ST'!AE7</f>
        <v>91.195713587538577</v>
      </c>
      <c r="AO14" s="2063">
        <f>+'MCP ST'!AF7</f>
        <v>89.342745252546436</v>
      </c>
      <c r="AP14" s="2063">
        <f>+'MCP ST'!AG7</f>
        <v>87.395283962658155</v>
      </c>
      <c r="AQ14" s="2063">
        <f>+'MCP ST'!AH7</f>
        <v>84.71310487946343</v>
      </c>
      <c r="AR14" s="2063">
        <f>+'MCP ST'!AI7</f>
        <v>83.769098119078407</v>
      </c>
      <c r="AS14" s="2063">
        <f>+'MCP ST'!AJ7</f>
        <v>79.489618221181004</v>
      </c>
      <c r="AT14" s="2063">
        <f t="shared" si="20"/>
        <v>103.13104336438417</v>
      </c>
      <c r="AU14" s="2063">
        <f t="shared" si="21"/>
        <v>-7.7510176666739067E-2</v>
      </c>
      <c r="AV14" s="2063">
        <f t="shared" si="22"/>
        <v>88.496005773465242</v>
      </c>
      <c r="AW14" s="2063">
        <f t="shared" si="23"/>
        <v>89.955537453585777</v>
      </c>
      <c r="AX14" s="2063">
        <f>+'MCP ST'!D7</f>
        <v>0.53151821193003124</v>
      </c>
      <c r="AY14" s="3148">
        <f>+'MCP ST'!AL7</f>
        <v>7.9476623288518705E-3</v>
      </c>
      <c r="AZ14" s="2063">
        <f t="shared" si="24"/>
        <v>1</v>
      </c>
      <c r="BA14" s="2063">
        <f t="shared" si="25"/>
        <v>89.955537453585777</v>
      </c>
      <c r="BB14" s="2063">
        <f>+'MCP ST'!N7</f>
        <v>1.0411575215357198</v>
      </c>
      <c r="BC14" s="2063">
        <f>+'MCP ST'!O7</f>
        <v>1.0651763421699061</v>
      </c>
      <c r="BD14" s="2063">
        <f>+'MCP ST'!P7</f>
        <v>0.13421342820681706</v>
      </c>
      <c r="BE14" s="2063">
        <f>+'MCP ST'!Q7</f>
        <v>9.5717961100902929E-2</v>
      </c>
      <c r="BF14" s="3149">
        <f t="shared" si="26"/>
        <v>25.363682552608037</v>
      </c>
      <c r="BG14" s="3149">
        <f t="shared" si="27"/>
        <v>19.096388246538176</v>
      </c>
      <c r="BH14" s="3150">
        <f t="shared" si="28"/>
        <v>23.348739869420342</v>
      </c>
      <c r="BI14" s="1134">
        <f t="shared" si="29"/>
        <v>25.363682552608037</v>
      </c>
      <c r="BJ14" s="3150">
        <f t="shared" si="30"/>
        <v>24.550074902944694</v>
      </c>
      <c r="BK14" s="3150">
        <f>+'MCP ST'!I7</f>
        <v>25.614967627386321</v>
      </c>
      <c r="BL14" s="3150">
        <f t="shared" si="31"/>
        <v>4.1921385801908366</v>
      </c>
      <c r="BM14" s="3150">
        <f>+'MCP ST'!AK7/25.4</f>
        <v>3.8193769452600512</v>
      </c>
      <c r="BN14" s="3150">
        <f t="shared" si="32"/>
        <v>-0.3727616349307854</v>
      </c>
      <c r="BO14" s="3151"/>
      <c r="BP14" s="3152">
        <f t="shared" si="33"/>
        <v>188.81440115719769</v>
      </c>
      <c r="BQ14" s="3152">
        <f>+'MCP ST'!S7</f>
        <v>203.40475427830029</v>
      </c>
      <c r="BR14" s="3150">
        <f t="shared" si="34"/>
        <v>14.590353121102595</v>
      </c>
      <c r="BS14" s="3151"/>
      <c r="BT14" s="3150">
        <f t="shared" si="35"/>
        <v>89.955537453585777</v>
      </c>
      <c r="BU14" s="3150">
        <f>+'MCP ST'!J7</f>
        <v>89.273873550482421</v>
      </c>
      <c r="BV14" s="3150">
        <f t="shared" si="36"/>
        <v>-0.68166390310335601</v>
      </c>
      <c r="BW14" s="3150"/>
      <c r="BX14" s="1134">
        <f t="shared" si="37"/>
        <v>25.363682552608037</v>
      </c>
      <c r="BY14" s="1134">
        <f>+'MCP ST'!I7</f>
        <v>25.614967627386321</v>
      </c>
      <c r="BZ14" s="3150">
        <f t="shared" si="38"/>
        <v>0.25128507477828421</v>
      </c>
      <c r="CA14" s="3150"/>
      <c r="CB14" s="3151"/>
      <c r="CC14" s="3150">
        <v>31.938278358254401</v>
      </c>
      <c r="CD14" s="3150">
        <f t="shared" si="39"/>
        <v>-6.32331073086808</v>
      </c>
      <c r="CE14" s="308">
        <f>+'MCP ST'!AK7</f>
        <v>97.012174409605294</v>
      </c>
      <c r="CF14" s="308">
        <f t="shared" si="40"/>
        <v>97.012174409605294</v>
      </c>
      <c r="CG14" s="1134">
        <f t="shared" si="41"/>
        <v>0</v>
      </c>
      <c r="CH14" s="308">
        <f>+'MCP ST'!AR7</f>
        <v>8631.6321626090266</v>
      </c>
      <c r="CI14" s="1134">
        <f t="shared" si="42"/>
        <v>8631.6321626090266</v>
      </c>
    </row>
    <row r="15" spans="1:87" s="362" customFormat="1">
      <c r="A15" s="3141">
        <f t="shared" si="43"/>
        <v>46088.791666666664</v>
      </c>
      <c r="B15" s="2054">
        <f>+'MCP ST'!B8</f>
        <v>170000.00000024194</v>
      </c>
      <c r="C15" s="3142">
        <f>+'MCP ST'!L8</f>
        <v>12.378070038437249</v>
      </c>
      <c r="D15" s="3143">
        <v>7.75</v>
      </c>
      <c r="E15" s="3144">
        <f>+'MCP ST'!T8+$B$4</f>
        <v>35.663290764251407</v>
      </c>
      <c r="F15" s="3910">
        <f t="shared" si="44"/>
        <v>7.3152776543578097</v>
      </c>
      <c r="G15" s="3144">
        <f>+'MCP ST'!V8*$G$7</f>
        <v>66.144355264056699</v>
      </c>
      <c r="H15" s="2354">
        <f>+'MCP ST'!W8</f>
        <v>57126.26797978273</v>
      </c>
      <c r="I15" s="2354">
        <f>+'MCP ST'!X8</f>
        <v>0</v>
      </c>
      <c r="J15" s="2354">
        <f>+SUM('MCP ST'!Y8:Z8)</f>
        <v>93446.239734077928</v>
      </c>
      <c r="K15" s="2354">
        <f>+'MCP ST'!AB8</f>
        <v>177.695952230622</v>
      </c>
      <c r="L15" s="2354">
        <f>+'MCP ST'!AA8</f>
        <v>18200.595481198419</v>
      </c>
      <c r="M15" s="2354">
        <f>+'MCP ST'!AC8</f>
        <v>1049.3239751590775</v>
      </c>
      <c r="N15" s="2354">
        <v>0</v>
      </c>
      <c r="O15" s="2354">
        <v>33.853277226813283</v>
      </c>
      <c r="P15" s="2063">
        <f t="shared" si="1"/>
        <v>99.356010196411177</v>
      </c>
      <c r="Q15" s="2063">
        <f t="shared" si="2"/>
        <v>3.9116539447405976</v>
      </c>
      <c r="R15" s="3142">
        <f t="shared" si="3"/>
        <v>14.082229590129456</v>
      </c>
      <c r="S15" s="3142">
        <f t="shared" si="4"/>
        <v>18.962216617756042</v>
      </c>
      <c r="T15" s="3142">
        <f t="shared" si="5"/>
        <v>5.9373361545268226</v>
      </c>
      <c r="U15" s="2054">
        <f t="shared" si="6"/>
        <v>41376</v>
      </c>
      <c r="V15" s="2054">
        <f t="shared" si="7"/>
        <v>6968.7817774059431</v>
      </c>
      <c r="W15" s="2054">
        <f>+'ST Original'!BR14</f>
        <v>6564.8100543932132</v>
      </c>
      <c r="X15" s="2054">
        <f t="shared" si="8"/>
        <v>186.49864482333041</v>
      </c>
      <c r="Y15" s="3622">
        <v>55500</v>
      </c>
      <c r="Z15" s="3145">
        <f t="shared" si="9"/>
        <v>6.7321332284464592</v>
      </c>
      <c r="AA15" s="2054">
        <f t="shared" si="10"/>
        <v>7427.0663255335267</v>
      </c>
      <c r="AB15" s="2354" t="str">
        <f t="shared" si="11"/>
        <v>SAG</v>
      </c>
      <c r="AC15" s="3142">
        <f t="shared" si="12"/>
        <v>8.3122706163375515</v>
      </c>
      <c r="AD15" s="2054">
        <f t="shared" si="13"/>
        <v>1793.6134045848735</v>
      </c>
      <c r="AE15" s="3146">
        <f>+IF(ISNUMBER('ST Original'!BS14),('ST Original'!BS14),"0")</f>
        <v>1792.2341420572061</v>
      </c>
      <c r="AF15" s="2054">
        <f t="shared" si="14"/>
        <v>204.08436634543708</v>
      </c>
      <c r="AG15" s="2054">
        <f t="shared" si="15"/>
        <v>204.08436634543708</v>
      </c>
      <c r="AH15" s="3147">
        <f t="shared" si="16"/>
        <v>6.7074462776733794</v>
      </c>
      <c r="AI15" s="2054">
        <f t="shared" si="17"/>
        <v>1699.603623803355</v>
      </c>
      <c r="AJ15" s="2354" t="str">
        <f t="shared" si="18"/>
        <v>BOLAS</v>
      </c>
      <c r="AK15" s="308">
        <f>+IFERROR((AG15*'ST Original'!F14+X15*'ST Original'!G14)/('ST Original'!E14),"0")</f>
        <v>190.93430503684758</v>
      </c>
      <c r="AL15" s="308">
        <f t="shared" si="19"/>
        <v>191.5928335055963</v>
      </c>
      <c r="AM15" s="2063">
        <f>+'MCP ST'!AD8</f>
        <v>91.824611403874925</v>
      </c>
      <c r="AN15" s="2063">
        <f>+'MCP ST'!AE8</f>
        <v>90.655773504324316</v>
      </c>
      <c r="AO15" s="2063">
        <f>+'MCP ST'!AF8</f>
        <v>88.807539100787849</v>
      </c>
      <c r="AP15" s="2063">
        <f>+'MCP ST'!AG8</f>
        <v>86.614672873910067</v>
      </c>
      <c r="AQ15" s="2063">
        <f>+'MCP ST'!AH8</f>
        <v>83.886617532308279</v>
      </c>
      <c r="AR15" s="2063">
        <f>+'MCP ST'!AI8</f>
        <v>82.924707590836007</v>
      </c>
      <c r="AS15" s="2063">
        <f>+'MCP ST'!AJ8</f>
        <v>78.778311066562082</v>
      </c>
      <c r="AT15" s="2063">
        <f t="shared" si="20"/>
        <v>102.87914788723869</v>
      </c>
      <c r="AU15" s="2063">
        <f t="shared" si="21"/>
        <v>-7.952406417046172E-2</v>
      </c>
      <c r="AV15" s="2063">
        <f t="shared" si="22"/>
        <v>87.69527596114591</v>
      </c>
      <c r="AW15" s="2063">
        <f t="shared" si="23"/>
        <v>89.532031455850074</v>
      </c>
      <c r="AX15" s="2063">
        <f>+'MCP ST'!D8</f>
        <v>0.50948477260958724</v>
      </c>
      <c r="AY15" s="3148">
        <f>+'MCP ST'!AL8</f>
        <v>8.5060345792547683E-3</v>
      </c>
      <c r="AZ15" s="2063">
        <f t="shared" si="24"/>
        <v>1</v>
      </c>
      <c r="BA15" s="2063">
        <f t="shared" si="25"/>
        <v>89.532031455850074</v>
      </c>
      <c r="BB15" s="2063">
        <f>+'MCP ST'!N8</f>
        <v>1.0504291481486223</v>
      </c>
      <c r="BC15" s="2063">
        <f>+'MCP ST'!O8</f>
        <v>1.9353536978901085</v>
      </c>
      <c r="BD15" s="2063">
        <f>+'MCP ST'!P8</f>
        <v>6.6880553373642515E-2</v>
      </c>
      <c r="BE15" s="2063">
        <f>+'MCP ST'!Q8</f>
        <v>0.12388234476741199</v>
      </c>
      <c r="BF15" s="3149">
        <f t="shared" si="26"/>
        <v>21.673176938850265</v>
      </c>
      <c r="BG15" s="3149">
        <f t="shared" si="27"/>
        <v>12.120757206410202</v>
      </c>
      <c r="BH15" s="3150">
        <f t="shared" si="28"/>
        <v>17.033018951137322</v>
      </c>
      <c r="BI15" s="1134">
        <f t="shared" si="29"/>
        <v>21.673176938850265</v>
      </c>
      <c r="BJ15" s="3150">
        <f t="shared" si="30"/>
        <v>20.146878393138131</v>
      </c>
      <c r="BK15" s="3150">
        <f>+'MCP ST'!I8</f>
        <v>22.472312768213669</v>
      </c>
      <c r="BL15" s="3150">
        <f t="shared" si="31"/>
        <v>3.9116539447405976</v>
      </c>
      <c r="BM15" s="3150">
        <f>+'MCP ST'!AK8/25.4</f>
        <v>3.5436501504258211</v>
      </c>
      <c r="BN15" s="3150">
        <f t="shared" si="32"/>
        <v>-0.36800379431477648</v>
      </c>
      <c r="BO15" s="3151"/>
      <c r="BP15" s="3152">
        <f t="shared" si="33"/>
        <v>190.93430503684758</v>
      </c>
      <c r="BQ15" s="3152">
        <f>+'MCP ST'!S8</f>
        <v>203.08917694365357</v>
      </c>
      <c r="BR15" s="3150">
        <f t="shared" si="34"/>
        <v>12.154871906805994</v>
      </c>
      <c r="BS15" s="3151"/>
      <c r="BT15" s="3150">
        <f t="shared" si="35"/>
        <v>89.532031455850074</v>
      </c>
      <c r="BU15" s="3150">
        <f>+'MCP ST'!J8</f>
        <v>88.925372500411981</v>
      </c>
      <c r="BV15" s="3150">
        <f t="shared" si="36"/>
        <v>-0.60665895543809256</v>
      </c>
      <c r="BW15" s="3150"/>
      <c r="BX15" s="1134">
        <f t="shared" si="37"/>
        <v>21.673176938850265</v>
      </c>
      <c r="BY15" s="1134">
        <f>+'MCP ST'!I8</f>
        <v>22.472312768213669</v>
      </c>
      <c r="BZ15" s="3150">
        <f t="shared" si="38"/>
        <v>0.79913582936340433</v>
      </c>
      <c r="CA15" s="3150"/>
      <c r="CB15" s="3151"/>
      <c r="CC15" s="3150">
        <v>32.938278358254401</v>
      </c>
      <c r="CD15" s="3150">
        <f t="shared" si="39"/>
        <v>-10.465965590040732</v>
      </c>
      <c r="CE15" s="308">
        <f>+'MCP ST'!AK8</f>
        <v>90.008713820815856</v>
      </c>
      <c r="CF15" s="308">
        <f t="shared" si="40"/>
        <v>90.008713820815856</v>
      </c>
      <c r="CG15" s="1134">
        <f t="shared" si="41"/>
        <v>0</v>
      </c>
      <c r="CH15" s="308">
        <f>+'MCP ST'!AR8</f>
        <v>8652.9775678188398</v>
      </c>
      <c r="CI15" s="1134">
        <f t="shared" si="42"/>
        <v>8652.9775678188398</v>
      </c>
    </row>
    <row r="16" spans="1:87" s="362" customFormat="1">
      <c r="A16" s="3141">
        <f t="shared" si="43"/>
        <v>46089.791666666664</v>
      </c>
      <c r="B16" s="2054">
        <f>+'MCP ST'!B9</f>
        <v>190000.00000046202</v>
      </c>
      <c r="C16" s="3142">
        <f>+'MCP ST'!L9</f>
        <v>12.369380593357146</v>
      </c>
      <c r="D16" s="3143">
        <v>7.75</v>
      </c>
      <c r="E16" s="3144">
        <f>+'MCP ST'!T9+$B$4</f>
        <v>36.663946231963571</v>
      </c>
      <c r="F16" s="3910">
        <f t="shared" si="44"/>
        <v>7.1032303846307139</v>
      </c>
      <c r="G16" s="3144">
        <f>+'MCP ST'!V9*$G$7</f>
        <v>67.712256194736412</v>
      </c>
      <c r="H16" s="2354">
        <f>+'MCP ST'!W9</f>
        <v>75386.394953302777</v>
      </c>
      <c r="I16" s="2354">
        <f>+'MCP ST'!X9</f>
        <v>0</v>
      </c>
      <c r="J16" s="2354">
        <f>+SUM('MCP ST'!Y9:Z9)</f>
        <v>107517.27045702816</v>
      </c>
      <c r="K16" s="2354">
        <f>+'MCP ST'!AB9</f>
        <v>177.695952230622</v>
      </c>
      <c r="L16" s="2354">
        <f>+'MCP ST'!AA9</f>
        <v>5096.4381878156546</v>
      </c>
      <c r="M16" s="2354">
        <f>+'MCP ST'!AC9</f>
        <v>1822.4657940123443</v>
      </c>
      <c r="N16" s="2354">
        <v>18.421052631638961</v>
      </c>
      <c r="O16" s="2354">
        <v>26.745528651271744</v>
      </c>
      <c r="P16" s="2063">
        <f t="shared" si="1"/>
        <v>100.73100797268711</v>
      </c>
      <c r="Q16" s="2063">
        <f t="shared" si="2"/>
        <v>3.9657877154601224</v>
      </c>
      <c r="R16" s="3142">
        <f t="shared" si="3"/>
        <v>14.108693240360635</v>
      </c>
      <c r="S16" s="3142">
        <f t="shared" si="4"/>
        <v>18.979600589592902</v>
      </c>
      <c r="T16" s="3142">
        <f t="shared" si="5"/>
        <v>5.8887306520138862</v>
      </c>
      <c r="U16" s="2054">
        <f t="shared" si="6"/>
        <v>41376</v>
      </c>
      <c r="V16" s="2054">
        <f t="shared" si="7"/>
        <v>7026.3020071821129</v>
      </c>
      <c r="W16" s="2054">
        <f>+'ST Original'!BR15</f>
        <v>6832.958498442059</v>
      </c>
      <c r="X16" s="2054">
        <f t="shared" si="8"/>
        <v>187.14446567230755</v>
      </c>
      <c r="Y16" s="3622">
        <v>55500</v>
      </c>
      <c r="Z16" s="3145">
        <f t="shared" si="9"/>
        <v>6.7128602537693514</v>
      </c>
      <c r="AA16" s="2054">
        <f t="shared" si="10"/>
        <v>7448.3898233877881</v>
      </c>
      <c r="AB16" s="2354" t="str">
        <f t="shared" si="11"/>
        <v>SAG</v>
      </c>
      <c r="AC16" s="3142">
        <f t="shared" si="12"/>
        <v>8.2442229128194402</v>
      </c>
      <c r="AD16" s="2054">
        <f t="shared" si="13"/>
        <v>1808.4178651716338</v>
      </c>
      <c r="AE16" s="3146">
        <f>+IF(ISNUMBER('ST Original'!BS15),('ST Original'!BS15),"0")</f>
        <v>1807.0272182298684</v>
      </c>
      <c r="AF16" s="2054">
        <f t="shared" si="14"/>
        <v>206.51907081478745</v>
      </c>
      <c r="AG16" s="2054">
        <f t="shared" si="15"/>
        <v>206.51907081478745</v>
      </c>
      <c r="AH16" s="3147">
        <f t="shared" si="16"/>
        <v>6.6515476586095259</v>
      </c>
      <c r="AI16" s="2054">
        <f t="shared" si="17"/>
        <v>1713.8868403422243</v>
      </c>
      <c r="AJ16" s="2354" t="str">
        <f t="shared" si="18"/>
        <v>BOLAS</v>
      </c>
      <c r="AK16" s="308">
        <f>+IFERROR((AG16*'ST Original'!F15+X16*'ST Original'!G15)/('ST Original'!E15),"0")</f>
        <v>191.16571562505712</v>
      </c>
      <c r="AL16" s="308">
        <f t="shared" si="19"/>
        <v>201.71474988047942</v>
      </c>
      <c r="AM16" s="2063">
        <f>+'MCP ST'!AD9</f>
        <v>91.765229307155536</v>
      </c>
      <c r="AN16" s="2063">
        <f>+'MCP ST'!AE9</f>
        <v>90.428672177205627</v>
      </c>
      <c r="AO16" s="2063">
        <f>+'MCP ST'!AF9</f>
        <v>88.409585885866733</v>
      </c>
      <c r="AP16" s="2063">
        <f>+'MCP ST'!AG9</f>
        <v>85.795591305090412</v>
      </c>
      <c r="AQ16" s="2063">
        <f>+'MCP ST'!AH9</f>
        <v>82.772899285940909</v>
      </c>
      <c r="AR16" s="2063">
        <f>+'MCP ST'!AI9</f>
        <v>81.716520143911126</v>
      </c>
      <c r="AS16" s="2063">
        <f>+'MCP ST'!AJ9</f>
        <v>77.212725551806372</v>
      </c>
      <c r="AT16" s="2063">
        <f t="shared" si="20"/>
        <v>104.11008185355854</v>
      </c>
      <c r="AU16" s="2063">
        <f t="shared" si="21"/>
        <v>-8.907249442258558E-2</v>
      </c>
      <c r="AV16" s="2063">
        <f t="shared" si="22"/>
        <v>87.08247471475606</v>
      </c>
      <c r="AW16" s="2063">
        <f t="shared" si="23"/>
        <v>89.207920876634489</v>
      </c>
      <c r="AX16" s="2063">
        <f>+'MCP ST'!D9</f>
        <v>0.49383422810273897</v>
      </c>
      <c r="AY16" s="3148">
        <f>+'MCP ST'!AL9</f>
        <v>8.939002004667353E-3</v>
      </c>
      <c r="AZ16" s="2063">
        <f t="shared" si="24"/>
        <v>1</v>
      </c>
      <c r="BA16" s="2063">
        <f t="shared" si="25"/>
        <v>89.207920876634489</v>
      </c>
      <c r="BB16" s="2063">
        <f>+'MCP ST'!N9</f>
        <v>0.99779757594647722</v>
      </c>
      <c r="BC16" s="2063">
        <f>+'MCP ST'!O9</f>
        <v>1.7874567893444711</v>
      </c>
      <c r="BD16" s="2063">
        <f>+'MCP ST'!P9</f>
        <v>6.3843335645419927E-2</v>
      </c>
      <c r="BE16" s="2063">
        <f>+'MCP ST'!Q9</f>
        <v>0.13013901675013842</v>
      </c>
      <c r="BF16" s="3149">
        <f t="shared" si="26"/>
        <v>22.085636281349064</v>
      </c>
      <c r="BG16" s="3149">
        <f t="shared" si="27"/>
        <v>12.742560172300072</v>
      </c>
      <c r="BH16" s="3150">
        <f t="shared" si="28"/>
        <v>17.632703184378002</v>
      </c>
      <c r="BI16" s="1134">
        <f t="shared" si="29"/>
        <v>22.085636281349064</v>
      </c>
      <c r="BJ16" s="3150">
        <f t="shared" si="30"/>
        <v>20.649674603549578</v>
      </c>
      <c r="BK16" s="3150">
        <f>+'MCP ST'!I9</f>
        <v>22.765597682584616</v>
      </c>
      <c r="BL16" s="3150">
        <f t="shared" si="31"/>
        <v>3.9657877154601224</v>
      </c>
      <c r="BM16" s="3150">
        <f>+'MCP ST'!AK9/25.4</f>
        <v>3.5863977816463191</v>
      </c>
      <c r="BN16" s="3150">
        <f t="shared" si="32"/>
        <v>-0.37938993381380337</v>
      </c>
      <c r="BO16" s="3151"/>
      <c r="BP16" s="3152">
        <f t="shared" si="33"/>
        <v>191.16571562505712</v>
      </c>
      <c r="BQ16" s="3152">
        <f>+'MCP ST'!S9</f>
        <v>203.08322896778705</v>
      </c>
      <c r="BR16" s="3150">
        <f t="shared" si="34"/>
        <v>11.917513342729933</v>
      </c>
      <c r="BS16" s="3151"/>
      <c r="BT16" s="3150">
        <f t="shared" si="35"/>
        <v>89.207920876634489</v>
      </c>
      <c r="BU16" s="3150">
        <f>+'MCP ST'!J9</f>
        <v>88.467082655528174</v>
      </c>
      <c r="BV16" s="3150">
        <f t="shared" si="36"/>
        <v>-0.74083822110631559</v>
      </c>
      <c r="BW16" s="3150"/>
      <c r="BX16" s="1134">
        <f t="shared" si="37"/>
        <v>22.085636281349064</v>
      </c>
      <c r="BY16" s="1134">
        <f>+'MCP ST'!I9</f>
        <v>22.765597682584616</v>
      </c>
      <c r="BZ16" s="3150">
        <f t="shared" si="38"/>
        <v>0.67996140123555193</v>
      </c>
      <c r="CA16" s="3150"/>
      <c r="CB16" s="3151"/>
      <c r="CC16" s="3150">
        <v>33.938278358254401</v>
      </c>
      <c r="CD16" s="3150">
        <f t="shared" si="39"/>
        <v>-11.172680675669785</v>
      </c>
      <c r="CE16" s="308">
        <f>+'MCP ST'!AK9</f>
        <v>91.094503653816503</v>
      </c>
      <c r="CF16" s="308">
        <f t="shared" si="40"/>
        <v>91.094503653816503</v>
      </c>
      <c r="CG16" s="1134">
        <f t="shared" si="41"/>
        <v>0</v>
      </c>
      <c r="CH16" s="308">
        <f>+'MCP ST'!AR9</f>
        <v>8671.9585014491622</v>
      </c>
      <c r="CI16" s="1134">
        <f t="shared" si="42"/>
        <v>8671.9585014491622</v>
      </c>
    </row>
    <row r="17" spans="1:87" s="362" customFormat="1">
      <c r="A17" s="3141">
        <f t="shared" si="43"/>
        <v>46090.791666666664</v>
      </c>
      <c r="B17" s="2054">
        <f>+'MCP ST'!B10</f>
        <v>170000.00000050824</v>
      </c>
      <c r="C17" s="3142">
        <f>+'MCP ST'!L10</f>
        <v>12.424010059916426</v>
      </c>
      <c r="D17" s="3143">
        <v>7.75</v>
      </c>
      <c r="E17" s="3144">
        <f>+'MCP ST'!T10+$B$4</f>
        <v>36.764329766123417</v>
      </c>
      <c r="F17" s="3910">
        <f t="shared" si="44"/>
        <v>7.0826151820454921</v>
      </c>
      <c r="G17" s="3144">
        <f>+'MCP ST'!V10*$G$7</f>
        <v>63.994982914877895</v>
      </c>
      <c r="H17" s="2354">
        <f>+'MCP ST'!W10</f>
        <v>76848.63392954311</v>
      </c>
      <c r="I17" s="2354">
        <f>+'MCP ST'!X10</f>
        <v>0</v>
      </c>
      <c r="J17" s="2354">
        <f>+SUM('MCP ST'!Y10:Z10)</f>
        <v>89740.346137646149</v>
      </c>
      <c r="K17" s="2354">
        <f>+'MCP ST'!AB10</f>
        <v>177.695952230622</v>
      </c>
      <c r="L17" s="2354">
        <f>+'MCP ST'!AA10</f>
        <v>2184.2980325500107</v>
      </c>
      <c r="M17" s="2354">
        <f>+'MCP ST'!AC10</f>
        <v>1049.3239751590775</v>
      </c>
      <c r="N17" s="2354">
        <v>7.6031581646833865E-2</v>
      </c>
      <c r="O17" s="2354">
        <v>32.666277547743881</v>
      </c>
      <c r="P17" s="2063">
        <f t="shared" si="1"/>
        <v>99.226991083218337</v>
      </c>
      <c r="Q17" s="2063">
        <f t="shared" si="2"/>
        <v>3.9065744520952101</v>
      </c>
      <c r="R17" s="3142">
        <f t="shared" si="3"/>
        <v>13.953614264786424</v>
      </c>
      <c r="S17" s="3142">
        <f t="shared" si="4"/>
        <v>18.877729210538202</v>
      </c>
      <c r="T17" s="3142">
        <f t="shared" si="5"/>
        <v>5.8219643419374849</v>
      </c>
      <c r="U17" s="2054">
        <f t="shared" si="6"/>
        <v>41376</v>
      </c>
      <c r="V17" s="2054">
        <f t="shared" si="7"/>
        <v>7106.8796663619769</v>
      </c>
      <c r="W17" s="2054">
        <f>+'ST Original'!BR16</f>
        <v>7198.8697738152287</v>
      </c>
      <c r="X17" s="2054">
        <f t="shared" si="8"/>
        <v>188.52606744759467</v>
      </c>
      <c r="Y17" s="3622">
        <v>55500</v>
      </c>
      <c r="Z17" s="3145">
        <f t="shared" si="9"/>
        <v>6.711502378081998</v>
      </c>
      <c r="AA17" s="2054">
        <f t="shared" si="10"/>
        <v>7449.8967866400308</v>
      </c>
      <c r="AB17" s="2354" t="str">
        <f t="shared" si="11"/>
        <v>SAG</v>
      </c>
      <c r="AC17" s="3142">
        <f t="shared" si="12"/>
        <v>8.1507500787124787</v>
      </c>
      <c r="AD17" s="2054">
        <f t="shared" si="13"/>
        <v>1829.1568083946304</v>
      </c>
      <c r="AE17" s="3146">
        <f>+IF(ISNUMBER('ST Original'!BS16),('ST Original'!BS16),"0")</f>
        <v>1810.6065984488382</v>
      </c>
      <c r="AF17" s="2054">
        <f t="shared" si="14"/>
        <v>208.60680581059006</v>
      </c>
      <c r="AG17" s="2054">
        <f t="shared" si="15"/>
        <v>208.60680581059006</v>
      </c>
      <c r="AH17" s="3147">
        <f t="shared" si="16"/>
        <v>6.6375542812838724</v>
      </c>
      <c r="AI17" s="2054">
        <f t="shared" si="17"/>
        <v>1717.500078627598</v>
      </c>
      <c r="AJ17" s="2354" t="str">
        <f t="shared" si="18"/>
        <v>BOLAS</v>
      </c>
      <c r="AK17" s="308">
        <f>+IFERROR((AG17*'ST Original'!F16+X17*'ST Original'!G16)/('ST Original'!E16),"0")</f>
        <v>193.22345713061694</v>
      </c>
      <c r="AL17" s="308">
        <f t="shared" si="19"/>
        <v>216.8875066255527</v>
      </c>
      <c r="AM17" s="2063">
        <f>+'MCP ST'!AD10</f>
        <v>92.082748477418292</v>
      </c>
      <c r="AN17" s="2063">
        <f>+'MCP ST'!AE10</f>
        <v>90.615852690789779</v>
      </c>
      <c r="AO17" s="2063">
        <f>+'MCP ST'!AF10</f>
        <v>88.679367519387597</v>
      </c>
      <c r="AP17" s="2063">
        <f>+'MCP ST'!AG10</f>
        <v>85.885321180159778</v>
      </c>
      <c r="AQ17" s="2063">
        <f>+'MCP ST'!AH10</f>
        <v>82.659349144796167</v>
      </c>
      <c r="AR17" s="2063">
        <f>+'MCP ST'!AI10</f>
        <v>81.521517806634009</v>
      </c>
      <c r="AS17" s="2063">
        <f>+'MCP ST'!AJ10</f>
        <v>76.936163190913064</v>
      </c>
      <c r="AT17" s="2063">
        <f t="shared" si="20"/>
        <v>104.95510052585909</v>
      </c>
      <c r="AU17" s="2063">
        <f t="shared" si="21"/>
        <v>-9.2914371963813899E-2</v>
      </c>
      <c r="AV17" s="2063">
        <f t="shared" si="22"/>
        <v>87.001864357890895</v>
      </c>
      <c r="AW17" s="2063">
        <f t="shared" si="23"/>
        <v>89.165286058888498</v>
      </c>
      <c r="AX17" s="2063">
        <f>+'MCP ST'!D10</f>
        <v>0.51530782874982706</v>
      </c>
      <c r="AY17" s="3148">
        <f>+'MCP ST'!AL10</f>
        <v>8.7471257808649922E-3</v>
      </c>
      <c r="AZ17" s="2063">
        <f t="shared" si="24"/>
        <v>1</v>
      </c>
      <c r="BA17" s="2063">
        <f t="shared" si="25"/>
        <v>89.165286058888498</v>
      </c>
      <c r="BB17" s="2063">
        <f>+'MCP ST'!N10</f>
        <v>1.1098543130026703</v>
      </c>
      <c r="BC17" s="2063">
        <f>+'MCP ST'!O10</f>
        <v>1.8630856281645474</v>
      </c>
      <c r="BD17" s="2063">
        <f>+'MCP ST'!P10</f>
        <v>5.5602722682740989E-2</v>
      </c>
      <c r="BE17" s="2063">
        <f>+'MCP ST'!Q10</f>
        <v>0.11344928056698639</v>
      </c>
      <c r="BF17" s="3149">
        <f t="shared" si="26"/>
        <v>21.770136588735767</v>
      </c>
      <c r="BG17" s="3149">
        <f t="shared" si="27"/>
        <v>12.5687805411699</v>
      </c>
      <c r="BH17" s="3150">
        <f t="shared" si="28"/>
        <v>17.215040996532885</v>
      </c>
      <c r="BI17" s="1134">
        <f t="shared" si="29"/>
        <v>21.770136588735767</v>
      </c>
      <c r="BJ17" s="3150">
        <f t="shared" si="30"/>
        <v>20.262858435178849</v>
      </c>
      <c r="BK17" s="3150">
        <f>+'MCP ST'!I10</f>
        <v>22.177801430048742</v>
      </c>
      <c r="BL17" s="3150">
        <f t="shared" si="31"/>
        <v>3.9065744520952101</v>
      </c>
      <c r="BM17" s="3150">
        <f>+'MCP ST'!AK10/25.4</f>
        <v>3.5173389401166175</v>
      </c>
      <c r="BN17" s="3150">
        <f t="shared" si="32"/>
        <v>-0.38923551197859263</v>
      </c>
      <c r="BO17" s="3151"/>
      <c r="BP17" s="3152">
        <f t="shared" si="33"/>
        <v>193.22345713061694</v>
      </c>
      <c r="BQ17" s="3152">
        <f>+'MCP ST'!S10</f>
        <v>204.81336150562865</v>
      </c>
      <c r="BR17" s="3150">
        <f t="shared" si="34"/>
        <v>11.589904375011713</v>
      </c>
      <c r="BS17" s="3151"/>
      <c r="BT17" s="3150">
        <f t="shared" si="35"/>
        <v>89.165286058888498</v>
      </c>
      <c r="BU17" s="3150">
        <f>+'MCP ST'!J10</f>
        <v>88.35865795208727</v>
      </c>
      <c r="BV17" s="3150">
        <f t="shared" si="36"/>
        <v>-0.80662810680122732</v>
      </c>
      <c r="BW17" s="3150"/>
      <c r="BX17" s="1134">
        <f t="shared" si="37"/>
        <v>21.770136588735767</v>
      </c>
      <c r="BY17" s="1134">
        <f>+'MCP ST'!I10</f>
        <v>22.177801430048742</v>
      </c>
      <c r="BZ17" s="3150">
        <f t="shared" si="38"/>
        <v>0.40766484131297531</v>
      </c>
      <c r="CA17" s="3150"/>
      <c r="CB17" s="3151"/>
      <c r="CC17" s="3150">
        <v>34.938278358254401</v>
      </c>
      <c r="CD17" s="3150">
        <f t="shared" si="39"/>
        <v>-12.760476928205659</v>
      </c>
      <c r="CE17" s="308">
        <f>+'MCP ST'!AK10</f>
        <v>89.340409078962082</v>
      </c>
      <c r="CF17" s="308">
        <f t="shared" si="40"/>
        <v>89.340409078962082</v>
      </c>
      <c r="CG17" s="1134">
        <f t="shared" si="41"/>
        <v>0</v>
      </c>
      <c r="CH17" s="308">
        <f>+'MCP ST'!AR10</f>
        <v>8767.8828668521473</v>
      </c>
      <c r="CI17" s="1134">
        <f t="shared" si="42"/>
        <v>8767.8828668521473</v>
      </c>
    </row>
    <row r="18" spans="1:87" s="362" customFormat="1" ht="13.5" customHeight="1">
      <c r="A18" s="3141">
        <f t="shared" si="43"/>
        <v>46091.791666666664</v>
      </c>
      <c r="B18" s="2054">
        <f>+'MCP ST'!B11</f>
        <v>64238.95277386612</v>
      </c>
      <c r="C18" s="3142">
        <f>+'MCP ST'!L11</f>
        <v>12.408758841262589</v>
      </c>
      <c r="D18" s="3143">
        <v>7.75</v>
      </c>
      <c r="E18" s="3144">
        <f>+'MCP ST'!T11+$B$4</f>
        <v>36.139237251662863</v>
      </c>
      <c r="F18" s="3910">
        <f t="shared" si="44"/>
        <v>7.2129101129355666</v>
      </c>
      <c r="G18" s="3144">
        <f>+'MCP ST'!V11*$G$7</f>
        <v>75.198752095137451</v>
      </c>
      <c r="H18" s="2354">
        <f>+'MCP ST'!W11</f>
        <v>18691.013328005574</v>
      </c>
      <c r="I18" s="2354">
        <f>+'MCP ST'!X11</f>
        <v>0</v>
      </c>
      <c r="J18" s="2354">
        <f>+SUM('MCP ST'!Y11:Z11)</f>
        <v>44680.087857543607</v>
      </c>
      <c r="K18" s="2354">
        <f>+'MCP ST'!AB11</f>
        <v>142.15676178449741</v>
      </c>
      <c r="L18" s="2354">
        <f>+'MCP ST'!AA11</f>
        <v>725.71216755273304</v>
      </c>
      <c r="M18" s="2354">
        <f>+'MCP ST'!AC11</f>
        <v>0</v>
      </c>
      <c r="N18" s="2354">
        <v>0</v>
      </c>
      <c r="O18" s="2354">
        <v>38.138172305975459</v>
      </c>
      <c r="P18" s="2063">
        <f>((($L$4*D18)^$L$5+SUMPRODUCT($D$3:$I$3,H18:M18)/SUM(H18:M18)*G18+SUMPRODUCT($D$5:$I$5,H18:M18)/SUM(H18:M18)*F18)*$Q$7)*1.05</f>
        <v>109.35859929662269</v>
      </c>
      <c r="Q18" s="2063">
        <f t="shared" si="2"/>
        <v>4.3054566652213655</v>
      </c>
      <c r="R18" s="3142">
        <f t="shared" si="3"/>
        <v>14.407309174856781</v>
      </c>
      <c r="S18" s="3142">
        <f t="shared" si="4"/>
        <v>19.17576139696342</v>
      </c>
      <c r="T18" s="3142">
        <f t="shared" si="5"/>
        <v>6.2890985565087565</v>
      </c>
      <c r="U18" s="2054">
        <f t="shared" si="6"/>
        <v>41376</v>
      </c>
      <c r="V18" s="2054">
        <f t="shared" si="7"/>
        <v>6579.0032749890479</v>
      </c>
      <c r="W18" s="2054">
        <f>+'ST Original'!BR17</f>
        <v>5879.5069882887456</v>
      </c>
      <c r="X18" s="2054">
        <f t="shared" si="8"/>
        <v>181.97984480469739</v>
      </c>
      <c r="Y18" s="3622">
        <v>55500</v>
      </c>
      <c r="Z18" s="3145">
        <f t="shared" si="9"/>
        <v>6.8530971646222465</v>
      </c>
      <c r="AA18" s="2054">
        <f t="shared" si="10"/>
        <v>7295.9712665559555</v>
      </c>
      <c r="AB18" s="2354" t="str">
        <f t="shared" si="11"/>
        <v>SAG</v>
      </c>
      <c r="AC18" s="3142">
        <f t="shared" si="12"/>
        <v>8.8047379791122591</v>
      </c>
      <c r="AD18" s="2054">
        <f t="shared" si="13"/>
        <v>1693.2928652015612</v>
      </c>
      <c r="AE18" s="3146">
        <f>+IF(ISNUMBER('ST Original'!BS17),('ST Original'!BS17),"0")</f>
        <v>1691.9907477043519</v>
      </c>
      <c r="AF18" s="2054">
        <f t="shared" si="14"/>
        <v>186.99393663359521</v>
      </c>
      <c r="AG18" s="2054">
        <f t="shared" si="15"/>
        <v>186.99393663359521</v>
      </c>
      <c r="AH18" s="3147">
        <f t="shared" si="16"/>
        <v>7.1123332306892664</v>
      </c>
      <c r="AI18" s="2054">
        <f t="shared" si="17"/>
        <v>1602.8495333724977</v>
      </c>
      <c r="AJ18" s="2354" t="str">
        <f t="shared" si="18"/>
        <v>BOLAS</v>
      </c>
      <c r="AK18" s="308">
        <f>+IFERROR((AG18*'ST Original'!F17+X18*'ST Original'!G17)/('ST Original'!E17),"0")</f>
        <v>183.1568580993503</v>
      </c>
      <c r="AL18" s="308">
        <f t="shared" si="19"/>
        <v>164.26419359966692</v>
      </c>
      <c r="AM18" s="2063">
        <f>+'MCP ST'!AD11</f>
        <v>92.39651129424719</v>
      </c>
      <c r="AN18" s="2063">
        <f>+'MCP ST'!AE11</f>
        <v>91.216068972749056</v>
      </c>
      <c r="AO18" s="2063">
        <f>+'MCP ST'!AF11</f>
        <v>89.26818259076758</v>
      </c>
      <c r="AP18" s="2063">
        <f>+'MCP ST'!AG11</f>
        <v>87.08170617786908</v>
      </c>
      <c r="AQ18" s="2063">
        <f>+'MCP ST'!AH11</f>
        <v>84.375337468689622</v>
      </c>
      <c r="AR18" s="2063">
        <f>+'MCP ST'!AI11</f>
        <v>83.435383995259002</v>
      </c>
      <c r="AS18" s="2063">
        <f>+'MCP ST'!AJ11</f>
        <v>79.110409345458649</v>
      </c>
      <c r="AT18" s="2063">
        <f t="shared" si="20"/>
        <v>103.59707407601364</v>
      </c>
      <c r="AU18" s="2063">
        <f t="shared" si="21"/>
        <v>-8.0637981381769142E-2</v>
      </c>
      <c r="AV18" s="2063">
        <f t="shared" si="22"/>
        <v>88.827674762654894</v>
      </c>
      <c r="AW18" s="2063">
        <f t="shared" si="23"/>
        <v>90.130957181968171</v>
      </c>
      <c r="AX18" s="2063">
        <f>+'MCP ST'!D11</f>
        <v>0.55771537034815388</v>
      </c>
      <c r="AY18" s="3148">
        <f>+'MCP ST'!AL11</f>
        <v>8.3223716884700521E-3</v>
      </c>
      <c r="AZ18" s="2063">
        <f t="shared" si="24"/>
        <v>1</v>
      </c>
      <c r="BA18" s="2063">
        <f t="shared" si="25"/>
        <v>90.130957181968171</v>
      </c>
      <c r="BB18" s="2063">
        <f>+'MCP ST'!N11</f>
        <v>1.2372100607778997</v>
      </c>
      <c r="BC18" s="2063">
        <f>+'MCP ST'!O11</f>
        <v>1.4487392030526722</v>
      </c>
      <c r="BD18" s="2063">
        <f>+'MCP ST'!P11</f>
        <v>0.12406361669749821</v>
      </c>
      <c r="BE18" s="2063">
        <f>+'MCP ST'!Q11</f>
        <v>5.3766498750743866E-2</v>
      </c>
      <c r="BF18" s="3149">
        <f t="shared" si="26"/>
        <v>23.346767218343803</v>
      </c>
      <c r="BG18" s="3149">
        <f t="shared" si="27"/>
        <v>15.864149761812817</v>
      </c>
      <c r="BH18" s="3150">
        <f t="shared" si="28"/>
        <v>20.093374076101178</v>
      </c>
      <c r="BI18" s="1134">
        <f t="shared" si="29"/>
        <v>23.346767218343803</v>
      </c>
      <c r="BJ18" s="3150">
        <f t="shared" si="30"/>
        <v>22.112504841613081</v>
      </c>
      <c r="BK18" s="3150">
        <f>+'MCP ST'!I11</f>
        <v>24.512358395850693</v>
      </c>
      <c r="BL18" s="3150">
        <f t="shared" si="31"/>
        <v>4.3054566652213655</v>
      </c>
      <c r="BM18" s="3150">
        <f>+'MCP ST'!AK11/25.4</f>
        <v>3.6948724785669906</v>
      </c>
      <c r="BN18" s="3150">
        <f t="shared" si="32"/>
        <v>-0.61058418665437486</v>
      </c>
      <c r="BO18" s="3151"/>
      <c r="BP18" s="3152">
        <f t="shared" si="33"/>
        <v>183.1568580993503</v>
      </c>
      <c r="BQ18" s="3152">
        <f>+'MCP ST'!S11</f>
        <v>203.73798605307115</v>
      </c>
      <c r="BR18" s="3150">
        <f t="shared" si="34"/>
        <v>20.581127953720852</v>
      </c>
      <c r="BS18" s="3151"/>
      <c r="BT18" s="3150">
        <f t="shared" si="35"/>
        <v>90.130957181968171</v>
      </c>
      <c r="BU18" s="3150">
        <f>+'MCP ST'!J11</f>
        <v>89.118894187834357</v>
      </c>
      <c r="BV18" s="3150">
        <f t="shared" si="36"/>
        <v>-1.0120629941338137</v>
      </c>
      <c r="BW18" s="3150"/>
      <c r="BX18" s="1134">
        <f t="shared" si="37"/>
        <v>23.346767218343803</v>
      </c>
      <c r="BY18" s="1134">
        <f>+'MCP ST'!I11</f>
        <v>24.512358395850693</v>
      </c>
      <c r="BZ18" s="3150">
        <f t="shared" si="38"/>
        <v>1.1655911775068901</v>
      </c>
      <c r="CA18" s="3150"/>
      <c r="CB18" s="3151"/>
      <c r="CC18" s="3150">
        <v>35.938278358254401</v>
      </c>
      <c r="CD18" s="3150">
        <f t="shared" si="39"/>
        <v>-11.425919962403707</v>
      </c>
      <c r="CE18" s="308">
        <f>+'MCP ST'!AK11</f>
        <v>93.849760955601553</v>
      </c>
      <c r="CF18" s="308">
        <f t="shared" si="40"/>
        <v>93.849760955601553</v>
      </c>
      <c r="CG18" s="1134">
        <f t="shared" si="41"/>
        <v>0</v>
      </c>
      <c r="CH18" s="308">
        <f>+'MCP ST'!AR11</f>
        <v>8742.584193593766</v>
      </c>
      <c r="CI18" s="1134">
        <f t="shared" si="42"/>
        <v>8742.584193593766</v>
      </c>
    </row>
    <row r="19" spans="1:87" s="362" customFormat="1">
      <c r="A19" s="3141">
        <f t="shared" si="43"/>
        <v>46092.791666666664</v>
      </c>
      <c r="B19" s="2054">
        <f>+'MCP ST'!B12</f>
        <v>150000.62475222696</v>
      </c>
      <c r="C19" s="3142">
        <f>+'MCP ST'!L12</f>
        <v>12.480891047546018</v>
      </c>
      <c r="D19" s="3143">
        <v>7.75</v>
      </c>
      <c r="E19" s="3144">
        <f>+'MCP ST'!T12+$B$4</f>
        <v>37.994256084481933</v>
      </c>
      <c r="F19" s="3910">
        <f t="shared" si="44"/>
        <v>6.8391479991009199</v>
      </c>
      <c r="G19" s="3144">
        <f>+'MCP ST'!V12*$G$7</f>
        <v>67.947687366999389</v>
      </c>
      <c r="H19" s="2354">
        <f>+'MCP ST'!W12</f>
        <v>71782.521454043657</v>
      </c>
      <c r="I19" s="2354">
        <f>+'MCP ST'!X12</f>
        <v>0</v>
      </c>
      <c r="J19" s="2354">
        <f>+SUM('MCP ST'!Y12:Z12)</f>
        <v>77380.856141827055</v>
      </c>
      <c r="K19" s="2354">
        <f>+'MCP ST'!AB12</f>
        <v>43.57038277189077</v>
      </c>
      <c r="L19" s="2354">
        <f>+'MCP ST'!AA12</f>
        <v>410.09995872352317</v>
      </c>
      <c r="M19" s="2354">
        <f>+'MCP ST'!AC12</f>
        <v>383.26645839300141</v>
      </c>
      <c r="N19" s="2354">
        <v>0</v>
      </c>
      <c r="O19" s="2354">
        <v>46.236918408586924</v>
      </c>
      <c r="P19" s="2063">
        <f t="shared" si="1"/>
        <v>101.2983448694447</v>
      </c>
      <c r="Q19" s="2063">
        <f t="shared" si="2"/>
        <v>3.9881238137576656</v>
      </c>
      <c r="R19" s="3142">
        <f t="shared" si="3"/>
        <v>14.065352567750788</v>
      </c>
      <c r="S19" s="3142">
        <f t="shared" si="4"/>
        <v>18.951130101755496</v>
      </c>
      <c r="T19" s="3142">
        <f t="shared" si="5"/>
        <v>5.7798572319889887</v>
      </c>
      <c r="U19" s="2054">
        <f t="shared" si="6"/>
        <v>41376</v>
      </c>
      <c r="V19" s="2054">
        <f t="shared" si="7"/>
        <v>7158.6543299031482</v>
      </c>
      <c r="W19" s="2054">
        <f>+'ST Original'!BR18</f>
        <v>6474.0162570393995</v>
      </c>
      <c r="X19" s="2054">
        <f t="shared" si="8"/>
        <v>189.58070014332762</v>
      </c>
      <c r="Y19" s="3622">
        <v>55500</v>
      </c>
      <c r="Z19" s="3145">
        <f t="shared" si="9"/>
        <v>6.7186832890356243</v>
      </c>
      <c r="AA19" s="2054">
        <f t="shared" si="10"/>
        <v>7441.9343566314792</v>
      </c>
      <c r="AB19" s="2354" t="str">
        <f t="shared" si="11"/>
        <v>SAG</v>
      </c>
      <c r="AC19" s="3142">
        <f t="shared" si="12"/>
        <v>8.0918001247845837</v>
      </c>
      <c r="AD19" s="2054">
        <f t="shared" si="13"/>
        <v>1842.4824847483367</v>
      </c>
      <c r="AE19" s="3146">
        <f>+IF(ISNUMBER('ST Original'!BS18),('ST Original'!BS18),"0")</f>
        <v>1810.6065984488382</v>
      </c>
      <c r="AF19" s="2054">
        <f t="shared" si="14"/>
        <v>210.11140846331975</v>
      </c>
      <c r="AG19" s="2054">
        <f t="shared" si="15"/>
        <v>210.11140846331975</v>
      </c>
      <c r="AH19" s="3147">
        <f t="shared" si="16"/>
        <v>6.6369472515445329</v>
      </c>
      <c r="AI19" s="2054">
        <f t="shared" si="17"/>
        <v>1717.6571649483913</v>
      </c>
      <c r="AJ19" s="2354" t="str">
        <f t="shared" si="18"/>
        <v>BOLAS</v>
      </c>
      <c r="AK19" s="308">
        <f>+IFERROR((AG19*'ST Original'!F18+X19*'ST Original'!G18)/('ST Original'!E18),"0")</f>
        <v>194.03388983451023</v>
      </c>
      <c r="AL19" s="308">
        <f t="shared" si="19"/>
        <v>191.46194013153175</v>
      </c>
      <c r="AM19" s="2063">
        <f>+'MCP ST'!AD12</f>
        <v>92.500293480338428</v>
      </c>
      <c r="AN19" s="2063">
        <f>+'MCP ST'!AE12</f>
        <v>91.185464580320158</v>
      </c>
      <c r="AO19" s="2063">
        <f>+'MCP ST'!AF12</f>
        <v>89.137140666864966</v>
      </c>
      <c r="AP19" s="2063">
        <f>+'MCP ST'!AG12</f>
        <v>86.748732624881669</v>
      </c>
      <c r="AQ19" s="2063">
        <f>+'MCP ST'!AH12</f>
        <v>83.949755939857738</v>
      </c>
      <c r="AR19" s="2063">
        <f>+'MCP ST'!AI12</f>
        <v>82.945744005374976</v>
      </c>
      <c r="AS19" s="2063">
        <f>+'MCP ST'!AJ12</f>
        <v>78.737082228374163</v>
      </c>
      <c r="AT19" s="2063">
        <f t="shared" si="20"/>
        <v>104.05971804447852</v>
      </c>
      <c r="AU19" s="2063">
        <f t="shared" si="21"/>
        <v>-8.3990329097026209E-2</v>
      </c>
      <c r="AV19" s="2063">
        <f t="shared" si="22"/>
        <v>87.762747781301869</v>
      </c>
      <c r="AW19" s="2063">
        <f t="shared" si="23"/>
        <v>89.567717301530564</v>
      </c>
      <c r="AX19" s="2063">
        <f>+'MCP ST'!D12</f>
        <v>0.51805503431547117</v>
      </c>
      <c r="AY19" s="3148">
        <f>+'MCP ST'!AL12</f>
        <v>8.3654397930745146E-3</v>
      </c>
      <c r="AZ19" s="2063">
        <f t="shared" si="24"/>
        <v>1</v>
      </c>
      <c r="BA19" s="2063">
        <f t="shared" si="25"/>
        <v>89.567717301530564</v>
      </c>
      <c r="BB19" s="2063">
        <f>+'MCP ST'!N12</f>
        <v>0.92169991530674766</v>
      </c>
      <c r="BC19" s="2063">
        <f>+'MCP ST'!O12</f>
        <v>1.3210127023542937</v>
      </c>
      <c r="BD19" s="2063">
        <f>+'MCP ST'!P12</f>
        <v>0.12518822326317175</v>
      </c>
      <c r="BE19" s="2063">
        <f>+'MCP ST'!Q12</f>
        <v>0.14008194821346656</v>
      </c>
      <c r="BF19" s="3149">
        <f t="shared" si="26"/>
        <v>24.746686511879627</v>
      </c>
      <c r="BG19" s="3149">
        <f t="shared" si="27"/>
        <v>16.967601438900239</v>
      </c>
      <c r="BH19" s="3150">
        <f t="shared" si="28"/>
        <v>22.069152007500293</v>
      </c>
      <c r="BI19" s="1134">
        <f t="shared" si="29"/>
        <v>24.746686511879627</v>
      </c>
      <c r="BJ19" s="3150">
        <f t="shared" si="30"/>
        <v>23.834680612927421</v>
      </c>
      <c r="BK19" s="3150">
        <f>+'MCP ST'!I12</f>
        <v>25.342167904509946</v>
      </c>
      <c r="BL19" s="3150">
        <f t="shared" si="31"/>
        <v>3.9881238137576656</v>
      </c>
      <c r="BM19" s="3150">
        <f>+'MCP ST'!AK12/25.4</f>
        <v>3.5949457152437345</v>
      </c>
      <c r="BN19" s="3150">
        <f t="shared" si="32"/>
        <v>-0.39317809851393104</v>
      </c>
      <c r="BO19" s="3151"/>
      <c r="BP19" s="3152">
        <f t="shared" si="33"/>
        <v>194.03388983451023</v>
      </c>
      <c r="BQ19" s="3152">
        <f>+'MCP ST'!S12</f>
        <v>208.68810693134586</v>
      </c>
      <c r="BR19" s="3150">
        <f t="shared" si="34"/>
        <v>14.654217096835623</v>
      </c>
      <c r="BS19" s="3151"/>
      <c r="BT19" s="3150">
        <f t="shared" si="35"/>
        <v>89.567717301530564</v>
      </c>
      <c r="BU19" s="3150">
        <f>+'MCP ST'!J12</f>
        <v>88.89218809452268</v>
      </c>
      <c r="BV19" s="3150">
        <f t="shared" si="36"/>
        <v>-0.67552920700788377</v>
      </c>
      <c r="BW19" s="3150"/>
      <c r="BX19" s="1134">
        <f t="shared" si="37"/>
        <v>24.746686511879627</v>
      </c>
      <c r="BY19" s="1134">
        <f>+'MCP ST'!I12</f>
        <v>25.342167904509946</v>
      </c>
      <c r="BZ19" s="3150">
        <f t="shared" si="38"/>
        <v>0.59548139263031885</v>
      </c>
      <c r="CA19" s="3150"/>
      <c r="CB19" s="3151"/>
      <c r="CC19" s="3150">
        <v>36.938278358254401</v>
      </c>
      <c r="CD19" s="3150">
        <f t="shared" si="39"/>
        <v>-11.596110453744455</v>
      </c>
      <c r="CE19" s="308">
        <f>+'MCP ST'!AK12</f>
        <v>91.31162116719085</v>
      </c>
      <c r="CF19" s="308">
        <f t="shared" si="40"/>
        <v>91.31162116719085</v>
      </c>
      <c r="CG19" s="1134">
        <f t="shared" si="41"/>
        <v>0</v>
      </c>
      <c r="CH19" s="308">
        <f>+'MCP ST'!AR12</f>
        <v>9010.5234946310102</v>
      </c>
      <c r="CI19" s="1134">
        <f t="shared" si="42"/>
        <v>9010.5234946310102</v>
      </c>
    </row>
    <row r="20" spans="1:87" s="362" customFormat="1">
      <c r="A20" s="3141">
        <f t="shared" si="43"/>
        <v>46093.791666666664</v>
      </c>
      <c r="B20" s="2054">
        <f>+'MCP ST'!B13</f>
        <v>220000.61924611669</v>
      </c>
      <c r="C20" s="3142">
        <f>+'MCP ST'!L13</f>
        <v>12.509212018702772</v>
      </c>
      <c r="D20" s="3143">
        <v>7.75</v>
      </c>
      <c r="E20" s="3144">
        <f>+'MCP ST'!T13+$B$4</f>
        <v>38.949408800978375</v>
      </c>
      <c r="F20" s="3910">
        <f t="shared" si="44"/>
        <v>6.6610049016561872</v>
      </c>
      <c r="G20" s="3144">
        <f>+'MCP ST'!V13*$G$7</f>
        <v>61.77905381452085</v>
      </c>
      <c r="H20" s="2354">
        <f>+'MCP ST'!W13</f>
        <v>138921.72057123447</v>
      </c>
      <c r="I20" s="2354">
        <f>+'MCP ST'!X13</f>
        <v>0</v>
      </c>
      <c r="J20" s="2354">
        <f>+SUM('MCP ST'!Y13:Z13)</f>
        <v>78499.568223993512</v>
      </c>
      <c r="K20" s="2354">
        <f>+'MCP ST'!AB13</f>
        <v>0</v>
      </c>
      <c r="L20" s="2354">
        <f>+'MCP ST'!AA13</f>
        <v>0</v>
      </c>
      <c r="M20" s="2354">
        <f>+'MCP ST'!AC13</f>
        <v>2579.0398396485771</v>
      </c>
      <c r="N20" s="2354">
        <v>0</v>
      </c>
      <c r="O20" s="2354">
        <v>35.681267903620466</v>
      </c>
      <c r="P20" s="2063">
        <f t="shared" si="1"/>
        <v>98.6239733807097</v>
      </c>
      <c r="Q20" s="2063">
        <f t="shared" si="2"/>
        <v>3.8828335976657362</v>
      </c>
      <c r="R20" s="3142">
        <f t="shared" si="3"/>
        <v>13.691157072364719</v>
      </c>
      <c r="S20" s="3142">
        <f t="shared" si="4"/>
        <v>18.705321080836384</v>
      </c>
      <c r="T20" s="3142">
        <f t="shared" si="5"/>
        <v>5.5953273382108684</v>
      </c>
      <c r="U20" s="2054">
        <f t="shared" si="6"/>
        <v>41376</v>
      </c>
      <c r="V20" s="2054">
        <f t="shared" si="7"/>
        <v>7394.741629759621</v>
      </c>
      <c r="W20" s="2054">
        <f>+'ST Original'!BR19</f>
        <v>7111.9447887495471</v>
      </c>
      <c r="X20" s="2054">
        <f t="shared" si="8"/>
        <v>192.78311881862425</v>
      </c>
      <c r="Y20" s="3622">
        <v>55500</v>
      </c>
      <c r="Z20" s="3145">
        <f t="shared" si="9"/>
        <v>6.6634580586847809</v>
      </c>
      <c r="AA20" s="2054">
        <f t="shared" si="10"/>
        <v>7503.6114221253001</v>
      </c>
      <c r="AB20" s="2354" t="str">
        <f t="shared" si="11"/>
        <v>SAG</v>
      </c>
      <c r="AC20" s="3142">
        <f t="shared" si="12"/>
        <v>7.8334582734952152</v>
      </c>
      <c r="AD20" s="2054">
        <f t="shared" si="13"/>
        <v>1903.2462393327773</v>
      </c>
      <c r="AE20" s="3146">
        <f>+IF(ISNUMBER('ST Original'!BS19),('ST Original'!BS19),"0")</f>
        <v>1810.6065984488382</v>
      </c>
      <c r="AF20" s="2054">
        <f t="shared" si="14"/>
        <v>210.86146795807619</v>
      </c>
      <c r="AG20" s="2054">
        <f t="shared" si="15"/>
        <v>210.86146795807619</v>
      </c>
      <c r="AH20" s="3147">
        <f t="shared" si="16"/>
        <v>6.6366450122119272</v>
      </c>
      <c r="AI20" s="2054">
        <f t="shared" si="17"/>
        <v>1717.7353887428271</v>
      </c>
      <c r="AJ20" s="2354" t="str">
        <f t="shared" si="18"/>
        <v>BOLAS</v>
      </c>
      <c r="AK20" s="308">
        <f>+IFERROR((AG20*'ST Original'!F19+X20*'ST Original'!G19)/('ST Original'!E19),"0")</f>
        <v>196.42347854949477</v>
      </c>
      <c r="AL20" s="308">
        <f t="shared" si="19"/>
        <v>215.92182211743483</v>
      </c>
      <c r="AM20" s="2063">
        <f>+'MCP ST'!AD13</f>
        <v>92.38802574232119</v>
      </c>
      <c r="AN20" s="2063">
        <f>+'MCP ST'!AE13</f>
        <v>90.829297540810899</v>
      </c>
      <c r="AO20" s="2063">
        <f>+'MCP ST'!AF13</f>
        <v>88.693742823681205</v>
      </c>
      <c r="AP20" s="2063">
        <f>+'MCP ST'!AG13</f>
        <v>86.138568349473303</v>
      </c>
      <c r="AQ20" s="2063">
        <f>+'MCP ST'!AH13</f>
        <v>82.897704414262563</v>
      </c>
      <c r="AR20" s="2063">
        <f>+'MCP ST'!AI13</f>
        <v>81.70631223423176</v>
      </c>
      <c r="AS20" s="2063">
        <f>+'MCP ST'!AJ13</f>
        <v>77.34160031442498</v>
      </c>
      <c r="AT20" s="2063">
        <f t="shared" si="20"/>
        <v>105.0195992569074</v>
      </c>
      <c r="AU20" s="2063">
        <f t="shared" si="21"/>
        <v>-9.212129746363043E-2</v>
      </c>
      <c r="AV20" s="2063">
        <f t="shared" si="22"/>
        <v>86.924813560608357</v>
      </c>
      <c r="AW20" s="2063">
        <f t="shared" si="23"/>
        <v>89.124533892205761</v>
      </c>
      <c r="AX20" s="2063">
        <f>+'MCP ST'!D13</f>
        <v>0.46221007725168212</v>
      </c>
      <c r="AY20" s="3148">
        <f>+'MCP ST'!AL13</f>
        <v>9.0632229936228308E-3</v>
      </c>
      <c r="AZ20" s="2063">
        <f t="shared" si="24"/>
        <v>1</v>
      </c>
      <c r="BA20" s="2063">
        <f t="shared" si="25"/>
        <v>89.124533892205761</v>
      </c>
      <c r="BB20" s="2063">
        <f>+'MCP ST'!N13</f>
        <v>0.73923559470345546</v>
      </c>
      <c r="BC20" s="2063">
        <f>+'MCP ST'!O13</f>
        <v>1.3705008806916195</v>
      </c>
      <c r="BD20" s="2063">
        <f>+'MCP ST'!P13</f>
        <v>8.2485672991675307E-2</v>
      </c>
      <c r="BE20" s="2063">
        <f>+'MCP ST'!Q13</f>
        <v>0.18501782620026871</v>
      </c>
      <c r="BF20" s="3149">
        <f t="shared" si="26"/>
        <v>24.479636186181249</v>
      </c>
      <c r="BG20" s="3149">
        <f t="shared" si="27"/>
        <v>15.736099201811635</v>
      </c>
      <c r="BH20" s="3150">
        <f t="shared" si="28"/>
        <v>21.279690418130805</v>
      </c>
      <c r="BI20" s="1134">
        <f t="shared" si="29"/>
        <v>24.479636186181249</v>
      </c>
      <c r="BJ20" s="3150">
        <f t="shared" si="30"/>
        <v>23.559787983348095</v>
      </c>
      <c r="BK20" s="3150">
        <f>+'MCP ST'!I13</f>
        <v>25.013643155044935</v>
      </c>
      <c r="BL20" s="3150">
        <f t="shared" si="31"/>
        <v>3.8828335976657362</v>
      </c>
      <c r="BM20" s="3150">
        <f>+'MCP ST'!AK13/25.4</f>
        <v>3.5057195361337743</v>
      </c>
      <c r="BN20" s="3150">
        <f t="shared" si="32"/>
        <v>-0.37711406153196192</v>
      </c>
      <c r="BO20" s="3151"/>
      <c r="BP20" s="3152">
        <f t="shared" si="33"/>
        <v>196.42347854949477</v>
      </c>
      <c r="BQ20" s="3152">
        <f>+'MCP ST'!S13</f>
        <v>211.85459902096702</v>
      </c>
      <c r="BR20" s="3150">
        <f t="shared" si="34"/>
        <v>15.431120471472241</v>
      </c>
      <c r="BS20" s="3151"/>
      <c r="BT20" s="3150">
        <f t="shared" si="35"/>
        <v>89.124533892205761</v>
      </c>
      <c r="BU20" s="3150">
        <f>+'MCP ST'!J13</f>
        <v>88.388494031114348</v>
      </c>
      <c r="BV20" s="3150">
        <f t="shared" si="36"/>
        <v>-0.73603986109141317</v>
      </c>
      <c r="BW20" s="3150"/>
      <c r="BX20" s="1134">
        <f t="shared" si="37"/>
        <v>24.479636186181249</v>
      </c>
      <c r="BY20" s="1134">
        <f>+'MCP ST'!I13</f>
        <v>25.013643155044935</v>
      </c>
      <c r="BZ20" s="3150">
        <f t="shared" si="38"/>
        <v>0.53400696886368593</v>
      </c>
      <c r="CA20" s="3150"/>
      <c r="CB20" s="3151"/>
      <c r="CC20" s="3150">
        <v>37.938278358254401</v>
      </c>
      <c r="CD20" s="3150">
        <f t="shared" si="39"/>
        <v>-12.924635203209466</v>
      </c>
      <c r="CE20" s="308">
        <f>+'MCP ST'!AK13</f>
        <v>89.045276217797863</v>
      </c>
      <c r="CF20" s="308">
        <f t="shared" si="40"/>
        <v>89.045276217797863</v>
      </c>
      <c r="CG20" s="1134">
        <f t="shared" si="41"/>
        <v>0</v>
      </c>
      <c r="CH20" s="308">
        <f>+'MCP ST'!AR13</f>
        <v>9147.5668038429594</v>
      </c>
      <c r="CI20" s="1134">
        <f t="shared" si="42"/>
        <v>9147.5668038429594</v>
      </c>
    </row>
    <row r="21" spans="1:87" s="362" customFormat="1">
      <c r="A21" s="3141">
        <f t="shared" si="43"/>
        <v>46094.791666666664</v>
      </c>
      <c r="B21" s="2054">
        <f>+'MCP ST'!B14</f>
        <v>220000.5090867368</v>
      </c>
      <c r="C21" s="3142">
        <f>+'MCP ST'!L14</f>
        <v>12.366531344329239</v>
      </c>
      <c r="D21" s="3143">
        <v>7.75</v>
      </c>
      <c r="E21" s="3144">
        <f>+'MCP ST'!T14+$B$4</f>
        <v>38.471143749007744</v>
      </c>
      <c r="F21" s="3910">
        <f t="shared" si="44"/>
        <v>6.7490643473812248</v>
      </c>
      <c r="G21" s="3144">
        <f>+'MCP ST'!V14*$G$7</f>
        <v>67.780225087270651</v>
      </c>
      <c r="H21" s="2354">
        <f>+'MCP ST'!W14</f>
        <v>111871.77604305846</v>
      </c>
      <c r="I21" s="2354">
        <f>+'MCP ST'!X14</f>
        <v>0</v>
      </c>
      <c r="J21" s="2354">
        <f>+SUM('MCP ST'!Y14:Z14)</f>
        <v>107791.43169381455</v>
      </c>
      <c r="K21" s="2354">
        <f>+'MCP ST'!AB14</f>
        <v>0</v>
      </c>
      <c r="L21" s="2354">
        <f>+'MCP ST'!AA14</f>
        <v>3.7122269500511597E-2</v>
      </c>
      <c r="M21" s="2354">
        <f>+'MCP ST'!AC14</f>
        <v>337.20960091182519</v>
      </c>
      <c r="N21" s="2354">
        <v>10.552298432251604</v>
      </c>
      <c r="O21" s="2354">
        <v>38.443436807685494</v>
      </c>
      <c r="P21" s="2063">
        <f t="shared" si="1"/>
        <v>101.33222961488948</v>
      </c>
      <c r="Q21" s="2063">
        <f t="shared" si="2"/>
        <v>3.9894578588539171</v>
      </c>
      <c r="R21" s="3142">
        <f t="shared" si="3"/>
        <v>14.039216803362505</v>
      </c>
      <c r="S21" s="3142">
        <f t="shared" si="4"/>
        <v>18.933961518128832</v>
      </c>
      <c r="T21" s="3142">
        <f t="shared" si="5"/>
        <v>5.7359998220964767</v>
      </c>
      <c r="U21" s="2054">
        <f t="shared" si="6"/>
        <v>41376</v>
      </c>
      <c r="V21" s="2054">
        <f t="shared" si="7"/>
        <v>7213.389345064048</v>
      </c>
      <c r="W21" s="2054">
        <f>+'ST Original'!BR20</f>
        <v>6923.0215348595166</v>
      </c>
      <c r="X21" s="2054">
        <f t="shared" si="8"/>
        <v>189.43802067332638</v>
      </c>
      <c r="Y21" s="3622">
        <v>55500</v>
      </c>
      <c r="Z21" s="3145">
        <f t="shared" si="9"/>
        <v>6.6602664173958717</v>
      </c>
      <c r="AA21" s="2054">
        <f t="shared" si="10"/>
        <v>7507.2071996107525</v>
      </c>
      <c r="AB21" s="2354" t="str">
        <f t="shared" si="11"/>
        <v>SAG</v>
      </c>
      <c r="AC21" s="3142">
        <f t="shared" si="12"/>
        <v>8.0303997509350662</v>
      </c>
      <c r="AD21" s="2054">
        <f t="shared" si="13"/>
        <v>1856.5700914532908</v>
      </c>
      <c r="AE21" s="3146">
        <f>+IF(ISNUMBER('ST Original'!BS20),('ST Original'!BS20),"0")</f>
        <v>1810.6065984488382</v>
      </c>
      <c r="AF21" s="2054">
        <f t="shared" si="14"/>
        <v>207.08891727979363</v>
      </c>
      <c r="AG21" s="2054">
        <f t="shared" si="15"/>
        <v>207.08891727979363</v>
      </c>
      <c r="AH21" s="3147">
        <f t="shared" si="16"/>
        <v>6.6381676899322528</v>
      </c>
      <c r="AI21" s="2054">
        <f t="shared" si="17"/>
        <v>1717.3413707655741</v>
      </c>
      <c r="AJ21" s="2354" t="str">
        <f t="shared" si="18"/>
        <v>BOLAS</v>
      </c>
      <c r="AK21" s="308">
        <f>+IFERROR((AG21*'ST Original'!F20+X21*'ST Original'!G20)/('ST Original'!E20),"0")</f>
        <v>193.0693450109496</v>
      </c>
      <c r="AL21" s="308">
        <f t="shared" si="19"/>
        <v>205.08940006141259</v>
      </c>
      <c r="AM21" s="2063">
        <f>+'MCP ST'!AD14</f>
        <v>92.961508422004556</v>
      </c>
      <c r="AN21" s="2063">
        <f>+'MCP ST'!AE14</f>
        <v>91.087574710225425</v>
      </c>
      <c r="AO21" s="2063">
        <f>+'MCP ST'!AF14</f>
        <v>89.01529070678842</v>
      </c>
      <c r="AP21" s="2063">
        <f>+'MCP ST'!AG14</f>
        <v>86.214295902245553</v>
      </c>
      <c r="AQ21" s="2063">
        <f>+'MCP ST'!AH14</f>
        <v>82.416659237765003</v>
      </c>
      <c r="AR21" s="2063">
        <f>+'MCP ST'!AI14</f>
        <v>81.101325589666203</v>
      </c>
      <c r="AS21" s="2063">
        <f>+'MCP ST'!AJ14</f>
        <v>76.642940460684358</v>
      </c>
      <c r="AT21" s="2063">
        <f t="shared" si="20"/>
        <v>106.67151294968718</v>
      </c>
      <c r="AU21" s="2063">
        <f t="shared" si="21"/>
        <v>-0.10038241010117976</v>
      </c>
      <c r="AV21" s="2063">
        <f t="shared" si="22"/>
        <v>87.290746780831881</v>
      </c>
      <c r="AW21" s="2063">
        <f t="shared" si="23"/>
        <v>89.31807597238199</v>
      </c>
      <c r="AX21" s="2063">
        <f>+'MCP ST'!D14</f>
        <v>0.50894157569520238</v>
      </c>
      <c r="AY21" s="3148">
        <f>+'MCP ST'!AL14</f>
        <v>9.1193489872996962E-3</v>
      </c>
      <c r="AZ21" s="2063">
        <f t="shared" si="24"/>
        <v>1</v>
      </c>
      <c r="BA21" s="2063">
        <f t="shared" si="25"/>
        <v>89.31807597238199</v>
      </c>
      <c r="BB21" s="2063">
        <f>+'MCP ST'!N14</f>
        <v>0.75093683870643724</v>
      </c>
      <c r="BC21" s="2063">
        <f>+'MCP ST'!O14</f>
        <v>1.0507190625720064</v>
      </c>
      <c r="BD21" s="2063">
        <f>+'MCP ST'!P14</f>
        <v>0.16164012894286295</v>
      </c>
      <c r="BE21" s="2063">
        <f>+'MCP ST'!Q14</f>
        <v>0.17687129186245398</v>
      </c>
      <c r="BF21" s="3149">
        <f t="shared" si="26"/>
        <v>26.889493150423458</v>
      </c>
      <c r="BG21" s="3149">
        <f t="shared" si="27"/>
        <v>19.950129502969052</v>
      </c>
      <c r="BH21" s="3150">
        <f t="shared" si="28"/>
        <v>25.448795149128806</v>
      </c>
      <c r="BI21" s="1134">
        <f t="shared" si="29"/>
        <v>26.889493150423458</v>
      </c>
      <c r="BJ21" s="3150">
        <f t="shared" si="30"/>
        <v>26.425953526164875</v>
      </c>
      <c r="BK21" s="3150">
        <f>+'MCP ST'!I14</f>
        <v>27.182734194632442</v>
      </c>
      <c r="BL21" s="3150">
        <f t="shared" si="31"/>
        <v>3.9894578588539171</v>
      </c>
      <c r="BM21" s="3150">
        <f>+'MCP ST'!AK14/25.4</f>
        <v>3.5803074200782272</v>
      </c>
      <c r="BN21" s="3150">
        <f t="shared" si="32"/>
        <v>-0.40915043877568991</v>
      </c>
      <c r="BO21" s="3151"/>
      <c r="BP21" s="3152">
        <f t="shared" si="33"/>
        <v>193.0693450109496</v>
      </c>
      <c r="BQ21" s="3152">
        <f>+'MCP ST'!S14</f>
        <v>209.88518200158433</v>
      </c>
      <c r="BR21" s="3150">
        <f t="shared" si="34"/>
        <v>16.815836990634722</v>
      </c>
      <c r="BS21" s="3151"/>
      <c r="BT21" s="3150">
        <f t="shared" si="35"/>
        <v>89.31807597238199</v>
      </c>
      <c r="BU21" s="3150">
        <f>+'MCP ST'!J14</f>
        <v>88.390645502879778</v>
      </c>
      <c r="BV21" s="3150">
        <f t="shared" si="36"/>
        <v>-0.92743046950221242</v>
      </c>
      <c r="BW21" s="3150"/>
      <c r="BX21" s="1134">
        <f t="shared" si="37"/>
        <v>26.889493150423458</v>
      </c>
      <c r="BY21" s="1134">
        <f>+'MCP ST'!I14</f>
        <v>27.182734194632442</v>
      </c>
      <c r="BZ21" s="3150">
        <f t="shared" si="38"/>
        <v>0.29324104420898323</v>
      </c>
      <c r="CA21" s="3150"/>
      <c r="CB21" s="3151"/>
      <c r="CC21" s="3150">
        <v>38.938278358254401</v>
      </c>
      <c r="CD21" s="3150">
        <f t="shared" si="39"/>
        <v>-11.755544163621959</v>
      </c>
      <c r="CE21" s="308">
        <f>+'MCP ST'!AK14</f>
        <v>90.939808469986971</v>
      </c>
      <c r="CF21" s="308">
        <f t="shared" si="40"/>
        <v>90.939808469986971</v>
      </c>
      <c r="CG21" s="1134">
        <f t="shared" si="41"/>
        <v>0</v>
      </c>
      <c r="CH21" s="308">
        <f>+'MCP ST'!AR14</f>
        <v>9244.2803090327543</v>
      </c>
      <c r="CI21" s="1134">
        <f t="shared" si="42"/>
        <v>9244.2803090327543</v>
      </c>
    </row>
    <row r="22" spans="1:87" s="362" customFormat="1">
      <c r="A22" s="3141">
        <f t="shared" si="43"/>
        <v>46095.791666666664</v>
      </c>
      <c r="B22" s="2054">
        <f>+'MCP ST'!B15</f>
        <v>165088.43244626594</v>
      </c>
      <c r="C22" s="3142">
        <f>+'MCP ST'!L15</f>
        <v>12.331340137479614</v>
      </c>
      <c r="D22" s="3143">
        <v>7.75</v>
      </c>
      <c r="E22" s="3144">
        <f>+'MCP ST'!T15+$B$4</f>
        <v>37.239356535075302</v>
      </c>
      <c r="F22" s="3910">
        <f t="shared" si="44"/>
        <v>6.9866159883863066</v>
      </c>
      <c r="G22" s="3144">
        <f>+'MCP ST'!V15*$G$7</f>
        <v>91.63921598331099</v>
      </c>
      <c r="H22" s="2354">
        <f>+'MCP ST'!W15</f>
        <v>19180.770076675442</v>
      </c>
      <c r="I22" s="2354">
        <f>+'MCP ST'!X15</f>
        <v>375</v>
      </c>
      <c r="J22" s="2354">
        <f>+SUM('MCP ST'!Y15:Z15)</f>
        <v>142002.41216143727</v>
      </c>
      <c r="K22" s="2354">
        <f>+'MCP ST'!AB15</f>
        <v>0</v>
      </c>
      <c r="L22" s="2354">
        <f>+'MCP ST'!AA15</f>
        <v>206.64565068087992</v>
      </c>
      <c r="M22" s="2354">
        <f>+'MCP ST'!AC15</f>
        <v>823.43561005028073</v>
      </c>
      <c r="N22" s="2354">
        <v>27.258118169603744</v>
      </c>
      <c r="O22" s="2354">
        <v>70.862615975995169</v>
      </c>
      <c r="P22" s="2063">
        <f t="shared" si="1"/>
        <v>109.80346341114233</v>
      </c>
      <c r="Q22" s="2063">
        <f t="shared" si="2"/>
        <v>4.3229710004386748</v>
      </c>
      <c r="R22" s="3142">
        <f t="shared" si="3"/>
        <v>15.161035876809107</v>
      </c>
      <c r="S22" s="3142">
        <f t="shared" si="4"/>
        <v>19.670884467475904</v>
      </c>
      <c r="T22" s="3142">
        <f t="shared" si="5"/>
        <v>6.1551635546159416</v>
      </c>
      <c r="U22" s="2054">
        <f t="shared" si="6"/>
        <v>41376</v>
      </c>
      <c r="V22" s="2054">
        <f t="shared" si="7"/>
        <v>6722.160935751398</v>
      </c>
      <c r="W22" s="2054">
        <f>+'ST Original'!BR21</f>
        <v>6437.2585348689609</v>
      </c>
      <c r="X22" s="2054">
        <f t="shared" si="8"/>
        <v>183.19557110764575</v>
      </c>
      <c r="Y22" s="3622">
        <v>55500</v>
      </c>
      <c r="Z22" s="3145">
        <f t="shared" si="9"/>
        <v>6.7820854756099402</v>
      </c>
      <c r="AA22" s="2054">
        <f t="shared" si="10"/>
        <v>7372.3635863647532</v>
      </c>
      <c r="AB22" s="2354" t="str">
        <f t="shared" si="11"/>
        <v>SAG</v>
      </c>
      <c r="AC22" s="3142">
        <f t="shared" si="12"/>
        <v>8.617228976462318</v>
      </c>
      <c r="AD22" s="2054">
        <f t="shared" si="13"/>
        <v>1730.1385446207187</v>
      </c>
      <c r="AE22" s="3146">
        <f>+IF(ISNUMBER('ST Original'!BS21),('ST Original'!BS21),"0")</f>
        <v>1728.8080933338535</v>
      </c>
      <c r="AF22" s="2054">
        <f t="shared" si="14"/>
        <v>191.60148260839185</v>
      </c>
      <c r="AG22" s="2054">
        <f t="shared" si="15"/>
        <v>191.60148260839185</v>
      </c>
      <c r="AH22" s="3147">
        <f t="shared" si="16"/>
        <v>6.9588723408428459</v>
      </c>
      <c r="AI22" s="2054">
        <f t="shared" si="17"/>
        <v>1638.1964550623231</v>
      </c>
      <c r="AJ22" s="2354" t="str">
        <f t="shared" si="18"/>
        <v>BOLAS</v>
      </c>
      <c r="AK22" s="308">
        <f>+IFERROR((AG22*'ST Original'!F21+X22*'ST Original'!G21)/('ST Original'!E21),"0")</f>
        <v>184.96163306094965</v>
      </c>
      <c r="AL22" s="308">
        <f t="shared" si="19"/>
        <v>183.57737989417251</v>
      </c>
      <c r="AM22" s="2063">
        <f>+'MCP ST'!AD15</f>
        <v>93.71667931794488</v>
      </c>
      <c r="AN22" s="2063">
        <f>+'MCP ST'!AE15</f>
        <v>92.257414733796054</v>
      </c>
      <c r="AO22" s="2063">
        <f>+'MCP ST'!AF15</f>
        <v>90.151866694959011</v>
      </c>
      <c r="AP22" s="2063">
        <f>+'MCP ST'!AG15</f>
        <v>87.685990141806641</v>
      </c>
      <c r="AQ22" s="2063">
        <f>+'MCP ST'!AH15</f>
        <v>84.440928363076921</v>
      </c>
      <c r="AR22" s="2063">
        <f>+'MCP ST'!AI15</f>
        <v>83.38316685723963</v>
      </c>
      <c r="AS22" s="2063">
        <f>+'MCP ST'!AJ15</f>
        <v>79.055051047245982</v>
      </c>
      <c r="AT22" s="2063">
        <f t="shared" si="20"/>
        <v>106.07829249713414</v>
      </c>
      <c r="AU22" s="2063">
        <f t="shared" si="21"/>
        <v>-8.9882038393912608E-2</v>
      </c>
      <c r="AV22" s="2063">
        <f t="shared" si="22"/>
        <v>89.453563892949091</v>
      </c>
      <c r="AW22" s="2063">
        <f t="shared" si="23"/>
        <v>90.461989942980779</v>
      </c>
      <c r="AX22" s="2063">
        <f>+'MCP ST'!D15</f>
        <v>0.48919387585138341</v>
      </c>
      <c r="AY22" s="3148">
        <f>+'MCP ST'!AL15</f>
        <v>7.3553814234602133E-3</v>
      </c>
      <c r="AZ22" s="2063">
        <f t="shared" si="24"/>
        <v>1</v>
      </c>
      <c r="BA22" s="2063">
        <f t="shared" si="25"/>
        <v>90.461989942980779</v>
      </c>
      <c r="BB22" s="2063">
        <f>+'MCP ST'!N15</f>
        <v>0.82763532769129544</v>
      </c>
      <c r="BC22" s="2063">
        <f>+'MCP ST'!O15</f>
        <v>0.39899852399275088</v>
      </c>
      <c r="BD22" s="2063">
        <f>+'MCP ST'!P15</f>
        <v>0.26230470866011468</v>
      </c>
      <c r="BE22" s="2063">
        <f>+'MCP ST'!Q15</f>
        <v>3.5303701984262109E-2</v>
      </c>
      <c r="BF22" s="3149">
        <f t="shared" si="26"/>
        <v>29.215510333934823</v>
      </c>
      <c r="BG22" s="3149">
        <f t="shared" si="27"/>
        <v>26.784238567469473</v>
      </c>
      <c r="BH22" s="3150">
        <f t="shared" si="28"/>
        <v>30.806417049087074</v>
      </c>
      <c r="BI22" s="1134">
        <f t="shared" si="29"/>
        <v>29.215510333934823</v>
      </c>
      <c r="BJ22" s="3150">
        <f t="shared" si="30"/>
        <v>29.061470931576117</v>
      </c>
      <c r="BK22" s="3150">
        <f>+'MCP ST'!I15</f>
        <v>29.671012472800037</v>
      </c>
      <c r="BL22" s="3150">
        <f t="shared" si="31"/>
        <v>4.3229710004386748</v>
      </c>
      <c r="BM22" s="3150">
        <f>+'MCP ST'!AK15/25.4</f>
        <v>4.0083052588947972</v>
      </c>
      <c r="BN22" s="3150">
        <f t="shared" si="32"/>
        <v>-0.31466574154387761</v>
      </c>
      <c r="BO22" s="3151"/>
      <c r="BP22" s="3152">
        <f t="shared" si="33"/>
        <v>184.96163306094965</v>
      </c>
      <c r="BQ22" s="3152">
        <f>+'MCP ST'!S15</f>
        <v>203.98584614282376</v>
      </c>
      <c r="BR22" s="3150">
        <f t="shared" si="34"/>
        <v>19.024213081874109</v>
      </c>
      <c r="BS22" s="3151"/>
      <c r="BT22" s="3150">
        <f t="shared" si="35"/>
        <v>90.461989942980779</v>
      </c>
      <c r="BU22" s="3150">
        <f>+'MCP ST'!J15</f>
        <v>89.566140800557761</v>
      </c>
      <c r="BV22" s="3150">
        <f t="shared" si="36"/>
        <v>-0.8958491424230175</v>
      </c>
      <c r="BW22" s="3150"/>
      <c r="BX22" s="1134">
        <f t="shared" si="37"/>
        <v>29.215510333934823</v>
      </c>
      <c r="BY22" s="1134">
        <f>+'MCP ST'!I15</f>
        <v>29.671012472800037</v>
      </c>
      <c r="BZ22" s="3150">
        <f t="shared" si="38"/>
        <v>0.45550213886521362</v>
      </c>
      <c r="CA22" s="3150"/>
      <c r="CB22" s="3151"/>
      <c r="CC22" s="3150">
        <v>39.938278358254401</v>
      </c>
      <c r="CD22" s="3150">
        <f t="shared" si="39"/>
        <v>-10.267265885454364</v>
      </c>
      <c r="CE22" s="308">
        <f>+'MCP ST'!AK15</f>
        <v>101.81095357592784</v>
      </c>
      <c r="CF22" s="308">
        <f t="shared" si="40"/>
        <v>101.81095357592784</v>
      </c>
      <c r="CG22" s="1134">
        <f t="shared" si="41"/>
        <v>0</v>
      </c>
      <c r="CH22" s="308">
        <f>+'MCP ST'!AR15</f>
        <v>8883.4666271327915</v>
      </c>
      <c r="CI22" s="1134">
        <f t="shared" si="42"/>
        <v>8883.4666271327915</v>
      </c>
    </row>
    <row r="23" spans="1:87" s="362" customFormat="1">
      <c r="A23" s="3141">
        <f t="shared" si="43"/>
        <v>46096.791666666664</v>
      </c>
      <c r="B23" s="2054">
        <f>+'MCP ST'!B16</f>
        <v>197270.98487997908</v>
      </c>
      <c r="C23" s="3142">
        <f>+'MCP ST'!L16</f>
        <v>12.348748642831099</v>
      </c>
      <c r="D23" s="3143">
        <v>7.75</v>
      </c>
      <c r="E23" s="3144">
        <f>+'MCP ST'!T16+$B$4</f>
        <v>36.932517110142435</v>
      </c>
      <c r="F23" s="3910">
        <f t="shared" si="44"/>
        <v>7.0483345419036088</v>
      </c>
      <c r="G23" s="3144">
        <f>+'MCP ST'!V16*$G$7</f>
        <v>94.975831011478306</v>
      </c>
      <c r="H23" s="2354">
        <f>+'MCP ST'!W16</f>
        <v>15320.931436266072</v>
      </c>
      <c r="I23" s="2354">
        <f>+'MCP ST'!X16</f>
        <v>0</v>
      </c>
      <c r="J23" s="2354">
        <f>+SUM('MCP ST'!Y16:Z16)</f>
        <v>179694.32124077386</v>
      </c>
      <c r="K23" s="2354">
        <f>+'MCP ST'!AB16</f>
        <v>0</v>
      </c>
      <c r="L23" s="2354">
        <f>+'MCP ST'!AA16</f>
        <v>405.79336641305099</v>
      </c>
      <c r="M23" s="2354">
        <f>+'MCP ST'!AC16</f>
        <v>1849.9564453398516</v>
      </c>
      <c r="N23" s="2354">
        <v>17.742092189275745</v>
      </c>
      <c r="O23" s="2354">
        <v>77.784521978786586</v>
      </c>
      <c r="P23" s="2063">
        <f t="shared" si="1"/>
        <v>110.83157967357825</v>
      </c>
      <c r="Q23" s="2063">
        <f t="shared" si="2"/>
        <v>4.3634480186448128</v>
      </c>
      <c r="R23" s="3142">
        <f t="shared" si="3"/>
        <v>15.253028312178547</v>
      </c>
      <c r="S23" s="3142">
        <f t="shared" si="4"/>
        <v>19.731314298270089</v>
      </c>
      <c r="T23" s="3142">
        <f t="shared" si="5"/>
        <v>6.2254650987691305</v>
      </c>
      <c r="U23" s="2054">
        <f t="shared" si="6"/>
        <v>41376</v>
      </c>
      <c r="V23" s="2054">
        <f t="shared" si="7"/>
        <v>6646.2504156003806</v>
      </c>
      <c r="W23" s="2054">
        <f>+'ST Original'!BR22</f>
        <v>6361.1103716417356</v>
      </c>
      <c r="X23" s="2054">
        <f t="shared" si="8"/>
        <v>182.40045360582548</v>
      </c>
      <c r="Y23" s="3622">
        <v>55500</v>
      </c>
      <c r="Z23" s="3145">
        <f t="shared" si="9"/>
        <v>6.8101335293699368</v>
      </c>
      <c r="AA23" s="2054">
        <f t="shared" si="10"/>
        <v>7341.9999452824131</v>
      </c>
      <c r="AB23" s="2354" t="str">
        <f t="shared" si="11"/>
        <v>SAG</v>
      </c>
      <c r="AC23" s="3142">
        <f t="shared" si="12"/>
        <v>8.7156511382767814</v>
      </c>
      <c r="AD23" s="2054">
        <f t="shared" si="13"/>
        <v>1710.6008218391976</v>
      </c>
      <c r="AE23" s="3146">
        <f>+IF(ISNUMBER('ST Original'!BS22),('ST Original'!BS22),"0")</f>
        <v>1709.2853947759693</v>
      </c>
      <c r="AF23" s="2054">
        <f t="shared" si="14"/>
        <v>188.58883534952909</v>
      </c>
      <c r="AG23" s="2054">
        <f t="shared" si="15"/>
        <v>188.58883534952909</v>
      </c>
      <c r="AH23" s="3147">
        <f t="shared" si="16"/>
        <v>7.0396707746214791</v>
      </c>
      <c r="AI23" s="2054">
        <f t="shared" si="17"/>
        <v>1619.393912723564</v>
      </c>
      <c r="AJ23" s="2354" t="str">
        <f t="shared" si="18"/>
        <v>BOLAS</v>
      </c>
      <c r="AK23" s="308">
        <f>+IFERROR((AG23*'ST Original'!F22+X23*'ST Original'!G22)/('ST Original'!E22),"0")</f>
        <v>183.7011755821872</v>
      </c>
      <c r="AL23" s="308">
        <f t="shared" si="19"/>
        <v>180.5659090647373</v>
      </c>
      <c r="AM23" s="2063">
        <f>+'MCP ST'!AD16</f>
        <v>93.523528326860728</v>
      </c>
      <c r="AN23" s="2063">
        <f>+'MCP ST'!AE16</f>
        <v>92.142271035180897</v>
      </c>
      <c r="AO23" s="2063">
        <f>+'MCP ST'!AF16</f>
        <v>90.050544455818709</v>
      </c>
      <c r="AP23" s="2063">
        <f>+'MCP ST'!AG16</f>
        <v>87.452115236043639</v>
      </c>
      <c r="AQ23" s="2063">
        <f>+'MCP ST'!AH16</f>
        <v>84.439368356734718</v>
      </c>
      <c r="AR23" s="2063">
        <f>+'MCP ST'!AI16</f>
        <v>83.463226310343131</v>
      </c>
      <c r="AS23" s="2063">
        <f>+'MCP ST'!AJ16</f>
        <v>78.995315583246239</v>
      </c>
      <c r="AT23" s="2063">
        <f t="shared" si="20"/>
        <v>105.7678583590684</v>
      </c>
      <c r="AU23" s="2063">
        <f t="shared" si="21"/>
        <v>-8.8826611594581273E-2</v>
      </c>
      <c r="AV23" s="2063">
        <f t="shared" si="22"/>
        <v>89.450305386161475</v>
      </c>
      <c r="AW23" s="2063">
        <f t="shared" si="23"/>
        <v>90.460266518740809</v>
      </c>
      <c r="AX23" s="2063">
        <f>+'MCP ST'!D16</f>
        <v>0.49273891077590615</v>
      </c>
      <c r="AY23" s="3148">
        <f>+'MCP ST'!AL16</f>
        <v>8.6004291009529991E-3</v>
      </c>
      <c r="AZ23" s="2063">
        <f t="shared" si="24"/>
        <v>1</v>
      </c>
      <c r="BA23" s="2063">
        <f t="shared" si="25"/>
        <v>90.460266518740809</v>
      </c>
      <c r="BB23" s="2063">
        <f>+'MCP ST'!N16</f>
        <v>0.82406664911187855</v>
      </c>
      <c r="BC23" s="2063">
        <f>+'MCP ST'!O16</f>
        <v>0.34299343583560676</v>
      </c>
      <c r="BD23" s="2063">
        <f>+'MCP ST'!P16</f>
        <v>0.28509025589638887</v>
      </c>
      <c r="BE23" s="2063">
        <f>+'MCP ST'!Q16</f>
        <v>1.9528436884085405E-2</v>
      </c>
      <c r="BF23" s="3149">
        <f t="shared" si="26"/>
        <v>29.589318413634608</v>
      </c>
      <c r="BG23" s="3149">
        <f t="shared" si="27"/>
        <v>27.634048996034831</v>
      </c>
      <c r="BH23" s="3150">
        <f t="shared" si="28"/>
        <v>31.835263100399231</v>
      </c>
      <c r="BI23" s="1134">
        <f t="shared" si="29"/>
        <v>29.589318413634608</v>
      </c>
      <c r="BJ23" s="3150">
        <f t="shared" si="30"/>
        <v>29.476448608032214</v>
      </c>
      <c r="BK23" s="3150">
        <f>+'MCP ST'!I16</f>
        <v>29.11477817082487</v>
      </c>
      <c r="BL23" s="3150">
        <f t="shared" si="31"/>
        <v>4.3634480186448128</v>
      </c>
      <c r="BM23" s="3150">
        <f>+'MCP ST'!AK16/25.4</f>
        <v>4.0452145810542843</v>
      </c>
      <c r="BN23" s="3150">
        <f t="shared" si="32"/>
        <v>-0.31823343759052847</v>
      </c>
      <c r="BO23" s="3151"/>
      <c r="BP23" s="3152">
        <f t="shared" si="33"/>
        <v>183.7011755821872</v>
      </c>
      <c r="BQ23" s="3152">
        <f>+'MCP ST'!S16</f>
        <v>203.38257220277529</v>
      </c>
      <c r="BR23" s="3150">
        <f t="shared" si="34"/>
        <v>19.681396620588089</v>
      </c>
      <c r="BS23" s="3151"/>
      <c r="BT23" s="3150">
        <f t="shared" si="35"/>
        <v>90.460266518740809</v>
      </c>
      <c r="BU23" s="3150">
        <f>+'MCP ST'!J16</f>
        <v>89.445791505060242</v>
      </c>
      <c r="BV23" s="3150">
        <f t="shared" si="36"/>
        <v>-1.0144750136805669</v>
      </c>
      <c r="BW23" s="3150"/>
      <c r="BX23" s="1134">
        <f t="shared" si="37"/>
        <v>29.589318413634608</v>
      </c>
      <c r="BY23" s="1134">
        <f>+'MCP ST'!I16</f>
        <v>29.11477817082487</v>
      </c>
      <c r="BZ23" s="3150">
        <f t="shared" si="38"/>
        <v>-0.47454024280973783</v>
      </c>
      <c r="CA23" s="3150"/>
      <c r="CB23" s="3151"/>
      <c r="CC23" s="3150">
        <v>40.938278358254401</v>
      </c>
      <c r="CD23" s="3150">
        <f t="shared" si="39"/>
        <v>-11.823500187429531</v>
      </c>
      <c r="CE23" s="308">
        <f>+'MCP ST'!AK16</f>
        <v>102.74845035877881</v>
      </c>
      <c r="CF23" s="308">
        <f t="shared" si="40"/>
        <v>102.74845035877881</v>
      </c>
      <c r="CG23" s="1134">
        <f t="shared" si="41"/>
        <v>0</v>
      </c>
      <c r="CH23" s="308">
        <f>+'MCP ST'!AR16</f>
        <v>8813.9622220554429</v>
      </c>
      <c r="CI23" s="1134">
        <f t="shared" si="42"/>
        <v>8813.9622220554429</v>
      </c>
    </row>
    <row r="24" spans="1:87" s="362" customFormat="1">
      <c r="A24" s="3141">
        <f t="shared" si="43"/>
        <v>46097.791666666664</v>
      </c>
      <c r="B24" s="2054">
        <f>+'MCP ST'!B17</f>
        <v>219999.99999989281</v>
      </c>
      <c r="C24" s="3142">
        <f>+'MCP ST'!L17</f>
        <v>12.450060294196971</v>
      </c>
      <c r="D24" s="3143">
        <v>7.75</v>
      </c>
      <c r="E24" s="3144">
        <f>+'MCP ST'!T17+$B$4</f>
        <v>35.57410957317115</v>
      </c>
      <c r="F24" s="3910">
        <f t="shared" si="44"/>
        <v>7.3347732979244622</v>
      </c>
      <c r="G24" s="3144">
        <f>+'MCP ST'!V17*$G$7</f>
        <v>93.342832551410524</v>
      </c>
      <c r="H24" s="2354">
        <f>+'MCP ST'!W17</f>
        <v>4532.0029003025784</v>
      </c>
      <c r="I24" s="2354">
        <f>+'MCP ST'!X17</f>
        <v>0</v>
      </c>
      <c r="J24" s="2354">
        <f>+SUM('MCP ST'!Y17:Z17)</f>
        <v>205546.89433388744</v>
      </c>
      <c r="K24" s="2354">
        <f>+'MCP ST'!AB17</f>
        <v>214.20198276915937</v>
      </c>
      <c r="L24" s="2354">
        <f>+'MCP ST'!AA17</f>
        <v>9324.1379951080798</v>
      </c>
      <c r="M24" s="2354">
        <f>+'MCP ST'!AC17</f>
        <v>383.26645839300141</v>
      </c>
      <c r="N24" s="2354">
        <v>9.6033182489561462</v>
      </c>
      <c r="O24" s="2354">
        <v>69.800541341506829</v>
      </c>
      <c r="P24" s="2063">
        <f t="shared" si="1"/>
        <v>109.84894242654964</v>
      </c>
      <c r="Q24" s="2063">
        <f t="shared" si="2"/>
        <v>4.3247615128562851</v>
      </c>
      <c r="R24" s="3142">
        <f t="shared" si="3"/>
        <v>15.214753227883904</v>
      </c>
      <c r="S24" s="3142">
        <f t="shared" si="4"/>
        <v>19.706171395396936</v>
      </c>
      <c r="T24" s="3142">
        <f t="shared" si="5"/>
        <v>6.3388835307873066</v>
      </c>
      <c r="U24" s="2054">
        <f t="shared" si="6"/>
        <v>41376</v>
      </c>
      <c r="V24" s="2054">
        <f t="shared" si="7"/>
        <v>6527.3324236107219</v>
      </c>
      <c r="W24" s="2054">
        <f>+'ST Original'!BR23</f>
        <v>6343.8022939232687</v>
      </c>
      <c r="X24" s="2054">
        <f t="shared" si="8"/>
        <v>181.62193802549359</v>
      </c>
      <c r="Y24" s="3622">
        <v>55500</v>
      </c>
      <c r="Z24" s="3145">
        <f t="shared" si="9"/>
        <v>6.8843598903387884</v>
      </c>
      <c r="AA24" s="2054">
        <f t="shared" si="10"/>
        <v>7262.8393629112607</v>
      </c>
      <c r="AB24" s="2354" t="str">
        <f t="shared" si="11"/>
        <v>SAG</v>
      </c>
      <c r="AC24" s="3142">
        <f t="shared" si="12"/>
        <v>8.8744369431022285</v>
      </c>
      <c r="AD24" s="2054">
        <f t="shared" si="13"/>
        <v>1679.9939078487919</v>
      </c>
      <c r="AE24" s="3146">
        <f>+IF(ISNUMBER('ST Original'!BS23),('ST Original'!BS23),"0")</f>
        <v>1678.7020170556689</v>
      </c>
      <c r="AF24" s="2054">
        <f t="shared" si="14"/>
        <v>185.63611653699027</v>
      </c>
      <c r="AG24" s="2054">
        <f t="shared" si="15"/>
        <v>185.63611653699027</v>
      </c>
      <c r="AH24" s="3147">
        <f t="shared" si="16"/>
        <v>7.1692425152015877</v>
      </c>
      <c r="AI24" s="2054">
        <f t="shared" si="17"/>
        <v>1590.126150123609</v>
      </c>
      <c r="AJ24" s="2354" t="str">
        <f t="shared" si="18"/>
        <v>BOLAS</v>
      </c>
      <c r="AK24" s="308">
        <f>+IFERROR((AG24*'ST Original'!F23+X24*'ST Original'!G23)/('ST Original'!E23),"0")</f>
        <v>182.45549886092749</v>
      </c>
      <c r="AL24" s="308">
        <f t="shared" si="19"/>
        <v>181.20632525165342</v>
      </c>
      <c r="AM24" s="2063">
        <f>+'MCP ST'!AD17</f>
        <v>94.789945805382402</v>
      </c>
      <c r="AN24" s="2063">
        <f>+'MCP ST'!AE17</f>
        <v>93.645374803868023</v>
      </c>
      <c r="AO24" s="2063">
        <f>+'MCP ST'!AF17</f>
        <v>91.742709222412657</v>
      </c>
      <c r="AP24" s="2063">
        <f>+'MCP ST'!AG17</f>
        <v>89.664155552053373</v>
      </c>
      <c r="AQ24" s="2063">
        <f>+'MCP ST'!AH17</f>
        <v>86.851603612842467</v>
      </c>
      <c r="AR24" s="2063">
        <f>+'MCP ST'!AI17</f>
        <v>85.931219168164375</v>
      </c>
      <c r="AS24" s="2063">
        <f>+'MCP ST'!AJ17</f>
        <v>81.695949117041536</v>
      </c>
      <c r="AT24" s="2063">
        <f t="shared" si="20"/>
        <v>105.8872684509045</v>
      </c>
      <c r="AU24" s="2063">
        <f t="shared" si="21"/>
        <v>-7.9679565013337825E-2</v>
      </c>
      <c r="AV24" s="2063">
        <f t="shared" si="22"/>
        <v>91.349293667374241</v>
      </c>
      <c r="AW24" s="2063">
        <f t="shared" si="23"/>
        <v>91.464641420674241</v>
      </c>
      <c r="AX24" s="2063">
        <f>+'MCP ST'!D17</f>
        <v>0.54811213262379888</v>
      </c>
      <c r="AY24" s="3148">
        <f>+'MCP ST'!AL17</f>
        <v>8.1561457732530797E-3</v>
      </c>
      <c r="AZ24" s="2063">
        <f t="shared" si="24"/>
        <v>1</v>
      </c>
      <c r="BA24" s="2063">
        <f t="shared" si="25"/>
        <v>91.464641420674241</v>
      </c>
      <c r="BB24" s="2063">
        <f>+'MCP ST'!N17</f>
        <v>1.084128883981567</v>
      </c>
      <c r="BC24" s="2063">
        <f>+'MCP ST'!O17</f>
        <v>0.48518416266208519</v>
      </c>
      <c r="BD24" s="2063">
        <f>+'MCP ST'!P17</f>
        <v>0.2489104900906301</v>
      </c>
      <c r="BE24" s="2063">
        <f>+'MCP ST'!Q17</f>
        <v>4.7536038084995047E-3</v>
      </c>
      <c r="BF24" s="3149">
        <f t="shared" si="26"/>
        <v>27.888910364507879</v>
      </c>
      <c r="BG24" s="3149">
        <f t="shared" si="27"/>
        <v>25.380619309986226</v>
      </c>
      <c r="BH24" s="3150">
        <f t="shared" si="28"/>
        <v>28.523959484357754</v>
      </c>
      <c r="BI24" s="1134">
        <f t="shared" si="29"/>
        <v>27.888910364507879</v>
      </c>
      <c r="BJ24" s="3150">
        <f t="shared" si="30"/>
        <v>27.47528984965993</v>
      </c>
      <c r="BK24" s="3150">
        <f>+'MCP ST'!I17</f>
        <v>28.539442685189996</v>
      </c>
      <c r="BL24" s="3150">
        <f t="shared" si="31"/>
        <v>4.3247615128562851</v>
      </c>
      <c r="BM24" s="3150">
        <f>+'MCP ST'!AK17/25.4</f>
        <v>3.9956905493859178</v>
      </c>
      <c r="BN24" s="3150">
        <f t="shared" si="32"/>
        <v>-0.32907096347036724</v>
      </c>
      <c r="BO24" s="3151"/>
      <c r="BP24" s="3152">
        <f t="shared" si="33"/>
        <v>182.45549886092749</v>
      </c>
      <c r="BQ24" s="3152">
        <f>+'MCP ST'!S17</f>
        <v>202.91833139804044</v>
      </c>
      <c r="BR24" s="3150">
        <f t="shared" si="34"/>
        <v>20.462832537112945</v>
      </c>
      <c r="BS24" s="3151"/>
      <c r="BT24" s="3150">
        <f t="shared" si="35"/>
        <v>91.464641420674241</v>
      </c>
      <c r="BU24" s="3150">
        <f>+'MCP ST'!J17</f>
        <v>90.531767488318224</v>
      </c>
      <c r="BV24" s="3150">
        <f t="shared" si="36"/>
        <v>-0.93287393235601712</v>
      </c>
      <c r="BW24" s="3150"/>
      <c r="BX24" s="1134">
        <f t="shared" si="37"/>
        <v>27.888910364507879</v>
      </c>
      <c r="BY24" s="1134">
        <f>+'MCP ST'!I17</f>
        <v>28.539442685189996</v>
      </c>
      <c r="BZ24" s="3150">
        <f t="shared" si="38"/>
        <v>0.65053232068211742</v>
      </c>
      <c r="CA24" s="3150"/>
      <c r="CB24" s="3151"/>
      <c r="CC24" s="3150">
        <v>41.938278358254401</v>
      </c>
      <c r="CD24" s="3150">
        <f t="shared" si="39"/>
        <v>-13.398835673064404</v>
      </c>
      <c r="CE24" s="308">
        <f>+'MCP ST'!AK17</f>
        <v>101.49053995440231</v>
      </c>
      <c r="CF24" s="308">
        <f t="shared" si="40"/>
        <v>101.49053995440231</v>
      </c>
      <c r="CG24" s="1134">
        <f t="shared" si="41"/>
        <v>0</v>
      </c>
      <c r="CH24" s="308">
        <f>+'MCP ST'!AR17</f>
        <v>8591.494170692953</v>
      </c>
      <c r="CI24" s="1134">
        <f t="shared" si="42"/>
        <v>8591.494170692953</v>
      </c>
    </row>
    <row r="25" spans="1:87" s="362" customFormat="1">
      <c r="A25" s="3141">
        <f t="shared" si="43"/>
        <v>46098.791666666664</v>
      </c>
      <c r="B25" s="2054">
        <f>+'MCP ST'!B18</f>
        <v>220000.00000003117</v>
      </c>
      <c r="C25" s="3142">
        <f>+'MCP ST'!L18</f>
        <v>12.597114029768719</v>
      </c>
      <c r="D25" s="3143">
        <v>7.75</v>
      </c>
      <c r="E25" s="3144">
        <f>+'MCP ST'!T18+$B$4</f>
        <v>37.024870781020738</v>
      </c>
      <c r="F25" s="3910">
        <f t="shared" si="44"/>
        <v>7.0296472558680705</v>
      </c>
      <c r="G25" s="3144">
        <f>+'MCP ST'!V18*$G$7</f>
        <v>93.683253716619816</v>
      </c>
      <c r="H25" s="2354">
        <f>+'MCP ST'!W18</f>
        <v>4073.0367513206338</v>
      </c>
      <c r="I25" s="2354">
        <f>+'MCP ST'!X18</f>
        <v>0</v>
      </c>
      <c r="J25" s="2354">
        <f>+SUM('MCP ST'!Y18:Z18)</f>
        <v>203821.67630298171</v>
      </c>
      <c r="K25" s="2354">
        <f>+'MCP ST'!AB18</f>
        <v>128.28819223266152</v>
      </c>
      <c r="L25" s="2354">
        <f>+'MCP ST'!AA18</f>
        <v>11594.265061986745</v>
      </c>
      <c r="M25" s="2354">
        <f>+'MCP ST'!AC18</f>
        <v>383.26645839300141</v>
      </c>
      <c r="N25" s="2354">
        <v>0</v>
      </c>
      <c r="O25" s="2354">
        <v>70.477161417712736</v>
      </c>
      <c r="P25" s="2063">
        <f t="shared" si="1"/>
        <v>109.2015458572762</v>
      </c>
      <c r="Q25" s="2063">
        <f t="shared" si="2"/>
        <v>4.2992734589478818</v>
      </c>
      <c r="R25" s="3142">
        <f t="shared" si="3"/>
        <v>15.423240539553902</v>
      </c>
      <c r="S25" s="3142">
        <f t="shared" si="4"/>
        <v>19.843126710432962</v>
      </c>
      <c r="T25" s="3142">
        <f t="shared" si="5"/>
        <v>6.1432454247488293</v>
      </c>
      <c r="U25" s="2054">
        <f t="shared" si="6"/>
        <v>41376</v>
      </c>
      <c r="V25" s="2054">
        <f t="shared" si="7"/>
        <v>6735.2021837368948</v>
      </c>
      <c r="W25" s="2054">
        <f>+'ST Original'!BR24</f>
        <v>6616.1083894680796</v>
      </c>
      <c r="X25" s="2054">
        <f t="shared" si="8"/>
        <v>185.1017903991266</v>
      </c>
      <c r="Y25" s="3622">
        <v>55500</v>
      </c>
      <c r="Z25" s="3145">
        <f t="shared" si="9"/>
        <v>6.8835739328980416</v>
      </c>
      <c r="AA25" s="2054">
        <f t="shared" si="10"/>
        <v>7263.6686243812283</v>
      </c>
      <c r="AB25" s="2354" t="str">
        <f t="shared" si="11"/>
        <v>SAG</v>
      </c>
      <c r="AC25" s="3142">
        <f t="shared" si="12"/>
        <v>8.6005435946483608</v>
      </c>
      <c r="AD25" s="2054">
        <f t="shared" si="13"/>
        <v>1733.4950792269735</v>
      </c>
      <c r="AE25" s="3146">
        <f>+IF(ISNUMBER('ST Original'!BS24),('ST Original'!BS24),"0")</f>
        <v>1732.1620468139899</v>
      </c>
      <c r="AF25" s="2054">
        <f t="shared" si="14"/>
        <v>198.81168853900655</v>
      </c>
      <c r="AG25" s="2054">
        <f t="shared" si="15"/>
        <v>198.81168853900655</v>
      </c>
      <c r="AH25" s="3147">
        <f t="shared" si="16"/>
        <v>6.942306871881561</v>
      </c>
      <c r="AI25" s="2054">
        <f t="shared" si="17"/>
        <v>1642.1054572181824</v>
      </c>
      <c r="AJ25" s="2354" t="str">
        <f t="shared" si="18"/>
        <v>BOLAS</v>
      </c>
      <c r="AK25" s="308">
        <f>+IFERROR((AG25*'ST Original'!F24+X25*'ST Original'!G24)/('ST Original'!E24),"0")</f>
        <v>188.05777003359086</v>
      </c>
      <c r="AL25" s="308">
        <f t="shared" si="19"/>
        <v>196.6570862526678</v>
      </c>
      <c r="AM25" s="2063">
        <f>+'MCP ST'!AD18</f>
        <v>92.401122314259325</v>
      </c>
      <c r="AN25" s="2063">
        <f>+'MCP ST'!AE18</f>
        <v>92.401122314259325</v>
      </c>
      <c r="AO25" s="2063">
        <f>+'MCP ST'!AF18</f>
        <v>90.47446085894579</v>
      </c>
      <c r="AP25" s="2063">
        <f>+'MCP ST'!AG18</f>
        <v>88.239993717205991</v>
      </c>
      <c r="AQ25" s="2063">
        <f>+'MCP ST'!AH18</f>
        <v>85.538809486134028</v>
      </c>
      <c r="AR25" s="2063">
        <f>+'MCP ST'!AI18</f>
        <v>84.613561475308728</v>
      </c>
      <c r="AS25" s="2063">
        <f>+'MCP ST'!AJ18</f>
        <v>79.787418244010368</v>
      </c>
      <c r="AT25" s="2063">
        <f t="shared" si="20"/>
        <v>104.14466193462053</v>
      </c>
      <c r="AU25" s="2063">
        <f t="shared" si="21"/>
        <v>-7.8770378413237988E-2</v>
      </c>
      <c r="AV25" s="2063">
        <f t="shared" si="22"/>
        <v>89.331280225524893</v>
      </c>
      <c r="AW25" s="2063">
        <f t="shared" si="23"/>
        <v>90.39731411128011</v>
      </c>
      <c r="AX25" s="2063">
        <f>+'MCP ST'!D18</f>
        <v>0.54513115631698694</v>
      </c>
      <c r="AY25" s="3148">
        <f>+'MCP ST'!AL18</f>
        <v>5.523354760320013E-3</v>
      </c>
      <c r="AZ25" s="2063">
        <f t="shared" si="24"/>
        <v>1</v>
      </c>
      <c r="BA25" s="2063">
        <f t="shared" si="25"/>
        <v>90.39731411128011</v>
      </c>
      <c r="BB25" s="2063">
        <f>+'MCP ST'!N18</f>
        <v>1.0492616550432241</v>
      </c>
      <c r="BC25" s="2063">
        <f>+'MCP ST'!O18</f>
        <v>0.63347038259857535</v>
      </c>
      <c r="BD25" s="2063">
        <f>+'MCP ST'!P18</f>
        <v>0.26449959399620454</v>
      </c>
      <c r="BE25" s="2063">
        <f>+'MCP ST'!Q18</f>
        <v>4.3079644682747845E-3</v>
      </c>
      <c r="BF25" s="3149">
        <f t="shared" si="26"/>
        <v>27.311463669552147</v>
      </c>
      <c r="BG25" s="3149">
        <f t="shared" si="27"/>
        <v>23.483903162717002</v>
      </c>
      <c r="BH25" s="3150">
        <f t="shared" si="28"/>
        <v>27.515039314385447</v>
      </c>
      <c r="BI25" s="1134">
        <f t="shared" si="29"/>
        <v>27.311463669552147</v>
      </c>
      <c r="BJ25" s="3150">
        <f t="shared" si="30"/>
        <v>26.77635402781506</v>
      </c>
      <c r="BK25" s="3150">
        <f>+'MCP ST'!I18</f>
        <v>27.115624560354838</v>
      </c>
      <c r="BL25" s="3150">
        <f t="shared" si="31"/>
        <v>4.2992734589478818</v>
      </c>
      <c r="BM25" s="3150">
        <f>+'MCP ST'!AK18/25.4</f>
        <v>3.9799547581079131</v>
      </c>
      <c r="BN25" s="3150">
        <f t="shared" si="32"/>
        <v>-0.31931870083996872</v>
      </c>
      <c r="BO25" s="3151"/>
      <c r="BP25" s="3152">
        <f t="shared" si="33"/>
        <v>188.05777003359086</v>
      </c>
      <c r="BQ25" s="3152">
        <f>+'MCP ST'!S18</f>
        <v>207.85104585392367</v>
      </c>
      <c r="BR25" s="3150">
        <f t="shared" si="34"/>
        <v>19.793275820332809</v>
      </c>
      <c r="BS25" s="3151"/>
      <c r="BT25" s="3150">
        <f t="shared" si="35"/>
        <v>90.39731411128011</v>
      </c>
      <c r="BU25" s="3150">
        <f>+'MCP ST'!J18</f>
        <v>89.687907884934219</v>
      </c>
      <c r="BV25" s="3150">
        <f t="shared" si="36"/>
        <v>-0.7094062263458909</v>
      </c>
      <c r="BW25" s="3150"/>
      <c r="BX25" s="1134">
        <f t="shared" si="37"/>
        <v>27.311463669552147</v>
      </c>
      <c r="BY25" s="1134">
        <f>+'MCP ST'!I18</f>
        <v>27.115624560354838</v>
      </c>
      <c r="BZ25" s="3150">
        <f t="shared" si="38"/>
        <v>-0.1958391091973084</v>
      </c>
      <c r="CA25" s="3150"/>
      <c r="CB25" s="3151"/>
      <c r="CC25" s="3150">
        <v>42.938278358254401</v>
      </c>
      <c r="CD25" s="3150">
        <f t="shared" si="39"/>
        <v>-15.822653797899562</v>
      </c>
      <c r="CE25" s="308">
        <f>+'MCP ST'!AK18</f>
        <v>101.09085085594099</v>
      </c>
      <c r="CF25" s="308">
        <f t="shared" si="40"/>
        <v>101.09085085594099</v>
      </c>
      <c r="CG25" s="1134">
        <f t="shared" si="41"/>
        <v>0</v>
      </c>
      <c r="CH25" s="308">
        <f>+'MCP ST'!AR18</f>
        <v>8760.8275466975501</v>
      </c>
      <c r="CI25" s="1134">
        <f t="shared" si="42"/>
        <v>8760.8275466975501</v>
      </c>
    </row>
    <row r="26" spans="1:87" s="362" customFormat="1">
      <c r="A26" s="3141">
        <f t="shared" si="43"/>
        <v>46099.791666666664</v>
      </c>
      <c r="B26" s="2054">
        <f>+'MCP ST'!B19</f>
        <v>184999.99999976202</v>
      </c>
      <c r="C26" s="3142">
        <f>+'MCP ST'!L19</f>
        <v>12.482712152368032</v>
      </c>
      <c r="D26" s="3143">
        <v>7.75</v>
      </c>
      <c r="E26" s="3144">
        <f>+'MCP ST'!T19+$B$4</f>
        <v>36.941364576954399</v>
      </c>
      <c r="F26" s="3910">
        <f t="shared" si="44"/>
        <v>7.0465401284963924</v>
      </c>
      <c r="G26" s="3142">
        <f>+'MCP ST'!V19*$G$7</f>
        <v>93.647047578349571</v>
      </c>
      <c r="H26" s="2354">
        <f>+'MCP ST'!W19</f>
        <v>16213.989100675821</v>
      </c>
      <c r="I26" s="2354">
        <f>+'MCP ST'!X19</f>
        <v>0</v>
      </c>
      <c r="J26" s="2354">
        <f>+SUM('MCP ST'!Y19:Z19)</f>
        <v>166533.02719455416</v>
      </c>
      <c r="K26" s="2354">
        <f>+'MCP ST'!AB19</f>
        <v>0</v>
      </c>
      <c r="L26" s="2354">
        <f>+'MCP ST'!AA19</f>
        <v>2252.8995172858299</v>
      </c>
      <c r="M26" s="2354">
        <f>+'MCP ST'!AC19</f>
        <v>0.120998999720937</v>
      </c>
      <c r="N26" s="2354">
        <v>0</v>
      </c>
      <c r="O26" s="2354">
        <v>60.026956317441162</v>
      </c>
      <c r="P26" s="2063">
        <f t="shared" si="1"/>
        <v>110.48403819181293</v>
      </c>
      <c r="Q26" s="2063">
        <f t="shared" si="2"/>
        <v>4.3497652831422418</v>
      </c>
      <c r="R26" s="3142">
        <f t="shared" si="3"/>
        <v>15.219901237030998</v>
      </c>
      <c r="S26" s="3142">
        <f t="shared" si="4"/>
        <v>19.709553122605662</v>
      </c>
      <c r="T26" s="3142">
        <f t="shared" si="5"/>
        <v>6.2119633483508334</v>
      </c>
      <c r="U26" s="2054">
        <f t="shared" si="6"/>
        <v>41376</v>
      </c>
      <c r="V26" s="2054">
        <f t="shared" si="7"/>
        <v>6660.6960923207307</v>
      </c>
      <c r="W26" s="2054">
        <f>+'ST Original'!BR25</f>
        <v>6477.5834667212921</v>
      </c>
      <c r="X26" s="2054">
        <f t="shared" si="8"/>
        <v>183.43893547258779</v>
      </c>
      <c r="Y26" s="2054">
        <v>55500</v>
      </c>
      <c r="Z26" s="3145">
        <f t="shared" si="9"/>
        <v>6.8596468897765872</v>
      </c>
      <c r="AA26" s="2054">
        <f t="shared" si="10"/>
        <v>7289.0049303439373</v>
      </c>
      <c r="AB26" s="2354" t="str">
        <f t="shared" si="11"/>
        <v>SAG</v>
      </c>
      <c r="AC26" s="3142">
        <f t="shared" si="12"/>
        <v>8.6967486876911657</v>
      </c>
      <c r="AD26" s="2054">
        <f t="shared" si="13"/>
        <v>1714.3188259655319</v>
      </c>
      <c r="AE26" s="3146">
        <f>+IF(ISNUMBER('ST Original'!BS25),('ST Original'!BS25),"0")</f>
        <v>1713.0005398114006</v>
      </c>
      <c r="AF26" s="2054">
        <f t="shared" si="14"/>
        <v>192.52296472263444</v>
      </c>
      <c r="AG26" s="2054">
        <f t="shared" si="15"/>
        <v>192.52296472263444</v>
      </c>
      <c r="AH26" s="3147">
        <f t="shared" si="16"/>
        <v>7.0226877167938637</v>
      </c>
      <c r="AI26" s="2054">
        <f t="shared" si="17"/>
        <v>1623.3101142655612</v>
      </c>
      <c r="AJ26" s="2354" t="str">
        <f t="shared" si="18"/>
        <v>BOLAS</v>
      </c>
      <c r="AK26" s="308">
        <f>+IFERROR((AG26*'ST Original'!F25+X26*'ST Original'!G25)/('ST Original'!E25),"0")</f>
        <v>185.32431017474977</v>
      </c>
      <c r="AL26" s="308">
        <f t="shared" si="19"/>
        <v>188.06913996069142</v>
      </c>
      <c r="AM26" s="2063">
        <f>+'MCP ST'!AD19</f>
        <v>92.735110851767729</v>
      </c>
      <c r="AN26" s="2063">
        <f>+'MCP ST'!AE19</f>
        <v>92.735110851767729</v>
      </c>
      <c r="AO26" s="2063">
        <f>+'MCP ST'!AF19</f>
        <v>90.790571235386892</v>
      </c>
      <c r="AP26" s="2063">
        <f>+'MCP ST'!AG19</f>
        <v>88.384934656662651</v>
      </c>
      <c r="AQ26" s="2063">
        <f>+'MCP ST'!AH19</f>
        <v>85.618928029995573</v>
      </c>
      <c r="AR26" s="2063">
        <f>+'MCP ST'!AI19</f>
        <v>84.627775319281653</v>
      </c>
      <c r="AS26" s="2063">
        <f>+'MCP ST'!AJ19</f>
        <v>79.338503773681225</v>
      </c>
      <c r="AT26" s="2063">
        <f t="shared" si="20"/>
        <v>105.18890301961193</v>
      </c>
      <c r="AU26" s="2063">
        <f t="shared" si="21"/>
        <v>-8.3225212282713026E-2</v>
      </c>
      <c r="AV26" s="2063">
        <f t="shared" si="22"/>
        <v>89.765247964171024</v>
      </c>
      <c r="AW26" s="2063">
        <f t="shared" si="23"/>
        <v>90.626839648250055</v>
      </c>
      <c r="AX26" s="2063">
        <f>+'MCP ST'!D19</f>
        <v>0.56886214340434216</v>
      </c>
      <c r="AY26" s="3148">
        <f>+'MCP ST'!AL19</f>
        <v>6.7913554238528346E-3</v>
      </c>
      <c r="AZ26" s="2063">
        <f t="shared" si="24"/>
        <v>1</v>
      </c>
      <c r="BA26" s="2063">
        <f t="shared" si="25"/>
        <v>90.626839648250055</v>
      </c>
      <c r="BB26" s="2063">
        <f>+'MCP ST'!N19</f>
        <v>1.1209262546593712</v>
      </c>
      <c r="BC26" s="2063">
        <f>+'MCP ST'!O19</f>
        <v>0.74570482957980089</v>
      </c>
      <c r="BD26" s="2063">
        <f>+'MCP ST'!P19</f>
        <v>0.24444344311422375</v>
      </c>
      <c r="BE26" s="2063">
        <f>+'MCP ST'!Q19</f>
        <v>1.4483253771572053E-2</v>
      </c>
      <c r="BF26" s="3149">
        <f t="shared" si="26"/>
        <v>26.792396331005556</v>
      </c>
      <c r="BG26" s="3149">
        <f t="shared" si="27"/>
        <v>22.489509349097638</v>
      </c>
      <c r="BH26" s="3150">
        <f t="shared" si="28"/>
        <v>26.562092747300177</v>
      </c>
      <c r="BI26" s="1134">
        <f t="shared" si="29"/>
        <v>26.792396331005556</v>
      </c>
      <c r="BJ26" s="3150">
        <f t="shared" si="30"/>
        <v>26.170832843098829</v>
      </c>
      <c r="BK26" s="3150">
        <f>+'MCP ST'!I19</f>
        <v>27.219775987773108</v>
      </c>
      <c r="BL26" s="3150">
        <f t="shared" si="31"/>
        <v>4.3497652831422418</v>
      </c>
      <c r="BM26" s="3150">
        <f>+'MCP ST'!AK19/25.4</f>
        <v>3.7002584968799819</v>
      </c>
      <c r="BN26" s="3150">
        <f t="shared" si="32"/>
        <v>-0.64950678626225988</v>
      </c>
      <c r="BO26" s="3151"/>
      <c r="BP26" s="3152">
        <f t="shared" si="33"/>
        <v>185.32431017474977</v>
      </c>
      <c r="BQ26" s="3152">
        <f>+'MCP ST'!S19</f>
        <v>205.51490312324387</v>
      </c>
      <c r="BR26" s="3150">
        <f t="shared" si="34"/>
        <v>20.1905929484941</v>
      </c>
      <c r="BS26" s="3151"/>
      <c r="BT26" s="3150">
        <f t="shared" si="35"/>
        <v>90.626839648250055</v>
      </c>
      <c r="BU26" s="3150">
        <f>+'MCP ST'!J19</f>
        <v>89.820041289395149</v>
      </c>
      <c r="BV26" s="3150">
        <f t="shared" si="36"/>
        <v>-0.80679835885490547</v>
      </c>
      <c r="BW26" s="3150"/>
      <c r="BX26" s="1134">
        <f t="shared" si="37"/>
        <v>26.792396331005556</v>
      </c>
      <c r="BY26" s="1134">
        <f>+'MCP ST'!I19</f>
        <v>27.219775987773108</v>
      </c>
      <c r="BZ26" s="3150">
        <f t="shared" si="38"/>
        <v>0.42737965676755252</v>
      </c>
      <c r="CA26" s="3150"/>
      <c r="CB26" s="3151"/>
      <c r="CC26" s="3150">
        <v>43.938278358254401</v>
      </c>
      <c r="CD26" s="3150">
        <f t="shared" si="39"/>
        <v>-16.718502370481293</v>
      </c>
      <c r="CE26" s="308">
        <f>+'MCP ST'!AK19</f>
        <v>93.986565820751537</v>
      </c>
      <c r="CF26" s="308">
        <f t="shared" si="40"/>
        <v>93.986565820751537</v>
      </c>
      <c r="CG26" s="1134">
        <f t="shared" si="41"/>
        <v>0</v>
      </c>
      <c r="CH26" s="308">
        <f>+'MCP ST'!AR19</f>
        <v>8699.6080185538904</v>
      </c>
      <c r="CI26" s="1134">
        <f t="shared" si="42"/>
        <v>8699.6080185538904</v>
      </c>
    </row>
    <row r="27" spans="1:87" s="362" customFormat="1">
      <c r="A27" s="3141">
        <f t="shared" si="43"/>
        <v>46100.791666666664</v>
      </c>
      <c r="B27" s="2054">
        <f>+'MCP ST'!B20</f>
        <v>219999.99999969656</v>
      </c>
      <c r="C27" s="3142">
        <f>+'MCP ST'!L20</f>
        <v>12.399625000855545</v>
      </c>
      <c r="D27" s="3143">
        <v>7.75</v>
      </c>
      <c r="E27" s="3144">
        <f>+'MCP ST'!T20+$B$4</f>
        <v>37.752071762460638</v>
      </c>
      <c r="F27" s="3910">
        <f t="shared" si="44"/>
        <v>6.885795467431949</v>
      </c>
      <c r="G27" s="3144">
        <f>+'MCP ST'!V20*$G$7</f>
        <v>95.057164618721828</v>
      </c>
      <c r="H27" s="2354">
        <f>+'MCP ST'!W20</f>
        <v>20704.219242183655</v>
      </c>
      <c r="I27" s="2354">
        <f>+'MCP ST'!X20</f>
        <v>0</v>
      </c>
      <c r="J27" s="2354">
        <f>+SUM('MCP ST'!Y20:Z20)</f>
        <v>199273.0653656286</v>
      </c>
      <c r="K27" s="2354">
        <f>+'MCP ST'!AB20</f>
        <v>0</v>
      </c>
      <c r="L27" s="2354">
        <f>+'MCP ST'!AA20</f>
        <v>0</v>
      </c>
      <c r="M27" s="2354">
        <f>+'MCP ST'!AC20</f>
        <v>22.632441488859435</v>
      </c>
      <c r="N27" s="2354">
        <v>0</v>
      </c>
      <c r="O27" s="2354">
        <v>66.530333513241075</v>
      </c>
      <c r="P27" s="2063">
        <f t="shared" si="1"/>
        <v>110.9335114293517</v>
      </c>
      <c r="Q27" s="2063">
        <f t="shared" si="2"/>
        <v>4.3674610798957367</v>
      </c>
      <c r="R27" s="3142">
        <f t="shared" si="3"/>
        <v>15.322269421573244</v>
      </c>
      <c r="S27" s="3142">
        <f t="shared" si="4"/>
        <v>19.776798783031467</v>
      </c>
      <c r="T27" s="3142">
        <f t="shared" si="5"/>
        <v>6.1392453921105927</v>
      </c>
      <c r="U27" s="2054">
        <f t="shared" si="6"/>
        <v>41376</v>
      </c>
      <c r="V27" s="2054">
        <f t="shared" si="7"/>
        <v>6739.5905127316419</v>
      </c>
      <c r="W27" s="2054">
        <f>+'ST Original'!BR26</f>
        <v>6556.7248715122914</v>
      </c>
      <c r="X27" s="2054">
        <f t="shared" si="8"/>
        <v>183.85282735327547</v>
      </c>
      <c r="Y27" s="3622">
        <v>55500</v>
      </c>
      <c r="Z27" s="3145">
        <f t="shared" si="9"/>
        <v>6.8043987798971699</v>
      </c>
      <c r="AA27" s="2054">
        <f t="shared" si="10"/>
        <v>7348.1877851896879</v>
      </c>
      <c r="AB27" s="2354" t="str">
        <f t="shared" si="11"/>
        <v>SAG</v>
      </c>
      <c r="AC27" s="3142">
        <f t="shared" si="12"/>
        <v>8.5949435489548289</v>
      </c>
      <c r="AD27" s="2054">
        <f t="shared" si="13"/>
        <v>1734.6245400079422</v>
      </c>
      <c r="AE27" s="3146">
        <f>+IF(ISNUMBER('ST Original'!BS26),('ST Original'!BS26),"0")</f>
        <v>1733.2906390561041</v>
      </c>
      <c r="AF27" s="2054">
        <f t="shared" si="14"/>
        <v>194.0894853325712</v>
      </c>
      <c r="AG27" s="2054">
        <f t="shared" si="15"/>
        <v>194.0894853325712</v>
      </c>
      <c r="AH27" s="3147">
        <f t="shared" si="16"/>
        <v>6.9398066027103713</v>
      </c>
      <c r="AI27" s="2054">
        <f t="shared" si="17"/>
        <v>1642.6970739426199</v>
      </c>
      <c r="AJ27" s="2354" t="str">
        <f t="shared" si="18"/>
        <v>BOLAS</v>
      </c>
      <c r="AK27" s="308">
        <f>+IFERROR((AG27*'ST Original'!F26+X27*'ST Original'!G26)/('ST Original'!E26),"0")</f>
        <v>185.97680776469983</v>
      </c>
      <c r="AL27" s="308">
        <f t="shared" si="19"/>
        <v>189.68459938199248</v>
      </c>
      <c r="AM27" s="2063">
        <f>+'MCP ST'!AD20</f>
        <v>92.299189907047506</v>
      </c>
      <c r="AN27" s="2063">
        <f>+'MCP ST'!AE20</f>
        <v>92.299189907047506</v>
      </c>
      <c r="AO27" s="2063">
        <f>+'MCP ST'!AF20</f>
        <v>90.097262875832257</v>
      </c>
      <c r="AP27" s="2063">
        <f>+'MCP ST'!AG20</f>
        <v>87.67370119723698</v>
      </c>
      <c r="AQ27" s="2063">
        <f>+'MCP ST'!AH20</f>
        <v>84.92162705089423</v>
      </c>
      <c r="AR27" s="2063">
        <f>+'MCP ST'!AI20</f>
        <v>83.944082216620814</v>
      </c>
      <c r="AS27" s="2063">
        <f>+'MCP ST'!AJ20</f>
        <v>78.831609545472688</v>
      </c>
      <c r="AT27" s="2063">
        <f t="shared" si="20"/>
        <v>104.7673376271012</v>
      </c>
      <c r="AU27" s="2063">
        <f t="shared" si="21"/>
        <v>-8.4052284041960745E-2</v>
      </c>
      <c r="AV27" s="2063">
        <f t="shared" si="22"/>
        <v>89.135562155645516</v>
      </c>
      <c r="AW27" s="2063">
        <f t="shared" si="23"/>
        <v>90.293798824120913</v>
      </c>
      <c r="AX27" s="2063">
        <f>+'MCP ST'!D20</f>
        <v>0.57285134895832379</v>
      </c>
      <c r="AY27" s="3148">
        <f>+'MCP ST'!AL20</f>
        <v>7.1193968695743839E-3</v>
      </c>
      <c r="AZ27" s="2063">
        <f t="shared" si="24"/>
        <v>1</v>
      </c>
      <c r="BA27" s="2063">
        <f t="shared" si="25"/>
        <v>90.293798824120913</v>
      </c>
      <c r="BB27" s="2063">
        <f>+'MCP ST'!N20</f>
        <v>1.1266891579589819</v>
      </c>
      <c r="BC27" s="2063">
        <f>+'MCP ST'!O20</f>
        <v>0.62468350493040337</v>
      </c>
      <c r="BD27" s="2063">
        <f>+'MCP ST'!P20</f>
        <v>0.2434297323689425</v>
      </c>
      <c r="BE27" s="2063">
        <f>+'MCP ST'!Q20</f>
        <v>1.6758676200880483E-2</v>
      </c>
      <c r="BF27" s="3149">
        <f t="shared" si="26"/>
        <v>27.385188965382309</v>
      </c>
      <c r="BG27" s="3149">
        <f t="shared" si="27"/>
        <v>23.981905790467898</v>
      </c>
      <c r="BH27" s="3150">
        <f t="shared" si="28"/>
        <v>27.632867174784472</v>
      </c>
      <c r="BI27" s="1134">
        <f t="shared" si="29"/>
        <v>27.385188965382309</v>
      </c>
      <c r="BJ27" s="3150">
        <f t="shared" si="30"/>
        <v>26.881495165806434</v>
      </c>
      <c r="BK27" s="3150">
        <f>+'MCP ST'!I20</f>
        <v>27.116266147102536</v>
      </c>
      <c r="BL27" s="3150">
        <f t="shared" si="31"/>
        <v>4.3674610798957367</v>
      </c>
      <c r="BM27" s="3150">
        <f>+'MCP ST'!AK20/25.4</f>
        <v>3.4519918759307409</v>
      </c>
      <c r="BN27" s="3150">
        <f t="shared" si="32"/>
        <v>-0.91546920396499587</v>
      </c>
      <c r="BO27" s="3151"/>
      <c r="BP27" s="3152">
        <f t="shared" si="33"/>
        <v>185.97680776469983</v>
      </c>
      <c r="BQ27" s="3152">
        <f>+'MCP ST'!S20</f>
        <v>205.98323441633414</v>
      </c>
      <c r="BR27" s="3150">
        <f t="shared" si="34"/>
        <v>20.006426651634314</v>
      </c>
      <c r="BS27" s="3151"/>
      <c r="BT27" s="3150">
        <f t="shared" si="35"/>
        <v>90.293798824120913</v>
      </c>
      <c r="BU27" s="3150">
        <f>+'MCP ST'!J20</f>
        <v>89.524664362028332</v>
      </c>
      <c r="BV27" s="3150">
        <f t="shared" si="36"/>
        <v>-0.76913446209258041</v>
      </c>
      <c r="BW27" s="3150"/>
      <c r="BX27" s="1134">
        <f t="shared" si="37"/>
        <v>27.385188965382309</v>
      </c>
      <c r="BY27" s="1134">
        <f>+'MCP ST'!I20</f>
        <v>27.116266147102536</v>
      </c>
      <c r="BZ27" s="3150">
        <f t="shared" si="38"/>
        <v>-0.26892281827977271</v>
      </c>
      <c r="CA27" s="3150"/>
      <c r="CB27" s="3151"/>
      <c r="CC27" s="3150">
        <v>44.938278358254401</v>
      </c>
      <c r="CD27" s="3150">
        <f t="shared" si="39"/>
        <v>-17.822012211151865</v>
      </c>
      <c r="CE27" s="308">
        <f>+'MCP ST'!AK20</f>
        <v>87.680593648640809</v>
      </c>
      <c r="CF27" s="308">
        <f t="shared" si="40"/>
        <v>87.680593648640809</v>
      </c>
      <c r="CG27" s="1134">
        <f t="shared" si="41"/>
        <v>0</v>
      </c>
      <c r="CH27" s="308">
        <f>+'MCP ST'!AR20</f>
        <v>8773.1949262219387</v>
      </c>
      <c r="CI27" s="1134">
        <f t="shared" si="42"/>
        <v>8773.1949262219387</v>
      </c>
    </row>
    <row r="28" spans="1:87" s="362" customFormat="1">
      <c r="A28" s="3141">
        <f t="shared" si="43"/>
        <v>46101.791666666664</v>
      </c>
      <c r="B28" s="2054">
        <f>+'MCP ST'!B21</f>
        <v>220000.03021743204</v>
      </c>
      <c r="C28" s="3142">
        <f>+'MCP ST'!L21</f>
        <v>12.365721631309196</v>
      </c>
      <c r="D28" s="3143">
        <v>7.75</v>
      </c>
      <c r="E28" s="3144">
        <f>+'MCP ST'!T21+$B$4</f>
        <v>37.831207029537204</v>
      </c>
      <c r="F28" s="3910">
        <f t="shared" si="44"/>
        <v>6.870485346490268</v>
      </c>
      <c r="G28" s="3144">
        <f>+'MCP ST'!V21*$G$7</f>
        <v>94.882705131702281</v>
      </c>
      <c r="H28" s="2354">
        <f>+'MCP ST'!W21</f>
        <v>9615.632866432019</v>
      </c>
      <c r="I28" s="2354">
        <f>+'MCP ST'!X21</f>
        <v>0</v>
      </c>
      <c r="J28" s="2354">
        <f>+SUM('MCP ST'!Y21:Z21)</f>
        <v>206342.49763077035</v>
      </c>
      <c r="K28" s="2354">
        <f>+'MCP ST'!AB21</f>
        <v>0</v>
      </c>
      <c r="L28" s="2354">
        <f>+'MCP ST'!AA21</f>
        <v>0</v>
      </c>
      <c r="M28" s="2354">
        <f>+'MCP ST'!AC21</f>
        <v>3571.7776887365385</v>
      </c>
      <c r="N28" s="2354">
        <v>0</v>
      </c>
      <c r="O28" s="2354">
        <v>67.900883898224478</v>
      </c>
      <c r="P28" s="2063">
        <f t="shared" si="1"/>
        <v>109.68572363593852</v>
      </c>
      <c r="Q28" s="2063">
        <f t="shared" si="2"/>
        <v>4.3183355762180522</v>
      </c>
      <c r="R28" s="3142">
        <f t="shared" si="3"/>
        <v>15.486270730680843</v>
      </c>
      <c r="S28" s="3142">
        <f t="shared" si="4"/>
        <v>19.884531242984245</v>
      </c>
      <c r="T28" s="3142">
        <f t="shared" si="5"/>
        <v>6.0751538409270411</v>
      </c>
      <c r="U28" s="2054">
        <f t="shared" si="6"/>
        <v>41376</v>
      </c>
      <c r="V28" s="2054">
        <f t="shared" si="7"/>
        <v>6810.6917262339166</v>
      </c>
      <c r="W28" s="2054">
        <f>+'ST Original'!BR27</f>
        <v>6628.0486722273154</v>
      </c>
      <c r="X28" s="2054">
        <f t="shared" si="8"/>
        <v>184.48876191969853</v>
      </c>
      <c r="Y28" s="3622">
        <v>55500</v>
      </c>
      <c r="Z28" s="3145">
        <f t="shared" si="9"/>
        <v>6.7711636766767338</v>
      </c>
      <c r="AA28" s="2054">
        <f t="shared" si="10"/>
        <v>7384.2551129320573</v>
      </c>
      <c r="AB28" s="2354" t="str">
        <f t="shared" si="11"/>
        <v>SAG</v>
      </c>
      <c r="AC28" s="3142">
        <f t="shared" si="12"/>
        <v>8.5052153772978567</v>
      </c>
      <c r="AD28" s="2054">
        <f t="shared" si="13"/>
        <v>1752.9244514836323</v>
      </c>
      <c r="AE28" s="3146">
        <f>+IF(ISNUMBER('ST Original'!BS27),('ST Original'!BS27),"0")</f>
        <v>1751.5764781669839</v>
      </c>
      <c r="AF28" s="2054">
        <f t="shared" si="14"/>
        <v>196.49481328582701</v>
      </c>
      <c r="AG28" s="2054">
        <f t="shared" si="15"/>
        <v>196.49481328582701</v>
      </c>
      <c r="AH28" s="3147">
        <f t="shared" si="16"/>
        <v>6.8663378334360674</v>
      </c>
      <c r="AI28" s="2054">
        <f t="shared" si="17"/>
        <v>1660.273682498839</v>
      </c>
      <c r="AJ28" s="2354" t="str">
        <f t="shared" si="18"/>
        <v>BOLAS</v>
      </c>
      <c r="AK28" s="308">
        <f>+IFERROR((AG28*'ST Original'!F27+X28*'ST Original'!G27)/('ST Original'!E27),"0")</f>
        <v>186.9792286860106</v>
      </c>
      <c r="AL28" s="308">
        <f t="shared" si="19"/>
        <v>192.10963991983851</v>
      </c>
      <c r="AM28" s="2063">
        <f>+'MCP ST'!AD21</f>
        <v>92.747943318385225</v>
      </c>
      <c r="AN28" s="2063">
        <f>+'MCP ST'!AE21</f>
        <v>92.747943318385225</v>
      </c>
      <c r="AO28" s="2063">
        <f>+'MCP ST'!AF21</f>
        <v>90.291316163995262</v>
      </c>
      <c r="AP28" s="2063">
        <f>+'MCP ST'!AG21</f>
        <v>87.606258722698982</v>
      </c>
      <c r="AQ28" s="2063">
        <f>+'MCP ST'!AH21</f>
        <v>84.558493082521593</v>
      </c>
      <c r="AR28" s="2063">
        <f>+'MCP ST'!AI21</f>
        <v>83.546444797355178</v>
      </c>
      <c r="AS28" s="2063">
        <f>+'MCP ST'!AJ21</f>
        <v>79.001049114819025</v>
      </c>
      <c r="AT28" s="2063">
        <f t="shared" si="20"/>
        <v>105.6177895469867</v>
      </c>
      <c r="AU28" s="2063">
        <f t="shared" si="21"/>
        <v>-8.7815322638545648E-2</v>
      </c>
      <c r="AV28" s="2063">
        <f t="shared" si="22"/>
        <v>89.198148253218264</v>
      </c>
      <c r="AW28" s="2063">
        <f t="shared" si="23"/>
        <v>90.326900611127144</v>
      </c>
      <c r="AX28" s="2063">
        <f>+'MCP ST'!D21</f>
        <v>0.54156117360462053</v>
      </c>
      <c r="AY28" s="3148">
        <f>+'MCP ST'!AL21</f>
        <v>6.482564849775759E-3</v>
      </c>
      <c r="AZ28" s="2063">
        <f t="shared" si="24"/>
        <v>1</v>
      </c>
      <c r="BA28" s="2063">
        <f t="shared" si="25"/>
        <v>90.326900611127144</v>
      </c>
      <c r="BB28" s="2063">
        <f>+'MCP ST'!N21</f>
        <v>1.0190054063093172</v>
      </c>
      <c r="BC28" s="2063">
        <f>+'MCP ST'!O21</f>
        <v>0.54068363031725331</v>
      </c>
      <c r="BD28" s="2063">
        <f>+'MCP ST'!P21</f>
        <v>0.26997724515549898</v>
      </c>
      <c r="BE28" s="2063">
        <f>+'MCP ST'!Q21</f>
        <v>2.497381728237341E-3</v>
      </c>
      <c r="BF28" s="3149">
        <f t="shared" si="26"/>
        <v>27.877234564178252</v>
      </c>
      <c r="BG28" s="3149">
        <f t="shared" si="27"/>
        <v>24.666226545353418</v>
      </c>
      <c r="BH28" s="3150">
        <f t="shared" si="28"/>
        <v>28.769928211013941</v>
      </c>
      <c r="BI28" s="1134">
        <f t="shared" si="29"/>
        <v>27.877234564178252</v>
      </c>
      <c r="BJ28" s="3150">
        <f t="shared" si="30"/>
        <v>27.438605689297233</v>
      </c>
      <c r="BK28" s="3150">
        <f>+'MCP ST'!I21</f>
        <v>27.828411157188938</v>
      </c>
      <c r="BL28" s="3150">
        <f t="shared" si="31"/>
        <v>4.3183355762180522</v>
      </c>
      <c r="BM28" s="3150">
        <f>+'MCP ST'!AK21/25.4</f>
        <v>3.9206842816373757</v>
      </c>
      <c r="BN28" s="3150">
        <f t="shared" si="32"/>
        <v>-0.3976512945806765</v>
      </c>
      <c r="BO28" s="3151"/>
      <c r="BP28" s="3152">
        <f t="shared" si="33"/>
        <v>186.9792286860106</v>
      </c>
      <c r="BQ28" s="3152">
        <f>+'MCP ST'!S21</f>
        <v>205.71679505369093</v>
      </c>
      <c r="BR28" s="3150">
        <f t="shared" si="34"/>
        <v>18.73756636768033</v>
      </c>
      <c r="BS28" s="3151"/>
      <c r="BT28" s="3150">
        <f t="shared" si="35"/>
        <v>90.326900611127144</v>
      </c>
      <c r="BU28" s="3150">
        <f>+'MCP ST'!J21</f>
        <v>89.542954910849971</v>
      </c>
      <c r="BV28" s="3150">
        <f t="shared" si="36"/>
        <v>-0.78394570027717236</v>
      </c>
      <c r="BW28" s="3150"/>
      <c r="BX28" s="1134">
        <f t="shared" si="37"/>
        <v>27.877234564178252</v>
      </c>
      <c r="BY28" s="1134">
        <f>+'MCP ST'!I21</f>
        <v>27.828411157188938</v>
      </c>
      <c r="BZ28" s="3150">
        <f t="shared" si="38"/>
        <v>-4.8823406989313867E-2</v>
      </c>
      <c r="CA28" s="3150"/>
      <c r="CB28" s="3151"/>
      <c r="CC28" s="3150">
        <v>45.938278358254401</v>
      </c>
      <c r="CD28" s="3150">
        <f t="shared" si="39"/>
        <v>-18.109867201065462</v>
      </c>
      <c r="CE28" s="308">
        <f>+'MCP ST'!AK21</f>
        <v>99.585380753589334</v>
      </c>
      <c r="CF28" s="308">
        <f t="shared" si="40"/>
        <v>99.585380753589334</v>
      </c>
      <c r="CG28" s="1134">
        <f t="shared" si="41"/>
        <v>0</v>
      </c>
      <c r="CH28" s="308">
        <f>+'MCP ST'!AR21</f>
        <v>8815.391603596765</v>
      </c>
      <c r="CI28" s="1134">
        <f t="shared" si="42"/>
        <v>8815.391603596765</v>
      </c>
    </row>
    <row r="29" spans="1:87" s="362" customFormat="1">
      <c r="A29" s="3141">
        <f t="shared" si="43"/>
        <v>46102.791666666664</v>
      </c>
      <c r="B29" s="2054">
        <f>+'MCP ST'!B22</f>
        <v>185000.02086318861</v>
      </c>
      <c r="C29" s="3142">
        <f>+'MCP ST'!L22</f>
        <v>12.551785630639429</v>
      </c>
      <c r="D29" s="3143">
        <v>7.75</v>
      </c>
      <c r="E29" s="3144">
        <f>+'MCP ST'!T22+$B$4</f>
        <v>36.152261349255689</v>
      </c>
      <c r="F29" s="3910">
        <f t="shared" si="44"/>
        <v>7.2101479389576495</v>
      </c>
      <c r="G29" s="3144">
        <f>+'MCP ST'!V22*$G$7</f>
        <v>92.23774481701308</v>
      </c>
      <c r="H29" s="2354">
        <f>+'MCP ST'!W22</f>
        <v>9444.1574412628215</v>
      </c>
      <c r="I29" s="2354">
        <f>+'MCP ST'!X22</f>
        <v>0</v>
      </c>
      <c r="J29" s="2354">
        <f>+SUM('MCP ST'!Y22:Z22)</f>
        <v>175061.31787872571</v>
      </c>
      <c r="K29" s="2354">
        <f>+'MCP ST'!AB22</f>
        <v>0</v>
      </c>
      <c r="L29" s="2354">
        <f>+'MCP ST'!AA22</f>
        <v>0</v>
      </c>
      <c r="M29" s="2354">
        <f>+'MCP ST'!AC22</f>
        <v>24.614141350925799</v>
      </c>
      <c r="N29" s="2354">
        <v>0</v>
      </c>
      <c r="O29" s="2354">
        <v>59.742860801226058</v>
      </c>
      <c r="P29" s="2063">
        <f t="shared" si="1"/>
        <v>109.68886105041909</v>
      </c>
      <c r="Q29" s="2063">
        <f t="shared" si="2"/>
        <v>4.3184590964731928</v>
      </c>
      <c r="R29" s="3142">
        <f t="shared" si="3"/>
        <v>15.241357895435558</v>
      </c>
      <c r="S29" s="3142">
        <f t="shared" si="4"/>
        <v>19.72364800151162</v>
      </c>
      <c r="T29" s="3142">
        <f t="shared" si="5"/>
        <v>6.2657583839713302</v>
      </c>
      <c r="U29" s="2054">
        <f t="shared" si="6"/>
        <v>41376</v>
      </c>
      <c r="V29" s="2054">
        <f t="shared" si="7"/>
        <v>6603.5102958718435</v>
      </c>
      <c r="W29" s="2054">
        <f>+'ST Original'!BR28</f>
        <v>6522.2008414047014</v>
      </c>
      <c r="X29" s="2054">
        <f t="shared" si="8"/>
        <v>183.18837449367734</v>
      </c>
      <c r="Y29" s="3622">
        <v>55500</v>
      </c>
      <c r="Z29" s="3145">
        <f t="shared" si="9"/>
        <v>6.9034971920257773</v>
      </c>
      <c r="AA29" s="2054">
        <f t="shared" si="10"/>
        <v>7242.7059226959564</v>
      </c>
      <c r="AB29" s="2354" t="str">
        <f t="shared" si="11"/>
        <v>SAG</v>
      </c>
      <c r="AC29" s="3142">
        <f t="shared" si="12"/>
        <v>8.7720617375598611</v>
      </c>
      <c r="AD29" s="2054">
        <f t="shared" si="13"/>
        <v>1699.6004412694958</v>
      </c>
      <c r="AE29" s="3146">
        <f>+IF(ISNUMBER('ST Original'!BS28),('ST Original'!BS28),"0")</f>
        <v>1698.2934733383588</v>
      </c>
      <c r="AF29" s="2054">
        <f t="shared" si="14"/>
        <v>191.57422880066792</v>
      </c>
      <c r="AG29" s="2054">
        <f t="shared" si="15"/>
        <v>191.57422880066792</v>
      </c>
      <c r="AH29" s="3147">
        <f t="shared" si="16"/>
        <v>7.0839200305408347</v>
      </c>
      <c r="AI29" s="2054">
        <f t="shared" si="17"/>
        <v>1609.2784716444132</v>
      </c>
      <c r="AJ29" s="2354" t="str">
        <f t="shared" si="18"/>
        <v>BOLAS</v>
      </c>
      <c r="AK29" s="308">
        <f>+IFERROR((AG29*'ST Original'!F28+X29*'ST Original'!G28)/('ST Original'!E28),"0")</f>
        <v>184.90758068144279</v>
      </c>
      <c r="AL29" s="308">
        <f t="shared" si="19"/>
        <v>190.82370319814521</v>
      </c>
      <c r="AM29" s="2063">
        <f>+'MCP ST'!AD22</f>
        <v>93.449509713088247</v>
      </c>
      <c r="AN29" s="2063">
        <f>+'MCP ST'!AE22</f>
        <v>93.449509713088247</v>
      </c>
      <c r="AO29" s="2063">
        <f>+'MCP ST'!AF22</f>
        <v>90.818332183917889</v>
      </c>
      <c r="AP29" s="2063">
        <f>+'MCP ST'!AG22</f>
        <v>87.891084101871684</v>
      </c>
      <c r="AQ29" s="2063">
        <f>+'MCP ST'!AH22</f>
        <v>84.637010318518023</v>
      </c>
      <c r="AR29" s="2063">
        <f>+'MCP ST'!AI22</f>
        <v>83.548834507955533</v>
      </c>
      <c r="AS29" s="2063">
        <f>+'MCP ST'!AJ22</f>
        <v>78.608230904164586</v>
      </c>
      <c r="AT29" s="2063">
        <f t="shared" si="20"/>
        <v>107.33830967575597</v>
      </c>
      <c r="AU29" s="2063">
        <f t="shared" si="21"/>
        <v>-9.4727782063863356E-2</v>
      </c>
      <c r="AV29" s="2063">
        <f t="shared" si="22"/>
        <v>89.822424671008022</v>
      </c>
      <c r="AW29" s="2063">
        <f t="shared" si="23"/>
        <v>90.657080408496142</v>
      </c>
      <c r="AX29" s="2063">
        <f>+'MCP ST'!D22</f>
        <v>0.53439489892154024</v>
      </c>
      <c r="AY29" s="3148">
        <f>+'MCP ST'!AL22</f>
        <v>6.535101779429682E-3</v>
      </c>
      <c r="AZ29" s="2063">
        <f t="shared" si="24"/>
        <v>1</v>
      </c>
      <c r="BA29" s="2063">
        <f t="shared" si="25"/>
        <v>90.657080408496142</v>
      </c>
      <c r="BB29" s="2063">
        <f>+'MCP ST'!N22</f>
        <v>1.0377375824318493</v>
      </c>
      <c r="BC29" s="2063">
        <f>+'MCP ST'!O22</f>
        <v>0.64382088371850421</v>
      </c>
      <c r="BD29" s="2063">
        <f>+'MCP ST'!P22</f>
        <v>0.25130961122209999</v>
      </c>
      <c r="BE29" s="2063">
        <f>+'MCP ST'!Q22</f>
        <v>5.4090127305516115E-4</v>
      </c>
      <c r="BF29" s="3149">
        <f t="shared" si="26"/>
        <v>27.116210748744582</v>
      </c>
      <c r="BG29" s="3149">
        <f t="shared" si="27"/>
        <v>23.116736336867717</v>
      </c>
      <c r="BH29" s="3150">
        <f t="shared" si="28"/>
        <v>27.345122479062844</v>
      </c>
      <c r="BI29" s="1134">
        <f t="shared" si="29"/>
        <v>27.116210748744582</v>
      </c>
      <c r="BJ29" s="3150">
        <f t="shared" si="30"/>
        <v>26.536372495238773</v>
      </c>
      <c r="BK29" s="3150">
        <f>+'MCP ST'!I22</f>
        <v>27.522279163240981</v>
      </c>
      <c r="BL29" s="3150">
        <f t="shared" si="31"/>
        <v>4.3184590964731928</v>
      </c>
      <c r="BM29" s="3150">
        <f>+'MCP ST'!AK22/25.4</f>
        <v>3.8894732520772175</v>
      </c>
      <c r="BN29" s="3150">
        <f t="shared" si="32"/>
        <v>-0.42898584439597531</v>
      </c>
      <c r="BO29" s="3151"/>
      <c r="BP29" s="3152">
        <f t="shared" si="33"/>
        <v>184.90758068144279</v>
      </c>
      <c r="BQ29" s="3152">
        <f>+'MCP ST'!S22</f>
        <v>204.15500920010251</v>
      </c>
      <c r="BR29" s="3150">
        <f t="shared" si="34"/>
        <v>19.247428518659717</v>
      </c>
      <c r="BS29" s="3151"/>
      <c r="BT29" s="3150">
        <f t="shared" si="35"/>
        <v>90.657080408496142</v>
      </c>
      <c r="BU29" s="3150">
        <f>+'MCP ST'!J22</f>
        <v>89.69455051882872</v>
      </c>
      <c r="BV29" s="3150">
        <f t="shared" si="36"/>
        <v>-0.96252988966742237</v>
      </c>
      <c r="BW29" s="3150"/>
      <c r="BX29" s="1134">
        <f t="shared" si="37"/>
        <v>27.116210748744582</v>
      </c>
      <c r="BY29" s="1134">
        <f>+'MCP ST'!I22</f>
        <v>27.522279163240981</v>
      </c>
      <c r="BZ29" s="3150">
        <f t="shared" si="38"/>
        <v>0.4060684144963993</v>
      </c>
      <c r="CA29" s="3150"/>
      <c r="CB29" s="3151"/>
      <c r="CC29" s="3150">
        <v>46.938278358254401</v>
      </c>
      <c r="CD29" s="3150">
        <f t="shared" si="39"/>
        <v>-19.41599919501342</v>
      </c>
      <c r="CE29" s="308">
        <f>+'MCP ST'!AK22</f>
        <v>98.792620602761318</v>
      </c>
      <c r="CF29" s="308">
        <f t="shared" si="40"/>
        <v>98.792620602761318</v>
      </c>
      <c r="CG29" s="1134">
        <f t="shared" si="41"/>
        <v>0</v>
      </c>
      <c r="CH29" s="308">
        <f>+'MCP ST'!AR22</f>
        <v>8683.4673730557206</v>
      </c>
      <c r="CI29" s="1134">
        <f t="shared" si="42"/>
        <v>8683.4673730557206</v>
      </c>
    </row>
    <row r="30" spans="1:87" s="362" customFormat="1">
      <c r="A30" s="3141">
        <f t="shared" si="43"/>
        <v>46103.791666666664</v>
      </c>
      <c r="B30" s="2054">
        <f>+'MCP ST'!B23</f>
        <v>199999.99999970043</v>
      </c>
      <c r="C30" s="3142">
        <f>+'MCP ST'!L23</f>
        <v>12.585984727797692</v>
      </c>
      <c r="D30" s="3143">
        <v>7.75</v>
      </c>
      <c r="E30" s="3144">
        <f>+'MCP ST'!T23+$B$4</f>
        <v>36.837072346157001</v>
      </c>
      <c r="F30" s="3910">
        <f t="shared" si="44"/>
        <v>7.0677488622119675</v>
      </c>
      <c r="G30" s="3144">
        <f>+'MCP ST'!V23*$G$7</f>
        <v>94.785056199938552</v>
      </c>
      <c r="H30" s="2354">
        <f>+'MCP ST'!W23</f>
        <v>9018.9568497344608</v>
      </c>
      <c r="I30" s="2354">
        <f>+'MCP ST'!X23</f>
        <v>0</v>
      </c>
      <c r="J30" s="2354">
        <f>+SUM('MCP ST'!Y23:Z23)</f>
        <v>190981.14531103906</v>
      </c>
      <c r="K30" s="2354">
        <f>+'MCP ST'!AB23</f>
        <v>0</v>
      </c>
      <c r="L30" s="2354">
        <f>+'MCP ST'!AA23</f>
        <v>0</v>
      </c>
      <c r="M30" s="2354">
        <f>+'MCP ST'!AC23</f>
        <v>0</v>
      </c>
      <c r="N30" s="2354">
        <v>0</v>
      </c>
      <c r="O30" s="2354">
        <v>74.874220845196703</v>
      </c>
      <c r="P30" s="2063">
        <f t="shared" si="1"/>
        <v>110.47409481695372</v>
      </c>
      <c r="Q30" s="2063">
        <f t="shared" si="2"/>
        <v>4.3493738116910921</v>
      </c>
      <c r="R30" s="3142">
        <f t="shared" si="3"/>
        <v>15.360383146070975</v>
      </c>
      <c r="S30" s="3142">
        <f t="shared" si="4"/>
        <v>19.801835688654023</v>
      </c>
      <c r="T30" s="3142">
        <f t="shared" si="5"/>
        <v>6.2170788011517581</v>
      </c>
      <c r="U30" s="2054">
        <f t="shared" si="6"/>
        <v>41376</v>
      </c>
      <c r="V30" s="2054">
        <f t="shared" si="7"/>
        <v>6655.2156283325221</v>
      </c>
      <c r="W30" s="2054">
        <f>+'ST Original'!BR29</f>
        <v>6574.0680409456972</v>
      </c>
      <c r="X30" s="2054">
        <f t="shared" si="8"/>
        <v>184.04221416698593</v>
      </c>
      <c r="Y30" s="3622">
        <v>55500</v>
      </c>
      <c r="Z30" s="3145">
        <f t="shared" si="9"/>
        <v>6.9022225304065286</v>
      </c>
      <c r="AA30" s="2054">
        <f t="shared" si="10"/>
        <v>7244.0434627735904</v>
      </c>
      <c r="AB30" s="2354" t="str">
        <f t="shared" si="11"/>
        <v>SAG</v>
      </c>
      <c r="AC30" s="3142">
        <f t="shared" si="12"/>
        <v>8.7039103216124616</v>
      </c>
      <c r="AD30" s="2054">
        <f t="shared" si="13"/>
        <v>1712.9082733056009</v>
      </c>
      <c r="AE30" s="3146">
        <f>+IF(ISNUMBER('ST Original'!BS29),('ST Original'!BS29),"0")</f>
        <v>1711.5910718458758</v>
      </c>
      <c r="AF30" s="2054">
        <f t="shared" si="14"/>
        <v>194.80601397849003</v>
      </c>
      <c r="AG30" s="2054">
        <f t="shared" si="15"/>
        <v>194.80601397849003</v>
      </c>
      <c r="AH30" s="3147">
        <f t="shared" si="16"/>
        <v>7.0274783709109068</v>
      </c>
      <c r="AI30" s="2054">
        <f t="shared" si="17"/>
        <v>1622.2034986530059</v>
      </c>
      <c r="AJ30" s="2354" t="str">
        <f t="shared" si="18"/>
        <v>BOLAS</v>
      </c>
      <c r="AK30" s="308">
        <f>+IFERROR((AG30*'ST Original'!F29+X30*'ST Original'!G29)/('ST Original'!E29),"0")</f>
        <v>186.24871616436286</v>
      </c>
      <c r="AL30" s="308">
        <f t="shared" si="19"/>
        <v>194.05935274478989</v>
      </c>
      <c r="AM30" s="2063">
        <f>+'MCP ST'!AD23</f>
        <v>93.221488824867691</v>
      </c>
      <c r="AN30" s="2063">
        <f>+'MCP ST'!AE23</f>
        <v>93.221488824867691</v>
      </c>
      <c r="AO30" s="2063">
        <f>+'MCP ST'!AF23</f>
        <v>90.86395220329598</v>
      </c>
      <c r="AP30" s="2063">
        <f>+'MCP ST'!AG23</f>
        <v>88.370967126435957</v>
      </c>
      <c r="AQ30" s="2063">
        <f>+'MCP ST'!AH23</f>
        <v>85.32365690598985</v>
      </c>
      <c r="AR30" s="2063">
        <f>+'MCP ST'!AI23</f>
        <v>84.279354556943048</v>
      </c>
      <c r="AS30" s="2063">
        <f>+'MCP ST'!AJ23</f>
        <v>78.706365596057154</v>
      </c>
      <c r="AT30" s="2063">
        <f t="shared" si="20"/>
        <v>106.65892531002542</v>
      </c>
      <c r="AU30" s="2063">
        <f t="shared" si="21"/>
        <v>-9.0405728106149025E-2</v>
      </c>
      <c r="AV30" s="2063">
        <f t="shared" si="22"/>
        <v>89.820974516350716</v>
      </c>
      <c r="AW30" s="2063">
        <f t="shared" si="23"/>
        <v>90.656313421697888</v>
      </c>
      <c r="AX30" s="2063">
        <f>+'MCP ST'!D23</f>
        <v>0.59959530689926632</v>
      </c>
      <c r="AY30" s="3148">
        <f>+'MCP ST'!AL23</f>
        <v>6.754475045781084E-3</v>
      </c>
      <c r="AZ30" s="2063">
        <f t="shared" si="24"/>
        <v>1</v>
      </c>
      <c r="BA30" s="2063">
        <f t="shared" si="25"/>
        <v>90.656313421697888</v>
      </c>
      <c r="BB30" s="2063">
        <f>+'MCP ST'!N23</f>
        <v>1.0433532468429025</v>
      </c>
      <c r="BC30" s="2063">
        <f>+'MCP ST'!O23</f>
        <v>0.33196913621256019</v>
      </c>
      <c r="BD30" s="2063">
        <f>+'MCP ST'!P23</f>
        <v>0.34705274378513412</v>
      </c>
      <c r="BE30" s="2063">
        <f>+'MCP ST'!Q23</f>
        <v>0</v>
      </c>
      <c r="BF30" s="3149">
        <f t="shared" si="26"/>
        <v>29.691011915290662</v>
      </c>
      <c r="BG30" s="3149">
        <f t="shared" si="27"/>
        <v>28.496456198481102</v>
      </c>
      <c r="BH30" s="3150">
        <f t="shared" si="28"/>
        <v>32.375726533870314</v>
      </c>
      <c r="BI30" s="1134">
        <f t="shared" si="29"/>
        <v>29.691011915290662</v>
      </c>
      <c r="BJ30" s="3150">
        <f t="shared" si="30"/>
        <v>29.574481234075755</v>
      </c>
      <c r="BK30" s="3150">
        <f>+'MCP ST'!I23</f>
        <v>29.661040329964397</v>
      </c>
      <c r="BL30" s="3150">
        <f t="shared" si="31"/>
        <v>4.3493738116910921</v>
      </c>
      <c r="BM30" s="3150">
        <f>+'MCP ST'!AK23/25.4</f>
        <v>3.9321942485318573</v>
      </c>
      <c r="BN30" s="3150">
        <f t="shared" si="32"/>
        <v>-0.41717956315923477</v>
      </c>
      <c r="BO30" s="3151"/>
      <c r="BP30" s="3152">
        <f t="shared" si="33"/>
        <v>186.24871616436286</v>
      </c>
      <c r="BQ30" s="3152">
        <f>+'MCP ST'!S23</f>
        <v>206.01192834140875</v>
      </c>
      <c r="BR30" s="3150">
        <f t="shared" si="34"/>
        <v>19.763212177045887</v>
      </c>
      <c r="BS30" s="3151"/>
      <c r="BT30" s="3150">
        <f t="shared" si="35"/>
        <v>90.656313421697888</v>
      </c>
      <c r="BU30" s="3150">
        <f>+'MCP ST'!J23</f>
        <v>89.798104348719633</v>
      </c>
      <c r="BV30" s="3150">
        <f t="shared" si="36"/>
        <v>-0.85820907297825499</v>
      </c>
      <c r="BW30" s="3150"/>
      <c r="BX30" s="1134">
        <f t="shared" si="37"/>
        <v>29.691011915290662</v>
      </c>
      <c r="BY30" s="1134">
        <f>+'MCP ST'!I23</f>
        <v>29.661040329964397</v>
      </c>
      <c r="BZ30" s="3150">
        <f t="shared" si="38"/>
        <v>-2.9971585326265426E-2</v>
      </c>
      <c r="CA30" s="3150"/>
      <c r="CB30" s="3151"/>
      <c r="CC30" s="3150">
        <v>47.938278358254401</v>
      </c>
      <c r="CD30" s="3150">
        <f t="shared" si="39"/>
        <v>-18.277238028290004</v>
      </c>
      <c r="CE30" s="308">
        <f>+'MCP ST'!AK23</f>
        <v>99.877733912709175</v>
      </c>
      <c r="CF30" s="308">
        <f t="shared" si="40"/>
        <v>99.877733912709175</v>
      </c>
      <c r="CG30" s="1134">
        <f t="shared" si="41"/>
        <v>0</v>
      </c>
      <c r="CH30" s="308">
        <f>+'MCP ST'!AR23</f>
        <v>8714.2352167025492</v>
      </c>
      <c r="CI30" s="1134">
        <f t="shared" si="42"/>
        <v>8714.2352167025492</v>
      </c>
    </row>
    <row r="31" spans="1:87" s="362" customFormat="1">
      <c r="A31" s="3141">
        <f t="shared" si="43"/>
        <v>46104.791666666664</v>
      </c>
      <c r="B31" s="2054">
        <f>+'MCP ST'!B24</f>
        <v>200000.00000015847</v>
      </c>
      <c r="C31" s="3142">
        <f>+'MCP ST'!L24</f>
        <v>12.539562343120252</v>
      </c>
      <c r="D31" s="3143">
        <v>7.75</v>
      </c>
      <c r="E31" s="3144">
        <f>+'MCP ST'!T24+$B$4</f>
        <v>36.355026368370282</v>
      </c>
      <c r="F31" s="3910">
        <f t="shared" si="44"/>
        <v>7.167408425941403</v>
      </c>
      <c r="G31" s="3144">
        <f>+'MCP ST'!V24*$G$7</f>
        <v>93.006760265208342</v>
      </c>
      <c r="H31" s="2354">
        <f>+'MCP ST'!W24</f>
        <v>27285.332907015203</v>
      </c>
      <c r="I31" s="2354">
        <f>+'MCP ST'!X24</f>
        <v>0</v>
      </c>
      <c r="J31" s="2354">
        <f>+SUM('MCP ST'!Y24:Z24)</f>
        <v>169740.54845279528</v>
      </c>
      <c r="K31" s="2354">
        <f>+'MCP ST'!AB24</f>
        <v>2457.6898460082466</v>
      </c>
      <c r="L31" s="2354">
        <f>+'MCP ST'!AA24</f>
        <v>0</v>
      </c>
      <c r="M31" s="2354">
        <f>+'MCP ST'!AC24</f>
        <v>443.61827306807942</v>
      </c>
      <c r="N31" s="2354">
        <v>0</v>
      </c>
      <c r="O31" s="2354">
        <v>63.355687299206544</v>
      </c>
      <c r="P31" s="2063">
        <f t="shared" si="1"/>
        <v>111.18944426858488</v>
      </c>
      <c r="Q31" s="2063">
        <f t="shared" si="2"/>
        <v>4.3775371759285386</v>
      </c>
      <c r="R31" s="3142">
        <f t="shared" si="3"/>
        <v>14.947645469187474</v>
      </c>
      <c r="S31" s="3142">
        <f t="shared" si="4"/>
        <v>19.530708308709251</v>
      </c>
      <c r="T31" s="3142">
        <f t="shared" si="5"/>
        <v>6.3163560409796462</v>
      </c>
      <c r="U31" s="2054">
        <f t="shared" si="6"/>
        <v>41376</v>
      </c>
      <c r="V31" s="2054">
        <f t="shared" si="7"/>
        <v>6550.612367567348</v>
      </c>
      <c r="W31" s="2054">
        <f>+'ST Original'!BR30</f>
        <v>6469.1373125170157</v>
      </c>
      <c r="X31" s="2054">
        <f t="shared" si="8"/>
        <v>182.46711734146169</v>
      </c>
      <c r="Y31" s="3622">
        <v>55500</v>
      </c>
      <c r="Z31" s="3145">
        <f t="shared" si="9"/>
        <v>6.9137866821497136</v>
      </c>
      <c r="AA31" s="2054">
        <f t="shared" si="10"/>
        <v>7231.9269162717974</v>
      </c>
      <c r="AB31" s="2354" t="str">
        <f t="shared" si="11"/>
        <v>SAG</v>
      </c>
      <c r="AC31" s="3142">
        <f t="shared" si="12"/>
        <v>8.8428984573715042</v>
      </c>
      <c r="AD31" s="2054">
        <f t="shared" si="13"/>
        <v>1685.9856609086978</v>
      </c>
      <c r="AE31" s="3146">
        <f>+IF(ISNUMBER('ST Original'!BS30),('ST Original'!BS30),"0")</f>
        <v>1684.6891625449302</v>
      </c>
      <c r="AF31" s="2054">
        <f t="shared" si="14"/>
        <v>188.84153732996521</v>
      </c>
      <c r="AG31" s="2054">
        <f t="shared" si="15"/>
        <v>188.84153732996521</v>
      </c>
      <c r="AH31" s="3147">
        <f t="shared" si="16"/>
        <v>7.1423367011111072</v>
      </c>
      <c r="AI31" s="2054">
        <f t="shared" si="17"/>
        <v>1596.1162959772737</v>
      </c>
      <c r="AJ31" s="2354" t="str">
        <f t="shared" si="18"/>
        <v>BOLAS</v>
      </c>
      <c r="AK31" s="308">
        <f>+IFERROR((AG31*'ST Original'!F30+X31*'ST Original'!G30)/('ST Original'!E30),"0")</f>
        <v>183.77408524901566</v>
      </c>
      <c r="AL31" s="308">
        <f t="shared" si="19"/>
        <v>188.08290851390808</v>
      </c>
      <c r="AM31" s="2063">
        <f>+'MCP ST'!AD24</f>
        <v>93.731131187131382</v>
      </c>
      <c r="AN31" s="2063">
        <f>+'MCP ST'!AE24</f>
        <v>92.655330188525369</v>
      </c>
      <c r="AO31" s="2063">
        <f>+'MCP ST'!AF24</f>
        <v>90.14089369572018</v>
      </c>
      <c r="AP31" s="2063">
        <f>+'MCP ST'!AG24</f>
        <v>87.312593792077465</v>
      </c>
      <c r="AQ31" s="2063">
        <f>+'MCP ST'!AH24</f>
        <v>84.126106888478546</v>
      </c>
      <c r="AR31" s="2063">
        <f>+'MCP ST'!AI24</f>
        <v>83.059431845432158</v>
      </c>
      <c r="AS31" s="2063">
        <f>+'MCP ST'!AJ24</f>
        <v>77.577548391789776</v>
      </c>
      <c r="AT31" s="2063">
        <f t="shared" si="20"/>
        <v>107.63552201653991</v>
      </c>
      <c r="AU31" s="2063">
        <f t="shared" si="21"/>
        <v>-9.873593600996898E-2</v>
      </c>
      <c r="AV31" s="2063">
        <f t="shared" si="22"/>
        <v>89.490415695102513</v>
      </c>
      <c r="AW31" s="2063">
        <f t="shared" si="23"/>
        <v>90.481480861139715</v>
      </c>
      <c r="AX31" s="2063">
        <f>+'MCP ST'!D24</f>
        <v>0.54611774227069232</v>
      </c>
      <c r="AY31" s="3148">
        <f>+'MCP ST'!AL24</f>
        <v>7.3199993985553647E-3</v>
      </c>
      <c r="AZ31" s="2063">
        <f t="shared" si="24"/>
        <v>1</v>
      </c>
      <c r="BA31" s="2063">
        <f t="shared" si="25"/>
        <v>90.481480861139715</v>
      </c>
      <c r="BB31" s="2063">
        <f>+'MCP ST'!N24</f>
        <v>0.94668128445851452</v>
      </c>
      <c r="BC31" s="2063">
        <f>+'MCP ST'!O24</f>
        <v>0.56710401453456771</v>
      </c>
      <c r="BD31" s="2063">
        <f>+'MCP ST'!P24</f>
        <v>0.27538130146318102</v>
      </c>
      <c r="BE31" s="2063">
        <f>+'MCP ST'!Q24</f>
        <v>4.1762112085729747E-2</v>
      </c>
      <c r="BF31" s="3149">
        <f t="shared" si="26"/>
        <v>28.406374307262748</v>
      </c>
      <c r="BG31" s="3149">
        <f t="shared" si="27"/>
        <v>24.986516893226387</v>
      </c>
      <c r="BH31" s="3150">
        <f t="shared" si="28"/>
        <v>29.311691263013671</v>
      </c>
      <c r="BI31" s="1134">
        <f t="shared" si="29"/>
        <v>28.406374307262748</v>
      </c>
      <c r="BJ31" s="3150">
        <f t="shared" si="30"/>
        <v>28.102423272563883</v>
      </c>
      <c r="BK31" s="3150">
        <f>+'MCP ST'!I24</f>
        <v>29.178519818492596</v>
      </c>
      <c r="BL31" s="3150">
        <f t="shared" si="31"/>
        <v>4.3775371759285386</v>
      </c>
      <c r="BM31" s="3150">
        <f>+'MCP ST'!AK24/25.4</f>
        <v>4.0234396385290978</v>
      </c>
      <c r="BN31" s="3150">
        <f t="shared" si="32"/>
        <v>-0.35409753739944083</v>
      </c>
      <c r="BP31" s="308">
        <f t="shared" si="33"/>
        <v>183.77408524901566</v>
      </c>
      <c r="BQ31" s="308">
        <f>+'MCP ST'!S24</f>
        <v>203.50891782886416</v>
      </c>
      <c r="BR31" s="1134">
        <f t="shared" si="34"/>
        <v>19.734832579848501</v>
      </c>
      <c r="BT31" s="1134">
        <f t="shared" si="35"/>
        <v>90.481480861139715</v>
      </c>
      <c r="BU31" s="1134">
        <f>+'MCP ST'!J24</f>
        <v>89.450917903123866</v>
      </c>
      <c r="BV31" s="1134">
        <f t="shared" si="36"/>
        <v>-1.0305629580158495</v>
      </c>
      <c r="BW31" s="1134"/>
      <c r="BX31" s="1134">
        <f t="shared" si="37"/>
        <v>28.406374307262748</v>
      </c>
      <c r="BY31" s="1134">
        <f>+'MCP ST'!I24</f>
        <v>29.178519818492596</v>
      </c>
      <c r="BZ31" s="1134">
        <f t="shared" si="38"/>
        <v>0.77214551122984787</v>
      </c>
      <c r="CA31" s="1134"/>
      <c r="CC31" s="1134">
        <v>48.938278358254401</v>
      </c>
      <c r="CD31" s="1134">
        <f t="shared" si="39"/>
        <v>-19.759758539761805</v>
      </c>
      <c r="CE31" s="308">
        <f>+'MCP ST'!AK24</f>
        <v>102.19536681863907</v>
      </c>
      <c r="CF31" s="308">
        <f t="shared" si="40"/>
        <v>102.19536681863907</v>
      </c>
      <c r="CG31" s="1134">
        <f t="shared" si="41"/>
        <v>0</v>
      </c>
      <c r="CH31" s="308">
        <f>+'MCP ST'!AR24</f>
        <v>8501.7261044925817</v>
      </c>
      <c r="CI31" s="1134">
        <f t="shared" si="42"/>
        <v>8501.7261044925817</v>
      </c>
    </row>
    <row r="32" spans="1:87" s="362" customFormat="1">
      <c r="A32" s="3141">
        <f t="shared" si="43"/>
        <v>46105.791666666664</v>
      </c>
      <c r="B32" s="2054">
        <f>+'MCP ST'!B25</f>
        <v>184999.99999984697</v>
      </c>
      <c r="C32" s="3142">
        <f>+'MCP ST'!L25</f>
        <v>12.483457505466498</v>
      </c>
      <c r="D32" s="3143">
        <v>7.75</v>
      </c>
      <c r="E32" s="3144">
        <f>+'MCP ST'!T25+$B$4</f>
        <v>37.37366346942364</v>
      </c>
      <c r="F32" s="3910">
        <f t="shared" si="44"/>
        <v>6.9599299759839948</v>
      </c>
      <c r="G32" s="3144">
        <f>+'MCP ST'!V25*$G$7</f>
        <v>83.560410965114826</v>
      </c>
      <c r="H32" s="2354">
        <f>+'MCP ST'!W25</f>
        <v>65335.314231469412</v>
      </c>
      <c r="I32" s="2354">
        <f>+'MCP ST'!X25</f>
        <v>0</v>
      </c>
      <c r="J32" s="2354">
        <f>+SUM('MCP ST'!Y25:Z25)</f>
        <v>105425.34268745764</v>
      </c>
      <c r="K32" s="2354">
        <f>+'MCP ST'!AB25</f>
        <v>14068.272802718886</v>
      </c>
      <c r="L32" s="2354">
        <f>+'MCP ST'!AA25</f>
        <v>0</v>
      </c>
      <c r="M32" s="2354">
        <f>+'MCP ST'!AC25</f>
        <v>170.60033919812099</v>
      </c>
      <c r="N32" s="2354">
        <v>0</v>
      </c>
      <c r="O32" s="2354">
        <v>40.969345491032243</v>
      </c>
      <c r="P32" s="2063">
        <f t="shared" si="1"/>
        <v>108.96746394498966</v>
      </c>
      <c r="Q32" s="2063">
        <f t="shared" si="2"/>
        <v>4.2900576356295144</v>
      </c>
      <c r="R32" s="3142">
        <f t="shared" si="3"/>
        <v>14.202543635092766</v>
      </c>
      <c r="S32" s="3142">
        <f t="shared" si="4"/>
        <v>19.041250913892441</v>
      </c>
      <c r="T32" s="3142">
        <f t="shared" si="5"/>
        <v>6.1474250902117156</v>
      </c>
      <c r="U32" s="2054">
        <f t="shared" si="6"/>
        <v>41376</v>
      </c>
      <c r="V32" s="2054">
        <f t="shared" si="7"/>
        <v>6730.6228856503276</v>
      </c>
      <c r="W32" s="2054">
        <f>+'ST Original'!BR31</f>
        <v>6747.4443028885116</v>
      </c>
      <c r="X32" s="2054">
        <f t="shared" si="8"/>
        <v>184.29532826873594</v>
      </c>
      <c r="Y32" s="3622">
        <v>55500</v>
      </c>
      <c r="Z32" s="3145">
        <f t="shared" si="9"/>
        <v>6.8401173568032592</v>
      </c>
      <c r="AA32" s="2054">
        <f t="shared" si="10"/>
        <v>7309.8161028289123</v>
      </c>
      <c r="AB32" s="2354" t="str">
        <f t="shared" si="11"/>
        <v>SAG</v>
      </c>
      <c r="AC32" s="3142">
        <f t="shared" si="12"/>
        <v>8.6063951262964018</v>
      </c>
      <c r="AD32" s="2054">
        <f t="shared" si="13"/>
        <v>1732.3164671403838</v>
      </c>
      <c r="AE32" s="3146">
        <f>+IF(ISNUMBER('ST Original'!BS31),('ST Original'!BS31),"0")</f>
        <v>1730.9843410628912</v>
      </c>
      <c r="AF32" s="2054">
        <f t="shared" si="14"/>
        <v>195.76338267235653</v>
      </c>
      <c r="AG32" s="2054">
        <f t="shared" si="15"/>
        <v>195.76338267235653</v>
      </c>
      <c r="AH32" s="3147">
        <f t="shared" si="16"/>
        <v>6.948334592569978</v>
      </c>
      <c r="AI32" s="2054">
        <f t="shared" si="17"/>
        <v>1640.680921179342</v>
      </c>
      <c r="AJ32" s="2354" t="str">
        <f t="shared" si="18"/>
        <v>BOLAS</v>
      </c>
      <c r="AK32" s="308">
        <f>+IFERROR((AG32*'ST Original'!F31+X32*'ST Original'!G31)/('ST Original'!E31),"0")</f>
        <v>186.61872401743344</v>
      </c>
      <c r="AL32" s="308">
        <f t="shared" si="19"/>
        <v>198.65610853764866</v>
      </c>
      <c r="AM32" s="2063">
        <f>+'MCP ST'!AD25</f>
        <v>93.659132978137421</v>
      </c>
      <c r="AN32" s="2063">
        <f>+'MCP ST'!AE25</f>
        <v>92.102304039099437</v>
      </c>
      <c r="AO32" s="2063">
        <f>+'MCP ST'!AF25</f>
        <v>89.580064746719799</v>
      </c>
      <c r="AP32" s="2063">
        <f>+'MCP ST'!AG25</f>
        <v>86.672885551817672</v>
      </c>
      <c r="AQ32" s="2063">
        <f>+'MCP ST'!AH25</f>
        <v>83.435460045226705</v>
      </c>
      <c r="AR32" s="2063">
        <f>+'MCP ST'!AI25</f>
        <v>82.312816206644527</v>
      </c>
      <c r="AS32" s="2063">
        <f>+'MCP ST'!AJ25</f>
        <v>77.427644689989336</v>
      </c>
      <c r="AT32" s="2063">
        <f t="shared" si="20"/>
        <v>107.25340919174008</v>
      </c>
      <c r="AU32" s="2063">
        <f t="shared" si="21"/>
        <v>-9.923896120282584E-2</v>
      </c>
      <c r="AV32" s="2063">
        <f t="shared" si="22"/>
        <v>88.733560879253133</v>
      </c>
      <c r="AW32" s="2063">
        <f t="shared" si="23"/>
        <v>90.081180349036984</v>
      </c>
      <c r="AX32" s="2063">
        <f>+'MCP ST'!D25</f>
        <v>0.55160275711999007</v>
      </c>
      <c r="AY32" s="3148">
        <f>+'MCP ST'!AL25</f>
        <v>9.8212530610047363E-3</v>
      </c>
      <c r="AZ32" s="2063">
        <f t="shared" si="24"/>
        <v>1</v>
      </c>
      <c r="BA32" s="2063">
        <f t="shared" si="25"/>
        <v>90.081180349036984</v>
      </c>
      <c r="BB32" s="2063">
        <f>+'MCP ST'!N25</f>
        <v>0.98633435396694968</v>
      </c>
      <c r="BC32" s="2063">
        <f>+'MCP ST'!O25</f>
        <v>1.0668955903686488</v>
      </c>
      <c r="BD32" s="2063">
        <f>+'MCP ST'!P25</f>
        <v>0.16154822915613018</v>
      </c>
      <c r="BE32" s="2063">
        <f>+'MCP ST'!Q25</f>
        <v>0.12863544218364914</v>
      </c>
      <c r="BF32" s="3149">
        <f t="shared" si="26"/>
        <v>26.105241224231786</v>
      </c>
      <c r="BG32" s="3149">
        <f t="shared" si="27"/>
        <v>19.872103407948664</v>
      </c>
      <c r="BH32" s="3150">
        <f t="shared" si="28"/>
        <v>24.364703707284534</v>
      </c>
      <c r="BI32" s="1134">
        <f t="shared" si="29"/>
        <v>26.105241224231786</v>
      </c>
      <c r="BJ32" s="3150">
        <f t="shared" si="30"/>
        <v>25.455179227883818</v>
      </c>
      <c r="BK32" s="3150">
        <f>+'MCP ST'!I25</f>
        <v>26.795474799065147</v>
      </c>
      <c r="BL32" s="3150">
        <f t="shared" si="31"/>
        <v>4.2900576356295144</v>
      </c>
      <c r="BM32" s="3150">
        <f>+'MCP ST'!AK25/25.4</f>
        <v>3.9632964812814717</v>
      </c>
      <c r="BN32" s="3150">
        <f t="shared" si="32"/>
        <v>-0.32676115434804265</v>
      </c>
      <c r="BP32" s="308">
        <f t="shared" si="33"/>
        <v>186.61872401743344</v>
      </c>
      <c r="BQ32" s="308">
        <f>+'MCP ST'!S25</f>
        <v>205.18590235115258</v>
      </c>
      <c r="BR32" s="1134">
        <f t="shared" si="34"/>
        <v>18.567178333719141</v>
      </c>
      <c r="BT32" s="1134">
        <f t="shared" si="35"/>
        <v>90.081180349036984</v>
      </c>
      <c r="BU32" s="1134">
        <f>+'MCP ST'!J25</f>
        <v>88.983751397369389</v>
      </c>
      <c r="BV32" s="1134">
        <f t="shared" si="36"/>
        <v>-1.0974289516675952</v>
      </c>
      <c r="BW32" s="1134"/>
      <c r="BX32" s="1134">
        <f t="shared" si="37"/>
        <v>26.105241224231786</v>
      </c>
      <c r="BY32" s="1134">
        <f>+'MCP ST'!I25</f>
        <v>26.795474799065147</v>
      </c>
      <c r="BZ32" s="1134">
        <f t="shared" si="38"/>
        <v>0.69023357483336056</v>
      </c>
      <c r="CA32" s="1134"/>
      <c r="CC32" s="1134">
        <v>49.938278358254401</v>
      </c>
      <c r="CD32" s="1134">
        <f t="shared" si="39"/>
        <v>-23.142803559189254</v>
      </c>
      <c r="CE32" s="308">
        <f>+'MCP ST'!AK25</f>
        <v>100.66773062454938</v>
      </c>
      <c r="CF32" s="308">
        <f t="shared" si="40"/>
        <v>100.66773062454938</v>
      </c>
      <c r="CG32" s="1134">
        <f t="shared" si="41"/>
        <v>0</v>
      </c>
      <c r="CH32" s="308">
        <f>+'MCP ST'!AR25</f>
        <v>8559.3771924380726</v>
      </c>
      <c r="CI32" s="1134">
        <f t="shared" si="42"/>
        <v>8559.3771924380726</v>
      </c>
    </row>
    <row r="33" spans="1:87" s="362" customFormat="1">
      <c r="A33" s="3141">
        <f t="shared" si="43"/>
        <v>46106.791666666664</v>
      </c>
      <c r="B33" s="2054">
        <f>+'MCP ST'!B26</f>
        <v>220000.00000043112</v>
      </c>
      <c r="C33" s="3142">
        <f>+'MCP ST'!L26</f>
        <v>12.215453139506778</v>
      </c>
      <c r="D33" s="3143">
        <v>7.75</v>
      </c>
      <c r="E33" s="3144">
        <f>+'MCP ST'!T26+$B$4</f>
        <v>37.100089455925193</v>
      </c>
      <c r="F33" s="3910">
        <f t="shared" si="44"/>
        <v>7.0144980535928845</v>
      </c>
      <c r="G33" s="3144">
        <f>+'MCP ST'!V26*$G$7</f>
        <v>74.705348359208827</v>
      </c>
      <c r="H33" s="2354">
        <f>+'MCP ST'!W26</f>
        <v>95051.198350509687</v>
      </c>
      <c r="I33" s="2354">
        <f>+'MCP ST'!X26</f>
        <v>0</v>
      </c>
      <c r="J33" s="2354">
        <f>+SUM('MCP ST'!Y26:Z26)</f>
        <v>64247.587421065022</v>
      </c>
      <c r="K33" s="2354">
        <f>+'MCP ST'!AB26</f>
        <v>53285.666958840433</v>
      </c>
      <c r="L33" s="2354">
        <f>+'MCP ST'!AA26</f>
        <v>6092.6348652266461</v>
      </c>
      <c r="M33" s="2354">
        <f>+'MCP ST'!AC26</f>
        <v>1322.6727537006043</v>
      </c>
      <c r="N33" s="2354">
        <v>0</v>
      </c>
      <c r="O33" s="2354">
        <v>24.628336756838053</v>
      </c>
      <c r="P33" s="2063">
        <f t="shared" si="1"/>
        <v>105.92724547223592</v>
      </c>
      <c r="Q33" s="2063">
        <f t="shared" si="2"/>
        <v>4.1703639949699189</v>
      </c>
      <c r="R33" s="3142">
        <f t="shared" si="3"/>
        <v>13.436466340221076</v>
      </c>
      <c r="S33" s="3142">
        <f t="shared" si="4"/>
        <v>18.538014738891228</v>
      </c>
      <c r="T33" s="3142">
        <f t="shared" si="5"/>
        <v>6.0858361185973244</v>
      </c>
      <c r="U33" s="2054">
        <f t="shared" si="6"/>
        <v>41376</v>
      </c>
      <c r="V33" s="2054">
        <f t="shared" si="7"/>
        <v>6798.7371322013878</v>
      </c>
      <c r="W33" s="2054">
        <f>+'ST Original'!BR32</f>
        <v>6820.0210438804488</v>
      </c>
      <c r="X33" s="2054">
        <f t="shared" si="8"/>
        <v>183.34759767938502</v>
      </c>
      <c r="Y33" s="3622">
        <v>55500</v>
      </c>
      <c r="Z33" s="3145">
        <f t="shared" si="9"/>
        <v>6.7148685695050769</v>
      </c>
      <c r="AA33" s="2054">
        <f t="shared" si="10"/>
        <v>7446.1621225276313</v>
      </c>
      <c r="AB33" s="2354" t="str">
        <f t="shared" si="11"/>
        <v>SAG</v>
      </c>
      <c r="AC33" s="3142">
        <f t="shared" si="12"/>
        <v>8.5201705660362528</v>
      </c>
      <c r="AD33" s="2054">
        <f t="shared" si="13"/>
        <v>1749.8475980552996</v>
      </c>
      <c r="AE33" s="3146">
        <f>+IF(ISNUMBER('ST Original'!BS32),('ST Original'!BS32),"0")</f>
        <v>1748.5019907940266</v>
      </c>
      <c r="AF33" s="2054">
        <f t="shared" si="14"/>
        <v>192.17715391667684</v>
      </c>
      <c r="AG33" s="2054">
        <f t="shared" si="15"/>
        <v>192.17715391667684</v>
      </c>
      <c r="AH33" s="3147">
        <f t="shared" si="16"/>
        <v>6.8802469910810702</v>
      </c>
      <c r="AI33" s="2054">
        <f t="shared" si="17"/>
        <v>1656.9172610776807</v>
      </c>
      <c r="AJ33" s="2354" t="str">
        <f t="shared" si="18"/>
        <v>BOLAS</v>
      </c>
      <c r="AK33" s="308">
        <f>+IFERROR((AG33*'ST Original'!F32+X33*'ST Original'!G32)/('ST Original'!E32),"0")</f>
        <v>185.13554322458796</v>
      </c>
      <c r="AL33" s="308">
        <f t="shared" si="19"/>
        <v>195.19424993924309</v>
      </c>
      <c r="AM33" s="3628">
        <f>+AN33</f>
        <v>89.571831650335596</v>
      </c>
      <c r="AN33" s="2063">
        <f>+'MCP ST'!AE26</f>
        <v>89.571831650335596</v>
      </c>
      <c r="AO33" s="2063">
        <f>+'MCP ST'!AF26</f>
        <v>87.359110971294115</v>
      </c>
      <c r="AP33" s="2063">
        <f>+'MCP ST'!AG26</f>
        <v>84.819359039604279</v>
      </c>
      <c r="AQ33" s="2063">
        <f>+'MCP ST'!AH26</f>
        <v>82.095440680532903</v>
      </c>
      <c r="AR33" s="2063">
        <f>+'MCP ST'!AI26</f>
        <v>81.091538111265052</v>
      </c>
      <c r="AS33" s="2063">
        <f>+'MCP ST'!AJ26</f>
        <v>76.832232239654658</v>
      </c>
      <c r="AT33" s="2063">
        <f t="shared" si="20"/>
        <v>101.49698569381854</v>
      </c>
      <c r="AU33" s="2063">
        <f t="shared" si="21"/>
        <v>-8.1211694283372576E-2</v>
      </c>
      <c r="AV33" s="2063">
        <f t="shared" si="22"/>
        <v>86.461814556477194</v>
      </c>
      <c r="AW33" s="2063">
        <f t="shared" si="23"/>
        <v>88.879653718920792</v>
      </c>
      <c r="AX33" s="2063">
        <f>+'MCP ST'!D26</f>
        <v>0.50905603115424403</v>
      </c>
      <c r="AY33" s="3148">
        <f>+'MCP ST'!AL26</f>
        <v>2.3562364980759941E-2</v>
      </c>
      <c r="AZ33" s="2063">
        <f t="shared" si="24"/>
        <v>0.98343529107858674</v>
      </c>
      <c r="BA33" s="2063">
        <f t="shared" si="25"/>
        <v>87.407388126030867</v>
      </c>
      <c r="BB33" s="2063">
        <f>+'MCP ST'!N26</f>
        <v>1.0599065150878337</v>
      </c>
      <c r="BC33" s="2063">
        <f>+'MCP ST'!O26</f>
        <v>1.4038597890446465</v>
      </c>
      <c r="BD33" s="2063">
        <f>+'MCP ST'!P26</f>
        <v>7.3670981238715696E-2</v>
      </c>
      <c r="BE33" s="2063">
        <f>+'MCP ST'!Q26</f>
        <v>0.11613309615561031</v>
      </c>
      <c r="BF33" s="3149">
        <f t="shared" si="26"/>
        <v>23.513319660599187</v>
      </c>
      <c r="BG33" s="3149">
        <f t="shared" si="27"/>
        <v>15.692263584785328</v>
      </c>
      <c r="BH33" s="3150">
        <f t="shared" si="28"/>
        <v>19.920564686475771</v>
      </c>
      <c r="BI33" s="1134">
        <f t="shared" si="29"/>
        <v>23.513319660599187</v>
      </c>
      <c r="BJ33" s="3150">
        <f t="shared" si="30"/>
        <v>22.365039112525658</v>
      </c>
      <c r="BK33" s="3150">
        <f>+'MCP ST'!I26</f>
        <v>24.528875877353652</v>
      </c>
      <c r="BL33" s="3150">
        <f t="shared" si="31"/>
        <v>4.1703639949699189</v>
      </c>
      <c r="BM33" s="3150">
        <f>+'MCP ST'!AK26/25.4</f>
        <v>3.9143507862853024</v>
      </c>
      <c r="BN33" s="3150">
        <f t="shared" si="32"/>
        <v>-0.25601320868461652</v>
      </c>
      <c r="BP33" s="308">
        <f t="shared" si="33"/>
        <v>185.13554322458796</v>
      </c>
      <c r="BQ33" s="308">
        <f>+'MCP ST'!S26</f>
        <v>203.32264224273194</v>
      </c>
      <c r="BR33" s="1134">
        <f t="shared" si="34"/>
        <v>18.187099018143982</v>
      </c>
      <c r="BT33" s="1134">
        <f t="shared" si="35"/>
        <v>87.407388126030867</v>
      </c>
      <c r="BU33" s="1134">
        <f>+'MCP ST'!J26</f>
        <v>87.284838028538545</v>
      </c>
      <c r="BV33" s="1134">
        <f t="shared" si="36"/>
        <v>-0.12255009749232215</v>
      </c>
      <c r="BW33" s="1134"/>
      <c r="BX33" s="1134">
        <f t="shared" si="37"/>
        <v>23.513319660599187</v>
      </c>
      <c r="BY33" s="1134">
        <f>+'MCP ST'!I26</f>
        <v>24.528875877353652</v>
      </c>
      <c r="BZ33" s="1134">
        <f t="shared" si="38"/>
        <v>1.0155562167544652</v>
      </c>
      <c r="CA33" s="1134"/>
      <c r="CC33" s="1134">
        <v>50.938278358254401</v>
      </c>
      <c r="CD33" s="1134">
        <f t="shared" si="39"/>
        <v>-26.409402480900749</v>
      </c>
      <c r="CE33" s="308">
        <f>+'MCP ST'!AK26</f>
        <v>99.424509971646671</v>
      </c>
      <c r="CF33" s="308">
        <f t="shared" si="40"/>
        <v>99.424509971646671</v>
      </c>
      <c r="CG33" s="1134">
        <f t="shared" si="41"/>
        <v>0</v>
      </c>
      <c r="CH33" s="308">
        <f>+'MCP ST'!AR26</f>
        <v>8380.3142095716175</v>
      </c>
      <c r="CI33" s="1134">
        <f t="shared" si="42"/>
        <v>8380.3142095716175</v>
      </c>
    </row>
    <row r="34" spans="1:87" s="362" customFormat="1">
      <c r="A34" s="3141">
        <f t="shared" si="43"/>
        <v>46107.791666666664</v>
      </c>
      <c r="B34" s="2054">
        <f>+'MCP ST'!B27</f>
        <v>220000.00000017299</v>
      </c>
      <c r="C34" s="3142">
        <f>+'MCP ST'!L27</f>
        <v>12.228997405429707</v>
      </c>
      <c r="D34" s="3143">
        <v>7.75</v>
      </c>
      <c r="E34" s="3144">
        <f>+'MCP ST'!T27+$B$4</f>
        <v>37.148098228593724</v>
      </c>
      <c r="F34" s="3910">
        <f t="shared" si="44"/>
        <v>7.0048620668364325</v>
      </c>
      <c r="G34" s="3144">
        <f>+'MCP ST'!V27*$G$7</f>
        <v>69.620664398692853</v>
      </c>
      <c r="H34" s="2354">
        <f>+'MCP ST'!W27</f>
        <v>72028.268772517637</v>
      </c>
      <c r="I34" s="2354">
        <f>+'MCP ST'!X27</f>
        <v>1312.5</v>
      </c>
      <c r="J34" s="2354">
        <f>+SUM('MCP ST'!Y27:Z27)</f>
        <v>84139.633687167065</v>
      </c>
      <c r="K34" s="2354">
        <f>+'MCP ST'!AB27</f>
        <v>17390.318492821403</v>
      </c>
      <c r="L34" s="2354">
        <f>+'MCP ST'!AA27</f>
        <v>34584.752058888414</v>
      </c>
      <c r="M34" s="2354">
        <f>+'MCP ST'!AC27</f>
        <v>1794.233524204011</v>
      </c>
      <c r="N34" s="2354">
        <v>15.909090909078399</v>
      </c>
      <c r="O34" s="2354">
        <v>28.221147745192056</v>
      </c>
      <c r="P34" s="2063">
        <f>((($L$4*D34)^$L$5+SUMPRODUCT($D$3:$I$3,H34:M34)/SUM(H34:M34)*G34+SUMPRODUCT($D$5:$I$5,H34:M34)/SUM(H34:M34)*F34)*$Q$7)</f>
        <v>100.9084515035352</v>
      </c>
      <c r="Q34" s="2063">
        <f t="shared" si="2"/>
        <v>3.9727736812415437</v>
      </c>
      <c r="R34" s="3142">
        <f t="shared" si="3"/>
        <v>14.020590096776054</v>
      </c>
      <c r="S34" s="3142">
        <f t="shared" si="4"/>
        <v>18.921725634572191</v>
      </c>
      <c r="T34" s="3142">
        <f t="shared" si="5"/>
        <v>5.8500661801283913</v>
      </c>
      <c r="U34" s="2054">
        <f t="shared" si="6"/>
        <v>41376</v>
      </c>
      <c r="V34" s="2054">
        <f t="shared" si="7"/>
        <v>7072.7405000214749</v>
      </c>
      <c r="W34" s="2054">
        <f>+'ST Original'!BR33</f>
        <v>7094.8821979874647</v>
      </c>
      <c r="X34" s="2054">
        <f t="shared" si="8"/>
        <v>186.72901206155279</v>
      </c>
      <c r="Y34" s="3622">
        <v>55500</v>
      </c>
      <c r="Z34" s="3145">
        <f t="shared" si="9"/>
        <v>6.645917576828591</v>
      </c>
      <c r="AA34" s="2054">
        <f t="shared" si="10"/>
        <v>7523.4156039382942</v>
      </c>
      <c r="AB34" s="2354" t="str">
        <f t="shared" si="11"/>
        <v>SAG</v>
      </c>
      <c r="AC34" s="3142">
        <f t="shared" si="12"/>
        <v>8.1900926521797466</v>
      </c>
      <c r="AD34" s="2054">
        <f t="shared" si="13"/>
        <v>1820.3701268302568</v>
      </c>
      <c r="AE34" s="3146">
        <f>+IF(ISNUMBER('ST Original'!BS33),('ST Original'!BS33),"0")</f>
        <v>1810.6065984488382</v>
      </c>
      <c r="AF34" s="2054">
        <f t="shared" si="14"/>
        <v>203.46738882767249</v>
      </c>
      <c r="AG34" s="2054">
        <f t="shared" si="15"/>
        <v>203.46738882767249</v>
      </c>
      <c r="AH34" s="3147">
        <f t="shared" si="16"/>
        <v>6.6396354420680668</v>
      </c>
      <c r="AI34" s="2054">
        <f t="shared" si="17"/>
        <v>1716.9617367499936</v>
      </c>
      <c r="AJ34" s="2354" t="str">
        <f t="shared" si="18"/>
        <v>BOLAS</v>
      </c>
      <c r="AK34" s="308">
        <f>+IFERROR((AG34*'ST Original'!F33+X34*'ST Original'!G33)/('ST Original'!E33),"0")</f>
        <v>190.10601777280255</v>
      </c>
      <c r="AL34" s="308">
        <f t="shared" si="19"/>
        <v>207.77993052761485</v>
      </c>
      <c r="AM34" s="3628">
        <f>+AN34</f>
        <v>92.045754581842345</v>
      </c>
      <c r="AN34" s="2063">
        <f>+'MCP ST'!AE27</f>
        <v>92.045754581842345</v>
      </c>
      <c r="AO34" s="2063">
        <f>+'MCP ST'!AF27</f>
        <v>89.947622675687484</v>
      </c>
      <c r="AP34" s="2063">
        <f>+'MCP ST'!AG27</f>
        <v>87.760597362579247</v>
      </c>
      <c r="AQ34" s="2063">
        <f>+'MCP ST'!AH27</f>
        <v>85.429202802073036</v>
      </c>
      <c r="AR34" s="2063">
        <f>+'MCP ST'!AI27</f>
        <v>84.582157784540897</v>
      </c>
      <c r="AS34" s="2063">
        <f>+'MCP ST'!AJ27</f>
        <v>80.685827981532782</v>
      </c>
      <c r="AT34" s="2063">
        <f t="shared" si="20"/>
        <v>102.58185985836577</v>
      </c>
      <c r="AU34" s="2063">
        <f t="shared" si="21"/>
        <v>-7.1967349174139175E-2</v>
      </c>
      <c r="AV34" s="2063">
        <f t="shared" si="22"/>
        <v>88.900433697205386</v>
      </c>
      <c r="AW34" s="2063">
        <f t="shared" si="23"/>
        <v>90.169439382451941</v>
      </c>
      <c r="AX34" s="2063">
        <f>+'MCP ST'!D27</f>
        <v>0.53298775612561489</v>
      </c>
      <c r="AY34" s="3148">
        <f>+'MCP ST'!AL27</f>
        <v>9.6202504120842646E-3</v>
      </c>
      <c r="AZ34" s="2063">
        <f t="shared" si="24"/>
        <v>1</v>
      </c>
      <c r="BA34" s="2063">
        <f t="shared" si="25"/>
        <v>90.169439382451941</v>
      </c>
      <c r="BB34" s="2063">
        <f>+'MCP ST'!N27</f>
        <v>1.0994939323269994</v>
      </c>
      <c r="BC34" s="2063">
        <f>+'MCP ST'!O27</f>
        <v>1.1860764179678269</v>
      </c>
      <c r="BD34" s="2063">
        <f>+'MCP ST'!P27</f>
        <v>0.11992527743010677</v>
      </c>
      <c r="BE34" s="2063">
        <f>+'MCP ST'!Q27</f>
        <v>0.10065775750127896</v>
      </c>
      <c r="BF34" s="3149">
        <f t="shared" si="26"/>
        <v>24.637979789437633</v>
      </c>
      <c r="BG34" s="3149">
        <f t="shared" si="27"/>
        <v>17.957131343651554</v>
      </c>
      <c r="BH34" s="3150">
        <f t="shared" si="28"/>
        <v>21.700737460677203</v>
      </c>
      <c r="BI34" s="1134">
        <f t="shared" si="29"/>
        <v>24.637979789437633</v>
      </c>
      <c r="BJ34" s="3150">
        <f t="shared" si="30"/>
        <v>23.705154809319573</v>
      </c>
      <c r="BK34" s="3150">
        <f>+'MCP ST'!I27</f>
        <v>25.416172346441932</v>
      </c>
      <c r="BL34" s="3150">
        <f t="shared" si="31"/>
        <v>3.9727736812415437</v>
      </c>
      <c r="BM34" s="3150">
        <f>+'MCP ST'!AK27/25.4</f>
        <v>3.8448570491779779</v>
      </c>
      <c r="BN34" s="3150">
        <f t="shared" si="32"/>
        <v>-0.12791663206356585</v>
      </c>
      <c r="BP34" s="308">
        <f t="shared" si="33"/>
        <v>190.10601777280255</v>
      </c>
      <c r="BQ34" s="308">
        <f>+'MCP ST'!S27</f>
        <v>204.87695329330549</v>
      </c>
      <c r="BR34" s="1134">
        <f t="shared" si="34"/>
        <v>14.770935520502945</v>
      </c>
      <c r="BT34" s="1134">
        <f t="shared" si="35"/>
        <v>90.169439382451941</v>
      </c>
      <c r="BU34" s="1134">
        <f>+'MCP ST'!J27</f>
        <v>89.723660547506526</v>
      </c>
      <c r="BV34" s="1134">
        <f t="shared" si="36"/>
        <v>-0.44577883494541481</v>
      </c>
      <c r="BW34" s="1134"/>
      <c r="BX34" s="1134">
        <f t="shared" si="37"/>
        <v>24.637979789437633</v>
      </c>
      <c r="BY34" s="1134">
        <f>+'MCP ST'!I27</f>
        <v>25.416172346441932</v>
      </c>
      <c r="BZ34" s="1134">
        <f t="shared" si="38"/>
        <v>0.77819255700429935</v>
      </c>
      <c r="CA34" s="1134"/>
      <c r="CC34" s="1134">
        <v>51.938278358254401</v>
      </c>
      <c r="CD34" s="1134">
        <f t="shared" si="39"/>
        <v>-26.522106011812468</v>
      </c>
      <c r="CE34" s="308">
        <f>+'MCP ST'!AK27</f>
        <v>97.659369049120627</v>
      </c>
      <c r="CF34" s="308">
        <f t="shared" si="40"/>
        <v>97.659369049120627</v>
      </c>
      <c r="CG34" s="1134">
        <f t="shared" si="41"/>
        <v>0</v>
      </c>
      <c r="CH34" s="308">
        <f>+'MCP ST'!AR27</f>
        <v>8606.058441499561</v>
      </c>
      <c r="CI34" s="1134">
        <f t="shared" si="42"/>
        <v>8606.058441499561</v>
      </c>
    </row>
    <row r="35" spans="1:87" s="362" customFormat="1">
      <c r="A35" s="3141">
        <f t="shared" si="43"/>
        <v>46108.791666666664</v>
      </c>
      <c r="B35" s="2054">
        <f>+'MCP ST'!B28</f>
        <v>200000.00000007878</v>
      </c>
      <c r="C35" s="3142">
        <f>+'MCP ST'!L28</f>
        <v>12.749233007521404</v>
      </c>
      <c r="D35" s="3143">
        <v>7.75</v>
      </c>
      <c r="E35" s="3144">
        <f>+'MCP ST'!T28+$B$4</f>
        <v>39.057782088721687</v>
      </c>
      <c r="F35" s="3910">
        <f t="shared" si="44"/>
        <v>6.6413600074022483</v>
      </c>
      <c r="G35" s="3144">
        <f>+'MCP ST'!V28*$G$7</f>
        <v>78.579167787525421</v>
      </c>
      <c r="H35" s="2354">
        <f>+'MCP ST'!W28</f>
        <v>72662.734240230653</v>
      </c>
      <c r="I35" s="2354">
        <f>+'MCP ST'!X28</f>
        <v>1312.5</v>
      </c>
      <c r="J35" s="2354">
        <f>+SUM('MCP ST'!Y28:Z28)</f>
        <v>111778.86377109252</v>
      </c>
      <c r="K35" s="2354">
        <f>+'MCP ST'!AB28</f>
        <v>0</v>
      </c>
      <c r="L35" s="2354">
        <f>+'MCP ST'!AA28</f>
        <v>4766.7862625280395</v>
      </c>
      <c r="M35" s="2354">
        <f>+'MCP ST'!AC28</f>
        <v>728.82358327135103</v>
      </c>
      <c r="N35" s="2354">
        <v>17.499999999993111</v>
      </c>
      <c r="O35" s="2354">
        <v>45.339907286438567</v>
      </c>
      <c r="P35" s="2063">
        <f t="shared" si="1"/>
        <v>105.75076109332285</v>
      </c>
      <c r="Q35" s="2063">
        <f t="shared" si="2"/>
        <v>4.1634157910757033</v>
      </c>
      <c r="R35" s="3142">
        <f t="shared" si="3"/>
        <v>14.510915477189874</v>
      </c>
      <c r="S35" s="3142">
        <f t="shared" si="4"/>
        <v>19.243820376966028</v>
      </c>
      <c r="T35" s="3142">
        <f t="shared" si="5"/>
        <v>5.8367374225010602</v>
      </c>
      <c r="U35" s="2054">
        <f t="shared" si="6"/>
        <v>41376</v>
      </c>
      <c r="V35" s="2054">
        <f t="shared" si="7"/>
        <v>7088.8917908988706</v>
      </c>
      <c r="W35" s="2054">
        <f>+'ST Original'!BR34</f>
        <v>7111.084051585829</v>
      </c>
      <c r="X35" s="2054">
        <f t="shared" si="8"/>
        <v>190.62190208980158</v>
      </c>
      <c r="Y35" s="3622">
        <v>55500</v>
      </c>
      <c r="Z35" s="3145">
        <f t="shared" si="9"/>
        <v>6.8395861915869105</v>
      </c>
      <c r="AA35" s="2054">
        <f t="shared" si="10"/>
        <v>7310.3837863031704</v>
      </c>
      <c r="AB35" s="2354" t="str">
        <f t="shared" si="11"/>
        <v>SAG</v>
      </c>
      <c r="AC35" s="3142">
        <f t="shared" si="12"/>
        <v>8.171432391501483</v>
      </c>
      <c r="AD35" s="2054">
        <f t="shared" si="13"/>
        <v>1824.5271190771614</v>
      </c>
      <c r="AE35" s="3146">
        <f>+IF(ISNUMBER('ST Original'!BS34),('ST Original'!BS34),"0")</f>
        <v>1810.6065984488382</v>
      </c>
      <c r="AF35" s="2054">
        <f t="shared" si="14"/>
        <v>217.24235965140286</v>
      </c>
      <c r="AG35" s="2054">
        <f t="shared" si="15"/>
        <v>217.24235965140286</v>
      </c>
      <c r="AH35" s="3147">
        <f t="shared" si="16"/>
        <v>6.634083525775945</v>
      </c>
      <c r="AI35" s="2054">
        <f t="shared" si="17"/>
        <v>1718.3986236692153</v>
      </c>
      <c r="AJ35" s="2354" t="str">
        <f t="shared" si="18"/>
        <v>BOLAS</v>
      </c>
      <c r="AK35" s="308">
        <f>+IFERROR((AG35*'ST Original'!F34+X35*'ST Original'!G34)/('ST Original'!E34),"0")</f>
        <v>195.98286777612435</v>
      </c>
      <c r="AL35" s="308">
        <f t="shared" si="19"/>
        <v>222.37487926734971</v>
      </c>
      <c r="AM35" s="3628">
        <f>+AN35</f>
        <v>92.005614143534018</v>
      </c>
      <c r="AN35" s="2063">
        <f>+'MCP ST'!AE28</f>
        <v>92.005614143534018</v>
      </c>
      <c r="AO35" s="2063">
        <f>+'MCP ST'!AF28</f>
        <v>90.006245583271109</v>
      </c>
      <c r="AP35" s="2063">
        <f>+'MCP ST'!AG28</f>
        <v>87.964906960244036</v>
      </c>
      <c r="AQ35" s="2063">
        <f>+'MCP ST'!AH28</f>
        <v>85.388644144119269</v>
      </c>
      <c r="AR35" s="2063">
        <f>+'MCP ST'!AI28</f>
        <v>84.462700156616137</v>
      </c>
      <c r="AS35" s="2063">
        <f>+'MCP ST'!AJ28</f>
        <v>80.000337799197737</v>
      </c>
      <c r="AT35" s="2063">
        <f t="shared" si="20"/>
        <v>103.14778793263437</v>
      </c>
      <c r="AU35" s="2063">
        <f t="shared" si="21"/>
        <v>-7.5119599589587069E-2</v>
      </c>
      <c r="AV35" s="2063">
        <f t="shared" si="22"/>
        <v>88.425633378872931</v>
      </c>
      <c r="AW35" s="2063">
        <f t="shared" si="23"/>
        <v>89.918317494085898</v>
      </c>
      <c r="AX35" s="2063">
        <f>+'MCP ST'!D28</f>
        <v>0.58620307725686216</v>
      </c>
      <c r="AY35" s="3148">
        <f>+'MCP ST'!AL28</f>
        <v>1.2809138037051502E-2</v>
      </c>
      <c r="AZ35" s="2063">
        <f t="shared" si="24"/>
        <v>1</v>
      </c>
      <c r="BA35" s="2063">
        <f t="shared" si="25"/>
        <v>89.918317494085898</v>
      </c>
      <c r="BB35" s="2063">
        <f>+'MCP ST'!N28</f>
        <v>1.0069239924180575</v>
      </c>
      <c r="BC35" s="2063">
        <f>+'MCP ST'!O28</f>
        <v>1.1642281581839011</v>
      </c>
      <c r="BD35" s="2063">
        <f>+'MCP ST'!P28</f>
        <v>0.23586491882454141</v>
      </c>
      <c r="BE35" s="2063">
        <f>+'MCP ST'!Q28</f>
        <v>0.11257799489161981</v>
      </c>
      <c r="BF35" s="3149">
        <f t="shared" si="26"/>
        <v>26.153175806139512</v>
      </c>
      <c r="BG35" s="3149">
        <f t="shared" si="27"/>
        <v>19.571895351102317</v>
      </c>
      <c r="BH35" s="3150">
        <f t="shared" si="28"/>
        <v>24.470838514460134</v>
      </c>
      <c r="BI35" s="1134">
        <f t="shared" si="29"/>
        <v>26.153175806139512</v>
      </c>
      <c r="BJ35" s="3150">
        <f t="shared" si="30"/>
        <v>25.484078617958048</v>
      </c>
      <c r="BK35" s="3150">
        <f>+'MCP ST'!I28</f>
        <v>26.479434456082828</v>
      </c>
      <c r="BL35" s="3150">
        <f t="shared" si="31"/>
        <v>4.1634157910757033</v>
      </c>
      <c r="BM35" s="3150">
        <f>+'MCP ST'!AK28/25.4</f>
        <v>3.9140814667330268</v>
      </c>
      <c r="BN35" s="3150">
        <f t="shared" si="32"/>
        <v>-0.24933432434267644</v>
      </c>
      <c r="BP35" s="308">
        <f t="shared" si="33"/>
        <v>195.98286777612435</v>
      </c>
      <c r="BQ35" s="308">
        <f>+'MCP ST'!S28</f>
        <v>210.36507958521861</v>
      </c>
      <c r="BR35" s="1134">
        <f t="shared" si="34"/>
        <v>14.382211809094258</v>
      </c>
      <c r="BT35" s="1134">
        <f t="shared" si="35"/>
        <v>89.918317494085898</v>
      </c>
      <c r="BU35" s="1134">
        <f>+'MCP ST'!J28</f>
        <v>89.03685121034853</v>
      </c>
      <c r="BV35" s="1134">
        <f t="shared" si="36"/>
        <v>-0.88146628373736746</v>
      </c>
      <c r="BW35" s="1134"/>
      <c r="BX35" s="1134">
        <f t="shared" si="37"/>
        <v>26.153175806139512</v>
      </c>
      <c r="BY35" s="1134">
        <f>+'MCP ST'!I28</f>
        <v>26.479434456082828</v>
      </c>
      <c r="BZ35" s="1134">
        <f t="shared" si="38"/>
        <v>0.32625864994331621</v>
      </c>
      <c r="CA35" s="1134"/>
      <c r="CC35" s="1134">
        <v>52.938278358254401</v>
      </c>
      <c r="CD35" s="1134">
        <f t="shared" si="39"/>
        <v>-26.458843902171573</v>
      </c>
      <c r="CE35" s="308">
        <f>+'MCP ST'!AK28</f>
        <v>99.417669255018879</v>
      </c>
      <c r="CF35" s="308">
        <f t="shared" si="40"/>
        <v>99.417669255018879</v>
      </c>
      <c r="CG35" s="1134">
        <f t="shared" si="41"/>
        <v>0</v>
      </c>
      <c r="CH35" s="308">
        <f>+'MCP ST'!AR28</f>
        <v>8913.7256264268926</v>
      </c>
      <c r="CI35" s="1134">
        <f t="shared" si="42"/>
        <v>8913.7256264268926</v>
      </c>
    </row>
    <row r="36" spans="1:87" s="362" customFormat="1">
      <c r="A36" s="3141">
        <f t="shared" si="43"/>
        <v>46109.791666666664</v>
      </c>
      <c r="B36" s="2054">
        <f>+'MCP ST'!B29</f>
        <v>185000.00000020902</v>
      </c>
      <c r="C36" s="3142">
        <f>+'MCP ST'!L29</f>
        <v>12.849320642053568</v>
      </c>
      <c r="D36" s="3143">
        <v>7.75</v>
      </c>
      <c r="E36" s="3144">
        <f>+'MCP ST'!T29+$B$4</f>
        <v>40.074008752534851</v>
      </c>
      <c r="F36" s="3910">
        <f t="shared" si="44"/>
        <v>6.4624773463795799</v>
      </c>
      <c r="G36" s="3144">
        <f>+'MCP ST'!V29*$G$7</f>
        <v>70.050570607737995</v>
      </c>
      <c r="H36" s="2354">
        <f>+'MCP ST'!W29</f>
        <v>103112.26324511047</v>
      </c>
      <c r="I36" s="2354">
        <f>+'MCP ST'!X29</f>
        <v>0</v>
      </c>
      <c r="J36" s="2354">
        <f>+SUM('MCP ST'!Y29:Z29)</f>
        <v>81683.816934711329</v>
      </c>
      <c r="K36" s="2354">
        <f>+'MCP ST'!AB29</f>
        <v>0</v>
      </c>
      <c r="L36" s="2354">
        <f>+'MCP ST'!AA29</f>
        <v>0</v>
      </c>
      <c r="M36" s="2354">
        <f>+'MCP ST'!AC29</f>
        <v>203.823583271351</v>
      </c>
      <c r="N36" s="2354">
        <v>0</v>
      </c>
      <c r="O36" s="2354">
        <v>41.44764723402988</v>
      </c>
      <c r="P36" s="2063">
        <f t="shared" si="1"/>
        <v>102.57256103246458</v>
      </c>
      <c r="Q36" s="2063">
        <f t="shared" si="2"/>
        <v>4.0382898044277393</v>
      </c>
      <c r="R36" s="3142">
        <f t="shared" si="3"/>
        <v>14.10249634088845</v>
      </c>
      <c r="S36" s="3142">
        <f t="shared" si="4"/>
        <v>18.975529846329625</v>
      </c>
      <c r="T36" s="3142">
        <f t="shared" si="5"/>
        <v>5.6332777890758532</v>
      </c>
      <c r="U36" s="2054">
        <f t="shared" si="6"/>
        <v>41376</v>
      </c>
      <c r="V36" s="2054">
        <f t="shared" si="7"/>
        <v>7344.9244914278916</v>
      </c>
      <c r="W36" s="2054">
        <f>+'ST Original'!BR35</f>
        <v>7367.9182799984928</v>
      </c>
      <c r="X36" s="2054">
        <f t="shared" si="8"/>
        <v>194.70880177012455</v>
      </c>
      <c r="Y36" s="3622">
        <v>55500</v>
      </c>
      <c r="Z36" s="3145">
        <f t="shared" si="9"/>
        <v>6.8019631261507945</v>
      </c>
      <c r="AA36" s="2054">
        <f t="shared" si="10"/>
        <v>7350.8190316072496</v>
      </c>
      <c r="AB36" s="2354" t="str">
        <f t="shared" si="11"/>
        <v>SAG</v>
      </c>
      <c r="AC36" s="3142">
        <f t="shared" si="12"/>
        <v>7.8865889047061941</v>
      </c>
      <c r="AD36" s="2054">
        <f t="shared" si="13"/>
        <v>1890.424387545203</v>
      </c>
      <c r="AE36" s="3146">
        <f>+IF(ISNUMBER('ST Original'!BS35),('ST Original'!BS35),"0")</f>
        <v>1810.6065984488382</v>
      </c>
      <c r="AF36" s="2054">
        <f t="shared" si="14"/>
        <v>219.91565239420521</v>
      </c>
      <c r="AG36" s="2054">
        <f t="shared" si="15"/>
        <v>219.91565239420521</v>
      </c>
      <c r="AH36" s="3147">
        <f t="shared" si="16"/>
        <v>6.6330153978612758</v>
      </c>
      <c r="AI36" s="2054">
        <f t="shared" si="17"/>
        <v>1718.6753408827865</v>
      </c>
      <c r="AJ36" s="2354" t="str">
        <f t="shared" si="18"/>
        <v>BOLAS</v>
      </c>
      <c r="AK36" s="308">
        <f>+IFERROR((AG36*'ST Original'!F35+X36*'ST Original'!G35)/('ST Original'!E35),"0")</f>
        <v>199.64277284310384</v>
      </c>
      <c r="AL36" s="308">
        <f t="shared" si="19"/>
        <v>235.19410565269305</v>
      </c>
      <c r="AM36" s="3628">
        <f>+AN36</f>
        <v>91.587980073914082</v>
      </c>
      <c r="AN36" s="2063">
        <f>+'MCP ST'!AE29</f>
        <v>91.587980073914082</v>
      </c>
      <c r="AO36" s="2063">
        <f>+'MCP ST'!AF29</f>
        <v>89.653716217505789</v>
      </c>
      <c r="AP36" s="2063">
        <f>+'MCP ST'!AG29</f>
        <v>87.53898171644434</v>
      </c>
      <c r="AQ36" s="2063">
        <f>+'MCP ST'!AH29</f>
        <v>84.787189191458395</v>
      </c>
      <c r="AR36" s="2063">
        <f>+'MCP ST'!AI29</f>
        <v>83.791839640197168</v>
      </c>
      <c r="AS36" s="2063">
        <f>+'MCP ST'!AJ29</f>
        <v>79.491526691365493</v>
      </c>
      <c r="AT36" s="2063">
        <f t="shared" si="20"/>
        <v>102.92959708541241</v>
      </c>
      <c r="AU36" s="2063">
        <f t="shared" si="21"/>
        <v>-7.6392614855547047E-2</v>
      </c>
      <c r="AV36" s="2063">
        <f t="shared" si="22"/>
        <v>87.678363630915712</v>
      </c>
      <c r="AW36" s="2063">
        <f t="shared" si="23"/>
        <v>89.523086524391317</v>
      </c>
      <c r="AX36" s="2063">
        <f>+'MCP ST'!D29</f>
        <v>0.58702891178295702</v>
      </c>
      <c r="AY36" s="3148">
        <f>+'MCP ST'!AL29</f>
        <v>1.6702287965634895E-2</v>
      </c>
      <c r="AZ36" s="2063">
        <f t="shared" si="24"/>
        <v>0.99732161749774906</v>
      </c>
      <c r="BA36" s="2063">
        <f t="shared" si="25"/>
        <v>89.283309455896884</v>
      </c>
      <c r="BB36" s="2063">
        <f>+'MCP ST'!N29</f>
        <v>0.94377751245286634</v>
      </c>
      <c r="BC36" s="2063">
        <f>+'MCP ST'!O29</f>
        <v>1.6147434625345152</v>
      </c>
      <c r="BD36" s="2063">
        <f>+'MCP ST'!P29</f>
        <v>0.17869857786877177</v>
      </c>
      <c r="BE36" s="2063">
        <f>+'MCP ST'!Q29</f>
        <v>0.17791604992972612</v>
      </c>
      <c r="BF36" s="3149">
        <f t="shared" si="26"/>
        <v>24.813895904162159</v>
      </c>
      <c r="BG36" s="3149">
        <f t="shared" si="27"/>
        <v>16.373169979900069</v>
      </c>
      <c r="BH36" s="3150">
        <f t="shared" si="28"/>
        <v>22.079993406907633</v>
      </c>
      <c r="BI36" s="1134">
        <f t="shared" si="29"/>
        <v>24.813895904162159</v>
      </c>
      <c r="BJ36" s="3150">
        <f t="shared" si="30"/>
        <v>23.914570104661401</v>
      </c>
      <c r="BK36" s="3150">
        <f>+'MCP ST'!I29</f>
        <v>25.425757659428303</v>
      </c>
      <c r="BL36" s="3150">
        <f t="shared" si="31"/>
        <v>4.0382898044277393</v>
      </c>
      <c r="BM36" s="3150">
        <f>+'MCP ST'!AK29/25.4</f>
        <v>3.6684898404868926</v>
      </c>
      <c r="BN36" s="3150">
        <f t="shared" si="32"/>
        <v>-0.36979996394084669</v>
      </c>
      <c r="BP36" s="308">
        <f t="shared" si="33"/>
        <v>199.64277284310384</v>
      </c>
      <c r="BQ36" s="308">
        <f>+'MCP ST'!S29</f>
        <v>215.82729799980953</v>
      </c>
      <c r="BR36" s="1134">
        <f t="shared" si="34"/>
        <v>16.184525156705689</v>
      </c>
      <c r="BT36" s="1134">
        <f t="shared" si="35"/>
        <v>89.283309455896884</v>
      </c>
      <c r="BU36" s="1134">
        <f>+'MCP ST'!J29</f>
        <v>88.338646269922862</v>
      </c>
      <c r="BV36" s="1134">
        <f t="shared" si="36"/>
        <v>-0.94466318597402221</v>
      </c>
      <c r="BW36" s="1134"/>
      <c r="BX36" s="1134">
        <f t="shared" si="37"/>
        <v>24.813895904162159</v>
      </c>
      <c r="BY36" s="1134">
        <f>+'MCP ST'!I29</f>
        <v>25.425757659428303</v>
      </c>
      <c r="BZ36" s="1134">
        <f t="shared" si="38"/>
        <v>0.61186175526614406</v>
      </c>
      <c r="CA36" s="1134"/>
      <c r="CC36" s="1134">
        <v>53.938278358254401</v>
      </c>
      <c r="CD36" s="1134">
        <f t="shared" si="39"/>
        <v>-28.512520698826098</v>
      </c>
      <c r="CE36" s="308">
        <f>+'MCP ST'!AK29</f>
        <v>93.179641948367063</v>
      </c>
      <c r="CF36" s="308">
        <f t="shared" si="40"/>
        <v>93.179641948367063</v>
      </c>
      <c r="CG36" s="1134">
        <f t="shared" si="41"/>
        <v>0</v>
      </c>
      <c r="CH36" s="308">
        <f>+'MCP ST'!AR29</f>
        <v>9356.117532958262</v>
      </c>
      <c r="CI36" s="1134">
        <f t="shared" si="42"/>
        <v>9356.117532958262</v>
      </c>
    </row>
    <row r="37" spans="1:87" s="362" customFormat="1">
      <c r="A37" s="3141">
        <f t="shared" si="43"/>
        <v>46110.791666666664</v>
      </c>
      <c r="B37" s="2054">
        <f>+'MCP ST'!B30</f>
        <v>219999.99999977328</v>
      </c>
      <c r="C37" s="3142">
        <f>+'MCP ST'!L30</f>
        <v>12.804795343107346</v>
      </c>
      <c r="D37" s="3143">
        <v>7.75</v>
      </c>
      <c r="E37" s="3144">
        <f>+'MCP ST'!T30+$B$4</f>
        <v>39.461790207852523</v>
      </c>
      <c r="F37" s="3910">
        <f t="shared" ref="F37:F39" si="45">IFERROR($D$6*((E37)^($E$6)),0)</f>
        <v>6.5691058125687105</v>
      </c>
      <c r="G37" s="3144">
        <f>+'MCP ST'!V30*$G$7</f>
        <v>78.391943949599408</v>
      </c>
      <c r="H37" s="2354">
        <f>+'MCP ST'!W30</f>
        <v>88406.673676447914</v>
      </c>
      <c r="I37" s="2354">
        <f>+'MCP ST'!X30</f>
        <v>0</v>
      </c>
      <c r="J37" s="2354">
        <f>+SUM('MCP ST'!Y30:Z30)</f>
        <v>131398.42102062097</v>
      </c>
      <c r="K37" s="2354">
        <f>+'MCP ST'!AB30</f>
        <v>0</v>
      </c>
      <c r="L37" s="2354">
        <f>+'MCP ST'!AA30</f>
        <v>0</v>
      </c>
      <c r="M37" s="2354">
        <f>+'MCP ST'!AC30</f>
        <v>194.447698440869</v>
      </c>
      <c r="N37" s="2354">
        <v>0</v>
      </c>
      <c r="O37" s="2354">
        <v>57.744893232775674</v>
      </c>
      <c r="P37" s="2063">
        <f t="shared" si="1"/>
        <v>105.80311987729034</v>
      </c>
      <c r="Q37" s="2063">
        <f t="shared" si="2"/>
        <v>4.1654771605232419</v>
      </c>
      <c r="R37" s="3142">
        <f t="shared" si="3"/>
        <v>14.53111476068727</v>
      </c>
      <c r="S37" s="3142">
        <f t="shared" si="4"/>
        <v>19.257089286295468</v>
      </c>
      <c r="T37" s="3142">
        <f t="shared" si="5"/>
        <v>5.7994124993366523</v>
      </c>
      <c r="U37" s="2054">
        <f t="shared" si="6"/>
        <v>41376</v>
      </c>
      <c r="V37" s="2054">
        <f t="shared" si="7"/>
        <v>7134.5157815093626</v>
      </c>
      <c r="W37" s="2054">
        <f>+'ST Original'!BR36</f>
        <v>7156.8508712199628</v>
      </c>
      <c r="X37" s="2054">
        <f t="shared" si="8"/>
        <v>191.61411651340555</v>
      </c>
      <c r="Y37" s="3622">
        <v>55500</v>
      </c>
      <c r="Z37" s="3145">
        <f t="shared" si="9"/>
        <v>6.8470332902261788</v>
      </c>
      <c r="AA37" s="2054">
        <f t="shared" si="10"/>
        <v>7302.4327297156087</v>
      </c>
      <c r="AB37" s="2354" t="str">
        <f t="shared" si="11"/>
        <v>SAG</v>
      </c>
      <c r="AC37" s="3142">
        <f t="shared" si="12"/>
        <v>8.1191774990713128</v>
      </c>
      <c r="AD37" s="2054">
        <f t="shared" si="13"/>
        <v>1836.2697455136706</v>
      </c>
      <c r="AE37" s="3146">
        <f>+IF(ISNUMBER('ST Original'!BS36),('ST Original'!BS36),"0")</f>
        <v>1810.6065984488382</v>
      </c>
      <c r="AF37" s="2054">
        <f t="shared" si="14"/>
        <v>218.72551001674719</v>
      </c>
      <c r="AG37" s="2054">
        <f t="shared" si="15"/>
        <v>218.72551001674719</v>
      </c>
      <c r="AH37" s="3147">
        <f t="shared" si="16"/>
        <v>6.6334905685947607</v>
      </c>
      <c r="AI37" s="2054">
        <f t="shared" si="17"/>
        <v>1718.5522285916172</v>
      </c>
      <c r="AJ37" s="2354" t="str">
        <f t="shared" si="18"/>
        <v>BOLAS</v>
      </c>
      <c r="AK37" s="308">
        <f>+IFERROR((AG37*'ST Original'!F36+X37*'ST Original'!G36)/('ST Original'!E36),"0")</f>
        <v>197.04603008427083</v>
      </c>
      <c r="AL37" s="308">
        <f t="shared" si="19"/>
        <v>225.66714987142089</v>
      </c>
      <c r="AM37" s="3628">
        <f t="shared" ref="AM37:AM39" si="46">+AN37</f>
        <v>91.796386419236228</v>
      </c>
      <c r="AN37" s="2063">
        <f>+'MCP ST'!AE30</f>
        <v>91.796386419236228</v>
      </c>
      <c r="AO37" s="2063">
        <f>+'MCP ST'!AF30</f>
        <v>89.765211544956344</v>
      </c>
      <c r="AP37" s="2063">
        <f>+'MCP ST'!AG30</f>
        <v>87.59980675610467</v>
      </c>
      <c r="AQ37" s="2063">
        <f>+'MCP ST'!AH30</f>
        <v>84.752791118006655</v>
      </c>
      <c r="AR37" s="2063">
        <f>+'MCP ST'!AI30</f>
        <v>83.731008565285251</v>
      </c>
      <c r="AS37" s="2063">
        <f>+'MCP ST'!AJ30</f>
        <v>79.499897782101954</v>
      </c>
      <c r="AT37" s="2063">
        <f t="shared" ref="AT37:AT39" si="47">+INTERCEPT(AM37:AS37,$AM$7:$AS$7)</f>
        <v>103.34564261256241</v>
      </c>
      <c r="AU37" s="2063">
        <f t="shared" ref="AU37:AU39" si="48">+SLOPE(AM37:AS37,$AM$7:$AS$7)</f>
        <v>-7.8035453089986134E-2</v>
      </c>
      <c r="AV37" s="2063">
        <f t="shared" si="22"/>
        <v>87.969066375353307</v>
      </c>
      <c r="AW37" s="2063">
        <f t="shared" ref="AW37:AW39" si="49">+AV37*$AF$4+$AE$4</f>
        <v>89.676839205924367</v>
      </c>
      <c r="AX37" s="2063">
        <f>+'MCP ST'!D30</f>
        <v>0.58110873305710664</v>
      </c>
      <c r="AY37" s="3148">
        <f>+'MCP ST'!AL30</f>
        <v>1.3334193422417753E-2</v>
      </c>
      <c r="AZ37" s="2063">
        <f t="shared" ref="AZ37:AZ39" si="50">+IF(AY37&gt;$AE$6,(AX37-(AY37-$AE$6))/AX37,1)</f>
        <v>1</v>
      </c>
      <c r="BA37" s="2063">
        <f t="shared" ref="BA37:BA39" si="51">+AZ37*AW37</f>
        <v>89.676839205924367</v>
      </c>
      <c r="BB37" s="2063">
        <f>+'MCP ST'!N30</f>
        <v>1.0283587143427104</v>
      </c>
      <c r="BC37" s="2063">
        <f>+'MCP ST'!O30</f>
        <v>1.1488833882876746</v>
      </c>
      <c r="BD37" s="2063">
        <f>+'MCP ST'!P30</f>
        <v>0.18920478390619638</v>
      </c>
      <c r="BE37" s="2063">
        <f>+'MCP ST'!Q30</f>
        <v>0.12131040607415451</v>
      </c>
      <c r="BF37" s="3149">
        <f t="shared" ref="BF37:BF39" si="52">1/($BD$1+$BD$2*(BB37/AX37)+$BD$3*(BC37/AX37)+$BD$4*(BD37/AX37)+$BD$5*(BE37/AX37))</f>
        <v>26.013948682597317</v>
      </c>
      <c r="BG37" s="3149">
        <f t="shared" si="27"/>
        <v>19.572841383462823</v>
      </c>
      <c r="BH37" s="3150">
        <f t="shared" ref="BH37:BH39" si="53">+$BA$6+$BC$6/($BA$1+$BA$2*(BB37/AX37)+$BA$3*(BC37/AX37)+$BA$4*(BD37/AX37)+$BA$5*(BE37/AX37))</f>
        <v>24.402529817800747</v>
      </c>
      <c r="BI37" s="1134">
        <f t="shared" si="29"/>
        <v>26.013948682597317</v>
      </c>
      <c r="BJ37" s="3150">
        <f t="shared" ref="BJ37:BJ39" si="54">(-5.9445+1.1996/(0.027558+0.003094*(BB37/AX37)+0.003571*(BC37/AX37)-0.001979*(BD37/AX37)-0.005204*(BE37/AX37)))</f>
        <v>25.325509025207737</v>
      </c>
      <c r="BK37" s="3150">
        <f>+'MCP ST'!I30</f>
        <v>26.22012963418106</v>
      </c>
      <c r="BL37" s="3150">
        <f t="shared" ref="BL37:BL39" si="55">+Q37</f>
        <v>4.1654771605232419</v>
      </c>
      <c r="BM37" s="3150">
        <f>+'MCP ST'!AK30/25.4</f>
        <v>3.7824725089929219</v>
      </c>
      <c r="BN37" s="3150">
        <f t="shared" ref="BN37:BN39" si="56">+BM37-BL37</f>
        <v>-0.38300465153032004</v>
      </c>
      <c r="BP37" s="308">
        <f t="shared" ref="BP37:BP39" si="57">+AK37</f>
        <v>197.04603008427083</v>
      </c>
      <c r="BQ37" s="308">
        <f>+'MCP ST'!S30</f>
        <v>213.73844723325701</v>
      </c>
      <c r="BR37" s="1134">
        <f t="shared" ref="BR37:BR39" si="58">+BQ37-BP37</f>
        <v>16.692417148986181</v>
      </c>
      <c r="BT37" s="1134">
        <f t="shared" ref="BT37:BT39" si="59">+BA37</f>
        <v>89.676839205924367</v>
      </c>
      <c r="BU37" s="1134">
        <f>+'MCP ST'!J30</f>
        <v>88.558399746515491</v>
      </c>
      <c r="BV37" s="1134">
        <f t="shared" ref="BV37:BV39" si="60">+BU37-BT37</f>
        <v>-1.1184394594088758</v>
      </c>
      <c r="BW37" s="1134"/>
      <c r="BX37" s="1134">
        <f t="shared" ref="BX37:BX39" si="61">+BF37</f>
        <v>26.013948682597317</v>
      </c>
      <c r="BY37" s="1134">
        <f>+'MCP ST'!I30</f>
        <v>26.22012963418106</v>
      </c>
      <c r="BZ37" s="1134">
        <f t="shared" ref="BZ37:BZ39" si="62">+BY37-BX37</f>
        <v>0.20618095158374317</v>
      </c>
      <c r="CA37" s="1134"/>
      <c r="CC37" s="1134">
        <v>54.938278358254401</v>
      </c>
      <c r="CD37" s="1134">
        <f t="shared" ref="CD37:CD39" si="63">+BY37-CC37</f>
        <v>-28.718148724073341</v>
      </c>
      <c r="CE37" s="308">
        <f>+'MCP ST'!AK30</f>
        <v>96.074801728420212</v>
      </c>
      <c r="CF37" s="308">
        <f t="shared" ref="CF37:CF39" si="64">+CE37*$CF$6</f>
        <v>96.074801728420212</v>
      </c>
      <c r="CG37" s="1134">
        <f t="shared" ref="CG37:CG39" si="65">+(CE37-CF37)*45</f>
        <v>0</v>
      </c>
      <c r="CH37" s="308">
        <f>+'MCP ST'!AR30</f>
        <v>9265.5341323998418</v>
      </c>
      <c r="CI37" s="1134">
        <f t="shared" ref="CI37:CI39" si="66">+CH37+CG37</f>
        <v>9265.5341323998418</v>
      </c>
    </row>
    <row r="38" spans="1:87" s="362" customFormat="1">
      <c r="A38" s="3141">
        <f t="shared" si="43"/>
        <v>46111.791666666664</v>
      </c>
      <c r="B38" s="2054">
        <f>+'MCP ST'!B31</f>
        <v>219999.9999998819</v>
      </c>
      <c r="C38" s="3142">
        <f>+'MCP ST'!L31</f>
        <v>12.669526583618662</v>
      </c>
      <c r="D38" s="3143">
        <v>7.75</v>
      </c>
      <c r="E38" s="3144">
        <f>+'MCP ST'!T31+$B$4</f>
        <v>39.051234898260368</v>
      </c>
      <c r="F38" s="3910">
        <f t="shared" si="45"/>
        <v>6.6425436287341464</v>
      </c>
      <c r="G38" s="3144">
        <f>+'MCP ST'!V31*$G$7</f>
        <v>87.125693974853675</v>
      </c>
      <c r="H38" s="2354">
        <f>+'MCP ST'!W31</f>
        <v>66100.960376992647</v>
      </c>
      <c r="I38" s="2354">
        <f>+'MCP ST'!X31</f>
        <v>0</v>
      </c>
      <c r="J38" s="2354">
        <f>+SUM('MCP ST'!Y31:Z31)</f>
        <v>149481.12702983132</v>
      </c>
      <c r="K38" s="2354">
        <f>+'MCP ST'!AB31</f>
        <v>0</v>
      </c>
      <c r="L38" s="2354">
        <f>+'MCP ST'!AA31</f>
        <v>0</v>
      </c>
      <c r="M38" s="2354">
        <f>+'MCP ST'!AC31</f>
        <v>4417.8748995025098</v>
      </c>
      <c r="N38" s="2354">
        <v>0</v>
      </c>
      <c r="O38" s="2354">
        <v>67.945913710896178</v>
      </c>
      <c r="P38" s="2063">
        <f t="shared" si="1"/>
        <v>109.03557477946977</v>
      </c>
      <c r="Q38" s="2063">
        <f t="shared" si="2"/>
        <v>4.2927391645460542</v>
      </c>
      <c r="R38" s="3142">
        <f t="shared" si="3"/>
        <v>14.793178051613399</v>
      </c>
      <c r="S38" s="3142">
        <f t="shared" si="4"/>
        <v>19.429238662104844</v>
      </c>
      <c r="T38" s="3142">
        <f t="shared" si="5"/>
        <v>5.9545451994064429</v>
      </c>
      <c r="U38" s="2054">
        <f t="shared" si="6"/>
        <v>41376</v>
      </c>
      <c r="V38" s="2054">
        <f t="shared" si="7"/>
        <v>6948.6415191078595</v>
      </c>
      <c r="W38" s="2054">
        <f>+'ST Original'!BR37</f>
        <v>6970.3947167247616</v>
      </c>
      <c r="X38" s="2054">
        <f t="shared" si="8"/>
        <v>188.26597371842823</v>
      </c>
      <c r="Y38" s="3622">
        <v>55500</v>
      </c>
      <c r="Z38" s="3145">
        <f t="shared" si="9"/>
        <v>6.8500570814424062</v>
      </c>
      <c r="AA38" s="2054">
        <f t="shared" si="10"/>
        <v>7299.2092482638955</v>
      </c>
      <c r="AB38" s="2354" t="str">
        <f t="shared" si="11"/>
        <v>SAG</v>
      </c>
      <c r="AC38" s="3142">
        <f t="shared" si="12"/>
        <v>8.336363279169019</v>
      </c>
      <c r="AD38" s="2054">
        <f t="shared" si="13"/>
        <v>1788.4297385713439</v>
      </c>
      <c r="AE38" s="3146">
        <f>+IF(ISNUMBER('ST Original'!BS37),('ST Original'!BS37),"0")</f>
        <v>1787.0544622071777</v>
      </c>
      <c r="AF38" s="2054">
        <f t="shared" si="14"/>
        <v>210.74253967695287</v>
      </c>
      <c r="AG38" s="2054">
        <f t="shared" si="15"/>
        <v>210.74253967695287</v>
      </c>
      <c r="AH38" s="3147">
        <f t="shared" si="16"/>
        <v>6.7241599202273123</v>
      </c>
      <c r="AI38" s="2054">
        <f t="shared" si="17"/>
        <v>1695.379071176912</v>
      </c>
      <c r="AJ38" s="2354" t="str">
        <f t="shared" si="18"/>
        <v>BOLAS</v>
      </c>
      <c r="AK38" s="308">
        <f>+IFERROR((AG38*'ST Original'!F37+X38*'ST Original'!G37)/('ST Original'!E37),"0")</f>
        <v>192.81737753726057</v>
      </c>
      <c r="AL38" s="308">
        <f t="shared" si="19"/>
        <v>213.92747414621758</v>
      </c>
      <c r="AM38" s="3628">
        <f t="shared" si="46"/>
        <v>92.368644400594277</v>
      </c>
      <c r="AN38" s="2063">
        <f>+'MCP ST'!AE31</f>
        <v>92.368644400594277</v>
      </c>
      <c r="AO38" s="2063">
        <f>+'MCP ST'!AF31</f>
        <v>89.977223728842645</v>
      </c>
      <c r="AP38" s="2063">
        <f>+'MCP ST'!AG31</f>
        <v>87.576256688147467</v>
      </c>
      <c r="AQ38" s="2063">
        <f>+'MCP ST'!AH31</f>
        <v>84.752285891150905</v>
      </c>
      <c r="AR38" s="2063">
        <f>+'MCP ST'!AI31</f>
        <v>83.767199889490712</v>
      </c>
      <c r="AS38" s="2063">
        <f>+'MCP ST'!AJ31</f>
        <v>79.383068292601649</v>
      </c>
      <c r="AT38" s="2063">
        <f t="shared" si="47"/>
        <v>104.45822834203193</v>
      </c>
      <c r="AU38" s="2063">
        <f t="shared" si="48"/>
        <v>-8.2490985073484416E-2</v>
      </c>
      <c r="AV38" s="2063">
        <f t="shared" si="22"/>
        <v>88.552532929697364</v>
      </c>
      <c r="AW38" s="2063">
        <f t="shared" si="49"/>
        <v>89.985434666516937</v>
      </c>
      <c r="AX38" s="2063">
        <f>+'MCP ST'!D31</f>
        <v>0.56194335962321529</v>
      </c>
      <c r="AY38" s="3148">
        <f>+'MCP ST'!AL31</f>
        <v>1.0298972769429853E-2</v>
      </c>
      <c r="AZ38" s="2063">
        <f t="shared" si="50"/>
        <v>1</v>
      </c>
      <c r="BA38" s="2063">
        <f t="shared" si="51"/>
        <v>89.985434666516937</v>
      </c>
      <c r="BB38" s="2063">
        <f>+'MCP ST'!N31</f>
        <v>1.0244310918357682</v>
      </c>
      <c r="BC38" s="2063">
        <f>+'MCP ST'!O31</f>
        <v>0.82719182800932523</v>
      </c>
      <c r="BD38" s="2063">
        <f>+'MCP ST'!P31</f>
        <v>0.20252050974094826</v>
      </c>
      <c r="BE38" s="2063">
        <f>+'MCP ST'!Q31</f>
        <v>8.5714539100168324E-2</v>
      </c>
      <c r="BF38" s="3149">
        <f t="shared" si="52"/>
        <v>27.033995175069713</v>
      </c>
      <c r="BG38" s="3149">
        <f t="shared" si="27"/>
        <v>22.206762032568076</v>
      </c>
      <c r="BH38" s="3150">
        <f t="shared" si="53"/>
        <v>26.420353026166602</v>
      </c>
      <c r="BI38" s="1134">
        <f t="shared" si="29"/>
        <v>27.033995175069713</v>
      </c>
      <c r="BJ38" s="3150">
        <f t="shared" si="54"/>
        <v>26.522755777410708</v>
      </c>
      <c r="BK38" s="3150">
        <f>+'MCP ST'!I31</f>
        <v>27.668627824499222</v>
      </c>
      <c r="BL38" s="3150">
        <f t="shared" si="55"/>
        <v>4.2927391645460542</v>
      </c>
      <c r="BM38" s="3150">
        <f>+'MCP ST'!AK31/25.4</f>
        <v>3.942819610230246</v>
      </c>
      <c r="BN38" s="3150">
        <f t="shared" si="56"/>
        <v>-0.34991955431580823</v>
      </c>
      <c r="BP38" s="308">
        <f t="shared" si="57"/>
        <v>192.81737753726057</v>
      </c>
      <c r="BQ38" s="308">
        <f>+'MCP ST'!S31</f>
        <v>211.26635577813576</v>
      </c>
      <c r="BR38" s="1134">
        <f t="shared" si="58"/>
        <v>18.448978240875192</v>
      </c>
      <c r="BT38" s="1134">
        <f t="shared" si="59"/>
        <v>89.985434666516937</v>
      </c>
      <c r="BU38" s="1134">
        <f>+'MCP ST'!J31</f>
        <v>89.204965426959831</v>
      </c>
      <c r="BV38" s="1134">
        <f t="shared" si="60"/>
        <v>-0.78046923955710668</v>
      </c>
      <c r="BW38" s="1134"/>
      <c r="BX38" s="1134">
        <f t="shared" si="61"/>
        <v>27.033995175069713</v>
      </c>
      <c r="BY38" s="1134">
        <f>+'MCP ST'!I31</f>
        <v>27.668627824499222</v>
      </c>
      <c r="BZ38" s="1134">
        <f t="shared" si="62"/>
        <v>0.63463264942950914</v>
      </c>
      <c r="CA38" s="1134"/>
      <c r="CC38" s="1134">
        <v>55.938278358254401</v>
      </c>
      <c r="CD38" s="1134">
        <f t="shared" si="63"/>
        <v>-28.269650533755179</v>
      </c>
      <c r="CE38" s="308">
        <f>+'MCP ST'!AK31</f>
        <v>100.14761809984824</v>
      </c>
      <c r="CF38" s="308">
        <f t="shared" si="64"/>
        <v>100.14761809984824</v>
      </c>
      <c r="CG38" s="1134">
        <f t="shared" si="65"/>
        <v>0</v>
      </c>
      <c r="CH38" s="308">
        <f>+'MCP ST'!AR31</f>
        <v>9103.9049317089266</v>
      </c>
      <c r="CI38" s="1134">
        <f t="shared" si="66"/>
        <v>9103.9049317089266</v>
      </c>
    </row>
    <row r="39" spans="1:87" s="362" customFormat="1">
      <c r="A39" s="3141">
        <f t="shared" si="43"/>
        <v>46112.791666666664</v>
      </c>
      <c r="B39" s="2054">
        <f>+'MCP ST'!B32</f>
        <v>185000.0000001291</v>
      </c>
      <c r="C39" s="3142">
        <f>+'MCP ST'!L32</f>
        <v>12.664481906681157</v>
      </c>
      <c r="D39" s="3143">
        <v>7.75</v>
      </c>
      <c r="E39" s="3144">
        <f>+'MCP ST'!T32+$B$4</f>
        <v>38.005042592630858</v>
      </c>
      <c r="F39" s="3910">
        <f t="shared" si="45"/>
        <v>6.8370846579690943</v>
      </c>
      <c r="G39" s="3144">
        <f>+'MCP ST'!V32*$G$7</f>
        <v>89.626325445206248</v>
      </c>
      <c r="H39" s="2354">
        <f>+'MCP ST'!W32</f>
        <v>26838.948289611497</v>
      </c>
      <c r="I39" s="2354">
        <f>+'MCP ST'!X32</f>
        <v>0</v>
      </c>
      <c r="J39" s="2354">
        <f>+SUM('MCP ST'!Y32:Z32)</f>
        <v>142529.64836721134</v>
      </c>
      <c r="K39" s="2354">
        <f>+'MCP ST'!AB32</f>
        <v>0</v>
      </c>
      <c r="L39" s="2354">
        <f>+'MCP ST'!AA32</f>
        <v>0</v>
      </c>
      <c r="M39" s="2354">
        <f>+'MCP ST'!AC32</f>
        <v>15631.488446369423</v>
      </c>
      <c r="N39" s="2354">
        <v>0</v>
      </c>
      <c r="O39" s="2354">
        <v>77.043063621170873</v>
      </c>
      <c r="P39" s="2063">
        <f t="shared" si="1"/>
        <v>107.31017430745383</v>
      </c>
      <c r="Q39" s="2063">
        <f t="shared" si="2"/>
        <v>4.2248100121044816</v>
      </c>
      <c r="R39" s="3142">
        <f t="shared" si="3"/>
        <v>15.107903070030632</v>
      </c>
      <c r="S39" s="3142">
        <f t="shared" si="4"/>
        <v>19.635981526703123</v>
      </c>
      <c r="T39" s="3142">
        <f t="shared" si="5"/>
        <v>5.9785022833416885</v>
      </c>
      <c r="U39" s="2054">
        <f t="shared" si="6"/>
        <v>41376</v>
      </c>
      <c r="V39" s="2054">
        <f t="shared" si="7"/>
        <v>6920.7968884261845</v>
      </c>
      <c r="W39" s="2054">
        <f>+'ST Original'!BR38</f>
        <v>6935.1267138225066</v>
      </c>
      <c r="X39" s="2054">
        <f t="shared" si="8"/>
        <v>187.87872410501376</v>
      </c>
      <c r="Y39" s="3622">
        <v>55500</v>
      </c>
      <c r="Z39" s="3145">
        <f t="shared" si="9"/>
        <v>6.8561714386507964</v>
      </c>
      <c r="AA39" s="2054">
        <f t="shared" si="10"/>
        <v>7292.699788417096</v>
      </c>
      <c r="AB39" s="2354" t="str">
        <f t="shared" si="11"/>
        <v>SAG</v>
      </c>
      <c r="AC39" s="3142">
        <f t="shared" si="12"/>
        <v>8.3699031966783632</v>
      </c>
      <c r="AD39" s="2054">
        <f t="shared" si="13"/>
        <v>1781.2631340726509</v>
      </c>
      <c r="AE39" s="3146">
        <f>+IF(ISNUMBER('ST Original'!BS38),('ST Original'!BS38),"0")</f>
        <v>1780.3500100247109</v>
      </c>
      <c r="AF39" s="2054">
        <f t="shared" si="14"/>
        <v>209.36933638604569</v>
      </c>
      <c r="AG39" s="2054">
        <f t="shared" si="15"/>
        <v>209.36933638604569</v>
      </c>
      <c r="AH39" s="3147">
        <f t="shared" si="16"/>
        <v>6.7500448043175183</v>
      </c>
      <c r="AI39" s="2054">
        <f t="shared" si="17"/>
        <v>1688.8776786649237</v>
      </c>
      <c r="AJ39" s="2354" t="str">
        <f t="shared" si="18"/>
        <v>BOLAS</v>
      </c>
      <c r="AK39" s="308">
        <f>+IFERROR((AG39*'ST Original'!F38+X39*'ST Original'!G38)/('ST Original'!E38),"0")</f>
        <v>192.24643159739196</v>
      </c>
      <c r="AL39" s="308">
        <f t="shared" si="19"/>
        <v>212.19472678126468</v>
      </c>
      <c r="AM39" s="3628">
        <f t="shared" si="46"/>
        <v>92.640756081445971</v>
      </c>
      <c r="AN39" s="2063">
        <f>+'MCP ST'!AE32</f>
        <v>92.640756081445971</v>
      </c>
      <c r="AO39" s="2063">
        <f>+'MCP ST'!AF32</f>
        <v>90.159635403223177</v>
      </c>
      <c r="AP39" s="2063">
        <f>+'MCP ST'!AG32</f>
        <v>87.77565355925897</v>
      </c>
      <c r="AQ39" s="2063">
        <f>+'MCP ST'!AH32</f>
        <v>85.083886498251118</v>
      </c>
      <c r="AR39" s="2063">
        <f>+'MCP ST'!AI32</f>
        <v>84.180557048198949</v>
      </c>
      <c r="AS39" s="2063">
        <f>+'MCP ST'!AJ32</f>
        <v>79.801807610025392</v>
      </c>
      <c r="AT39" s="2063">
        <f t="shared" si="47"/>
        <v>104.51668374129822</v>
      </c>
      <c r="AU39" s="2063">
        <f t="shared" si="48"/>
        <v>-8.1345421886324445E-2</v>
      </c>
      <c r="AV39" s="2063">
        <f>+AK39*AU39+AT39</f>
        <v>88.878316656867952</v>
      </c>
      <c r="AW39" s="2063">
        <f t="shared" si="49"/>
        <v>90.157741679817462</v>
      </c>
      <c r="AX39" s="2063">
        <f>+'MCP ST'!D32</f>
        <v>0.56149614023378414</v>
      </c>
      <c r="AY39" s="3148">
        <f>+'MCP ST'!AL32</f>
        <v>8.6960088937097814E-3</v>
      </c>
      <c r="AZ39" s="2063">
        <f t="shared" si="50"/>
        <v>1</v>
      </c>
      <c r="BA39" s="2063">
        <f t="shared" si="51"/>
        <v>90.157741679817462</v>
      </c>
      <c r="BB39" s="2063">
        <f>+'MCP ST'!N32</f>
        <v>1.1231023717742226</v>
      </c>
      <c r="BC39" s="2063">
        <f>+'MCP ST'!O32</f>
        <v>0.67443660974899677</v>
      </c>
      <c r="BD39" s="2063">
        <f>+'MCP ST'!P32</f>
        <v>0.22206256279795095</v>
      </c>
      <c r="BE39" s="2063">
        <f>+'MCP ST'!Q32</f>
        <v>2.4475635117389486E-2</v>
      </c>
      <c r="BF39" s="3149">
        <f t="shared" si="52"/>
        <v>27.014292362477693</v>
      </c>
      <c r="BG39" s="3149">
        <f t="shared" si="27"/>
        <v>23.243410127326019</v>
      </c>
      <c r="BH39" s="3150">
        <f t="shared" si="53"/>
        <v>26.797617937691726</v>
      </c>
      <c r="BI39" s="1134">
        <f t="shared" si="29"/>
        <v>27.014292362477693</v>
      </c>
      <c r="BJ39" s="3150">
        <f t="shared" si="54"/>
        <v>26.454022303309529</v>
      </c>
      <c r="BK39" s="3150">
        <f>+'MCP ST'!I32</f>
        <v>28.065062333094396</v>
      </c>
      <c r="BL39" s="3150">
        <f t="shared" si="55"/>
        <v>4.2248100121044816</v>
      </c>
      <c r="BM39" s="3150">
        <f>+'MCP ST'!AK32/25.4</f>
        <v>3.9635615736769338</v>
      </c>
      <c r="BN39" s="3150">
        <f t="shared" si="56"/>
        <v>-0.26124843842754775</v>
      </c>
      <c r="BP39" s="308">
        <f t="shared" si="57"/>
        <v>192.24643159739196</v>
      </c>
      <c r="BQ39" s="308">
        <f>+'MCP ST'!S32</f>
        <v>210.11666666286067</v>
      </c>
      <c r="BR39" s="1134">
        <f t="shared" si="58"/>
        <v>17.870235065468705</v>
      </c>
      <c r="BT39" s="1134">
        <f t="shared" si="59"/>
        <v>90.157741679817462</v>
      </c>
      <c r="BU39" s="1134">
        <f>+'MCP ST'!J32</f>
        <v>89.476335963574257</v>
      </c>
      <c r="BV39" s="1134">
        <f t="shared" si="60"/>
        <v>-0.68140571624320501</v>
      </c>
      <c r="BW39" s="1134"/>
      <c r="BX39" s="1134">
        <f t="shared" si="61"/>
        <v>27.014292362477693</v>
      </c>
      <c r="BY39" s="1134">
        <f>+'MCP ST'!I32</f>
        <v>28.065062333094396</v>
      </c>
      <c r="BZ39" s="1134">
        <f t="shared" si="62"/>
        <v>1.0507699706167024</v>
      </c>
      <c r="CA39" s="1134"/>
      <c r="CC39" s="1134">
        <v>56.938278358254401</v>
      </c>
      <c r="CD39" s="1134">
        <f t="shared" si="63"/>
        <v>-28.873216025160005</v>
      </c>
      <c r="CE39" s="308">
        <f>+'MCP ST'!AK32</f>
        <v>100.67446397139412</v>
      </c>
      <c r="CF39" s="308">
        <f t="shared" si="64"/>
        <v>100.67446397139412</v>
      </c>
      <c r="CG39" s="1134">
        <f t="shared" si="65"/>
        <v>0</v>
      </c>
      <c r="CH39" s="308">
        <f>+'MCP ST'!AR32</f>
        <v>9021.0410159579042</v>
      </c>
      <c r="CI39" s="1134">
        <f t="shared" si="66"/>
        <v>9021.0410159579042</v>
      </c>
    </row>
    <row r="40" spans="1:87" ht="19.5" customHeight="1">
      <c r="C40" s="556"/>
      <c r="E40" s="2114"/>
      <c r="F40" s="555"/>
      <c r="G40" s="555"/>
      <c r="Q40" s="2591"/>
      <c r="V40" s="2027">
        <f>+AVERAGE(V9:V39)</f>
        <v>6836.8832026141181</v>
      </c>
      <c r="W40" s="2027"/>
      <c r="Y40" s="331">
        <f>6920+1812</f>
        <v>8732</v>
      </c>
      <c r="Z40" s="331">
        <f>+Y40*24</f>
        <v>209568</v>
      </c>
      <c r="AA40" s="331">
        <f>+Z40*0.9795</f>
        <v>205271.856</v>
      </c>
      <c r="AD40" s="2027">
        <f>+AVERAGE(AD9:AD39)</f>
        <v>1759.6655698916882</v>
      </c>
      <c r="AE40" s="2027">
        <f>+AVERAGE(AE9:AE39)</f>
        <v>1748.387721454339</v>
      </c>
      <c r="AF40" s="2027">
        <f>+AE40+V40</f>
        <v>8585.2709240684562</v>
      </c>
      <c r="AI40" s="2027"/>
      <c r="AK40" s="219"/>
      <c r="AL40" s="219">
        <f>+AVERAGE(AL9:AL36)</f>
        <v>197.80226958826091</v>
      </c>
      <c r="BE40" s="556"/>
      <c r="BF40" s="556"/>
      <c r="BG40" s="556"/>
      <c r="BM40" s="556"/>
      <c r="BP40" s="556"/>
      <c r="BQ40" s="556"/>
      <c r="BT40" s="556"/>
      <c r="BU40" s="556"/>
    </row>
    <row r="41" spans="1:87" ht="25">
      <c r="A41" s="2124" t="s">
        <v>1323</v>
      </c>
      <c r="B41" s="2481">
        <f>+SUM(B9:B39)</f>
        <v>5897516.4726738958</v>
      </c>
      <c r="C41" s="2481">
        <f t="shared" ref="C41:X41" si="67">+AVERAGE(C9:C39)</f>
        <v>12.513148725046488</v>
      </c>
      <c r="D41" s="2481">
        <f t="shared" si="67"/>
        <v>7.75</v>
      </c>
      <c r="E41" s="2481">
        <f t="shared" si="67"/>
        <v>37.260513806842006</v>
      </c>
      <c r="F41" s="2481">
        <f t="shared" si="67"/>
        <v>6.989647474476496</v>
      </c>
      <c r="G41" s="2481">
        <f t="shared" si="67"/>
        <v>83.360061437705852</v>
      </c>
      <c r="H41" s="2481">
        <f t="shared" si="67"/>
        <v>45392.602470289821</v>
      </c>
      <c r="I41" s="2481">
        <f t="shared" si="67"/>
        <v>96.774193548387103</v>
      </c>
      <c r="J41" s="2481">
        <f t="shared" si="67"/>
        <v>135742.01164383171</v>
      </c>
      <c r="K41" s="2481">
        <f t="shared" si="67"/>
        <v>2849.6747915171982</v>
      </c>
      <c r="L41" s="2481">
        <f t="shared" si="67"/>
        <v>3631.5435572659126</v>
      </c>
      <c r="M41" s="2481">
        <f t="shared" si="67"/>
        <v>1851.9806324400092</v>
      </c>
      <c r="N41" s="2481">
        <f t="shared" si="67"/>
        <v>5.0212415286013279</v>
      </c>
      <c r="O41" s="2481">
        <f t="shared" si="67"/>
        <v>57.587376756903808</v>
      </c>
      <c r="P41" s="2481">
        <f t="shared" si="67"/>
        <v>106.94144475833892</v>
      </c>
      <c r="Q41" s="2797">
        <f>+SUMPRODUCT(Q9:Q38,'Plan mina ST'!O43:O72)/SUM('Plan mina ST'!O43:O72)</f>
        <v>4.2016432511550876</v>
      </c>
      <c r="R41" s="2481">
        <f t="shared" si="67"/>
        <v>14.698251985942983</v>
      </c>
      <c r="S41" s="2481">
        <f t="shared" si="67"/>
        <v>19.366881729565947</v>
      </c>
      <c r="T41" s="2481">
        <f t="shared" si="67"/>
        <v>6.0598200487542089</v>
      </c>
      <c r="U41" s="2481">
        <f t="shared" si="67"/>
        <v>41376</v>
      </c>
      <c r="V41" s="2481">
        <f t="shared" si="67"/>
        <v>6836.8832026141181</v>
      </c>
      <c r="W41" s="2481">
        <f t="shared" si="67"/>
        <v>6732.5002285155415</v>
      </c>
      <c r="X41" s="2481">
        <f t="shared" si="67"/>
        <v>185.83224245154932</v>
      </c>
      <c r="Y41" s="2125"/>
      <c r="Z41" s="2125"/>
      <c r="AA41" s="2125"/>
      <c r="AB41" s="2125"/>
      <c r="AC41" s="2125"/>
      <c r="AD41" s="2125"/>
      <c r="AE41" s="2125"/>
      <c r="AF41" s="2125"/>
      <c r="AG41" s="2125"/>
      <c r="AH41" s="2125"/>
      <c r="AI41" s="2125"/>
      <c r="AJ41" s="2125"/>
      <c r="AK41" s="2130">
        <f>+AVERAGE(AK9:AK39)</f>
        <v>188.8221889538263</v>
      </c>
      <c r="AL41" s="2130">
        <f>+AVERAGE(AL9:AL39)</f>
        <v>199.6855773958132</v>
      </c>
      <c r="AM41" s="2125">
        <f>+SUMPRODUCT('Plan mina ST'!$O$43:$O$73,AM9:AM39)/SUM('Plan mina ST'!$O$43:$O$73)</f>
        <v>92.619192023383462</v>
      </c>
      <c r="AN41" s="2125">
        <f>+SUMPRODUCT('Plan mina ST'!$O$43:$O$73,AN9:AN39)/SUM('Plan mina ST'!$O$43:$O$73)</f>
        <v>91.902957052772294</v>
      </c>
      <c r="AO41" s="2125">
        <f>+SUMPRODUCT('Plan mina ST'!$O$43:$O$73,AO9:AO39)/SUM('Plan mina ST'!$O$43:$O$73)</f>
        <v>89.755710646077219</v>
      </c>
      <c r="AP41" s="2125">
        <f>+SUMPRODUCT('Plan mina ST'!$O$43:$O$73,AP9:AP39)/SUM('Plan mina ST'!$O$43:$O$73)</f>
        <v>87.381756379882574</v>
      </c>
      <c r="AQ41" s="2125">
        <f>+SUMPRODUCT('Plan mina ST'!$O$43:$O$73,AQ9:AQ39)/SUM('Plan mina ST'!$O$43:$O$73)</f>
        <v>84.447887790770793</v>
      </c>
      <c r="AR41" s="2125">
        <f>+SUMPRODUCT('Plan mina ST'!$O$43:$O$73,AR9:AR39)/SUM('Plan mina ST'!$O$43:$O$73)</f>
        <v>83.433203495271158</v>
      </c>
      <c r="AS41" s="2125">
        <f>+SUMPRODUCT('Plan mina ST'!$O$43:$O$73,AS9:AS39)/SUM('Plan mina ST'!$O$43:$O$73)</f>
        <v>78.831002121690233</v>
      </c>
      <c r="AT41" s="2125"/>
      <c r="AU41" s="2125"/>
      <c r="AV41" s="2494">
        <f>+AVERAGE(AV9:AV39)</f>
        <v>88.70174849176847</v>
      </c>
      <c r="AW41" s="2494">
        <f>+AVERAGE(AW9:AW39)</f>
        <v>90.064354777296359</v>
      </c>
      <c r="AX41" s="2125"/>
      <c r="AY41" s="2125"/>
      <c r="AZ41" s="2125"/>
      <c r="BA41" s="2125"/>
      <c r="BB41" s="2125"/>
      <c r="BC41" s="2125"/>
      <c r="BD41" s="2125"/>
      <c r="BE41" s="2125"/>
      <c r="BF41" s="2125"/>
      <c r="BG41" s="2125"/>
      <c r="BH41" s="2520">
        <f>+AVERAGE(BH9:BH39)</f>
        <v>25.489755535192646</v>
      </c>
      <c r="BI41" s="2917">
        <f>+AVERAGE(BI9:BI39)</f>
        <v>26.391843995635877</v>
      </c>
      <c r="BJ41" s="2520">
        <f>+AVERAGE(BJ9:BJ39)</f>
        <v>25.739258749567966</v>
      </c>
      <c r="BK41" s="2917">
        <f>+AVERAGE(BK9:BK39)</f>
        <v>26.646465882087725</v>
      </c>
      <c r="BL41" s="2125"/>
      <c r="BM41" s="2125"/>
      <c r="BN41" s="2125"/>
      <c r="BO41" s="2125"/>
      <c r="BP41" s="2125"/>
      <c r="BQ41" s="2125"/>
      <c r="BR41" s="2125"/>
      <c r="BS41" s="2125"/>
      <c r="BT41" s="2125"/>
      <c r="BU41" s="2125"/>
      <c r="BV41" s="2125"/>
      <c r="BW41" s="2125"/>
      <c r="BX41" s="2125"/>
      <c r="BY41" s="2125"/>
      <c r="BZ41" s="2125"/>
      <c r="CA41" s="2125"/>
      <c r="CB41" s="2125"/>
      <c r="CC41" s="2125"/>
      <c r="CD41" s="2125"/>
    </row>
    <row r="42" spans="1:87">
      <c r="B42" s="331">
        <f>+(7.75+8)/2</f>
        <v>7.875</v>
      </c>
      <c r="E42" s="383"/>
      <c r="G42" s="383"/>
      <c r="AL42" s="331" t="s">
        <v>1372</v>
      </c>
      <c r="AM42" s="331">
        <f>+'MCP ST'!AD34</f>
        <v>0</v>
      </c>
      <c r="AN42" s="331">
        <f>+'MCP ST'!AE34</f>
        <v>0</v>
      </c>
      <c r="AO42" s="331">
        <f>+'MCP ST'!AF34</f>
        <v>0</v>
      </c>
      <c r="AP42" s="331">
        <f>+'MCP ST'!AG34</f>
        <v>0</v>
      </c>
      <c r="AQ42" s="331">
        <f>+'MCP ST'!AH34</f>
        <v>0</v>
      </c>
      <c r="AR42" s="331">
        <f>+'MCP ST'!AI34</f>
        <v>0</v>
      </c>
      <c r="AS42" s="331">
        <f>+'MCP ST'!AJ34</f>
        <v>0</v>
      </c>
    </row>
    <row r="43" spans="1:87">
      <c r="H43" s="383"/>
      <c r="U43" s="331">
        <v>6993.220884116231</v>
      </c>
      <c r="V43" s="2027">
        <f>+AVERAGE(V12:V18)</f>
        <v>6799.6638964701733</v>
      </c>
      <c r="AL43" s="331" t="s">
        <v>1371</v>
      </c>
      <c r="AM43" s="331">
        <v>92.915074589854243</v>
      </c>
      <c r="AN43" s="331">
        <v>91.637533245489649</v>
      </c>
      <c r="AO43" s="331">
        <v>89.885034295134531</v>
      </c>
      <c r="AP43" s="331">
        <v>87.477744514518193</v>
      </c>
      <c r="AQ43" s="331">
        <v>84.477030876545584</v>
      </c>
      <c r="AR43" s="331">
        <v>83.507647927668799</v>
      </c>
      <c r="AS43" s="331">
        <v>78.781896131937032</v>
      </c>
    </row>
    <row r="44" spans="1:87">
      <c r="H44" s="383"/>
      <c r="V44" s="2027">
        <v>1812</v>
      </c>
      <c r="AM44" s="331">
        <f>+AM42-AM43</f>
        <v>-92.915074589854243</v>
      </c>
      <c r="AN44" s="331">
        <f t="shared" ref="AN44:AS44" si="68">+AN42-AN43</f>
        <v>-91.637533245489649</v>
      </c>
      <c r="AO44" s="331">
        <f t="shared" si="68"/>
        <v>-89.885034295134531</v>
      </c>
      <c r="AP44" s="331">
        <f t="shared" si="68"/>
        <v>-87.477744514518193</v>
      </c>
      <c r="AQ44" s="331">
        <f t="shared" si="68"/>
        <v>-84.477030876545584</v>
      </c>
      <c r="AR44" s="331">
        <f t="shared" si="68"/>
        <v>-83.507647927668799</v>
      </c>
      <c r="AS44" s="331">
        <f t="shared" si="68"/>
        <v>-78.781896131937032</v>
      </c>
    </row>
    <row r="45" spans="1:87">
      <c r="C45" s="2889"/>
      <c r="D45" s="2889">
        <v>0.03</v>
      </c>
      <c r="E45" s="2889">
        <v>9</v>
      </c>
      <c r="F45" s="2889">
        <v>7.75</v>
      </c>
      <c r="G45" s="2889">
        <f>+AVERAGE(E45:F45)</f>
        <v>8.375</v>
      </c>
      <c r="H45" s="383"/>
      <c r="AW45" s="331" t="s">
        <v>1375</v>
      </c>
      <c r="AX45" s="331" t="s">
        <v>171</v>
      </c>
      <c r="AY45" s="331" t="s">
        <v>1373</v>
      </c>
      <c r="AZ45" s="331" t="s">
        <v>1374</v>
      </c>
    </row>
    <row r="46" spans="1:87" s="282" customFormat="1" ht="15" customHeight="1">
      <c r="A46" s="331"/>
      <c r="B46" s="331"/>
      <c r="C46" s="2889"/>
      <c r="D46" s="2889"/>
      <c r="E46" s="2889">
        <f>+E45+$D$45</f>
        <v>9.0299999999999994</v>
      </c>
      <c r="F46" s="2889">
        <v>7.75</v>
      </c>
      <c r="G46" s="2889">
        <f>+AVERAGE(E46:F46)</f>
        <v>8.39</v>
      </c>
      <c r="H46" s="383"/>
      <c r="I46" s="331"/>
      <c r="J46" s="331"/>
      <c r="K46" s="331"/>
      <c r="L46" s="331"/>
      <c r="M46" s="331"/>
      <c r="N46" s="331"/>
      <c r="O46" s="331"/>
      <c r="Q46" s="2517" t="s">
        <v>258</v>
      </c>
      <c r="R46" s="2518" t="s">
        <v>171</v>
      </c>
      <c r="S46" s="2519" t="s">
        <v>174</v>
      </c>
      <c r="AM46" s="282">
        <v>203.84472569806809</v>
      </c>
      <c r="AN46" s="282">
        <v>89.10104465195991</v>
      </c>
      <c r="AO46" s="282">
        <v>204.91900343261852</v>
      </c>
      <c r="AP46" s="282">
        <v>88.642852590465438</v>
      </c>
      <c r="AR46" s="965">
        <f>+AM46-AO46</f>
        <v>-1.0742777345504351</v>
      </c>
      <c r="AS46" s="965">
        <f>+AN46-AP46</f>
        <v>0.45819206149447211</v>
      </c>
      <c r="AV46" s="282">
        <v>137</v>
      </c>
      <c r="AW46" s="282">
        <f>+AX60</f>
        <v>0</v>
      </c>
      <c r="AX46" s="965">
        <v>92.915074589854243</v>
      </c>
      <c r="AY46" s="965">
        <f>+AW46*$AF$4+$AE$4</f>
        <v>43.15</v>
      </c>
      <c r="AZ46" s="965">
        <f>+AX46*$AF$4+$AE$4</f>
        <v>92.292782950573908</v>
      </c>
      <c r="BA46" s="965">
        <f t="shared" ref="BA46:BA52" si="69">+AW46-AX46</f>
        <v>-92.915074589854243</v>
      </c>
      <c r="BB46" s="965">
        <f>+AY46-AZ46</f>
        <v>-49.14278295057391</v>
      </c>
    </row>
    <row r="47" spans="1:87" s="282" customFormat="1" ht="15" customHeight="1">
      <c r="A47" s="331"/>
      <c r="B47" s="331"/>
      <c r="C47" s="2889"/>
      <c r="D47" s="2889"/>
      <c r="E47" s="2889">
        <f>+E46+$D$45</f>
        <v>9.0599999999999987</v>
      </c>
      <c r="F47" s="2889">
        <v>7.75</v>
      </c>
      <c r="G47" s="2889">
        <f>+AVERAGE(E47:F47)</f>
        <v>8.4049999999999994</v>
      </c>
      <c r="H47" s="383"/>
      <c r="I47" s="331"/>
      <c r="J47" s="331"/>
      <c r="K47" s="331"/>
      <c r="L47" s="331">
        <v>108.35423823394989</v>
      </c>
      <c r="M47" s="331">
        <v>108.35423823394989</v>
      </c>
      <c r="N47" s="331">
        <f>+L47-M47</f>
        <v>0</v>
      </c>
      <c r="O47" s="2060">
        <v>46054</v>
      </c>
      <c r="Q47" s="2512">
        <v>45748</v>
      </c>
      <c r="R47" s="2510" t="s">
        <v>1388</v>
      </c>
      <c r="S47" s="2513" t="s">
        <v>1381</v>
      </c>
      <c r="AM47" s="282">
        <v>208.32366984536867</v>
      </c>
      <c r="AN47" s="282">
        <v>88.4488554707861</v>
      </c>
      <c r="AO47" s="282">
        <v>211.23574787225118</v>
      </c>
      <c r="AP47" s="282">
        <v>88.06917402925103</v>
      </c>
      <c r="AR47" s="965">
        <f t="shared" ref="AR47:AR76" si="70">+AM47-AO47</f>
        <v>-2.9120780268825115</v>
      </c>
      <c r="AS47" s="965">
        <f t="shared" ref="AS47:AS76" si="71">+AN47-AP47</f>
        <v>0.37968144153506955</v>
      </c>
      <c r="AV47" s="282">
        <v>150</v>
      </c>
      <c r="AW47" s="282">
        <f t="shared" ref="AW47:AW52" si="72">+AX61</f>
        <v>0</v>
      </c>
      <c r="AX47" s="965">
        <v>91.637533245489649</v>
      </c>
      <c r="AY47" s="965">
        <f t="shared" ref="AY47:AY52" si="73">+AW47*$AF$4+$AE$4</f>
        <v>43.15</v>
      </c>
      <c r="AZ47" s="965">
        <f t="shared" ref="AZ47:AZ52" si="74">+AX47*$AF$4+$AE$4</f>
        <v>91.617091333539477</v>
      </c>
      <c r="BA47" s="965">
        <f t="shared" si="69"/>
        <v>-91.637533245489649</v>
      </c>
      <c r="BB47" s="965">
        <f t="shared" ref="BB47:BB52" si="75">+AY47-AZ47</f>
        <v>-48.467091333539479</v>
      </c>
    </row>
    <row r="48" spans="1:87" s="282" customFormat="1" ht="15" customHeight="1">
      <c r="A48" s="331"/>
      <c r="B48" s="331"/>
      <c r="C48" s="331"/>
      <c r="D48" s="331"/>
      <c r="E48" s="331"/>
      <c r="F48" s="331"/>
      <c r="G48" s="331"/>
      <c r="H48" s="383"/>
      <c r="I48" s="331"/>
      <c r="J48" s="331"/>
      <c r="K48" s="331"/>
      <c r="L48" s="331">
        <v>102.8727102122061</v>
      </c>
      <c r="M48" s="331">
        <v>102.8727102122061</v>
      </c>
      <c r="N48" s="331">
        <f t="shared" ref="N48:N77" si="76">+L48-M48</f>
        <v>0</v>
      </c>
      <c r="O48" s="2060">
        <v>46055</v>
      </c>
      <c r="Q48" s="2512">
        <v>45749</v>
      </c>
      <c r="R48" s="2510" t="s">
        <v>1388</v>
      </c>
      <c r="S48" s="2513" t="s">
        <v>1381</v>
      </c>
      <c r="AM48" s="282">
        <v>207.42174601658832</v>
      </c>
      <c r="AN48" s="282">
        <v>88.286919222407136</v>
      </c>
      <c r="AO48" s="282">
        <v>212.7022552244816</v>
      </c>
      <c r="AP48" s="282">
        <v>87.863587577273904</v>
      </c>
      <c r="AR48" s="965">
        <f t="shared" si="70"/>
        <v>-5.2805092078932887</v>
      </c>
      <c r="AS48" s="965">
        <f t="shared" si="71"/>
        <v>0.4233316451332314</v>
      </c>
      <c r="AV48" s="282">
        <v>180</v>
      </c>
      <c r="AW48" s="282">
        <f t="shared" si="72"/>
        <v>0</v>
      </c>
      <c r="AX48" s="965">
        <v>89.885034295134531</v>
      </c>
      <c r="AY48" s="965">
        <f t="shared" si="73"/>
        <v>43.15</v>
      </c>
      <c r="AZ48" s="965">
        <f t="shared" si="74"/>
        <v>90.690194638696653</v>
      </c>
      <c r="BA48" s="965">
        <f t="shared" si="69"/>
        <v>-89.885034295134531</v>
      </c>
      <c r="BB48" s="965">
        <f t="shared" si="75"/>
        <v>-47.540194638696654</v>
      </c>
    </row>
    <row r="49" spans="1:54" s="282" customFormat="1" ht="15" customHeight="1">
      <c r="A49" s="331"/>
      <c r="B49" s="331"/>
      <c r="C49" s="331"/>
      <c r="D49" s="331"/>
      <c r="E49" s="331"/>
      <c r="F49" s="331"/>
      <c r="G49" s="331"/>
      <c r="H49" s="383"/>
      <c r="I49" s="331"/>
      <c r="J49" s="331"/>
      <c r="K49" s="331"/>
      <c r="L49" s="331">
        <v>101.42039228802413</v>
      </c>
      <c r="M49" s="331">
        <v>101.42039228802413</v>
      </c>
      <c r="N49" s="331">
        <f t="shared" si="76"/>
        <v>0</v>
      </c>
      <c r="O49" s="2060">
        <v>46056</v>
      </c>
      <c r="Q49" s="2512">
        <v>45750</v>
      </c>
      <c r="R49" s="2510" t="s">
        <v>1388</v>
      </c>
      <c r="S49" s="2513" t="s">
        <v>1381</v>
      </c>
      <c r="AM49" s="282">
        <v>209.84601262786526</v>
      </c>
      <c r="AN49" s="282">
        <v>88.363112770154601</v>
      </c>
      <c r="AO49" s="282">
        <v>215.14181068261848</v>
      </c>
      <c r="AP49" s="282">
        <v>87.989846883365175</v>
      </c>
      <c r="AR49" s="965">
        <f t="shared" si="70"/>
        <v>-5.2957980547532202</v>
      </c>
      <c r="AS49" s="965">
        <f t="shared" si="71"/>
        <v>0.37326588678942585</v>
      </c>
      <c r="AV49" s="282">
        <v>210</v>
      </c>
      <c r="AW49" s="282">
        <f t="shared" si="72"/>
        <v>0</v>
      </c>
      <c r="AX49" s="965">
        <v>87.477744514518193</v>
      </c>
      <c r="AY49" s="965">
        <f t="shared" si="73"/>
        <v>43.15</v>
      </c>
      <c r="AZ49" s="965">
        <f t="shared" si="74"/>
        <v>89.416979073728669</v>
      </c>
      <c r="BA49" s="965">
        <f t="shared" si="69"/>
        <v>-87.477744514518193</v>
      </c>
      <c r="BB49" s="965">
        <f t="shared" si="75"/>
        <v>-46.26697907372867</v>
      </c>
    </row>
    <row r="50" spans="1:54" s="282" customFormat="1" ht="15" customHeight="1">
      <c r="A50" s="331"/>
      <c r="B50" s="331"/>
      <c r="C50" s="331"/>
      <c r="D50" s="331"/>
      <c r="E50" s="331"/>
      <c r="F50" s="331"/>
      <c r="G50" s="331"/>
      <c r="H50" s="383"/>
      <c r="I50" s="331"/>
      <c r="J50" s="331"/>
      <c r="K50" s="331"/>
      <c r="L50" s="331">
        <v>103.84851791238356</v>
      </c>
      <c r="M50" s="331">
        <v>103.84851791238356</v>
      </c>
      <c r="N50" s="331">
        <f t="shared" si="76"/>
        <v>0</v>
      </c>
      <c r="O50" s="2060">
        <v>46057</v>
      </c>
      <c r="Q50" s="2512">
        <v>45751</v>
      </c>
      <c r="R50" s="2510" t="s">
        <v>1388</v>
      </c>
      <c r="S50" s="2513" t="s">
        <v>1381</v>
      </c>
      <c r="AM50" s="282">
        <v>210.8673520032975</v>
      </c>
      <c r="AN50" s="282">
        <v>88.470199067799584</v>
      </c>
      <c r="AO50" s="282">
        <v>216.25014593788887</v>
      </c>
      <c r="AP50" s="282">
        <v>88.079142174651224</v>
      </c>
      <c r="AR50" s="965">
        <f t="shared" si="70"/>
        <v>-5.3827939345913762</v>
      </c>
      <c r="AS50" s="965">
        <f t="shared" si="71"/>
        <v>0.39105689314835956</v>
      </c>
      <c r="AV50" s="282">
        <v>240</v>
      </c>
      <c r="AW50" s="282">
        <f t="shared" si="72"/>
        <v>0</v>
      </c>
      <c r="AX50" s="965">
        <v>84.477030876545584</v>
      </c>
      <c r="AY50" s="965">
        <f t="shared" si="73"/>
        <v>43.15</v>
      </c>
      <c r="AZ50" s="965">
        <f t="shared" si="74"/>
        <v>87.829901630604951</v>
      </c>
      <c r="BA50" s="965">
        <f t="shared" si="69"/>
        <v>-84.477030876545584</v>
      </c>
      <c r="BB50" s="965">
        <f t="shared" si="75"/>
        <v>-44.679901630604952</v>
      </c>
    </row>
    <row r="51" spans="1:54" s="282" customFormat="1" ht="15" customHeight="1">
      <c r="A51" s="331"/>
      <c r="B51" s="331"/>
      <c r="C51" s="331"/>
      <c r="D51" s="331"/>
      <c r="E51" s="331"/>
      <c r="F51" s="331"/>
      <c r="G51" s="331"/>
      <c r="H51" s="383"/>
      <c r="I51" s="331"/>
      <c r="J51" s="331"/>
      <c r="K51" s="331"/>
      <c r="L51" s="331">
        <v>104.55028649551542</v>
      </c>
      <c r="M51" s="331">
        <v>104.55028649551542</v>
      </c>
      <c r="N51" s="331">
        <f t="shared" si="76"/>
        <v>0</v>
      </c>
      <c r="O51" s="2060">
        <v>46058</v>
      </c>
      <c r="Q51" s="2512">
        <v>45752</v>
      </c>
      <c r="R51" s="2510" t="s">
        <v>1389</v>
      </c>
      <c r="S51" s="2513" t="s">
        <v>1381</v>
      </c>
      <c r="AM51" s="282">
        <v>211.03046645850802</v>
      </c>
      <c r="AN51" s="282">
        <v>89.109531160061266</v>
      </c>
      <c r="AO51" s="282">
        <v>213.53038795050298</v>
      </c>
      <c r="AP51" s="282">
        <v>88.934826857736823</v>
      </c>
      <c r="AR51" s="965">
        <f t="shared" si="70"/>
        <v>-2.4999214919949679</v>
      </c>
      <c r="AS51" s="965">
        <f t="shared" si="71"/>
        <v>0.17470430232444301</v>
      </c>
      <c r="AV51" s="282">
        <v>250</v>
      </c>
      <c r="AW51" s="282">
        <f t="shared" si="72"/>
        <v>0</v>
      </c>
      <c r="AX51" s="965">
        <v>83.507647927668799</v>
      </c>
      <c r="AY51" s="965">
        <f t="shared" si="73"/>
        <v>43.15</v>
      </c>
      <c r="AZ51" s="965">
        <f t="shared" si="74"/>
        <v>87.317194988944038</v>
      </c>
      <c r="BA51" s="965">
        <f t="shared" si="69"/>
        <v>-83.507647927668799</v>
      </c>
      <c r="BB51" s="965">
        <f t="shared" si="75"/>
        <v>-44.16719498894404</v>
      </c>
    </row>
    <row r="52" spans="1:54" s="282" customFormat="1" ht="15" customHeight="1">
      <c r="A52" s="331"/>
      <c r="B52" s="331"/>
      <c r="C52" s="331"/>
      <c r="D52" s="331"/>
      <c r="E52" s="331"/>
      <c r="F52" s="331"/>
      <c r="G52" s="331"/>
      <c r="H52" s="383"/>
      <c r="I52" s="331"/>
      <c r="J52" s="331"/>
      <c r="K52" s="331"/>
      <c r="L52" s="331">
        <v>105.1766814608681</v>
      </c>
      <c r="M52" s="331">
        <v>105.1766814608681</v>
      </c>
      <c r="N52" s="331">
        <f t="shared" si="76"/>
        <v>0</v>
      </c>
      <c r="O52" s="2060">
        <v>46059</v>
      </c>
      <c r="Q52" s="2512">
        <v>45753</v>
      </c>
      <c r="R52" s="2510" t="s">
        <v>1389</v>
      </c>
      <c r="S52" s="2513" t="s">
        <v>1381</v>
      </c>
      <c r="AM52" s="282">
        <v>209.94965326035066</v>
      </c>
      <c r="AN52" s="282">
        <v>89.999736577626891</v>
      </c>
      <c r="AO52" s="282">
        <v>210.37271427164347</v>
      </c>
      <c r="AP52" s="282">
        <v>89.974799114501096</v>
      </c>
      <c r="AR52" s="965">
        <f t="shared" si="70"/>
        <v>-0.42306101129281615</v>
      </c>
      <c r="AS52" s="965">
        <f t="shared" si="71"/>
        <v>2.4937463125795034E-2</v>
      </c>
      <c r="AV52" s="282">
        <v>300</v>
      </c>
      <c r="AW52" s="282">
        <f t="shared" si="72"/>
        <v>0</v>
      </c>
      <c r="AX52" s="965">
        <v>78.781896131937032</v>
      </c>
      <c r="AY52" s="965">
        <f t="shared" si="73"/>
        <v>43.15</v>
      </c>
      <c r="AZ52" s="965">
        <f t="shared" si="74"/>
        <v>84.817744864181492</v>
      </c>
      <c r="BA52" s="965">
        <f t="shared" si="69"/>
        <v>-78.781896131937032</v>
      </c>
      <c r="BB52" s="965">
        <f t="shared" si="75"/>
        <v>-41.667744864181493</v>
      </c>
    </row>
    <row r="53" spans="1:54" s="282" customFormat="1" ht="15" customHeight="1">
      <c r="A53" s="331"/>
      <c r="B53" s="331"/>
      <c r="C53" s="331"/>
      <c r="D53" s="331"/>
      <c r="E53" s="331"/>
      <c r="F53" s="331"/>
      <c r="G53" s="331"/>
      <c r="H53" s="383"/>
      <c r="I53" s="331"/>
      <c r="J53" s="331"/>
      <c r="K53" s="331"/>
      <c r="L53" s="331">
        <v>105.97969985454269</v>
      </c>
      <c r="M53" s="331">
        <v>105.97969985454269</v>
      </c>
      <c r="N53" s="331">
        <f t="shared" si="76"/>
        <v>0</v>
      </c>
      <c r="O53" s="2060">
        <v>46060</v>
      </c>
      <c r="Q53" s="2512">
        <v>45754</v>
      </c>
      <c r="R53" s="2510" t="s">
        <v>1389</v>
      </c>
      <c r="S53" s="2513" t="s">
        <v>1382</v>
      </c>
      <c r="AM53" s="282">
        <v>211.42628879592741</v>
      </c>
      <c r="AN53" s="282">
        <v>88.319406919913163</v>
      </c>
      <c r="AO53" s="282">
        <v>210.95057009345319</v>
      </c>
      <c r="AP53" s="282">
        <v>88.366902625578376</v>
      </c>
      <c r="AR53" s="965">
        <f t="shared" si="70"/>
        <v>0.47571870247421089</v>
      </c>
      <c r="AS53" s="965">
        <f t="shared" si="71"/>
        <v>-4.7495705665212995E-2</v>
      </c>
    </row>
    <row r="54" spans="1:54" s="282" customFormat="1" ht="15" customHeight="1">
      <c r="A54" s="331"/>
      <c r="B54" s="331"/>
      <c r="C54" s="331"/>
      <c r="D54" s="331"/>
      <c r="E54" s="331"/>
      <c r="F54" s="331"/>
      <c r="G54" s="331"/>
      <c r="H54" s="383"/>
      <c r="I54" s="331"/>
      <c r="J54" s="331"/>
      <c r="K54" s="331"/>
      <c r="L54" s="331">
        <v>105.01580490135865</v>
      </c>
      <c r="M54" s="331">
        <v>105.01580490135865</v>
      </c>
      <c r="N54" s="331">
        <f t="shared" si="76"/>
        <v>0</v>
      </c>
      <c r="O54" s="2060">
        <v>46061</v>
      </c>
      <c r="Q54" s="2512">
        <v>45755</v>
      </c>
      <c r="R54" s="2510" t="s">
        <v>1389</v>
      </c>
      <c r="S54" s="2513" t="s">
        <v>1382</v>
      </c>
      <c r="AM54" s="282">
        <v>212.05581802747079</v>
      </c>
      <c r="AN54" s="282">
        <v>87.681703389504051</v>
      </c>
      <c r="AO54" s="282">
        <v>212.3869270269974</v>
      </c>
      <c r="AP54" s="282">
        <v>87.80419293224567</v>
      </c>
      <c r="AR54" s="965">
        <f t="shared" si="70"/>
        <v>-0.33110899952660588</v>
      </c>
      <c r="AS54" s="965">
        <f t="shared" si="71"/>
        <v>-0.12248954274161861</v>
      </c>
    </row>
    <row r="55" spans="1:54" s="282" customFormat="1" ht="15" customHeight="1">
      <c r="A55" s="331"/>
      <c r="B55" s="331"/>
      <c r="C55" s="331"/>
      <c r="D55" s="331"/>
      <c r="E55" s="331"/>
      <c r="F55" s="331"/>
      <c r="G55" s="331"/>
      <c r="H55" s="383"/>
      <c r="I55" s="331"/>
      <c r="J55" s="331"/>
      <c r="K55" s="331"/>
      <c r="L55" s="331">
        <v>103.15432970317558</v>
      </c>
      <c r="M55" s="331">
        <v>103.15432970317558</v>
      </c>
      <c r="N55" s="331">
        <f t="shared" si="76"/>
        <v>0</v>
      </c>
      <c r="O55" s="2060">
        <v>46062</v>
      </c>
      <c r="Q55" s="2512">
        <v>45756</v>
      </c>
      <c r="R55" s="2510" t="s">
        <v>1389</v>
      </c>
      <c r="S55" s="2513" t="s">
        <v>1381</v>
      </c>
      <c r="AM55" s="282">
        <v>213.72666896648903</v>
      </c>
      <c r="AN55" s="282">
        <v>87.781895979296891</v>
      </c>
      <c r="AO55" s="282">
        <v>213.57029190588048</v>
      </c>
      <c r="AP55" s="282">
        <v>87.885527067650784</v>
      </c>
      <c r="AR55" s="965">
        <f t="shared" si="70"/>
        <v>0.15637706060854839</v>
      </c>
      <c r="AS55" s="965">
        <f t="shared" si="71"/>
        <v>-0.10363108835389312</v>
      </c>
    </row>
    <row r="56" spans="1:54" s="282" customFormat="1" ht="15" customHeight="1">
      <c r="A56" s="331"/>
      <c r="B56" s="331"/>
      <c r="C56" s="331"/>
      <c r="D56" s="331"/>
      <c r="E56" s="331"/>
      <c r="F56" s="331"/>
      <c r="G56" s="331"/>
      <c r="H56" s="383"/>
      <c r="I56" s="331"/>
      <c r="J56" s="331"/>
      <c r="K56" s="331"/>
      <c r="L56" s="331">
        <v>98.818212957861505</v>
      </c>
      <c r="M56" s="331">
        <v>98.818212957861505</v>
      </c>
      <c r="N56" s="331">
        <f t="shared" si="76"/>
        <v>0</v>
      </c>
      <c r="O56" s="2060">
        <v>46063</v>
      </c>
      <c r="Q56" s="2512">
        <v>45757</v>
      </c>
      <c r="R56" s="2510" t="s">
        <v>1389</v>
      </c>
      <c r="S56" s="2513" t="s">
        <v>1381</v>
      </c>
      <c r="AM56" s="282">
        <v>214.52275801015503</v>
      </c>
      <c r="AN56" s="282">
        <v>87.948003184768197</v>
      </c>
      <c r="AO56" s="282">
        <v>214.57727427002908</v>
      </c>
      <c r="AP56" s="282">
        <v>88.022022045439471</v>
      </c>
      <c r="AR56" s="965">
        <f t="shared" si="70"/>
        <v>-5.4516259874048956E-2</v>
      </c>
      <c r="AS56" s="965">
        <f t="shared" si="71"/>
        <v>-7.4018860671273501E-2</v>
      </c>
    </row>
    <row r="57" spans="1:54" s="282" customFormat="1" ht="15" customHeight="1">
      <c r="A57" s="331"/>
      <c r="B57" s="331"/>
      <c r="C57" s="331"/>
      <c r="D57" s="331"/>
      <c r="E57" s="331"/>
      <c r="F57" s="331"/>
      <c r="G57" s="331"/>
      <c r="H57" s="383"/>
      <c r="I57" s="331"/>
      <c r="J57" s="331"/>
      <c r="K57" s="331"/>
      <c r="L57" s="331">
        <v>98.443346835188947</v>
      </c>
      <c r="M57" s="331">
        <v>98.443346835188947</v>
      </c>
      <c r="N57" s="331">
        <f t="shared" si="76"/>
        <v>0</v>
      </c>
      <c r="O57" s="2060">
        <v>46064</v>
      </c>
      <c r="Q57" s="2512">
        <v>45758</v>
      </c>
      <c r="R57" s="2510" t="s">
        <v>1379</v>
      </c>
      <c r="S57" s="2513" t="s">
        <v>1381</v>
      </c>
      <c r="AM57" s="282">
        <v>215.95201000131243</v>
      </c>
      <c r="AN57" s="282">
        <v>87.708854481431018</v>
      </c>
      <c r="AO57" s="282">
        <v>215.52072194535072</v>
      </c>
      <c r="AP57" s="282">
        <v>87.711293446354375</v>
      </c>
      <c r="AR57" s="965">
        <f t="shared" si="70"/>
        <v>0.4312880559617156</v>
      </c>
      <c r="AS57" s="965">
        <f t="shared" si="71"/>
        <v>-2.4389649233569344E-3</v>
      </c>
    </row>
    <row r="58" spans="1:54" s="282" customFormat="1" ht="15" customHeight="1">
      <c r="A58" s="331"/>
      <c r="B58" s="331"/>
      <c r="C58" s="331"/>
      <c r="D58" s="331"/>
      <c r="E58" s="331"/>
      <c r="F58" s="331"/>
      <c r="G58" s="331"/>
      <c r="H58" s="383"/>
      <c r="I58" s="331"/>
      <c r="J58" s="331"/>
      <c r="K58" s="331"/>
      <c r="L58" s="331">
        <v>100.97276947582115</v>
      </c>
      <c r="M58" s="331">
        <v>100.97276947582115</v>
      </c>
      <c r="N58" s="331">
        <f t="shared" si="76"/>
        <v>0</v>
      </c>
      <c r="O58" s="2060">
        <v>46065</v>
      </c>
      <c r="Q58" s="2512">
        <v>45759</v>
      </c>
      <c r="R58" s="2510" t="s">
        <v>1379</v>
      </c>
      <c r="S58" s="2513" t="s">
        <v>1381</v>
      </c>
      <c r="AM58" s="282">
        <v>216.25689453522097</v>
      </c>
      <c r="AN58" s="282">
        <v>88.139463709515042</v>
      </c>
      <c r="AO58" s="282">
        <v>217.18025396685564</v>
      </c>
      <c r="AP58" s="282">
        <v>88.234993508298743</v>
      </c>
      <c r="AR58" s="965">
        <f t="shared" si="70"/>
        <v>-0.92335943163467959</v>
      </c>
      <c r="AS58" s="965">
        <f t="shared" si="71"/>
        <v>-9.5529798783701381E-2</v>
      </c>
    </row>
    <row r="59" spans="1:54" s="282" customFormat="1" ht="15" customHeight="1">
      <c r="A59" s="331"/>
      <c r="B59" s="331"/>
      <c r="C59" s="331"/>
      <c r="D59" s="331"/>
      <c r="E59" s="331"/>
      <c r="F59" s="331"/>
      <c r="G59" s="331"/>
      <c r="H59" s="383"/>
      <c r="I59" s="331"/>
      <c r="J59" s="331"/>
      <c r="K59" s="331"/>
      <c r="L59" s="331">
        <v>102.75419842760994</v>
      </c>
      <c r="M59" s="331">
        <v>102.75419842760994</v>
      </c>
      <c r="N59" s="331">
        <f t="shared" si="76"/>
        <v>0</v>
      </c>
      <c r="O59" s="2060">
        <v>46066</v>
      </c>
      <c r="Q59" s="2512">
        <v>45760</v>
      </c>
      <c r="R59" s="2510"/>
      <c r="S59" s="2513" t="s">
        <v>1385</v>
      </c>
      <c r="AM59" s="282">
        <v>212.74705828796331</v>
      </c>
      <c r="AN59" s="282">
        <v>88.867189870871556</v>
      </c>
      <c r="AO59" s="282">
        <v>214.00971271442222</v>
      </c>
      <c r="AP59" s="282">
        <v>88.854479805837158</v>
      </c>
      <c r="AR59" s="965">
        <f t="shared" si="70"/>
        <v>-1.2626544264589086</v>
      </c>
      <c r="AS59" s="965">
        <f t="shared" si="71"/>
        <v>1.2710065034397644E-2</v>
      </c>
    </row>
    <row r="60" spans="1:54" s="282" customFormat="1" ht="15" customHeight="1">
      <c r="A60" s="331"/>
      <c r="B60" s="331"/>
      <c r="C60" s="331"/>
      <c r="D60" s="331"/>
      <c r="E60" s="331"/>
      <c r="F60" s="331"/>
      <c r="G60" s="331"/>
      <c r="H60" s="383"/>
      <c r="I60" s="331"/>
      <c r="J60" s="331"/>
      <c r="K60" s="331"/>
      <c r="L60" s="331">
        <v>104.81037393049624</v>
      </c>
      <c r="M60" s="331">
        <v>104.81037393049624</v>
      </c>
      <c r="N60" s="331">
        <f t="shared" si="76"/>
        <v>0</v>
      </c>
      <c r="O60" s="2060">
        <v>46067</v>
      </c>
      <c r="Q60" s="2512">
        <v>45761</v>
      </c>
      <c r="R60" s="2510"/>
      <c r="S60" s="2513" t="s">
        <v>1385</v>
      </c>
      <c r="AM60" s="282">
        <v>212.84248960520154</v>
      </c>
      <c r="AN60" s="282">
        <v>90.261362146061828</v>
      </c>
      <c r="AO60" s="282">
        <v>209.37938625787544</v>
      </c>
      <c r="AP60" s="282">
        <v>90.206955239362927</v>
      </c>
      <c r="AR60" s="965">
        <f t="shared" si="70"/>
        <v>3.463103347326097</v>
      </c>
      <c r="AS60" s="965">
        <f t="shared" si="71"/>
        <v>5.4406906698901025E-2</v>
      </c>
      <c r="AX60" s="282" cm="1">
        <f t="array" ref="AX60:AX66">+TRANSPOSE(AM42:AS42)</f>
        <v>0</v>
      </c>
    </row>
    <row r="61" spans="1:54" s="282" customFormat="1" ht="15" customHeight="1">
      <c r="A61" s="331"/>
      <c r="B61" s="331"/>
      <c r="C61" s="331"/>
      <c r="D61" s="331"/>
      <c r="E61" s="331"/>
      <c r="F61" s="331"/>
      <c r="G61" s="331"/>
      <c r="H61" s="383"/>
      <c r="I61" s="331"/>
      <c r="J61" s="331"/>
      <c r="K61" s="331"/>
      <c r="L61" s="331">
        <v>106.04657591705072</v>
      </c>
      <c r="M61" s="331">
        <v>106.04657591705072</v>
      </c>
      <c r="N61" s="331">
        <f t="shared" si="76"/>
        <v>0</v>
      </c>
      <c r="O61" s="2060">
        <v>46068</v>
      </c>
      <c r="Q61" s="2512">
        <v>45762</v>
      </c>
      <c r="R61" s="2510"/>
      <c r="S61" s="2513" t="s">
        <v>1385</v>
      </c>
      <c r="AM61" s="282">
        <v>213.86608907503506</v>
      </c>
      <c r="AN61" s="282">
        <v>90.461054172955158</v>
      </c>
      <c r="AO61" s="282">
        <v>210.55707351628905</v>
      </c>
      <c r="AP61" s="282">
        <v>90.391084680940267</v>
      </c>
      <c r="AR61" s="965">
        <f t="shared" si="70"/>
        <v>3.3090155587460117</v>
      </c>
      <c r="AS61" s="965">
        <f t="shared" si="71"/>
        <v>6.9969492014891443E-2</v>
      </c>
      <c r="AX61" s="282">
        <v>0</v>
      </c>
    </row>
    <row r="62" spans="1:54" s="282" customFormat="1" ht="15" customHeight="1">
      <c r="A62" s="331"/>
      <c r="B62" s="331"/>
      <c r="C62" s="331"/>
      <c r="D62" s="331"/>
      <c r="E62" s="331"/>
      <c r="F62" s="331"/>
      <c r="G62" s="331"/>
      <c r="H62" s="383"/>
      <c r="I62" s="331"/>
      <c r="J62" s="331"/>
      <c r="K62" s="331"/>
      <c r="L62" s="331">
        <v>107.46583919306367</v>
      </c>
      <c r="M62" s="331">
        <v>107.46583919306367</v>
      </c>
      <c r="N62" s="331">
        <f t="shared" si="76"/>
        <v>0</v>
      </c>
      <c r="O62" s="2060">
        <v>46069</v>
      </c>
      <c r="Q62" s="2512">
        <v>45763</v>
      </c>
      <c r="R62" s="2510"/>
      <c r="S62" s="2513" t="s">
        <v>1385</v>
      </c>
      <c r="AM62" s="282">
        <v>209.79619120723942</v>
      </c>
      <c r="AN62" s="282">
        <v>87.785156148317427</v>
      </c>
      <c r="AO62" s="282">
        <v>212.4622717091795</v>
      </c>
      <c r="AP62" s="282">
        <v>87.781210101640227</v>
      </c>
      <c r="AR62" s="965">
        <f t="shared" si="70"/>
        <v>-2.6660805019400868</v>
      </c>
      <c r="AS62" s="965">
        <f t="shared" si="71"/>
        <v>3.9460466771998881E-3</v>
      </c>
      <c r="AX62" s="282">
        <v>0</v>
      </c>
    </row>
    <row r="63" spans="1:54" s="282" customFormat="1" ht="15" customHeight="1">
      <c r="A63" s="331"/>
      <c r="B63" s="331"/>
      <c r="C63" s="331"/>
      <c r="D63" s="331"/>
      <c r="E63" s="331"/>
      <c r="F63" s="331"/>
      <c r="G63" s="331"/>
      <c r="H63" s="383"/>
      <c r="I63" s="331"/>
      <c r="J63" s="331"/>
      <c r="K63" s="331"/>
      <c r="L63" s="331">
        <v>105.87393827932905</v>
      </c>
      <c r="M63" s="331">
        <v>105.87393827932905</v>
      </c>
      <c r="N63" s="331">
        <f t="shared" si="76"/>
        <v>0</v>
      </c>
      <c r="O63" s="2060">
        <v>46070</v>
      </c>
      <c r="Q63" s="2512">
        <v>45764</v>
      </c>
      <c r="R63" s="2510"/>
      <c r="S63" s="2513" t="s">
        <v>1387</v>
      </c>
      <c r="AM63" s="282">
        <v>209.33467822599994</v>
      </c>
      <c r="AN63" s="282">
        <v>87.974466413765938</v>
      </c>
      <c r="AO63" s="282">
        <v>213.62804349977054</v>
      </c>
      <c r="AP63" s="282">
        <v>87.880305334163097</v>
      </c>
      <c r="AR63" s="965">
        <f t="shared" si="70"/>
        <v>-4.2933652737706041</v>
      </c>
      <c r="AS63" s="965">
        <f t="shared" si="71"/>
        <v>9.4161079602841369E-2</v>
      </c>
      <c r="AX63" s="282">
        <v>0</v>
      </c>
    </row>
    <row r="64" spans="1:54" s="282" customFormat="1" ht="15" customHeight="1">
      <c r="A64" s="331"/>
      <c r="B64" s="331"/>
      <c r="C64" s="331"/>
      <c r="D64" s="331"/>
      <c r="E64" s="331"/>
      <c r="F64" s="331"/>
      <c r="G64" s="331"/>
      <c r="H64" s="383"/>
      <c r="I64" s="331"/>
      <c r="J64" s="331"/>
      <c r="K64" s="331"/>
      <c r="L64" s="331">
        <v>106.55588754491636</v>
      </c>
      <c r="M64" s="331">
        <v>106.55588754491636</v>
      </c>
      <c r="N64" s="331">
        <f t="shared" si="76"/>
        <v>0</v>
      </c>
      <c r="O64" s="2060">
        <v>46071</v>
      </c>
      <c r="Q64" s="2512">
        <v>45765</v>
      </c>
      <c r="R64" s="2510"/>
      <c r="S64" s="2513" t="s">
        <v>1386</v>
      </c>
      <c r="AM64" s="282">
        <v>210.09760921283328</v>
      </c>
      <c r="AN64" s="282">
        <v>88.240172814977598</v>
      </c>
      <c r="AO64" s="282">
        <v>213.24187883402885</v>
      </c>
      <c r="AP64" s="282">
        <v>88.126869734328665</v>
      </c>
      <c r="AR64" s="965">
        <f t="shared" si="70"/>
        <v>-3.1442696211955763</v>
      </c>
      <c r="AS64" s="965">
        <f t="shared" si="71"/>
        <v>0.11330308064893302</v>
      </c>
      <c r="AX64" s="282">
        <v>0</v>
      </c>
    </row>
    <row r="65" spans="1:50" s="282" customFormat="1" ht="15" customHeight="1">
      <c r="A65" s="331"/>
      <c r="B65" s="331"/>
      <c r="C65" s="331"/>
      <c r="D65" s="331"/>
      <c r="E65" s="331"/>
      <c r="F65" s="331"/>
      <c r="G65" s="331"/>
      <c r="H65" s="383"/>
      <c r="I65" s="331"/>
      <c r="J65" s="331"/>
      <c r="K65" s="331"/>
      <c r="L65" s="331">
        <v>108.17362263768734</v>
      </c>
      <c r="M65" s="331">
        <v>108.17362263768734</v>
      </c>
      <c r="N65" s="331">
        <f t="shared" si="76"/>
        <v>0</v>
      </c>
      <c r="O65" s="2060">
        <v>46072</v>
      </c>
      <c r="Q65" s="2512">
        <v>45766</v>
      </c>
      <c r="R65" s="2510" t="s">
        <v>1380</v>
      </c>
      <c r="S65" s="2513"/>
      <c r="AM65" s="282">
        <v>209.34869545063071</v>
      </c>
      <c r="AN65" s="282">
        <v>88.468711874402786</v>
      </c>
      <c r="AO65" s="282">
        <v>213.61057337609893</v>
      </c>
      <c r="AP65" s="282">
        <v>88.318802916023103</v>
      </c>
      <c r="AR65" s="965">
        <f t="shared" si="70"/>
        <v>-4.2618779254682124</v>
      </c>
      <c r="AS65" s="965">
        <f t="shared" si="71"/>
        <v>0.1499089583796831</v>
      </c>
      <c r="AX65" s="282">
        <v>0</v>
      </c>
    </row>
    <row r="66" spans="1:50" s="282" customFormat="1" ht="15" customHeight="1">
      <c r="A66" s="792">
        <f>+'ST Original'!J27</f>
        <v>97.885672723806138</v>
      </c>
      <c r="C66" s="2507">
        <f>+'MCP ST'!AR21</f>
        <v>8815.391603596765</v>
      </c>
      <c r="D66" s="2506">
        <f t="shared" ref="D66:D76" si="77">+$V$44</f>
        <v>1812</v>
      </c>
      <c r="E66" s="2506">
        <f t="shared" ref="E66:E76" si="78">+C66-$V$44</f>
        <v>7003.391603596765</v>
      </c>
      <c r="F66" s="2508">
        <f t="shared" ref="F66:F76" si="79">+A28</f>
        <v>46101.791666666664</v>
      </c>
      <c r="G66" s="974">
        <v>158.75366086621844</v>
      </c>
      <c r="H66" s="2509">
        <f>('Plan mina ST'!D62+'Plan mina ST'!E62)*24/1000</f>
        <v>205.52678826522117</v>
      </c>
      <c r="I66" s="2507">
        <f t="shared" ref="I66:I76" si="80">+A66*H66/100</f>
        <v>201.18127932104437</v>
      </c>
      <c r="J66" s="2507">
        <f>+K66-500*24*0.978/1000</f>
        <v>189.44527932104438</v>
      </c>
      <c r="K66" s="2507">
        <f t="shared" ref="K66:K76" si="81">+I66</f>
        <v>201.18127932104437</v>
      </c>
      <c r="L66" s="331">
        <v>111.26778094614076</v>
      </c>
      <c r="M66" s="282">
        <v>111.26778094614076</v>
      </c>
      <c r="N66" s="331">
        <f t="shared" si="76"/>
        <v>0</v>
      </c>
      <c r="O66" s="2060">
        <v>46073</v>
      </c>
      <c r="Q66" s="2512">
        <v>45767</v>
      </c>
      <c r="R66" s="2510" t="s">
        <v>1380</v>
      </c>
      <c r="S66" s="2513"/>
      <c r="AM66" s="282">
        <v>211.07918266199863</v>
      </c>
      <c r="AN66" s="282">
        <v>88.532741219991181</v>
      </c>
      <c r="AO66" s="282">
        <v>211.77946426224477</v>
      </c>
      <c r="AP66" s="282">
        <v>88.238703403822967</v>
      </c>
      <c r="AR66" s="965">
        <f t="shared" si="70"/>
        <v>-0.70028160024614294</v>
      </c>
      <c r="AS66" s="965">
        <f t="shared" si="71"/>
        <v>0.29403781616821334</v>
      </c>
      <c r="AX66" s="282">
        <v>0</v>
      </c>
    </row>
    <row r="67" spans="1:50" s="282" customFormat="1" ht="15" customHeight="1">
      <c r="A67" s="792">
        <f>+'ST Original'!J28</f>
        <v>97.885672723806138</v>
      </c>
      <c r="C67" s="2507">
        <f>+'MCP ST'!AR22</f>
        <v>8683.4673730557206</v>
      </c>
      <c r="D67" s="2506">
        <f t="shared" si="77"/>
        <v>1812</v>
      </c>
      <c r="E67" s="2506">
        <f t="shared" si="78"/>
        <v>6871.4673730557206</v>
      </c>
      <c r="F67" s="2508">
        <f t="shared" si="79"/>
        <v>46102.791666666664</v>
      </c>
      <c r="G67" s="974">
        <v>158.75366086621844</v>
      </c>
      <c r="H67" s="2509">
        <f>('Plan mina ST'!D63+'Plan mina ST'!E63)*24/1000</f>
        <v>199.27465769139218</v>
      </c>
      <c r="I67" s="2507">
        <f t="shared" si="80"/>
        <v>195.0613392492811</v>
      </c>
      <c r="J67" s="2507">
        <f>+K67-400*24*0.978/1000</f>
        <v>185.6725392492811</v>
      </c>
      <c r="K67" s="2507">
        <f t="shared" si="81"/>
        <v>195.0613392492811</v>
      </c>
      <c r="L67" s="331">
        <v>110.00566093616773</v>
      </c>
      <c r="M67" s="282">
        <v>110.00566093616773</v>
      </c>
      <c r="N67" s="331">
        <f t="shared" si="76"/>
        <v>0</v>
      </c>
      <c r="O67" s="2060">
        <v>46074</v>
      </c>
      <c r="Q67" s="2512">
        <v>45768</v>
      </c>
      <c r="R67" s="2510" t="s">
        <v>1380</v>
      </c>
      <c r="S67" s="2513"/>
      <c r="AM67" s="282">
        <v>206.7937469718282</v>
      </c>
      <c r="AN67" s="282">
        <v>88.797673639365712</v>
      </c>
      <c r="AO67" s="282">
        <v>204.50794593030002</v>
      </c>
      <c r="AP67" s="282">
        <v>88.447068816575538</v>
      </c>
      <c r="AR67" s="965">
        <f t="shared" si="70"/>
        <v>2.285801041528174</v>
      </c>
      <c r="AS67" s="965">
        <f t="shared" si="71"/>
        <v>0.35060482279017435</v>
      </c>
    </row>
    <row r="68" spans="1:50" s="282" customFormat="1" ht="15" customHeight="1">
      <c r="A68" s="792">
        <f>+'ST Original'!J29</f>
        <v>97.885672723806138</v>
      </c>
      <c r="C68" s="2507">
        <f>+'MCP ST'!AR23</f>
        <v>8714.2352167025492</v>
      </c>
      <c r="D68" s="2506">
        <f t="shared" si="77"/>
        <v>1812</v>
      </c>
      <c r="E68" s="2506">
        <f t="shared" si="78"/>
        <v>6902.2352167025492</v>
      </c>
      <c r="F68" s="2508">
        <f t="shared" si="79"/>
        <v>46103.791666666664</v>
      </c>
      <c r="G68" s="974">
        <v>166.47603830465351</v>
      </c>
      <c r="H68" s="2509">
        <f>('Plan mina ST'!D64+'Plan mina ST'!E64)*24/1000</f>
        <v>200.83497363931494</v>
      </c>
      <c r="I68" s="2507">
        <f t="shared" si="80"/>
        <v>196.58866501152212</v>
      </c>
      <c r="J68" s="2507">
        <f>+K68-400*24*0.978/1000</f>
        <v>187.19986501152212</v>
      </c>
      <c r="K68" s="2507">
        <f t="shared" si="81"/>
        <v>196.58866501152212</v>
      </c>
      <c r="L68" s="331">
        <v>108.83632739305186</v>
      </c>
      <c r="M68" s="282">
        <v>108.83632739305186</v>
      </c>
      <c r="N68" s="331">
        <f t="shared" si="76"/>
        <v>0</v>
      </c>
      <c r="O68" s="2060">
        <v>46075</v>
      </c>
      <c r="Q68" s="2512">
        <v>45769</v>
      </c>
      <c r="R68" s="2510" t="s">
        <v>1380</v>
      </c>
      <c r="S68" s="2513"/>
      <c r="AM68" s="282">
        <v>205.68340911368773</v>
      </c>
      <c r="AN68" s="282">
        <v>88.880759182142683</v>
      </c>
      <c r="AO68" s="282">
        <v>201.63111927059003</v>
      </c>
      <c r="AP68" s="282">
        <v>88.619664927991309</v>
      </c>
      <c r="AR68" s="965">
        <f t="shared" si="70"/>
        <v>4.0522898430976966</v>
      </c>
      <c r="AS68" s="965">
        <f t="shared" si="71"/>
        <v>0.26109425415137366</v>
      </c>
    </row>
    <row r="69" spans="1:50" s="282" customFormat="1" ht="15" customHeight="1">
      <c r="A69" s="792">
        <f>+'ST Original'!J30</f>
        <v>97.885672723806138</v>
      </c>
      <c r="C69" s="2507">
        <f>+'MCP ST'!AR24</f>
        <v>8501.7261044925817</v>
      </c>
      <c r="D69" s="2506">
        <f t="shared" si="77"/>
        <v>1812</v>
      </c>
      <c r="E69" s="2506">
        <f t="shared" si="78"/>
        <v>6689.7261044925817</v>
      </c>
      <c r="F69" s="2508">
        <f t="shared" si="79"/>
        <v>46104.791666666664</v>
      </c>
      <c r="G69" s="974">
        <v>195.82107257070658</v>
      </c>
      <c r="H69" s="2509">
        <f>('Plan mina ST'!D65+'Plan mina ST'!E65)*24/1000</f>
        <v>197.67835268342512</v>
      </c>
      <c r="I69" s="2507">
        <f t="shared" si="80"/>
        <v>193.49878535350877</v>
      </c>
      <c r="J69" s="2507">
        <f>+K69-300*24*0.978/1000</f>
        <v>186.45718535350878</v>
      </c>
      <c r="K69" s="2507">
        <f t="shared" si="81"/>
        <v>193.49878535350877</v>
      </c>
      <c r="L69" s="331">
        <v>108.84662987786099</v>
      </c>
      <c r="M69" s="282">
        <v>108.84662987786099</v>
      </c>
      <c r="N69" s="331">
        <f t="shared" si="76"/>
        <v>0</v>
      </c>
      <c r="O69" s="2060">
        <v>46076</v>
      </c>
      <c r="Q69" s="2512">
        <v>45770</v>
      </c>
      <c r="R69" s="2510"/>
      <c r="S69" s="2513"/>
      <c r="AM69" s="282">
        <v>205.65788194604863</v>
      </c>
      <c r="AN69" s="282">
        <v>89.204401034332278</v>
      </c>
      <c r="AO69" s="282">
        <v>200.70833504704873</v>
      </c>
      <c r="AP69" s="282">
        <v>89.140670430233058</v>
      </c>
      <c r="AR69" s="965">
        <f t="shared" si="70"/>
        <v>4.9495468989998983</v>
      </c>
      <c r="AS69" s="965">
        <f t="shared" si="71"/>
        <v>6.3730604099220045E-2</v>
      </c>
    </row>
    <row r="70" spans="1:50" s="282" customFormat="1" ht="15" customHeight="1">
      <c r="A70" s="792">
        <f>+'ST Original'!J31</f>
        <v>97.885672723806138</v>
      </c>
      <c r="C70" s="2507">
        <f>+'MCP ST'!AR25</f>
        <v>8559.3771924380726</v>
      </c>
      <c r="D70" s="2506">
        <f t="shared" si="77"/>
        <v>1812</v>
      </c>
      <c r="E70" s="2506">
        <f t="shared" si="78"/>
        <v>6747.3771924380726</v>
      </c>
      <c r="F70" s="2508">
        <f t="shared" si="79"/>
        <v>46105.791666666664</v>
      </c>
      <c r="G70" s="974">
        <v>201.89353666425495</v>
      </c>
      <c r="H70" s="2509">
        <f>('Plan mina ST'!D66+'Plan mina ST'!E66)*24/1000</f>
        <v>203.1105444669771</v>
      </c>
      <c r="I70" s="2507">
        <f t="shared" si="80"/>
        <v>198.81612282448594</v>
      </c>
      <c r="J70" s="2507">
        <f>+K70-200*24*0.978/1000</f>
        <v>194.12172282448594</v>
      </c>
      <c r="K70" s="2507">
        <f t="shared" si="81"/>
        <v>198.81612282448594</v>
      </c>
      <c r="L70" s="331">
        <v>105.5514373785893</v>
      </c>
      <c r="M70" s="282">
        <v>105.5514373785893</v>
      </c>
      <c r="N70" s="331">
        <f t="shared" si="76"/>
        <v>0</v>
      </c>
      <c r="O70" s="2060">
        <v>46077</v>
      </c>
      <c r="Q70" s="2512">
        <v>45771</v>
      </c>
      <c r="R70" s="2510"/>
      <c r="S70" s="2513"/>
      <c r="AM70" s="282">
        <v>207.09168194884333</v>
      </c>
      <c r="AN70" s="282">
        <v>89.185799058458684</v>
      </c>
      <c r="AO70" s="282">
        <v>203.70637902755226</v>
      </c>
      <c r="AP70" s="282">
        <v>89.115851034347983</v>
      </c>
      <c r="AR70" s="965">
        <f t="shared" si="70"/>
        <v>3.3853029212910712</v>
      </c>
      <c r="AS70" s="965">
        <f t="shared" si="71"/>
        <v>6.9948024110701112E-2</v>
      </c>
    </row>
    <row r="71" spans="1:50" s="282" customFormat="1" ht="15" customHeight="1">
      <c r="A71" s="792">
        <f>+'ST Original'!J32</f>
        <v>97.885672723806138</v>
      </c>
      <c r="C71" s="2507">
        <f>+'MCP ST'!AR26</f>
        <v>8380.3142095716175</v>
      </c>
      <c r="D71" s="2506">
        <f t="shared" si="77"/>
        <v>1812</v>
      </c>
      <c r="E71" s="2506">
        <f t="shared" si="78"/>
        <v>6568.3142095716175</v>
      </c>
      <c r="F71" s="2508">
        <f t="shared" si="79"/>
        <v>46106.791666666664</v>
      </c>
      <c r="G71" s="974">
        <v>196.28818519328721</v>
      </c>
      <c r="H71" s="2509">
        <f>('Plan mina ST'!D67+'Plan mina ST'!E67)*24/1000</f>
        <v>205.1660335261605</v>
      </c>
      <c r="I71" s="2507">
        <f t="shared" si="80"/>
        <v>200.82815211783185</v>
      </c>
      <c r="J71" s="2507">
        <f>+K71-200*24*0.978/1000</f>
        <v>196.13375211783185</v>
      </c>
      <c r="K71" s="2507">
        <f t="shared" si="81"/>
        <v>200.82815211783185</v>
      </c>
      <c r="L71" s="331">
        <v>105.53596081132559</v>
      </c>
      <c r="M71" s="282">
        <v>105.53596081132559</v>
      </c>
      <c r="N71" s="331">
        <f t="shared" si="76"/>
        <v>0</v>
      </c>
      <c r="O71" s="2060">
        <v>46078</v>
      </c>
      <c r="Q71" s="2512">
        <v>45772</v>
      </c>
      <c r="R71" s="2510"/>
      <c r="S71" s="2513"/>
      <c r="AM71" s="282">
        <v>209.26828553201494</v>
      </c>
      <c r="AN71" s="282">
        <v>89.072345986857229</v>
      </c>
      <c r="AO71" s="282">
        <v>208.10159181407028</v>
      </c>
      <c r="AP71" s="282">
        <v>88.978365070281058</v>
      </c>
      <c r="AR71" s="965">
        <f t="shared" si="70"/>
        <v>1.1666937179446677</v>
      </c>
      <c r="AS71" s="965">
        <f t="shared" si="71"/>
        <v>9.398091657617158E-2</v>
      </c>
    </row>
    <row r="72" spans="1:50" s="282" customFormat="1" ht="15" customHeight="1">
      <c r="A72" s="792">
        <f>+'ST Original'!J33</f>
        <v>97.885672723806138</v>
      </c>
      <c r="C72" s="2507">
        <f>+'MCP ST'!AR27</f>
        <v>8606.058441499561</v>
      </c>
      <c r="D72" s="2506">
        <f t="shared" si="77"/>
        <v>1812</v>
      </c>
      <c r="E72" s="2506">
        <f t="shared" si="78"/>
        <v>6794.058441499561</v>
      </c>
      <c r="F72" s="2508">
        <f t="shared" si="79"/>
        <v>46107.791666666664</v>
      </c>
      <c r="G72" s="974">
        <v>198.62374830619041</v>
      </c>
      <c r="H72" s="2509">
        <f>('Plan mina ST'!D68+'Plan mina ST'!E68)*24/1000</f>
        <v>213.23377200051539</v>
      </c>
      <c r="I72" s="2507">
        <f t="shared" si="80"/>
        <v>208.72531219705147</v>
      </c>
      <c r="J72" s="2507">
        <f>+K72-100*24*0.978/1000</f>
        <v>206.37811219705148</v>
      </c>
      <c r="K72" s="2507">
        <f t="shared" si="81"/>
        <v>208.72531219705147</v>
      </c>
      <c r="L72" s="331">
        <v>106.40355677168014</v>
      </c>
      <c r="M72" s="2511">
        <v>106.40355677168014</v>
      </c>
      <c r="N72" s="331">
        <f t="shared" si="76"/>
        <v>0</v>
      </c>
      <c r="O72" s="2060">
        <v>46079</v>
      </c>
      <c r="Q72" s="2512">
        <v>45773</v>
      </c>
      <c r="R72" s="2510"/>
      <c r="S72" s="2513"/>
      <c r="AM72" s="282">
        <v>209.7122407285311</v>
      </c>
      <c r="AN72" s="282">
        <v>88.806274499698276</v>
      </c>
      <c r="AO72" s="282">
        <v>208.14873548819941</v>
      </c>
      <c r="AP72" s="282">
        <v>88.783190360594887</v>
      </c>
      <c r="AR72" s="965">
        <f t="shared" si="70"/>
        <v>1.5635052403316934</v>
      </c>
      <c r="AS72" s="965">
        <f t="shared" si="71"/>
        <v>2.3084139103389134E-2</v>
      </c>
    </row>
    <row r="73" spans="1:50" s="282" customFormat="1" ht="15" customHeight="1">
      <c r="A73" s="792">
        <f>+'ST Original'!J34</f>
        <v>97.885672723806138</v>
      </c>
      <c r="C73" s="2507">
        <f>+'MCP ST'!AR28</f>
        <v>8913.7256264268926</v>
      </c>
      <c r="D73" s="2506">
        <f t="shared" si="77"/>
        <v>1812</v>
      </c>
      <c r="E73" s="2506">
        <f t="shared" si="78"/>
        <v>7101.7256264268926</v>
      </c>
      <c r="F73" s="2508">
        <f t="shared" si="79"/>
        <v>46108.791666666664</v>
      </c>
      <c r="G73" s="974">
        <v>198.62374830619041</v>
      </c>
      <c r="H73" s="2509">
        <f>('Plan mina ST'!D69+'Plan mina ST'!E69)*24/1000</f>
        <v>213.62140298157288</v>
      </c>
      <c r="I73" s="2507">
        <f t="shared" si="80"/>
        <v>209.1047473905455</v>
      </c>
      <c r="J73" s="2507">
        <f>+K73-1240*24*0.978/1000</f>
        <v>179.9994673905455</v>
      </c>
      <c r="K73" s="2507">
        <f t="shared" si="81"/>
        <v>209.1047473905455</v>
      </c>
      <c r="L73" s="331">
        <v>107.04231311538551</v>
      </c>
      <c r="M73" s="282">
        <v>107.04231311538551</v>
      </c>
      <c r="N73" s="331">
        <f t="shared" si="76"/>
        <v>0</v>
      </c>
      <c r="O73" s="2060">
        <v>46080</v>
      </c>
      <c r="Q73" s="2512">
        <v>45774</v>
      </c>
      <c r="R73" s="2510"/>
      <c r="S73" s="2513" t="s">
        <v>1383</v>
      </c>
      <c r="AM73" s="282">
        <v>209.08325854832452</v>
      </c>
      <c r="AN73" s="282">
        <v>88.752347442374855</v>
      </c>
      <c r="AO73" s="282">
        <v>207.80720340154787</v>
      </c>
      <c r="AP73" s="282">
        <v>88.692530408852747</v>
      </c>
      <c r="AR73" s="965">
        <f t="shared" si="70"/>
        <v>1.2760551467766561</v>
      </c>
      <c r="AS73" s="965">
        <f t="shared" si="71"/>
        <v>5.9817033522108431E-2</v>
      </c>
    </row>
    <row r="74" spans="1:50" s="282" customFormat="1" ht="15" customHeight="1">
      <c r="A74" s="792">
        <f>+'ST Original'!J35</f>
        <v>97.885672723806138</v>
      </c>
      <c r="C74" s="2507">
        <f>+'MCP ST'!AR29</f>
        <v>9356.117532958262</v>
      </c>
      <c r="D74" s="2506">
        <f t="shared" si="77"/>
        <v>1812</v>
      </c>
      <c r="E74" s="2506">
        <f t="shared" si="78"/>
        <v>7544.117532958262</v>
      </c>
      <c r="F74" s="2508">
        <f t="shared" si="79"/>
        <v>46109.791666666664</v>
      </c>
      <c r="G74" s="974">
        <v>200.95931141909364</v>
      </c>
      <c r="H74" s="2509">
        <f>('Plan mina ST'!D70+'Plan mina ST'!E70)*24/1000</f>
        <v>219.7661877942694</v>
      </c>
      <c r="I74" s="2507">
        <f t="shared" si="80"/>
        <v>215.11961134188371</v>
      </c>
      <c r="J74" s="2507">
        <f>+K74-700*24*0.978/1000</f>
        <v>198.68921134188372</v>
      </c>
      <c r="K74" s="2507">
        <f>+I74</f>
        <v>215.11961134188371</v>
      </c>
      <c r="L74" s="331">
        <v>106.5799407100387</v>
      </c>
      <c r="M74" s="282">
        <v>106.5799407100387</v>
      </c>
      <c r="N74" s="331">
        <f t="shared" si="76"/>
        <v>0</v>
      </c>
      <c r="O74" s="2060">
        <v>46081</v>
      </c>
      <c r="Q74" s="2512">
        <v>45775</v>
      </c>
      <c r="R74" s="2510"/>
      <c r="S74" s="2513" t="s">
        <v>1383</v>
      </c>
      <c r="AM74" s="282">
        <v>209.0414101672489</v>
      </c>
      <c r="AN74" s="282">
        <v>88.583629523287783</v>
      </c>
      <c r="AO74" s="282">
        <v>208.34999261948016</v>
      </c>
      <c r="AP74" s="282">
        <v>88.550206114222718</v>
      </c>
      <c r="AR74" s="965">
        <f t="shared" si="70"/>
        <v>0.69141754776873654</v>
      </c>
      <c r="AS74" s="965">
        <f t="shared" si="71"/>
        <v>3.3423409065065357E-2</v>
      </c>
    </row>
    <row r="75" spans="1:50" s="282" customFormat="1" ht="15" customHeight="1">
      <c r="A75" s="792">
        <f>+'ST Original'!J36</f>
        <v>97.885672723806138</v>
      </c>
      <c r="C75" s="2507">
        <f>+'MCP ST'!AR30</f>
        <v>9265.5341323998418</v>
      </c>
      <c r="D75" s="2506">
        <f t="shared" si="77"/>
        <v>1812</v>
      </c>
      <c r="E75" s="2506">
        <f t="shared" si="78"/>
        <v>7453.5341323998418</v>
      </c>
      <c r="F75" s="2508">
        <f t="shared" si="79"/>
        <v>46110.791666666664</v>
      </c>
      <c r="G75" s="974">
        <v>203</v>
      </c>
      <c r="H75" s="2509">
        <f>('Plan mina ST'!D71+'Plan mina ST'!E71)*24/1000</f>
        <v>214.71637875622471</v>
      </c>
      <c r="I75" s="2507">
        <f t="shared" si="80"/>
        <v>210.17657179372614</v>
      </c>
      <c r="J75" s="2507">
        <f>+K75-700*24*0.978/1000</f>
        <v>193.74617179372615</v>
      </c>
      <c r="K75" s="2507">
        <f t="shared" si="81"/>
        <v>210.17657179372614</v>
      </c>
      <c r="L75" s="331">
        <v>110.92038487472857</v>
      </c>
      <c r="M75" s="2511">
        <v>106.5799407100387</v>
      </c>
      <c r="N75" s="331">
        <f t="shared" si="76"/>
        <v>4.3404441646898704</v>
      </c>
      <c r="O75" s="2060">
        <v>46082</v>
      </c>
      <c r="Q75" s="2512">
        <v>45776</v>
      </c>
      <c r="R75" s="2510"/>
      <c r="S75" s="2513" t="s">
        <v>1383</v>
      </c>
      <c r="AM75" s="282">
        <v>209.6220410759459</v>
      </c>
      <c r="AN75" s="282">
        <v>88.508242440666152</v>
      </c>
      <c r="AO75" s="282">
        <v>208.50405020210763</v>
      </c>
      <c r="AP75" s="282">
        <v>88.472861707457767</v>
      </c>
      <c r="AR75" s="965">
        <f t="shared" si="70"/>
        <v>1.1179908738382665</v>
      </c>
      <c r="AS75" s="965">
        <f t="shared" si="71"/>
        <v>3.538073320838464E-2</v>
      </c>
    </row>
    <row r="76" spans="1:50" s="282" customFormat="1" ht="15" customHeight="1">
      <c r="A76" s="792">
        <f>+'ST Original'!J37</f>
        <v>97.885672723806138</v>
      </c>
      <c r="C76" s="2507">
        <f>+'MCP ST'!AR31</f>
        <v>9103.9049317089266</v>
      </c>
      <c r="D76" s="2506">
        <f t="shared" si="77"/>
        <v>1812</v>
      </c>
      <c r="E76" s="2506">
        <f t="shared" si="78"/>
        <v>7291.9049317089266</v>
      </c>
      <c r="F76" s="2508">
        <f t="shared" si="79"/>
        <v>46111.791666666664</v>
      </c>
      <c r="G76" s="974">
        <v>203</v>
      </c>
      <c r="H76" s="2509">
        <f>('Plan mina ST'!D72+'Plan mina ST'!E72)*24/1000</f>
        <v>209.68971018430088</v>
      </c>
      <c r="I76" s="2507">
        <f t="shared" si="80"/>
        <v>205.25618344650238</v>
      </c>
      <c r="J76" s="2507">
        <f>+K76-700*24*0.978/1000</f>
        <v>188.82578344650238</v>
      </c>
      <c r="K76" s="2507">
        <f t="shared" si="81"/>
        <v>205.25618344650238</v>
      </c>
      <c r="L76" s="331">
        <v>115.12244920358368</v>
      </c>
      <c r="M76" s="282">
        <v>106.5799407100387</v>
      </c>
      <c r="N76" s="331">
        <f t="shared" si="76"/>
        <v>8.542508493544986</v>
      </c>
      <c r="O76" s="2060">
        <v>46083</v>
      </c>
      <c r="Q76" s="2512">
        <v>45777</v>
      </c>
      <c r="R76" s="2510"/>
      <c r="S76" s="2513" t="s">
        <v>1384</v>
      </c>
      <c r="AM76" s="282">
        <v>211.25332112721725</v>
      </c>
      <c r="AN76" s="282">
        <v>88.45280629952174</v>
      </c>
      <c r="AO76" s="282">
        <v>209.49570481665995</v>
      </c>
      <c r="AP76" s="282">
        <v>88.430285695760332</v>
      </c>
      <c r="AR76" s="965">
        <f t="shared" si="70"/>
        <v>1.7576163105572959</v>
      </c>
      <c r="AS76" s="965">
        <f t="shared" si="71"/>
        <v>2.2520603761407187E-2</v>
      </c>
    </row>
    <row r="77" spans="1:50" s="282" customFormat="1" ht="15" customHeight="1">
      <c r="A77" s="792"/>
      <c r="C77" s="2507"/>
      <c r="D77" s="2506"/>
      <c r="E77" s="2506"/>
      <c r="F77" s="2508"/>
      <c r="G77" s="974"/>
      <c r="H77" s="2509"/>
      <c r="I77" s="2507"/>
      <c r="J77" s="2507"/>
      <c r="K77" s="2507"/>
      <c r="L77" s="331">
        <v>119.20414471028235</v>
      </c>
      <c r="M77" s="282">
        <v>106.5799407100387</v>
      </c>
      <c r="N77" s="331">
        <f t="shared" si="76"/>
        <v>12.624204000243651</v>
      </c>
      <c r="O77" s="2060">
        <v>46084</v>
      </c>
      <c r="Q77" s="2514"/>
      <c r="R77" s="2515"/>
      <c r="S77" s="2516"/>
      <c r="AM77" s="282">
        <f>+AVERAGE(AM46:AM76)</f>
        <v>210.24333339139403</v>
      </c>
      <c r="AN77" s="282">
        <f t="shared" ref="AN77:AS77" si="82">+AVERAGE(AN46:AN76)</f>
        <v>88.651414850105539</v>
      </c>
      <c r="AO77" s="282">
        <f t="shared" si="82"/>
        <v>210.57959891509796</v>
      </c>
      <c r="AP77" s="282">
        <f t="shared" si="82"/>
        <v>88.53575053662091</v>
      </c>
      <c r="AR77" s="282">
        <f t="shared" si="82"/>
        <v>-0.3362655237039594</v>
      </c>
      <c r="AS77" s="282">
        <f t="shared" si="82"/>
        <v>0.11566431348467085</v>
      </c>
    </row>
    <row r="78" spans="1:50">
      <c r="C78" s="2507">
        <f>+'MCP ST'!AR34</f>
        <v>0</v>
      </c>
      <c r="H78" s="2504"/>
      <c r="I78" s="2504"/>
      <c r="J78" s="2504"/>
      <c r="K78" s="2504"/>
      <c r="L78" s="2505"/>
      <c r="N78" s="219"/>
      <c r="O78" s="219"/>
      <c r="P78" s="331" t="s">
        <v>53</v>
      </c>
    </row>
    <row r="81" spans="6:7">
      <c r="F81" s="2060">
        <f>+F47</f>
        <v>7.75</v>
      </c>
      <c r="G81" s="2060"/>
    </row>
  </sheetData>
  <mergeCells count="1">
    <mergeCell ref="AT1:AW1"/>
  </mergeCells>
  <phoneticPr fontId="51" type="noConversion"/>
  <conditionalFormatting sqref="AK9:AL39">
    <cfRule type="cellIs" dxfId="228" priority="1" operator="lessThan">
      <formula>180</formula>
    </cfRule>
  </conditionalFormatting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42D62-8F9A-4C7A-B75E-C9515CFE3BC0}">
  <sheetPr codeName="Hoja18">
    <tabColor theme="4" tint="0.39997558519241921"/>
  </sheetPr>
  <dimension ref="A1:BG71"/>
  <sheetViews>
    <sheetView zoomScale="90" zoomScaleNormal="90" workbookViewId="0">
      <pane ySplit="1" topLeftCell="A3" activePane="bottomLeft" state="frozen"/>
      <selection activeCell="D1" sqref="D1"/>
      <selection pane="bottomLeft" activeCell="K27" sqref="K27"/>
    </sheetView>
  </sheetViews>
  <sheetFormatPr baseColWidth="10" defaultColWidth="11.81640625" defaultRowHeight="12.5"/>
  <cols>
    <col min="1" max="1" width="19.453125" style="331" bestFit="1" customWidth="1"/>
    <col min="2" max="2" width="11.453125" style="331" customWidth="1"/>
    <col min="3" max="3" width="8" style="331" bestFit="1" customWidth="1"/>
    <col min="4" max="4" width="8.81640625" style="331" bestFit="1" customWidth="1"/>
    <col min="5" max="5" width="10" style="331" bestFit="1" customWidth="1"/>
    <col min="6" max="8" width="8" style="331" bestFit="1" customWidth="1"/>
    <col min="9" max="12" width="9" style="331" bestFit="1" customWidth="1"/>
    <col min="13" max="13" width="13.81640625" style="331" customWidth="1"/>
    <col min="14" max="14" width="9.81640625" style="331" bestFit="1" customWidth="1"/>
    <col min="15" max="15" width="8.81640625" style="331" bestFit="1" customWidth="1"/>
    <col min="16" max="16" width="9" style="331" bestFit="1" customWidth="1"/>
    <col min="17" max="17" width="8" style="331" bestFit="1" customWidth="1"/>
    <col min="18" max="18" width="9" style="331" bestFit="1" customWidth="1"/>
    <col min="19" max="19" width="10" style="331" bestFit="1" customWidth="1"/>
    <col min="20" max="20" width="9" style="331" bestFit="1" customWidth="1"/>
    <col min="21" max="21" width="9.453125" style="331" bestFit="1" customWidth="1"/>
    <col min="22" max="22" width="9.81640625" style="331" bestFit="1" customWidth="1"/>
    <col min="23" max="23" width="10.54296875" style="331" bestFit="1" customWidth="1"/>
    <col min="24" max="24" width="9.453125" style="331" bestFit="1" customWidth="1"/>
    <col min="25" max="26" width="11.54296875" style="331" bestFit="1" customWidth="1"/>
    <col min="27" max="27" width="10.54296875" style="331" bestFit="1" customWidth="1"/>
    <col min="28" max="28" width="9.453125" style="331" bestFit="1" customWidth="1"/>
    <col min="29" max="29" width="10.54296875" style="331" bestFit="1" customWidth="1"/>
    <col min="30" max="30" width="13.54296875" style="331" customWidth="1"/>
    <col min="31" max="36" width="8" style="331" bestFit="1" customWidth="1"/>
    <col min="37" max="37" width="8.1796875" style="331" bestFit="1" customWidth="1"/>
    <col min="38" max="38" width="7.1796875" style="331" bestFit="1" customWidth="1"/>
    <col min="39" max="39" width="11.453125" style="331" bestFit="1" customWidth="1"/>
    <col min="40" max="40" width="10.81640625" style="331" bestFit="1" customWidth="1"/>
    <col min="41" max="41" width="11.1796875" style="331" bestFit="1" customWidth="1"/>
    <col min="42" max="42" width="13.1796875" style="331" bestFit="1" customWidth="1"/>
    <col min="43" max="43" width="10.54296875" style="331" bestFit="1" customWidth="1"/>
    <col min="44" max="44" width="14.453125" style="331" bestFit="1" customWidth="1"/>
    <col min="45" max="45" width="8.1796875" style="331" bestFit="1" customWidth="1"/>
    <col min="46" max="47" width="10.453125" style="331" bestFit="1" customWidth="1"/>
    <col min="48" max="48" width="11.81640625" style="331"/>
    <col min="49" max="49" width="10.54296875" style="331" bestFit="1" customWidth="1"/>
    <col min="50" max="50" width="16.81640625" style="331" bestFit="1" customWidth="1"/>
    <col min="51" max="52" width="17.1796875" style="331" bestFit="1" customWidth="1"/>
    <col min="53" max="53" width="16.1796875" style="331" bestFit="1" customWidth="1"/>
    <col min="54" max="54" width="12.1796875" style="331" bestFit="1" customWidth="1"/>
    <col min="55" max="55" width="5.1796875" style="331" bestFit="1" customWidth="1"/>
    <col min="56" max="56" width="7" style="331" bestFit="1" customWidth="1"/>
    <col min="57" max="57" width="12.1796875" style="331" bestFit="1" customWidth="1"/>
    <col min="58" max="58" width="6.81640625" style="331" bestFit="1" customWidth="1"/>
    <col min="59" max="59" width="3.1796875" style="331" bestFit="1" customWidth="1"/>
    <col min="60" max="16384" width="11.81640625" style="331"/>
  </cols>
  <sheetData>
    <row r="1" spans="1:59" s="2059" customFormat="1" ht="31">
      <c r="A1" s="2118" t="s">
        <v>535</v>
      </c>
      <c r="B1" s="2117" t="s">
        <v>100</v>
      </c>
      <c r="C1" s="2119" t="s">
        <v>455</v>
      </c>
      <c r="D1" s="2119" t="s">
        <v>536</v>
      </c>
      <c r="E1" s="2117" t="s">
        <v>537</v>
      </c>
      <c r="F1" s="2120" t="s">
        <v>458</v>
      </c>
      <c r="G1" s="2119" t="s">
        <v>378</v>
      </c>
      <c r="H1" s="2119" t="s">
        <v>538</v>
      </c>
      <c r="I1" s="2119" t="s">
        <v>539</v>
      </c>
      <c r="J1" s="2119" t="s">
        <v>540</v>
      </c>
      <c r="K1" s="2119" t="s">
        <v>541</v>
      </c>
      <c r="L1" s="2121" t="s">
        <v>461</v>
      </c>
      <c r="M1" s="2117" t="s">
        <v>462</v>
      </c>
      <c r="N1" s="2120" t="s">
        <v>463</v>
      </c>
      <c r="O1" s="2120" t="s">
        <v>464</v>
      </c>
      <c r="P1" s="2120" t="s">
        <v>465</v>
      </c>
      <c r="Q1" s="2120" t="s">
        <v>467</v>
      </c>
      <c r="R1" s="2121" t="s">
        <v>466</v>
      </c>
      <c r="S1" s="2117" t="s">
        <v>468</v>
      </c>
      <c r="T1" s="2121" t="s">
        <v>542</v>
      </c>
      <c r="U1" s="2121" t="s">
        <v>470</v>
      </c>
      <c r="V1" s="2121" t="s">
        <v>471</v>
      </c>
      <c r="W1" s="2117" t="s">
        <v>472</v>
      </c>
      <c r="X1" s="2117" t="s">
        <v>473</v>
      </c>
      <c r="Y1" s="2117" t="s">
        <v>474</v>
      </c>
      <c r="Z1" s="2117" t="s">
        <v>475</v>
      </c>
      <c r="AA1" s="2117" t="s">
        <v>476</v>
      </c>
      <c r="AB1" s="2117" t="s">
        <v>477</v>
      </c>
      <c r="AC1" s="2117" t="s">
        <v>478</v>
      </c>
      <c r="AD1" s="2116">
        <v>137</v>
      </c>
      <c r="AE1" s="2116">
        <v>150</v>
      </c>
      <c r="AF1" s="2116">
        <v>180</v>
      </c>
      <c r="AG1" s="2116">
        <v>210</v>
      </c>
      <c r="AH1" s="2116">
        <v>240</v>
      </c>
      <c r="AI1" s="2116">
        <v>250</v>
      </c>
      <c r="AJ1" s="2116">
        <v>300</v>
      </c>
      <c r="AK1" s="2116" t="s">
        <v>83</v>
      </c>
      <c r="AL1" s="2116" t="s">
        <v>1162</v>
      </c>
      <c r="AM1" s="2116" t="s">
        <v>1201</v>
      </c>
      <c r="AN1" s="2117" t="s">
        <v>543</v>
      </c>
      <c r="AO1" s="2117" t="s">
        <v>544</v>
      </c>
      <c r="AP1" s="2117" t="s">
        <v>545</v>
      </c>
      <c r="AQ1" s="2121" t="s">
        <v>547</v>
      </c>
      <c r="AR1" s="2117" t="s">
        <v>548</v>
      </c>
      <c r="AS1" s="2117" t="s">
        <v>390</v>
      </c>
      <c r="AT1" s="2117" t="s">
        <v>1322</v>
      </c>
      <c r="AU1" s="2117" t="s">
        <v>1322</v>
      </c>
      <c r="AV1" s="186"/>
      <c r="AW1" s="186"/>
      <c r="AX1" s="2117" t="s">
        <v>1399</v>
      </c>
      <c r="AY1" s="2117" t="s">
        <v>1400</v>
      </c>
      <c r="AZ1" s="2117" t="s">
        <v>1401</v>
      </c>
      <c r="BA1" s="2117" t="s">
        <v>1402</v>
      </c>
      <c r="BB1" s="186"/>
      <c r="BC1" s="186"/>
      <c r="BD1" s="2119" t="s">
        <v>540</v>
      </c>
    </row>
    <row r="2" spans="1:59" s="362" customFormat="1" ht="15.5">
      <c r="A2" s="3607">
        <v>1</v>
      </c>
      <c r="B2" s="3092">
        <v>180000.00000031578</v>
      </c>
      <c r="C2" s="3608">
        <v>0.64496322650059046</v>
      </c>
      <c r="D2" s="3091">
        <v>0.53577266948079771</v>
      </c>
      <c r="E2" s="3092">
        <v>275.37082353416963</v>
      </c>
      <c r="F2" s="3091">
        <v>4.6199791034031754E-2</v>
      </c>
      <c r="G2" s="3608">
        <v>1.4813892882876376</v>
      </c>
      <c r="H2" s="3608">
        <v>1.0554056551111879</v>
      </c>
      <c r="I2" s="3608">
        <v>29.182509309000007</v>
      </c>
      <c r="J2" s="3608">
        <v>89.807516984710873</v>
      </c>
      <c r="K2" s="3608">
        <v>85.533304070357659</v>
      </c>
      <c r="L2" s="3153">
        <v>12.475370071720862</v>
      </c>
      <c r="M2" s="3092">
        <v>445.24447056088866</v>
      </c>
      <c r="N2" s="3091">
        <v>0.95446819232470492</v>
      </c>
      <c r="O2" s="3091">
        <v>0.18277807486534425</v>
      </c>
      <c r="P2" s="3091">
        <v>0.29069118652483289</v>
      </c>
      <c r="Q2" s="3091">
        <v>8.7333390712014403E-3</v>
      </c>
      <c r="R2" s="3153">
        <v>13.340934941070996</v>
      </c>
      <c r="S2" s="3092">
        <v>204.23279003266484</v>
      </c>
      <c r="T2" s="3153">
        <v>36.675380974817763</v>
      </c>
      <c r="U2" s="3153">
        <v>87.854089168436545</v>
      </c>
      <c r="V2" s="3153">
        <v>96.378941330274941</v>
      </c>
      <c r="W2" s="3092">
        <v>6169.7751907434522</v>
      </c>
      <c r="X2" s="3092">
        <v>0</v>
      </c>
      <c r="Y2" s="3092">
        <v>0</v>
      </c>
      <c r="Z2" s="3092">
        <v>170766.89694059078</v>
      </c>
      <c r="AA2" s="3092">
        <v>0</v>
      </c>
      <c r="AB2" s="3092">
        <v>0</v>
      </c>
      <c r="AC2" s="3092">
        <v>3063.2829569879746</v>
      </c>
      <c r="AD2" s="3608">
        <v>93.874951420972721</v>
      </c>
      <c r="AE2" s="3608">
        <v>92.59127551087353</v>
      </c>
      <c r="AF2" s="3608">
        <v>90.448370673904307</v>
      </c>
      <c r="AG2" s="3608">
        <v>88.594539234808551</v>
      </c>
      <c r="AH2" s="3608">
        <v>85.664791516612681</v>
      </c>
      <c r="AI2" s="3608">
        <v>84.682302978505135</v>
      </c>
      <c r="AJ2" s="3608">
        <v>78.53523255715271</v>
      </c>
      <c r="AK2" s="3608">
        <v>102.97290169691868</v>
      </c>
      <c r="AL2" s="3091">
        <v>5.8210469622854361E-3</v>
      </c>
      <c r="AM2" s="3608">
        <v>1.1164732370519399</v>
      </c>
      <c r="AN2" s="3092">
        <v>845.80301690514409</v>
      </c>
      <c r="AO2" s="3092">
        <v>939.56126332193992</v>
      </c>
      <c r="AP2" s="3092">
        <v>2800.0645670346466</v>
      </c>
      <c r="AQ2" s="3153">
        <v>20.579309430096647</v>
      </c>
      <c r="AR2" s="3092">
        <v>8756.1869417259022</v>
      </c>
      <c r="AS2" s="3608">
        <v>1.967079068207177</v>
      </c>
      <c r="AT2" s="3609">
        <v>0.94870521971407751</v>
      </c>
      <c r="AU2" s="3610">
        <f>+AT2</f>
        <v>0.94870521971407751</v>
      </c>
      <c r="AV2" s="3126">
        <f>+AK2/25.4*1.08</f>
        <v>4.378375347742999</v>
      </c>
      <c r="AW2" s="2678"/>
      <c r="AX2" s="3092"/>
      <c r="AY2" s="308"/>
      <c r="AZ2" s="308"/>
      <c r="BA2" s="308"/>
      <c r="BC2" s="308"/>
      <c r="BD2" s="3608"/>
      <c r="BF2" s="2679"/>
      <c r="BG2" s="308"/>
    </row>
    <row r="3" spans="1:59" s="362" customFormat="1" ht="15.5">
      <c r="A3" s="3607">
        <f>+A2+1</f>
        <v>2</v>
      </c>
      <c r="B3" s="3092">
        <v>180000.00000038478</v>
      </c>
      <c r="C3" s="3608">
        <v>0.60619242116389604</v>
      </c>
      <c r="D3" s="3091">
        <v>0.51534433766209709</v>
      </c>
      <c r="E3" s="3092">
        <v>230.76029228681685</v>
      </c>
      <c r="F3" s="3091">
        <v>4.4824729141085311E-2</v>
      </c>
      <c r="G3" s="3608">
        <v>1.4239715059710938</v>
      </c>
      <c r="H3" s="3608">
        <v>1.1603371351077296</v>
      </c>
      <c r="I3" s="3608">
        <v>27.738964166145095</v>
      </c>
      <c r="J3" s="3608">
        <v>89.381371015675711</v>
      </c>
      <c r="K3" s="3608">
        <v>85.210029291790747</v>
      </c>
      <c r="L3" s="3153">
        <v>12.657770878649988</v>
      </c>
      <c r="M3" s="3092">
        <v>590.15298773465929</v>
      </c>
      <c r="N3" s="3091">
        <v>0.93728208140654778</v>
      </c>
      <c r="O3" s="3091">
        <v>0.46000023609861412</v>
      </c>
      <c r="P3" s="3091">
        <v>0.22957473308023896</v>
      </c>
      <c r="Q3" s="3091">
        <v>4.2880437327138421E-2</v>
      </c>
      <c r="R3" s="3153">
        <v>15.018858959845458</v>
      </c>
      <c r="S3" s="3092">
        <v>207.82240251876564</v>
      </c>
      <c r="T3" s="3153">
        <v>37.065796219206057</v>
      </c>
      <c r="U3" s="3153">
        <v>87.539350029988114</v>
      </c>
      <c r="V3" s="3153">
        <v>90.130573498039709</v>
      </c>
      <c r="W3" s="3092">
        <v>26600.671733175586</v>
      </c>
      <c r="X3" s="3092">
        <v>0</v>
      </c>
      <c r="Y3" s="3092">
        <v>0</v>
      </c>
      <c r="Z3" s="3092">
        <v>147119.12276274778</v>
      </c>
      <c r="AA3" s="3092">
        <v>0</v>
      </c>
      <c r="AB3" s="3092">
        <v>0</v>
      </c>
      <c r="AC3" s="3092">
        <v>6280.0830496513117</v>
      </c>
      <c r="AD3" s="3608">
        <v>93.31225386784854</v>
      </c>
      <c r="AE3" s="3608">
        <v>91.993854571975803</v>
      </c>
      <c r="AF3" s="3608">
        <v>89.924033590102539</v>
      </c>
      <c r="AG3" s="3608">
        <v>88.027099668965533</v>
      </c>
      <c r="AH3" s="3608">
        <v>84.955663477492948</v>
      </c>
      <c r="AI3" s="3608">
        <v>83.929747788390372</v>
      </c>
      <c r="AJ3" s="3608">
        <v>78.345164640849902</v>
      </c>
      <c r="AK3" s="3608">
        <v>100.78808493004627</v>
      </c>
      <c r="AL3" s="3091">
        <v>6.8306433269372342E-3</v>
      </c>
      <c r="AM3" s="3608">
        <v>1.3579516536585401</v>
      </c>
      <c r="AN3" s="3092">
        <v>820.08544870456876</v>
      </c>
      <c r="AO3" s="3092">
        <v>916.58793612243755</v>
      </c>
      <c r="AP3" s="3092">
        <v>2874.0687543624003</v>
      </c>
      <c r="AQ3" s="3153">
        <v>20.546107017456233</v>
      </c>
      <c r="AR3" s="3092">
        <v>8813.0735087652793</v>
      </c>
      <c r="AS3" s="3608">
        <v>1.6861898107818687</v>
      </c>
      <c r="AT3" s="3609">
        <v>0.81732901582390405</v>
      </c>
      <c r="AU3" s="3610">
        <f>+AT3</f>
        <v>0.81732901582390405</v>
      </c>
      <c r="AV3" s="3126">
        <f t="shared" ref="AV3:AV29" si="0">+AK3/25.4*1.08</f>
        <v>4.2854776269468493</v>
      </c>
      <c r="AW3" s="2678"/>
      <c r="AX3" s="3092"/>
      <c r="AY3" s="308"/>
      <c r="AZ3" s="308"/>
      <c r="BA3" s="308"/>
      <c r="BC3" s="308"/>
      <c r="BD3" s="3608"/>
      <c r="BF3" s="2679"/>
      <c r="BG3" s="308"/>
    </row>
    <row r="4" spans="1:59" s="362" customFormat="1" ht="15.5">
      <c r="A4" s="3607">
        <f t="shared" ref="A4:A32" si="1">+A3+1</f>
        <v>3</v>
      </c>
      <c r="B4" s="3092">
        <v>190000.00000005015</v>
      </c>
      <c r="C4" s="3608">
        <v>0.59331130222755624</v>
      </c>
      <c r="D4" s="3091">
        <v>0.49680204407498407</v>
      </c>
      <c r="E4" s="3092">
        <v>245.13337410328603</v>
      </c>
      <c r="F4" s="3091">
        <v>4.6400243491630848E-2</v>
      </c>
      <c r="G4" s="3608">
        <v>1.392622194131244</v>
      </c>
      <c r="H4" s="3608">
        <v>1.0730479867473079</v>
      </c>
      <c r="I4" s="3608">
        <v>27.780394265281327</v>
      </c>
      <c r="J4" s="3608">
        <v>89.67475520919325</v>
      </c>
      <c r="K4" s="3608">
        <v>85.176261183388561</v>
      </c>
      <c r="L4" s="3153">
        <v>12.600060268728631</v>
      </c>
      <c r="M4" s="3092">
        <v>533.10784600327781</v>
      </c>
      <c r="N4" s="3091">
        <v>1.0058328114240622</v>
      </c>
      <c r="O4" s="3091">
        <v>0.25435446664700512</v>
      </c>
      <c r="P4" s="3091">
        <v>0.1997558473034855</v>
      </c>
      <c r="Q4" s="3091">
        <v>1.1616284463202731E-2</v>
      </c>
      <c r="R4" s="3153">
        <v>20.001321136031645</v>
      </c>
      <c r="S4" s="3092">
        <v>203.86502669804298</v>
      </c>
      <c r="T4" s="3153">
        <v>36.156022597522785</v>
      </c>
      <c r="U4" s="3153">
        <v>91.240601679995024</v>
      </c>
      <c r="V4" s="3153">
        <v>96.270823334597765</v>
      </c>
      <c r="W4" s="3092">
        <v>10389.325510548188</v>
      </c>
      <c r="X4" s="3092">
        <v>0</v>
      </c>
      <c r="Y4" s="3092">
        <v>0</v>
      </c>
      <c r="Z4" s="3092">
        <v>175243.75533439484</v>
      </c>
      <c r="AA4" s="3092">
        <v>1078.70511321708</v>
      </c>
      <c r="AB4" s="3092">
        <v>0</v>
      </c>
      <c r="AC4" s="3092">
        <v>3288.09892033096</v>
      </c>
      <c r="AD4" s="3608">
        <v>93.4379429744981</v>
      </c>
      <c r="AE4" s="3608">
        <v>92.211499235870107</v>
      </c>
      <c r="AF4" s="3608">
        <v>90.065653970156376</v>
      </c>
      <c r="AG4" s="3608">
        <v>88.289830685610426</v>
      </c>
      <c r="AH4" s="3608">
        <v>85.137229006702512</v>
      </c>
      <c r="AI4" s="3608">
        <v>84.107347420172104</v>
      </c>
      <c r="AJ4" s="3608">
        <v>79.241430310605224</v>
      </c>
      <c r="AK4" s="3608">
        <v>103.39748999754836</v>
      </c>
      <c r="AL4" s="3091">
        <v>5.6457581956521922E-3</v>
      </c>
      <c r="AM4" s="3608">
        <v>1.16676776683565</v>
      </c>
      <c r="AN4" s="3092">
        <v>828.67861667212946</v>
      </c>
      <c r="AO4" s="3092">
        <v>921.9628393377975</v>
      </c>
      <c r="AP4" s="3092">
        <v>2873.2517116646723</v>
      </c>
      <c r="AQ4" s="3153">
        <v>22.074956390891167</v>
      </c>
      <c r="AR4" s="3092">
        <v>8630.8478395701077</v>
      </c>
      <c r="AS4" s="3608">
        <v>1.8889274729893171</v>
      </c>
      <c r="AT4" s="3609">
        <v>0.92801351201014604</v>
      </c>
      <c r="AU4" s="3610">
        <f>+AT4</f>
        <v>0.92801351201014604</v>
      </c>
      <c r="AV4" s="3126">
        <f t="shared" si="0"/>
        <v>4.3964287085571758</v>
      </c>
      <c r="AW4" s="2678"/>
      <c r="AX4" s="3092"/>
      <c r="AY4" s="308"/>
      <c r="AZ4" s="308"/>
      <c r="BA4" s="308"/>
      <c r="BC4" s="308"/>
      <c r="BD4" s="3608"/>
      <c r="BF4" s="2679"/>
      <c r="BG4" s="308"/>
    </row>
    <row r="5" spans="1:59" s="362" customFormat="1" ht="15.5">
      <c r="A5" s="3607">
        <f t="shared" si="1"/>
        <v>4</v>
      </c>
      <c r="B5" s="3092">
        <v>175916.20114159485</v>
      </c>
      <c r="C5" s="3608">
        <v>0.59004705521544754</v>
      </c>
      <c r="D5" s="3091">
        <v>0.4882136188061143</v>
      </c>
      <c r="E5" s="3092">
        <v>256.1785536033874</v>
      </c>
      <c r="F5" s="3091">
        <v>4.238170090514097E-2</v>
      </c>
      <c r="G5" s="3608">
        <v>1.2464253699788432</v>
      </c>
      <c r="H5" s="3608">
        <v>1.2242637398894891</v>
      </c>
      <c r="I5" s="3608">
        <v>26.712253442403213</v>
      </c>
      <c r="J5" s="3608">
        <v>89.658220041434518</v>
      </c>
      <c r="K5" s="3608">
        <v>85.196689387168604</v>
      </c>
      <c r="L5" s="3153">
        <v>12.738623238526184</v>
      </c>
      <c r="M5" s="3092">
        <v>653.79443217995754</v>
      </c>
      <c r="N5" s="3091">
        <v>1.0349668571883945</v>
      </c>
      <c r="O5" s="3091">
        <v>0.48383970682165478</v>
      </c>
      <c r="P5" s="3091">
        <v>0.16775810913115535</v>
      </c>
      <c r="Q5" s="3091">
        <v>1.4048100956178441E-2</v>
      </c>
      <c r="R5" s="3153">
        <v>24.727257065352916</v>
      </c>
      <c r="S5" s="3092">
        <v>203.43099331327943</v>
      </c>
      <c r="T5" s="3153">
        <v>35.229162470968802</v>
      </c>
      <c r="U5" s="3153">
        <v>92.212481581814515</v>
      </c>
      <c r="V5" s="3153">
        <v>93.837024872477173</v>
      </c>
      <c r="W5" s="3092">
        <v>12186.107942683591</v>
      </c>
      <c r="X5" s="3092">
        <v>0</v>
      </c>
      <c r="Y5" s="3092">
        <v>411.93516074788698</v>
      </c>
      <c r="Z5" s="3092">
        <v>150358.1268057462</v>
      </c>
      <c r="AA5" s="3092">
        <v>8035.1563877162562</v>
      </c>
      <c r="AB5" s="3092">
        <v>0</v>
      </c>
      <c r="AC5" s="3092">
        <v>4924.8541334186893</v>
      </c>
      <c r="AD5" s="3608">
        <v>93.157842022969504</v>
      </c>
      <c r="AE5" s="3608">
        <v>92.013316550161463</v>
      </c>
      <c r="AF5" s="3608">
        <v>89.958256663488356</v>
      </c>
      <c r="AG5" s="3608">
        <v>88.157266059932567</v>
      </c>
      <c r="AH5" s="3608">
        <v>85.131748229045101</v>
      </c>
      <c r="AI5" s="3608">
        <v>84.138837801055104</v>
      </c>
      <c r="AJ5" s="3608">
        <v>79.9059779986558</v>
      </c>
      <c r="AK5" s="3608">
        <v>102.73538527019146</v>
      </c>
      <c r="AL5" s="3091">
        <v>5.9103655226860844E-3</v>
      </c>
      <c r="AM5" s="3608">
        <v>1.2426769386705101</v>
      </c>
      <c r="AN5" s="3092">
        <v>756.38860327909356</v>
      </c>
      <c r="AO5" s="3092">
        <v>839.81564495535883</v>
      </c>
      <c r="AP5" s="3092">
        <v>2733.9347147731469</v>
      </c>
      <c r="AQ5" s="3153">
        <v>20.775744468923186</v>
      </c>
      <c r="AR5" s="3092">
        <v>8568.9623916155961</v>
      </c>
      <c r="AS5" s="3608">
        <v>1.7226055503714228</v>
      </c>
      <c r="AT5" s="3609">
        <v>0.90273230106379776</v>
      </c>
      <c r="AU5" s="3610">
        <f t="shared" ref="AU5:AU29" si="2">+AT5</f>
        <v>0.90273230106379776</v>
      </c>
      <c r="AV5" s="3126">
        <f t="shared" si="0"/>
        <v>4.3682762240868822</v>
      </c>
      <c r="AW5" s="2678">
        <v>45661</v>
      </c>
      <c r="AX5" s="3092">
        <v>212.03615683355454</v>
      </c>
      <c r="AY5" s="308">
        <v>187.82348125543467</v>
      </c>
      <c r="AZ5" s="308">
        <v>9139.2241328356704</v>
      </c>
      <c r="BA5" s="308">
        <v>7401.1805876752805</v>
      </c>
      <c r="BC5" s="308">
        <f t="shared" ref="BC5:BC12" si="3">+AZ5-BA5</f>
        <v>1738.0435451603898</v>
      </c>
      <c r="BD5" s="3608">
        <v>87.332930790158755</v>
      </c>
      <c r="BE5" s="362">
        <v>88.691429275466376</v>
      </c>
      <c r="BF5" s="2679">
        <f t="shared" ref="BF5:BF29" si="4">+BE5-BD5</f>
        <v>1.3584984853076207</v>
      </c>
      <c r="BG5" s="308">
        <f t="shared" ref="BG5:BG29" si="5">+AX5-AY5</f>
        <v>24.212675578119871</v>
      </c>
    </row>
    <row r="6" spans="1:59" s="362" customFormat="1" ht="15.5">
      <c r="A6" s="3607">
        <f t="shared" si="1"/>
        <v>5</v>
      </c>
      <c r="B6" s="3092">
        <v>180000.09726478133</v>
      </c>
      <c r="C6" s="3608">
        <v>0.60955406080662033</v>
      </c>
      <c r="D6" s="3091">
        <v>0.49844229396827905</v>
      </c>
      <c r="E6" s="3092">
        <v>269.23170975716766</v>
      </c>
      <c r="F6" s="3091">
        <v>2.8175410036552922E-2</v>
      </c>
      <c r="G6" s="3608">
        <v>0.98452834084467789</v>
      </c>
      <c r="H6" s="3608">
        <v>1.3231730491627007</v>
      </c>
      <c r="I6" s="3608">
        <v>25.9780525805396</v>
      </c>
      <c r="J6" s="3608">
        <v>88.913686320215149</v>
      </c>
      <c r="K6" s="3608">
        <v>85.652452083280281</v>
      </c>
      <c r="L6" s="3153">
        <v>12.621615419415265</v>
      </c>
      <c r="M6" s="3092">
        <v>1096.9094652717617</v>
      </c>
      <c r="N6" s="3091">
        <v>0.99219627436144897</v>
      </c>
      <c r="O6" s="3091">
        <v>0.74405936722098331</v>
      </c>
      <c r="P6" s="3091">
        <v>0.12445850225168868</v>
      </c>
      <c r="Q6" s="3091">
        <v>8.3813226325031881E-2</v>
      </c>
      <c r="R6" s="3153">
        <v>18.480650909820113</v>
      </c>
      <c r="S6" s="3092">
        <v>203.70604619052909</v>
      </c>
      <c r="T6" s="3153">
        <v>36.905824554680905</v>
      </c>
      <c r="U6" s="3153">
        <v>83.683899143522837</v>
      </c>
      <c r="V6" s="3153">
        <v>86.83290792940636</v>
      </c>
      <c r="W6" s="3092">
        <v>38139.534441541626</v>
      </c>
      <c r="X6" s="3092">
        <v>0</v>
      </c>
      <c r="Y6" s="3092">
        <v>2611.4284223108225</v>
      </c>
      <c r="Z6" s="3092">
        <v>134085.42605932121</v>
      </c>
      <c r="AA6" s="3092">
        <v>4771.4142113372009</v>
      </c>
      <c r="AB6" s="3092">
        <v>0.60897246319332088</v>
      </c>
      <c r="AC6" s="3092">
        <v>391.61540188312591</v>
      </c>
      <c r="AD6" s="3608">
        <v>92.150415681576746</v>
      </c>
      <c r="AE6" s="3608">
        <v>90.970980731564993</v>
      </c>
      <c r="AF6" s="3608">
        <v>88.860619405702849</v>
      </c>
      <c r="AG6" s="3608">
        <v>86.763810610099824</v>
      </c>
      <c r="AH6" s="3608">
        <v>83.83337279821157</v>
      </c>
      <c r="AI6" s="3608">
        <v>82.817404430680867</v>
      </c>
      <c r="AJ6" s="3608">
        <v>78.432360971645508</v>
      </c>
      <c r="AK6" s="3608">
        <v>99.692232982906233</v>
      </c>
      <c r="AL6" s="3091">
        <v>7.8090613335430811E-3</v>
      </c>
      <c r="AM6" s="3608">
        <v>1.59744606592086</v>
      </c>
      <c r="AN6" s="3092">
        <v>786.35301167041109</v>
      </c>
      <c r="AO6" s="3092">
        <v>880.49359009607679</v>
      </c>
      <c r="AP6" s="3092">
        <v>2944.299752076402</v>
      </c>
      <c r="AQ6" s="3153">
        <v>20.952701049256898</v>
      </c>
      <c r="AR6" s="3092">
        <v>8652.1409613878241</v>
      </c>
      <c r="AS6" s="3608">
        <v>1.5239942409106315</v>
      </c>
      <c r="AT6" s="3609">
        <v>0.78593808913985441</v>
      </c>
      <c r="AU6" s="3610">
        <f t="shared" si="2"/>
        <v>0.78593808913985441</v>
      </c>
      <c r="AV6" s="3126">
        <f t="shared" si="0"/>
        <v>4.2388823473046751</v>
      </c>
      <c r="AW6" s="2678">
        <v>45662</v>
      </c>
      <c r="AX6" s="3092">
        <v>215.93628830829726</v>
      </c>
      <c r="AY6" s="308">
        <v>188.56606136947437</v>
      </c>
      <c r="AZ6" s="308">
        <v>9253.0328961723244</v>
      </c>
      <c r="BA6" s="308">
        <v>7427.2671158532012</v>
      </c>
      <c r="BC6" s="308">
        <f t="shared" si="3"/>
        <v>1825.7657803191232</v>
      </c>
      <c r="BD6" s="3608">
        <v>87.602656798836065</v>
      </c>
      <c r="BE6" s="362">
        <v>88.96368164413073</v>
      </c>
      <c r="BF6" s="2679">
        <f t="shared" si="4"/>
        <v>1.3610248452946649</v>
      </c>
      <c r="BG6" s="308">
        <f t="shared" si="5"/>
        <v>27.370226938822896</v>
      </c>
    </row>
    <row r="7" spans="1:59" s="362" customFormat="1" ht="15.5">
      <c r="A7" s="3607">
        <f t="shared" si="1"/>
        <v>6</v>
      </c>
      <c r="B7" s="3092">
        <v>159999.99999997913</v>
      </c>
      <c r="C7" s="3608">
        <v>0.63225878028557336</v>
      </c>
      <c r="D7" s="3091">
        <v>0.53151821193003124</v>
      </c>
      <c r="E7" s="3092">
        <v>247.66290420821971</v>
      </c>
      <c r="F7" s="3091">
        <v>2.6208238779063354E-2</v>
      </c>
      <c r="G7" s="3608">
        <v>1.0058177410395115</v>
      </c>
      <c r="H7" s="3608">
        <v>1.6768588472956463</v>
      </c>
      <c r="I7" s="3608">
        <v>25.614967627386321</v>
      </c>
      <c r="J7" s="3608">
        <v>89.273873550482421</v>
      </c>
      <c r="K7" s="3608">
        <v>85.702663315967285</v>
      </c>
      <c r="L7" s="3153">
        <v>12.559396532097116</v>
      </c>
      <c r="M7" s="3092">
        <v>1246.5448350057732</v>
      </c>
      <c r="N7" s="3091">
        <v>1.0411575215357198</v>
      </c>
      <c r="O7" s="3091">
        <v>1.0651763421699061</v>
      </c>
      <c r="P7" s="3091">
        <v>0.13421342820681706</v>
      </c>
      <c r="Q7" s="3091">
        <v>9.5717961100902929E-2</v>
      </c>
      <c r="R7" s="3153">
        <v>25.413285510370944</v>
      </c>
      <c r="S7" s="3092">
        <v>203.40475427830029</v>
      </c>
      <c r="T7" s="3153">
        <v>36.486561420348757</v>
      </c>
      <c r="U7" s="3153">
        <v>86.454819035392362</v>
      </c>
      <c r="V7" s="3153">
        <v>81.236583504793145</v>
      </c>
      <c r="W7" s="3092">
        <v>38131.542746562583</v>
      </c>
      <c r="X7" s="3092">
        <v>0</v>
      </c>
      <c r="Y7" s="3092">
        <v>16810.418564497089</v>
      </c>
      <c r="Z7" s="3092">
        <v>101858.10387074396</v>
      </c>
      <c r="AA7" s="3092">
        <v>2847.4788347452263</v>
      </c>
      <c r="AB7" s="3092">
        <v>76.056287930899913</v>
      </c>
      <c r="AC7" s="3092">
        <v>276.18215630581062</v>
      </c>
      <c r="AD7" s="3608">
        <v>92.304310358117007</v>
      </c>
      <c r="AE7" s="3608">
        <v>91.195713587538577</v>
      </c>
      <c r="AF7" s="3608">
        <v>89.342745252546436</v>
      </c>
      <c r="AG7" s="3608">
        <v>87.395283962658155</v>
      </c>
      <c r="AH7" s="3608">
        <v>84.71310487946343</v>
      </c>
      <c r="AI7" s="3608">
        <v>83.769098119078407</v>
      </c>
      <c r="AJ7" s="3608">
        <v>79.489618221181004</v>
      </c>
      <c r="AK7" s="3608">
        <v>97.012174409605294</v>
      </c>
      <c r="AL7" s="3091">
        <v>7.9476623288518705E-3</v>
      </c>
      <c r="AM7" s="3608">
        <v>1.5241839058390001</v>
      </c>
      <c r="AN7" s="3092">
        <v>746.65484182690136</v>
      </c>
      <c r="AO7" s="3092">
        <v>836.01564704323732</v>
      </c>
      <c r="AP7" s="3092">
        <v>2919.8850132432563</v>
      </c>
      <c r="AQ7" s="3153">
        <v>18.610589517530578</v>
      </c>
      <c r="AR7" s="3092">
        <v>8631.6321626090266</v>
      </c>
      <c r="AS7" s="3608">
        <v>1.3681838842822875</v>
      </c>
      <c r="AT7" s="3609">
        <v>0.75995139298216385</v>
      </c>
      <c r="AU7" s="3610">
        <f t="shared" si="2"/>
        <v>0.75995139298216385</v>
      </c>
      <c r="AV7" s="3126">
        <f t="shared" si="0"/>
        <v>4.1249271008808552</v>
      </c>
      <c r="AW7" s="2678">
        <v>45663</v>
      </c>
      <c r="AX7" s="3092">
        <v>213.15933322283925</v>
      </c>
      <c r="AY7" s="308">
        <v>187.54274900820263</v>
      </c>
      <c r="AZ7" s="308">
        <v>9365.553668397999</v>
      </c>
      <c r="BA7" s="308">
        <v>7419.4998932695935</v>
      </c>
      <c r="BC7" s="308">
        <f t="shared" si="3"/>
        <v>1946.0537751284055</v>
      </c>
      <c r="BD7" s="3608">
        <v>88.08902675267548</v>
      </c>
      <c r="BE7" s="362">
        <v>89.321967268744615</v>
      </c>
      <c r="BF7" s="2679">
        <f t="shared" si="4"/>
        <v>1.2329405160691351</v>
      </c>
      <c r="BG7" s="308">
        <f t="shared" si="5"/>
        <v>25.616584214636617</v>
      </c>
    </row>
    <row r="8" spans="1:59" s="362" customFormat="1" ht="15.5">
      <c r="A8" s="3607">
        <f t="shared" si="1"/>
        <v>7</v>
      </c>
      <c r="B8" s="3092">
        <v>170000.00000024194</v>
      </c>
      <c r="C8" s="3608">
        <v>0.56549563136332648</v>
      </c>
      <c r="D8" s="3091">
        <v>0.50948477260958724</v>
      </c>
      <c r="E8" s="3092">
        <v>138.66702464235686</v>
      </c>
      <c r="F8" s="3091">
        <v>2.3046832044990525E-2</v>
      </c>
      <c r="G8" s="3608">
        <v>0.97216347745932397</v>
      </c>
      <c r="H8" s="3608">
        <v>2.4358641599392215</v>
      </c>
      <c r="I8" s="3608">
        <v>22.472312768213669</v>
      </c>
      <c r="J8" s="3608">
        <v>88.925372500411981</v>
      </c>
      <c r="K8" s="3608">
        <v>84.289225162236633</v>
      </c>
      <c r="L8" s="3153">
        <v>12.378070038437249</v>
      </c>
      <c r="M8" s="3092">
        <v>1737.7156964655849</v>
      </c>
      <c r="N8" s="3091">
        <v>1.0504291481486223</v>
      </c>
      <c r="O8" s="3091">
        <v>1.9353536978901085</v>
      </c>
      <c r="P8" s="3091">
        <v>6.6880553373642515E-2</v>
      </c>
      <c r="Q8" s="3091">
        <v>0.12388234476741199</v>
      </c>
      <c r="R8" s="3153">
        <v>50.502314575070429</v>
      </c>
      <c r="S8" s="3092">
        <v>203.08917694365357</v>
      </c>
      <c r="T8" s="3153">
        <v>35.663290764251407</v>
      </c>
      <c r="U8" s="3153">
        <v>84.591037351362203</v>
      </c>
      <c r="V8" s="3153">
        <v>66.144355264056699</v>
      </c>
      <c r="W8" s="3092">
        <v>57126.26797978273</v>
      </c>
      <c r="X8" s="3092">
        <v>0</v>
      </c>
      <c r="Y8" s="3092">
        <v>35895.671398318831</v>
      </c>
      <c r="Z8" s="3092">
        <v>57550.568335759097</v>
      </c>
      <c r="AA8" s="3092">
        <v>18200.595481198419</v>
      </c>
      <c r="AB8" s="3092">
        <v>177.695952230622</v>
      </c>
      <c r="AC8" s="3092">
        <v>1049.3239751590775</v>
      </c>
      <c r="AD8" s="3608">
        <v>91.824611403874925</v>
      </c>
      <c r="AE8" s="3608">
        <v>90.655773504324316</v>
      </c>
      <c r="AF8" s="3608">
        <v>88.807539100787849</v>
      </c>
      <c r="AG8" s="3608">
        <v>86.614672873910067</v>
      </c>
      <c r="AH8" s="3608">
        <v>83.886617532308279</v>
      </c>
      <c r="AI8" s="3608">
        <v>82.924707590836007</v>
      </c>
      <c r="AJ8" s="3608">
        <v>78.778311066562082</v>
      </c>
      <c r="AK8" s="3608">
        <v>90.008713820815856</v>
      </c>
      <c r="AL8" s="3091">
        <v>8.5060345792547683E-3</v>
      </c>
      <c r="AM8" s="3608">
        <v>1.68647036281521</v>
      </c>
      <c r="AN8" s="3092">
        <v>766.59064048810433</v>
      </c>
      <c r="AO8" s="3092">
        <v>863.07068660330697</v>
      </c>
      <c r="AP8" s="3092">
        <v>3435.1696487673821</v>
      </c>
      <c r="AQ8" s="3153">
        <v>19.661596956545544</v>
      </c>
      <c r="AR8" s="3092">
        <v>8652.9775678188398</v>
      </c>
      <c r="AS8" s="3608">
        <v>0.74399207012954371</v>
      </c>
      <c r="AT8" s="3609">
        <v>0.65779088340401548</v>
      </c>
      <c r="AU8" s="3610">
        <f t="shared" si="2"/>
        <v>0.65779088340401548</v>
      </c>
      <c r="AV8" s="3126">
        <f t="shared" si="0"/>
        <v>3.8271421624598871</v>
      </c>
      <c r="AW8" s="2678">
        <v>45664</v>
      </c>
      <c r="AX8" s="3092">
        <v>197.63959504359482</v>
      </c>
      <c r="AY8" s="308">
        <v>201.94580390316759</v>
      </c>
      <c r="AZ8" s="308">
        <v>9250.7747627908811</v>
      </c>
      <c r="BA8" s="308">
        <v>8297.9303590119871</v>
      </c>
      <c r="BC8" s="308">
        <f t="shared" si="3"/>
        <v>952.84440377889405</v>
      </c>
      <c r="BD8" s="3608">
        <v>88.469138291753126</v>
      </c>
      <c r="BE8" s="362">
        <v>89.109765391501654</v>
      </c>
      <c r="BF8" s="2679">
        <f t="shared" si="4"/>
        <v>0.64062709974852794</v>
      </c>
      <c r="BG8" s="308">
        <f t="shared" si="5"/>
        <v>-4.306208859572763</v>
      </c>
    </row>
    <row r="9" spans="1:59" s="362" customFormat="1" ht="15.5">
      <c r="A9" s="3607">
        <f t="shared" si="1"/>
        <v>8</v>
      </c>
      <c r="B9" s="3092">
        <v>190000.00000046202</v>
      </c>
      <c r="C9" s="3608">
        <v>0.54123213509553181</v>
      </c>
      <c r="D9" s="3091">
        <v>0.49383422810273897</v>
      </c>
      <c r="E9" s="3092">
        <v>128.11667232381174</v>
      </c>
      <c r="F9" s="3091">
        <v>2.1442443420408859E-2</v>
      </c>
      <c r="G9" s="3608">
        <v>0.9649470719769726</v>
      </c>
      <c r="H9" s="3608">
        <v>2.0965961816913388</v>
      </c>
      <c r="I9" s="3608">
        <v>22.765597682584616</v>
      </c>
      <c r="J9" s="3608">
        <v>88.467082655528174</v>
      </c>
      <c r="K9" s="3608">
        <v>83.327380548283145</v>
      </c>
      <c r="L9" s="3153">
        <v>12.369380593357146</v>
      </c>
      <c r="M9" s="3092">
        <v>1878.6984099413801</v>
      </c>
      <c r="N9" s="3091">
        <v>0.99779757594647722</v>
      </c>
      <c r="O9" s="3091">
        <v>1.7874567893444711</v>
      </c>
      <c r="P9" s="3091">
        <v>6.3843335645419927E-2</v>
      </c>
      <c r="Q9" s="3091">
        <v>0.13013901675013842</v>
      </c>
      <c r="R9" s="3153">
        <v>57.800312080789894</v>
      </c>
      <c r="S9" s="3092">
        <v>203.08322896778705</v>
      </c>
      <c r="T9" s="3153">
        <v>36.663946231963571</v>
      </c>
      <c r="U9" s="3153">
        <v>79.189086702551776</v>
      </c>
      <c r="V9" s="3153">
        <v>67.712256194736412</v>
      </c>
      <c r="W9" s="3092">
        <v>75386.394953302777</v>
      </c>
      <c r="X9" s="3092">
        <v>0</v>
      </c>
      <c r="Y9" s="3092">
        <v>37195.740392500622</v>
      </c>
      <c r="Z9" s="3092">
        <v>70321.530064527542</v>
      </c>
      <c r="AA9" s="3092">
        <v>5096.4381878156546</v>
      </c>
      <c r="AB9" s="3092">
        <v>177.695952230622</v>
      </c>
      <c r="AC9" s="3092">
        <v>1822.4657940123443</v>
      </c>
      <c r="AD9" s="3608">
        <v>91.765229307155536</v>
      </c>
      <c r="AE9" s="3608">
        <v>90.428672177205627</v>
      </c>
      <c r="AF9" s="3608">
        <v>88.409585885866733</v>
      </c>
      <c r="AG9" s="3608">
        <v>85.795591305090412</v>
      </c>
      <c r="AH9" s="3608">
        <v>82.772899285940909</v>
      </c>
      <c r="AI9" s="3608">
        <v>81.716520143911126</v>
      </c>
      <c r="AJ9" s="3608">
        <v>77.212725551806372</v>
      </c>
      <c r="AK9" s="3608">
        <v>91.094503653816503</v>
      </c>
      <c r="AL9" s="3091">
        <v>8.939002004667353E-3</v>
      </c>
      <c r="AM9" s="3608">
        <v>1.8234723878178201</v>
      </c>
      <c r="AN9" s="3092">
        <v>824.34352925298595</v>
      </c>
      <c r="AO9" s="3092">
        <v>929.68340985329087</v>
      </c>
      <c r="AP9" s="3092">
        <v>3655.4938106289446</v>
      </c>
      <c r="AQ9" s="3153">
        <v>21.820486810406358</v>
      </c>
      <c r="AR9" s="3092">
        <v>8671.9585014491622</v>
      </c>
      <c r="AS9" s="3608">
        <v>0.77281331219560301</v>
      </c>
      <c r="AT9" s="3609">
        <v>0.59363814251854685</v>
      </c>
      <c r="AU9" s="3610">
        <f t="shared" si="2"/>
        <v>0.59363814251854685</v>
      </c>
      <c r="AV9" s="3126">
        <f t="shared" si="0"/>
        <v>3.8733096041780248</v>
      </c>
      <c r="AW9" s="2678">
        <v>45665</v>
      </c>
      <c r="AX9" s="3092">
        <v>212.20228279179949</v>
      </c>
      <c r="AY9" s="308">
        <v>209.46176266024912</v>
      </c>
      <c r="AZ9" s="308">
        <v>9282.7791172752077</v>
      </c>
      <c r="BA9" s="308">
        <v>9055.7437454072169</v>
      </c>
      <c r="BC9" s="308">
        <f t="shared" si="3"/>
        <v>227.03537186799076</v>
      </c>
      <c r="BD9" s="3608">
        <v>88.714525694822683</v>
      </c>
      <c r="BE9" s="362">
        <v>88.873837710419593</v>
      </c>
      <c r="BF9" s="2679">
        <f t="shared" si="4"/>
        <v>0.15931201559691033</v>
      </c>
      <c r="BG9" s="308">
        <f t="shared" si="5"/>
        <v>2.7405201315503689</v>
      </c>
    </row>
    <row r="10" spans="1:59" s="362" customFormat="1" ht="16" thickBot="1">
      <c r="A10" s="3652">
        <f t="shared" si="1"/>
        <v>9</v>
      </c>
      <c r="B10" s="3653">
        <v>170000.00000050824</v>
      </c>
      <c r="C10" s="3654">
        <v>0.543044504219799</v>
      </c>
      <c r="D10" s="3655">
        <v>0.51530782874982706</v>
      </c>
      <c r="E10" s="3653">
        <v>94.305091723084985</v>
      </c>
      <c r="F10" s="3655">
        <v>2.0593693322455819E-2</v>
      </c>
      <c r="G10" s="3654">
        <v>0.96219887551412775</v>
      </c>
      <c r="H10" s="3654">
        <v>1.9123590299890822</v>
      </c>
      <c r="I10" s="3654">
        <v>22.177801430048742</v>
      </c>
      <c r="J10" s="3654">
        <v>88.35865795208727</v>
      </c>
      <c r="K10" s="3654">
        <v>81.057999462424078</v>
      </c>
      <c r="L10" s="3656">
        <v>12.424010059916426</v>
      </c>
      <c r="M10" s="3653">
        <v>1906.0191226884535</v>
      </c>
      <c r="N10" s="3655">
        <v>1.1098543130026703</v>
      </c>
      <c r="O10" s="3655">
        <v>1.8630856281645474</v>
      </c>
      <c r="P10" s="3655">
        <v>5.5602722682740989E-2</v>
      </c>
      <c r="Q10" s="3655">
        <v>0.11344928056698639</v>
      </c>
      <c r="R10" s="3656">
        <v>41.609581397084085</v>
      </c>
      <c r="S10" s="3653">
        <v>204.81336150562865</v>
      </c>
      <c r="T10" s="3656">
        <v>36.764329766123417</v>
      </c>
      <c r="U10" s="3656">
        <v>78.183179710923724</v>
      </c>
      <c r="V10" s="3656">
        <v>63.994982914877895</v>
      </c>
      <c r="W10" s="3653">
        <v>76848.63392954311</v>
      </c>
      <c r="X10" s="3653">
        <v>0</v>
      </c>
      <c r="Y10" s="3653">
        <v>34078.316451073624</v>
      </c>
      <c r="Z10" s="3653">
        <v>55662.029686572518</v>
      </c>
      <c r="AA10" s="3653">
        <v>2184.2980325500107</v>
      </c>
      <c r="AB10" s="3653">
        <v>177.695952230622</v>
      </c>
      <c r="AC10" s="3653">
        <v>1049.3239751590775</v>
      </c>
      <c r="AD10" s="3654">
        <v>92.082748477418292</v>
      </c>
      <c r="AE10" s="3654">
        <v>90.615852690789779</v>
      </c>
      <c r="AF10" s="3654">
        <v>88.679367519387597</v>
      </c>
      <c r="AG10" s="3654">
        <v>85.885321180159778</v>
      </c>
      <c r="AH10" s="3654">
        <v>82.659349144796167</v>
      </c>
      <c r="AI10" s="3654">
        <v>81.521517806634009</v>
      </c>
      <c r="AJ10" s="3654">
        <v>76.936163190913064</v>
      </c>
      <c r="AK10" s="3654">
        <v>89.340409078962082</v>
      </c>
      <c r="AL10" s="3655">
        <v>8.7471257808649922E-3</v>
      </c>
      <c r="AM10" s="3654">
        <v>1.7113105831659601</v>
      </c>
      <c r="AN10" s="3653">
        <v>764.82786327140775</v>
      </c>
      <c r="AO10" s="3653">
        <v>862.25000533964533</v>
      </c>
      <c r="AP10" s="3653">
        <v>3467.9222245548899</v>
      </c>
      <c r="AQ10" s="3656">
        <v>19.212127099863345</v>
      </c>
      <c r="AR10" s="3653">
        <v>8767.8828668521473</v>
      </c>
      <c r="AS10" s="3654">
        <v>0.68244706792630627</v>
      </c>
      <c r="AT10" s="3657">
        <v>0.54177752151780878</v>
      </c>
      <c r="AU10" s="3658">
        <f t="shared" si="2"/>
        <v>0.54177752151780878</v>
      </c>
      <c r="AV10" s="3126">
        <f t="shared" si="0"/>
        <v>3.7987260553259472</v>
      </c>
      <c r="AW10" s="2678">
        <v>45666</v>
      </c>
      <c r="AX10" s="3653">
        <v>212.8555876533344</v>
      </c>
      <c r="AY10" s="308">
        <v>191.09090963258691</v>
      </c>
      <c r="AZ10" s="308">
        <v>8989.0729338182118</v>
      </c>
      <c r="BA10" s="308">
        <v>7439.0631940101175</v>
      </c>
      <c r="BC10" s="308">
        <f t="shared" si="3"/>
        <v>1550.0097398080943</v>
      </c>
      <c r="BD10" s="3654">
        <v>88.047321694511709</v>
      </c>
      <c r="BE10" s="362">
        <v>89.173755836806379</v>
      </c>
      <c r="BF10" s="2679">
        <f t="shared" si="4"/>
        <v>1.12643414229467</v>
      </c>
      <c r="BG10" s="308">
        <f t="shared" si="5"/>
        <v>21.764678020747482</v>
      </c>
    </row>
    <row r="11" spans="1:59" s="2700" customFormat="1" ht="16" thickBot="1">
      <c r="A11" s="3922">
        <f t="shared" si="1"/>
        <v>10</v>
      </c>
      <c r="B11" s="3666">
        <v>64238.95277386612</v>
      </c>
      <c r="C11" s="3667">
        <v>0.62953214968051929</v>
      </c>
      <c r="D11" s="3923">
        <v>0.55771537034815388</v>
      </c>
      <c r="E11" s="3666">
        <v>182.04912233631345</v>
      </c>
      <c r="F11" s="3923">
        <v>2.7082170800446004E-2</v>
      </c>
      <c r="G11" s="3667">
        <v>1.0755533935657617</v>
      </c>
      <c r="H11" s="3667">
        <v>1.8642624817822939</v>
      </c>
      <c r="I11" s="3667">
        <v>24.512358395850693</v>
      </c>
      <c r="J11" s="3667">
        <v>89.118894187834357</v>
      </c>
      <c r="K11" s="3667">
        <v>84.623858183860662</v>
      </c>
      <c r="L11" s="3668">
        <v>12.408758841262589</v>
      </c>
      <c r="M11" s="3666">
        <v>1370.9721626514327</v>
      </c>
      <c r="N11" s="3923">
        <v>1.2372100607778997</v>
      </c>
      <c r="O11" s="3923">
        <v>1.4487392030526722</v>
      </c>
      <c r="P11" s="3923">
        <v>0.12406361669749821</v>
      </c>
      <c r="Q11" s="3923">
        <v>5.3766498750743866E-2</v>
      </c>
      <c r="R11" s="3668">
        <v>33.827752555975259</v>
      </c>
      <c r="S11" s="3666">
        <v>203.73798605307115</v>
      </c>
      <c r="T11" s="3668">
        <v>36.139237251662863</v>
      </c>
      <c r="U11" s="3668">
        <v>83.526553939930821</v>
      </c>
      <c r="V11" s="3668">
        <v>75.198752095137451</v>
      </c>
      <c r="W11" s="3666">
        <v>18691.013328005574</v>
      </c>
      <c r="X11" s="3666">
        <v>0</v>
      </c>
      <c r="Y11" s="3666">
        <v>20180.592006641331</v>
      </c>
      <c r="Z11" s="3666">
        <v>24499.49585090228</v>
      </c>
      <c r="AA11" s="3666">
        <v>725.71216755273304</v>
      </c>
      <c r="AB11" s="3666">
        <v>142.15676178449741</v>
      </c>
      <c r="AC11" s="3666">
        <v>0</v>
      </c>
      <c r="AD11" s="3667">
        <v>92.39651129424719</v>
      </c>
      <c r="AE11" s="3667">
        <v>91.216068972749056</v>
      </c>
      <c r="AF11" s="3667">
        <v>89.26818259076758</v>
      </c>
      <c r="AG11" s="3667">
        <v>87.08170617786908</v>
      </c>
      <c r="AH11" s="3667">
        <v>84.375337468689622</v>
      </c>
      <c r="AI11" s="3667">
        <v>83.435383995259002</v>
      </c>
      <c r="AJ11" s="3667">
        <v>79.110409345458649</v>
      </c>
      <c r="AK11" s="3667">
        <v>93.849760955601553</v>
      </c>
      <c r="AL11" s="3923">
        <v>8.3223716884700521E-3</v>
      </c>
      <c r="AM11" s="3667">
        <v>1.512484741040516</v>
      </c>
      <c r="AN11" s="3666">
        <v>617.55828775603038</v>
      </c>
      <c r="AO11" s="3666">
        <v>692.0284456533218</v>
      </c>
      <c r="AP11" s="3666">
        <v>2554.1077108175946</v>
      </c>
      <c r="AQ11" s="3668">
        <v>15.248997082214581</v>
      </c>
      <c r="AR11" s="3666">
        <v>8742.584193593766</v>
      </c>
      <c r="AS11" s="3667">
        <v>1.1014409930802846</v>
      </c>
      <c r="AT11" s="3924">
        <f>7268.89584446961%/100</f>
        <v>0.72688958444696095</v>
      </c>
      <c r="AU11" s="3924">
        <f>7268.89584446961%/100</f>
        <v>0.72688958444696095</v>
      </c>
      <c r="AV11" s="3244">
        <f t="shared" si="0"/>
        <v>3.9904622768523503</v>
      </c>
      <c r="AW11" s="3669">
        <v>45667</v>
      </c>
      <c r="AX11" s="3666">
        <v>213.64721415427977</v>
      </c>
      <c r="AY11" s="3245">
        <v>190.92600357334803</v>
      </c>
      <c r="AZ11" s="3245">
        <v>9157.8439287537276</v>
      </c>
      <c r="BA11" s="3245">
        <v>7433.8334313426449</v>
      </c>
      <c r="BC11" s="3245">
        <f t="shared" si="3"/>
        <v>1724.0104974110827</v>
      </c>
      <c r="BD11" s="3667">
        <v>87.358122827506207</v>
      </c>
      <c r="BE11" s="2700">
        <v>89.173755836806379</v>
      </c>
      <c r="BF11" s="3670">
        <f t="shared" si="4"/>
        <v>1.8156330093001714</v>
      </c>
      <c r="BG11" s="3245">
        <f t="shared" si="5"/>
        <v>22.721210580931739</v>
      </c>
    </row>
    <row r="12" spans="1:59" s="362" customFormat="1" ht="15.5">
      <c r="A12" s="3659">
        <f t="shared" si="1"/>
        <v>11</v>
      </c>
      <c r="B12" s="3660">
        <v>150000.62475222696</v>
      </c>
      <c r="C12" s="3661">
        <v>0.57292943022745324</v>
      </c>
      <c r="D12" s="3662">
        <v>0.51805503431547117</v>
      </c>
      <c r="E12" s="3660">
        <v>161.37866993395704</v>
      </c>
      <c r="F12" s="3662">
        <v>2.3586110144671588E-2</v>
      </c>
      <c r="G12" s="3661">
        <v>1.0158919324259585</v>
      </c>
      <c r="H12" s="3661">
        <v>1.4444618699544973</v>
      </c>
      <c r="I12" s="3661">
        <v>25.342167904509946</v>
      </c>
      <c r="J12" s="3661">
        <v>88.89218809452268</v>
      </c>
      <c r="K12" s="3661">
        <v>84.515815381540165</v>
      </c>
      <c r="L12" s="3663">
        <v>12.480891047546018</v>
      </c>
      <c r="M12" s="3660">
        <v>1615.3387909104497</v>
      </c>
      <c r="N12" s="3662">
        <v>0.92169991530674766</v>
      </c>
      <c r="O12" s="3662">
        <v>1.3210127023542937</v>
      </c>
      <c r="P12" s="3662">
        <v>0.12518822326317175</v>
      </c>
      <c r="Q12" s="3662">
        <v>0.14008194821346656</v>
      </c>
      <c r="R12" s="3663">
        <v>28.347256174127001</v>
      </c>
      <c r="S12" s="3660">
        <v>208.68810693134586</v>
      </c>
      <c r="T12" s="3663">
        <v>37.994256084481933</v>
      </c>
      <c r="U12" s="3663">
        <v>77.781459679856781</v>
      </c>
      <c r="V12" s="3663">
        <v>67.947687366999389</v>
      </c>
      <c r="W12" s="3660">
        <v>71782.521454043657</v>
      </c>
      <c r="X12" s="3660">
        <v>0</v>
      </c>
      <c r="Y12" s="3660">
        <v>8025.3974374482032</v>
      </c>
      <c r="Z12" s="3660">
        <v>69355.458704378849</v>
      </c>
      <c r="AA12" s="3660">
        <v>410.09995872352317</v>
      </c>
      <c r="AB12" s="3660">
        <v>43.57038277189077</v>
      </c>
      <c r="AC12" s="3660">
        <v>383.26645839300141</v>
      </c>
      <c r="AD12" s="3661">
        <v>92.500293480338428</v>
      </c>
      <c r="AE12" s="3661">
        <v>91.185464580320158</v>
      </c>
      <c r="AF12" s="3661">
        <v>89.137140666864966</v>
      </c>
      <c r="AG12" s="3661">
        <v>86.748732624881669</v>
      </c>
      <c r="AH12" s="3661">
        <v>83.949755939857738</v>
      </c>
      <c r="AI12" s="3661">
        <v>82.945744005374976</v>
      </c>
      <c r="AJ12" s="3661">
        <v>78.737082228374163</v>
      </c>
      <c r="AK12" s="3661">
        <v>91.31162116719085</v>
      </c>
      <c r="AL12" s="3662">
        <v>8.3654397930745146E-3</v>
      </c>
      <c r="AM12" s="3661">
        <v>1.6377363483020699</v>
      </c>
      <c r="AN12" s="3660">
        <v>670.32450632607754</v>
      </c>
      <c r="AO12" s="3660">
        <v>755.12136288603676</v>
      </c>
      <c r="AP12" s="3660">
        <v>2703.7301933690901</v>
      </c>
      <c r="AQ12" s="3663">
        <v>16.330926803535032</v>
      </c>
      <c r="AR12" s="3660">
        <v>9010.5234946310102</v>
      </c>
      <c r="AS12" s="3661">
        <v>1.0366254567356363</v>
      </c>
      <c r="AT12" s="3664">
        <v>0.51889575563131651</v>
      </c>
      <c r="AU12" s="3665">
        <f t="shared" si="2"/>
        <v>0.51889575563131651</v>
      </c>
      <c r="AV12" s="3126">
        <f t="shared" si="0"/>
        <v>3.8825413724632334</v>
      </c>
      <c r="AW12" s="2678">
        <v>45668</v>
      </c>
      <c r="AX12" s="3660">
        <v>213.72466579402644</v>
      </c>
      <c r="AY12" s="308">
        <v>190.52983788965761</v>
      </c>
      <c r="AZ12" s="308">
        <v>9194.6047785035062</v>
      </c>
      <c r="BA12" s="308">
        <v>7417.9770896191685</v>
      </c>
      <c r="BC12" s="308">
        <f t="shared" si="3"/>
        <v>1776.6276888843377</v>
      </c>
      <c r="BD12" s="3661">
        <v>87.505620325569254</v>
      </c>
      <c r="BE12" s="362">
        <v>89.173755836806379</v>
      </c>
      <c r="BF12" s="2679">
        <f t="shared" si="4"/>
        <v>1.668135511237125</v>
      </c>
      <c r="BG12" s="308">
        <f t="shared" si="5"/>
        <v>23.194827904368822</v>
      </c>
    </row>
    <row r="13" spans="1:59" s="362" customFormat="1" ht="15.5">
      <c r="A13" s="3607">
        <f t="shared" si="1"/>
        <v>12</v>
      </c>
      <c r="B13" s="3092">
        <v>220000.61924611669</v>
      </c>
      <c r="C13" s="3608">
        <v>0.48777442119269787</v>
      </c>
      <c r="D13" s="3091">
        <v>0.46221007725168212</v>
      </c>
      <c r="E13" s="3092">
        <v>108.51402882704599</v>
      </c>
      <c r="F13" s="3091">
        <v>2.3310974351147543E-2</v>
      </c>
      <c r="G13" s="3608">
        <v>0.96284697172708089</v>
      </c>
      <c r="H13" s="3608">
        <v>1.4095465845354533</v>
      </c>
      <c r="I13" s="3608">
        <v>25.013643155044935</v>
      </c>
      <c r="J13" s="3608">
        <v>88.388494031114348</v>
      </c>
      <c r="K13" s="3608">
        <v>83.242911819541732</v>
      </c>
      <c r="L13" s="3153">
        <v>12.509212018702772</v>
      </c>
      <c r="M13" s="3092">
        <v>1784.6533405925759</v>
      </c>
      <c r="N13" s="3091">
        <v>0.73923559470345546</v>
      </c>
      <c r="O13" s="3091">
        <v>1.3705008806916195</v>
      </c>
      <c r="P13" s="3091">
        <v>8.2485672991675307E-2</v>
      </c>
      <c r="Q13" s="3091">
        <v>0.18501782620026871</v>
      </c>
      <c r="R13" s="3153">
        <v>19.822486450107309</v>
      </c>
      <c r="S13" s="3092">
        <v>211.85459902096702</v>
      </c>
      <c r="T13" s="3153">
        <v>38.949408800978375</v>
      </c>
      <c r="U13" s="3153">
        <v>75.506167073650488</v>
      </c>
      <c r="V13" s="3153">
        <v>61.77905381452085</v>
      </c>
      <c r="W13" s="3092">
        <v>138921.72057123447</v>
      </c>
      <c r="X13" s="3092">
        <v>0</v>
      </c>
      <c r="Y13" s="3092">
        <v>0.61925517812963404</v>
      </c>
      <c r="Z13" s="3092">
        <v>78498.948968815384</v>
      </c>
      <c r="AA13" s="3092">
        <v>0</v>
      </c>
      <c r="AB13" s="3092">
        <v>0</v>
      </c>
      <c r="AC13" s="3092">
        <v>2579.0398396485771</v>
      </c>
      <c r="AD13" s="3608">
        <v>92.38802574232119</v>
      </c>
      <c r="AE13" s="3608">
        <v>90.829297540810899</v>
      </c>
      <c r="AF13" s="3608">
        <v>88.693742823681205</v>
      </c>
      <c r="AG13" s="3608">
        <v>86.138568349473303</v>
      </c>
      <c r="AH13" s="3608">
        <v>82.897704414262563</v>
      </c>
      <c r="AI13" s="3608">
        <v>81.70631223423176</v>
      </c>
      <c r="AJ13" s="3608">
        <v>77.34160031442498</v>
      </c>
      <c r="AK13" s="3608">
        <v>89.045276217797863</v>
      </c>
      <c r="AL13" s="3091">
        <v>9.0632229936228308E-3</v>
      </c>
      <c r="AM13" s="3608">
        <v>1.9819382468346001</v>
      </c>
      <c r="AN13" s="3092">
        <v>858.8005059046078</v>
      </c>
      <c r="AO13" s="3092">
        <v>975.32043409388052</v>
      </c>
      <c r="AP13" s="3092">
        <v>3505.2570642106293</v>
      </c>
      <c r="AQ13" s="3153">
        <v>22.851026532604052</v>
      </c>
      <c r="AR13" s="3092">
        <v>9147.5668038429594</v>
      </c>
      <c r="AS13" s="3608">
        <v>0.75434669317733383</v>
      </c>
      <c r="AT13" s="3609">
        <v>0.35681568619052056</v>
      </c>
      <c r="AU13" s="3610">
        <f t="shared" si="2"/>
        <v>0.35681568619052056</v>
      </c>
      <c r="AV13" s="3126">
        <f t="shared" si="0"/>
        <v>3.7861770990244765</v>
      </c>
      <c r="AW13" s="2678">
        <v>45669</v>
      </c>
      <c r="AX13" s="3092">
        <v>214.53289139680223</v>
      </c>
      <c r="AY13" s="308">
        <v>190.43036344125898</v>
      </c>
      <c r="AZ13" s="308">
        <v>9279.4106417528328</v>
      </c>
      <c r="BA13" s="308">
        <v>7412.0603736234689</v>
      </c>
      <c r="BB13" s="362">
        <f>+(AZ13-2100)/3*2+2100</f>
        <v>6886.2737611685552</v>
      </c>
      <c r="BC13" s="308">
        <f>+AZ13-BA13</f>
        <v>1867.3502681293639</v>
      </c>
      <c r="BD13" s="3608">
        <v>87.536802701146485</v>
      </c>
      <c r="BE13" s="362">
        <v>89.173755836806379</v>
      </c>
      <c r="BF13" s="2679">
        <f t="shared" si="4"/>
        <v>1.6369531356598941</v>
      </c>
      <c r="BG13" s="308">
        <f t="shared" si="5"/>
        <v>24.102527955543252</v>
      </c>
    </row>
    <row r="14" spans="1:59" s="362" customFormat="1" ht="15.5">
      <c r="A14" s="3607">
        <f t="shared" si="1"/>
        <v>13</v>
      </c>
      <c r="B14" s="3092">
        <v>220000.5090867368</v>
      </c>
      <c r="C14" s="3608">
        <v>0.56334222885968721</v>
      </c>
      <c r="D14" s="3091">
        <v>0.50894157569520238</v>
      </c>
      <c r="E14" s="3092">
        <v>149.61943491805948</v>
      </c>
      <c r="F14" s="3091">
        <v>3.5849377473126422E-2</v>
      </c>
      <c r="G14" s="3608">
        <v>1.2618848340546593</v>
      </c>
      <c r="H14" s="3608">
        <v>1.3652349174001694</v>
      </c>
      <c r="I14" s="3608">
        <v>27.182734194632442</v>
      </c>
      <c r="J14" s="3608">
        <v>88.390645502879778</v>
      </c>
      <c r="K14" s="3608">
        <v>84.51108593904722</v>
      </c>
      <c r="L14" s="3153">
        <v>12.366531344329239</v>
      </c>
      <c r="M14" s="3092">
        <v>1602.8563300088877</v>
      </c>
      <c r="N14" s="3091">
        <v>0.75093683870643724</v>
      </c>
      <c r="O14" s="3091">
        <v>1.0507190625720064</v>
      </c>
      <c r="P14" s="3091">
        <v>0.16164012894286295</v>
      </c>
      <c r="Q14" s="3091">
        <v>0.17687129186245398</v>
      </c>
      <c r="R14" s="3153">
        <v>33.625401102141829</v>
      </c>
      <c r="S14" s="3092">
        <v>209.88518200158433</v>
      </c>
      <c r="T14" s="3153">
        <v>38.471143749007744</v>
      </c>
      <c r="U14" s="3153">
        <v>76.405114127682992</v>
      </c>
      <c r="V14" s="3153">
        <v>67.780225087270651</v>
      </c>
      <c r="W14" s="3092">
        <v>111871.77604305846</v>
      </c>
      <c r="X14" s="3092">
        <v>0</v>
      </c>
      <c r="Y14" s="3092">
        <v>0.47124125647730702</v>
      </c>
      <c r="Z14" s="3092">
        <v>107790.96045255807</v>
      </c>
      <c r="AA14" s="3092">
        <v>3.7122269500511597E-2</v>
      </c>
      <c r="AB14" s="3092">
        <v>0</v>
      </c>
      <c r="AC14" s="3092">
        <v>337.20960091182519</v>
      </c>
      <c r="AD14" s="3608">
        <v>92.961508422004556</v>
      </c>
      <c r="AE14" s="3608">
        <v>91.087574710225425</v>
      </c>
      <c r="AF14" s="3608">
        <v>89.01529070678842</v>
      </c>
      <c r="AG14" s="3608">
        <v>86.214295902245553</v>
      </c>
      <c r="AH14" s="3608">
        <v>82.416659237765003</v>
      </c>
      <c r="AI14" s="3608">
        <v>81.101325589666203</v>
      </c>
      <c r="AJ14" s="3608">
        <v>76.642940460684358</v>
      </c>
      <c r="AK14" s="3608">
        <v>90.939808469986971</v>
      </c>
      <c r="AL14" s="3091">
        <v>9.1193489872996962E-3</v>
      </c>
      <c r="AM14" s="3608">
        <v>1.8135371571101699</v>
      </c>
      <c r="AN14" s="3092">
        <v>966.1532618042811</v>
      </c>
      <c r="AO14" s="3092">
        <v>1094.2854268745846</v>
      </c>
      <c r="AP14" s="3092">
        <v>3595.5571359844939</v>
      </c>
      <c r="AQ14" s="3153">
        <v>23.52463306133966</v>
      </c>
      <c r="AR14" s="3092">
        <v>9244.2803090327543</v>
      </c>
      <c r="AS14" s="3608">
        <v>1.003785842978322</v>
      </c>
      <c r="AT14" s="3609">
        <v>0.48996020976700227</v>
      </c>
      <c r="AU14" s="3610">
        <f>+AT14</f>
        <v>0.48996020976700227</v>
      </c>
      <c r="AV14" s="3126">
        <f t="shared" si="0"/>
        <v>3.8667320136844858</v>
      </c>
      <c r="AW14" s="2678">
        <v>45670</v>
      </c>
      <c r="AX14" s="3092">
        <v>215.97460937025664</v>
      </c>
      <c r="AY14" s="308">
        <v>198.90093344594493</v>
      </c>
      <c r="AZ14" s="308">
        <v>9304.5379868837226</v>
      </c>
      <c r="BA14" s="308">
        <v>8050.9030386492223</v>
      </c>
      <c r="BB14" s="362">
        <f>((AZ14-1812)/3*2+1812)*9/24+AZ14*15/24</f>
        <v>8367.9707385232578</v>
      </c>
      <c r="BC14" s="308">
        <f t="shared" ref="BC14:BC29" si="6">+AZ14-BA14</f>
        <v>1253.6349482345004</v>
      </c>
      <c r="BD14" s="3608">
        <v>87.055135053772432</v>
      </c>
      <c r="BE14" s="362">
        <v>88.012188829208867</v>
      </c>
      <c r="BF14" s="2679">
        <f t="shared" si="4"/>
        <v>0.95705377543643522</v>
      </c>
      <c r="BG14" s="308">
        <f t="shared" si="5"/>
        <v>17.073675924311715</v>
      </c>
    </row>
    <row r="15" spans="1:59" s="362" customFormat="1" ht="15.5">
      <c r="A15" s="3607">
        <f t="shared" si="1"/>
        <v>14</v>
      </c>
      <c r="B15" s="3092">
        <v>165088.43244626594</v>
      </c>
      <c r="C15" s="3608">
        <v>0.5692875166493111</v>
      </c>
      <c r="D15" s="3091">
        <v>0.48919387585138341</v>
      </c>
      <c r="E15" s="3092">
        <v>213.14420892543211</v>
      </c>
      <c r="F15" s="3091">
        <v>5.3884202316277829E-2</v>
      </c>
      <c r="G15" s="3608">
        <v>1.755096225188721</v>
      </c>
      <c r="H15" s="3608">
        <v>1.2376486941247007</v>
      </c>
      <c r="I15" s="3608">
        <v>29.671012472800037</v>
      </c>
      <c r="J15" s="3608">
        <v>89.566140800557761</v>
      </c>
      <c r="K15" s="3608">
        <v>85.655606053828819</v>
      </c>
      <c r="L15" s="3153">
        <v>12.331340137479614</v>
      </c>
      <c r="M15" s="3092">
        <v>394.99899599095124</v>
      </c>
      <c r="N15" s="3091">
        <v>0.82763532769129544</v>
      </c>
      <c r="O15" s="3091">
        <v>0.39899852399275088</v>
      </c>
      <c r="P15" s="3091">
        <v>0.26230470866011468</v>
      </c>
      <c r="Q15" s="3091">
        <v>3.5303701984262109E-2</v>
      </c>
      <c r="R15" s="3153">
        <v>27.759645092424382</v>
      </c>
      <c r="S15" s="3092">
        <v>203.98584614282376</v>
      </c>
      <c r="T15" s="3153">
        <v>37.239356535075302</v>
      </c>
      <c r="U15" s="3153">
        <v>76.255230939996167</v>
      </c>
      <c r="V15" s="3153">
        <v>91.63921598331099</v>
      </c>
      <c r="W15" s="3092">
        <v>19180.770076675442</v>
      </c>
      <c r="X15" s="3092">
        <v>375</v>
      </c>
      <c r="Y15" s="3092">
        <v>5384.9970268095167</v>
      </c>
      <c r="Z15" s="3092">
        <v>136617.41513462775</v>
      </c>
      <c r="AA15" s="3092">
        <v>206.64565068087992</v>
      </c>
      <c r="AB15" s="3092">
        <v>0</v>
      </c>
      <c r="AC15" s="3092">
        <v>823.43561005028073</v>
      </c>
      <c r="AD15" s="3608">
        <v>93.71667931794488</v>
      </c>
      <c r="AE15" s="3608">
        <v>92.257414733796054</v>
      </c>
      <c r="AF15" s="3608">
        <v>90.151866694959011</v>
      </c>
      <c r="AG15" s="3608">
        <v>87.685990141806641</v>
      </c>
      <c r="AH15" s="3608">
        <v>84.440928363076921</v>
      </c>
      <c r="AI15" s="3608">
        <v>83.38316685723963</v>
      </c>
      <c r="AJ15" s="3608">
        <v>79.055051047245982</v>
      </c>
      <c r="AK15" s="3608">
        <v>101.81095357592784</v>
      </c>
      <c r="AL15" s="3091">
        <v>7.3553814234602133E-3</v>
      </c>
      <c r="AM15" s="3608">
        <v>1.5366054097372099</v>
      </c>
      <c r="AN15" s="3092">
        <v>657.57293667911063</v>
      </c>
      <c r="AO15" s="3092">
        <v>763.75046189108559</v>
      </c>
      <c r="AP15" s="3092">
        <v>2217.0612115934268</v>
      </c>
      <c r="AQ15" s="3153">
        <v>18.039915165761858</v>
      </c>
      <c r="AR15" s="3092">
        <v>8883.4666271327915</v>
      </c>
      <c r="AS15" s="3608">
        <v>1.7379426220237728</v>
      </c>
      <c r="AT15" s="3609">
        <v>0.87465758445184072</v>
      </c>
      <c r="AU15" s="3610">
        <f>+AT15</f>
        <v>0.87465758445184072</v>
      </c>
      <c r="AV15" s="3126">
        <f t="shared" si="0"/>
        <v>4.3289696796063808</v>
      </c>
      <c r="AW15" s="2678">
        <v>45671</v>
      </c>
      <c r="AX15" s="3092">
        <v>213.99832348981022</v>
      </c>
      <c r="AY15" s="308">
        <v>212.1029818657511</v>
      </c>
      <c r="AZ15" s="308">
        <v>9317.4226750150101</v>
      </c>
      <c r="BA15" s="308">
        <v>9172.1681358760598</v>
      </c>
      <c r="BB15" s="362">
        <f t="shared" ref="BB15:BB29" si="7">+(AZ15-2100)/3*2+2100</f>
        <v>6911.6151166766731</v>
      </c>
      <c r="BC15" s="308">
        <f t="shared" si="6"/>
        <v>145.25453913895035</v>
      </c>
      <c r="BD15" s="3608">
        <v>87.480494119919939</v>
      </c>
      <c r="BE15" s="362">
        <v>87.585475643239135</v>
      </c>
      <c r="BF15" s="2679">
        <f t="shared" si="4"/>
        <v>0.10498152331919641</v>
      </c>
      <c r="BG15" s="308">
        <f t="shared" si="5"/>
        <v>1.8953416240591139</v>
      </c>
    </row>
    <row r="16" spans="1:59" s="362" customFormat="1" ht="15.5">
      <c r="A16" s="3607">
        <f t="shared" si="1"/>
        <v>15</v>
      </c>
      <c r="B16" s="3092">
        <v>197270.98487997908</v>
      </c>
      <c r="C16" s="3608">
        <v>0.6107484401800688</v>
      </c>
      <c r="D16" s="3091">
        <v>0.49273891077590615</v>
      </c>
      <c r="E16" s="3092">
        <v>275.79728692083603</v>
      </c>
      <c r="F16" s="3091">
        <v>4.9628781934450535E-2</v>
      </c>
      <c r="G16" s="3608">
        <v>1.6924248039137588</v>
      </c>
      <c r="H16" s="3608">
        <v>1.1692612698880109</v>
      </c>
      <c r="I16" s="3608">
        <v>29.11477817082487</v>
      </c>
      <c r="J16" s="3608">
        <v>89.445791505060242</v>
      </c>
      <c r="K16" s="3608">
        <v>86.09368729377131</v>
      </c>
      <c r="L16" s="3153">
        <v>12.348748642831099</v>
      </c>
      <c r="M16" s="3092">
        <v>424.53943588444901</v>
      </c>
      <c r="N16" s="3091">
        <v>0.82406664911187855</v>
      </c>
      <c r="O16" s="3091">
        <v>0.34299343583560676</v>
      </c>
      <c r="P16" s="3091">
        <v>0.28509025589638887</v>
      </c>
      <c r="Q16" s="3091">
        <v>1.9528436884085405E-2</v>
      </c>
      <c r="R16" s="3153">
        <v>14.817580029148322</v>
      </c>
      <c r="S16" s="3092">
        <v>203.38257220277529</v>
      </c>
      <c r="T16" s="3153">
        <v>36.932517110142435</v>
      </c>
      <c r="U16" s="3153">
        <v>75.41140175835389</v>
      </c>
      <c r="V16" s="3153">
        <v>94.975831011478306</v>
      </c>
      <c r="W16" s="3092">
        <v>15320.931436266072</v>
      </c>
      <c r="X16" s="3092">
        <v>0</v>
      </c>
      <c r="Y16" s="3092">
        <v>7833.8543473584105</v>
      </c>
      <c r="Z16" s="3092">
        <v>171860.46689341546</v>
      </c>
      <c r="AA16" s="3092">
        <v>405.79336641305099</v>
      </c>
      <c r="AB16" s="3092">
        <v>0</v>
      </c>
      <c r="AC16" s="3092">
        <v>1849.9564453398516</v>
      </c>
      <c r="AD16" s="3608">
        <v>93.523528326860728</v>
      </c>
      <c r="AE16" s="3608">
        <v>92.142271035180897</v>
      </c>
      <c r="AF16" s="3608">
        <v>90.050544455818709</v>
      </c>
      <c r="AG16" s="3608">
        <v>87.452115236043639</v>
      </c>
      <c r="AH16" s="3608">
        <v>84.439368356734718</v>
      </c>
      <c r="AI16" s="3608">
        <v>83.463226310343131</v>
      </c>
      <c r="AJ16" s="3608">
        <v>78.995315583246239</v>
      </c>
      <c r="AK16" s="3608">
        <v>102.74845035877881</v>
      </c>
      <c r="AL16" s="3091">
        <v>8.6004291009529991E-3</v>
      </c>
      <c r="AM16" s="3608">
        <v>1.7872722528721701</v>
      </c>
      <c r="AN16" s="3092">
        <v>865.56890111341249</v>
      </c>
      <c r="AO16" s="3092">
        <v>966.87722255197252</v>
      </c>
      <c r="AP16" s="3092">
        <v>2906.6863593828625</v>
      </c>
      <c r="AQ16" s="3153">
        <v>22.673735539762706</v>
      </c>
      <c r="AR16" s="3092">
        <v>8813.9622220554429</v>
      </c>
      <c r="AS16" s="3608">
        <v>1.8639079317247422</v>
      </c>
      <c r="AT16" s="3609">
        <v>0.91295787183632615</v>
      </c>
      <c r="AU16" s="3610">
        <f>+AT16</f>
        <v>0.91295787183632615</v>
      </c>
      <c r="AV16" s="3126">
        <f t="shared" si="0"/>
        <v>4.3688317475386276</v>
      </c>
      <c r="AW16" s="2678">
        <v>45672</v>
      </c>
      <c r="AX16" s="3092">
        <v>210.59130938185618</v>
      </c>
      <c r="AY16" s="308">
        <v>214.2297402818993</v>
      </c>
      <c r="AZ16" s="308">
        <v>9572.4520028059324</v>
      </c>
      <c r="BA16" s="308">
        <v>9546.9929170692358</v>
      </c>
      <c r="BB16" s="362">
        <f t="shared" si="7"/>
        <v>7081.6346685372882</v>
      </c>
      <c r="BC16" s="308">
        <f t="shared" si="6"/>
        <v>25.459085736696579</v>
      </c>
      <c r="BD16" s="3608">
        <v>89.818769758990825</v>
      </c>
      <c r="BE16" s="362">
        <v>89.856675711385449</v>
      </c>
      <c r="BF16" s="2679">
        <f t="shared" si="4"/>
        <v>3.790595239462391E-2</v>
      </c>
      <c r="BG16" s="308">
        <f t="shared" si="5"/>
        <v>-3.6384309000431188</v>
      </c>
    </row>
    <row r="17" spans="1:59" s="362" customFormat="1" ht="15.5">
      <c r="A17" s="3607">
        <f t="shared" si="1"/>
        <v>16</v>
      </c>
      <c r="B17" s="3092">
        <v>219999.99999989281</v>
      </c>
      <c r="C17" s="3608">
        <v>0.61049230751624339</v>
      </c>
      <c r="D17" s="3091">
        <v>0.54811213262379888</v>
      </c>
      <c r="E17" s="3092">
        <v>167.73400802713974</v>
      </c>
      <c r="F17" s="3091">
        <v>4.663619066862118E-2</v>
      </c>
      <c r="G17" s="3608">
        <v>1.4709506745911181</v>
      </c>
      <c r="H17" s="3608">
        <v>1.4575703441819887</v>
      </c>
      <c r="I17" s="3608">
        <v>28.539442685189996</v>
      </c>
      <c r="J17" s="3608">
        <v>90.531767488318224</v>
      </c>
      <c r="K17" s="3608">
        <v>83.195990763903154</v>
      </c>
      <c r="L17" s="3153">
        <v>12.450060294196971</v>
      </c>
      <c r="M17" s="3092">
        <v>326.90632207814406</v>
      </c>
      <c r="N17" s="3091">
        <v>1.084128883981567</v>
      </c>
      <c r="O17" s="3091">
        <v>0.48518416266208519</v>
      </c>
      <c r="P17" s="3091">
        <v>0.2489104900906301</v>
      </c>
      <c r="Q17" s="3091">
        <v>4.7536038084995047E-3</v>
      </c>
      <c r="R17" s="3153">
        <v>18.341810177800259</v>
      </c>
      <c r="S17" s="3092">
        <v>202.91833139804044</v>
      </c>
      <c r="T17" s="3153">
        <v>35.57410957317115</v>
      </c>
      <c r="U17" s="3153">
        <v>83.079698705534952</v>
      </c>
      <c r="V17" s="3153">
        <v>93.342832551410524</v>
      </c>
      <c r="W17" s="3092">
        <v>4532.0029003025784</v>
      </c>
      <c r="X17" s="3092">
        <v>0</v>
      </c>
      <c r="Y17" s="3092">
        <v>30858.036052022977</v>
      </c>
      <c r="Z17" s="3092">
        <v>174688.85828186446</v>
      </c>
      <c r="AA17" s="3092">
        <v>9324.1379951080798</v>
      </c>
      <c r="AB17" s="3092">
        <v>214.20198276915937</v>
      </c>
      <c r="AC17" s="3092">
        <v>383.26645839300141</v>
      </c>
      <c r="AD17" s="3608">
        <v>94.789945805382402</v>
      </c>
      <c r="AE17" s="3608">
        <v>93.645374803868023</v>
      </c>
      <c r="AF17" s="3608">
        <v>91.742709222412657</v>
      </c>
      <c r="AG17" s="3608">
        <v>89.664155552053373</v>
      </c>
      <c r="AH17" s="3608">
        <v>86.851603612842467</v>
      </c>
      <c r="AI17" s="3608">
        <v>85.931219168164375</v>
      </c>
      <c r="AJ17" s="3608">
        <v>81.695949117041536</v>
      </c>
      <c r="AK17" s="3608">
        <v>101.49053995440231</v>
      </c>
      <c r="AL17" s="3091">
        <v>8.1561457732530797E-3</v>
      </c>
      <c r="AM17" s="3608">
        <v>1.5192586209538199</v>
      </c>
      <c r="AN17" s="3092">
        <v>1099.4956808394884</v>
      </c>
      <c r="AO17" s="3092">
        <v>1217.7581336295523</v>
      </c>
      <c r="AP17" s="3092">
        <v>3937.9073412330927</v>
      </c>
      <c r="AQ17" s="3153">
        <v>26.189255147128357</v>
      </c>
      <c r="AR17" s="3092">
        <v>8591.494170692953</v>
      </c>
      <c r="AS17" s="3608">
        <v>1.6917707748291084</v>
      </c>
      <c r="AT17" s="3609">
        <v>0.97765791770159682</v>
      </c>
      <c r="AU17" s="3610">
        <f>+AT17</f>
        <v>0.97765791770159682</v>
      </c>
      <c r="AV17" s="3126">
        <f t="shared" si="0"/>
        <v>4.3153457933367916</v>
      </c>
      <c r="AW17" s="2678">
        <v>45673</v>
      </c>
      <c r="AX17" s="3092">
        <v>208.32310397832231</v>
      </c>
      <c r="AY17" s="308">
        <v>214.13790903673538</v>
      </c>
      <c r="AZ17" s="308">
        <v>9609.6049752420931</v>
      </c>
      <c r="BA17" s="308">
        <v>9578.9515634591826</v>
      </c>
      <c r="BB17" s="362">
        <f t="shared" si="7"/>
        <v>7106.4033168280621</v>
      </c>
      <c r="BC17" s="308">
        <f t="shared" si="6"/>
        <v>30.653411782910553</v>
      </c>
      <c r="BD17" s="3608">
        <v>90.40916851621509</v>
      </c>
      <c r="BE17" s="362">
        <v>90.515559047145004</v>
      </c>
      <c r="BF17" s="2679">
        <f t="shared" si="4"/>
        <v>0.10639053092991446</v>
      </c>
      <c r="BG17" s="308">
        <f t="shared" si="5"/>
        <v>-5.8148050584130715</v>
      </c>
    </row>
    <row r="18" spans="1:59" s="362" customFormat="1" ht="15.5">
      <c r="A18" s="3652">
        <f t="shared" si="1"/>
        <v>17</v>
      </c>
      <c r="B18" s="3653">
        <v>220000.00000003117</v>
      </c>
      <c r="C18" s="3654">
        <v>0.6292731082211257</v>
      </c>
      <c r="D18" s="3655">
        <v>0.54513115631698694</v>
      </c>
      <c r="E18" s="3092">
        <v>210.71505553652881</v>
      </c>
      <c r="F18" s="3655">
        <v>5.5605693373704385E-2</v>
      </c>
      <c r="G18" s="3654">
        <v>1.5515431351514475</v>
      </c>
      <c r="H18" s="3654">
        <v>1.5847637194596722</v>
      </c>
      <c r="I18" s="3654">
        <v>27.115624560354838</v>
      </c>
      <c r="J18" s="3654">
        <v>89.687907884934219</v>
      </c>
      <c r="K18" s="3654">
        <v>84.87631733548929</v>
      </c>
      <c r="L18" s="3656">
        <v>12.597114029768719</v>
      </c>
      <c r="M18" s="3653">
        <v>318.21050574073803</v>
      </c>
      <c r="N18" s="3655">
        <v>1.0492616550432241</v>
      </c>
      <c r="O18" s="3655">
        <v>0.63347038259857535</v>
      </c>
      <c r="P18" s="3655">
        <v>0.26449959399620454</v>
      </c>
      <c r="Q18" s="3655">
        <v>4.3079644682747845E-3</v>
      </c>
      <c r="R18" s="3656">
        <v>21.341985226593096</v>
      </c>
      <c r="S18" s="3653">
        <v>207.85104585392367</v>
      </c>
      <c r="T18" s="3656">
        <v>37.024870781020738</v>
      </c>
      <c r="U18" s="3656">
        <v>82.326007877143553</v>
      </c>
      <c r="V18" s="3656">
        <v>93.683253716619816</v>
      </c>
      <c r="W18" s="3653">
        <v>4073.0367513206338</v>
      </c>
      <c r="X18" s="3653">
        <v>0</v>
      </c>
      <c r="Y18" s="3653">
        <v>48771.638327867666</v>
      </c>
      <c r="Z18" s="3653">
        <v>155050.03797511404</v>
      </c>
      <c r="AA18" s="3653">
        <v>11594.265061986745</v>
      </c>
      <c r="AB18" s="3653">
        <v>128.28819223266152</v>
      </c>
      <c r="AC18" s="3653">
        <v>383.26645839300141</v>
      </c>
      <c r="AD18" s="3927">
        <v>92.401122314259325</v>
      </c>
      <c r="AE18" s="3927">
        <v>92.401122314259325</v>
      </c>
      <c r="AF18" s="3654">
        <v>90.47446085894579</v>
      </c>
      <c r="AG18" s="3654">
        <v>88.239993717205991</v>
      </c>
      <c r="AH18" s="3654">
        <v>85.538809486134028</v>
      </c>
      <c r="AI18" s="3654">
        <v>84.613561475308728</v>
      </c>
      <c r="AJ18" s="3654">
        <v>79.787418244010368</v>
      </c>
      <c r="AK18" s="3654">
        <v>101.09085085594099</v>
      </c>
      <c r="AL18" s="3655">
        <v>5.523354760320013E-3</v>
      </c>
      <c r="AM18" s="3654">
        <v>1.03408779514277</v>
      </c>
      <c r="AN18" s="3653">
        <v>1054.3862123127178</v>
      </c>
      <c r="AO18" s="3653">
        <v>1175.4414334811825</v>
      </c>
      <c r="AP18" s="3653">
        <v>3871.5105255208873</v>
      </c>
      <c r="AQ18" s="3656">
        <v>24.851583876977603</v>
      </c>
      <c r="AR18" s="3653">
        <v>8760.8275466975501</v>
      </c>
      <c r="AS18" s="3654">
        <v>1.5524428163127619</v>
      </c>
      <c r="AT18" s="3657">
        <v>0.97974412537248279</v>
      </c>
      <c r="AU18" s="3658">
        <f>+AT18</f>
        <v>0.97974412537248279</v>
      </c>
      <c r="AV18" s="3126">
        <f t="shared" si="0"/>
        <v>4.2983511387565461</v>
      </c>
      <c r="AW18" s="2678">
        <v>45674</v>
      </c>
      <c r="AX18" s="3653">
        <v>211.03344898073016</v>
      </c>
      <c r="AY18" s="308">
        <v>197.10871351368863</v>
      </c>
      <c r="AZ18" s="308">
        <v>9504.5045108599916</v>
      </c>
      <c r="BA18" s="308">
        <v>8302.3757734537849</v>
      </c>
      <c r="BB18" s="362">
        <f t="shared" si="7"/>
        <v>7036.336340573328</v>
      </c>
      <c r="BC18" s="308">
        <f t="shared" si="6"/>
        <v>1202.1287374062067</v>
      </c>
      <c r="BD18" s="3654">
        <v>84.10966569440771</v>
      </c>
      <c r="BE18" s="362">
        <v>84.97449580006311</v>
      </c>
      <c r="BF18" s="2679">
        <f t="shared" si="4"/>
        <v>0.86483010565540042</v>
      </c>
      <c r="BG18" s="308">
        <f t="shared" si="5"/>
        <v>13.924735467041529</v>
      </c>
    </row>
    <row r="19" spans="1:59" s="362" customFormat="1" ht="15.5">
      <c r="A19" s="3917">
        <f t="shared" si="1"/>
        <v>18</v>
      </c>
      <c r="B19" s="3918">
        <v>184999.99999976202</v>
      </c>
      <c r="C19" s="3919">
        <v>0.62228417620317056</v>
      </c>
      <c r="D19" s="3919">
        <v>0.56886214340434216</v>
      </c>
      <c r="E19" s="3092">
        <v>215.69511239515333</v>
      </c>
      <c r="F19" s="3919">
        <v>4.1455626305146452E-2</v>
      </c>
      <c r="G19" s="3919">
        <v>1.2651778946604433</v>
      </c>
      <c r="H19" s="3919">
        <v>1.6633820771153145</v>
      </c>
      <c r="I19" s="3919">
        <v>27.219775987773108</v>
      </c>
      <c r="J19" s="3919">
        <v>89.820041289395149</v>
      </c>
      <c r="K19" s="3919">
        <v>71.4928737115237</v>
      </c>
      <c r="L19" s="3919">
        <v>12.482712152368032</v>
      </c>
      <c r="M19" s="3919">
        <v>452.28090016056467</v>
      </c>
      <c r="N19" s="3919">
        <v>1.1209262546593712</v>
      </c>
      <c r="O19" s="3919">
        <v>0.74570482957980089</v>
      </c>
      <c r="P19" s="3919">
        <v>0.24444344311422375</v>
      </c>
      <c r="Q19" s="3919">
        <v>1.4483253771572053E-2</v>
      </c>
      <c r="R19" s="3919">
        <v>16.373163639706902</v>
      </c>
      <c r="S19" s="3919">
        <v>205.51490312324387</v>
      </c>
      <c r="T19" s="3919">
        <v>36.941364576954399</v>
      </c>
      <c r="U19" s="3919">
        <v>76.871598169792222</v>
      </c>
      <c r="V19" s="3919">
        <v>93.647047578349571</v>
      </c>
      <c r="W19" s="3918">
        <v>16213.989100675821</v>
      </c>
      <c r="X19" s="3918">
        <v>0</v>
      </c>
      <c r="Y19" s="3918">
        <v>58112.134603273225</v>
      </c>
      <c r="Z19" s="3918">
        <v>108420.89259128094</v>
      </c>
      <c r="AA19" s="3918">
        <v>2252.8995172858299</v>
      </c>
      <c r="AB19" s="3918">
        <v>0</v>
      </c>
      <c r="AC19" s="3918">
        <v>0.120998999720937</v>
      </c>
      <c r="AD19" s="3928">
        <v>92.735110851767729</v>
      </c>
      <c r="AE19" s="3928">
        <v>92.735110851767729</v>
      </c>
      <c r="AF19" s="3919">
        <v>90.790571235386892</v>
      </c>
      <c r="AG19" s="3919">
        <v>88.384934656662651</v>
      </c>
      <c r="AH19" s="3919">
        <v>85.618928029995573</v>
      </c>
      <c r="AI19" s="3919">
        <v>84.627775319281653</v>
      </c>
      <c r="AJ19" s="3919">
        <v>79.338503773681225</v>
      </c>
      <c r="AK19" s="3919">
        <v>93.986565820751537</v>
      </c>
      <c r="AL19" s="3919">
        <v>6.7913554238528346E-3</v>
      </c>
      <c r="AM19" s="3919">
        <v>1.2155398295378901</v>
      </c>
      <c r="AN19" s="3918">
        <v>897.01283646309196</v>
      </c>
      <c r="AO19" s="3918">
        <v>1000.1291096356679</v>
      </c>
      <c r="AP19" s="3918">
        <v>3368.0210975728824</v>
      </c>
      <c r="AQ19" s="3920">
        <v>20.924541619499468</v>
      </c>
      <c r="AR19" s="3918">
        <v>8699.6080185538904</v>
      </c>
      <c r="AS19" s="3919">
        <v>1.346663793300209</v>
      </c>
      <c r="AT19" s="3657">
        <v>0.91235617906284516</v>
      </c>
      <c r="AU19" s="3921">
        <v>0.87590883446912238</v>
      </c>
      <c r="AV19" s="3126">
        <f t="shared" si="0"/>
        <v>3.9962791766303809</v>
      </c>
      <c r="AW19" s="2678">
        <v>45675</v>
      </c>
      <c r="AX19" s="3918">
        <v>210.55723641173606</v>
      </c>
      <c r="AY19" s="308">
        <v>203.02171310946122</v>
      </c>
      <c r="AZ19" s="308">
        <v>9144.494034497342</v>
      </c>
      <c r="BA19" s="308">
        <v>8664.3831824413319</v>
      </c>
      <c r="BB19" s="362">
        <f t="shared" si="7"/>
        <v>6796.329356331561</v>
      </c>
      <c r="BC19" s="308">
        <f t="shared" si="6"/>
        <v>480.11085205601012</v>
      </c>
      <c r="BD19" s="3919">
        <v>85.238194886055155</v>
      </c>
      <c r="BE19" s="362">
        <v>85.774134536432854</v>
      </c>
      <c r="BF19" s="2679">
        <f t="shared" si="4"/>
        <v>0.53593965037769919</v>
      </c>
      <c r="BG19" s="308">
        <f t="shared" si="5"/>
        <v>7.5355233022748394</v>
      </c>
    </row>
    <row r="20" spans="1:59" s="362" customFormat="1" ht="15.5">
      <c r="A20" s="3659">
        <f t="shared" si="1"/>
        <v>19</v>
      </c>
      <c r="B20" s="3660">
        <v>219999.99999969656</v>
      </c>
      <c r="C20" s="3661">
        <v>0.64966765535197601</v>
      </c>
      <c r="D20" s="3662">
        <v>0.57285134895832379</v>
      </c>
      <c r="E20" s="3660">
        <v>282.06358348329417</v>
      </c>
      <c r="F20" s="3662">
        <v>4.9886928224094823E-2</v>
      </c>
      <c r="G20" s="3661">
        <v>1.3114882364023868</v>
      </c>
      <c r="H20" s="3661">
        <v>1.4404879012834562</v>
      </c>
      <c r="I20" s="3661">
        <v>27.116266147102536</v>
      </c>
      <c r="J20" s="3661">
        <v>89.524664362028332</v>
      </c>
      <c r="K20" s="3661">
        <v>63.569540475789374</v>
      </c>
      <c r="L20" s="3663">
        <v>12.399625000855545</v>
      </c>
      <c r="M20" s="3660">
        <v>483.15875434197068</v>
      </c>
      <c r="N20" s="3662">
        <v>1.1266891579589819</v>
      </c>
      <c r="O20" s="3662">
        <v>0.62468350493040337</v>
      </c>
      <c r="P20" s="3662">
        <v>0.2434297323689425</v>
      </c>
      <c r="Q20" s="3662">
        <v>1.6758676200880483E-2</v>
      </c>
      <c r="R20" s="3663">
        <v>13.718164963383902</v>
      </c>
      <c r="S20" s="3660">
        <v>205.98323441633414</v>
      </c>
      <c r="T20" s="3663">
        <v>37.752071762460638</v>
      </c>
      <c r="U20" s="3663">
        <v>76.570763484195851</v>
      </c>
      <c r="V20" s="3663">
        <v>95.057164618721828</v>
      </c>
      <c r="W20" s="3660">
        <v>20704.219242183655</v>
      </c>
      <c r="X20" s="3660">
        <v>0</v>
      </c>
      <c r="Y20" s="3660">
        <v>56425.838743727269</v>
      </c>
      <c r="Z20" s="3660">
        <v>142847.22662190133</v>
      </c>
      <c r="AA20" s="3660">
        <v>0</v>
      </c>
      <c r="AB20" s="3660">
        <v>0</v>
      </c>
      <c r="AC20" s="3660">
        <v>22.632441488859435</v>
      </c>
      <c r="AD20" s="3929">
        <v>92.299189907047506</v>
      </c>
      <c r="AE20" s="3929">
        <v>92.299189907047506</v>
      </c>
      <c r="AF20" s="3661">
        <v>90.097262875832257</v>
      </c>
      <c r="AG20" s="3661">
        <v>87.67370119723698</v>
      </c>
      <c r="AH20" s="3661">
        <v>84.92162705089423</v>
      </c>
      <c r="AI20" s="3661">
        <v>83.944082216620814</v>
      </c>
      <c r="AJ20" s="3661">
        <v>78.831609545472688</v>
      </c>
      <c r="AK20" s="3661">
        <v>87.680593648640809</v>
      </c>
      <c r="AL20" s="3662">
        <v>7.1193968695743839E-3</v>
      </c>
      <c r="AM20" s="3661">
        <v>1.2683256370523199</v>
      </c>
      <c r="AN20" s="3660">
        <v>1073.8466269529545</v>
      </c>
      <c r="AO20" s="3660">
        <v>1202.3628225138225</v>
      </c>
      <c r="AP20" s="3660">
        <v>3942.5543170353099</v>
      </c>
      <c r="AQ20" s="3663">
        <v>25.143675846507733</v>
      </c>
      <c r="AR20" s="3660">
        <v>8773.1949262219387</v>
      </c>
      <c r="AS20" s="3661">
        <v>1.4734696709293165</v>
      </c>
      <c r="AT20" s="3664">
        <v>0.90578700227860676</v>
      </c>
      <c r="AU20" s="3665">
        <f t="shared" si="2"/>
        <v>0.90578700227860676</v>
      </c>
      <c r="AV20" s="3126">
        <f t="shared" si="0"/>
        <v>3.7281512260052003</v>
      </c>
      <c r="AW20" s="2678">
        <v>45676</v>
      </c>
      <c r="AX20" s="3660">
        <v>209.4984607996648</v>
      </c>
      <c r="AY20" s="308">
        <v>201.78754795157465</v>
      </c>
      <c r="AZ20" s="308">
        <v>9105.6829500491767</v>
      </c>
      <c r="BA20" s="308">
        <v>8639.2705487657022</v>
      </c>
      <c r="BB20" s="362">
        <f t="shared" si="7"/>
        <v>6770.4553000327842</v>
      </c>
      <c r="BC20" s="308">
        <f t="shared" si="6"/>
        <v>466.41240128347454</v>
      </c>
      <c r="BD20" s="3661">
        <v>86.581709488224448</v>
      </c>
      <c r="BE20" s="362">
        <v>87.231735450410469</v>
      </c>
      <c r="BF20" s="2679">
        <f t="shared" si="4"/>
        <v>0.65002596218602093</v>
      </c>
      <c r="BG20" s="308">
        <f t="shared" si="5"/>
        <v>7.7109128480901461</v>
      </c>
    </row>
    <row r="21" spans="1:59" s="362" customFormat="1" ht="15.5">
      <c r="A21" s="3607">
        <f t="shared" si="1"/>
        <v>20</v>
      </c>
      <c r="B21" s="3092">
        <v>220000.03021743204</v>
      </c>
      <c r="C21" s="3608">
        <v>0.63131298002338432</v>
      </c>
      <c r="D21" s="3091">
        <v>0.54156117360462053</v>
      </c>
      <c r="E21" s="3092">
        <v>278.04752238264018</v>
      </c>
      <c r="F21" s="3091">
        <v>4.364424523027001E-2</v>
      </c>
      <c r="G21" s="3608">
        <v>1.3047131631498017</v>
      </c>
      <c r="H21" s="3608">
        <v>1.3105009505641654</v>
      </c>
      <c r="I21" s="3608">
        <v>27.828411157188938</v>
      </c>
      <c r="J21" s="3608">
        <v>89.542954910849971</v>
      </c>
      <c r="K21" s="3608">
        <v>81.851502656910171</v>
      </c>
      <c r="L21" s="3153">
        <v>12.365721631309196</v>
      </c>
      <c r="M21" s="3092">
        <v>325.99784012791883</v>
      </c>
      <c r="N21" s="3091">
        <v>1.0190054063093172</v>
      </c>
      <c r="O21" s="3091">
        <v>0.54068363031725331</v>
      </c>
      <c r="P21" s="3091">
        <v>0.26997724515549898</v>
      </c>
      <c r="Q21" s="3091">
        <v>2.497381728237341E-3</v>
      </c>
      <c r="R21" s="3153">
        <v>12.567823898950513</v>
      </c>
      <c r="S21" s="3092">
        <v>205.71679505369093</v>
      </c>
      <c r="T21" s="3153">
        <v>37.831207029537204</v>
      </c>
      <c r="U21" s="3153">
        <v>73.788014355444489</v>
      </c>
      <c r="V21" s="3153">
        <v>94.882705131702281</v>
      </c>
      <c r="W21" s="3092">
        <v>9615.632866432019</v>
      </c>
      <c r="X21" s="3092">
        <v>0</v>
      </c>
      <c r="Y21" s="3092">
        <v>68891.896698700555</v>
      </c>
      <c r="Z21" s="3092">
        <v>137450.60093206979</v>
      </c>
      <c r="AA21" s="3092">
        <v>0</v>
      </c>
      <c r="AB21" s="3092">
        <v>0</v>
      </c>
      <c r="AC21" s="3092">
        <v>3571.7776887365385</v>
      </c>
      <c r="AD21" s="3925">
        <v>92.747943318385225</v>
      </c>
      <c r="AE21" s="3925">
        <v>92.747943318385225</v>
      </c>
      <c r="AF21" s="3608">
        <v>90.291316163995262</v>
      </c>
      <c r="AG21" s="3608">
        <v>87.606258722698982</v>
      </c>
      <c r="AH21" s="3608">
        <v>84.558493082521593</v>
      </c>
      <c r="AI21" s="3608">
        <v>83.546444797355178</v>
      </c>
      <c r="AJ21" s="3608">
        <v>79.001049114819025</v>
      </c>
      <c r="AK21" s="3608">
        <v>99.585380753589334</v>
      </c>
      <c r="AL21" s="3091">
        <v>6.482564849775759E-3</v>
      </c>
      <c r="AM21" s="3608">
        <v>1.2221185293554699</v>
      </c>
      <c r="AN21" s="3092">
        <v>1005.8374628361955</v>
      </c>
      <c r="AO21" s="3092">
        <v>1125.5397917012356</v>
      </c>
      <c r="AP21" s="3092">
        <v>3623.2491612294943</v>
      </c>
      <c r="AQ21" s="3153">
        <v>24.048848481644871</v>
      </c>
      <c r="AR21" s="3092">
        <v>8815.391603596765</v>
      </c>
      <c r="AS21" s="3608">
        <v>1.4242911578801434</v>
      </c>
      <c r="AT21" s="3609">
        <v>0.93992886589284685</v>
      </c>
      <c r="AU21" s="3610">
        <f t="shared" si="2"/>
        <v>0.93992886589284685</v>
      </c>
      <c r="AV21" s="3126">
        <f t="shared" si="0"/>
        <v>4.2343390241683663</v>
      </c>
      <c r="AW21" s="2678">
        <v>45677</v>
      </c>
      <c r="AX21" s="3092">
        <v>209.94152830967508</v>
      </c>
      <c r="AY21" s="308">
        <v>203.43738082218943</v>
      </c>
      <c r="AZ21" s="308">
        <v>9098.5565056928936</v>
      </c>
      <c r="BA21" s="308">
        <v>8743.3351026704349</v>
      </c>
      <c r="BB21" s="362">
        <f t="shared" si="7"/>
        <v>6765.7043371285954</v>
      </c>
      <c r="BC21" s="308">
        <f t="shared" si="6"/>
        <v>355.22140302245862</v>
      </c>
      <c r="BD21" s="3608">
        <v>87.112539531964387</v>
      </c>
      <c r="BE21" s="362">
        <v>87.663000959543723</v>
      </c>
      <c r="BF21" s="2679">
        <f t="shared" si="4"/>
        <v>0.5504614275793358</v>
      </c>
      <c r="BG21" s="308">
        <f t="shared" si="5"/>
        <v>6.5041474874856533</v>
      </c>
    </row>
    <row r="22" spans="1:59" s="362" customFormat="1" ht="15.5">
      <c r="A22" s="3607">
        <f t="shared" si="1"/>
        <v>21</v>
      </c>
      <c r="B22" s="3092">
        <v>185000.02086318861</v>
      </c>
      <c r="C22" s="3608">
        <v>0.61796076089747143</v>
      </c>
      <c r="D22" s="3091">
        <v>0.53439489892154024</v>
      </c>
      <c r="E22" s="3092">
        <v>272.5862418242171</v>
      </c>
      <c r="F22" s="3091">
        <v>2.9819882257727189E-2</v>
      </c>
      <c r="G22" s="3608">
        <v>1.095007473279739</v>
      </c>
      <c r="H22" s="3608">
        <v>1.3521891836999185</v>
      </c>
      <c r="I22" s="3608">
        <v>27.522279163240981</v>
      </c>
      <c r="J22" s="3608">
        <v>89.69455051882872</v>
      </c>
      <c r="K22" s="3608">
        <v>81.235773673998295</v>
      </c>
      <c r="L22" s="3153">
        <v>12.551785630639429</v>
      </c>
      <c r="M22" s="3092">
        <v>280.51860695818681</v>
      </c>
      <c r="N22" s="3091">
        <v>1.0377375824318493</v>
      </c>
      <c r="O22" s="3091">
        <v>0.64382088371850421</v>
      </c>
      <c r="P22" s="3091">
        <v>0.25130961122209999</v>
      </c>
      <c r="Q22" s="3091">
        <v>5.4090127305516115E-4</v>
      </c>
      <c r="R22" s="3153">
        <v>17.786078626776714</v>
      </c>
      <c r="S22" s="3092">
        <v>204.15500920010251</v>
      </c>
      <c r="T22" s="3153">
        <v>36.152261349255689</v>
      </c>
      <c r="U22" s="3153">
        <v>76.371484562678987</v>
      </c>
      <c r="V22" s="3153">
        <v>92.23774481701308</v>
      </c>
      <c r="W22" s="3092">
        <v>9444.1574412628215</v>
      </c>
      <c r="X22" s="3092">
        <v>0</v>
      </c>
      <c r="Y22" s="3092">
        <v>71223.699621152904</v>
      </c>
      <c r="Z22" s="3092">
        <v>103837.61825757282</v>
      </c>
      <c r="AA22" s="3092">
        <v>0</v>
      </c>
      <c r="AB22" s="3092">
        <v>0</v>
      </c>
      <c r="AC22" s="3092">
        <v>24.614141350925799</v>
      </c>
      <c r="AD22" s="3925">
        <v>93.449509713088247</v>
      </c>
      <c r="AE22" s="3925">
        <v>93.449509713088247</v>
      </c>
      <c r="AF22" s="3608">
        <v>90.818332183917889</v>
      </c>
      <c r="AG22" s="3608">
        <v>87.891084101871684</v>
      </c>
      <c r="AH22" s="3608">
        <v>84.637010318518023</v>
      </c>
      <c r="AI22" s="3608">
        <v>83.548834507955533</v>
      </c>
      <c r="AJ22" s="3608">
        <v>78.608230904164586</v>
      </c>
      <c r="AK22" s="3608">
        <v>98.792620602761318</v>
      </c>
      <c r="AL22" s="3091">
        <v>6.535101779429682E-3</v>
      </c>
      <c r="AM22" s="3608">
        <v>1.2459926144498701</v>
      </c>
      <c r="AN22" s="3092">
        <v>831.82069651527581</v>
      </c>
      <c r="AO22" s="3092">
        <v>928.89415605842282</v>
      </c>
      <c r="AP22" s="3092">
        <v>3085.2834092622761</v>
      </c>
      <c r="AQ22" s="3153">
        <v>20.792693361874999</v>
      </c>
      <c r="AR22" s="3092">
        <v>8683.4673730557206</v>
      </c>
      <c r="AS22" s="3608">
        <v>1.3984071041345416</v>
      </c>
      <c r="AT22" s="3609">
        <v>0.94868711324936772</v>
      </c>
      <c r="AU22" s="3610">
        <f t="shared" si="2"/>
        <v>0.94868711324936772</v>
      </c>
      <c r="AV22" s="3126">
        <f t="shared" si="0"/>
        <v>4.2006311122433955</v>
      </c>
      <c r="AW22" s="2678">
        <v>45678</v>
      </c>
      <c r="AX22" s="3092">
        <v>210.90644895690201</v>
      </c>
      <c r="AY22" s="308">
        <v>204.55534872866019</v>
      </c>
      <c r="AZ22" s="308">
        <v>9077.8608387218683</v>
      </c>
      <c r="BA22" s="308">
        <v>8822.4721705786233</v>
      </c>
      <c r="BB22" s="362">
        <f t="shared" si="7"/>
        <v>6751.9072258145789</v>
      </c>
      <c r="BC22" s="308">
        <f t="shared" si="6"/>
        <v>255.38866814324501</v>
      </c>
      <c r="BD22" s="3608">
        <v>88.219542959421631</v>
      </c>
      <c r="BE22" s="362">
        <v>88.636461106668619</v>
      </c>
      <c r="BF22" s="2679">
        <f t="shared" si="4"/>
        <v>0.41691814724698872</v>
      </c>
      <c r="BG22" s="308">
        <f t="shared" si="5"/>
        <v>6.351100228241819</v>
      </c>
    </row>
    <row r="23" spans="1:59" s="362" customFormat="1" ht="15.5">
      <c r="A23" s="3607">
        <f t="shared" si="1"/>
        <v>22</v>
      </c>
      <c r="B23" s="3092">
        <v>199999.99999970043</v>
      </c>
      <c r="C23" s="3608">
        <v>0.67854822829765549</v>
      </c>
      <c r="D23" s="3091">
        <v>0.59959530689926632</v>
      </c>
      <c r="E23" s="3092">
        <v>264.2633640477236</v>
      </c>
      <c r="F23" s="3091">
        <v>4.6050319635068365E-2</v>
      </c>
      <c r="G23" s="3608">
        <v>1.3853210823985254</v>
      </c>
      <c r="H23" s="3608">
        <v>1.2254106432740608</v>
      </c>
      <c r="I23" s="3608">
        <v>29.661040329964397</v>
      </c>
      <c r="J23" s="3608">
        <v>89.798104348719633</v>
      </c>
      <c r="K23" s="3608">
        <v>80.819045706889256</v>
      </c>
      <c r="L23" s="3153">
        <v>12.585984727797692</v>
      </c>
      <c r="M23" s="3092">
        <v>239.71155649767837</v>
      </c>
      <c r="N23" s="3091">
        <v>1.0433532468429025</v>
      </c>
      <c r="O23" s="3091">
        <v>0.33196913621256019</v>
      </c>
      <c r="P23" s="3091">
        <v>0.34705274378513412</v>
      </c>
      <c r="Q23" s="3091">
        <v>0</v>
      </c>
      <c r="R23" s="3153">
        <v>14.221244023782493</v>
      </c>
      <c r="S23" s="3092">
        <v>206.01192834140875</v>
      </c>
      <c r="T23" s="3153">
        <v>36.837072346157001</v>
      </c>
      <c r="U23" s="3153">
        <v>80.510597658584786</v>
      </c>
      <c r="V23" s="3153">
        <v>94.785056199938552</v>
      </c>
      <c r="W23" s="3092">
        <v>9018.9568497344608</v>
      </c>
      <c r="X23" s="3092">
        <v>0</v>
      </c>
      <c r="Y23" s="3092">
        <v>29652.186530544059</v>
      </c>
      <c r="Z23" s="3092">
        <v>161328.95878049501</v>
      </c>
      <c r="AA23" s="3092">
        <v>0</v>
      </c>
      <c r="AB23" s="3092">
        <v>0</v>
      </c>
      <c r="AC23" s="3092">
        <v>0</v>
      </c>
      <c r="AD23" s="3925">
        <v>93.221488824867691</v>
      </c>
      <c r="AE23" s="3925">
        <v>93.221488824867691</v>
      </c>
      <c r="AF23" s="3608">
        <v>90.86395220329598</v>
      </c>
      <c r="AG23" s="3608">
        <v>88.370967126435957</v>
      </c>
      <c r="AH23" s="3608">
        <v>85.32365690598985</v>
      </c>
      <c r="AI23" s="3608">
        <v>84.279354556943048</v>
      </c>
      <c r="AJ23" s="3608">
        <v>78.706365596057154</v>
      </c>
      <c r="AK23" s="3608">
        <v>99.877733912709175</v>
      </c>
      <c r="AL23" s="3091">
        <v>6.754475045781084E-3</v>
      </c>
      <c r="AM23" s="3608">
        <v>1.15261553165969</v>
      </c>
      <c r="AN23" s="3092">
        <v>1017.9428028698352</v>
      </c>
      <c r="AO23" s="3092">
        <v>1135.834714624737</v>
      </c>
      <c r="AP23" s="3092">
        <v>3435.3073827580947</v>
      </c>
      <c r="AQ23" s="3153">
        <v>22.308452970929938</v>
      </c>
      <c r="AR23" s="3092">
        <v>8714.2352167025492</v>
      </c>
      <c r="AS23" s="3608">
        <v>1.7967702057632227</v>
      </c>
      <c r="AT23" s="3609">
        <v>0.95490523878590616</v>
      </c>
      <c r="AU23" s="3610">
        <f t="shared" si="2"/>
        <v>0.95490523878590616</v>
      </c>
      <c r="AV23" s="3126">
        <f t="shared" si="0"/>
        <v>4.2467697884144062</v>
      </c>
      <c r="AW23" s="2678">
        <v>45679</v>
      </c>
      <c r="AX23" s="3092">
        <v>204.26623342813292</v>
      </c>
      <c r="AY23" s="308">
        <v>206.10780626488864</v>
      </c>
      <c r="AZ23" s="308">
        <v>9021.9304568656007</v>
      </c>
      <c r="BA23" s="308">
        <v>8748.1861602187091</v>
      </c>
      <c r="BB23" s="362">
        <f t="shared" si="7"/>
        <v>6714.6203045770671</v>
      </c>
      <c r="BC23" s="308">
        <f t="shared" si="6"/>
        <v>273.7442966468916</v>
      </c>
      <c r="BD23" s="3608">
        <v>88.966946397647021</v>
      </c>
      <c r="BE23" s="362">
        <v>89.463217606437524</v>
      </c>
      <c r="BF23" s="2679">
        <f t="shared" si="4"/>
        <v>0.49627120879050324</v>
      </c>
      <c r="BG23" s="308">
        <f t="shared" si="5"/>
        <v>-1.8415728367557165</v>
      </c>
    </row>
    <row r="24" spans="1:59" s="362" customFormat="1" ht="15.5">
      <c r="A24" s="3607">
        <f t="shared" si="1"/>
        <v>23</v>
      </c>
      <c r="B24" s="3092">
        <v>200000.00000015847</v>
      </c>
      <c r="C24" s="3608">
        <v>0.60475167986883094</v>
      </c>
      <c r="D24" s="3091">
        <v>0.54611774227069232</v>
      </c>
      <c r="E24" s="3092">
        <v>165.72705465265955</v>
      </c>
      <c r="F24" s="3091">
        <v>4.502116310401405E-2</v>
      </c>
      <c r="G24" s="3608">
        <v>1.3090516804563819</v>
      </c>
      <c r="H24" s="3608">
        <v>1.4275871461017173</v>
      </c>
      <c r="I24" s="3608">
        <v>29.178519818492596</v>
      </c>
      <c r="J24" s="3608">
        <v>89.450917903123866</v>
      </c>
      <c r="K24" s="3608">
        <v>82.751388347031764</v>
      </c>
      <c r="L24" s="3153">
        <v>12.539562343120252</v>
      </c>
      <c r="M24" s="3092">
        <v>707.17292352746131</v>
      </c>
      <c r="N24" s="3091">
        <v>0.94668128445851452</v>
      </c>
      <c r="O24" s="3091">
        <v>0.56710401453456771</v>
      </c>
      <c r="P24" s="3091">
        <v>0.27538130146318102</v>
      </c>
      <c r="Q24" s="3091">
        <v>4.1762112085729747E-2</v>
      </c>
      <c r="R24" s="3153">
        <v>23.299099515436758</v>
      </c>
      <c r="S24" s="3092">
        <v>203.50891782886416</v>
      </c>
      <c r="T24" s="3153">
        <v>36.355026368370282</v>
      </c>
      <c r="U24" s="3153">
        <v>81.517421254070641</v>
      </c>
      <c r="V24" s="3153">
        <v>93.006760265208342</v>
      </c>
      <c r="W24" s="3092">
        <v>27285.332907015203</v>
      </c>
      <c r="X24" s="3092">
        <v>0</v>
      </c>
      <c r="Y24" s="3092">
        <v>1219.3065198734068</v>
      </c>
      <c r="Z24" s="3092">
        <v>168521.24193292187</v>
      </c>
      <c r="AA24" s="3092">
        <v>0</v>
      </c>
      <c r="AB24" s="3092">
        <v>2457.6898460082466</v>
      </c>
      <c r="AC24" s="3092">
        <v>443.61827306807942</v>
      </c>
      <c r="AD24" s="3608">
        <v>93.731131187131382</v>
      </c>
      <c r="AE24" s="3608">
        <v>92.655330188525369</v>
      </c>
      <c r="AF24" s="3608">
        <v>90.14089369572018</v>
      </c>
      <c r="AG24" s="3608">
        <v>87.312593792077465</v>
      </c>
      <c r="AH24" s="3608">
        <v>84.126106888478546</v>
      </c>
      <c r="AI24" s="3608">
        <v>83.059431845432158</v>
      </c>
      <c r="AJ24" s="3608">
        <v>77.577548391789776</v>
      </c>
      <c r="AK24" s="3608">
        <v>102.19536681863907</v>
      </c>
      <c r="AL24" s="3091">
        <v>7.3199993985553647E-3</v>
      </c>
      <c r="AM24" s="3608">
        <v>1.3662668506603299</v>
      </c>
      <c r="AN24" s="3092">
        <v>953.06477960565837</v>
      </c>
      <c r="AO24" s="3092">
        <v>1069.9388034538599</v>
      </c>
      <c r="AP24" s="3092">
        <v>3356.6493929172175</v>
      </c>
      <c r="AQ24" s="3153">
        <v>23.322745785293055</v>
      </c>
      <c r="AR24" s="3092">
        <v>8501.7261044925817</v>
      </c>
      <c r="AS24" s="3608">
        <v>1.7187921162965227</v>
      </c>
      <c r="AT24" s="3609">
        <v>0.8613047517330723</v>
      </c>
      <c r="AU24" s="3610">
        <f t="shared" si="2"/>
        <v>0.8613047517330723</v>
      </c>
      <c r="AV24" s="3126">
        <f t="shared" si="0"/>
        <v>4.345314809611426</v>
      </c>
      <c r="AW24" s="2678">
        <v>45680</v>
      </c>
      <c r="AX24" s="3092">
        <v>199.91458699456368</v>
      </c>
      <c r="AY24" s="308">
        <v>204.57282821281439</v>
      </c>
      <c r="AZ24" s="308">
        <v>8539.6936085991947</v>
      </c>
      <c r="BA24" s="308">
        <v>8529.7055779946786</v>
      </c>
      <c r="BB24" s="362">
        <f t="shared" si="7"/>
        <v>6393.1290723994634</v>
      </c>
      <c r="BC24" s="308">
        <f t="shared" si="6"/>
        <v>9.9880306045160978</v>
      </c>
      <c r="BD24" s="3608">
        <v>90.036736359009183</v>
      </c>
      <c r="BE24" s="362">
        <v>90.349816807947434</v>
      </c>
      <c r="BF24" s="2679">
        <f t="shared" si="4"/>
        <v>0.31308044893825127</v>
      </c>
      <c r="BG24" s="308">
        <f t="shared" si="5"/>
        <v>-4.6582412182507085</v>
      </c>
    </row>
    <row r="25" spans="1:59" s="362" customFormat="1" ht="15.5">
      <c r="A25" s="3607">
        <f t="shared" si="1"/>
        <v>24</v>
      </c>
      <c r="B25" s="3092">
        <v>184999.99999984697</v>
      </c>
      <c r="C25" s="3608">
        <v>0.5950080136883914</v>
      </c>
      <c r="D25" s="3091">
        <v>0.55160275711999007</v>
      </c>
      <c r="E25" s="3092">
        <v>116.04786880043868</v>
      </c>
      <c r="F25" s="3091">
        <v>3.3128173940603446E-2</v>
      </c>
      <c r="G25" s="3608">
        <v>1.1126778322880904</v>
      </c>
      <c r="H25" s="3608">
        <v>1.5537291958501629</v>
      </c>
      <c r="I25" s="3608">
        <v>26.795474799065147</v>
      </c>
      <c r="J25" s="3608">
        <v>88.983751397369389</v>
      </c>
      <c r="K25" s="3608">
        <v>82.412910459966696</v>
      </c>
      <c r="L25" s="3153">
        <v>12.483457505466498</v>
      </c>
      <c r="M25" s="3092">
        <v>1283.9682990195381</v>
      </c>
      <c r="N25" s="3091">
        <v>0.98633435396694968</v>
      </c>
      <c r="O25" s="3091">
        <v>1.0668955903686488</v>
      </c>
      <c r="P25" s="3091">
        <v>0.16154822915613018</v>
      </c>
      <c r="Q25" s="3091">
        <v>0.12863544218364914</v>
      </c>
      <c r="R25" s="3153">
        <v>32.725416577674395</v>
      </c>
      <c r="S25" s="3092">
        <v>205.18590235115258</v>
      </c>
      <c r="T25" s="3153">
        <v>37.37366346942364</v>
      </c>
      <c r="U25" s="3153">
        <v>76.261336123631082</v>
      </c>
      <c r="V25" s="3153">
        <v>83.560410965114826</v>
      </c>
      <c r="W25" s="3092">
        <v>65335.314231469412</v>
      </c>
      <c r="X25" s="3092">
        <v>0</v>
      </c>
      <c r="Y25" s="3092">
        <v>0</v>
      </c>
      <c r="Z25" s="3092">
        <v>105425.34268745764</v>
      </c>
      <c r="AA25" s="3092">
        <v>0</v>
      </c>
      <c r="AB25" s="3092">
        <v>14068.272802718886</v>
      </c>
      <c r="AC25" s="3092">
        <v>170.60033919812099</v>
      </c>
      <c r="AD25" s="3608">
        <v>93.659132978137421</v>
      </c>
      <c r="AE25" s="3608">
        <v>92.102304039099437</v>
      </c>
      <c r="AF25" s="3608">
        <v>89.580064746719799</v>
      </c>
      <c r="AG25" s="3608">
        <v>86.672885551817672</v>
      </c>
      <c r="AH25" s="3608">
        <v>83.435460045226705</v>
      </c>
      <c r="AI25" s="3608">
        <v>82.312816206644527</v>
      </c>
      <c r="AJ25" s="3608">
        <v>77.427644689989336</v>
      </c>
      <c r="AK25" s="3608">
        <v>100.66773062454938</v>
      </c>
      <c r="AL25" s="3091">
        <v>9.8212530610047363E-3</v>
      </c>
      <c r="AM25" s="3608">
        <v>1.80271832501398</v>
      </c>
      <c r="AN25" s="3092">
        <v>894.13271262768956</v>
      </c>
      <c r="AO25" s="3092">
        <v>1012.1165491922205</v>
      </c>
      <c r="AP25" s="3092">
        <v>3425.3152482216865</v>
      </c>
      <c r="AQ25" s="3153">
        <v>21.46095926656848</v>
      </c>
      <c r="AR25" s="3092">
        <v>8559.3771924380726</v>
      </c>
      <c r="AS25" s="3608">
        <v>1.1194414650567424</v>
      </c>
      <c r="AT25" s="3609">
        <v>0.64591307583795776</v>
      </c>
      <c r="AU25" s="3610">
        <f t="shared" si="2"/>
        <v>0.64591307583795776</v>
      </c>
      <c r="AV25" s="3126">
        <f t="shared" si="0"/>
        <v>4.2803601997839893</v>
      </c>
      <c r="AW25" s="2678">
        <v>45681</v>
      </c>
      <c r="AX25" s="3092">
        <v>197.57261436734277</v>
      </c>
      <c r="AY25" s="308">
        <v>205.11666070589501</v>
      </c>
      <c r="AZ25" s="308">
        <v>8523.9939352471101</v>
      </c>
      <c r="BA25" s="308">
        <v>8617.1548722949792</v>
      </c>
      <c r="BB25" s="362">
        <f t="shared" si="7"/>
        <v>6382.6626234980731</v>
      </c>
      <c r="BC25" s="308">
        <f t="shared" si="6"/>
        <v>-93.160937047869083</v>
      </c>
      <c r="BD25" s="3608">
        <v>90.476387379440084</v>
      </c>
      <c r="BE25" s="362">
        <v>90.479827380278806</v>
      </c>
      <c r="BF25" s="2679">
        <f t="shared" si="4"/>
        <v>3.4400008387223124E-3</v>
      </c>
      <c r="BG25" s="308">
        <f t="shared" si="5"/>
        <v>-7.5440463385522492</v>
      </c>
    </row>
    <row r="26" spans="1:59" s="362" customFormat="1" ht="15.5">
      <c r="A26" s="3607">
        <f t="shared" si="1"/>
        <v>25</v>
      </c>
      <c r="B26" s="3092">
        <v>220000.00000043112</v>
      </c>
      <c r="C26" s="3608">
        <v>0.54849787926665894</v>
      </c>
      <c r="D26" s="3091">
        <v>0.50905603115424403</v>
      </c>
      <c r="E26" s="3092">
        <v>80.170312557958326</v>
      </c>
      <c r="F26" s="3091">
        <v>3.0067620876736385E-2</v>
      </c>
      <c r="G26" s="3608">
        <v>1.0617590771620453</v>
      </c>
      <c r="H26" s="3608">
        <v>1.6030867271054539</v>
      </c>
      <c r="I26" s="3608">
        <v>24.528875877353652</v>
      </c>
      <c r="J26" s="3608">
        <v>87.284838028538545</v>
      </c>
      <c r="K26" s="3608">
        <v>79.956781661850727</v>
      </c>
      <c r="L26" s="3153">
        <v>12.215453139506778</v>
      </c>
      <c r="M26" s="3092">
        <v>1678.460841694751</v>
      </c>
      <c r="N26" s="3091">
        <v>1.0599065150878337</v>
      </c>
      <c r="O26" s="3091">
        <v>1.4038597890446465</v>
      </c>
      <c r="P26" s="3091">
        <v>7.3670981238715696E-2</v>
      </c>
      <c r="Q26" s="3091">
        <v>0.11613309615561031</v>
      </c>
      <c r="R26" s="3153">
        <v>35.841282935384321</v>
      </c>
      <c r="S26" s="3092">
        <v>203.32264224273194</v>
      </c>
      <c r="T26" s="3153">
        <v>37.100089455925193</v>
      </c>
      <c r="U26" s="3153">
        <v>74.118842782793735</v>
      </c>
      <c r="V26" s="3153">
        <v>74.705348359208827</v>
      </c>
      <c r="W26" s="3092">
        <v>95051.198350509687</v>
      </c>
      <c r="X26" s="3092">
        <v>0</v>
      </c>
      <c r="Y26" s="3092">
        <v>2375.6543869007978</v>
      </c>
      <c r="Z26" s="3092">
        <v>61871.933034164227</v>
      </c>
      <c r="AA26" s="3092">
        <v>6092.6348652266461</v>
      </c>
      <c r="AB26" s="3092">
        <v>53285.666958840433</v>
      </c>
      <c r="AC26" s="3092">
        <v>1322.6727537006043</v>
      </c>
      <c r="AD26" s="3608">
        <v>90.876027570796225</v>
      </c>
      <c r="AE26" s="3608">
        <v>89.571831650335596</v>
      </c>
      <c r="AF26" s="3608">
        <v>87.359110971294115</v>
      </c>
      <c r="AG26" s="3608">
        <v>84.819359039604279</v>
      </c>
      <c r="AH26" s="3608">
        <v>82.095440680532903</v>
      </c>
      <c r="AI26" s="3608">
        <v>81.091538111265052</v>
      </c>
      <c r="AJ26" s="3608">
        <v>76.832232239654658</v>
      </c>
      <c r="AK26" s="3608">
        <v>99.424509971646671</v>
      </c>
      <c r="AL26" s="3091">
        <v>2.3562364980759941E-2</v>
      </c>
      <c r="AM26" s="3608">
        <v>4.6645279085192701</v>
      </c>
      <c r="AN26" s="3092">
        <v>957.69294444820218</v>
      </c>
      <c r="AO26" s="3092">
        <v>1115.5037134674958</v>
      </c>
      <c r="AP26" s="3092">
        <v>3943.8525953566177</v>
      </c>
      <c r="AQ26" s="3153">
        <v>25.846162066773648</v>
      </c>
      <c r="AR26" s="3092">
        <v>8380.3142095716175</v>
      </c>
      <c r="AS26" s="3608">
        <v>0.5838687082547015</v>
      </c>
      <c r="AT26" s="3609">
        <v>0.56193647233444199</v>
      </c>
      <c r="AU26" s="3610">
        <f t="shared" si="2"/>
        <v>0.56193647233444199</v>
      </c>
      <c r="AV26" s="3126">
        <f t="shared" si="0"/>
        <v>4.2274988491881267</v>
      </c>
      <c r="AW26" s="2678">
        <v>45682</v>
      </c>
      <c r="AX26" s="3092">
        <v>199.67509056692228</v>
      </c>
      <c r="AY26" s="308">
        <v>206.6955909963105</v>
      </c>
      <c r="AZ26" s="308">
        <v>8667.7645441991863</v>
      </c>
      <c r="BA26" s="308">
        <v>8760.4567269069503</v>
      </c>
      <c r="BB26" s="362">
        <f t="shared" si="7"/>
        <v>6478.5096961327909</v>
      </c>
      <c r="BC26" s="308">
        <f t="shared" si="6"/>
        <v>-92.692182707764005</v>
      </c>
      <c r="BD26" s="3608">
        <v>90.39388558037119</v>
      </c>
      <c r="BE26" s="362">
        <v>90.322125074873611</v>
      </c>
      <c r="BF26" s="2679">
        <f t="shared" si="4"/>
        <v>-7.1760505497579175E-2</v>
      </c>
      <c r="BG26" s="308">
        <f t="shared" si="5"/>
        <v>-7.0205004293882212</v>
      </c>
    </row>
    <row r="27" spans="1:59" s="362" customFormat="1" ht="15.5">
      <c r="A27" s="3607">
        <f t="shared" si="1"/>
        <v>26</v>
      </c>
      <c r="B27" s="3092">
        <v>220000.00000017299</v>
      </c>
      <c r="C27" s="3608">
        <v>0.56843689883555948</v>
      </c>
      <c r="D27" s="3091">
        <v>0.53298775612561489</v>
      </c>
      <c r="E27" s="3092">
        <v>99.511122211505906</v>
      </c>
      <c r="F27" s="3091">
        <v>3.6454974308144067E-2</v>
      </c>
      <c r="G27" s="3608">
        <v>1.2339221013971797</v>
      </c>
      <c r="H27" s="3608">
        <v>1.6443073895245173</v>
      </c>
      <c r="I27" s="3608">
        <v>25.416172346441932</v>
      </c>
      <c r="J27" s="3608">
        <v>89.723660547506526</v>
      </c>
      <c r="K27" s="3608">
        <v>82.092085729954434</v>
      </c>
      <c r="L27" s="3153">
        <v>12.228997405429707</v>
      </c>
      <c r="M27" s="3092">
        <v>1569.9334286147721</v>
      </c>
      <c r="N27" s="3091">
        <v>1.0994939323269994</v>
      </c>
      <c r="O27" s="3091">
        <v>1.1860764179678269</v>
      </c>
      <c r="P27" s="3091">
        <v>0.11992527743010677</v>
      </c>
      <c r="Q27" s="3091">
        <v>0.10065775750127896</v>
      </c>
      <c r="R27" s="3153">
        <v>41.877634288827736</v>
      </c>
      <c r="S27" s="3092">
        <v>204.87695329330549</v>
      </c>
      <c r="T27" s="3153">
        <v>37.148098228593724</v>
      </c>
      <c r="U27" s="3153">
        <v>79.259069304768445</v>
      </c>
      <c r="V27" s="3153">
        <v>69.620664398692853</v>
      </c>
      <c r="W27" s="3092">
        <v>72028.268772517637</v>
      </c>
      <c r="X27" s="3092">
        <v>1312.5</v>
      </c>
      <c r="Y27" s="3092">
        <v>11433.843371041552</v>
      </c>
      <c r="Z27" s="3092">
        <v>72705.790316125509</v>
      </c>
      <c r="AA27" s="3092">
        <v>34584.752058888414</v>
      </c>
      <c r="AB27" s="3092">
        <v>17390.318492821403</v>
      </c>
      <c r="AC27" s="3092">
        <v>1794.233524204011</v>
      </c>
      <c r="AD27" s="3608">
        <v>93.114524648626684</v>
      </c>
      <c r="AE27" s="3608">
        <v>92.045754581842345</v>
      </c>
      <c r="AF27" s="3608">
        <v>89.947622675687484</v>
      </c>
      <c r="AG27" s="3608">
        <v>87.760597362579247</v>
      </c>
      <c r="AH27" s="3608">
        <v>85.429202802073036</v>
      </c>
      <c r="AI27" s="3608">
        <v>84.582157784540897</v>
      </c>
      <c r="AJ27" s="3608">
        <v>80.685827981532782</v>
      </c>
      <c r="AK27" s="3608">
        <v>97.659369049120627</v>
      </c>
      <c r="AL27" s="3091">
        <v>9.6202504120842646E-3</v>
      </c>
      <c r="AM27" s="3608">
        <v>1.8205667894781401</v>
      </c>
      <c r="AN27" s="3092">
        <v>880.12644160423292</v>
      </c>
      <c r="AO27" s="3092">
        <v>1101.7751197419393</v>
      </c>
      <c r="AP27" s="3092">
        <v>3535.3044233154756</v>
      </c>
      <c r="AQ27" s="3153">
        <v>23.275062372141381</v>
      </c>
      <c r="AR27" s="3092">
        <v>8606.058441499561</v>
      </c>
      <c r="AS27" s="3608">
        <v>0.77820886477901929</v>
      </c>
      <c r="AT27" s="3609">
        <v>0.64433085598601603</v>
      </c>
      <c r="AU27" s="3610">
        <f t="shared" si="2"/>
        <v>0.64433085598601603</v>
      </c>
      <c r="AV27" s="3126">
        <f t="shared" si="0"/>
        <v>4.1524456131122163</v>
      </c>
      <c r="AW27" s="2678">
        <v>45683</v>
      </c>
      <c r="AX27" s="3092">
        <v>204.3613045716649</v>
      </c>
      <c r="AY27" s="308">
        <v>208.56714638564466</v>
      </c>
      <c r="AZ27" s="308">
        <v>8786.3522305204096</v>
      </c>
      <c r="BA27" s="308">
        <v>8862.1149865742482</v>
      </c>
      <c r="BB27" s="362">
        <f t="shared" si="7"/>
        <v>6557.5681536802731</v>
      </c>
      <c r="BC27" s="308">
        <f t="shared" si="6"/>
        <v>-75.76275605383853</v>
      </c>
      <c r="BD27" s="3608">
        <v>90.000606814307801</v>
      </c>
      <c r="BE27" s="362">
        <v>90.039987907339821</v>
      </c>
      <c r="BF27" s="2679">
        <f t="shared" si="4"/>
        <v>3.9381093032019976E-2</v>
      </c>
      <c r="BG27" s="308">
        <f t="shared" si="5"/>
        <v>-4.2058418139797595</v>
      </c>
    </row>
    <row r="28" spans="1:59" s="362" customFormat="1" ht="15.5">
      <c r="A28" s="3607">
        <f t="shared" si="1"/>
        <v>27</v>
      </c>
      <c r="B28" s="3092">
        <v>200000.00000007878</v>
      </c>
      <c r="C28" s="3608">
        <v>0.62380461064444814</v>
      </c>
      <c r="D28" s="3091">
        <v>0.58620307725686216</v>
      </c>
      <c r="E28" s="3092">
        <v>112.14130337017447</v>
      </c>
      <c r="F28" s="3091">
        <v>4.7847866921231573E-2</v>
      </c>
      <c r="G28" s="3608">
        <v>1.5172372301547199</v>
      </c>
      <c r="H28" s="3608">
        <v>1.5091117424802334</v>
      </c>
      <c r="I28" s="3608">
        <v>26.479434456082828</v>
      </c>
      <c r="J28" s="3608">
        <v>89.03685121034853</v>
      </c>
      <c r="K28" s="3608">
        <v>82.264836743498023</v>
      </c>
      <c r="L28" s="3153">
        <v>12.749233007521404</v>
      </c>
      <c r="M28" s="3092">
        <v>1266.9028203776525</v>
      </c>
      <c r="N28" s="3091">
        <v>1.0069239924180575</v>
      </c>
      <c r="O28" s="3091">
        <v>1.1642281581839011</v>
      </c>
      <c r="P28" s="3091">
        <v>0.23586491882454141</v>
      </c>
      <c r="Q28" s="3091">
        <v>0.11257799489161981</v>
      </c>
      <c r="R28" s="3153">
        <v>49.395080981495639</v>
      </c>
      <c r="S28" s="3092">
        <v>210.36507958521861</v>
      </c>
      <c r="T28" s="3153">
        <v>39.057782088721687</v>
      </c>
      <c r="U28" s="3153">
        <v>78.806587449143862</v>
      </c>
      <c r="V28" s="3153">
        <v>78.579167787525421</v>
      </c>
      <c r="W28" s="3092">
        <v>72662.734240230653</v>
      </c>
      <c r="X28" s="3092">
        <v>1312.5</v>
      </c>
      <c r="Y28" s="3092">
        <v>9619.8561920044231</v>
      </c>
      <c r="Z28" s="3092">
        <v>102159.00757908809</v>
      </c>
      <c r="AA28" s="3092">
        <v>4766.7862625280395</v>
      </c>
      <c r="AB28" s="3092">
        <v>0</v>
      </c>
      <c r="AC28" s="3092">
        <v>728.82358327135103</v>
      </c>
      <c r="AD28" s="3608">
        <v>93.256328070332628</v>
      </c>
      <c r="AE28" s="3608">
        <v>92.005614143534018</v>
      </c>
      <c r="AF28" s="3608">
        <v>90.006245583271109</v>
      </c>
      <c r="AG28" s="3608">
        <v>87.964906960244036</v>
      </c>
      <c r="AH28" s="3608">
        <v>85.388644144119269</v>
      </c>
      <c r="AI28" s="3608">
        <v>84.462700156616137</v>
      </c>
      <c r="AJ28" s="3608">
        <v>80.000337799197737</v>
      </c>
      <c r="AK28" s="3608">
        <v>99.417669255018879</v>
      </c>
      <c r="AL28" s="3091">
        <v>1.2809138037051502E-2</v>
      </c>
      <c r="AM28" s="3608">
        <v>2.2148814116042899</v>
      </c>
      <c r="AN28" s="3092">
        <v>872.08635069975071</v>
      </c>
      <c r="AO28" s="3092">
        <v>1091.7986831159171</v>
      </c>
      <c r="AP28" s="3092">
        <v>3300.1912941495334</v>
      </c>
      <c r="AQ28" s="3153">
        <v>20.574881606904942</v>
      </c>
      <c r="AR28" s="3092">
        <v>8913.7256264268926</v>
      </c>
      <c r="AS28" s="3608">
        <v>1.1922321838696952</v>
      </c>
      <c r="AT28" s="3609">
        <v>0.60938995065387835</v>
      </c>
      <c r="AU28" s="3610">
        <f t="shared" si="2"/>
        <v>0.60938995065387835</v>
      </c>
      <c r="AV28" s="3126">
        <f t="shared" si="0"/>
        <v>4.2272079840716694</v>
      </c>
      <c r="AW28" s="2678">
        <v>45684</v>
      </c>
      <c r="AX28" s="3092">
        <v>209.02044512243154</v>
      </c>
      <c r="AY28" s="308">
        <v>204.45039384878299</v>
      </c>
      <c r="AZ28" s="308">
        <v>8905.0544485372811</v>
      </c>
      <c r="BA28" s="308">
        <v>8347.6365480156746</v>
      </c>
      <c r="BB28" s="362">
        <f t="shared" si="7"/>
        <v>6636.7029656915211</v>
      </c>
      <c r="BC28" s="308">
        <f t="shared" si="6"/>
        <v>557.4179005216065</v>
      </c>
      <c r="BD28" s="3608">
        <v>89.263810595478176</v>
      </c>
      <c r="BE28" s="362">
        <v>89.59267835109037</v>
      </c>
      <c r="BF28" s="2679">
        <f t="shared" si="4"/>
        <v>0.32886775561219395</v>
      </c>
      <c r="BG28" s="308">
        <f t="shared" si="5"/>
        <v>4.570051273648545</v>
      </c>
    </row>
    <row r="29" spans="1:59" s="362" customFormat="1" ht="15.5">
      <c r="A29" s="3607">
        <f t="shared" si="1"/>
        <v>28</v>
      </c>
      <c r="B29" s="3092">
        <v>185000.00000020902</v>
      </c>
      <c r="C29" s="3608">
        <v>0.61314056607173728</v>
      </c>
      <c r="D29" s="3091">
        <v>0.58702891178295702</v>
      </c>
      <c r="E29" s="3092">
        <v>79.320162188502493</v>
      </c>
      <c r="F29" s="3091">
        <v>3.7182738605934233E-2</v>
      </c>
      <c r="G29" s="3608">
        <v>1.2044504491599561</v>
      </c>
      <c r="H29" s="3608">
        <v>1.5959135455590834</v>
      </c>
      <c r="I29" s="3608">
        <v>25.425757659428303</v>
      </c>
      <c r="J29" s="3608">
        <v>88.338646269922862</v>
      </c>
      <c r="K29" s="3608">
        <v>79.532353070796631</v>
      </c>
      <c r="L29" s="3153">
        <v>12.849320642053568</v>
      </c>
      <c r="M29" s="3092">
        <v>1492.2317997386911</v>
      </c>
      <c r="N29" s="3091">
        <v>0.94377751245286634</v>
      </c>
      <c r="O29" s="3091">
        <v>1.6147434625345152</v>
      </c>
      <c r="P29" s="3091">
        <v>0.17869857786877177</v>
      </c>
      <c r="Q29" s="3091">
        <v>0.17791604992972612</v>
      </c>
      <c r="R29" s="3153">
        <v>29.582279762370987</v>
      </c>
      <c r="S29" s="3092">
        <v>215.82729799980953</v>
      </c>
      <c r="T29" s="3153">
        <v>40.074008752534851</v>
      </c>
      <c r="U29" s="3153">
        <v>75.098579130170222</v>
      </c>
      <c r="V29" s="3153">
        <v>70.050570607737995</v>
      </c>
      <c r="W29" s="3092">
        <v>103112.26324511047</v>
      </c>
      <c r="X29" s="3092">
        <v>0</v>
      </c>
      <c r="Y29" s="3092">
        <v>5005.6686774852633</v>
      </c>
      <c r="Z29" s="3092">
        <v>76678.148257226072</v>
      </c>
      <c r="AA29" s="3092">
        <v>0</v>
      </c>
      <c r="AB29" s="3092">
        <v>0</v>
      </c>
      <c r="AC29" s="3092">
        <v>203.823583271351</v>
      </c>
      <c r="AD29" s="3608">
        <v>92.93589976217028</v>
      </c>
      <c r="AE29" s="3608">
        <v>91.587980073914082</v>
      </c>
      <c r="AF29" s="3608">
        <v>89.653716217505789</v>
      </c>
      <c r="AG29" s="3608">
        <v>87.53898171644434</v>
      </c>
      <c r="AH29" s="3608">
        <v>84.787189191458395</v>
      </c>
      <c r="AI29" s="3608">
        <v>83.791839640197168</v>
      </c>
      <c r="AJ29" s="3608">
        <v>79.491526691365493</v>
      </c>
      <c r="AK29" s="3608">
        <v>93.179641948367063</v>
      </c>
      <c r="AL29" s="3091">
        <v>1.6702287965634895E-2</v>
      </c>
      <c r="AM29" s="3608">
        <v>2.8798263884528401</v>
      </c>
      <c r="AN29" s="3092">
        <v>947.92942987733284</v>
      </c>
      <c r="AO29" s="3092">
        <v>1074.1309778414775</v>
      </c>
      <c r="AP29" s="3092">
        <v>3809.6627819820719</v>
      </c>
      <c r="AQ29" s="3153">
        <v>19.815022470543429</v>
      </c>
      <c r="AR29" s="3092">
        <v>9356.117532958262</v>
      </c>
      <c r="AS29" s="3608">
        <v>0.95472883959469068</v>
      </c>
      <c r="AT29" s="3609">
        <v>0.44153437527899392</v>
      </c>
      <c r="AU29" s="3610">
        <f t="shared" si="2"/>
        <v>0.44153437527899392</v>
      </c>
      <c r="AV29" s="3126">
        <f t="shared" si="0"/>
        <v>3.9619690277258441</v>
      </c>
      <c r="AW29" s="2678">
        <v>45685</v>
      </c>
      <c r="AX29" s="3092">
        <v>208.1145033884691</v>
      </c>
      <c r="AY29" s="308">
        <v>191.32153621811528</v>
      </c>
      <c r="AZ29" s="308">
        <v>8833.124694279215</v>
      </c>
      <c r="BA29" s="308">
        <v>6053.6222644528843</v>
      </c>
      <c r="BB29" s="362">
        <f t="shared" si="7"/>
        <v>6588.7497961861436</v>
      </c>
      <c r="BC29" s="308">
        <f t="shared" si="6"/>
        <v>2779.5024298263306</v>
      </c>
      <c r="BD29" s="3608">
        <v>89.191798794501452</v>
      </c>
      <c r="BE29" s="362">
        <v>90.114748541890975</v>
      </c>
      <c r="BF29" s="2679">
        <f t="shared" si="4"/>
        <v>0.92294974738952362</v>
      </c>
      <c r="BG29" s="308">
        <f t="shared" si="5"/>
        <v>16.792967170353819</v>
      </c>
    </row>
    <row r="30" spans="1:59" s="362" customFormat="1" ht="15.5">
      <c r="A30" s="3607">
        <f t="shared" si="1"/>
        <v>29</v>
      </c>
      <c r="B30" s="3092">
        <v>219999.99999977328</v>
      </c>
      <c r="C30" s="3608">
        <v>0.60554461011562</v>
      </c>
      <c r="D30" s="3091">
        <v>0.58110873305710664</v>
      </c>
      <c r="E30" s="3092">
        <v>81.246285404785922</v>
      </c>
      <c r="F30" s="3091">
        <v>3.678014984588035E-2</v>
      </c>
      <c r="G30" s="3608">
        <v>1.3811764266152766</v>
      </c>
      <c r="H30" s="3608">
        <v>1.4155252190675685</v>
      </c>
      <c r="I30" s="3608">
        <v>26.22012963418106</v>
      </c>
      <c r="J30" s="3608">
        <v>88.558399746515491</v>
      </c>
      <c r="K30" s="3608">
        <v>79.171857486293646</v>
      </c>
      <c r="L30" s="3153">
        <v>12.804795343107346</v>
      </c>
      <c r="M30" s="3092">
        <v>1222.7916234264526</v>
      </c>
      <c r="N30" s="3091">
        <v>1.0283587143427104</v>
      </c>
      <c r="O30" s="3091">
        <v>1.1488833882876746</v>
      </c>
      <c r="P30" s="3091">
        <v>0.18920478390619638</v>
      </c>
      <c r="Q30" s="3091">
        <v>0.12131040607415451</v>
      </c>
      <c r="R30" s="3153">
        <v>39.292126131271907</v>
      </c>
      <c r="S30" s="3092">
        <v>213.73844723325701</v>
      </c>
      <c r="T30" s="3153">
        <v>39.461790207852523</v>
      </c>
      <c r="U30" s="3153">
        <v>79.855065778715996</v>
      </c>
      <c r="V30" s="3153">
        <v>78.391943949599408</v>
      </c>
      <c r="W30" s="3092">
        <v>88406.673676447914</v>
      </c>
      <c r="X30" s="3092">
        <v>0</v>
      </c>
      <c r="Y30" s="3092">
        <v>4359.9175731404848</v>
      </c>
      <c r="Z30" s="3092">
        <v>127038.50344748047</v>
      </c>
      <c r="AA30" s="3092">
        <v>0</v>
      </c>
      <c r="AB30" s="3092">
        <v>0</v>
      </c>
      <c r="AC30" s="3092">
        <v>194.447698440869</v>
      </c>
      <c r="AD30" s="3608">
        <v>93.083262811503943</v>
      </c>
      <c r="AE30" s="3608">
        <v>91.796386419236228</v>
      </c>
      <c r="AF30" s="3608">
        <v>89.765211544956344</v>
      </c>
      <c r="AG30" s="3608">
        <v>87.59980675610467</v>
      </c>
      <c r="AH30" s="3608">
        <v>84.752791118006655</v>
      </c>
      <c r="AI30" s="3608">
        <v>83.731008565285251</v>
      </c>
      <c r="AJ30" s="3608">
        <v>79.499897782101954</v>
      </c>
      <c r="AK30" s="3608">
        <v>96.074801728420212</v>
      </c>
      <c r="AL30" s="3091">
        <v>1.3334193422417753E-2</v>
      </c>
      <c r="AM30" s="3608">
        <v>2.33315780750375</v>
      </c>
      <c r="AN30" s="3092">
        <v>1113.7794684093449</v>
      </c>
      <c r="AO30" s="3092">
        <v>1258.2813648147019</v>
      </c>
      <c r="AP30" s="3092">
        <v>4278.4757638882629</v>
      </c>
      <c r="AQ30" s="3153">
        <v>23.851881237670387</v>
      </c>
      <c r="AR30" s="3092">
        <v>9265.5341323998418</v>
      </c>
      <c r="AS30" s="3608">
        <v>1.2026141680676279</v>
      </c>
      <c r="AT30" s="3609">
        <v>0.59726679242085035</v>
      </c>
      <c r="AU30" s="3610">
        <v>0.70841381451589636</v>
      </c>
      <c r="AW30" s="2678"/>
      <c r="AX30" s="3092"/>
      <c r="AY30" s="308"/>
      <c r="AZ30" s="308"/>
      <c r="BA30" s="308"/>
      <c r="BC30" s="308"/>
      <c r="BD30" s="3608"/>
      <c r="BF30" s="2679"/>
      <c r="BG30" s="308"/>
    </row>
    <row r="31" spans="1:59" s="362" customFormat="1" ht="15.5">
      <c r="A31" s="3607">
        <f t="shared" si="1"/>
        <v>30</v>
      </c>
      <c r="B31" s="3092">
        <v>219999.9999998819</v>
      </c>
      <c r="C31" s="3608">
        <v>0.58111715000881992</v>
      </c>
      <c r="D31" s="3091">
        <v>0.56194335962321529</v>
      </c>
      <c r="E31" s="3092">
        <v>73.450913666676442</v>
      </c>
      <c r="F31" s="3091">
        <v>4.3213714359593022E-2</v>
      </c>
      <c r="G31" s="3608">
        <v>1.4736298341523184</v>
      </c>
      <c r="H31" s="3608">
        <v>1.2980155339737318</v>
      </c>
      <c r="I31" s="3608">
        <v>27.668627824499222</v>
      </c>
      <c r="J31" s="3608">
        <v>89.204965426959831</v>
      </c>
      <c r="K31" s="3608">
        <v>78.777147125273416</v>
      </c>
      <c r="L31" s="3153">
        <v>12.669526583618662</v>
      </c>
      <c r="M31" s="3092">
        <v>1158.7195725527924</v>
      </c>
      <c r="N31" s="3091">
        <v>1.0244310918357682</v>
      </c>
      <c r="O31" s="3091">
        <v>0.82719182800932523</v>
      </c>
      <c r="P31" s="3091">
        <v>0.20252050974094826</v>
      </c>
      <c r="Q31" s="3091">
        <v>8.5714539100168324E-2</v>
      </c>
      <c r="R31" s="3153">
        <v>34.676861667214887</v>
      </c>
      <c r="S31" s="3092">
        <v>211.26635577813576</v>
      </c>
      <c r="T31" s="3153">
        <v>39.051234898260368</v>
      </c>
      <c r="U31" s="3153">
        <v>77.222205675392829</v>
      </c>
      <c r="V31" s="3153">
        <v>87.125693974853675</v>
      </c>
      <c r="W31" s="3092">
        <v>66100.960376992647</v>
      </c>
      <c r="X31" s="3092">
        <v>0</v>
      </c>
      <c r="Y31" s="3092">
        <v>0</v>
      </c>
      <c r="Z31" s="3092">
        <v>149481.12702983132</v>
      </c>
      <c r="AA31" s="3092">
        <v>0</v>
      </c>
      <c r="AB31" s="3092">
        <v>0</v>
      </c>
      <c r="AC31" s="3092">
        <v>4417.8748995025098</v>
      </c>
      <c r="AD31" s="3608">
        <v>93.555699904638942</v>
      </c>
      <c r="AE31" s="3608">
        <v>92.368644400594277</v>
      </c>
      <c r="AF31" s="3608">
        <v>89.977223728842645</v>
      </c>
      <c r="AG31" s="3608">
        <v>87.576256688147467</v>
      </c>
      <c r="AH31" s="3608">
        <v>84.752285891150905</v>
      </c>
      <c r="AI31" s="3608">
        <v>83.767199889490712</v>
      </c>
      <c r="AJ31" s="3608">
        <v>79.383068292601649</v>
      </c>
      <c r="AK31" s="3608">
        <v>100.14761809984824</v>
      </c>
      <c r="AL31" s="3091">
        <v>1.0298972769429853E-2</v>
      </c>
      <c r="AM31" s="3608">
        <v>1.8704611050014099</v>
      </c>
      <c r="AN31" s="3092">
        <v>1076.6989513363319</v>
      </c>
      <c r="AO31" s="3092">
        <v>1212.5364956372346</v>
      </c>
      <c r="AP31" s="3092">
        <v>3958.6572849014751</v>
      </c>
      <c r="AQ31" s="3153">
        <v>24.066129718352567</v>
      </c>
      <c r="AR31" s="3092">
        <v>9103.9049317089266</v>
      </c>
      <c r="AS31" s="3608">
        <v>1.4190181442615963</v>
      </c>
      <c r="AT31" s="3609">
        <v>0.67945978473257551</v>
      </c>
      <c r="AU31" s="3610">
        <v>0.70841381451589636</v>
      </c>
      <c r="AW31" s="2678"/>
      <c r="AX31" s="3092"/>
      <c r="AY31" s="308"/>
      <c r="AZ31" s="308"/>
      <c r="BA31" s="308"/>
      <c r="BC31" s="308"/>
      <c r="BD31" s="3608"/>
      <c r="BF31" s="2679"/>
      <c r="BG31" s="308"/>
    </row>
    <row r="32" spans="1:59" s="362" customFormat="1" ht="15.5">
      <c r="A32" s="3607">
        <f t="shared" si="1"/>
        <v>31</v>
      </c>
      <c r="B32" s="3092">
        <v>185000.0000001291</v>
      </c>
      <c r="C32" s="3608">
        <v>0.57896902220836066</v>
      </c>
      <c r="D32" s="3091">
        <v>0.56149614023378414</v>
      </c>
      <c r="E32" s="3092">
        <v>73.462412059144683</v>
      </c>
      <c r="F32" s="3091">
        <v>5.323733387665134E-2</v>
      </c>
      <c r="G32" s="3608">
        <v>1.6911686530816561</v>
      </c>
      <c r="H32" s="3608">
        <v>1.311662220319336</v>
      </c>
      <c r="I32" s="3608">
        <v>28.065062333094396</v>
      </c>
      <c r="J32" s="3608">
        <v>89.476335963574257</v>
      </c>
      <c r="K32" s="3608">
        <v>78.667135027579334</v>
      </c>
      <c r="L32" s="3153">
        <v>12.664481906681157</v>
      </c>
      <c r="M32" s="3092">
        <v>667.95196083635039</v>
      </c>
      <c r="N32" s="3091">
        <v>1.1231023717742226</v>
      </c>
      <c r="O32" s="3091">
        <v>0.67443660974899677</v>
      </c>
      <c r="P32" s="3091">
        <v>0.22206256279795095</v>
      </c>
      <c r="Q32" s="3091">
        <v>2.4475635117389486E-2</v>
      </c>
      <c r="R32" s="3153">
        <v>15.826001958554642</v>
      </c>
      <c r="S32" s="3092">
        <v>210.11666666286067</v>
      </c>
      <c r="T32" s="3153">
        <v>38.005042592630858</v>
      </c>
      <c r="U32" s="3153">
        <v>75.87180514108455</v>
      </c>
      <c r="V32" s="3153">
        <v>89.626325445206248</v>
      </c>
      <c r="W32" s="3092">
        <v>26838.948289611497</v>
      </c>
      <c r="X32" s="3092">
        <v>0</v>
      </c>
      <c r="Y32" s="3092">
        <v>0</v>
      </c>
      <c r="Z32" s="3092">
        <v>142529.64836721134</v>
      </c>
      <c r="AA32" s="3092">
        <v>0</v>
      </c>
      <c r="AB32" s="3092">
        <v>0</v>
      </c>
      <c r="AC32" s="3092">
        <v>15631.488446369423</v>
      </c>
      <c r="AD32" s="3608">
        <v>93.752347729516018</v>
      </c>
      <c r="AE32" s="3608">
        <v>92.640756081445971</v>
      </c>
      <c r="AF32" s="3608">
        <v>90.159635403223177</v>
      </c>
      <c r="AG32" s="3608">
        <v>87.77565355925897</v>
      </c>
      <c r="AH32" s="3608">
        <v>85.083886498251118</v>
      </c>
      <c r="AI32" s="3608">
        <v>84.180557048198949</v>
      </c>
      <c r="AJ32" s="3608">
        <v>79.801807610025392</v>
      </c>
      <c r="AK32" s="3608">
        <v>100.67446397139412</v>
      </c>
      <c r="AL32" s="3091">
        <v>8.6960088937097814E-3</v>
      </c>
      <c r="AM32" s="3608">
        <v>1.58530425623654</v>
      </c>
      <c r="AN32" s="3092">
        <v>905.17782709882988</v>
      </c>
      <c r="AO32" s="3092">
        <v>1014.7857512895146</v>
      </c>
      <c r="AP32" s="3092">
        <v>3250.4664991721161</v>
      </c>
      <c r="AQ32" s="3153">
        <v>20.393947095929292</v>
      </c>
      <c r="AR32" s="3092">
        <v>9021.0410159579042</v>
      </c>
      <c r="AS32" s="3608">
        <v>1.6069762902326332</v>
      </c>
      <c r="AT32" s="3609">
        <v>0.77043017730348018</v>
      </c>
      <c r="AU32" s="3610">
        <v>0.70841381451589636</v>
      </c>
      <c r="AW32" s="2678"/>
      <c r="AX32" s="3092"/>
      <c r="AY32" s="308"/>
      <c r="AZ32" s="308"/>
      <c r="BA32" s="308"/>
      <c r="BC32" s="308"/>
      <c r="BD32" s="3608"/>
      <c r="BF32" s="2679"/>
      <c r="BG32" s="308"/>
    </row>
    <row r="33" spans="1:59" s="2059" customFormat="1" ht="15.5">
      <c r="A33" s="2118"/>
      <c r="B33" s="2117">
        <v>5897516.4726738958</v>
      </c>
      <c r="C33" s="2119">
        <v>0.5974804891881853</v>
      </c>
      <c r="D33" s="2120">
        <v>0.53484034247725265</v>
      </c>
      <c r="E33" s="2117">
        <v>177.03729492405191</v>
      </c>
      <c r="F33" s="2120">
        <v>3.8872586298139021E-2</v>
      </c>
      <c r="G33" s="2119">
        <v>1.2862706895099483</v>
      </c>
      <c r="H33" s="2119">
        <v>1.4691833177370175</v>
      </c>
      <c r="I33" s="2119">
        <v>26.637153780770618</v>
      </c>
      <c r="J33" s="2119">
        <v>89.20766492557874</v>
      </c>
      <c r="K33" s="2119">
        <v>82.094876546166944</v>
      </c>
      <c r="L33" s="2121">
        <v>12.511243062911129</v>
      </c>
      <c r="M33" s="2117">
        <v>980.48901446361538</v>
      </c>
      <c r="N33" s="2120">
        <v>1.0026045652658981</v>
      </c>
      <c r="O33" s="2120">
        <v>0.902588494221924</v>
      </c>
      <c r="P33" s="2120">
        <v>0.19344163658828514</v>
      </c>
      <c r="Q33" s="2480">
        <v>7.031982361548833E-2</v>
      </c>
      <c r="R33" s="2121">
        <v>26.959648519073149</v>
      </c>
      <c r="S33" s="2480">
        <v>206.4577982758903</v>
      </c>
      <c r="T33" s="2480">
        <v>37.322928650387261</v>
      </c>
      <c r="U33" s="2480">
        <v>79.834577190616102</v>
      </c>
      <c r="V33" s="2480">
        <v>83.54492191169949</v>
      </c>
      <c r="W33" s="2117">
        <v>1407170.6765789844</v>
      </c>
      <c r="X33" s="2117">
        <v>3000</v>
      </c>
      <c r="Y33" s="2117">
        <v>566379.11900187552</v>
      </c>
      <c r="Z33" s="2117">
        <v>3641623.2419569064</v>
      </c>
      <c r="AA33" s="2117">
        <v>112577.8502752433</v>
      </c>
      <c r="AB33" s="2117">
        <v>88339.91853703314</v>
      </c>
      <c r="AC33" s="2117">
        <v>57411.399605640276</v>
      </c>
      <c r="AD33" s="2119">
        <v>92.433212517321778</v>
      </c>
      <c r="AE33" s="2119">
        <v>91.955146832177704</v>
      </c>
      <c r="AF33" s="2119">
        <v>89.822178802513818</v>
      </c>
      <c r="AG33" s="2119">
        <v>87.474139637433467</v>
      </c>
      <c r="AH33" s="2119">
        <v>84.536498804080324</v>
      </c>
      <c r="AI33" s="2119">
        <v>83.521701126456605</v>
      </c>
      <c r="AJ33" s="2119">
        <v>78.895868637827192</v>
      </c>
      <c r="AK33" s="2119">
        <v>97.426077638120361</v>
      </c>
      <c r="AL33" s="2120">
        <v>9.0419147726496819E-3</v>
      </c>
      <c r="AM33" s="2119">
        <v>1.7202904063237501</v>
      </c>
      <c r="AN33" s="2117">
        <v>27105.011474849012</v>
      </c>
      <c r="AO33" s="2117">
        <v>30691.710029524023</v>
      </c>
      <c r="AP33" s="2117">
        <v>102400.9743068861</v>
      </c>
      <c r="AQ33" s="2121">
        <v>661.81513098683502</v>
      </c>
      <c r="AR33" s="2117">
        <v>8799.340929489912</v>
      </c>
      <c r="AS33" s="2119">
        <v>1.3249366411953072</v>
      </c>
      <c r="AT33" s="2122">
        <v>0.75026265204201437</v>
      </c>
      <c r="AU33" s="2123"/>
      <c r="AV33" s="331"/>
      <c r="AW33" s="2060"/>
      <c r="AX33" s="2480"/>
      <c r="AY33" s="331"/>
      <c r="AZ33" s="219"/>
      <c r="BA33" s="331"/>
      <c r="BB33" s="219"/>
      <c r="BC33" s="219"/>
      <c r="BD33" s="2119"/>
      <c r="BE33" s="331"/>
      <c r="BF33" s="2527"/>
      <c r="BG33" s="219"/>
    </row>
    <row r="34" spans="1:59" s="2796" customFormat="1" ht="15.5">
      <c r="A34" s="2789"/>
      <c r="B34" s="2788"/>
      <c r="C34" s="2790"/>
      <c r="D34" s="3138"/>
      <c r="E34" s="2788"/>
      <c r="F34" s="2791"/>
      <c r="G34" s="2790"/>
      <c r="H34" s="2790"/>
      <c r="I34" s="2790"/>
      <c r="J34" s="2790"/>
      <c r="K34" s="2790"/>
      <c r="L34" s="2792"/>
      <c r="M34" s="2788"/>
      <c r="N34" s="3386"/>
      <c r="O34" s="3386"/>
      <c r="P34" s="3386"/>
      <c r="Q34" s="3387"/>
      <c r="R34" s="2792"/>
      <c r="S34" s="2793"/>
      <c r="T34" s="2793"/>
      <c r="U34" s="2793"/>
      <c r="V34" s="2793"/>
      <c r="W34" s="2788"/>
      <c r="X34" s="2793"/>
      <c r="Y34" s="2788"/>
      <c r="Z34" s="2793"/>
      <c r="AA34" s="2788"/>
      <c r="AB34" s="2793"/>
      <c r="AC34" s="2788"/>
      <c r="AD34" s="2793"/>
      <c r="AE34" s="2788"/>
      <c r="AF34" s="2793"/>
      <c r="AG34" s="2788"/>
      <c r="AH34" s="2793"/>
      <c r="AI34" s="2788"/>
      <c r="AJ34" s="2793"/>
      <c r="AK34" s="2788"/>
      <c r="AL34" s="2793"/>
      <c r="AM34" s="2788"/>
      <c r="AN34" s="2788"/>
      <c r="AO34" s="2788"/>
      <c r="AP34" s="2788"/>
      <c r="AQ34" s="2792"/>
      <c r="AR34" s="2788"/>
      <c r="AS34" s="2790"/>
      <c r="AT34" s="2794"/>
      <c r="AU34" s="2795"/>
      <c r="AV34" s="362"/>
      <c r="AW34" s="2678"/>
      <c r="AX34" s="2793"/>
      <c r="AY34" s="362"/>
      <c r="AZ34" s="308"/>
      <c r="BA34" s="362"/>
      <c r="BB34" s="308"/>
      <c r="BC34" s="308"/>
      <c r="BD34" s="2790"/>
      <c r="BE34" s="362"/>
      <c r="BF34" s="2679"/>
      <c r="BG34" s="308"/>
    </row>
    <row r="35" spans="1:59">
      <c r="B35" s="3127"/>
      <c r="C35" s="219"/>
      <c r="D35" s="3128"/>
      <c r="E35" s="2988"/>
      <c r="F35" s="2988"/>
      <c r="G35" s="2988"/>
      <c r="H35" s="2988"/>
      <c r="I35" s="2988"/>
      <c r="J35" s="2988"/>
      <c r="K35" s="2527"/>
    </row>
    <row r="36" spans="1:59">
      <c r="V36" s="2086"/>
      <c r="X36" s="2086"/>
      <c r="Z36" s="2086"/>
      <c r="AB36" s="2086"/>
      <c r="AD36" s="2086"/>
      <c r="AF36" s="2086"/>
      <c r="AH36" s="2086"/>
      <c r="AJ36" s="2086"/>
      <c r="AL36" s="2086"/>
    </row>
    <row r="37" spans="1:59" s="2059" customFormat="1" ht="11.25" customHeight="1">
      <c r="A37" s="2118" t="s">
        <v>535</v>
      </c>
      <c r="B37" s="2117" t="s">
        <v>100</v>
      </c>
      <c r="C37" s="2119" t="s">
        <v>455</v>
      </c>
      <c r="D37" s="2119" t="s">
        <v>536</v>
      </c>
      <c r="E37" s="2117" t="s">
        <v>537</v>
      </c>
      <c r="F37" s="2120" t="s">
        <v>458</v>
      </c>
      <c r="G37" s="2119" t="s">
        <v>378</v>
      </c>
      <c r="H37" s="2119" t="s">
        <v>538</v>
      </c>
      <c r="I37" s="2119" t="s">
        <v>539</v>
      </c>
      <c r="J37" s="2119" t="s">
        <v>540</v>
      </c>
      <c r="K37" s="2119" t="s">
        <v>541</v>
      </c>
      <c r="L37" s="2121" t="s">
        <v>461</v>
      </c>
      <c r="M37" s="2117" t="s">
        <v>462</v>
      </c>
      <c r="N37" s="2120" t="s">
        <v>463</v>
      </c>
      <c r="O37" s="2120" t="s">
        <v>464</v>
      </c>
      <c r="P37" s="2120" t="s">
        <v>465</v>
      </c>
      <c r="Q37" s="2120" t="s">
        <v>467</v>
      </c>
      <c r="R37" s="2121" t="s">
        <v>466</v>
      </c>
      <c r="S37" s="2117" t="s">
        <v>468</v>
      </c>
      <c r="T37" s="2121" t="s">
        <v>542</v>
      </c>
      <c r="U37" s="2121" t="s">
        <v>470</v>
      </c>
      <c r="V37" s="2121" t="s">
        <v>471</v>
      </c>
      <c r="W37" s="2117" t="s">
        <v>472</v>
      </c>
      <c r="X37" s="2117" t="s">
        <v>473</v>
      </c>
      <c r="Y37" s="2117" t="s">
        <v>474</v>
      </c>
      <c r="Z37" s="2117" t="s">
        <v>475</v>
      </c>
      <c r="AA37" s="2117" t="s">
        <v>476</v>
      </c>
      <c r="AB37" s="2117" t="s">
        <v>477</v>
      </c>
      <c r="AC37" s="2117" t="s">
        <v>478</v>
      </c>
      <c r="AD37" s="2116">
        <v>137</v>
      </c>
      <c r="AE37" s="2116">
        <v>150</v>
      </c>
      <c r="AF37" s="2116">
        <v>180</v>
      </c>
      <c r="AG37" s="2116">
        <v>210</v>
      </c>
      <c r="AH37" s="2116">
        <v>240</v>
      </c>
      <c r="AI37" s="2116">
        <v>250</v>
      </c>
      <c r="AJ37" s="2116">
        <v>300</v>
      </c>
      <c r="AK37" s="2116" t="s">
        <v>83</v>
      </c>
      <c r="AL37" s="2116" t="s">
        <v>1162</v>
      </c>
      <c r="AM37" s="2116" t="s">
        <v>1201</v>
      </c>
      <c r="AN37" s="2117" t="s">
        <v>543</v>
      </c>
      <c r="AO37" s="2117" t="s">
        <v>544</v>
      </c>
      <c r="AP37" s="2117" t="s">
        <v>545</v>
      </c>
      <c r="AQ37" s="2121" t="s">
        <v>547</v>
      </c>
      <c r="AR37" s="2117" t="s">
        <v>548</v>
      </c>
      <c r="AS37" s="2117" t="s">
        <v>390</v>
      </c>
      <c r="AT37" s="2117" t="s">
        <v>1322</v>
      </c>
      <c r="AU37" s="2117" t="s">
        <v>1322</v>
      </c>
      <c r="AV37" s="186"/>
      <c r="AW37" s="186"/>
      <c r="AX37" s="2117" t="s">
        <v>1399</v>
      </c>
      <c r="AY37" s="2117" t="s">
        <v>1400</v>
      </c>
      <c r="AZ37" s="2117" t="s">
        <v>1401</v>
      </c>
      <c r="BA37" s="2117" t="s">
        <v>1402</v>
      </c>
      <c r="BB37" s="186"/>
      <c r="BC37" s="186"/>
      <c r="BD37" s="2119" t="s">
        <v>540</v>
      </c>
    </row>
    <row r="38" spans="1:59" s="362" customFormat="1" ht="15.5">
      <c r="A38" s="3607" t="s">
        <v>1649</v>
      </c>
      <c r="B38" s="3671">
        <f>+B40-B39</f>
        <v>103.75654586049055</v>
      </c>
      <c r="C38" s="3608">
        <f>+AVERAGE(C4:C10)</f>
        <v>0.58213478131626495</v>
      </c>
      <c r="D38" s="3608">
        <f t="shared" ref="D38:V38" si="8">+AVERAGE(D4:D10)</f>
        <v>0.5048004283202232</v>
      </c>
      <c r="E38" s="3608">
        <f t="shared" si="8"/>
        <v>197.04219005161639</v>
      </c>
      <c r="F38" s="3608">
        <f t="shared" si="8"/>
        <v>2.9749794571463324E-2</v>
      </c>
      <c r="G38" s="3608">
        <f t="shared" si="8"/>
        <v>1.0755290101349573</v>
      </c>
      <c r="H38" s="3608">
        <f t="shared" si="8"/>
        <v>1.6774518563878265</v>
      </c>
      <c r="I38" s="3608">
        <f t="shared" si="8"/>
        <v>24.785911399493926</v>
      </c>
      <c r="J38" s="3608">
        <f t="shared" si="8"/>
        <v>89.038806889907534</v>
      </c>
      <c r="K38" s="3608">
        <f t="shared" si="8"/>
        <v>84.343238734678366</v>
      </c>
      <c r="L38" s="3608">
        <f t="shared" si="8"/>
        <v>12.527308021496861</v>
      </c>
      <c r="M38" s="3608">
        <f t="shared" si="8"/>
        <v>1293.2556867937415</v>
      </c>
      <c r="N38" s="3608">
        <f t="shared" si="8"/>
        <v>1.033176357372485</v>
      </c>
      <c r="O38" s="3608">
        <f t="shared" si="8"/>
        <v>1.1619037140369539</v>
      </c>
      <c r="P38" s="3608">
        <f t="shared" si="8"/>
        <v>0.11607321408499285</v>
      </c>
      <c r="Q38" s="3608">
        <f t="shared" si="8"/>
        <v>8.1809459275693247E-2</v>
      </c>
      <c r="R38" s="3608">
        <f t="shared" si="8"/>
        <v>34.076388953502864</v>
      </c>
      <c r="S38" s="3608">
        <f t="shared" si="8"/>
        <v>203.62751255674584</v>
      </c>
      <c r="T38" s="3608">
        <f t="shared" si="8"/>
        <v>36.267019686551372</v>
      </c>
      <c r="U38" s="3608">
        <f t="shared" si="8"/>
        <v>85.079300743651757</v>
      </c>
      <c r="V38" s="3608">
        <f t="shared" si="8"/>
        <v>79.432704859277919</v>
      </c>
      <c r="W38" s="3153"/>
      <c r="X38" s="3153"/>
      <c r="Y38" s="3153"/>
      <c r="Z38" s="3153"/>
      <c r="AA38" s="3153"/>
      <c r="AB38" s="3153"/>
      <c r="AC38" s="3153"/>
      <c r="AD38" s="3608">
        <f t="shared" ref="AD38:AS38" si="9">+AVERAGE(AD4:AD10)</f>
        <v>92.389014317944302</v>
      </c>
      <c r="AE38" s="3608">
        <f t="shared" si="9"/>
        <v>91.155972639636417</v>
      </c>
      <c r="AF38" s="3608">
        <f t="shared" si="9"/>
        <v>89.160538256848014</v>
      </c>
      <c r="AG38" s="3608">
        <f t="shared" si="9"/>
        <v>86.985968096780169</v>
      </c>
      <c r="AH38" s="3608">
        <f t="shared" si="9"/>
        <v>84.019188696638281</v>
      </c>
      <c r="AI38" s="3608">
        <f t="shared" si="9"/>
        <v>82.999347616052532</v>
      </c>
      <c r="AJ38" s="3608">
        <f t="shared" si="9"/>
        <v>78.570941044481287</v>
      </c>
      <c r="AK38" s="3608">
        <f t="shared" si="9"/>
        <v>96.182987030549398</v>
      </c>
      <c r="AL38" s="3608">
        <f t="shared" si="9"/>
        <v>7.6435728207886197E-3</v>
      </c>
      <c r="AM38" s="3608">
        <f t="shared" si="9"/>
        <v>1.5360468587235729</v>
      </c>
      <c r="AN38" s="3608">
        <f t="shared" si="9"/>
        <v>781.97672949443324</v>
      </c>
      <c r="AO38" s="3608">
        <f t="shared" si="9"/>
        <v>876.1845461755305</v>
      </c>
      <c r="AP38" s="3608">
        <f t="shared" si="9"/>
        <v>3147.1366965298125</v>
      </c>
      <c r="AQ38" s="3608">
        <f t="shared" si="9"/>
        <v>20.444028899059582</v>
      </c>
      <c r="AR38" s="3608">
        <f t="shared" si="9"/>
        <v>8653.771755900385</v>
      </c>
      <c r="AS38" s="3608">
        <f t="shared" si="9"/>
        <v>1.2432805141150158</v>
      </c>
      <c r="AT38" s="3608">
        <f>+AVERAGE(AT4:AT10)*100</f>
        <v>73.854883466233332</v>
      </c>
      <c r="AU38" s="3608">
        <f>+AVERAGE(AU4:AU10)*100</f>
        <v>73.854883466233332</v>
      </c>
      <c r="AW38" s="2678"/>
      <c r="AX38" s="3092"/>
      <c r="AY38" s="308"/>
      <c r="AZ38" s="308"/>
      <c r="BA38" s="308"/>
      <c r="BC38" s="308"/>
      <c r="BD38" s="3608"/>
      <c r="BF38" s="2679"/>
      <c r="BG38" s="308"/>
    </row>
    <row r="39" spans="1:59" s="362" customFormat="1" ht="15.5">
      <c r="A39" s="3607" t="s">
        <v>1828</v>
      </c>
      <c r="B39" s="3671">
        <f>+B11/1000</f>
        <v>64.238952773866117</v>
      </c>
      <c r="C39" s="3608">
        <f>+C11</f>
        <v>0.62953214968051929</v>
      </c>
      <c r="D39" s="3608">
        <f t="shared" ref="D39:AE39" si="10">+D11</f>
        <v>0.55771537034815388</v>
      </c>
      <c r="E39" s="3608">
        <f t="shared" si="10"/>
        <v>182.04912233631345</v>
      </c>
      <c r="F39" s="3608">
        <f t="shared" si="10"/>
        <v>2.7082170800446004E-2</v>
      </c>
      <c r="G39" s="3608">
        <f t="shared" si="10"/>
        <v>1.0755533935657617</v>
      </c>
      <c r="H39" s="3608">
        <f t="shared" si="10"/>
        <v>1.8642624817822939</v>
      </c>
      <c r="I39" s="3608">
        <f t="shared" si="10"/>
        <v>24.512358395850693</v>
      </c>
      <c r="J39" s="3608">
        <f t="shared" si="10"/>
        <v>89.118894187834357</v>
      </c>
      <c r="K39" s="3608">
        <f t="shared" si="10"/>
        <v>84.623858183860662</v>
      </c>
      <c r="L39" s="3608">
        <f t="shared" si="10"/>
        <v>12.408758841262589</v>
      </c>
      <c r="M39" s="3608">
        <f t="shared" si="10"/>
        <v>1370.9721626514327</v>
      </c>
      <c r="N39" s="3608">
        <f t="shared" si="10"/>
        <v>1.2372100607778997</v>
      </c>
      <c r="O39" s="3608">
        <f t="shared" si="10"/>
        <v>1.4487392030526722</v>
      </c>
      <c r="P39" s="3608">
        <f t="shared" si="10"/>
        <v>0.12406361669749821</v>
      </c>
      <c r="Q39" s="3608">
        <f t="shared" si="10"/>
        <v>5.3766498750743866E-2</v>
      </c>
      <c r="R39" s="3608">
        <f t="shared" si="10"/>
        <v>33.827752555975259</v>
      </c>
      <c r="S39" s="3608">
        <f t="shared" si="10"/>
        <v>203.73798605307115</v>
      </c>
      <c r="T39" s="3608">
        <f t="shared" si="10"/>
        <v>36.139237251662863</v>
      </c>
      <c r="U39" s="3608">
        <f t="shared" si="10"/>
        <v>83.526553939930821</v>
      </c>
      <c r="V39" s="3608">
        <f t="shared" si="10"/>
        <v>75.198752095137451</v>
      </c>
      <c r="W39" s="3608">
        <f t="shared" si="10"/>
        <v>18691.013328005574</v>
      </c>
      <c r="X39" s="3608">
        <f t="shared" si="10"/>
        <v>0</v>
      </c>
      <c r="Y39" s="3608">
        <f t="shared" si="10"/>
        <v>20180.592006641331</v>
      </c>
      <c r="Z39" s="3608">
        <f t="shared" si="10"/>
        <v>24499.49585090228</v>
      </c>
      <c r="AA39" s="3608">
        <f t="shared" si="10"/>
        <v>725.71216755273304</v>
      </c>
      <c r="AB39" s="3608">
        <f t="shared" si="10"/>
        <v>142.15676178449741</v>
      </c>
      <c r="AC39" s="3608">
        <f t="shared" si="10"/>
        <v>0</v>
      </c>
      <c r="AD39" s="3608">
        <f t="shared" si="10"/>
        <v>92.39651129424719</v>
      </c>
      <c r="AE39" s="3608">
        <f t="shared" si="10"/>
        <v>91.216068972749056</v>
      </c>
      <c r="AF39" s="3608">
        <f t="shared" ref="AF39:AS39" si="11">+AF11</f>
        <v>89.26818259076758</v>
      </c>
      <c r="AG39" s="3608">
        <f t="shared" si="11"/>
        <v>87.08170617786908</v>
      </c>
      <c r="AH39" s="3608">
        <f t="shared" si="11"/>
        <v>84.375337468689622</v>
      </c>
      <c r="AI39" s="3608">
        <f t="shared" si="11"/>
        <v>83.435383995259002</v>
      </c>
      <c r="AJ39" s="3608">
        <f t="shared" si="11"/>
        <v>79.110409345458649</v>
      </c>
      <c r="AK39" s="3608">
        <f t="shared" si="11"/>
        <v>93.849760955601553</v>
      </c>
      <c r="AL39" s="3608">
        <f t="shared" si="11"/>
        <v>8.3223716884700521E-3</v>
      </c>
      <c r="AM39" s="3608">
        <f t="shared" si="11"/>
        <v>1.512484741040516</v>
      </c>
      <c r="AN39" s="3608">
        <f t="shared" si="11"/>
        <v>617.55828775603038</v>
      </c>
      <c r="AO39" s="3608">
        <f t="shared" si="11"/>
        <v>692.0284456533218</v>
      </c>
      <c r="AP39" s="3608">
        <f t="shared" si="11"/>
        <v>2554.1077108175946</v>
      </c>
      <c r="AQ39" s="3608">
        <f t="shared" si="11"/>
        <v>15.248997082214581</v>
      </c>
      <c r="AR39" s="3608">
        <f t="shared" si="11"/>
        <v>8742.584193593766</v>
      </c>
      <c r="AS39" s="3608">
        <f t="shared" si="11"/>
        <v>1.1014409930802846</v>
      </c>
      <c r="AT39" s="3608">
        <f>+AT11*100</f>
        <v>72.688958444696098</v>
      </c>
      <c r="AU39" s="3608">
        <f>+AU11*100</f>
        <v>72.688958444696098</v>
      </c>
      <c r="AW39" s="2678">
        <v>45675</v>
      </c>
      <c r="AX39" s="3092">
        <v>210.55723641173606</v>
      </c>
      <c r="AY39" s="308">
        <v>203.02171310946122</v>
      </c>
      <c r="AZ39" s="308">
        <v>9144.494034497342</v>
      </c>
      <c r="BA39" s="308">
        <v>8664.3831824413319</v>
      </c>
      <c r="BB39" s="362">
        <f>+(AZ39-2100)/3*2+2100</f>
        <v>6796.329356331561</v>
      </c>
      <c r="BC39" s="308">
        <f>+AZ39-BA39</f>
        <v>480.11085205601012</v>
      </c>
      <c r="BD39" s="3608">
        <v>85.238194886055155</v>
      </c>
      <c r="BE39" s="362">
        <v>85.774134536432854</v>
      </c>
      <c r="BF39" s="2679">
        <f>+BE39-BD39</f>
        <v>0.53593965037769919</v>
      </c>
      <c r="BG39" s="308">
        <f>+AX39-AY39</f>
        <v>7.5355233022748394</v>
      </c>
    </row>
    <row r="40" spans="1:59">
      <c r="A40" s="331" t="s">
        <v>1827</v>
      </c>
      <c r="B40" s="3672">
        <f>+'Plan mina ST'!O52</f>
        <v>167.99549863435666</v>
      </c>
      <c r="C40" s="219"/>
      <c r="D40" s="3128"/>
      <c r="E40" s="2988"/>
      <c r="F40" s="2988"/>
      <c r="G40" s="2988"/>
      <c r="H40" s="2988"/>
    </row>
    <row r="41" spans="1:59">
      <c r="B41" s="3127"/>
    </row>
    <row r="42" spans="1:59">
      <c r="A42" s="3673" t="s">
        <v>1830</v>
      </c>
      <c r="C42" s="2527">
        <f t="shared" ref="C42:V42" si="12">+SUMPRODUCT($B$38:$B$39,C38:C39)/$B$40</f>
        <v>0.60025882233348171</v>
      </c>
      <c r="D42" s="2020">
        <f t="shared" si="12"/>
        <v>0.52503430654670169</v>
      </c>
      <c r="E42" s="2020">
        <f t="shared" si="12"/>
        <v>191.30906638623173</v>
      </c>
      <c r="F42" s="2020">
        <f t="shared" si="12"/>
        <v>2.8729735350604066E-2</v>
      </c>
      <c r="G42" s="2020">
        <f t="shared" si="12"/>
        <v>1.0755383339922788</v>
      </c>
      <c r="H42" s="2020">
        <f t="shared" si="12"/>
        <v>1.7488854307390704</v>
      </c>
      <c r="I42" s="2020">
        <f t="shared" si="12"/>
        <v>24.6813088439193</v>
      </c>
      <c r="J42" s="2020">
        <f t="shared" si="12"/>
        <v>89.069431068478565</v>
      </c>
      <c r="K42" s="2020">
        <f t="shared" si="12"/>
        <v>84.450543392779267</v>
      </c>
      <c r="L42" s="2020">
        <f t="shared" si="12"/>
        <v>12.481976597426833</v>
      </c>
      <c r="M42" s="2020">
        <f t="shared" si="12"/>
        <v>1322.9732986521376</v>
      </c>
      <c r="N42" s="2020">
        <f t="shared" si="12"/>
        <v>1.1111957777967472</v>
      </c>
      <c r="O42" s="2020">
        <f t="shared" si="12"/>
        <v>1.2715852923086066</v>
      </c>
      <c r="P42" s="2020">
        <f t="shared" si="12"/>
        <v>0.11912862390395533</v>
      </c>
      <c r="Q42" s="2020">
        <f t="shared" si="12"/>
        <v>7.1086252812152917E-2</v>
      </c>
      <c r="R42" s="2020">
        <f t="shared" si="12"/>
        <v>33.981314133472104</v>
      </c>
      <c r="S42" s="2020">
        <f t="shared" si="12"/>
        <v>203.66975596071137</v>
      </c>
      <c r="T42" s="2020">
        <f t="shared" si="12"/>
        <v>36.218157604728582</v>
      </c>
      <c r="U42" s="2020">
        <f t="shared" si="12"/>
        <v>84.485553712303613</v>
      </c>
      <c r="V42" s="2020">
        <f t="shared" si="12"/>
        <v>77.813704982058738</v>
      </c>
      <c r="W42" s="2086"/>
      <c r="X42" s="2086"/>
      <c r="Y42" s="2086"/>
      <c r="Z42" s="2086"/>
      <c r="AA42" s="2086"/>
      <c r="AB42" s="2086"/>
      <c r="AC42" s="2086"/>
      <c r="AD42" s="2086">
        <f t="shared" ref="AD42:AU42" si="13">+SUMPRODUCT($B$38:$B$39,AD38:AD39)/$B$40</f>
        <v>92.391881048961409</v>
      </c>
      <c r="AE42" s="2086">
        <f t="shared" si="13"/>
        <v>91.178952573837563</v>
      </c>
      <c r="AF42" s="2086">
        <f t="shared" si="13"/>
        <v>89.201699831647616</v>
      </c>
      <c r="AG42" s="2086">
        <f t="shared" si="13"/>
        <v>87.02257689951432</v>
      </c>
      <c r="AH42" s="2086">
        <f t="shared" si="13"/>
        <v>84.155374632179758</v>
      </c>
      <c r="AI42" s="2086">
        <f t="shared" si="13"/>
        <v>83.166081371416396</v>
      </c>
      <c r="AJ42" s="2086">
        <f t="shared" si="13"/>
        <v>78.777225611575005</v>
      </c>
      <c r="AK42" s="2086">
        <f t="shared" si="13"/>
        <v>95.290796460815443</v>
      </c>
      <c r="AL42" s="2086">
        <f t="shared" si="13"/>
        <v>7.9031353016789478E-3</v>
      </c>
      <c r="AM42" s="2086">
        <f t="shared" si="13"/>
        <v>1.5270370591908573</v>
      </c>
      <c r="AN42" s="2086">
        <f t="shared" si="13"/>
        <v>719.10558949457925</v>
      </c>
      <c r="AO42" s="2086">
        <f t="shared" si="13"/>
        <v>805.7660222232098</v>
      </c>
      <c r="AP42" s="2086">
        <f t="shared" si="13"/>
        <v>2920.3713289075754</v>
      </c>
      <c r="AQ42" s="2086">
        <f t="shared" si="13"/>
        <v>18.457526842433712</v>
      </c>
      <c r="AR42" s="2086">
        <f t="shared" si="13"/>
        <v>8687.7322967309137</v>
      </c>
      <c r="AS42" s="2086">
        <f t="shared" si="13"/>
        <v>1.1890432139058633</v>
      </c>
      <c r="AT42" s="2086">
        <f t="shared" si="13"/>
        <v>73.409051268315849</v>
      </c>
      <c r="AU42" s="2086">
        <f t="shared" si="13"/>
        <v>73.409051268315849</v>
      </c>
    </row>
    <row r="43" spans="1:59">
      <c r="F43" s="2591"/>
      <c r="J43" s="2590"/>
    </row>
    <row r="44" spans="1:59">
      <c r="F44" s="2591"/>
      <c r="J44" s="2590"/>
    </row>
    <row r="45" spans="1:59">
      <c r="F45" s="2591"/>
      <c r="J45" s="2590"/>
    </row>
    <row r="46" spans="1:59">
      <c r="F46" s="2591"/>
      <c r="J46" s="2590"/>
    </row>
    <row r="47" spans="1:59">
      <c r="F47" s="2591"/>
      <c r="J47" s="2590"/>
    </row>
    <row r="48" spans="1:59">
      <c r="F48" s="2591"/>
      <c r="J48" s="2590"/>
    </row>
    <row r="49" spans="6:10">
      <c r="F49" s="2591"/>
      <c r="J49" s="2590"/>
    </row>
    <row r="50" spans="6:10">
      <c r="F50" s="2591"/>
      <c r="J50" s="2590"/>
    </row>
    <row r="51" spans="6:10">
      <c r="F51" s="2591"/>
      <c r="J51" s="2590"/>
    </row>
    <row r="52" spans="6:10">
      <c r="F52" s="2591"/>
      <c r="J52" s="2590"/>
    </row>
    <row r="53" spans="6:10">
      <c r="F53" s="2591"/>
      <c r="J53" s="2590"/>
    </row>
    <row r="54" spans="6:10">
      <c r="F54" s="2591"/>
      <c r="J54" s="2590"/>
    </row>
    <row r="55" spans="6:10">
      <c r="F55" s="2591"/>
      <c r="J55" s="2590"/>
    </row>
    <row r="56" spans="6:10">
      <c r="F56" s="2591"/>
      <c r="J56" s="2590"/>
    </row>
    <row r="57" spans="6:10">
      <c r="F57" s="2591"/>
      <c r="J57" s="2590"/>
    </row>
    <row r="58" spans="6:10">
      <c r="F58" s="2591"/>
      <c r="J58" s="2590"/>
    </row>
    <row r="59" spans="6:10">
      <c r="F59" s="2591"/>
      <c r="J59" s="2590"/>
    </row>
    <row r="60" spans="6:10">
      <c r="F60" s="2591"/>
      <c r="J60" s="2590"/>
    </row>
    <row r="61" spans="6:10">
      <c r="F61" s="2591"/>
      <c r="J61" s="2590"/>
    </row>
    <row r="62" spans="6:10">
      <c r="F62" s="2591"/>
      <c r="J62" s="2590"/>
    </row>
    <row r="63" spans="6:10">
      <c r="F63" s="2591"/>
      <c r="J63" s="2590"/>
    </row>
    <row r="64" spans="6:10">
      <c r="F64" s="2591"/>
      <c r="J64" s="2590"/>
    </row>
    <row r="65" spans="6:10">
      <c r="F65" s="2591"/>
      <c r="J65" s="2590"/>
    </row>
    <row r="66" spans="6:10">
      <c r="F66" s="2591"/>
      <c r="J66" s="2590"/>
    </row>
    <row r="67" spans="6:10">
      <c r="F67" s="2591"/>
      <c r="J67" s="2590"/>
    </row>
    <row r="68" spans="6:10">
      <c r="F68" s="2591"/>
    </row>
    <row r="69" spans="6:10">
      <c r="F69" s="2591"/>
    </row>
    <row r="70" spans="6:10">
      <c r="F70" s="2591"/>
    </row>
    <row r="71" spans="6:10">
      <c r="F71" s="2591"/>
    </row>
  </sheetData>
  <phoneticPr fontId="273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C65F5-266A-4D49-BE15-151D49689B09}">
  <sheetPr codeName="Hoja34">
    <tabColor theme="4" tint="0.39997558519241921"/>
    <pageSetUpPr fitToPage="1"/>
  </sheetPr>
  <dimension ref="A1:IK122"/>
  <sheetViews>
    <sheetView zoomScale="85" zoomScaleNormal="85" zoomScaleSheetLayoutView="100" workbookViewId="0">
      <pane xSplit="2" ySplit="7" topLeftCell="C14" activePane="bottomRight" state="frozen"/>
      <selection pane="topRight" activeCell="C1" sqref="C1"/>
      <selection pane="bottomLeft" activeCell="A8" sqref="A8"/>
      <selection pane="bottomRight" activeCell="E27" sqref="E27:E38"/>
    </sheetView>
  </sheetViews>
  <sheetFormatPr baseColWidth="10" defaultColWidth="11.453125" defaultRowHeight="14.25" customHeight="1"/>
  <cols>
    <col min="1" max="1" width="3.54296875" style="347" bestFit="1" customWidth="1"/>
    <col min="2" max="2" width="12" style="347" customWidth="1"/>
    <col min="3" max="3" width="15.54296875" style="347" customWidth="1"/>
    <col min="4" max="4" width="10.81640625" style="347" customWidth="1"/>
    <col min="5" max="5" width="13.81640625" style="347" customWidth="1"/>
    <col min="6" max="6" width="10.54296875" style="347" customWidth="1"/>
    <col min="7" max="7" width="9.81640625" style="347" customWidth="1"/>
    <col min="8" max="8" width="7.81640625" style="347" customWidth="1"/>
    <col min="9" max="9" width="7.1796875" style="347" customWidth="1"/>
    <col min="10" max="10" width="10.81640625" style="347" customWidth="1"/>
    <col min="11" max="11" width="7.54296875" style="347" customWidth="1"/>
    <col min="12" max="12" width="8.81640625" style="347" customWidth="1"/>
    <col min="13" max="14" width="9.81640625" style="347" customWidth="1"/>
    <col min="15" max="15" width="12.54296875" style="347" customWidth="1"/>
    <col min="16" max="16" width="13.453125" style="347" customWidth="1"/>
    <col min="17" max="17" width="9" style="347" customWidth="1"/>
    <col min="18" max="18" width="10.1796875" style="347" customWidth="1"/>
    <col min="19" max="19" width="8.1796875" style="347" customWidth="1"/>
    <col min="20" max="20" width="13.453125" style="347" customWidth="1"/>
    <col min="21" max="21" width="9" style="347" customWidth="1"/>
    <col min="22" max="22" width="7.1796875" style="347" customWidth="1"/>
    <col min="23" max="23" width="8.81640625" style="347" customWidth="1"/>
    <col min="24" max="25" width="10.54296875" style="347" customWidth="1"/>
    <col min="26" max="26" width="8.1796875" style="347" customWidth="1"/>
    <col min="27" max="27" width="9.81640625" style="347" customWidth="1"/>
    <col min="28" max="28" width="6.81640625" style="347" customWidth="1"/>
    <col min="29" max="29" width="6.453125" style="347" customWidth="1"/>
    <col min="30" max="30" width="6" style="743" customWidth="1"/>
    <col min="31" max="31" width="6" style="747" customWidth="1"/>
    <col min="32" max="32" width="8.1796875" style="347" customWidth="1"/>
    <col min="33" max="33" width="6" style="964" customWidth="1"/>
    <col min="34" max="34" width="9.54296875" style="347" customWidth="1"/>
    <col min="35" max="35" width="14.81640625" style="347" customWidth="1"/>
    <col min="36" max="36" width="7.1796875" style="347" customWidth="1"/>
    <col min="37" max="37" width="10.1796875" style="347" customWidth="1"/>
    <col min="38" max="38" width="7.81640625" style="347" customWidth="1"/>
    <col min="39" max="39" width="9" style="347" customWidth="1"/>
    <col min="40" max="40" width="12.81640625" style="347" customWidth="1"/>
    <col min="41" max="41" width="10.81640625" style="347" customWidth="1"/>
    <col min="42" max="42" width="9" style="347" customWidth="1"/>
    <col min="43" max="43" width="13" style="347" hidden="1" customWidth="1"/>
    <col min="44" max="44" width="15.81640625" style="347" customWidth="1"/>
    <col min="45" max="45" width="11.81640625" style="347" hidden="1" customWidth="1"/>
    <col min="46" max="47" width="11.1796875" style="347" customWidth="1"/>
    <col min="48" max="48" width="14.453125" style="347" customWidth="1"/>
    <col min="49" max="49" width="7.453125" style="347" bestFit="1" customWidth="1"/>
    <col min="50" max="50" width="6" style="347" bestFit="1" customWidth="1"/>
    <col min="51" max="51" width="10.54296875" style="347" customWidth="1"/>
    <col min="52" max="52" width="11.1796875" style="347" customWidth="1"/>
    <col min="53" max="53" width="12.1796875" style="347" hidden="1" customWidth="1"/>
    <col min="54" max="54" width="15.81640625" style="347" hidden="1" customWidth="1"/>
    <col min="55" max="55" width="9.54296875" style="347" bestFit="1" customWidth="1"/>
    <col min="56" max="56" width="10.1796875" style="347" bestFit="1" customWidth="1"/>
    <col min="57" max="57" width="7.81640625" style="745" bestFit="1" customWidth="1"/>
    <col min="58" max="58" width="8.81640625" style="745" bestFit="1" customWidth="1"/>
    <col min="59" max="59" width="7.81640625" style="745" bestFit="1" customWidth="1"/>
    <col min="60" max="60" width="8.81640625" style="745" bestFit="1" customWidth="1"/>
    <col min="61" max="61" width="7.81640625" style="745" bestFit="1" customWidth="1"/>
    <col min="62" max="62" width="8.81640625" style="745" bestFit="1" customWidth="1"/>
    <col min="63" max="63" width="6.81640625" style="745" bestFit="1" customWidth="1"/>
    <col min="64" max="64" width="10" style="745" bestFit="1" customWidth="1"/>
    <col min="65" max="67" width="7.453125" style="745" bestFit="1" customWidth="1"/>
    <col min="68" max="68" width="11.453125" style="745" bestFit="1" customWidth="1"/>
    <col min="69" max="69" width="7.453125" style="745" bestFit="1" customWidth="1"/>
    <col min="70" max="70" width="12" style="745" bestFit="1" customWidth="1"/>
    <col min="71" max="71" width="9.81640625" style="745" customWidth="1"/>
    <col min="72" max="72" width="14.1796875" style="745" bestFit="1" customWidth="1"/>
    <col min="73" max="73" width="8.54296875" style="745" customWidth="1"/>
    <col min="74" max="75" width="10.1796875" style="745" bestFit="1" customWidth="1"/>
    <col min="76" max="77" width="6" style="745" bestFit="1" customWidth="1"/>
    <col min="78" max="78" width="7.453125" style="745" customWidth="1"/>
    <col min="79" max="79" width="6.453125" style="745" bestFit="1" customWidth="1"/>
    <col min="80" max="80" width="8.54296875" style="745" bestFit="1" customWidth="1"/>
    <col min="81" max="81" width="7.81640625" style="745" bestFit="1" customWidth="1"/>
    <col min="82" max="87" width="5.81640625" style="745" customWidth="1"/>
    <col min="88" max="88" width="6.81640625" style="745" customWidth="1"/>
    <col min="89" max="90" width="5.81640625" style="745" customWidth="1"/>
    <col min="91" max="91" width="6.1796875" style="745" customWidth="1"/>
    <col min="92" max="92" width="22.54296875" style="745" customWidth="1"/>
    <col min="93" max="96" width="6.1796875" style="745" customWidth="1"/>
    <col min="97" max="97" width="23.1796875" style="745" customWidth="1"/>
    <col min="98" max="115" width="6.1796875" style="745" customWidth="1"/>
    <col min="116" max="116" width="10.453125" style="745" customWidth="1"/>
    <col min="117" max="126" width="6.54296875" style="745" customWidth="1"/>
    <col min="127" max="127" width="11.81640625" style="745" customWidth="1"/>
    <col min="128" max="128" width="6.54296875" style="745" customWidth="1"/>
    <col min="129" max="129" width="12.81640625" style="745" customWidth="1"/>
    <col min="130" max="130" width="6.54296875" style="745" customWidth="1"/>
    <col min="131" max="131" width="9.81640625" style="745" bestFit="1" customWidth="1"/>
    <col min="132" max="132" width="10" style="745" bestFit="1" customWidth="1"/>
    <col min="133" max="133" width="8.81640625" style="745" bestFit="1" customWidth="1"/>
    <col min="134" max="134" width="6" style="745" bestFit="1" customWidth="1"/>
    <col min="135" max="135" width="11" style="745" customWidth="1"/>
    <col min="136" max="136" width="9.453125" style="745" customWidth="1"/>
    <col min="137" max="137" width="11" style="745" customWidth="1"/>
    <col min="138" max="138" width="10" style="745" bestFit="1" customWidth="1"/>
    <col min="139" max="139" width="10.1796875" style="745" customWidth="1"/>
    <col min="140" max="141" width="8.453125" style="745" customWidth="1"/>
    <col min="142" max="142" width="8.1796875" style="745" customWidth="1"/>
    <col min="143" max="146" width="8.81640625" style="347" customWidth="1"/>
    <col min="147" max="147" width="10.1796875" style="347" customWidth="1"/>
    <col min="148" max="149" width="7.81640625" style="347" bestFit="1" customWidth="1"/>
    <col min="150" max="150" width="11.453125" style="347" customWidth="1"/>
    <col min="151" max="151" width="10.7265625" style="347" bestFit="1" customWidth="1"/>
    <col min="152" max="152" width="7.81640625" style="347" bestFit="1" customWidth="1"/>
    <col min="153" max="153" width="9.54296875" style="347" bestFit="1" customWidth="1"/>
    <col min="154" max="154" width="10.1796875" style="347" bestFit="1" customWidth="1"/>
    <col min="155" max="155" width="7.81640625" style="347" bestFit="1" customWidth="1"/>
    <col min="156" max="156" width="10.81640625" style="347" hidden="1" customWidth="1"/>
    <col min="157" max="157" width="7.81640625" style="347" hidden="1" customWidth="1"/>
    <col min="158" max="158" width="10.81640625" style="347" hidden="1" customWidth="1"/>
    <col min="159" max="159" width="11.54296875" style="347" hidden="1" customWidth="1"/>
    <col min="160" max="161" width="7.81640625" style="347" hidden="1" customWidth="1"/>
    <col min="162" max="162" width="8.81640625" style="347" hidden="1" customWidth="1"/>
    <col min="163" max="164" width="9.81640625" style="347" hidden="1" customWidth="1"/>
    <col min="165" max="166" width="8" style="347" hidden="1" customWidth="1"/>
    <col min="167" max="167" width="10.1796875" style="347" hidden="1" customWidth="1"/>
    <col min="168" max="168" width="6.453125" style="347" hidden="1" customWidth="1"/>
    <col min="169" max="169" width="8.81640625" style="347" hidden="1" customWidth="1"/>
    <col min="170" max="170" width="10.81640625" style="347" hidden="1" customWidth="1"/>
    <col min="171" max="171" width="10.54296875" style="347" hidden="1" customWidth="1"/>
    <col min="172" max="172" width="10.453125" style="347" hidden="1" customWidth="1"/>
    <col min="173" max="173" width="9.81640625" style="347" hidden="1" customWidth="1"/>
    <col min="174" max="174" width="6.1796875" style="347" hidden="1" customWidth="1"/>
    <col min="175" max="175" width="6.453125" style="347" hidden="1" customWidth="1"/>
    <col min="176" max="176" width="4.81640625" style="347" hidden="1" customWidth="1"/>
    <col min="177" max="177" width="6.453125" style="347" hidden="1" customWidth="1"/>
    <col min="178" max="178" width="12" style="347" hidden="1" customWidth="1"/>
    <col min="179" max="179" width="6.1796875" style="347" hidden="1" customWidth="1"/>
    <col min="180" max="180" width="6.453125" style="347" hidden="1" customWidth="1"/>
    <col min="181" max="181" width="6.81640625" style="347" hidden="1" customWidth="1"/>
    <col min="182" max="182" width="7.81640625" style="347" hidden="1" customWidth="1"/>
    <col min="183" max="183" width="9" style="347" hidden="1" customWidth="1"/>
    <col min="184" max="184" width="7.81640625" style="347" hidden="1" customWidth="1"/>
    <col min="185" max="185" width="9.1796875" style="347" hidden="1" customWidth="1"/>
    <col min="186" max="186" width="21.1796875" style="347" hidden="1" customWidth="1"/>
    <col min="187" max="187" width="10.1796875" style="347" hidden="1" customWidth="1"/>
    <col min="188" max="188" width="8.81640625" style="347" hidden="1" customWidth="1"/>
    <col min="189" max="189" width="11.81640625" style="347" hidden="1" customWidth="1"/>
    <col min="190" max="190" width="14.54296875" style="347" hidden="1" customWidth="1"/>
    <col min="191" max="191" width="14.1796875" style="347" hidden="1" customWidth="1"/>
    <col min="192" max="192" width="10.1796875" style="347" hidden="1" customWidth="1"/>
    <col min="193" max="193" width="9.1796875" style="347" hidden="1" customWidth="1"/>
    <col min="194" max="194" width="8.1796875" style="347" hidden="1" customWidth="1"/>
    <col min="195" max="195" width="9.81640625" style="347" hidden="1" customWidth="1"/>
    <col min="196" max="196" width="8.81640625" style="347" hidden="1" customWidth="1"/>
    <col min="197" max="197" width="15.453125" style="347" hidden="1" customWidth="1"/>
    <col min="198" max="198" width="7.81640625" style="347" hidden="1" customWidth="1"/>
    <col min="199" max="199" width="11.453125" style="347" hidden="1" customWidth="1"/>
    <col min="200" max="200" width="8.81640625" style="347" hidden="1" customWidth="1"/>
    <col min="201" max="201" width="9.1796875" style="347" hidden="1" customWidth="1"/>
    <col min="202" max="207" width="11.453125" style="347" hidden="1" customWidth="1"/>
    <col min="208" max="238" width="0" style="347" hidden="1" customWidth="1"/>
    <col min="239" max="240" width="12.453125" style="347" customWidth="1"/>
    <col min="241" max="242" width="11.453125" style="347"/>
    <col min="243" max="243" width="15.26953125" style="347" bestFit="1" customWidth="1"/>
    <col min="244" max="16384" width="11.453125" style="347"/>
  </cols>
  <sheetData>
    <row r="1" spans="1:245" ht="14.25" customHeight="1">
      <c r="L1" s="743"/>
      <c r="N1" s="299"/>
      <c r="O1" s="747"/>
      <c r="P1" s="747"/>
      <c r="Q1" s="747"/>
      <c r="R1" s="747"/>
      <c r="S1" s="747"/>
      <c r="T1" s="747"/>
      <c r="U1" s="747"/>
      <c r="V1" s="747"/>
      <c r="W1" s="747"/>
      <c r="X1" s="3679" t="s">
        <v>1368</v>
      </c>
      <c r="Y1" s="3679" t="s">
        <v>1368</v>
      </c>
      <c r="Z1" s="747">
        <v>1</v>
      </c>
      <c r="AA1" s="747"/>
      <c r="AB1" s="747"/>
      <c r="AC1" s="747"/>
      <c r="AD1" s="964"/>
      <c r="AF1" s="747">
        <v>1</v>
      </c>
      <c r="AG1" s="747">
        <v>0.20833333333333334</v>
      </c>
      <c r="AH1" s="747"/>
      <c r="AI1" s="3674">
        <v>3679</v>
      </c>
      <c r="AJ1" s="3674"/>
      <c r="AK1" s="3674">
        <f>3676/24</f>
        <v>153.16666666666666</v>
      </c>
      <c r="AL1" s="3674"/>
      <c r="AM1" s="3674"/>
      <c r="AN1" s="3674">
        <f>4366/24</f>
        <v>181.91666666666666</v>
      </c>
      <c r="AO1" s="3674">
        <f>4366-AN1*12</f>
        <v>2183</v>
      </c>
      <c r="AP1" s="3646">
        <f>+AO1/5</f>
        <v>436.6</v>
      </c>
      <c r="AQ1" s="3646"/>
      <c r="AR1" s="3647"/>
      <c r="AS1" s="3646"/>
      <c r="AT1" s="3646"/>
      <c r="AU1" s="3646"/>
      <c r="AV1" s="3646"/>
      <c r="AW1" s="3646"/>
      <c r="AX1" s="3646"/>
      <c r="AY1" s="3646"/>
      <c r="BE1" s="347"/>
      <c r="BF1" s="347"/>
      <c r="BG1" s="347"/>
      <c r="BH1" s="347"/>
      <c r="BI1" s="347"/>
      <c r="BJ1" s="347"/>
      <c r="BK1" s="347"/>
      <c r="BL1" s="347"/>
      <c r="BM1" s="347"/>
      <c r="BN1" s="347"/>
      <c r="BO1" s="347"/>
      <c r="BP1" s="347"/>
      <c r="BQ1" s="347"/>
      <c r="BR1" s="347"/>
      <c r="BS1" s="347"/>
      <c r="BT1" s="347"/>
      <c r="BU1" s="347"/>
      <c r="BV1" s="347"/>
      <c r="BW1" s="347"/>
      <c r="BX1" s="347"/>
      <c r="BY1" s="347"/>
      <c r="BZ1" s="347"/>
      <c r="CA1" s="347"/>
      <c r="CB1" s="347"/>
      <c r="CC1" s="347"/>
      <c r="CD1" s="347"/>
      <c r="CE1" s="347"/>
      <c r="CF1" s="347"/>
      <c r="CG1" s="347"/>
      <c r="CH1" s="347"/>
      <c r="CI1" s="347"/>
      <c r="CJ1" s="347"/>
      <c r="CK1" s="347"/>
      <c r="CL1" s="347"/>
      <c r="CM1" s="347"/>
      <c r="CN1" s="347"/>
      <c r="CO1" s="347"/>
      <c r="CP1" s="347"/>
      <c r="CQ1" s="347"/>
      <c r="CR1" s="347"/>
      <c r="CS1" s="347"/>
      <c r="CT1" s="347"/>
      <c r="CU1" s="347"/>
      <c r="CV1" s="347"/>
      <c r="CW1" s="347"/>
      <c r="CX1" s="347">
        <f>+'TP sin BM'!G5</f>
        <v>28.318351668204937</v>
      </c>
      <c r="CY1" s="347"/>
      <c r="CZ1" s="347"/>
      <c r="DA1" s="347"/>
      <c r="DB1" s="347"/>
      <c r="DC1" s="347"/>
      <c r="DD1" s="347"/>
      <c r="DE1" s="347"/>
      <c r="DF1" s="347"/>
      <c r="DG1" s="347"/>
      <c r="DH1" s="347"/>
      <c r="DI1" s="347"/>
      <c r="DJ1" s="347"/>
      <c r="DK1" s="347"/>
      <c r="DL1" s="958"/>
      <c r="DM1" s="347"/>
      <c r="DN1" s="347"/>
      <c r="DO1" s="347"/>
      <c r="DP1" s="347"/>
      <c r="DQ1" s="347"/>
      <c r="DR1" s="959"/>
      <c r="DS1" s="347"/>
      <c r="DT1" s="959"/>
      <c r="DW1" s="963">
        <v>92.650688634835291</v>
      </c>
      <c r="DX1" s="347"/>
      <c r="DY1" s="347"/>
      <c r="DZ1" s="347"/>
      <c r="EA1" s="347"/>
      <c r="EB1" s="347">
        <v>96.43</v>
      </c>
      <c r="EC1" s="347">
        <v>94.790819057615181</v>
      </c>
      <c r="ED1" s="347"/>
      <c r="EE1" s="347"/>
      <c r="EF1" s="347"/>
      <c r="EG1" s="347"/>
      <c r="EH1" s="347"/>
      <c r="EI1" s="347"/>
      <c r="EJ1" s="347"/>
      <c r="EK1" s="347"/>
      <c r="EL1" s="347"/>
      <c r="EX1" s="282"/>
      <c r="FE1" s="282"/>
    </row>
    <row r="2" spans="1:245" ht="14.25" customHeight="1">
      <c r="C2" s="347" t="s">
        <v>5</v>
      </c>
      <c r="E2" s="746">
        <f>Factores!D2</f>
        <v>46082.791666666664</v>
      </c>
      <c r="I2" s="347">
        <v>0</v>
      </c>
      <c r="M2" s="347">
        <f>679*3</f>
        <v>2037</v>
      </c>
      <c r="N2" s="347">
        <f>130*9</f>
        <v>1170</v>
      </c>
      <c r="O2" s="747">
        <v>3679</v>
      </c>
      <c r="P2" s="747"/>
      <c r="Q2" s="747"/>
      <c r="R2" s="747"/>
      <c r="S2" s="747">
        <v>766.30710246903948</v>
      </c>
      <c r="T2" s="747"/>
      <c r="U2" s="747"/>
      <c r="V2" s="747"/>
      <c r="W2" s="747"/>
      <c r="X2" s="3906">
        <v>3.5063</v>
      </c>
      <c r="Y2" s="3905">
        <v>2.8332999999999999</v>
      </c>
      <c r="Z2" s="3905">
        <v>0.97</v>
      </c>
      <c r="AA2" s="747"/>
      <c r="AB2" s="747">
        <f>6*180</f>
        <v>1080</v>
      </c>
      <c r="AC2" s="747"/>
      <c r="AD2" s="964"/>
      <c r="AF2" s="747">
        <v>6</v>
      </c>
      <c r="AG2" s="747">
        <v>0.20833333333333334</v>
      </c>
      <c r="AH2" s="964"/>
      <c r="AI2" s="3674" t="s">
        <v>1668</v>
      </c>
      <c r="AJ2" s="3674">
        <f>2900/24</f>
        <v>120.83333333333333</v>
      </c>
      <c r="AK2" s="3680">
        <f>460*0.8</f>
        <v>368</v>
      </c>
      <c r="AL2" s="3674"/>
      <c r="AM2" s="3674">
        <f>3679/24</f>
        <v>153.29166666666666</v>
      </c>
      <c r="AN2" s="3674">
        <f>16*182</f>
        <v>2912</v>
      </c>
      <c r="AO2" s="3674"/>
      <c r="AP2" s="3647"/>
      <c r="AQ2" s="3648"/>
      <c r="AR2" s="3683">
        <f>153*8.5</f>
        <v>1300.5</v>
      </c>
      <c r="AS2" s="3647"/>
      <c r="AT2" s="3646"/>
      <c r="AU2" s="3646">
        <f>2604/5</f>
        <v>520.79999999999995</v>
      </c>
      <c r="AV2" s="3646"/>
      <c r="AW2" s="3646"/>
      <c r="AX2" s="3646">
        <v>0</v>
      </c>
      <c r="AY2" s="3646"/>
      <c r="BE2" s="347"/>
      <c r="BF2" s="347"/>
      <c r="BG2" s="347"/>
      <c r="BH2" s="347"/>
      <c r="BI2" s="347"/>
      <c r="BJ2" s="347"/>
      <c r="BK2" s="347"/>
      <c r="BL2" s="347"/>
      <c r="BM2" s="347"/>
      <c r="BN2" s="347"/>
      <c r="BO2" s="347"/>
      <c r="BP2" s="347"/>
      <c r="BQ2" s="347"/>
      <c r="BR2" s="347"/>
      <c r="BS2" s="347"/>
      <c r="BT2" s="347"/>
      <c r="BU2" s="347"/>
      <c r="BV2" s="347"/>
      <c r="BW2" s="347"/>
      <c r="BX2" s="347"/>
      <c r="BY2" s="347"/>
      <c r="BZ2" s="347"/>
      <c r="CA2" s="347"/>
      <c r="CB2" s="347"/>
      <c r="CC2" s="347"/>
      <c r="CD2" s="347"/>
      <c r="CE2" s="347"/>
      <c r="CF2" s="347"/>
      <c r="CG2" s="347"/>
      <c r="CH2" s="347"/>
      <c r="CI2" s="347"/>
      <c r="CJ2" s="347"/>
      <c r="CK2" s="347"/>
      <c r="CL2" s="347"/>
      <c r="CM2" s="347"/>
      <c r="CN2" s="347"/>
      <c r="CO2" s="347"/>
      <c r="CP2" s="347"/>
      <c r="CQ2" s="347"/>
      <c r="CR2" s="347"/>
      <c r="CS2" s="347"/>
      <c r="CT2" s="347"/>
      <c r="CU2" s="347"/>
      <c r="CV2" s="347"/>
      <c r="CW2" s="347"/>
      <c r="CX2" s="347">
        <v>33.074247241220966</v>
      </c>
      <c r="CY2" s="347"/>
      <c r="CZ2" s="347"/>
      <c r="DA2" s="347"/>
      <c r="DB2" s="347"/>
      <c r="DC2" s="347"/>
      <c r="DD2" s="347"/>
      <c r="DE2" s="347"/>
      <c r="DF2" s="347"/>
      <c r="DG2" s="347"/>
      <c r="DH2" s="347"/>
      <c r="DI2" s="347"/>
      <c r="DJ2" s="347"/>
      <c r="DK2" s="347"/>
      <c r="DL2" s="2393" t="s">
        <v>346</v>
      </c>
      <c r="DM2" s="2393" t="s">
        <v>347</v>
      </c>
      <c r="DN2" s="2393" t="s">
        <v>348</v>
      </c>
      <c r="DO2" s="2393" t="s">
        <v>349</v>
      </c>
      <c r="DP2" s="2394" t="s">
        <v>350</v>
      </c>
      <c r="DQ2" s="2394" t="s">
        <v>351</v>
      </c>
      <c r="DR2" s="2394" t="s">
        <v>352</v>
      </c>
      <c r="DS2" s="2394" t="s">
        <v>353</v>
      </c>
      <c r="DT2" s="2394" t="s">
        <v>354</v>
      </c>
      <c r="DU2" s="2394" t="s">
        <v>355</v>
      </c>
      <c r="DV2" s="2394" t="s">
        <v>356</v>
      </c>
      <c r="DX2" s="347"/>
      <c r="DY2" s="347">
        <v>0.94875204301075278</v>
      </c>
      <c r="DZ2" s="347"/>
      <c r="EA2" s="347"/>
      <c r="EB2" s="347"/>
      <c r="EC2" s="347"/>
      <c r="ED2" s="347"/>
      <c r="EE2" s="347"/>
      <c r="EF2" s="347"/>
      <c r="EG2" s="347">
        <v>81.586964827542218</v>
      </c>
      <c r="EH2" s="347"/>
      <c r="EI2" s="347"/>
      <c r="EJ2" s="347">
        <f>82.9/115</f>
        <v>0.72086956521739132</v>
      </c>
      <c r="EK2" s="347">
        <f>+EJ2/115</f>
        <v>6.2684310018903591E-3</v>
      </c>
      <c r="EL2" s="347"/>
      <c r="EX2" s="282"/>
      <c r="EY2" s="282"/>
      <c r="EZ2" s="282"/>
      <c r="FA2" s="282"/>
      <c r="FB2" s="282"/>
      <c r="FC2" s="282"/>
      <c r="FD2" s="282"/>
      <c r="FE2" s="282"/>
      <c r="GF2" s="4604" t="s">
        <v>357</v>
      </c>
      <c r="GG2" s="4615"/>
      <c r="GH2" s="4615"/>
      <c r="GI2" s="4615"/>
      <c r="GJ2" s="4615"/>
      <c r="GK2" s="4615"/>
      <c r="GL2" s="4615"/>
      <c r="GM2" s="4615"/>
      <c r="GN2" s="4615"/>
      <c r="GO2" s="4605"/>
      <c r="GR2" s="4604" t="s">
        <v>358</v>
      </c>
      <c r="GS2" s="4605"/>
    </row>
    <row r="3" spans="1:245" ht="14.25" customHeight="1">
      <c r="C3" s="347" t="s">
        <v>0</v>
      </c>
      <c r="E3" s="748">
        <f>+Factores!D3</f>
        <v>46098.791666666664</v>
      </c>
      <c r="F3" s="347">
        <f>+F8/24</f>
        <v>801.76408115437596</v>
      </c>
      <c r="O3" s="747">
        <f>+O2/24</f>
        <v>153.29166666666666</v>
      </c>
      <c r="P3" s="747"/>
      <c r="Q3" s="747"/>
      <c r="R3" s="747"/>
      <c r="S3" s="747"/>
      <c r="T3" s="747"/>
      <c r="U3" s="747"/>
      <c r="V3" s="747"/>
      <c r="W3" s="747"/>
      <c r="X3" s="3906">
        <v>74.960999999999999</v>
      </c>
      <c r="Y3" s="3905">
        <v>74.353999999999999</v>
      </c>
      <c r="Z3" s="747"/>
      <c r="AA3" s="747"/>
      <c r="AB3" s="747"/>
      <c r="AC3" s="747"/>
      <c r="AD3" s="964"/>
      <c r="AF3" s="747"/>
      <c r="AH3" s="747"/>
      <c r="AI3" s="3674"/>
      <c r="AJ3" s="3674">
        <v>182</v>
      </c>
      <c r="AK3" s="3674">
        <f>+AK10/24</f>
        <v>124.58333333333333</v>
      </c>
      <c r="AL3" s="3674"/>
      <c r="AM3" s="3674">
        <f>4366/24</f>
        <v>181.91666666666666</v>
      </c>
      <c r="AN3" s="3674"/>
      <c r="AO3" s="3674"/>
      <c r="AP3" s="3646"/>
      <c r="AQ3" s="3646">
        <f>+AO3*11</f>
        <v>0</v>
      </c>
      <c r="AR3" s="3646"/>
      <c r="AS3" s="3646"/>
      <c r="AT3" s="3646"/>
      <c r="AU3" s="3646"/>
      <c r="AV3" s="3646"/>
      <c r="AW3" s="3646"/>
      <c r="AX3" s="3646"/>
      <c r="AY3" s="3646"/>
      <c r="BE3" s="347"/>
      <c r="BF3" s="347"/>
      <c r="BG3" s="347"/>
      <c r="BH3" s="347"/>
      <c r="BI3" s="347"/>
      <c r="BJ3" s="347"/>
      <c r="BK3" s="347"/>
      <c r="BL3" s="347"/>
      <c r="BM3" s="347"/>
      <c r="BN3" s="347"/>
      <c r="BO3" s="347"/>
      <c r="BP3" s="347"/>
      <c r="BQ3" s="347"/>
      <c r="BR3" s="347"/>
      <c r="BS3" s="347"/>
      <c r="BT3" s="347">
        <f>24-DL4</f>
        <v>24</v>
      </c>
      <c r="BU3" s="347"/>
      <c r="BV3" s="347"/>
      <c r="BW3" s="347"/>
      <c r="BX3" s="347"/>
      <c r="BY3" s="347"/>
      <c r="BZ3" s="347"/>
      <c r="CA3" s="347"/>
      <c r="CC3" s="1836"/>
      <c r="CD3" s="1836"/>
      <c r="CE3" s="1836"/>
      <c r="CF3" s="1836"/>
      <c r="CG3" s="1836"/>
      <c r="CH3" s="1836"/>
      <c r="CI3" s="1836"/>
      <c r="CJ3" s="1836"/>
      <c r="CK3" s="1836"/>
      <c r="CL3" s="1836"/>
      <c r="CM3" s="1836"/>
      <c r="CN3" s="1836"/>
      <c r="CO3" s="1836"/>
      <c r="CP3" s="1836"/>
      <c r="CQ3" s="1836"/>
      <c r="CR3" s="1836"/>
      <c r="CS3" s="1836"/>
      <c r="CT3" s="347"/>
      <c r="CU3" s="347"/>
      <c r="CV3" s="347"/>
      <c r="CW3" s="347"/>
      <c r="CX3" s="347"/>
      <c r="CY3" s="347"/>
      <c r="CZ3" s="347"/>
      <c r="DA3" s="347"/>
      <c r="DB3" s="347"/>
      <c r="DC3" s="347"/>
      <c r="DD3" s="347"/>
      <c r="DE3" s="347"/>
      <c r="DF3" s="347"/>
      <c r="DG3" s="347"/>
      <c r="DH3" s="347"/>
      <c r="DI3" s="347"/>
      <c r="DJ3" s="347"/>
      <c r="DK3" s="347"/>
      <c r="DL3" s="2395">
        <v>0.27193000000000001</v>
      </c>
      <c r="DM3" s="2395">
        <v>0.27193000000000001</v>
      </c>
      <c r="DN3" s="2395">
        <v>0.27193000000000001</v>
      </c>
      <c r="DO3" s="2395">
        <v>0.18421000000000001</v>
      </c>
      <c r="DP3" s="2395">
        <v>7.5300000000000006E-2</v>
      </c>
      <c r="DQ3" s="2395">
        <v>7.5300000000000006E-2</v>
      </c>
      <c r="DR3" s="2395">
        <v>7.5300000000000006E-2</v>
      </c>
      <c r="DS3" s="2395">
        <v>7.5300000000000006E-2</v>
      </c>
      <c r="DT3" s="2395">
        <v>5.4339999999999999E-2</v>
      </c>
      <c r="DU3" s="2395">
        <v>0.12728</v>
      </c>
      <c r="DV3" s="2395">
        <v>0.18421000000000001</v>
      </c>
      <c r="DW3" s="3412">
        <f>+DAY(EOMONTH(B8,0))*4-COUNTIF(DL8:DO38,24)</f>
        <v>120</v>
      </c>
      <c r="DX3" s="347"/>
      <c r="DY3" s="3926">
        <f>+CB39</f>
        <v>92.650688634835248</v>
      </c>
      <c r="DZ3" s="347"/>
      <c r="EA3" s="965"/>
      <c r="EB3" s="2641">
        <v>80.117416267942602</v>
      </c>
      <c r="EC3" s="965">
        <f>+CB8</f>
        <v>95.768489568845609</v>
      </c>
      <c r="ED3" s="965"/>
      <c r="EE3" s="965"/>
      <c r="EF3" s="965"/>
      <c r="EG3" s="965"/>
      <c r="EH3" s="965"/>
      <c r="EI3" s="965"/>
      <c r="EJ3" s="965"/>
      <c r="EK3" s="965"/>
      <c r="EL3" s="965"/>
      <c r="EX3" s="282"/>
      <c r="EY3" s="282"/>
      <c r="EZ3" s="282"/>
      <c r="FA3" s="282"/>
      <c r="FB3" s="282"/>
      <c r="FC3" s="282"/>
      <c r="FD3" s="282"/>
      <c r="FE3" s="282"/>
      <c r="FF3" s="282"/>
      <c r="FG3" s="282"/>
      <c r="FH3" s="282"/>
      <c r="FI3" s="282"/>
      <c r="FJ3" s="282"/>
      <c r="FK3" s="282"/>
      <c r="FL3" s="282"/>
      <c r="FM3" s="282"/>
      <c r="FN3" s="282"/>
      <c r="FO3" s="282"/>
      <c r="FP3" s="282"/>
      <c r="FQ3" s="282"/>
      <c r="FR3" s="282"/>
      <c r="FS3" s="282"/>
      <c r="FT3" s="282"/>
      <c r="FU3" s="282"/>
      <c r="FV3" s="282"/>
      <c r="FW3" s="282"/>
      <c r="FX3" s="282"/>
      <c r="FY3" s="282"/>
      <c r="FZ3" s="282"/>
      <c r="GF3" s="761" t="s">
        <v>359</v>
      </c>
      <c r="GJ3" s="761" t="s">
        <v>360</v>
      </c>
      <c r="GO3" s="771" t="s">
        <v>361</v>
      </c>
    </row>
    <row r="4" spans="1:245" ht="15.65" customHeight="1" thickBot="1">
      <c r="H4" s="2397">
        <v>0.81579000000000002</v>
      </c>
      <c r="I4" s="2397">
        <v>0.18421000000000001</v>
      </c>
      <c r="O4" s="747"/>
      <c r="P4" s="747"/>
      <c r="Q4" s="747"/>
      <c r="R4" s="747"/>
      <c r="S4" s="747"/>
      <c r="T4" s="747"/>
      <c r="U4" s="747"/>
      <c r="V4" s="747"/>
      <c r="W4" s="747"/>
      <c r="X4" s="3906">
        <v>1.5</v>
      </c>
      <c r="Y4" s="747">
        <v>3</v>
      </c>
      <c r="Z4" s="747"/>
      <c r="AA4" s="747"/>
      <c r="AB4" s="747"/>
      <c r="AC4" s="747"/>
      <c r="AD4" s="964"/>
      <c r="AF4" s="3681" t="s">
        <v>362</v>
      </c>
      <c r="AG4" s="2099"/>
      <c r="AH4" s="3681">
        <v>300</v>
      </c>
      <c r="AI4" s="3682"/>
      <c r="AJ4" s="3682"/>
      <c r="AK4" s="3682">
        <f>+AK2*14</f>
        <v>5152</v>
      </c>
      <c r="AL4" s="3682"/>
      <c r="AM4" s="3674"/>
      <c r="AN4" s="3674">
        <f>3560/24</f>
        <v>148.33333333333334</v>
      </c>
      <c r="AO4" s="3674"/>
      <c r="AP4" s="3646"/>
      <c r="AQ4" s="3646">
        <f>+AQ3/5</f>
        <v>0</v>
      </c>
      <c r="AR4" s="3649">
        <f>(AR7-3100)/(AO39/100)</f>
        <v>-1860.8109776398301</v>
      </c>
      <c r="AS4" s="3649"/>
      <c r="AT4" s="3649"/>
      <c r="AU4" s="3649"/>
      <c r="AV4" s="3649"/>
      <c r="AW4" s="3646"/>
      <c r="AX4" s="3646"/>
      <c r="AY4" s="3646"/>
      <c r="BE4" s="347"/>
      <c r="BF4" s="2155">
        <v>34.601603265900302</v>
      </c>
      <c r="BG4" s="967"/>
      <c r="BH4" s="2155">
        <v>34.601603265900302</v>
      </c>
      <c r="BI4" s="967"/>
      <c r="BJ4" s="2155">
        <v>45</v>
      </c>
      <c r="BK4" s="347"/>
      <c r="BL4" s="347"/>
      <c r="BM4" s="4602" t="s">
        <v>1629</v>
      </c>
      <c r="BN4" s="4602"/>
      <c r="BO4" s="4602"/>
      <c r="BP4" s="4602"/>
      <c r="BQ4" s="4602"/>
      <c r="BR4" s="347"/>
      <c r="BS4" s="347"/>
      <c r="BT4" s="347">
        <f>BT3/24</f>
        <v>1</v>
      </c>
      <c r="BU4" s="347"/>
      <c r="BV4" s="347"/>
      <c r="BW4" s="347"/>
      <c r="BX4" s="347"/>
      <c r="BY4" s="347"/>
      <c r="BZ4" s="347"/>
      <c r="CA4" s="347"/>
      <c r="CB4" s="347"/>
      <c r="CT4" s="347"/>
      <c r="CU4" s="347"/>
      <c r="CV4" s="347"/>
      <c r="CW4" s="347"/>
      <c r="CX4" s="347"/>
      <c r="CY4" s="347"/>
      <c r="CZ4" s="347"/>
      <c r="DA4" s="347"/>
      <c r="DB4" s="347"/>
      <c r="DC4" s="347"/>
      <c r="DD4" s="347"/>
      <c r="DE4" s="347"/>
      <c r="DF4" s="347"/>
      <c r="DG4" s="347"/>
      <c r="DH4" s="347"/>
      <c r="DI4" s="347"/>
      <c r="DJ4" s="347"/>
      <c r="DK4" s="745">
        <f>+'PM vs OL y BD'!D10</f>
        <v>5857.198775683828</v>
      </c>
      <c r="DL4" s="957">
        <f>DL3*DL20</f>
        <v>0</v>
      </c>
      <c r="DM4" s="957">
        <f t="shared" ref="DM4:DV4" si="0">DM3*DM20</f>
        <v>0</v>
      </c>
      <c r="DN4" s="957">
        <f t="shared" si="0"/>
        <v>0</v>
      </c>
      <c r="DO4" s="957">
        <f t="shared" si="0"/>
        <v>0</v>
      </c>
      <c r="DP4" s="957">
        <f t="shared" si="0"/>
        <v>0</v>
      </c>
      <c r="DQ4" s="957">
        <f t="shared" si="0"/>
        <v>0</v>
      </c>
      <c r="DR4" s="957">
        <f t="shared" si="0"/>
        <v>0</v>
      </c>
      <c r="DS4" s="957">
        <f t="shared" si="0"/>
        <v>0</v>
      </c>
      <c r="DT4" s="957">
        <f t="shared" si="0"/>
        <v>0</v>
      </c>
      <c r="DU4" s="957">
        <f t="shared" si="0"/>
        <v>0</v>
      </c>
      <c r="DV4" s="957">
        <f t="shared" si="0"/>
        <v>0</v>
      </c>
      <c r="DW4" s="2491">
        <f>8.71228/DW3</f>
        <v>7.2602333333333338E-2</v>
      </c>
      <c r="DX4" s="2164"/>
      <c r="DY4" s="2164"/>
      <c r="DZ4" s="2164"/>
      <c r="EA4" s="2723">
        <f>0/$DW$3</f>
        <v>0</v>
      </c>
      <c r="EB4" s="2164"/>
      <c r="EC4" s="2164"/>
      <c r="ED4" s="2164"/>
      <c r="EE4" s="2468">
        <f>6/DW3</f>
        <v>0.05</v>
      </c>
      <c r="EF4" s="2164">
        <v>6.8750000000000006E-2</v>
      </c>
      <c r="EG4" s="2164"/>
      <c r="EH4" s="2164"/>
      <c r="EI4" s="2723">
        <v>4.1666666666666666E-3</v>
      </c>
      <c r="EJ4" s="347"/>
      <c r="EK4" s="347"/>
      <c r="EL4" s="2722"/>
      <c r="EM4" s="2723">
        <f>0.5/DW3</f>
        <v>4.1666666666666666E-3</v>
      </c>
      <c r="EU4" s="282"/>
      <c r="FD4" s="1729">
        <f>+FG39/(FH39*24*((COUNT(FI8:FI38)-BW4)/100))</f>
        <v>8151.2960157165426</v>
      </c>
      <c r="GF4" s="968">
        <v>70</v>
      </c>
      <c r="GJ4" s="968">
        <v>80</v>
      </c>
      <c r="GO4" s="969">
        <v>45</v>
      </c>
    </row>
    <row r="5" spans="1:245" ht="17.149999999999999" customHeight="1">
      <c r="A5" s="4647" t="s">
        <v>250</v>
      </c>
      <c r="B5" s="2007"/>
      <c r="C5" s="4622" t="s">
        <v>363</v>
      </c>
      <c r="D5" s="4622"/>
      <c r="E5" s="4622"/>
      <c r="F5" s="4622"/>
      <c r="G5" s="4622"/>
      <c r="H5" s="4622" t="s">
        <v>23</v>
      </c>
      <c r="I5" s="4622"/>
      <c r="J5" s="4622"/>
      <c r="K5" s="4622" t="s">
        <v>364</v>
      </c>
      <c r="L5" s="4622" t="s">
        <v>253</v>
      </c>
      <c r="M5" s="4622"/>
      <c r="N5" s="4622"/>
      <c r="O5" s="4622"/>
      <c r="P5" s="4622"/>
      <c r="Q5" s="4622"/>
      <c r="R5" s="4622"/>
      <c r="S5" s="4622"/>
      <c r="T5" s="4622"/>
      <c r="U5" s="4622"/>
      <c r="V5" s="4622"/>
      <c r="W5" s="4622" t="s">
        <v>254</v>
      </c>
      <c r="X5" s="4622"/>
      <c r="Y5" s="4622"/>
      <c r="Z5" s="4622"/>
      <c r="AA5" s="4622"/>
      <c r="AB5" s="4622"/>
      <c r="AC5" s="4622"/>
      <c r="AD5" s="4622"/>
      <c r="AE5" s="4622"/>
      <c r="AF5" s="4622"/>
      <c r="AG5" s="4622"/>
      <c r="AH5" s="4622"/>
      <c r="AI5" s="4606" t="s">
        <v>365</v>
      </c>
      <c r="AJ5" s="4606"/>
      <c r="AK5" s="4606" t="s">
        <v>366</v>
      </c>
      <c r="AL5" s="4606"/>
      <c r="AM5" s="4606"/>
      <c r="AN5" s="4606" t="s">
        <v>367</v>
      </c>
      <c r="AO5" s="4606"/>
      <c r="AP5" s="4606"/>
      <c r="AQ5" s="4606" t="s">
        <v>289</v>
      </c>
      <c r="AR5" s="4606" t="s">
        <v>368</v>
      </c>
      <c r="AS5" s="4606"/>
      <c r="AT5" s="4606" t="s">
        <v>86</v>
      </c>
      <c r="AU5" s="2131"/>
      <c r="AV5" s="4606" t="s">
        <v>1636</v>
      </c>
      <c r="AW5" s="4606" t="s">
        <v>369</v>
      </c>
      <c r="AX5" s="4606" t="s">
        <v>83</v>
      </c>
      <c r="AY5" s="4607" t="s">
        <v>290</v>
      </c>
      <c r="AZ5" s="4606" t="s">
        <v>1654</v>
      </c>
      <c r="BA5" s="4649"/>
      <c r="BB5" s="4606" t="s">
        <v>1655</v>
      </c>
      <c r="BC5" s="4647" t="s">
        <v>250</v>
      </c>
      <c r="BD5" s="2132"/>
      <c r="BE5" s="4622" t="s">
        <v>370</v>
      </c>
      <c r="BF5" s="4622"/>
      <c r="BG5" s="4622" t="s">
        <v>371</v>
      </c>
      <c r="BH5" s="4622"/>
      <c r="BI5" s="4622" t="s">
        <v>372</v>
      </c>
      <c r="BJ5" s="4622"/>
      <c r="BK5" s="3394"/>
      <c r="BL5" s="4645" t="s">
        <v>1621</v>
      </c>
      <c r="BM5" s="4656" t="s">
        <v>1626</v>
      </c>
      <c r="BN5" s="4656" t="s">
        <v>1627</v>
      </c>
      <c r="BO5" s="4656" t="s">
        <v>1628</v>
      </c>
      <c r="BP5" s="4656" t="s">
        <v>1622</v>
      </c>
      <c r="BQ5" s="4654" t="s">
        <v>1623</v>
      </c>
      <c r="BR5" s="4628" t="s">
        <v>373</v>
      </c>
      <c r="BS5" s="4622"/>
      <c r="BT5" s="4622"/>
      <c r="BU5" s="4622"/>
      <c r="BV5" s="4622"/>
      <c r="BW5" s="4622"/>
      <c r="BX5" s="4626" t="s">
        <v>23</v>
      </c>
      <c r="BY5" s="4627"/>
      <c r="BZ5" s="4627"/>
      <c r="CA5" s="4627"/>
      <c r="CB5" s="4627"/>
      <c r="CC5" s="4628"/>
      <c r="CD5" s="4626" t="s">
        <v>1611</v>
      </c>
      <c r="CE5" s="4627"/>
      <c r="CF5" s="4627"/>
      <c r="CG5" s="4627"/>
      <c r="CH5" s="4627"/>
      <c r="CI5" s="4628"/>
      <c r="CJ5" s="4659" t="s">
        <v>1612</v>
      </c>
      <c r="CK5" s="4659"/>
      <c r="CL5" s="4659"/>
      <c r="CM5" s="4659"/>
      <c r="CN5" s="4660"/>
      <c r="CO5" s="4658" t="s">
        <v>1613</v>
      </c>
      <c r="CP5" s="4659"/>
      <c r="CQ5" s="4659"/>
      <c r="CR5" s="4659"/>
      <c r="CS5" s="4660"/>
      <c r="CT5" s="4622" t="s">
        <v>1606</v>
      </c>
      <c r="CU5" s="4622"/>
      <c r="CV5" s="4622"/>
      <c r="CW5" s="4622"/>
      <c r="CX5" s="4626" t="s">
        <v>374</v>
      </c>
      <c r="CY5" s="4627"/>
      <c r="CZ5" s="4627"/>
      <c r="DA5" s="4628"/>
      <c r="DB5" s="3240"/>
      <c r="DC5" s="3240"/>
      <c r="DD5" s="3240"/>
      <c r="DE5" s="3240"/>
      <c r="DF5" s="3240"/>
      <c r="DG5" s="3240"/>
      <c r="DH5" s="3240"/>
      <c r="DI5" s="3240"/>
      <c r="DJ5" s="3240"/>
      <c r="DK5" s="3240"/>
      <c r="DL5" s="4626"/>
      <c r="DM5" s="4627"/>
      <c r="DN5" s="4627"/>
      <c r="DO5" s="4627"/>
      <c r="DP5" s="4627"/>
      <c r="DQ5" s="4627"/>
      <c r="DR5" s="4627"/>
      <c r="DS5" s="4627"/>
      <c r="DT5" s="4627"/>
      <c r="DU5" s="4627"/>
      <c r="DV5" s="4628"/>
      <c r="DW5" s="4622">
        <v>9.2999999999999999E-2</v>
      </c>
      <c r="DX5" s="4622"/>
      <c r="DY5" s="4622"/>
      <c r="DZ5" s="4622"/>
      <c r="EA5" s="4622"/>
      <c r="EB5" s="4622"/>
      <c r="EC5" s="4622"/>
      <c r="ED5" s="4622"/>
      <c r="EE5" s="4622"/>
      <c r="EF5" s="4622"/>
      <c r="EG5" s="4622"/>
      <c r="EH5" s="4622"/>
      <c r="EI5" s="4622"/>
      <c r="EJ5" s="4622"/>
      <c r="EK5" s="4622"/>
      <c r="EL5" s="4622"/>
      <c r="EM5" s="2393"/>
      <c r="EN5" s="2393"/>
      <c r="EO5" s="2393"/>
      <c r="EP5" s="2393"/>
      <c r="EV5" s="757" t="s">
        <v>257</v>
      </c>
      <c r="EW5" s="758">
        <f>'Real+S.T.'!$K$2</f>
        <v>46082.791666666664</v>
      </c>
      <c r="EX5" s="757"/>
      <c r="EZ5" s="4623" t="s">
        <v>278</v>
      </c>
      <c r="FA5" s="4612" t="s">
        <v>83</v>
      </c>
      <c r="FB5" s="4630" t="s">
        <v>250</v>
      </c>
      <c r="FC5" s="1570"/>
      <c r="FD5" s="4604" t="s">
        <v>251</v>
      </c>
      <c r="FE5" s="4605"/>
      <c r="FF5" s="4604" t="s">
        <v>252</v>
      </c>
      <c r="FG5" s="4605"/>
      <c r="FH5" s="1570" t="s">
        <v>23</v>
      </c>
      <c r="FI5" s="4612" t="s">
        <v>121</v>
      </c>
      <c r="FJ5" s="4612" t="s">
        <v>278</v>
      </c>
      <c r="FK5" s="4604" t="s">
        <v>253</v>
      </c>
      <c r="FL5" s="4615"/>
      <c r="FM5" s="4615"/>
      <c r="FN5" s="4615"/>
      <c r="FO5" s="4615"/>
      <c r="FP5" s="4615"/>
      <c r="FQ5" s="4605"/>
      <c r="FR5" s="4604" t="s">
        <v>254</v>
      </c>
      <c r="FS5" s="4615"/>
      <c r="FT5" s="4615"/>
      <c r="FU5" s="4615"/>
      <c r="FV5" s="4615"/>
      <c r="FW5" s="4615"/>
      <c r="FX5" s="4615"/>
      <c r="FY5" s="4615"/>
      <c r="FZ5" s="4615"/>
      <c r="GA5" s="4605"/>
      <c r="GB5" s="4616" t="s">
        <v>365</v>
      </c>
      <c r="GC5" s="4617"/>
      <c r="GD5" s="4616" t="s">
        <v>375</v>
      </c>
      <c r="GE5" s="4620"/>
      <c r="GF5" s="4617"/>
      <c r="GG5" s="4608" t="s">
        <v>376</v>
      </c>
      <c r="GH5" s="4609"/>
      <c r="GI5" s="282"/>
      <c r="GK5" s="4604" t="s">
        <v>377</v>
      </c>
      <c r="GL5" s="4615"/>
      <c r="GM5" s="4615"/>
      <c r="GN5" s="4605"/>
      <c r="GO5" s="4604" t="s">
        <v>378</v>
      </c>
      <c r="GP5" s="4615"/>
      <c r="GQ5" s="4615"/>
      <c r="GR5" s="4615"/>
      <c r="GS5" s="4604" t="s">
        <v>379</v>
      </c>
      <c r="GT5" s="4605"/>
      <c r="GW5" s="4604" t="s">
        <v>380</v>
      </c>
      <c r="GX5" s="4605"/>
      <c r="GY5" s="793"/>
      <c r="GZ5" s="1570"/>
      <c r="HA5" s="4604" t="s">
        <v>251</v>
      </c>
      <c r="HB5" s="4605"/>
      <c r="HC5" s="4604" t="s">
        <v>252</v>
      </c>
      <c r="HD5" s="4605"/>
      <c r="HE5" s="1570" t="s">
        <v>23</v>
      </c>
      <c r="HF5" s="4612" t="s">
        <v>121</v>
      </c>
      <c r="HG5" s="4612" t="s">
        <v>278</v>
      </c>
      <c r="HH5" s="4604" t="s">
        <v>253</v>
      </c>
      <c r="HI5" s="4615"/>
      <c r="HJ5" s="4615"/>
      <c r="HK5" s="4615"/>
      <c r="HL5" s="4615"/>
      <c r="HM5" s="4615"/>
      <c r="HN5" s="4605"/>
      <c r="HO5" s="4604" t="s">
        <v>254</v>
      </c>
      <c r="HP5" s="4615"/>
      <c r="HQ5" s="4615"/>
      <c r="HR5" s="4615"/>
      <c r="HS5" s="4615"/>
      <c r="HT5" s="4615"/>
      <c r="HU5" s="4615"/>
      <c r="HV5" s="4615"/>
      <c r="HW5" s="4615"/>
      <c r="HX5" s="4605"/>
      <c r="HY5" s="4616" t="s">
        <v>365</v>
      </c>
      <c r="HZ5" s="4617"/>
      <c r="IA5" s="4616" t="s">
        <v>375</v>
      </c>
      <c r="IB5" s="4620"/>
      <c r="IC5" s="4617"/>
      <c r="ID5" s="4608" t="s">
        <v>376</v>
      </c>
      <c r="IE5" s="4609"/>
      <c r="IF5" s="282"/>
    </row>
    <row r="6" spans="1:245" ht="27" customHeight="1">
      <c r="A6" s="4647"/>
      <c r="B6" s="2007" t="s">
        <v>258</v>
      </c>
      <c r="C6" s="2007" t="s">
        <v>259</v>
      </c>
      <c r="D6" s="2007" t="s">
        <v>260</v>
      </c>
      <c r="E6" s="2131" t="s">
        <v>261</v>
      </c>
      <c r="F6" s="2131" t="s">
        <v>262</v>
      </c>
      <c r="G6" s="2131" t="s">
        <v>263</v>
      </c>
      <c r="H6" s="2131" t="s">
        <v>264</v>
      </c>
      <c r="I6" s="2131" t="s">
        <v>265</v>
      </c>
      <c r="J6" s="2131" t="s">
        <v>266</v>
      </c>
      <c r="K6" s="4622"/>
      <c r="L6" s="2007" t="s">
        <v>267</v>
      </c>
      <c r="M6" s="2007" t="s">
        <v>268</v>
      </c>
      <c r="N6" s="2007" t="s">
        <v>269</v>
      </c>
      <c r="O6" s="4622" t="s">
        <v>270</v>
      </c>
      <c r="P6" s="4622"/>
      <c r="Q6" s="4622"/>
      <c r="R6" s="4622"/>
      <c r="S6" s="4622" t="s">
        <v>271</v>
      </c>
      <c r="T6" s="4622"/>
      <c r="U6" s="4622"/>
      <c r="V6" s="4622"/>
      <c r="W6" s="2007" t="s">
        <v>267</v>
      </c>
      <c r="X6" s="2007" t="s">
        <v>381</v>
      </c>
      <c r="Y6" s="2007" t="s">
        <v>382</v>
      </c>
      <c r="Z6" s="2132" t="s">
        <v>383</v>
      </c>
      <c r="AA6" s="2007" t="s">
        <v>269</v>
      </c>
      <c r="AB6" s="4622" t="s">
        <v>275</v>
      </c>
      <c r="AC6" s="4622"/>
      <c r="AD6" s="4622"/>
      <c r="AE6" s="4622" t="s">
        <v>384</v>
      </c>
      <c r="AF6" s="4622"/>
      <c r="AG6" s="4622"/>
      <c r="AH6" s="4622"/>
      <c r="AI6" s="4606"/>
      <c r="AJ6" s="4606"/>
      <c r="AK6" s="4606"/>
      <c r="AL6" s="4606"/>
      <c r="AM6" s="4606"/>
      <c r="AN6" s="4606"/>
      <c r="AO6" s="4606"/>
      <c r="AP6" s="4606"/>
      <c r="AQ6" s="4606"/>
      <c r="AR6" s="4606"/>
      <c r="AS6" s="4606"/>
      <c r="AT6" s="4606"/>
      <c r="AU6" s="2131" t="s">
        <v>580</v>
      </c>
      <c r="AV6" s="4606"/>
      <c r="AW6" s="4606" t="s">
        <v>369</v>
      </c>
      <c r="AX6" s="4606" t="s">
        <v>83</v>
      </c>
      <c r="AY6" s="4607" t="s">
        <v>290</v>
      </c>
      <c r="AZ6" s="4649"/>
      <c r="BA6" s="4649"/>
      <c r="BB6" s="4606"/>
      <c r="BC6" s="4647"/>
      <c r="BD6" s="2007" t="s">
        <v>258</v>
      </c>
      <c r="BE6" s="2007" t="s">
        <v>385</v>
      </c>
      <c r="BF6" s="2007" t="s">
        <v>386</v>
      </c>
      <c r="BG6" s="2007" t="s">
        <v>387</v>
      </c>
      <c r="BH6" s="2007" t="s">
        <v>388</v>
      </c>
      <c r="BI6" s="2007" t="s">
        <v>389</v>
      </c>
      <c r="BJ6" s="2007" t="s">
        <v>107</v>
      </c>
      <c r="BK6" s="3381" t="s">
        <v>390</v>
      </c>
      <c r="BL6" s="4646"/>
      <c r="BM6" s="4657"/>
      <c r="BN6" s="4657"/>
      <c r="BO6" s="4657"/>
      <c r="BP6" s="4657"/>
      <c r="BQ6" s="4655"/>
      <c r="BR6" s="4652" t="s">
        <v>391</v>
      </c>
      <c r="BS6" s="4606" t="s">
        <v>392</v>
      </c>
      <c r="BT6" s="4606" t="s">
        <v>393</v>
      </c>
      <c r="BU6" s="4606" t="s">
        <v>1164</v>
      </c>
      <c r="BV6" s="4606" t="s">
        <v>395</v>
      </c>
      <c r="BW6" s="4606" t="s">
        <v>396</v>
      </c>
      <c r="BX6" s="4638" t="s">
        <v>397</v>
      </c>
      <c r="BY6" s="4638" t="s">
        <v>398</v>
      </c>
      <c r="BZ6" s="4638" t="s">
        <v>399</v>
      </c>
      <c r="CA6" s="4638" t="s">
        <v>400</v>
      </c>
      <c r="CB6" s="4638" t="s">
        <v>1154</v>
      </c>
      <c r="CC6" s="4638" t="s">
        <v>264</v>
      </c>
      <c r="CD6" s="4638" t="s">
        <v>397</v>
      </c>
      <c r="CE6" s="4638" t="s">
        <v>398</v>
      </c>
      <c r="CF6" s="4638" t="s">
        <v>399</v>
      </c>
      <c r="CG6" s="4638" t="s">
        <v>400</v>
      </c>
      <c r="CH6" s="4638" t="s">
        <v>1154</v>
      </c>
      <c r="CI6" s="4638" t="s">
        <v>264</v>
      </c>
      <c r="CJ6" s="4629"/>
      <c r="CK6" s="4629"/>
      <c r="CL6" s="4629"/>
      <c r="CM6" s="4629"/>
      <c r="CN6" s="4662"/>
      <c r="CO6" s="4661"/>
      <c r="CP6" s="4629"/>
      <c r="CQ6" s="4629"/>
      <c r="CR6" s="4629"/>
      <c r="CS6" s="4662"/>
      <c r="CT6" s="4622" t="s">
        <v>1607</v>
      </c>
      <c r="CU6" s="4622"/>
      <c r="CV6" s="4622"/>
      <c r="CW6" s="4622"/>
      <c r="CX6" s="4622" t="s">
        <v>1614</v>
      </c>
      <c r="CY6" s="4622"/>
      <c r="CZ6" s="4622"/>
      <c r="DA6" s="4622"/>
      <c r="DB6" s="4626" t="s">
        <v>1616</v>
      </c>
      <c r="DC6" s="4627"/>
      <c r="DD6" s="4627"/>
      <c r="DE6" s="4627"/>
      <c r="DF6" s="4628"/>
      <c r="DG6" s="4626" t="s">
        <v>1591</v>
      </c>
      <c r="DH6" s="4627"/>
      <c r="DI6" s="4627"/>
      <c r="DJ6" s="4627"/>
      <c r="DK6" s="4628"/>
      <c r="DL6" s="4626" t="s">
        <v>402</v>
      </c>
      <c r="DM6" s="4627"/>
      <c r="DN6" s="4627"/>
      <c r="DO6" s="4627"/>
      <c r="DP6" s="4627"/>
      <c r="DQ6" s="4627"/>
      <c r="DR6" s="4627"/>
      <c r="DS6" s="4627"/>
      <c r="DT6" s="4627"/>
      <c r="DU6" s="4627"/>
      <c r="DV6" s="4628"/>
      <c r="DW6" s="4622" t="s">
        <v>403</v>
      </c>
      <c r="DX6" s="4622"/>
      <c r="DY6" s="4622"/>
      <c r="DZ6" s="4622"/>
      <c r="EA6" s="4622" t="s">
        <v>404</v>
      </c>
      <c r="EB6" s="4622"/>
      <c r="EC6" s="4622"/>
      <c r="ED6" s="4622"/>
      <c r="EE6" s="4622" t="s">
        <v>405</v>
      </c>
      <c r="EF6" s="4622"/>
      <c r="EG6" s="4622"/>
      <c r="EH6" s="4622"/>
      <c r="EI6" s="4622" t="s">
        <v>406</v>
      </c>
      <c r="EJ6" s="4622"/>
      <c r="EK6" s="4622"/>
      <c r="EL6" s="4622"/>
      <c r="EM6" s="4629" t="s">
        <v>1615</v>
      </c>
      <c r="EN6" s="4629"/>
      <c r="EO6" s="4629"/>
      <c r="EP6" s="4629"/>
      <c r="EQ6" s="347">
        <f>0.5/COUNT(EM8:EP38)</f>
        <v>4.0322580645161289E-3</v>
      </c>
      <c r="EV6" s="866"/>
      <c r="EW6" s="971" t="s">
        <v>288</v>
      </c>
      <c r="EX6" s="772" t="s">
        <v>287</v>
      </c>
      <c r="EZ6" s="4624"/>
      <c r="FA6" s="4613"/>
      <c r="FB6" s="4631"/>
      <c r="FC6" s="760" t="s">
        <v>258</v>
      </c>
      <c r="FD6" s="753" t="s">
        <v>259</v>
      </c>
      <c r="FE6" s="753" t="s">
        <v>260</v>
      </c>
      <c r="FF6" s="753" t="s">
        <v>343</v>
      </c>
      <c r="FG6" s="753" t="s">
        <v>192</v>
      </c>
      <c r="FH6" s="761" t="s">
        <v>344</v>
      </c>
      <c r="FI6" s="4613"/>
      <c r="FJ6" s="4613"/>
      <c r="FK6" s="753" t="s">
        <v>267</v>
      </c>
      <c r="FL6" s="753" t="s">
        <v>268</v>
      </c>
      <c r="FM6" s="753" t="s">
        <v>269</v>
      </c>
      <c r="FN6" s="4604" t="s">
        <v>270</v>
      </c>
      <c r="FO6" s="4605"/>
      <c r="FP6" s="4604" t="s">
        <v>271</v>
      </c>
      <c r="FQ6" s="4605"/>
      <c r="FR6" s="761" t="s">
        <v>267</v>
      </c>
      <c r="FS6" s="761" t="s">
        <v>272</v>
      </c>
      <c r="FT6" s="761" t="s">
        <v>273</v>
      </c>
      <c r="FU6" s="763" t="s">
        <v>274</v>
      </c>
      <c r="FV6" s="761" t="s">
        <v>269</v>
      </c>
      <c r="FW6" s="4604" t="s">
        <v>270</v>
      </c>
      <c r="FX6" s="4605"/>
      <c r="FY6" s="4604" t="s">
        <v>407</v>
      </c>
      <c r="FZ6" s="4605"/>
      <c r="GA6" s="753" t="s">
        <v>277</v>
      </c>
      <c r="GB6" s="4618"/>
      <c r="GC6" s="4619"/>
      <c r="GD6" s="4618"/>
      <c r="GE6" s="4621"/>
      <c r="GF6" s="4619"/>
      <c r="GG6" s="4610"/>
      <c r="GH6" s="4611"/>
      <c r="GI6" s="753" t="str">
        <f>+'Plan mina ST'!AN41</f>
        <v>RCC c/chancar Modelo</v>
      </c>
      <c r="GK6" s="761" t="s">
        <v>267</v>
      </c>
      <c r="GL6" s="345" t="s">
        <v>408</v>
      </c>
      <c r="GM6" s="4604" t="s">
        <v>409</v>
      </c>
      <c r="GN6" s="4605"/>
      <c r="GO6" s="761" t="s">
        <v>267</v>
      </c>
      <c r="GP6" s="345" t="s">
        <v>410</v>
      </c>
      <c r="GQ6" s="4604" t="s">
        <v>411</v>
      </c>
      <c r="GR6" s="4615"/>
      <c r="GS6" s="762" t="s">
        <v>267</v>
      </c>
      <c r="GT6" s="753" t="s">
        <v>410</v>
      </c>
      <c r="GU6" s="282" t="s">
        <v>88</v>
      </c>
      <c r="GW6" s="762" t="s">
        <v>267</v>
      </c>
      <c r="GX6" s="753" t="s">
        <v>410</v>
      </c>
      <c r="GY6" s="282"/>
      <c r="GZ6" s="760" t="s">
        <v>258</v>
      </c>
      <c r="HA6" s="753" t="s">
        <v>259</v>
      </c>
      <c r="HB6" s="753" t="s">
        <v>260</v>
      </c>
      <c r="HC6" s="753" t="s">
        <v>343</v>
      </c>
      <c r="HD6" s="753" t="s">
        <v>192</v>
      </c>
      <c r="HE6" s="761" t="s">
        <v>344</v>
      </c>
      <c r="HF6" s="4613"/>
      <c r="HG6" s="4613"/>
      <c r="HH6" s="753" t="s">
        <v>267</v>
      </c>
      <c r="HI6" s="753" t="s">
        <v>268</v>
      </c>
      <c r="HJ6" s="753" t="s">
        <v>269</v>
      </c>
      <c r="HK6" s="4604" t="s">
        <v>270</v>
      </c>
      <c r="HL6" s="4605"/>
      <c r="HM6" s="4604" t="s">
        <v>271</v>
      </c>
      <c r="HN6" s="4605"/>
      <c r="HO6" s="761" t="s">
        <v>267</v>
      </c>
      <c r="HP6" s="761" t="s">
        <v>272</v>
      </c>
      <c r="HQ6" s="761" t="s">
        <v>273</v>
      </c>
      <c r="HR6" s="763" t="s">
        <v>274</v>
      </c>
      <c r="HS6" s="761" t="s">
        <v>269</v>
      </c>
      <c r="HT6" s="4604" t="s">
        <v>270</v>
      </c>
      <c r="HU6" s="4605"/>
      <c r="HV6" s="4604" t="s">
        <v>407</v>
      </c>
      <c r="HW6" s="4605"/>
      <c r="HX6" s="753" t="s">
        <v>277</v>
      </c>
      <c r="HY6" s="4618"/>
      <c r="HZ6" s="4619"/>
      <c r="IA6" s="4618"/>
      <c r="IB6" s="4621"/>
      <c r="IC6" s="4619"/>
      <c r="ID6" s="4610"/>
      <c r="IE6" s="4611"/>
      <c r="IF6" s="282"/>
    </row>
    <row r="7" spans="1:245" ht="14.25" customHeight="1" thickBot="1">
      <c r="A7" s="4648"/>
      <c r="B7" s="2139"/>
      <c r="C7" s="2139" t="s">
        <v>291</v>
      </c>
      <c r="D7" s="2139" t="s">
        <v>292</v>
      </c>
      <c r="E7" s="2139" t="s">
        <v>291</v>
      </c>
      <c r="F7" s="2139" t="s">
        <v>291</v>
      </c>
      <c r="G7" s="2139" t="s">
        <v>291</v>
      </c>
      <c r="H7" s="2139" t="s">
        <v>48</v>
      </c>
      <c r="I7" s="2139" t="s">
        <v>48</v>
      </c>
      <c r="J7" s="2139" t="s">
        <v>48</v>
      </c>
      <c r="K7" s="2139" t="s">
        <v>48</v>
      </c>
      <c r="L7" s="2139" t="s">
        <v>293</v>
      </c>
      <c r="M7" s="2139" t="s">
        <v>293</v>
      </c>
      <c r="N7" s="2139" t="s">
        <v>293</v>
      </c>
      <c r="O7" s="2139" t="s">
        <v>412</v>
      </c>
      <c r="P7" s="2139" t="s">
        <v>413</v>
      </c>
      <c r="Q7" s="2139" t="s">
        <v>414</v>
      </c>
      <c r="R7" s="2139" t="s">
        <v>192</v>
      </c>
      <c r="S7" s="2139" t="s">
        <v>412</v>
      </c>
      <c r="T7" s="2139" t="s">
        <v>413</v>
      </c>
      <c r="U7" s="2139" t="s">
        <v>414</v>
      </c>
      <c r="V7" s="2139" t="s">
        <v>192</v>
      </c>
      <c r="W7" s="2139" t="s">
        <v>295</v>
      </c>
      <c r="X7" s="2139" t="s">
        <v>296</v>
      </c>
      <c r="Y7" s="2139" t="s">
        <v>296</v>
      </c>
      <c r="Z7" s="2139" t="s">
        <v>296</v>
      </c>
      <c r="AA7" s="2139" t="s">
        <v>296</v>
      </c>
      <c r="AB7" s="2139" t="s">
        <v>415</v>
      </c>
      <c r="AC7" s="2139" t="s">
        <v>192</v>
      </c>
      <c r="AD7" s="2139" t="s">
        <v>416</v>
      </c>
      <c r="AE7" s="2140" t="s">
        <v>417</v>
      </c>
      <c r="AF7" s="2139" t="s">
        <v>192</v>
      </c>
      <c r="AG7" s="2140" t="s">
        <v>418</v>
      </c>
      <c r="AH7" s="2139" t="s">
        <v>419</v>
      </c>
      <c r="AI7" s="2139" t="s">
        <v>291</v>
      </c>
      <c r="AJ7" s="2139" t="s">
        <v>192</v>
      </c>
      <c r="AK7" s="2139" t="s">
        <v>420</v>
      </c>
      <c r="AL7" s="2139" t="s">
        <v>421</v>
      </c>
      <c r="AM7" s="2139" t="s">
        <v>422</v>
      </c>
      <c r="AN7" s="2139" t="s">
        <v>420</v>
      </c>
      <c r="AO7" s="2139" t="s">
        <v>421</v>
      </c>
      <c r="AP7" s="2139" t="s">
        <v>422</v>
      </c>
      <c r="AQ7" s="2139" t="s">
        <v>81</v>
      </c>
      <c r="AR7" s="2139">
        <v>2600</v>
      </c>
      <c r="AS7" s="2140"/>
      <c r="AT7" s="4638"/>
      <c r="AU7" s="2141"/>
      <c r="AV7" s="2139" t="s">
        <v>48</v>
      </c>
      <c r="AW7" s="2139" t="s">
        <v>28</v>
      </c>
      <c r="AX7" s="2139" t="s">
        <v>303</v>
      </c>
      <c r="AY7" s="2163" t="s">
        <v>305</v>
      </c>
      <c r="AZ7" s="2139" t="s">
        <v>423</v>
      </c>
      <c r="BA7" s="2139"/>
      <c r="BB7" s="2139" t="s">
        <v>121</v>
      </c>
      <c r="BC7" s="4648"/>
      <c r="BD7" s="2139"/>
      <c r="BE7" s="2139" t="s">
        <v>424</v>
      </c>
      <c r="BF7" s="2139" t="s">
        <v>424</v>
      </c>
      <c r="BG7" s="2139" t="s">
        <v>424</v>
      </c>
      <c r="BH7" s="2139" t="s">
        <v>424</v>
      </c>
      <c r="BI7" s="2139" t="s">
        <v>424</v>
      </c>
      <c r="BJ7" s="2139" t="s">
        <v>424</v>
      </c>
      <c r="BK7" s="2163"/>
      <c r="BL7" s="3406" t="s">
        <v>1624</v>
      </c>
      <c r="BM7" s="3407" t="s">
        <v>1625</v>
      </c>
      <c r="BN7" s="3407" t="s">
        <v>1625</v>
      </c>
      <c r="BO7" s="3407" t="s">
        <v>1625</v>
      </c>
      <c r="BP7" s="3407" t="s">
        <v>1625</v>
      </c>
      <c r="BQ7" s="3408" t="s">
        <v>1625</v>
      </c>
      <c r="BR7" s="4653"/>
      <c r="BS7" s="4638"/>
      <c r="BT7" s="4638"/>
      <c r="BU7" s="4638"/>
      <c r="BV7" s="4638"/>
      <c r="BW7" s="4638"/>
      <c r="BX7" s="4651"/>
      <c r="BY7" s="4651"/>
      <c r="BZ7" s="4651"/>
      <c r="CA7" s="4650"/>
      <c r="CB7" s="4650"/>
      <c r="CC7" s="4650"/>
      <c r="CD7" s="4651"/>
      <c r="CE7" s="4651"/>
      <c r="CF7" s="4651"/>
      <c r="CG7" s="4650"/>
      <c r="CH7" s="4650"/>
      <c r="CI7" s="4650"/>
      <c r="CJ7" s="3340" t="s">
        <v>425</v>
      </c>
      <c r="CK7" s="2139" t="s">
        <v>426</v>
      </c>
      <c r="CL7" s="2139" t="s">
        <v>427</v>
      </c>
      <c r="CM7" s="2139" t="s">
        <v>428</v>
      </c>
      <c r="CN7" s="2139" t="s">
        <v>344</v>
      </c>
      <c r="CO7" s="2139" t="s">
        <v>425</v>
      </c>
      <c r="CP7" s="2139" t="s">
        <v>426</v>
      </c>
      <c r="CQ7" s="2139" t="s">
        <v>427</v>
      </c>
      <c r="CR7" s="2139" t="s">
        <v>428</v>
      </c>
      <c r="CS7" s="2139" t="s">
        <v>344</v>
      </c>
      <c r="CT7" s="2139" t="s">
        <v>346</v>
      </c>
      <c r="CU7" s="2139" t="s">
        <v>347</v>
      </c>
      <c r="CV7" s="2139" t="s">
        <v>348</v>
      </c>
      <c r="CW7" s="2139" t="s">
        <v>349</v>
      </c>
      <c r="CX7" s="2139" t="s">
        <v>425</v>
      </c>
      <c r="CY7" s="2139" t="s">
        <v>426</v>
      </c>
      <c r="CZ7" s="2139" t="s">
        <v>427</v>
      </c>
      <c r="DA7" s="2139" t="str">
        <f>+CM7</f>
        <v>LINEA 4</v>
      </c>
      <c r="DB7" s="2139" t="s">
        <v>425</v>
      </c>
      <c r="DC7" s="2139" t="s">
        <v>426</v>
      </c>
      <c r="DD7" s="2139" t="s">
        <v>427</v>
      </c>
      <c r="DE7" s="2139" t="str">
        <f>+CW7</f>
        <v>SAG4</v>
      </c>
      <c r="DF7" s="2139" t="s">
        <v>344</v>
      </c>
      <c r="DG7" s="2139" t="s">
        <v>425</v>
      </c>
      <c r="DH7" s="2139" t="s">
        <v>426</v>
      </c>
      <c r="DI7" s="2139" t="s">
        <v>427</v>
      </c>
      <c r="DJ7" s="2139" t="str">
        <f>+DB7</f>
        <v>LINEA 1</v>
      </c>
      <c r="DK7" s="2139" t="s">
        <v>344</v>
      </c>
      <c r="DL7" s="2139" t="s">
        <v>346</v>
      </c>
      <c r="DM7" s="2139" t="s">
        <v>347</v>
      </c>
      <c r="DN7" s="2139" t="s">
        <v>348</v>
      </c>
      <c r="DO7" s="2139" t="s">
        <v>429</v>
      </c>
      <c r="DP7" s="2139" t="s">
        <v>430</v>
      </c>
      <c r="DQ7" s="2139" t="s">
        <v>431</v>
      </c>
      <c r="DR7" s="2139" t="s">
        <v>432</v>
      </c>
      <c r="DS7" s="2139" t="s">
        <v>433</v>
      </c>
      <c r="DT7" s="2139" t="s">
        <v>434</v>
      </c>
      <c r="DU7" s="2139" t="s">
        <v>435</v>
      </c>
      <c r="DV7" s="2139" t="s">
        <v>436</v>
      </c>
      <c r="DW7" s="2139" t="s">
        <v>346</v>
      </c>
      <c r="DX7" s="2139" t="s">
        <v>347</v>
      </c>
      <c r="DY7" s="2139" t="s">
        <v>348</v>
      </c>
      <c r="DZ7" s="2139" t="s">
        <v>349</v>
      </c>
      <c r="EA7" s="2139" t="s">
        <v>346</v>
      </c>
      <c r="EB7" s="2139" t="s">
        <v>347</v>
      </c>
      <c r="EC7" s="2139" t="s">
        <v>348</v>
      </c>
      <c r="ED7" s="2139" t="s">
        <v>349</v>
      </c>
      <c r="EE7" s="2139" t="s">
        <v>346</v>
      </c>
      <c r="EF7" s="2139" t="s">
        <v>347</v>
      </c>
      <c r="EG7" s="2139" t="s">
        <v>348</v>
      </c>
      <c r="EH7" s="2139" t="s">
        <v>349</v>
      </c>
      <c r="EI7" s="2139" t="s">
        <v>346</v>
      </c>
      <c r="EJ7" s="2139" t="s">
        <v>347</v>
      </c>
      <c r="EK7" s="2139" t="s">
        <v>348</v>
      </c>
      <c r="EL7" s="2139" t="s">
        <v>349</v>
      </c>
      <c r="EM7" s="2139" t="s">
        <v>346</v>
      </c>
      <c r="EN7" s="2139" t="s">
        <v>347</v>
      </c>
      <c r="EO7" s="2139" t="s">
        <v>348</v>
      </c>
      <c r="EP7" s="2139" t="s">
        <v>349</v>
      </c>
      <c r="EQ7" s="2163" t="s">
        <v>1590</v>
      </c>
      <c r="ER7" s="771" t="s">
        <v>1692</v>
      </c>
      <c r="ES7" s="771"/>
      <c r="EV7" s="972" t="s">
        <v>304</v>
      </c>
      <c r="EW7" s="973">
        <f>Factores!$D$9</f>
        <v>2.899</v>
      </c>
      <c r="EX7" s="973">
        <f>Factores!$F$9</f>
        <v>2.899</v>
      </c>
      <c r="EZ7" s="4625"/>
      <c r="FA7" s="4614"/>
      <c r="FB7" s="4632"/>
      <c r="FC7" s="761"/>
      <c r="FD7" s="753" t="s">
        <v>291</v>
      </c>
      <c r="FE7" s="753" t="s">
        <v>292</v>
      </c>
      <c r="FF7" s="753" t="s">
        <v>291</v>
      </c>
      <c r="FG7" s="753" t="s">
        <v>292</v>
      </c>
      <c r="FH7" s="753" t="s">
        <v>48</v>
      </c>
      <c r="FI7" s="4614"/>
      <c r="FJ7" s="4614"/>
      <c r="FK7" s="753" t="s">
        <v>293</v>
      </c>
      <c r="FL7" s="753" t="s">
        <v>293</v>
      </c>
      <c r="FM7" s="753" t="s">
        <v>293</v>
      </c>
      <c r="FN7" s="753" t="s">
        <v>291</v>
      </c>
      <c r="FO7" s="753" t="s">
        <v>192</v>
      </c>
      <c r="FP7" s="753" t="s">
        <v>294</v>
      </c>
      <c r="FQ7" s="753" t="s">
        <v>192</v>
      </c>
      <c r="FR7" s="753" t="s">
        <v>295</v>
      </c>
      <c r="FS7" s="753" t="s">
        <v>296</v>
      </c>
      <c r="FT7" s="753" t="s">
        <v>296</v>
      </c>
      <c r="FU7" s="753" t="s">
        <v>296</v>
      </c>
      <c r="FV7" s="753" t="s">
        <v>296</v>
      </c>
      <c r="FW7" s="753" t="s">
        <v>291</v>
      </c>
      <c r="FX7" s="753" t="s">
        <v>192</v>
      </c>
      <c r="FY7" s="753" t="s">
        <v>28</v>
      </c>
      <c r="FZ7" s="762" t="s">
        <v>192</v>
      </c>
      <c r="GA7" s="761" t="s">
        <v>28</v>
      </c>
      <c r="GB7" s="346" t="s">
        <v>291</v>
      </c>
      <c r="GC7" s="761" t="s">
        <v>192</v>
      </c>
      <c r="GD7" s="753" t="s">
        <v>420</v>
      </c>
      <c r="GE7" s="753" t="s">
        <v>421</v>
      </c>
      <c r="GF7" s="753" t="s">
        <v>422</v>
      </c>
      <c r="GG7" s="771" t="s">
        <v>437</v>
      </c>
      <c r="GH7" s="970" t="s">
        <v>438</v>
      </c>
      <c r="GI7" s="753"/>
      <c r="GK7" s="753" t="s">
        <v>439</v>
      </c>
      <c r="GL7" s="753" t="s">
        <v>424</v>
      </c>
      <c r="GM7" s="1570" t="s">
        <v>440</v>
      </c>
      <c r="GN7" s="1570" t="s">
        <v>192</v>
      </c>
      <c r="GO7" s="753" t="s">
        <v>441</v>
      </c>
      <c r="GP7" s="753" t="s">
        <v>424</v>
      </c>
      <c r="GQ7" s="753" t="s">
        <v>440</v>
      </c>
      <c r="GR7" s="762" t="s">
        <v>192</v>
      </c>
      <c r="GS7" s="753" t="s">
        <v>379</v>
      </c>
      <c r="GT7" s="753" t="s">
        <v>442</v>
      </c>
      <c r="GU7" s="282"/>
      <c r="GW7" s="753" t="s">
        <v>380</v>
      </c>
      <c r="GX7" s="753" t="s">
        <v>443</v>
      </c>
      <c r="GY7" s="282"/>
      <c r="GZ7" s="761"/>
      <c r="HA7" s="753" t="s">
        <v>291</v>
      </c>
      <c r="HB7" s="753" t="s">
        <v>292</v>
      </c>
      <c r="HC7" s="753" t="s">
        <v>291</v>
      </c>
      <c r="HD7" s="753" t="s">
        <v>292</v>
      </c>
      <c r="HE7" s="753" t="s">
        <v>48</v>
      </c>
      <c r="HF7" s="4614"/>
      <c r="HG7" s="4614"/>
      <c r="HH7" s="753" t="s">
        <v>293</v>
      </c>
      <c r="HI7" s="753" t="s">
        <v>293</v>
      </c>
      <c r="HJ7" s="753" t="s">
        <v>293</v>
      </c>
      <c r="HK7" s="753" t="s">
        <v>291</v>
      </c>
      <c r="HL7" s="753" t="s">
        <v>192</v>
      </c>
      <c r="HM7" s="753" t="s">
        <v>294</v>
      </c>
      <c r="HN7" s="753" t="s">
        <v>192</v>
      </c>
      <c r="HO7" s="753" t="s">
        <v>295</v>
      </c>
      <c r="HP7" s="753" t="s">
        <v>296</v>
      </c>
      <c r="HQ7" s="753" t="s">
        <v>296</v>
      </c>
      <c r="HR7" s="753" t="s">
        <v>296</v>
      </c>
      <c r="HS7" s="753" t="s">
        <v>296</v>
      </c>
      <c r="HT7" s="753" t="s">
        <v>291</v>
      </c>
      <c r="HU7" s="753" t="s">
        <v>192</v>
      </c>
      <c r="HV7" s="753" t="s">
        <v>28</v>
      </c>
      <c r="HW7" s="762" t="s">
        <v>192</v>
      </c>
      <c r="HX7" s="761" t="s">
        <v>28</v>
      </c>
      <c r="HY7" s="346" t="s">
        <v>291</v>
      </c>
      <c r="HZ7" s="761" t="s">
        <v>192</v>
      </c>
      <c r="IA7" s="753" t="s">
        <v>420</v>
      </c>
      <c r="IB7" s="753" t="s">
        <v>421</v>
      </c>
      <c r="IC7" s="753" t="s">
        <v>422</v>
      </c>
      <c r="ID7" s="771" t="s">
        <v>437</v>
      </c>
      <c r="IE7" s="970" t="s">
        <v>438</v>
      </c>
      <c r="IF7" s="771" t="s">
        <v>1875</v>
      </c>
      <c r="IG7" s="771" t="s">
        <v>1876</v>
      </c>
      <c r="IH7" s="771" t="s">
        <v>1878</v>
      </c>
      <c r="II7" s="4238" t="s">
        <v>1877</v>
      </c>
      <c r="IJ7" s="771" t="s">
        <v>25</v>
      </c>
      <c r="IK7" s="4238" t="s">
        <v>1879</v>
      </c>
    </row>
    <row r="8" spans="1:245" s="744" customFormat="1" ht="14.25" customHeight="1">
      <c r="A8" s="4635" t="s">
        <v>326</v>
      </c>
      <c r="B8" s="2359">
        <f>E2</f>
        <v>46082.791666666664</v>
      </c>
      <c r="C8" s="2360">
        <f>+'Plan mina ST'!N43*1000</f>
        <v>180000.00000031578</v>
      </c>
      <c r="D8" s="2360">
        <f>+'Plan mina ST'!M43*1000</f>
        <v>594977.85440768779</v>
      </c>
      <c r="E8" s="2134">
        <f>(('Plan mina ST'!O43*1000))</f>
        <v>92511.072796314038</v>
      </c>
      <c r="F8" s="2360">
        <f>+'Plan mina ST'!J43*1000</f>
        <v>19242.337947705022</v>
      </c>
      <c r="G8" s="2360">
        <f>+E8-F8</f>
        <v>73268.73484860902</v>
      </c>
      <c r="H8" s="2361">
        <f>CC8</f>
        <v>96.110179216895176</v>
      </c>
      <c r="I8" s="2361">
        <f>CA8</f>
        <v>94.254365423489133</v>
      </c>
      <c r="J8" s="2361">
        <f>+SUMPRODUCT(H8:I8,$H$4:$I$4)</f>
        <v>95.768319758011856</v>
      </c>
      <c r="K8" s="2361">
        <f>+'Plan mina ST'!AM6*100</f>
        <v>94.870521971407754</v>
      </c>
      <c r="L8" s="2528">
        <f>'Plan mina ST'!D6</f>
        <v>0.53577266948079771</v>
      </c>
      <c r="M8" s="2135">
        <f>'Plan mina ST'!C6</f>
        <v>91.062827037611598</v>
      </c>
      <c r="N8" s="2136">
        <f>'Plan mina ST'!B6</f>
        <v>30.850432592347524</v>
      </c>
      <c r="O8" s="2134">
        <f t="shared" ref="O8:O22" si="1">+IF(ISNUMBER(E8*L8*M8/N8/100),E8*L8*M8/N8/100,"0")</f>
        <v>1463.0330727479554</v>
      </c>
      <c r="P8" s="2134">
        <f t="shared" ref="P8:P22" si="2">+IF(ISNUMBER(G8*L8*M8/N8/100),G8*L8*M8/N8/100,"0")</f>
        <v>1158.7216431694721</v>
      </c>
      <c r="Q8" s="2134">
        <f t="shared" ref="Q8:Q35" si="3">+F8*L8*M8/N8/100</f>
        <v>304.31142957848334</v>
      </c>
      <c r="R8" s="2360">
        <f>+O8</f>
        <v>1463.0330727479554</v>
      </c>
      <c r="S8" s="2134">
        <f t="shared" ref="S8:S22" si="4">O8*N8/100</f>
        <v>451.35203191185872</v>
      </c>
      <c r="T8" s="2134">
        <f t="shared" ref="T8:T22" si="5">+P8*N8/100</f>
        <v>357.47063945893962</v>
      </c>
      <c r="U8" s="2134">
        <f t="shared" ref="U8:U22" si="6">+IF(ISNUMBER(Q8*N8/100),Q8*N8/100,"0")</f>
        <v>93.881392452919101</v>
      </c>
      <c r="V8" s="2360">
        <f>+S8</f>
        <v>451.35203191185872</v>
      </c>
      <c r="W8" s="2134">
        <f>+'Plan mina ST'!E6</f>
        <v>275.37082353416963</v>
      </c>
      <c r="X8" s="2135">
        <f>IF(W8&gt;0,$X$2*LN(W8)+$X$3,$X$2*LN(W8)+$X$3)-$X$4</f>
        <v>93.159809382314791</v>
      </c>
      <c r="Y8" s="2135">
        <f>(IF(W8&gt;0,$Y$2*LN(W8)+$Y$3,$Y$2*LN(W8)+$Y$3))</f>
        <v>90.271815538576988</v>
      </c>
      <c r="Z8" s="2135">
        <f>+X8*Y8/100</f>
        <v>84.097051281693155</v>
      </c>
      <c r="AA8" s="2362">
        <v>50</v>
      </c>
      <c r="AB8" s="2134">
        <f t="shared" ref="AB8:AB22" si="7">+AE8/(AA8/100)</f>
        <v>42.847195844731772</v>
      </c>
      <c r="AC8" s="2360">
        <f>+AB8</f>
        <v>42.847195844731772</v>
      </c>
      <c r="AD8" s="2134">
        <f>+AG8/0.5</f>
        <v>40</v>
      </c>
      <c r="AE8" s="2134">
        <f t="shared" ref="AE8:AE22" si="8">+E8*W8*Z8/100000000</f>
        <v>21.423597922365886</v>
      </c>
      <c r="AF8" s="2134">
        <f>+AE8</f>
        <v>21.423597922365886</v>
      </c>
      <c r="AG8" s="2134">
        <v>20</v>
      </c>
      <c r="AH8" s="2134">
        <f>+AH4+AE8-AG8</f>
        <v>301.4235979223659</v>
      </c>
      <c r="AI8" s="2134">
        <f t="shared" ref="AI8:AI35" si="9">+S8+AE8*$EW$7</f>
        <v>513.45904228879738</v>
      </c>
      <c r="AJ8" s="2134">
        <f>+AI8</f>
        <v>513.45904228879738</v>
      </c>
      <c r="AK8" s="2134">
        <f>'Envíos STC 2800'!G4</f>
        <v>0</v>
      </c>
      <c r="AL8" s="2136">
        <v>0</v>
      </c>
      <c r="AM8" s="2134">
        <f t="shared" ref="AM8:AM22" si="10">IF(ISNUMBER(AK8*AL8/100),AK8*AL8/100,"---")</f>
        <v>0</v>
      </c>
      <c r="AN8" s="3914">
        <v>1838</v>
      </c>
      <c r="AO8" s="2136">
        <v>29.5</v>
      </c>
      <c r="AP8" s="2134">
        <f>IF(ISNUMBER(AN8*AO8/100),AN8*AO8/100,"---")</f>
        <v>542.21</v>
      </c>
      <c r="AQ8" s="2134">
        <f t="shared" ref="AQ8:AQ22" si="11">+AZ8</f>
        <v>2.7116778721907995</v>
      </c>
      <c r="AR8" s="2134">
        <f>+AR7+S8-AP8</f>
        <v>2509.1420319118588</v>
      </c>
      <c r="AS8" s="2134">
        <f>+O8-AK8</f>
        <v>1463.0330727479554</v>
      </c>
      <c r="AT8" s="2136">
        <f>+'Recalculos ST'!E9</f>
        <v>36.675380974817763</v>
      </c>
      <c r="AU8" s="2134">
        <f>+'MCP ST'!V2</f>
        <v>96.378941330274941</v>
      </c>
      <c r="AV8" s="3973">
        <f>+Factores!$D$24</f>
        <v>0.96199999999999997</v>
      </c>
      <c r="AW8" s="2360">
        <f>IFERROR(AP8*AV8,"0")</f>
        <v>521.60602000000006</v>
      </c>
      <c r="AX8" s="2376">
        <f>'Plan mina ST'!AK6/25.4</f>
        <v>4.3620638704608554</v>
      </c>
      <c r="AY8" s="2717">
        <f>+'Recalculos ST'!AK9</f>
        <v>184.47362349912126</v>
      </c>
      <c r="AZ8" s="2364">
        <f>'Plan mina ST'!O6*BA8/1000000*0.79</f>
        <v>2.7116778721907995</v>
      </c>
      <c r="BA8" s="2363">
        <f>+E8/12</f>
        <v>7709.2560663595032</v>
      </c>
      <c r="BB8" s="2364">
        <f>'Plan mina ST'!O6*'ST Original'!BT8/1000000*0.8</f>
        <v>2.8713275046124296</v>
      </c>
      <c r="BC8" s="4639" t="s">
        <v>326</v>
      </c>
      <c r="BD8" s="2365">
        <f t="shared" ref="BD8:BD38" si="12">B8</f>
        <v>46082.791666666664</v>
      </c>
      <c r="BE8" s="2149">
        <f>'Plan mina ST'!J6</f>
        <v>4.6199791034031754E-2</v>
      </c>
      <c r="BF8" s="2150">
        <f>BE8*$BF$4</f>
        <v>1.5985868403270647</v>
      </c>
      <c r="BG8" s="2151">
        <f>'Plan mina ST'!K6</f>
        <v>1.4813892882876376</v>
      </c>
      <c r="BH8" s="2150">
        <f>BG8*$BH$4</f>
        <v>51.258444435683245</v>
      </c>
      <c r="BI8" s="2151">
        <f>'Plan mina ST'!V6</f>
        <v>13.340934941070996</v>
      </c>
      <c r="BJ8" s="2152">
        <f>BI8*$BJ$4</f>
        <v>600.34207234819485</v>
      </c>
      <c r="BK8" s="3395">
        <f>'Plan mina ST'!AI6</f>
        <v>1.967079068207177</v>
      </c>
      <c r="BL8" s="3399">
        <f>'Recalculos ST'!T9</f>
        <v>6.2477835561344701</v>
      </c>
      <c r="BM8" s="3391">
        <f>BL8*(BU8*BX8/100)/1000</f>
        <v>12.720172192175502</v>
      </c>
      <c r="BN8" s="3391">
        <f>BL8*(BV8*BY8/100)/1000</f>
        <v>12.720172192175502</v>
      </c>
      <c r="BO8" s="3391">
        <f>BL8*(BW8*BZ8/100)/1000</f>
        <v>12.720172192175502</v>
      </c>
      <c r="BP8" s="3391">
        <f>SUM(BM8:BO8)</f>
        <v>38.160516576526504</v>
      </c>
      <c r="BQ8" s="3400">
        <f>BL8*1.4*(BS8*CA8/100)/1000</f>
        <v>14.030767432226906</v>
      </c>
      <c r="BR8" s="3397">
        <f>+IF(ISNUMBER(G8/H8/12*100),(G8/H8/12*100),"0")</f>
        <v>6352.8420754181961</v>
      </c>
      <c r="BS8" s="2137">
        <f>+IFERROR(F8/((12-EP8)*I8%),0)</f>
        <v>1701.8682679652975</v>
      </c>
      <c r="BT8" s="3344">
        <f>+IFERROR(E8/((12-EQ8)*J8%),0)</f>
        <v>8061.0981563547739</v>
      </c>
      <c r="BU8" s="3345">
        <f>+IFERROR(($G8*(12-EM8)*BX8%/((12-$EM8)*$BX8%+(12-$EN8)*$BY8%+(12-$EO8)*$BZ8%))/((12-EM8)*BX8%),0)</f>
        <v>2118.3495631821693</v>
      </c>
      <c r="BV8" s="3345">
        <f>+IFERROR(($G8*(12-EN8)*BY8%/((12-$EM8)*$BX8%+(12-$EN8)*$BY8%+(12-$EO8)*$BZ8%))/((12-EN8)*BY8%),0)</f>
        <v>2118.3495631821693</v>
      </c>
      <c r="BW8" s="3345">
        <f>+IFERROR(($G8*(12-EO8)*BZ8%/((12-$EM8)*$BX8%+(12-$EN8)*$BY8%+(12-$EO8)*$BZ8%))/((12-EO8)*BZ8%),0)</f>
        <v>2118.3495631821693</v>
      </c>
      <c r="BX8" s="3346">
        <f>CO8/(12*DL$3-EM8)*100</f>
        <v>96.110179216895204</v>
      </c>
      <c r="BY8" s="3346">
        <f>CP8/(12*DM$3-EN8)*100</f>
        <v>96.110179216895204</v>
      </c>
      <c r="BZ8" s="3346">
        <f>CQ8/(12*DN$3-EO8)*100</f>
        <v>96.110179216895204</v>
      </c>
      <c r="CA8" s="3346">
        <f>CR8/(12*DO$3-EP8)*100</f>
        <v>94.254365423489133</v>
      </c>
      <c r="CB8" s="3346">
        <f>CS8/(12-EQ8)*100</f>
        <v>95.768489568845609</v>
      </c>
      <c r="CC8" s="3623">
        <f>SUM(CO8:CQ8)/(12*SUM(DL$3:DN$3)-SUM(EM8:EO8))*100</f>
        <v>96.110179216895176</v>
      </c>
      <c r="CD8" s="3348">
        <f>CJ8/(12*DL$3-EM8)*100</f>
        <v>97.772246644669423</v>
      </c>
      <c r="CE8" s="3348">
        <f>CK8/(12*DM$3-EN8)*100</f>
        <v>97.772246644669423</v>
      </c>
      <c r="CF8" s="3348">
        <f>CL8/(12*DN$3-EO8)*100</f>
        <v>97.772246644669423</v>
      </c>
      <c r="CG8" s="3348">
        <f>CM8/(12*DO$3-EP8)*100</f>
        <v>96.709396802567142</v>
      </c>
      <c r="CH8" s="3346">
        <f>CN8/(12-EQ8)*100</f>
        <v>97.576556328233664</v>
      </c>
      <c r="CI8" s="3347">
        <f>SUM(CJ8:CL8)/(12*3-SUM(EM8:EO8))*100</f>
        <v>26.562481417158736</v>
      </c>
      <c r="CJ8" s="3349">
        <f>12*DL$3-EM8-DB8</f>
        <v>3.186391</v>
      </c>
      <c r="CK8" s="3350">
        <f>12*DM$3-EN8-DC8</f>
        <v>3.186391</v>
      </c>
      <c r="CL8" s="3350">
        <f>12*DN$3-EO8-DD8</f>
        <v>3.186391</v>
      </c>
      <c r="CM8" s="3351">
        <f>12*DO$3-EP8-DE8</f>
        <v>2.1337510000000002</v>
      </c>
      <c r="CN8" s="3760">
        <f>12-$EQ8-DF8</f>
        <v>11.692924</v>
      </c>
      <c r="CO8" s="3349">
        <f>12*DL$3-EM8-DG8</f>
        <v>3.1322243333333333</v>
      </c>
      <c r="CP8" s="3350">
        <f>12*DM$3-EN8-DH8</f>
        <v>3.1322243333333333</v>
      </c>
      <c r="CQ8" s="3350">
        <f>12*DN$3-EO8-DI8</f>
        <v>3.1322243333333333</v>
      </c>
      <c r="CR8" s="3351">
        <f>12*DO$3-EP8-DJ8</f>
        <v>2.0795843333333335</v>
      </c>
      <c r="CS8" s="3761">
        <f>12-$EQ8-DK8</f>
        <v>11.476257333333333</v>
      </c>
      <c r="CT8" s="3352">
        <f>(12-$EQ8)*DL$3</f>
        <v>3.2586278333333332</v>
      </c>
      <c r="CU8" s="2366">
        <f>(12-$EQ8)*DM$3</f>
        <v>3.2586278333333332</v>
      </c>
      <c r="CV8" s="2366">
        <f>(12-$EQ8)*DN$3</f>
        <v>3.2586278333333332</v>
      </c>
      <c r="CW8" s="3353">
        <f>(12-$EQ8)*DO$3</f>
        <v>2.2074498333333334</v>
      </c>
      <c r="CX8" s="3349">
        <f>DL8*DL$3+IF(DL8&gt;=DP8,0,(DP8-DL8)*DP$3)+IF(DL8&gt;=DQ8,0,(DQ8-DL8)*DQ$3)</f>
        <v>0</v>
      </c>
      <c r="CY8" s="3350">
        <f>DM8*DM$3+IF(DM8&gt;=DR8,0,(DR8-DM8)*DR$3)+IF(DM8&gt;=DS8,0,(DS8-DM8)*DS$3)</f>
        <v>0</v>
      </c>
      <c r="CZ8" s="3355">
        <f>DN8*DN$3+IF(DN8&gt;=DT8,0,(DT8-DN8)*DT$3)+IF(DN8&gt;=DU8,0,(DU8-DN8)*DU$3)</f>
        <v>0</v>
      </c>
      <c r="DA8" s="3351">
        <f>DO8*DO$3+IF(DO8&gt;=DV8,0,(DV8-DO8)*DV$3)</f>
        <v>0</v>
      </c>
      <c r="DB8" s="3349">
        <f>+CX8+DW8</f>
        <v>7.2602333333333338E-2</v>
      </c>
      <c r="DC8" s="3350">
        <f>+CY8+DX8</f>
        <v>7.2602333333333338E-2</v>
      </c>
      <c r="DD8" s="3350">
        <f>+CZ8+DY8</f>
        <v>7.2602333333333338E-2</v>
      </c>
      <c r="DE8" s="3351">
        <f>+DA8+DZ8</f>
        <v>7.2602333333333338E-2</v>
      </c>
      <c r="DF8" s="3351">
        <f>SUM(DB8:DE8)</f>
        <v>0.29040933333333335</v>
      </c>
      <c r="DG8" s="3349">
        <f>+DB8+EE8+EI8</f>
        <v>0.12676900000000002</v>
      </c>
      <c r="DH8" s="3350">
        <f>+DC8+EF8+EJ8</f>
        <v>0.12676900000000002</v>
      </c>
      <c r="DI8" s="3350">
        <f>+DD8+EG8+EK8</f>
        <v>0.12676900000000002</v>
      </c>
      <c r="DJ8" s="3351">
        <f>+DE8+EH8+EL8</f>
        <v>0.12676900000000002</v>
      </c>
      <c r="DK8" s="3351">
        <f>SUM(DG8:DJ8)</f>
        <v>0.50707600000000008</v>
      </c>
      <c r="DL8" s="2363">
        <v>0</v>
      </c>
      <c r="DM8" s="2363">
        <v>0</v>
      </c>
      <c r="DN8" s="2363">
        <v>0</v>
      </c>
      <c r="DO8" s="2363">
        <v>0</v>
      </c>
      <c r="DP8" s="2363">
        <v>0</v>
      </c>
      <c r="DQ8" s="2363">
        <v>0</v>
      </c>
      <c r="DR8" s="2363">
        <v>0</v>
      </c>
      <c r="DS8" s="2363">
        <v>0</v>
      </c>
      <c r="DT8" s="2363">
        <v>0</v>
      </c>
      <c r="DU8" s="2363">
        <v>0</v>
      </c>
      <c r="DV8" s="2363">
        <v>0</v>
      </c>
      <c r="DW8" s="2578">
        <f>+IF(DL8=12,0,$DW$4)</f>
        <v>7.2602333333333338E-2</v>
      </c>
      <c r="DX8" s="2578">
        <f>+IF(DM8=12,0,$DW$4)</f>
        <v>7.2602333333333338E-2</v>
      </c>
      <c r="DY8" s="2578">
        <f>+IF(DN8=12,0,$DW$4)</f>
        <v>7.2602333333333338E-2</v>
      </c>
      <c r="DZ8" s="2578">
        <f>+IF(DO8=12,0,$DW$4)</f>
        <v>7.2602333333333338E-2</v>
      </c>
      <c r="EA8" s="2578">
        <f>+IF(DL8=12,0,$EA$4)</f>
        <v>0</v>
      </c>
      <c r="EB8" s="2578">
        <f>+IF(DM8=12,0,$EA$4)</f>
        <v>0</v>
      </c>
      <c r="EC8" s="2578">
        <f>+IF(DN8=12,0,$EA$4)</f>
        <v>0</v>
      </c>
      <c r="ED8" s="2578">
        <f>+IF(DO8=12,0,$EA$4)</f>
        <v>0</v>
      </c>
      <c r="EE8" s="2578">
        <f>+IF(DL8=12,0,$EE$4)</f>
        <v>0.05</v>
      </c>
      <c r="EF8" s="2578">
        <f>+IF(DM8=12,0,$EE$4)</f>
        <v>0.05</v>
      </c>
      <c r="EG8" s="2578">
        <f>+IF(DN8=12,0,$EE$4)</f>
        <v>0.05</v>
      </c>
      <c r="EH8" s="2579">
        <f>+IF(DO8=12,0,$EE$4)</f>
        <v>0.05</v>
      </c>
      <c r="EI8" s="2578">
        <f>+IF(DL8=12,0,$EI$4)</f>
        <v>4.1666666666666666E-3</v>
      </c>
      <c r="EJ8" s="2578">
        <f>+IF(DM8=12,0,$EI$4)</f>
        <v>4.1666666666666666E-3</v>
      </c>
      <c r="EK8" s="2578">
        <f>+IF(DN8=12,0,$EI$4)</f>
        <v>4.1666666666666666E-3</v>
      </c>
      <c r="EL8" s="2578">
        <f>+IF(DO8=12,0,$EI$4)</f>
        <v>4.1666666666666666E-3</v>
      </c>
      <c r="EM8" s="3341">
        <f>+IF(DL8=12,0,$EM$4)</f>
        <v>4.1666666666666666E-3</v>
      </c>
      <c r="EN8" s="3341">
        <f>+IF(DM8=12,0,$EM$4)</f>
        <v>4.1666666666666666E-3</v>
      </c>
      <c r="EO8" s="3341">
        <f>+IF(DN8=12,0,$EM$4)</f>
        <v>4.1666666666666666E-3</v>
      </c>
      <c r="EP8" s="3341">
        <f>+IF(DO8=12,0,$EM$4)</f>
        <v>4.1666666666666666E-3</v>
      </c>
      <c r="EQ8" s="3319">
        <f>SUM(EM8:EP8)</f>
        <v>1.6666666666666666E-2</v>
      </c>
      <c r="ER8" s="809">
        <f>+'MCP ST'!H2</f>
        <v>1.0554056551111879</v>
      </c>
      <c r="ES8" s="4236">
        <f>+EQ8+DF8</f>
        <v>0.30707600000000002</v>
      </c>
      <c r="EV8" s="866" t="s">
        <v>444</v>
      </c>
      <c r="EW8" s="866">
        <f>Factores!$D$7</f>
        <v>0.96199999999999997</v>
      </c>
      <c r="EX8" s="866">
        <f>Factores!$F$7</f>
        <v>0.96199999999999997</v>
      </c>
      <c r="EZ8" s="2154">
        <f>+'Plan mina ST'!AM6</f>
        <v>0.94870521971407751</v>
      </c>
      <c r="FA8" s="2069">
        <f>IF($FC8&lt;=Factores!$D$3,AX8,"")</f>
        <v>4.3620638704608554</v>
      </c>
      <c r="FB8" s="2068" t="s">
        <v>326</v>
      </c>
      <c r="FC8" s="2070">
        <f t="shared" ref="FC8:FC38" si="13">B8</f>
        <v>46082.791666666664</v>
      </c>
      <c r="FD8" s="1573">
        <f>IF($FC8&lt;=Factores!$D$3+0.9,'ST Original'!C8,"")</f>
        <v>180000.00000031578</v>
      </c>
      <c r="FE8" s="976">
        <f>IF($FC8&lt;=Factores!$D$3,'ST Original'!D8,"")</f>
        <v>594977.85440768779</v>
      </c>
      <c r="FF8" s="1573">
        <f>IF($FC8&lt;=Factores!$D$3,'ST Original'!E8,"")</f>
        <v>92511.072796314038</v>
      </c>
      <c r="FG8" s="976"/>
      <c r="FH8" s="2064">
        <f>IF($FC8&lt;=Factores!$D$3,'ST Original'!J8,"")</f>
        <v>95.768319758011856</v>
      </c>
      <c r="FI8" s="2064">
        <f>IF($FC8&lt;=Factores!$D$3,'ST Original'!BT8,"")</f>
        <v>8061.0981563547739</v>
      </c>
      <c r="FJ8" s="2064">
        <f>IF($FC8&lt;=Factores!$D$3,'ST Original'!K8,"")</f>
        <v>94.870521971407754</v>
      </c>
      <c r="FK8" s="2071">
        <f>IF($FC8&lt;=Factores!$D$3,'ST Original'!L8,"")</f>
        <v>0.53577266948079771</v>
      </c>
      <c r="FL8" s="2064">
        <f>IF($FC8&lt;=Factores!$D$3,'ST Original'!M8,"")</f>
        <v>91.062827037611598</v>
      </c>
      <c r="FM8" s="2064">
        <f>IF($FC8&lt;=Factores!$D$3,'ST Original'!N8,"")</f>
        <v>30.850432592347524</v>
      </c>
      <c r="FN8" s="1573">
        <f>IF($FC8&lt;=Factores!$D$3,'ST Original'!O8,"")</f>
        <v>1463.0330727479554</v>
      </c>
      <c r="FO8" s="1556">
        <f>IF($FC8&lt;=Factores!$D$3,'ST Original'!R8,"")</f>
        <v>1463.0330727479554</v>
      </c>
      <c r="FP8" s="1573">
        <f>IF($FC8&lt;=Factores!$D$3,'ST Original'!S8,"")</f>
        <v>451.35203191185872</v>
      </c>
      <c r="FQ8" s="976">
        <f>IF($FC8&lt;=Factores!$D$3,'ST Original'!V8,"")</f>
        <v>451.35203191185872</v>
      </c>
      <c r="FR8" s="1573">
        <f>IF($FC8&lt;=Factores!$D$3,'ST Original'!W8,"")</f>
        <v>275.37082353416963</v>
      </c>
      <c r="FS8" s="975">
        <f>IF($FC8&lt;=Factores!$D$3,'ST Original'!X8,"")</f>
        <v>93.159809382314791</v>
      </c>
      <c r="FT8" s="975">
        <f>IF($FC8&lt;=Factores!$D$3,'ST Original'!Y8,"")</f>
        <v>90.271815538576988</v>
      </c>
      <c r="FU8" s="975">
        <f>IF($FC8&lt;=Factores!$D$3,'ST Original'!Z8,"")</f>
        <v>84.097051281693155</v>
      </c>
      <c r="FV8" s="975">
        <f>IF($FC8&lt;=Factores!$D$3,'ST Original'!AA8,"")</f>
        <v>50</v>
      </c>
      <c r="FW8" s="1556">
        <f>IF($FC8&lt;=Factores!$D$3,'ST Original'!AB8,"")</f>
        <v>42.847195844731772</v>
      </c>
      <c r="FX8" s="1556">
        <f>IF($FC8&lt;=Factores!$D$3,'ST Original'!AC8,"")</f>
        <v>42.847195844731772</v>
      </c>
      <c r="FY8" s="975">
        <f>IF($FC8&lt;=Factores!$D$3,AE8,"")</f>
        <v>21.423597922365886</v>
      </c>
      <c r="FZ8" s="976">
        <f>IF($FC8&lt;=Factores!$D$3,AF8,"")</f>
        <v>21.423597922365886</v>
      </c>
      <c r="GA8" s="1556">
        <f>IF($FC8&lt;=Factores!$D$3,AG8,"")</f>
        <v>20</v>
      </c>
      <c r="GB8" s="1573">
        <f>IF($FC8&lt;=Factores!$D$3,AI8,"")</f>
        <v>513.45904228879738</v>
      </c>
      <c r="GC8" s="976">
        <f>IF($FC8&lt;=Factores!$D$3,AJ8,"")</f>
        <v>513.45904228879738</v>
      </c>
      <c r="GD8" s="780">
        <f>IF($FC8&lt;=Factores!$D$3,AN8,"")</f>
        <v>1838</v>
      </c>
      <c r="GE8" s="539">
        <f>IF($FC8&lt;=Factores!$D$3,AO8,"")</f>
        <v>29.5</v>
      </c>
      <c r="GF8" s="782">
        <f>IF($FC8&lt;=Factores!$D$3,AP8,"")</f>
        <v>542.21</v>
      </c>
      <c r="GG8" s="2072">
        <f>IF($FC8&lt;=Factores!$D$3,BI8,"")</f>
        <v>13.340934941070996</v>
      </c>
      <c r="GH8" s="2073">
        <f>IF($FC8&lt;=Factores!$D$3,BJ8,"")</f>
        <v>600.34207234819485</v>
      </c>
      <c r="GI8" s="2069">
        <f>+'Plan mina ST'!AN43</f>
        <v>0</v>
      </c>
      <c r="GJ8" s="2065">
        <f t="shared" ref="GJ8:GJ35" si="14">FC8</f>
        <v>46082.791666666664</v>
      </c>
      <c r="GK8" s="2069">
        <f>+'Plan mina ST'!J6</f>
        <v>4.6199791034031754E-2</v>
      </c>
      <c r="GL8" s="1575">
        <f t="shared" ref="GL8:GL35" si="15">+(GM8/O8)</f>
        <v>2.044926131743078</v>
      </c>
      <c r="GM8" s="1556">
        <f>+E8*$GF$4/100*GK8</f>
        <v>2991.7945620666655</v>
      </c>
      <c r="GN8" s="2074">
        <f>+GM8</f>
        <v>2991.7945620666655</v>
      </c>
      <c r="GO8" s="1575">
        <f>+'Plan mina ST'!K6</f>
        <v>1.4813892882876376</v>
      </c>
      <c r="GP8" s="1575">
        <f t="shared" ref="GP8:GP35" si="16">+(GQ8/O8)</f>
        <v>74.93742409038046</v>
      </c>
      <c r="GQ8" s="1556">
        <f t="shared" ref="GQ8:GQ35" si="17">+E8*$GJ$4/100*GO8</f>
        <v>109635.92983076599</v>
      </c>
      <c r="GR8" s="1556">
        <f>+GQ8</f>
        <v>109635.92983076599</v>
      </c>
      <c r="GS8" s="2064">
        <f>+'Plan mina ST'!V6</f>
        <v>13.340934941070996</v>
      </c>
      <c r="GT8" s="976">
        <f t="shared" ref="GT8:GT35" si="18">+GS8*$GO$4</f>
        <v>600.34207234819485</v>
      </c>
      <c r="GU8" s="2072">
        <f>IF($FC8&lt;=Factores!$D$3,AT8,"")</f>
        <v>36.675380974817763</v>
      </c>
      <c r="GW8" s="2064">
        <f>+'Plan mina ST'!AI6</f>
        <v>1.967079068207177</v>
      </c>
      <c r="GX8" s="2075">
        <v>0.5</v>
      </c>
      <c r="GY8" s="819"/>
      <c r="GZ8" s="2070">
        <f t="shared" ref="GZ8:GZ35" si="19">B8</f>
        <v>46082.791666666664</v>
      </c>
      <c r="HA8" s="1573" t="str">
        <f>IF($FC8&gt;Factores!$D$3+0.9,'ST Original'!C8,"")</f>
        <v/>
      </c>
      <c r="HB8" s="976" t="str">
        <f>IF($FC8&gt;Factores!$D$3,'ST Original'!D8,"")</f>
        <v/>
      </c>
      <c r="HC8" s="1573" t="str">
        <f>IF($FC8&gt;Factores!$D$3,'ST Original'!E8,"")</f>
        <v/>
      </c>
      <c r="HD8" s="976"/>
      <c r="HE8" s="2064" t="str">
        <f>IF($FC8&gt;Factores!$D$3,'ST Original'!J8,"")</f>
        <v/>
      </c>
      <c r="HF8" s="2064" t="str">
        <f>IF($FC8&gt;Factores!$D$3,'ST Original'!BT8,"")</f>
        <v/>
      </c>
      <c r="HG8" s="2064" t="str">
        <f>IF($FC8&gt;Factores!$D$3,'ST Original'!K8,"")</f>
        <v/>
      </c>
      <c r="HH8" s="2071" t="str">
        <f>IF($FC8&gt;Factores!$D$3,'ST Original'!L8,"")</f>
        <v/>
      </c>
      <c r="HI8" s="2064" t="str">
        <f>IF($FC8&gt;Factores!$D$3,'ST Original'!M8,"")</f>
        <v/>
      </c>
      <c r="HJ8" s="2064" t="str">
        <f>IF($FC8&gt;Factores!$D$3,'ST Original'!N8,"")</f>
        <v/>
      </c>
      <c r="HK8" s="1573" t="str">
        <f>IF($FC8&gt;Factores!$D$3,'ST Original'!O8,"")</f>
        <v/>
      </c>
      <c r="HL8" s="1556" t="str">
        <f>IF($FC8&gt;Factores!$D$3,'ST Original'!R8,"")</f>
        <v/>
      </c>
      <c r="HM8" s="1573" t="str">
        <f>IF($FC8&gt;Factores!$D$3,'ST Original'!S8,"")</f>
        <v/>
      </c>
      <c r="HN8" s="976" t="str">
        <f>IF($FC8&gt;Factores!$D$3,'ST Original'!V8,"")</f>
        <v/>
      </c>
      <c r="HO8" s="1573" t="str">
        <f>IF($FC8&gt;Factores!$D$3,'ST Original'!W8,"")</f>
        <v/>
      </c>
      <c r="HP8" s="975" t="str">
        <f>IF($FC8&gt;Factores!$D$3,'ST Original'!X8,"")</f>
        <v/>
      </c>
      <c r="HQ8" s="975" t="str">
        <f>IF($FC8&gt;Factores!$D$3,'ST Original'!Y8,"")</f>
        <v/>
      </c>
      <c r="HR8" s="975" t="str">
        <f>IF($FC8&gt;Factores!$D$3,'ST Original'!Z8,"")</f>
        <v/>
      </c>
      <c r="HS8" s="975" t="str">
        <f>IF($FC8&gt;Factores!$D$3,'ST Original'!AA8,"")</f>
        <v/>
      </c>
      <c r="HT8" s="1556" t="str">
        <f>IF($FC8&gt;Factores!$D$3,'ST Original'!AB8,"")</f>
        <v/>
      </c>
      <c r="HU8" s="1556" t="str">
        <f>IF($FC8&gt;Factores!$D$3,'ST Original'!AC8,"")</f>
        <v/>
      </c>
      <c r="HV8" s="975" t="str">
        <f>IF($FC8&gt;Factores!$D$3,AE8,"")</f>
        <v/>
      </c>
      <c r="HW8" s="976" t="str">
        <f>IF($FC8&gt;Factores!$D$3,AF8,"")</f>
        <v/>
      </c>
      <c r="HX8" s="1556" t="str">
        <f>IF($FC8&gt;Factores!$D$3,AG8,"")</f>
        <v/>
      </c>
      <c r="HY8" s="1573" t="str">
        <f>IF($FC8&gt;Factores!$D$3,AI8,"")</f>
        <v/>
      </c>
      <c r="HZ8" s="976" t="str">
        <f>IF($FC8&gt;Factores!$D$3,AJ8,"")</f>
        <v/>
      </c>
      <c r="IA8" s="780" t="str">
        <f>IF($FC8&gt;Factores!$D$3,AN8,"")</f>
        <v/>
      </c>
      <c r="IB8" s="539" t="str">
        <f>IF($FC8&gt;Factores!$D$3,AO8,"")</f>
        <v/>
      </c>
      <c r="IC8" s="782" t="str">
        <f>IF($FC8&gt;Factores!$D$3,AP8,"")</f>
        <v/>
      </c>
      <c r="ID8" s="2072" t="str">
        <f>IF($FC8&gt;Factores!$D$3,BI8,"")</f>
        <v/>
      </c>
      <c r="IE8" s="2073" t="str">
        <f>IF($FC8&gt;Factores!$D$3,BJ8,"")</f>
        <v/>
      </c>
      <c r="IF8" s="4237">
        <f t="shared" ref="IF8:IF39" si="20">+E8</f>
        <v>92511.072796314038</v>
      </c>
      <c r="IG8" s="4237">
        <f>+IF8</f>
        <v>92511.072796314038</v>
      </c>
      <c r="IH8" s="4234">
        <f>+L8</f>
        <v>0.53577266948079771</v>
      </c>
      <c r="II8" s="342">
        <f>SUMPRODUCT(IH$8:IH8,IF$8:IF8)/IG8</f>
        <v>0.53577266948079771</v>
      </c>
      <c r="IJ8" s="4235">
        <f>+M8</f>
        <v>91.062827037611598</v>
      </c>
      <c r="IK8" s="342" cm="1">
        <f t="array" ref="IK8">SUMPRODUCT(IJ$8:IJ8,IF$8:IF8/IG8)</f>
        <v>91.062827037611598</v>
      </c>
    </row>
    <row r="9" spans="1:245" s="744" customFormat="1" ht="14.25" customHeight="1">
      <c r="A9" s="4636"/>
      <c r="B9" s="2133">
        <f t="shared" ref="B9:B38" si="21">B8+1</f>
        <v>46083.791666666664</v>
      </c>
      <c r="C9" s="2134">
        <f>+'Plan mina ST'!N44*1000</f>
        <v>180000.00000038478</v>
      </c>
      <c r="D9" s="2134">
        <f>+'Plan mina ST'!M44*1000</f>
        <v>608114.75547979155</v>
      </c>
      <c r="E9" s="2134">
        <f>(('Plan mina ST'!O44*1000))</f>
        <v>166863.09892828096</v>
      </c>
      <c r="F9" s="2134">
        <f>+'Plan mina ST'!J44*1000</f>
        <v>40349.117623771024</v>
      </c>
      <c r="G9" s="2134">
        <f t="shared" ref="G9:G35" si="22">+E9-F9</f>
        <v>126513.98130450994</v>
      </c>
      <c r="H9" s="2135">
        <f t="shared" ref="H9:H35" si="23">CC9</f>
        <v>79.989241794376696</v>
      </c>
      <c r="I9" s="2135">
        <f t="shared" ref="I9:I35" si="24">CA9</f>
        <v>97.12989278992228</v>
      </c>
      <c r="J9" s="2135">
        <f t="shared" ref="J9:J35" si="25">+SUMPRODUCT(H9:I9,$H$4:$I$4)</f>
        <v>83.146721114266157</v>
      </c>
      <c r="K9" s="2135">
        <f>+'Plan mina ST'!AM7*100</f>
        <v>81.732901582390411</v>
      </c>
      <c r="L9" s="2528">
        <f>'Plan mina ST'!D7</f>
        <v>0.51534433766209709</v>
      </c>
      <c r="M9" s="2135">
        <f>'Plan mina ST'!C7</f>
        <v>90.540593071994593</v>
      </c>
      <c r="N9" s="2136">
        <f>'Plan mina ST'!B7</f>
        <v>29.134132599024685</v>
      </c>
      <c r="O9" s="2134">
        <f t="shared" si="1"/>
        <v>2672.3851878727478</v>
      </c>
      <c r="P9" s="2134">
        <f t="shared" si="2"/>
        <v>2026.1764995884294</v>
      </c>
      <c r="Q9" s="2134">
        <f t="shared" si="3"/>
        <v>646.20868828431867</v>
      </c>
      <c r="R9" s="2134">
        <f t="shared" ref="R9:R22" si="26">R8+O9</f>
        <v>4135.4182606207032</v>
      </c>
      <c r="S9" s="2134">
        <f t="shared" si="4"/>
        <v>778.57624419154138</v>
      </c>
      <c r="T9" s="2134">
        <f t="shared" si="5"/>
        <v>590.30894808036987</v>
      </c>
      <c r="U9" s="2134">
        <f t="shared" si="6"/>
        <v>188.2672961111715</v>
      </c>
      <c r="V9" s="2134">
        <f t="shared" ref="V9:V22" si="27">V8+S9</f>
        <v>1229.9282761034001</v>
      </c>
      <c r="W9" s="2134">
        <f>+'Plan mina ST'!E7</f>
        <v>230.76029228681685</v>
      </c>
      <c r="X9" s="2135">
        <f t="shared" ref="X9:X31" si="28">IF(W9&gt;0,$X$2*LN(W9)+$X$3,$X$2*LN(W9)+$X$3)-$X$4</f>
        <v>92.54010885675055</v>
      </c>
      <c r="Y9" s="2135">
        <f t="shared" ref="Y9:Y35" si="29">(IF(W9&gt;0,$Y$2*LN(W9)+$Y$3,$Y$2*LN(W9)+$Y$3))</f>
        <v>89.771060469392609</v>
      </c>
      <c r="Z9" s="2135">
        <f t="shared" ref="Z9:Z38" si="30">+X9*Y9/100</f>
        <v>83.074237080235292</v>
      </c>
      <c r="AA9" s="2136">
        <v>50</v>
      </c>
      <c r="AB9" s="2134">
        <f t="shared" si="7"/>
        <v>63.976097153703407</v>
      </c>
      <c r="AC9" s="2134">
        <f t="shared" ref="AC9:AC39" si="31">+AB9</f>
        <v>63.976097153703407</v>
      </c>
      <c r="AD9" s="2134">
        <f t="shared" ref="AD9:AD22" si="32">+AG9/0.5</f>
        <v>60</v>
      </c>
      <c r="AE9" s="2134">
        <f t="shared" si="8"/>
        <v>31.988048576851703</v>
      </c>
      <c r="AF9" s="2134">
        <f t="shared" ref="AF9:AF22" si="33">+AF8+AE9</f>
        <v>53.411646499217589</v>
      </c>
      <c r="AG9" s="2134">
        <v>30</v>
      </c>
      <c r="AH9" s="2134">
        <f t="shared" ref="AH9:AH22" si="34">IF(AE9&gt;AG9,AH8+AE9-AG9,AH8+AE9-AG9)</f>
        <v>303.41164649921762</v>
      </c>
      <c r="AI9" s="2134">
        <f t="shared" si="9"/>
        <v>871.30959701583447</v>
      </c>
      <c r="AJ9" s="2134">
        <f t="shared" ref="AJ9:AJ22" si="35">AJ8+AI9</f>
        <v>1384.768639304632</v>
      </c>
      <c r="AK9" s="2134">
        <f>'Envíos STC 2800'!G5</f>
        <v>0</v>
      </c>
      <c r="AL9" s="2136">
        <v>0</v>
      </c>
      <c r="AM9" s="2134">
        <f t="shared" si="10"/>
        <v>0</v>
      </c>
      <c r="AN9" s="2134">
        <f>+AK8</f>
        <v>0</v>
      </c>
      <c r="AO9" s="2136">
        <f t="shared" ref="AO9:AO38" si="36">+AL8</f>
        <v>0</v>
      </c>
      <c r="AP9" s="2134">
        <f t="shared" ref="AP9:AP22" si="37">IF(ISNUMBER(AN9*AO9/100),AN9*AO9/100,"---")</f>
        <v>0</v>
      </c>
      <c r="AQ9" s="2134">
        <f t="shared" si="11"/>
        <v>3.2414607306833059</v>
      </c>
      <c r="AR9" s="2134">
        <f t="shared" ref="AR9:AR38" si="38">+AR8+S9-AP9</f>
        <v>3287.7182761034001</v>
      </c>
      <c r="AS9" s="2134">
        <f t="shared" ref="AS9:AS35" si="39">+O9-AK9</f>
        <v>2672.3851878727478</v>
      </c>
      <c r="AT9" s="2136">
        <f>+'Recalculos ST'!E10</f>
        <v>37.065796219206057</v>
      </c>
      <c r="AU9" s="2134">
        <f>+'MCP ST'!V3</f>
        <v>90.130573498039709</v>
      </c>
      <c r="AV9" s="3973">
        <f>+Factores!$D$24</f>
        <v>0.96199999999999997</v>
      </c>
      <c r="AW9" s="2134">
        <f t="shared" ref="AW9:AW38" si="40">IFERROR(AP9*AV9,"0")</f>
        <v>0</v>
      </c>
      <c r="AX9" s="2376">
        <f>'Plan mina ST'!AK7/25.4</f>
        <v>4.2904661351674251</v>
      </c>
      <c r="AY9" s="2718">
        <f>+'Recalculos ST'!AK10</f>
        <v>189.0101845256458</v>
      </c>
      <c r="AZ9" s="2138">
        <f>'Plan mina ST'!O7*BA9/1000000*0.79</f>
        <v>3.2414607306833059</v>
      </c>
      <c r="BA9" s="2137">
        <f t="shared" ref="BA9:BA22" si="41">+E9/24</f>
        <v>6952.6291220117064</v>
      </c>
      <c r="BB9" s="2138">
        <f>'Plan mina ST'!O7*'ST Original'!BT9/1000000*0.8</f>
        <v>3.9505742709927527</v>
      </c>
      <c r="BC9" s="4640"/>
      <c r="BD9" s="2148">
        <f t="shared" si="12"/>
        <v>46083.791666666664</v>
      </c>
      <c r="BE9" s="2149">
        <f>'Plan mina ST'!J7</f>
        <v>4.4824729141085311E-2</v>
      </c>
      <c r="BF9" s="2150">
        <f t="shared" ref="BF9:BF35" si="42">BE9*$BF$4</f>
        <v>1.5510074942412739</v>
      </c>
      <c r="BG9" s="2151">
        <f>'Plan mina ST'!K7</f>
        <v>1.4239715059710938</v>
      </c>
      <c r="BH9" s="2150">
        <f t="shared" ref="BH9:BH35" si="43">BG9*$BH$4</f>
        <v>49.271697111558368</v>
      </c>
      <c r="BI9" s="2151">
        <f>'Plan mina ST'!V7</f>
        <v>15.018858959845458</v>
      </c>
      <c r="BJ9" s="2152">
        <f t="shared" ref="BJ9:BJ35" si="44">BI9*$BJ$4</f>
        <v>675.84865319304561</v>
      </c>
      <c r="BK9" s="3395">
        <f>'Plan mina ST'!AI7</f>
        <v>1.6861898107818687</v>
      </c>
      <c r="BL9" s="3399">
        <f>'Recalculos ST'!T10</f>
        <v>6.1466868617857768</v>
      </c>
      <c r="BM9" s="3391">
        <f t="shared" ref="BM9:BM39" si="45">BL9*(BU9*BX9/100)/1000</f>
        <v>5.9225762542967368</v>
      </c>
      <c r="BN9" s="3391">
        <f t="shared" ref="BN9:BN39" si="46">BL9*(BV9*BY9/100)/1000</f>
        <v>13.242396402456965</v>
      </c>
      <c r="BO9" s="3391">
        <f t="shared" ref="BO9:BO39" si="47">BL9*(BW9*BZ9/100)/1000</f>
        <v>13.242396402456965</v>
      </c>
      <c r="BP9" s="3391">
        <f t="shared" ref="BP9:BP39" si="48">SUM(BM9:BO9)</f>
        <v>32.407369059210666</v>
      </c>
      <c r="BQ9" s="3400">
        <f t="shared" ref="BQ9:BQ39" si="49">BL9*1.4*(BS9*CA9/100)/1000</f>
        <v>14.469959964817026</v>
      </c>
      <c r="BR9" s="3397">
        <f t="shared" ref="BR9:BR37" si="50">+IF(ISNUMBER(G9/H9/24*100),(G9/H9/24*100),"0")</f>
        <v>6590.1560877884194</v>
      </c>
      <c r="BS9" s="2137">
        <f t="shared" ref="BS9:BS37" si="51">+IFERROR(F9/((24-EP9)*I9%),0)</f>
        <v>1731.1922354740043</v>
      </c>
      <c r="BT9" s="3344">
        <f t="shared" ref="BT9:BT37" si="52">+IFERROR(E9/((24-EQ9)*J9%),0)</f>
        <v>8367.6909909354381</v>
      </c>
      <c r="BU9" s="3345">
        <f t="shared" ref="BU9:BU37" si="53">+IFERROR(($G9*(24-EM9)*BX9%/((24-$EM9)*$BX9%+(24-$EN9)*$BY9%+(24-$EO9)*$BZ9%))/((24-EM9)*BX9%),0)</f>
        <v>2197.1001369254664</v>
      </c>
      <c r="BV9" s="3345">
        <f t="shared" ref="BV9:BV37" si="54">+IFERROR(($G9*(24-EN9)*BY9%/((24-$EM9)*$BX9%+(24-$EN9)*$BY9%+(24-$EO9)*$BZ9%))/((24-EN9)*BY9%),0)</f>
        <v>2197.1001369254668</v>
      </c>
      <c r="BW9" s="3345">
        <f t="shared" ref="BW9:BW37" si="55">+IFERROR(($G9*(24-EO9)*BZ9%/((24-$EM9)*$BX9%+(24-$EN9)*$BY9%+(24-$EO9)*$BZ9%))/((24-EO9)*BZ9%),0)</f>
        <v>2197.1001369254668</v>
      </c>
      <c r="BX9" s="3346">
        <f t="shared" ref="BX9:BX37" si="56">CO9/(24*DL$3-EM9)*100</f>
        <v>43.855061160782277</v>
      </c>
      <c r="BY9" s="3346">
        <f t="shared" ref="BY9:BY37" si="57">CP9/(24*DM$3-EN9)*100</f>
        <v>98.056332111173916</v>
      </c>
      <c r="BZ9" s="3346">
        <f t="shared" ref="BZ9:BZ37" si="58">CQ9/(24*DN$3-EO9)*100</f>
        <v>98.056332111173916</v>
      </c>
      <c r="CA9" s="3346">
        <f t="shared" ref="CA9:CA37" si="59">CR9/(24*DO$3-EP9)*100</f>
        <v>97.12989278992228</v>
      </c>
      <c r="CB9" s="3346">
        <f t="shared" ref="CB9:CB37" si="60">CS9/(24-EQ9)*100</f>
        <v>83.145937456567054</v>
      </c>
      <c r="CC9" s="3623">
        <f t="shared" ref="CC9:CC37" si="61">SUM(CO9:CQ9)/(24*SUM(DL$3:DN$3)-SUM(EM9:EO9))*100</f>
        <v>79.989241794376696</v>
      </c>
      <c r="CD9" s="3348">
        <f t="shared" ref="CD9:CD37" si="62">CJ9/(24*DL$3-EM9)*100</f>
        <v>44.685563970181633</v>
      </c>
      <c r="CE9" s="3348">
        <f t="shared" ref="CE9:CE37" si="63">CK9/(24*DM$3-EN9)*100</f>
        <v>98.886834920573264</v>
      </c>
      <c r="CF9" s="3348">
        <f t="shared" ref="CF9:CF37" si="64">CL9/(24*DN$3-EO9)*100</f>
        <v>98.886834920573264</v>
      </c>
      <c r="CG9" s="3348">
        <f t="shared" ref="CG9:CG37" si="65">CM9/(24*DO$3-EP9)*100</f>
        <v>98.356250499976611</v>
      </c>
      <c r="CH9" s="3346">
        <f t="shared" ref="CH9:CH37" si="66">CN9/(24-EQ9)*100</f>
        <v>84.049342599027099</v>
      </c>
      <c r="CI9" s="3347">
        <f t="shared" ref="CI9:CI37" si="67">SUM(CJ9:CL9)/(24*3-SUM(EM9:EO9))*100</f>
        <v>21.967095676332701</v>
      </c>
      <c r="CJ9" s="3354">
        <f t="shared" ref="CJ9:CJ37" si="68">24*DL$3-EM9-DB9</f>
        <v>2.9144610000000002</v>
      </c>
      <c r="CK9" s="3355">
        <f t="shared" ref="CK9:CK37" si="69">24*DM$3-EN9-DC9</f>
        <v>6.4495510000000005</v>
      </c>
      <c r="CL9" s="3355">
        <f t="shared" ref="CL9:CL37" si="70">24*DN$3-EO9-DD9</f>
        <v>6.4495510000000005</v>
      </c>
      <c r="CM9" s="3356">
        <f t="shared" ref="CM9:CM37" si="71">24*DO$3-EP9-DE9</f>
        <v>4.3442710000000009</v>
      </c>
      <c r="CN9" s="3356">
        <f t="shared" ref="CN9:CN37" si="72">24-$EQ9-DF9</f>
        <v>20.157834000000001</v>
      </c>
      <c r="CO9" s="3354">
        <f t="shared" ref="CO9:CO37" si="73">24*DL$3-EM9-DG9</f>
        <v>2.8602943333333335</v>
      </c>
      <c r="CP9" s="3355">
        <f t="shared" ref="CP9:CP37" si="74">24*DM$3-EN9-DH9</f>
        <v>6.3953843333333333</v>
      </c>
      <c r="CQ9" s="3355">
        <f t="shared" ref="CQ9:CQ37" si="75">24*DN$3-EO9-DI9</f>
        <v>6.3953843333333333</v>
      </c>
      <c r="CR9" s="3356">
        <f t="shared" ref="CR9:CR37" si="76">24*DO$3-EP9-DJ9</f>
        <v>4.2901043333333337</v>
      </c>
      <c r="CS9" s="3356">
        <f t="shared" ref="CS9:CS37" si="77">24-$EQ9-DK9</f>
        <v>19.941167333333333</v>
      </c>
      <c r="CT9" s="3357">
        <f t="shared" ref="CT9:CT35" si="78">(24-$EQ9)*DL$3</f>
        <v>6.5217878333333337</v>
      </c>
      <c r="CU9" s="2153">
        <f t="shared" ref="CU9:CU35" si="79">(24-$EQ9)*DM$3</f>
        <v>6.5217878333333337</v>
      </c>
      <c r="CV9" s="2153">
        <f t="shared" ref="CV9:CV35" si="80">(24-$EQ9)*DN$3</f>
        <v>6.5217878333333337</v>
      </c>
      <c r="CW9" s="3358">
        <f t="shared" ref="CW9:CW35" si="81">(24-$EQ9)*DO$3</f>
        <v>4.4179698333333342</v>
      </c>
      <c r="CX9" s="3354">
        <f t="shared" ref="CX9:CX35" si="82">DL9*DL$3+IF(DL9&gt;=DP9,0,(DP9-DL9)*DP$3)+IF(DL9&gt;=DQ9,0,(DQ9-DL9)*DQ$3)</f>
        <v>3.5350900000000003</v>
      </c>
      <c r="CY9" s="3355">
        <f t="shared" ref="CY9:CY35" si="83">DM9*DM$3+IF(DM9&gt;=DR9,0,(DR9-DM9)*DR$3)+IF(DM9&gt;=DS9,0,(DS9-DM9)*DS$3)</f>
        <v>0</v>
      </c>
      <c r="CZ9" s="3355">
        <f t="shared" ref="CZ9:CZ35" si="84">DN9*DN$3+IF(DN9&gt;=DT9,0,(DT9-DN9)*DT$3)+IF(DN9&gt;=DU9,0,(DU9-DN9)*DU$3)</f>
        <v>0</v>
      </c>
      <c r="DA9" s="3356">
        <f t="shared" ref="DA9:DA35" si="85">DO9*DO$3+IF(DO9&gt;=DV9,0,(DV9-DO9)*DV$3)</f>
        <v>0</v>
      </c>
      <c r="DB9" s="3354">
        <f t="shared" ref="DB9:DB35" si="86">+CX9+DW9</f>
        <v>3.6076923333333335</v>
      </c>
      <c r="DC9" s="3355">
        <f t="shared" ref="DC9:DC35" si="87">+CY9+DX9</f>
        <v>7.2602333333333338E-2</v>
      </c>
      <c r="DD9" s="3355">
        <f t="shared" ref="DD9:DD35" si="88">+CZ9+DY9</f>
        <v>7.2602333333333338E-2</v>
      </c>
      <c r="DE9" s="3356">
        <f t="shared" ref="DE9:DE35" si="89">+DA9+DZ9</f>
        <v>7.2602333333333338E-2</v>
      </c>
      <c r="DF9" s="3356">
        <f t="shared" ref="DF9:DF35" si="90">SUM(DB9:DE9)</f>
        <v>3.8254993333333331</v>
      </c>
      <c r="DG9" s="3354">
        <f t="shared" ref="DG9:DG35" si="91">+DB9+EE9+EI9</f>
        <v>3.6618590000000002</v>
      </c>
      <c r="DH9" s="3355">
        <f t="shared" ref="DH9:DH35" si="92">+DC9+EF9+EJ9</f>
        <v>0.12676900000000002</v>
      </c>
      <c r="DI9" s="3355">
        <f t="shared" ref="DI9:DI35" si="93">+DD9+EG9+EK9</f>
        <v>0.12676900000000002</v>
      </c>
      <c r="DJ9" s="3356">
        <f t="shared" ref="DJ9:DJ35" si="94">+DE9+EH9+EL9</f>
        <v>0.12676900000000002</v>
      </c>
      <c r="DK9" s="3356">
        <f t="shared" ref="DK9:DK35" si="95">SUM(DG9:DJ9)</f>
        <v>4.0421659999999999</v>
      </c>
      <c r="DL9" s="2137">
        <v>13</v>
      </c>
      <c r="DM9" s="2137">
        <v>0</v>
      </c>
      <c r="DN9" s="2137">
        <v>0</v>
      </c>
      <c r="DO9" s="2137">
        <v>0</v>
      </c>
      <c r="DP9" s="2137">
        <v>0</v>
      </c>
      <c r="DQ9" s="2137">
        <v>0</v>
      </c>
      <c r="DR9" s="2137">
        <v>0</v>
      </c>
      <c r="DS9" s="2137">
        <v>0</v>
      </c>
      <c r="DT9" s="2137">
        <v>0</v>
      </c>
      <c r="DU9" s="2137">
        <v>0</v>
      </c>
      <c r="DV9" s="2137">
        <v>0</v>
      </c>
      <c r="DW9" s="2579">
        <f t="shared" ref="DW9:DW35" si="96">+IF(DL9=24,0,$DW$4)</f>
        <v>7.2602333333333338E-2</v>
      </c>
      <c r="DX9" s="2579">
        <f t="shared" ref="DX9:DX35" si="97">+IF(DM9=24,0,$DW$4)</f>
        <v>7.2602333333333338E-2</v>
      </c>
      <c r="DY9" s="2579">
        <f t="shared" ref="DY9:DY35" si="98">+IF(DN9=24,0,$DW$4)</f>
        <v>7.2602333333333338E-2</v>
      </c>
      <c r="DZ9" s="2579">
        <f t="shared" ref="DZ9:DZ35" si="99">+IF(DO9=24,0,$DW$4)</f>
        <v>7.2602333333333338E-2</v>
      </c>
      <c r="EA9" s="2579">
        <f t="shared" ref="EA9:EA35" si="100">+IF(DL9=24,0,$EA$4)</f>
        <v>0</v>
      </c>
      <c r="EB9" s="2579">
        <f t="shared" ref="EB9:EB35" si="101">+IF(DM9=24,0,$EA$4)</f>
        <v>0</v>
      </c>
      <c r="EC9" s="2579">
        <f t="shared" ref="EC9:EC35" si="102">+IF(DN9=24,0,$EA$4)</f>
        <v>0</v>
      </c>
      <c r="ED9" s="2579">
        <f t="shared" ref="ED9:ED35" si="103">+IF(DO9=24,0,$EA$4)</f>
        <v>0</v>
      </c>
      <c r="EE9" s="2579">
        <f t="shared" ref="EE9:EE35" si="104">+IF(DL9=24,0,$EE$4)</f>
        <v>0.05</v>
      </c>
      <c r="EF9" s="2579">
        <f t="shared" ref="EF9:EF35" si="105">+IF(DM9=24,0,$EE$4)</f>
        <v>0.05</v>
      </c>
      <c r="EG9" s="2579">
        <f t="shared" ref="EG9:EG35" si="106">+IF(DN9=24,0,$EE$4)</f>
        <v>0.05</v>
      </c>
      <c r="EH9" s="2579">
        <f t="shared" ref="EH9:EH12" si="107">+IF(DO9=24,0,$EE$4)</f>
        <v>0.05</v>
      </c>
      <c r="EI9" s="2579">
        <f t="shared" ref="EI9:EI35" si="108">+IF(DL9=24,0,$EI$4)</f>
        <v>4.1666666666666666E-3</v>
      </c>
      <c r="EJ9" s="2579">
        <f t="shared" ref="EJ9:EJ35" si="109">+IF(DM9=24,0,$EI$4)</f>
        <v>4.1666666666666666E-3</v>
      </c>
      <c r="EK9" s="2579">
        <f t="shared" ref="EK9:EK35" si="110">+IF(DN9=24,0,$EI$4)</f>
        <v>4.1666666666666666E-3</v>
      </c>
      <c r="EL9" s="2581">
        <f t="shared" ref="EL9:EL35" si="111">+IF(DO9=24,0,$EI$4)</f>
        <v>4.1666666666666666E-3</v>
      </c>
      <c r="EM9" s="3341">
        <f t="shared" ref="EM9:EM20" si="112">+IF(DL9=24,0,$EM$4)</f>
        <v>4.1666666666666666E-3</v>
      </c>
      <c r="EN9" s="3341">
        <f t="shared" ref="EN9:EN20" si="113">+IF(DM9=24,0,$EM$4)</f>
        <v>4.1666666666666666E-3</v>
      </c>
      <c r="EO9" s="3341">
        <f t="shared" ref="EO9:EO20" si="114">+IF(DN9=24,0,$EM$4)</f>
        <v>4.1666666666666666E-3</v>
      </c>
      <c r="EP9" s="3341">
        <f t="shared" ref="EP9:EP20" si="115">+IF(DO9=24,0,$EM$4)</f>
        <v>4.1666666666666666E-3</v>
      </c>
      <c r="EQ9" s="3319">
        <f t="shared" ref="EQ9:EQ38" si="116">SUM(EM9:EP9)</f>
        <v>1.6666666666666666E-2</v>
      </c>
      <c r="ER9" s="809">
        <f>+'MCP ST'!H3</f>
        <v>1.1603371351077296</v>
      </c>
      <c r="ES9" s="4236">
        <f t="shared" ref="ES9:ES38" si="117">+EQ9+DF9</f>
        <v>3.8421659999999997</v>
      </c>
      <c r="EV9" s="866" t="s">
        <v>445</v>
      </c>
      <c r="EW9" s="866">
        <f>Factores!$D$8</f>
        <v>0.995</v>
      </c>
      <c r="EX9" s="866">
        <f>Factores!$F$8</f>
        <v>0.995</v>
      </c>
      <c r="EZ9" s="2154">
        <f>+'Plan mina ST'!AM7</f>
        <v>0.81732901582390405</v>
      </c>
      <c r="FA9" s="2067">
        <f>IF($FC9&lt;=Factores!$D$3,AX9,"")</f>
        <v>4.2904661351674251</v>
      </c>
      <c r="FB9" s="2076"/>
      <c r="FC9" s="2065">
        <f t="shared" si="13"/>
        <v>46083.791666666664</v>
      </c>
      <c r="FD9" s="780">
        <f>IF($FC9&lt;=Factores!$D$3,'ST Original'!C9,"")</f>
        <v>180000.00000038478</v>
      </c>
      <c r="FE9" s="782">
        <f>IF($FC9&lt;=Factores!$D$3,'ST Original'!D9,"")</f>
        <v>608114.75547979155</v>
      </c>
      <c r="FF9" s="780">
        <f>IF($FC9&lt;=Factores!$D$3,'ST Original'!E9,"")</f>
        <v>166863.09892828096</v>
      </c>
      <c r="FG9" s="782"/>
      <c r="FH9" s="2064">
        <f>IF($FC9&lt;=Factores!$D$3,'ST Original'!J9,"")</f>
        <v>83.146721114266157</v>
      </c>
      <c r="FI9" s="781">
        <f>IF($FC9&lt;=Factores!$D$3,'ST Original'!BT9,"")</f>
        <v>8367.6909909354381</v>
      </c>
      <c r="FJ9" s="781">
        <f>IF($FC9&lt;=Factores!$D$3,'ST Original'!K9,"")</f>
        <v>81.732901582390411</v>
      </c>
      <c r="FK9" s="2066">
        <f>IF($FC9&lt;=Factores!$D$3,'ST Original'!L9,"")</f>
        <v>0.51534433766209709</v>
      </c>
      <c r="FL9" s="781">
        <f>IF($FC9&lt;=Factores!$D$3,'ST Original'!M9,"")</f>
        <v>90.540593071994593</v>
      </c>
      <c r="FM9" s="781">
        <f>IF($FC9&lt;=Factores!$D$3,'ST Original'!N9,"")</f>
        <v>29.134132599024685</v>
      </c>
      <c r="FN9" s="780">
        <f>IF($FC9&lt;=Factores!$D$3,'ST Original'!O9,"")</f>
        <v>2672.3851878727478</v>
      </c>
      <c r="FO9" s="539">
        <f>IF($FC9&lt;=Factores!$D$3,'ST Original'!R9,"")</f>
        <v>4135.4182606207032</v>
      </c>
      <c r="FP9" s="780">
        <f>IF($FC9&lt;=Factores!$D$3,'ST Original'!S9,"")</f>
        <v>778.57624419154138</v>
      </c>
      <c r="FQ9" s="782">
        <f>IF($FC9&lt;=Factores!$D$3,'ST Original'!V9,"")</f>
        <v>1229.9282761034001</v>
      </c>
      <c r="FR9" s="780">
        <f>IF($FC9&lt;=Factores!$D$3,'ST Original'!W9,"")</f>
        <v>230.76029228681685</v>
      </c>
      <c r="FS9" s="819">
        <f>IF($FC9&lt;=Factores!$D$3,'ST Original'!X9,"")</f>
        <v>92.54010885675055</v>
      </c>
      <c r="FT9" s="819">
        <f>IF($FC9&lt;=Factores!$D$3,'ST Original'!Y9,"")</f>
        <v>89.771060469392609</v>
      </c>
      <c r="FU9" s="819">
        <f>IF($FC9&lt;=Factores!$D$3,'ST Original'!Z9,"")</f>
        <v>83.074237080235292</v>
      </c>
      <c r="FV9" s="819">
        <f>IF($FC9&lt;=Factores!$D$3,'ST Original'!AA9,"")</f>
        <v>50</v>
      </c>
      <c r="FW9" s="539">
        <f>IF($FC9&lt;=Factores!$D$3,'ST Original'!AB9,"")</f>
        <v>63.976097153703407</v>
      </c>
      <c r="FX9" s="539">
        <f>IF($FC9&lt;=Factores!$D$3,'ST Original'!AC9,"")</f>
        <v>63.976097153703407</v>
      </c>
      <c r="FY9" s="819">
        <f>IF($FC9&lt;=Factores!$D$3,AE9,"")</f>
        <v>31.988048576851703</v>
      </c>
      <c r="FZ9" s="782">
        <f>IF($FC9&lt;=Factores!$D$3,AF9,"")</f>
        <v>53.411646499217589</v>
      </c>
      <c r="GA9" s="539">
        <f>IF($FC9&lt;=Factores!$D$3,AG9,"")</f>
        <v>30</v>
      </c>
      <c r="GB9" s="780">
        <f>IF($FC9&lt;=Factores!$D$3,AI9,"")</f>
        <v>871.30959701583447</v>
      </c>
      <c r="GC9" s="782">
        <f>IF($FC9&lt;=Factores!$D$3,AJ9,"")</f>
        <v>1384.768639304632</v>
      </c>
      <c r="GD9" s="780">
        <f>IF($FC9&lt;=Factores!$D$3,AN9,"")</f>
        <v>0</v>
      </c>
      <c r="GE9" s="539">
        <f>IF($FC9&lt;=Factores!$D$3,AO9,"")</f>
        <v>0</v>
      </c>
      <c r="GF9" s="782">
        <f>IF($FC9&lt;=Factores!$D$3,AP9,"")</f>
        <v>0</v>
      </c>
      <c r="GG9" s="2072">
        <f>IF($FC9&lt;=Factores!$D$3,BI9,"")</f>
        <v>15.018858959845458</v>
      </c>
      <c r="GH9" s="2073">
        <f>IF($FC9&lt;=Factores!$D$3,BJ9,"")</f>
        <v>675.84865319304561</v>
      </c>
      <c r="GI9" s="2069">
        <f>+'Plan mina ST'!AN44</f>
        <v>0</v>
      </c>
      <c r="GJ9" s="2065">
        <f t="shared" si="14"/>
        <v>46083.791666666664</v>
      </c>
      <c r="GK9" s="2067">
        <f>+'Plan mina ST'!J7</f>
        <v>4.4824729141085311E-2</v>
      </c>
      <c r="GL9" s="818">
        <f t="shared" si="15"/>
        <v>1.9591918384113323</v>
      </c>
      <c r="GM9" s="539">
        <f t="shared" ref="GM9:GM35" si="118">+E9*$GF$4/100*GK9</f>
        <v>5235.7152491716224</v>
      </c>
      <c r="GN9" s="2077">
        <f t="shared" ref="GN9:GN35" si="119">+GN8+GM9</f>
        <v>8227.5098112382875</v>
      </c>
      <c r="GO9" s="818">
        <f>+'Plan mina ST'!K7</f>
        <v>1.4239715059710938</v>
      </c>
      <c r="GP9" s="818">
        <f t="shared" si="16"/>
        <v>71.129955172681392</v>
      </c>
      <c r="GQ9" s="539">
        <f t="shared" si="17"/>
        <v>190086.63861752627</v>
      </c>
      <c r="GR9" s="539">
        <f t="shared" ref="GR9:GR35" si="120">+GR8+GQ9</f>
        <v>299722.56844829227</v>
      </c>
      <c r="GS9" s="781">
        <f>+'Plan mina ST'!V7</f>
        <v>15.018858959845458</v>
      </c>
      <c r="GT9" s="782">
        <f t="shared" si="18"/>
        <v>675.84865319304561</v>
      </c>
      <c r="GU9" s="2072">
        <f>IF($FC9&lt;=Factores!$D$3,AT9,"")</f>
        <v>37.065796219206057</v>
      </c>
      <c r="GW9" s="781">
        <f>+'Plan mina ST'!AI7</f>
        <v>1.6861898107818687</v>
      </c>
      <c r="GX9" s="2078">
        <v>0.5</v>
      </c>
      <c r="GY9" s="819"/>
      <c r="GZ9" s="2065">
        <f t="shared" si="19"/>
        <v>46083.791666666664</v>
      </c>
      <c r="HA9" s="780" t="str">
        <f>IF($FC9&gt;Factores!$D$3,'ST Original'!C9,"")</f>
        <v/>
      </c>
      <c r="HB9" s="782" t="str">
        <f>IF($FC9&gt;Factores!$D$3,'ST Original'!D9,"")</f>
        <v/>
      </c>
      <c r="HC9" s="780" t="str">
        <f>IF($FC9&gt;Factores!$D$3,'ST Original'!E9,"")</f>
        <v/>
      </c>
      <c r="HD9" s="782"/>
      <c r="HE9" s="2064" t="str">
        <f>IF($FC9&gt;Factores!$D$3,'ST Original'!J9,"")</f>
        <v/>
      </c>
      <c r="HF9" s="781" t="str">
        <f>IF($FC9&gt;Factores!$D$3,'ST Original'!BT9,"")</f>
        <v/>
      </c>
      <c r="HG9" s="781" t="str">
        <f>IF($FC9&gt;Factores!$D$3,'ST Original'!K9,"")</f>
        <v/>
      </c>
      <c r="HH9" s="2066" t="str">
        <f>IF($FC9&gt;Factores!$D$3,'ST Original'!L9,"")</f>
        <v/>
      </c>
      <c r="HI9" s="781" t="str">
        <f>IF($FC9&gt;Factores!$D$3,'ST Original'!M9,"")</f>
        <v/>
      </c>
      <c r="HJ9" s="781" t="str">
        <f>IF($FC9&gt;Factores!$D$3,'ST Original'!N9,"")</f>
        <v/>
      </c>
      <c r="HK9" s="780" t="str">
        <f>IF($FC9&gt;Factores!$D$3,'ST Original'!O9,"")</f>
        <v/>
      </c>
      <c r="HL9" s="539" t="str">
        <f>IF($FC9&gt;Factores!$D$3,'ST Original'!R9,"")</f>
        <v/>
      </c>
      <c r="HM9" s="780" t="str">
        <f>IF($FC9&gt;Factores!$D$3,'ST Original'!S9,"")</f>
        <v/>
      </c>
      <c r="HN9" s="782" t="str">
        <f>IF($FC9&gt;Factores!$D$3,'ST Original'!V9,"")</f>
        <v/>
      </c>
      <c r="HO9" s="780" t="str">
        <f>IF($FC9&gt;Factores!$D$3,'ST Original'!W9,"")</f>
        <v/>
      </c>
      <c r="HP9" s="819" t="str">
        <f>IF($FC9&gt;Factores!$D$3,'ST Original'!X9,"")</f>
        <v/>
      </c>
      <c r="HQ9" s="819" t="str">
        <f>IF($FC9&gt;Factores!$D$3,'ST Original'!Y9,"")</f>
        <v/>
      </c>
      <c r="HR9" s="819" t="str">
        <f>IF($FC9&gt;Factores!$D$3,'ST Original'!Z9,"")</f>
        <v/>
      </c>
      <c r="HS9" s="819" t="str">
        <f>IF($FC9&gt;Factores!$D$3,'ST Original'!AA9,"")</f>
        <v/>
      </c>
      <c r="HT9" s="539" t="str">
        <f>IF($FC9&gt;Factores!$D$3,'ST Original'!AB9,"")</f>
        <v/>
      </c>
      <c r="HU9" s="539" t="str">
        <f>IF($FC9&gt;Factores!$D$3,'ST Original'!AC9,"")</f>
        <v/>
      </c>
      <c r="HV9" s="819" t="str">
        <f>IF($FC9&gt;Factores!$D$3,AE9,"")</f>
        <v/>
      </c>
      <c r="HW9" s="782" t="str">
        <f>IF($FC9&gt;Factores!$D$3,AF9,"")</f>
        <v/>
      </c>
      <c r="HX9" s="539" t="str">
        <f>IF($FC9&gt;Factores!$D$3,AG9,"")</f>
        <v/>
      </c>
      <c r="HY9" s="780" t="str">
        <f>IF($FC9&gt;Factores!$D$3,AI9,"")</f>
        <v/>
      </c>
      <c r="HZ9" s="782" t="str">
        <f>IF($FC9&gt;Factores!$D$3,AJ9,"")</f>
        <v/>
      </c>
      <c r="IA9" s="780" t="str">
        <f>IF($FC9&gt;Factores!$D$3,AN9,"")</f>
        <v/>
      </c>
      <c r="IB9" s="539" t="str">
        <f>IF($FC9&gt;Factores!$D$3,AO9,"")</f>
        <v/>
      </c>
      <c r="IC9" s="782" t="str">
        <f>IF($FC9&gt;Factores!$D$3,AP9,"")</f>
        <v/>
      </c>
      <c r="ID9" s="2072" t="str">
        <f>IF($FC9&gt;Factores!$D$3,BI9,"")</f>
        <v/>
      </c>
      <c r="IE9" s="2073" t="str">
        <f>IF($FC9&gt;Factores!$D$3,BJ9,"")</f>
        <v/>
      </c>
      <c r="IF9" s="4237">
        <f t="shared" si="20"/>
        <v>166863.09892828096</v>
      </c>
      <c r="IG9" s="4237">
        <f>+IG8+IF9</f>
        <v>259374.17172459501</v>
      </c>
      <c r="IH9" s="4234">
        <f t="shared" ref="IH9:IH38" si="121">+L9</f>
        <v>0.51534433766209709</v>
      </c>
      <c r="II9" s="342">
        <f>SUMPRODUCT(IH$8:IH9,IF$8:IF9)/IG9</f>
        <v>0.52263051762142509</v>
      </c>
      <c r="IJ9" s="4235">
        <f t="shared" ref="IJ9:IJ38" si="122">+M9</f>
        <v>90.540593071994593</v>
      </c>
      <c r="IK9" s="342" cm="1">
        <f t="array" ref="IK9">SUMPRODUCT(IJ$8:IJ9,IF$8:IF9/IG9)</f>
        <v>90.726858435614531</v>
      </c>
    </row>
    <row r="10" spans="1:245" s="744" customFormat="1" ht="14.15" customHeight="1">
      <c r="A10" s="4636"/>
      <c r="B10" s="2133">
        <f t="shared" si="21"/>
        <v>46084.791666666664</v>
      </c>
      <c r="C10" s="2134">
        <f>+'Plan mina ST'!N45*1000</f>
        <v>190000.00000005015</v>
      </c>
      <c r="D10" s="2134">
        <f>+'Plan mina ST'!M45*1000</f>
        <v>653690.04919214093</v>
      </c>
      <c r="E10" s="2134">
        <f>(('Plan mina ST'!O45*1000))</f>
        <v>144424.70628770083</v>
      </c>
      <c r="F10" s="2134">
        <f>+'Plan mina ST'!J45*1000</f>
        <v>39164.928555605045</v>
      </c>
      <c r="G10" s="2134">
        <f t="shared" si="22"/>
        <v>105259.77773209578</v>
      </c>
      <c r="H10" s="2135">
        <f t="shared" si="23"/>
        <v>65.356970343991705</v>
      </c>
      <c r="I10" s="2135">
        <f t="shared" si="24"/>
        <v>97.12989278992228</v>
      </c>
      <c r="J10" s="2135">
        <f t="shared" si="25"/>
        <v>71.209860387756578</v>
      </c>
      <c r="K10" s="2135">
        <f>+'Plan mina ST'!AM8*100</f>
        <v>92.801351201014597</v>
      </c>
      <c r="L10" s="2528">
        <f>'Plan mina ST'!D8</f>
        <v>0.49680204407498407</v>
      </c>
      <c r="M10" s="2135">
        <f>'Plan mina ST'!C8</f>
        <v>90.859006569002403</v>
      </c>
      <c r="N10" s="2136">
        <f>'Plan mina ST'!B8</f>
        <v>29.410557320073053</v>
      </c>
      <c r="O10" s="2134">
        <f t="shared" si="1"/>
        <v>2216.6115750776935</v>
      </c>
      <c r="P10" s="2134">
        <f t="shared" si="2"/>
        <v>1615.5133543860857</v>
      </c>
      <c r="Q10" s="2134">
        <f t="shared" si="3"/>
        <v>601.09822069160782</v>
      </c>
      <c r="R10" s="2134">
        <f t="shared" si="26"/>
        <v>6352.0298356983967</v>
      </c>
      <c r="S10" s="2134">
        <f t="shared" si="4"/>
        <v>651.91781785159912</v>
      </c>
      <c r="T10" s="2134">
        <f t="shared" si="5"/>
        <v>475.13148110515465</v>
      </c>
      <c r="U10" s="2134">
        <f t="shared" si="6"/>
        <v>176.78633674644453</v>
      </c>
      <c r="V10" s="2134">
        <f t="shared" si="27"/>
        <v>1881.8460939549991</v>
      </c>
      <c r="W10" s="2134">
        <f>+'Plan mina ST'!E8</f>
        <v>245.13337410328603</v>
      </c>
      <c r="X10" s="2135">
        <f t="shared" si="28"/>
        <v>92.751969918220823</v>
      </c>
      <c r="Y10" s="3930">
        <f>(IF(W10&gt;0,$Y$2*LN(W10)+$Y$3,$Y$2*LN(W10)+$Y$3))*$Z$2</f>
        <v>87.243989165563761</v>
      </c>
      <c r="Z10" s="2135">
        <f t="shared" si="30"/>
        <v>80.920518586299536</v>
      </c>
      <c r="AA10" s="2136">
        <v>50</v>
      </c>
      <c r="AB10" s="2134">
        <f t="shared" si="7"/>
        <v>57.297093089610101</v>
      </c>
      <c r="AC10" s="2134">
        <f t="shared" si="31"/>
        <v>57.297093089610101</v>
      </c>
      <c r="AD10" s="2134">
        <f t="shared" si="32"/>
        <v>60</v>
      </c>
      <c r="AE10" s="2134">
        <f t="shared" si="8"/>
        <v>28.64854654480505</v>
      </c>
      <c r="AF10" s="2134">
        <f t="shared" si="33"/>
        <v>82.06019304402264</v>
      </c>
      <c r="AG10" s="2134">
        <v>30</v>
      </c>
      <c r="AH10" s="2134">
        <f t="shared" si="34"/>
        <v>302.0601930440227</v>
      </c>
      <c r="AI10" s="2134">
        <f t="shared" si="9"/>
        <v>734.96995428498894</v>
      </c>
      <c r="AJ10" s="2134">
        <f t="shared" si="35"/>
        <v>2119.7385935896209</v>
      </c>
      <c r="AK10" s="3914">
        <v>2990</v>
      </c>
      <c r="AL10" s="2136">
        <f>+N9</f>
        <v>29.134132599024685</v>
      </c>
      <c r="AM10" s="2134">
        <f t="shared" si="10"/>
        <v>871.11056471083805</v>
      </c>
      <c r="AN10" s="2134">
        <f t="shared" ref="AN10:AN35" si="123">+AK9</f>
        <v>0</v>
      </c>
      <c r="AO10" s="2136">
        <f t="shared" si="36"/>
        <v>0</v>
      </c>
      <c r="AP10" s="2134">
        <f t="shared" si="37"/>
        <v>0</v>
      </c>
      <c r="AQ10" s="2134">
        <f t="shared" si="11"/>
        <v>2.5343839925902865</v>
      </c>
      <c r="AR10" s="2134">
        <f t="shared" si="38"/>
        <v>3939.6360939549991</v>
      </c>
      <c r="AS10" s="2134">
        <f t="shared" si="39"/>
        <v>-773.38842492230651</v>
      </c>
      <c r="AT10" s="2136">
        <f>+'Recalculos ST'!E11</f>
        <v>36.156022597522785</v>
      </c>
      <c r="AU10" s="2134">
        <f>+'MCP ST'!V4</f>
        <v>96.270823334597765</v>
      </c>
      <c r="AV10" s="3973">
        <f>+Factores!$D$24</f>
        <v>0.96199999999999997</v>
      </c>
      <c r="AW10" s="2134">
        <f t="shared" si="40"/>
        <v>0</v>
      </c>
      <c r="AX10" s="2376">
        <f>'Plan mina ST'!AK8/25.4</f>
        <v>4.382243459787448</v>
      </c>
      <c r="AY10" s="2718">
        <f>+'Recalculos ST'!AK11</f>
        <v>184.5108816616511</v>
      </c>
      <c r="AZ10" s="2138">
        <f>'Plan mina ST'!O8*BA10/1000000*0.79</f>
        <v>2.5343839925902865</v>
      </c>
      <c r="BA10" s="2137">
        <f t="shared" si="41"/>
        <v>6017.6960953208682</v>
      </c>
      <c r="BB10" s="2138">
        <f>'Plan mina ST'!O8*'ST Original'!BT10/1000000*0.8</f>
        <v>3.6059643785561017</v>
      </c>
      <c r="BC10" s="4640"/>
      <c r="BD10" s="2148">
        <f t="shared" si="12"/>
        <v>46084.791666666664</v>
      </c>
      <c r="BE10" s="2149">
        <f>'Plan mina ST'!J8</f>
        <v>4.6400243491630848E-2</v>
      </c>
      <c r="BF10" s="2150">
        <f t="shared" si="42"/>
        <v>1.6055228167385831</v>
      </c>
      <c r="BG10" s="2151">
        <f>'Plan mina ST'!K8</f>
        <v>1.392622194131244</v>
      </c>
      <c r="BH10" s="2150">
        <f t="shared" si="43"/>
        <v>48.186960660616897</v>
      </c>
      <c r="BI10" s="2151">
        <f>'Plan mina ST'!V8</f>
        <v>20.001321136031645</v>
      </c>
      <c r="BJ10" s="2152">
        <f t="shared" si="44"/>
        <v>900.05945112142399</v>
      </c>
      <c r="BK10" s="3395">
        <f>'Plan mina ST'!AI8</f>
        <v>1.8889274729893171</v>
      </c>
      <c r="BL10" s="3399">
        <f>'Recalculos ST'!T11</f>
        <v>6.3325378171074984</v>
      </c>
      <c r="BM10" s="3391">
        <f t="shared" si="45"/>
        <v>0</v>
      </c>
      <c r="BN10" s="3391">
        <f t="shared" si="46"/>
        <v>13.889109701868234</v>
      </c>
      <c r="BO10" s="3391">
        <f t="shared" si="47"/>
        <v>13.889109701868234</v>
      </c>
      <c r="BP10" s="3391">
        <f t="shared" si="48"/>
        <v>27.778219403736468</v>
      </c>
      <c r="BQ10" s="3400">
        <f t="shared" si="49"/>
        <v>14.469959964817026</v>
      </c>
      <c r="BR10" s="3397">
        <f t="shared" si="50"/>
        <v>6710.5682057887007</v>
      </c>
      <c r="BS10" s="2137">
        <f t="shared" si="51"/>
        <v>1680.3842118820737</v>
      </c>
      <c r="BT10" s="3344">
        <f t="shared" si="52"/>
        <v>8455.053713779731</v>
      </c>
      <c r="BU10" s="3345">
        <f t="shared" si="53"/>
        <v>0</v>
      </c>
      <c r="BV10" s="3345">
        <f t="shared" si="54"/>
        <v>2236.7681605726584</v>
      </c>
      <c r="BW10" s="3345">
        <f t="shared" si="55"/>
        <v>2236.7681605726584</v>
      </c>
      <c r="BX10" s="3346">
        <f t="shared" si="56"/>
        <v>0</v>
      </c>
      <c r="BY10" s="3346">
        <f t="shared" si="57"/>
        <v>98.056332111173916</v>
      </c>
      <c r="BZ10" s="3346">
        <f t="shared" si="58"/>
        <v>98.056332111173916</v>
      </c>
      <c r="CA10" s="3346">
        <f t="shared" si="59"/>
        <v>97.12989278992228</v>
      </c>
      <c r="CB10" s="3346">
        <f t="shared" si="60"/>
        <v>71.207391349661293</v>
      </c>
      <c r="CC10" s="3623">
        <f t="shared" si="61"/>
        <v>65.356970343991705</v>
      </c>
      <c r="CD10" s="3348">
        <f t="shared" si="62"/>
        <v>0</v>
      </c>
      <c r="CE10" s="3348">
        <f t="shared" si="63"/>
        <v>98.886834920573264</v>
      </c>
      <c r="CF10" s="3348">
        <f t="shared" si="64"/>
        <v>98.886834920573264</v>
      </c>
      <c r="CG10" s="3348">
        <f t="shared" si="65"/>
        <v>98.356250499976611</v>
      </c>
      <c r="CH10" s="3346">
        <f t="shared" si="66"/>
        <v>71.884827514330382</v>
      </c>
      <c r="CI10" s="3347">
        <f t="shared" si="67"/>
        <v>17.917493228382916</v>
      </c>
      <c r="CJ10" s="3354">
        <f t="shared" si="68"/>
        <v>0</v>
      </c>
      <c r="CK10" s="3355">
        <f t="shared" si="69"/>
        <v>6.4495510000000005</v>
      </c>
      <c r="CL10" s="3355">
        <f t="shared" si="70"/>
        <v>6.4495510000000005</v>
      </c>
      <c r="CM10" s="3356">
        <f t="shared" si="71"/>
        <v>4.3442710000000009</v>
      </c>
      <c r="CN10" s="3356">
        <f t="shared" si="72"/>
        <v>17.243373000000002</v>
      </c>
      <c r="CO10" s="3354">
        <f t="shared" si="73"/>
        <v>0</v>
      </c>
      <c r="CP10" s="3355">
        <f t="shared" si="74"/>
        <v>6.3953843333333333</v>
      </c>
      <c r="CQ10" s="3355">
        <f t="shared" si="75"/>
        <v>6.3953843333333333</v>
      </c>
      <c r="CR10" s="3356">
        <f t="shared" si="76"/>
        <v>4.2901043333333337</v>
      </c>
      <c r="CS10" s="3356">
        <f t="shared" si="77"/>
        <v>17.080873</v>
      </c>
      <c r="CT10" s="3357">
        <f t="shared" si="78"/>
        <v>6.5229208750000005</v>
      </c>
      <c r="CU10" s="2153">
        <f t="shared" si="79"/>
        <v>6.5229208750000005</v>
      </c>
      <c r="CV10" s="2153">
        <f t="shared" si="80"/>
        <v>6.5229208750000005</v>
      </c>
      <c r="CW10" s="3358">
        <f t="shared" si="81"/>
        <v>4.4187373750000001</v>
      </c>
      <c r="CX10" s="3354">
        <f t="shared" si="82"/>
        <v>6.5263200000000001</v>
      </c>
      <c r="CY10" s="3355">
        <f t="shared" si="83"/>
        <v>0</v>
      </c>
      <c r="CZ10" s="3355">
        <f t="shared" si="84"/>
        <v>0</v>
      </c>
      <c r="DA10" s="3356">
        <f t="shared" si="85"/>
        <v>0</v>
      </c>
      <c r="DB10" s="3354">
        <f t="shared" si="86"/>
        <v>6.5263200000000001</v>
      </c>
      <c r="DC10" s="3355">
        <f t="shared" si="87"/>
        <v>7.2602333333333338E-2</v>
      </c>
      <c r="DD10" s="3355">
        <f t="shared" si="88"/>
        <v>7.2602333333333338E-2</v>
      </c>
      <c r="DE10" s="3356">
        <f t="shared" si="89"/>
        <v>7.2602333333333338E-2</v>
      </c>
      <c r="DF10" s="3356">
        <f t="shared" si="90"/>
        <v>6.7441269999999998</v>
      </c>
      <c r="DG10" s="3354">
        <f t="shared" si="91"/>
        <v>6.5263200000000001</v>
      </c>
      <c r="DH10" s="3355">
        <f t="shared" si="92"/>
        <v>0.12676900000000002</v>
      </c>
      <c r="DI10" s="3355">
        <f t="shared" si="93"/>
        <v>0.12676900000000002</v>
      </c>
      <c r="DJ10" s="3356">
        <f t="shared" si="94"/>
        <v>0.12676900000000002</v>
      </c>
      <c r="DK10" s="3356">
        <f t="shared" si="95"/>
        <v>6.9066270000000012</v>
      </c>
      <c r="DL10" s="2137">
        <v>24</v>
      </c>
      <c r="DM10" s="2137">
        <v>0</v>
      </c>
      <c r="DN10" s="2137">
        <v>0</v>
      </c>
      <c r="DO10" s="2137">
        <v>0</v>
      </c>
      <c r="DP10" s="2137">
        <v>0</v>
      </c>
      <c r="DQ10" s="2137">
        <v>0</v>
      </c>
      <c r="DR10" s="2137">
        <v>0</v>
      </c>
      <c r="DS10" s="2137">
        <v>0</v>
      </c>
      <c r="DT10" s="2137">
        <v>0</v>
      </c>
      <c r="DU10" s="2137">
        <v>0</v>
      </c>
      <c r="DV10" s="2137">
        <v>0</v>
      </c>
      <c r="DW10" s="2579">
        <f t="shared" si="96"/>
        <v>0</v>
      </c>
      <c r="DX10" s="2579">
        <f t="shared" si="97"/>
        <v>7.2602333333333338E-2</v>
      </c>
      <c r="DY10" s="2579">
        <f t="shared" si="98"/>
        <v>7.2602333333333338E-2</v>
      </c>
      <c r="DZ10" s="2579">
        <f t="shared" si="99"/>
        <v>7.2602333333333338E-2</v>
      </c>
      <c r="EA10" s="2579">
        <f t="shared" si="100"/>
        <v>0</v>
      </c>
      <c r="EB10" s="2579">
        <f t="shared" si="101"/>
        <v>0</v>
      </c>
      <c r="EC10" s="2579">
        <f t="shared" si="102"/>
        <v>0</v>
      </c>
      <c r="ED10" s="2579">
        <f t="shared" si="103"/>
        <v>0</v>
      </c>
      <c r="EE10" s="2579">
        <f t="shared" si="104"/>
        <v>0</v>
      </c>
      <c r="EF10" s="2579">
        <f t="shared" si="105"/>
        <v>0.05</v>
      </c>
      <c r="EG10" s="2579">
        <f t="shared" si="106"/>
        <v>0.05</v>
      </c>
      <c r="EH10" s="2579">
        <f t="shared" si="107"/>
        <v>0.05</v>
      </c>
      <c r="EI10" s="2579">
        <f t="shared" si="108"/>
        <v>0</v>
      </c>
      <c r="EJ10" s="2579">
        <f t="shared" si="109"/>
        <v>4.1666666666666666E-3</v>
      </c>
      <c r="EK10" s="2579">
        <f t="shared" si="110"/>
        <v>4.1666666666666666E-3</v>
      </c>
      <c r="EL10" s="2581">
        <f t="shared" si="111"/>
        <v>4.1666666666666666E-3</v>
      </c>
      <c r="EM10" s="3341">
        <f t="shared" si="112"/>
        <v>0</v>
      </c>
      <c r="EN10" s="3341">
        <f t="shared" si="113"/>
        <v>4.1666666666666666E-3</v>
      </c>
      <c r="EO10" s="3341">
        <f t="shared" si="114"/>
        <v>4.1666666666666666E-3</v>
      </c>
      <c r="EP10" s="3341">
        <f t="shared" si="115"/>
        <v>4.1666666666666666E-3</v>
      </c>
      <c r="EQ10" s="3319">
        <f t="shared" si="116"/>
        <v>1.2500000000000001E-2</v>
      </c>
      <c r="ER10" s="809">
        <f>+'MCP ST'!H4</f>
        <v>1.0730479867473079</v>
      </c>
      <c r="ES10" s="4236">
        <f t="shared" si="117"/>
        <v>6.7566269999999999</v>
      </c>
      <c r="EZ10" s="2154">
        <f>+'Plan mina ST'!AM8</f>
        <v>0.92801351201014604</v>
      </c>
      <c r="FA10" s="2067">
        <f>IF($FC10&lt;=Factores!$D$3,AX10,"")</f>
        <v>4.382243459787448</v>
      </c>
      <c r="FB10" s="2076"/>
      <c r="FC10" s="2065">
        <f t="shared" si="13"/>
        <v>46084.791666666664</v>
      </c>
      <c r="FD10" s="780">
        <f>IF($FC10&lt;=Factores!$D$3,'ST Original'!C10,"")</f>
        <v>190000.00000005015</v>
      </c>
      <c r="FE10" s="782">
        <f>IF($FC10&lt;=Factores!$D$3,'ST Original'!D10,"")</f>
        <v>653690.04919214093</v>
      </c>
      <c r="FF10" s="780">
        <f>IF($FC10&lt;=Factores!$D$3,'ST Original'!E10,"")</f>
        <v>144424.70628770083</v>
      </c>
      <c r="FG10" s="782"/>
      <c r="FH10" s="2064">
        <f>IF($FC10&lt;=Factores!$D$3,'ST Original'!J10,"")</f>
        <v>71.209860387756578</v>
      </c>
      <c r="FI10" s="781">
        <f>IF($FC10&lt;=Factores!$D$3,'ST Original'!BT10,"")</f>
        <v>8455.053713779731</v>
      </c>
      <c r="FJ10" s="781">
        <f>IF($FC10&lt;=Factores!$D$3,'ST Original'!K10,"")</f>
        <v>92.801351201014597</v>
      </c>
      <c r="FK10" s="2066">
        <f>IF($FC10&lt;=Factores!$D$3,'ST Original'!L10,"")</f>
        <v>0.49680204407498407</v>
      </c>
      <c r="FL10" s="781">
        <f>IF($FC10&lt;=Factores!$D$3,'ST Original'!M10,"")</f>
        <v>90.859006569002403</v>
      </c>
      <c r="FM10" s="781">
        <f>IF($FC10&lt;=Factores!$D$3,'ST Original'!N10,"")</f>
        <v>29.410557320073053</v>
      </c>
      <c r="FN10" s="780">
        <f>IF($FC10&lt;=Factores!$D$3,'ST Original'!O10,"")</f>
        <v>2216.6115750776935</v>
      </c>
      <c r="FO10" s="539">
        <f>IF($FC10&lt;=Factores!$D$3,'ST Original'!R10,"")</f>
        <v>6352.0298356983967</v>
      </c>
      <c r="FP10" s="780">
        <f>IF($FC10&lt;=Factores!$D$3,'ST Original'!S10,"")</f>
        <v>651.91781785159912</v>
      </c>
      <c r="FQ10" s="782">
        <f>IF($FC10&lt;=Factores!$D$3,'ST Original'!V10,"")</f>
        <v>1881.8460939549991</v>
      </c>
      <c r="FR10" s="780">
        <f>IF($FC10&lt;=Factores!$D$3,'ST Original'!W10,"")</f>
        <v>245.13337410328603</v>
      </c>
      <c r="FS10" s="819">
        <f>IF($FC10&lt;=Factores!$D$3,'ST Original'!X10,"")</f>
        <v>92.751969918220823</v>
      </c>
      <c r="FT10" s="819">
        <f>IF($FC10&lt;=Factores!$D$3,'ST Original'!Y10,"")</f>
        <v>87.243989165563761</v>
      </c>
      <c r="FU10" s="819">
        <f>IF($FC10&lt;=Factores!$D$3,'ST Original'!Z10,"")</f>
        <v>80.920518586299536</v>
      </c>
      <c r="FV10" s="819">
        <f>IF($FC10&lt;=Factores!$D$3,'ST Original'!AA10,"")</f>
        <v>50</v>
      </c>
      <c r="FW10" s="539">
        <f>IF($FC10&lt;=Factores!$D$3,'ST Original'!AB10,"")</f>
        <v>57.297093089610101</v>
      </c>
      <c r="FX10" s="539">
        <f>IF($FC10&lt;=Factores!$D$3,'ST Original'!AC10,"")</f>
        <v>57.297093089610101</v>
      </c>
      <c r="FY10" s="819">
        <f>IF($FC10&lt;=Factores!$D$3,AE10,"")</f>
        <v>28.64854654480505</v>
      </c>
      <c r="FZ10" s="782">
        <f>IF($FC10&lt;=Factores!$D$3,AF10,"")</f>
        <v>82.06019304402264</v>
      </c>
      <c r="GA10" s="539">
        <f>IF($FC10&lt;=Factores!$D$3,AG10,"")</f>
        <v>30</v>
      </c>
      <c r="GB10" s="780">
        <f>IF($FC10&lt;=Factores!$D$3,AI10,"")</f>
        <v>734.96995428498894</v>
      </c>
      <c r="GC10" s="782">
        <f>IF($FC10&lt;=Factores!$D$3,AJ10,"")</f>
        <v>2119.7385935896209</v>
      </c>
      <c r="GD10" s="780">
        <f>IF($FC10&lt;=Factores!$D$3,AN10,"")</f>
        <v>0</v>
      </c>
      <c r="GE10" s="539">
        <f>IF($FC10&lt;=Factores!$D$3,AO10,"")</f>
        <v>0</v>
      </c>
      <c r="GF10" s="782">
        <f>IF($FC10&lt;=Factores!$D$3,AP10,"")</f>
        <v>0</v>
      </c>
      <c r="GG10" s="2072">
        <f>IF($FC10&lt;=Factores!$D$3,BI10,"")</f>
        <v>20.001321136031645</v>
      </c>
      <c r="GH10" s="2073">
        <f>IF($FC10&lt;=Factores!$D$3,BJ10,"")</f>
        <v>900.05945112142399</v>
      </c>
      <c r="GI10" s="2069">
        <f>+'Plan mina ST'!AN45</f>
        <v>0</v>
      </c>
      <c r="GJ10" s="2065">
        <f t="shared" si="14"/>
        <v>46084.791666666664</v>
      </c>
      <c r="GK10" s="2067">
        <f>+'Plan mina ST'!J8</f>
        <v>4.6400243491630848E-2</v>
      </c>
      <c r="GL10" s="818">
        <f t="shared" si="15"/>
        <v>2.116265713538553</v>
      </c>
      <c r="GM10" s="539">
        <f t="shared" si="118"/>
        <v>4690.9390765696107</v>
      </c>
      <c r="GN10" s="2077">
        <f t="shared" si="119"/>
        <v>12918.448887807899</v>
      </c>
      <c r="GO10" s="818">
        <f>+'Plan mina ST'!K8</f>
        <v>1.392622194131244</v>
      </c>
      <c r="GP10" s="818">
        <f t="shared" si="16"/>
        <v>72.589732407253621</v>
      </c>
      <c r="GQ10" s="539">
        <f t="shared" si="17"/>
        <v>160903.24108571073</v>
      </c>
      <c r="GR10" s="539">
        <f t="shared" si="120"/>
        <v>460625.80953400303</v>
      </c>
      <c r="GS10" s="781">
        <f>+'Plan mina ST'!V8</f>
        <v>20.001321136031645</v>
      </c>
      <c r="GT10" s="782">
        <f t="shared" si="18"/>
        <v>900.05945112142399</v>
      </c>
      <c r="GU10" s="2072">
        <f>IF($FC10&lt;=Factores!$D$3,AT10,"")</f>
        <v>36.156022597522785</v>
      </c>
      <c r="GW10" s="781">
        <f>+'Plan mina ST'!AI8</f>
        <v>1.8889274729893171</v>
      </c>
      <c r="GX10" s="2078">
        <v>0.5</v>
      </c>
      <c r="GY10" s="819"/>
      <c r="GZ10" s="2065">
        <f t="shared" si="19"/>
        <v>46084.791666666664</v>
      </c>
      <c r="HA10" s="780" t="str">
        <f>IF($FC10&gt;Factores!$D$3,'ST Original'!C10,"")</f>
        <v/>
      </c>
      <c r="HB10" s="782" t="str">
        <f>IF($FC10&gt;Factores!$D$3,'ST Original'!D10,"")</f>
        <v/>
      </c>
      <c r="HC10" s="780" t="str">
        <f>IF($FC10&gt;Factores!$D$3,'ST Original'!E10,"")</f>
        <v/>
      </c>
      <c r="HD10" s="782"/>
      <c r="HE10" s="2064" t="str">
        <f>IF($FC10&gt;Factores!$D$3,'ST Original'!J10,"")</f>
        <v/>
      </c>
      <c r="HF10" s="781" t="str">
        <f>IF($FC10&gt;Factores!$D$3,'ST Original'!BT10,"")</f>
        <v/>
      </c>
      <c r="HG10" s="781" t="str">
        <f>IF($FC10&gt;Factores!$D$3,'ST Original'!K10,"")</f>
        <v/>
      </c>
      <c r="HH10" s="2066" t="str">
        <f>IF($FC10&gt;Factores!$D$3,'ST Original'!L10,"")</f>
        <v/>
      </c>
      <c r="HI10" s="781" t="str">
        <f>IF($FC10&gt;Factores!$D$3,'ST Original'!M10,"")</f>
        <v/>
      </c>
      <c r="HJ10" s="781" t="str">
        <f>IF($FC10&gt;Factores!$D$3,'ST Original'!N10,"")</f>
        <v/>
      </c>
      <c r="HK10" s="780" t="str">
        <f>IF($FC10&gt;Factores!$D$3,'ST Original'!O10,"")</f>
        <v/>
      </c>
      <c r="HL10" s="539" t="str">
        <f>IF($FC10&gt;Factores!$D$3,'ST Original'!R10,"")</f>
        <v/>
      </c>
      <c r="HM10" s="780" t="str">
        <f>IF($FC10&gt;Factores!$D$3,'ST Original'!S10,"")</f>
        <v/>
      </c>
      <c r="HN10" s="782" t="str">
        <f>IF($FC10&gt;Factores!$D$3,'ST Original'!V10,"")</f>
        <v/>
      </c>
      <c r="HO10" s="780" t="str">
        <f>IF($FC10&gt;Factores!$D$3,'ST Original'!W10,"")</f>
        <v/>
      </c>
      <c r="HP10" s="819" t="str">
        <f>IF($FC10&gt;Factores!$D$3,'ST Original'!X10,"")</f>
        <v/>
      </c>
      <c r="HQ10" s="819" t="str">
        <f>IF($FC10&gt;Factores!$D$3,'ST Original'!Y10,"")</f>
        <v/>
      </c>
      <c r="HR10" s="819" t="str">
        <f>IF($FC10&gt;Factores!$D$3,'ST Original'!Z10,"")</f>
        <v/>
      </c>
      <c r="HS10" s="819" t="str">
        <f>IF($FC10&gt;Factores!$D$3,'ST Original'!AA10,"")</f>
        <v/>
      </c>
      <c r="HT10" s="539" t="str">
        <f>IF($FC10&gt;Factores!$D$3,'ST Original'!AB10,"")</f>
        <v/>
      </c>
      <c r="HU10" s="539" t="str">
        <f>IF($FC10&gt;Factores!$D$3,'ST Original'!AC10,"")</f>
        <v/>
      </c>
      <c r="HV10" s="819" t="str">
        <f>IF($FC10&gt;Factores!$D$3,AE10,"")</f>
        <v/>
      </c>
      <c r="HW10" s="782" t="str">
        <f>IF($FC10&gt;Factores!$D$3,AF10,"")</f>
        <v/>
      </c>
      <c r="HX10" s="539" t="str">
        <f>IF($FC10&gt;Factores!$D$3,AG10,"")</f>
        <v/>
      </c>
      <c r="HY10" s="780" t="str">
        <f>IF($FC10&gt;Factores!$D$3,AI10,"")</f>
        <v/>
      </c>
      <c r="HZ10" s="782" t="str">
        <f>IF($FC10&gt;Factores!$D$3,AJ10,"")</f>
        <v/>
      </c>
      <c r="IA10" s="780" t="str">
        <f>IF($FC10&gt;Factores!$D$3,AN10,"")</f>
        <v/>
      </c>
      <c r="IB10" s="539" t="str">
        <f>IF($FC10&gt;Factores!$D$3,AO10,"")</f>
        <v/>
      </c>
      <c r="IC10" s="782" t="str">
        <f>IF($FC10&gt;Factores!$D$3,AP10,"")</f>
        <v/>
      </c>
      <c r="ID10" s="2072" t="str">
        <f>IF($FC10&gt;Factores!$D$3,BI10,"")</f>
        <v/>
      </c>
      <c r="IE10" s="2073" t="str">
        <f>IF($FC10&gt;Factores!$D$3,BJ10,"")</f>
        <v/>
      </c>
      <c r="IF10" s="4237">
        <f t="shared" si="20"/>
        <v>144424.70628770083</v>
      </c>
      <c r="IG10" s="4237">
        <f t="shared" ref="IG10:IG39" si="124">+IG9+IF10</f>
        <v>403798.87801229581</v>
      </c>
      <c r="IH10" s="4234">
        <f t="shared" si="121"/>
        <v>0.49680204407498407</v>
      </c>
      <c r="II10" s="342">
        <f>SUMPRODUCT(IH$8:IH10,IF$8:IF10)/IG10</f>
        <v>0.5133925778723929</v>
      </c>
      <c r="IJ10" s="4235">
        <f t="shared" si="122"/>
        <v>90.859006569002403</v>
      </c>
      <c r="IK10" s="342" cm="1">
        <f t="array" ref="IK10">SUMPRODUCT(IJ$8:IJ10,IF$8:IF10/IG10)</f>
        <v>90.774123191388384</v>
      </c>
    </row>
    <row r="11" spans="1:245" s="744" customFormat="1" ht="14.25" customHeight="1">
      <c r="A11" s="4636"/>
      <c r="B11" s="2133">
        <f t="shared" si="21"/>
        <v>46085.791666666664</v>
      </c>
      <c r="C11" s="2134">
        <f>+'Plan mina ST'!N46*1000</f>
        <v>175916.20114159485</v>
      </c>
      <c r="D11" s="2134">
        <f>+'Plan mina ST'!M46*1000</f>
        <v>684745.40437229315</v>
      </c>
      <c r="E11" s="2134">
        <f>(('Plan mina ST'!O46*1000))</f>
        <v>144860.8459614426</v>
      </c>
      <c r="F11" s="2134">
        <f>+'Plan mina ST'!J46*1000</f>
        <v>38657.659976135241</v>
      </c>
      <c r="G11" s="2134">
        <f t="shared" si="22"/>
        <v>106203.18598530735</v>
      </c>
      <c r="H11" s="2135">
        <f t="shared" si="23"/>
        <v>65.356970343991705</v>
      </c>
      <c r="I11" s="2135">
        <f t="shared" si="24"/>
        <v>97.12989278992228</v>
      </c>
      <c r="J11" s="2135">
        <f t="shared" si="25"/>
        <v>71.209860387756578</v>
      </c>
      <c r="K11" s="2135">
        <f>+'Plan mina ST'!AM9*100</f>
        <v>90.273230106379771</v>
      </c>
      <c r="L11" s="2528">
        <f>'Plan mina ST'!D9</f>
        <v>0.4882136188061143</v>
      </c>
      <c r="M11" s="2135">
        <f>'Plan mina ST'!C9</f>
        <v>90.808026236438835</v>
      </c>
      <c r="N11" s="2136">
        <f>'Plan mina ST'!B9</f>
        <v>27.75556816154316</v>
      </c>
      <c r="O11" s="2134">
        <f t="shared" si="1"/>
        <v>2313.8490400997584</v>
      </c>
      <c r="P11" s="2134">
        <f t="shared" si="2"/>
        <v>1696.3737738563761</v>
      </c>
      <c r="Q11" s="2134">
        <f t="shared" si="3"/>
        <v>617.47526624338241</v>
      </c>
      <c r="R11" s="2134">
        <f t="shared" si="26"/>
        <v>8665.8788757981547</v>
      </c>
      <c r="S11" s="2134">
        <f t="shared" si="4"/>
        <v>642.22194748010054</v>
      </c>
      <c r="T11" s="2134">
        <f t="shared" si="5"/>
        <v>470.83817907724847</v>
      </c>
      <c r="U11" s="2134">
        <f t="shared" si="6"/>
        <v>171.3837684028521</v>
      </c>
      <c r="V11" s="2134">
        <f t="shared" si="27"/>
        <v>2524.0680414350995</v>
      </c>
      <c r="W11" s="2134">
        <f>+'Plan mina ST'!E9</f>
        <v>256.1785536033874</v>
      </c>
      <c r="X11" s="2135">
        <f t="shared" si="28"/>
        <v>92.906500377756615</v>
      </c>
      <c r="Y11" s="3930">
        <f t="shared" ref="Y11:Y15" si="125">(IF(W11&gt;0,$Y$2*LN(W11)+$Y$3,$Y$2*LN(W11)+$Y$3))*$Z$2</f>
        <v>87.365112918942728</v>
      </c>
      <c r="Z11" s="2135">
        <f t="shared" si="30"/>
        <v>81.167868964065022</v>
      </c>
      <c r="AA11" s="2136">
        <v>50</v>
      </c>
      <c r="AB11" s="2134">
        <f t="shared" si="7"/>
        <v>60.243185184896603</v>
      </c>
      <c r="AC11" s="2134">
        <f t="shared" si="31"/>
        <v>60.243185184896603</v>
      </c>
      <c r="AD11" s="2134">
        <f t="shared" si="32"/>
        <v>60</v>
      </c>
      <c r="AE11" s="2134">
        <f t="shared" si="8"/>
        <v>30.121592592448302</v>
      </c>
      <c r="AF11" s="2134">
        <f t="shared" si="33"/>
        <v>112.18178563647095</v>
      </c>
      <c r="AG11" s="2134">
        <v>30</v>
      </c>
      <c r="AH11" s="2134">
        <f>IF(AE11&gt;AG11,AH10+AE11-AG11,AH10+AE11-AG11)</f>
        <v>302.18178563647098</v>
      </c>
      <c r="AI11" s="2134">
        <f t="shared" si="9"/>
        <v>729.54444440560815</v>
      </c>
      <c r="AJ11" s="2134">
        <f t="shared" si="35"/>
        <v>2849.2830379952293</v>
      </c>
      <c r="AK11" s="3914">
        <v>2990</v>
      </c>
      <c r="AL11" s="2136">
        <f t="shared" ref="AL11:AL38" si="126">+N10</f>
        <v>29.410557320073053</v>
      </c>
      <c r="AM11" s="2134">
        <f t="shared" si="10"/>
        <v>879.37566387018433</v>
      </c>
      <c r="AN11" s="2134">
        <f>+AK10</f>
        <v>2990</v>
      </c>
      <c r="AO11" s="2136">
        <f t="shared" si="36"/>
        <v>29.134132599024685</v>
      </c>
      <c r="AP11" s="2134">
        <f t="shared" si="37"/>
        <v>871.11056471083805</v>
      </c>
      <c r="AQ11" s="2134">
        <f t="shared" si="11"/>
        <v>3.1175116449612932</v>
      </c>
      <c r="AR11" s="2134">
        <f t="shared" si="38"/>
        <v>3710.747476724262</v>
      </c>
      <c r="AS11" s="2134">
        <f t="shared" si="39"/>
        <v>-676.15095990024156</v>
      </c>
      <c r="AT11" s="2136">
        <f>+'Recalculos ST'!E12</f>
        <v>35.229162470968802</v>
      </c>
      <c r="AU11" s="2134">
        <f>+'MCP ST'!V5</f>
        <v>93.837024872477173</v>
      </c>
      <c r="AV11" s="3973">
        <f>+Factores!$D$24</f>
        <v>0.96199999999999997</v>
      </c>
      <c r="AW11" s="2134">
        <f t="shared" si="40"/>
        <v>838.00836325182615</v>
      </c>
      <c r="AX11" s="2376">
        <f>'Plan mina ST'!AK9/25.4</f>
        <v>4.3497833756289577</v>
      </c>
      <c r="AY11" s="2718">
        <f>+'Recalculos ST'!AK12</f>
        <v>184.18963336392423</v>
      </c>
      <c r="AZ11" s="2138">
        <f>'Plan mina ST'!O9*BA11/1000000*0.79</f>
        <v>3.1175116449612932</v>
      </c>
      <c r="BA11" s="2137">
        <f t="shared" si="41"/>
        <v>6035.8685817267751</v>
      </c>
      <c r="BB11" s="2138">
        <f>'Plan mina ST'!O9*'ST Original'!BT11/1000000*0.8</f>
        <v>4.4356482578532468</v>
      </c>
      <c r="BC11" s="4640"/>
      <c r="BD11" s="2148">
        <f t="shared" si="12"/>
        <v>46085.791666666664</v>
      </c>
      <c r="BE11" s="2149">
        <f>'Plan mina ST'!J9</f>
        <v>4.238170090514097E-2</v>
      </c>
      <c r="BF11" s="2150">
        <f t="shared" si="42"/>
        <v>1.4664748004537356</v>
      </c>
      <c r="BG11" s="2151">
        <f>'Plan mina ST'!K9</f>
        <v>1.2464253699788432</v>
      </c>
      <c r="BH11" s="2150">
        <f t="shared" si="43"/>
        <v>43.128316152560934</v>
      </c>
      <c r="BI11" s="2151">
        <f>'Plan mina ST'!V9</f>
        <v>24.727257065352916</v>
      </c>
      <c r="BJ11" s="2152">
        <f t="shared" si="44"/>
        <v>1112.7265679408813</v>
      </c>
      <c r="BK11" s="3395">
        <f>'Plan mina ST'!AI9</f>
        <v>1.7226055503714228</v>
      </c>
      <c r="BL11" s="3399">
        <f>'Recalculos ST'!T12</f>
        <v>6.4156338313232064</v>
      </c>
      <c r="BM11" s="3391">
        <f t="shared" si="45"/>
        <v>0</v>
      </c>
      <c r="BN11" s="3391">
        <f t="shared" si="46"/>
        <v>14.197480527903776</v>
      </c>
      <c r="BO11" s="3391">
        <f t="shared" si="47"/>
        <v>14.197480527903776</v>
      </c>
      <c r="BP11" s="3391">
        <f t="shared" si="48"/>
        <v>28.394961055807553</v>
      </c>
      <c r="BQ11" s="3400">
        <f t="shared" si="49"/>
        <v>14.469959964817026</v>
      </c>
      <c r="BR11" s="3397">
        <f t="shared" si="50"/>
        <v>6770.712788700449</v>
      </c>
      <c r="BS11" s="2137">
        <f t="shared" si="51"/>
        <v>1658.6196857215143</v>
      </c>
      <c r="BT11" s="3344">
        <f t="shared" si="52"/>
        <v>8480.5866330632998</v>
      </c>
      <c r="BU11" s="3345">
        <f t="shared" si="53"/>
        <v>0</v>
      </c>
      <c r="BV11" s="3345">
        <f t="shared" si="54"/>
        <v>2256.8155669863027</v>
      </c>
      <c r="BW11" s="3345">
        <f t="shared" si="55"/>
        <v>2256.8155669863027</v>
      </c>
      <c r="BX11" s="3346">
        <f t="shared" si="56"/>
        <v>0</v>
      </c>
      <c r="BY11" s="3346">
        <f t="shared" si="57"/>
        <v>98.056332111173916</v>
      </c>
      <c r="BZ11" s="3346">
        <f t="shared" si="58"/>
        <v>98.056332111173916</v>
      </c>
      <c r="CA11" s="3346">
        <f t="shared" si="59"/>
        <v>97.12989278992228</v>
      </c>
      <c r="CB11" s="3346">
        <f t="shared" si="60"/>
        <v>71.207391349661293</v>
      </c>
      <c r="CC11" s="3623">
        <f t="shared" si="61"/>
        <v>65.356970343991705</v>
      </c>
      <c r="CD11" s="3348">
        <f t="shared" si="62"/>
        <v>0</v>
      </c>
      <c r="CE11" s="3348">
        <f t="shared" si="63"/>
        <v>98.886834920573264</v>
      </c>
      <c r="CF11" s="3348">
        <f t="shared" si="64"/>
        <v>98.886834920573264</v>
      </c>
      <c r="CG11" s="3348">
        <f t="shared" si="65"/>
        <v>98.356250499976611</v>
      </c>
      <c r="CH11" s="3346">
        <f t="shared" si="66"/>
        <v>71.884827514330382</v>
      </c>
      <c r="CI11" s="3347">
        <f t="shared" si="67"/>
        <v>17.917493228382916</v>
      </c>
      <c r="CJ11" s="3354">
        <f t="shared" si="68"/>
        <v>0</v>
      </c>
      <c r="CK11" s="3355">
        <f t="shared" si="69"/>
        <v>6.4495510000000005</v>
      </c>
      <c r="CL11" s="3355">
        <f t="shared" si="70"/>
        <v>6.4495510000000005</v>
      </c>
      <c r="CM11" s="3356">
        <f t="shared" si="71"/>
        <v>4.3442710000000009</v>
      </c>
      <c r="CN11" s="3356">
        <f t="shared" si="72"/>
        <v>17.243373000000002</v>
      </c>
      <c r="CO11" s="3354">
        <f t="shared" si="73"/>
        <v>0</v>
      </c>
      <c r="CP11" s="3355">
        <f t="shared" si="74"/>
        <v>6.3953843333333333</v>
      </c>
      <c r="CQ11" s="3355">
        <f t="shared" si="75"/>
        <v>6.3953843333333333</v>
      </c>
      <c r="CR11" s="3356">
        <f t="shared" si="76"/>
        <v>4.2901043333333337</v>
      </c>
      <c r="CS11" s="3356">
        <f t="shared" si="77"/>
        <v>17.080873</v>
      </c>
      <c r="CT11" s="3357">
        <f t="shared" si="78"/>
        <v>6.5229208750000005</v>
      </c>
      <c r="CU11" s="2153">
        <f t="shared" si="79"/>
        <v>6.5229208750000005</v>
      </c>
      <c r="CV11" s="2153">
        <f t="shared" si="80"/>
        <v>6.5229208750000005</v>
      </c>
      <c r="CW11" s="3358">
        <f t="shared" si="81"/>
        <v>4.4187373750000001</v>
      </c>
      <c r="CX11" s="3354">
        <f t="shared" si="82"/>
        <v>6.5263200000000001</v>
      </c>
      <c r="CY11" s="3355">
        <f t="shared" si="83"/>
        <v>0</v>
      </c>
      <c r="CZ11" s="3355">
        <f t="shared" si="84"/>
        <v>0</v>
      </c>
      <c r="DA11" s="3356">
        <f t="shared" si="85"/>
        <v>0</v>
      </c>
      <c r="DB11" s="3354">
        <f>+CX11+DW11</f>
        <v>6.5263200000000001</v>
      </c>
      <c r="DC11" s="3355">
        <f t="shared" si="87"/>
        <v>7.2602333333333338E-2</v>
      </c>
      <c r="DD11" s="3355">
        <f t="shared" si="88"/>
        <v>7.2602333333333338E-2</v>
      </c>
      <c r="DE11" s="3356">
        <f t="shared" si="89"/>
        <v>7.2602333333333338E-2</v>
      </c>
      <c r="DF11" s="3356">
        <f t="shared" si="90"/>
        <v>6.7441269999999998</v>
      </c>
      <c r="DG11" s="3354">
        <f t="shared" si="91"/>
        <v>6.5263200000000001</v>
      </c>
      <c r="DH11" s="3355">
        <f t="shared" si="92"/>
        <v>0.12676900000000002</v>
      </c>
      <c r="DI11" s="3355">
        <f t="shared" si="93"/>
        <v>0.12676900000000002</v>
      </c>
      <c r="DJ11" s="3356">
        <f t="shared" si="94"/>
        <v>0.12676900000000002</v>
      </c>
      <c r="DK11" s="3356">
        <f t="shared" si="95"/>
        <v>6.9066270000000012</v>
      </c>
      <c r="DL11" s="2137">
        <v>24</v>
      </c>
      <c r="DM11" s="2137">
        <v>0</v>
      </c>
      <c r="DN11" s="2137">
        <v>0</v>
      </c>
      <c r="DO11" s="2137">
        <v>0</v>
      </c>
      <c r="DP11" s="2137">
        <v>0</v>
      </c>
      <c r="DQ11" s="2137">
        <v>0</v>
      </c>
      <c r="DR11" s="2137">
        <v>0</v>
      </c>
      <c r="DS11" s="2137">
        <v>0</v>
      </c>
      <c r="DT11" s="2137">
        <v>0</v>
      </c>
      <c r="DU11" s="2137">
        <v>0</v>
      </c>
      <c r="DV11" s="2137">
        <v>0</v>
      </c>
      <c r="DW11" s="2579">
        <f t="shared" si="96"/>
        <v>0</v>
      </c>
      <c r="DX11" s="2579">
        <f t="shared" si="97"/>
        <v>7.2602333333333338E-2</v>
      </c>
      <c r="DY11" s="2579">
        <f t="shared" si="98"/>
        <v>7.2602333333333338E-2</v>
      </c>
      <c r="DZ11" s="2579">
        <f t="shared" si="99"/>
        <v>7.2602333333333338E-2</v>
      </c>
      <c r="EA11" s="2579">
        <f t="shared" si="100"/>
        <v>0</v>
      </c>
      <c r="EB11" s="2579">
        <f t="shared" si="101"/>
        <v>0</v>
      </c>
      <c r="EC11" s="2579">
        <f t="shared" si="102"/>
        <v>0</v>
      </c>
      <c r="ED11" s="2579">
        <f t="shared" si="103"/>
        <v>0</v>
      </c>
      <c r="EE11" s="2579">
        <f t="shared" si="104"/>
        <v>0</v>
      </c>
      <c r="EF11" s="2579">
        <f t="shared" si="105"/>
        <v>0.05</v>
      </c>
      <c r="EG11" s="2579">
        <f t="shared" si="106"/>
        <v>0.05</v>
      </c>
      <c r="EH11" s="2579">
        <f t="shared" si="107"/>
        <v>0.05</v>
      </c>
      <c r="EI11" s="2579">
        <f t="shared" si="108"/>
        <v>0</v>
      </c>
      <c r="EJ11" s="2579">
        <f t="shared" si="109"/>
        <v>4.1666666666666666E-3</v>
      </c>
      <c r="EK11" s="2579">
        <f t="shared" si="110"/>
        <v>4.1666666666666666E-3</v>
      </c>
      <c r="EL11" s="2581">
        <f t="shared" si="111"/>
        <v>4.1666666666666666E-3</v>
      </c>
      <c r="EM11" s="3341">
        <f t="shared" si="112"/>
        <v>0</v>
      </c>
      <c r="EN11" s="3341">
        <f t="shared" si="113"/>
        <v>4.1666666666666666E-3</v>
      </c>
      <c r="EO11" s="3341">
        <f t="shared" si="114"/>
        <v>4.1666666666666666E-3</v>
      </c>
      <c r="EP11" s="3341">
        <f t="shared" si="115"/>
        <v>4.1666666666666666E-3</v>
      </c>
      <c r="EQ11" s="3319">
        <f t="shared" si="116"/>
        <v>1.2500000000000001E-2</v>
      </c>
      <c r="ER11" s="809">
        <f>+'MCP ST'!H5</f>
        <v>1.2242637398894891</v>
      </c>
      <c r="ES11" s="4236">
        <f t="shared" si="117"/>
        <v>6.7566269999999999</v>
      </c>
      <c r="EZ11" s="2154">
        <f>+'Plan mina ST'!AM9</f>
        <v>0.90273230106379776</v>
      </c>
      <c r="FA11" s="2067">
        <f>IF($FC11&lt;=Factores!$D$3,AX11,"")</f>
        <v>4.3497833756289577</v>
      </c>
      <c r="FB11" s="2076"/>
      <c r="FC11" s="2065">
        <f t="shared" si="13"/>
        <v>46085.791666666664</v>
      </c>
      <c r="FD11" s="780">
        <f>IF($FC11&lt;=Factores!$D$3,'ST Original'!C11,"")</f>
        <v>175916.20114159485</v>
      </c>
      <c r="FE11" s="782">
        <f>IF($FC11&lt;=Factores!$D$3,'ST Original'!D11,"")</f>
        <v>684745.40437229315</v>
      </c>
      <c r="FF11" s="780">
        <f>IF($FC11&lt;=Factores!$D$3,'ST Original'!E11,"")</f>
        <v>144860.8459614426</v>
      </c>
      <c r="FG11" s="782"/>
      <c r="FH11" s="2064">
        <f>IF($FC11&lt;=Factores!$D$3,'ST Original'!J11,"")</f>
        <v>71.209860387756578</v>
      </c>
      <c r="FI11" s="781">
        <f>IF($FC11&lt;=Factores!$D$3,'ST Original'!BT11,"")</f>
        <v>8480.5866330632998</v>
      </c>
      <c r="FJ11" s="781">
        <f>IF($FC11&lt;=Factores!$D$3,'ST Original'!K11,"")</f>
        <v>90.273230106379771</v>
      </c>
      <c r="FK11" s="2066">
        <f>IF($FC11&lt;=Factores!$D$3,'ST Original'!L11,"")</f>
        <v>0.4882136188061143</v>
      </c>
      <c r="FL11" s="781">
        <f>IF($FC11&lt;=Factores!$D$3,'ST Original'!M11,"")</f>
        <v>90.808026236438835</v>
      </c>
      <c r="FM11" s="781">
        <f>IF($FC11&lt;=Factores!$D$3,'ST Original'!N11,"")</f>
        <v>27.75556816154316</v>
      </c>
      <c r="FN11" s="780">
        <f>IF($FC11&lt;=Factores!$D$3,'ST Original'!O11,"")</f>
        <v>2313.8490400997584</v>
      </c>
      <c r="FO11" s="539">
        <f>IF($FC11&lt;=Factores!$D$3,'ST Original'!R11,"")</f>
        <v>8665.8788757981547</v>
      </c>
      <c r="FP11" s="780">
        <f>IF($FC11&lt;=Factores!$D$3,'ST Original'!S11,"")</f>
        <v>642.22194748010054</v>
      </c>
      <c r="FQ11" s="782">
        <f>IF($FC11&lt;=Factores!$D$3,'ST Original'!V11,"")</f>
        <v>2524.0680414350995</v>
      </c>
      <c r="FR11" s="780">
        <f>IF($FC11&lt;=Factores!$D$3,'ST Original'!W11,"")</f>
        <v>256.1785536033874</v>
      </c>
      <c r="FS11" s="819">
        <f>IF($FC11&lt;=Factores!$D$3,'ST Original'!X11,"")</f>
        <v>92.906500377756615</v>
      </c>
      <c r="FT11" s="819">
        <f>IF($FC11&lt;=Factores!$D$3,'ST Original'!Y11,"")</f>
        <v>87.365112918942728</v>
      </c>
      <c r="FU11" s="819">
        <f>IF($FC11&lt;=Factores!$D$3,'ST Original'!Z11,"")</f>
        <v>81.167868964065022</v>
      </c>
      <c r="FV11" s="819">
        <f>IF($FC11&lt;=Factores!$D$3,'ST Original'!AA11,"")</f>
        <v>50</v>
      </c>
      <c r="FW11" s="539">
        <f>IF($FC11&lt;=Factores!$D$3,'ST Original'!AB11,"")</f>
        <v>60.243185184896603</v>
      </c>
      <c r="FX11" s="539">
        <f>IF($FC11&lt;=Factores!$D$3,'ST Original'!AC11,"")</f>
        <v>60.243185184896603</v>
      </c>
      <c r="FY11" s="819">
        <f>IF($FC11&lt;=Factores!$D$3,AE11,"")</f>
        <v>30.121592592448302</v>
      </c>
      <c r="FZ11" s="782">
        <f>IF($FC11&lt;=Factores!$D$3,AF11,"")</f>
        <v>112.18178563647095</v>
      </c>
      <c r="GA11" s="539">
        <f>IF($FC11&lt;=Factores!$D$3,AG11,"")</f>
        <v>30</v>
      </c>
      <c r="GB11" s="780">
        <f>IF($FC11&lt;=Factores!$D$3,AI11,"")</f>
        <v>729.54444440560815</v>
      </c>
      <c r="GC11" s="782">
        <f>IF($FC11&lt;=Factores!$D$3,AJ11,"")</f>
        <v>2849.2830379952293</v>
      </c>
      <c r="GD11" s="780">
        <f>IF($FC11&lt;=Factores!$D$3,AN11,"")</f>
        <v>2990</v>
      </c>
      <c r="GE11" s="539">
        <f>IF($FC11&lt;=Factores!$D$3,AO11,"")</f>
        <v>29.134132599024685</v>
      </c>
      <c r="GF11" s="782">
        <f>IF($FC11&lt;=Factores!$D$3,AP11,"")</f>
        <v>871.11056471083805</v>
      </c>
      <c r="GG11" s="2072">
        <f>IF($FC11&lt;=Factores!$D$3,BI11,"")</f>
        <v>24.727257065352916</v>
      </c>
      <c r="GH11" s="2073">
        <f>IF($FC11&lt;=Factores!$D$3,BJ11,"")</f>
        <v>1112.7265679408813</v>
      </c>
      <c r="GI11" s="2069">
        <f>+'Plan mina ST'!AN46</f>
        <v>0</v>
      </c>
      <c r="GJ11" s="2065">
        <f t="shared" si="14"/>
        <v>46085.791666666664</v>
      </c>
      <c r="GK11" s="2067">
        <f>+'Plan mina ST'!J9</f>
        <v>4.238170090514097E-2</v>
      </c>
      <c r="GL11" s="818">
        <f t="shared" si="15"/>
        <v>1.8573443029356855</v>
      </c>
      <c r="GM11" s="539">
        <f t="shared" si="118"/>
        <v>4297.6143324824907</v>
      </c>
      <c r="GN11" s="2077">
        <f t="shared" si="119"/>
        <v>17216.063220290391</v>
      </c>
      <c r="GO11" s="818">
        <f>+'Plan mina ST'!K9</f>
        <v>1.2464253699788432</v>
      </c>
      <c r="GP11" s="818">
        <f t="shared" si="16"/>
        <v>62.426970954044528</v>
      </c>
      <c r="GQ11" s="539">
        <f t="shared" si="17"/>
        <v>144446.58681835144</v>
      </c>
      <c r="GR11" s="539">
        <f t="shared" si="120"/>
        <v>605072.39635235444</v>
      </c>
      <c r="GS11" s="781">
        <f>+'Plan mina ST'!V9</f>
        <v>24.727257065352916</v>
      </c>
      <c r="GT11" s="782">
        <f t="shared" si="18"/>
        <v>1112.7265679408813</v>
      </c>
      <c r="GU11" s="2072">
        <f>IF($FC11&lt;=Factores!$D$3,AT11,"")</f>
        <v>35.229162470968802</v>
      </c>
      <c r="GW11" s="781">
        <f>+'Plan mina ST'!AI9</f>
        <v>1.7226055503714228</v>
      </c>
      <c r="GX11" s="2078">
        <v>0.5</v>
      </c>
      <c r="GY11" s="819"/>
      <c r="GZ11" s="2065">
        <f t="shared" si="19"/>
        <v>46085.791666666664</v>
      </c>
      <c r="HA11" s="780" t="str">
        <f>IF($FC11&gt;Factores!$D$3,'ST Original'!C11,"")</f>
        <v/>
      </c>
      <c r="HB11" s="782" t="str">
        <f>IF($FC11&gt;Factores!$D$3,'ST Original'!D11,"")</f>
        <v/>
      </c>
      <c r="HC11" s="780" t="str">
        <f>IF($FC11&gt;Factores!$D$3,'ST Original'!E11,"")</f>
        <v/>
      </c>
      <c r="HD11" s="782"/>
      <c r="HE11" s="2064" t="str">
        <f>IF($FC11&gt;Factores!$D$3,'ST Original'!J11,"")</f>
        <v/>
      </c>
      <c r="HF11" s="781" t="str">
        <f>IF($FC11&gt;Factores!$D$3,'ST Original'!BT11,"")</f>
        <v/>
      </c>
      <c r="HG11" s="781" t="str">
        <f>IF($FC11&gt;Factores!$D$3,'ST Original'!K11,"")</f>
        <v/>
      </c>
      <c r="HH11" s="2066" t="str">
        <f>IF($FC11&gt;Factores!$D$3,'ST Original'!L11,"")</f>
        <v/>
      </c>
      <c r="HI11" s="781" t="str">
        <f>IF($FC11&gt;Factores!$D$3,'ST Original'!M11,"")</f>
        <v/>
      </c>
      <c r="HJ11" s="781" t="str">
        <f>IF($FC11&gt;Factores!$D$3,'ST Original'!N11,"")</f>
        <v/>
      </c>
      <c r="HK11" s="780" t="str">
        <f>IF($FC11&gt;Factores!$D$3,'ST Original'!O11,"")</f>
        <v/>
      </c>
      <c r="HL11" s="539" t="str">
        <f>IF($FC11&gt;Factores!$D$3,'ST Original'!R11,"")</f>
        <v/>
      </c>
      <c r="HM11" s="780" t="str">
        <f>IF($FC11&gt;Factores!$D$3,'ST Original'!S11,"")</f>
        <v/>
      </c>
      <c r="HN11" s="782" t="str">
        <f>IF($FC11&gt;Factores!$D$3,'ST Original'!V11,"")</f>
        <v/>
      </c>
      <c r="HO11" s="780" t="str">
        <f>IF($FC11&gt;Factores!$D$3,'ST Original'!W11,"")</f>
        <v/>
      </c>
      <c r="HP11" s="819" t="str">
        <f>IF($FC11&gt;Factores!$D$3,'ST Original'!X11,"")</f>
        <v/>
      </c>
      <c r="HQ11" s="819" t="str">
        <f>IF($FC11&gt;Factores!$D$3,'ST Original'!Y11,"")</f>
        <v/>
      </c>
      <c r="HR11" s="819" t="str">
        <f>IF($FC11&gt;Factores!$D$3,'ST Original'!Z11,"")</f>
        <v/>
      </c>
      <c r="HS11" s="819" t="str">
        <f>IF($FC11&gt;Factores!$D$3,'ST Original'!AA11,"")</f>
        <v/>
      </c>
      <c r="HT11" s="539" t="str">
        <f>IF($FC11&gt;Factores!$D$3,'ST Original'!AB11,"")</f>
        <v/>
      </c>
      <c r="HU11" s="539" t="str">
        <f>IF($FC11&gt;Factores!$D$3,'ST Original'!AC11,"")</f>
        <v/>
      </c>
      <c r="HV11" s="819" t="str">
        <f>IF($FC11&gt;Factores!$D$3,AE11,"")</f>
        <v/>
      </c>
      <c r="HW11" s="782" t="str">
        <f>IF($FC11&gt;Factores!$D$3,AF11,"")</f>
        <v/>
      </c>
      <c r="HX11" s="539" t="str">
        <f>IF($FC11&gt;Factores!$D$3,AG11,"")</f>
        <v/>
      </c>
      <c r="HY11" s="780" t="str">
        <f>IF($FC11&gt;Factores!$D$3,AI11,"")</f>
        <v/>
      </c>
      <c r="HZ11" s="782" t="str">
        <f>IF($FC11&gt;Factores!$D$3,AJ11,"")</f>
        <v/>
      </c>
      <c r="IA11" s="780" t="str">
        <f>IF($FC11&gt;Factores!$D$3,AN11,"")</f>
        <v/>
      </c>
      <c r="IB11" s="539" t="str">
        <f>IF($FC11&gt;Factores!$D$3,AO11,"")</f>
        <v/>
      </c>
      <c r="IC11" s="782" t="str">
        <f>IF($FC11&gt;Factores!$D$3,AP11,"")</f>
        <v/>
      </c>
      <c r="ID11" s="2072" t="str">
        <f>IF($FC11&gt;Factores!$D$3,BI11,"")</f>
        <v/>
      </c>
      <c r="IE11" s="2073" t="str">
        <f>IF($FC11&gt;Factores!$D$3,BJ11,"")</f>
        <v/>
      </c>
      <c r="IF11" s="4237">
        <f t="shared" si="20"/>
        <v>144860.8459614426</v>
      </c>
      <c r="IG11" s="4237">
        <f t="shared" si="124"/>
        <v>548659.72397373838</v>
      </c>
      <c r="IH11" s="4234">
        <f t="shared" si="121"/>
        <v>0.4882136188061143</v>
      </c>
      <c r="II11" s="342">
        <f>SUMPRODUCT(IH$8:IH11,IF$8:IF11)/IG11</f>
        <v>0.50674465904147792</v>
      </c>
      <c r="IJ11" s="4235">
        <f t="shared" si="122"/>
        <v>90.808026236438835</v>
      </c>
      <c r="IK11" s="342" cm="1">
        <f t="array" ref="IK11">SUMPRODUCT(IJ$8:IJ11,IF$8:IF11/IG11)</f>
        <v>90.783074502323188</v>
      </c>
    </row>
    <row r="12" spans="1:245" s="744" customFormat="1" ht="14.25" customHeight="1" thickBot="1">
      <c r="A12" s="4636"/>
      <c r="B12" s="2133">
        <f t="shared" si="21"/>
        <v>46086.791666666664</v>
      </c>
      <c r="C12" s="2134">
        <f>+'Plan mina ST'!N47*1000</f>
        <v>180000.09726478133</v>
      </c>
      <c r="D12" s="2134">
        <f>+'Plan mina ST'!M47*1000</f>
        <v>713827.72987393534</v>
      </c>
      <c r="E12" s="2134">
        <f>(('Plan mina ST'!O47*1000))</f>
        <v>150917.77176313917</v>
      </c>
      <c r="F12" s="2134">
        <f>+'Plan mina ST'!J47*1000</f>
        <v>40222.174573379933</v>
      </c>
      <c r="G12" s="2134">
        <f t="shared" si="22"/>
        <v>110695.59718975924</v>
      </c>
      <c r="H12" s="2135">
        <f t="shared" si="23"/>
        <v>65.356970343991705</v>
      </c>
      <c r="I12" s="2135">
        <f t="shared" si="24"/>
        <v>97.12989278992228</v>
      </c>
      <c r="J12" s="2135">
        <f t="shared" si="25"/>
        <v>71.209860387756578</v>
      </c>
      <c r="K12" s="2135">
        <f>+'Plan mina ST'!AM10*100</f>
        <v>78.593808913985441</v>
      </c>
      <c r="L12" s="2528">
        <f>'Plan mina ST'!D10</f>
        <v>0.49844229396827905</v>
      </c>
      <c r="M12" s="2135">
        <f>'Plan mina ST'!C10</f>
        <v>90.004166198440984</v>
      </c>
      <c r="N12" s="2136">
        <f>'Plan mina ST'!B10</f>
        <v>27.081789545143941</v>
      </c>
      <c r="O12" s="2134">
        <f t="shared" si="1"/>
        <v>2500.0029699779629</v>
      </c>
      <c r="P12" s="2134">
        <f t="shared" si="2"/>
        <v>1833.7093007986912</v>
      </c>
      <c r="Q12" s="2134">
        <f t="shared" si="3"/>
        <v>666.29366917927211</v>
      </c>
      <c r="R12" s="2134">
        <f t="shared" si="26"/>
        <v>11165.881845776117</v>
      </c>
      <c r="S12" s="2134">
        <f t="shared" si="4"/>
        <v>677.04554295177991</v>
      </c>
      <c r="T12" s="2134">
        <f t="shared" si="5"/>
        <v>496.60129371203197</v>
      </c>
      <c r="U12" s="2134">
        <f t="shared" si="6"/>
        <v>180.44424923974805</v>
      </c>
      <c r="V12" s="2134">
        <f t="shared" si="27"/>
        <v>3201.1135843868797</v>
      </c>
      <c r="W12" s="2134">
        <f>+'Plan mina ST'!E10</f>
        <v>269.23170975716766</v>
      </c>
      <c r="X12" s="2135">
        <f t="shared" si="28"/>
        <v>93.080755447893097</v>
      </c>
      <c r="Y12" s="3930">
        <f t="shared" si="125"/>
        <v>87.501697176853099</v>
      </c>
      <c r="Z12" s="2135">
        <f t="shared" si="30"/>
        <v>81.447240761942609</v>
      </c>
      <c r="AA12" s="2136">
        <v>50</v>
      </c>
      <c r="AB12" s="2134">
        <f t="shared" si="7"/>
        <v>66.187040942340516</v>
      </c>
      <c r="AC12" s="2134">
        <f t="shared" si="31"/>
        <v>66.187040942340516</v>
      </c>
      <c r="AD12" s="2134">
        <f t="shared" si="32"/>
        <v>60</v>
      </c>
      <c r="AE12" s="2134">
        <f t="shared" si="8"/>
        <v>33.093520471170258</v>
      </c>
      <c r="AF12" s="2134">
        <f t="shared" si="33"/>
        <v>145.2753061076412</v>
      </c>
      <c r="AG12" s="2134">
        <v>30</v>
      </c>
      <c r="AH12" s="2134">
        <f t="shared" si="34"/>
        <v>305.27530610764126</v>
      </c>
      <c r="AI12" s="2134">
        <f t="shared" si="9"/>
        <v>772.98365879770245</v>
      </c>
      <c r="AJ12" s="2134">
        <f t="shared" si="35"/>
        <v>3622.2666967929317</v>
      </c>
      <c r="AK12" s="3914">
        <v>2990</v>
      </c>
      <c r="AL12" s="2136">
        <f t="shared" si="126"/>
        <v>27.75556816154316</v>
      </c>
      <c r="AM12" s="2134">
        <f t="shared" si="10"/>
        <v>829.89148803014041</v>
      </c>
      <c r="AN12" s="2134">
        <f t="shared" si="123"/>
        <v>2990</v>
      </c>
      <c r="AO12" s="2136">
        <f t="shared" si="36"/>
        <v>29.410557320073053</v>
      </c>
      <c r="AP12" s="2134">
        <f t="shared" si="37"/>
        <v>879.37566387018433</v>
      </c>
      <c r="AQ12" s="2134">
        <f t="shared" si="11"/>
        <v>5.4491281056883967</v>
      </c>
      <c r="AR12" s="2134">
        <f t="shared" si="38"/>
        <v>3508.4173558058574</v>
      </c>
      <c r="AS12" s="2134">
        <f t="shared" si="39"/>
        <v>-489.99703002203705</v>
      </c>
      <c r="AT12" s="2136">
        <f>+'Recalculos ST'!E13</f>
        <v>36.905824554680905</v>
      </c>
      <c r="AU12" s="2134">
        <f>+'MCP ST'!V6</f>
        <v>86.83290792940636</v>
      </c>
      <c r="AV12" s="3973">
        <f>+Factores!$D$24</f>
        <v>0.96199999999999997</v>
      </c>
      <c r="AW12" s="2134">
        <f t="shared" si="40"/>
        <v>845.95938864311734</v>
      </c>
      <c r="AX12" s="2376">
        <f>'Plan mina ST'!AK10/25.4</f>
        <v>4.2831893945972972</v>
      </c>
      <c r="AY12" s="2718">
        <f>+'Recalculos ST'!AK13</f>
        <v>188.49951296333694</v>
      </c>
      <c r="AZ12" s="2138">
        <f>'Plan mina ST'!O10*BA12/1000000*0.79</f>
        <v>5.4491281056883967</v>
      </c>
      <c r="BA12" s="2137">
        <f t="shared" si="41"/>
        <v>6288.2404901307991</v>
      </c>
      <c r="BB12" s="2138">
        <f>'Plan mina ST'!O10*'ST Original'!BT12/1000000*0.8</f>
        <v>7.7531115650783722</v>
      </c>
      <c r="BC12" s="4640"/>
      <c r="BD12" s="2148">
        <f t="shared" si="12"/>
        <v>46086.791666666664</v>
      </c>
      <c r="BE12" s="2149">
        <f>'Plan mina ST'!J10</f>
        <v>2.8175410036552922E-2</v>
      </c>
      <c r="BF12" s="2150">
        <f t="shared" si="42"/>
        <v>0.97491435993886977</v>
      </c>
      <c r="BG12" s="2151">
        <f>'Plan mina ST'!K10</f>
        <v>0.98452834084467789</v>
      </c>
      <c r="BH12" s="2150">
        <f t="shared" si="43"/>
        <v>34.066259053942609</v>
      </c>
      <c r="BI12" s="2151">
        <f>'Plan mina ST'!V10</f>
        <v>18.480650909820113</v>
      </c>
      <c r="BJ12" s="2152">
        <f t="shared" si="44"/>
        <v>831.62929094190508</v>
      </c>
      <c r="BK12" s="3395">
        <f>'Plan mina ST'!AI10</f>
        <v>1.5239942409106315</v>
      </c>
      <c r="BL12" s="3399">
        <f>'Recalculos ST'!T13</f>
        <v>6.1660860909003139</v>
      </c>
      <c r="BM12" s="3391">
        <f t="shared" si="45"/>
        <v>0</v>
      </c>
      <c r="BN12" s="3391">
        <f t="shared" si="46"/>
        <v>14.222439635124395</v>
      </c>
      <c r="BO12" s="3391">
        <f t="shared" si="47"/>
        <v>14.222439635124395</v>
      </c>
      <c r="BP12" s="3391">
        <f t="shared" si="48"/>
        <v>28.444879270248791</v>
      </c>
      <c r="BQ12" s="3400">
        <f t="shared" si="49"/>
        <v>14.469959964817026</v>
      </c>
      <c r="BR12" s="3397">
        <f t="shared" si="50"/>
        <v>7057.1149875788478</v>
      </c>
      <c r="BS12" s="2137">
        <f t="shared" si="51"/>
        <v>1725.7457019157346</v>
      </c>
      <c r="BT12" s="3344">
        <f t="shared" si="52"/>
        <v>8835.1771619975043</v>
      </c>
      <c r="BU12" s="3345">
        <f t="shared" si="53"/>
        <v>0</v>
      </c>
      <c r="BV12" s="3345">
        <f t="shared" si="54"/>
        <v>2352.2792147615514</v>
      </c>
      <c r="BW12" s="3345">
        <f t="shared" si="55"/>
        <v>2352.2792147615514</v>
      </c>
      <c r="BX12" s="3346">
        <f t="shared" si="56"/>
        <v>0</v>
      </c>
      <c r="BY12" s="3346">
        <f t="shared" si="57"/>
        <v>98.056332111173916</v>
      </c>
      <c r="BZ12" s="3346">
        <f t="shared" si="58"/>
        <v>98.056332111173916</v>
      </c>
      <c r="CA12" s="3346">
        <f t="shared" si="59"/>
        <v>97.12989278992228</v>
      </c>
      <c r="CB12" s="3346">
        <f t="shared" si="60"/>
        <v>71.207391349661293</v>
      </c>
      <c r="CC12" s="3623">
        <f t="shared" si="61"/>
        <v>65.356970343991705</v>
      </c>
      <c r="CD12" s="3348">
        <f t="shared" si="62"/>
        <v>0</v>
      </c>
      <c r="CE12" s="3348">
        <f t="shared" si="63"/>
        <v>98.886834920573264</v>
      </c>
      <c r="CF12" s="3348">
        <f t="shared" si="64"/>
        <v>98.886834920573264</v>
      </c>
      <c r="CG12" s="3348">
        <f t="shared" si="65"/>
        <v>98.356250499976611</v>
      </c>
      <c r="CH12" s="3346">
        <f t="shared" si="66"/>
        <v>71.884827514330382</v>
      </c>
      <c r="CI12" s="3347">
        <f t="shared" si="67"/>
        <v>17.917493228382916</v>
      </c>
      <c r="CJ12" s="3354">
        <f t="shared" si="68"/>
        <v>0</v>
      </c>
      <c r="CK12" s="3355">
        <f t="shared" si="69"/>
        <v>6.4495510000000005</v>
      </c>
      <c r="CL12" s="3355">
        <f t="shared" si="70"/>
        <v>6.4495510000000005</v>
      </c>
      <c r="CM12" s="3356">
        <f t="shared" si="71"/>
        <v>4.3442710000000009</v>
      </c>
      <c r="CN12" s="3356">
        <f t="shared" si="72"/>
        <v>17.243373000000002</v>
      </c>
      <c r="CO12" s="3354">
        <f t="shared" si="73"/>
        <v>0</v>
      </c>
      <c r="CP12" s="3355">
        <f t="shared" si="74"/>
        <v>6.3953843333333333</v>
      </c>
      <c r="CQ12" s="3355">
        <f t="shared" si="75"/>
        <v>6.3953843333333333</v>
      </c>
      <c r="CR12" s="3356">
        <f t="shared" si="76"/>
        <v>4.2901043333333337</v>
      </c>
      <c r="CS12" s="3356">
        <f t="shared" si="77"/>
        <v>17.080873</v>
      </c>
      <c r="CT12" s="3357">
        <f t="shared" si="78"/>
        <v>6.5229208750000005</v>
      </c>
      <c r="CU12" s="2153">
        <f t="shared" si="79"/>
        <v>6.5229208750000005</v>
      </c>
      <c r="CV12" s="2153">
        <f t="shared" si="80"/>
        <v>6.5229208750000005</v>
      </c>
      <c r="CW12" s="3358">
        <f t="shared" si="81"/>
        <v>4.4187373750000001</v>
      </c>
      <c r="CX12" s="3354">
        <f t="shared" si="82"/>
        <v>6.5263200000000001</v>
      </c>
      <c r="CY12" s="3355">
        <f t="shared" si="83"/>
        <v>0</v>
      </c>
      <c r="CZ12" s="3355">
        <f t="shared" si="84"/>
        <v>0</v>
      </c>
      <c r="DA12" s="3356">
        <f t="shared" si="85"/>
        <v>0</v>
      </c>
      <c r="DB12" s="3354">
        <f t="shared" si="86"/>
        <v>6.5263200000000001</v>
      </c>
      <c r="DC12" s="3355">
        <f t="shared" si="87"/>
        <v>7.2602333333333338E-2</v>
      </c>
      <c r="DD12" s="3355">
        <f t="shared" si="88"/>
        <v>7.2602333333333338E-2</v>
      </c>
      <c r="DE12" s="3356">
        <f t="shared" si="89"/>
        <v>7.2602333333333338E-2</v>
      </c>
      <c r="DF12" s="3356">
        <f t="shared" si="90"/>
        <v>6.7441269999999998</v>
      </c>
      <c r="DG12" s="3354">
        <f t="shared" si="91"/>
        <v>6.5263200000000001</v>
      </c>
      <c r="DH12" s="3355">
        <f t="shared" si="92"/>
        <v>0.12676900000000002</v>
      </c>
      <c r="DI12" s="3355">
        <f t="shared" si="93"/>
        <v>0.12676900000000002</v>
      </c>
      <c r="DJ12" s="3356">
        <f t="shared" si="94"/>
        <v>0.12676900000000002</v>
      </c>
      <c r="DK12" s="3356">
        <f t="shared" si="95"/>
        <v>6.9066270000000012</v>
      </c>
      <c r="DL12" s="2137">
        <v>24</v>
      </c>
      <c r="DM12" s="2137">
        <v>0</v>
      </c>
      <c r="DN12" s="2137">
        <v>0</v>
      </c>
      <c r="DO12" s="2137">
        <v>0</v>
      </c>
      <c r="DP12" s="2137">
        <v>0</v>
      </c>
      <c r="DQ12" s="2137">
        <v>0</v>
      </c>
      <c r="DR12" s="2137">
        <v>0</v>
      </c>
      <c r="DS12" s="2137">
        <v>0</v>
      </c>
      <c r="DT12" s="2137">
        <v>0</v>
      </c>
      <c r="DU12" s="2137">
        <v>0</v>
      </c>
      <c r="DV12" s="2137">
        <v>0</v>
      </c>
      <c r="DW12" s="2579">
        <f t="shared" si="96"/>
        <v>0</v>
      </c>
      <c r="DX12" s="2579">
        <f t="shared" si="97"/>
        <v>7.2602333333333338E-2</v>
      </c>
      <c r="DY12" s="2579">
        <f t="shared" si="98"/>
        <v>7.2602333333333338E-2</v>
      </c>
      <c r="DZ12" s="2579">
        <f t="shared" si="99"/>
        <v>7.2602333333333338E-2</v>
      </c>
      <c r="EA12" s="2579">
        <f t="shared" si="100"/>
        <v>0</v>
      </c>
      <c r="EB12" s="2579">
        <f t="shared" si="101"/>
        <v>0</v>
      </c>
      <c r="EC12" s="2579">
        <f t="shared" si="102"/>
        <v>0</v>
      </c>
      <c r="ED12" s="2579">
        <f t="shared" si="103"/>
        <v>0</v>
      </c>
      <c r="EE12" s="2579">
        <f t="shared" si="104"/>
        <v>0</v>
      </c>
      <c r="EF12" s="2579">
        <f t="shared" si="105"/>
        <v>0.05</v>
      </c>
      <c r="EG12" s="2579">
        <f t="shared" si="106"/>
        <v>0.05</v>
      </c>
      <c r="EH12" s="2579">
        <f t="shared" si="107"/>
        <v>0.05</v>
      </c>
      <c r="EI12" s="2579">
        <f t="shared" si="108"/>
        <v>0</v>
      </c>
      <c r="EJ12" s="2579">
        <f t="shared" si="109"/>
        <v>4.1666666666666666E-3</v>
      </c>
      <c r="EK12" s="2579">
        <f t="shared" si="110"/>
        <v>4.1666666666666666E-3</v>
      </c>
      <c r="EL12" s="2581">
        <f t="shared" si="111"/>
        <v>4.1666666666666666E-3</v>
      </c>
      <c r="EM12" s="3341">
        <f t="shared" si="112"/>
        <v>0</v>
      </c>
      <c r="EN12" s="3341">
        <f t="shared" si="113"/>
        <v>4.1666666666666666E-3</v>
      </c>
      <c r="EO12" s="3341">
        <f t="shared" si="114"/>
        <v>4.1666666666666666E-3</v>
      </c>
      <c r="EP12" s="3341">
        <f t="shared" si="115"/>
        <v>4.1666666666666666E-3</v>
      </c>
      <c r="EQ12" s="3319">
        <f t="shared" si="116"/>
        <v>1.2500000000000001E-2</v>
      </c>
      <c r="ER12" s="809">
        <f>+'MCP ST'!H6</f>
        <v>1.3231730491627007</v>
      </c>
      <c r="ES12" s="4236">
        <f t="shared" si="117"/>
        <v>6.7566269999999999</v>
      </c>
      <c r="EZ12" s="2154">
        <f>+'Plan mina ST'!AM10</f>
        <v>0.78593808913985441</v>
      </c>
      <c r="FA12" s="2067">
        <f>IF($FC12&lt;=Factores!$D$3,AX12,"")</f>
        <v>4.2831893945972972</v>
      </c>
      <c r="FB12" s="2076"/>
      <c r="FC12" s="2065">
        <f t="shared" si="13"/>
        <v>46086.791666666664</v>
      </c>
      <c r="FD12" s="780">
        <f>IF($FC12&lt;=Factores!$D$3,'ST Original'!C12,"")</f>
        <v>180000.09726478133</v>
      </c>
      <c r="FE12" s="782">
        <f>IF($FC12&lt;=Factores!$D$3,'ST Original'!D12,"")</f>
        <v>713827.72987393534</v>
      </c>
      <c r="FF12" s="780">
        <f>IF($FC12&lt;=Factores!$D$3,'ST Original'!E12,"")</f>
        <v>150917.77176313917</v>
      </c>
      <c r="FG12" s="782"/>
      <c r="FH12" s="2064">
        <f>IF($FC12&lt;=Factores!$D$3,'ST Original'!J12,"")</f>
        <v>71.209860387756578</v>
      </c>
      <c r="FI12" s="781">
        <f>IF($FC12&lt;=Factores!$D$3,'ST Original'!BT12,"")</f>
        <v>8835.1771619975043</v>
      </c>
      <c r="FJ12" s="781">
        <f>IF($FC12&lt;=Factores!$D$3,'ST Original'!K12,"")</f>
        <v>78.593808913985441</v>
      </c>
      <c r="FK12" s="2066">
        <f>IF($FC12&lt;=Factores!$D$3,'ST Original'!L12,"")</f>
        <v>0.49844229396827905</v>
      </c>
      <c r="FL12" s="781">
        <f>IF($FC12&lt;=Factores!$D$3,'ST Original'!M12,"")</f>
        <v>90.004166198440984</v>
      </c>
      <c r="FM12" s="781">
        <f>IF($FC12&lt;=Factores!$D$3,'ST Original'!N12,"")</f>
        <v>27.081789545143941</v>
      </c>
      <c r="FN12" s="780">
        <f>IF($FC12&lt;=Factores!$D$3,'ST Original'!O12,"")</f>
        <v>2500.0029699779629</v>
      </c>
      <c r="FO12" s="539">
        <f>IF($FC12&lt;=Factores!$D$3,'ST Original'!R12,"")</f>
        <v>11165.881845776117</v>
      </c>
      <c r="FP12" s="780">
        <f>IF($FC12&lt;=Factores!$D$3,'ST Original'!S12,"")</f>
        <v>677.04554295177991</v>
      </c>
      <c r="FQ12" s="782">
        <f>IF($FC12&lt;=Factores!$D$3,'ST Original'!V12,"")</f>
        <v>3201.1135843868797</v>
      </c>
      <c r="FR12" s="780">
        <f>IF($FC12&lt;=Factores!$D$3,'ST Original'!W12,"")</f>
        <v>269.23170975716766</v>
      </c>
      <c r="FS12" s="819">
        <f>IF($FC12&lt;=Factores!$D$3,'ST Original'!X12,"")</f>
        <v>93.080755447893097</v>
      </c>
      <c r="FT12" s="819">
        <f>IF($FC12&lt;=Factores!$D$3,'ST Original'!Y12,"")</f>
        <v>87.501697176853099</v>
      </c>
      <c r="FU12" s="819">
        <f>IF($FC12&lt;=Factores!$D$3,'ST Original'!Z12,"")</f>
        <v>81.447240761942609</v>
      </c>
      <c r="FV12" s="819">
        <f>IF($FC12&lt;=Factores!$D$3,'ST Original'!AA12,"")</f>
        <v>50</v>
      </c>
      <c r="FW12" s="539">
        <f>IF($FC12&lt;=Factores!$D$3,'ST Original'!AB12,"")</f>
        <v>66.187040942340516</v>
      </c>
      <c r="FX12" s="539">
        <f>IF($FC12&lt;=Factores!$D$3,'ST Original'!AC12,"")</f>
        <v>66.187040942340516</v>
      </c>
      <c r="FY12" s="819">
        <f>IF($FC12&lt;=Factores!$D$3,AE12,"")</f>
        <v>33.093520471170258</v>
      </c>
      <c r="FZ12" s="782">
        <f>IF($FC12&lt;=Factores!$D$3,AF12,"")</f>
        <v>145.2753061076412</v>
      </c>
      <c r="GA12" s="539">
        <f>IF($FC12&lt;=Factores!$D$3,AG12,"")</f>
        <v>30</v>
      </c>
      <c r="GB12" s="780">
        <f>IF($FC12&lt;=Factores!$D$3,AI12,"")</f>
        <v>772.98365879770245</v>
      </c>
      <c r="GC12" s="782">
        <f>IF($FC12&lt;=Factores!$D$3,AJ12,"")</f>
        <v>3622.2666967929317</v>
      </c>
      <c r="GD12" s="780">
        <f>IF($FC12&lt;=Factores!$D$3,AN12,"")</f>
        <v>2990</v>
      </c>
      <c r="GE12" s="539">
        <f>IF($FC12&lt;=Factores!$D$3,AO12,"")</f>
        <v>29.410557320073053</v>
      </c>
      <c r="GF12" s="782">
        <f>IF($FC12&lt;=Factores!$D$3,AP12,"")</f>
        <v>879.37566387018433</v>
      </c>
      <c r="GG12" s="2072">
        <f>IF($FC12&lt;=Factores!$D$3,BI12,"")</f>
        <v>18.480650909820113</v>
      </c>
      <c r="GH12" s="2073">
        <f>IF($FC12&lt;=Factores!$D$3,BJ12,"")</f>
        <v>831.62929094190508</v>
      </c>
      <c r="GI12" s="2069">
        <f>+'Plan mina ST'!AN47</f>
        <v>0</v>
      </c>
      <c r="GJ12" s="2065">
        <f t="shared" si="14"/>
        <v>46086.791666666664</v>
      </c>
      <c r="GK12" s="2067">
        <f>+'Plan mina ST'!J10</f>
        <v>2.8175410036552922E-2</v>
      </c>
      <c r="GL12" s="818">
        <f t="shared" si="15"/>
        <v>1.1906062139145321</v>
      </c>
      <c r="GM12" s="539">
        <f t="shared" si="118"/>
        <v>2976.5190708605483</v>
      </c>
      <c r="GN12" s="2077">
        <f t="shared" si="119"/>
        <v>20192.582291150939</v>
      </c>
      <c r="GO12" s="818">
        <f>+'Plan mina ST'!K10</f>
        <v>0.98452834084467789</v>
      </c>
      <c r="GP12" s="818">
        <f t="shared" si="16"/>
        <v>47.5464470153806</v>
      </c>
      <c r="GQ12" s="539">
        <f t="shared" si="17"/>
        <v>118866.25875035135</v>
      </c>
      <c r="GR12" s="539">
        <f t="shared" si="120"/>
        <v>723938.65510270582</v>
      </c>
      <c r="GS12" s="781">
        <f>+'Plan mina ST'!V10</f>
        <v>18.480650909820113</v>
      </c>
      <c r="GT12" s="782">
        <f t="shared" si="18"/>
        <v>831.62929094190508</v>
      </c>
      <c r="GU12" s="2072">
        <f>IF($FC12&lt;=Factores!$D$3,AT12,"")</f>
        <v>36.905824554680905</v>
      </c>
      <c r="GW12" s="781">
        <f>+'Plan mina ST'!AI10</f>
        <v>1.5239942409106315</v>
      </c>
      <c r="GX12" s="2078">
        <v>0.5</v>
      </c>
      <c r="GY12" s="819"/>
      <c r="GZ12" s="2065">
        <f t="shared" si="19"/>
        <v>46086.791666666664</v>
      </c>
      <c r="HA12" s="780" t="str">
        <f>IF($FC12&gt;Factores!$D$3,'ST Original'!C12,"")</f>
        <v/>
      </c>
      <c r="HB12" s="782" t="str">
        <f>IF($FC12&gt;Factores!$D$3,'ST Original'!D12,"")</f>
        <v/>
      </c>
      <c r="HC12" s="780" t="str">
        <f>IF($FC12&gt;Factores!$D$3,'ST Original'!E12,"")</f>
        <v/>
      </c>
      <c r="HD12" s="782"/>
      <c r="HE12" s="2064" t="str">
        <f>IF($FC12&gt;Factores!$D$3,'ST Original'!J12,"")</f>
        <v/>
      </c>
      <c r="HF12" s="781" t="str">
        <f>IF($FC12&gt;Factores!$D$3,'ST Original'!BT12,"")</f>
        <v/>
      </c>
      <c r="HG12" s="781" t="str">
        <f>IF($FC12&gt;Factores!$D$3,'ST Original'!K12,"")</f>
        <v/>
      </c>
      <c r="HH12" s="2066" t="str">
        <f>IF($FC12&gt;Factores!$D$3,'ST Original'!L12,"")</f>
        <v/>
      </c>
      <c r="HI12" s="781" t="str">
        <f>IF($FC12&gt;Factores!$D$3,'ST Original'!M12,"")</f>
        <v/>
      </c>
      <c r="HJ12" s="781" t="str">
        <f>IF($FC12&gt;Factores!$D$3,'ST Original'!N12,"")</f>
        <v/>
      </c>
      <c r="HK12" s="780" t="str">
        <f>IF($FC12&gt;Factores!$D$3,'ST Original'!O12,"")</f>
        <v/>
      </c>
      <c r="HL12" s="539" t="str">
        <f>IF($FC12&gt;Factores!$D$3,'ST Original'!R12,"")</f>
        <v/>
      </c>
      <c r="HM12" s="780" t="str">
        <f>IF($FC12&gt;Factores!$D$3,'ST Original'!S12,"")</f>
        <v/>
      </c>
      <c r="HN12" s="782" t="str">
        <f>IF($FC12&gt;Factores!$D$3,'ST Original'!V12,"")</f>
        <v/>
      </c>
      <c r="HO12" s="780" t="str">
        <f>IF($FC12&gt;Factores!$D$3,'ST Original'!W12,"")</f>
        <v/>
      </c>
      <c r="HP12" s="819" t="str">
        <f>IF($FC12&gt;Factores!$D$3,'ST Original'!X12,"")</f>
        <v/>
      </c>
      <c r="HQ12" s="819" t="str">
        <f>IF($FC12&gt;Factores!$D$3,'ST Original'!Y12,"")</f>
        <v/>
      </c>
      <c r="HR12" s="819" t="str">
        <f>IF($FC12&gt;Factores!$D$3,'ST Original'!Z12,"")</f>
        <v/>
      </c>
      <c r="HS12" s="819" t="str">
        <f>IF($FC12&gt;Factores!$D$3,'ST Original'!AA12,"")</f>
        <v/>
      </c>
      <c r="HT12" s="539" t="str">
        <f>IF($FC12&gt;Factores!$D$3,'ST Original'!AB12,"")</f>
        <v/>
      </c>
      <c r="HU12" s="539" t="str">
        <f>IF($FC12&gt;Factores!$D$3,'ST Original'!AC12,"")</f>
        <v/>
      </c>
      <c r="HV12" s="819" t="str">
        <f>IF($FC12&gt;Factores!$D$3,AE12,"")</f>
        <v/>
      </c>
      <c r="HW12" s="782" t="str">
        <f>IF($FC12&gt;Factores!$D$3,AF12,"")</f>
        <v/>
      </c>
      <c r="HX12" s="539" t="str">
        <f>IF($FC12&gt;Factores!$D$3,AG12,"")</f>
        <v/>
      </c>
      <c r="HY12" s="780" t="str">
        <f>IF($FC12&gt;Factores!$D$3,AI12,"")</f>
        <v/>
      </c>
      <c r="HZ12" s="782" t="str">
        <f>IF($FC12&gt;Factores!$D$3,AJ12,"")</f>
        <v/>
      </c>
      <c r="IA12" s="780" t="str">
        <f>IF($FC12&gt;Factores!$D$3,AN12,"")</f>
        <v/>
      </c>
      <c r="IB12" s="539" t="str">
        <f>IF($FC12&gt;Factores!$D$3,AO12,"")</f>
        <v/>
      </c>
      <c r="IC12" s="782" t="str">
        <f>IF($FC12&gt;Factores!$D$3,AP12,"")</f>
        <v/>
      </c>
      <c r="ID12" s="2072" t="str">
        <f>IF($FC12&gt;Factores!$D$3,BI12,"")</f>
        <v/>
      </c>
      <c r="IE12" s="2073" t="str">
        <f>IF($FC12&gt;Factores!$D$3,BJ12,"")</f>
        <v/>
      </c>
      <c r="IF12" s="4237">
        <f t="shared" si="20"/>
        <v>150917.77176313917</v>
      </c>
      <c r="IG12" s="4237">
        <f t="shared" si="124"/>
        <v>699577.49573687755</v>
      </c>
      <c r="IH12" s="4234">
        <f t="shared" si="121"/>
        <v>0.49844229396827905</v>
      </c>
      <c r="II12" s="342">
        <f>SUMPRODUCT(IH$8:IH12,IF$8:IF12)/IG12</f>
        <v>0.50495361452554266</v>
      </c>
      <c r="IJ12" s="4235">
        <f t="shared" si="122"/>
        <v>90.004166198440984</v>
      </c>
      <c r="IK12" s="342" cm="1">
        <f t="array" ref="IK12">SUMPRODUCT(IJ$8:IJ12,IF$8:IF12/IG12)</f>
        <v>90.615042931344917</v>
      </c>
    </row>
    <row r="13" spans="1:245" s="835" customFormat="1" ht="14.25" customHeight="1">
      <c r="A13" s="4636"/>
      <c r="B13" s="2133">
        <f t="shared" si="21"/>
        <v>46087.791666666664</v>
      </c>
      <c r="C13" s="2134">
        <f>+'Plan mina ST'!N48*1000</f>
        <v>159999.99999997913</v>
      </c>
      <c r="D13" s="2134">
        <f>+'Plan mina ST'!M48*1000</f>
        <v>722721.13145490654</v>
      </c>
      <c r="E13" s="2134">
        <f>(('Plan mina ST'!O48*1000))</f>
        <v>151106.59841900799</v>
      </c>
      <c r="F13" s="2134">
        <f>+'Plan mina ST'!J48*1000</f>
        <v>40503.466981492886</v>
      </c>
      <c r="G13" s="2134">
        <f t="shared" si="22"/>
        <v>110603.13143751511</v>
      </c>
      <c r="H13" s="2135">
        <f t="shared" si="23"/>
        <v>65.356970343991705</v>
      </c>
      <c r="I13" s="2135">
        <f t="shared" si="24"/>
        <v>97.12989278992228</v>
      </c>
      <c r="J13" s="2135">
        <f t="shared" si="25"/>
        <v>71.209860387756578</v>
      </c>
      <c r="K13" s="2135">
        <f>+'Plan mina ST'!AM11*100</f>
        <v>75.995139298216387</v>
      </c>
      <c r="L13" s="2528">
        <f>'Plan mina ST'!D11</f>
        <v>0.53151821193003124</v>
      </c>
      <c r="M13" s="2135">
        <f>'Plan mina ST'!C11</f>
        <v>90.255537453585774</v>
      </c>
      <c r="N13" s="2136">
        <f>'Plan mina ST'!B11</f>
        <v>25.963682552608038</v>
      </c>
      <c r="O13" s="2134">
        <f>+IF(ISNUMBER(E13*L13*M13/N13/100),E13*L13*M13/N13/100,"0")</f>
        <v>2791.9596992475977</v>
      </c>
      <c r="P13" s="2134">
        <f t="shared" si="2"/>
        <v>2043.5870360065142</v>
      </c>
      <c r="Q13" s="2134">
        <f t="shared" si="3"/>
        <v>748.37266324108316</v>
      </c>
      <c r="R13" s="2134">
        <f t="shared" si="26"/>
        <v>13957.841545023715</v>
      </c>
      <c r="S13" s="2134">
        <f t="shared" si="4"/>
        <v>724.89555330939629</v>
      </c>
      <c r="T13" s="2134">
        <f t="shared" si="5"/>
        <v>530.59045071498304</v>
      </c>
      <c r="U13" s="2134">
        <f t="shared" si="6"/>
        <v>194.30510259441323</v>
      </c>
      <c r="V13" s="2134">
        <f t="shared" si="27"/>
        <v>3926.009137696276</v>
      </c>
      <c r="W13" s="2134">
        <f>+'Plan mina ST'!E11</f>
        <v>247.66290420821971</v>
      </c>
      <c r="X13" s="2135">
        <f t="shared" si="28"/>
        <v>92.787966007047146</v>
      </c>
      <c r="Y13" s="3930">
        <f t="shared" si="125"/>
        <v>87.272203547367212</v>
      </c>
      <c r="Z13" s="2135">
        <f t="shared" si="30"/>
        <v>80.978102561132076</v>
      </c>
      <c r="AA13" s="2136">
        <v>50</v>
      </c>
      <c r="AB13" s="2134">
        <f t="shared" si="7"/>
        <v>60.609678819716578</v>
      </c>
      <c r="AC13" s="2134">
        <f t="shared" si="31"/>
        <v>60.609678819716578</v>
      </c>
      <c r="AD13" s="2134">
        <f t="shared" si="32"/>
        <v>60</v>
      </c>
      <c r="AE13" s="2134">
        <f t="shared" si="8"/>
        <v>30.304839409858289</v>
      </c>
      <c r="AF13" s="2134">
        <f t="shared" si="33"/>
        <v>175.58014551749949</v>
      </c>
      <c r="AG13" s="2134">
        <v>30</v>
      </c>
      <c r="AH13" s="2134">
        <f t="shared" si="34"/>
        <v>305.58014551749955</v>
      </c>
      <c r="AI13" s="2134">
        <f t="shared" si="9"/>
        <v>812.74928275857542</v>
      </c>
      <c r="AJ13" s="2134">
        <f t="shared" si="35"/>
        <v>4435.0159795515074</v>
      </c>
      <c r="AK13" s="3914">
        <v>2990</v>
      </c>
      <c r="AL13" s="2136">
        <f t="shared" si="126"/>
        <v>27.081789545143941</v>
      </c>
      <c r="AM13" s="2134">
        <f t="shared" si="10"/>
        <v>809.74550739980396</v>
      </c>
      <c r="AN13" s="2134">
        <f t="shared" si="123"/>
        <v>2990</v>
      </c>
      <c r="AO13" s="2136">
        <f t="shared" si="36"/>
        <v>27.75556816154316</v>
      </c>
      <c r="AP13" s="2134">
        <f t="shared" si="37"/>
        <v>829.89148803014041</v>
      </c>
      <c r="AQ13" s="2134">
        <f t="shared" si="11"/>
        <v>6.2002211807358201</v>
      </c>
      <c r="AR13" s="2134">
        <f t="shared" si="38"/>
        <v>3403.4214210851128</v>
      </c>
      <c r="AS13" s="2134">
        <f t="shared" si="39"/>
        <v>-198.04030075240235</v>
      </c>
      <c r="AT13" s="2136">
        <f>+'Recalculos ST'!E14</f>
        <v>36.486561420348757</v>
      </c>
      <c r="AU13" s="2134">
        <f>+'MCP ST'!V7</f>
        <v>81.236583504793145</v>
      </c>
      <c r="AV13" s="3973">
        <f>+Factores!$D$24</f>
        <v>0.96199999999999997</v>
      </c>
      <c r="AW13" s="2134">
        <f t="shared" si="40"/>
        <v>798.35561148499505</v>
      </c>
      <c r="AX13" s="2376">
        <f>'Plan mina ST'!AK11/25.4</f>
        <v>4.1921385801908366</v>
      </c>
      <c r="AY13" s="2718">
        <f>+'Recalculos ST'!AK14</f>
        <v>188.81440115719769</v>
      </c>
      <c r="AZ13" s="2138">
        <f>'Plan mina ST'!O11*BA13/1000000*0.79</f>
        <v>6.2002211807358201</v>
      </c>
      <c r="BA13" s="2137">
        <f t="shared" si="41"/>
        <v>6296.108267458666</v>
      </c>
      <c r="BB13" s="2138">
        <f>'Plan mina ST'!O11*'ST Original'!BT13/1000000*0.8</f>
        <v>8.8217794865613417</v>
      </c>
      <c r="BC13" s="4640"/>
      <c r="BD13" s="2148">
        <f t="shared" si="12"/>
        <v>46087.791666666664</v>
      </c>
      <c r="BE13" s="2149">
        <f>'Plan mina ST'!J11</f>
        <v>2.6208238779063354E-2</v>
      </c>
      <c r="BF13" s="2150">
        <f t="shared" si="42"/>
        <v>0.9068470805311335</v>
      </c>
      <c r="BG13" s="2151">
        <f>'Plan mina ST'!K11</f>
        <v>1.0058177410395115</v>
      </c>
      <c r="BH13" s="2150">
        <f t="shared" si="43"/>
        <v>34.802906433253227</v>
      </c>
      <c r="BI13" s="2151">
        <f>'Plan mina ST'!V11</f>
        <v>25.413285510370944</v>
      </c>
      <c r="BJ13" s="2152">
        <f t="shared" si="44"/>
        <v>1143.5978479666924</v>
      </c>
      <c r="BK13" s="3395">
        <f>'Plan mina ST'!AI11</f>
        <v>1.3681838842822875</v>
      </c>
      <c r="BL13" s="3399">
        <f>'Recalculos ST'!T14</f>
        <v>6.1232632578343527</v>
      </c>
      <c r="BM13" s="3391">
        <f t="shared" si="45"/>
        <v>0</v>
      </c>
      <c r="BN13" s="3391">
        <f t="shared" si="46"/>
        <v>14.111868538275951</v>
      </c>
      <c r="BO13" s="3391">
        <f t="shared" si="47"/>
        <v>14.111868538275951</v>
      </c>
      <c r="BP13" s="3391">
        <f t="shared" si="48"/>
        <v>28.223737076551902</v>
      </c>
      <c r="BQ13" s="3400">
        <f t="shared" si="49"/>
        <v>14.469959964817022</v>
      </c>
      <c r="BR13" s="3397">
        <f t="shared" si="50"/>
        <v>7051.2200697811595</v>
      </c>
      <c r="BS13" s="2137">
        <f t="shared" si="51"/>
        <v>1737.8146457118198</v>
      </c>
      <c r="BT13" s="3344">
        <f t="shared" si="52"/>
        <v>8846.2316384717979</v>
      </c>
      <c r="BU13" s="3345">
        <f t="shared" si="53"/>
        <v>0</v>
      </c>
      <c r="BV13" s="3345">
        <f t="shared" si="54"/>
        <v>2350.3143193853762</v>
      </c>
      <c r="BW13" s="3345">
        <f t="shared" si="55"/>
        <v>2350.3143193853762</v>
      </c>
      <c r="BX13" s="3346">
        <f t="shared" si="56"/>
        <v>0</v>
      </c>
      <c r="BY13" s="3346">
        <f t="shared" si="57"/>
        <v>98.056332111173916</v>
      </c>
      <c r="BZ13" s="3346">
        <f t="shared" si="58"/>
        <v>98.056332111173916</v>
      </c>
      <c r="CA13" s="3346">
        <f t="shared" si="59"/>
        <v>97.12989278992228</v>
      </c>
      <c r="CB13" s="3346">
        <f t="shared" si="60"/>
        <v>71.207391349661293</v>
      </c>
      <c r="CC13" s="3623">
        <f t="shared" si="61"/>
        <v>65.356970343991705</v>
      </c>
      <c r="CD13" s="3348">
        <f t="shared" si="62"/>
        <v>0</v>
      </c>
      <c r="CE13" s="3348">
        <f t="shared" si="63"/>
        <v>98.886834920573264</v>
      </c>
      <c r="CF13" s="3348">
        <f t="shared" si="64"/>
        <v>98.886834920573264</v>
      </c>
      <c r="CG13" s="3348">
        <f t="shared" si="65"/>
        <v>98.356250499976611</v>
      </c>
      <c r="CH13" s="3346">
        <f t="shared" si="66"/>
        <v>71.884827514330382</v>
      </c>
      <c r="CI13" s="3347">
        <f t="shared" si="67"/>
        <v>17.917493228382916</v>
      </c>
      <c r="CJ13" s="3354">
        <f t="shared" si="68"/>
        <v>0</v>
      </c>
      <c r="CK13" s="3355">
        <f t="shared" si="69"/>
        <v>6.4495510000000005</v>
      </c>
      <c r="CL13" s="3355">
        <f t="shared" si="70"/>
        <v>6.4495510000000005</v>
      </c>
      <c r="CM13" s="3356">
        <f t="shared" si="71"/>
        <v>4.3442710000000009</v>
      </c>
      <c r="CN13" s="3356">
        <f t="shared" si="72"/>
        <v>17.243373000000002</v>
      </c>
      <c r="CO13" s="3354">
        <f t="shared" si="73"/>
        <v>0</v>
      </c>
      <c r="CP13" s="3355">
        <f t="shared" si="74"/>
        <v>6.3953843333333333</v>
      </c>
      <c r="CQ13" s="3355">
        <f t="shared" si="75"/>
        <v>6.3953843333333333</v>
      </c>
      <c r="CR13" s="3356">
        <f t="shared" si="76"/>
        <v>4.2901043333333337</v>
      </c>
      <c r="CS13" s="3356">
        <f t="shared" si="77"/>
        <v>17.080873</v>
      </c>
      <c r="CT13" s="3357">
        <f t="shared" si="78"/>
        <v>6.5229208750000005</v>
      </c>
      <c r="CU13" s="2153">
        <f t="shared" si="79"/>
        <v>6.5229208750000005</v>
      </c>
      <c r="CV13" s="2153">
        <f t="shared" si="80"/>
        <v>6.5229208750000005</v>
      </c>
      <c r="CW13" s="3358">
        <f t="shared" si="81"/>
        <v>4.4187373750000001</v>
      </c>
      <c r="CX13" s="3354">
        <f t="shared" si="82"/>
        <v>6.5263200000000001</v>
      </c>
      <c r="CY13" s="3355">
        <f t="shared" si="83"/>
        <v>0</v>
      </c>
      <c r="CZ13" s="3355">
        <f t="shared" si="84"/>
        <v>0</v>
      </c>
      <c r="DA13" s="3356">
        <f t="shared" si="85"/>
        <v>0</v>
      </c>
      <c r="DB13" s="3354">
        <f t="shared" si="86"/>
        <v>6.5263200000000001</v>
      </c>
      <c r="DC13" s="3355">
        <f t="shared" si="87"/>
        <v>7.2602333333333338E-2</v>
      </c>
      <c r="DD13" s="3355">
        <f t="shared" si="88"/>
        <v>7.2602333333333338E-2</v>
      </c>
      <c r="DE13" s="3356">
        <f t="shared" si="89"/>
        <v>7.2602333333333338E-2</v>
      </c>
      <c r="DF13" s="3356">
        <f t="shared" si="90"/>
        <v>6.7441269999999998</v>
      </c>
      <c r="DG13" s="3354">
        <f t="shared" si="91"/>
        <v>6.5263200000000001</v>
      </c>
      <c r="DH13" s="3355">
        <f t="shared" si="92"/>
        <v>0.12676900000000002</v>
      </c>
      <c r="DI13" s="3355">
        <f t="shared" si="93"/>
        <v>0.12676900000000002</v>
      </c>
      <c r="DJ13" s="3356">
        <f t="shared" si="94"/>
        <v>0.12676900000000002</v>
      </c>
      <c r="DK13" s="3356">
        <f t="shared" si="95"/>
        <v>6.9066270000000012</v>
      </c>
      <c r="DL13" s="2137">
        <v>24</v>
      </c>
      <c r="DM13" s="2137">
        <v>0</v>
      </c>
      <c r="DN13" s="2137">
        <v>0</v>
      </c>
      <c r="DO13" s="2137">
        <v>0</v>
      </c>
      <c r="DP13" s="2137">
        <v>0</v>
      </c>
      <c r="DQ13" s="2137">
        <v>0</v>
      </c>
      <c r="DR13" s="2137">
        <v>0</v>
      </c>
      <c r="DS13" s="2137">
        <v>0</v>
      </c>
      <c r="DT13" s="2137">
        <v>0</v>
      </c>
      <c r="DU13" s="2137">
        <v>0</v>
      </c>
      <c r="DV13" s="2137">
        <v>0</v>
      </c>
      <c r="DW13" s="2579">
        <f t="shared" si="96"/>
        <v>0</v>
      </c>
      <c r="DX13" s="2579">
        <f t="shared" si="97"/>
        <v>7.2602333333333338E-2</v>
      </c>
      <c r="DY13" s="2579">
        <f t="shared" si="98"/>
        <v>7.2602333333333338E-2</v>
      </c>
      <c r="DZ13" s="2579">
        <f t="shared" si="99"/>
        <v>7.2602333333333338E-2</v>
      </c>
      <c r="EA13" s="2579">
        <f t="shared" si="100"/>
        <v>0</v>
      </c>
      <c r="EB13" s="2579">
        <f t="shared" si="101"/>
        <v>0</v>
      </c>
      <c r="EC13" s="2579">
        <f t="shared" si="102"/>
        <v>0</v>
      </c>
      <c r="ED13" s="2579">
        <f t="shared" si="103"/>
        <v>0</v>
      </c>
      <c r="EE13" s="2579">
        <f t="shared" si="104"/>
        <v>0</v>
      </c>
      <c r="EF13" s="2579">
        <f t="shared" si="105"/>
        <v>0.05</v>
      </c>
      <c r="EG13" s="2579">
        <f t="shared" si="106"/>
        <v>0.05</v>
      </c>
      <c r="EH13" s="2579">
        <f t="shared" ref="EH13:EH35" si="127">+IF(DO13=24,0,$EE$4)</f>
        <v>0.05</v>
      </c>
      <c r="EI13" s="2579">
        <f t="shared" si="108"/>
        <v>0</v>
      </c>
      <c r="EJ13" s="2579">
        <f t="shared" si="109"/>
        <v>4.1666666666666666E-3</v>
      </c>
      <c r="EK13" s="2579">
        <f t="shared" si="110"/>
        <v>4.1666666666666666E-3</v>
      </c>
      <c r="EL13" s="2581">
        <f t="shared" si="111"/>
        <v>4.1666666666666666E-3</v>
      </c>
      <c r="EM13" s="3341">
        <f t="shared" si="112"/>
        <v>0</v>
      </c>
      <c r="EN13" s="3341">
        <f t="shared" si="113"/>
        <v>4.1666666666666666E-3</v>
      </c>
      <c r="EO13" s="3341">
        <f t="shared" si="114"/>
        <v>4.1666666666666666E-3</v>
      </c>
      <c r="EP13" s="3341">
        <f t="shared" si="115"/>
        <v>4.1666666666666666E-3</v>
      </c>
      <c r="EQ13" s="3319">
        <f t="shared" si="116"/>
        <v>1.2500000000000001E-2</v>
      </c>
      <c r="ER13" s="809">
        <f>+'MCP ST'!H7</f>
        <v>1.6768588472956463</v>
      </c>
      <c r="ES13" s="4236">
        <f t="shared" si="117"/>
        <v>6.7566269999999999</v>
      </c>
      <c r="EV13" s="744"/>
      <c r="EW13" s="744"/>
      <c r="EX13" s="744"/>
      <c r="EY13" s="744"/>
      <c r="EZ13" s="2154">
        <f>+'Plan mina ST'!AM11</f>
        <v>0.75995139298216385</v>
      </c>
      <c r="FA13" s="2367">
        <f>IF($FC13&lt;=Factores!$D$3,AX13,"")</f>
        <v>4.1921385801908366</v>
      </c>
      <c r="FB13" s="2368"/>
      <c r="FC13" s="2369">
        <f t="shared" si="13"/>
        <v>46087.791666666664</v>
      </c>
      <c r="FD13" s="828">
        <f>IF($FC13&lt;=Factores!$D$3,'ST Original'!C13,"")</f>
        <v>159999.99999997913</v>
      </c>
      <c r="FE13" s="834">
        <f>IF($FC13&lt;=Factores!$D$3,'ST Original'!D13,"")</f>
        <v>722721.13145490654</v>
      </c>
      <c r="FF13" s="828">
        <f>IF($FC13&lt;=Factores!$D$3,'ST Original'!E13,"")</f>
        <v>151106.59841900799</v>
      </c>
      <c r="FG13" s="834"/>
      <c r="FH13" s="2370">
        <f>IF($FC13&lt;=Factores!$D$3,'ST Original'!J13,"")</f>
        <v>71.209860387756578</v>
      </c>
      <c r="FI13" s="2370">
        <f>IF($FC13&lt;=Factores!$D$3,'ST Original'!BT13,"")</f>
        <v>8846.2316384717979</v>
      </c>
      <c r="FJ13" s="2370">
        <f>IF($FC13&lt;=Factores!$D$3,'ST Original'!K13,"")</f>
        <v>75.995139298216387</v>
      </c>
      <c r="FK13" s="2371">
        <f>IF($FC13&lt;=Factores!$D$3,'ST Original'!L13,"")</f>
        <v>0.53151821193003124</v>
      </c>
      <c r="FL13" s="2370">
        <f>IF($FC13&lt;=Factores!$D$3,'ST Original'!M13,"")</f>
        <v>90.255537453585774</v>
      </c>
      <c r="FM13" s="2370">
        <f>IF($FC13&lt;=Factores!$D$3,'ST Original'!N13,"")</f>
        <v>25.963682552608038</v>
      </c>
      <c r="FN13" s="828">
        <f>IF($FC13&lt;=Factores!$D$3,'ST Original'!O13,"")</f>
        <v>2791.9596992475977</v>
      </c>
      <c r="FO13" s="829">
        <f>IF($FC13&lt;=Factores!$D$3,'ST Original'!R13,"")</f>
        <v>13957.841545023715</v>
      </c>
      <c r="FP13" s="828">
        <f>IF($FC13&lt;=Factores!$D$3,'ST Original'!S13,"")</f>
        <v>724.89555330939629</v>
      </c>
      <c r="FQ13" s="834">
        <f>IF($FC13&lt;=Factores!$D$3,'ST Original'!V13,"")</f>
        <v>3926.009137696276</v>
      </c>
      <c r="FR13" s="828">
        <f>IF($FC13&lt;=Factores!$D$3,'ST Original'!W13,"")</f>
        <v>247.66290420821971</v>
      </c>
      <c r="FS13" s="832">
        <f>IF($FC13&lt;=Factores!$D$3,'ST Original'!X13,"")</f>
        <v>92.787966007047146</v>
      </c>
      <c r="FT13" s="832">
        <f>IF($FC13&lt;=Factores!$D$3,'ST Original'!Y13,"")</f>
        <v>87.272203547367212</v>
      </c>
      <c r="FU13" s="832">
        <f>IF($FC13&lt;=Factores!$D$3,'ST Original'!Z13,"")</f>
        <v>80.978102561132076</v>
      </c>
      <c r="FV13" s="832">
        <f>IF($FC13&lt;=Factores!$D$3,'ST Original'!AA13,"")</f>
        <v>50</v>
      </c>
      <c r="FW13" s="829">
        <f>IF($FC13&lt;=Factores!$D$3,'ST Original'!AB13,"")</f>
        <v>60.609678819716578</v>
      </c>
      <c r="FX13" s="829">
        <f>IF($FC13&lt;=Factores!$D$3,'ST Original'!AC13,"")</f>
        <v>60.609678819716578</v>
      </c>
      <c r="FY13" s="832">
        <f>IF($FC13&lt;=Factores!$D$3,AE13,"")</f>
        <v>30.304839409858289</v>
      </c>
      <c r="FZ13" s="834">
        <f>IF($FC13&lt;=Factores!$D$3,AF13,"")</f>
        <v>175.58014551749949</v>
      </c>
      <c r="GA13" s="829">
        <f>IF($FC13&lt;=Factores!$D$3,AG13,"")</f>
        <v>30</v>
      </c>
      <c r="GB13" s="828">
        <f>IF($FC13&lt;=Factores!$D$3,AI13,"")</f>
        <v>812.74928275857542</v>
      </c>
      <c r="GC13" s="834">
        <f>IF($FC13&lt;=Factores!$D$3,AJ13,"")</f>
        <v>4435.0159795515074</v>
      </c>
      <c r="GD13" s="828">
        <f>IF($FC13&lt;=Factores!$D$3,AN13,"")</f>
        <v>2990</v>
      </c>
      <c r="GE13" s="829">
        <f>IF($FC13&lt;=Factores!$D$3,AO13,"")</f>
        <v>27.75556816154316</v>
      </c>
      <c r="GF13" s="834">
        <f>IF($FC13&lt;=Factores!$D$3,AP13,"")</f>
        <v>829.89148803014041</v>
      </c>
      <c r="GG13" s="2372">
        <f>IF($FC13&lt;=Factores!$D$3,BI13,"")</f>
        <v>25.413285510370944</v>
      </c>
      <c r="GH13" s="2373">
        <f>IF($FC13&lt;=Factores!$D$3,BJ13,"")</f>
        <v>1143.5978479666924</v>
      </c>
      <c r="GI13" s="2069">
        <f>+'Plan mina ST'!AN48</f>
        <v>143.50231917760357</v>
      </c>
      <c r="GJ13" s="2369">
        <f t="shared" si="14"/>
        <v>46087.791666666664</v>
      </c>
      <c r="GK13" s="2367">
        <f>+'Plan mina ST'!J11</f>
        <v>2.6208238779063354E-2</v>
      </c>
      <c r="GL13" s="831">
        <f t="shared" si="15"/>
        <v>0.99291063172124117</v>
      </c>
      <c r="GM13" s="829">
        <f t="shared" si="118"/>
        <v>2772.1664687201787</v>
      </c>
      <c r="GN13" s="2374">
        <f t="shared" si="119"/>
        <v>22964.748759871116</v>
      </c>
      <c r="GO13" s="831">
        <f>+'Plan mina ST'!K11</f>
        <v>1.0058177410395115</v>
      </c>
      <c r="GP13" s="831">
        <f t="shared" si="16"/>
        <v>43.549539062166176</v>
      </c>
      <c r="GQ13" s="829">
        <f t="shared" si="17"/>
        <v>121588.55798237698</v>
      </c>
      <c r="GR13" s="829">
        <f t="shared" si="120"/>
        <v>845527.21308508283</v>
      </c>
      <c r="GS13" s="2370">
        <f>+'Plan mina ST'!V11</f>
        <v>25.413285510370944</v>
      </c>
      <c r="GT13" s="834">
        <f t="shared" si="18"/>
        <v>1143.5978479666924</v>
      </c>
      <c r="GU13" s="2072">
        <f>IF($FC13&lt;=Factores!$D$3,AT13,"")</f>
        <v>36.486561420348757</v>
      </c>
      <c r="GW13" s="2370">
        <f>+'Plan mina ST'!AI11</f>
        <v>1.3681838842822875</v>
      </c>
      <c r="GX13" s="2375">
        <v>0.5</v>
      </c>
      <c r="GY13" s="832"/>
      <c r="GZ13" s="2369">
        <f t="shared" si="19"/>
        <v>46087.791666666664</v>
      </c>
      <c r="HA13" s="828" t="str">
        <f>IF($FC13&gt;Factores!$D$3,'ST Original'!C13,"")</f>
        <v/>
      </c>
      <c r="HB13" s="834" t="str">
        <f>IF($FC13&gt;Factores!$D$3,'ST Original'!D13,"")</f>
        <v/>
      </c>
      <c r="HC13" s="828" t="str">
        <f>IF($FC13&gt;Factores!$D$3,'ST Original'!E13,"")</f>
        <v/>
      </c>
      <c r="HD13" s="834"/>
      <c r="HE13" s="2370" t="str">
        <f>IF($FC13&gt;Factores!$D$3,'ST Original'!J13,"")</f>
        <v/>
      </c>
      <c r="HF13" s="2370" t="str">
        <f>IF($FC13&gt;Factores!$D$3,'ST Original'!BT13,"")</f>
        <v/>
      </c>
      <c r="HG13" s="2370" t="str">
        <f>IF($FC13&gt;Factores!$D$3,'ST Original'!K13,"")</f>
        <v/>
      </c>
      <c r="HH13" s="2371" t="str">
        <f>IF($FC13&gt;Factores!$D$3,'ST Original'!L13,"")</f>
        <v/>
      </c>
      <c r="HI13" s="2370" t="str">
        <f>IF($FC13&gt;Factores!$D$3,'ST Original'!M13,"")</f>
        <v/>
      </c>
      <c r="HJ13" s="2370" t="str">
        <f>IF($FC13&gt;Factores!$D$3,'ST Original'!N13,"")</f>
        <v/>
      </c>
      <c r="HK13" s="828" t="str">
        <f>IF($FC13&gt;Factores!$D$3,'ST Original'!O13,"")</f>
        <v/>
      </c>
      <c r="HL13" s="829" t="str">
        <f>IF($FC13&gt;Factores!$D$3,'ST Original'!R13,"")</f>
        <v/>
      </c>
      <c r="HM13" s="828" t="str">
        <f>IF($FC13&gt;Factores!$D$3,'ST Original'!S13,"")</f>
        <v/>
      </c>
      <c r="HN13" s="834" t="str">
        <f>IF($FC13&gt;Factores!$D$3,'ST Original'!V13,"")</f>
        <v/>
      </c>
      <c r="HO13" s="828" t="str">
        <f>IF($FC13&gt;Factores!$D$3,'ST Original'!W13,"")</f>
        <v/>
      </c>
      <c r="HP13" s="832" t="str">
        <f>IF($FC13&gt;Factores!$D$3,'ST Original'!X13,"")</f>
        <v/>
      </c>
      <c r="HQ13" s="832" t="str">
        <f>IF($FC13&gt;Factores!$D$3,'ST Original'!Y13,"")</f>
        <v/>
      </c>
      <c r="HR13" s="832" t="str">
        <f>IF($FC13&gt;Factores!$D$3,'ST Original'!Z13,"")</f>
        <v/>
      </c>
      <c r="HS13" s="832" t="str">
        <f>IF($FC13&gt;Factores!$D$3,'ST Original'!AA13,"")</f>
        <v/>
      </c>
      <c r="HT13" s="829" t="str">
        <f>IF($FC13&gt;Factores!$D$3,'ST Original'!AB13,"")</f>
        <v/>
      </c>
      <c r="HU13" s="829" t="str">
        <f>IF($FC13&gt;Factores!$D$3,'ST Original'!AC13,"")</f>
        <v/>
      </c>
      <c r="HV13" s="832" t="str">
        <f>IF($FC13&gt;Factores!$D$3,AE13,"")</f>
        <v/>
      </c>
      <c r="HW13" s="834" t="str">
        <f>IF($FC13&gt;Factores!$D$3,AF13,"")</f>
        <v/>
      </c>
      <c r="HX13" s="829" t="str">
        <f>IF($FC13&gt;Factores!$D$3,AG13,"")</f>
        <v/>
      </c>
      <c r="HY13" s="828" t="str">
        <f>IF($FC13&gt;Factores!$D$3,AI13,"")</f>
        <v/>
      </c>
      <c r="HZ13" s="834" t="str">
        <f>IF($FC13&gt;Factores!$D$3,AJ13,"")</f>
        <v/>
      </c>
      <c r="IA13" s="828" t="str">
        <f>IF($FC13&gt;Factores!$D$3,AN13,"")</f>
        <v/>
      </c>
      <c r="IB13" s="829" t="str">
        <f>IF($FC13&gt;Factores!$D$3,AO13,"")</f>
        <v/>
      </c>
      <c r="IC13" s="834" t="str">
        <f>IF($FC13&gt;Factores!$D$3,AP13,"")</f>
        <v/>
      </c>
      <c r="ID13" s="2372" t="str">
        <f>IF($FC13&gt;Factores!$D$3,BI13,"")</f>
        <v/>
      </c>
      <c r="IE13" s="2373" t="str">
        <f>IF($FC13&gt;Factores!$D$3,BJ13,"")</f>
        <v/>
      </c>
      <c r="IF13" s="4237">
        <f t="shared" si="20"/>
        <v>151106.59841900799</v>
      </c>
      <c r="IG13" s="4237">
        <f t="shared" si="124"/>
        <v>850684.09415588551</v>
      </c>
      <c r="IH13" s="4234">
        <f t="shared" si="121"/>
        <v>0.53151821193003124</v>
      </c>
      <c r="II13" s="342">
        <f>SUMPRODUCT(IH$8:IH13,IF$8:IF13)/IG13</f>
        <v>0.50967227093364886</v>
      </c>
      <c r="IJ13" s="4235">
        <f t="shared" si="122"/>
        <v>90.255537453585774</v>
      </c>
      <c r="IK13" s="342" cm="1">
        <f t="array" ref="IK13">SUMPRODUCT(IJ$8:IJ13,IF$8:IF13/IG13)</f>
        <v>90.551184149653352</v>
      </c>
    </row>
    <row r="14" spans="1:245" s="744" customFormat="1" ht="14.25" customHeight="1" thickBot="1">
      <c r="A14" s="4637"/>
      <c r="B14" s="2142">
        <f t="shared" si="21"/>
        <v>46088.791666666664</v>
      </c>
      <c r="C14" s="2143">
        <f>+'Plan mina ST'!N49*1000</f>
        <v>170000.00000024194</v>
      </c>
      <c r="D14" s="2143">
        <f>+'Plan mina ST'!M49*1000</f>
        <v>727111.56743542035</v>
      </c>
      <c r="E14" s="2143">
        <f>(('Plan mina ST'!O49*1000))</f>
        <v>165609.56401972804</v>
      </c>
      <c r="F14" s="2143">
        <f>+'Plan mina ST'!J49*1000</f>
        <v>41771.829104469456</v>
      </c>
      <c r="G14" s="2143">
        <f t="shared" si="22"/>
        <v>123837.7349152586</v>
      </c>
      <c r="H14" s="2144">
        <f t="shared" si="23"/>
        <v>78.599465616161524</v>
      </c>
      <c r="I14" s="2144">
        <f t="shared" si="24"/>
        <v>97.12989278992228</v>
      </c>
      <c r="J14" s="2144">
        <f t="shared" si="25"/>
        <v>82.012955605839991</v>
      </c>
      <c r="K14" s="2144">
        <f>+'Plan mina ST'!AM12*100</f>
        <v>65.779088340401543</v>
      </c>
      <c r="L14" s="2529">
        <f>'Plan mina ST'!D12</f>
        <v>0.50948477260958724</v>
      </c>
      <c r="M14" s="2144">
        <f>'Plan mina ST'!C12</f>
        <v>89.832031455850071</v>
      </c>
      <c r="N14" s="2145">
        <f>'Plan mina ST'!B12</f>
        <v>22.273176938850266</v>
      </c>
      <c r="O14" s="2143">
        <f t="shared" si="1"/>
        <v>3403.0292033892138</v>
      </c>
      <c r="P14" s="2143">
        <f t="shared" si="2"/>
        <v>2544.6805013507283</v>
      </c>
      <c r="Q14" s="2143">
        <f t="shared" si="3"/>
        <v>858.34870203848584</v>
      </c>
      <c r="R14" s="2143">
        <f t="shared" si="26"/>
        <v>17360.87074841293</v>
      </c>
      <c r="S14" s="2143">
        <f t="shared" si="4"/>
        <v>757.96271575162621</v>
      </c>
      <c r="T14" s="2143">
        <f t="shared" si="5"/>
        <v>566.78119059426967</v>
      </c>
      <c r="U14" s="2143">
        <f t="shared" si="6"/>
        <v>191.18152515735662</v>
      </c>
      <c r="V14" s="2143">
        <f t="shared" si="27"/>
        <v>4683.9718534479025</v>
      </c>
      <c r="W14" s="2143">
        <f>+'Plan mina ST'!E12</f>
        <v>138.66702464235686</v>
      </c>
      <c r="X14" s="2144">
        <f t="shared" si="28"/>
        <v>90.754336511993287</v>
      </c>
      <c r="Y14" s="3931">
        <f t="shared" si="125"/>
        <v>85.678208174784729</v>
      </c>
      <c r="Z14" s="2144">
        <f t="shared" si="30"/>
        <v>77.756689364390283</v>
      </c>
      <c r="AA14" s="2145">
        <v>50</v>
      </c>
      <c r="AB14" s="2143">
        <f t="shared" si="7"/>
        <v>35.713002814230705</v>
      </c>
      <c r="AC14" s="2143">
        <f t="shared" si="31"/>
        <v>35.713002814230705</v>
      </c>
      <c r="AD14" s="2143">
        <f t="shared" si="32"/>
        <v>60</v>
      </c>
      <c r="AE14" s="2143">
        <f t="shared" si="8"/>
        <v>17.856501407115353</v>
      </c>
      <c r="AF14" s="2143">
        <f t="shared" si="33"/>
        <v>193.43664692461485</v>
      </c>
      <c r="AG14" s="2143">
        <v>30</v>
      </c>
      <c r="AH14" s="2143">
        <f t="shared" si="34"/>
        <v>293.43664692461488</v>
      </c>
      <c r="AI14" s="2143">
        <f t="shared" si="9"/>
        <v>809.72871333085357</v>
      </c>
      <c r="AJ14" s="2143">
        <f t="shared" si="35"/>
        <v>5244.7446928823611</v>
      </c>
      <c r="AK14" s="3914">
        <v>2990</v>
      </c>
      <c r="AL14" s="2145">
        <f t="shared" si="126"/>
        <v>25.963682552608038</v>
      </c>
      <c r="AM14" s="2143">
        <f t="shared" si="10"/>
        <v>776.31410832298036</v>
      </c>
      <c r="AN14" s="2143">
        <f t="shared" si="123"/>
        <v>2990</v>
      </c>
      <c r="AO14" s="2145">
        <f t="shared" si="36"/>
        <v>27.081789545143941</v>
      </c>
      <c r="AP14" s="2143">
        <f t="shared" si="37"/>
        <v>809.74550739980396</v>
      </c>
      <c r="AQ14" s="2143">
        <f t="shared" si="11"/>
        <v>9.4728353215293275</v>
      </c>
      <c r="AR14" s="2143">
        <f t="shared" si="38"/>
        <v>3351.6386294369354</v>
      </c>
      <c r="AS14" s="2143">
        <f t="shared" si="39"/>
        <v>413.02920338921376</v>
      </c>
      <c r="AT14" s="2145">
        <f>+'Recalculos ST'!E15</f>
        <v>35.663290764251407</v>
      </c>
      <c r="AU14" s="2143">
        <f>+'MCP ST'!V8</f>
        <v>66.144355264056699</v>
      </c>
      <c r="AV14" s="3973">
        <f>+Factores!$D$24</f>
        <v>0.96199999999999997</v>
      </c>
      <c r="AW14" s="2143">
        <f t="shared" si="40"/>
        <v>778.97517811861132</v>
      </c>
      <c r="AX14" s="3908">
        <f>'Plan mina ST'!AK12/25.4</f>
        <v>3.9116539447405976</v>
      </c>
      <c r="AY14" s="2719">
        <f>+'Recalculos ST'!AK15</f>
        <v>190.93430503684758</v>
      </c>
      <c r="AZ14" s="2147">
        <f>'Plan mina ST'!O12*BA14/1000000*0.79</f>
        <v>9.4728353215293275</v>
      </c>
      <c r="BA14" s="2146">
        <f t="shared" si="41"/>
        <v>6900.3985008220016</v>
      </c>
      <c r="BB14" s="2147">
        <f>'Plan mina ST'!O12*'ST Original'!BT14/1000000*0.8</f>
        <v>11.704749348496371</v>
      </c>
      <c r="BC14" s="4641"/>
      <c r="BD14" s="2165">
        <f t="shared" si="12"/>
        <v>46088.791666666664</v>
      </c>
      <c r="BE14" s="2149">
        <f>'Plan mina ST'!J12</f>
        <v>2.3046832044990525E-2</v>
      </c>
      <c r="BF14" s="2150">
        <f t="shared" si="42"/>
        <v>0.79745733895659987</v>
      </c>
      <c r="BG14" s="2151">
        <f>'Plan mina ST'!K12</f>
        <v>0.97216347745932397</v>
      </c>
      <c r="BH14" s="2150">
        <f t="shared" si="43"/>
        <v>33.638414956645541</v>
      </c>
      <c r="BI14" s="2151">
        <f>'Plan mina ST'!V12</f>
        <v>50.502314575070429</v>
      </c>
      <c r="BJ14" s="2152">
        <f t="shared" si="44"/>
        <v>2272.6041558781694</v>
      </c>
      <c r="BK14" s="3395">
        <f>'Plan mina ST'!AI12</f>
        <v>0.74399207012954371</v>
      </c>
      <c r="BL14" s="3401">
        <f>'Recalculos ST'!T15</f>
        <v>5.9373361545268226</v>
      </c>
      <c r="BM14" s="3392">
        <f t="shared" si="45"/>
        <v>5.1570620291998504</v>
      </c>
      <c r="BN14" s="3392">
        <f t="shared" si="46"/>
        <v>12.742175930503191</v>
      </c>
      <c r="BO14" s="3392">
        <f t="shared" si="47"/>
        <v>12.742175930503191</v>
      </c>
      <c r="BP14" s="3392">
        <f t="shared" si="48"/>
        <v>30.641413890206231</v>
      </c>
      <c r="BQ14" s="3402">
        <f t="shared" si="49"/>
        <v>14.469959964817027</v>
      </c>
      <c r="BR14" s="3397">
        <f t="shared" si="50"/>
        <v>6564.8100543932132</v>
      </c>
      <c r="BS14" s="2137">
        <f t="shared" si="51"/>
        <v>1792.2341420572061</v>
      </c>
      <c r="BT14" s="3344">
        <f t="shared" si="52"/>
        <v>8419.6377551166497</v>
      </c>
      <c r="BU14" s="3345">
        <f t="shared" si="53"/>
        <v>2188.6499920880306</v>
      </c>
      <c r="BV14" s="3345">
        <f t="shared" si="54"/>
        <v>2188.649992088031</v>
      </c>
      <c r="BW14" s="3345">
        <f t="shared" si="55"/>
        <v>2188.649992088031</v>
      </c>
      <c r="BX14" s="3346">
        <f t="shared" si="56"/>
        <v>39.685732626136769</v>
      </c>
      <c r="BY14" s="3346">
        <f t="shared" si="57"/>
        <v>98.056332111173916</v>
      </c>
      <c r="BZ14" s="3346">
        <f t="shared" si="58"/>
        <v>98.056332111173916</v>
      </c>
      <c r="CA14" s="3346">
        <f t="shared" si="59"/>
        <v>97.12989278992228</v>
      </c>
      <c r="CB14" s="3346">
        <f t="shared" si="60"/>
        <v>82.012108408617095</v>
      </c>
      <c r="CC14" s="3623">
        <f t="shared" si="61"/>
        <v>78.599465616161524</v>
      </c>
      <c r="CD14" s="3348">
        <f t="shared" si="62"/>
        <v>40.516235435536117</v>
      </c>
      <c r="CE14" s="3348">
        <f t="shared" si="63"/>
        <v>98.886834920573264</v>
      </c>
      <c r="CF14" s="3348">
        <f t="shared" si="64"/>
        <v>98.886834920573264</v>
      </c>
      <c r="CG14" s="3348">
        <f t="shared" si="65"/>
        <v>98.356250499976611</v>
      </c>
      <c r="CH14" s="3346">
        <f t="shared" si="66"/>
        <v>82.91551355107714</v>
      </c>
      <c r="CI14" s="3347">
        <f t="shared" si="67"/>
        <v>21.589349539850673</v>
      </c>
      <c r="CJ14" s="3359">
        <f t="shared" si="68"/>
        <v>2.6425310000000004</v>
      </c>
      <c r="CK14" s="3360">
        <f t="shared" si="69"/>
        <v>6.4495510000000005</v>
      </c>
      <c r="CL14" s="3360">
        <f t="shared" si="70"/>
        <v>6.4495510000000005</v>
      </c>
      <c r="CM14" s="3361">
        <f t="shared" si="71"/>
        <v>4.3442710000000009</v>
      </c>
      <c r="CN14" s="3361">
        <f t="shared" si="72"/>
        <v>19.885904</v>
      </c>
      <c r="CO14" s="3359">
        <f t="shared" si="73"/>
        <v>2.5883643333333337</v>
      </c>
      <c r="CP14" s="3360">
        <f t="shared" si="74"/>
        <v>6.3953843333333333</v>
      </c>
      <c r="CQ14" s="3360">
        <f t="shared" si="75"/>
        <v>6.3953843333333333</v>
      </c>
      <c r="CR14" s="3361">
        <f t="shared" si="76"/>
        <v>4.2901043333333337</v>
      </c>
      <c r="CS14" s="3361">
        <f t="shared" si="77"/>
        <v>19.669237333333335</v>
      </c>
      <c r="CT14" s="3362">
        <f t="shared" si="78"/>
        <v>6.5217878333333337</v>
      </c>
      <c r="CU14" s="2166">
        <f t="shared" si="79"/>
        <v>6.5217878333333337</v>
      </c>
      <c r="CV14" s="2166">
        <f t="shared" si="80"/>
        <v>6.5217878333333337</v>
      </c>
      <c r="CW14" s="3363">
        <f t="shared" si="81"/>
        <v>4.4179698333333342</v>
      </c>
      <c r="CX14" s="3359">
        <f t="shared" si="82"/>
        <v>3.8070200000000001</v>
      </c>
      <c r="CY14" s="3360">
        <f t="shared" si="83"/>
        <v>0</v>
      </c>
      <c r="CZ14" s="3360">
        <f t="shared" si="84"/>
        <v>0</v>
      </c>
      <c r="DA14" s="3361">
        <f t="shared" si="85"/>
        <v>0</v>
      </c>
      <c r="DB14" s="3359">
        <f t="shared" si="86"/>
        <v>3.8796223333333333</v>
      </c>
      <c r="DC14" s="3360">
        <f t="shared" si="87"/>
        <v>7.2602333333333338E-2</v>
      </c>
      <c r="DD14" s="3360">
        <f t="shared" si="88"/>
        <v>7.2602333333333338E-2</v>
      </c>
      <c r="DE14" s="3361">
        <f t="shared" si="89"/>
        <v>7.2602333333333338E-2</v>
      </c>
      <c r="DF14" s="3361">
        <f t="shared" si="90"/>
        <v>4.0974293333333334</v>
      </c>
      <c r="DG14" s="3359">
        <f t="shared" si="91"/>
        <v>3.933789</v>
      </c>
      <c r="DH14" s="3360">
        <f t="shared" si="92"/>
        <v>0.12676900000000002</v>
      </c>
      <c r="DI14" s="3360">
        <f t="shared" si="93"/>
        <v>0.12676900000000002</v>
      </c>
      <c r="DJ14" s="3361">
        <f t="shared" si="94"/>
        <v>0.12676900000000002</v>
      </c>
      <c r="DK14" s="3361">
        <f t="shared" si="95"/>
        <v>4.314096000000001</v>
      </c>
      <c r="DL14" s="2146">
        <v>14</v>
      </c>
      <c r="DM14" s="2146">
        <v>0</v>
      </c>
      <c r="DN14" s="2146">
        <v>0</v>
      </c>
      <c r="DO14" s="2146">
        <v>0</v>
      </c>
      <c r="DP14" s="2146">
        <v>0</v>
      </c>
      <c r="DQ14" s="2146">
        <v>0</v>
      </c>
      <c r="DR14" s="2146">
        <v>0</v>
      </c>
      <c r="DS14" s="2146">
        <v>0</v>
      </c>
      <c r="DT14" s="2146">
        <v>0</v>
      </c>
      <c r="DU14" s="2146">
        <v>0</v>
      </c>
      <c r="DV14" s="2146">
        <v>0</v>
      </c>
      <c r="DW14" s="2582">
        <f t="shared" si="96"/>
        <v>7.2602333333333338E-2</v>
      </c>
      <c r="DX14" s="2582">
        <f t="shared" si="97"/>
        <v>7.2602333333333338E-2</v>
      </c>
      <c r="DY14" s="2582">
        <f t="shared" si="98"/>
        <v>7.2602333333333338E-2</v>
      </c>
      <c r="DZ14" s="2582">
        <f t="shared" si="99"/>
        <v>7.2602333333333338E-2</v>
      </c>
      <c r="EA14" s="2582">
        <f t="shared" si="100"/>
        <v>0</v>
      </c>
      <c r="EB14" s="2582">
        <f t="shared" si="101"/>
        <v>0</v>
      </c>
      <c r="EC14" s="2582">
        <f t="shared" si="102"/>
        <v>0</v>
      </c>
      <c r="ED14" s="2582">
        <f t="shared" si="103"/>
        <v>0</v>
      </c>
      <c r="EE14" s="2582">
        <f t="shared" si="104"/>
        <v>0.05</v>
      </c>
      <c r="EF14" s="2582">
        <f t="shared" si="105"/>
        <v>0.05</v>
      </c>
      <c r="EG14" s="2582">
        <f t="shared" si="106"/>
        <v>0.05</v>
      </c>
      <c r="EH14" s="2582">
        <f t="shared" si="127"/>
        <v>0.05</v>
      </c>
      <c r="EI14" s="2582">
        <f t="shared" si="108"/>
        <v>4.1666666666666666E-3</v>
      </c>
      <c r="EJ14" s="2582">
        <f t="shared" si="109"/>
        <v>4.1666666666666666E-3</v>
      </c>
      <c r="EK14" s="2582">
        <f t="shared" si="110"/>
        <v>4.1666666666666666E-3</v>
      </c>
      <c r="EL14" s="2583">
        <f t="shared" si="111"/>
        <v>4.1666666666666666E-3</v>
      </c>
      <c r="EM14" s="3341">
        <f t="shared" si="112"/>
        <v>4.1666666666666666E-3</v>
      </c>
      <c r="EN14" s="3341">
        <f t="shared" si="113"/>
        <v>4.1666666666666666E-3</v>
      </c>
      <c r="EO14" s="3341">
        <f t="shared" si="114"/>
        <v>4.1666666666666666E-3</v>
      </c>
      <c r="EP14" s="3341">
        <f t="shared" si="115"/>
        <v>4.1666666666666666E-3</v>
      </c>
      <c r="EQ14" s="3319">
        <f t="shared" si="116"/>
        <v>1.6666666666666666E-2</v>
      </c>
      <c r="ER14" s="809">
        <f>+'MCP ST'!H8</f>
        <v>2.4358641599392215</v>
      </c>
      <c r="ES14" s="4236">
        <f t="shared" si="117"/>
        <v>4.114096</v>
      </c>
      <c r="EZ14" s="2154">
        <f>+'Plan mina ST'!AM12</f>
        <v>0.65779088340401548</v>
      </c>
      <c r="FA14" s="2080">
        <f>IF($FC14&lt;=Factores!$D$3,AX14,"")</f>
        <v>3.9116539447405976</v>
      </c>
      <c r="FB14" s="2083"/>
      <c r="FC14" s="2079">
        <f t="shared" si="13"/>
        <v>46088.791666666664</v>
      </c>
      <c r="FD14" s="787">
        <f>IF($FC14&lt;=Factores!$D$3,'ST Original'!C14,"")</f>
        <v>170000.00000024194</v>
      </c>
      <c r="FE14" s="789">
        <f>IF($FC14&lt;=Factores!$D$3,'ST Original'!D14,"")</f>
        <v>727111.56743542035</v>
      </c>
      <c r="FF14" s="787">
        <f>IF($FC14&lt;=Factores!$D$3,'ST Original'!E14,"")</f>
        <v>165609.56401972804</v>
      </c>
      <c r="FG14" s="789"/>
      <c r="FH14" s="2064">
        <f>IF($FC14&lt;=Factores!$D$3,'ST Original'!J14,"")</f>
        <v>82.012955605839991</v>
      </c>
      <c r="FI14" s="2082">
        <f>IF($FC14&lt;=Factores!$D$3,'ST Original'!BT14,"")</f>
        <v>8419.6377551166497</v>
      </c>
      <c r="FJ14" s="2082">
        <f>IF($FC14&lt;=Factores!$D$3,'ST Original'!K14,"")</f>
        <v>65.779088340401543</v>
      </c>
      <c r="FK14" s="2081">
        <f>IF($FC14&lt;=Factores!$D$3,'ST Original'!L14,"")</f>
        <v>0.50948477260958724</v>
      </c>
      <c r="FL14" s="2082">
        <f>IF($FC14&lt;=Factores!$D$3,'ST Original'!M14,"")</f>
        <v>89.832031455850071</v>
      </c>
      <c r="FM14" s="2082">
        <f>IF($FC14&lt;=Factores!$D$3,'ST Original'!N14,"")</f>
        <v>22.273176938850266</v>
      </c>
      <c r="FN14" s="787">
        <f>IF($FC14&lt;=Factores!$D$3,'ST Original'!O14,"")</f>
        <v>3403.0292033892138</v>
      </c>
      <c r="FO14" s="788">
        <f>IF($FC14&lt;=Factores!$D$3,'ST Original'!R14,"")</f>
        <v>17360.87074841293</v>
      </c>
      <c r="FP14" s="787">
        <f>IF($FC14&lt;=Factores!$D$3,'ST Original'!S14,"")</f>
        <v>757.96271575162621</v>
      </c>
      <c r="FQ14" s="789">
        <f>IF($FC14&lt;=Factores!$D$3,'ST Original'!V14,"")</f>
        <v>4683.9718534479025</v>
      </c>
      <c r="FR14" s="787">
        <f>IF($FC14&lt;=Factores!$D$3,'ST Original'!W14,"")</f>
        <v>138.66702464235686</v>
      </c>
      <c r="FS14" s="827">
        <f>IF($FC14&lt;=Factores!$D$3,'ST Original'!X14,"")</f>
        <v>90.754336511993287</v>
      </c>
      <c r="FT14" s="827">
        <f>IF($FC14&lt;=Factores!$D$3,'ST Original'!Y14,"")</f>
        <v>85.678208174784729</v>
      </c>
      <c r="FU14" s="827">
        <f>IF($FC14&lt;=Factores!$D$3,'ST Original'!Z14,"")</f>
        <v>77.756689364390283</v>
      </c>
      <c r="FV14" s="827">
        <f>IF($FC14&lt;=Factores!$D$3,'ST Original'!AA14,"")</f>
        <v>50</v>
      </c>
      <c r="FW14" s="788">
        <f>IF($FC14&lt;=Factores!$D$3,'ST Original'!AB14,"")</f>
        <v>35.713002814230705</v>
      </c>
      <c r="FX14" s="788">
        <f>IF($FC14&lt;=Factores!$D$3,'ST Original'!AC14,"")</f>
        <v>35.713002814230705</v>
      </c>
      <c r="FY14" s="827">
        <f>IF($FC14&lt;=Factores!$D$3,AE14,"")</f>
        <v>17.856501407115353</v>
      </c>
      <c r="FZ14" s="789">
        <f>IF($FC14&lt;=Factores!$D$3,AF14,"")</f>
        <v>193.43664692461485</v>
      </c>
      <c r="GA14" s="788">
        <f>IF($FC14&lt;=Factores!$D$3,AG14,"")</f>
        <v>30</v>
      </c>
      <c r="GB14" s="787">
        <f>IF($FC14&lt;=Factores!$D$3,AI14,"")</f>
        <v>809.72871333085357</v>
      </c>
      <c r="GC14" s="789">
        <f>IF($FC14&lt;=Factores!$D$3,AJ14,"")</f>
        <v>5244.7446928823611</v>
      </c>
      <c r="GD14" s="787">
        <f>IF($FC14&lt;=Factores!$D$3,AN14,"")</f>
        <v>2990</v>
      </c>
      <c r="GE14" s="788">
        <f>IF($FC14&lt;=Factores!$D$3,AO14,"")</f>
        <v>27.081789545143941</v>
      </c>
      <c r="GF14" s="789">
        <f>IF($FC14&lt;=Factores!$D$3,AP14,"")</f>
        <v>809.74550739980396</v>
      </c>
      <c r="GG14" s="2072">
        <f>IF($FC14&lt;=Factores!$D$3,BI14,"")</f>
        <v>50.502314575070429</v>
      </c>
      <c r="GH14" s="2073">
        <f>IF($FC14&lt;=Factores!$D$3,BJ14,"")</f>
        <v>2272.6041558781694</v>
      </c>
      <c r="GI14" s="2069">
        <f>+'Plan mina ST'!AN49</f>
        <v>284.97512264821921</v>
      </c>
      <c r="GJ14" s="2065">
        <f t="shared" si="14"/>
        <v>46088.791666666664</v>
      </c>
      <c r="GK14" s="2080">
        <f>+'Plan mina ST'!J12</f>
        <v>2.3046832044990525E-2</v>
      </c>
      <c r="GL14" s="826">
        <f t="shared" si="15"/>
        <v>0.78510729859263273</v>
      </c>
      <c r="GM14" s="788">
        <f t="shared" si="118"/>
        <v>2671.7430649047446</v>
      </c>
      <c r="GN14" s="2084">
        <f t="shared" si="119"/>
        <v>25636.491824775861</v>
      </c>
      <c r="GO14" s="826">
        <f>+'Plan mina ST'!K12</f>
        <v>0.97216347745932397</v>
      </c>
      <c r="GP14" s="826">
        <f t="shared" si="16"/>
        <v>37.848530831905968</v>
      </c>
      <c r="GQ14" s="788">
        <f t="shared" si="17"/>
        <v>128799.65572635307</v>
      </c>
      <c r="GR14" s="788">
        <f t="shared" si="120"/>
        <v>974326.86881143588</v>
      </c>
      <c r="GS14" s="2082">
        <f>+'Plan mina ST'!V12</f>
        <v>50.502314575070429</v>
      </c>
      <c r="GT14" s="789">
        <f t="shared" si="18"/>
        <v>2272.6041558781694</v>
      </c>
      <c r="GU14" s="2072">
        <f>IF($FC14&lt;=Factores!$D$3,AT14,"")</f>
        <v>35.663290764251407</v>
      </c>
      <c r="GW14" s="2082">
        <f>+'Plan mina ST'!AI12</f>
        <v>0.74399207012954371</v>
      </c>
      <c r="GX14" s="2085">
        <v>0.5</v>
      </c>
      <c r="GY14" s="819"/>
      <c r="GZ14" s="2079">
        <f t="shared" si="19"/>
        <v>46088.791666666664</v>
      </c>
      <c r="HA14" s="787" t="str">
        <f>IF($FC14&gt;Factores!$D$3,'ST Original'!C14,"")</f>
        <v/>
      </c>
      <c r="HB14" s="789" t="str">
        <f>IF($FC14&gt;Factores!$D$3,'ST Original'!D14,"")</f>
        <v/>
      </c>
      <c r="HC14" s="787" t="str">
        <f>IF($FC14&gt;Factores!$D$3,'ST Original'!E14,"")</f>
        <v/>
      </c>
      <c r="HD14" s="789"/>
      <c r="HE14" s="2064" t="str">
        <f>IF($FC14&gt;Factores!$D$3,'ST Original'!J14,"")</f>
        <v/>
      </c>
      <c r="HF14" s="2082" t="str">
        <f>IF($FC14&gt;Factores!$D$3,'ST Original'!BT14,"")</f>
        <v/>
      </c>
      <c r="HG14" s="2082" t="str">
        <f>IF($FC14&gt;Factores!$D$3,'ST Original'!K14,"")</f>
        <v/>
      </c>
      <c r="HH14" s="2081" t="str">
        <f>IF($FC14&gt;Factores!$D$3,'ST Original'!L14,"")</f>
        <v/>
      </c>
      <c r="HI14" s="2082" t="str">
        <f>IF($FC14&gt;Factores!$D$3,'ST Original'!M14,"")</f>
        <v/>
      </c>
      <c r="HJ14" s="2082" t="str">
        <f>IF($FC14&gt;Factores!$D$3,'ST Original'!N14,"")</f>
        <v/>
      </c>
      <c r="HK14" s="787" t="str">
        <f>IF($FC14&gt;Factores!$D$3,'ST Original'!O14,"")</f>
        <v/>
      </c>
      <c r="HL14" s="788" t="str">
        <f>IF($FC14&gt;Factores!$D$3,'ST Original'!R14,"")</f>
        <v/>
      </c>
      <c r="HM14" s="787" t="str">
        <f>IF($FC14&gt;Factores!$D$3,'ST Original'!S14,"")</f>
        <v/>
      </c>
      <c r="HN14" s="789" t="str">
        <f>IF($FC14&gt;Factores!$D$3,'ST Original'!V14,"")</f>
        <v/>
      </c>
      <c r="HO14" s="787" t="str">
        <f>IF($FC14&gt;Factores!$D$3,'ST Original'!W14,"")</f>
        <v/>
      </c>
      <c r="HP14" s="827" t="str">
        <f>IF($FC14&gt;Factores!$D$3,'ST Original'!X14,"")</f>
        <v/>
      </c>
      <c r="HQ14" s="827" t="str">
        <f>IF($FC14&gt;Factores!$D$3,'ST Original'!Y14,"")</f>
        <v/>
      </c>
      <c r="HR14" s="827" t="str">
        <f>IF($FC14&gt;Factores!$D$3,'ST Original'!Z14,"")</f>
        <v/>
      </c>
      <c r="HS14" s="827" t="str">
        <f>IF($FC14&gt;Factores!$D$3,'ST Original'!AA14,"")</f>
        <v/>
      </c>
      <c r="HT14" s="788" t="str">
        <f>IF($FC14&gt;Factores!$D$3,'ST Original'!AB14,"")</f>
        <v/>
      </c>
      <c r="HU14" s="788" t="str">
        <f>IF($FC14&gt;Factores!$D$3,'ST Original'!AC14,"")</f>
        <v/>
      </c>
      <c r="HV14" s="827" t="str">
        <f>IF($FC14&gt;Factores!$D$3,AE14,"")</f>
        <v/>
      </c>
      <c r="HW14" s="789" t="str">
        <f>IF($FC14&gt;Factores!$D$3,AF14,"")</f>
        <v/>
      </c>
      <c r="HX14" s="788" t="str">
        <f>IF($FC14&gt;Factores!$D$3,AG14,"")</f>
        <v/>
      </c>
      <c r="HY14" s="787" t="str">
        <f>IF($FC14&gt;Factores!$D$3,AI14,"")</f>
        <v/>
      </c>
      <c r="HZ14" s="789" t="str">
        <f>IF($FC14&gt;Factores!$D$3,AJ14,"")</f>
        <v/>
      </c>
      <c r="IA14" s="787" t="str">
        <f>IF($FC14&gt;Factores!$D$3,AN14,"")</f>
        <v/>
      </c>
      <c r="IB14" s="788" t="str">
        <f>IF($FC14&gt;Factores!$D$3,AO14,"")</f>
        <v/>
      </c>
      <c r="IC14" s="789" t="str">
        <f>IF($FC14&gt;Factores!$D$3,AP14,"")</f>
        <v/>
      </c>
      <c r="ID14" s="2072" t="str">
        <f>IF($FC14&gt;Factores!$D$3,BI14,"")</f>
        <v/>
      </c>
      <c r="IE14" s="2073" t="str">
        <f>IF($FC14&gt;Factores!$D$3,BJ14,"")</f>
        <v/>
      </c>
      <c r="IF14" s="4237">
        <f t="shared" si="20"/>
        <v>165609.56401972804</v>
      </c>
      <c r="IG14" s="4237">
        <f t="shared" si="124"/>
        <v>1016293.6581756135</v>
      </c>
      <c r="IH14" s="4234">
        <f t="shared" si="121"/>
        <v>0.50948477260958724</v>
      </c>
      <c r="II14" s="342">
        <f>SUMPRODUCT(IH$8:IH14,IF$8:IF14)/IG14</f>
        <v>0.50964171724923646</v>
      </c>
      <c r="IJ14" s="4235">
        <f t="shared" si="122"/>
        <v>89.832031455850071</v>
      </c>
      <c r="IK14" s="342" cm="1">
        <f t="array" ref="IK14">SUMPRODUCT(IJ$8:IJ14,IF$8:IF14/IG14)</f>
        <v>90.433995025106256</v>
      </c>
    </row>
    <row r="15" spans="1:245" s="744" customFormat="1" ht="14.25" customHeight="1">
      <c r="A15" s="4635" t="s">
        <v>327</v>
      </c>
      <c r="B15" s="2359">
        <f t="shared" si="21"/>
        <v>46089.791666666664</v>
      </c>
      <c r="C15" s="2360">
        <f>+'Plan mina ST'!N50*1000</f>
        <v>190000.00000046202</v>
      </c>
      <c r="D15" s="2360">
        <f>+'Plan mina ST'!M50*1000</f>
        <v>714191.39074549009</v>
      </c>
      <c r="E15" s="2134">
        <f>(('Plan mina ST'!O50*1000))</f>
        <v>202920.17669039228</v>
      </c>
      <c r="F15" s="2360">
        <f>+'Plan mina ST'!J50*1000</f>
        <v>42116.613212367636</v>
      </c>
      <c r="G15" s="2360">
        <f t="shared" si="22"/>
        <v>160803.56347802465</v>
      </c>
      <c r="H15" s="2361">
        <f t="shared" si="23"/>
        <v>98.056332111173901</v>
      </c>
      <c r="I15" s="2361">
        <f t="shared" si="24"/>
        <v>97.12989278992228</v>
      </c>
      <c r="J15" s="2361">
        <f t="shared" si="25"/>
        <v>97.885672723806138</v>
      </c>
      <c r="K15" s="2361">
        <f>+'Plan mina ST'!AM13*100</f>
        <v>59.363814251854684</v>
      </c>
      <c r="L15" s="2530">
        <f>'Plan mina ST'!D13</f>
        <v>0.49383422810273897</v>
      </c>
      <c r="M15" s="2361">
        <f>'Plan mina ST'!C13</f>
        <v>89.507920876634486</v>
      </c>
      <c r="N15" s="2362">
        <f>'Plan mina ST'!B13</f>
        <v>22.685636281349066</v>
      </c>
      <c r="O15" s="2360">
        <f t="shared" si="1"/>
        <v>3953.8202768151364</v>
      </c>
      <c r="P15" s="2360">
        <f t="shared" si="2"/>
        <v>3133.1945409923674</v>
      </c>
      <c r="Q15" s="2360">
        <f t="shared" si="3"/>
        <v>820.62573582276877</v>
      </c>
      <c r="R15" s="2360">
        <f t="shared" si="26"/>
        <v>21314.691025228065</v>
      </c>
      <c r="S15" s="2360">
        <f t="shared" si="4"/>
        <v>896.94928721651058</v>
      </c>
      <c r="T15" s="2360">
        <f t="shared" si="5"/>
        <v>710.78511755661282</v>
      </c>
      <c r="U15" s="2360">
        <f t="shared" si="6"/>
        <v>186.16416965989777</v>
      </c>
      <c r="V15" s="2360">
        <f t="shared" si="27"/>
        <v>5580.9211406644135</v>
      </c>
      <c r="W15" s="2360">
        <f>+'Plan mina ST'!E13</f>
        <v>128.11667232381174</v>
      </c>
      <c r="X15" s="2361">
        <f t="shared" si="28"/>
        <v>90.47686826000438</v>
      </c>
      <c r="Y15" s="3932">
        <f t="shared" si="125"/>
        <v>85.46072356867306</v>
      </c>
      <c r="Z15" s="2361">
        <f t="shared" si="30"/>
        <v>77.322186277274838</v>
      </c>
      <c r="AA15" s="2362">
        <v>50</v>
      </c>
      <c r="AB15" s="2360">
        <f t="shared" si="7"/>
        <v>40.20360547164352</v>
      </c>
      <c r="AC15" s="2360">
        <f t="shared" si="31"/>
        <v>40.20360547164352</v>
      </c>
      <c r="AD15" s="2360">
        <f t="shared" si="32"/>
        <v>40</v>
      </c>
      <c r="AE15" s="2360">
        <f t="shared" si="8"/>
        <v>20.10180273582176</v>
      </c>
      <c r="AF15" s="2360">
        <f t="shared" si="33"/>
        <v>213.53844966043661</v>
      </c>
      <c r="AG15" s="2360">
        <v>20</v>
      </c>
      <c r="AH15" s="2360">
        <f t="shared" si="34"/>
        <v>293.53844966043664</v>
      </c>
      <c r="AI15" s="2360">
        <f t="shared" si="9"/>
        <v>955.2244133476579</v>
      </c>
      <c r="AJ15" s="2360">
        <f t="shared" si="35"/>
        <v>6199.969106230019</v>
      </c>
      <c r="AK15" s="3914">
        <v>2990</v>
      </c>
      <c r="AL15" s="2362">
        <f t="shared" si="126"/>
        <v>22.273176938850266</v>
      </c>
      <c r="AM15" s="2360">
        <f t="shared" si="10"/>
        <v>665.9679904716229</v>
      </c>
      <c r="AN15" s="2360">
        <f t="shared" si="123"/>
        <v>2990</v>
      </c>
      <c r="AO15" s="2362">
        <f t="shared" si="36"/>
        <v>25.963682552608038</v>
      </c>
      <c r="AP15" s="2360">
        <f t="shared" si="37"/>
        <v>776.31410832298036</v>
      </c>
      <c r="AQ15" s="2360">
        <f t="shared" si="11"/>
        <v>12.548683020903271</v>
      </c>
      <c r="AR15" s="2360">
        <f t="shared" si="38"/>
        <v>3472.2738083304657</v>
      </c>
      <c r="AS15" s="2360">
        <f t="shared" si="39"/>
        <v>963.82027681513637</v>
      </c>
      <c r="AT15" s="2362">
        <f>+'Recalculos ST'!E16</f>
        <v>36.663946231963571</v>
      </c>
      <c r="AU15" s="2360">
        <f>+'MCP ST'!V9</f>
        <v>67.712256194736412</v>
      </c>
      <c r="AV15" s="3973">
        <f>+Factores!$D$24</f>
        <v>0.96199999999999997</v>
      </c>
      <c r="AW15" s="2360">
        <f t="shared" si="40"/>
        <v>746.8141722067071</v>
      </c>
      <c r="AX15" s="3909">
        <f>'Plan mina ST'!AK13/25.4</f>
        <v>3.9657877154601224</v>
      </c>
      <c r="AY15" s="2717">
        <f>+'Recalculos ST'!AK16</f>
        <v>191.16571562505712</v>
      </c>
      <c r="AZ15" s="2364">
        <f>'Plan mina ST'!O13*BA15/1000000*0.79</f>
        <v>12.548683020903271</v>
      </c>
      <c r="BA15" s="2363">
        <f t="shared" si="41"/>
        <v>8455.0073620996791</v>
      </c>
      <c r="BB15" s="2364">
        <f>'Plan mina ST'!O13*'ST Original'!BT15/1000000*0.8</f>
        <v>12.991030822010854</v>
      </c>
      <c r="BC15" s="4639" t="s">
        <v>327</v>
      </c>
      <c r="BD15" s="2365">
        <f t="shared" si="12"/>
        <v>46089.791666666664</v>
      </c>
      <c r="BE15" s="2149">
        <f>'Plan mina ST'!J13</f>
        <v>2.1442443420408859E-2</v>
      </c>
      <c r="BF15" s="2150">
        <f t="shared" si="42"/>
        <v>0.74194292028450159</v>
      </c>
      <c r="BG15" s="2151">
        <f>'Plan mina ST'!K13</f>
        <v>0.9649470719769726</v>
      </c>
      <c r="BH15" s="2150">
        <f t="shared" si="43"/>
        <v>33.388715757139352</v>
      </c>
      <c r="BI15" s="2151">
        <f>'Plan mina ST'!V13</f>
        <v>57.800312080789894</v>
      </c>
      <c r="BJ15" s="2152">
        <f t="shared" si="44"/>
        <v>2601.014043635545</v>
      </c>
      <c r="BK15" s="3395">
        <f>'Plan mina ST'!AI13</f>
        <v>0.77281331219560301</v>
      </c>
      <c r="BL15" s="3403">
        <f>'Recalculos ST'!T16</f>
        <v>5.8887306520138862</v>
      </c>
      <c r="BM15" s="3393">
        <f t="shared" si="45"/>
        <v>13.154073598973497</v>
      </c>
      <c r="BN15" s="3393">
        <f t="shared" si="46"/>
        <v>13.154073598973497</v>
      </c>
      <c r="BO15" s="3393">
        <f t="shared" si="47"/>
        <v>13.154073598973497</v>
      </c>
      <c r="BP15" s="3393">
        <f t="shared" si="48"/>
        <v>39.462220796920491</v>
      </c>
      <c r="BQ15" s="3404">
        <f t="shared" si="49"/>
        <v>14.469959964817027</v>
      </c>
      <c r="BR15" s="3397">
        <f t="shared" si="50"/>
        <v>6832.958498442059</v>
      </c>
      <c r="BS15" s="2137">
        <f t="shared" si="51"/>
        <v>1807.0272182298684</v>
      </c>
      <c r="BT15" s="3344">
        <f t="shared" si="52"/>
        <v>8643.6377662236137</v>
      </c>
      <c r="BU15" s="3345">
        <f t="shared" si="53"/>
        <v>2278.04832731529</v>
      </c>
      <c r="BV15" s="3345">
        <f t="shared" si="54"/>
        <v>2278.04832731529</v>
      </c>
      <c r="BW15" s="3345">
        <f t="shared" si="55"/>
        <v>2278.04832731529</v>
      </c>
      <c r="BX15" s="3346">
        <f t="shared" si="56"/>
        <v>98.056332111173916</v>
      </c>
      <c r="BY15" s="3346">
        <f t="shared" si="57"/>
        <v>98.056332111173916</v>
      </c>
      <c r="BZ15" s="3346">
        <f t="shared" si="58"/>
        <v>98.056332111173916</v>
      </c>
      <c r="CA15" s="3346">
        <f t="shared" si="59"/>
        <v>97.12989278992228</v>
      </c>
      <c r="CB15" s="3346">
        <f t="shared" si="60"/>
        <v>97.885715079916608</v>
      </c>
      <c r="CC15" s="3623">
        <f t="shared" si="61"/>
        <v>98.056332111173901</v>
      </c>
      <c r="CD15" s="3348">
        <f t="shared" si="62"/>
        <v>98.886834920573264</v>
      </c>
      <c r="CE15" s="3348">
        <f t="shared" si="63"/>
        <v>98.886834920573264</v>
      </c>
      <c r="CF15" s="3348">
        <f t="shared" si="64"/>
        <v>98.886834920573264</v>
      </c>
      <c r="CG15" s="3348">
        <f t="shared" si="65"/>
        <v>98.356250499976611</v>
      </c>
      <c r="CH15" s="3346">
        <f t="shared" si="66"/>
        <v>98.789120222376653</v>
      </c>
      <c r="CI15" s="3347">
        <f t="shared" si="67"/>
        <v>26.877795450599066</v>
      </c>
      <c r="CJ15" s="3349">
        <f t="shared" si="68"/>
        <v>6.4495510000000005</v>
      </c>
      <c r="CK15" s="3350">
        <f t="shared" si="69"/>
        <v>6.4495510000000005</v>
      </c>
      <c r="CL15" s="3350">
        <f t="shared" si="70"/>
        <v>6.4495510000000005</v>
      </c>
      <c r="CM15" s="3351">
        <f t="shared" si="71"/>
        <v>4.3442710000000009</v>
      </c>
      <c r="CN15" s="3351">
        <f t="shared" si="72"/>
        <v>23.692924000000001</v>
      </c>
      <c r="CO15" s="3349">
        <f t="shared" si="73"/>
        <v>6.3953843333333333</v>
      </c>
      <c r="CP15" s="3350">
        <f t="shared" si="74"/>
        <v>6.3953843333333333</v>
      </c>
      <c r="CQ15" s="3350">
        <f t="shared" si="75"/>
        <v>6.3953843333333333</v>
      </c>
      <c r="CR15" s="3351">
        <f t="shared" si="76"/>
        <v>4.2901043333333337</v>
      </c>
      <c r="CS15" s="3351">
        <f t="shared" si="77"/>
        <v>23.476257333333333</v>
      </c>
      <c r="CT15" s="3352">
        <f t="shared" si="78"/>
        <v>6.5217878333333337</v>
      </c>
      <c r="CU15" s="2366">
        <f t="shared" si="79"/>
        <v>6.5217878333333337</v>
      </c>
      <c r="CV15" s="2366">
        <f t="shared" si="80"/>
        <v>6.5217878333333337</v>
      </c>
      <c r="CW15" s="3353">
        <f t="shared" si="81"/>
        <v>4.4179698333333342</v>
      </c>
      <c r="CX15" s="3349">
        <f t="shared" si="82"/>
        <v>0</v>
      </c>
      <c r="CY15" s="3350">
        <f t="shared" si="83"/>
        <v>0</v>
      </c>
      <c r="CZ15" s="3350">
        <f t="shared" si="84"/>
        <v>0</v>
      </c>
      <c r="DA15" s="3351">
        <f t="shared" si="85"/>
        <v>0</v>
      </c>
      <c r="DB15" s="3349">
        <f t="shared" si="86"/>
        <v>7.2602333333333338E-2</v>
      </c>
      <c r="DC15" s="3350">
        <f t="shared" si="87"/>
        <v>7.2602333333333338E-2</v>
      </c>
      <c r="DD15" s="3350">
        <f t="shared" si="88"/>
        <v>7.2602333333333338E-2</v>
      </c>
      <c r="DE15" s="3351">
        <f t="shared" si="89"/>
        <v>7.2602333333333338E-2</v>
      </c>
      <c r="DF15" s="3351">
        <f t="shared" si="90"/>
        <v>0.29040933333333335</v>
      </c>
      <c r="DG15" s="3349">
        <f t="shared" si="91"/>
        <v>0.12676900000000002</v>
      </c>
      <c r="DH15" s="3350">
        <f t="shared" si="92"/>
        <v>0.12676900000000002</v>
      </c>
      <c r="DI15" s="3350">
        <f t="shared" si="93"/>
        <v>0.12676900000000002</v>
      </c>
      <c r="DJ15" s="3351">
        <f t="shared" si="94"/>
        <v>0.12676900000000002</v>
      </c>
      <c r="DK15" s="3351">
        <f t="shared" si="95"/>
        <v>0.50707600000000008</v>
      </c>
      <c r="DL15" s="2363">
        <v>0</v>
      </c>
      <c r="DM15" s="2363">
        <v>0</v>
      </c>
      <c r="DN15" s="2363">
        <v>0</v>
      </c>
      <c r="DO15" s="2363">
        <v>0</v>
      </c>
      <c r="DP15" s="2363">
        <v>0</v>
      </c>
      <c r="DQ15" s="2363">
        <v>0</v>
      </c>
      <c r="DR15" s="2363">
        <v>0</v>
      </c>
      <c r="DS15" s="2363">
        <v>0</v>
      </c>
      <c r="DT15" s="2363">
        <v>0</v>
      </c>
      <c r="DU15" s="2363">
        <v>0</v>
      </c>
      <c r="DV15" s="2363">
        <v>0</v>
      </c>
      <c r="DW15" s="2578">
        <f t="shared" si="96"/>
        <v>7.2602333333333338E-2</v>
      </c>
      <c r="DX15" s="2578">
        <f t="shared" si="97"/>
        <v>7.2602333333333338E-2</v>
      </c>
      <c r="DY15" s="2578">
        <f t="shared" si="98"/>
        <v>7.2602333333333338E-2</v>
      </c>
      <c r="DZ15" s="2578">
        <f t="shared" si="99"/>
        <v>7.2602333333333338E-2</v>
      </c>
      <c r="EA15" s="2578">
        <f t="shared" si="100"/>
        <v>0</v>
      </c>
      <c r="EB15" s="2578">
        <f t="shared" si="101"/>
        <v>0</v>
      </c>
      <c r="EC15" s="2578">
        <f t="shared" si="102"/>
        <v>0</v>
      </c>
      <c r="ED15" s="2578">
        <f t="shared" si="103"/>
        <v>0</v>
      </c>
      <c r="EE15" s="2578">
        <f t="shared" si="104"/>
        <v>0.05</v>
      </c>
      <c r="EF15" s="2578">
        <f t="shared" si="105"/>
        <v>0.05</v>
      </c>
      <c r="EG15" s="2578">
        <f t="shared" si="106"/>
        <v>0.05</v>
      </c>
      <c r="EH15" s="2578">
        <f t="shared" si="127"/>
        <v>0.05</v>
      </c>
      <c r="EI15" s="2578">
        <f t="shared" si="108"/>
        <v>4.1666666666666666E-3</v>
      </c>
      <c r="EJ15" s="2578">
        <f t="shared" si="109"/>
        <v>4.1666666666666666E-3</v>
      </c>
      <c r="EK15" s="2578">
        <f t="shared" si="110"/>
        <v>4.1666666666666666E-3</v>
      </c>
      <c r="EL15" s="2580">
        <f t="shared" si="111"/>
        <v>4.1666666666666666E-3</v>
      </c>
      <c r="EM15" s="3341">
        <f t="shared" si="112"/>
        <v>4.1666666666666666E-3</v>
      </c>
      <c r="EN15" s="3341">
        <f t="shared" si="113"/>
        <v>4.1666666666666666E-3</v>
      </c>
      <c r="EO15" s="3341">
        <f t="shared" si="114"/>
        <v>4.1666666666666666E-3</v>
      </c>
      <c r="EP15" s="3341">
        <f t="shared" si="115"/>
        <v>4.1666666666666666E-3</v>
      </c>
      <c r="EQ15" s="3319">
        <f t="shared" si="116"/>
        <v>1.6666666666666666E-2</v>
      </c>
      <c r="ER15" s="809">
        <f>+'MCP ST'!H9</f>
        <v>2.0965961816913388</v>
      </c>
      <c r="ES15" s="4236">
        <f t="shared" si="117"/>
        <v>0.30707600000000002</v>
      </c>
      <c r="EZ15" s="2154">
        <f>+'Plan mina ST'!AM13</f>
        <v>0.59363814251854685</v>
      </c>
      <c r="FA15" s="2069">
        <f>IF($FC15&lt;=Factores!$D$3,AX15,"")</f>
        <v>3.9657877154601224</v>
      </c>
      <c r="FB15" s="2068" t="s">
        <v>327</v>
      </c>
      <c r="FC15" s="2070">
        <f t="shared" si="13"/>
        <v>46089.791666666664</v>
      </c>
      <c r="FD15" s="1573">
        <f>IF($FC15&lt;=Factores!$D$3,'ST Original'!C15,"")</f>
        <v>190000.00000046202</v>
      </c>
      <c r="FE15" s="976">
        <f>IF($FC15&lt;=Factores!$D$3,'ST Original'!D15,"")</f>
        <v>714191.39074549009</v>
      </c>
      <c r="FF15" s="1573">
        <f>IF($FC15&lt;=Factores!$D$3,'ST Original'!E15,"")</f>
        <v>202920.17669039228</v>
      </c>
      <c r="FG15" s="976"/>
      <c r="FH15" s="2064">
        <f>IF($FC15&lt;=Factores!$D$3,'ST Original'!J15,"")</f>
        <v>97.885672723806138</v>
      </c>
      <c r="FI15" s="2064">
        <f>IF($FC15&lt;=Factores!$D$3,'ST Original'!BT15,"")</f>
        <v>8643.6377662236137</v>
      </c>
      <c r="FJ15" s="2064">
        <f>IF($FC15&lt;=Factores!$D$3,'ST Original'!K15,"")</f>
        <v>59.363814251854684</v>
      </c>
      <c r="FK15" s="2071">
        <f>IF($FC15&lt;=Factores!$D$3,'ST Original'!L15,"")</f>
        <v>0.49383422810273897</v>
      </c>
      <c r="FL15" s="2064">
        <f>IF($FC15&lt;=Factores!$D$3,'ST Original'!M15,"")</f>
        <v>89.507920876634486</v>
      </c>
      <c r="FM15" s="2064">
        <f>IF($FC15&lt;=Factores!$D$3,'ST Original'!N15,"")</f>
        <v>22.685636281349066</v>
      </c>
      <c r="FN15" s="1573">
        <f>IF($FC15&lt;=Factores!$D$3,'ST Original'!O15,"")</f>
        <v>3953.8202768151364</v>
      </c>
      <c r="FO15" s="1556">
        <f>IF($FC15&lt;=Factores!$D$3,'ST Original'!R15,"")</f>
        <v>21314.691025228065</v>
      </c>
      <c r="FP15" s="1573">
        <f>IF($FC15&lt;=Factores!$D$3,'ST Original'!S15,"")</f>
        <v>896.94928721651058</v>
      </c>
      <c r="FQ15" s="976">
        <f>IF($FC15&lt;=Factores!$D$3,'ST Original'!V15,"")</f>
        <v>5580.9211406644135</v>
      </c>
      <c r="FR15" s="1573">
        <f>IF($FC15&lt;=Factores!$D$3,'ST Original'!W15,"")</f>
        <v>128.11667232381174</v>
      </c>
      <c r="FS15" s="975">
        <f>IF($FC15&lt;=Factores!$D$3,'ST Original'!X15,"")</f>
        <v>90.47686826000438</v>
      </c>
      <c r="FT15" s="975">
        <f>IF($FC15&lt;=Factores!$D$3,'ST Original'!Y15,"")</f>
        <v>85.46072356867306</v>
      </c>
      <c r="FU15" s="975">
        <f>IF($FC15&lt;=Factores!$D$3,'ST Original'!Z15,"")</f>
        <v>77.322186277274838</v>
      </c>
      <c r="FV15" s="975">
        <f>IF($FC15&lt;=Factores!$D$3,'ST Original'!AA15,"")</f>
        <v>50</v>
      </c>
      <c r="FW15" s="1556">
        <f>IF($FC15&lt;=Factores!$D$3,'ST Original'!AB15,"")</f>
        <v>40.20360547164352</v>
      </c>
      <c r="FX15" s="1556">
        <f>IF($FC15&lt;=Factores!$D$3,'ST Original'!AC15,"")</f>
        <v>40.20360547164352</v>
      </c>
      <c r="FY15" s="975">
        <f>IF($FC15&lt;=Factores!$D$3,AE15,"")</f>
        <v>20.10180273582176</v>
      </c>
      <c r="FZ15" s="976">
        <f>IF($FC15&lt;=Factores!$D$3,AF15,"")</f>
        <v>213.53844966043661</v>
      </c>
      <c r="GA15" s="1556">
        <f>IF($FC15&lt;=Factores!$D$3,AG15,"")</f>
        <v>20</v>
      </c>
      <c r="GB15" s="1573">
        <f>IF($FC15&lt;=Factores!$D$3,AI15,"")</f>
        <v>955.2244133476579</v>
      </c>
      <c r="GC15" s="976">
        <f>IF($FC15&lt;=Factores!$D$3,AJ15,"")</f>
        <v>6199.969106230019</v>
      </c>
      <c r="GD15" s="780">
        <f>IF($FC15&lt;=Factores!$D$3,AN15,"")</f>
        <v>2990</v>
      </c>
      <c r="GE15" s="539">
        <f>IF($FC15&lt;=Factores!$D$3,AO15,"")</f>
        <v>25.963682552608038</v>
      </c>
      <c r="GF15" s="782">
        <f>IF($FC15&lt;=Factores!$D$3,AP15,"")</f>
        <v>776.31410832298036</v>
      </c>
      <c r="GG15" s="2072">
        <f>IF($FC15&lt;=Factores!$D$3,BI15,"")</f>
        <v>57.800312080789894</v>
      </c>
      <c r="GH15" s="2073">
        <f>IF($FC15&lt;=Factores!$D$3,BJ15,"")</f>
        <v>2601.014043635545</v>
      </c>
      <c r="GI15" s="2069">
        <f>+'Plan mina ST'!AN50</f>
        <v>289.40007771274281</v>
      </c>
      <c r="GJ15" s="2065">
        <f t="shared" si="14"/>
        <v>46089.791666666664</v>
      </c>
      <c r="GK15" s="2069">
        <f>+'Plan mina ST'!J13</f>
        <v>2.1442443420408859E-2</v>
      </c>
      <c r="GL15" s="1575">
        <f t="shared" si="15"/>
        <v>0.77033675585618455</v>
      </c>
      <c r="GM15" s="1556">
        <f t="shared" si="118"/>
        <v>3045.7730852801737</v>
      </c>
      <c r="GN15" s="2074">
        <f t="shared" si="119"/>
        <v>28682.264910056034</v>
      </c>
      <c r="GO15" s="1575">
        <f>+'Plan mina ST'!K13</f>
        <v>0.9649470719769726</v>
      </c>
      <c r="GP15" s="1575">
        <f t="shared" si="16"/>
        <v>39.618842867621638</v>
      </c>
      <c r="GQ15" s="1556">
        <f t="shared" si="17"/>
        <v>156645.78427395519</v>
      </c>
      <c r="GR15" s="1556">
        <f t="shared" si="120"/>
        <v>1130972.653085391</v>
      </c>
      <c r="GS15" s="2064">
        <f>+'Plan mina ST'!V13</f>
        <v>57.800312080789894</v>
      </c>
      <c r="GT15" s="976">
        <f t="shared" si="18"/>
        <v>2601.014043635545</v>
      </c>
      <c r="GU15" s="2072">
        <f>IF($FC15&lt;=Factores!$D$3,AT15,"")</f>
        <v>36.663946231963571</v>
      </c>
      <c r="GW15" s="2064">
        <f>+'Plan mina ST'!AI13</f>
        <v>0.77281331219560301</v>
      </c>
      <c r="GX15" s="2075">
        <v>0.5</v>
      </c>
      <c r="GY15" s="819"/>
      <c r="GZ15" s="2070">
        <f t="shared" si="19"/>
        <v>46089.791666666664</v>
      </c>
      <c r="HA15" s="1573" t="str">
        <f>IF($FC15&gt;Factores!$D$3,'ST Original'!C15,"")</f>
        <v/>
      </c>
      <c r="HB15" s="976" t="str">
        <f>IF($FC15&gt;Factores!$D$3,'ST Original'!D15,"")</f>
        <v/>
      </c>
      <c r="HC15" s="1573" t="str">
        <f>IF($FC15&gt;Factores!$D$3,'ST Original'!E15,"")</f>
        <v/>
      </c>
      <c r="HD15" s="976"/>
      <c r="HE15" s="2064" t="str">
        <f>IF($FC15&gt;Factores!$D$3,'ST Original'!J15,"")</f>
        <v/>
      </c>
      <c r="HF15" s="2064" t="str">
        <f>IF($FC15&gt;Factores!$D$3,'ST Original'!BT15,"")</f>
        <v/>
      </c>
      <c r="HG15" s="2064" t="str">
        <f>IF($FC15&gt;Factores!$D$3,'ST Original'!K15,"")</f>
        <v/>
      </c>
      <c r="HH15" s="2071" t="str">
        <f>IF($FC15&gt;Factores!$D$3,'ST Original'!L15,"")</f>
        <v/>
      </c>
      <c r="HI15" s="2064" t="str">
        <f>IF($FC15&gt;Factores!$D$3,'ST Original'!M15,"")</f>
        <v/>
      </c>
      <c r="HJ15" s="2064" t="str">
        <f>IF($FC15&gt;Factores!$D$3,'ST Original'!N15,"")</f>
        <v/>
      </c>
      <c r="HK15" s="1573" t="str">
        <f>IF($FC15&gt;Factores!$D$3,'ST Original'!O15,"")</f>
        <v/>
      </c>
      <c r="HL15" s="1556" t="str">
        <f>IF($FC15&gt;Factores!$D$3,'ST Original'!R15,"")</f>
        <v/>
      </c>
      <c r="HM15" s="1573" t="str">
        <f>IF($FC15&gt;Factores!$D$3,'ST Original'!S15,"")</f>
        <v/>
      </c>
      <c r="HN15" s="976" t="str">
        <f>IF($FC15&gt;Factores!$D$3,'ST Original'!V15,"")</f>
        <v/>
      </c>
      <c r="HO15" s="1573" t="str">
        <f>IF($FC15&gt;Factores!$D$3,'ST Original'!W15,"")</f>
        <v/>
      </c>
      <c r="HP15" s="975" t="str">
        <f>IF($FC15&gt;Factores!$D$3,'ST Original'!X15,"")</f>
        <v/>
      </c>
      <c r="HQ15" s="975" t="str">
        <f>IF($FC15&gt;Factores!$D$3,'ST Original'!Y15,"")</f>
        <v/>
      </c>
      <c r="HR15" s="975" t="str">
        <f>IF($FC15&gt;Factores!$D$3,'ST Original'!Z15,"")</f>
        <v/>
      </c>
      <c r="HS15" s="975" t="str">
        <f>IF($FC15&gt;Factores!$D$3,'ST Original'!AA15,"")</f>
        <v/>
      </c>
      <c r="HT15" s="1556" t="str">
        <f>IF($FC15&gt;Factores!$D$3,'ST Original'!AB15,"")</f>
        <v/>
      </c>
      <c r="HU15" s="1556" t="str">
        <f>IF($FC15&gt;Factores!$D$3,'ST Original'!AC15,"")</f>
        <v/>
      </c>
      <c r="HV15" s="975" t="str">
        <f>IF($FC15&gt;Factores!$D$3,AE15,"")</f>
        <v/>
      </c>
      <c r="HW15" s="976" t="str">
        <f>IF($FC15&gt;Factores!$D$3,AF15,"")</f>
        <v/>
      </c>
      <c r="HX15" s="1556" t="str">
        <f>IF($FC15&gt;Factores!$D$3,AG15,"")</f>
        <v/>
      </c>
      <c r="HY15" s="1573" t="str">
        <f>IF($FC15&gt;Factores!$D$3,AI15,"")</f>
        <v/>
      </c>
      <c r="HZ15" s="976" t="str">
        <f>IF($FC15&gt;Factores!$D$3,AJ15,"")</f>
        <v/>
      </c>
      <c r="IA15" s="780" t="str">
        <f>IF($FC15&gt;Factores!$D$3,AN15,"")</f>
        <v/>
      </c>
      <c r="IB15" s="539" t="str">
        <f>IF($FC15&gt;Factores!$D$3,AO15,"")</f>
        <v/>
      </c>
      <c r="IC15" s="782" t="str">
        <f>IF($FC15&gt;Factores!$D$3,AP15,"")</f>
        <v/>
      </c>
      <c r="ID15" s="2072" t="str">
        <f>IF($FC15&gt;Factores!$D$3,BI15,"")</f>
        <v/>
      </c>
      <c r="IE15" s="2073" t="str">
        <f>IF($FC15&gt;Factores!$D$3,BJ15,"")</f>
        <v/>
      </c>
      <c r="IF15" s="4237">
        <f t="shared" si="20"/>
        <v>202920.17669039228</v>
      </c>
      <c r="IG15" s="4237">
        <f t="shared" si="124"/>
        <v>1219213.8348660057</v>
      </c>
      <c r="IH15" s="4234">
        <f t="shared" si="121"/>
        <v>0.49383422810273897</v>
      </c>
      <c r="II15" s="342">
        <f>SUMPRODUCT(IH$8:IH15,IF$8:IF15)/IG15</f>
        <v>0.50701079361721324</v>
      </c>
      <c r="IJ15" s="4235">
        <f t="shared" si="122"/>
        <v>89.507920876634486</v>
      </c>
      <c r="IK15" s="342" cm="1">
        <f t="array" ref="IK15">SUMPRODUCT(IJ$8:IJ15,IF$8:IF15/IG15)</f>
        <v>90.279863629560737</v>
      </c>
    </row>
    <row r="16" spans="1:245" s="744" customFormat="1" ht="14.25" customHeight="1">
      <c r="A16" s="4636"/>
      <c r="B16" s="2133">
        <f t="shared" si="21"/>
        <v>46090.791666666664</v>
      </c>
      <c r="C16" s="2134">
        <f>+'Plan mina ST'!N51*1000</f>
        <v>170000.00000050824</v>
      </c>
      <c r="D16" s="2134">
        <f>+'Plan mina ST'!M51*1000</f>
        <v>703791.64006745862</v>
      </c>
      <c r="E16" s="2134">
        <f>(('Plan mina ST'!O51*1000))</f>
        <v>180399.7506785398</v>
      </c>
      <c r="F16" s="2134">
        <f>+'Plan mina ST'!J51*1000</f>
        <v>42200.038282395093</v>
      </c>
      <c r="G16" s="2134">
        <f t="shared" si="22"/>
        <v>138199.71239614469</v>
      </c>
      <c r="H16" s="2135">
        <f t="shared" si="23"/>
        <v>79.989241794376696</v>
      </c>
      <c r="I16" s="2135">
        <f t="shared" si="24"/>
        <v>97.12989278992228</v>
      </c>
      <c r="J16" s="2135">
        <f t="shared" si="25"/>
        <v>83.146721114266157</v>
      </c>
      <c r="K16" s="2135">
        <f>+'Plan mina ST'!AM14*100</f>
        <v>54.177752151780879</v>
      </c>
      <c r="L16" s="2528">
        <f>'Plan mina ST'!D14</f>
        <v>0.51530782874982706</v>
      </c>
      <c r="M16" s="2135">
        <f>'Plan mina ST'!C14</f>
        <v>89.465286058888495</v>
      </c>
      <c r="N16" s="2136">
        <f>'Plan mina ST'!B14</f>
        <v>22.370136588735768</v>
      </c>
      <c r="O16" s="2134">
        <f t="shared" si="1"/>
        <v>3717.8219958657969</v>
      </c>
      <c r="P16" s="2134">
        <f t="shared" si="2"/>
        <v>2848.1299371875193</v>
      </c>
      <c r="Q16" s="2134">
        <f t="shared" si="3"/>
        <v>869.69205867827691</v>
      </c>
      <c r="R16" s="2134">
        <f t="shared" si="26"/>
        <v>25032.513021093862</v>
      </c>
      <c r="S16" s="2134">
        <f t="shared" si="4"/>
        <v>831.68185860124095</v>
      </c>
      <c r="T16" s="2134">
        <f t="shared" si="5"/>
        <v>637.13055717352233</v>
      </c>
      <c r="U16" s="2134">
        <f t="shared" si="6"/>
        <v>194.55130142771858</v>
      </c>
      <c r="V16" s="2134">
        <f t="shared" si="27"/>
        <v>6412.6029992656549</v>
      </c>
      <c r="W16" s="2134">
        <f>+'Plan mina ST'!E14</f>
        <v>94.305091723084985</v>
      </c>
      <c r="X16" s="2135">
        <f t="shared" si="28"/>
        <v>89.402516312588787</v>
      </c>
      <c r="Y16" s="2135">
        <f t="shared" si="29"/>
        <v>87.235698134346123</v>
      </c>
      <c r="Z16" s="2135">
        <f t="shared" si="30"/>
        <v>77.990909254959504</v>
      </c>
      <c r="AA16" s="2136">
        <v>50</v>
      </c>
      <c r="AB16" s="2134">
        <f t="shared" si="7"/>
        <v>26.536586307000693</v>
      </c>
      <c r="AC16" s="2134">
        <f t="shared" si="31"/>
        <v>26.536586307000693</v>
      </c>
      <c r="AD16" s="2134">
        <f t="shared" si="32"/>
        <v>40</v>
      </c>
      <c r="AE16" s="2134">
        <f t="shared" si="8"/>
        <v>13.268293153500347</v>
      </c>
      <c r="AF16" s="2134">
        <f t="shared" si="33"/>
        <v>226.80674281393695</v>
      </c>
      <c r="AG16" s="2134">
        <v>20</v>
      </c>
      <c r="AH16" s="2134">
        <f t="shared" si="34"/>
        <v>286.80674281393698</v>
      </c>
      <c r="AI16" s="2134">
        <f t="shared" si="9"/>
        <v>870.14664045323843</v>
      </c>
      <c r="AJ16" s="2134">
        <f t="shared" si="35"/>
        <v>7070.1157466832574</v>
      </c>
      <c r="AK16" s="2134">
        <f>'Envíos STC 2800'!G12</f>
        <v>0</v>
      </c>
      <c r="AL16" s="2136">
        <f t="shared" si="126"/>
        <v>22.685636281349066</v>
      </c>
      <c r="AM16" s="2134">
        <f t="shared" si="10"/>
        <v>0</v>
      </c>
      <c r="AN16" s="2134">
        <f t="shared" si="123"/>
        <v>2990</v>
      </c>
      <c r="AO16" s="2136">
        <f t="shared" si="36"/>
        <v>22.273176938850266</v>
      </c>
      <c r="AP16" s="2134">
        <f t="shared" si="37"/>
        <v>665.9679904716229</v>
      </c>
      <c r="AQ16" s="2134">
        <f t="shared" si="11"/>
        <v>11.318243578000237</v>
      </c>
      <c r="AR16" s="2134">
        <f t="shared" si="38"/>
        <v>3637.9876764600831</v>
      </c>
      <c r="AS16" s="2134">
        <f t="shared" si="39"/>
        <v>3717.8219958657969</v>
      </c>
      <c r="AT16" s="2136">
        <f>+'Recalculos ST'!E17</f>
        <v>36.764329766123417</v>
      </c>
      <c r="AU16" s="2134">
        <f>+'MCP ST'!V10</f>
        <v>63.994982914877895</v>
      </c>
      <c r="AV16" s="3973">
        <f>+Factores!$D$24</f>
        <v>0.96199999999999997</v>
      </c>
      <c r="AW16" s="2134">
        <f t="shared" si="40"/>
        <v>640.66120683370116</v>
      </c>
      <c r="AX16" s="2376">
        <f>'Plan mina ST'!AK14/25.4</f>
        <v>3.9065744520952101</v>
      </c>
      <c r="AY16" s="2718">
        <f>+'Recalculos ST'!AK17</f>
        <v>193.22345713061694</v>
      </c>
      <c r="AZ16" s="2138">
        <f>'Plan mina ST'!O14*BA16/1000000*0.79</f>
        <v>11.318243578000237</v>
      </c>
      <c r="BA16" s="2137">
        <f t="shared" si="41"/>
        <v>7516.6562782724914</v>
      </c>
      <c r="BB16" s="2138">
        <f>'Plan mina ST'!O14*'ST Original'!BT16/1000000*0.8</f>
        <v>13.794263015073142</v>
      </c>
      <c r="BC16" s="4640"/>
      <c r="BD16" s="2148">
        <f t="shared" si="12"/>
        <v>46090.791666666664</v>
      </c>
      <c r="BE16" s="2149">
        <f>'Plan mina ST'!J14</f>
        <v>2.0593693322455819E-2</v>
      </c>
      <c r="BF16" s="2150">
        <f t="shared" si="42"/>
        <v>0.71257480612323654</v>
      </c>
      <c r="BG16" s="2151">
        <f>'Plan mina ST'!K14</f>
        <v>0.96219887551412775</v>
      </c>
      <c r="BH16" s="2150">
        <f t="shared" si="43"/>
        <v>33.293623753435241</v>
      </c>
      <c r="BI16" s="2151">
        <f>'Plan mina ST'!V14</f>
        <v>41.609581397084085</v>
      </c>
      <c r="BJ16" s="2152">
        <f t="shared" si="44"/>
        <v>1872.4311628687838</v>
      </c>
      <c r="BK16" s="3395">
        <f>'Plan mina ST'!AI14</f>
        <v>0.68244706792630627</v>
      </c>
      <c r="BL16" s="3399">
        <f>'Recalculos ST'!T17</f>
        <v>5.8219643419374849</v>
      </c>
      <c r="BM16" s="3391">
        <f t="shared" si="45"/>
        <v>6.1278444092385111</v>
      </c>
      <c r="BN16" s="3391">
        <f t="shared" si="46"/>
        <v>13.70135921860777</v>
      </c>
      <c r="BO16" s="3391">
        <f t="shared" si="47"/>
        <v>13.70135921860777</v>
      </c>
      <c r="BP16" s="3391">
        <f t="shared" si="48"/>
        <v>33.530562846454053</v>
      </c>
      <c r="BQ16" s="3400">
        <f t="shared" si="49"/>
        <v>14.334237139165888</v>
      </c>
      <c r="BR16" s="3397">
        <f t="shared" si="50"/>
        <v>7198.8697738152287</v>
      </c>
      <c r="BS16" s="2137">
        <f t="shared" si="51"/>
        <v>1810.6065984488382</v>
      </c>
      <c r="BT16" s="3344">
        <f t="shared" si="52"/>
        <v>9046.5140478340509</v>
      </c>
      <c r="BU16" s="3345">
        <f t="shared" si="53"/>
        <v>2400.0399315376344</v>
      </c>
      <c r="BV16" s="3345">
        <f t="shared" si="54"/>
        <v>2400.0399315376349</v>
      </c>
      <c r="BW16" s="3345">
        <f t="shared" si="55"/>
        <v>2400.0399315376349</v>
      </c>
      <c r="BX16" s="3346">
        <f t="shared" si="56"/>
        <v>43.855061160782277</v>
      </c>
      <c r="BY16" s="3346">
        <f t="shared" si="57"/>
        <v>98.056332111173916</v>
      </c>
      <c r="BZ16" s="3346">
        <f t="shared" si="58"/>
        <v>98.056332111173916</v>
      </c>
      <c r="CA16" s="3346">
        <f t="shared" si="59"/>
        <v>97.12989278992228</v>
      </c>
      <c r="CB16" s="3346">
        <f t="shared" si="60"/>
        <v>83.145937456567054</v>
      </c>
      <c r="CC16" s="3623">
        <f t="shared" si="61"/>
        <v>79.989241794376696</v>
      </c>
      <c r="CD16" s="3348">
        <f t="shared" si="62"/>
        <v>44.685563970181633</v>
      </c>
      <c r="CE16" s="3348">
        <f t="shared" si="63"/>
        <v>98.886834920573264</v>
      </c>
      <c r="CF16" s="3348">
        <f t="shared" si="64"/>
        <v>98.886834920573264</v>
      </c>
      <c r="CG16" s="3348">
        <f t="shared" si="65"/>
        <v>98.356250499976611</v>
      </c>
      <c r="CH16" s="3346">
        <f t="shared" si="66"/>
        <v>84.049342599027099</v>
      </c>
      <c r="CI16" s="3347">
        <f t="shared" si="67"/>
        <v>21.967095676332701</v>
      </c>
      <c r="CJ16" s="3354">
        <f t="shared" si="68"/>
        <v>2.9144610000000002</v>
      </c>
      <c r="CK16" s="3355">
        <f t="shared" si="69"/>
        <v>6.4495510000000005</v>
      </c>
      <c r="CL16" s="3355">
        <f t="shared" si="70"/>
        <v>6.4495510000000005</v>
      </c>
      <c r="CM16" s="3356">
        <f t="shared" si="71"/>
        <v>4.3442710000000009</v>
      </c>
      <c r="CN16" s="3356">
        <f t="shared" si="72"/>
        <v>20.157834000000001</v>
      </c>
      <c r="CO16" s="3354">
        <f t="shared" si="73"/>
        <v>2.8602943333333335</v>
      </c>
      <c r="CP16" s="3355">
        <f t="shared" si="74"/>
        <v>6.3953843333333333</v>
      </c>
      <c r="CQ16" s="3355">
        <f t="shared" si="75"/>
        <v>6.3953843333333333</v>
      </c>
      <c r="CR16" s="3356">
        <f t="shared" si="76"/>
        <v>4.2901043333333337</v>
      </c>
      <c r="CS16" s="3356">
        <f t="shared" si="77"/>
        <v>19.941167333333333</v>
      </c>
      <c r="CT16" s="3357">
        <f t="shared" si="78"/>
        <v>6.5217878333333337</v>
      </c>
      <c r="CU16" s="2153">
        <f t="shared" si="79"/>
        <v>6.5217878333333337</v>
      </c>
      <c r="CV16" s="2153">
        <f t="shared" si="80"/>
        <v>6.5217878333333337</v>
      </c>
      <c r="CW16" s="3358">
        <f t="shared" si="81"/>
        <v>4.4179698333333342</v>
      </c>
      <c r="CX16" s="3354">
        <f t="shared" si="82"/>
        <v>3.5350900000000003</v>
      </c>
      <c r="CY16" s="3355">
        <f t="shared" si="83"/>
        <v>0</v>
      </c>
      <c r="CZ16" s="3355">
        <f t="shared" si="84"/>
        <v>0</v>
      </c>
      <c r="DA16" s="3356">
        <f t="shared" si="85"/>
        <v>0</v>
      </c>
      <c r="DB16" s="3354">
        <f t="shared" si="86"/>
        <v>3.6076923333333335</v>
      </c>
      <c r="DC16" s="3355">
        <f t="shared" si="87"/>
        <v>7.2602333333333338E-2</v>
      </c>
      <c r="DD16" s="3355">
        <f t="shared" si="88"/>
        <v>7.2602333333333338E-2</v>
      </c>
      <c r="DE16" s="3356">
        <f t="shared" si="89"/>
        <v>7.2602333333333338E-2</v>
      </c>
      <c r="DF16" s="3356">
        <f t="shared" si="90"/>
        <v>3.8254993333333331</v>
      </c>
      <c r="DG16" s="3354">
        <f t="shared" si="91"/>
        <v>3.6618590000000002</v>
      </c>
      <c r="DH16" s="3355">
        <f t="shared" si="92"/>
        <v>0.12676900000000002</v>
      </c>
      <c r="DI16" s="3355">
        <f t="shared" si="93"/>
        <v>0.12676900000000002</v>
      </c>
      <c r="DJ16" s="3356">
        <f t="shared" si="94"/>
        <v>0.12676900000000002</v>
      </c>
      <c r="DK16" s="3356">
        <f t="shared" si="95"/>
        <v>4.0421659999999999</v>
      </c>
      <c r="DL16" s="2137">
        <v>13</v>
      </c>
      <c r="DM16" s="2137">
        <v>0</v>
      </c>
      <c r="DN16" s="2137">
        <v>0</v>
      </c>
      <c r="DO16" s="2137">
        <v>0</v>
      </c>
      <c r="DP16" s="2137">
        <v>0</v>
      </c>
      <c r="DQ16" s="2137">
        <v>0</v>
      </c>
      <c r="DR16" s="2137">
        <v>0</v>
      </c>
      <c r="DS16" s="2137">
        <v>0</v>
      </c>
      <c r="DT16" s="2137">
        <v>0</v>
      </c>
      <c r="DU16" s="2137">
        <v>0</v>
      </c>
      <c r="DV16" s="2137">
        <v>0</v>
      </c>
      <c r="DW16" s="2579">
        <f t="shared" si="96"/>
        <v>7.2602333333333338E-2</v>
      </c>
      <c r="DX16" s="2579">
        <f t="shared" si="97"/>
        <v>7.2602333333333338E-2</v>
      </c>
      <c r="DY16" s="2579">
        <f t="shared" si="98"/>
        <v>7.2602333333333338E-2</v>
      </c>
      <c r="DZ16" s="2579">
        <f t="shared" si="99"/>
        <v>7.2602333333333338E-2</v>
      </c>
      <c r="EA16" s="2579">
        <f t="shared" si="100"/>
        <v>0</v>
      </c>
      <c r="EB16" s="2579">
        <f t="shared" si="101"/>
        <v>0</v>
      </c>
      <c r="EC16" s="2579">
        <f t="shared" si="102"/>
        <v>0</v>
      </c>
      <c r="ED16" s="2579">
        <f t="shared" si="103"/>
        <v>0</v>
      </c>
      <c r="EE16" s="2579">
        <f t="shared" si="104"/>
        <v>0.05</v>
      </c>
      <c r="EF16" s="2579">
        <f t="shared" si="105"/>
        <v>0.05</v>
      </c>
      <c r="EG16" s="2579">
        <f t="shared" si="106"/>
        <v>0.05</v>
      </c>
      <c r="EH16" s="2579">
        <f t="shared" si="127"/>
        <v>0.05</v>
      </c>
      <c r="EI16" s="2579">
        <f t="shared" si="108"/>
        <v>4.1666666666666666E-3</v>
      </c>
      <c r="EJ16" s="2579">
        <f t="shared" si="109"/>
        <v>4.1666666666666666E-3</v>
      </c>
      <c r="EK16" s="2579">
        <f t="shared" si="110"/>
        <v>4.1666666666666666E-3</v>
      </c>
      <c r="EL16" s="2581">
        <f t="shared" si="111"/>
        <v>4.1666666666666666E-3</v>
      </c>
      <c r="EM16" s="3341">
        <f t="shared" si="112"/>
        <v>4.1666666666666666E-3</v>
      </c>
      <c r="EN16" s="3341">
        <f t="shared" si="113"/>
        <v>4.1666666666666666E-3</v>
      </c>
      <c r="EO16" s="3341">
        <f t="shared" si="114"/>
        <v>4.1666666666666666E-3</v>
      </c>
      <c r="EP16" s="3341">
        <f t="shared" si="115"/>
        <v>4.1666666666666666E-3</v>
      </c>
      <c r="EQ16" s="3319">
        <f t="shared" si="116"/>
        <v>1.6666666666666666E-2</v>
      </c>
      <c r="ER16" s="809">
        <f>+'MCP ST'!H10</f>
        <v>1.9123590299890822</v>
      </c>
      <c r="ES16" s="4236">
        <f t="shared" si="117"/>
        <v>3.8421659999999997</v>
      </c>
      <c r="EZ16" s="2154">
        <f>+'Plan mina ST'!AM14</f>
        <v>0.54177752151780878</v>
      </c>
      <c r="FA16" s="2067">
        <f>IF($FC16&lt;=Factores!$D$3,AX16,"")</f>
        <v>3.9065744520952101</v>
      </c>
      <c r="FB16" s="2076"/>
      <c r="FC16" s="2065">
        <f t="shared" si="13"/>
        <v>46090.791666666664</v>
      </c>
      <c r="FD16" s="780">
        <f>IF($FC16&lt;=Factores!$D$3,'ST Original'!C16,"")</f>
        <v>170000.00000050824</v>
      </c>
      <c r="FE16" s="782">
        <f>IF($FC16&lt;=Factores!$D$3,'ST Original'!D16,"")</f>
        <v>703791.64006745862</v>
      </c>
      <c r="FF16" s="780">
        <f>IF($FC16&lt;=Factores!$D$3,'ST Original'!E16,"")</f>
        <v>180399.7506785398</v>
      </c>
      <c r="FG16" s="782"/>
      <c r="FH16" s="2064">
        <f>IF($FC16&lt;=Factores!$D$3,'ST Original'!J16,"")</f>
        <v>83.146721114266157</v>
      </c>
      <c r="FI16" s="781">
        <f>IF($FC16&lt;=Factores!$D$3,'ST Original'!BT16,"")</f>
        <v>9046.5140478340509</v>
      </c>
      <c r="FJ16" s="781">
        <f>IF($FC16&lt;=Factores!$D$3,'ST Original'!K16,"")</f>
        <v>54.177752151780879</v>
      </c>
      <c r="FK16" s="2066">
        <f>IF($FC16&lt;=Factores!$D$3,'ST Original'!L16,"")</f>
        <v>0.51530782874982706</v>
      </c>
      <c r="FL16" s="781">
        <f>IF($FC16&lt;=Factores!$D$3,'ST Original'!M16,"")</f>
        <v>89.465286058888495</v>
      </c>
      <c r="FM16" s="781">
        <f>IF($FC16&lt;=Factores!$D$3,'ST Original'!N16,"")</f>
        <v>22.370136588735768</v>
      </c>
      <c r="FN16" s="780">
        <f>IF($FC16&lt;=Factores!$D$3,'ST Original'!O16,"")</f>
        <v>3717.8219958657969</v>
      </c>
      <c r="FO16" s="539">
        <f>IF($FC16&lt;=Factores!$D$3,'ST Original'!R16,"")</f>
        <v>25032.513021093862</v>
      </c>
      <c r="FP16" s="780">
        <f>IF($FC16&lt;=Factores!$D$3,'ST Original'!S16,"")</f>
        <v>831.68185860124095</v>
      </c>
      <c r="FQ16" s="782">
        <f>IF($FC16&lt;=Factores!$D$3,'ST Original'!V16,"")</f>
        <v>6412.6029992656549</v>
      </c>
      <c r="FR16" s="780">
        <f>IF($FC16&lt;=Factores!$D$3,'ST Original'!W16,"")</f>
        <v>94.305091723084985</v>
      </c>
      <c r="FS16" s="819">
        <f>IF($FC16&lt;=Factores!$D$3,'ST Original'!X16,"")</f>
        <v>89.402516312588787</v>
      </c>
      <c r="FT16" s="819">
        <f>IF($FC16&lt;=Factores!$D$3,'ST Original'!Y16,"")</f>
        <v>87.235698134346123</v>
      </c>
      <c r="FU16" s="819">
        <f>IF($FC16&lt;=Factores!$D$3,'ST Original'!Z16,"")</f>
        <v>77.990909254959504</v>
      </c>
      <c r="FV16" s="819">
        <f>IF($FC16&lt;=Factores!$D$3,'ST Original'!AA16,"")</f>
        <v>50</v>
      </c>
      <c r="FW16" s="539">
        <f>IF($FC16&lt;=Factores!$D$3,'ST Original'!AB16,"")</f>
        <v>26.536586307000693</v>
      </c>
      <c r="FX16" s="539">
        <f>IF($FC16&lt;=Factores!$D$3,'ST Original'!AC16,"")</f>
        <v>26.536586307000693</v>
      </c>
      <c r="FY16" s="819">
        <f>IF($FC16&lt;=Factores!$D$3,AE16,"")</f>
        <v>13.268293153500347</v>
      </c>
      <c r="FZ16" s="782">
        <f>IF($FC16&lt;=Factores!$D$3,AF16,"")</f>
        <v>226.80674281393695</v>
      </c>
      <c r="GA16" s="539">
        <f>IF($FC16&lt;=Factores!$D$3,AG16,"")</f>
        <v>20</v>
      </c>
      <c r="GB16" s="780">
        <f>IF($FC16&lt;=Factores!$D$3,AI16,"")</f>
        <v>870.14664045323843</v>
      </c>
      <c r="GC16" s="782">
        <f>IF($FC16&lt;=Factores!$D$3,AJ16,"")</f>
        <v>7070.1157466832574</v>
      </c>
      <c r="GD16" s="780">
        <f>IF($FC16&lt;=Factores!$D$3,AN16,"")</f>
        <v>2990</v>
      </c>
      <c r="GE16" s="539">
        <f>IF($FC16&lt;=Factores!$D$3,AO16,"")</f>
        <v>22.273176938850266</v>
      </c>
      <c r="GF16" s="782">
        <f>IF($FC16&lt;=Factores!$D$3,AP16,"")</f>
        <v>665.9679904716229</v>
      </c>
      <c r="GG16" s="2072">
        <f>IF($FC16&lt;=Factores!$D$3,BI16,"")</f>
        <v>41.609581397084085</v>
      </c>
      <c r="GH16" s="2073">
        <f>IF($FC16&lt;=Factores!$D$3,BJ16,"")</f>
        <v>1872.4311628687838</v>
      </c>
      <c r="GI16" s="2069">
        <f>+'Plan mina ST'!AN51</f>
        <v>295.21033612947099</v>
      </c>
      <c r="GJ16" s="2065">
        <f t="shared" si="14"/>
        <v>46090.791666666664</v>
      </c>
      <c r="GK16" s="2067">
        <f>+'Plan mina ST'!J14</f>
        <v>2.0593693322455819E-2</v>
      </c>
      <c r="GL16" s="818">
        <f t="shared" si="15"/>
        <v>0.69948695809986583</v>
      </c>
      <c r="GM16" s="539">
        <f t="shared" si="118"/>
        <v>2600.5679986449381</v>
      </c>
      <c r="GN16" s="2077">
        <f t="shared" si="119"/>
        <v>31282.832908700973</v>
      </c>
      <c r="GO16" s="818">
        <f>+'Plan mina ST'!K14</f>
        <v>0.96219887551412775</v>
      </c>
      <c r="GP16" s="818">
        <f t="shared" si="16"/>
        <v>37.350994735937491</v>
      </c>
      <c r="GQ16" s="539">
        <f t="shared" si="17"/>
        <v>138864.349796736</v>
      </c>
      <c r="GR16" s="539">
        <f t="shared" si="120"/>
        <v>1269837.002882127</v>
      </c>
      <c r="GS16" s="781">
        <f>+'Plan mina ST'!V14</f>
        <v>41.609581397084085</v>
      </c>
      <c r="GT16" s="782">
        <f t="shared" si="18"/>
        <v>1872.4311628687838</v>
      </c>
      <c r="GU16" s="2072">
        <f>IF($FC16&lt;=Factores!$D$3,AT16,"")</f>
        <v>36.764329766123417</v>
      </c>
      <c r="GW16" s="781">
        <f>+'Plan mina ST'!AI14</f>
        <v>0.68244706792630627</v>
      </c>
      <c r="GX16" s="2078">
        <v>0.5</v>
      </c>
      <c r="GY16" s="819"/>
      <c r="GZ16" s="2065">
        <f t="shared" si="19"/>
        <v>46090.791666666664</v>
      </c>
      <c r="HA16" s="780" t="str">
        <f>IF($FC16&gt;Factores!$D$3,'ST Original'!C16,"")</f>
        <v/>
      </c>
      <c r="HB16" s="782" t="str">
        <f>IF($FC16&gt;Factores!$D$3,'ST Original'!D16,"")</f>
        <v/>
      </c>
      <c r="HC16" s="780" t="str">
        <f>IF($FC16&gt;Factores!$D$3,'ST Original'!E16,"")</f>
        <v/>
      </c>
      <c r="HD16" s="782"/>
      <c r="HE16" s="2064" t="str">
        <f>IF($FC16&gt;Factores!$D$3,'ST Original'!J16,"")</f>
        <v/>
      </c>
      <c r="HF16" s="781" t="str">
        <f>IF($FC16&gt;Factores!$D$3,'ST Original'!BT16,"")</f>
        <v/>
      </c>
      <c r="HG16" s="781" t="str">
        <f>IF($FC16&gt;Factores!$D$3,'ST Original'!K16,"")</f>
        <v/>
      </c>
      <c r="HH16" s="2066" t="str">
        <f>IF($FC16&gt;Factores!$D$3,'ST Original'!L16,"")</f>
        <v/>
      </c>
      <c r="HI16" s="781" t="str">
        <f>IF($FC16&gt;Factores!$D$3,'ST Original'!M16,"")</f>
        <v/>
      </c>
      <c r="HJ16" s="781" t="str">
        <f>IF($FC16&gt;Factores!$D$3,'ST Original'!N16,"")</f>
        <v/>
      </c>
      <c r="HK16" s="780" t="str">
        <f>IF($FC16&gt;Factores!$D$3,'ST Original'!O16,"")</f>
        <v/>
      </c>
      <c r="HL16" s="539" t="str">
        <f>IF($FC16&gt;Factores!$D$3,'ST Original'!R16,"")</f>
        <v/>
      </c>
      <c r="HM16" s="780" t="str">
        <f>IF($FC16&gt;Factores!$D$3,'ST Original'!S16,"")</f>
        <v/>
      </c>
      <c r="HN16" s="782" t="str">
        <f>IF($FC16&gt;Factores!$D$3,'ST Original'!V16,"")</f>
        <v/>
      </c>
      <c r="HO16" s="780" t="str">
        <f>IF($FC16&gt;Factores!$D$3,'ST Original'!W16,"")</f>
        <v/>
      </c>
      <c r="HP16" s="819" t="str">
        <f>IF($FC16&gt;Factores!$D$3,'ST Original'!X16,"")</f>
        <v/>
      </c>
      <c r="HQ16" s="819" t="str">
        <f>IF($FC16&gt;Factores!$D$3,'ST Original'!Y16,"")</f>
        <v/>
      </c>
      <c r="HR16" s="819" t="str">
        <f>IF($FC16&gt;Factores!$D$3,'ST Original'!Z16,"")</f>
        <v/>
      </c>
      <c r="HS16" s="819" t="str">
        <f>IF($FC16&gt;Factores!$D$3,'ST Original'!AA16,"")</f>
        <v/>
      </c>
      <c r="HT16" s="539" t="str">
        <f>IF($FC16&gt;Factores!$D$3,'ST Original'!AB16,"")</f>
        <v/>
      </c>
      <c r="HU16" s="539" t="str">
        <f>IF($FC16&gt;Factores!$D$3,'ST Original'!AC16,"")</f>
        <v/>
      </c>
      <c r="HV16" s="819" t="str">
        <f>IF($FC16&gt;Factores!$D$3,AE16,"")</f>
        <v/>
      </c>
      <c r="HW16" s="782" t="str">
        <f>IF($FC16&gt;Factores!$D$3,AF16,"")</f>
        <v/>
      </c>
      <c r="HX16" s="539" t="str">
        <f>IF($FC16&gt;Factores!$D$3,AG16,"")</f>
        <v/>
      </c>
      <c r="HY16" s="780" t="str">
        <f>IF($FC16&gt;Factores!$D$3,AI16,"")</f>
        <v/>
      </c>
      <c r="HZ16" s="782" t="str">
        <f>IF($FC16&gt;Factores!$D$3,AJ16,"")</f>
        <v/>
      </c>
      <c r="IA16" s="780" t="str">
        <f>IF($FC16&gt;Factores!$D$3,AN16,"")</f>
        <v/>
      </c>
      <c r="IB16" s="539" t="str">
        <f>IF($FC16&gt;Factores!$D$3,AO16,"")</f>
        <v/>
      </c>
      <c r="IC16" s="782" t="str">
        <f>IF($FC16&gt;Factores!$D$3,AP16,"")</f>
        <v/>
      </c>
      <c r="ID16" s="2072" t="str">
        <f>IF($FC16&gt;Factores!$D$3,BI16,"")</f>
        <v/>
      </c>
      <c r="IE16" s="2073" t="str">
        <f>IF($FC16&gt;Factores!$D$3,BJ16,"")</f>
        <v/>
      </c>
      <c r="IF16" s="4237">
        <f t="shared" si="20"/>
        <v>180399.7506785398</v>
      </c>
      <c r="IG16" s="4237">
        <f t="shared" si="124"/>
        <v>1399613.5855445454</v>
      </c>
      <c r="IH16" s="4234">
        <f t="shared" si="121"/>
        <v>0.51530782874982706</v>
      </c>
      <c r="II16" s="342">
        <f>SUMPRODUCT(IH$8:IH16,IF$8:IF16)/IG16</f>
        <v>0.50808021955359572</v>
      </c>
      <c r="IJ16" s="4235">
        <f t="shared" si="122"/>
        <v>89.465286058888495</v>
      </c>
      <c r="IK16" s="342" cm="1">
        <f t="array" ref="IK16">SUMPRODUCT(IJ$8:IJ16,IF$8:IF16/IG16)</f>
        <v>90.1748706570894</v>
      </c>
    </row>
    <row r="17" spans="1:245" s="744" customFormat="1" ht="14.25" customHeight="1">
      <c r="A17" s="4636"/>
      <c r="B17" s="2133">
        <f t="shared" si="21"/>
        <v>46091.791666666664</v>
      </c>
      <c r="C17" s="2134">
        <f>+'Plan mina ST'!N52*1000</f>
        <v>64238.95277386612</v>
      </c>
      <c r="D17" s="2134">
        <f>+'Plan mina ST'!M52*1000</f>
        <v>600035.09420696809</v>
      </c>
      <c r="E17" s="2134">
        <f>(('Plan mina ST'!O52*1000))</f>
        <v>167995.49863435666</v>
      </c>
      <c r="F17" s="2134">
        <f>+'Plan mina ST'!J52*1000</f>
        <v>39435.443562258472</v>
      </c>
      <c r="G17" s="2134">
        <f t="shared" si="22"/>
        <v>128560.05507209818</v>
      </c>
      <c r="H17" s="2135">
        <f t="shared" si="23"/>
        <v>91.107451220098042</v>
      </c>
      <c r="I17" s="2135">
        <f t="shared" si="24"/>
        <v>97.12989278992228</v>
      </c>
      <c r="J17" s="2135">
        <f t="shared" si="25"/>
        <v>92.216845181675367</v>
      </c>
      <c r="K17" s="2135">
        <f>+'Plan mina ST'!AM15*100</f>
        <v>72.688958444696098</v>
      </c>
      <c r="L17" s="2135">
        <f>'Plan mina ST'!D15</f>
        <v>0.55771537034815388</v>
      </c>
      <c r="M17" s="2135">
        <f>'Plan mina ST'!C15</f>
        <v>90.430957181968168</v>
      </c>
      <c r="N17" s="2136">
        <f>'Plan mina ST'!B15</f>
        <v>23.946767218343805</v>
      </c>
      <c r="O17" s="2134">
        <f t="shared" si="1"/>
        <v>3538.1846492588006</v>
      </c>
      <c r="P17" s="2134">
        <f t="shared" si="2"/>
        <v>2707.6273891956457</v>
      </c>
      <c r="Q17" s="2134">
        <f t="shared" si="3"/>
        <v>830.55726006315479</v>
      </c>
      <c r="R17" s="2134">
        <f t="shared" si="26"/>
        <v>28570.697670352663</v>
      </c>
      <c r="S17" s="2134">
        <f t="shared" si="4"/>
        <v>847.28084171317926</v>
      </c>
      <c r="T17" s="2134">
        <f t="shared" si="5"/>
        <v>648.38922803080106</v>
      </c>
      <c r="U17" s="2134">
        <f t="shared" si="6"/>
        <v>198.89161368237805</v>
      </c>
      <c r="V17" s="2134">
        <f t="shared" si="27"/>
        <v>7259.8838409788341</v>
      </c>
      <c r="W17" s="2134">
        <f>+'Plan mina ST'!E15</f>
        <v>182.04912233631345</v>
      </c>
      <c r="X17" s="2135">
        <f t="shared" si="28"/>
        <v>91.708754879909861</v>
      </c>
      <c r="Y17" s="2135">
        <f t="shared" si="29"/>
        <v>89.099276759332795</v>
      </c>
      <c r="Z17" s="2135">
        <f t="shared" si="30"/>
        <v>81.711837322988998</v>
      </c>
      <c r="AA17" s="2136">
        <v>50</v>
      </c>
      <c r="AB17" s="2134">
        <f t="shared" si="7"/>
        <v>49.980570176864262</v>
      </c>
      <c r="AC17" s="2134">
        <f t="shared" si="31"/>
        <v>49.980570176864262</v>
      </c>
      <c r="AD17" s="2134">
        <f t="shared" si="32"/>
        <v>20</v>
      </c>
      <c r="AE17" s="2134">
        <f t="shared" si="8"/>
        <v>24.990285088432131</v>
      </c>
      <c r="AF17" s="2134">
        <f t="shared" si="33"/>
        <v>251.79702790236908</v>
      </c>
      <c r="AG17" s="3914">
        <v>10</v>
      </c>
      <c r="AH17" s="2134">
        <f t="shared" si="34"/>
        <v>301.79702790236911</v>
      </c>
      <c r="AI17" s="2134">
        <f t="shared" si="9"/>
        <v>919.72767818454395</v>
      </c>
      <c r="AJ17" s="2134">
        <f t="shared" si="35"/>
        <v>7989.8434248678013</v>
      </c>
      <c r="AK17" s="2134">
        <f>'Envíos STC 2800'!G13</f>
        <v>4366</v>
      </c>
      <c r="AL17" s="2136">
        <f t="shared" si="126"/>
        <v>22.370136588735768</v>
      </c>
      <c r="AM17" s="2134">
        <f t="shared" si="10"/>
        <v>976.6801634642037</v>
      </c>
      <c r="AN17" s="3914">
        <f t="shared" si="123"/>
        <v>0</v>
      </c>
      <c r="AO17" s="2136">
        <f t="shared" si="36"/>
        <v>22.685636281349066</v>
      </c>
      <c r="AP17" s="2134">
        <f t="shared" si="37"/>
        <v>0</v>
      </c>
      <c r="AQ17" s="2134">
        <f t="shared" si="11"/>
        <v>7.5812729225823041</v>
      </c>
      <c r="AR17" s="2134">
        <f t="shared" si="38"/>
        <v>4485.2685181732622</v>
      </c>
      <c r="AS17" s="2134">
        <f t="shared" si="39"/>
        <v>-827.81535074119938</v>
      </c>
      <c r="AT17" s="2136">
        <f>+'Recalculos ST'!E18</f>
        <v>36.139237251662863</v>
      </c>
      <c r="AU17" s="2134">
        <f>+'MCP ST'!V11</f>
        <v>75.198752095137451</v>
      </c>
      <c r="AV17" s="3973">
        <f>+Factores!$D$24</f>
        <v>0.96199999999999997</v>
      </c>
      <c r="AW17" s="2134">
        <f t="shared" si="40"/>
        <v>0</v>
      </c>
      <c r="AX17" s="2376">
        <f>'Plan mina ST'!AK15/25.4</f>
        <v>4.3054566652213655</v>
      </c>
      <c r="AY17" s="2718">
        <f>+'Recalculos ST'!AK18</f>
        <v>183.1568580993503</v>
      </c>
      <c r="AZ17" s="2138">
        <f>'Plan mina ST'!O15*BA17/1000000*0.79</f>
        <v>7.5812729225823041</v>
      </c>
      <c r="BA17" s="2137">
        <f t="shared" si="41"/>
        <v>6999.8124430981943</v>
      </c>
      <c r="BB17" s="2138">
        <f>'Plan mina ST'!O15*'ST Original'!BT17/1000000*0.8</f>
        <v>8.3309871509720423</v>
      </c>
      <c r="BC17" s="4640"/>
      <c r="BD17" s="2148">
        <f t="shared" si="12"/>
        <v>46091.791666666664</v>
      </c>
      <c r="BE17" s="2149">
        <f>'Plan mina ST'!J15</f>
        <v>2.7082170800446004E-2</v>
      </c>
      <c r="BF17" s="2150">
        <f t="shared" si="42"/>
        <v>0.93708652961638228</v>
      </c>
      <c r="BG17" s="2151">
        <f>'Plan mina ST'!K15</f>
        <v>1.0755533935657617</v>
      </c>
      <c r="BH17" s="2150">
        <f t="shared" si="43"/>
        <v>37.215871815455216</v>
      </c>
      <c r="BI17" s="2151">
        <f>'Plan mina ST'!V15</f>
        <v>33.827752555975259</v>
      </c>
      <c r="BJ17" s="2152">
        <f t="shared" si="44"/>
        <v>1522.2488650188866</v>
      </c>
      <c r="BK17" s="3395">
        <f>'Plan mina ST'!AI15</f>
        <v>1.1014409930802846</v>
      </c>
      <c r="BL17" s="3399">
        <f>'Recalculos ST'!T18</f>
        <v>6.2890985565087565</v>
      </c>
      <c r="BM17" s="3391">
        <f t="shared" si="45"/>
        <v>9.5182096685711173</v>
      </c>
      <c r="BN17" s="3391">
        <f t="shared" si="46"/>
        <v>12.0881295490161</v>
      </c>
      <c r="BO17" s="3391">
        <f t="shared" si="47"/>
        <v>12.0881295490161</v>
      </c>
      <c r="BP17" s="3391">
        <f t="shared" si="48"/>
        <v>33.694468766603322</v>
      </c>
      <c r="BQ17" s="3400">
        <f t="shared" si="49"/>
        <v>14.469959964817026</v>
      </c>
      <c r="BR17" s="3397">
        <f t="shared" si="50"/>
        <v>5879.5069882887456</v>
      </c>
      <c r="BS17" s="2137">
        <f t="shared" si="51"/>
        <v>1691.9907477043519</v>
      </c>
      <c r="BT17" s="3344">
        <f t="shared" si="52"/>
        <v>7595.8755563461636</v>
      </c>
      <c r="BU17" s="3345">
        <f t="shared" si="53"/>
        <v>1960.1759710912288</v>
      </c>
      <c r="BV17" s="3345">
        <f t="shared" si="54"/>
        <v>1960.1759710912286</v>
      </c>
      <c r="BW17" s="3345">
        <f t="shared" si="55"/>
        <v>1960.1759710912286</v>
      </c>
      <c r="BX17" s="3346">
        <f t="shared" si="56"/>
        <v>77.209689437946366</v>
      </c>
      <c r="BY17" s="3346">
        <f t="shared" si="57"/>
        <v>98.056332111173916</v>
      </c>
      <c r="BZ17" s="3346">
        <f t="shared" si="58"/>
        <v>98.056332111173916</v>
      </c>
      <c r="CA17" s="3346">
        <f t="shared" si="59"/>
        <v>97.12989278992228</v>
      </c>
      <c r="CB17" s="3346">
        <f t="shared" si="60"/>
        <v>92.216569840166784</v>
      </c>
      <c r="CC17" s="3623">
        <f t="shared" si="61"/>
        <v>91.107451220098042</v>
      </c>
      <c r="CD17" s="3348">
        <f t="shared" si="62"/>
        <v>78.040192247345715</v>
      </c>
      <c r="CE17" s="3348">
        <f t="shared" si="63"/>
        <v>98.886834920573264</v>
      </c>
      <c r="CF17" s="3348">
        <f t="shared" si="64"/>
        <v>98.886834920573264</v>
      </c>
      <c r="CG17" s="3348">
        <f t="shared" si="65"/>
        <v>98.356250499976611</v>
      </c>
      <c r="CH17" s="3346">
        <f t="shared" si="66"/>
        <v>93.119974982626815</v>
      </c>
      <c r="CI17" s="3347">
        <f t="shared" si="67"/>
        <v>24.989064768188925</v>
      </c>
      <c r="CJ17" s="3354">
        <f t="shared" si="68"/>
        <v>5.0899010000000002</v>
      </c>
      <c r="CK17" s="3355">
        <f t="shared" si="69"/>
        <v>6.4495510000000005</v>
      </c>
      <c r="CL17" s="3355">
        <f t="shared" si="70"/>
        <v>6.4495510000000005</v>
      </c>
      <c r="CM17" s="3356">
        <f t="shared" si="71"/>
        <v>4.3442710000000009</v>
      </c>
      <c r="CN17" s="3356">
        <f t="shared" si="72"/>
        <v>22.333273999999999</v>
      </c>
      <c r="CO17" s="3354">
        <f t="shared" si="73"/>
        <v>5.035734333333334</v>
      </c>
      <c r="CP17" s="3355">
        <f t="shared" si="74"/>
        <v>6.3953843333333333</v>
      </c>
      <c r="CQ17" s="3355">
        <f t="shared" si="75"/>
        <v>6.3953843333333333</v>
      </c>
      <c r="CR17" s="3356">
        <f t="shared" si="76"/>
        <v>4.2901043333333337</v>
      </c>
      <c r="CS17" s="3356">
        <f t="shared" si="77"/>
        <v>22.116607333333334</v>
      </c>
      <c r="CT17" s="3357">
        <f t="shared" si="78"/>
        <v>6.5217878333333337</v>
      </c>
      <c r="CU17" s="2153">
        <f t="shared" si="79"/>
        <v>6.5217878333333337</v>
      </c>
      <c r="CV17" s="2153">
        <f t="shared" si="80"/>
        <v>6.5217878333333337</v>
      </c>
      <c r="CW17" s="3358">
        <f t="shared" si="81"/>
        <v>4.4179698333333342</v>
      </c>
      <c r="CX17" s="3354">
        <f t="shared" si="82"/>
        <v>1.35965</v>
      </c>
      <c r="CY17" s="3355">
        <f t="shared" si="83"/>
        <v>0</v>
      </c>
      <c r="CZ17" s="3355">
        <f t="shared" si="84"/>
        <v>0</v>
      </c>
      <c r="DA17" s="3356">
        <f t="shared" si="85"/>
        <v>0</v>
      </c>
      <c r="DB17" s="3354">
        <f t="shared" si="86"/>
        <v>1.4322523333333335</v>
      </c>
      <c r="DC17" s="3355">
        <f t="shared" si="87"/>
        <v>7.2602333333333338E-2</v>
      </c>
      <c r="DD17" s="3355">
        <f t="shared" si="88"/>
        <v>7.2602333333333338E-2</v>
      </c>
      <c r="DE17" s="3356">
        <f t="shared" si="89"/>
        <v>7.2602333333333338E-2</v>
      </c>
      <c r="DF17" s="3356">
        <f t="shared" si="90"/>
        <v>1.6500593333333338</v>
      </c>
      <c r="DG17" s="3354">
        <f t="shared" si="91"/>
        <v>1.4864190000000002</v>
      </c>
      <c r="DH17" s="3355">
        <f t="shared" si="92"/>
        <v>0.12676900000000002</v>
      </c>
      <c r="DI17" s="3355">
        <f t="shared" si="93"/>
        <v>0.12676900000000002</v>
      </c>
      <c r="DJ17" s="3356">
        <f t="shared" si="94"/>
        <v>0.12676900000000002</v>
      </c>
      <c r="DK17" s="3356">
        <f t="shared" si="95"/>
        <v>1.8667259999999999</v>
      </c>
      <c r="DL17" s="2137">
        <v>5</v>
      </c>
      <c r="DM17" s="2137">
        <v>0</v>
      </c>
      <c r="DN17" s="2137">
        <v>0</v>
      </c>
      <c r="DO17" s="2137">
        <v>0</v>
      </c>
      <c r="DP17" s="2137">
        <v>0</v>
      </c>
      <c r="DQ17" s="2137">
        <v>0</v>
      </c>
      <c r="DR17" s="2137">
        <v>0</v>
      </c>
      <c r="DS17" s="2137">
        <v>0</v>
      </c>
      <c r="DT17" s="2137">
        <v>0</v>
      </c>
      <c r="DU17" s="2137">
        <v>0</v>
      </c>
      <c r="DV17" s="2137">
        <v>0</v>
      </c>
      <c r="DW17" s="2579">
        <f t="shared" si="96"/>
        <v>7.2602333333333338E-2</v>
      </c>
      <c r="DX17" s="2579">
        <f t="shared" si="97"/>
        <v>7.2602333333333338E-2</v>
      </c>
      <c r="DY17" s="2579">
        <f t="shared" si="98"/>
        <v>7.2602333333333338E-2</v>
      </c>
      <c r="DZ17" s="2579">
        <f t="shared" si="99"/>
        <v>7.2602333333333338E-2</v>
      </c>
      <c r="EA17" s="2579">
        <f t="shared" si="100"/>
        <v>0</v>
      </c>
      <c r="EB17" s="2579">
        <f t="shared" si="101"/>
        <v>0</v>
      </c>
      <c r="EC17" s="2579">
        <f t="shared" si="102"/>
        <v>0</v>
      </c>
      <c r="ED17" s="2579">
        <f t="shared" si="103"/>
        <v>0</v>
      </c>
      <c r="EE17" s="2579">
        <f t="shared" si="104"/>
        <v>0.05</v>
      </c>
      <c r="EF17" s="2579">
        <f t="shared" ref="EF17:EG19" si="128">+IF(DM17=24,0,$EE$4)</f>
        <v>0.05</v>
      </c>
      <c r="EG17" s="2579">
        <f t="shared" si="128"/>
        <v>0.05</v>
      </c>
      <c r="EH17" s="2579">
        <f t="shared" si="127"/>
        <v>0.05</v>
      </c>
      <c r="EI17" s="2579">
        <f t="shared" si="108"/>
        <v>4.1666666666666666E-3</v>
      </c>
      <c r="EJ17" s="2579">
        <f t="shared" si="109"/>
        <v>4.1666666666666666E-3</v>
      </c>
      <c r="EK17" s="2579">
        <f t="shared" si="110"/>
        <v>4.1666666666666666E-3</v>
      </c>
      <c r="EL17" s="2581">
        <f t="shared" si="111"/>
        <v>4.1666666666666666E-3</v>
      </c>
      <c r="EM17" s="3341">
        <f t="shared" si="112"/>
        <v>4.1666666666666666E-3</v>
      </c>
      <c r="EN17" s="3341">
        <f t="shared" si="113"/>
        <v>4.1666666666666666E-3</v>
      </c>
      <c r="EO17" s="3341">
        <f t="shared" si="114"/>
        <v>4.1666666666666666E-3</v>
      </c>
      <c r="EP17" s="3341">
        <f t="shared" si="115"/>
        <v>4.1666666666666666E-3</v>
      </c>
      <c r="EQ17" s="3319">
        <f t="shared" si="116"/>
        <v>1.6666666666666666E-2</v>
      </c>
      <c r="ER17" s="809">
        <f>+'MCP ST'!H11</f>
        <v>1.8642624817822939</v>
      </c>
      <c r="ES17" s="4236">
        <f t="shared" si="117"/>
        <v>1.6667260000000004</v>
      </c>
      <c r="EZ17" s="2154">
        <f>+'Plan mina ST'!AM15</f>
        <v>0.72688958444696095</v>
      </c>
      <c r="FA17" s="2067">
        <f>IF($FC17&lt;=Factores!$D$3,AX17,"")</f>
        <v>4.3054566652213655</v>
      </c>
      <c r="FB17" s="2076"/>
      <c r="FC17" s="2065">
        <f t="shared" si="13"/>
        <v>46091.791666666664</v>
      </c>
      <c r="FD17" s="780">
        <f>IF($FC17&lt;=Factores!$D$3,'ST Original'!C17,"")</f>
        <v>64238.95277386612</v>
      </c>
      <c r="FE17" s="782">
        <f>IF($FC17&lt;=Factores!$D$3,'ST Original'!D17,"")</f>
        <v>600035.09420696809</v>
      </c>
      <c r="FF17" s="780">
        <f>IF($FC17&lt;=Factores!$D$3,'ST Original'!E17,"")</f>
        <v>167995.49863435666</v>
      </c>
      <c r="FG17" s="782"/>
      <c r="FH17" s="2064">
        <f>IF($FC17&lt;=Factores!$D$3,'ST Original'!J17,"")</f>
        <v>92.216845181675367</v>
      </c>
      <c r="FI17" s="781">
        <f>IF($FC17&lt;=Factores!$D$3,'ST Original'!BT17,"")</f>
        <v>7595.8755563461636</v>
      </c>
      <c r="FJ17" s="781">
        <f>IF($FC17&lt;=Factores!$D$3,'ST Original'!K17,"")</f>
        <v>72.688958444696098</v>
      </c>
      <c r="FK17" s="2066">
        <f>IF($FC17&lt;=Factores!$D$3,'ST Original'!L17,"")</f>
        <v>0.55771537034815388</v>
      </c>
      <c r="FL17" s="781">
        <f>IF($FC17&lt;=Factores!$D$3,'ST Original'!M17,"")</f>
        <v>90.430957181968168</v>
      </c>
      <c r="FM17" s="781">
        <f>IF($FC17&lt;=Factores!$D$3,'ST Original'!N17,"")</f>
        <v>23.946767218343805</v>
      </c>
      <c r="FN17" s="780">
        <f>IF($FC17&lt;=Factores!$D$3,'ST Original'!O17,"")</f>
        <v>3538.1846492588006</v>
      </c>
      <c r="FO17" s="539">
        <f>IF($FC17&lt;=Factores!$D$3,'ST Original'!R17,"")</f>
        <v>28570.697670352663</v>
      </c>
      <c r="FP17" s="780">
        <f>IF($FC17&lt;=Factores!$D$3,'ST Original'!S17,"")</f>
        <v>847.28084171317926</v>
      </c>
      <c r="FQ17" s="782">
        <f>IF($FC17&lt;=Factores!$D$3,'ST Original'!V17,"")</f>
        <v>7259.8838409788341</v>
      </c>
      <c r="FR17" s="780">
        <f>IF($FC17&lt;=Factores!$D$3,'ST Original'!W17,"")</f>
        <v>182.04912233631345</v>
      </c>
      <c r="FS17" s="819">
        <f>IF($FC17&lt;=Factores!$D$3,'ST Original'!X17,"")</f>
        <v>91.708754879909861</v>
      </c>
      <c r="FT17" s="819">
        <f>IF($FC17&lt;=Factores!$D$3,'ST Original'!Y17,"")</f>
        <v>89.099276759332795</v>
      </c>
      <c r="FU17" s="819">
        <f>IF($FC17&lt;=Factores!$D$3,'ST Original'!Z17,"")</f>
        <v>81.711837322988998</v>
      </c>
      <c r="FV17" s="819">
        <f>IF($FC17&lt;=Factores!$D$3,'ST Original'!AA17,"")</f>
        <v>50</v>
      </c>
      <c r="FW17" s="539">
        <f>IF($FC17&lt;=Factores!$D$3,'ST Original'!AB17,"")</f>
        <v>49.980570176864262</v>
      </c>
      <c r="FX17" s="539">
        <f>IF($FC17&lt;=Factores!$D$3,'ST Original'!AC17,"")</f>
        <v>49.980570176864262</v>
      </c>
      <c r="FY17" s="819">
        <f>IF($FC17&lt;=Factores!$D$3,AE17,"")</f>
        <v>24.990285088432131</v>
      </c>
      <c r="FZ17" s="782">
        <f>IF($FC17&lt;=Factores!$D$3,AF17,"")</f>
        <v>251.79702790236908</v>
      </c>
      <c r="GA17" s="539">
        <f>IF($FC17&lt;=Factores!$D$3,AG17,"")</f>
        <v>10</v>
      </c>
      <c r="GB17" s="780">
        <f>IF($FC17&lt;=Factores!$D$3,AI17,"")</f>
        <v>919.72767818454395</v>
      </c>
      <c r="GC17" s="782">
        <f>IF($FC17&lt;=Factores!$D$3,AJ17,"")</f>
        <v>7989.8434248678013</v>
      </c>
      <c r="GD17" s="780">
        <f>IF($FC17&lt;=Factores!$D$3,AN17,"")</f>
        <v>0</v>
      </c>
      <c r="GE17" s="539">
        <f>IF($FC17&lt;=Factores!$D$3,AO17,"")</f>
        <v>22.685636281349066</v>
      </c>
      <c r="GF17" s="782">
        <f>IF($FC17&lt;=Factores!$D$3,AP17,"")</f>
        <v>0</v>
      </c>
      <c r="GG17" s="2072">
        <f>IF($FC17&lt;=Factores!$D$3,BI17,"")</f>
        <v>33.827752555975259</v>
      </c>
      <c r="GH17" s="2073">
        <f>IF($FC17&lt;=Factores!$D$3,BJ17,"")</f>
        <v>1522.2488650188866</v>
      </c>
      <c r="GI17" s="2069">
        <f>+'Plan mina ST'!AN52</f>
        <v>248.33977757350726</v>
      </c>
      <c r="GJ17" s="2065">
        <f t="shared" si="14"/>
        <v>46091.791666666664</v>
      </c>
      <c r="GK17" s="2067">
        <f>+'Plan mina ST'!J15</f>
        <v>2.7082170800446004E-2</v>
      </c>
      <c r="GL17" s="818">
        <f t="shared" si="15"/>
        <v>0.90011637806194889</v>
      </c>
      <c r="GM17" s="539">
        <f t="shared" si="118"/>
        <v>3184.7779514052186</v>
      </c>
      <c r="GN17" s="2077">
        <f t="shared" si="119"/>
        <v>34467.610860106193</v>
      </c>
      <c r="GO17" s="818">
        <f>+'Plan mina ST'!K15</f>
        <v>1.0755533935657617</v>
      </c>
      <c r="GP17" s="818">
        <f t="shared" si="16"/>
        <v>40.854426000136812</v>
      </c>
      <c r="GQ17" s="539">
        <f t="shared" si="17"/>
        <v>144550.50292796368</v>
      </c>
      <c r="GR17" s="539">
        <f t="shared" si="120"/>
        <v>1414387.5058100906</v>
      </c>
      <c r="GS17" s="781">
        <f>+'Plan mina ST'!V15</f>
        <v>33.827752555975259</v>
      </c>
      <c r="GT17" s="782">
        <f t="shared" si="18"/>
        <v>1522.2488650188866</v>
      </c>
      <c r="GU17" s="2072">
        <f>IF($FC17&lt;=Factores!$D$3,AT17,"")</f>
        <v>36.139237251662863</v>
      </c>
      <c r="GW17" s="781">
        <f>+'Plan mina ST'!AI15</f>
        <v>1.1014409930802846</v>
      </c>
      <c r="GX17" s="2078">
        <v>0.5</v>
      </c>
      <c r="GY17" s="819"/>
      <c r="GZ17" s="2065">
        <f t="shared" si="19"/>
        <v>46091.791666666664</v>
      </c>
      <c r="HA17" s="780" t="str">
        <f>IF($FC17&gt;Factores!$D$3,'ST Original'!C17,"")</f>
        <v/>
      </c>
      <c r="HB17" s="782" t="str">
        <f>IF($FC17&gt;Factores!$D$3,'ST Original'!D17,"")</f>
        <v/>
      </c>
      <c r="HC17" s="780" t="str">
        <f>IF($FC17&gt;Factores!$D$3,'ST Original'!E17,"")</f>
        <v/>
      </c>
      <c r="HD17" s="782"/>
      <c r="HE17" s="2064" t="str">
        <f>IF($FC17&gt;Factores!$D$3,'ST Original'!J17,"")</f>
        <v/>
      </c>
      <c r="HF17" s="781" t="str">
        <f>IF($FC17&gt;Factores!$D$3,'ST Original'!BT17,"")</f>
        <v/>
      </c>
      <c r="HG17" s="781" t="str">
        <f>IF($FC17&gt;Factores!$D$3,'ST Original'!K17,"")</f>
        <v/>
      </c>
      <c r="HH17" s="2066" t="str">
        <f>IF($FC17&gt;Factores!$D$3,'ST Original'!L17,"")</f>
        <v/>
      </c>
      <c r="HI17" s="781" t="str">
        <f>IF($FC17&gt;Factores!$D$3,'ST Original'!M17,"")</f>
        <v/>
      </c>
      <c r="HJ17" s="781" t="str">
        <f>IF($FC17&gt;Factores!$D$3,'ST Original'!N17,"")</f>
        <v/>
      </c>
      <c r="HK17" s="780" t="str">
        <f>IF($FC17&gt;Factores!$D$3,'ST Original'!O17,"")</f>
        <v/>
      </c>
      <c r="HL17" s="539" t="str">
        <f>IF($FC17&gt;Factores!$D$3,'ST Original'!R17,"")</f>
        <v/>
      </c>
      <c r="HM17" s="780" t="str">
        <f>IF($FC17&gt;Factores!$D$3,'ST Original'!S17,"")</f>
        <v/>
      </c>
      <c r="HN17" s="782" t="str">
        <f>IF($FC17&gt;Factores!$D$3,'ST Original'!V17,"")</f>
        <v/>
      </c>
      <c r="HO17" s="780" t="str">
        <f>IF($FC17&gt;Factores!$D$3,'ST Original'!W17,"")</f>
        <v/>
      </c>
      <c r="HP17" s="819" t="str">
        <f>IF($FC17&gt;Factores!$D$3,'ST Original'!X17,"")</f>
        <v/>
      </c>
      <c r="HQ17" s="819" t="str">
        <f>IF($FC17&gt;Factores!$D$3,'ST Original'!Y17,"")</f>
        <v/>
      </c>
      <c r="HR17" s="819" t="str">
        <f>IF($FC17&gt;Factores!$D$3,'ST Original'!Z17,"")</f>
        <v/>
      </c>
      <c r="HS17" s="819" t="str">
        <f>IF($FC17&gt;Factores!$D$3,'ST Original'!AA17,"")</f>
        <v/>
      </c>
      <c r="HT17" s="539" t="str">
        <f>IF($FC17&gt;Factores!$D$3,'ST Original'!AB17,"")</f>
        <v/>
      </c>
      <c r="HU17" s="539" t="str">
        <f>IF($FC17&gt;Factores!$D$3,'ST Original'!AC17,"")</f>
        <v/>
      </c>
      <c r="HV17" s="819" t="str">
        <f>IF($FC17&gt;Factores!$D$3,AE17,"")</f>
        <v/>
      </c>
      <c r="HW17" s="782" t="str">
        <f>IF($FC17&gt;Factores!$D$3,AF17,"")</f>
        <v/>
      </c>
      <c r="HX17" s="539" t="str">
        <f>IF($FC17&gt;Factores!$D$3,AG17,"")</f>
        <v/>
      </c>
      <c r="HY17" s="780" t="str">
        <f>IF($FC17&gt;Factores!$D$3,AI17,"")</f>
        <v/>
      </c>
      <c r="HZ17" s="782" t="str">
        <f>IF($FC17&gt;Factores!$D$3,AJ17,"")</f>
        <v/>
      </c>
      <c r="IA17" s="780" t="str">
        <f>IF($FC17&gt;Factores!$D$3,AN17,"")</f>
        <v/>
      </c>
      <c r="IB17" s="539" t="str">
        <f>IF($FC17&gt;Factores!$D$3,AO17,"")</f>
        <v/>
      </c>
      <c r="IC17" s="782" t="str">
        <f>IF($FC17&gt;Factores!$D$3,AP17,"")</f>
        <v/>
      </c>
      <c r="ID17" s="2072" t="str">
        <f>IF($FC17&gt;Factores!$D$3,BI17,"")</f>
        <v/>
      </c>
      <c r="IE17" s="2073" t="str">
        <f>IF($FC17&gt;Factores!$D$3,BJ17,"")</f>
        <v/>
      </c>
      <c r="IF17" s="4237">
        <f t="shared" si="20"/>
        <v>167995.49863435666</v>
      </c>
      <c r="IG17" s="4237">
        <f t="shared" si="124"/>
        <v>1567609.0841789022</v>
      </c>
      <c r="IH17" s="4234">
        <f t="shared" si="121"/>
        <v>0.55771537034815388</v>
      </c>
      <c r="II17" s="342">
        <f>SUMPRODUCT(IH$8:IH17,IF$8:IF17)/IG17</f>
        <v>0.51339945506433582</v>
      </c>
      <c r="IJ17" s="4235">
        <f t="shared" si="122"/>
        <v>90.430957181968168</v>
      </c>
      <c r="IK17" s="342" cm="1">
        <f t="array" ref="IK17">SUMPRODUCT(IJ$8:IJ17,IF$8:IF17/IG17)</f>
        <v>90.202314605886798</v>
      </c>
    </row>
    <row r="18" spans="1:245" s="744" customFormat="1" ht="14.25" customHeight="1">
      <c r="A18" s="4636"/>
      <c r="B18" s="2133">
        <f t="shared" si="21"/>
        <v>46092.791666666664</v>
      </c>
      <c r="C18" s="2134">
        <f>+'Plan mina ST'!N53*1000</f>
        <v>150000.62475222696</v>
      </c>
      <c r="D18" s="2134">
        <f>+'Plan mina ST'!M53*1000</f>
        <v>555479.29151038534</v>
      </c>
      <c r="E18" s="2134">
        <f>(('Plan mina ST'!O53*1000))</f>
        <v>194556.4274488097</v>
      </c>
      <c r="F18" s="2134">
        <f>+'Plan mina ST'!J53*1000</f>
        <v>42200.038282395093</v>
      </c>
      <c r="G18" s="2134">
        <f t="shared" si="22"/>
        <v>152356.38916641462</v>
      </c>
      <c r="H18" s="2135">
        <f t="shared" si="23"/>
        <v>98.056332111173901</v>
      </c>
      <c r="I18" s="2135">
        <f t="shared" si="24"/>
        <v>97.12989278992228</v>
      </c>
      <c r="J18" s="2135">
        <f t="shared" si="25"/>
        <v>97.885672723806138</v>
      </c>
      <c r="K18" s="2135">
        <f>+'Plan mina ST'!AM16*100</f>
        <v>51.88957556313165</v>
      </c>
      <c r="L18" s="2135">
        <f>'Plan mina ST'!D16</f>
        <v>0.51805503431547117</v>
      </c>
      <c r="M18" s="2135">
        <f>'Plan mina ST'!C16</f>
        <v>89.867717301530561</v>
      </c>
      <c r="N18" s="2136">
        <f>'Plan mina ST'!B16</f>
        <v>25.346686511879629</v>
      </c>
      <c r="O18" s="2134">
        <f t="shared" si="1"/>
        <v>3573.5840270533877</v>
      </c>
      <c r="P18" s="2134">
        <f t="shared" si="2"/>
        <v>2798.4598909634242</v>
      </c>
      <c r="Q18" s="2134">
        <f t="shared" si="3"/>
        <v>775.1241360899653</v>
      </c>
      <c r="R18" s="2134">
        <f t="shared" si="26"/>
        <v>32144.281697406052</v>
      </c>
      <c r="S18" s="2134">
        <f t="shared" si="4"/>
        <v>905.78514057582595</v>
      </c>
      <c r="T18" s="2134">
        <f t="shared" si="5"/>
        <v>709.31685572318759</v>
      </c>
      <c r="U18" s="2134">
        <f t="shared" si="6"/>
        <v>196.4682848526387</v>
      </c>
      <c r="V18" s="2134">
        <f t="shared" si="27"/>
        <v>8165.6689815546597</v>
      </c>
      <c r="W18" s="2134">
        <f>+'Plan mina ST'!E16</f>
        <v>161.37866993395704</v>
      </c>
      <c r="X18" s="2135">
        <f t="shared" si="28"/>
        <v>91.286165214578375</v>
      </c>
      <c r="Y18" s="2135">
        <f t="shared" si="29"/>
        <v>88.757799048131915</v>
      </c>
      <c r="Z18" s="2135">
        <f t="shared" si="30"/>
        <v>81.023591079901166</v>
      </c>
      <c r="AA18" s="2136">
        <v>50</v>
      </c>
      <c r="AB18" s="2134">
        <f t="shared" si="7"/>
        <v>50.878371036043852</v>
      </c>
      <c r="AC18" s="2134">
        <f t="shared" si="31"/>
        <v>50.878371036043852</v>
      </c>
      <c r="AD18" s="2134">
        <f t="shared" si="32"/>
        <v>20</v>
      </c>
      <c r="AE18" s="2134">
        <f t="shared" si="8"/>
        <v>25.439185518021926</v>
      </c>
      <c r="AF18" s="2134">
        <f t="shared" si="33"/>
        <v>277.23621342039098</v>
      </c>
      <c r="AG18" s="3914">
        <v>10</v>
      </c>
      <c r="AH18" s="2134">
        <f t="shared" si="34"/>
        <v>317.23621342039104</v>
      </c>
      <c r="AI18" s="2134">
        <f t="shared" si="9"/>
        <v>979.53333939257152</v>
      </c>
      <c r="AJ18" s="2134">
        <f t="shared" si="35"/>
        <v>8969.3767642603725</v>
      </c>
      <c r="AK18" s="2134">
        <f>'Envíos STC 2800'!G14</f>
        <v>4366</v>
      </c>
      <c r="AL18" s="2136">
        <f t="shared" si="126"/>
        <v>23.946767218343805</v>
      </c>
      <c r="AM18" s="2134">
        <f t="shared" si="10"/>
        <v>1045.5158567528906</v>
      </c>
      <c r="AN18" s="2134">
        <f t="shared" si="123"/>
        <v>4366</v>
      </c>
      <c r="AO18" s="2136">
        <f t="shared" si="36"/>
        <v>22.370136588735768</v>
      </c>
      <c r="AP18" s="2134">
        <f t="shared" si="37"/>
        <v>976.6801634642037</v>
      </c>
      <c r="AQ18" s="2134">
        <f t="shared" si="11"/>
        <v>10.344870415850972</v>
      </c>
      <c r="AR18" s="2134">
        <f t="shared" si="38"/>
        <v>4414.3734952848845</v>
      </c>
      <c r="AS18" s="2134">
        <f t="shared" si="39"/>
        <v>-792.41597294661233</v>
      </c>
      <c r="AT18" s="2136">
        <f>+'Recalculos ST'!E19</f>
        <v>37.994256084481933</v>
      </c>
      <c r="AU18" s="2134">
        <f>+'MCP ST'!V12</f>
        <v>67.947687366999389</v>
      </c>
      <c r="AV18" s="3973">
        <f>+Factores!$D$24</f>
        <v>0.96199999999999997</v>
      </c>
      <c r="AW18" s="2134">
        <f t="shared" si="40"/>
        <v>939.56631725256398</v>
      </c>
      <c r="AX18" s="2376">
        <f>'Plan mina ST'!AK16/25.4</f>
        <v>3.9881238137576656</v>
      </c>
      <c r="AY18" s="2718">
        <f>+'Recalculos ST'!AK19</f>
        <v>194.03388983451023</v>
      </c>
      <c r="AZ18" s="2138">
        <f>'Plan mina ST'!O16*BA18/1000000*0.79</f>
        <v>10.344870415850972</v>
      </c>
      <c r="BA18" s="2137">
        <f t="shared" si="41"/>
        <v>8106.5178103670705</v>
      </c>
      <c r="BB18" s="2138">
        <f>'Plan mina ST'!O16*'ST Original'!BT18/1000000*0.8</f>
        <v>10.709532641645659</v>
      </c>
      <c r="BC18" s="4640"/>
      <c r="BD18" s="2148">
        <f t="shared" si="12"/>
        <v>46092.791666666664</v>
      </c>
      <c r="BE18" s="2149">
        <f>'Plan mina ST'!J16</f>
        <v>2.3586110144671588E-2</v>
      </c>
      <c r="BF18" s="2150">
        <f t="shared" si="42"/>
        <v>0.81611722581175261</v>
      </c>
      <c r="BG18" s="2151">
        <f>'Plan mina ST'!K16</f>
        <v>1.0158919324259585</v>
      </c>
      <c r="BH18" s="2150">
        <f t="shared" si="43"/>
        <v>35.151489606831817</v>
      </c>
      <c r="BI18" s="2151">
        <f>'Plan mina ST'!V16</f>
        <v>28.347256174127001</v>
      </c>
      <c r="BJ18" s="2152">
        <f t="shared" si="44"/>
        <v>1275.626527835715</v>
      </c>
      <c r="BK18" s="3395">
        <f>'Plan mina ST'!AI16</f>
        <v>1.0366254567356363</v>
      </c>
      <c r="BL18" s="3399">
        <f>'Recalculos ST'!T19</f>
        <v>5.7798572319889887</v>
      </c>
      <c r="BM18" s="3391">
        <f t="shared" si="45"/>
        <v>12.232653971359339</v>
      </c>
      <c r="BN18" s="3391">
        <f t="shared" si="46"/>
        <v>12.232653971359339</v>
      </c>
      <c r="BO18" s="3391">
        <f t="shared" si="47"/>
        <v>12.232653971359339</v>
      </c>
      <c r="BP18" s="3391">
        <f t="shared" si="48"/>
        <v>36.697961914078014</v>
      </c>
      <c r="BQ18" s="3400">
        <f t="shared" si="49"/>
        <v>14.230565377575225</v>
      </c>
      <c r="BR18" s="3397">
        <f t="shared" si="50"/>
        <v>6474.0162570393995</v>
      </c>
      <c r="BS18" s="2137">
        <f t="shared" si="51"/>
        <v>1810.6065984488382</v>
      </c>
      <c r="BT18" s="3344">
        <f t="shared" si="52"/>
        <v>8287.3734459827065</v>
      </c>
      <c r="BU18" s="3345">
        <f t="shared" si="53"/>
        <v>2158.3801377870541</v>
      </c>
      <c r="BV18" s="3345">
        <f t="shared" si="54"/>
        <v>2158.3801377870541</v>
      </c>
      <c r="BW18" s="3345">
        <f t="shared" si="55"/>
        <v>2158.3801377870541</v>
      </c>
      <c r="BX18" s="3346">
        <f t="shared" si="56"/>
        <v>98.056332111173916</v>
      </c>
      <c r="BY18" s="3346">
        <f t="shared" si="57"/>
        <v>98.056332111173916</v>
      </c>
      <c r="BZ18" s="3346">
        <f t="shared" si="58"/>
        <v>98.056332111173916</v>
      </c>
      <c r="CA18" s="3346">
        <f t="shared" si="59"/>
        <v>97.12989278992228</v>
      </c>
      <c r="CB18" s="3346">
        <f t="shared" si="60"/>
        <v>97.885715079916608</v>
      </c>
      <c r="CC18" s="3623">
        <f t="shared" si="61"/>
        <v>98.056332111173901</v>
      </c>
      <c r="CD18" s="3348">
        <f t="shared" si="62"/>
        <v>98.886834920573264</v>
      </c>
      <c r="CE18" s="3348">
        <f t="shared" si="63"/>
        <v>98.886834920573264</v>
      </c>
      <c r="CF18" s="3348">
        <f t="shared" si="64"/>
        <v>98.886834920573264</v>
      </c>
      <c r="CG18" s="3348">
        <f t="shared" si="65"/>
        <v>98.356250499976611</v>
      </c>
      <c r="CH18" s="3346">
        <f t="shared" si="66"/>
        <v>98.789120222376653</v>
      </c>
      <c r="CI18" s="3347">
        <f t="shared" si="67"/>
        <v>26.877795450599066</v>
      </c>
      <c r="CJ18" s="3354">
        <f t="shared" si="68"/>
        <v>6.4495510000000005</v>
      </c>
      <c r="CK18" s="3355">
        <f t="shared" si="69"/>
        <v>6.4495510000000005</v>
      </c>
      <c r="CL18" s="3355">
        <f t="shared" si="70"/>
        <v>6.4495510000000005</v>
      </c>
      <c r="CM18" s="3356">
        <f t="shared" si="71"/>
        <v>4.3442710000000009</v>
      </c>
      <c r="CN18" s="3356">
        <f t="shared" si="72"/>
        <v>23.692924000000001</v>
      </c>
      <c r="CO18" s="3354">
        <f t="shared" si="73"/>
        <v>6.3953843333333333</v>
      </c>
      <c r="CP18" s="3355">
        <f t="shared" si="74"/>
        <v>6.3953843333333333</v>
      </c>
      <c r="CQ18" s="3355">
        <f t="shared" si="75"/>
        <v>6.3953843333333333</v>
      </c>
      <c r="CR18" s="3356">
        <f t="shared" si="76"/>
        <v>4.2901043333333337</v>
      </c>
      <c r="CS18" s="3356">
        <f t="shared" si="77"/>
        <v>23.476257333333333</v>
      </c>
      <c r="CT18" s="3357">
        <f t="shared" si="78"/>
        <v>6.5217878333333337</v>
      </c>
      <c r="CU18" s="2153">
        <f t="shared" si="79"/>
        <v>6.5217878333333337</v>
      </c>
      <c r="CV18" s="2153">
        <f t="shared" si="80"/>
        <v>6.5217878333333337</v>
      </c>
      <c r="CW18" s="3358">
        <f t="shared" si="81"/>
        <v>4.4179698333333342</v>
      </c>
      <c r="CX18" s="3354">
        <f t="shared" si="82"/>
        <v>0</v>
      </c>
      <c r="CY18" s="3355">
        <f t="shared" si="83"/>
        <v>0</v>
      </c>
      <c r="CZ18" s="3355">
        <f t="shared" si="84"/>
        <v>0</v>
      </c>
      <c r="DA18" s="3356">
        <f t="shared" si="85"/>
        <v>0</v>
      </c>
      <c r="DB18" s="3354">
        <f t="shared" si="86"/>
        <v>7.2602333333333338E-2</v>
      </c>
      <c r="DC18" s="3355">
        <f t="shared" si="87"/>
        <v>7.2602333333333338E-2</v>
      </c>
      <c r="DD18" s="3355">
        <f t="shared" si="88"/>
        <v>7.2602333333333338E-2</v>
      </c>
      <c r="DE18" s="3356">
        <f t="shared" si="89"/>
        <v>7.2602333333333338E-2</v>
      </c>
      <c r="DF18" s="3356">
        <f t="shared" si="90"/>
        <v>0.29040933333333335</v>
      </c>
      <c r="DG18" s="3354">
        <f t="shared" si="91"/>
        <v>0.12676900000000002</v>
      </c>
      <c r="DH18" s="3355">
        <f t="shared" si="92"/>
        <v>0.12676900000000002</v>
      </c>
      <c r="DI18" s="3355">
        <f t="shared" si="93"/>
        <v>0.12676900000000002</v>
      </c>
      <c r="DJ18" s="3356">
        <f t="shared" si="94"/>
        <v>0.12676900000000002</v>
      </c>
      <c r="DK18" s="3356">
        <f t="shared" si="95"/>
        <v>0.50707600000000008</v>
      </c>
      <c r="DL18" s="2137">
        <v>0</v>
      </c>
      <c r="DM18" s="2137">
        <v>0</v>
      </c>
      <c r="DN18" s="2137">
        <v>0</v>
      </c>
      <c r="DO18" s="2137">
        <v>0</v>
      </c>
      <c r="DP18" s="2137">
        <v>0</v>
      </c>
      <c r="DQ18" s="2137">
        <v>0</v>
      </c>
      <c r="DR18" s="2137">
        <v>0</v>
      </c>
      <c r="DS18" s="2137">
        <v>0</v>
      </c>
      <c r="DT18" s="2137">
        <v>0</v>
      </c>
      <c r="DU18" s="2137">
        <v>0</v>
      </c>
      <c r="DV18" s="2137">
        <v>0</v>
      </c>
      <c r="DW18" s="2579">
        <f t="shared" si="96"/>
        <v>7.2602333333333338E-2</v>
      </c>
      <c r="DX18" s="2579">
        <f t="shared" si="97"/>
        <v>7.2602333333333338E-2</v>
      </c>
      <c r="DY18" s="2579">
        <f t="shared" si="98"/>
        <v>7.2602333333333338E-2</v>
      </c>
      <c r="DZ18" s="2579">
        <f t="shared" si="99"/>
        <v>7.2602333333333338E-2</v>
      </c>
      <c r="EA18" s="2579">
        <f t="shared" si="100"/>
        <v>0</v>
      </c>
      <c r="EB18" s="2579">
        <f t="shared" si="101"/>
        <v>0</v>
      </c>
      <c r="EC18" s="2579">
        <f t="shared" si="102"/>
        <v>0</v>
      </c>
      <c r="ED18" s="2579">
        <f t="shared" si="103"/>
        <v>0</v>
      </c>
      <c r="EE18" s="2579">
        <f t="shared" si="104"/>
        <v>0.05</v>
      </c>
      <c r="EF18" s="2579">
        <f t="shared" si="128"/>
        <v>0.05</v>
      </c>
      <c r="EG18" s="2579">
        <f t="shared" si="128"/>
        <v>0.05</v>
      </c>
      <c r="EH18" s="2579">
        <f t="shared" si="127"/>
        <v>0.05</v>
      </c>
      <c r="EI18" s="2579">
        <f t="shared" si="108"/>
        <v>4.1666666666666666E-3</v>
      </c>
      <c r="EJ18" s="2579">
        <f t="shared" si="109"/>
        <v>4.1666666666666666E-3</v>
      </c>
      <c r="EK18" s="2579">
        <f t="shared" si="110"/>
        <v>4.1666666666666666E-3</v>
      </c>
      <c r="EL18" s="2581">
        <f t="shared" si="111"/>
        <v>4.1666666666666666E-3</v>
      </c>
      <c r="EM18" s="3341">
        <f t="shared" si="112"/>
        <v>4.1666666666666666E-3</v>
      </c>
      <c r="EN18" s="3341">
        <f t="shared" si="113"/>
        <v>4.1666666666666666E-3</v>
      </c>
      <c r="EO18" s="3341">
        <f t="shared" si="114"/>
        <v>4.1666666666666666E-3</v>
      </c>
      <c r="EP18" s="3341">
        <f t="shared" si="115"/>
        <v>4.1666666666666666E-3</v>
      </c>
      <c r="EQ18" s="3319">
        <f t="shared" si="116"/>
        <v>1.6666666666666666E-2</v>
      </c>
      <c r="ER18" s="809">
        <f>+'MCP ST'!H12</f>
        <v>1.4444618699544973</v>
      </c>
      <c r="ES18" s="4236">
        <f t="shared" si="117"/>
        <v>0.30707600000000002</v>
      </c>
      <c r="EZ18" s="2154">
        <f>+'Plan mina ST'!AM16</f>
        <v>0.51889575563131651</v>
      </c>
      <c r="FA18" s="2067">
        <f>IF($FC18&lt;=Factores!$D$3,AX18,"")</f>
        <v>3.9881238137576656</v>
      </c>
      <c r="FB18" s="2076"/>
      <c r="FC18" s="2065">
        <f t="shared" si="13"/>
        <v>46092.791666666664</v>
      </c>
      <c r="FD18" s="780">
        <f>IF($FC18&lt;=Factores!$D$3,'ST Original'!C18,"")</f>
        <v>150000.62475222696</v>
      </c>
      <c r="FE18" s="782">
        <f>IF($FC18&lt;=Factores!$D$3,'ST Original'!D18,"")</f>
        <v>555479.29151038534</v>
      </c>
      <c r="FF18" s="780">
        <f>IF($FC18&lt;=Factores!$D$3,'ST Original'!E18,"")</f>
        <v>194556.4274488097</v>
      </c>
      <c r="FG18" s="782"/>
      <c r="FH18" s="2064">
        <f>IF($FC18&lt;=Factores!$D$3,'ST Original'!J18,"")</f>
        <v>97.885672723806138</v>
      </c>
      <c r="FI18" s="781">
        <f>IF($FC18&lt;=Factores!$D$3,'ST Original'!BT18,"")</f>
        <v>8287.3734459827065</v>
      </c>
      <c r="FJ18" s="781">
        <f>IF($FC18&lt;=Factores!$D$3,'ST Original'!K18,"")</f>
        <v>51.88957556313165</v>
      </c>
      <c r="FK18" s="2066">
        <f>IF($FC18&lt;=Factores!$D$3,'ST Original'!L18,"")</f>
        <v>0.51805503431547117</v>
      </c>
      <c r="FL18" s="781">
        <f>IF($FC18&lt;=Factores!$D$3,'ST Original'!M18,"")</f>
        <v>89.867717301530561</v>
      </c>
      <c r="FM18" s="781">
        <f>IF($FC18&lt;=Factores!$D$3,'ST Original'!N18,"")</f>
        <v>25.346686511879629</v>
      </c>
      <c r="FN18" s="780">
        <f>IF($FC18&lt;=Factores!$D$3,'ST Original'!O18,"")</f>
        <v>3573.5840270533877</v>
      </c>
      <c r="FO18" s="539">
        <f>IF($FC18&lt;=Factores!$D$3,'ST Original'!R18,"")</f>
        <v>32144.281697406052</v>
      </c>
      <c r="FP18" s="780">
        <f>IF($FC18&lt;=Factores!$D$3,'ST Original'!S18,"")</f>
        <v>905.78514057582595</v>
      </c>
      <c r="FQ18" s="782">
        <f>IF($FC18&lt;=Factores!$D$3,'ST Original'!V18,"")</f>
        <v>8165.6689815546597</v>
      </c>
      <c r="FR18" s="780">
        <f>IF($FC18&lt;=Factores!$D$3,'ST Original'!W18,"")</f>
        <v>161.37866993395704</v>
      </c>
      <c r="FS18" s="819">
        <f>IF($FC18&lt;=Factores!$D$3,'ST Original'!X18,"")</f>
        <v>91.286165214578375</v>
      </c>
      <c r="FT18" s="819">
        <f>IF($FC18&lt;=Factores!$D$3,'ST Original'!Y18,"")</f>
        <v>88.757799048131915</v>
      </c>
      <c r="FU18" s="819">
        <f>IF($FC18&lt;=Factores!$D$3,'ST Original'!Z18,"")</f>
        <v>81.023591079901166</v>
      </c>
      <c r="FV18" s="819">
        <f>IF($FC18&lt;=Factores!$D$3,'ST Original'!AA18,"")</f>
        <v>50</v>
      </c>
      <c r="FW18" s="539">
        <f>IF($FC18&lt;=Factores!$D$3,'ST Original'!AB18,"")</f>
        <v>50.878371036043852</v>
      </c>
      <c r="FX18" s="539">
        <f>IF($FC18&lt;=Factores!$D$3,'ST Original'!AC18,"")</f>
        <v>50.878371036043852</v>
      </c>
      <c r="FY18" s="819">
        <f>IF($FC18&lt;=Factores!$D$3,AE18,"")</f>
        <v>25.439185518021926</v>
      </c>
      <c r="FZ18" s="782">
        <f>IF($FC18&lt;=Factores!$D$3,AF18,"")</f>
        <v>277.23621342039098</v>
      </c>
      <c r="GA18" s="539">
        <f>IF($FC18&lt;=Factores!$D$3,AG18,"")</f>
        <v>10</v>
      </c>
      <c r="GB18" s="780">
        <f>IF($FC18&lt;=Factores!$D$3,AI18,"")</f>
        <v>979.53333939257152</v>
      </c>
      <c r="GC18" s="782">
        <f>IF($FC18&lt;=Factores!$D$3,AJ18,"")</f>
        <v>8969.3767642603725</v>
      </c>
      <c r="GD18" s="780">
        <f>IF($FC18&lt;=Factores!$D$3,AN18,"")</f>
        <v>4366</v>
      </c>
      <c r="GE18" s="539">
        <f>IF($FC18&lt;=Factores!$D$3,AO18,"")</f>
        <v>22.370136588735768</v>
      </c>
      <c r="GF18" s="782">
        <f>IF($FC18&lt;=Factores!$D$3,AP18,"")</f>
        <v>976.6801634642037</v>
      </c>
      <c r="GG18" s="2072">
        <f>IF($FC18&lt;=Factores!$D$3,BI18,"")</f>
        <v>28.347256174127001</v>
      </c>
      <c r="GH18" s="2073">
        <f>IF($FC18&lt;=Factores!$D$3,BJ18,"")</f>
        <v>1275.626527835715</v>
      </c>
      <c r="GI18" s="2069">
        <f>+'Plan mina ST'!AN53</f>
        <v>175.62774438572706</v>
      </c>
      <c r="GJ18" s="2065">
        <f t="shared" si="14"/>
        <v>46092.791666666664</v>
      </c>
      <c r="GK18" s="2067">
        <f>+'Plan mina ST'!J16</f>
        <v>2.3586110144671588E-2</v>
      </c>
      <c r="GL18" s="818">
        <f t="shared" si="15"/>
        <v>0.89886805646532353</v>
      </c>
      <c r="GM18" s="539">
        <f t="shared" si="118"/>
        <v>3212.1805290130028</v>
      </c>
      <c r="GN18" s="2077">
        <f t="shared" si="119"/>
        <v>37679.791389119193</v>
      </c>
      <c r="GO18" s="818">
        <f>+'Plan mina ST'!K16</f>
        <v>1.0158919324259585</v>
      </c>
      <c r="GP18" s="818">
        <f t="shared" si="16"/>
        <v>44.246516337791839</v>
      </c>
      <c r="GQ18" s="539">
        <f t="shared" si="17"/>
        <v>158118.64403748966</v>
      </c>
      <c r="GR18" s="539">
        <f t="shared" si="120"/>
        <v>1572506.1498475801</v>
      </c>
      <c r="GS18" s="781">
        <f>+'Plan mina ST'!V16</f>
        <v>28.347256174127001</v>
      </c>
      <c r="GT18" s="782">
        <f t="shared" si="18"/>
        <v>1275.626527835715</v>
      </c>
      <c r="GU18" s="2072">
        <f>IF($FC18&lt;=Factores!$D$3,AT18,"")</f>
        <v>37.994256084481933</v>
      </c>
      <c r="GW18" s="781">
        <f>+'Plan mina ST'!AI16</f>
        <v>1.0366254567356363</v>
      </c>
      <c r="GX18" s="2078">
        <v>0.5</v>
      </c>
      <c r="GY18" s="819"/>
      <c r="GZ18" s="2065">
        <f t="shared" si="19"/>
        <v>46092.791666666664</v>
      </c>
      <c r="HA18" s="780" t="str">
        <f>IF($FC18&gt;Factores!$D$3,'ST Original'!C18,"")</f>
        <v/>
      </c>
      <c r="HB18" s="782" t="str">
        <f>IF($FC18&gt;Factores!$D$3,'ST Original'!D18,"")</f>
        <v/>
      </c>
      <c r="HC18" s="780" t="str">
        <f>IF($FC18&gt;Factores!$D$3,'ST Original'!E18,"")</f>
        <v/>
      </c>
      <c r="HD18" s="782"/>
      <c r="HE18" s="2064" t="str">
        <f>IF($FC18&gt;Factores!$D$3,'ST Original'!J18,"")</f>
        <v/>
      </c>
      <c r="HF18" s="781" t="str">
        <f>IF($FC18&gt;Factores!$D$3,'ST Original'!BT18,"")</f>
        <v/>
      </c>
      <c r="HG18" s="781" t="str">
        <f>IF($FC18&gt;Factores!$D$3,'ST Original'!K18,"")</f>
        <v/>
      </c>
      <c r="HH18" s="2066" t="str">
        <f>IF($FC18&gt;Factores!$D$3,'ST Original'!L18,"")</f>
        <v/>
      </c>
      <c r="HI18" s="781" t="str">
        <f>IF($FC18&gt;Factores!$D$3,'ST Original'!M18,"")</f>
        <v/>
      </c>
      <c r="HJ18" s="781" t="str">
        <f>IF($FC18&gt;Factores!$D$3,'ST Original'!N18,"")</f>
        <v/>
      </c>
      <c r="HK18" s="780" t="str">
        <f>IF($FC18&gt;Factores!$D$3,'ST Original'!O18,"")</f>
        <v/>
      </c>
      <c r="HL18" s="539" t="str">
        <f>IF($FC18&gt;Factores!$D$3,'ST Original'!R18,"")</f>
        <v/>
      </c>
      <c r="HM18" s="780" t="str">
        <f>IF($FC18&gt;Factores!$D$3,'ST Original'!S18,"")</f>
        <v/>
      </c>
      <c r="HN18" s="782" t="str">
        <f>IF($FC18&gt;Factores!$D$3,'ST Original'!V18,"")</f>
        <v/>
      </c>
      <c r="HO18" s="780" t="str">
        <f>IF($FC18&gt;Factores!$D$3,'ST Original'!W18,"")</f>
        <v/>
      </c>
      <c r="HP18" s="819" t="str">
        <f>IF($FC18&gt;Factores!$D$3,'ST Original'!X18,"")</f>
        <v/>
      </c>
      <c r="HQ18" s="819" t="str">
        <f>IF($FC18&gt;Factores!$D$3,'ST Original'!Y18,"")</f>
        <v/>
      </c>
      <c r="HR18" s="819" t="str">
        <f>IF($FC18&gt;Factores!$D$3,'ST Original'!Z18,"")</f>
        <v/>
      </c>
      <c r="HS18" s="819" t="str">
        <f>IF($FC18&gt;Factores!$D$3,'ST Original'!AA18,"")</f>
        <v/>
      </c>
      <c r="HT18" s="539" t="str">
        <f>IF($FC18&gt;Factores!$D$3,'ST Original'!AB18,"")</f>
        <v/>
      </c>
      <c r="HU18" s="539" t="str">
        <f>IF($FC18&gt;Factores!$D$3,'ST Original'!AC18,"")</f>
        <v/>
      </c>
      <c r="HV18" s="819" t="str">
        <f>IF($FC18&gt;Factores!$D$3,AE18,"")</f>
        <v/>
      </c>
      <c r="HW18" s="782" t="str">
        <f>IF($FC18&gt;Factores!$D$3,AF18,"")</f>
        <v/>
      </c>
      <c r="HX18" s="539" t="str">
        <f>IF($FC18&gt;Factores!$D$3,AG18,"")</f>
        <v/>
      </c>
      <c r="HY18" s="780" t="str">
        <f>IF($FC18&gt;Factores!$D$3,AI18,"")</f>
        <v/>
      </c>
      <c r="HZ18" s="782" t="str">
        <f>IF($FC18&gt;Factores!$D$3,AJ18,"")</f>
        <v/>
      </c>
      <c r="IA18" s="780" t="str">
        <f>IF($FC18&gt;Factores!$D$3,AN18,"")</f>
        <v/>
      </c>
      <c r="IB18" s="539" t="str">
        <f>IF($FC18&gt;Factores!$D$3,AO18,"")</f>
        <v/>
      </c>
      <c r="IC18" s="782" t="str">
        <f>IF($FC18&gt;Factores!$D$3,AP18,"")</f>
        <v/>
      </c>
      <c r="ID18" s="2072" t="str">
        <f>IF($FC18&gt;Factores!$D$3,BI18,"")</f>
        <v/>
      </c>
      <c r="IE18" s="2073" t="str">
        <f>IF($FC18&gt;Factores!$D$3,BJ18,"")</f>
        <v/>
      </c>
      <c r="IF18" s="4237">
        <f t="shared" si="20"/>
        <v>194556.4274488097</v>
      </c>
      <c r="IG18" s="4237">
        <f t="shared" si="124"/>
        <v>1762165.5116277118</v>
      </c>
      <c r="IH18" s="4234">
        <f t="shared" si="121"/>
        <v>0.51805503431547117</v>
      </c>
      <c r="II18" s="342">
        <f>SUMPRODUCT(IH$8:IH18,IF$8:IF18)/IG18</f>
        <v>0.51391346629700896</v>
      </c>
      <c r="IJ18" s="4235">
        <f t="shared" si="122"/>
        <v>89.867717301530561</v>
      </c>
      <c r="IK18" s="342" cm="1">
        <f t="array" ref="IK18">SUMPRODUCT(IJ$8:IJ18,IF$8:IF18/IG18)</f>
        <v>90.165372527665426</v>
      </c>
    </row>
    <row r="19" spans="1:245" s="2377" customFormat="1" ht="14.25" customHeight="1" thickBot="1">
      <c r="A19" s="4636"/>
      <c r="B19" s="2133">
        <f t="shared" si="21"/>
        <v>46093.791666666664</v>
      </c>
      <c r="C19" s="2134">
        <f>+'Plan mina ST'!N54*1000</f>
        <v>220000.61924611669</v>
      </c>
      <c r="D19" s="2134">
        <f>+'Plan mina ST'!M54*1000</f>
        <v>565910.77963523695</v>
      </c>
      <c r="E19" s="2134">
        <f>(('Plan mina ST'!O54*1000))</f>
        <v>209569.13112126503</v>
      </c>
      <c r="F19" s="2134">
        <f>+'Plan mina ST'!J54*1000</f>
        <v>42200.038282395093</v>
      </c>
      <c r="G19" s="2134">
        <f t="shared" si="22"/>
        <v>167369.09283886995</v>
      </c>
      <c r="H19" s="2135">
        <f t="shared" si="23"/>
        <v>98.056332111173901</v>
      </c>
      <c r="I19" s="2135">
        <f t="shared" si="24"/>
        <v>97.12989278992228</v>
      </c>
      <c r="J19" s="2135">
        <f t="shared" si="25"/>
        <v>97.885672723806138</v>
      </c>
      <c r="K19" s="2135">
        <f>+'Plan mina ST'!AM17*100</f>
        <v>35.681568619052058</v>
      </c>
      <c r="L19" s="2135">
        <f>'Plan mina ST'!D17</f>
        <v>0.46221007725168212</v>
      </c>
      <c r="M19" s="2135">
        <f>'Plan mina ST'!C17</f>
        <v>89.424533892205758</v>
      </c>
      <c r="N19" s="2136">
        <f>'Plan mina ST'!B17</f>
        <v>25.079636186181251</v>
      </c>
      <c r="O19" s="2134">
        <f t="shared" si="1"/>
        <v>3453.8396878561921</v>
      </c>
      <c r="P19" s="2134">
        <f t="shared" si="2"/>
        <v>2758.354783810621</v>
      </c>
      <c r="Q19" s="2134">
        <f t="shared" si="3"/>
        <v>695.48490404557174</v>
      </c>
      <c r="R19" s="2134">
        <f t="shared" si="26"/>
        <v>35598.121385262246</v>
      </c>
      <c r="S19" s="2134">
        <f t="shared" si="4"/>
        <v>866.21042816827116</v>
      </c>
      <c r="T19" s="2134">
        <f t="shared" si="5"/>
        <v>691.78534450383017</v>
      </c>
      <c r="U19" s="2134">
        <f t="shared" si="6"/>
        <v>174.42508366444116</v>
      </c>
      <c r="V19" s="2134">
        <f t="shared" si="27"/>
        <v>9031.8794097229311</v>
      </c>
      <c r="W19" s="2134">
        <f>+'Plan mina ST'!E17</f>
        <v>108.51402882704599</v>
      </c>
      <c r="X19" s="2135">
        <f t="shared" si="28"/>
        <v>89.894605459600001</v>
      </c>
      <c r="Y19" s="2135">
        <f t="shared" si="29"/>
        <v>87.633335581292158</v>
      </c>
      <c r="Z19" s="2135">
        <f t="shared" si="30"/>
        <v>78.777641271889848</v>
      </c>
      <c r="AA19" s="2136">
        <v>50</v>
      </c>
      <c r="AB19" s="2134">
        <f t="shared" si="7"/>
        <v>35.829947317533815</v>
      </c>
      <c r="AC19" s="2134">
        <f t="shared" si="31"/>
        <v>35.829947317533815</v>
      </c>
      <c r="AD19" s="2134">
        <f t="shared" si="32"/>
        <v>20</v>
      </c>
      <c r="AE19" s="2134">
        <f t="shared" si="8"/>
        <v>17.914973658766908</v>
      </c>
      <c r="AF19" s="2134">
        <f t="shared" si="33"/>
        <v>295.15118707915786</v>
      </c>
      <c r="AG19" s="3914">
        <v>10</v>
      </c>
      <c r="AH19" s="2134">
        <f t="shared" si="34"/>
        <v>325.15118707915792</v>
      </c>
      <c r="AI19" s="2134">
        <f t="shared" si="9"/>
        <v>918.1459368050364</v>
      </c>
      <c r="AJ19" s="2134">
        <f t="shared" si="35"/>
        <v>9887.5227010654089</v>
      </c>
      <c r="AK19" s="2134">
        <f>'Envíos STC 2800'!G15</f>
        <v>4366</v>
      </c>
      <c r="AL19" s="2136">
        <f t="shared" si="126"/>
        <v>25.346686511879629</v>
      </c>
      <c r="AM19" s="2134">
        <f t="shared" si="10"/>
        <v>1106.6363331086645</v>
      </c>
      <c r="AN19" s="2134">
        <f t="shared" si="123"/>
        <v>4366</v>
      </c>
      <c r="AO19" s="2136">
        <f t="shared" si="36"/>
        <v>23.946767218343805</v>
      </c>
      <c r="AP19" s="2134">
        <f t="shared" si="37"/>
        <v>1045.5158567528906</v>
      </c>
      <c r="AQ19" s="2134">
        <f t="shared" si="11"/>
        <v>12.311104893879703</v>
      </c>
      <c r="AR19" s="2134">
        <f t="shared" si="38"/>
        <v>4235.0680667002653</v>
      </c>
      <c r="AS19" s="2134">
        <f t="shared" si="39"/>
        <v>-912.16031214380791</v>
      </c>
      <c r="AT19" s="2136">
        <f>+'Recalculos ST'!E20</f>
        <v>38.949408800978375</v>
      </c>
      <c r="AU19" s="2134">
        <f>+'MCP ST'!V13</f>
        <v>61.77905381452085</v>
      </c>
      <c r="AV19" s="3973">
        <f>+Factores!$D$24</f>
        <v>0.96199999999999997</v>
      </c>
      <c r="AW19" s="2134">
        <f t="shared" si="40"/>
        <v>1005.7862541962808</v>
      </c>
      <c r="AX19" s="2376">
        <f>'Plan mina ST'!AK17/25.4</f>
        <v>3.8828335976657362</v>
      </c>
      <c r="AY19" s="2718">
        <f>+'Recalculos ST'!AK20</f>
        <v>196.42347854949477</v>
      </c>
      <c r="AZ19" s="2138">
        <f>'Plan mina ST'!O17*BA19/1000000*0.79</f>
        <v>12.311104893879703</v>
      </c>
      <c r="BA19" s="2137">
        <f t="shared" si="41"/>
        <v>8732.0471300527097</v>
      </c>
      <c r="BB19" s="2138">
        <f>'Plan mina ST'!O17*'ST Original'!BT19/1000000*0.8</f>
        <v>12.745077938695724</v>
      </c>
      <c r="BC19" s="4640"/>
      <c r="BD19" s="2148">
        <f t="shared" si="12"/>
        <v>46093.791666666664</v>
      </c>
      <c r="BE19" s="2149">
        <f>'Plan mina ST'!J17</f>
        <v>2.3310974351147543E-2</v>
      </c>
      <c r="BF19" s="2150">
        <f t="shared" si="42"/>
        <v>0.80659708623998505</v>
      </c>
      <c r="BG19" s="2151">
        <f>'Plan mina ST'!K17</f>
        <v>0.96284697172708089</v>
      </c>
      <c r="BH19" s="2150">
        <f t="shared" si="43"/>
        <v>33.316048921473978</v>
      </c>
      <c r="BI19" s="2151">
        <f>'Plan mina ST'!V17</f>
        <v>19.822486450107309</v>
      </c>
      <c r="BJ19" s="2152">
        <f t="shared" si="44"/>
        <v>892.01189025482893</v>
      </c>
      <c r="BK19" s="3395">
        <f>'Plan mina ST'!AI17</f>
        <v>0.75434669317733383</v>
      </c>
      <c r="BL19" s="3399">
        <f>'Recalculos ST'!T20</f>
        <v>5.5953273382108684</v>
      </c>
      <c r="BM19" s="3391">
        <f t="shared" si="45"/>
        <v>13.008992682519633</v>
      </c>
      <c r="BN19" s="3391">
        <f t="shared" si="46"/>
        <v>13.008992682519633</v>
      </c>
      <c r="BO19" s="3391">
        <f t="shared" si="47"/>
        <v>13.008992682519633</v>
      </c>
      <c r="BP19" s="3391">
        <f t="shared" si="48"/>
        <v>39.026978047558899</v>
      </c>
      <c r="BQ19" s="3400">
        <f t="shared" si="49"/>
        <v>13.776235000175419</v>
      </c>
      <c r="BR19" s="3397">
        <f t="shared" si="50"/>
        <v>7111.9447887495471</v>
      </c>
      <c r="BS19" s="2137">
        <f t="shared" si="51"/>
        <v>1810.6065984488382</v>
      </c>
      <c r="BT19" s="3344">
        <f t="shared" si="52"/>
        <v>8926.8582648548509</v>
      </c>
      <c r="BU19" s="3345">
        <f t="shared" si="53"/>
        <v>2371.0599052611792</v>
      </c>
      <c r="BV19" s="3345">
        <f t="shared" si="54"/>
        <v>2371.0599052611792</v>
      </c>
      <c r="BW19" s="3345">
        <f t="shared" si="55"/>
        <v>2371.0599052611792</v>
      </c>
      <c r="BX19" s="3346">
        <f t="shared" si="56"/>
        <v>98.056332111173916</v>
      </c>
      <c r="BY19" s="3346">
        <f t="shared" si="57"/>
        <v>98.056332111173916</v>
      </c>
      <c r="BZ19" s="3346">
        <f t="shared" si="58"/>
        <v>98.056332111173916</v>
      </c>
      <c r="CA19" s="3346">
        <f t="shared" si="59"/>
        <v>97.12989278992228</v>
      </c>
      <c r="CB19" s="3346">
        <f t="shared" si="60"/>
        <v>97.885715079916608</v>
      </c>
      <c r="CC19" s="3623">
        <f t="shared" si="61"/>
        <v>98.056332111173901</v>
      </c>
      <c r="CD19" s="3348">
        <f t="shared" si="62"/>
        <v>98.886834920573264</v>
      </c>
      <c r="CE19" s="3348">
        <f t="shared" si="63"/>
        <v>98.886834920573264</v>
      </c>
      <c r="CF19" s="3348">
        <f t="shared" si="64"/>
        <v>98.886834920573264</v>
      </c>
      <c r="CG19" s="3348">
        <f t="shared" si="65"/>
        <v>98.356250499976611</v>
      </c>
      <c r="CH19" s="3346">
        <f t="shared" si="66"/>
        <v>98.789120222376653</v>
      </c>
      <c r="CI19" s="3347">
        <f t="shared" si="67"/>
        <v>26.877795450599066</v>
      </c>
      <c r="CJ19" s="3354">
        <f t="shared" si="68"/>
        <v>6.4495510000000005</v>
      </c>
      <c r="CK19" s="3355">
        <f t="shared" si="69"/>
        <v>6.4495510000000005</v>
      </c>
      <c r="CL19" s="3355">
        <f t="shared" si="70"/>
        <v>6.4495510000000005</v>
      </c>
      <c r="CM19" s="3356">
        <f t="shared" si="71"/>
        <v>4.3442710000000009</v>
      </c>
      <c r="CN19" s="3356">
        <f t="shared" si="72"/>
        <v>23.692924000000001</v>
      </c>
      <c r="CO19" s="3354">
        <f t="shared" si="73"/>
        <v>6.3953843333333333</v>
      </c>
      <c r="CP19" s="3355">
        <f t="shared" si="74"/>
        <v>6.3953843333333333</v>
      </c>
      <c r="CQ19" s="3355">
        <f t="shared" si="75"/>
        <v>6.3953843333333333</v>
      </c>
      <c r="CR19" s="3356">
        <f t="shared" si="76"/>
        <v>4.2901043333333337</v>
      </c>
      <c r="CS19" s="3356">
        <f t="shared" si="77"/>
        <v>23.476257333333333</v>
      </c>
      <c r="CT19" s="3357">
        <f t="shared" si="78"/>
        <v>6.5217878333333337</v>
      </c>
      <c r="CU19" s="2153">
        <f t="shared" si="79"/>
        <v>6.5217878333333337</v>
      </c>
      <c r="CV19" s="2153">
        <f t="shared" si="80"/>
        <v>6.5217878333333337</v>
      </c>
      <c r="CW19" s="3358">
        <f t="shared" si="81"/>
        <v>4.4179698333333342</v>
      </c>
      <c r="CX19" s="3354">
        <f t="shared" si="82"/>
        <v>0</v>
      </c>
      <c r="CY19" s="3355">
        <f t="shared" si="83"/>
        <v>0</v>
      </c>
      <c r="CZ19" s="3355">
        <f t="shared" si="84"/>
        <v>0</v>
      </c>
      <c r="DA19" s="3356">
        <f t="shared" si="85"/>
        <v>0</v>
      </c>
      <c r="DB19" s="3354">
        <f t="shared" si="86"/>
        <v>7.2602333333333338E-2</v>
      </c>
      <c r="DC19" s="3355">
        <f t="shared" si="87"/>
        <v>7.2602333333333338E-2</v>
      </c>
      <c r="DD19" s="3355">
        <f t="shared" si="88"/>
        <v>7.2602333333333338E-2</v>
      </c>
      <c r="DE19" s="3356">
        <f t="shared" si="89"/>
        <v>7.2602333333333338E-2</v>
      </c>
      <c r="DF19" s="3356">
        <f t="shared" si="90"/>
        <v>0.29040933333333335</v>
      </c>
      <c r="DG19" s="3354">
        <f t="shared" si="91"/>
        <v>0.12676900000000002</v>
      </c>
      <c r="DH19" s="3355">
        <f t="shared" si="92"/>
        <v>0.12676900000000002</v>
      </c>
      <c r="DI19" s="3355">
        <f t="shared" si="93"/>
        <v>0.12676900000000002</v>
      </c>
      <c r="DJ19" s="3356">
        <f t="shared" si="94"/>
        <v>0.12676900000000002</v>
      </c>
      <c r="DK19" s="3356">
        <f t="shared" si="95"/>
        <v>0.50707600000000008</v>
      </c>
      <c r="DL19" s="2137">
        <v>0</v>
      </c>
      <c r="DM19" s="2137">
        <v>0</v>
      </c>
      <c r="DN19" s="2137">
        <v>0</v>
      </c>
      <c r="DO19" s="2137">
        <v>0</v>
      </c>
      <c r="DP19" s="2137">
        <v>0</v>
      </c>
      <c r="DQ19" s="2137">
        <v>0</v>
      </c>
      <c r="DR19" s="2137">
        <v>0</v>
      </c>
      <c r="DS19" s="2137">
        <v>0</v>
      </c>
      <c r="DT19" s="2137">
        <v>0</v>
      </c>
      <c r="DU19" s="2137">
        <v>0</v>
      </c>
      <c r="DV19" s="2137">
        <v>0</v>
      </c>
      <c r="DW19" s="2579">
        <f t="shared" si="96"/>
        <v>7.2602333333333338E-2</v>
      </c>
      <c r="DX19" s="2579">
        <f t="shared" si="97"/>
        <v>7.2602333333333338E-2</v>
      </c>
      <c r="DY19" s="2579">
        <f t="shared" si="98"/>
        <v>7.2602333333333338E-2</v>
      </c>
      <c r="DZ19" s="2579">
        <f t="shared" si="99"/>
        <v>7.2602333333333338E-2</v>
      </c>
      <c r="EA19" s="2579">
        <f t="shared" si="100"/>
        <v>0</v>
      </c>
      <c r="EB19" s="2579">
        <f t="shared" si="101"/>
        <v>0</v>
      </c>
      <c r="EC19" s="2579">
        <f t="shared" si="102"/>
        <v>0</v>
      </c>
      <c r="ED19" s="2579">
        <f t="shared" si="103"/>
        <v>0</v>
      </c>
      <c r="EE19" s="2579">
        <f t="shared" si="104"/>
        <v>0.05</v>
      </c>
      <c r="EF19" s="2579">
        <f t="shared" si="128"/>
        <v>0.05</v>
      </c>
      <c r="EG19" s="2579">
        <f t="shared" si="128"/>
        <v>0.05</v>
      </c>
      <c r="EH19" s="2579">
        <f t="shared" si="127"/>
        <v>0.05</v>
      </c>
      <c r="EI19" s="2579">
        <f t="shared" si="108"/>
        <v>4.1666666666666666E-3</v>
      </c>
      <c r="EJ19" s="2579">
        <f t="shared" si="109"/>
        <v>4.1666666666666666E-3</v>
      </c>
      <c r="EK19" s="2579">
        <f t="shared" si="110"/>
        <v>4.1666666666666666E-3</v>
      </c>
      <c r="EL19" s="2581">
        <f t="shared" si="111"/>
        <v>4.1666666666666666E-3</v>
      </c>
      <c r="EM19" s="3341">
        <f t="shared" si="112"/>
        <v>4.1666666666666666E-3</v>
      </c>
      <c r="EN19" s="3341">
        <f t="shared" si="113"/>
        <v>4.1666666666666666E-3</v>
      </c>
      <c r="EO19" s="3341">
        <f t="shared" si="114"/>
        <v>4.1666666666666666E-3</v>
      </c>
      <c r="EP19" s="3341">
        <f t="shared" si="115"/>
        <v>4.1666666666666666E-3</v>
      </c>
      <c r="EQ19" s="3319">
        <f t="shared" si="116"/>
        <v>1.6666666666666666E-2</v>
      </c>
      <c r="ER19" s="809">
        <f>+'MCP ST'!H13</f>
        <v>1.4095465845354533</v>
      </c>
      <c r="ES19" s="4236">
        <f t="shared" si="117"/>
        <v>0.30707600000000002</v>
      </c>
      <c r="EV19" s="744"/>
      <c r="EW19" s="744"/>
      <c r="EX19" s="744"/>
      <c r="EY19" s="744"/>
      <c r="EZ19" s="2154">
        <f>+'Plan mina ST'!AM17</f>
        <v>0.35681568619052056</v>
      </c>
      <c r="FA19" s="2378">
        <f>IF($FC19&lt;=Factores!$D$3,AX19,"")</f>
        <v>3.8828335976657362</v>
      </c>
      <c r="FB19" s="2379"/>
      <c r="FC19" s="2380">
        <f t="shared" si="13"/>
        <v>46093.791666666664</v>
      </c>
      <c r="FD19" s="2381">
        <f>IF($FC19&lt;=Factores!$D$3,'ST Original'!C19,"")</f>
        <v>220000.61924611669</v>
      </c>
      <c r="FE19" s="2382">
        <f>IF($FC19&lt;=Factores!$D$3,'ST Original'!D19,"")</f>
        <v>565910.77963523695</v>
      </c>
      <c r="FF19" s="2381">
        <f>IF($FC19&lt;=Factores!$D$3,'ST Original'!E19,"")</f>
        <v>209569.13112126503</v>
      </c>
      <c r="FG19" s="2382"/>
      <c r="FH19" s="2383">
        <f>IF($FC19&lt;=Factores!$D$3,'ST Original'!J19,"")</f>
        <v>97.885672723806138</v>
      </c>
      <c r="FI19" s="2384">
        <f>IF($FC19&lt;=Factores!$D$3,'ST Original'!BT19,"")</f>
        <v>8926.8582648548509</v>
      </c>
      <c r="FJ19" s="2384">
        <f>IF($FC19&lt;=Factores!$D$3,'ST Original'!K19,"")</f>
        <v>35.681568619052058</v>
      </c>
      <c r="FK19" s="2385">
        <f>IF($FC19&lt;=Factores!$D$3,'ST Original'!L19,"")</f>
        <v>0.46221007725168212</v>
      </c>
      <c r="FL19" s="2384">
        <f>IF($FC19&lt;=Factores!$D$3,'ST Original'!M19,"")</f>
        <v>89.424533892205758</v>
      </c>
      <c r="FM19" s="2384">
        <f>IF($FC19&lt;=Factores!$D$3,'ST Original'!N19,"")</f>
        <v>25.079636186181251</v>
      </c>
      <c r="FN19" s="2381">
        <f>IF($FC19&lt;=Factores!$D$3,'ST Original'!O19,"")</f>
        <v>3453.8396878561921</v>
      </c>
      <c r="FO19" s="2386">
        <f>IF($FC19&lt;=Factores!$D$3,'ST Original'!R19,"")</f>
        <v>35598.121385262246</v>
      </c>
      <c r="FP19" s="2381">
        <f>IF($FC19&lt;=Factores!$D$3,'ST Original'!S19,"")</f>
        <v>866.21042816827116</v>
      </c>
      <c r="FQ19" s="2382">
        <f>IF($FC19&lt;=Factores!$D$3,'ST Original'!V19,"")</f>
        <v>9031.8794097229311</v>
      </c>
      <c r="FR19" s="2381">
        <f>IF($FC19&lt;=Factores!$D$3,'ST Original'!W19,"")</f>
        <v>108.51402882704599</v>
      </c>
      <c r="FS19" s="2387">
        <f>IF($FC19&lt;=Factores!$D$3,'ST Original'!X19,"")</f>
        <v>89.894605459600001</v>
      </c>
      <c r="FT19" s="2387">
        <f>IF($FC19&lt;=Factores!$D$3,'ST Original'!Y19,"")</f>
        <v>87.633335581292158</v>
      </c>
      <c r="FU19" s="2387">
        <f>IF($FC19&lt;=Factores!$D$3,'ST Original'!Z19,"")</f>
        <v>78.777641271889848</v>
      </c>
      <c r="FV19" s="2387">
        <f>IF($FC19&lt;=Factores!$D$3,'ST Original'!AA19,"")</f>
        <v>50</v>
      </c>
      <c r="FW19" s="2386">
        <f>IF($FC19&lt;=Factores!$D$3,'ST Original'!AB19,"")</f>
        <v>35.829947317533815</v>
      </c>
      <c r="FX19" s="2386">
        <f>IF($FC19&lt;=Factores!$D$3,'ST Original'!AC19,"")</f>
        <v>35.829947317533815</v>
      </c>
      <c r="FY19" s="2387">
        <f>IF($FC19&lt;=Factores!$D$3,AE19,"")</f>
        <v>17.914973658766908</v>
      </c>
      <c r="FZ19" s="2382">
        <f>IF($FC19&lt;=Factores!$D$3,AF19,"")</f>
        <v>295.15118707915786</v>
      </c>
      <c r="GA19" s="2386">
        <f>IF($FC19&lt;=Factores!$D$3,AG19,"")</f>
        <v>10</v>
      </c>
      <c r="GB19" s="2381">
        <f>IF($FC19&lt;=Factores!$D$3,AI19,"")</f>
        <v>918.1459368050364</v>
      </c>
      <c r="GC19" s="2382">
        <f>IF($FC19&lt;=Factores!$D$3,AJ19,"")</f>
        <v>9887.5227010654089</v>
      </c>
      <c r="GD19" s="2381">
        <f>IF($FC19&lt;=Factores!$D$3,AN19,"")</f>
        <v>4366</v>
      </c>
      <c r="GE19" s="2386">
        <f>IF($FC19&lt;=Factores!$D$3,AO19,"")</f>
        <v>23.946767218343805</v>
      </c>
      <c r="GF19" s="2382">
        <f>IF($FC19&lt;=Factores!$D$3,AP19,"")</f>
        <v>1045.5158567528906</v>
      </c>
      <c r="GG19" s="2388">
        <f>IF($FC19&lt;=Factores!$D$3,BI19,"")</f>
        <v>19.822486450107309</v>
      </c>
      <c r="GH19" s="2389">
        <f>IF($FC19&lt;=Factores!$D$3,BJ19,"")</f>
        <v>892.01189025482893</v>
      </c>
      <c r="GI19" s="2069">
        <f>+'Plan mina ST'!AN54</f>
        <v>0</v>
      </c>
      <c r="GJ19" s="2380">
        <f t="shared" si="14"/>
        <v>46093.791666666664</v>
      </c>
      <c r="GK19" s="2378">
        <f>+'Plan mina ST'!J17</f>
        <v>2.3310974351147543E-2</v>
      </c>
      <c r="GL19" s="2390">
        <f t="shared" si="15"/>
        <v>0.99011035754663701</v>
      </c>
      <c r="GM19" s="2386">
        <f t="shared" si="118"/>
        <v>3419.6824482520597</v>
      </c>
      <c r="GN19" s="2391">
        <f t="shared" si="119"/>
        <v>41099.473837371253</v>
      </c>
      <c r="GO19" s="2390">
        <f>+'Plan mina ST'!K17</f>
        <v>0.96284697172708089</v>
      </c>
      <c r="GP19" s="2390">
        <f t="shared" si="16"/>
        <v>46.738244158131806</v>
      </c>
      <c r="GQ19" s="2386">
        <f t="shared" si="17"/>
        <v>161426.40261406844</v>
      </c>
      <c r="GR19" s="2386">
        <f t="shared" si="120"/>
        <v>1733932.5524616486</v>
      </c>
      <c r="GS19" s="2384">
        <f>+'Plan mina ST'!V17</f>
        <v>19.822486450107309</v>
      </c>
      <c r="GT19" s="2382">
        <f t="shared" si="18"/>
        <v>892.01189025482893</v>
      </c>
      <c r="GU19" s="2072">
        <f>IF($FC19&lt;=Factores!$D$3,AT19,"")</f>
        <v>38.949408800978375</v>
      </c>
      <c r="GW19" s="2384">
        <f>+'Plan mina ST'!AI17</f>
        <v>0.75434669317733383</v>
      </c>
      <c r="GX19" s="2392">
        <v>0.5</v>
      </c>
      <c r="GY19" s="2387"/>
      <c r="GZ19" s="2380">
        <f t="shared" si="19"/>
        <v>46093.791666666664</v>
      </c>
      <c r="HA19" s="2381" t="str">
        <f>IF($FC19&gt;Factores!$D$3,'ST Original'!C19,"")</f>
        <v/>
      </c>
      <c r="HB19" s="2382" t="str">
        <f>IF($FC19&gt;Factores!$D$3,'ST Original'!D19,"")</f>
        <v/>
      </c>
      <c r="HC19" s="2381" t="str">
        <f>IF($FC19&gt;Factores!$D$3,'ST Original'!E19,"")</f>
        <v/>
      </c>
      <c r="HD19" s="2382"/>
      <c r="HE19" s="2383" t="str">
        <f>IF($FC19&gt;Factores!$D$3,'ST Original'!J19,"")</f>
        <v/>
      </c>
      <c r="HF19" s="2384" t="str">
        <f>IF($FC19&gt;Factores!$D$3,'ST Original'!BT19,"")</f>
        <v/>
      </c>
      <c r="HG19" s="2384" t="str">
        <f>IF($FC19&gt;Factores!$D$3,'ST Original'!K19,"")</f>
        <v/>
      </c>
      <c r="HH19" s="2385" t="str">
        <f>IF($FC19&gt;Factores!$D$3,'ST Original'!L19,"")</f>
        <v/>
      </c>
      <c r="HI19" s="2384" t="str">
        <f>IF($FC19&gt;Factores!$D$3,'ST Original'!M19,"")</f>
        <v/>
      </c>
      <c r="HJ19" s="2384" t="str">
        <f>IF($FC19&gt;Factores!$D$3,'ST Original'!N19,"")</f>
        <v/>
      </c>
      <c r="HK19" s="2381" t="str">
        <f>IF($FC19&gt;Factores!$D$3,'ST Original'!O19,"")</f>
        <v/>
      </c>
      <c r="HL19" s="2386" t="str">
        <f>IF($FC19&gt;Factores!$D$3,'ST Original'!R19,"")</f>
        <v/>
      </c>
      <c r="HM19" s="2381" t="str">
        <f>IF($FC19&gt;Factores!$D$3,'ST Original'!S19,"")</f>
        <v/>
      </c>
      <c r="HN19" s="2382" t="str">
        <f>IF($FC19&gt;Factores!$D$3,'ST Original'!V19,"")</f>
        <v/>
      </c>
      <c r="HO19" s="2381" t="str">
        <f>IF($FC19&gt;Factores!$D$3,'ST Original'!W19,"")</f>
        <v/>
      </c>
      <c r="HP19" s="2387" t="str">
        <f>IF($FC19&gt;Factores!$D$3,'ST Original'!X19,"")</f>
        <v/>
      </c>
      <c r="HQ19" s="2387" t="str">
        <f>IF($FC19&gt;Factores!$D$3,'ST Original'!Y19,"")</f>
        <v/>
      </c>
      <c r="HR19" s="2387" t="str">
        <f>IF($FC19&gt;Factores!$D$3,'ST Original'!Z19,"")</f>
        <v/>
      </c>
      <c r="HS19" s="2387" t="str">
        <f>IF($FC19&gt;Factores!$D$3,'ST Original'!AA19,"")</f>
        <v/>
      </c>
      <c r="HT19" s="2386" t="str">
        <f>IF($FC19&gt;Factores!$D$3,'ST Original'!AB19,"")</f>
        <v/>
      </c>
      <c r="HU19" s="2386" t="str">
        <f>IF($FC19&gt;Factores!$D$3,'ST Original'!AC19,"")</f>
        <v/>
      </c>
      <c r="HV19" s="2387" t="str">
        <f>IF($FC19&gt;Factores!$D$3,AE19,"")</f>
        <v/>
      </c>
      <c r="HW19" s="2382" t="str">
        <f>IF($FC19&gt;Factores!$D$3,AF19,"")</f>
        <v/>
      </c>
      <c r="HX19" s="2386" t="str">
        <f>IF($FC19&gt;Factores!$D$3,AG19,"")</f>
        <v/>
      </c>
      <c r="HY19" s="2381" t="str">
        <f>IF($FC19&gt;Factores!$D$3,AI19,"")</f>
        <v/>
      </c>
      <c r="HZ19" s="2382" t="str">
        <f>IF($FC19&gt;Factores!$D$3,AJ19,"")</f>
        <v/>
      </c>
      <c r="IA19" s="2381" t="str">
        <f>IF($FC19&gt;Factores!$D$3,AN19,"")</f>
        <v/>
      </c>
      <c r="IB19" s="2386" t="str">
        <f>IF($FC19&gt;Factores!$D$3,AO19,"")</f>
        <v/>
      </c>
      <c r="IC19" s="2382" t="str">
        <f>IF($FC19&gt;Factores!$D$3,AP19,"")</f>
        <v/>
      </c>
      <c r="ID19" s="2388" t="str">
        <f>IF($FC19&gt;Factores!$D$3,BI19,"")</f>
        <v/>
      </c>
      <c r="IE19" s="2389" t="str">
        <f>IF($FC19&gt;Factores!$D$3,BJ19,"")</f>
        <v/>
      </c>
      <c r="IF19" s="4237">
        <f t="shared" si="20"/>
        <v>209569.13112126503</v>
      </c>
      <c r="IG19" s="4237">
        <f t="shared" si="124"/>
        <v>1971734.6427489768</v>
      </c>
      <c r="IH19" s="4234">
        <f t="shared" si="121"/>
        <v>0.46221007725168212</v>
      </c>
      <c r="II19" s="342">
        <f>SUMPRODUCT(IH$8:IH19,IF$8:IF19)/IG19</f>
        <v>0.50841808467550065</v>
      </c>
      <c r="IJ19" s="4235">
        <f t="shared" si="122"/>
        <v>89.424533892205758</v>
      </c>
      <c r="IK19" s="342" cm="1">
        <f t="array" ref="IK19">SUMPRODUCT(IJ$8:IJ19,IF$8:IF19/IG19)</f>
        <v>90.086631247896719</v>
      </c>
    </row>
    <row r="20" spans="1:245" s="744" customFormat="1" ht="14.25" customHeight="1">
      <c r="A20" s="4636"/>
      <c r="B20" s="2133">
        <f t="shared" si="21"/>
        <v>46094.791666666664</v>
      </c>
      <c r="C20" s="2134">
        <f>+'Plan mina ST'!N55*1000</f>
        <v>220000.5090867368</v>
      </c>
      <c r="D20" s="2134">
        <f>+'Plan mina ST'!M55*1000</f>
        <v>580788.1867191802</v>
      </c>
      <c r="E20" s="2134">
        <f>(('Plan mina ST'!O55*1000))</f>
        <v>205123.10200279354</v>
      </c>
      <c r="F20" s="2134">
        <f>+'Plan mina ST'!J55*1000</f>
        <v>42200.038282395093</v>
      </c>
      <c r="G20" s="2134">
        <f t="shared" si="22"/>
        <v>162923.06372039847</v>
      </c>
      <c r="H20" s="2135">
        <f t="shared" si="23"/>
        <v>98.056332111173901</v>
      </c>
      <c r="I20" s="2135">
        <f t="shared" si="24"/>
        <v>97.12989278992228</v>
      </c>
      <c r="J20" s="2135">
        <f t="shared" si="25"/>
        <v>97.885672723806138</v>
      </c>
      <c r="K20" s="2135">
        <f>+'Plan mina ST'!AM18*100</f>
        <v>48.99602097670023</v>
      </c>
      <c r="L20" s="2135">
        <f>'Plan mina ST'!D18</f>
        <v>0.50894157569520238</v>
      </c>
      <c r="M20" s="2135">
        <f>'Plan mina ST'!C18</f>
        <v>89.618075972381988</v>
      </c>
      <c r="N20" s="2136">
        <f>'Plan mina ST'!B18</f>
        <v>27.48949315042346</v>
      </c>
      <c r="O20" s="2134">
        <f t="shared" si="1"/>
        <v>3403.3874176114095</v>
      </c>
      <c r="P20" s="2134">
        <f t="shared" si="2"/>
        <v>2703.2074870686897</v>
      </c>
      <c r="Q20" s="2134">
        <f t="shared" si="3"/>
        <v>700.17993054271983</v>
      </c>
      <c r="R20" s="2134">
        <f t="shared" si="26"/>
        <v>39001.508802873657</v>
      </c>
      <c r="S20" s="2134">
        <f t="shared" si="4"/>
        <v>935.57395104666227</v>
      </c>
      <c r="T20" s="2134">
        <f t="shared" si="5"/>
        <v>743.09803699948156</v>
      </c>
      <c r="U20" s="2134">
        <f t="shared" si="6"/>
        <v>192.47591404718071</v>
      </c>
      <c r="V20" s="2134">
        <f t="shared" si="27"/>
        <v>9967.4533607695939</v>
      </c>
      <c r="W20" s="2134">
        <f>+'Plan mina ST'!E18</f>
        <v>149.61943491805948</v>
      </c>
      <c r="X20" s="2135">
        <f t="shared" si="28"/>
        <v>91.020883392106043</v>
      </c>
      <c r="Y20" s="2135">
        <f t="shared" si="29"/>
        <v>88.543435477527325</v>
      </c>
      <c r="Z20" s="2135">
        <f t="shared" si="30"/>
        <v>80.593017157364798</v>
      </c>
      <c r="AA20" s="2136">
        <v>50</v>
      </c>
      <c r="AB20" s="2134">
        <f t="shared" si="7"/>
        <v>49.468642882762708</v>
      </c>
      <c r="AC20" s="2134">
        <f t="shared" si="31"/>
        <v>49.468642882762708</v>
      </c>
      <c r="AD20" s="2134">
        <f t="shared" si="32"/>
        <v>80</v>
      </c>
      <c r="AE20" s="2134">
        <f t="shared" si="8"/>
        <v>24.734321441381354</v>
      </c>
      <c r="AF20" s="2134">
        <f t="shared" si="33"/>
        <v>319.88550852053925</v>
      </c>
      <c r="AG20" s="2134">
        <v>40</v>
      </c>
      <c r="AH20" s="2134">
        <f t="shared" si="34"/>
        <v>309.88550852053925</v>
      </c>
      <c r="AI20" s="2134">
        <f t="shared" si="9"/>
        <v>1007.2787489052268</v>
      </c>
      <c r="AJ20" s="2134">
        <f t="shared" si="35"/>
        <v>10894.801449970635</v>
      </c>
      <c r="AK20" s="2134">
        <f>'Envíos STC 2800'!G16</f>
        <v>4366</v>
      </c>
      <c r="AL20" s="2136">
        <f t="shared" si="126"/>
        <v>25.079636186181251</v>
      </c>
      <c r="AM20" s="2134">
        <f t="shared" si="10"/>
        <v>1094.9769158886734</v>
      </c>
      <c r="AN20" s="2134">
        <f t="shared" si="123"/>
        <v>4366</v>
      </c>
      <c r="AO20" s="2136">
        <f t="shared" si="36"/>
        <v>25.346686511879629</v>
      </c>
      <c r="AP20" s="2134">
        <f t="shared" si="37"/>
        <v>1106.6363331086645</v>
      </c>
      <c r="AQ20" s="2134">
        <f t="shared" si="11"/>
        <v>10.822435889842781</v>
      </c>
      <c r="AR20" s="2134">
        <f t="shared" si="38"/>
        <v>4064.0056846382627</v>
      </c>
      <c r="AS20" s="2134">
        <f t="shared" si="39"/>
        <v>-962.61258238859045</v>
      </c>
      <c r="AT20" s="2136">
        <f>+'Recalculos ST'!E21</f>
        <v>38.471143749007744</v>
      </c>
      <c r="AU20" s="2134">
        <f>+'MCP ST'!V14</f>
        <v>67.780225087270651</v>
      </c>
      <c r="AV20" s="3973">
        <f>+Factores!$D$24</f>
        <v>0.96199999999999997</v>
      </c>
      <c r="AW20" s="2134">
        <f t="shared" si="40"/>
        <v>1064.5841524505352</v>
      </c>
      <c r="AX20" s="2376">
        <f>'Plan mina ST'!AK18/25.4</f>
        <v>3.9894578588539171</v>
      </c>
      <c r="AY20" s="2718">
        <f>+'Recalculos ST'!AK21</f>
        <v>193.0693450109496</v>
      </c>
      <c r="AZ20" s="2138">
        <f>'Plan mina ST'!O18*BA20/1000000*0.79</f>
        <v>10.822435889842781</v>
      </c>
      <c r="BA20" s="2137">
        <f t="shared" si="41"/>
        <v>8546.795916783065</v>
      </c>
      <c r="BB20" s="2138">
        <f>'Plan mina ST'!O18*'ST Original'!BT20/1000000*0.8</f>
        <v>11.203932554514701</v>
      </c>
      <c r="BC20" s="4640"/>
      <c r="BD20" s="2148">
        <f t="shared" si="12"/>
        <v>46094.791666666664</v>
      </c>
      <c r="BE20" s="2149">
        <f>'Plan mina ST'!J18</f>
        <v>3.5849377473126422E-2</v>
      </c>
      <c r="BF20" s="2150">
        <f t="shared" si="42"/>
        <v>1.2404459366546239</v>
      </c>
      <c r="BG20" s="2151">
        <f>'Plan mina ST'!K18</f>
        <v>1.2618848340546593</v>
      </c>
      <c r="BH20" s="2150">
        <f t="shared" si="43"/>
        <v>43.663238395215764</v>
      </c>
      <c r="BI20" s="2151">
        <f>'Plan mina ST'!V18</f>
        <v>33.625401102141829</v>
      </c>
      <c r="BJ20" s="2152">
        <f t="shared" si="44"/>
        <v>1513.1430495963823</v>
      </c>
      <c r="BK20" s="3395">
        <f>'Plan mina ST'!AI18</f>
        <v>1.003785842978322</v>
      </c>
      <c r="BL20" s="3399">
        <f>'Recalculos ST'!T21</f>
        <v>5.7359998220964767</v>
      </c>
      <c r="BM20" s="3391">
        <f t="shared" si="45"/>
        <v>12.981790790284682</v>
      </c>
      <c r="BN20" s="3391">
        <f t="shared" si="46"/>
        <v>12.981790790284682</v>
      </c>
      <c r="BO20" s="3391">
        <f t="shared" si="47"/>
        <v>12.981790790284682</v>
      </c>
      <c r="BP20" s="3391">
        <f t="shared" si="48"/>
        <v>38.945372370854045</v>
      </c>
      <c r="BQ20" s="3400">
        <f t="shared" si="49"/>
        <v>14.12258420888609</v>
      </c>
      <c r="BR20" s="3397">
        <f t="shared" si="50"/>
        <v>6923.0215348595166</v>
      </c>
      <c r="BS20" s="2137">
        <f t="shared" si="51"/>
        <v>1810.6065984488382</v>
      </c>
      <c r="BT20" s="3344">
        <f t="shared" si="52"/>
        <v>8737.4741147671793</v>
      </c>
      <c r="BU20" s="3345">
        <f t="shared" si="53"/>
        <v>2308.0745523407309</v>
      </c>
      <c r="BV20" s="3345">
        <f t="shared" si="54"/>
        <v>2308.0745523407309</v>
      </c>
      <c r="BW20" s="3345">
        <f t="shared" si="55"/>
        <v>2308.0745523407309</v>
      </c>
      <c r="BX20" s="3346">
        <f t="shared" si="56"/>
        <v>98.056332111173916</v>
      </c>
      <c r="BY20" s="3346">
        <f t="shared" si="57"/>
        <v>98.056332111173916</v>
      </c>
      <c r="BZ20" s="3346">
        <f t="shared" si="58"/>
        <v>98.056332111173916</v>
      </c>
      <c r="CA20" s="3346">
        <f t="shared" si="59"/>
        <v>97.12989278992228</v>
      </c>
      <c r="CB20" s="3346">
        <f t="shared" si="60"/>
        <v>97.885715079916608</v>
      </c>
      <c r="CC20" s="3623">
        <f t="shared" si="61"/>
        <v>98.056332111173901</v>
      </c>
      <c r="CD20" s="3348">
        <f t="shared" si="62"/>
        <v>98.886834920573264</v>
      </c>
      <c r="CE20" s="3348">
        <f t="shared" si="63"/>
        <v>98.886834920573264</v>
      </c>
      <c r="CF20" s="3348">
        <f t="shared" si="64"/>
        <v>98.886834920573264</v>
      </c>
      <c r="CG20" s="3348">
        <f t="shared" si="65"/>
        <v>98.356250499976611</v>
      </c>
      <c r="CH20" s="3346">
        <f t="shared" si="66"/>
        <v>98.789120222376653</v>
      </c>
      <c r="CI20" s="3347">
        <f t="shared" si="67"/>
        <v>26.877795450599066</v>
      </c>
      <c r="CJ20" s="3354">
        <f t="shared" si="68"/>
        <v>6.4495510000000005</v>
      </c>
      <c r="CK20" s="3355">
        <f t="shared" si="69"/>
        <v>6.4495510000000005</v>
      </c>
      <c r="CL20" s="3355">
        <f t="shared" si="70"/>
        <v>6.4495510000000005</v>
      </c>
      <c r="CM20" s="3356">
        <f t="shared" si="71"/>
        <v>4.3442710000000009</v>
      </c>
      <c r="CN20" s="3356">
        <f t="shared" si="72"/>
        <v>23.692924000000001</v>
      </c>
      <c r="CO20" s="3354">
        <f t="shared" si="73"/>
        <v>6.3953843333333333</v>
      </c>
      <c r="CP20" s="3355">
        <f t="shared" si="74"/>
        <v>6.3953843333333333</v>
      </c>
      <c r="CQ20" s="3355">
        <f t="shared" si="75"/>
        <v>6.3953843333333333</v>
      </c>
      <c r="CR20" s="3356">
        <f t="shared" si="76"/>
        <v>4.2901043333333337</v>
      </c>
      <c r="CS20" s="3356">
        <f t="shared" si="77"/>
        <v>23.476257333333333</v>
      </c>
      <c r="CT20" s="3357">
        <f t="shared" si="78"/>
        <v>6.5217878333333337</v>
      </c>
      <c r="CU20" s="2153">
        <f t="shared" si="79"/>
        <v>6.5217878333333337</v>
      </c>
      <c r="CV20" s="2153">
        <f t="shared" si="80"/>
        <v>6.5217878333333337</v>
      </c>
      <c r="CW20" s="3358">
        <f t="shared" si="81"/>
        <v>4.4179698333333342</v>
      </c>
      <c r="CX20" s="3354">
        <f t="shared" si="82"/>
        <v>0</v>
      </c>
      <c r="CY20" s="3355">
        <f t="shared" si="83"/>
        <v>0</v>
      </c>
      <c r="CZ20" s="3355">
        <f t="shared" si="84"/>
        <v>0</v>
      </c>
      <c r="DA20" s="3356">
        <f t="shared" si="85"/>
        <v>0</v>
      </c>
      <c r="DB20" s="3354">
        <f t="shared" si="86"/>
        <v>7.2602333333333338E-2</v>
      </c>
      <c r="DC20" s="3355">
        <f t="shared" si="87"/>
        <v>7.2602333333333338E-2</v>
      </c>
      <c r="DD20" s="3355">
        <f t="shared" si="88"/>
        <v>7.2602333333333338E-2</v>
      </c>
      <c r="DE20" s="3356">
        <f t="shared" si="89"/>
        <v>7.2602333333333338E-2</v>
      </c>
      <c r="DF20" s="3356">
        <f t="shared" si="90"/>
        <v>0.29040933333333335</v>
      </c>
      <c r="DG20" s="3354">
        <f t="shared" si="91"/>
        <v>0.12676900000000002</v>
      </c>
      <c r="DH20" s="3355">
        <f t="shared" si="92"/>
        <v>0.12676900000000002</v>
      </c>
      <c r="DI20" s="3355">
        <f t="shared" si="93"/>
        <v>0.12676900000000002</v>
      </c>
      <c r="DJ20" s="3356">
        <f t="shared" si="94"/>
        <v>0.12676900000000002</v>
      </c>
      <c r="DK20" s="3356">
        <f t="shared" si="95"/>
        <v>0.50707600000000008</v>
      </c>
      <c r="DL20" s="2137">
        <v>0</v>
      </c>
      <c r="DM20" s="2137">
        <v>0</v>
      </c>
      <c r="DN20" s="2137">
        <v>0</v>
      </c>
      <c r="DO20" s="2137">
        <v>0</v>
      </c>
      <c r="DP20" s="2137">
        <v>0</v>
      </c>
      <c r="DQ20" s="2137">
        <v>0</v>
      </c>
      <c r="DR20" s="2137">
        <v>0</v>
      </c>
      <c r="DS20" s="2137">
        <v>0</v>
      </c>
      <c r="DT20" s="2137">
        <v>0</v>
      </c>
      <c r="DU20" s="2137">
        <v>0</v>
      </c>
      <c r="DV20" s="2137">
        <v>0</v>
      </c>
      <c r="DW20" s="2579">
        <f t="shared" si="96"/>
        <v>7.2602333333333338E-2</v>
      </c>
      <c r="DX20" s="2579">
        <f t="shared" si="97"/>
        <v>7.2602333333333338E-2</v>
      </c>
      <c r="DY20" s="2579">
        <f t="shared" si="98"/>
        <v>7.2602333333333338E-2</v>
      </c>
      <c r="DZ20" s="2579">
        <f t="shared" si="99"/>
        <v>7.2602333333333338E-2</v>
      </c>
      <c r="EA20" s="2579">
        <f t="shared" si="100"/>
        <v>0</v>
      </c>
      <c r="EB20" s="2579">
        <f t="shared" si="101"/>
        <v>0</v>
      </c>
      <c r="EC20" s="2579">
        <f t="shared" si="102"/>
        <v>0</v>
      </c>
      <c r="ED20" s="2579">
        <f t="shared" si="103"/>
        <v>0</v>
      </c>
      <c r="EE20" s="2579">
        <f t="shared" si="104"/>
        <v>0.05</v>
      </c>
      <c r="EF20" s="2579">
        <f>+IF(DM20=24,0,$EE$4)</f>
        <v>0.05</v>
      </c>
      <c r="EG20" s="2579">
        <f t="shared" si="106"/>
        <v>0.05</v>
      </c>
      <c r="EH20" s="2579">
        <f t="shared" si="127"/>
        <v>0.05</v>
      </c>
      <c r="EI20" s="2579">
        <f t="shared" si="108"/>
        <v>4.1666666666666666E-3</v>
      </c>
      <c r="EJ20" s="2579">
        <f t="shared" si="109"/>
        <v>4.1666666666666666E-3</v>
      </c>
      <c r="EK20" s="2579">
        <f t="shared" si="110"/>
        <v>4.1666666666666666E-3</v>
      </c>
      <c r="EL20" s="2581">
        <f t="shared" si="111"/>
        <v>4.1666666666666666E-3</v>
      </c>
      <c r="EM20" s="3341">
        <f t="shared" si="112"/>
        <v>4.1666666666666666E-3</v>
      </c>
      <c r="EN20" s="3341">
        <f t="shared" si="113"/>
        <v>4.1666666666666666E-3</v>
      </c>
      <c r="EO20" s="3341">
        <f t="shared" si="114"/>
        <v>4.1666666666666666E-3</v>
      </c>
      <c r="EP20" s="3341">
        <f t="shared" si="115"/>
        <v>4.1666666666666666E-3</v>
      </c>
      <c r="EQ20" s="3319">
        <f t="shared" si="116"/>
        <v>1.6666666666666666E-2</v>
      </c>
      <c r="ER20" s="809">
        <f>+'MCP ST'!H14</f>
        <v>1.3652349174001694</v>
      </c>
      <c r="ES20" s="4236">
        <f t="shared" si="117"/>
        <v>0.30707600000000002</v>
      </c>
      <c r="EZ20" s="2154">
        <f>+'Plan mina ST'!AM18</f>
        <v>0.48996020976700227</v>
      </c>
      <c r="FA20" s="2067">
        <f>IF($FC20&lt;=Factores!$D$3,AX20,"")</f>
        <v>3.9894578588539171</v>
      </c>
      <c r="FB20" s="2076"/>
      <c r="FC20" s="2065">
        <f t="shared" si="13"/>
        <v>46094.791666666664</v>
      </c>
      <c r="FD20" s="780">
        <f>IF($FC20&lt;=Factores!$D$3,'ST Original'!C20,"")</f>
        <v>220000.5090867368</v>
      </c>
      <c r="FE20" s="782">
        <f>IF($FC20&lt;=Factores!$D$3,'ST Original'!D20,"")</f>
        <v>580788.1867191802</v>
      </c>
      <c r="FF20" s="780">
        <f>IF($FC20&lt;=Factores!$D$3,'ST Original'!E20,"")</f>
        <v>205123.10200279354</v>
      </c>
      <c r="FG20" s="782"/>
      <c r="FH20" s="781">
        <f>IF($FC20&lt;=Factores!$D$3,'ST Original'!J20,"")</f>
        <v>97.885672723806138</v>
      </c>
      <c r="FI20" s="781">
        <f>IF($FC20&lt;=Factores!$D$3,'ST Original'!BT20,"")</f>
        <v>8737.4741147671793</v>
      </c>
      <c r="FJ20" s="781">
        <f>IF($FC20&lt;=Factores!$D$3,'ST Original'!K20,"")</f>
        <v>48.99602097670023</v>
      </c>
      <c r="FK20" s="2066">
        <f>IF($FC20&lt;=Factores!$D$3,'ST Original'!L20,"")</f>
        <v>0.50894157569520238</v>
      </c>
      <c r="FL20" s="781">
        <f>IF($FC20&lt;=Factores!$D$3,'ST Original'!M20,"")</f>
        <v>89.618075972381988</v>
      </c>
      <c r="FM20" s="781">
        <f>IF($FC20&lt;=Factores!$D$3,'ST Original'!N20,"")</f>
        <v>27.48949315042346</v>
      </c>
      <c r="FN20" s="780">
        <f>IF($FC20&lt;=Factores!$D$3,'ST Original'!O20,"")</f>
        <v>3403.3874176114095</v>
      </c>
      <c r="FO20" s="539">
        <f>IF($FC20&lt;=Factores!$D$3,'ST Original'!R20,"")</f>
        <v>39001.508802873657</v>
      </c>
      <c r="FP20" s="780">
        <f>IF($FC20&lt;=Factores!$D$3,'ST Original'!S20,"")</f>
        <v>935.57395104666227</v>
      </c>
      <c r="FQ20" s="782">
        <f>IF($FC20&lt;=Factores!$D$3,'ST Original'!V20,"")</f>
        <v>9967.4533607695939</v>
      </c>
      <c r="FR20" s="780">
        <f>IF($FC20&lt;=Factores!$D$3,'ST Original'!W20,"")</f>
        <v>149.61943491805948</v>
      </c>
      <c r="FS20" s="819">
        <f>IF($FC20&lt;=Factores!$D$3,'ST Original'!X20,"")</f>
        <v>91.020883392106043</v>
      </c>
      <c r="FT20" s="819">
        <f>IF($FC20&lt;=Factores!$D$3,'ST Original'!Y20,"")</f>
        <v>88.543435477527325</v>
      </c>
      <c r="FU20" s="819">
        <f>IF($FC20&lt;=Factores!$D$3,'ST Original'!Z20,"")</f>
        <v>80.593017157364798</v>
      </c>
      <c r="FV20" s="819">
        <f>IF($FC20&lt;=Factores!$D$3,'ST Original'!AA20,"")</f>
        <v>50</v>
      </c>
      <c r="FW20" s="539">
        <f>IF($FC20&lt;=Factores!$D$3,'ST Original'!AB20,"")</f>
        <v>49.468642882762708</v>
      </c>
      <c r="FX20" s="539">
        <f>IF($FC20&lt;=Factores!$D$3,'ST Original'!AC20,"")</f>
        <v>49.468642882762708</v>
      </c>
      <c r="FY20" s="819">
        <f>IF($FC20&lt;=Factores!$D$3,AE20,"")</f>
        <v>24.734321441381354</v>
      </c>
      <c r="FZ20" s="782">
        <f>IF($FC20&lt;=Factores!$D$3,AF20,"")</f>
        <v>319.88550852053925</v>
      </c>
      <c r="GA20" s="539">
        <f>IF($FC20&lt;=Factores!$D$3,AG20,"")</f>
        <v>40</v>
      </c>
      <c r="GB20" s="780">
        <f>IF($FC20&lt;=Factores!$D$3,AI20,"")</f>
        <v>1007.2787489052268</v>
      </c>
      <c r="GC20" s="782">
        <f>IF($FC20&lt;=Factores!$D$3,AJ20,"")</f>
        <v>10894.801449970635</v>
      </c>
      <c r="GD20" s="780">
        <f>IF($FC20&lt;=Factores!$D$3,AN20,"")</f>
        <v>4366</v>
      </c>
      <c r="GE20" s="539">
        <f>IF($FC20&lt;=Factores!$D$3,AO20,"")</f>
        <v>25.346686511879629</v>
      </c>
      <c r="GF20" s="782">
        <f>IF($FC20&lt;=Factores!$D$3,AP20,"")</f>
        <v>1106.6363331086645</v>
      </c>
      <c r="GG20" s="2072">
        <f>IF($FC20&lt;=Factores!$D$3,BI20,"")</f>
        <v>33.625401102141829</v>
      </c>
      <c r="GH20" s="2073">
        <f>IF($FC20&lt;=Factores!$D$3,BJ20,"")</f>
        <v>1513.1430495963823</v>
      </c>
      <c r="GI20" s="2069">
        <f>+'Plan mina ST'!AN55</f>
        <v>99.140004751294441</v>
      </c>
      <c r="GJ20" s="2065">
        <f t="shared" si="14"/>
        <v>46094.791666666664</v>
      </c>
      <c r="GK20" s="2067">
        <f>+'Plan mina ST'!J18</f>
        <v>3.5849377473126422E-2</v>
      </c>
      <c r="GL20" s="818">
        <f t="shared" si="15"/>
        <v>1.5124563344958157</v>
      </c>
      <c r="GM20" s="539">
        <f t="shared" si="118"/>
        <v>5147.4748585097323</v>
      </c>
      <c r="GN20" s="2077">
        <f t="shared" si="119"/>
        <v>46246.948695880987</v>
      </c>
      <c r="GO20" s="818">
        <f>+'Plan mina ST'!K18</f>
        <v>1.2618848340546593</v>
      </c>
      <c r="GP20" s="818">
        <f t="shared" si="16"/>
        <v>60.843318675305987</v>
      </c>
      <c r="GQ20" s="539">
        <f t="shared" si="17"/>
        <v>207073.38522525769</v>
      </c>
      <c r="GR20" s="539">
        <f t="shared" si="120"/>
        <v>1941005.9376869062</v>
      </c>
      <c r="GS20" s="781">
        <f>+'Plan mina ST'!V18</f>
        <v>33.625401102141829</v>
      </c>
      <c r="GT20" s="782">
        <f t="shared" si="18"/>
        <v>1513.1430495963823</v>
      </c>
      <c r="GU20" s="2072">
        <f>IF($FC20&lt;=Factores!$D$3,AT20,"")</f>
        <v>38.471143749007744</v>
      </c>
      <c r="GW20" s="781">
        <f>+'Plan mina ST'!AI18</f>
        <v>1.003785842978322</v>
      </c>
      <c r="GX20" s="2078">
        <v>0.5</v>
      </c>
      <c r="GY20" s="819"/>
      <c r="GZ20" s="2065">
        <f t="shared" si="19"/>
        <v>46094.791666666664</v>
      </c>
      <c r="HA20" s="780" t="str">
        <f>IF($FC20&gt;Factores!$D$3,'ST Original'!C20,"")</f>
        <v/>
      </c>
      <c r="HB20" s="782" t="str">
        <f>IF($FC20&gt;Factores!$D$3,'ST Original'!D20,"")</f>
        <v/>
      </c>
      <c r="HC20" s="780" t="str">
        <f>IF($FC20&gt;Factores!$D$3,'ST Original'!E20,"")</f>
        <v/>
      </c>
      <c r="HD20" s="782"/>
      <c r="HE20" s="781" t="str">
        <f>IF($FC20&gt;Factores!$D$3,'ST Original'!J20,"")</f>
        <v/>
      </c>
      <c r="HF20" s="781" t="str">
        <f>IF($FC20&gt;Factores!$D$3,'ST Original'!BT20,"")</f>
        <v/>
      </c>
      <c r="HG20" s="781" t="str">
        <f>IF($FC20&gt;Factores!$D$3,'ST Original'!K20,"")</f>
        <v/>
      </c>
      <c r="HH20" s="2066" t="str">
        <f>IF($FC20&gt;Factores!$D$3,'ST Original'!L20,"")</f>
        <v/>
      </c>
      <c r="HI20" s="781" t="str">
        <f>IF($FC20&gt;Factores!$D$3,'ST Original'!M20,"")</f>
        <v/>
      </c>
      <c r="HJ20" s="781" t="str">
        <f>IF($FC20&gt;Factores!$D$3,'ST Original'!N20,"")</f>
        <v/>
      </c>
      <c r="HK20" s="780" t="str">
        <f>IF($FC20&gt;Factores!$D$3,'ST Original'!O20,"")</f>
        <v/>
      </c>
      <c r="HL20" s="539" t="str">
        <f>IF($FC20&gt;Factores!$D$3,'ST Original'!R20,"")</f>
        <v/>
      </c>
      <c r="HM20" s="780" t="str">
        <f>IF($FC20&gt;Factores!$D$3,'ST Original'!S20,"")</f>
        <v/>
      </c>
      <c r="HN20" s="782" t="str">
        <f>IF($FC20&gt;Factores!$D$3,'ST Original'!V20,"")</f>
        <v/>
      </c>
      <c r="HO20" s="780" t="str">
        <f>IF($FC20&gt;Factores!$D$3,'ST Original'!W20,"")</f>
        <v/>
      </c>
      <c r="HP20" s="819" t="str">
        <f>IF($FC20&gt;Factores!$D$3,'ST Original'!X20,"")</f>
        <v/>
      </c>
      <c r="HQ20" s="819" t="str">
        <f>IF($FC20&gt;Factores!$D$3,'ST Original'!Y20,"")</f>
        <v/>
      </c>
      <c r="HR20" s="819" t="str">
        <f>IF($FC20&gt;Factores!$D$3,'ST Original'!Z20,"")</f>
        <v/>
      </c>
      <c r="HS20" s="819" t="str">
        <f>IF($FC20&gt;Factores!$D$3,'ST Original'!AA20,"")</f>
        <v/>
      </c>
      <c r="HT20" s="539" t="str">
        <f>IF($FC20&gt;Factores!$D$3,'ST Original'!AB20,"")</f>
        <v/>
      </c>
      <c r="HU20" s="539" t="str">
        <f>IF($FC20&gt;Factores!$D$3,'ST Original'!AC20,"")</f>
        <v/>
      </c>
      <c r="HV20" s="819" t="str">
        <f>IF($FC20&gt;Factores!$D$3,AE20,"")</f>
        <v/>
      </c>
      <c r="HW20" s="782" t="str">
        <f>IF($FC20&gt;Factores!$D$3,AF20,"")</f>
        <v/>
      </c>
      <c r="HX20" s="539" t="str">
        <f>IF($FC20&gt;Factores!$D$3,AG20,"")</f>
        <v/>
      </c>
      <c r="HY20" s="780" t="str">
        <f>IF($FC20&gt;Factores!$D$3,AI20,"")</f>
        <v/>
      </c>
      <c r="HZ20" s="782" t="str">
        <f>IF($FC20&gt;Factores!$D$3,AJ20,"")</f>
        <v/>
      </c>
      <c r="IA20" s="780" t="str">
        <f>IF($FC20&gt;Factores!$D$3,AN20,"")</f>
        <v/>
      </c>
      <c r="IB20" s="539" t="str">
        <f>IF($FC20&gt;Factores!$D$3,AO20,"")</f>
        <v/>
      </c>
      <c r="IC20" s="782" t="str">
        <f>IF($FC20&gt;Factores!$D$3,AP20,"")</f>
        <v/>
      </c>
      <c r="ID20" s="2072" t="str">
        <f>IF($FC20&gt;Factores!$D$3,BI20,"")</f>
        <v/>
      </c>
      <c r="IE20" s="2073" t="str">
        <f>IF($FC20&gt;Factores!$D$3,BJ20,"")</f>
        <v/>
      </c>
      <c r="IF20" s="4237">
        <f t="shared" si="20"/>
        <v>205123.10200279354</v>
      </c>
      <c r="IG20" s="4237">
        <f t="shared" si="124"/>
        <v>2176857.7447517705</v>
      </c>
      <c r="IH20" s="4234">
        <f t="shared" si="121"/>
        <v>0.50894157569520238</v>
      </c>
      <c r="II20" s="342">
        <f>SUMPRODUCT(IH$8:IH20,IF$8:IF20)/IG20</f>
        <v>0.50846741270444085</v>
      </c>
      <c r="IJ20" s="4235">
        <f t="shared" si="122"/>
        <v>89.618075972381988</v>
      </c>
      <c r="IK20" s="342" cm="1">
        <f t="array" ref="IK20">SUMPRODUCT(IJ$8:IJ20,IF$8:IF20/IG20)</f>
        <v>90.042479758528586</v>
      </c>
    </row>
    <row r="21" spans="1:245" s="744" customFormat="1" ht="14.25" customHeight="1" thickBot="1">
      <c r="A21" s="4637"/>
      <c r="B21" s="2142">
        <f t="shared" si="21"/>
        <v>46095.791666666664</v>
      </c>
      <c r="C21" s="2143">
        <f>+'Plan mina ST'!N56*1000</f>
        <v>165088.43244626594</v>
      </c>
      <c r="D21" s="2143">
        <f>+'Plan mina ST'!M56*1000</f>
        <v>554091.71845843247</v>
      </c>
      <c r="E21" s="2143">
        <f>(('Plan mina ST'!O56*1000))</f>
        <v>191784.90070701367</v>
      </c>
      <c r="F21" s="2143">
        <f>+'Plan mina ST'!J56*1000</f>
        <v>40293.550119669788</v>
      </c>
      <c r="G21" s="2143">
        <f t="shared" si="22"/>
        <v>151491.35058734388</v>
      </c>
      <c r="H21" s="2144">
        <f t="shared" si="23"/>
        <v>98.056332111173901</v>
      </c>
      <c r="I21" s="2144">
        <f t="shared" si="24"/>
        <v>97.12989278992228</v>
      </c>
      <c r="J21" s="2144">
        <f t="shared" si="25"/>
        <v>97.885672723806138</v>
      </c>
      <c r="K21" s="2144">
        <f>+'Plan mina ST'!AM19*100</f>
        <v>87.465758445184065</v>
      </c>
      <c r="L21" s="2144">
        <f>'Plan mina ST'!D19</f>
        <v>0.48919387585138341</v>
      </c>
      <c r="M21" s="2144">
        <f>'Plan mina ST'!C19</f>
        <v>90.761989942980776</v>
      </c>
      <c r="N21" s="2145">
        <f>'Plan mina ST'!B19</f>
        <v>29.815510333934824</v>
      </c>
      <c r="O21" s="2143">
        <f t="shared" si="1"/>
        <v>2855.9933074574506</v>
      </c>
      <c r="P21" s="2143">
        <f t="shared" si="2"/>
        <v>2255.9559267708391</v>
      </c>
      <c r="Q21" s="2143">
        <f t="shared" si="3"/>
        <v>600.03738068661096</v>
      </c>
      <c r="R21" s="2143">
        <f t="shared" si="26"/>
        <v>41857.502110331108</v>
      </c>
      <c r="S21" s="2143">
        <f t="shared" si="4"/>
        <v>851.52897972146309</v>
      </c>
      <c r="T21" s="2143">
        <f t="shared" si="5"/>
        <v>672.62477247537458</v>
      </c>
      <c r="U21" s="2143">
        <f t="shared" si="6"/>
        <v>178.90420724608833</v>
      </c>
      <c r="V21" s="2143">
        <f t="shared" si="27"/>
        <v>10818.982340491057</v>
      </c>
      <c r="W21" s="2143">
        <f>+'Plan mina ST'!E19</f>
        <v>213.14420892543211</v>
      </c>
      <c r="X21" s="2144">
        <f t="shared" si="28"/>
        <v>92.26167181294619</v>
      </c>
      <c r="Y21" s="2144">
        <f t="shared" si="29"/>
        <v>89.546066693557435</v>
      </c>
      <c r="Z21" s="2144">
        <f t="shared" si="30"/>
        <v>82.616698174211876</v>
      </c>
      <c r="AA21" s="2145">
        <v>50</v>
      </c>
      <c r="AB21" s="2143">
        <f t="shared" si="7"/>
        <v>67.54384494739449</v>
      </c>
      <c r="AC21" s="2143">
        <f t="shared" si="31"/>
        <v>67.54384494739449</v>
      </c>
      <c r="AD21" s="2143">
        <f t="shared" si="32"/>
        <v>80</v>
      </c>
      <c r="AE21" s="2143">
        <f t="shared" si="8"/>
        <v>33.771922473697245</v>
      </c>
      <c r="AF21" s="2143">
        <f t="shared" si="33"/>
        <v>353.65743099423651</v>
      </c>
      <c r="AG21" s="2143">
        <v>40</v>
      </c>
      <c r="AH21" s="2143">
        <f t="shared" si="34"/>
        <v>303.65743099423651</v>
      </c>
      <c r="AI21" s="2143">
        <f t="shared" si="9"/>
        <v>949.43378297271136</v>
      </c>
      <c r="AJ21" s="2143">
        <f t="shared" si="35"/>
        <v>11844.235232943347</v>
      </c>
      <c r="AK21" s="3903">
        <f>'Envíos STC 2800'!G17</f>
        <v>4366</v>
      </c>
      <c r="AL21" s="2145">
        <f t="shared" si="126"/>
        <v>27.48949315042346</v>
      </c>
      <c r="AM21" s="2143">
        <f t="shared" si="10"/>
        <v>1200.1912709474882</v>
      </c>
      <c r="AN21" s="2143">
        <f t="shared" si="123"/>
        <v>4366</v>
      </c>
      <c r="AO21" s="2145">
        <f t="shared" si="36"/>
        <v>25.079636186181251</v>
      </c>
      <c r="AP21" s="2143">
        <f t="shared" si="37"/>
        <v>1094.9769158886734</v>
      </c>
      <c r="AQ21" s="2143">
        <f>+AZ21</f>
        <v>2.4935969228391999</v>
      </c>
      <c r="AR21" s="2143">
        <f t="shared" si="38"/>
        <v>3820.5577484710525</v>
      </c>
      <c r="AS21" s="2143">
        <f t="shared" si="39"/>
        <v>-1510.0066925425494</v>
      </c>
      <c r="AT21" s="2145">
        <f>+'Recalculos ST'!E22</f>
        <v>37.239356535075302</v>
      </c>
      <c r="AU21" s="2143">
        <f>+'MCP ST'!V15</f>
        <v>91.63921598331099</v>
      </c>
      <c r="AV21" s="3973">
        <f>+Factores!$D$24</f>
        <v>0.96199999999999997</v>
      </c>
      <c r="AW21" s="2143">
        <f t="shared" si="40"/>
        <v>1053.3677930849037</v>
      </c>
      <c r="AX21" s="3908">
        <f>'Plan mina ST'!AK19/25.4</f>
        <v>4.3229710004386748</v>
      </c>
      <c r="AY21" s="2719">
        <f>+'Recalculos ST'!AK22</f>
        <v>184.96163306094965</v>
      </c>
      <c r="AZ21" s="2147">
        <f>'Plan mina ST'!O19*BA21/1000000*0.79</f>
        <v>2.4935969228391999</v>
      </c>
      <c r="BA21" s="2146">
        <f t="shared" si="41"/>
        <v>7991.037529458903</v>
      </c>
      <c r="BB21" s="2147">
        <f>'Plan mina ST'!O19*'ST Original'!BT21/1000000*0.8</f>
        <v>2.581497550644456</v>
      </c>
      <c r="BC21" s="4641"/>
      <c r="BD21" s="2165">
        <f t="shared" si="12"/>
        <v>46095.791666666664</v>
      </c>
      <c r="BE21" s="2149">
        <f>'Plan mina ST'!J19</f>
        <v>5.3884202316277829E-2</v>
      </c>
      <c r="BF21" s="2150">
        <f t="shared" si="42"/>
        <v>1.8644797908473516</v>
      </c>
      <c r="BG21" s="2151">
        <f>'Plan mina ST'!K19</f>
        <v>1.755096225188721</v>
      </c>
      <c r="BH21" s="2150">
        <f t="shared" si="43"/>
        <v>60.729143277459343</v>
      </c>
      <c r="BI21" s="2151">
        <f>'Plan mina ST'!V19</f>
        <v>27.759645092424382</v>
      </c>
      <c r="BJ21" s="2152">
        <f t="shared" si="44"/>
        <v>1249.1840291590972</v>
      </c>
      <c r="BK21" s="3395">
        <f>'Plan mina ST'!AI19</f>
        <v>1.7379426220237728</v>
      </c>
      <c r="BL21" s="3401">
        <f>'Recalculos ST'!T22</f>
        <v>6.1551635546159416</v>
      </c>
      <c r="BM21" s="3392">
        <f t="shared" si="45"/>
        <v>12.952999339812681</v>
      </c>
      <c r="BN21" s="3392">
        <f t="shared" si="46"/>
        <v>12.952999339812681</v>
      </c>
      <c r="BO21" s="3392">
        <f t="shared" si="47"/>
        <v>12.952999339812681</v>
      </c>
      <c r="BP21" s="3392">
        <f t="shared" si="48"/>
        <v>38.858998019438047</v>
      </c>
      <c r="BQ21" s="3402">
        <f t="shared" si="49"/>
        <v>14.469959964817024</v>
      </c>
      <c r="BR21" s="3397">
        <f t="shared" si="50"/>
        <v>6437.2585348689609</v>
      </c>
      <c r="BS21" s="2137">
        <f t="shared" si="51"/>
        <v>1728.8080933338535</v>
      </c>
      <c r="BT21" s="3344">
        <f t="shared" si="52"/>
        <v>8169.31681107233</v>
      </c>
      <c r="BU21" s="3345">
        <f t="shared" si="53"/>
        <v>2146.1254361778788</v>
      </c>
      <c r="BV21" s="3345">
        <f t="shared" si="54"/>
        <v>2146.1254361778788</v>
      </c>
      <c r="BW21" s="3345">
        <f t="shared" si="55"/>
        <v>2146.1254361778788</v>
      </c>
      <c r="BX21" s="3346">
        <f t="shared" si="56"/>
        <v>98.056332111173916</v>
      </c>
      <c r="BY21" s="3346">
        <f t="shared" si="57"/>
        <v>98.056332111173916</v>
      </c>
      <c r="BZ21" s="3346">
        <f t="shared" si="58"/>
        <v>98.056332111173916</v>
      </c>
      <c r="CA21" s="3346">
        <f t="shared" si="59"/>
        <v>97.12989278992228</v>
      </c>
      <c r="CB21" s="3346">
        <f t="shared" si="60"/>
        <v>97.885715079916608</v>
      </c>
      <c r="CC21" s="3623">
        <f t="shared" si="61"/>
        <v>98.056332111173901</v>
      </c>
      <c r="CD21" s="3348">
        <f t="shared" si="62"/>
        <v>98.886834920573264</v>
      </c>
      <c r="CE21" s="3348">
        <f t="shared" si="63"/>
        <v>98.886834920573264</v>
      </c>
      <c r="CF21" s="3348">
        <f t="shared" si="64"/>
        <v>98.886834920573264</v>
      </c>
      <c r="CG21" s="3348">
        <f t="shared" si="65"/>
        <v>98.356250499976611</v>
      </c>
      <c r="CH21" s="3346">
        <f t="shared" si="66"/>
        <v>98.789120222376653</v>
      </c>
      <c r="CI21" s="3347">
        <f t="shared" si="67"/>
        <v>26.877795450599066</v>
      </c>
      <c r="CJ21" s="3359">
        <f t="shared" si="68"/>
        <v>6.4495510000000005</v>
      </c>
      <c r="CK21" s="3360">
        <f t="shared" si="69"/>
        <v>6.4495510000000005</v>
      </c>
      <c r="CL21" s="3360">
        <f t="shared" si="70"/>
        <v>6.4495510000000005</v>
      </c>
      <c r="CM21" s="3361">
        <f t="shared" si="71"/>
        <v>4.3442710000000009</v>
      </c>
      <c r="CN21" s="3361">
        <f t="shared" si="72"/>
        <v>23.692924000000001</v>
      </c>
      <c r="CO21" s="3359">
        <f t="shared" si="73"/>
        <v>6.3953843333333333</v>
      </c>
      <c r="CP21" s="3360">
        <f t="shared" si="74"/>
        <v>6.3953843333333333</v>
      </c>
      <c r="CQ21" s="3360">
        <f t="shared" si="75"/>
        <v>6.3953843333333333</v>
      </c>
      <c r="CR21" s="3361">
        <f t="shared" si="76"/>
        <v>4.2901043333333337</v>
      </c>
      <c r="CS21" s="3361">
        <f t="shared" si="77"/>
        <v>23.476257333333333</v>
      </c>
      <c r="CT21" s="3362">
        <f t="shared" si="78"/>
        <v>6.5217878333333337</v>
      </c>
      <c r="CU21" s="2166">
        <f t="shared" si="79"/>
        <v>6.5217878333333337</v>
      </c>
      <c r="CV21" s="2166">
        <f t="shared" si="80"/>
        <v>6.5217878333333337</v>
      </c>
      <c r="CW21" s="3363">
        <f t="shared" si="81"/>
        <v>4.4179698333333342</v>
      </c>
      <c r="CX21" s="3359">
        <f t="shared" si="82"/>
        <v>0</v>
      </c>
      <c r="CY21" s="3360">
        <f t="shared" si="83"/>
        <v>0</v>
      </c>
      <c r="CZ21" s="3360">
        <f t="shared" si="84"/>
        <v>0</v>
      </c>
      <c r="DA21" s="3361">
        <f t="shared" si="85"/>
        <v>0</v>
      </c>
      <c r="DB21" s="3359">
        <f t="shared" si="86"/>
        <v>7.2602333333333338E-2</v>
      </c>
      <c r="DC21" s="3360">
        <f t="shared" si="87"/>
        <v>7.2602333333333338E-2</v>
      </c>
      <c r="DD21" s="3360">
        <f t="shared" si="88"/>
        <v>7.2602333333333338E-2</v>
      </c>
      <c r="DE21" s="3361">
        <f t="shared" si="89"/>
        <v>7.2602333333333338E-2</v>
      </c>
      <c r="DF21" s="3361">
        <f t="shared" si="90"/>
        <v>0.29040933333333335</v>
      </c>
      <c r="DG21" s="3359">
        <f t="shared" si="91"/>
        <v>0.12676900000000002</v>
      </c>
      <c r="DH21" s="3360">
        <f t="shared" si="92"/>
        <v>0.12676900000000002</v>
      </c>
      <c r="DI21" s="3360">
        <f t="shared" si="93"/>
        <v>0.12676900000000002</v>
      </c>
      <c r="DJ21" s="3361">
        <f t="shared" si="94"/>
        <v>0.12676900000000002</v>
      </c>
      <c r="DK21" s="3361">
        <f t="shared" si="95"/>
        <v>0.50707600000000008</v>
      </c>
      <c r="DL21" s="2146">
        <v>0</v>
      </c>
      <c r="DM21" s="2146">
        <v>0</v>
      </c>
      <c r="DN21" s="2146">
        <v>0</v>
      </c>
      <c r="DO21" s="2146">
        <v>0</v>
      </c>
      <c r="DP21" s="2146">
        <v>0</v>
      </c>
      <c r="DQ21" s="2146">
        <v>0</v>
      </c>
      <c r="DR21" s="2146">
        <v>0</v>
      </c>
      <c r="DS21" s="2146">
        <v>0</v>
      </c>
      <c r="DT21" s="2146">
        <v>0</v>
      </c>
      <c r="DU21" s="2146">
        <v>0</v>
      </c>
      <c r="DV21" s="2146">
        <v>0</v>
      </c>
      <c r="DW21" s="2582">
        <f t="shared" si="96"/>
        <v>7.2602333333333338E-2</v>
      </c>
      <c r="DX21" s="2582">
        <f t="shared" si="97"/>
        <v>7.2602333333333338E-2</v>
      </c>
      <c r="DY21" s="2579">
        <f t="shared" si="98"/>
        <v>7.2602333333333338E-2</v>
      </c>
      <c r="DZ21" s="2579">
        <f t="shared" si="99"/>
        <v>7.2602333333333338E-2</v>
      </c>
      <c r="EA21" s="2579">
        <f t="shared" si="100"/>
        <v>0</v>
      </c>
      <c r="EB21" s="2579">
        <f t="shared" si="101"/>
        <v>0</v>
      </c>
      <c r="EC21" s="2579">
        <f t="shared" si="102"/>
        <v>0</v>
      </c>
      <c r="ED21" s="2579">
        <f t="shared" si="103"/>
        <v>0</v>
      </c>
      <c r="EE21" s="2579">
        <f t="shared" si="104"/>
        <v>0.05</v>
      </c>
      <c r="EF21" s="2579">
        <f t="shared" si="105"/>
        <v>0.05</v>
      </c>
      <c r="EG21" s="2579">
        <f t="shared" si="106"/>
        <v>0.05</v>
      </c>
      <c r="EH21" s="2579">
        <f t="shared" si="127"/>
        <v>0.05</v>
      </c>
      <c r="EI21" s="2579">
        <f t="shared" si="108"/>
        <v>4.1666666666666666E-3</v>
      </c>
      <c r="EJ21" s="2579">
        <f t="shared" si="109"/>
        <v>4.1666666666666666E-3</v>
      </c>
      <c r="EK21" s="2579">
        <f t="shared" si="110"/>
        <v>4.1666666666666666E-3</v>
      </c>
      <c r="EL21" s="2581">
        <f t="shared" si="111"/>
        <v>4.1666666666666666E-3</v>
      </c>
      <c r="EM21" s="3341">
        <f t="shared" ref="EM21:EM35" si="129">+IF(DL21=24,0,$EM$4)</f>
        <v>4.1666666666666666E-3</v>
      </c>
      <c r="EN21" s="3341">
        <f t="shared" ref="EN21:EN35" si="130">+IF(DM21=24,0,$EM$4)</f>
        <v>4.1666666666666666E-3</v>
      </c>
      <c r="EO21" s="3341">
        <f t="shared" ref="EO21:EO35" si="131">+IF(DN21=24,0,$EM$4)</f>
        <v>4.1666666666666666E-3</v>
      </c>
      <c r="EP21" s="3341">
        <f t="shared" ref="EP21:EP35" si="132">+IF(DO21=24,0,$EM$4)</f>
        <v>4.1666666666666666E-3</v>
      </c>
      <c r="EQ21" s="3319">
        <f t="shared" si="116"/>
        <v>1.6666666666666666E-2</v>
      </c>
      <c r="ER21" s="809">
        <f>+'MCP ST'!H15</f>
        <v>1.2376486941247007</v>
      </c>
      <c r="ES21" s="4236">
        <f t="shared" si="117"/>
        <v>0.30707600000000002</v>
      </c>
      <c r="EZ21" s="2154">
        <f>+'Plan mina ST'!AM19</f>
        <v>0.87465758445184072</v>
      </c>
      <c r="FA21" s="2080">
        <f>IF($FC21&lt;=Factores!$D$3,AX21,"")</f>
        <v>4.3229710004386748</v>
      </c>
      <c r="FB21" s="2083"/>
      <c r="FC21" s="2079">
        <f t="shared" si="13"/>
        <v>46095.791666666664</v>
      </c>
      <c r="FD21" s="787">
        <f>IF($FC21&lt;=Factores!$D$3,'ST Original'!C21,"")</f>
        <v>165088.43244626594</v>
      </c>
      <c r="FE21" s="789">
        <f>IF($FC21&lt;=Factores!$D$3,'ST Original'!D21,"")</f>
        <v>554091.71845843247</v>
      </c>
      <c r="FF21" s="787">
        <f>IF($FC21&lt;=Factores!$D$3,'ST Original'!E21,"")</f>
        <v>191784.90070701367</v>
      </c>
      <c r="FG21" s="789"/>
      <c r="FH21" s="2064">
        <f>IF($FC21&lt;=Factores!$D$3,'ST Original'!J21,"")</f>
        <v>97.885672723806138</v>
      </c>
      <c r="FI21" s="2082">
        <f>IF($FC21&lt;=Factores!$D$3,'ST Original'!BT21,"")</f>
        <v>8169.31681107233</v>
      </c>
      <c r="FJ21" s="2082">
        <f>IF($FC21&lt;=Factores!$D$3,'ST Original'!K21,"")</f>
        <v>87.465758445184065</v>
      </c>
      <c r="FK21" s="2081">
        <f>IF($FC21&lt;=Factores!$D$3,'ST Original'!L21,"")</f>
        <v>0.48919387585138341</v>
      </c>
      <c r="FL21" s="2082">
        <f>IF($FC21&lt;=Factores!$D$3,'ST Original'!M21,"")</f>
        <v>90.761989942980776</v>
      </c>
      <c r="FM21" s="2082">
        <f>IF($FC21&lt;=Factores!$D$3,'ST Original'!N21,"")</f>
        <v>29.815510333934824</v>
      </c>
      <c r="FN21" s="787">
        <f>IF($FC21&lt;=Factores!$D$3,'ST Original'!O21,"")</f>
        <v>2855.9933074574506</v>
      </c>
      <c r="FO21" s="788">
        <f>IF($FC21&lt;=Factores!$D$3,'ST Original'!R21,"")</f>
        <v>41857.502110331108</v>
      </c>
      <c r="FP21" s="787">
        <f>IF($FC21&lt;=Factores!$D$3,'ST Original'!S21,"")</f>
        <v>851.52897972146309</v>
      </c>
      <c r="FQ21" s="789">
        <f>IF($FC21&lt;=Factores!$D$3,'ST Original'!V21,"")</f>
        <v>10818.982340491057</v>
      </c>
      <c r="FR21" s="787">
        <f>IF($FC21&lt;=Factores!$D$3,'ST Original'!W21,"")</f>
        <v>213.14420892543211</v>
      </c>
      <c r="FS21" s="827">
        <f>IF($FC21&lt;=Factores!$D$3,'ST Original'!X21,"")</f>
        <v>92.26167181294619</v>
      </c>
      <c r="FT21" s="827">
        <f>IF($FC21&lt;=Factores!$D$3,'ST Original'!Y21,"")</f>
        <v>89.546066693557435</v>
      </c>
      <c r="FU21" s="827">
        <f>IF($FC21&lt;=Factores!$D$3,'ST Original'!Z21,"")</f>
        <v>82.616698174211876</v>
      </c>
      <c r="FV21" s="827">
        <f>IF($FC21&lt;=Factores!$D$3,'ST Original'!AA21,"")</f>
        <v>50</v>
      </c>
      <c r="FW21" s="788">
        <f>IF($FC21&lt;=Factores!$D$3,'ST Original'!AB21,"")</f>
        <v>67.54384494739449</v>
      </c>
      <c r="FX21" s="788">
        <f>IF($FC21&lt;=Factores!$D$3,'ST Original'!AC21,"")</f>
        <v>67.54384494739449</v>
      </c>
      <c r="FY21" s="827">
        <f>IF($FC21&lt;=Factores!$D$3,AE21,"")</f>
        <v>33.771922473697245</v>
      </c>
      <c r="FZ21" s="789">
        <f>IF($FC21&lt;=Factores!$D$3,AF21,"")</f>
        <v>353.65743099423651</v>
      </c>
      <c r="GA21" s="788">
        <f>IF($FC21&lt;=Factores!$D$3,AG21,"")</f>
        <v>40</v>
      </c>
      <c r="GB21" s="787">
        <f>IF($FC21&lt;=Factores!$D$3,AI21,"")</f>
        <v>949.43378297271136</v>
      </c>
      <c r="GC21" s="789">
        <f>IF($FC21&lt;=Factores!$D$3,AJ21,"")</f>
        <v>11844.235232943347</v>
      </c>
      <c r="GD21" s="787">
        <f>IF($FC21&lt;=Factores!$D$3,AN21,"")</f>
        <v>4366</v>
      </c>
      <c r="GE21" s="788">
        <f>IF($FC21&lt;=Factores!$D$3,AO21,"")</f>
        <v>25.079636186181251</v>
      </c>
      <c r="GF21" s="789">
        <f>IF($FC21&lt;=Factores!$D$3,AP21,"")</f>
        <v>1094.9769158886734</v>
      </c>
      <c r="GG21" s="2072">
        <f>IF($FC21&lt;=Factores!$D$3,BI21,"")</f>
        <v>27.759645092424382</v>
      </c>
      <c r="GH21" s="2073">
        <f>IF($FC21&lt;=Factores!$D$3,BJ21,"")</f>
        <v>1249.1840291590972</v>
      </c>
      <c r="GI21" s="2069">
        <f>+'Plan mina ST'!AN56</f>
        <v>60.122944846704854</v>
      </c>
      <c r="GJ21" s="2065">
        <f t="shared" si="14"/>
        <v>46095.791666666664</v>
      </c>
      <c r="GK21" s="2080">
        <f>+'Plan mina ST'!J19</f>
        <v>5.3884202316277829E-2</v>
      </c>
      <c r="GL21" s="826">
        <f t="shared" si="15"/>
        <v>2.5328923057150958</v>
      </c>
      <c r="GM21" s="788">
        <f t="shared" si="118"/>
        <v>7233.9234736327844</v>
      </c>
      <c r="GN21" s="2084">
        <f t="shared" si="119"/>
        <v>53480.872169513772</v>
      </c>
      <c r="GO21" s="826">
        <f>+'Plan mina ST'!K19</f>
        <v>1.755096225188721</v>
      </c>
      <c r="GP21" s="826">
        <f t="shared" si="16"/>
        <v>94.286202814314706</v>
      </c>
      <c r="GQ21" s="788">
        <f t="shared" si="17"/>
        <v>269280.76422325865</v>
      </c>
      <c r="GR21" s="788">
        <f t="shared" si="120"/>
        <v>2210286.7019101647</v>
      </c>
      <c r="GS21" s="2082">
        <f>+'Plan mina ST'!V19</f>
        <v>27.759645092424382</v>
      </c>
      <c r="GT21" s="789">
        <f t="shared" si="18"/>
        <v>1249.1840291590972</v>
      </c>
      <c r="GU21" s="2072">
        <f>IF($FC21&lt;=Factores!$D$3,AT21,"")</f>
        <v>37.239356535075302</v>
      </c>
      <c r="GW21" s="2082">
        <f>+'Plan mina ST'!AI19</f>
        <v>1.7379426220237728</v>
      </c>
      <c r="GX21" s="2085">
        <v>0.5</v>
      </c>
      <c r="GY21" s="819"/>
      <c r="GZ21" s="2079">
        <f t="shared" si="19"/>
        <v>46095.791666666664</v>
      </c>
      <c r="HA21" s="787" t="str">
        <f>IF($FC21&gt;Factores!$D$3,'ST Original'!C21,"")</f>
        <v/>
      </c>
      <c r="HB21" s="789" t="str">
        <f>IF($FC21&gt;Factores!$D$3,'ST Original'!D21,"")</f>
        <v/>
      </c>
      <c r="HC21" s="787" t="str">
        <f>IF($FC21&gt;Factores!$D$3,'ST Original'!E21,"")</f>
        <v/>
      </c>
      <c r="HD21" s="789"/>
      <c r="HE21" s="2064" t="str">
        <f>IF($FC21&gt;Factores!$D$3,'ST Original'!J21,"")</f>
        <v/>
      </c>
      <c r="HF21" s="2082" t="str">
        <f>IF($FC21&gt;Factores!$D$3,'ST Original'!BT21,"")</f>
        <v/>
      </c>
      <c r="HG21" s="2082" t="str">
        <f>IF($FC21&gt;Factores!$D$3,'ST Original'!K21,"")</f>
        <v/>
      </c>
      <c r="HH21" s="2081" t="str">
        <f>IF($FC21&gt;Factores!$D$3,'ST Original'!L21,"")</f>
        <v/>
      </c>
      <c r="HI21" s="2082" t="str">
        <f>IF($FC21&gt;Factores!$D$3,'ST Original'!M21,"")</f>
        <v/>
      </c>
      <c r="HJ21" s="2082" t="str">
        <f>IF($FC21&gt;Factores!$D$3,'ST Original'!N21,"")</f>
        <v/>
      </c>
      <c r="HK21" s="787" t="str">
        <f>IF($FC21&gt;Factores!$D$3,'ST Original'!O21,"")</f>
        <v/>
      </c>
      <c r="HL21" s="788" t="str">
        <f>IF($FC21&gt;Factores!$D$3,'ST Original'!R21,"")</f>
        <v/>
      </c>
      <c r="HM21" s="787" t="str">
        <f>IF($FC21&gt;Factores!$D$3,'ST Original'!S21,"")</f>
        <v/>
      </c>
      <c r="HN21" s="789" t="str">
        <f>IF($FC21&gt;Factores!$D$3,'ST Original'!V21,"")</f>
        <v/>
      </c>
      <c r="HO21" s="787" t="str">
        <f>IF($FC21&gt;Factores!$D$3,'ST Original'!W21,"")</f>
        <v/>
      </c>
      <c r="HP21" s="827" t="str">
        <f>IF($FC21&gt;Factores!$D$3,'ST Original'!X21,"")</f>
        <v/>
      </c>
      <c r="HQ21" s="827" t="str">
        <f>IF($FC21&gt;Factores!$D$3,'ST Original'!Y21,"")</f>
        <v/>
      </c>
      <c r="HR21" s="827" t="str">
        <f>IF($FC21&gt;Factores!$D$3,'ST Original'!Z21,"")</f>
        <v/>
      </c>
      <c r="HS21" s="827" t="str">
        <f>IF($FC21&gt;Factores!$D$3,'ST Original'!AA21,"")</f>
        <v/>
      </c>
      <c r="HT21" s="788" t="str">
        <f>IF($FC21&gt;Factores!$D$3,'ST Original'!AB21,"")</f>
        <v/>
      </c>
      <c r="HU21" s="788" t="str">
        <f>IF($FC21&gt;Factores!$D$3,'ST Original'!AC21,"")</f>
        <v/>
      </c>
      <c r="HV21" s="827" t="str">
        <f>IF($FC21&gt;Factores!$D$3,AE21,"")</f>
        <v/>
      </c>
      <c r="HW21" s="789" t="str">
        <f>IF($FC21&gt;Factores!$D$3,AF21,"")</f>
        <v/>
      </c>
      <c r="HX21" s="788" t="str">
        <f>IF($FC21&gt;Factores!$D$3,AG21,"")</f>
        <v/>
      </c>
      <c r="HY21" s="787" t="str">
        <f>IF($FC21&gt;Factores!$D$3,AI21,"")</f>
        <v/>
      </c>
      <c r="HZ21" s="789" t="str">
        <f>IF($FC21&gt;Factores!$D$3,AJ21,"")</f>
        <v/>
      </c>
      <c r="IA21" s="787" t="str">
        <f>IF($FC21&gt;Factores!$D$3,AN21,"")</f>
        <v/>
      </c>
      <c r="IB21" s="788" t="str">
        <f>IF($FC21&gt;Factores!$D$3,AO21,"")</f>
        <v/>
      </c>
      <c r="IC21" s="789" t="str">
        <f>IF($FC21&gt;Factores!$D$3,AP21,"")</f>
        <v/>
      </c>
      <c r="ID21" s="2072" t="str">
        <f>IF($FC21&gt;Factores!$D$3,BI21,"")</f>
        <v/>
      </c>
      <c r="IE21" s="2073" t="str">
        <f>IF($FC21&gt;Factores!$D$3,BJ21,"")</f>
        <v/>
      </c>
      <c r="IF21" s="4237">
        <f t="shared" si="20"/>
        <v>191784.90070701367</v>
      </c>
      <c r="IG21" s="4237">
        <f t="shared" si="124"/>
        <v>2368642.645458784</v>
      </c>
      <c r="IH21" s="4234">
        <f t="shared" si="121"/>
        <v>0.48919387585138341</v>
      </c>
      <c r="II21" s="342">
        <f>SUMPRODUCT(IH$8:IH21,IF$8:IF21)/IG21</f>
        <v>0.50690686774054639</v>
      </c>
      <c r="IJ21" s="4235">
        <f t="shared" si="122"/>
        <v>90.761989942980776</v>
      </c>
      <c r="IK21" s="342" cm="1">
        <f t="array" ref="IK21">SUMPRODUCT(IJ$8:IJ21,IF$8:IF21/IG21)</f>
        <v>90.100737254460867</v>
      </c>
    </row>
    <row r="22" spans="1:245" s="744" customFormat="1" ht="14.25" customHeight="1">
      <c r="A22" s="4635" t="s">
        <v>328</v>
      </c>
      <c r="B22" s="2359">
        <f t="shared" si="21"/>
        <v>46096.791666666664</v>
      </c>
      <c r="C22" s="2360">
        <f>+'Plan mina ST'!N57*1000</f>
        <v>197270.98487997908</v>
      </c>
      <c r="D22" s="2360">
        <f>+'Plan mina ST'!M57*1000</f>
        <v>561824.854949728</v>
      </c>
      <c r="E22" s="2134">
        <f>(('Plan mina ST'!O57*1000))</f>
        <v>189537.84838868357</v>
      </c>
      <c r="F22" s="2360">
        <f>+'Plan mina ST'!J57*1000</f>
        <v>39838.532101275188</v>
      </c>
      <c r="G22" s="2360">
        <f t="shared" si="22"/>
        <v>149699.31628740838</v>
      </c>
      <c r="H22" s="2361">
        <f t="shared" si="23"/>
        <v>98.056332111173901</v>
      </c>
      <c r="I22" s="2361">
        <f t="shared" si="24"/>
        <v>97.12989278992228</v>
      </c>
      <c r="J22" s="2361">
        <f t="shared" si="25"/>
        <v>97.885672723806138</v>
      </c>
      <c r="K22" s="2361">
        <f>+'Plan mina ST'!AM20*100</f>
        <v>91.295787183632612</v>
      </c>
      <c r="L22" s="2361">
        <f>'Plan mina ST'!D20</f>
        <v>0.49273891077590615</v>
      </c>
      <c r="M22" s="2361">
        <f>'Plan mina ST'!C20</f>
        <v>90.760266518740806</v>
      </c>
      <c r="N22" s="2362">
        <f>'Plan mina ST'!B20</f>
        <v>30.189318413634609</v>
      </c>
      <c r="O22" s="2360">
        <f t="shared" si="1"/>
        <v>2807.7294668069771</v>
      </c>
      <c r="P22" s="2360">
        <f t="shared" si="2"/>
        <v>2217.5791541068752</v>
      </c>
      <c r="Q22" s="2360">
        <f t="shared" si="3"/>
        <v>590.15031270010138</v>
      </c>
      <c r="R22" s="2360">
        <f t="shared" si="26"/>
        <v>44665.231577138082</v>
      </c>
      <c r="S22" s="2360">
        <f t="shared" si="4"/>
        <v>847.63438892780357</v>
      </c>
      <c r="T22" s="2360">
        <f t="shared" si="5"/>
        <v>669.47203190770949</v>
      </c>
      <c r="U22" s="2360">
        <f t="shared" si="6"/>
        <v>178.16235702009396</v>
      </c>
      <c r="V22" s="2360">
        <f t="shared" si="27"/>
        <v>11666.61672941886</v>
      </c>
      <c r="W22" s="2360">
        <f>+'Plan mina ST'!E20</f>
        <v>275.79728692083603</v>
      </c>
      <c r="X22" s="2361">
        <f t="shared" si="28"/>
        <v>93.165235345256804</v>
      </c>
      <c r="Y22" s="3932">
        <f>(IF(W22&gt;0,$Y$2*LN(W22)+$Y$3,$Y$2*LN(W22)+$Y$3))*$Z$2</f>
        <v>87.567914039758321</v>
      </c>
      <c r="Z22" s="2361">
        <f t="shared" si="30"/>
        <v>81.582853202073011</v>
      </c>
      <c r="AA22" s="2362">
        <v>50</v>
      </c>
      <c r="AB22" s="2360">
        <f t="shared" si="7"/>
        <v>85.293281103751156</v>
      </c>
      <c r="AC22" s="2360">
        <f t="shared" si="31"/>
        <v>85.293281103751156</v>
      </c>
      <c r="AD22" s="2360">
        <f t="shared" si="32"/>
        <v>85.293281103751156</v>
      </c>
      <c r="AE22" s="2360">
        <f t="shared" si="8"/>
        <v>42.646640551875578</v>
      </c>
      <c r="AF22" s="2360">
        <f t="shared" si="33"/>
        <v>396.30407154611208</v>
      </c>
      <c r="AG22" s="2360">
        <f>+AE22</f>
        <v>42.646640551875578</v>
      </c>
      <c r="AH22" s="2360">
        <f t="shared" si="34"/>
        <v>303.65743099423651</v>
      </c>
      <c r="AI22" s="2360">
        <f t="shared" si="9"/>
        <v>971.26699988769087</v>
      </c>
      <c r="AJ22" s="2360">
        <f t="shared" si="35"/>
        <v>12815.502232831037</v>
      </c>
      <c r="AK22" s="3916">
        <v>2990</v>
      </c>
      <c r="AL22" s="2362">
        <f t="shared" si="126"/>
        <v>29.815510333934824</v>
      </c>
      <c r="AM22" s="2360">
        <f t="shared" si="10"/>
        <v>891.48375898465122</v>
      </c>
      <c r="AN22" s="2360">
        <f t="shared" si="123"/>
        <v>4366</v>
      </c>
      <c r="AO22" s="2362">
        <f t="shared" si="36"/>
        <v>27.48949315042346</v>
      </c>
      <c r="AP22" s="2360">
        <f t="shared" si="37"/>
        <v>1200.1912709474882</v>
      </c>
      <c r="AQ22" s="2360">
        <f t="shared" si="11"/>
        <v>2.648682086442097</v>
      </c>
      <c r="AR22" s="2360">
        <f t="shared" si="38"/>
        <v>3468.000866451368</v>
      </c>
      <c r="AS22" s="2360">
        <f t="shared" si="39"/>
        <v>-182.27053319302286</v>
      </c>
      <c r="AT22" s="2362">
        <f>+'Recalculos ST'!E23</f>
        <v>36.932517110142435</v>
      </c>
      <c r="AU22" s="2360">
        <f>+'MCP ST'!V16</f>
        <v>94.975831011478306</v>
      </c>
      <c r="AV22" s="3973">
        <f>+Factores!$D$24</f>
        <v>0.96199999999999997</v>
      </c>
      <c r="AW22" s="2360">
        <f t="shared" si="40"/>
        <v>1154.5840026514836</v>
      </c>
      <c r="AX22" s="3909">
        <f>'Plan mina ST'!AK20/25.4</f>
        <v>4.3634480186448128</v>
      </c>
      <c r="AY22" s="2717">
        <f>+'Recalculos ST'!AK23</f>
        <v>183.7011755821872</v>
      </c>
      <c r="AZ22" s="2364">
        <f>'Plan mina ST'!O20*BA22/1000000*0.79</f>
        <v>2.648682086442097</v>
      </c>
      <c r="BA22" s="2363">
        <f t="shared" si="41"/>
        <v>7897.4103495284826</v>
      </c>
      <c r="BB22" s="2364">
        <f>'Plan mina ST'!O20*'ST Original'!BT22/1000000*0.8</f>
        <v>2.742049549371794</v>
      </c>
      <c r="BC22" s="4639" t="s">
        <v>328</v>
      </c>
      <c r="BD22" s="2365">
        <f t="shared" si="12"/>
        <v>46096.791666666664</v>
      </c>
      <c r="BE22" s="2149">
        <f>'Plan mina ST'!J20</f>
        <v>4.9628781934450535E-2</v>
      </c>
      <c r="BF22" s="2150">
        <f t="shared" si="42"/>
        <v>1.7172354230657374</v>
      </c>
      <c r="BG22" s="2151">
        <f>'Plan mina ST'!K20</f>
        <v>1.6924248039137588</v>
      </c>
      <c r="BH22" s="2150">
        <f t="shared" si="43"/>
        <v>58.560611622392997</v>
      </c>
      <c r="BI22" s="2151">
        <f>'Plan mina ST'!V20</f>
        <v>14.817580029148322</v>
      </c>
      <c r="BJ22" s="2152">
        <f t="shared" si="44"/>
        <v>666.79110131167454</v>
      </c>
      <c r="BK22" s="3395">
        <f>'Plan mina ST'!AI20</f>
        <v>1.8639079317247422</v>
      </c>
      <c r="BL22" s="3403">
        <f>'Recalculos ST'!T23</f>
        <v>6.2254650987691305</v>
      </c>
      <c r="BM22" s="3393">
        <f>BL22*(BU22*BX22/100)/1000</f>
        <v>12.94596796467251</v>
      </c>
      <c r="BN22" s="3393">
        <f t="shared" si="46"/>
        <v>12.94596796467251</v>
      </c>
      <c r="BO22" s="3393">
        <f t="shared" si="47"/>
        <v>12.94596796467251</v>
      </c>
      <c r="BP22" s="3393">
        <f t="shared" si="48"/>
        <v>38.837903894017529</v>
      </c>
      <c r="BQ22" s="3404">
        <f t="shared" si="49"/>
        <v>14.469959964817026</v>
      </c>
      <c r="BR22" s="3397">
        <f t="shared" si="50"/>
        <v>6361.1103716417356</v>
      </c>
      <c r="BS22" s="2137">
        <f t="shared" si="51"/>
        <v>1709.2853947759693</v>
      </c>
      <c r="BT22" s="3344">
        <f t="shared" si="52"/>
        <v>8073.6008177286385</v>
      </c>
      <c r="BU22" s="3345">
        <f t="shared" si="53"/>
        <v>2120.7383076145397</v>
      </c>
      <c r="BV22" s="3345">
        <f t="shared" si="54"/>
        <v>2120.7383076145397</v>
      </c>
      <c r="BW22" s="3345">
        <f t="shared" si="55"/>
        <v>2120.7383076145397</v>
      </c>
      <c r="BX22" s="3346">
        <f t="shared" si="56"/>
        <v>98.056332111173916</v>
      </c>
      <c r="BY22" s="3346">
        <f t="shared" si="57"/>
        <v>98.056332111173916</v>
      </c>
      <c r="BZ22" s="3346">
        <f t="shared" si="58"/>
        <v>98.056332111173916</v>
      </c>
      <c r="CA22" s="3346">
        <f t="shared" si="59"/>
        <v>97.12989278992228</v>
      </c>
      <c r="CB22" s="3346">
        <f t="shared" si="60"/>
        <v>97.885715079916608</v>
      </c>
      <c r="CC22" s="3623">
        <f t="shared" si="61"/>
        <v>98.056332111173901</v>
      </c>
      <c r="CD22" s="3348">
        <f t="shared" si="62"/>
        <v>98.886834920573264</v>
      </c>
      <c r="CE22" s="3348">
        <f t="shared" si="63"/>
        <v>98.886834920573264</v>
      </c>
      <c r="CF22" s="3348">
        <f t="shared" si="64"/>
        <v>98.886834920573264</v>
      </c>
      <c r="CG22" s="3348">
        <f t="shared" si="65"/>
        <v>98.356250499976611</v>
      </c>
      <c r="CH22" s="3346">
        <f t="shared" si="66"/>
        <v>98.789120222376653</v>
      </c>
      <c r="CI22" s="3347">
        <f t="shared" si="67"/>
        <v>26.877795450599066</v>
      </c>
      <c r="CJ22" s="3364">
        <f t="shared" si="68"/>
        <v>6.4495510000000005</v>
      </c>
      <c r="CK22" s="3365">
        <f t="shared" si="69"/>
        <v>6.4495510000000005</v>
      </c>
      <c r="CL22" s="3365">
        <f t="shared" si="70"/>
        <v>6.4495510000000005</v>
      </c>
      <c r="CM22" s="3366">
        <f t="shared" si="71"/>
        <v>4.3442710000000009</v>
      </c>
      <c r="CN22" s="3366">
        <f t="shared" si="72"/>
        <v>23.692924000000001</v>
      </c>
      <c r="CO22" s="3364">
        <f t="shared" si="73"/>
        <v>6.3953843333333333</v>
      </c>
      <c r="CP22" s="3365">
        <f t="shared" si="74"/>
        <v>6.3953843333333333</v>
      </c>
      <c r="CQ22" s="3365">
        <f t="shared" si="75"/>
        <v>6.3953843333333333</v>
      </c>
      <c r="CR22" s="3366">
        <f t="shared" si="76"/>
        <v>4.2901043333333337</v>
      </c>
      <c r="CS22" s="3366">
        <f t="shared" si="77"/>
        <v>23.476257333333333</v>
      </c>
      <c r="CT22" s="3352">
        <f t="shared" si="78"/>
        <v>6.5217878333333337</v>
      </c>
      <c r="CU22" s="2366">
        <f t="shared" si="79"/>
        <v>6.5217878333333337</v>
      </c>
      <c r="CV22" s="2366">
        <f t="shared" si="80"/>
        <v>6.5217878333333337</v>
      </c>
      <c r="CW22" s="3353">
        <f t="shared" si="81"/>
        <v>4.4179698333333342</v>
      </c>
      <c r="CX22" s="3364">
        <f t="shared" si="82"/>
        <v>0</v>
      </c>
      <c r="CY22" s="3365">
        <f t="shared" si="83"/>
        <v>0</v>
      </c>
      <c r="CZ22" s="3365">
        <f t="shared" si="84"/>
        <v>0</v>
      </c>
      <c r="DA22" s="3366">
        <f t="shared" si="85"/>
        <v>0</v>
      </c>
      <c r="DB22" s="3364">
        <f t="shared" si="86"/>
        <v>7.2602333333333338E-2</v>
      </c>
      <c r="DC22" s="3365">
        <f t="shared" si="87"/>
        <v>7.2602333333333338E-2</v>
      </c>
      <c r="DD22" s="3365">
        <f t="shared" si="88"/>
        <v>7.2602333333333338E-2</v>
      </c>
      <c r="DE22" s="3366">
        <f t="shared" si="89"/>
        <v>7.2602333333333338E-2</v>
      </c>
      <c r="DF22" s="3366">
        <f t="shared" si="90"/>
        <v>0.29040933333333335</v>
      </c>
      <c r="DG22" s="3364">
        <f t="shared" si="91"/>
        <v>0.12676900000000002</v>
      </c>
      <c r="DH22" s="3365">
        <f t="shared" si="92"/>
        <v>0.12676900000000002</v>
      </c>
      <c r="DI22" s="3365">
        <f t="shared" si="93"/>
        <v>0.12676900000000002</v>
      </c>
      <c r="DJ22" s="3366">
        <f t="shared" si="94"/>
        <v>0.12676900000000002</v>
      </c>
      <c r="DK22" s="3366">
        <f t="shared" si="95"/>
        <v>0.50707600000000008</v>
      </c>
      <c r="DL22" s="2363">
        <v>0</v>
      </c>
      <c r="DM22" s="2363">
        <v>0</v>
      </c>
      <c r="DN22" s="2363">
        <v>0</v>
      </c>
      <c r="DO22" s="2363">
        <v>0</v>
      </c>
      <c r="DP22" s="2363">
        <v>0</v>
      </c>
      <c r="DQ22" s="2363">
        <v>0</v>
      </c>
      <c r="DR22" s="2363">
        <v>0</v>
      </c>
      <c r="DS22" s="2363">
        <v>0</v>
      </c>
      <c r="DT22" s="2363">
        <v>0</v>
      </c>
      <c r="DU22" s="2363">
        <v>0</v>
      </c>
      <c r="DV22" s="2363">
        <v>0</v>
      </c>
      <c r="DW22" s="3886">
        <f t="shared" si="96"/>
        <v>7.2602333333333338E-2</v>
      </c>
      <c r="DX22" s="3886">
        <f t="shared" si="97"/>
        <v>7.2602333333333338E-2</v>
      </c>
      <c r="DY22" s="2578">
        <f t="shared" si="98"/>
        <v>7.2602333333333338E-2</v>
      </c>
      <c r="DZ22" s="2578">
        <f t="shared" si="99"/>
        <v>7.2602333333333338E-2</v>
      </c>
      <c r="EA22" s="2578">
        <f t="shared" si="100"/>
        <v>0</v>
      </c>
      <c r="EB22" s="2578">
        <f t="shared" si="101"/>
        <v>0</v>
      </c>
      <c r="EC22" s="2578">
        <f t="shared" si="102"/>
        <v>0</v>
      </c>
      <c r="ED22" s="2578">
        <f t="shared" si="103"/>
        <v>0</v>
      </c>
      <c r="EE22" s="2578">
        <f t="shared" si="104"/>
        <v>0.05</v>
      </c>
      <c r="EF22" s="2578">
        <f t="shared" si="105"/>
        <v>0.05</v>
      </c>
      <c r="EG22" s="2578">
        <f t="shared" si="106"/>
        <v>0.05</v>
      </c>
      <c r="EH22" s="2578">
        <f t="shared" si="127"/>
        <v>0.05</v>
      </c>
      <c r="EI22" s="2578">
        <f t="shared" si="108"/>
        <v>4.1666666666666666E-3</v>
      </c>
      <c r="EJ22" s="2578">
        <f t="shared" si="109"/>
        <v>4.1666666666666666E-3</v>
      </c>
      <c r="EK22" s="2578">
        <f t="shared" si="110"/>
        <v>4.1666666666666666E-3</v>
      </c>
      <c r="EL22" s="2580">
        <f t="shared" si="111"/>
        <v>4.1666666666666666E-3</v>
      </c>
      <c r="EM22" s="3341">
        <f t="shared" si="129"/>
        <v>4.1666666666666666E-3</v>
      </c>
      <c r="EN22" s="3341">
        <f t="shared" si="130"/>
        <v>4.1666666666666666E-3</v>
      </c>
      <c r="EO22" s="3341">
        <f t="shared" si="131"/>
        <v>4.1666666666666666E-3</v>
      </c>
      <c r="EP22" s="3341">
        <f t="shared" si="132"/>
        <v>4.1666666666666666E-3</v>
      </c>
      <c r="EQ22" s="3319">
        <f t="shared" si="116"/>
        <v>1.6666666666666666E-2</v>
      </c>
      <c r="ER22" s="809">
        <f>+'MCP ST'!H16</f>
        <v>1.1692612698880109</v>
      </c>
      <c r="ES22" s="4236">
        <f t="shared" si="117"/>
        <v>0.30707600000000002</v>
      </c>
      <c r="EV22" s="3319"/>
      <c r="EW22" s="3321"/>
      <c r="EX22" s="3321"/>
      <c r="EY22" s="3321"/>
      <c r="EZ22" s="2154">
        <f>+'Plan mina ST'!AM20</f>
        <v>0.91295787183632615</v>
      </c>
      <c r="FA22" s="2069">
        <f>IF($FC22&lt;=Factores!$D$3,AX22,"")</f>
        <v>4.3634480186448128</v>
      </c>
      <c r="FB22" s="2068" t="s">
        <v>328</v>
      </c>
      <c r="FC22" s="2070">
        <f t="shared" si="13"/>
        <v>46096.791666666664</v>
      </c>
      <c r="FD22" s="1573">
        <f>IF($FC22&lt;=Factores!$D$3,'ST Original'!C22,"")</f>
        <v>197270.98487997908</v>
      </c>
      <c r="FE22" s="976">
        <f>IF($FC22&lt;=Factores!$D$3,'ST Original'!D22,"")</f>
        <v>561824.854949728</v>
      </c>
      <c r="FF22" s="1573">
        <f>IF($FC22&lt;=Factores!$D$3,'ST Original'!E22,"")</f>
        <v>189537.84838868357</v>
      </c>
      <c r="FG22" s="976"/>
      <c r="FH22" s="2064">
        <f>IF($FC22&lt;=Factores!$D$3,'ST Original'!J22,"")</f>
        <v>97.885672723806138</v>
      </c>
      <c r="FI22" s="2064">
        <f>IF($FC22&lt;=Factores!$D$3,'ST Original'!BT22,"")</f>
        <v>8073.6008177286385</v>
      </c>
      <c r="FJ22" s="2064">
        <f>IF($FC22&lt;=Factores!$D$3,'ST Original'!K22,"")</f>
        <v>91.295787183632612</v>
      </c>
      <c r="FK22" s="2071">
        <f>IF($FC22&lt;=Factores!$D$3,'ST Original'!L22,"")</f>
        <v>0.49273891077590615</v>
      </c>
      <c r="FL22" s="2064">
        <f>IF($FC22&lt;=Factores!$D$3,'ST Original'!M22,"")</f>
        <v>90.760266518740806</v>
      </c>
      <c r="FM22" s="2064">
        <f>IF($FC22&lt;=Factores!$D$3,'ST Original'!N22,"")</f>
        <v>30.189318413634609</v>
      </c>
      <c r="FN22" s="1573">
        <f>IF($FC22&lt;=Factores!$D$3,'ST Original'!O22,"")</f>
        <v>2807.7294668069771</v>
      </c>
      <c r="FO22" s="1556">
        <f>IF($FC22&lt;=Factores!$D$3,'ST Original'!R22,"")</f>
        <v>44665.231577138082</v>
      </c>
      <c r="FP22" s="1573">
        <f>IF($FC22&lt;=Factores!$D$3,'ST Original'!S22,"")</f>
        <v>847.63438892780357</v>
      </c>
      <c r="FQ22" s="976">
        <f>IF($FC22&lt;=Factores!$D$3,'ST Original'!V22,"")</f>
        <v>11666.61672941886</v>
      </c>
      <c r="FR22" s="1573">
        <f>IF($FC22&lt;=Factores!$D$3,'ST Original'!W22,"")</f>
        <v>275.79728692083603</v>
      </c>
      <c r="FS22" s="975">
        <f>IF($FC22&lt;=Factores!$D$3,'ST Original'!X22,"")</f>
        <v>93.165235345256804</v>
      </c>
      <c r="FT22" s="975">
        <f>IF($FC22&lt;=Factores!$D$3,'ST Original'!Y22,"")</f>
        <v>87.567914039758321</v>
      </c>
      <c r="FU22" s="975">
        <f>IF($FC22&lt;=Factores!$D$3,'ST Original'!Z22,"")</f>
        <v>81.582853202073011</v>
      </c>
      <c r="FV22" s="975">
        <f>IF($FC22&lt;=Factores!$D$3,'ST Original'!AA22,"")</f>
        <v>50</v>
      </c>
      <c r="FW22" s="1556">
        <f>IF($FC22&lt;=Factores!$D$3,'ST Original'!AB22,"")</f>
        <v>85.293281103751156</v>
      </c>
      <c r="FX22" s="1556">
        <f>IF($FC22&lt;=Factores!$D$3,'ST Original'!AC22,"")</f>
        <v>85.293281103751156</v>
      </c>
      <c r="FY22" s="975">
        <f>IF($FC22&lt;=Factores!$D$3,AE22,"")</f>
        <v>42.646640551875578</v>
      </c>
      <c r="FZ22" s="976">
        <f>IF($FC22&lt;=Factores!$D$3,AF22,"")</f>
        <v>396.30407154611208</v>
      </c>
      <c r="GA22" s="1556">
        <f>IF($FC22&lt;=Factores!$D$3,AG22,"")</f>
        <v>42.646640551875578</v>
      </c>
      <c r="GB22" s="1573">
        <f>IF($FC22&lt;=Factores!$D$3,AI22,"")</f>
        <v>971.26699988769087</v>
      </c>
      <c r="GC22" s="976">
        <f>IF($FC22&lt;=Factores!$D$3,AJ22,"")</f>
        <v>12815.502232831037</v>
      </c>
      <c r="GD22" s="780">
        <f>IF($FC22&lt;=Factores!$D$3,AN22,"")</f>
        <v>4366</v>
      </c>
      <c r="GE22" s="539">
        <f>IF($FC22&lt;=Factores!$D$3,AO22,"")</f>
        <v>27.48949315042346</v>
      </c>
      <c r="GF22" s="782">
        <f>IF($FC22&lt;=Factores!$D$3,AP22,"")</f>
        <v>1200.1912709474882</v>
      </c>
      <c r="GG22" s="2072">
        <f>IF($FC22&lt;=Factores!$D$3,BI22,"")</f>
        <v>14.817580029148322</v>
      </c>
      <c r="GH22" s="2073">
        <f>IF($FC22&lt;=Factores!$D$3,BJ22,"")</f>
        <v>666.79110131167454</v>
      </c>
      <c r="GI22" s="2069">
        <f>+'Plan mina ST'!AN57</f>
        <v>0</v>
      </c>
      <c r="GJ22" s="2065">
        <f t="shared" si="14"/>
        <v>46096.791666666664</v>
      </c>
      <c r="GK22" s="2069">
        <f>+'Plan mina ST'!J20</f>
        <v>4.9628781934450535E-2</v>
      </c>
      <c r="GL22" s="1575">
        <f t="shared" si="15"/>
        <v>2.3451592683867064</v>
      </c>
      <c r="GM22" s="1556">
        <f t="shared" si="118"/>
        <v>6584.5727822048475</v>
      </c>
      <c r="GN22" s="2074">
        <f t="shared" si="119"/>
        <v>60065.444951718622</v>
      </c>
      <c r="GO22" s="1575">
        <f>+'Plan mina ST'!K20</f>
        <v>1.6924248039137588</v>
      </c>
      <c r="GP22" s="1575">
        <f t="shared" si="16"/>
        <v>91.398707656333059</v>
      </c>
      <c r="GQ22" s="1556">
        <f t="shared" si="17"/>
        <v>256622.84471476282</v>
      </c>
      <c r="GR22" s="1556">
        <f t="shared" si="120"/>
        <v>2466909.5466249273</v>
      </c>
      <c r="GS22" s="2064">
        <f>+'Plan mina ST'!V20</f>
        <v>14.817580029148322</v>
      </c>
      <c r="GT22" s="976">
        <f t="shared" si="18"/>
        <v>666.79110131167454</v>
      </c>
      <c r="GU22" s="2072">
        <f>IF($FC22&lt;=Factores!$D$3,AT22,"")</f>
        <v>36.932517110142435</v>
      </c>
      <c r="GW22" s="2064">
        <f>+'Plan mina ST'!AI20</f>
        <v>1.8639079317247422</v>
      </c>
      <c r="GX22" s="2075">
        <v>0.5</v>
      </c>
      <c r="GY22" s="819"/>
      <c r="GZ22" s="2070">
        <f t="shared" si="19"/>
        <v>46096.791666666664</v>
      </c>
      <c r="HA22" s="1573" t="str">
        <f>IF($FC22&gt;Factores!$D$3,'ST Original'!C22,"")</f>
        <v/>
      </c>
      <c r="HB22" s="976" t="str">
        <f>IF($FC22&gt;Factores!$D$3,'ST Original'!D22,"")</f>
        <v/>
      </c>
      <c r="HC22" s="1573" t="str">
        <f>IF($FC22&gt;Factores!$D$3,'ST Original'!E22,"")</f>
        <v/>
      </c>
      <c r="HD22" s="976"/>
      <c r="HE22" s="2064" t="str">
        <f>IF($FC22&gt;Factores!$D$3,'ST Original'!J22,"")</f>
        <v/>
      </c>
      <c r="HF22" s="2064" t="str">
        <f>IF($FC22&gt;Factores!$D$3,'ST Original'!BT22,"")</f>
        <v/>
      </c>
      <c r="HG22" s="2064" t="str">
        <f>IF($FC22&gt;Factores!$D$3,'ST Original'!K22,"")</f>
        <v/>
      </c>
      <c r="HH22" s="2071" t="str">
        <f>IF($FC22&gt;Factores!$D$3,'ST Original'!L22,"")</f>
        <v/>
      </c>
      <c r="HI22" s="2064" t="str">
        <f>IF($FC22&gt;Factores!$D$3,'ST Original'!M22,"")</f>
        <v/>
      </c>
      <c r="HJ22" s="2064" t="str">
        <f>IF($FC22&gt;Factores!$D$3,'ST Original'!N22,"")</f>
        <v/>
      </c>
      <c r="HK22" s="1573" t="str">
        <f>IF($FC22&gt;Factores!$D$3,'ST Original'!O22,"")</f>
        <v/>
      </c>
      <c r="HL22" s="1556" t="str">
        <f>IF($FC22&gt;Factores!$D$3,'ST Original'!R22,"")</f>
        <v/>
      </c>
      <c r="HM22" s="1573" t="str">
        <f>IF($FC22&gt;Factores!$D$3,'ST Original'!S22,"")</f>
        <v/>
      </c>
      <c r="HN22" s="976" t="str">
        <f>IF($FC22&gt;Factores!$D$3,'ST Original'!V22,"")</f>
        <v/>
      </c>
      <c r="HO22" s="1573" t="str">
        <f>IF($FC22&gt;Factores!$D$3,'ST Original'!W22,"")</f>
        <v/>
      </c>
      <c r="HP22" s="975" t="str">
        <f>IF($FC22&gt;Factores!$D$3,'ST Original'!X22,"")</f>
        <v/>
      </c>
      <c r="HQ22" s="975" t="str">
        <f>IF($FC22&gt;Factores!$D$3,'ST Original'!Y22,"")</f>
        <v/>
      </c>
      <c r="HR22" s="975" t="str">
        <f>IF($FC22&gt;Factores!$D$3,'ST Original'!Z22,"")</f>
        <v/>
      </c>
      <c r="HS22" s="975" t="str">
        <f>IF($FC22&gt;Factores!$D$3,'ST Original'!AA22,"")</f>
        <v/>
      </c>
      <c r="HT22" s="1556" t="str">
        <f>IF($FC22&gt;Factores!$D$3,'ST Original'!AB22,"")</f>
        <v/>
      </c>
      <c r="HU22" s="1556" t="str">
        <f>IF($FC22&gt;Factores!$D$3,'ST Original'!AC22,"")</f>
        <v/>
      </c>
      <c r="HV22" s="975" t="str">
        <f>IF($FC22&gt;Factores!$D$3,AE22,"")</f>
        <v/>
      </c>
      <c r="HW22" s="976" t="str">
        <f>IF($FC22&gt;Factores!$D$3,AF22,"")</f>
        <v/>
      </c>
      <c r="HX22" s="1556" t="str">
        <f>IF($FC22&gt;Factores!$D$3,AG22,"")</f>
        <v/>
      </c>
      <c r="HY22" s="1573" t="str">
        <f>IF($FC22&gt;Factores!$D$3,AI22,"")</f>
        <v/>
      </c>
      <c r="HZ22" s="976" t="str">
        <f>IF($FC22&gt;Factores!$D$3,AJ22,"")</f>
        <v/>
      </c>
      <c r="IA22" s="780" t="str">
        <f>IF($FC22&gt;Factores!$D$3,AN22,"")</f>
        <v/>
      </c>
      <c r="IB22" s="539" t="str">
        <f>IF($FC22&gt;Factores!$D$3,AO22,"")</f>
        <v/>
      </c>
      <c r="IC22" s="782" t="str">
        <f>IF($FC22&gt;Factores!$D$3,AP22,"")</f>
        <v/>
      </c>
      <c r="ID22" s="2072" t="str">
        <f>IF($FC22&gt;Factores!$D$3,BI22,"")</f>
        <v/>
      </c>
      <c r="IE22" s="2073" t="str">
        <f>IF($FC22&gt;Factores!$D$3,BJ22,"")</f>
        <v/>
      </c>
      <c r="IF22" s="4237">
        <f t="shared" si="20"/>
        <v>189537.84838868357</v>
      </c>
      <c r="IG22" s="4237">
        <f t="shared" si="124"/>
        <v>2558180.4938474675</v>
      </c>
      <c r="IH22" s="4234">
        <f t="shared" si="121"/>
        <v>0.49273891077590615</v>
      </c>
      <c r="II22" s="342">
        <f>SUMPRODUCT(IH$8:IH22,IF$8:IF22)/IG22</f>
        <v>0.50585715131686171</v>
      </c>
      <c r="IJ22" s="4235">
        <f t="shared" si="122"/>
        <v>90.760266518740806</v>
      </c>
      <c r="IK22" s="342" cm="1">
        <f t="array" ref="IK22">SUMPRODUCT(IJ$8:IJ22,IF$8:IF22/IG22)</f>
        <v>90.149602359171695</v>
      </c>
    </row>
    <row r="23" spans="1:245" s="744" customFormat="1" ht="14.25" customHeight="1">
      <c r="A23" s="4636"/>
      <c r="B23" s="2133">
        <f t="shared" si="21"/>
        <v>46097.791666666664</v>
      </c>
      <c r="C23" s="2134">
        <f>+'Plan mina ST'!N58*1000</f>
        <v>219999.99999989281</v>
      </c>
      <c r="D23" s="2134">
        <f>+'Plan mina ST'!M58*1000</f>
        <v>593407.13722345827</v>
      </c>
      <c r="E23" s="2134">
        <f>(('Plan mina ST'!O58*1000))</f>
        <v>188417.71772616252</v>
      </c>
      <c r="F23" s="2134">
        <f>+'Plan mina ST'!J58*1000</f>
        <v>39125.721426826465</v>
      </c>
      <c r="G23" s="2134">
        <f t="shared" si="22"/>
        <v>149291.99629933605</v>
      </c>
      <c r="H23" s="2135">
        <f t="shared" si="23"/>
        <v>98.056332111173901</v>
      </c>
      <c r="I23" s="2135">
        <f t="shared" si="24"/>
        <v>97.12989278992228</v>
      </c>
      <c r="J23" s="2135">
        <f t="shared" si="25"/>
        <v>97.885672723806138</v>
      </c>
      <c r="K23" s="2135">
        <f>+'Plan mina ST'!AM21*100</f>
        <v>97.76579177015968</v>
      </c>
      <c r="L23" s="2135">
        <f>'Plan mina ST'!D21</f>
        <v>0.54811213262379888</v>
      </c>
      <c r="M23" s="2135">
        <f>'Plan mina ST'!C21</f>
        <v>91.764641420674238</v>
      </c>
      <c r="N23" s="2136">
        <f>'Plan mina ST'!B21</f>
        <v>28.488910364507881</v>
      </c>
      <c r="O23" s="2134">
        <f t="shared" ref="O23:O35" si="133">+IF(ISNUMBER(E23*L23*M23/N23/100),E23*L23*M23/N23/100,"0")</f>
        <v>3326.5242019084485</v>
      </c>
      <c r="P23" s="2134">
        <f t="shared" ref="P23:P35" si="134">+IF(ISNUMBER(G23*L23*M23/N23/100),G23*L23*M23/N23/100,"0")</f>
        <v>2635.7576391129901</v>
      </c>
      <c r="Q23" s="2134">
        <f t="shared" si="3"/>
        <v>690.76656279545841</v>
      </c>
      <c r="R23" s="2134">
        <f t="shared" ref="R23:R35" si="135">R22+O23</f>
        <v>47991.755779046529</v>
      </c>
      <c r="S23" s="2134">
        <f t="shared" ref="S23:S35" si="136">O23*N23/100</f>
        <v>947.69049813535912</v>
      </c>
      <c r="T23" s="2134">
        <f t="shared" ref="T23:T35" si="137">+P23*N23/100</f>
        <v>750.89863123256885</v>
      </c>
      <c r="U23" s="2134">
        <f t="shared" ref="U23:U35" si="138">+IF(ISNUMBER(Q23*N23/100),Q23*N23/100,"0")</f>
        <v>196.79186690279016</v>
      </c>
      <c r="V23" s="2134">
        <f t="shared" ref="V23:V35" si="139">V22+S23</f>
        <v>12614.307227554218</v>
      </c>
      <c r="W23" s="2134">
        <f>+'Plan mina ST'!E21</f>
        <v>167.73400802713974</v>
      </c>
      <c r="X23" s="2135">
        <f t="shared" si="28"/>
        <v>91.421599027419362</v>
      </c>
      <c r="Y23" s="3930">
        <f t="shared" ref="Y23:Y27" si="140">(IF(W23&gt;0,$Y$2*LN(W23)+$Y$3,$Y$2*LN(W23)+$Y$3))*$Z$2</f>
        <v>86.201220534938727</v>
      </c>
      <c r="Z23" s="2135">
        <f t="shared" si="30"/>
        <v>78.806534194193162</v>
      </c>
      <c r="AA23" s="2136">
        <v>50</v>
      </c>
      <c r="AB23" s="2134">
        <f t="shared" ref="AB23:AB35" si="141">+AE23/(AA23/100)</f>
        <v>49.812127089768964</v>
      </c>
      <c r="AC23" s="2134">
        <f t="shared" ref="AC23:AC35" si="142">+AB23</f>
        <v>49.812127089768964</v>
      </c>
      <c r="AD23" s="2134">
        <f t="shared" ref="AD23:AD35" si="143">+AG23/0.5</f>
        <v>49.812127089768964</v>
      </c>
      <c r="AE23" s="2134">
        <f t="shared" ref="AE23:AE35" si="144">+E23*W23*Z23/100000000</f>
        <v>24.906063544884482</v>
      </c>
      <c r="AF23" s="2134">
        <f t="shared" ref="AF23:AF35" si="145">+AF22+AE23</f>
        <v>421.21013509099657</v>
      </c>
      <c r="AG23" s="2134">
        <f t="shared" ref="AG23:AG28" si="146">+AE23</f>
        <v>24.906063544884482</v>
      </c>
      <c r="AH23" s="2134">
        <f t="shared" ref="AH23:AH35" si="147">IF(AE23&gt;AG23,AH22+AE23-AG23,AH22+AE23-AG23)</f>
        <v>303.65743099423651</v>
      </c>
      <c r="AI23" s="2134">
        <f t="shared" si="9"/>
        <v>1019.8931763519793</v>
      </c>
      <c r="AJ23" s="2134">
        <f t="shared" ref="AJ23:AJ35" si="148">AJ22+AI23</f>
        <v>13835.395409183016</v>
      </c>
      <c r="AK23" s="3916">
        <v>2990</v>
      </c>
      <c r="AL23" s="2136">
        <f t="shared" si="126"/>
        <v>30.189318413634609</v>
      </c>
      <c r="AM23" s="2134">
        <f t="shared" ref="AM23:AM35" si="149">IF(ISNUMBER(AK23*AL23/100),AK23*AL23/100,"---")</f>
        <v>902.66062056767475</v>
      </c>
      <c r="AN23" s="2134">
        <f t="shared" si="123"/>
        <v>2990</v>
      </c>
      <c r="AO23" s="2136">
        <f t="shared" si="36"/>
        <v>29.815510333934824</v>
      </c>
      <c r="AP23" s="2134">
        <f t="shared" ref="AP23:AP35" si="150">IF(ISNUMBER(AN23*AO23/100),AN23*AO23/100,"---")</f>
        <v>891.48375898465122</v>
      </c>
      <c r="AQ23" s="2134">
        <f t="shared" ref="AQ23:AQ35" si="151">+AZ23</f>
        <v>2.0275002109088334</v>
      </c>
      <c r="AR23" s="2134">
        <f t="shared" si="38"/>
        <v>3524.207605602076</v>
      </c>
      <c r="AS23" s="2134">
        <f t="shared" si="39"/>
        <v>336.5242019084485</v>
      </c>
      <c r="AT23" s="2136">
        <f>+'Recalculos ST'!E24</f>
        <v>35.57410957317115</v>
      </c>
      <c r="AU23" s="2134">
        <f>+'MCP ST'!V17</f>
        <v>93.342832551410524</v>
      </c>
      <c r="AV23" s="3973">
        <f>+Factores!$D$24</f>
        <v>0.96199999999999997</v>
      </c>
      <c r="AW23" s="2134">
        <f t="shared" si="40"/>
        <v>857.60737614323443</v>
      </c>
      <c r="AX23" s="2376">
        <f>'Plan mina ST'!AK21/25.4</f>
        <v>4.3247615128562851</v>
      </c>
      <c r="AY23" s="2718">
        <f>+'Recalculos ST'!AK24</f>
        <v>182.45549886092749</v>
      </c>
      <c r="AZ23" s="2138">
        <f>'Plan mina ST'!O21*BA23/1000000*0.79</f>
        <v>2.0275002109088334</v>
      </c>
      <c r="BA23" s="2137">
        <f t="shared" ref="BA23:BA35" si="152">+E23/24</f>
        <v>7850.7382385901046</v>
      </c>
      <c r="BB23" s="2138">
        <f>'Plan mina ST'!O21*'ST Original'!BT23/1000000*0.8</f>
        <v>2.0989706798454315</v>
      </c>
      <c r="BC23" s="4640"/>
      <c r="BD23" s="2148">
        <f t="shared" si="12"/>
        <v>46097.791666666664</v>
      </c>
      <c r="BE23" s="2149">
        <f>'Plan mina ST'!J21</f>
        <v>4.663619066862118E-2</v>
      </c>
      <c r="BF23" s="2150">
        <f t="shared" si="42"/>
        <v>1.6136869673485119</v>
      </c>
      <c r="BG23" s="2151">
        <f>'Plan mina ST'!K21</f>
        <v>1.4709506745911181</v>
      </c>
      <c r="BH23" s="2150">
        <f t="shared" si="43"/>
        <v>50.897251665910282</v>
      </c>
      <c r="BI23" s="2151">
        <f>'Plan mina ST'!V21</f>
        <v>18.341810177800259</v>
      </c>
      <c r="BJ23" s="2152">
        <f t="shared" si="44"/>
        <v>825.38145800101165</v>
      </c>
      <c r="BK23" s="3395">
        <f>'Plan mina ST'!AI21</f>
        <v>1.6917707748291084</v>
      </c>
      <c r="BL23" s="3399">
        <f>'Recalculos ST'!T24</f>
        <v>6.3388835307873066</v>
      </c>
      <c r="BM23" s="3391">
        <f t="shared" si="45"/>
        <v>13.145956959475198</v>
      </c>
      <c r="BN23" s="3391">
        <f t="shared" si="46"/>
        <v>13.145956959475198</v>
      </c>
      <c r="BO23" s="3391">
        <f t="shared" si="47"/>
        <v>13.145956959475198</v>
      </c>
      <c r="BP23" s="3391">
        <f t="shared" si="48"/>
        <v>39.437870878425592</v>
      </c>
      <c r="BQ23" s="3400">
        <f>BL23*1.4*(BS23*CA23/100)/1000</f>
        <v>14.469959964817024</v>
      </c>
      <c r="BR23" s="3397">
        <f t="shared" si="50"/>
        <v>6343.8022939232687</v>
      </c>
      <c r="BS23" s="2137">
        <f t="shared" si="51"/>
        <v>1678.7020170556689</v>
      </c>
      <c r="BT23" s="3344">
        <f t="shared" si="52"/>
        <v>8025.8874564671578</v>
      </c>
      <c r="BU23" s="3345">
        <f t="shared" si="53"/>
        <v>2114.9679465762588</v>
      </c>
      <c r="BV23" s="3345">
        <f t="shared" si="54"/>
        <v>2114.9679465762588</v>
      </c>
      <c r="BW23" s="3345">
        <f t="shared" si="55"/>
        <v>2114.9679465762588</v>
      </c>
      <c r="BX23" s="3346">
        <f t="shared" si="56"/>
        <v>98.056332111173916</v>
      </c>
      <c r="BY23" s="3346">
        <f t="shared" si="57"/>
        <v>98.056332111173916</v>
      </c>
      <c r="BZ23" s="3346">
        <f t="shared" si="58"/>
        <v>98.056332111173916</v>
      </c>
      <c r="CA23" s="3346">
        <f t="shared" si="59"/>
        <v>97.12989278992228</v>
      </c>
      <c r="CB23" s="3346">
        <f t="shared" si="60"/>
        <v>97.885715079916608</v>
      </c>
      <c r="CC23" s="3623">
        <f t="shared" si="61"/>
        <v>98.056332111173901</v>
      </c>
      <c r="CD23" s="3348">
        <f t="shared" si="62"/>
        <v>98.886834920573264</v>
      </c>
      <c r="CE23" s="3348">
        <f t="shared" si="63"/>
        <v>98.886834920573264</v>
      </c>
      <c r="CF23" s="3348">
        <f t="shared" si="64"/>
        <v>98.886834920573264</v>
      </c>
      <c r="CG23" s="3348">
        <f t="shared" si="65"/>
        <v>98.356250499976611</v>
      </c>
      <c r="CH23" s="3346">
        <f t="shared" si="66"/>
        <v>98.789120222376653</v>
      </c>
      <c r="CI23" s="3347">
        <f t="shared" si="67"/>
        <v>26.877795450599066</v>
      </c>
      <c r="CJ23" s="3367">
        <f t="shared" si="68"/>
        <v>6.4495510000000005</v>
      </c>
      <c r="CK23" s="3368">
        <f t="shared" si="69"/>
        <v>6.4495510000000005</v>
      </c>
      <c r="CL23" s="3368">
        <f t="shared" si="70"/>
        <v>6.4495510000000005</v>
      </c>
      <c r="CM23" s="3369">
        <f t="shared" si="71"/>
        <v>4.3442710000000009</v>
      </c>
      <c r="CN23" s="3369">
        <f t="shared" si="72"/>
        <v>23.692924000000001</v>
      </c>
      <c r="CO23" s="3367">
        <f t="shared" si="73"/>
        <v>6.3953843333333333</v>
      </c>
      <c r="CP23" s="3368">
        <f t="shared" si="74"/>
        <v>6.3953843333333333</v>
      </c>
      <c r="CQ23" s="3368">
        <f t="shared" si="75"/>
        <v>6.3953843333333333</v>
      </c>
      <c r="CR23" s="3369">
        <f t="shared" si="76"/>
        <v>4.2901043333333337</v>
      </c>
      <c r="CS23" s="3369">
        <f t="shared" si="77"/>
        <v>23.476257333333333</v>
      </c>
      <c r="CT23" s="3357">
        <f t="shared" si="78"/>
        <v>6.5217878333333337</v>
      </c>
      <c r="CU23" s="2153">
        <f t="shared" si="79"/>
        <v>6.5217878333333337</v>
      </c>
      <c r="CV23" s="2153">
        <f t="shared" si="80"/>
        <v>6.5217878333333337</v>
      </c>
      <c r="CW23" s="3358">
        <f t="shared" si="81"/>
        <v>4.4179698333333342</v>
      </c>
      <c r="CX23" s="3367">
        <f t="shared" si="82"/>
        <v>0</v>
      </c>
      <c r="CY23" s="3368">
        <f t="shared" si="83"/>
        <v>0</v>
      </c>
      <c r="CZ23" s="3368">
        <f t="shared" si="84"/>
        <v>0</v>
      </c>
      <c r="DA23" s="3369">
        <f t="shared" si="85"/>
        <v>0</v>
      </c>
      <c r="DB23" s="3367">
        <f t="shared" si="86"/>
        <v>7.2602333333333338E-2</v>
      </c>
      <c r="DC23" s="3368">
        <f t="shared" si="87"/>
        <v>7.2602333333333338E-2</v>
      </c>
      <c r="DD23" s="3368">
        <f t="shared" si="88"/>
        <v>7.2602333333333338E-2</v>
      </c>
      <c r="DE23" s="3369">
        <f t="shared" si="89"/>
        <v>7.2602333333333338E-2</v>
      </c>
      <c r="DF23" s="3369">
        <f t="shared" si="90"/>
        <v>0.29040933333333335</v>
      </c>
      <c r="DG23" s="3367">
        <f t="shared" si="91"/>
        <v>0.12676900000000002</v>
      </c>
      <c r="DH23" s="3368">
        <f t="shared" si="92"/>
        <v>0.12676900000000002</v>
      </c>
      <c r="DI23" s="3368">
        <f t="shared" si="93"/>
        <v>0.12676900000000002</v>
      </c>
      <c r="DJ23" s="3369">
        <f t="shared" si="94"/>
        <v>0.12676900000000002</v>
      </c>
      <c r="DK23" s="3369">
        <f t="shared" si="95"/>
        <v>0.50707600000000008</v>
      </c>
      <c r="DL23" s="2137">
        <v>0</v>
      </c>
      <c r="DM23" s="2137">
        <v>0</v>
      </c>
      <c r="DN23" s="2137">
        <v>0</v>
      </c>
      <c r="DO23" s="2137">
        <v>0</v>
      </c>
      <c r="DP23" s="2137">
        <v>0</v>
      </c>
      <c r="DQ23" s="2137">
        <v>0</v>
      </c>
      <c r="DR23" s="2137">
        <v>0</v>
      </c>
      <c r="DS23" s="2137">
        <v>0</v>
      </c>
      <c r="DT23" s="2137">
        <v>0</v>
      </c>
      <c r="DU23" s="2137">
        <v>0</v>
      </c>
      <c r="DV23" s="2137">
        <v>0</v>
      </c>
      <c r="DW23" s="2579">
        <f t="shared" si="96"/>
        <v>7.2602333333333338E-2</v>
      </c>
      <c r="DX23" s="2579">
        <f t="shared" si="97"/>
        <v>7.2602333333333338E-2</v>
      </c>
      <c r="DY23" s="2579">
        <f t="shared" si="98"/>
        <v>7.2602333333333338E-2</v>
      </c>
      <c r="DZ23" s="2579">
        <f t="shared" si="99"/>
        <v>7.2602333333333338E-2</v>
      </c>
      <c r="EA23" s="2579">
        <f t="shared" si="100"/>
        <v>0</v>
      </c>
      <c r="EB23" s="2579">
        <f t="shared" si="101"/>
        <v>0</v>
      </c>
      <c r="EC23" s="2579">
        <f t="shared" si="102"/>
        <v>0</v>
      </c>
      <c r="ED23" s="2579">
        <f t="shared" si="103"/>
        <v>0</v>
      </c>
      <c r="EE23" s="2579">
        <f t="shared" si="104"/>
        <v>0.05</v>
      </c>
      <c r="EF23" s="2579">
        <f t="shared" si="105"/>
        <v>0.05</v>
      </c>
      <c r="EG23" s="2579">
        <f t="shared" si="106"/>
        <v>0.05</v>
      </c>
      <c r="EH23" s="2579">
        <f t="shared" si="127"/>
        <v>0.05</v>
      </c>
      <c r="EI23" s="2579">
        <f t="shared" si="108"/>
        <v>4.1666666666666666E-3</v>
      </c>
      <c r="EJ23" s="2579">
        <f t="shared" si="109"/>
        <v>4.1666666666666666E-3</v>
      </c>
      <c r="EK23" s="2579">
        <f t="shared" si="110"/>
        <v>4.1666666666666666E-3</v>
      </c>
      <c r="EL23" s="2579">
        <f t="shared" si="111"/>
        <v>4.1666666666666666E-3</v>
      </c>
      <c r="EM23" s="3341">
        <f t="shared" si="129"/>
        <v>4.1666666666666666E-3</v>
      </c>
      <c r="EN23" s="3341">
        <f t="shared" si="130"/>
        <v>4.1666666666666666E-3</v>
      </c>
      <c r="EO23" s="3341">
        <f t="shared" si="131"/>
        <v>4.1666666666666666E-3</v>
      </c>
      <c r="EP23" s="3341">
        <f t="shared" si="132"/>
        <v>4.1666666666666666E-3</v>
      </c>
      <c r="EQ23" s="3319">
        <f t="shared" si="116"/>
        <v>1.6666666666666666E-2</v>
      </c>
      <c r="ER23" s="809">
        <f>+'MCP ST'!H17</f>
        <v>1.4575703441819887</v>
      </c>
      <c r="ES23" s="4236">
        <f t="shared" si="117"/>
        <v>0.30707600000000002</v>
      </c>
      <c r="EV23" s="3319"/>
      <c r="EW23" s="3321"/>
      <c r="EX23" s="3321"/>
      <c r="EY23" s="3321"/>
      <c r="EZ23" s="2154">
        <f>+'Plan mina ST'!AM21</f>
        <v>0.97765791770159682</v>
      </c>
      <c r="FA23" s="2067">
        <f>IF($FC23&lt;=Factores!$D$3,AX23,"")</f>
        <v>4.3247615128562851</v>
      </c>
      <c r="FB23" s="2076"/>
      <c r="FC23" s="2065">
        <f t="shared" si="13"/>
        <v>46097.791666666664</v>
      </c>
      <c r="FD23" s="780">
        <f>IF($FC23&lt;=Factores!$D$3,'ST Original'!C23,"")</f>
        <v>219999.99999989281</v>
      </c>
      <c r="FE23" s="782">
        <f>IF($FC23&lt;=Factores!$D$3,'ST Original'!D23,"")</f>
        <v>593407.13722345827</v>
      </c>
      <c r="FF23" s="780">
        <f>IF($FC23&lt;=Factores!$D$3,'ST Original'!E23,"")</f>
        <v>188417.71772616252</v>
      </c>
      <c r="FG23" s="782"/>
      <c r="FH23" s="2064">
        <f>IF($FC23&lt;=Factores!$D$3,'ST Original'!J23,"")</f>
        <v>97.885672723806138</v>
      </c>
      <c r="FI23" s="781">
        <f>IF($FC23&lt;=Factores!$D$3,'ST Original'!BT23,"")</f>
        <v>8025.8874564671578</v>
      </c>
      <c r="FJ23" s="781">
        <f>IF($FC23&lt;=Factores!$D$3,'ST Original'!K23,"")</f>
        <v>97.76579177015968</v>
      </c>
      <c r="FK23" s="2066">
        <f>IF($FC23&lt;=Factores!$D$3,'ST Original'!L23,"")</f>
        <v>0.54811213262379888</v>
      </c>
      <c r="FL23" s="781">
        <f>IF($FC23&lt;=Factores!$D$3,'ST Original'!M23,"")</f>
        <v>91.764641420674238</v>
      </c>
      <c r="FM23" s="781">
        <f>IF($FC23&lt;=Factores!$D$3,'ST Original'!N23,"")</f>
        <v>28.488910364507881</v>
      </c>
      <c r="FN23" s="780">
        <f>IF($FC23&lt;=Factores!$D$3,'ST Original'!O23,"")</f>
        <v>3326.5242019084485</v>
      </c>
      <c r="FO23" s="539">
        <f>IF($FC23&lt;=Factores!$D$3,'ST Original'!R23,"")</f>
        <v>47991.755779046529</v>
      </c>
      <c r="FP23" s="780">
        <f>IF($FC23&lt;=Factores!$D$3,'ST Original'!S23,"")</f>
        <v>947.69049813535912</v>
      </c>
      <c r="FQ23" s="782">
        <f>IF($FC23&lt;=Factores!$D$3,'ST Original'!V23,"")</f>
        <v>12614.307227554218</v>
      </c>
      <c r="FR23" s="780">
        <f>IF($FC23&lt;=Factores!$D$3,'ST Original'!W23,"")</f>
        <v>167.73400802713974</v>
      </c>
      <c r="FS23" s="819">
        <f>IF($FC23&lt;=Factores!$D$3,'ST Original'!X23,"")</f>
        <v>91.421599027419362</v>
      </c>
      <c r="FT23" s="819">
        <f>IF($FC23&lt;=Factores!$D$3,'ST Original'!Y23,"")</f>
        <v>86.201220534938727</v>
      </c>
      <c r="FU23" s="819">
        <f>IF($FC23&lt;=Factores!$D$3,'ST Original'!Z23,"")</f>
        <v>78.806534194193162</v>
      </c>
      <c r="FV23" s="819">
        <f>IF($FC23&lt;=Factores!$D$3,'ST Original'!AA23,"")</f>
        <v>50</v>
      </c>
      <c r="FW23" s="539">
        <f>IF($FC23&lt;=Factores!$D$3,'ST Original'!AB23,"")</f>
        <v>49.812127089768964</v>
      </c>
      <c r="FX23" s="539">
        <f>IF($FC23&lt;=Factores!$D$3,'ST Original'!AC23,"")</f>
        <v>49.812127089768964</v>
      </c>
      <c r="FY23" s="819">
        <f>IF($FC23&lt;=Factores!$D$3,AE23,"")</f>
        <v>24.906063544884482</v>
      </c>
      <c r="FZ23" s="782">
        <f>IF($FC23&lt;=Factores!$D$3,AF23,"")</f>
        <v>421.21013509099657</v>
      </c>
      <c r="GA23" s="539">
        <f>IF($FC23&lt;=Factores!$D$3,AG23,"")</f>
        <v>24.906063544884482</v>
      </c>
      <c r="GB23" s="780">
        <f>IF($FC23&lt;=Factores!$D$3,AI23,"")</f>
        <v>1019.8931763519793</v>
      </c>
      <c r="GC23" s="782">
        <f>IF($FC23&lt;=Factores!$D$3,AJ23,"")</f>
        <v>13835.395409183016</v>
      </c>
      <c r="GD23" s="780">
        <f>IF($FC23&lt;=Factores!$D$3,AN23,"")</f>
        <v>2990</v>
      </c>
      <c r="GE23" s="539">
        <f>IF($FC23&lt;=Factores!$D$3,AO23,"")</f>
        <v>29.815510333934824</v>
      </c>
      <c r="GF23" s="782">
        <f>IF($FC23&lt;=Factores!$D$3,AP23,"")</f>
        <v>891.48375898465122</v>
      </c>
      <c r="GG23" s="2072">
        <f>IF($FC23&lt;=Factores!$D$3,BI23,"")</f>
        <v>18.341810177800259</v>
      </c>
      <c r="GH23" s="2073">
        <f>IF($FC23&lt;=Factores!$D$3,BJ23,"")</f>
        <v>825.38145800101165</v>
      </c>
      <c r="GI23" s="2069">
        <f>+'Plan mina ST'!AN58</f>
        <v>0</v>
      </c>
      <c r="GJ23" s="2065">
        <f t="shared" si="14"/>
        <v>46097.791666666664</v>
      </c>
      <c r="GK23" s="2067">
        <f>+'Plan mina ST'!J21</f>
        <v>4.663619066862118E-2</v>
      </c>
      <c r="GL23" s="818">
        <f t="shared" si="15"/>
        <v>1.8490649257647926</v>
      </c>
      <c r="GM23" s="539">
        <f t="shared" si="118"/>
        <v>6150.9592264566318</v>
      </c>
      <c r="GN23" s="2077">
        <f t="shared" si="119"/>
        <v>66216.40417817526</v>
      </c>
      <c r="GO23" s="818">
        <f>+'Plan mina ST'!K21</f>
        <v>1.4709506745911181</v>
      </c>
      <c r="GP23" s="818">
        <f t="shared" si="16"/>
        <v>66.652915096234821</v>
      </c>
      <c r="GQ23" s="539">
        <f t="shared" si="17"/>
        <v>221722.5351953741</v>
      </c>
      <c r="GR23" s="539">
        <f t="shared" si="120"/>
        <v>2688632.0818203012</v>
      </c>
      <c r="GS23" s="781">
        <f>+'Plan mina ST'!V21</f>
        <v>18.341810177800259</v>
      </c>
      <c r="GT23" s="782">
        <f t="shared" si="18"/>
        <v>825.38145800101165</v>
      </c>
      <c r="GU23" s="2072">
        <f>IF($FC23&lt;=Factores!$D$3,AT23,"")</f>
        <v>35.57410957317115</v>
      </c>
      <c r="GW23" s="781">
        <f>+'Plan mina ST'!AI21</f>
        <v>1.6917707748291084</v>
      </c>
      <c r="GX23" s="2078">
        <v>0.5</v>
      </c>
      <c r="GY23" s="819"/>
      <c r="GZ23" s="2065">
        <f t="shared" si="19"/>
        <v>46097.791666666664</v>
      </c>
      <c r="HA23" s="780" t="str">
        <f>IF($FC23&gt;Factores!$D$3,'ST Original'!C23,"")</f>
        <v/>
      </c>
      <c r="HB23" s="782" t="str">
        <f>IF($FC23&gt;Factores!$D$3,'ST Original'!D23,"")</f>
        <v/>
      </c>
      <c r="HC23" s="780" t="str">
        <f>IF($FC23&gt;Factores!$D$3,'ST Original'!E23,"")</f>
        <v/>
      </c>
      <c r="HD23" s="782"/>
      <c r="HE23" s="2064" t="str">
        <f>IF($FC23&gt;Factores!$D$3,'ST Original'!J23,"")</f>
        <v/>
      </c>
      <c r="HF23" s="781" t="str">
        <f>IF($FC23&gt;Factores!$D$3,'ST Original'!BT23,"")</f>
        <v/>
      </c>
      <c r="HG23" s="781" t="str">
        <f>IF($FC23&gt;Factores!$D$3,'ST Original'!K23,"")</f>
        <v/>
      </c>
      <c r="HH23" s="2066" t="str">
        <f>IF($FC23&gt;Factores!$D$3,'ST Original'!L23,"")</f>
        <v/>
      </c>
      <c r="HI23" s="781" t="str">
        <f>IF($FC23&gt;Factores!$D$3,'ST Original'!M23,"")</f>
        <v/>
      </c>
      <c r="HJ23" s="781" t="str">
        <f>IF($FC23&gt;Factores!$D$3,'ST Original'!N23,"")</f>
        <v/>
      </c>
      <c r="HK23" s="780" t="str">
        <f>IF($FC23&gt;Factores!$D$3,'ST Original'!O23,"")</f>
        <v/>
      </c>
      <c r="HL23" s="539" t="str">
        <f>IF($FC23&gt;Factores!$D$3,'ST Original'!R23,"")</f>
        <v/>
      </c>
      <c r="HM23" s="780" t="str">
        <f>IF($FC23&gt;Factores!$D$3,'ST Original'!S23,"")</f>
        <v/>
      </c>
      <c r="HN23" s="782" t="str">
        <f>IF($FC23&gt;Factores!$D$3,'ST Original'!V23,"")</f>
        <v/>
      </c>
      <c r="HO23" s="780" t="str">
        <f>IF($FC23&gt;Factores!$D$3,'ST Original'!W23,"")</f>
        <v/>
      </c>
      <c r="HP23" s="819" t="str">
        <f>IF($FC23&gt;Factores!$D$3,'ST Original'!X23,"")</f>
        <v/>
      </c>
      <c r="HQ23" s="819" t="str">
        <f>IF($FC23&gt;Factores!$D$3,'ST Original'!Y23,"")</f>
        <v/>
      </c>
      <c r="HR23" s="819" t="str">
        <f>IF($FC23&gt;Factores!$D$3,'ST Original'!Z23,"")</f>
        <v/>
      </c>
      <c r="HS23" s="819" t="str">
        <f>IF($FC23&gt;Factores!$D$3,'ST Original'!AA23,"")</f>
        <v/>
      </c>
      <c r="HT23" s="539" t="str">
        <f>IF($FC23&gt;Factores!$D$3,'ST Original'!AB23,"")</f>
        <v/>
      </c>
      <c r="HU23" s="539" t="str">
        <f>IF($FC23&gt;Factores!$D$3,'ST Original'!AC23,"")</f>
        <v/>
      </c>
      <c r="HV23" s="819" t="str">
        <f>IF($FC23&gt;Factores!$D$3,AE23,"")</f>
        <v/>
      </c>
      <c r="HW23" s="782" t="str">
        <f>IF($FC23&gt;Factores!$D$3,AF23,"")</f>
        <v/>
      </c>
      <c r="HX23" s="539" t="str">
        <f>IF($FC23&gt;Factores!$D$3,AG23,"")</f>
        <v/>
      </c>
      <c r="HY23" s="780" t="str">
        <f>IF($FC23&gt;Factores!$D$3,AI23,"")</f>
        <v/>
      </c>
      <c r="HZ23" s="782" t="str">
        <f>IF($FC23&gt;Factores!$D$3,AJ23,"")</f>
        <v/>
      </c>
      <c r="IA23" s="780" t="str">
        <f>IF($FC23&gt;Factores!$D$3,AN23,"")</f>
        <v/>
      </c>
      <c r="IB23" s="539" t="str">
        <f>IF($FC23&gt;Factores!$D$3,AO23,"")</f>
        <v/>
      </c>
      <c r="IC23" s="782" t="str">
        <f>IF($FC23&gt;Factores!$D$3,AP23,"")</f>
        <v/>
      </c>
      <c r="ID23" s="2072" t="str">
        <f>IF($FC23&gt;Factores!$D$3,BI23,"")</f>
        <v/>
      </c>
      <c r="IE23" s="2073" t="str">
        <f>IF($FC23&gt;Factores!$D$3,BJ23,"")</f>
        <v/>
      </c>
      <c r="IF23" s="4237">
        <f t="shared" si="20"/>
        <v>188417.71772616252</v>
      </c>
      <c r="IG23" s="4237">
        <f t="shared" si="124"/>
        <v>2746598.2115736301</v>
      </c>
      <c r="IH23" s="4234">
        <f t="shared" si="121"/>
        <v>0.54811213262379888</v>
      </c>
      <c r="II23" s="342">
        <f>SUMPRODUCT(IH$8:IH23,IF$8:IF23)/IG23</f>
        <v>0.50875585965609604</v>
      </c>
      <c r="IJ23" s="4235">
        <f t="shared" si="122"/>
        <v>91.764641420674238</v>
      </c>
      <c r="IK23" s="342" cm="1">
        <f t="array" ref="IK23">SUMPRODUCT(IJ$8:IJ23,IF$8:IF23/IG23)</f>
        <v>90.260394674088587</v>
      </c>
    </row>
    <row r="24" spans="1:245" s="744" customFormat="1" ht="14.25" customHeight="1">
      <c r="A24" s="4636"/>
      <c r="B24" s="2133">
        <f t="shared" si="21"/>
        <v>46098.791666666664</v>
      </c>
      <c r="C24" s="2134">
        <f>+'Plan mina ST'!N59*1000</f>
        <v>220000.00000003117</v>
      </c>
      <c r="D24" s="2134">
        <f>+'Plan mina ST'!M59*1000</f>
        <v>626162.21235726215</v>
      </c>
      <c r="E24" s="2134">
        <f>(('Plan mina ST'!O59*1000))</f>
        <v>187244.92486622711</v>
      </c>
      <c r="F24" s="2134">
        <f>+'Plan mina ST'!J59*1000</f>
        <v>40371.721140023066</v>
      </c>
      <c r="G24" s="2134">
        <f t="shared" si="22"/>
        <v>146873.20372620405</v>
      </c>
      <c r="H24" s="2135">
        <f t="shared" si="23"/>
        <v>92.497227398313214</v>
      </c>
      <c r="I24" s="2135">
        <f t="shared" si="24"/>
        <v>97.12989278992228</v>
      </c>
      <c r="J24" s="2135">
        <f t="shared" si="25"/>
        <v>93.350610690101519</v>
      </c>
      <c r="K24" s="2135">
        <f>+'Plan mina ST'!AM22*100</f>
        <v>97.974412537248284</v>
      </c>
      <c r="L24" s="2135">
        <f>'Plan mina ST'!D22</f>
        <v>0.54513115631698694</v>
      </c>
      <c r="M24" s="2135">
        <f>'Plan mina ST'!C22</f>
        <v>90.697314111280107</v>
      </c>
      <c r="N24" s="2136">
        <f>'Plan mina ST'!B22</f>
        <v>27.911463669552148</v>
      </c>
      <c r="O24" s="2134">
        <f t="shared" si="133"/>
        <v>3316.8274150967682</v>
      </c>
      <c r="P24" s="2134">
        <f t="shared" si="134"/>
        <v>2601.6890391566117</v>
      </c>
      <c r="Q24" s="2134">
        <f t="shared" si="3"/>
        <v>715.13837594015627</v>
      </c>
      <c r="R24" s="2134">
        <f t="shared" si="135"/>
        <v>51308.583194143299</v>
      </c>
      <c r="S24" s="2134">
        <f t="shared" si="136"/>
        <v>925.77507894648011</v>
      </c>
      <c r="T24" s="2134">
        <f t="shared" si="137"/>
        <v>726.169490958918</v>
      </c>
      <c r="U24" s="2134">
        <f t="shared" si="138"/>
        <v>199.60558798756199</v>
      </c>
      <c r="V24" s="2134">
        <f t="shared" si="139"/>
        <v>13540.082306500699</v>
      </c>
      <c r="W24" s="2134">
        <f>+'Plan mina ST'!E22</f>
        <v>210.71505553652881</v>
      </c>
      <c r="X24" s="2135">
        <f t="shared" si="28"/>
        <v>92.221481898540276</v>
      </c>
      <c r="Y24" s="3930">
        <f t="shared" si="140"/>
        <v>86.828183115032971</v>
      </c>
      <c r="Z24" s="2135">
        <f t="shared" si="30"/>
        <v>80.07423717426154</v>
      </c>
      <c r="AA24" s="2136">
        <v>50</v>
      </c>
      <c r="AB24" s="2134">
        <f t="shared" si="141"/>
        <v>63.18710062376087</v>
      </c>
      <c r="AC24" s="2134">
        <f t="shared" si="142"/>
        <v>63.18710062376087</v>
      </c>
      <c r="AD24" s="2134">
        <f t="shared" si="143"/>
        <v>63.18710062376087</v>
      </c>
      <c r="AE24" s="2134">
        <f t="shared" si="144"/>
        <v>31.593550311880435</v>
      </c>
      <c r="AF24" s="2134">
        <f t="shared" si="145"/>
        <v>452.80368540287702</v>
      </c>
      <c r="AG24" s="2134">
        <f t="shared" si="146"/>
        <v>31.593550311880435</v>
      </c>
      <c r="AH24" s="2134">
        <f t="shared" si="147"/>
        <v>303.65743099423651</v>
      </c>
      <c r="AI24" s="2134">
        <f t="shared" si="9"/>
        <v>1017.3647813006215</v>
      </c>
      <c r="AJ24" s="2134">
        <f t="shared" si="148"/>
        <v>14852.760190483637</v>
      </c>
      <c r="AK24" s="3916">
        <v>2990</v>
      </c>
      <c r="AL24" s="2136">
        <f t="shared" si="126"/>
        <v>28.488910364507881</v>
      </c>
      <c r="AM24" s="2134">
        <f t="shared" si="149"/>
        <v>851.81841989878569</v>
      </c>
      <c r="AN24" s="2134">
        <f t="shared" si="123"/>
        <v>2990</v>
      </c>
      <c r="AO24" s="2136">
        <f t="shared" si="36"/>
        <v>30.189318413634609</v>
      </c>
      <c r="AP24" s="2134">
        <f t="shared" si="150"/>
        <v>902.66062056767475</v>
      </c>
      <c r="AQ24" s="2134">
        <f t="shared" si="151"/>
        <v>1.9612836987026756</v>
      </c>
      <c r="AR24" s="2134">
        <f t="shared" si="38"/>
        <v>3547.322063980881</v>
      </c>
      <c r="AS24" s="2134">
        <f t="shared" si="39"/>
        <v>326.82741509676816</v>
      </c>
      <c r="AT24" s="2136">
        <f>+'Recalculos ST'!E25</f>
        <v>37.024870781020738</v>
      </c>
      <c r="AU24" s="2134">
        <f>+'MCP ST'!V18</f>
        <v>93.683253716619816</v>
      </c>
      <c r="AV24" s="3973">
        <f>+Factores!$D$24</f>
        <v>0.96199999999999997</v>
      </c>
      <c r="AW24" s="2134">
        <f t="shared" si="40"/>
        <v>868.35951698610313</v>
      </c>
      <c r="AX24" s="2376">
        <f>'Plan mina ST'!AK22/25.4</f>
        <v>4.2992734589478818</v>
      </c>
      <c r="AY24" s="2718">
        <f>+'Recalculos ST'!AK25</f>
        <v>188.05777003359086</v>
      </c>
      <c r="AZ24" s="2138">
        <f>'Plan mina ST'!O22*BA24/1000000*0.79</f>
        <v>1.9612836987026756</v>
      </c>
      <c r="BA24" s="2137">
        <f t="shared" si="152"/>
        <v>7801.8718694261297</v>
      </c>
      <c r="BB24" s="2138">
        <f>'Plan mina ST'!O22*'ST Original'!BT24/1000000*0.8</f>
        <v>2.1290597474656603</v>
      </c>
      <c r="BC24" s="4640"/>
      <c r="BD24" s="2148">
        <f t="shared" si="12"/>
        <v>46098.791666666664</v>
      </c>
      <c r="BE24" s="2149">
        <f>'Plan mina ST'!J22</f>
        <v>5.5605693373704385E-2</v>
      </c>
      <c r="BF24" s="2150">
        <f t="shared" si="42"/>
        <v>1.9240461414422203</v>
      </c>
      <c r="BG24" s="2151">
        <f>'Plan mina ST'!K22</f>
        <v>1.5515431351514475</v>
      </c>
      <c r="BH24" s="2150">
        <f t="shared" si="43"/>
        <v>53.685880012441515</v>
      </c>
      <c r="BI24" s="2151">
        <f>'Plan mina ST'!V22</f>
        <v>21.341985226593096</v>
      </c>
      <c r="BJ24" s="2152">
        <f t="shared" si="44"/>
        <v>960.38933519668933</v>
      </c>
      <c r="BK24" s="3395">
        <f>'Plan mina ST'!AI22</f>
        <v>1.5524428163127619</v>
      </c>
      <c r="BL24" s="3399">
        <f>'Recalculos ST'!T25</f>
        <v>6.1432454247488293</v>
      </c>
      <c r="BM24" s="3391">
        <f t="shared" si="45"/>
        <v>11.027246234622163</v>
      </c>
      <c r="BN24" s="3391">
        <f t="shared" si="46"/>
        <v>13.287102081005418</v>
      </c>
      <c r="BO24" s="3391">
        <f t="shared" si="47"/>
        <v>13.287102081005418</v>
      </c>
      <c r="BP24" s="3391">
        <f t="shared" si="48"/>
        <v>37.601450396632998</v>
      </c>
      <c r="BQ24" s="3400">
        <f t="shared" si="49"/>
        <v>14.469959964817026</v>
      </c>
      <c r="BR24" s="3397">
        <f t="shared" si="50"/>
        <v>6616.1083894680796</v>
      </c>
      <c r="BS24" s="2137">
        <f t="shared" si="51"/>
        <v>1732.1620468139899</v>
      </c>
      <c r="BT24" s="3344">
        <f t="shared" si="52"/>
        <v>8363.4092411153415</v>
      </c>
      <c r="BU24" s="3345">
        <f t="shared" si="53"/>
        <v>2205.752406282118</v>
      </c>
      <c r="BV24" s="3345">
        <f t="shared" si="54"/>
        <v>2205.7524062821176</v>
      </c>
      <c r="BW24" s="3345">
        <f t="shared" si="55"/>
        <v>2205.7524062821176</v>
      </c>
      <c r="BX24" s="3346">
        <f t="shared" si="56"/>
        <v>81.379017972591868</v>
      </c>
      <c r="BY24" s="3346">
        <f t="shared" si="57"/>
        <v>98.056332111173916</v>
      </c>
      <c r="BZ24" s="3346">
        <f t="shared" si="58"/>
        <v>98.056332111173916</v>
      </c>
      <c r="CA24" s="3346">
        <f t="shared" si="59"/>
        <v>97.12989278992228</v>
      </c>
      <c r="CB24" s="3346">
        <f t="shared" si="60"/>
        <v>93.350398888116743</v>
      </c>
      <c r="CC24" s="3623">
        <f t="shared" si="61"/>
        <v>92.497227398313214</v>
      </c>
      <c r="CD24" s="3348">
        <f t="shared" si="62"/>
        <v>82.20952078199123</v>
      </c>
      <c r="CE24" s="3348">
        <f t="shared" si="63"/>
        <v>98.886834920573264</v>
      </c>
      <c r="CF24" s="3348">
        <f t="shared" si="64"/>
        <v>98.886834920573264</v>
      </c>
      <c r="CG24" s="3348">
        <f t="shared" si="65"/>
        <v>98.356250499976611</v>
      </c>
      <c r="CH24" s="3346">
        <f t="shared" si="66"/>
        <v>94.253804030576788</v>
      </c>
      <c r="CI24" s="3347">
        <f t="shared" si="67"/>
        <v>25.366810904670949</v>
      </c>
      <c r="CJ24" s="3898">
        <f t="shared" si="68"/>
        <v>5.3618310000000005</v>
      </c>
      <c r="CK24" s="3899">
        <f t="shared" si="69"/>
        <v>6.4495510000000005</v>
      </c>
      <c r="CL24" s="3899">
        <f t="shared" si="70"/>
        <v>6.4495510000000005</v>
      </c>
      <c r="CM24" s="3900">
        <f t="shared" si="71"/>
        <v>4.3442710000000009</v>
      </c>
      <c r="CN24" s="3900">
        <f t="shared" si="72"/>
        <v>22.605204000000001</v>
      </c>
      <c r="CO24" s="3898">
        <f t="shared" si="73"/>
        <v>5.3076643333333333</v>
      </c>
      <c r="CP24" s="3899">
        <f t="shared" si="74"/>
        <v>6.3953843333333333</v>
      </c>
      <c r="CQ24" s="3899">
        <f t="shared" si="75"/>
        <v>6.3953843333333333</v>
      </c>
      <c r="CR24" s="3900">
        <f t="shared" si="76"/>
        <v>4.2901043333333337</v>
      </c>
      <c r="CS24" s="3900">
        <f t="shared" si="77"/>
        <v>22.388537333333336</v>
      </c>
      <c r="CT24" s="3357">
        <f t="shared" si="78"/>
        <v>6.5217878333333337</v>
      </c>
      <c r="CU24" s="2153">
        <f t="shared" si="79"/>
        <v>6.5217878333333337</v>
      </c>
      <c r="CV24" s="2153">
        <f t="shared" si="80"/>
        <v>6.5217878333333337</v>
      </c>
      <c r="CW24" s="3358">
        <f t="shared" si="81"/>
        <v>4.4179698333333342</v>
      </c>
      <c r="CX24" s="3898">
        <f t="shared" si="82"/>
        <v>1.08772</v>
      </c>
      <c r="CY24" s="3899">
        <f t="shared" si="83"/>
        <v>0</v>
      </c>
      <c r="CZ24" s="3899">
        <f t="shared" si="84"/>
        <v>0</v>
      </c>
      <c r="DA24" s="3900">
        <f t="shared" si="85"/>
        <v>0</v>
      </c>
      <c r="DB24" s="3898">
        <f t="shared" si="86"/>
        <v>1.1603223333333335</v>
      </c>
      <c r="DC24" s="3899">
        <f t="shared" si="87"/>
        <v>7.2602333333333338E-2</v>
      </c>
      <c r="DD24" s="3899">
        <f t="shared" si="88"/>
        <v>7.2602333333333338E-2</v>
      </c>
      <c r="DE24" s="3900">
        <f t="shared" si="89"/>
        <v>7.2602333333333338E-2</v>
      </c>
      <c r="DF24" s="3900">
        <f t="shared" si="90"/>
        <v>1.3781293333333338</v>
      </c>
      <c r="DG24" s="3898">
        <f t="shared" si="91"/>
        <v>1.2144890000000002</v>
      </c>
      <c r="DH24" s="3899">
        <f t="shared" si="92"/>
        <v>0.12676900000000002</v>
      </c>
      <c r="DI24" s="3899">
        <f t="shared" si="93"/>
        <v>0.12676900000000002</v>
      </c>
      <c r="DJ24" s="3900">
        <f t="shared" si="94"/>
        <v>0.12676900000000002</v>
      </c>
      <c r="DK24" s="3900">
        <f t="shared" si="95"/>
        <v>1.5947960000000001</v>
      </c>
      <c r="DL24" s="2137">
        <v>4</v>
      </c>
      <c r="DM24" s="2137">
        <v>0</v>
      </c>
      <c r="DN24" s="2137">
        <v>0</v>
      </c>
      <c r="DO24" s="2137">
        <v>0</v>
      </c>
      <c r="DP24" s="2137">
        <v>0</v>
      </c>
      <c r="DQ24" s="2137">
        <v>0</v>
      </c>
      <c r="DR24" s="2137">
        <v>0</v>
      </c>
      <c r="DS24" s="2137">
        <v>0</v>
      </c>
      <c r="DT24" s="2137">
        <v>0</v>
      </c>
      <c r="DU24" s="2137">
        <v>0</v>
      </c>
      <c r="DV24" s="2137">
        <v>0</v>
      </c>
      <c r="DW24" s="2579">
        <f t="shared" si="96"/>
        <v>7.2602333333333338E-2</v>
      </c>
      <c r="DX24" s="2579">
        <f t="shared" si="97"/>
        <v>7.2602333333333338E-2</v>
      </c>
      <c r="DY24" s="2579">
        <f t="shared" si="98"/>
        <v>7.2602333333333338E-2</v>
      </c>
      <c r="DZ24" s="2579">
        <f t="shared" si="99"/>
        <v>7.2602333333333338E-2</v>
      </c>
      <c r="EA24" s="2579">
        <f t="shared" si="100"/>
        <v>0</v>
      </c>
      <c r="EB24" s="2579">
        <f t="shared" si="101"/>
        <v>0</v>
      </c>
      <c r="EC24" s="2579">
        <f t="shared" si="102"/>
        <v>0</v>
      </c>
      <c r="ED24" s="2579">
        <f t="shared" si="103"/>
        <v>0</v>
      </c>
      <c r="EE24" s="2579">
        <f t="shared" si="104"/>
        <v>0.05</v>
      </c>
      <c r="EF24" s="2579">
        <f t="shared" si="105"/>
        <v>0.05</v>
      </c>
      <c r="EG24" s="2579">
        <f t="shared" si="106"/>
        <v>0.05</v>
      </c>
      <c r="EH24" s="2579">
        <f t="shared" si="127"/>
        <v>0.05</v>
      </c>
      <c r="EI24" s="2579">
        <f t="shared" si="108"/>
        <v>4.1666666666666666E-3</v>
      </c>
      <c r="EJ24" s="2579">
        <f t="shared" si="109"/>
        <v>4.1666666666666666E-3</v>
      </c>
      <c r="EK24" s="2579">
        <f t="shared" si="110"/>
        <v>4.1666666666666666E-3</v>
      </c>
      <c r="EL24" s="2579">
        <f t="shared" si="111"/>
        <v>4.1666666666666666E-3</v>
      </c>
      <c r="EM24" s="3901">
        <f t="shared" si="129"/>
        <v>4.1666666666666666E-3</v>
      </c>
      <c r="EN24" s="3901">
        <f t="shared" si="130"/>
        <v>4.1666666666666666E-3</v>
      </c>
      <c r="EO24" s="3901">
        <f t="shared" si="131"/>
        <v>4.1666666666666666E-3</v>
      </c>
      <c r="EP24" s="3901">
        <f t="shared" si="132"/>
        <v>4.1666666666666666E-3</v>
      </c>
      <c r="EQ24" s="3319">
        <f t="shared" si="116"/>
        <v>1.6666666666666666E-2</v>
      </c>
      <c r="ER24" s="809">
        <f>+'MCP ST'!H18</f>
        <v>1.5847637194596722</v>
      </c>
      <c r="ES24" s="4235">
        <f t="shared" si="117"/>
        <v>1.3947960000000004</v>
      </c>
      <c r="EV24" s="3319"/>
      <c r="EW24" s="3321"/>
      <c r="EX24" s="3321"/>
      <c r="EY24" s="3321"/>
      <c r="EZ24" s="2154">
        <f>+'Plan mina ST'!AM22</f>
        <v>0.97974412537248279</v>
      </c>
      <c r="FA24" s="2067">
        <f>IF($FC24&lt;=Factores!$D$3,AX24,"")</f>
        <v>4.2992734589478818</v>
      </c>
      <c r="FB24" s="2076"/>
      <c r="FC24" s="2065">
        <f t="shared" si="13"/>
        <v>46098.791666666664</v>
      </c>
      <c r="FD24" s="780">
        <f>IF($FC24&lt;=Factores!$D$3,'ST Original'!C24,"")</f>
        <v>220000.00000003117</v>
      </c>
      <c r="FE24" s="782">
        <f>IF($FC24&lt;=Factores!$D$3,'ST Original'!D24,"")</f>
        <v>626162.21235726215</v>
      </c>
      <c r="FF24" s="780">
        <f>IF($FC24&lt;=Factores!$D$3,'ST Original'!E24,"")</f>
        <v>187244.92486622711</v>
      </c>
      <c r="FG24" s="782"/>
      <c r="FH24" s="2064">
        <f>IF($FC24&lt;=Factores!$D$3,'ST Original'!J24,"")</f>
        <v>93.350610690101519</v>
      </c>
      <c r="FI24" s="781">
        <f>IF($FC24&lt;=Factores!$D$3,'ST Original'!BT24,"")</f>
        <v>8363.4092411153415</v>
      </c>
      <c r="FJ24" s="781">
        <f>IF($FC24&lt;=Factores!$D$3,'ST Original'!K24,"")</f>
        <v>97.974412537248284</v>
      </c>
      <c r="FK24" s="2066">
        <f>IF($FC24&lt;=Factores!$D$3,'ST Original'!L24,"")</f>
        <v>0.54513115631698694</v>
      </c>
      <c r="FL24" s="781">
        <f>IF($FC24&lt;=Factores!$D$3,'ST Original'!M24,"")</f>
        <v>90.697314111280107</v>
      </c>
      <c r="FM24" s="781">
        <f>IF($FC24&lt;=Factores!$D$3,'ST Original'!N24,"")</f>
        <v>27.911463669552148</v>
      </c>
      <c r="FN24" s="780">
        <f>IF($FC24&lt;=Factores!$D$3,'ST Original'!O24,"")</f>
        <v>3316.8274150967682</v>
      </c>
      <c r="FO24" s="539">
        <f>IF($FC24&lt;=Factores!$D$3,'ST Original'!R24,"")</f>
        <v>51308.583194143299</v>
      </c>
      <c r="FP24" s="780">
        <f>IF($FC24&lt;=Factores!$D$3,'ST Original'!S24,"")</f>
        <v>925.77507894648011</v>
      </c>
      <c r="FQ24" s="782">
        <f>IF($FC24&lt;=Factores!$D$3,'ST Original'!V24,"")</f>
        <v>13540.082306500699</v>
      </c>
      <c r="FR24" s="780">
        <f>IF($FC24&lt;=Factores!$D$3,'ST Original'!W24,"")</f>
        <v>210.71505553652881</v>
      </c>
      <c r="FS24" s="819">
        <f>IF($FC24&lt;=Factores!$D$3,'ST Original'!X24,"")</f>
        <v>92.221481898540276</v>
      </c>
      <c r="FT24" s="819">
        <f>IF($FC24&lt;=Factores!$D$3,'ST Original'!Y24,"")</f>
        <v>86.828183115032971</v>
      </c>
      <c r="FU24" s="819">
        <f>IF($FC24&lt;=Factores!$D$3,'ST Original'!Z24,"")</f>
        <v>80.07423717426154</v>
      </c>
      <c r="FV24" s="819">
        <f>IF($FC24&lt;=Factores!$D$3,'ST Original'!AA24,"")</f>
        <v>50</v>
      </c>
      <c r="FW24" s="539">
        <f>IF($FC24&lt;=Factores!$D$3,'ST Original'!AB24,"")</f>
        <v>63.18710062376087</v>
      </c>
      <c r="FX24" s="539">
        <f>IF($FC24&lt;=Factores!$D$3,'ST Original'!AC24,"")</f>
        <v>63.18710062376087</v>
      </c>
      <c r="FY24" s="819">
        <f>IF($FC24&lt;=Factores!$D$3,AE24,"")</f>
        <v>31.593550311880435</v>
      </c>
      <c r="FZ24" s="782">
        <f>IF($FC24&lt;=Factores!$D$3,AF24,"")</f>
        <v>452.80368540287702</v>
      </c>
      <c r="GA24" s="539">
        <f>IF($FC24&lt;=Factores!$D$3,AG24,"")</f>
        <v>31.593550311880435</v>
      </c>
      <c r="GB24" s="780">
        <f>IF($FC24&lt;=Factores!$D$3,AI24,"")</f>
        <v>1017.3647813006215</v>
      </c>
      <c r="GC24" s="782">
        <f>IF($FC24&lt;=Factores!$D$3,AJ24,"")</f>
        <v>14852.760190483637</v>
      </c>
      <c r="GD24" s="780">
        <f>IF($FC24&lt;=Factores!$D$3,AN24,"")</f>
        <v>2990</v>
      </c>
      <c r="GE24" s="539">
        <f>IF($FC24&lt;=Factores!$D$3,AO24,"")</f>
        <v>30.189318413634609</v>
      </c>
      <c r="GF24" s="782">
        <f>IF($FC24&lt;=Factores!$D$3,AP24,"")</f>
        <v>902.66062056767475</v>
      </c>
      <c r="GG24" s="2072">
        <f>IF($FC24&lt;=Factores!$D$3,BI24,"")</f>
        <v>21.341985226593096</v>
      </c>
      <c r="GH24" s="2073">
        <f>IF($FC24&lt;=Factores!$D$3,BJ24,"")</f>
        <v>960.38933519668933</v>
      </c>
      <c r="GI24" s="2069">
        <f>+'Plan mina ST'!AN59</f>
        <v>0</v>
      </c>
      <c r="GJ24" s="2065">
        <f t="shared" si="14"/>
        <v>46098.791666666664</v>
      </c>
      <c r="GK24" s="2067">
        <f>+'Plan mina ST'!J22</f>
        <v>5.5605693373704385E-2</v>
      </c>
      <c r="GL24" s="818">
        <f t="shared" si="15"/>
        <v>2.1973765295572312</v>
      </c>
      <c r="GM24" s="539">
        <f t="shared" si="118"/>
        <v>7288.3187145256179</v>
      </c>
      <c r="GN24" s="2077">
        <f t="shared" si="119"/>
        <v>73504.722892700884</v>
      </c>
      <c r="GO24" s="818">
        <f>+'Plan mina ST'!K22</f>
        <v>1.5515431351514475</v>
      </c>
      <c r="GP24" s="818">
        <f t="shared" si="16"/>
        <v>70.071436685750484</v>
      </c>
      <c r="GQ24" s="539">
        <f t="shared" si="17"/>
        <v>232414.86221451461</v>
      </c>
      <c r="GR24" s="539">
        <f t="shared" si="120"/>
        <v>2921046.9440348158</v>
      </c>
      <c r="GS24" s="781">
        <f>+'Plan mina ST'!V22</f>
        <v>21.341985226593096</v>
      </c>
      <c r="GT24" s="782">
        <f t="shared" si="18"/>
        <v>960.38933519668933</v>
      </c>
      <c r="GU24" s="2072">
        <f>IF($FC24&lt;=Factores!$D$3,AT24,"")</f>
        <v>37.024870781020738</v>
      </c>
      <c r="GW24" s="781">
        <f>+'Plan mina ST'!AI22</f>
        <v>1.5524428163127619</v>
      </c>
      <c r="GX24" s="2078">
        <v>0.5</v>
      </c>
      <c r="GY24" s="819"/>
      <c r="GZ24" s="2065">
        <f t="shared" si="19"/>
        <v>46098.791666666664</v>
      </c>
      <c r="HA24" s="780" t="str">
        <f>IF($FC24&gt;Factores!$D$3,'ST Original'!C24,"")</f>
        <v/>
      </c>
      <c r="HB24" s="782" t="str">
        <f>IF($FC24&gt;Factores!$D$3,'ST Original'!D24,"")</f>
        <v/>
      </c>
      <c r="HC24" s="780" t="str">
        <f>IF($FC24&gt;Factores!$D$3,'ST Original'!E24,"")</f>
        <v/>
      </c>
      <c r="HD24" s="782"/>
      <c r="HE24" s="2064" t="str">
        <f>IF($FC24&gt;Factores!$D$3,'ST Original'!J24,"")</f>
        <v/>
      </c>
      <c r="HF24" s="781" t="str">
        <f>IF($FC24&gt;Factores!$D$3,'ST Original'!BT24,"")</f>
        <v/>
      </c>
      <c r="HG24" s="781" t="str">
        <f>IF($FC24&gt;Factores!$D$3,'ST Original'!K24,"")</f>
        <v/>
      </c>
      <c r="HH24" s="2066" t="str">
        <f>IF($FC24&gt;Factores!$D$3,'ST Original'!L24,"")</f>
        <v/>
      </c>
      <c r="HI24" s="781" t="str">
        <f>IF($FC24&gt;Factores!$D$3,'ST Original'!M24,"")</f>
        <v/>
      </c>
      <c r="HJ24" s="781" t="str">
        <f>IF($FC24&gt;Factores!$D$3,'ST Original'!N24,"")</f>
        <v/>
      </c>
      <c r="HK24" s="780" t="str">
        <f>IF($FC24&gt;Factores!$D$3,'ST Original'!O24,"")</f>
        <v/>
      </c>
      <c r="HL24" s="539" t="str">
        <f>IF($FC24&gt;Factores!$D$3,'ST Original'!R24,"")</f>
        <v/>
      </c>
      <c r="HM24" s="780" t="str">
        <f>IF($FC24&gt;Factores!$D$3,'ST Original'!S24,"")</f>
        <v/>
      </c>
      <c r="HN24" s="782" t="str">
        <f>IF($FC24&gt;Factores!$D$3,'ST Original'!V24,"")</f>
        <v/>
      </c>
      <c r="HO24" s="780" t="str">
        <f>IF($FC24&gt;Factores!$D$3,'ST Original'!W24,"")</f>
        <v/>
      </c>
      <c r="HP24" s="819" t="str">
        <f>IF($FC24&gt;Factores!$D$3,'ST Original'!X24,"")</f>
        <v/>
      </c>
      <c r="HQ24" s="819" t="str">
        <f>IF($FC24&gt;Factores!$D$3,'ST Original'!Y24,"")</f>
        <v/>
      </c>
      <c r="HR24" s="819" t="str">
        <f>IF($FC24&gt;Factores!$D$3,'ST Original'!Z24,"")</f>
        <v/>
      </c>
      <c r="HS24" s="819" t="str">
        <f>IF($FC24&gt;Factores!$D$3,'ST Original'!AA24,"")</f>
        <v/>
      </c>
      <c r="HT24" s="539" t="str">
        <f>IF($FC24&gt;Factores!$D$3,'ST Original'!AB24,"")</f>
        <v/>
      </c>
      <c r="HU24" s="539" t="str">
        <f>IF($FC24&gt;Factores!$D$3,'ST Original'!AC24,"")</f>
        <v/>
      </c>
      <c r="HV24" s="819" t="str">
        <f>IF($FC24&gt;Factores!$D$3,AE24,"")</f>
        <v/>
      </c>
      <c r="HW24" s="782" t="str">
        <f>IF($FC24&gt;Factores!$D$3,AF24,"")</f>
        <v/>
      </c>
      <c r="HX24" s="539" t="str">
        <f>IF($FC24&gt;Factores!$D$3,AG24,"")</f>
        <v/>
      </c>
      <c r="HY24" s="780" t="str">
        <f>IF($FC24&gt;Factores!$D$3,AI24,"")</f>
        <v/>
      </c>
      <c r="HZ24" s="782" t="str">
        <f>IF($FC24&gt;Factores!$D$3,AJ24,"")</f>
        <v/>
      </c>
      <c r="IA24" s="780" t="str">
        <f>IF($FC24&gt;Factores!$D$3,AN24,"")</f>
        <v/>
      </c>
      <c r="IB24" s="539" t="str">
        <f>IF($FC24&gt;Factores!$D$3,AO24,"")</f>
        <v/>
      </c>
      <c r="IC24" s="782" t="str">
        <f>IF($FC24&gt;Factores!$D$3,AP24,"")</f>
        <v/>
      </c>
      <c r="ID24" s="2072" t="str">
        <f>IF($FC24&gt;Factores!$D$3,BI24,"")</f>
        <v/>
      </c>
      <c r="IE24" s="2073" t="str">
        <f>IF($FC24&gt;Factores!$D$3,BJ24,"")</f>
        <v/>
      </c>
      <c r="IF24" s="4237">
        <f t="shared" si="20"/>
        <v>187244.92486622711</v>
      </c>
      <c r="IG24" s="4237">
        <f t="shared" si="124"/>
        <v>2933843.1364398571</v>
      </c>
      <c r="IH24" s="4234">
        <f t="shared" si="121"/>
        <v>0.54513115631698694</v>
      </c>
      <c r="II24" s="342">
        <f>SUMPRODUCT(IH$8:IH24,IF$8:IF24)/IG24</f>
        <v>0.51107741857165567</v>
      </c>
      <c r="IJ24" s="4235">
        <f t="shared" si="122"/>
        <v>90.697314111280107</v>
      </c>
      <c r="IK24" s="342" cm="1">
        <f t="array" ref="IK24">SUMPRODUCT(IJ$8:IJ24,IF$8:IF24/IG24)</f>
        <v>90.288279923362282</v>
      </c>
    </row>
    <row r="25" spans="1:245" s="744" customFormat="1" ht="14.25" customHeight="1">
      <c r="A25" s="4636"/>
      <c r="B25" s="2133">
        <f t="shared" si="21"/>
        <v>46099.791666666664</v>
      </c>
      <c r="C25" s="2134">
        <f>+'Plan mina ST'!N60*1000</f>
        <v>184999.99999976202</v>
      </c>
      <c r="D25" s="2134">
        <f>+'Plan mina ST'!M60*1000</f>
        <v>618796.75273211498</v>
      </c>
      <c r="E25" s="2134">
        <f>(('Plan mina ST'!O60*1000))</f>
        <v>192365.45962490924</v>
      </c>
      <c r="F25" s="2134">
        <f>+'Plan mina ST'!J60*1000</f>
        <v>39925.121459147937</v>
      </c>
      <c r="G25" s="2134">
        <f t="shared" si="22"/>
        <v>152440.33816576132</v>
      </c>
      <c r="H25" s="2135">
        <f t="shared" si="23"/>
        <v>98.056332111173901</v>
      </c>
      <c r="I25" s="2135">
        <f t="shared" si="24"/>
        <v>97.12989278992228</v>
      </c>
      <c r="J25" s="2135">
        <f t="shared" si="25"/>
        <v>97.885672723806138</v>
      </c>
      <c r="K25" s="2135">
        <f>+'Plan mina ST'!AM23*100</f>
        <v>87.590883446912244</v>
      </c>
      <c r="L25" s="2135">
        <f>'Plan mina ST'!D23</f>
        <v>0.56886214340434216</v>
      </c>
      <c r="M25" s="2135">
        <f>'Plan mina ST'!C23</f>
        <v>90.926839648250052</v>
      </c>
      <c r="N25" s="2136">
        <f>'Plan mina ST'!B23</f>
        <v>27.392396331005557</v>
      </c>
      <c r="O25" s="2134">
        <f t="shared" si="133"/>
        <v>3632.4211664982063</v>
      </c>
      <c r="P25" s="2134">
        <f t="shared" si="134"/>
        <v>2878.5183788251875</v>
      </c>
      <c r="Q25" s="2134">
        <f t="shared" si="3"/>
        <v>753.90278767301947</v>
      </c>
      <c r="R25" s="2134">
        <f t="shared" si="135"/>
        <v>54941.004360641506</v>
      </c>
      <c r="S25" s="2134">
        <f t="shared" si="136"/>
        <v>995.00720233852394</v>
      </c>
      <c r="T25" s="2134">
        <f t="shared" si="137"/>
        <v>788.49516278863132</v>
      </c>
      <c r="U25" s="2134">
        <f t="shared" si="138"/>
        <v>206.51203954989279</v>
      </c>
      <c r="V25" s="2134">
        <f t="shared" si="139"/>
        <v>14535.089508839223</v>
      </c>
      <c r="W25" s="2134">
        <f>+'Plan mina ST'!E23</f>
        <v>215.69511239515333</v>
      </c>
      <c r="X25" s="2135">
        <f t="shared" si="28"/>
        <v>92.30338598366572</v>
      </c>
      <c r="Y25" s="3930">
        <f t="shared" si="140"/>
        <v>86.892381009980454</v>
      </c>
      <c r="Z25" s="2135">
        <f t="shared" si="30"/>
        <v>80.204609834039715</v>
      </c>
      <c r="AA25" s="2136">
        <v>50</v>
      </c>
      <c r="AB25" s="2134">
        <f t="shared" si="141"/>
        <v>66.557457704687607</v>
      </c>
      <c r="AC25" s="2134">
        <f t="shared" si="142"/>
        <v>66.557457704687607</v>
      </c>
      <c r="AD25" s="2134">
        <f t="shared" si="143"/>
        <v>66.557457704687607</v>
      </c>
      <c r="AE25" s="2134">
        <f t="shared" si="144"/>
        <v>33.278728852343804</v>
      </c>
      <c r="AF25" s="2134">
        <f t="shared" si="145"/>
        <v>486.08241425522084</v>
      </c>
      <c r="AG25" s="2134">
        <f t="shared" si="146"/>
        <v>33.278728852343804</v>
      </c>
      <c r="AH25" s="2134">
        <f t="shared" si="147"/>
        <v>303.65743099423651</v>
      </c>
      <c r="AI25" s="2134">
        <f t="shared" si="9"/>
        <v>1091.4822372814685</v>
      </c>
      <c r="AJ25" s="2134">
        <f t="shared" si="148"/>
        <v>15944.242427765106</v>
      </c>
      <c r="AK25" s="3916">
        <v>2990</v>
      </c>
      <c r="AL25" s="2136">
        <f t="shared" si="126"/>
        <v>27.911463669552148</v>
      </c>
      <c r="AM25" s="2134">
        <f t="shared" si="149"/>
        <v>834.55276371960917</v>
      </c>
      <c r="AN25" s="2134">
        <f t="shared" si="123"/>
        <v>2990</v>
      </c>
      <c r="AO25" s="2136">
        <f t="shared" si="36"/>
        <v>28.488910364507881</v>
      </c>
      <c r="AP25" s="2134">
        <f t="shared" si="150"/>
        <v>851.81841989878569</v>
      </c>
      <c r="AQ25" s="2134">
        <f t="shared" si="151"/>
        <v>2.8638560982822594</v>
      </c>
      <c r="AR25" s="2134">
        <f t="shared" si="38"/>
        <v>3690.5108464206196</v>
      </c>
      <c r="AS25" s="2134">
        <f t="shared" si="39"/>
        <v>642.42116649820628</v>
      </c>
      <c r="AT25" s="2136">
        <f>+'Recalculos ST'!E26</f>
        <v>36.941364576954399</v>
      </c>
      <c r="AU25" s="2134">
        <f>+'MCP ST'!V19</f>
        <v>93.647047578349571</v>
      </c>
      <c r="AV25" s="3973">
        <f>+Factores!$D$24</f>
        <v>0.96199999999999997</v>
      </c>
      <c r="AW25" s="2134">
        <f t="shared" si="40"/>
        <v>819.44931994263186</v>
      </c>
      <c r="AX25" s="2376">
        <f>'Plan mina ST'!AK23/25.4</f>
        <v>4.3497652831422418</v>
      </c>
      <c r="AY25" s="2718">
        <f>+'Recalculos ST'!AK26</f>
        <v>185.32431017474977</v>
      </c>
      <c r="AZ25" s="2138">
        <f>'Plan mina ST'!O23*BA25/1000000*0.79</f>
        <v>2.8638560982822594</v>
      </c>
      <c r="BA25" s="2137">
        <f t="shared" si="152"/>
        <v>8015.2274843712185</v>
      </c>
      <c r="BB25" s="2138">
        <f>'Plan mina ST'!O23*'ST Original'!BT25/1000000*0.8</f>
        <v>2.9648085604373295</v>
      </c>
      <c r="BC25" s="4640"/>
      <c r="BD25" s="2148">
        <f t="shared" si="12"/>
        <v>46099.791666666664</v>
      </c>
      <c r="BE25" s="2149">
        <f>'Plan mina ST'!J23</f>
        <v>4.1455626305146452E-2</v>
      </c>
      <c r="BF25" s="2150">
        <f t="shared" si="42"/>
        <v>1.434431134550098</v>
      </c>
      <c r="BG25" s="2151">
        <f>'Plan mina ST'!K23</f>
        <v>1.2651778946604433</v>
      </c>
      <c r="BH25" s="2150">
        <f t="shared" si="43"/>
        <v>43.777183571827663</v>
      </c>
      <c r="BI25" s="2151">
        <f>'Plan mina ST'!V23</f>
        <v>16.373163639706902</v>
      </c>
      <c r="BJ25" s="2152">
        <f t="shared" si="44"/>
        <v>736.7923637868106</v>
      </c>
      <c r="BK25" s="3395">
        <f>'Plan mina ST'!AI23</f>
        <v>1.346663793300209</v>
      </c>
      <c r="BL25" s="3399">
        <f>'Recalculos ST'!T26</f>
        <v>6.2119633483508334</v>
      </c>
      <c r="BM25" s="3391">
        <f t="shared" si="45"/>
        <v>13.154419774209634</v>
      </c>
      <c r="BN25" s="3391">
        <f t="shared" si="46"/>
        <v>13.154419774209634</v>
      </c>
      <c r="BO25" s="3391">
        <f t="shared" si="47"/>
        <v>13.154419774209634</v>
      </c>
      <c r="BP25" s="3391">
        <f t="shared" si="48"/>
        <v>39.4632593226289</v>
      </c>
      <c r="BQ25" s="3400">
        <f t="shared" si="49"/>
        <v>14.469959964817027</v>
      </c>
      <c r="BR25" s="3397">
        <f t="shared" si="50"/>
        <v>6477.5834667212921</v>
      </c>
      <c r="BS25" s="2137">
        <f t="shared" si="51"/>
        <v>1713.0005398114006</v>
      </c>
      <c r="BT25" s="3344">
        <f t="shared" si="52"/>
        <v>8194.0464415609567</v>
      </c>
      <c r="BU25" s="3345">
        <f t="shared" si="53"/>
        <v>2159.5694141526096</v>
      </c>
      <c r="BV25" s="3345">
        <f t="shared" si="54"/>
        <v>2159.5694141526096</v>
      </c>
      <c r="BW25" s="3345">
        <f t="shared" si="55"/>
        <v>2159.5694141526096</v>
      </c>
      <c r="BX25" s="3346">
        <f t="shared" si="56"/>
        <v>98.056332111173916</v>
      </c>
      <c r="BY25" s="3346">
        <f t="shared" si="57"/>
        <v>98.056332111173916</v>
      </c>
      <c r="BZ25" s="3346">
        <f t="shared" si="58"/>
        <v>98.056332111173916</v>
      </c>
      <c r="CA25" s="3346">
        <f t="shared" si="59"/>
        <v>97.12989278992228</v>
      </c>
      <c r="CB25" s="3346">
        <f t="shared" si="60"/>
        <v>97.885715079916608</v>
      </c>
      <c r="CC25" s="3623">
        <f t="shared" si="61"/>
        <v>98.056332111173901</v>
      </c>
      <c r="CD25" s="3348">
        <f t="shared" si="62"/>
        <v>98.886834920573264</v>
      </c>
      <c r="CE25" s="3348">
        <f t="shared" si="63"/>
        <v>98.886834920573264</v>
      </c>
      <c r="CF25" s="3348">
        <f t="shared" si="64"/>
        <v>98.886834920573264</v>
      </c>
      <c r="CG25" s="3348">
        <f t="shared" si="65"/>
        <v>98.356250499976611</v>
      </c>
      <c r="CH25" s="3346">
        <f t="shared" si="66"/>
        <v>98.789120222376653</v>
      </c>
      <c r="CI25" s="3347">
        <f t="shared" si="67"/>
        <v>26.877795450599066</v>
      </c>
      <c r="CJ25" s="3354">
        <f t="shared" si="68"/>
        <v>6.4495510000000005</v>
      </c>
      <c r="CK25" s="3355">
        <f t="shared" si="69"/>
        <v>6.4495510000000005</v>
      </c>
      <c r="CL25" s="3355">
        <f t="shared" si="70"/>
        <v>6.4495510000000005</v>
      </c>
      <c r="CM25" s="3356">
        <f t="shared" si="71"/>
        <v>4.3442710000000009</v>
      </c>
      <c r="CN25" s="3356">
        <f t="shared" si="72"/>
        <v>23.692924000000001</v>
      </c>
      <c r="CO25" s="3354">
        <f t="shared" si="73"/>
        <v>6.3953843333333333</v>
      </c>
      <c r="CP25" s="3355">
        <f t="shared" si="74"/>
        <v>6.3953843333333333</v>
      </c>
      <c r="CQ25" s="3355">
        <f t="shared" si="75"/>
        <v>6.3953843333333333</v>
      </c>
      <c r="CR25" s="3356">
        <f t="shared" si="76"/>
        <v>4.2901043333333337</v>
      </c>
      <c r="CS25" s="3356">
        <f t="shared" si="77"/>
        <v>23.476257333333333</v>
      </c>
      <c r="CT25" s="3357">
        <f t="shared" si="78"/>
        <v>6.5217878333333337</v>
      </c>
      <c r="CU25" s="2153">
        <f t="shared" si="79"/>
        <v>6.5217878333333337</v>
      </c>
      <c r="CV25" s="2153">
        <f t="shared" si="80"/>
        <v>6.5217878333333337</v>
      </c>
      <c r="CW25" s="3358">
        <f t="shared" si="81"/>
        <v>4.4179698333333342</v>
      </c>
      <c r="CX25" s="3354">
        <f t="shared" si="82"/>
        <v>0</v>
      </c>
      <c r="CY25" s="3355">
        <f t="shared" si="83"/>
        <v>0</v>
      </c>
      <c r="CZ25" s="3355">
        <f t="shared" si="84"/>
        <v>0</v>
      </c>
      <c r="DA25" s="3356">
        <f t="shared" si="85"/>
        <v>0</v>
      </c>
      <c r="DB25" s="3354">
        <f t="shared" si="86"/>
        <v>7.2602333333333338E-2</v>
      </c>
      <c r="DC25" s="3355">
        <f t="shared" si="87"/>
        <v>7.2602333333333338E-2</v>
      </c>
      <c r="DD25" s="3355">
        <f t="shared" si="88"/>
        <v>7.2602333333333338E-2</v>
      </c>
      <c r="DE25" s="3356">
        <f t="shared" si="89"/>
        <v>7.2602333333333338E-2</v>
      </c>
      <c r="DF25" s="3356">
        <f t="shared" si="90"/>
        <v>0.29040933333333335</v>
      </c>
      <c r="DG25" s="3354">
        <f t="shared" si="91"/>
        <v>0.12676900000000002</v>
      </c>
      <c r="DH25" s="3355">
        <f t="shared" si="92"/>
        <v>0.12676900000000002</v>
      </c>
      <c r="DI25" s="3355">
        <f t="shared" si="93"/>
        <v>0.12676900000000002</v>
      </c>
      <c r="DJ25" s="3356">
        <f t="shared" si="94"/>
        <v>0.12676900000000002</v>
      </c>
      <c r="DK25" s="3356">
        <f t="shared" si="95"/>
        <v>0.50707600000000008</v>
      </c>
      <c r="DL25" s="2137">
        <v>0</v>
      </c>
      <c r="DM25" s="2137">
        <v>0</v>
      </c>
      <c r="DN25" s="2137">
        <v>0</v>
      </c>
      <c r="DO25" s="2137">
        <v>0</v>
      </c>
      <c r="DP25" s="2137">
        <v>0</v>
      </c>
      <c r="DQ25" s="2137">
        <v>0</v>
      </c>
      <c r="DR25" s="2137">
        <v>0</v>
      </c>
      <c r="DS25" s="2137">
        <v>0</v>
      </c>
      <c r="DT25" s="2137">
        <v>0</v>
      </c>
      <c r="DU25" s="2137">
        <v>0</v>
      </c>
      <c r="DV25" s="2137">
        <v>0</v>
      </c>
      <c r="DW25" s="2579">
        <f t="shared" si="96"/>
        <v>7.2602333333333338E-2</v>
      </c>
      <c r="DX25" s="2579">
        <f t="shared" si="97"/>
        <v>7.2602333333333338E-2</v>
      </c>
      <c r="DY25" s="2579">
        <f t="shared" si="98"/>
        <v>7.2602333333333338E-2</v>
      </c>
      <c r="DZ25" s="2579">
        <f t="shared" si="99"/>
        <v>7.2602333333333338E-2</v>
      </c>
      <c r="EA25" s="2579">
        <f t="shared" si="100"/>
        <v>0</v>
      </c>
      <c r="EB25" s="2579">
        <f t="shared" si="101"/>
        <v>0</v>
      </c>
      <c r="EC25" s="2579">
        <f t="shared" si="102"/>
        <v>0</v>
      </c>
      <c r="ED25" s="2579">
        <f t="shared" si="103"/>
        <v>0</v>
      </c>
      <c r="EE25" s="2579">
        <f t="shared" si="104"/>
        <v>0.05</v>
      </c>
      <c r="EF25" s="2579">
        <f t="shared" si="105"/>
        <v>0.05</v>
      </c>
      <c r="EG25" s="2579">
        <f t="shared" si="106"/>
        <v>0.05</v>
      </c>
      <c r="EH25" s="2579">
        <f t="shared" si="127"/>
        <v>0.05</v>
      </c>
      <c r="EI25" s="2579">
        <f t="shared" si="108"/>
        <v>4.1666666666666666E-3</v>
      </c>
      <c r="EJ25" s="2579">
        <f t="shared" si="109"/>
        <v>4.1666666666666666E-3</v>
      </c>
      <c r="EK25" s="2579">
        <f t="shared" si="110"/>
        <v>4.1666666666666666E-3</v>
      </c>
      <c r="EL25" s="2581">
        <f t="shared" si="111"/>
        <v>4.1666666666666666E-3</v>
      </c>
      <c r="EM25" s="3341">
        <f t="shared" si="129"/>
        <v>4.1666666666666666E-3</v>
      </c>
      <c r="EN25" s="3341">
        <f t="shared" si="130"/>
        <v>4.1666666666666666E-3</v>
      </c>
      <c r="EO25" s="3341">
        <f t="shared" si="131"/>
        <v>4.1666666666666666E-3</v>
      </c>
      <c r="EP25" s="3341">
        <f t="shared" si="132"/>
        <v>4.1666666666666666E-3</v>
      </c>
      <c r="EQ25" s="3319">
        <f t="shared" si="116"/>
        <v>1.6666666666666666E-2</v>
      </c>
      <c r="ER25" s="809">
        <f>+'MCP ST'!H19</f>
        <v>1.6633820771153145</v>
      </c>
      <c r="ES25" s="4236">
        <f t="shared" si="117"/>
        <v>0.30707600000000002</v>
      </c>
      <c r="EZ25" s="2154">
        <f>+'Plan mina ST'!AM23</f>
        <v>0.87590883446912238</v>
      </c>
      <c r="FA25" s="2067" t="str">
        <f>IF($FC25&lt;=Factores!$D$3,AX25,"")</f>
        <v/>
      </c>
      <c r="FB25" s="2076"/>
      <c r="FC25" s="2065">
        <f t="shared" si="13"/>
        <v>46099.791666666664</v>
      </c>
      <c r="FD25" s="780" t="str">
        <f>IF($FC25&lt;=Factores!$D$3,'ST Original'!C25,"")</f>
        <v/>
      </c>
      <c r="FE25" s="782" t="str">
        <f>IF($FC25&lt;=Factores!$D$3,'ST Original'!D25,"")</f>
        <v/>
      </c>
      <c r="FF25" s="780" t="str">
        <f>IF($FC25&lt;=Factores!$D$3,'ST Original'!E25,"")</f>
        <v/>
      </c>
      <c r="FG25" s="782"/>
      <c r="FH25" s="2064" t="str">
        <f>IF($FC25&lt;=Factores!$D$3,'ST Original'!J25,"")</f>
        <v/>
      </c>
      <c r="FI25" s="781" t="str">
        <f>IF($FC25&lt;=Factores!$D$3,'ST Original'!BT25,"")</f>
        <v/>
      </c>
      <c r="FJ25" s="781" t="str">
        <f>IF($FC25&lt;=Factores!$D$3,'ST Original'!K25,"")</f>
        <v/>
      </c>
      <c r="FK25" s="2066" t="str">
        <f>IF($FC25&lt;=Factores!$D$3,'ST Original'!L25,"")</f>
        <v/>
      </c>
      <c r="FL25" s="781" t="str">
        <f>IF($FC25&lt;=Factores!$D$3,'ST Original'!M25,"")</f>
        <v/>
      </c>
      <c r="FM25" s="781" t="str">
        <f>IF($FC25&lt;=Factores!$D$3,'ST Original'!N25,"")</f>
        <v/>
      </c>
      <c r="FN25" s="780" t="str">
        <f>IF($FC25&lt;=Factores!$D$3,'ST Original'!O25,"")</f>
        <v/>
      </c>
      <c r="FO25" s="539" t="str">
        <f>IF($FC25&lt;=Factores!$D$3,'ST Original'!R25,"")</f>
        <v/>
      </c>
      <c r="FP25" s="780" t="str">
        <f>IF($FC25&lt;=Factores!$D$3,'ST Original'!S25,"")</f>
        <v/>
      </c>
      <c r="FQ25" s="782" t="str">
        <f>IF($FC25&lt;=Factores!$D$3,'ST Original'!V25,"")</f>
        <v/>
      </c>
      <c r="FR25" s="780" t="str">
        <f>IF($FC25&lt;=Factores!$D$3,'ST Original'!W25,"")</f>
        <v/>
      </c>
      <c r="FS25" s="819" t="str">
        <f>IF($FC25&lt;=Factores!$D$3,'ST Original'!X25,"")</f>
        <v/>
      </c>
      <c r="FT25" s="819" t="str">
        <f>IF($FC25&lt;=Factores!$D$3,'ST Original'!Y25,"")</f>
        <v/>
      </c>
      <c r="FU25" s="819" t="str">
        <f>IF($FC25&lt;=Factores!$D$3,'ST Original'!Z25,"")</f>
        <v/>
      </c>
      <c r="FV25" s="819" t="str">
        <f>IF($FC25&lt;=Factores!$D$3,'ST Original'!AA25,"")</f>
        <v/>
      </c>
      <c r="FW25" s="539" t="str">
        <f>IF($FC25&lt;=Factores!$D$3,'ST Original'!AB25,"")</f>
        <v/>
      </c>
      <c r="FX25" s="539" t="str">
        <f>IF($FC25&lt;=Factores!$D$3,'ST Original'!AC25,"")</f>
        <v/>
      </c>
      <c r="FY25" s="819" t="str">
        <f>IF($FC25&lt;=Factores!$D$3,AE25,"")</f>
        <v/>
      </c>
      <c r="FZ25" s="782" t="str">
        <f>IF($FC25&lt;=Factores!$D$3,AF25,"")</f>
        <v/>
      </c>
      <c r="GA25" s="539" t="str">
        <f>IF($FC25&lt;=Factores!$D$3,AG25,"")</f>
        <v/>
      </c>
      <c r="GB25" s="780" t="str">
        <f>IF($FC25&lt;=Factores!$D$3,AI25,"")</f>
        <v/>
      </c>
      <c r="GC25" s="782" t="str">
        <f>IF($FC25&lt;=Factores!$D$3,AJ25,"")</f>
        <v/>
      </c>
      <c r="GD25" s="780" t="str">
        <f>IF($FC25&lt;=Factores!$D$3,AN25,"")</f>
        <v/>
      </c>
      <c r="GE25" s="539" t="str">
        <f>IF($FC25&lt;=Factores!$D$3,AO25,"")</f>
        <v/>
      </c>
      <c r="GF25" s="782" t="str">
        <f>IF($FC25&lt;=Factores!$D$3,AP25,"")</f>
        <v/>
      </c>
      <c r="GG25" s="2072" t="str">
        <f>IF($FC25&lt;=Factores!$D$3,BI25,"")</f>
        <v/>
      </c>
      <c r="GH25" s="2073" t="str">
        <f>IF($FC25&lt;=Factores!$D$3,BJ25,"")</f>
        <v/>
      </c>
      <c r="GI25" s="2069">
        <f>+'Plan mina ST'!AN60</f>
        <v>0</v>
      </c>
      <c r="GJ25" s="2065">
        <f t="shared" si="14"/>
        <v>46099.791666666664</v>
      </c>
      <c r="GK25" s="2067">
        <f>+'Plan mina ST'!J23</f>
        <v>4.1455626305146452E-2</v>
      </c>
      <c r="GL25" s="818">
        <f t="shared" si="15"/>
        <v>1.5367825397683932</v>
      </c>
      <c r="GM25" s="539">
        <f t="shared" si="118"/>
        <v>5582.2414257595829</v>
      </c>
      <c r="GN25" s="2077">
        <f t="shared" si="119"/>
        <v>79086.964318460465</v>
      </c>
      <c r="GO25" s="818">
        <f>+'Plan mina ST'!K23</f>
        <v>1.2651778946604433</v>
      </c>
      <c r="GP25" s="818">
        <f t="shared" si="16"/>
        <v>53.600949021724922</v>
      </c>
      <c r="GQ25" s="539">
        <f t="shared" si="17"/>
        <v>194701.22177090493</v>
      </c>
      <c r="GR25" s="539">
        <f t="shared" si="120"/>
        <v>3115748.1658057207</v>
      </c>
      <c r="GS25" s="781">
        <f>+'Plan mina ST'!V23</f>
        <v>16.373163639706902</v>
      </c>
      <c r="GT25" s="782">
        <f t="shared" si="18"/>
        <v>736.7923637868106</v>
      </c>
      <c r="GU25" s="2072" t="str">
        <f>IF($FC25&lt;=Factores!$D$3,AT25,"")</f>
        <v/>
      </c>
      <c r="GW25" s="781">
        <f>+'Plan mina ST'!AI23</f>
        <v>1.346663793300209</v>
      </c>
      <c r="GX25" s="2078">
        <v>0.5</v>
      </c>
      <c r="GY25" s="819"/>
      <c r="GZ25" s="2065">
        <f t="shared" si="19"/>
        <v>46099.791666666664</v>
      </c>
      <c r="HA25" s="780">
        <f>IF($FC25&gt;Factores!$D$3,'ST Original'!C25,"")</f>
        <v>184999.99999976202</v>
      </c>
      <c r="HB25" s="782">
        <f>IF($FC25&gt;Factores!$D$3,'ST Original'!D25,"")</f>
        <v>618796.75273211498</v>
      </c>
      <c r="HC25" s="780">
        <f>IF($FC25&gt;Factores!$D$3,'ST Original'!E25,"")</f>
        <v>192365.45962490924</v>
      </c>
      <c r="HD25" s="782"/>
      <c r="HE25" s="2064">
        <f>IF($FC25&gt;Factores!$D$3,'ST Original'!J25,"")</f>
        <v>97.885672723806138</v>
      </c>
      <c r="HF25" s="781">
        <f>IF($FC25&gt;Factores!$D$3,'ST Original'!BT25,"")</f>
        <v>8194.0464415609567</v>
      </c>
      <c r="HG25" s="781">
        <f>IF($FC25&gt;Factores!$D$3,'ST Original'!K25,"")</f>
        <v>87.590883446912244</v>
      </c>
      <c r="HH25" s="2066">
        <f>IF($FC25&gt;Factores!$D$3,'ST Original'!L25,"")</f>
        <v>0.56886214340434216</v>
      </c>
      <c r="HI25" s="781">
        <f>IF($FC25&gt;Factores!$D$3,'ST Original'!M25,"")</f>
        <v>90.926839648250052</v>
      </c>
      <c r="HJ25" s="781">
        <f>IF($FC25&gt;Factores!$D$3,'ST Original'!N25,"")</f>
        <v>27.392396331005557</v>
      </c>
      <c r="HK25" s="780">
        <f>IF($FC25&gt;Factores!$D$3,'ST Original'!O25,"")</f>
        <v>3632.4211664982063</v>
      </c>
      <c r="HL25" s="539">
        <f>IF($FC25&gt;Factores!$D$3,'ST Original'!R25,"")</f>
        <v>54941.004360641506</v>
      </c>
      <c r="HM25" s="780">
        <f>IF($FC25&gt;Factores!$D$3,'ST Original'!S25,"")</f>
        <v>995.00720233852394</v>
      </c>
      <c r="HN25" s="782">
        <f>IF($FC25&gt;Factores!$D$3,'ST Original'!V25,"")</f>
        <v>14535.089508839223</v>
      </c>
      <c r="HO25" s="780">
        <f>IF($FC25&gt;Factores!$D$3,'ST Original'!W25,"")</f>
        <v>215.69511239515333</v>
      </c>
      <c r="HP25" s="819">
        <f>IF($FC25&gt;Factores!$D$3,'ST Original'!X25,"")</f>
        <v>92.30338598366572</v>
      </c>
      <c r="HQ25" s="819">
        <f>IF($FC25&gt;Factores!$D$3,'ST Original'!Y25,"")</f>
        <v>86.892381009980454</v>
      </c>
      <c r="HR25" s="819">
        <f>IF($FC25&gt;Factores!$D$3,'ST Original'!Z25,"")</f>
        <v>80.204609834039715</v>
      </c>
      <c r="HS25" s="819">
        <f>IF($FC25&gt;Factores!$D$3,'ST Original'!AA25,"")</f>
        <v>50</v>
      </c>
      <c r="HT25" s="539">
        <f>IF($FC25&gt;Factores!$D$3,'ST Original'!AB25,"")</f>
        <v>66.557457704687607</v>
      </c>
      <c r="HU25" s="539">
        <f>IF($FC25&gt;Factores!$D$3,'ST Original'!AC25,"")</f>
        <v>66.557457704687607</v>
      </c>
      <c r="HV25" s="819">
        <f>IF($FC25&gt;Factores!$D$3,AE25,"")</f>
        <v>33.278728852343804</v>
      </c>
      <c r="HW25" s="782">
        <f>IF($FC25&gt;Factores!$D$3,AF25,"")</f>
        <v>486.08241425522084</v>
      </c>
      <c r="HX25" s="539">
        <f>IF($FC25&gt;Factores!$D$3,AG25,"")</f>
        <v>33.278728852343804</v>
      </c>
      <c r="HY25" s="780">
        <f>IF($FC25&gt;Factores!$D$3,AI25,"")</f>
        <v>1091.4822372814685</v>
      </c>
      <c r="HZ25" s="782">
        <f>IF($FC25&gt;Factores!$D$3,AJ25,"")</f>
        <v>15944.242427765106</v>
      </c>
      <c r="IA25" s="780">
        <f>IF($FC25&gt;Factores!$D$3,AN25,"")</f>
        <v>2990</v>
      </c>
      <c r="IB25" s="539">
        <f>IF($FC25&gt;Factores!$D$3,AO25,"")</f>
        <v>28.488910364507881</v>
      </c>
      <c r="IC25" s="782">
        <f>IF($FC25&gt;Factores!$D$3,AP25,"")</f>
        <v>851.81841989878569</v>
      </c>
      <c r="ID25" s="2072">
        <f>IF($FC25&gt;Factores!$D$3,BI25,"")</f>
        <v>16.373163639706902</v>
      </c>
      <c r="IE25" s="2073">
        <f>IF($FC25&gt;Factores!$D$3,BJ25,"")</f>
        <v>736.7923637868106</v>
      </c>
      <c r="IF25" s="4237">
        <f t="shared" si="20"/>
        <v>192365.45962490924</v>
      </c>
      <c r="IG25" s="4237">
        <f t="shared" si="124"/>
        <v>3126208.5960647664</v>
      </c>
      <c r="IH25" s="4234">
        <f t="shared" si="121"/>
        <v>0.56886214340434216</v>
      </c>
      <c r="II25" s="342">
        <f>SUMPRODUCT(IH$8:IH25,IF$8:IF25)/IG25</f>
        <v>0.51463309465985119</v>
      </c>
      <c r="IJ25" s="4235">
        <f t="shared" si="122"/>
        <v>90.926839648250052</v>
      </c>
      <c r="IK25" s="342" cm="1">
        <f t="array" ref="IK25">SUMPRODUCT(IJ$8:IJ25,IF$8:IF25/IG25)</f>
        <v>90.327572514116028</v>
      </c>
    </row>
    <row r="26" spans="1:245" s="744" customFormat="1" ht="14.25" customHeight="1">
      <c r="A26" s="4636"/>
      <c r="B26" s="2133">
        <f t="shared" si="21"/>
        <v>46100.791666666664</v>
      </c>
      <c r="C26" s="2134">
        <f>+'Plan mina ST'!N61*1000</f>
        <v>219999.99999969656</v>
      </c>
      <c r="D26" s="2134">
        <f>+'Plan mina ST'!M61*1000</f>
        <v>644095.91337383026</v>
      </c>
      <c r="E26" s="2134">
        <f>(('Plan mina ST'!O61*1000))</f>
        <v>194700.83935798128</v>
      </c>
      <c r="F26" s="2134">
        <f>+'Plan mina ST'!J61*1000</f>
        <v>40398.025382956475</v>
      </c>
      <c r="G26" s="2134">
        <f t="shared" si="22"/>
        <v>154302.81397502479</v>
      </c>
      <c r="H26" s="2135">
        <f t="shared" si="23"/>
        <v>98.056332111173901</v>
      </c>
      <c r="I26" s="2135">
        <f t="shared" si="24"/>
        <v>97.12989278992228</v>
      </c>
      <c r="J26" s="2135">
        <f t="shared" si="25"/>
        <v>97.885672723806138</v>
      </c>
      <c r="K26" s="2135">
        <f>+'Plan mina ST'!AM24*100</f>
        <v>90.578700227860679</v>
      </c>
      <c r="L26" s="2135">
        <f>'Plan mina ST'!D24</f>
        <v>0.57285134895832379</v>
      </c>
      <c r="M26" s="2135">
        <f>'Plan mina ST'!C24</f>
        <v>90.59379882412091</v>
      </c>
      <c r="N26" s="2136">
        <f>'Plan mina ST'!B24</f>
        <v>27.98518896538231</v>
      </c>
      <c r="O26" s="2134">
        <f t="shared" si="133"/>
        <v>3610.6050996937756</v>
      </c>
      <c r="P26" s="2134">
        <f t="shared" si="134"/>
        <v>2861.4490254506782</v>
      </c>
      <c r="Q26" s="2134">
        <f t="shared" si="3"/>
        <v>749.15607424309769</v>
      </c>
      <c r="R26" s="2134">
        <f t="shared" si="135"/>
        <v>58551.609460335283</v>
      </c>
      <c r="S26" s="2134">
        <f t="shared" si="136"/>
        <v>1010.4346599430335</v>
      </c>
      <c r="T26" s="2134">
        <f t="shared" si="137"/>
        <v>800.78191692046278</v>
      </c>
      <c r="U26" s="2134">
        <f t="shared" si="138"/>
        <v>209.65274302257069</v>
      </c>
      <c r="V26" s="2134">
        <f t="shared" si="139"/>
        <v>15545.524168782256</v>
      </c>
      <c r="W26" s="2134">
        <f>+'Plan mina ST'!E24</f>
        <v>282.06358348329417</v>
      </c>
      <c r="X26" s="2135">
        <f t="shared" si="28"/>
        <v>93.244009250906288</v>
      </c>
      <c r="Y26" s="3930">
        <f t="shared" si="140"/>
        <v>87.629658443736986</v>
      </c>
      <c r="Z26" s="2135">
        <f t="shared" si="30"/>
        <v>81.709406825815691</v>
      </c>
      <c r="AA26" s="2136">
        <v>50</v>
      </c>
      <c r="AB26" s="2134">
        <f t="shared" si="141"/>
        <v>89.746370974248421</v>
      </c>
      <c r="AC26" s="2134">
        <f t="shared" si="142"/>
        <v>89.746370974248421</v>
      </c>
      <c r="AD26" s="2134">
        <f t="shared" si="143"/>
        <v>89.746370974248421</v>
      </c>
      <c r="AE26" s="2134">
        <f t="shared" si="144"/>
        <v>44.873185487124211</v>
      </c>
      <c r="AF26" s="2134">
        <f t="shared" si="145"/>
        <v>530.95559974234504</v>
      </c>
      <c r="AG26" s="2134">
        <f t="shared" si="146"/>
        <v>44.873185487124211</v>
      </c>
      <c r="AH26" s="2134">
        <f t="shared" si="147"/>
        <v>303.65743099423651</v>
      </c>
      <c r="AI26" s="2134">
        <f t="shared" si="9"/>
        <v>1140.5220246702065</v>
      </c>
      <c r="AJ26" s="2134">
        <f t="shared" si="148"/>
        <v>17084.764452435313</v>
      </c>
      <c r="AK26" s="3916">
        <v>2990</v>
      </c>
      <c r="AL26" s="2136">
        <f t="shared" si="126"/>
        <v>27.392396331005557</v>
      </c>
      <c r="AM26" s="2134">
        <f t="shared" si="149"/>
        <v>819.03265029706608</v>
      </c>
      <c r="AN26" s="2134">
        <f t="shared" si="123"/>
        <v>2990</v>
      </c>
      <c r="AO26" s="2136">
        <f t="shared" si="36"/>
        <v>27.911463669552148</v>
      </c>
      <c r="AP26" s="2134">
        <f t="shared" si="150"/>
        <v>834.55276371960917</v>
      </c>
      <c r="AQ26" s="2134">
        <f t="shared" si="151"/>
        <v>3.096517410862305</v>
      </c>
      <c r="AR26" s="2134">
        <f t="shared" si="38"/>
        <v>3866.3927426440441</v>
      </c>
      <c r="AS26" s="2134">
        <f t="shared" si="39"/>
        <v>620.60509969377563</v>
      </c>
      <c r="AT26" s="2136">
        <f>+'Recalculos ST'!E27</f>
        <v>37.752071762460638</v>
      </c>
      <c r="AU26" s="2134">
        <f>+'MCP ST'!V20</f>
        <v>95.057164618721828</v>
      </c>
      <c r="AV26" s="3973">
        <f>+Factores!$D$24</f>
        <v>0.96199999999999997</v>
      </c>
      <c r="AW26" s="2134">
        <f t="shared" si="40"/>
        <v>802.83975869826395</v>
      </c>
      <c r="AX26" s="2376">
        <f>'Plan mina ST'!AK24/25.4</f>
        <v>4.3674610798957367</v>
      </c>
      <c r="AY26" s="2718">
        <f>+'Recalculos ST'!AK27</f>
        <v>185.97680776469983</v>
      </c>
      <c r="AZ26" s="2138">
        <f>'Plan mina ST'!O24*BA26/1000000*0.79</f>
        <v>3.096517410862305</v>
      </c>
      <c r="BA26" s="2137">
        <f t="shared" si="152"/>
        <v>8112.5349732492205</v>
      </c>
      <c r="BB26" s="2138">
        <f>'Plan mina ST'!O24*'ST Original'!BT26/1000000*0.8</f>
        <v>3.205671308964968</v>
      </c>
      <c r="BC26" s="4640"/>
      <c r="BD26" s="2148">
        <f t="shared" si="12"/>
        <v>46100.791666666664</v>
      </c>
      <c r="BE26" s="2149">
        <f>'Plan mina ST'!J24</f>
        <v>4.9886928224094823E-2</v>
      </c>
      <c r="BF26" s="2150">
        <f t="shared" si="42"/>
        <v>1.7261676985645733</v>
      </c>
      <c r="BG26" s="2151">
        <f>'Plan mina ST'!K24</f>
        <v>1.3114882364023868</v>
      </c>
      <c r="BH26" s="2150">
        <f t="shared" si="43"/>
        <v>45.379595643890653</v>
      </c>
      <c r="BI26" s="2151">
        <f>'Plan mina ST'!V24</f>
        <v>13.718164963383902</v>
      </c>
      <c r="BJ26" s="2152">
        <f t="shared" si="44"/>
        <v>617.31742335227557</v>
      </c>
      <c r="BK26" s="3395">
        <f>'Plan mina ST'!AI24</f>
        <v>1.4734696709293165</v>
      </c>
      <c r="BL26" s="3399">
        <f>'Recalculos ST'!T27</f>
        <v>6.1392453921105927</v>
      </c>
      <c r="BM26" s="3391">
        <f t="shared" si="45"/>
        <v>13.159268479748135</v>
      </c>
      <c r="BN26" s="3391">
        <f t="shared" si="46"/>
        <v>13.159268479748135</v>
      </c>
      <c r="BO26" s="3391">
        <f t="shared" si="47"/>
        <v>13.159268479748135</v>
      </c>
      <c r="BP26" s="3391">
        <f t="shared" si="48"/>
        <v>39.477805439244406</v>
      </c>
      <c r="BQ26" s="3400">
        <f t="shared" si="49"/>
        <v>14.469959964817024</v>
      </c>
      <c r="BR26" s="3397">
        <f t="shared" si="50"/>
        <v>6556.7248715122914</v>
      </c>
      <c r="BS26" s="2137">
        <f t="shared" si="51"/>
        <v>1733.2906390561041</v>
      </c>
      <c r="BT26" s="3344">
        <f t="shared" si="52"/>
        <v>8293.5248511922164</v>
      </c>
      <c r="BU26" s="3345">
        <f t="shared" si="53"/>
        <v>2185.9544631539502</v>
      </c>
      <c r="BV26" s="3345">
        <f t="shared" si="54"/>
        <v>2185.9544631539502</v>
      </c>
      <c r="BW26" s="3345">
        <f t="shared" si="55"/>
        <v>2185.9544631539502</v>
      </c>
      <c r="BX26" s="3346">
        <f t="shared" si="56"/>
        <v>98.056332111173916</v>
      </c>
      <c r="BY26" s="3346">
        <f t="shared" si="57"/>
        <v>98.056332111173916</v>
      </c>
      <c r="BZ26" s="3346">
        <f t="shared" si="58"/>
        <v>98.056332111173916</v>
      </c>
      <c r="CA26" s="3346">
        <f t="shared" si="59"/>
        <v>97.12989278992228</v>
      </c>
      <c r="CB26" s="3346">
        <f t="shared" si="60"/>
        <v>97.885715079916608</v>
      </c>
      <c r="CC26" s="3623">
        <f t="shared" si="61"/>
        <v>98.056332111173901</v>
      </c>
      <c r="CD26" s="3348">
        <f t="shared" si="62"/>
        <v>98.886834920573264</v>
      </c>
      <c r="CE26" s="3348">
        <f t="shared" si="63"/>
        <v>98.886834920573264</v>
      </c>
      <c r="CF26" s="3348">
        <f t="shared" si="64"/>
        <v>98.886834920573264</v>
      </c>
      <c r="CG26" s="3348">
        <f t="shared" si="65"/>
        <v>98.356250499976611</v>
      </c>
      <c r="CH26" s="3346">
        <f t="shared" si="66"/>
        <v>98.789120222376653</v>
      </c>
      <c r="CI26" s="3347">
        <f t="shared" si="67"/>
        <v>26.877795450599066</v>
      </c>
      <c r="CJ26" s="3354">
        <f t="shared" si="68"/>
        <v>6.4495510000000005</v>
      </c>
      <c r="CK26" s="3355">
        <f t="shared" si="69"/>
        <v>6.4495510000000005</v>
      </c>
      <c r="CL26" s="3355">
        <f t="shared" si="70"/>
        <v>6.4495510000000005</v>
      </c>
      <c r="CM26" s="3356">
        <f t="shared" si="71"/>
        <v>4.3442710000000009</v>
      </c>
      <c r="CN26" s="3356">
        <f t="shared" si="72"/>
        <v>23.692924000000001</v>
      </c>
      <c r="CO26" s="3354">
        <f t="shared" si="73"/>
        <v>6.3953843333333333</v>
      </c>
      <c r="CP26" s="3355">
        <f t="shared" si="74"/>
        <v>6.3953843333333333</v>
      </c>
      <c r="CQ26" s="3355">
        <f t="shared" si="75"/>
        <v>6.3953843333333333</v>
      </c>
      <c r="CR26" s="3356">
        <f t="shared" si="76"/>
        <v>4.2901043333333337</v>
      </c>
      <c r="CS26" s="3356">
        <f t="shared" si="77"/>
        <v>23.476257333333333</v>
      </c>
      <c r="CT26" s="3357">
        <f t="shared" si="78"/>
        <v>6.5217878333333337</v>
      </c>
      <c r="CU26" s="2153">
        <f t="shared" si="79"/>
        <v>6.5217878333333337</v>
      </c>
      <c r="CV26" s="2153">
        <f t="shared" si="80"/>
        <v>6.5217878333333337</v>
      </c>
      <c r="CW26" s="3358">
        <f t="shared" si="81"/>
        <v>4.4179698333333342</v>
      </c>
      <c r="CX26" s="3354">
        <f t="shared" si="82"/>
        <v>0</v>
      </c>
      <c r="CY26" s="3355">
        <f t="shared" si="83"/>
        <v>0</v>
      </c>
      <c r="CZ26" s="3355">
        <f t="shared" si="84"/>
        <v>0</v>
      </c>
      <c r="DA26" s="3356">
        <f t="shared" si="85"/>
        <v>0</v>
      </c>
      <c r="DB26" s="3354">
        <f t="shared" si="86"/>
        <v>7.2602333333333338E-2</v>
      </c>
      <c r="DC26" s="3355">
        <f t="shared" si="87"/>
        <v>7.2602333333333338E-2</v>
      </c>
      <c r="DD26" s="3355">
        <f t="shared" si="88"/>
        <v>7.2602333333333338E-2</v>
      </c>
      <c r="DE26" s="3356">
        <f t="shared" si="89"/>
        <v>7.2602333333333338E-2</v>
      </c>
      <c r="DF26" s="3356">
        <f t="shared" si="90"/>
        <v>0.29040933333333335</v>
      </c>
      <c r="DG26" s="3354">
        <f t="shared" si="91"/>
        <v>0.12676900000000002</v>
      </c>
      <c r="DH26" s="3355">
        <f t="shared" si="92"/>
        <v>0.12676900000000002</v>
      </c>
      <c r="DI26" s="3355">
        <f t="shared" si="93"/>
        <v>0.12676900000000002</v>
      </c>
      <c r="DJ26" s="3356">
        <f t="shared" si="94"/>
        <v>0.12676900000000002</v>
      </c>
      <c r="DK26" s="3356">
        <f t="shared" si="95"/>
        <v>0.50707600000000008</v>
      </c>
      <c r="DL26" s="2137">
        <v>0</v>
      </c>
      <c r="DM26" s="2137">
        <v>0</v>
      </c>
      <c r="DN26" s="2137">
        <v>0</v>
      </c>
      <c r="DO26" s="2137">
        <v>0</v>
      </c>
      <c r="DP26" s="2137">
        <v>0</v>
      </c>
      <c r="DQ26" s="2137">
        <v>0</v>
      </c>
      <c r="DR26" s="2137">
        <v>0</v>
      </c>
      <c r="DS26" s="2137">
        <v>0</v>
      </c>
      <c r="DT26" s="2137">
        <v>0</v>
      </c>
      <c r="DU26" s="2137">
        <v>0</v>
      </c>
      <c r="DV26" s="2137">
        <v>0</v>
      </c>
      <c r="DW26" s="2579">
        <f t="shared" si="96"/>
        <v>7.2602333333333338E-2</v>
      </c>
      <c r="DX26" s="2579">
        <f t="shared" si="97"/>
        <v>7.2602333333333338E-2</v>
      </c>
      <c r="DY26" s="2579">
        <f t="shared" si="98"/>
        <v>7.2602333333333338E-2</v>
      </c>
      <c r="DZ26" s="2579">
        <f t="shared" si="99"/>
        <v>7.2602333333333338E-2</v>
      </c>
      <c r="EA26" s="2579">
        <f t="shared" si="100"/>
        <v>0</v>
      </c>
      <c r="EB26" s="2579">
        <f t="shared" si="101"/>
        <v>0</v>
      </c>
      <c r="EC26" s="2579">
        <f t="shared" si="102"/>
        <v>0</v>
      </c>
      <c r="ED26" s="2579">
        <f t="shared" si="103"/>
        <v>0</v>
      </c>
      <c r="EE26" s="2579">
        <f t="shared" si="104"/>
        <v>0.05</v>
      </c>
      <c r="EF26" s="2579">
        <f t="shared" si="105"/>
        <v>0.05</v>
      </c>
      <c r="EG26" s="2579">
        <f t="shared" si="106"/>
        <v>0.05</v>
      </c>
      <c r="EH26" s="2579">
        <f t="shared" si="127"/>
        <v>0.05</v>
      </c>
      <c r="EI26" s="2579">
        <f t="shared" si="108"/>
        <v>4.1666666666666666E-3</v>
      </c>
      <c r="EJ26" s="2579">
        <f t="shared" si="109"/>
        <v>4.1666666666666666E-3</v>
      </c>
      <c r="EK26" s="2579">
        <f t="shared" si="110"/>
        <v>4.1666666666666666E-3</v>
      </c>
      <c r="EL26" s="2581">
        <f t="shared" si="111"/>
        <v>4.1666666666666666E-3</v>
      </c>
      <c r="EM26" s="3341">
        <f t="shared" si="129"/>
        <v>4.1666666666666666E-3</v>
      </c>
      <c r="EN26" s="3341">
        <f t="shared" si="130"/>
        <v>4.1666666666666666E-3</v>
      </c>
      <c r="EO26" s="3341">
        <f t="shared" si="131"/>
        <v>4.1666666666666666E-3</v>
      </c>
      <c r="EP26" s="3341">
        <f t="shared" si="132"/>
        <v>4.1666666666666666E-3</v>
      </c>
      <c r="EQ26" s="3319">
        <f t="shared" si="116"/>
        <v>1.6666666666666666E-2</v>
      </c>
      <c r="ER26" s="809">
        <f>+'MCP ST'!H20</f>
        <v>1.4404879012834562</v>
      </c>
      <c r="ES26" s="4236">
        <f t="shared" si="117"/>
        <v>0.30707600000000002</v>
      </c>
      <c r="EZ26" s="2154">
        <f>+'Plan mina ST'!AM24</f>
        <v>0.90578700227860676</v>
      </c>
      <c r="FA26" s="2067" t="str">
        <f>IF($FC26&lt;=Factores!$D$3,AX26,"")</f>
        <v/>
      </c>
      <c r="FB26" s="2076"/>
      <c r="FC26" s="2065">
        <f t="shared" si="13"/>
        <v>46100.791666666664</v>
      </c>
      <c r="FD26" s="780" t="str">
        <f>IF($FC26&lt;=Factores!$D$3,'ST Original'!C26,"")</f>
        <v/>
      </c>
      <c r="FE26" s="782" t="str">
        <f>IF($FC26&lt;=Factores!$D$3,'ST Original'!D26,"")</f>
        <v/>
      </c>
      <c r="FF26" s="780" t="str">
        <f>IF($FC26&lt;=Factores!$D$3,'ST Original'!E26,"")</f>
        <v/>
      </c>
      <c r="FG26" s="782"/>
      <c r="FH26" s="2064" t="str">
        <f>IF($FC26&lt;=Factores!$D$3,'ST Original'!J26,"")</f>
        <v/>
      </c>
      <c r="FI26" s="781" t="str">
        <f>IF($FC26&lt;=Factores!$D$3,'ST Original'!BT26,"")</f>
        <v/>
      </c>
      <c r="FJ26" s="781" t="str">
        <f>IF($FC26&lt;=Factores!$D$3,'ST Original'!K26,"")</f>
        <v/>
      </c>
      <c r="FK26" s="2066" t="str">
        <f>IF($FC26&lt;=Factores!$D$3,'ST Original'!L26,"")</f>
        <v/>
      </c>
      <c r="FL26" s="781" t="str">
        <f>IF($FC26&lt;=Factores!$D$3,'ST Original'!M26,"")</f>
        <v/>
      </c>
      <c r="FM26" s="781" t="str">
        <f>IF($FC26&lt;=Factores!$D$3,'ST Original'!N26,"")</f>
        <v/>
      </c>
      <c r="FN26" s="780" t="str">
        <f>IF($FC26&lt;=Factores!$D$3,'ST Original'!O26,"")</f>
        <v/>
      </c>
      <c r="FO26" s="539" t="str">
        <f>IF($FC26&lt;=Factores!$D$3,'ST Original'!R26,"")</f>
        <v/>
      </c>
      <c r="FP26" s="780" t="str">
        <f>IF($FC26&lt;=Factores!$D$3,'ST Original'!S26,"")</f>
        <v/>
      </c>
      <c r="FQ26" s="782" t="str">
        <f>IF($FC26&lt;=Factores!$D$3,'ST Original'!V26,"")</f>
        <v/>
      </c>
      <c r="FR26" s="780" t="str">
        <f>IF($FC26&lt;=Factores!$D$3,'ST Original'!W26,"")</f>
        <v/>
      </c>
      <c r="FS26" s="819" t="str">
        <f>IF($FC26&lt;=Factores!$D$3,'ST Original'!X26,"")</f>
        <v/>
      </c>
      <c r="FT26" s="819" t="str">
        <f>IF($FC26&lt;=Factores!$D$3,'ST Original'!Y26,"")</f>
        <v/>
      </c>
      <c r="FU26" s="819" t="str">
        <f>IF($FC26&lt;=Factores!$D$3,'ST Original'!Z26,"")</f>
        <v/>
      </c>
      <c r="FV26" s="819" t="str">
        <f>IF($FC26&lt;=Factores!$D$3,'ST Original'!AA26,"")</f>
        <v/>
      </c>
      <c r="FW26" s="539" t="str">
        <f>IF($FC26&lt;=Factores!$D$3,'ST Original'!AB26,"")</f>
        <v/>
      </c>
      <c r="FX26" s="539" t="str">
        <f>IF($FC26&lt;=Factores!$D$3,'ST Original'!AC26,"")</f>
        <v/>
      </c>
      <c r="FY26" s="819" t="str">
        <f>IF($FC26&lt;=Factores!$D$3,AE26,"")</f>
        <v/>
      </c>
      <c r="FZ26" s="782" t="str">
        <f>IF($FC26&lt;=Factores!$D$3,AF26,"")</f>
        <v/>
      </c>
      <c r="GA26" s="539" t="str">
        <f>IF($FC26&lt;=Factores!$D$3,AG26,"")</f>
        <v/>
      </c>
      <c r="GB26" s="780" t="str">
        <f>IF($FC26&lt;=Factores!$D$3,AI26,"")</f>
        <v/>
      </c>
      <c r="GC26" s="782" t="str">
        <f>IF($FC26&lt;=Factores!$D$3,AJ26,"")</f>
        <v/>
      </c>
      <c r="GD26" s="780" t="str">
        <f>IF($FC26&lt;=Factores!$D$3,AN26,"")</f>
        <v/>
      </c>
      <c r="GE26" s="539" t="str">
        <f>IF($FC26&lt;=Factores!$D$3,AO26,"")</f>
        <v/>
      </c>
      <c r="GF26" s="782" t="str">
        <f>IF($FC26&lt;=Factores!$D$3,AP26,"")</f>
        <v/>
      </c>
      <c r="GG26" s="2072" t="str">
        <f>IF($FC26&lt;=Factores!$D$3,BI26,"")</f>
        <v/>
      </c>
      <c r="GH26" s="2073" t="str">
        <f>IF($FC26&lt;=Factores!$D$3,BJ26,"")</f>
        <v/>
      </c>
      <c r="GI26" s="2069">
        <f>+'Plan mina ST'!AN61</f>
        <v>0</v>
      </c>
      <c r="GJ26" s="2065">
        <f t="shared" si="14"/>
        <v>46100.791666666664</v>
      </c>
      <c r="GK26" s="2067">
        <f>+'Plan mina ST'!J24</f>
        <v>4.9886928224094823E-2</v>
      </c>
      <c r="GL26" s="818">
        <f t="shared" si="15"/>
        <v>1.8830967583058282</v>
      </c>
      <c r="GM26" s="539">
        <f t="shared" si="118"/>
        <v>6799.1187587558406</v>
      </c>
      <c r="GN26" s="2077">
        <f t="shared" si="119"/>
        <v>85886.083077216303</v>
      </c>
      <c r="GO26" s="818">
        <f>+'Plan mina ST'!K24</f>
        <v>1.3114882364023868</v>
      </c>
      <c r="GP26" s="818">
        <f t="shared" si="16"/>
        <v>56.577300122313559</v>
      </c>
      <c r="GQ26" s="539">
        <f t="shared" si="17"/>
        <v>204278.28834853062</v>
      </c>
      <c r="GR26" s="539">
        <f t="shared" si="120"/>
        <v>3320026.4541542511</v>
      </c>
      <c r="GS26" s="781">
        <f>+'Plan mina ST'!V24</f>
        <v>13.718164963383902</v>
      </c>
      <c r="GT26" s="782">
        <f t="shared" si="18"/>
        <v>617.31742335227557</v>
      </c>
      <c r="GU26" s="2072" t="str">
        <f>IF($FC26&lt;=Factores!$D$3,AT26,"")</f>
        <v/>
      </c>
      <c r="GW26" s="781">
        <f>+'Plan mina ST'!AI24</f>
        <v>1.4734696709293165</v>
      </c>
      <c r="GX26" s="2078">
        <v>0.5</v>
      </c>
      <c r="GY26" s="819"/>
      <c r="GZ26" s="2065">
        <f t="shared" si="19"/>
        <v>46100.791666666664</v>
      </c>
      <c r="HA26" s="780">
        <f>IF($FC26&gt;Factores!$D$3,'ST Original'!C26,"")</f>
        <v>219999.99999969656</v>
      </c>
      <c r="HB26" s="782">
        <f>IF($FC26&gt;Factores!$D$3,'ST Original'!D26,"")</f>
        <v>644095.91337383026</v>
      </c>
      <c r="HC26" s="780">
        <f>IF($FC26&gt;Factores!$D$3,'ST Original'!E26,"")</f>
        <v>194700.83935798128</v>
      </c>
      <c r="HD26" s="782"/>
      <c r="HE26" s="2064">
        <f>IF($FC26&gt;Factores!$D$3,'ST Original'!J26,"")</f>
        <v>97.885672723806138</v>
      </c>
      <c r="HF26" s="781">
        <f>IF($FC26&gt;Factores!$D$3,'ST Original'!BT26,"")</f>
        <v>8293.5248511922164</v>
      </c>
      <c r="HG26" s="781">
        <f>IF($FC26&gt;Factores!$D$3,'ST Original'!K26,"")</f>
        <v>90.578700227860679</v>
      </c>
      <c r="HH26" s="2066">
        <f>IF($FC26&gt;Factores!$D$3,'ST Original'!L26,"")</f>
        <v>0.57285134895832379</v>
      </c>
      <c r="HI26" s="781">
        <f>IF($FC26&gt;Factores!$D$3,'ST Original'!M26,"")</f>
        <v>90.59379882412091</v>
      </c>
      <c r="HJ26" s="781">
        <f>IF($FC26&gt;Factores!$D$3,'ST Original'!N26,"")</f>
        <v>27.98518896538231</v>
      </c>
      <c r="HK26" s="780">
        <f>IF($FC26&gt;Factores!$D$3,'ST Original'!O26,"")</f>
        <v>3610.6050996937756</v>
      </c>
      <c r="HL26" s="539">
        <f>IF($FC26&gt;Factores!$D$3,'ST Original'!R26,"")</f>
        <v>58551.609460335283</v>
      </c>
      <c r="HM26" s="780">
        <f>IF($FC26&gt;Factores!$D$3,'ST Original'!S26,"")</f>
        <v>1010.4346599430335</v>
      </c>
      <c r="HN26" s="782">
        <f>IF($FC26&gt;Factores!$D$3,'ST Original'!V26,"")</f>
        <v>15545.524168782256</v>
      </c>
      <c r="HO26" s="780">
        <f>IF($FC26&gt;Factores!$D$3,'ST Original'!W26,"")</f>
        <v>282.06358348329417</v>
      </c>
      <c r="HP26" s="819">
        <f>IF($FC26&gt;Factores!$D$3,'ST Original'!X26,"")</f>
        <v>93.244009250906288</v>
      </c>
      <c r="HQ26" s="819">
        <f>IF($FC26&gt;Factores!$D$3,'ST Original'!Y26,"")</f>
        <v>87.629658443736986</v>
      </c>
      <c r="HR26" s="819">
        <f>IF($FC26&gt;Factores!$D$3,'ST Original'!Z26,"")</f>
        <v>81.709406825815691</v>
      </c>
      <c r="HS26" s="819">
        <f>IF($FC26&gt;Factores!$D$3,'ST Original'!AA26,"")</f>
        <v>50</v>
      </c>
      <c r="HT26" s="539">
        <f>IF($FC26&gt;Factores!$D$3,'ST Original'!AB26,"")</f>
        <v>89.746370974248421</v>
      </c>
      <c r="HU26" s="539">
        <f>IF($FC26&gt;Factores!$D$3,'ST Original'!AC26,"")</f>
        <v>89.746370974248421</v>
      </c>
      <c r="HV26" s="819">
        <f>IF($FC26&gt;Factores!$D$3,AE26,"")</f>
        <v>44.873185487124211</v>
      </c>
      <c r="HW26" s="782">
        <f>IF($FC26&gt;Factores!$D$3,AF26,"")</f>
        <v>530.95559974234504</v>
      </c>
      <c r="HX26" s="539">
        <f>IF($FC26&gt;Factores!$D$3,AG26,"")</f>
        <v>44.873185487124211</v>
      </c>
      <c r="HY26" s="780">
        <f>IF($FC26&gt;Factores!$D$3,AI26,"")</f>
        <v>1140.5220246702065</v>
      </c>
      <c r="HZ26" s="782">
        <f>IF($FC26&gt;Factores!$D$3,AJ26,"")</f>
        <v>17084.764452435313</v>
      </c>
      <c r="IA26" s="780">
        <f>IF($FC26&gt;Factores!$D$3,AN26,"")</f>
        <v>2990</v>
      </c>
      <c r="IB26" s="539">
        <f>IF($FC26&gt;Factores!$D$3,AO26,"")</f>
        <v>27.911463669552148</v>
      </c>
      <c r="IC26" s="782">
        <f>IF($FC26&gt;Factores!$D$3,AP26,"")</f>
        <v>834.55276371960917</v>
      </c>
      <c r="ID26" s="2072">
        <f>IF($FC26&gt;Factores!$D$3,BI26,"")</f>
        <v>13.718164963383902</v>
      </c>
      <c r="IE26" s="2073">
        <f>IF($FC26&gt;Factores!$D$3,BJ26,"")</f>
        <v>617.31742335227557</v>
      </c>
      <c r="IF26" s="4237">
        <f t="shared" si="20"/>
        <v>194700.83935798128</v>
      </c>
      <c r="IG26" s="4237">
        <f t="shared" si="124"/>
        <v>3320909.4354227479</v>
      </c>
      <c r="IH26" s="4234">
        <f t="shared" si="121"/>
        <v>0.57285134895832379</v>
      </c>
      <c r="II26" s="342">
        <f>SUMPRODUCT(IH$8:IH26,IF$8:IF26)/IG26</f>
        <v>0.51804635936889798</v>
      </c>
      <c r="IJ26" s="4235">
        <f t="shared" si="122"/>
        <v>90.59379882412091</v>
      </c>
      <c r="IK26" s="342" cm="1">
        <f t="array" ref="IK26">SUMPRODUCT(IJ$8:IJ26,IF$8:IF26/IG26)</f>
        <v>90.343181035524111</v>
      </c>
    </row>
    <row r="27" spans="1:245" s="744" customFormat="1" ht="14.25" customHeight="1">
      <c r="A27" s="4636"/>
      <c r="B27" s="2133">
        <f t="shared" si="21"/>
        <v>46101.791666666664</v>
      </c>
      <c r="C27" s="2134">
        <f>+'Plan mina ST'!N62*1000</f>
        <v>220000.03021743204</v>
      </c>
      <c r="D27" s="2134">
        <f>+'Plan mina ST'!M62*1000</f>
        <v>667290.41378565237</v>
      </c>
      <c r="E27" s="2134">
        <f>(('Plan mina ST'!O62*1000))</f>
        <v>196805.52980560993</v>
      </c>
      <c r="F27" s="2134">
        <f>+'Plan mina ST'!J62*1000</f>
        <v>40824.215760902705</v>
      </c>
      <c r="G27" s="2134">
        <f t="shared" si="22"/>
        <v>155981.31404470722</v>
      </c>
      <c r="H27" s="2135">
        <f t="shared" si="23"/>
        <v>98.056332111173901</v>
      </c>
      <c r="I27" s="2135">
        <f t="shared" si="24"/>
        <v>97.12989278992228</v>
      </c>
      <c r="J27" s="2135">
        <f t="shared" si="25"/>
        <v>97.885672723806138</v>
      </c>
      <c r="K27" s="2135">
        <f>+'Plan mina ST'!AM25*100</f>
        <v>93.99288658928468</v>
      </c>
      <c r="L27" s="2135">
        <f>'Plan mina ST'!D25</f>
        <v>0.54156117360462053</v>
      </c>
      <c r="M27" s="2135">
        <f>'Plan mina ST'!C25</f>
        <v>90.626900611127141</v>
      </c>
      <c r="N27" s="2136">
        <f>'Plan mina ST'!B25</f>
        <v>28.477234564178254</v>
      </c>
      <c r="O27" s="2134">
        <f t="shared" si="133"/>
        <v>3391.9085359484216</v>
      </c>
      <c r="P27" s="2134">
        <f t="shared" si="134"/>
        <v>2688.3103898517211</v>
      </c>
      <c r="Q27" s="2134">
        <f t="shared" si="3"/>
        <v>703.59814609669979</v>
      </c>
      <c r="R27" s="2134">
        <f t="shared" si="135"/>
        <v>61943.517996283706</v>
      </c>
      <c r="S27" s="2134">
        <f t="shared" si="136"/>
        <v>965.92174998441658</v>
      </c>
      <c r="T27" s="2134">
        <f t="shared" si="137"/>
        <v>765.55645553124953</v>
      </c>
      <c r="U27" s="2134">
        <f t="shared" si="138"/>
        <v>200.3652944531668</v>
      </c>
      <c r="V27" s="2134">
        <f t="shared" si="139"/>
        <v>16511.445918766673</v>
      </c>
      <c r="W27" s="2134">
        <f>+'Plan mina ST'!E25</f>
        <v>278.04752238264018</v>
      </c>
      <c r="X27" s="2135">
        <f t="shared" si="28"/>
        <v>93.19372724003378</v>
      </c>
      <c r="Y27" s="3930">
        <f t="shared" si="140"/>
        <v>87.590246499304698</v>
      </c>
      <c r="Z27" s="2135">
        <f t="shared" si="30"/>
        <v>81.628615411435263</v>
      </c>
      <c r="AA27" s="2136">
        <v>50</v>
      </c>
      <c r="AB27" s="2134">
        <f t="shared" si="141"/>
        <v>89.336462648887021</v>
      </c>
      <c r="AC27" s="2134">
        <f t="shared" si="142"/>
        <v>89.336462648887021</v>
      </c>
      <c r="AD27" s="2134">
        <f t="shared" si="143"/>
        <v>89.336462648887021</v>
      </c>
      <c r="AE27" s="2134">
        <f t="shared" si="144"/>
        <v>44.668231324443511</v>
      </c>
      <c r="AF27" s="2134">
        <f t="shared" si="145"/>
        <v>575.62383106678851</v>
      </c>
      <c r="AG27" s="2134">
        <f t="shared" si="146"/>
        <v>44.668231324443511</v>
      </c>
      <c r="AH27" s="2134">
        <f t="shared" si="147"/>
        <v>303.65743099423651</v>
      </c>
      <c r="AI27" s="2134">
        <f t="shared" si="9"/>
        <v>1095.4149525939783</v>
      </c>
      <c r="AJ27" s="2134">
        <f t="shared" si="148"/>
        <v>18180.179405029292</v>
      </c>
      <c r="AK27" s="3916">
        <v>2990</v>
      </c>
      <c r="AL27" s="2136">
        <f t="shared" si="126"/>
        <v>27.98518896538231</v>
      </c>
      <c r="AM27" s="2134">
        <f t="shared" si="149"/>
        <v>836.75715006493101</v>
      </c>
      <c r="AN27" s="2134">
        <f t="shared" si="123"/>
        <v>2990</v>
      </c>
      <c r="AO27" s="2136">
        <f t="shared" si="36"/>
        <v>27.392396331005557</v>
      </c>
      <c r="AP27" s="2134">
        <f t="shared" si="150"/>
        <v>819.03265029706608</v>
      </c>
      <c r="AQ27" s="2134">
        <f t="shared" si="151"/>
        <v>2.1118733473778781</v>
      </c>
      <c r="AR27" s="2134">
        <f t="shared" si="38"/>
        <v>4013.2818423313943</v>
      </c>
      <c r="AS27" s="2134">
        <f t="shared" si="39"/>
        <v>401.90853594842156</v>
      </c>
      <c r="AT27" s="2136">
        <f>+'Recalculos ST'!E28</f>
        <v>37.831207029537204</v>
      </c>
      <c r="AU27" s="2134">
        <f>+'MCP ST'!V21</f>
        <v>94.882705131702281</v>
      </c>
      <c r="AV27" s="3973">
        <f>+Factores!$D$24</f>
        <v>0.96199999999999997</v>
      </c>
      <c r="AW27" s="2134">
        <f t="shared" si="40"/>
        <v>787.90940958577755</v>
      </c>
      <c r="AX27" s="2376">
        <f>'Plan mina ST'!AK25/25.4</f>
        <v>4.3183355762180522</v>
      </c>
      <c r="AY27" s="2718">
        <f>+'Recalculos ST'!AK28</f>
        <v>186.9792286860106</v>
      </c>
      <c r="AZ27" s="2138">
        <f>'Plan mina ST'!O25*BA27/1000000*0.79</f>
        <v>2.1118733473778781</v>
      </c>
      <c r="BA27" s="2137">
        <f t="shared" si="152"/>
        <v>8200.2304085670803</v>
      </c>
      <c r="BB27" s="2138">
        <f>'Plan mina ST'!O25*'ST Original'!BT27/1000000*0.8</f>
        <v>2.1863180145891046</v>
      </c>
      <c r="BC27" s="4640"/>
      <c r="BD27" s="2148">
        <f t="shared" si="12"/>
        <v>46101.791666666664</v>
      </c>
      <c r="BE27" s="2149">
        <f>'Plan mina ST'!J25</f>
        <v>4.364424523027001E-2</v>
      </c>
      <c r="BF27" s="2150">
        <f t="shared" si="42"/>
        <v>1.5101608582974644</v>
      </c>
      <c r="BG27" s="2151">
        <f>'Plan mina ST'!K25</f>
        <v>1.3047131631498017</v>
      </c>
      <c r="BH27" s="2150">
        <f t="shared" si="43"/>
        <v>45.145167247107288</v>
      </c>
      <c r="BI27" s="2151">
        <f>'Plan mina ST'!V25</f>
        <v>12.567823898950513</v>
      </c>
      <c r="BJ27" s="2152">
        <f t="shared" si="44"/>
        <v>565.55207545277312</v>
      </c>
      <c r="BK27" s="3395">
        <f>'Plan mina ST'!AI25</f>
        <v>1.4242911578801434</v>
      </c>
      <c r="BL27" s="3399">
        <f>'Recalculos ST'!T28</f>
        <v>6.0751538409270411</v>
      </c>
      <c r="BM27" s="3391">
        <f t="shared" si="45"/>
        <v>13.16354199175621</v>
      </c>
      <c r="BN27" s="3391">
        <f t="shared" si="46"/>
        <v>13.16354199175621</v>
      </c>
      <c r="BO27" s="3391">
        <f t="shared" si="47"/>
        <v>13.16354199175621</v>
      </c>
      <c r="BP27" s="3391">
        <f t="shared" si="48"/>
        <v>39.490625975268628</v>
      </c>
      <c r="BQ27" s="3400">
        <f t="shared" si="49"/>
        <v>14.469959964817026</v>
      </c>
      <c r="BR27" s="3397">
        <f t="shared" si="50"/>
        <v>6628.0486722273154</v>
      </c>
      <c r="BS27" s="2137">
        <f t="shared" si="51"/>
        <v>1751.5764781669839</v>
      </c>
      <c r="BT27" s="3344">
        <f t="shared" si="52"/>
        <v>8383.1767632693973</v>
      </c>
      <c r="BU27" s="3345">
        <f t="shared" si="53"/>
        <v>2209.7331916437652</v>
      </c>
      <c r="BV27" s="3345">
        <f t="shared" si="54"/>
        <v>2209.7331916437652</v>
      </c>
      <c r="BW27" s="3345">
        <f t="shared" si="55"/>
        <v>2209.7331916437652</v>
      </c>
      <c r="BX27" s="3346">
        <f t="shared" si="56"/>
        <v>98.056332111173916</v>
      </c>
      <c r="BY27" s="3346">
        <f t="shared" si="57"/>
        <v>98.056332111173916</v>
      </c>
      <c r="BZ27" s="3346">
        <f t="shared" si="58"/>
        <v>98.056332111173916</v>
      </c>
      <c r="CA27" s="3346">
        <f t="shared" si="59"/>
        <v>97.12989278992228</v>
      </c>
      <c r="CB27" s="3346">
        <f t="shared" si="60"/>
        <v>97.885715079916608</v>
      </c>
      <c r="CC27" s="3623">
        <f t="shared" si="61"/>
        <v>98.056332111173901</v>
      </c>
      <c r="CD27" s="3348">
        <f t="shared" si="62"/>
        <v>98.886834920573264</v>
      </c>
      <c r="CE27" s="3348">
        <f t="shared" si="63"/>
        <v>98.886834920573264</v>
      </c>
      <c r="CF27" s="3348">
        <f t="shared" si="64"/>
        <v>98.886834920573264</v>
      </c>
      <c r="CG27" s="3348">
        <f t="shared" si="65"/>
        <v>98.356250499976611</v>
      </c>
      <c r="CH27" s="3346">
        <f t="shared" si="66"/>
        <v>98.789120222376653</v>
      </c>
      <c r="CI27" s="3347">
        <f t="shared" si="67"/>
        <v>26.877795450599066</v>
      </c>
      <c r="CJ27" s="3354">
        <f t="shared" si="68"/>
        <v>6.4495510000000005</v>
      </c>
      <c r="CK27" s="3355">
        <f t="shared" si="69"/>
        <v>6.4495510000000005</v>
      </c>
      <c r="CL27" s="3355">
        <f t="shared" si="70"/>
        <v>6.4495510000000005</v>
      </c>
      <c r="CM27" s="3356">
        <f t="shared" si="71"/>
        <v>4.3442710000000009</v>
      </c>
      <c r="CN27" s="3356">
        <f t="shared" si="72"/>
        <v>23.692924000000001</v>
      </c>
      <c r="CO27" s="3354">
        <f t="shared" si="73"/>
        <v>6.3953843333333333</v>
      </c>
      <c r="CP27" s="3355">
        <f t="shared" si="74"/>
        <v>6.3953843333333333</v>
      </c>
      <c r="CQ27" s="3355">
        <f t="shared" si="75"/>
        <v>6.3953843333333333</v>
      </c>
      <c r="CR27" s="3356">
        <f t="shared" si="76"/>
        <v>4.2901043333333337</v>
      </c>
      <c r="CS27" s="3356">
        <f t="shared" si="77"/>
        <v>23.476257333333333</v>
      </c>
      <c r="CT27" s="3357">
        <f t="shared" si="78"/>
        <v>6.5217878333333337</v>
      </c>
      <c r="CU27" s="2153">
        <f t="shared" si="79"/>
        <v>6.5217878333333337</v>
      </c>
      <c r="CV27" s="2153">
        <f t="shared" si="80"/>
        <v>6.5217878333333337</v>
      </c>
      <c r="CW27" s="3358">
        <f t="shared" si="81"/>
        <v>4.4179698333333342</v>
      </c>
      <c r="CX27" s="3354">
        <f t="shared" si="82"/>
        <v>0</v>
      </c>
      <c r="CY27" s="3355">
        <f t="shared" si="83"/>
        <v>0</v>
      </c>
      <c r="CZ27" s="3355">
        <f t="shared" si="84"/>
        <v>0</v>
      </c>
      <c r="DA27" s="3356">
        <f t="shared" si="85"/>
        <v>0</v>
      </c>
      <c r="DB27" s="3354">
        <f t="shared" si="86"/>
        <v>7.2602333333333338E-2</v>
      </c>
      <c r="DC27" s="3355">
        <f t="shared" si="87"/>
        <v>7.2602333333333338E-2</v>
      </c>
      <c r="DD27" s="3355">
        <f t="shared" si="88"/>
        <v>7.2602333333333338E-2</v>
      </c>
      <c r="DE27" s="3356">
        <f t="shared" si="89"/>
        <v>7.2602333333333338E-2</v>
      </c>
      <c r="DF27" s="3356">
        <f t="shared" si="90"/>
        <v>0.29040933333333335</v>
      </c>
      <c r="DG27" s="3354">
        <f t="shared" si="91"/>
        <v>0.12676900000000002</v>
      </c>
      <c r="DH27" s="3355">
        <f t="shared" si="92"/>
        <v>0.12676900000000002</v>
      </c>
      <c r="DI27" s="3355">
        <f t="shared" si="93"/>
        <v>0.12676900000000002</v>
      </c>
      <c r="DJ27" s="3356">
        <f t="shared" si="94"/>
        <v>0.12676900000000002</v>
      </c>
      <c r="DK27" s="3356">
        <f t="shared" si="95"/>
        <v>0.50707600000000008</v>
      </c>
      <c r="DL27" s="2137">
        <v>0</v>
      </c>
      <c r="DM27" s="2137">
        <v>0</v>
      </c>
      <c r="DN27" s="2137">
        <v>0</v>
      </c>
      <c r="DO27" s="2137">
        <v>0</v>
      </c>
      <c r="DP27" s="2137">
        <v>0</v>
      </c>
      <c r="DQ27" s="2137">
        <v>0</v>
      </c>
      <c r="DR27" s="2137">
        <v>0</v>
      </c>
      <c r="DS27" s="2137">
        <v>0</v>
      </c>
      <c r="DT27" s="2137">
        <v>0</v>
      </c>
      <c r="DU27" s="2137">
        <v>0</v>
      </c>
      <c r="DV27" s="2137">
        <v>0</v>
      </c>
      <c r="DW27" s="2579">
        <f t="shared" si="96"/>
        <v>7.2602333333333338E-2</v>
      </c>
      <c r="DX27" s="2579">
        <f t="shared" si="97"/>
        <v>7.2602333333333338E-2</v>
      </c>
      <c r="DY27" s="2579">
        <f t="shared" si="98"/>
        <v>7.2602333333333338E-2</v>
      </c>
      <c r="DZ27" s="2579">
        <f t="shared" si="99"/>
        <v>7.2602333333333338E-2</v>
      </c>
      <c r="EA27" s="2579">
        <f t="shared" si="100"/>
        <v>0</v>
      </c>
      <c r="EB27" s="2579">
        <f t="shared" si="101"/>
        <v>0</v>
      </c>
      <c r="EC27" s="2579">
        <f t="shared" si="102"/>
        <v>0</v>
      </c>
      <c r="ED27" s="2579">
        <f t="shared" si="103"/>
        <v>0</v>
      </c>
      <c r="EE27" s="2579">
        <f t="shared" si="104"/>
        <v>0.05</v>
      </c>
      <c r="EF27" s="2579">
        <f t="shared" si="105"/>
        <v>0.05</v>
      </c>
      <c r="EG27" s="2579">
        <f t="shared" si="106"/>
        <v>0.05</v>
      </c>
      <c r="EH27" s="2579">
        <f t="shared" si="127"/>
        <v>0.05</v>
      </c>
      <c r="EI27" s="2579">
        <f t="shared" si="108"/>
        <v>4.1666666666666666E-3</v>
      </c>
      <c r="EJ27" s="2579">
        <f t="shared" si="109"/>
        <v>4.1666666666666666E-3</v>
      </c>
      <c r="EK27" s="2579">
        <f t="shared" si="110"/>
        <v>4.1666666666666666E-3</v>
      </c>
      <c r="EL27" s="2581">
        <f t="shared" si="111"/>
        <v>4.1666666666666666E-3</v>
      </c>
      <c r="EM27" s="3341">
        <f t="shared" si="129"/>
        <v>4.1666666666666666E-3</v>
      </c>
      <c r="EN27" s="3341">
        <f t="shared" si="130"/>
        <v>4.1666666666666666E-3</v>
      </c>
      <c r="EO27" s="3341">
        <f t="shared" si="131"/>
        <v>4.1666666666666666E-3</v>
      </c>
      <c r="EP27" s="3341">
        <f t="shared" si="132"/>
        <v>4.1666666666666666E-3</v>
      </c>
      <c r="EQ27" s="3319">
        <f t="shared" si="116"/>
        <v>1.6666666666666666E-2</v>
      </c>
      <c r="ER27" s="809">
        <f>+'MCP ST'!H21</f>
        <v>1.3105009505641654</v>
      </c>
      <c r="ES27" s="4236">
        <f t="shared" si="117"/>
        <v>0.30707600000000002</v>
      </c>
      <c r="EZ27" s="2154">
        <f>+'Plan mina ST'!AM25</f>
        <v>0.93992886589284685</v>
      </c>
      <c r="FA27" s="2067" t="str">
        <f>IF($FC27&lt;=Factores!$D$3,AX27,"")</f>
        <v/>
      </c>
      <c r="FB27" s="2076"/>
      <c r="FC27" s="2065">
        <f t="shared" si="13"/>
        <v>46101.791666666664</v>
      </c>
      <c r="FD27" s="780" t="str">
        <f>IF($FC27&lt;=Factores!$D$3,'ST Original'!C27,"")</f>
        <v/>
      </c>
      <c r="FE27" s="782" t="str">
        <f>IF($FC27&lt;=Factores!$D$3,'ST Original'!D27,"")</f>
        <v/>
      </c>
      <c r="FF27" s="780" t="str">
        <f>IF($FC27&lt;=Factores!$D$3,'ST Original'!E27,"")</f>
        <v/>
      </c>
      <c r="FG27" s="782"/>
      <c r="FH27" s="2064" t="str">
        <f>IF($FC27&lt;=Factores!$D$3,'ST Original'!J27,"")</f>
        <v/>
      </c>
      <c r="FI27" s="781" t="str">
        <f>IF($FC27&lt;=Factores!$D$3,'ST Original'!BT27,"")</f>
        <v/>
      </c>
      <c r="FJ27" s="781" t="str">
        <f>IF($FC27&lt;=Factores!$D$3,'ST Original'!K27,"")</f>
        <v/>
      </c>
      <c r="FK27" s="2066" t="str">
        <f>IF($FC27&lt;=Factores!$D$3,'ST Original'!L27,"")</f>
        <v/>
      </c>
      <c r="FL27" s="781" t="str">
        <f>IF($FC27&lt;=Factores!$D$3,'ST Original'!M27,"")</f>
        <v/>
      </c>
      <c r="FM27" s="781" t="str">
        <f>IF($FC27&lt;=Factores!$D$3,'ST Original'!N27,"")</f>
        <v/>
      </c>
      <c r="FN27" s="780" t="str">
        <f>IF($FC27&lt;=Factores!$D$3,'ST Original'!O27,"")</f>
        <v/>
      </c>
      <c r="FO27" s="539" t="str">
        <f>IF($FC27&lt;=Factores!$D$3,'ST Original'!R27,"")</f>
        <v/>
      </c>
      <c r="FP27" s="780" t="str">
        <f>IF($FC27&lt;=Factores!$D$3,'ST Original'!S27,"")</f>
        <v/>
      </c>
      <c r="FQ27" s="782" t="str">
        <f>IF($FC27&lt;=Factores!$D$3,'ST Original'!V27,"")</f>
        <v/>
      </c>
      <c r="FR27" s="780" t="str">
        <f>IF($FC27&lt;=Factores!$D$3,'ST Original'!W27,"")</f>
        <v/>
      </c>
      <c r="FS27" s="819" t="str">
        <f>IF($FC27&lt;=Factores!$D$3,'ST Original'!X27,"")</f>
        <v/>
      </c>
      <c r="FT27" s="819" t="str">
        <f>IF($FC27&lt;=Factores!$D$3,'ST Original'!Y27,"")</f>
        <v/>
      </c>
      <c r="FU27" s="819" t="str">
        <f>IF($FC27&lt;=Factores!$D$3,'ST Original'!Z27,"")</f>
        <v/>
      </c>
      <c r="FV27" s="819" t="str">
        <f>IF($FC27&lt;=Factores!$D$3,'ST Original'!AA27,"")</f>
        <v/>
      </c>
      <c r="FW27" s="539" t="str">
        <f>IF($FC27&lt;=Factores!$D$3,'ST Original'!AB27,"")</f>
        <v/>
      </c>
      <c r="FX27" s="539" t="str">
        <f>IF($FC27&lt;=Factores!$D$3,'ST Original'!AC27,"")</f>
        <v/>
      </c>
      <c r="FY27" s="819" t="str">
        <f>IF($FC27&lt;=Factores!$D$3,AE27,"")</f>
        <v/>
      </c>
      <c r="FZ27" s="782" t="str">
        <f>IF($FC27&lt;=Factores!$D$3,AF27,"")</f>
        <v/>
      </c>
      <c r="GA27" s="539" t="str">
        <f>IF($FC27&lt;=Factores!$D$3,AG27,"")</f>
        <v/>
      </c>
      <c r="GB27" s="780" t="str">
        <f>IF($FC27&lt;=Factores!$D$3,AI27,"")</f>
        <v/>
      </c>
      <c r="GC27" s="782" t="str">
        <f>IF($FC27&lt;=Factores!$D$3,AJ27,"")</f>
        <v/>
      </c>
      <c r="GD27" s="780" t="str">
        <f>IF($FC27&lt;=Factores!$D$3,AN27,"")</f>
        <v/>
      </c>
      <c r="GE27" s="539" t="str">
        <f>IF($FC27&lt;=Factores!$D$3,AO27,"")</f>
        <v/>
      </c>
      <c r="GF27" s="782" t="str">
        <f>IF($FC27&lt;=Factores!$D$3,AP27,"")</f>
        <v/>
      </c>
      <c r="GG27" s="2072" t="str">
        <f>IF($FC27&lt;=Factores!$D$3,BI27,"")</f>
        <v/>
      </c>
      <c r="GH27" s="2073" t="str">
        <f>IF($FC27&lt;=Factores!$D$3,BJ27,"")</f>
        <v/>
      </c>
      <c r="GI27" s="2069">
        <f>+'Plan mina ST'!AN62</f>
        <v>0</v>
      </c>
      <c r="GJ27" s="2065">
        <f t="shared" si="14"/>
        <v>46101.791666666664</v>
      </c>
      <c r="GK27" s="2067">
        <f>+'Plan mina ST'!J25</f>
        <v>4.364424523027001E-2</v>
      </c>
      <c r="GL27" s="818">
        <f t="shared" si="15"/>
        <v>1.7726303938131625</v>
      </c>
      <c r="GM27" s="539">
        <f t="shared" si="118"/>
        <v>6012.6001638564776</v>
      </c>
      <c r="GN27" s="2077">
        <f t="shared" si="119"/>
        <v>91898.68324107278</v>
      </c>
      <c r="GO27" s="818">
        <f>+'Plan mina ST'!K25</f>
        <v>1.3047131631498017</v>
      </c>
      <c r="GP27" s="818">
        <f t="shared" si="16"/>
        <v>60.561719184742671</v>
      </c>
      <c r="GQ27" s="539">
        <f t="shared" si="17"/>
        <v>205419.81225443995</v>
      </c>
      <c r="GR27" s="539">
        <f t="shared" si="120"/>
        <v>3525446.2664086912</v>
      </c>
      <c r="GS27" s="781">
        <f>+'Plan mina ST'!V25</f>
        <v>12.567823898950513</v>
      </c>
      <c r="GT27" s="782">
        <f t="shared" si="18"/>
        <v>565.55207545277312</v>
      </c>
      <c r="GU27" s="2072" t="str">
        <f>IF($FC27&lt;=Factores!$D$3,AT27,"")</f>
        <v/>
      </c>
      <c r="GW27" s="781">
        <f>+'Plan mina ST'!AI25</f>
        <v>1.4242911578801434</v>
      </c>
      <c r="GX27" s="2078">
        <v>0.5</v>
      </c>
      <c r="GY27" s="819"/>
      <c r="GZ27" s="2065">
        <f t="shared" si="19"/>
        <v>46101.791666666664</v>
      </c>
      <c r="HA27" s="780">
        <f>IF($FC27&gt;Factores!$D$3,'ST Original'!C27,"")</f>
        <v>220000.03021743204</v>
      </c>
      <c r="HB27" s="782">
        <f>IF($FC27&gt;Factores!$D$3,'ST Original'!D27,"")</f>
        <v>667290.41378565237</v>
      </c>
      <c r="HC27" s="780">
        <f>IF($FC27&gt;Factores!$D$3,'ST Original'!E27,"")</f>
        <v>196805.52980560993</v>
      </c>
      <c r="HD27" s="782"/>
      <c r="HE27" s="2064">
        <f>IF($FC27&gt;Factores!$D$3,'ST Original'!J27,"")</f>
        <v>97.885672723806138</v>
      </c>
      <c r="HF27" s="781">
        <f>IF($FC27&gt;Factores!$D$3,'ST Original'!BT27,"")</f>
        <v>8383.1767632693973</v>
      </c>
      <c r="HG27" s="781">
        <f>IF($FC27&gt;Factores!$D$3,'ST Original'!K27,"")</f>
        <v>93.99288658928468</v>
      </c>
      <c r="HH27" s="2066">
        <f>IF($FC27&gt;Factores!$D$3,'ST Original'!L27,"")</f>
        <v>0.54156117360462053</v>
      </c>
      <c r="HI27" s="781">
        <f>IF($FC27&gt;Factores!$D$3,'ST Original'!M27,"")</f>
        <v>90.626900611127141</v>
      </c>
      <c r="HJ27" s="781">
        <f>IF($FC27&gt;Factores!$D$3,'ST Original'!N27,"")</f>
        <v>28.477234564178254</v>
      </c>
      <c r="HK27" s="780">
        <f>IF($FC27&gt;Factores!$D$3,'ST Original'!O27,"")</f>
        <v>3391.9085359484216</v>
      </c>
      <c r="HL27" s="539">
        <f>IF($FC27&gt;Factores!$D$3,'ST Original'!R27,"")</f>
        <v>61943.517996283706</v>
      </c>
      <c r="HM27" s="780">
        <f>IF($FC27&gt;Factores!$D$3,'ST Original'!S27,"")</f>
        <v>965.92174998441658</v>
      </c>
      <c r="HN27" s="782">
        <f>IF($FC27&gt;Factores!$D$3,'ST Original'!V27,"")</f>
        <v>16511.445918766673</v>
      </c>
      <c r="HO27" s="780">
        <f>IF($FC27&gt;Factores!$D$3,'ST Original'!W27,"")</f>
        <v>278.04752238264018</v>
      </c>
      <c r="HP27" s="819">
        <f>IF($FC27&gt;Factores!$D$3,'ST Original'!X27,"")</f>
        <v>93.19372724003378</v>
      </c>
      <c r="HQ27" s="819">
        <f>IF($FC27&gt;Factores!$D$3,'ST Original'!Y27,"")</f>
        <v>87.590246499304698</v>
      </c>
      <c r="HR27" s="819">
        <f>IF($FC27&gt;Factores!$D$3,'ST Original'!Z27,"")</f>
        <v>81.628615411435263</v>
      </c>
      <c r="HS27" s="819">
        <f>IF($FC27&gt;Factores!$D$3,'ST Original'!AA27,"")</f>
        <v>50</v>
      </c>
      <c r="HT27" s="539">
        <f>IF($FC27&gt;Factores!$D$3,'ST Original'!AB27,"")</f>
        <v>89.336462648887021</v>
      </c>
      <c r="HU27" s="539">
        <f>IF($FC27&gt;Factores!$D$3,'ST Original'!AC27,"")</f>
        <v>89.336462648887021</v>
      </c>
      <c r="HV27" s="819">
        <f>IF($FC27&gt;Factores!$D$3,AE27,"")</f>
        <v>44.668231324443511</v>
      </c>
      <c r="HW27" s="782">
        <f>IF($FC27&gt;Factores!$D$3,AF27,"")</f>
        <v>575.62383106678851</v>
      </c>
      <c r="HX27" s="539">
        <f>IF($FC27&gt;Factores!$D$3,AG27,"")</f>
        <v>44.668231324443511</v>
      </c>
      <c r="HY27" s="780">
        <f>IF($FC27&gt;Factores!$D$3,AI27,"")</f>
        <v>1095.4149525939783</v>
      </c>
      <c r="HZ27" s="782">
        <f>IF($FC27&gt;Factores!$D$3,AJ27,"")</f>
        <v>18180.179405029292</v>
      </c>
      <c r="IA27" s="780">
        <f>IF($FC27&gt;Factores!$D$3,AN27,"")</f>
        <v>2990</v>
      </c>
      <c r="IB27" s="539">
        <f>IF($FC27&gt;Factores!$D$3,AO27,"")</f>
        <v>27.392396331005557</v>
      </c>
      <c r="IC27" s="782">
        <f>IF($FC27&gt;Factores!$D$3,AP27,"")</f>
        <v>819.03265029706608</v>
      </c>
      <c r="ID27" s="2072">
        <f>IF($FC27&gt;Factores!$D$3,BI27,"")</f>
        <v>12.567823898950513</v>
      </c>
      <c r="IE27" s="2073">
        <f>IF($FC27&gt;Factores!$D$3,BJ27,"")</f>
        <v>565.55207545277312</v>
      </c>
      <c r="IF27" s="4237">
        <f t="shared" si="20"/>
        <v>196805.52980560993</v>
      </c>
      <c r="IG27" s="4237">
        <f t="shared" si="124"/>
        <v>3517714.9652283578</v>
      </c>
      <c r="IH27" s="4234">
        <f t="shared" si="121"/>
        <v>0.54156117360462053</v>
      </c>
      <c r="II27" s="342">
        <f>SUMPRODUCT(IH$8:IH27,IF$8:IF27)/IG27</f>
        <v>0.51936194221733412</v>
      </c>
      <c r="IJ27" s="4235">
        <f t="shared" si="122"/>
        <v>90.626900611127141</v>
      </c>
      <c r="IK27" s="342" cm="1">
        <f t="array" ref="IK27">SUMPRODUCT(IJ$8:IJ27,IF$8:IF27/IG27)</f>
        <v>90.359054289026673</v>
      </c>
    </row>
    <row r="28" spans="1:245" s="744" customFormat="1" ht="14.25" customHeight="1" thickBot="1">
      <c r="A28" s="4637"/>
      <c r="B28" s="2142">
        <f t="shared" si="21"/>
        <v>46102.791666666664</v>
      </c>
      <c r="C28" s="2143">
        <f>+'Plan mina ST'!N63*1000</f>
        <v>185000.02086318861</v>
      </c>
      <c r="D28" s="2143">
        <f>+'Plan mina ST'!M63*1000</f>
        <v>659217.75062644877</v>
      </c>
      <c r="E28" s="2143">
        <f>(('Plan mina ST'!O63*1000))</f>
        <v>193072.68402239218</v>
      </c>
      <c r="F28" s="2143">
        <f>+'Plan mina ST'!J63*1000</f>
        <v>39582.34199025845</v>
      </c>
      <c r="G28" s="2143">
        <f t="shared" si="22"/>
        <v>153490.34203213372</v>
      </c>
      <c r="H28" s="2144">
        <f t="shared" si="23"/>
        <v>98.056332111173901</v>
      </c>
      <c r="I28" s="2144">
        <f t="shared" si="24"/>
        <v>97.12989278992228</v>
      </c>
      <c r="J28" s="2144">
        <f t="shared" si="25"/>
        <v>97.885672723806138</v>
      </c>
      <c r="K28" s="2144">
        <f>+'Plan mina ST'!AM26*100</f>
        <v>94.868711324936768</v>
      </c>
      <c r="L28" s="2144">
        <f>'Plan mina ST'!D26</f>
        <v>0.53439489892154024</v>
      </c>
      <c r="M28" s="2144">
        <f>'Plan mina ST'!C26</f>
        <v>90.95708040849614</v>
      </c>
      <c r="N28" s="2145">
        <f>'Plan mina ST'!B26</f>
        <v>27.716210748744583</v>
      </c>
      <c r="O28" s="2143">
        <f t="shared" si="133"/>
        <v>3385.9909628403943</v>
      </c>
      <c r="P28" s="2143">
        <f t="shared" si="134"/>
        <v>2691.8199932612433</v>
      </c>
      <c r="Q28" s="2143">
        <f t="shared" si="3"/>
        <v>694.17096957915066</v>
      </c>
      <c r="R28" s="2143">
        <f t="shared" si="135"/>
        <v>65329.508959124098</v>
      </c>
      <c r="S28" s="2143">
        <f t="shared" si="136"/>
        <v>938.46839119428955</v>
      </c>
      <c r="T28" s="2143">
        <f t="shared" si="137"/>
        <v>746.07050230912853</v>
      </c>
      <c r="U28" s="2143">
        <f t="shared" si="138"/>
        <v>192.39788888516105</v>
      </c>
      <c r="V28" s="2143">
        <f t="shared" si="139"/>
        <v>17449.914309960961</v>
      </c>
      <c r="W28" s="2143">
        <f>+'Plan mina ST'!E26</f>
        <v>272.5862418242171</v>
      </c>
      <c r="X28" s="2144">
        <f t="shared" si="28"/>
        <v>93.124172784071234</v>
      </c>
      <c r="Y28" s="2144">
        <f t="shared" si="29"/>
        <v>90.243019036907583</v>
      </c>
      <c r="Z28" s="2144">
        <f t="shared" si="30"/>
        <v>84.038064973492112</v>
      </c>
      <c r="AA28" s="2145">
        <v>50</v>
      </c>
      <c r="AB28" s="2143">
        <f t="shared" si="141"/>
        <v>88.456714722770485</v>
      </c>
      <c r="AC28" s="2143">
        <f t="shared" si="142"/>
        <v>88.456714722770485</v>
      </c>
      <c r="AD28" s="2143">
        <f t="shared" si="143"/>
        <v>88.456714722770485</v>
      </c>
      <c r="AE28" s="2143">
        <f t="shared" si="144"/>
        <v>44.228357361385243</v>
      </c>
      <c r="AF28" s="2143">
        <f t="shared" si="145"/>
        <v>619.8521884281738</v>
      </c>
      <c r="AG28" s="2143">
        <f t="shared" si="146"/>
        <v>44.228357361385243</v>
      </c>
      <c r="AH28" s="2143">
        <f t="shared" si="147"/>
        <v>303.65743099423651</v>
      </c>
      <c r="AI28" s="2143">
        <f t="shared" si="9"/>
        <v>1066.6863991849455</v>
      </c>
      <c r="AJ28" s="2143">
        <f t="shared" si="148"/>
        <v>19246.865804214238</v>
      </c>
      <c r="AK28" s="2143">
        <f>'Envíos STC 2800'!G24</f>
        <v>4366</v>
      </c>
      <c r="AL28" s="2145">
        <f t="shared" si="126"/>
        <v>28.477234564178254</v>
      </c>
      <c r="AM28" s="2143">
        <f t="shared" si="149"/>
        <v>1243.3160610720226</v>
      </c>
      <c r="AN28" s="2143">
        <f t="shared" si="123"/>
        <v>2990</v>
      </c>
      <c r="AO28" s="2145">
        <f t="shared" si="36"/>
        <v>27.98518896538231</v>
      </c>
      <c r="AP28" s="2143">
        <f t="shared" si="150"/>
        <v>836.75715006493101</v>
      </c>
      <c r="AQ28" s="2143">
        <f t="shared" si="151"/>
        <v>1.782782478636471</v>
      </c>
      <c r="AR28" s="2143">
        <f t="shared" si="38"/>
        <v>4114.993083460753</v>
      </c>
      <c r="AS28" s="2143">
        <f t="shared" si="39"/>
        <v>-980.00903715960567</v>
      </c>
      <c r="AT28" s="2145">
        <f>+'Recalculos ST'!E29</f>
        <v>36.152261349255689</v>
      </c>
      <c r="AU28" s="2143">
        <f>+'MCP ST'!V22</f>
        <v>92.23774481701308</v>
      </c>
      <c r="AV28" s="3973">
        <f>+Factores!$D$24</f>
        <v>0.96199999999999997</v>
      </c>
      <c r="AW28" s="2143">
        <f t="shared" si="40"/>
        <v>804.96037836246364</v>
      </c>
      <c r="AX28" s="3908">
        <f>'Plan mina ST'!AK26/25.4</f>
        <v>4.3184590964731928</v>
      </c>
      <c r="AY28" s="2719">
        <f>+'Recalculos ST'!AK29</f>
        <v>184.90758068144279</v>
      </c>
      <c r="AZ28" s="2147">
        <f>'Plan mina ST'!O26*BA28/1000000*0.79</f>
        <v>1.782782478636471</v>
      </c>
      <c r="BA28" s="2146">
        <f t="shared" si="152"/>
        <v>8044.6951675996743</v>
      </c>
      <c r="BB28" s="2147">
        <f>'Plan mina ST'!O26*'ST Original'!BT28/1000000*0.8</f>
        <v>1.8456265163704968</v>
      </c>
      <c r="BC28" s="4641"/>
      <c r="BD28" s="2165">
        <f t="shared" si="12"/>
        <v>46102.791666666664</v>
      </c>
      <c r="BE28" s="2149">
        <f>'Plan mina ST'!J26</f>
        <v>2.9819882257727189E-2</v>
      </c>
      <c r="BF28" s="2150">
        <f t="shared" si="42"/>
        <v>1.0318157353177355</v>
      </c>
      <c r="BG28" s="2151">
        <f>'Plan mina ST'!K26</f>
        <v>1.095007473279739</v>
      </c>
      <c r="BH28" s="2150">
        <f t="shared" si="43"/>
        <v>37.889014163621454</v>
      </c>
      <c r="BI28" s="2151">
        <f>'Plan mina ST'!V26</f>
        <v>17.786078626776714</v>
      </c>
      <c r="BJ28" s="2152">
        <f t="shared" si="44"/>
        <v>800.37353820495218</v>
      </c>
      <c r="BK28" s="3395">
        <f>'Plan mina ST'!AI26</f>
        <v>1.3984071041345416</v>
      </c>
      <c r="BL28" s="3401">
        <f>'Recalculos ST'!T29</f>
        <v>6.2657583839713302</v>
      </c>
      <c r="BM28" s="3392">
        <f t="shared" si="45"/>
        <v>13.359727695036904</v>
      </c>
      <c r="BN28" s="3392">
        <f t="shared" si="46"/>
        <v>13.359727695036904</v>
      </c>
      <c r="BO28" s="3392">
        <f t="shared" si="47"/>
        <v>13.359727695036904</v>
      </c>
      <c r="BP28" s="3392">
        <f t="shared" si="48"/>
        <v>40.079183085110714</v>
      </c>
      <c r="BQ28" s="3402">
        <f t="shared" si="49"/>
        <v>14.469959964817026</v>
      </c>
      <c r="BR28" s="3397">
        <f t="shared" si="50"/>
        <v>6522.2008414047014</v>
      </c>
      <c r="BS28" s="2137">
        <f t="shared" si="51"/>
        <v>1698.2934733383588</v>
      </c>
      <c r="BT28" s="3344">
        <f t="shared" si="52"/>
        <v>8224.1715459787647</v>
      </c>
      <c r="BU28" s="3345">
        <f t="shared" si="53"/>
        <v>2174.4444548527567</v>
      </c>
      <c r="BV28" s="3345">
        <f t="shared" si="54"/>
        <v>2174.4444548527567</v>
      </c>
      <c r="BW28" s="3345">
        <f t="shared" si="55"/>
        <v>2174.4444548527567</v>
      </c>
      <c r="BX28" s="3346">
        <f t="shared" si="56"/>
        <v>98.056332111173916</v>
      </c>
      <c r="BY28" s="3346">
        <f t="shared" si="57"/>
        <v>98.056332111173916</v>
      </c>
      <c r="BZ28" s="3346">
        <f t="shared" si="58"/>
        <v>98.056332111173916</v>
      </c>
      <c r="CA28" s="3346">
        <f t="shared" si="59"/>
        <v>97.12989278992228</v>
      </c>
      <c r="CB28" s="3346">
        <f t="shared" si="60"/>
        <v>97.885715079916608</v>
      </c>
      <c r="CC28" s="3623">
        <f t="shared" si="61"/>
        <v>98.056332111173901</v>
      </c>
      <c r="CD28" s="3348">
        <f t="shared" si="62"/>
        <v>98.886834920573264</v>
      </c>
      <c r="CE28" s="3348">
        <f t="shared" si="63"/>
        <v>98.886834920573264</v>
      </c>
      <c r="CF28" s="3348">
        <f t="shared" si="64"/>
        <v>98.886834920573264</v>
      </c>
      <c r="CG28" s="3348">
        <f t="shared" si="65"/>
        <v>98.356250499976611</v>
      </c>
      <c r="CH28" s="3346">
        <f t="shared" si="66"/>
        <v>98.789120222376653</v>
      </c>
      <c r="CI28" s="3347">
        <f t="shared" si="67"/>
        <v>26.877795450599066</v>
      </c>
      <c r="CJ28" s="3359">
        <f t="shared" si="68"/>
        <v>6.4495510000000005</v>
      </c>
      <c r="CK28" s="3360">
        <f t="shared" si="69"/>
        <v>6.4495510000000005</v>
      </c>
      <c r="CL28" s="3360">
        <f t="shared" si="70"/>
        <v>6.4495510000000005</v>
      </c>
      <c r="CM28" s="3361">
        <f t="shared" si="71"/>
        <v>4.3442710000000009</v>
      </c>
      <c r="CN28" s="3361">
        <f t="shared" si="72"/>
        <v>23.692924000000001</v>
      </c>
      <c r="CO28" s="3359">
        <f t="shared" si="73"/>
        <v>6.3953843333333333</v>
      </c>
      <c r="CP28" s="3360">
        <f t="shared" si="74"/>
        <v>6.3953843333333333</v>
      </c>
      <c r="CQ28" s="3360">
        <f t="shared" si="75"/>
        <v>6.3953843333333333</v>
      </c>
      <c r="CR28" s="3361">
        <f t="shared" si="76"/>
        <v>4.2901043333333337</v>
      </c>
      <c r="CS28" s="3361">
        <f t="shared" si="77"/>
        <v>23.476257333333333</v>
      </c>
      <c r="CT28" s="3362">
        <f t="shared" si="78"/>
        <v>6.5217878333333337</v>
      </c>
      <c r="CU28" s="2166">
        <f t="shared" si="79"/>
        <v>6.5217878333333337</v>
      </c>
      <c r="CV28" s="2166">
        <f t="shared" si="80"/>
        <v>6.5217878333333337</v>
      </c>
      <c r="CW28" s="3363">
        <f t="shared" si="81"/>
        <v>4.4179698333333342</v>
      </c>
      <c r="CX28" s="3359">
        <f t="shared" si="82"/>
        <v>0</v>
      </c>
      <c r="CY28" s="3360">
        <f t="shared" si="83"/>
        <v>0</v>
      </c>
      <c r="CZ28" s="3360">
        <f t="shared" si="84"/>
        <v>0</v>
      </c>
      <c r="DA28" s="3361">
        <f t="shared" si="85"/>
        <v>0</v>
      </c>
      <c r="DB28" s="3359">
        <f t="shared" si="86"/>
        <v>7.2602333333333338E-2</v>
      </c>
      <c r="DC28" s="3360">
        <f t="shared" si="87"/>
        <v>7.2602333333333338E-2</v>
      </c>
      <c r="DD28" s="3360">
        <f t="shared" si="88"/>
        <v>7.2602333333333338E-2</v>
      </c>
      <c r="DE28" s="3361">
        <f t="shared" si="89"/>
        <v>7.2602333333333338E-2</v>
      </c>
      <c r="DF28" s="3361">
        <f t="shared" si="90"/>
        <v>0.29040933333333335</v>
      </c>
      <c r="DG28" s="3359">
        <f t="shared" si="91"/>
        <v>0.12676900000000002</v>
      </c>
      <c r="DH28" s="3360">
        <f t="shared" si="92"/>
        <v>0.12676900000000002</v>
      </c>
      <c r="DI28" s="3360">
        <f t="shared" si="93"/>
        <v>0.12676900000000002</v>
      </c>
      <c r="DJ28" s="3361">
        <f t="shared" si="94"/>
        <v>0.12676900000000002</v>
      </c>
      <c r="DK28" s="3361">
        <f t="shared" si="95"/>
        <v>0.50707600000000008</v>
      </c>
      <c r="DL28" s="2146">
        <v>0</v>
      </c>
      <c r="DM28" s="2146">
        <v>0</v>
      </c>
      <c r="DN28" s="2146">
        <v>0</v>
      </c>
      <c r="DO28" s="2146">
        <v>0</v>
      </c>
      <c r="DP28" s="2146">
        <v>0</v>
      </c>
      <c r="DQ28" s="2146">
        <v>0</v>
      </c>
      <c r="DR28" s="2146">
        <v>0</v>
      </c>
      <c r="DS28" s="2146">
        <v>0</v>
      </c>
      <c r="DT28" s="2146">
        <v>0</v>
      </c>
      <c r="DU28" s="2146">
        <v>0</v>
      </c>
      <c r="DV28" s="2146">
        <v>0</v>
      </c>
      <c r="DW28" s="2582">
        <f t="shared" si="96"/>
        <v>7.2602333333333338E-2</v>
      </c>
      <c r="DX28" s="2582">
        <f t="shared" si="97"/>
        <v>7.2602333333333338E-2</v>
      </c>
      <c r="DY28" s="2582">
        <f t="shared" si="98"/>
        <v>7.2602333333333338E-2</v>
      </c>
      <c r="DZ28" s="2582">
        <f t="shared" si="99"/>
        <v>7.2602333333333338E-2</v>
      </c>
      <c r="EA28" s="2582">
        <f t="shared" si="100"/>
        <v>0</v>
      </c>
      <c r="EB28" s="2582">
        <f t="shared" si="101"/>
        <v>0</v>
      </c>
      <c r="EC28" s="2582">
        <f t="shared" si="102"/>
        <v>0</v>
      </c>
      <c r="ED28" s="2582">
        <f t="shared" si="103"/>
        <v>0</v>
      </c>
      <c r="EE28" s="2582">
        <f t="shared" si="104"/>
        <v>0.05</v>
      </c>
      <c r="EF28" s="2582">
        <f t="shared" si="105"/>
        <v>0.05</v>
      </c>
      <c r="EG28" s="2582">
        <f t="shared" si="106"/>
        <v>0.05</v>
      </c>
      <c r="EH28" s="2582">
        <f t="shared" si="127"/>
        <v>0.05</v>
      </c>
      <c r="EI28" s="2579">
        <f t="shared" si="108"/>
        <v>4.1666666666666666E-3</v>
      </c>
      <c r="EJ28" s="2582">
        <f t="shared" si="109"/>
        <v>4.1666666666666666E-3</v>
      </c>
      <c r="EK28" s="2582">
        <f t="shared" si="110"/>
        <v>4.1666666666666666E-3</v>
      </c>
      <c r="EL28" s="2583">
        <f t="shared" si="111"/>
        <v>4.1666666666666666E-3</v>
      </c>
      <c r="EM28" s="3341">
        <f t="shared" si="129"/>
        <v>4.1666666666666666E-3</v>
      </c>
      <c r="EN28" s="3341">
        <f t="shared" si="130"/>
        <v>4.1666666666666666E-3</v>
      </c>
      <c r="EO28" s="3341">
        <f t="shared" si="131"/>
        <v>4.1666666666666666E-3</v>
      </c>
      <c r="EP28" s="3341">
        <f t="shared" si="132"/>
        <v>4.1666666666666666E-3</v>
      </c>
      <c r="EQ28" s="3319">
        <f t="shared" si="116"/>
        <v>1.6666666666666666E-2</v>
      </c>
      <c r="ER28" s="809">
        <f>+'MCP ST'!H22</f>
        <v>1.3521891836999185</v>
      </c>
      <c r="ES28" s="4236">
        <f t="shared" si="117"/>
        <v>0.30707600000000002</v>
      </c>
      <c r="EZ28" s="2154">
        <f>+'Plan mina ST'!AM26</f>
        <v>0.94868711324936772</v>
      </c>
      <c r="FA28" s="2080" t="str">
        <f>IF($FC28&lt;=Factores!$D$3,AX28,"")</f>
        <v/>
      </c>
      <c r="FB28" s="2083"/>
      <c r="FC28" s="2079">
        <f t="shared" si="13"/>
        <v>46102.791666666664</v>
      </c>
      <c r="FD28" s="787" t="str">
        <f>IF($FC28&lt;=Factores!$D$3,'ST Original'!C28,"")</f>
        <v/>
      </c>
      <c r="FE28" s="789" t="str">
        <f>IF($FC28&lt;=Factores!$D$3,'ST Original'!D28,"")</f>
        <v/>
      </c>
      <c r="FF28" s="787" t="str">
        <f>IF($FC28&lt;=Factores!$D$3,'ST Original'!E28,"")</f>
        <v/>
      </c>
      <c r="FG28" s="789"/>
      <c r="FH28" s="2064" t="str">
        <f>IF($FC28&lt;=Factores!$D$3,'ST Original'!J28,"")</f>
        <v/>
      </c>
      <c r="FI28" s="2082" t="str">
        <f>IF($FC28&lt;=Factores!$D$3,'ST Original'!BT28,"")</f>
        <v/>
      </c>
      <c r="FJ28" s="2082" t="str">
        <f>IF($FC28&lt;=Factores!$D$3,'ST Original'!K28,"")</f>
        <v/>
      </c>
      <c r="FK28" s="2081" t="str">
        <f>IF($FC28&lt;=Factores!$D$3,'ST Original'!L28,"")</f>
        <v/>
      </c>
      <c r="FL28" s="2082" t="str">
        <f>IF($FC28&lt;=Factores!$D$3,'ST Original'!M28,"")</f>
        <v/>
      </c>
      <c r="FM28" s="2082" t="str">
        <f>IF($FC28&lt;=Factores!$D$3,'ST Original'!N28,"")</f>
        <v/>
      </c>
      <c r="FN28" s="787" t="str">
        <f>IF($FC28&lt;=Factores!$D$3,'ST Original'!O28,"")</f>
        <v/>
      </c>
      <c r="FO28" s="788" t="str">
        <f>IF($FC28&lt;=Factores!$D$3,'ST Original'!R28,"")</f>
        <v/>
      </c>
      <c r="FP28" s="787" t="str">
        <f>IF($FC28&lt;=Factores!$D$3,'ST Original'!S28,"")</f>
        <v/>
      </c>
      <c r="FQ28" s="789" t="str">
        <f>IF($FC28&lt;=Factores!$D$3,'ST Original'!V28,"")</f>
        <v/>
      </c>
      <c r="FR28" s="787" t="str">
        <f>IF($FC28&lt;=Factores!$D$3,'ST Original'!W28,"")</f>
        <v/>
      </c>
      <c r="FS28" s="827" t="str">
        <f>IF($FC28&lt;=Factores!$D$3,'ST Original'!X28,"")</f>
        <v/>
      </c>
      <c r="FT28" s="827" t="str">
        <f>IF($FC28&lt;=Factores!$D$3,'ST Original'!Y28,"")</f>
        <v/>
      </c>
      <c r="FU28" s="827" t="str">
        <f>IF($FC28&lt;=Factores!$D$3,'ST Original'!Z28,"")</f>
        <v/>
      </c>
      <c r="FV28" s="827" t="str">
        <f>IF($FC28&lt;=Factores!$D$3,'ST Original'!AA28,"")</f>
        <v/>
      </c>
      <c r="FW28" s="788" t="str">
        <f>IF($FC28&lt;=Factores!$D$3,'ST Original'!AB28,"")</f>
        <v/>
      </c>
      <c r="FX28" s="788" t="str">
        <f>IF($FC28&lt;=Factores!$D$3,'ST Original'!AC28,"")</f>
        <v/>
      </c>
      <c r="FY28" s="827" t="str">
        <f>IF($FC28&lt;=Factores!$D$3,AE28,"")</f>
        <v/>
      </c>
      <c r="FZ28" s="789" t="str">
        <f>IF($FC28&lt;=Factores!$D$3,AF28,"")</f>
        <v/>
      </c>
      <c r="GA28" s="788" t="str">
        <f>IF($FC28&lt;=Factores!$D$3,AG28,"")</f>
        <v/>
      </c>
      <c r="GB28" s="787" t="str">
        <f>IF($FC28&lt;=Factores!$D$3,AI28,"")</f>
        <v/>
      </c>
      <c r="GC28" s="789" t="str">
        <f>IF($FC28&lt;=Factores!$D$3,AJ28,"")</f>
        <v/>
      </c>
      <c r="GD28" s="787" t="str">
        <f>IF($FC28&lt;=Factores!$D$3,AN28,"")</f>
        <v/>
      </c>
      <c r="GE28" s="788" t="str">
        <f>IF($FC28&lt;=Factores!$D$3,AO28,"")</f>
        <v/>
      </c>
      <c r="GF28" s="789" t="str">
        <f>IF($FC28&lt;=Factores!$D$3,AP28,"")</f>
        <v/>
      </c>
      <c r="GG28" s="2072" t="str">
        <f>IF($FC28&lt;=Factores!$D$3,BI28,"")</f>
        <v/>
      </c>
      <c r="GH28" s="2073" t="str">
        <f>IF($FC28&lt;=Factores!$D$3,BJ28,"")</f>
        <v/>
      </c>
      <c r="GI28" s="2069">
        <f>+'Plan mina ST'!AN63</f>
        <v>0</v>
      </c>
      <c r="GJ28" s="2065">
        <f t="shared" si="14"/>
        <v>46102.791666666664</v>
      </c>
      <c r="GK28" s="2080">
        <f>+'Plan mina ST'!J26</f>
        <v>2.9819882257727189E-2</v>
      </c>
      <c r="GL28" s="826">
        <f t="shared" si="15"/>
        <v>1.1902522297138631</v>
      </c>
      <c r="GM28" s="788">
        <f t="shared" si="118"/>
        <v>4030.1832933117698</v>
      </c>
      <c r="GN28" s="2084">
        <f t="shared" si="119"/>
        <v>95928.86653438455</v>
      </c>
      <c r="GO28" s="826">
        <f>+'Plan mina ST'!K26</f>
        <v>1.095007473279739</v>
      </c>
      <c r="GP28" s="826">
        <f t="shared" si="16"/>
        <v>49.950761053029453</v>
      </c>
      <c r="GQ28" s="788">
        <f t="shared" si="17"/>
        <v>169132.82551255767</v>
      </c>
      <c r="GR28" s="788">
        <f t="shared" si="120"/>
        <v>3694579.0919212489</v>
      </c>
      <c r="GS28" s="2082">
        <f>+'Plan mina ST'!V26</f>
        <v>17.786078626776714</v>
      </c>
      <c r="GT28" s="789">
        <f t="shared" si="18"/>
        <v>800.37353820495218</v>
      </c>
      <c r="GU28" s="2072" t="str">
        <f>IF($FC28&lt;=Factores!$D$3,AT28,"")</f>
        <v/>
      </c>
      <c r="GW28" s="2082">
        <f>+'Plan mina ST'!AI26</f>
        <v>1.3984071041345416</v>
      </c>
      <c r="GX28" s="2085">
        <v>0.5</v>
      </c>
      <c r="GY28" s="819"/>
      <c r="GZ28" s="2079">
        <f t="shared" si="19"/>
        <v>46102.791666666664</v>
      </c>
      <c r="HA28" s="787">
        <f>IF($FC28&gt;Factores!$D$3,'ST Original'!C28,"")</f>
        <v>185000.02086318861</v>
      </c>
      <c r="HB28" s="789">
        <f>IF($FC28&gt;Factores!$D$3,'ST Original'!D28,"")</f>
        <v>659217.75062644877</v>
      </c>
      <c r="HC28" s="787">
        <f>IF($FC28&gt;Factores!$D$3,'ST Original'!E28,"")</f>
        <v>193072.68402239218</v>
      </c>
      <c r="HD28" s="789"/>
      <c r="HE28" s="2064">
        <f>IF($FC28&gt;Factores!$D$3,'ST Original'!J28,"")</f>
        <v>97.885672723806138</v>
      </c>
      <c r="HF28" s="2082">
        <f>IF($FC28&gt;Factores!$D$3,'ST Original'!BT28,"")</f>
        <v>8224.1715459787647</v>
      </c>
      <c r="HG28" s="2082">
        <f>IF($FC28&gt;Factores!$D$3,'ST Original'!K28,"")</f>
        <v>94.868711324936768</v>
      </c>
      <c r="HH28" s="2081">
        <f>IF($FC28&gt;Factores!$D$3,'ST Original'!L28,"")</f>
        <v>0.53439489892154024</v>
      </c>
      <c r="HI28" s="2082">
        <f>IF($FC28&gt;Factores!$D$3,'ST Original'!M28,"")</f>
        <v>90.95708040849614</v>
      </c>
      <c r="HJ28" s="2082">
        <f>IF($FC28&gt;Factores!$D$3,'ST Original'!N28,"")</f>
        <v>27.716210748744583</v>
      </c>
      <c r="HK28" s="787">
        <f>IF($FC28&gt;Factores!$D$3,'ST Original'!O28,"")</f>
        <v>3385.9909628403943</v>
      </c>
      <c r="HL28" s="788">
        <f>IF($FC28&gt;Factores!$D$3,'ST Original'!R28,"")</f>
        <v>65329.508959124098</v>
      </c>
      <c r="HM28" s="787">
        <f>IF($FC28&gt;Factores!$D$3,'ST Original'!S28,"")</f>
        <v>938.46839119428955</v>
      </c>
      <c r="HN28" s="789">
        <f>IF($FC28&gt;Factores!$D$3,'ST Original'!V28,"")</f>
        <v>17449.914309960961</v>
      </c>
      <c r="HO28" s="787">
        <f>IF($FC28&gt;Factores!$D$3,'ST Original'!W28,"")</f>
        <v>272.5862418242171</v>
      </c>
      <c r="HP28" s="827">
        <f>IF($FC28&gt;Factores!$D$3,'ST Original'!X28,"")</f>
        <v>93.124172784071234</v>
      </c>
      <c r="HQ28" s="827">
        <f>IF($FC28&gt;Factores!$D$3,'ST Original'!Y28,"")</f>
        <v>90.243019036907583</v>
      </c>
      <c r="HR28" s="827">
        <f>IF($FC28&gt;Factores!$D$3,'ST Original'!Z28,"")</f>
        <v>84.038064973492112</v>
      </c>
      <c r="HS28" s="827">
        <f>IF($FC28&gt;Factores!$D$3,'ST Original'!AA28,"")</f>
        <v>50</v>
      </c>
      <c r="HT28" s="788">
        <f>IF($FC28&gt;Factores!$D$3,'ST Original'!AB28,"")</f>
        <v>88.456714722770485</v>
      </c>
      <c r="HU28" s="788">
        <f>IF($FC28&gt;Factores!$D$3,'ST Original'!AC28,"")</f>
        <v>88.456714722770485</v>
      </c>
      <c r="HV28" s="827">
        <f>IF($FC28&gt;Factores!$D$3,AE28,"")</f>
        <v>44.228357361385243</v>
      </c>
      <c r="HW28" s="789">
        <f>IF($FC28&gt;Factores!$D$3,AF28,"")</f>
        <v>619.8521884281738</v>
      </c>
      <c r="HX28" s="788">
        <f>IF($FC28&gt;Factores!$D$3,AG28,"")</f>
        <v>44.228357361385243</v>
      </c>
      <c r="HY28" s="787">
        <f>IF($FC28&gt;Factores!$D$3,AI28,"")</f>
        <v>1066.6863991849455</v>
      </c>
      <c r="HZ28" s="789">
        <f>IF($FC28&gt;Factores!$D$3,AJ28,"")</f>
        <v>19246.865804214238</v>
      </c>
      <c r="IA28" s="787">
        <f>IF($FC28&gt;Factores!$D$3,AN28,"")</f>
        <v>2990</v>
      </c>
      <c r="IB28" s="788">
        <f>IF($FC28&gt;Factores!$D$3,AO28,"")</f>
        <v>27.98518896538231</v>
      </c>
      <c r="IC28" s="789">
        <f>IF($FC28&gt;Factores!$D$3,AP28,"")</f>
        <v>836.75715006493101</v>
      </c>
      <c r="ID28" s="2072">
        <f>IF($FC28&gt;Factores!$D$3,BI28,"")</f>
        <v>17.786078626776714</v>
      </c>
      <c r="IE28" s="2073">
        <f>IF($FC28&gt;Factores!$D$3,BJ28,"")</f>
        <v>800.37353820495218</v>
      </c>
      <c r="IF28" s="4237">
        <f t="shared" si="20"/>
        <v>193072.68402239218</v>
      </c>
      <c r="IG28" s="4237">
        <f t="shared" si="124"/>
        <v>3710787.64925075</v>
      </c>
      <c r="IH28" s="4234">
        <f t="shared" si="121"/>
        <v>0.53439489892154024</v>
      </c>
      <c r="II28" s="342">
        <f>SUMPRODUCT(IH$8:IH28,IF$8:IF28)/IG28</f>
        <v>0.52014410858577609</v>
      </c>
      <c r="IJ28" s="4235">
        <f t="shared" si="122"/>
        <v>90.95708040849614</v>
      </c>
      <c r="IK28" s="342" cm="1">
        <f t="array" ref="IK28">SUMPRODUCT(IJ$8:IJ28,IF$8:IF28/IG28)</f>
        <v>90.390169652910316</v>
      </c>
    </row>
    <row r="29" spans="1:245" s="744" customFormat="1" ht="14.25" customHeight="1">
      <c r="A29" s="4642" t="s">
        <v>329</v>
      </c>
      <c r="B29" s="2359">
        <f t="shared" si="21"/>
        <v>46103.791666666664</v>
      </c>
      <c r="C29" s="2360">
        <f>+'Plan mina ST'!N64*1000</f>
        <v>199999.99999970043</v>
      </c>
      <c r="D29" s="2360">
        <f>+'Plan mina ST'!M64*1000</f>
        <v>664614.52002148295</v>
      </c>
      <c r="E29" s="2134">
        <f>(('Plan mina ST'!O64*1000))</f>
        <v>194603.23060466634</v>
      </c>
      <c r="F29" s="2360">
        <f>+'Plan mina ST'!J64*1000</f>
        <v>39892.270810004215</v>
      </c>
      <c r="G29" s="2360">
        <f t="shared" si="22"/>
        <v>154710.95979466214</v>
      </c>
      <c r="H29" s="2361">
        <f t="shared" si="23"/>
        <v>98.056332111173901</v>
      </c>
      <c r="I29" s="2361">
        <f t="shared" si="24"/>
        <v>97.12989278992228</v>
      </c>
      <c r="J29" s="2361">
        <f t="shared" si="25"/>
        <v>97.885672723806138</v>
      </c>
      <c r="K29" s="2361">
        <f>+'Plan mina ST'!AM27*100</f>
        <v>95.490523878590622</v>
      </c>
      <c r="L29" s="2361">
        <f>'Plan mina ST'!D27</f>
        <v>0.59959530689926632</v>
      </c>
      <c r="M29" s="2361">
        <f>'Plan mina ST'!C27</f>
        <v>90.956313421697885</v>
      </c>
      <c r="N29" s="2362">
        <f>'Plan mina ST'!B27</f>
        <v>30.291011915290664</v>
      </c>
      <c r="O29" s="2360">
        <f t="shared" si="133"/>
        <v>3503.7034300578671</v>
      </c>
      <c r="P29" s="2360">
        <f t="shared" si="134"/>
        <v>2785.4692792911142</v>
      </c>
      <c r="Q29" s="2360">
        <f t="shared" si="3"/>
        <v>718.23415076675292</v>
      </c>
      <c r="R29" s="2360">
        <f t="shared" si="135"/>
        <v>68833.212389181965</v>
      </c>
      <c r="S29" s="2360">
        <f t="shared" si="136"/>
        <v>1061.3072234752763</v>
      </c>
      <c r="T29" s="2360">
        <f t="shared" si="137"/>
        <v>843.74683128683228</v>
      </c>
      <c r="U29" s="2360">
        <f t="shared" si="138"/>
        <v>217.56039218844384</v>
      </c>
      <c r="V29" s="2360">
        <f t="shared" si="139"/>
        <v>18511.221533436237</v>
      </c>
      <c r="W29" s="2360">
        <f>+'Plan mina ST'!E27</f>
        <v>264.2633640477236</v>
      </c>
      <c r="X29" s="2361">
        <f t="shared" si="28"/>
        <v>93.015446450445978</v>
      </c>
      <c r="Y29" s="2361">
        <f t="shared" si="29"/>
        <v>90.155161659883234</v>
      </c>
      <c r="Z29" s="2361">
        <f t="shared" si="30"/>
        <v>83.858226116061687</v>
      </c>
      <c r="AA29" s="2362">
        <v>50</v>
      </c>
      <c r="AB29" s="2360">
        <f t="shared" si="141"/>
        <v>86.250708643312123</v>
      </c>
      <c r="AC29" s="2360">
        <f t="shared" si="142"/>
        <v>86.250708643312123</v>
      </c>
      <c r="AD29" s="2360">
        <f t="shared" si="143"/>
        <v>50</v>
      </c>
      <c r="AE29" s="2360">
        <f t="shared" si="144"/>
        <v>43.125354321656062</v>
      </c>
      <c r="AF29" s="2360">
        <f t="shared" si="145"/>
        <v>662.97754274982981</v>
      </c>
      <c r="AG29" s="2360">
        <v>25</v>
      </c>
      <c r="AH29" s="2360">
        <f t="shared" si="147"/>
        <v>321.78278531589257</v>
      </c>
      <c r="AI29" s="2360">
        <f t="shared" si="9"/>
        <v>1186.3276256537572</v>
      </c>
      <c r="AJ29" s="2360">
        <f t="shared" si="148"/>
        <v>20433.193429867995</v>
      </c>
      <c r="AK29" s="3902">
        <f>'Envíos STC 2800'!G25</f>
        <v>4366</v>
      </c>
      <c r="AL29" s="2362">
        <f t="shared" si="126"/>
        <v>27.716210748744583</v>
      </c>
      <c r="AM29" s="2360">
        <f t="shared" si="149"/>
        <v>1210.0897612901886</v>
      </c>
      <c r="AN29" s="2360">
        <f t="shared" si="123"/>
        <v>4366</v>
      </c>
      <c r="AO29" s="2362">
        <f t="shared" si="36"/>
        <v>28.477234564178254</v>
      </c>
      <c r="AP29" s="2360">
        <f t="shared" si="150"/>
        <v>1243.3160610720226</v>
      </c>
      <c r="AQ29" s="2360">
        <f t="shared" si="151"/>
        <v>1.53551784221249</v>
      </c>
      <c r="AR29" s="2360">
        <f t="shared" si="38"/>
        <v>3932.9842458640069</v>
      </c>
      <c r="AS29" s="2360">
        <f t="shared" si="39"/>
        <v>-862.29656994213292</v>
      </c>
      <c r="AT29" s="2362">
        <f>+'Recalculos ST'!E30</f>
        <v>36.837072346157001</v>
      </c>
      <c r="AU29" s="2360">
        <f>+'MCP ST'!V23</f>
        <v>94.785056199938552</v>
      </c>
      <c r="AV29" s="3973">
        <f>+Factores!$D$24</f>
        <v>0.96199999999999997</v>
      </c>
      <c r="AW29" s="2360">
        <f t="shared" si="40"/>
        <v>1196.0700507512856</v>
      </c>
      <c r="AX29" s="3909">
        <f>'Plan mina ST'!AK27/25.4</f>
        <v>4.3493738116910921</v>
      </c>
      <c r="AY29" s="2717">
        <f>+'Recalculos ST'!AK30</f>
        <v>186.24871616436286</v>
      </c>
      <c r="AZ29" s="2364">
        <f>'Plan mina ST'!O27*BA29/1000000*0.79</f>
        <v>1.53551784221249</v>
      </c>
      <c r="BA29" s="2363">
        <f t="shared" si="152"/>
        <v>8108.4679418610976</v>
      </c>
      <c r="BB29" s="2364">
        <f>'Plan mina ST'!O27*'ST Original'!BT29/1000000*0.8</f>
        <v>1.5896456690077565</v>
      </c>
      <c r="BC29" s="4639" t="s">
        <v>329</v>
      </c>
      <c r="BD29" s="2365">
        <f t="shared" si="12"/>
        <v>46103.791666666664</v>
      </c>
      <c r="BE29" s="2149">
        <f>'Plan mina ST'!J27</f>
        <v>4.6050319635068365E-2</v>
      </c>
      <c r="BF29" s="2150">
        <f t="shared" si="42"/>
        <v>1.5934148902805343</v>
      </c>
      <c r="BG29" s="2151">
        <f>'Plan mina ST'!K27</f>
        <v>1.3853210823985254</v>
      </c>
      <c r="BH29" s="2150">
        <f t="shared" si="43"/>
        <v>47.934330489041358</v>
      </c>
      <c r="BI29" s="2151">
        <f>'Plan mina ST'!V27</f>
        <v>14.221244023782493</v>
      </c>
      <c r="BJ29" s="2152">
        <f t="shared" si="44"/>
        <v>639.95598107021215</v>
      </c>
      <c r="BK29" s="3395">
        <f>'Plan mina ST'!AI27</f>
        <v>1.7967702057632227</v>
      </c>
      <c r="BL29" s="3403">
        <f>'Recalculos ST'!T30</f>
        <v>6.2170788011517581</v>
      </c>
      <c r="BM29" s="3393">
        <f t="shared" si="45"/>
        <v>13.361350629557021</v>
      </c>
      <c r="BN29" s="3393">
        <f t="shared" si="46"/>
        <v>13.361350629557021</v>
      </c>
      <c r="BO29" s="3393">
        <f t="shared" si="47"/>
        <v>13.361350629557021</v>
      </c>
      <c r="BP29" s="3393">
        <f t="shared" si="48"/>
        <v>40.084051888671063</v>
      </c>
      <c r="BQ29" s="3404">
        <f t="shared" si="49"/>
        <v>14.469959964817024</v>
      </c>
      <c r="BR29" s="3397">
        <f t="shared" si="50"/>
        <v>6574.0680409456972</v>
      </c>
      <c r="BS29" s="2137">
        <f t="shared" si="51"/>
        <v>1711.5910718458758</v>
      </c>
      <c r="BT29" s="3344">
        <f t="shared" si="52"/>
        <v>8289.3670847235117</v>
      </c>
      <c r="BU29" s="3345">
        <f t="shared" si="53"/>
        <v>2191.7365234616664</v>
      </c>
      <c r="BV29" s="3345">
        <f t="shared" si="54"/>
        <v>2191.7365234616664</v>
      </c>
      <c r="BW29" s="3345">
        <f t="shared" si="55"/>
        <v>2191.7365234616664</v>
      </c>
      <c r="BX29" s="3346">
        <f t="shared" si="56"/>
        <v>98.056332111173916</v>
      </c>
      <c r="BY29" s="3346">
        <f t="shared" si="57"/>
        <v>98.056332111173916</v>
      </c>
      <c r="BZ29" s="3346">
        <f t="shared" si="58"/>
        <v>98.056332111173916</v>
      </c>
      <c r="CA29" s="3346">
        <f t="shared" si="59"/>
        <v>97.12989278992228</v>
      </c>
      <c r="CB29" s="3346">
        <f t="shared" si="60"/>
        <v>97.885715079916608</v>
      </c>
      <c r="CC29" s="3623">
        <f t="shared" si="61"/>
        <v>98.056332111173901</v>
      </c>
      <c r="CD29" s="3348">
        <f t="shared" si="62"/>
        <v>98.886834920573264</v>
      </c>
      <c r="CE29" s="3348">
        <f t="shared" si="63"/>
        <v>98.886834920573264</v>
      </c>
      <c r="CF29" s="3348">
        <f t="shared" si="64"/>
        <v>98.886834920573264</v>
      </c>
      <c r="CG29" s="3348">
        <f t="shared" si="65"/>
        <v>98.356250499976611</v>
      </c>
      <c r="CH29" s="3346">
        <f t="shared" si="66"/>
        <v>98.789120222376653</v>
      </c>
      <c r="CI29" s="3347">
        <f t="shared" si="67"/>
        <v>26.877795450599066</v>
      </c>
      <c r="CJ29" s="3349">
        <f t="shared" si="68"/>
        <v>6.4495510000000005</v>
      </c>
      <c r="CK29" s="3350">
        <f t="shared" si="69"/>
        <v>6.4495510000000005</v>
      </c>
      <c r="CL29" s="3350">
        <f t="shared" si="70"/>
        <v>6.4495510000000005</v>
      </c>
      <c r="CM29" s="3351">
        <f t="shared" si="71"/>
        <v>4.3442710000000009</v>
      </c>
      <c r="CN29" s="3351">
        <f t="shared" si="72"/>
        <v>23.692924000000001</v>
      </c>
      <c r="CO29" s="3349">
        <f t="shared" si="73"/>
        <v>6.3953843333333333</v>
      </c>
      <c r="CP29" s="3350">
        <f t="shared" si="74"/>
        <v>6.3953843333333333</v>
      </c>
      <c r="CQ29" s="3350">
        <f t="shared" si="75"/>
        <v>6.3953843333333333</v>
      </c>
      <c r="CR29" s="3351">
        <f t="shared" si="76"/>
        <v>4.2901043333333337</v>
      </c>
      <c r="CS29" s="3351">
        <f t="shared" si="77"/>
        <v>23.476257333333333</v>
      </c>
      <c r="CT29" s="3352">
        <f t="shared" si="78"/>
        <v>6.5217878333333337</v>
      </c>
      <c r="CU29" s="2366">
        <f t="shared" si="79"/>
        <v>6.5217878333333337</v>
      </c>
      <c r="CV29" s="2366">
        <f t="shared" si="80"/>
        <v>6.5217878333333337</v>
      </c>
      <c r="CW29" s="3353">
        <f t="shared" si="81"/>
        <v>4.4179698333333342</v>
      </c>
      <c r="CX29" s="3349">
        <f t="shared" si="82"/>
        <v>0</v>
      </c>
      <c r="CY29" s="3350">
        <f t="shared" si="83"/>
        <v>0</v>
      </c>
      <c r="CZ29" s="3350">
        <f t="shared" si="84"/>
        <v>0</v>
      </c>
      <c r="DA29" s="3351">
        <f t="shared" si="85"/>
        <v>0</v>
      </c>
      <c r="DB29" s="3349">
        <f t="shared" si="86"/>
        <v>7.2602333333333338E-2</v>
      </c>
      <c r="DC29" s="3350">
        <f t="shared" si="87"/>
        <v>7.2602333333333338E-2</v>
      </c>
      <c r="DD29" s="3350">
        <f t="shared" si="88"/>
        <v>7.2602333333333338E-2</v>
      </c>
      <c r="DE29" s="3351">
        <f t="shared" si="89"/>
        <v>7.2602333333333338E-2</v>
      </c>
      <c r="DF29" s="3351">
        <f t="shared" si="90"/>
        <v>0.29040933333333335</v>
      </c>
      <c r="DG29" s="3349">
        <f t="shared" si="91"/>
        <v>0.12676900000000002</v>
      </c>
      <c r="DH29" s="3350">
        <f t="shared" si="92"/>
        <v>0.12676900000000002</v>
      </c>
      <c r="DI29" s="3350">
        <f t="shared" si="93"/>
        <v>0.12676900000000002</v>
      </c>
      <c r="DJ29" s="3351">
        <f t="shared" si="94"/>
        <v>0.12676900000000002</v>
      </c>
      <c r="DK29" s="3351">
        <f t="shared" si="95"/>
        <v>0.50707600000000008</v>
      </c>
      <c r="DL29" s="2363">
        <v>0</v>
      </c>
      <c r="DM29" s="2363">
        <v>0</v>
      </c>
      <c r="DN29" s="2363">
        <v>0</v>
      </c>
      <c r="DO29" s="2363">
        <v>0</v>
      </c>
      <c r="DP29" s="2363">
        <v>0</v>
      </c>
      <c r="DQ29" s="2363">
        <v>0</v>
      </c>
      <c r="DR29" s="2363">
        <v>0</v>
      </c>
      <c r="DS29" s="2363">
        <v>0</v>
      </c>
      <c r="DT29" s="2363">
        <v>0</v>
      </c>
      <c r="DU29" s="2363">
        <v>0</v>
      </c>
      <c r="DV29" s="2363">
        <v>0</v>
      </c>
      <c r="DW29" s="2578">
        <f t="shared" si="96"/>
        <v>7.2602333333333338E-2</v>
      </c>
      <c r="DX29" s="2578">
        <f t="shared" si="97"/>
        <v>7.2602333333333338E-2</v>
      </c>
      <c r="DY29" s="2578">
        <f t="shared" si="98"/>
        <v>7.2602333333333338E-2</v>
      </c>
      <c r="DZ29" s="2578">
        <f t="shared" si="99"/>
        <v>7.2602333333333338E-2</v>
      </c>
      <c r="EA29" s="2578">
        <f t="shared" si="100"/>
        <v>0</v>
      </c>
      <c r="EB29" s="2578">
        <f t="shared" si="101"/>
        <v>0</v>
      </c>
      <c r="EC29" s="2578">
        <f t="shared" si="102"/>
        <v>0</v>
      </c>
      <c r="ED29" s="2578">
        <f t="shared" si="103"/>
        <v>0</v>
      </c>
      <c r="EE29" s="2578">
        <f t="shared" si="104"/>
        <v>0.05</v>
      </c>
      <c r="EF29" s="2578">
        <f t="shared" si="105"/>
        <v>0.05</v>
      </c>
      <c r="EG29" s="2578">
        <f t="shared" si="106"/>
        <v>0.05</v>
      </c>
      <c r="EH29" s="2578">
        <f t="shared" si="127"/>
        <v>0.05</v>
      </c>
      <c r="EI29" s="2578">
        <f t="shared" si="108"/>
        <v>4.1666666666666666E-3</v>
      </c>
      <c r="EJ29" s="2578">
        <f t="shared" si="109"/>
        <v>4.1666666666666666E-3</v>
      </c>
      <c r="EK29" s="2578">
        <f t="shared" si="110"/>
        <v>4.1666666666666666E-3</v>
      </c>
      <c r="EL29" s="2580">
        <f t="shared" si="111"/>
        <v>4.1666666666666666E-3</v>
      </c>
      <c r="EM29" s="3341">
        <f t="shared" si="129"/>
        <v>4.1666666666666666E-3</v>
      </c>
      <c r="EN29" s="3341">
        <f t="shared" si="130"/>
        <v>4.1666666666666666E-3</v>
      </c>
      <c r="EO29" s="3341">
        <f t="shared" si="131"/>
        <v>4.1666666666666666E-3</v>
      </c>
      <c r="EP29" s="3341">
        <f t="shared" si="132"/>
        <v>4.1666666666666666E-3</v>
      </c>
      <c r="EQ29" s="3319">
        <f t="shared" si="116"/>
        <v>1.6666666666666666E-2</v>
      </c>
      <c r="ER29" s="809">
        <f>+'MCP ST'!H23</f>
        <v>1.2254106432740608</v>
      </c>
      <c r="ES29" s="4236">
        <f t="shared" si="117"/>
        <v>0.30707600000000002</v>
      </c>
      <c r="EZ29" s="2154">
        <f>+'Plan mina ST'!AM27</f>
        <v>0.95490523878590616</v>
      </c>
      <c r="FA29" s="2069" t="str">
        <f>IF($FC29&lt;=Factores!$D$3,AX29,"")</f>
        <v/>
      </c>
      <c r="FB29" s="2068" t="s">
        <v>329</v>
      </c>
      <c r="FC29" s="2070">
        <f t="shared" si="13"/>
        <v>46103.791666666664</v>
      </c>
      <c r="FD29" s="1573" t="str">
        <f>IF($FC29&lt;=Factores!$D$3,'ST Original'!C29,"")</f>
        <v/>
      </c>
      <c r="FE29" s="976" t="str">
        <f>IF($FC29&lt;=Factores!$D$3,'ST Original'!D29,"")</f>
        <v/>
      </c>
      <c r="FF29" s="1573" t="str">
        <f>IF($FC29&lt;=Factores!$D$3,'ST Original'!E29,"")</f>
        <v/>
      </c>
      <c r="FG29" s="976"/>
      <c r="FH29" s="2064" t="str">
        <f>IF($FC29&lt;=Factores!$D$3,'ST Original'!J29,"")</f>
        <v/>
      </c>
      <c r="FI29" s="2064" t="str">
        <f>IF($FC29&lt;=Factores!$D$3,'ST Original'!BT29,"")</f>
        <v/>
      </c>
      <c r="FJ29" s="2064" t="str">
        <f>IF($FC29&lt;=Factores!$D$3,'ST Original'!K29,"")</f>
        <v/>
      </c>
      <c r="FK29" s="2071" t="str">
        <f>IF($FC29&lt;=Factores!$D$3,'ST Original'!L29,"")</f>
        <v/>
      </c>
      <c r="FL29" s="2064" t="str">
        <f>IF($FC29&lt;=Factores!$D$3,'ST Original'!M29,"")</f>
        <v/>
      </c>
      <c r="FM29" s="2064" t="str">
        <f>IF($FC29&lt;=Factores!$D$3,'ST Original'!N29,"")</f>
        <v/>
      </c>
      <c r="FN29" s="1573" t="str">
        <f>IF($FC29&lt;=Factores!$D$3,'ST Original'!O29,"")</f>
        <v/>
      </c>
      <c r="FO29" s="1556" t="str">
        <f>IF($FC29&lt;=Factores!$D$3,'ST Original'!R29,"")</f>
        <v/>
      </c>
      <c r="FP29" s="1573" t="str">
        <f>IF($FC29&lt;=Factores!$D$3,'ST Original'!S29,"")</f>
        <v/>
      </c>
      <c r="FQ29" s="976" t="str">
        <f>IF($FC29&lt;=Factores!$D$3,'ST Original'!V29,"")</f>
        <v/>
      </c>
      <c r="FR29" s="1573" t="str">
        <f>IF($FC29&lt;=Factores!$D$3,'ST Original'!W29,"")</f>
        <v/>
      </c>
      <c r="FS29" s="975" t="str">
        <f>IF($FC29&lt;=Factores!$D$3,'ST Original'!X29,"")</f>
        <v/>
      </c>
      <c r="FT29" s="975" t="str">
        <f>IF($FC29&lt;=Factores!$D$3,'ST Original'!Y29,"")</f>
        <v/>
      </c>
      <c r="FU29" s="975" t="str">
        <f>IF($FC29&lt;=Factores!$D$3,'ST Original'!Z29,"")</f>
        <v/>
      </c>
      <c r="FV29" s="975" t="str">
        <f>IF($FC29&lt;=Factores!$D$3,'ST Original'!AA29,"")</f>
        <v/>
      </c>
      <c r="FW29" s="1556" t="str">
        <f>IF($FC29&lt;=Factores!$D$3,'ST Original'!AB29,"")</f>
        <v/>
      </c>
      <c r="FX29" s="1556" t="str">
        <f>IF($FC29&lt;=Factores!$D$3,'ST Original'!AC29,"")</f>
        <v/>
      </c>
      <c r="FY29" s="975" t="str">
        <f>IF($FC29&lt;=Factores!$D$3,AE29,"")</f>
        <v/>
      </c>
      <c r="FZ29" s="976" t="str">
        <f>IF($FC29&lt;=Factores!$D$3,AF29,"")</f>
        <v/>
      </c>
      <c r="GA29" s="1556" t="str">
        <f>IF($FC29&lt;=Factores!$D$3,AG29,"")</f>
        <v/>
      </c>
      <c r="GB29" s="1573" t="str">
        <f>IF($FC29&lt;=Factores!$D$3,AI29,"")</f>
        <v/>
      </c>
      <c r="GC29" s="976" t="str">
        <f>IF($FC29&lt;=Factores!$D$3,AJ29,"")</f>
        <v/>
      </c>
      <c r="GD29" s="780" t="str">
        <f>IF($FC29&lt;=Factores!$D$3,AN29,"")</f>
        <v/>
      </c>
      <c r="GE29" s="539" t="str">
        <f>IF($FC29&lt;=Factores!$D$3,AO29,"")</f>
        <v/>
      </c>
      <c r="GF29" s="782" t="str">
        <f>IF($FC29&lt;=Factores!$D$3,AP29,"")</f>
        <v/>
      </c>
      <c r="GG29" s="2072" t="str">
        <f>IF($FC29&lt;=Factores!$D$3,BI29,"")</f>
        <v/>
      </c>
      <c r="GH29" s="2073" t="str">
        <f>IF($FC29&lt;=Factores!$D$3,BJ29,"")</f>
        <v/>
      </c>
      <c r="GI29" s="2069">
        <f>+'Plan mina ST'!AN64</f>
        <v>0</v>
      </c>
      <c r="GJ29" s="2065">
        <f t="shared" si="14"/>
        <v>46103.791666666664</v>
      </c>
      <c r="GK29" s="2069">
        <f>+'Plan mina ST'!J27</f>
        <v>4.6050319635068365E-2</v>
      </c>
      <c r="GL29" s="1575">
        <f t="shared" si="15"/>
        <v>1.790413716565519</v>
      </c>
      <c r="GM29" s="1556">
        <f t="shared" si="118"/>
        <v>6273.0786799532625</v>
      </c>
      <c r="GN29" s="2074">
        <f t="shared" si="119"/>
        <v>102201.94521433781</v>
      </c>
      <c r="GO29" s="1575">
        <f>+'Plan mina ST'!K27</f>
        <v>1.3853210823985254</v>
      </c>
      <c r="GP29" s="1575">
        <f t="shared" si="16"/>
        <v>61.554971975479937</v>
      </c>
      <c r="GQ29" s="1556">
        <f t="shared" si="17"/>
        <v>215670.36644760493</v>
      </c>
      <c r="GR29" s="1556">
        <f t="shared" si="120"/>
        <v>3910249.4583688537</v>
      </c>
      <c r="GS29" s="2064">
        <f>+'Plan mina ST'!V27</f>
        <v>14.221244023782493</v>
      </c>
      <c r="GT29" s="976">
        <f t="shared" si="18"/>
        <v>639.95598107021215</v>
      </c>
      <c r="GU29" s="2072" t="str">
        <f>IF($FC29&lt;=Factores!$D$3,AT29,"")</f>
        <v/>
      </c>
      <c r="GW29" s="2064">
        <f>+'Plan mina ST'!AI27</f>
        <v>1.7967702057632227</v>
      </c>
      <c r="GX29" s="2075">
        <v>0.5</v>
      </c>
      <c r="GY29" s="819"/>
      <c r="GZ29" s="2070">
        <f t="shared" si="19"/>
        <v>46103.791666666664</v>
      </c>
      <c r="HA29" s="1573">
        <f>IF($FC29&gt;Factores!$D$3,'ST Original'!C29,"")</f>
        <v>199999.99999970043</v>
      </c>
      <c r="HB29" s="976">
        <f>IF($FC29&gt;Factores!$D$3,'ST Original'!D29,"")</f>
        <v>664614.52002148295</v>
      </c>
      <c r="HC29" s="1573">
        <f>IF($FC29&gt;Factores!$D$3,'ST Original'!E29,"")</f>
        <v>194603.23060466634</v>
      </c>
      <c r="HD29" s="976"/>
      <c r="HE29" s="2064">
        <f>IF($FC29&gt;Factores!$D$3,'ST Original'!J29,"")</f>
        <v>97.885672723806138</v>
      </c>
      <c r="HF29" s="2064">
        <f>IF($FC29&gt;Factores!$D$3,'ST Original'!BT29,"")</f>
        <v>8289.3670847235117</v>
      </c>
      <c r="HG29" s="2064">
        <f>IF($FC29&gt;Factores!$D$3,'ST Original'!K29,"")</f>
        <v>95.490523878590622</v>
      </c>
      <c r="HH29" s="2071">
        <f>IF($FC29&gt;Factores!$D$3,'ST Original'!L29,"")</f>
        <v>0.59959530689926632</v>
      </c>
      <c r="HI29" s="2064">
        <f>IF($FC29&gt;Factores!$D$3,'ST Original'!M29,"")</f>
        <v>90.956313421697885</v>
      </c>
      <c r="HJ29" s="2064">
        <f>IF($FC29&gt;Factores!$D$3,'ST Original'!N29,"")</f>
        <v>30.291011915290664</v>
      </c>
      <c r="HK29" s="1573">
        <f>IF($FC29&gt;Factores!$D$3,'ST Original'!O29,"")</f>
        <v>3503.7034300578671</v>
      </c>
      <c r="HL29" s="1556">
        <f>IF($FC29&gt;Factores!$D$3,'ST Original'!R29,"")</f>
        <v>68833.212389181965</v>
      </c>
      <c r="HM29" s="1573">
        <f>IF($FC29&gt;Factores!$D$3,'ST Original'!S29,"")</f>
        <v>1061.3072234752763</v>
      </c>
      <c r="HN29" s="976">
        <f>IF($FC29&gt;Factores!$D$3,'ST Original'!V29,"")</f>
        <v>18511.221533436237</v>
      </c>
      <c r="HO29" s="1573">
        <f>IF($FC29&gt;Factores!$D$3,'ST Original'!W29,"")</f>
        <v>264.2633640477236</v>
      </c>
      <c r="HP29" s="975">
        <f>IF($FC29&gt;Factores!$D$3,'ST Original'!X29,"")</f>
        <v>93.015446450445978</v>
      </c>
      <c r="HQ29" s="975">
        <f>IF($FC29&gt;Factores!$D$3,'ST Original'!Y29,"")</f>
        <v>90.155161659883234</v>
      </c>
      <c r="HR29" s="975">
        <f>IF($FC29&gt;Factores!$D$3,'ST Original'!Z29,"")</f>
        <v>83.858226116061687</v>
      </c>
      <c r="HS29" s="975">
        <f>IF($FC29&gt;Factores!$D$3,'ST Original'!AA29,"")</f>
        <v>50</v>
      </c>
      <c r="HT29" s="1556">
        <f>IF($FC29&gt;Factores!$D$3,'ST Original'!AB29,"")</f>
        <v>86.250708643312123</v>
      </c>
      <c r="HU29" s="1556">
        <f>IF($FC29&gt;Factores!$D$3,'ST Original'!AC29,"")</f>
        <v>86.250708643312123</v>
      </c>
      <c r="HV29" s="975">
        <f>IF($FC29&gt;Factores!$D$3,AE29,"")</f>
        <v>43.125354321656062</v>
      </c>
      <c r="HW29" s="976">
        <f>IF($FC29&gt;Factores!$D$3,AF29,"")</f>
        <v>662.97754274982981</v>
      </c>
      <c r="HX29" s="1556">
        <f>IF($FC29&gt;Factores!$D$3,AG29,"")</f>
        <v>25</v>
      </c>
      <c r="HY29" s="1573">
        <f>IF($FC29&gt;Factores!$D$3,AI29,"")</f>
        <v>1186.3276256537572</v>
      </c>
      <c r="HZ29" s="976">
        <f>IF($FC29&gt;Factores!$D$3,AJ29,"")</f>
        <v>20433.193429867995</v>
      </c>
      <c r="IA29" s="780">
        <f>IF($FC29&gt;Factores!$D$3,AN29,"")</f>
        <v>4366</v>
      </c>
      <c r="IB29" s="539">
        <f>IF($FC29&gt;Factores!$D$3,AO29,"")</f>
        <v>28.477234564178254</v>
      </c>
      <c r="IC29" s="782">
        <f>IF($FC29&gt;Factores!$D$3,AP29,"")</f>
        <v>1243.3160610720226</v>
      </c>
      <c r="ID29" s="2072">
        <f>IF($FC29&gt;Factores!$D$3,BI29,"")</f>
        <v>14.221244023782493</v>
      </c>
      <c r="IE29" s="2073">
        <f>IF($FC29&gt;Factores!$D$3,BJ29,"")</f>
        <v>639.95598107021215</v>
      </c>
      <c r="IF29" s="4237">
        <f t="shared" si="20"/>
        <v>194603.23060466634</v>
      </c>
      <c r="IG29" s="4237">
        <f t="shared" si="124"/>
        <v>3905390.8798554162</v>
      </c>
      <c r="IH29" s="4234">
        <f t="shared" si="121"/>
        <v>0.59959530689926632</v>
      </c>
      <c r="II29" s="342">
        <f>SUMPRODUCT(IH$8:IH29,IF$8:IF29)/IG29</f>
        <v>0.52410311303446511</v>
      </c>
      <c r="IJ29" s="4235">
        <f t="shared" si="122"/>
        <v>90.956313421697885</v>
      </c>
      <c r="IK29" s="342" cm="1">
        <f t="array" ref="IK29">SUMPRODUCT(IJ$8:IJ29,IF$8:IF29/IG29)</f>
        <v>90.418380249437575</v>
      </c>
    </row>
    <row r="30" spans="1:245" s="744" customFormat="1" ht="14.25" customHeight="1">
      <c r="A30" s="4643"/>
      <c r="B30" s="2133">
        <f t="shared" si="21"/>
        <v>46104.791666666664</v>
      </c>
      <c r="C30" s="2134">
        <f>+'Plan mina ST'!N65*1000</f>
        <v>200000.00000015847</v>
      </c>
      <c r="D30" s="2134">
        <f>+'Plan mina ST'!M65*1000</f>
        <v>673107.68500403815</v>
      </c>
      <c r="E30" s="2134">
        <f>(('Plan mina ST'!O65*1000))</f>
        <v>191506.83501760333</v>
      </c>
      <c r="F30" s="2134">
        <f>+'Plan mina ST'!J65*1000</f>
        <v>39265.264588253995</v>
      </c>
      <c r="G30" s="2134">
        <f t="shared" si="22"/>
        <v>152241.57042934932</v>
      </c>
      <c r="H30" s="2135">
        <f t="shared" si="23"/>
        <v>98.056332111173901</v>
      </c>
      <c r="I30" s="2135">
        <f t="shared" si="24"/>
        <v>97.12989278992228</v>
      </c>
      <c r="J30" s="2135">
        <f t="shared" si="25"/>
        <v>97.885672723806138</v>
      </c>
      <c r="K30" s="2135">
        <f>+'Plan mina ST'!AM28*100</f>
        <v>86.130475173307232</v>
      </c>
      <c r="L30" s="2135">
        <f>'Plan mina ST'!D28</f>
        <v>0.54611774227069232</v>
      </c>
      <c r="M30" s="2135">
        <f>'Plan mina ST'!C28</f>
        <v>90.781480861139713</v>
      </c>
      <c r="N30" s="2136">
        <f>'Plan mina ST'!B28</f>
        <v>29.00637430726275</v>
      </c>
      <c r="O30" s="2134">
        <f t="shared" si="133"/>
        <v>3273.2138555551828</v>
      </c>
      <c r="P30" s="2134">
        <f t="shared" si="134"/>
        <v>2602.0962524654578</v>
      </c>
      <c r="Q30" s="2134">
        <f t="shared" si="3"/>
        <v>671.1176030897243</v>
      </c>
      <c r="R30" s="2134">
        <f t="shared" si="135"/>
        <v>72106.426244737144</v>
      </c>
      <c r="S30" s="2134">
        <f t="shared" si="136"/>
        <v>949.44066281952303</v>
      </c>
      <c r="T30" s="2134">
        <f t="shared" si="137"/>
        <v>754.77377882538747</v>
      </c>
      <c r="U30" s="2134">
        <f t="shared" si="138"/>
        <v>194.66688399413539</v>
      </c>
      <c r="V30" s="2134">
        <f t="shared" si="139"/>
        <v>19460.662196255762</v>
      </c>
      <c r="W30" s="2134">
        <f>+'Plan mina ST'!E28</f>
        <v>165.72705465265955</v>
      </c>
      <c r="X30" s="2135">
        <f t="shared" si="28"/>
        <v>91.379392806824598</v>
      </c>
      <c r="Y30" s="2135">
        <f t="shared" si="29"/>
        <v>88.833132515636464</v>
      </c>
      <c r="Z30" s="2135">
        <f t="shared" si="30"/>
        <v>81.175177104070471</v>
      </c>
      <c r="AA30" s="2136">
        <v>50</v>
      </c>
      <c r="AB30" s="2134">
        <f t="shared" si="141"/>
        <v>51.526534156672383</v>
      </c>
      <c r="AC30" s="2134">
        <f t="shared" si="142"/>
        <v>51.526534156672383</v>
      </c>
      <c r="AD30" s="2134">
        <f t="shared" si="143"/>
        <v>50</v>
      </c>
      <c r="AE30" s="2134">
        <f t="shared" si="144"/>
        <v>25.763267078336192</v>
      </c>
      <c r="AF30" s="2134">
        <f t="shared" si="145"/>
        <v>688.74080982816599</v>
      </c>
      <c r="AG30" s="2134">
        <v>25</v>
      </c>
      <c r="AH30" s="2134">
        <f t="shared" si="147"/>
        <v>322.54605239422875</v>
      </c>
      <c r="AI30" s="2134">
        <f t="shared" si="9"/>
        <v>1024.1283740796196</v>
      </c>
      <c r="AJ30" s="2134">
        <f t="shared" si="148"/>
        <v>21457.321803947616</v>
      </c>
      <c r="AK30" s="2134">
        <f>'Envíos STC 2800'!G26</f>
        <v>4366</v>
      </c>
      <c r="AL30" s="2136">
        <f t="shared" si="126"/>
        <v>30.291011915290664</v>
      </c>
      <c r="AM30" s="2134">
        <f t="shared" si="149"/>
        <v>1322.5055802215904</v>
      </c>
      <c r="AN30" s="2134">
        <f t="shared" si="123"/>
        <v>4366</v>
      </c>
      <c r="AO30" s="2136">
        <f t="shared" si="36"/>
        <v>27.716210748744583</v>
      </c>
      <c r="AP30" s="2134">
        <f t="shared" si="150"/>
        <v>1210.0897612901886</v>
      </c>
      <c r="AQ30" s="2134">
        <f t="shared" si="151"/>
        <v>4.4578530929984543</v>
      </c>
      <c r="AR30" s="2134">
        <f t="shared" si="38"/>
        <v>3672.3351473933412</v>
      </c>
      <c r="AS30" s="2134">
        <f t="shared" si="39"/>
        <v>-1092.7861444448172</v>
      </c>
      <c r="AT30" s="2136">
        <f>+'Recalculos ST'!E31</f>
        <v>36.355026368370282</v>
      </c>
      <c r="AU30" s="2134">
        <f>+'MCP ST'!V24</f>
        <v>93.006760265208342</v>
      </c>
      <c r="AV30" s="3973">
        <f>+Factores!$D$24</f>
        <v>0.96199999999999997</v>
      </c>
      <c r="AW30" s="2134">
        <f t="shared" si="40"/>
        <v>1164.1063503611613</v>
      </c>
      <c r="AX30" s="2376">
        <f>'Plan mina ST'!AK28/25.4</f>
        <v>4.3775371759285386</v>
      </c>
      <c r="AY30" s="2718">
        <f>+'Recalculos ST'!AK31</f>
        <v>183.77408524901566</v>
      </c>
      <c r="AZ30" s="2138">
        <f>'Plan mina ST'!O28*BA30/1000000*0.79</f>
        <v>4.4578530929984543</v>
      </c>
      <c r="BA30" s="2137">
        <f t="shared" si="152"/>
        <v>7979.451459066805</v>
      </c>
      <c r="BB30" s="2138">
        <f>'Plan mina ST'!O28*'ST Original'!BT30/1000000*0.8</f>
        <v>4.6149948034125057</v>
      </c>
      <c r="BC30" s="4640"/>
      <c r="BD30" s="2148">
        <f t="shared" si="12"/>
        <v>46104.791666666664</v>
      </c>
      <c r="BE30" s="2149">
        <f>'Plan mina ST'!J28</f>
        <v>4.502116310401405E-2</v>
      </c>
      <c r="BF30" s="2150">
        <f t="shared" si="42"/>
        <v>1.5578044242944826</v>
      </c>
      <c r="BG30" s="2151">
        <f>'Plan mina ST'!K28</f>
        <v>1.3090516804563819</v>
      </c>
      <c r="BH30" s="2150">
        <f t="shared" si="43"/>
        <v>45.295286901711819</v>
      </c>
      <c r="BI30" s="2151">
        <f>'Plan mina ST'!V28</f>
        <v>23.299099515436758</v>
      </c>
      <c r="BJ30" s="2152">
        <f t="shared" si="44"/>
        <v>1048.4594781946541</v>
      </c>
      <c r="BK30" s="3395">
        <f>'Plan mina ST'!AI28</f>
        <v>1.7187921162965227</v>
      </c>
      <c r="BL30" s="3399">
        <f>'Recalculos ST'!T31</f>
        <v>6.3163560409796462</v>
      </c>
      <c r="BM30" s="3391">
        <f t="shared" si="45"/>
        <v>13.358040813608598</v>
      </c>
      <c r="BN30" s="3391">
        <f t="shared" si="46"/>
        <v>13.358040813608598</v>
      </c>
      <c r="BO30" s="3391">
        <f t="shared" si="47"/>
        <v>13.358040813608598</v>
      </c>
      <c r="BP30" s="3391">
        <f t="shared" si="48"/>
        <v>40.074122440825796</v>
      </c>
      <c r="BQ30" s="3400">
        <f t="shared" si="49"/>
        <v>14.469959964817027</v>
      </c>
      <c r="BR30" s="3397">
        <f t="shared" si="50"/>
        <v>6469.1373125170157</v>
      </c>
      <c r="BS30" s="2137">
        <f t="shared" si="51"/>
        <v>1684.6891625449302</v>
      </c>
      <c r="BT30" s="3344">
        <f t="shared" si="52"/>
        <v>8157.472256559915</v>
      </c>
      <c r="BU30" s="3345">
        <f t="shared" si="53"/>
        <v>2156.7535405509066</v>
      </c>
      <c r="BV30" s="3345">
        <f t="shared" si="54"/>
        <v>2156.7535405509066</v>
      </c>
      <c r="BW30" s="3345">
        <f t="shared" si="55"/>
        <v>2156.7535405509066</v>
      </c>
      <c r="BX30" s="3346">
        <f t="shared" si="56"/>
        <v>98.056332111173916</v>
      </c>
      <c r="BY30" s="3346">
        <f t="shared" si="57"/>
        <v>98.056332111173916</v>
      </c>
      <c r="BZ30" s="3346">
        <f t="shared" si="58"/>
        <v>98.056332111173916</v>
      </c>
      <c r="CA30" s="3346">
        <f t="shared" si="59"/>
        <v>97.12989278992228</v>
      </c>
      <c r="CB30" s="3346">
        <f t="shared" si="60"/>
        <v>97.885715079916608</v>
      </c>
      <c r="CC30" s="3623">
        <f t="shared" si="61"/>
        <v>98.056332111173901</v>
      </c>
      <c r="CD30" s="3348">
        <f t="shared" si="62"/>
        <v>98.886834920573264</v>
      </c>
      <c r="CE30" s="3348">
        <f t="shared" si="63"/>
        <v>98.886834920573264</v>
      </c>
      <c r="CF30" s="3348">
        <f t="shared" si="64"/>
        <v>98.886834920573264</v>
      </c>
      <c r="CG30" s="3348">
        <f t="shared" si="65"/>
        <v>98.356250499976611</v>
      </c>
      <c r="CH30" s="3346">
        <f t="shared" si="66"/>
        <v>98.789120222376653</v>
      </c>
      <c r="CI30" s="3347">
        <f t="shared" si="67"/>
        <v>26.877795450599066</v>
      </c>
      <c r="CJ30" s="3354">
        <f t="shared" si="68"/>
        <v>6.4495510000000005</v>
      </c>
      <c r="CK30" s="3355">
        <f t="shared" si="69"/>
        <v>6.4495510000000005</v>
      </c>
      <c r="CL30" s="3355">
        <f t="shared" si="70"/>
        <v>6.4495510000000005</v>
      </c>
      <c r="CM30" s="3356">
        <f t="shared" si="71"/>
        <v>4.3442710000000009</v>
      </c>
      <c r="CN30" s="3356">
        <f t="shared" si="72"/>
        <v>23.692924000000001</v>
      </c>
      <c r="CO30" s="3354">
        <f t="shared" si="73"/>
        <v>6.3953843333333333</v>
      </c>
      <c r="CP30" s="3355">
        <f t="shared" si="74"/>
        <v>6.3953843333333333</v>
      </c>
      <c r="CQ30" s="3355">
        <f t="shared" si="75"/>
        <v>6.3953843333333333</v>
      </c>
      <c r="CR30" s="3356">
        <f t="shared" si="76"/>
        <v>4.2901043333333337</v>
      </c>
      <c r="CS30" s="3356">
        <f t="shared" si="77"/>
        <v>23.476257333333333</v>
      </c>
      <c r="CT30" s="3357">
        <f t="shared" si="78"/>
        <v>6.5217878333333337</v>
      </c>
      <c r="CU30" s="2153">
        <f t="shared" si="79"/>
        <v>6.5217878333333337</v>
      </c>
      <c r="CV30" s="2153">
        <f t="shared" si="80"/>
        <v>6.5217878333333337</v>
      </c>
      <c r="CW30" s="3358">
        <f t="shared" si="81"/>
        <v>4.4179698333333342</v>
      </c>
      <c r="CX30" s="3354">
        <f t="shared" si="82"/>
        <v>0</v>
      </c>
      <c r="CY30" s="3355">
        <f t="shared" si="83"/>
        <v>0</v>
      </c>
      <c r="CZ30" s="3355">
        <f t="shared" si="84"/>
        <v>0</v>
      </c>
      <c r="DA30" s="3356">
        <f t="shared" si="85"/>
        <v>0</v>
      </c>
      <c r="DB30" s="3354">
        <f t="shared" si="86"/>
        <v>7.2602333333333338E-2</v>
      </c>
      <c r="DC30" s="3355">
        <f t="shared" si="87"/>
        <v>7.2602333333333338E-2</v>
      </c>
      <c r="DD30" s="3355">
        <f t="shared" si="88"/>
        <v>7.2602333333333338E-2</v>
      </c>
      <c r="DE30" s="3356">
        <f t="shared" si="89"/>
        <v>7.2602333333333338E-2</v>
      </c>
      <c r="DF30" s="3356">
        <f t="shared" si="90"/>
        <v>0.29040933333333335</v>
      </c>
      <c r="DG30" s="3354">
        <f t="shared" si="91"/>
        <v>0.12676900000000002</v>
      </c>
      <c r="DH30" s="3355">
        <f t="shared" si="92"/>
        <v>0.12676900000000002</v>
      </c>
      <c r="DI30" s="3355">
        <f t="shared" si="93"/>
        <v>0.12676900000000002</v>
      </c>
      <c r="DJ30" s="3356">
        <f t="shared" si="94"/>
        <v>0.12676900000000002</v>
      </c>
      <c r="DK30" s="3356">
        <f t="shared" si="95"/>
        <v>0.50707600000000008</v>
      </c>
      <c r="DL30" s="2137">
        <v>0</v>
      </c>
      <c r="DM30" s="2137">
        <v>0</v>
      </c>
      <c r="DN30" s="2137">
        <v>0</v>
      </c>
      <c r="DO30" s="2137">
        <v>0</v>
      </c>
      <c r="DP30" s="2137">
        <v>0</v>
      </c>
      <c r="DQ30" s="2137">
        <v>0</v>
      </c>
      <c r="DR30" s="2137">
        <v>0</v>
      </c>
      <c r="DS30" s="2137">
        <v>0</v>
      </c>
      <c r="DT30" s="2137">
        <v>0</v>
      </c>
      <c r="DU30" s="2137">
        <v>0</v>
      </c>
      <c r="DV30" s="2137">
        <v>0</v>
      </c>
      <c r="DW30" s="2579">
        <f t="shared" si="96"/>
        <v>7.2602333333333338E-2</v>
      </c>
      <c r="DX30" s="2579">
        <f t="shared" si="97"/>
        <v>7.2602333333333338E-2</v>
      </c>
      <c r="DY30" s="2579">
        <f t="shared" si="98"/>
        <v>7.2602333333333338E-2</v>
      </c>
      <c r="DZ30" s="2579">
        <f t="shared" si="99"/>
        <v>7.2602333333333338E-2</v>
      </c>
      <c r="EA30" s="2579">
        <f t="shared" si="100"/>
        <v>0</v>
      </c>
      <c r="EB30" s="2579">
        <f t="shared" si="101"/>
        <v>0</v>
      </c>
      <c r="EC30" s="2579">
        <f t="shared" si="102"/>
        <v>0</v>
      </c>
      <c r="ED30" s="2579">
        <f t="shared" si="103"/>
        <v>0</v>
      </c>
      <c r="EE30" s="2579">
        <f t="shared" si="104"/>
        <v>0.05</v>
      </c>
      <c r="EF30" s="2579">
        <f t="shared" si="105"/>
        <v>0.05</v>
      </c>
      <c r="EG30" s="2579">
        <f t="shared" si="106"/>
        <v>0.05</v>
      </c>
      <c r="EH30" s="2579">
        <f t="shared" si="127"/>
        <v>0.05</v>
      </c>
      <c r="EI30" s="2579">
        <f t="shared" si="108"/>
        <v>4.1666666666666666E-3</v>
      </c>
      <c r="EJ30" s="2579">
        <f t="shared" si="109"/>
        <v>4.1666666666666666E-3</v>
      </c>
      <c r="EK30" s="2579">
        <f t="shared" si="110"/>
        <v>4.1666666666666666E-3</v>
      </c>
      <c r="EL30" s="2581">
        <f t="shared" si="111"/>
        <v>4.1666666666666666E-3</v>
      </c>
      <c r="EM30" s="3341">
        <f t="shared" si="129"/>
        <v>4.1666666666666666E-3</v>
      </c>
      <c r="EN30" s="3341">
        <f t="shared" si="130"/>
        <v>4.1666666666666666E-3</v>
      </c>
      <c r="EO30" s="3341">
        <f t="shared" si="131"/>
        <v>4.1666666666666666E-3</v>
      </c>
      <c r="EP30" s="3341">
        <f t="shared" si="132"/>
        <v>4.1666666666666666E-3</v>
      </c>
      <c r="EQ30" s="3319">
        <f t="shared" si="116"/>
        <v>1.6666666666666666E-2</v>
      </c>
      <c r="ER30" s="809">
        <f>+'MCP ST'!H24</f>
        <v>1.4275871461017173</v>
      </c>
      <c r="ES30" s="4236">
        <f t="shared" si="117"/>
        <v>0.30707600000000002</v>
      </c>
      <c r="EZ30" s="2154">
        <f>+'Plan mina ST'!AM28</f>
        <v>0.8613047517330723</v>
      </c>
      <c r="FA30" s="2067" t="str">
        <f>IF($FC30&lt;=Factores!$D$3,AX30,"")</f>
        <v/>
      </c>
      <c r="FB30" s="2076"/>
      <c r="FC30" s="2065">
        <f t="shared" si="13"/>
        <v>46104.791666666664</v>
      </c>
      <c r="FD30" s="780" t="str">
        <f>IF($FC30&lt;=Factores!$D$3,'ST Original'!C30,"")</f>
        <v/>
      </c>
      <c r="FE30" s="782" t="str">
        <f>IF($FC30&lt;=Factores!$D$3,'ST Original'!D30,"")</f>
        <v/>
      </c>
      <c r="FF30" s="780" t="str">
        <f>IF($FC30&lt;=Factores!$D$3,'ST Original'!E30,"")</f>
        <v/>
      </c>
      <c r="FG30" s="782"/>
      <c r="FH30" s="2064" t="str">
        <f>IF($FC30&lt;=Factores!$D$3,'ST Original'!J30,"")</f>
        <v/>
      </c>
      <c r="FI30" s="781" t="str">
        <f>IF($FC30&lt;=Factores!$D$3,'ST Original'!BT30,"")</f>
        <v/>
      </c>
      <c r="FJ30" s="781" t="str">
        <f>IF($FC30&lt;=Factores!$D$3,'ST Original'!K30,"")</f>
        <v/>
      </c>
      <c r="FK30" s="2066" t="str">
        <f>IF($FC30&lt;=Factores!$D$3,'ST Original'!L30,"")</f>
        <v/>
      </c>
      <c r="FL30" s="781" t="str">
        <f>IF($FC30&lt;=Factores!$D$3,'ST Original'!M30,"")</f>
        <v/>
      </c>
      <c r="FM30" s="781" t="str">
        <f>IF($FC30&lt;=Factores!$D$3,'ST Original'!N30,"")</f>
        <v/>
      </c>
      <c r="FN30" s="780" t="str">
        <f>IF($FC30&lt;=Factores!$D$3,'ST Original'!O30,"")</f>
        <v/>
      </c>
      <c r="FO30" s="539" t="str">
        <f>IF($FC30&lt;=Factores!$D$3,'ST Original'!R30,"")</f>
        <v/>
      </c>
      <c r="FP30" s="780" t="str">
        <f>IF($FC30&lt;=Factores!$D$3,'ST Original'!S30,"")</f>
        <v/>
      </c>
      <c r="FQ30" s="782" t="str">
        <f>IF($FC30&lt;=Factores!$D$3,'ST Original'!V30,"")</f>
        <v/>
      </c>
      <c r="FR30" s="780" t="str">
        <f>IF($FC30&lt;=Factores!$D$3,'ST Original'!W30,"")</f>
        <v/>
      </c>
      <c r="FS30" s="819" t="str">
        <f>IF($FC30&lt;=Factores!$D$3,'ST Original'!X30,"")</f>
        <v/>
      </c>
      <c r="FT30" s="819" t="str">
        <f>IF($FC30&lt;=Factores!$D$3,'ST Original'!Y30,"")</f>
        <v/>
      </c>
      <c r="FU30" s="819" t="str">
        <f>IF($FC30&lt;=Factores!$D$3,'ST Original'!Z30,"")</f>
        <v/>
      </c>
      <c r="FV30" s="819" t="str">
        <f>IF($FC30&lt;=Factores!$D$3,'ST Original'!AA30,"")</f>
        <v/>
      </c>
      <c r="FW30" s="539" t="str">
        <f>IF($FC30&lt;=Factores!$D$3,'ST Original'!AB30,"")</f>
        <v/>
      </c>
      <c r="FX30" s="539" t="str">
        <f>IF($FC30&lt;=Factores!$D$3,'ST Original'!AC30,"")</f>
        <v/>
      </c>
      <c r="FY30" s="819" t="str">
        <f>IF($FC30&lt;=Factores!$D$3,AE30,"")</f>
        <v/>
      </c>
      <c r="FZ30" s="782" t="str">
        <f>IF($FC30&lt;=Factores!$D$3,AF30,"")</f>
        <v/>
      </c>
      <c r="GA30" s="539" t="str">
        <f>IF($FC30&lt;=Factores!$D$3,AG30,"")</f>
        <v/>
      </c>
      <c r="GB30" s="780" t="str">
        <f>IF($FC30&lt;=Factores!$D$3,AI30,"")</f>
        <v/>
      </c>
      <c r="GC30" s="782" t="str">
        <f>IF($FC30&lt;=Factores!$D$3,AJ30,"")</f>
        <v/>
      </c>
      <c r="GD30" s="780" t="str">
        <f>IF($FC30&lt;=Factores!$D$3,AN30,"")</f>
        <v/>
      </c>
      <c r="GE30" s="539" t="str">
        <f>IF($FC30&lt;=Factores!$D$3,AO30,"")</f>
        <v/>
      </c>
      <c r="GF30" s="782" t="str">
        <f>IF($FC30&lt;=Factores!$D$3,AP30,"")</f>
        <v/>
      </c>
      <c r="GG30" s="2072" t="str">
        <f>IF($FC30&lt;=Factores!$D$3,BI30,"")</f>
        <v/>
      </c>
      <c r="GH30" s="2073" t="str">
        <f>IF($FC30&lt;=Factores!$D$3,BJ30,"")</f>
        <v/>
      </c>
      <c r="GI30" s="2069">
        <f>+'Plan mina ST'!AN65</f>
        <v>0</v>
      </c>
      <c r="GJ30" s="2065">
        <f t="shared" si="14"/>
        <v>46104.791666666664</v>
      </c>
      <c r="GK30" s="2067">
        <f>+'Plan mina ST'!J28</f>
        <v>4.502116310401405E-2</v>
      </c>
      <c r="GL30" s="818">
        <f t="shared" si="15"/>
        <v>1.8438460133485681</v>
      </c>
      <c r="GM30" s="539">
        <f t="shared" si="118"/>
        <v>6035.3023184027197</v>
      </c>
      <c r="GN30" s="2077">
        <f t="shared" si="119"/>
        <v>108237.24753274054</v>
      </c>
      <c r="GO30" s="818">
        <f>+'Plan mina ST'!K28</f>
        <v>1.3090516804563819</v>
      </c>
      <c r="GP30" s="818">
        <f t="shared" si="16"/>
        <v>61.271241113246674</v>
      </c>
      <c r="GQ30" s="539">
        <f t="shared" si="17"/>
        <v>200553.87535894138</v>
      </c>
      <c r="GR30" s="539">
        <f t="shared" si="120"/>
        <v>4110803.3337277952</v>
      </c>
      <c r="GS30" s="781">
        <f>+'Plan mina ST'!V28</f>
        <v>23.299099515436758</v>
      </c>
      <c r="GT30" s="782">
        <f t="shared" si="18"/>
        <v>1048.4594781946541</v>
      </c>
      <c r="GU30" s="2072" t="str">
        <f>IF($FC30&lt;=Factores!$D$3,AT30,"")</f>
        <v/>
      </c>
      <c r="GW30" s="781">
        <f>+'Plan mina ST'!AI28</f>
        <v>1.7187921162965227</v>
      </c>
      <c r="GX30" s="2078">
        <v>0.5</v>
      </c>
      <c r="GY30" s="819"/>
      <c r="GZ30" s="2065">
        <f t="shared" si="19"/>
        <v>46104.791666666664</v>
      </c>
      <c r="HA30" s="780">
        <f>IF($FC30&gt;Factores!$D$3,'ST Original'!C30,"")</f>
        <v>200000.00000015847</v>
      </c>
      <c r="HB30" s="782">
        <f>IF($FC30&gt;Factores!$D$3,'ST Original'!D30,"")</f>
        <v>673107.68500403815</v>
      </c>
      <c r="HC30" s="780">
        <f>IF($FC30&gt;Factores!$D$3,'ST Original'!E30,"")</f>
        <v>191506.83501760333</v>
      </c>
      <c r="HD30" s="782"/>
      <c r="HE30" s="2064">
        <f>IF($FC30&gt;Factores!$D$3,'ST Original'!J30,"")</f>
        <v>97.885672723806138</v>
      </c>
      <c r="HF30" s="781">
        <f>IF($FC30&gt;Factores!$D$3,'ST Original'!BT30,"")</f>
        <v>8157.472256559915</v>
      </c>
      <c r="HG30" s="781">
        <f>IF($FC30&gt;Factores!$D$3,'ST Original'!K30,"")</f>
        <v>86.130475173307232</v>
      </c>
      <c r="HH30" s="2066">
        <f>IF($FC30&gt;Factores!$D$3,'ST Original'!L30,"")</f>
        <v>0.54611774227069232</v>
      </c>
      <c r="HI30" s="781">
        <f>IF($FC30&gt;Factores!$D$3,'ST Original'!M30,"")</f>
        <v>90.781480861139713</v>
      </c>
      <c r="HJ30" s="781">
        <f>IF($FC30&gt;Factores!$D$3,'ST Original'!N30,"")</f>
        <v>29.00637430726275</v>
      </c>
      <c r="HK30" s="780">
        <f>IF($FC30&gt;Factores!$D$3,'ST Original'!O30,"")</f>
        <v>3273.2138555551828</v>
      </c>
      <c r="HL30" s="539">
        <f>IF($FC30&gt;Factores!$D$3,'ST Original'!R30,"")</f>
        <v>72106.426244737144</v>
      </c>
      <c r="HM30" s="780">
        <f>IF($FC30&gt;Factores!$D$3,'ST Original'!S30,"")</f>
        <v>949.44066281952303</v>
      </c>
      <c r="HN30" s="782">
        <f>IF($FC30&gt;Factores!$D$3,'ST Original'!V30,"")</f>
        <v>19460.662196255762</v>
      </c>
      <c r="HO30" s="780">
        <f>IF($FC30&gt;Factores!$D$3,'ST Original'!W30,"")</f>
        <v>165.72705465265955</v>
      </c>
      <c r="HP30" s="819">
        <f>IF($FC30&gt;Factores!$D$3,'ST Original'!X30,"")</f>
        <v>91.379392806824598</v>
      </c>
      <c r="HQ30" s="819">
        <f>IF($FC30&gt;Factores!$D$3,'ST Original'!Y30,"")</f>
        <v>88.833132515636464</v>
      </c>
      <c r="HR30" s="819">
        <f>IF($FC30&gt;Factores!$D$3,'ST Original'!Z30,"")</f>
        <v>81.175177104070471</v>
      </c>
      <c r="HS30" s="819">
        <f>IF($FC30&gt;Factores!$D$3,'ST Original'!AA30,"")</f>
        <v>50</v>
      </c>
      <c r="HT30" s="539">
        <f>IF($FC30&gt;Factores!$D$3,'ST Original'!AB30,"")</f>
        <v>51.526534156672383</v>
      </c>
      <c r="HU30" s="539">
        <f>IF($FC30&gt;Factores!$D$3,'ST Original'!AC30,"")</f>
        <v>51.526534156672383</v>
      </c>
      <c r="HV30" s="819">
        <f>IF($FC30&gt;Factores!$D$3,AE30,"")</f>
        <v>25.763267078336192</v>
      </c>
      <c r="HW30" s="782">
        <f>IF($FC30&gt;Factores!$D$3,AF30,"")</f>
        <v>688.74080982816599</v>
      </c>
      <c r="HX30" s="539">
        <f>IF($FC30&gt;Factores!$D$3,AG30,"")</f>
        <v>25</v>
      </c>
      <c r="HY30" s="780">
        <f>IF($FC30&gt;Factores!$D$3,AI30,"")</f>
        <v>1024.1283740796196</v>
      </c>
      <c r="HZ30" s="782">
        <f>IF($FC30&gt;Factores!$D$3,AJ30,"")</f>
        <v>21457.321803947616</v>
      </c>
      <c r="IA30" s="780">
        <f>IF($FC30&gt;Factores!$D$3,AN30,"")</f>
        <v>4366</v>
      </c>
      <c r="IB30" s="539">
        <f>IF($FC30&gt;Factores!$D$3,AO30,"")</f>
        <v>27.716210748744583</v>
      </c>
      <c r="IC30" s="782">
        <f>IF($FC30&gt;Factores!$D$3,AP30,"")</f>
        <v>1210.0897612901886</v>
      </c>
      <c r="ID30" s="2072">
        <f>IF($FC30&gt;Factores!$D$3,BI30,"")</f>
        <v>23.299099515436758</v>
      </c>
      <c r="IE30" s="2073">
        <f>IF($FC30&gt;Factores!$D$3,BJ30,"")</f>
        <v>1048.4594781946541</v>
      </c>
      <c r="IF30" s="4237">
        <f t="shared" si="20"/>
        <v>191506.83501760333</v>
      </c>
      <c r="IG30" s="4237">
        <f t="shared" si="124"/>
        <v>4096897.7148730196</v>
      </c>
      <c r="IH30" s="4234">
        <f t="shared" si="121"/>
        <v>0.54611774227069232</v>
      </c>
      <c r="II30" s="342">
        <f>SUMPRODUCT(IH$8:IH30,IF$8:IF30)/IG30</f>
        <v>0.52513217264554857</v>
      </c>
      <c r="IJ30" s="4235">
        <f t="shared" si="122"/>
        <v>90.781480861139713</v>
      </c>
      <c r="IK30" s="342" cm="1">
        <f t="array" ref="IK30">SUMPRODUCT(IJ$8:IJ30,IF$8:IF30/IG30)</f>
        <v>90.435353152785282</v>
      </c>
    </row>
    <row r="31" spans="1:245" s="744" customFormat="1" ht="14.25" customHeight="1">
      <c r="A31" s="4643"/>
      <c r="B31" s="2133">
        <f t="shared" si="21"/>
        <v>46105.791666666664</v>
      </c>
      <c r="C31" s="2134">
        <f>+'Plan mina ST'!N66*1000</f>
        <v>184999.99999984697</v>
      </c>
      <c r="D31" s="2134">
        <f>+'Plan mina ST'!M66*1000</f>
        <v>658972.29932983196</v>
      </c>
      <c r="E31" s="2134">
        <f>(('Plan mina ST'!O66*1000))</f>
        <v>199135.38567405319</v>
      </c>
      <c r="F31" s="2134">
        <f>+'Plan mina ST'!J66*1000</f>
        <v>40344.272202288972</v>
      </c>
      <c r="G31" s="2134">
        <f t="shared" si="22"/>
        <v>158791.11347176423</v>
      </c>
      <c r="H31" s="2135">
        <f t="shared" si="23"/>
        <v>98.056332111173901</v>
      </c>
      <c r="I31" s="2135">
        <f t="shared" si="24"/>
        <v>97.12989278992228</v>
      </c>
      <c r="J31" s="2135">
        <f t="shared" si="25"/>
        <v>97.885672723806138</v>
      </c>
      <c r="K31" s="2135">
        <f>+'Plan mina ST'!AM29*100</f>
        <v>64.591307583795782</v>
      </c>
      <c r="L31" s="2135">
        <f>'Plan mina ST'!D29</f>
        <v>0.55160275711999007</v>
      </c>
      <c r="M31" s="2135">
        <f>'Plan mina ST'!C29</f>
        <v>90.381180349036981</v>
      </c>
      <c r="N31" s="2136">
        <f>'Plan mina ST'!B29</f>
        <v>26.705241224231788</v>
      </c>
      <c r="O31" s="2134">
        <f t="shared" si="133"/>
        <v>3717.5461734395567</v>
      </c>
      <c r="P31" s="2134">
        <f t="shared" si="134"/>
        <v>2964.3817158111433</v>
      </c>
      <c r="Q31" s="2134">
        <f t="shared" si="3"/>
        <v>753.16445762841363</v>
      </c>
      <c r="R31" s="2134">
        <f t="shared" si="135"/>
        <v>75823.972418176694</v>
      </c>
      <c r="S31" s="2134">
        <f t="shared" si="136"/>
        <v>992.7796732392319</v>
      </c>
      <c r="T31" s="2134">
        <f t="shared" si="137"/>
        <v>791.64528801438701</v>
      </c>
      <c r="U31" s="2134">
        <f t="shared" si="138"/>
        <v>201.13438522484489</v>
      </c>
      <c r="V31" s="2134">
        <f t="shared" si="139"/>
        <v>20453.441869494993</v>
      </c>
      <c r="W31" s="2134">
        <f>+'Plan mina ST'!E29</f>
        <v>116.04786880043868</v>
      </c>
      <c r="X31" s="2135">
        <f t="shared" si="28"/>
        <v>90.129959905640135</v>
      </c>
      <c r="Y31" s="2135">
        <f t="shared" si="29"/>
        <v>87.82351604273741</v>
      </c>
      <c r="Z31" s="2135">
        <f t="shared" si="30"/>
        <v>79.155299797042659</v>
      </c>
      <c r="AA31" s="2136">
        <v>50</v>
      </c>
      <c r="AB31" s="2134">
        <f t="shared" si="141"/>
        <v>36.584371830819684</v>
      </c>
      <c r="AC31" s="2134">
        <f t="shared" si="142"/>
        <v>36.584371830819684</v>
      </c>
      <c r="AD31" s="2134">
        <f t="shared" si="143"/>
        <v>50</v>
      </c>
      <c r="AE31" s="2134">
        <f t="shared" si="144"/>
        <v>18.292185915409842</v>
      </c>
      <c r="AF31" s="2134">
        <f t="shared" si="145"/>
        <v>707.03299574357584</v>
      </c>
      <c r="AG31" s="2134">
        <v>25</v>
      </c>
      <c r="AH31" s="2134">
        <f t="shared" si="147"/>
        <v>315.8382383096386</v>
      </c>
      <c r="AI31" s="2134">
        <f t="shared" si="9"/>
        <v>1045.8087202080051</v>
      </c>
      <c r="AJ31" s="2134">
        <f t="shared" si="148"/>
        <v>22503.130524155622</v>
      </c>
      <c r="AK31" s="2134">
        <v>4366</v>
      </c>
      <c r="AL31" s="2136">
        <f t="shared" si="126"/>
        <v>29.00637430726275</v>
      </c>
      <c r="AM31" s="2134">
        <f t="shared" si="149"/>
        <v>1266.4183022550917</v>
      </c>
      <c r="AN31" s="2134">
        <f t="shared" si="123"/>
        <v>4366</v>
      </c>
      <c r="AO31" s="2136">
        <f t="shared" si="36"/>
        <v>30.291011915290664</v>
      </c>
      <c r="AP31" s="2134">
        <f t="shared" si="150"/>
        <v>1322.5055802215904</v>
      </c>
      <c r="AQ31" s="2134">
        <f t="shared" si="151"/>
        <v>8.4162492796094117</v>
      </c>
      <c r="AR31" s="2134">
        <f t="shared" si="38"/>
        <v>3342.6092404109831</v>
      </c>
      <c r="AS31" s="2134">
        <f t="shared" si="39"/>
        <v>-648.4538265604433</v>
      </c>
      <c r="AT31" s="2136">
        <f>+'Recalculos ST'!E32</f>
        <v>37.37366346942364</v>
      </c>
      <c r="AU31" s="2134">
        <f>+'MCP ST'!V25</f>
        <v>83.560410965114826</v>
      </c>
      <c r="AV31" s="3973">
        <f>+Factores!$D$24</f>
        <v>0.96199999999999997</v>
      </c>
      <c r="AW31" s="2134">
        <f t="shared" si="40"/>
        <v>1272.25036817317</v>
      </c>
      <c r="AX31" s="2376">
        <f>'Plan mina ST'!AK29/25.4</f>
        <v>4.2900576356295144</v>
      </c>
      <c r="AY31" s="2718">
        <f>+'Recalculos ST'!AK32</f>
        <v>186.61872401743344</v>
      </c>
      <c r="AZ31" s="2138">
        <f>'Plan mina ST'!O29*BA31/1000000*0.79</f>
        <v>8.4162492796094117</v>
      </c>
      <c r="BA31" s="2137">
        <f t="shared" si="152"/>
        <v>8297.307736418883</v>
      </c>
      <c r="BB31" s="2138">
        <f>'Plan mina ST'!O29*'ST Original'!BT31/1000000*0.8</f>
        <v>8.7129265768370967</v>
      </c>
      <c r="BC31" s="4640"/>
      <c r="BD31" s="2148">
        <f t="shared" si="12"/>
        <v>46105.791666666664</v>
      </c>
      <c r="BE31" s="2149">
        <f>'Plan mina ST'!J29</f>
        <v>3.3128173940603446E-2</v>
      </c>
      <c r="BF31" s="2150">
        <f t="shared" si="42"/>
        <v>1.1462879316164976</v>
      </c>
      <c r="BG31" s="2151">
        <f>'Plan mina ST'!K29</f>
        <v>1.1126778322880904</v>
      </c>
      <c r="BH31" s="2150">
        <f t="shared" si="43"/>
        <v>38.500436915594456</v>
      </c>
      <c r="BI31" s="2151">
        <f>'Plan mina ST'!V29</f>
        <v>32.725416577674395</v>
      </c>
      <c r="BJ31" s="2152">
        <f t="shared" si="44"/>
        <v>1472.6437459953477</v>
      </c>
      <c r="BK31" s="3395">
        <f>'Plan mina ST'!AI29</f>
        <v>1.1194414650567424</v>
      </c>
      <c r="BL31" s="3399">
        <f>'Recalculos ST'!T32</f>
        <v>6.1474250902117156</v>
      </c>
      <c r="BM31" s="3391">
        <f t="shared" si="45"/>
        <v>13.560083001340221</v>
      </c>
      <c r="BN31" s="3391">
        <f t="shared" si="46"/>
        <v>13.560083001340221</v>
      </c>
      <c r="BO31" s="3391">
        <f t="shared" si="47"/>
        <v>13.560083001340221</v>
      </c>
      <c r="BP31" s="3391">
        <f t="shared" si="48"/>
        <v>40.680249004020666</v>
      </c>
      <c r="BQ31" s="3400">
        <f t="shared" si="49"/>
        <v>14.469959964817026</v>
      </c>
      <c r="BR31" s="3397">
        <f t="shared" si="50"/>
        <v>6747.4443028885116</v>
      </c>
      <c r="BS31" s="2137">
        <f t="shared" si="51"/>
        <v>1730.9843410628912</v>
      </c>
      <c r="BT31" s="3344">
        <f t="shared" si="52"/>
        <v>8482.4198770040184</v>
      </c>
      <c r="BU31" s="3345">
        <f t="shared" si="53"/>
        <v>2249.5386458666339</v>
      </c>
      <c r="BV31" s="3345">
        <f t="shared" si="54"/>
        <v>2249.5386458666339</v>
      </c>
      <c r="BW31" s="3345">
        <f t="shared" si="55"/>
        <v>2249.5386458666339</v>
      </c>
      <c r="BX31" s="3346">
        <f t="shared" si="56"/>
        <v>98.056332111173916</v>
      </c>
      <c r="BY31" s="3346">
        <f t="shared" si="57"/>
        <v>98.056332111173916</v>
      </c>
      <c r="BZ31" s="3346">
        <f t="shared" si="58"/>
        <v>98.056332111173916</v>
      </c>
      <c r="CA31" s="3346">
        <f t="shared" si="59"/>
        <v>97.12989278992228</v>
      </c>
      <c r="CB31" s="3346">
        <f t="shared" si="60"/>
        <v>97.885715079916608</v>
      </c>
      <c r="CC31" s="3623">
        <f t="shared" si="61"/>
        <v>98.056332111173901</v>
      </c>
      <c r="CD31" s="3348">
        <f t="shared" si="62"/>
        <v>98.886834920573264</v>
      </c>
      <c r="CE31" s="3348">
        <f t="shared" si="63"/>
        <v>98.886834920573264</v>
      </c>
      <c r="CF31" s="3348">
        <f t="shared" si="64"/>
        <v>98.886834920573264</v>
      </c>
      <c r="CG31" s="3348">
        <f t="shared" si="65"/>
        <v>98.356250499976611</v>
      </c>
      <c r="CH31" s="3346">
        <f t="shared" si="66"/>
        <v>98.789120222376653</v>
      </c>
      <c r="CI31" s="3347">
        <f t="shared" si="67"/>
        <v>26.877795450599066</v>
      </c>
      <c r="CJ31" s="3354">
        <f t="shared" si="68"/>
        <v>6.4495510000000005</v>
      </c>
      <c r="CK31" s="3355">
        <f t="shared" si="69"/>
        <v>6.4495510000000005</v>
      </c>
      <c r="CL31" s="3355">
        <f t="shared" si="70"/>
        <v>6.4495510000000005</v>
      </c>
      <c r="CM31" s="3356">
        <f t="shared" si="71"/>
        <v>4.3442710000000009</v>
      </c>
      <c r="CN31" s="3356">
        <f t="shared" si="72"/>
        <v>23.692924000000001</v>
      </c>
      <c r="CO31" s="3354">
        <f t="shared" si="73"/>
        <v>6.3953843333333333</v>
      </c>
      <c r="CP31" s="3355">
        <f t="shared" si="74"/>
        <v>6.3953843333333333</v>
      </c>
      <c r="CQ31" s="3355">
        <f t="shared" si="75"/>
        <v>6.3953843333333333</v>
      </c>
      <c r="CR31" s="3356">
        <f t="shared" si="76"/>
        <v>4.2901043333333337</v>
      </c>
      <c r="CS31" s="3356">
        <f t="shared" si="77"/>
        <v>23.476257333333333</v>
      </c>
      <c r="CT31" s="3357">
        <f t="shared" si="78"/>
        <v>6.5217878333333337</v>
      </c>
      <c r="CU31" s="2153">
        <f t="shared" si="79"/>
        <v>6.5217878333333337</v>
      </c>
      <c r="CV31" s="2153">
        <f t="shared" si="80"/>
        <v>6.5217878333333337</v>
      </c>
      <c r="CW31" s="3358">
        <f t="shared" si="81"/>
        <v>4.4179698333333342</v>
      </c>
      <c r="CX31" s="3354">
        <f t="shared" si="82"/>
        <v>0</v>
      </c>
      <c r="CY31" s="3355">
        <f t="shared" si="83"/>
        <v>0</v>
      </c>
      <c r="CZ31" s="3355">
        <f t="shared" si="84"/>
        <v>0</v>
      </c>
      <c r="DA31" s="3356">
        <f t="shared" si="85"/>
        <v>0</v>
      </c>
      <c r="DB31" s="3354">
        <f t="shared" si="86"/>
        <v>7.2602333333333338E-2</v>
      </c>
      <c r="DC31" s="3355">
        <f t="shared" si="87"/>
        <v>7.2602333333333338E-2</v>
      </c>
      <c r="DD31" s="3355">
        <f t="shared" si="88"/>
        <v>7.2602333333333338E-2</v>
      </c>
      <c r="DE31" s="3356">
        <f t="shared" si="89"/>
        <v>7.2602333333333338E-2</v>
      </c>
      <c r="DF31" s="3356">
        <f t="shared" si="90"/>
        <v>0.29040933333333335</v>
      </c>
      <c r="DG31" s="3354">
        <f t="shared" si="91"/>
        <v>0.12676900000000002</v>
      </c>
      <c r="DH31" s="3355">
        <f t="shared" si="92"/>
        <v>0.12676900000000002</v>
      </c>
      <c r="DI31" s="3355">
        <f t="shared" si="93"/>
        <v>0.12676900000000002</v>
      </c>
      <c r="DJ31" s="3356">
        <f t="shared" si="94"/>
        <v>0.12676900000000002</v>
      </c>
      <c r="DK31" s="3356">
        <f t="shared" si="95"/>
        <v>0.50707600000000008</v>
      </c>
      <c r="DL31" s="2137">
        <v>0</v>
      </c>
      <c r="DM31" s="2137">
        <v>0</v>
      </c>
      <c r="DN31" s="2137">
        <v>0</v>
      </c>
      <c r="DO31" s="2137">
        <v>0</v>
      </c>
      <c r="DP31" s="2137">
        <v>0</v>
      </c>
      <c r="DQ31" s="2137">
        <v>0</v>
      </c>
      <c r="DR31" s="2137">
        <v>0</v>
      </c>
      <c r="DS31" s="2137">
        <v>0</v>
      </c>
      <c r="DT31" s="2137">
        <v>0</v>
      </c>
      <c r="DU31" s="2137">
        <v>0</v>
      </c>
      <c r="DV31" s="2137">
        <v>0</v>
      </c>
      <c r="DW31" s="2579">
        <f t="shared" si="96"/>
        <v>7.2602333333333338E-2</v>
      </c>
      <c r="DX31" s="2579">
        <f t="shared" si="97"/>
        <v>7.2602333333333338E-2</v>
      </c>
      <c r="DY31" s="2579">
        <f t="shared" si="98"/>
        <v>7.2602333333333338E-2</v>
      </c>
      <c r="DZ31" s="2579">
        <f t="shared" si="99"/>
        <v>7.2602333333333338E-2</v>
      </c>
      <c r="EA31" s="2579">
        <f t="shared" si="100"/>
        <v>0</v>
      </c>
      <c r="EB31" s="2579">
        <f t="shared" si="101"/>
        <v>0</v>
      </c>
      <c r="EC31" s="2579">
        <f t="shared" si="102"/>
        <v>0</v>
      </c>
      <c r="ED31" s="2579">
        <f t="shared" si="103"/>
        <v>0</v>
      </c>
      <c r="EE31" s="2579">
        <f t="shared" si="104"/>
        <v>0.05</v>
      </c>
      <c r="EF31" s="2579">
        <f t="shared" si="105"/>
        <v>0.05</v>
      </c>
      <c r="EG31" s="2579">
        <f t="shared" si="106"/>
        <v>0.05</v>
      </c>
      <c r="EH31" s="2579">
        <f t="shared" si="127"/>
        <v>0.05</v>
      </c>
      <c r="EI31" s="2579">
        <f t="shared" si="108"/>
        <v>4.1666666666666666E-3</v>
      </c>
      <c r="EJ31" s="2579">
        <f t="shared" si="109"/>
        <v>4.1666666666666666E-3</v>
      </c>
      <c r="EK31" s="2579">
        <f t="shared" si="110"/>
        <v>4.1666666666666666E-3</v>
      </c>
      <c r="EL31" s="2581">
        <f t="shared" si="111"/>
        <v>4.1666666666666666E-3</v>
      </c>
      <c r="EM31" s="3341">
        <f t="shared" si="129"/>
        <v>4.1666666666666666E-3</v>
      </c>
      <c r="EN31" s="3341">
        <f t="shared" si="130"/>
        <v>4.1666666666666666E-3</v>
      </c>
      <c r="EO31" s="3341">
        <f t="shared" si="131"/>
        <v>4.1666666666666666E-3</v>
      </c>
      <c r="EP31" s="3341">
        <f t="shared" si="132"/>
        <v>4.1666666666666666E-3</v>
      </c>
      <c r="EQ31" s="3319">
        <f t="shared" si="116"/>
        <v>1.6666666666666666E-2</v>
      </c>
      <c r="ER31" s="809">
        <f>+'MCP ST'!H25</f>
        <v>1.5537291958501629</v>
      </c>
      <c r="ES31" s="4236">
        <f t="shared" si="117"/>
        <v>0.30707600000000002</v>
      </c>
      <c r="EZ31" s="2154">
        <f>+'Plan mina ST'!AM29</f>
        <v>0.64591307583795776</v>
      </c>
      <c r="FA31" s="2067" t="str">
        <f>IF($FC31&lt;=Factores!$D$3,AX31,"")</f>
        <v/>
      </c>
      <c r="FB31" s="2076"/>
      <c r="FC31" s="2065">
        <f t="shared" si="13"/>
        <v>46105.791666666664</v>
      </c>
      <c r="FD31" s="780" t="str">
        <f>IF($FC31&lt;=Factores!$D$3,'ST Original'!C31,"")</f>
        <v/>
      </c>
      <c r="FE31" s="782" t="str">
        <f>IF($FC31&lt;=Factores!$D$3,'ST Original'!D31,"")</f>
        <v/>
      </c>
      <c r="FF31" s="780" t="str">
        <f>IF($FC31&lt;=Factores!$D$3,'ST Original'!E31,"")</f>
        <v/>
      </c>
      <c r="FG31" s="782"/>
      <c r="FH31" s="2064" t="str">
        <f>IF($FC31&lt;=Factores!$D$3,'ST Original'!J31,"")</f>
        <v/>
      </c>
      <c r="FI31" s="781" t="str">
        <f>IF($FC31&lt;=Factores!$D$3,'ST Original'!BT31,"")</f>
        <v/>
      </c>
      <c r="FJ31" s="781" t="str">
        <f>IF($FC31&lt;=Factores!$D$3,'ST Original'!K31,"")</f>
        <v/>
      </c>
      <c r="FK31" s="2066" t="str">
        <f>IF($FC31&lt;=Factores!$D$3,'ST Original'!L31,"")</f>
        <v/>
      </c>
      <c r="FL31" s="781" t="str">
        <f>IF($FC31&lt;=Factores!$D$3,'ST Original'!M31,"")</f>
        <v/>
      </c>
      <c r="FM31" s="781" t="str">
        <f>IF($FC31&lt;=Factores!$D$3,'ST Original'!N31,"")</f>
        <v/>
      </c>
      <c r="FN31" s="780" t="str">
        <f>IF($FC31&lt;=Factores!$D$3,'ST Original'!O31,"")</f>
        <v/>
      </c>
      <c r="FO31" s="539" t="str">
        <f>IF($FC31&lt;=Factores!$D$3,'ST Original'!R31,"")</f>
        <v/>
      </c>
      <c r="FP31" s="780" t="str">
        <f>IF($FC31&lt;=Factores!$D$3,'ST Original'!S31,"")</f>
        <v/>
      </c>
      <c r="FQ31" s="782" t="str">
        <f>IF($FC31&lt;=Factores!$D$3,'ST Original'!V31,"")</f>
        <v/>
      </c>
      <c r="FR31" s="780" t="str">
        <f>IF($FC31&lt;=Factores!$D$3,'ST Original'!W31,"")</f>
        <v/>
      </c>
      <c r="FS31" s="819" t="str">
        <f>IF($FC31&lt;=Factores!$D$3,'ST Original'!X31,"")</f>
        <v/>
      </c>
      <c r="FT31" s="819" t="str">
        <f>IF($FC31&lt;=Factores!$D$3,'ST Original'!Y31,"")</f>
        <v/>
      </c>
      <c r="FU31" s="819" t="str">
        <f>IF($FC31&lt;=Factores!$D$3,'ST Original'!Z31,"")</f>
        <v/>
      </c>
      <c r="FV31" s="819" t="str">
        <f>IF($FC31&lt;=Factores!$D$3,'ST Original'!AA31,"")</f>
        <v/>
      </c>
      <c r="FW31" s="539" t="str">
        <f>IF($FC31&lt;=Factores!$D$3,'ST Original'!AB31,"")</f>
        <v/>
      </c>
      <c r="FX31" s="539" t="str">
        <f>IF($FC31&lt;=Factores!$D$3,'ST Original'!AC31,"")</f>
        <v/>
      </c>
      <c r="FY31" s="819" t="str">
        <f>IF($FC31&lt;=Factores!$D$3,AE31,"")</f>
        <v/>
      </c>
      <c r="FZ31" s="782" t="str">
        <f>IF($FC31&lt;=Factores!$D$3,AF31,"")</f>
        <v/>
      </c>
      <c r="GA31" s="539" t="str">
        <f>IF($FC31&lt;=Factores!$D$3,AG31,"")</f>
        <v/>
      </c>
      <c r="GB31" s="780" t="str">
        <f>IF($FC31&lt;=Factores!$D$3,AI31,"")</f>
        <v/>
      </c>
      <c r="GC31" s="782" t="str">
        <f>IF($FC31&lt;=Factores!$D$3,AJ31,"")</f>
        <v/>
      </c>
      <c r="GD31" s="780" t="str">
        <f>IF($FC31&lt;=Factores!$D$3,AN31,"")</f>
        <v/>
      </c>
      <c r="GE31" s="539" t="str">
        <f>IF($FC31&lt;=Factores!$D$3,AO31,"")</f>
        <v/>
      </c>
      <c r="GF31" s="782" t="str">
        <f>IF($FC31&lt;=Factores!$D$3,AP31,"")</f>
        <v/>
      </c>
      <c r="GG31" s="2072" t="str">
        <f>IF($FC31&lt;=Factores!$D$3,BI31,"")</f>
        <v/>
      </c>
      <c r="GH31" s="2073" t="str">
        <f>IF($FC31&lt;=Factores!$D$3,BJ31,"")</f>
        <v/>
      </c>
      <c r="GI31" s="2069">
        <f>+'Plan mina ST'!AN66</f>
        <v>0</v>
      </c>
      <c r="GJ31" s="2065">
        <f t="shared" si="14"/>
        <v>46105.791666666664</v>
      </c>
      <c r="GK31" s="2067">
        <f>+'Plan mina ST'!J29</f>
        <v>3.3128173940603446E-2</v>
      </c>
      <c r="GL31" s="818">
        <f t="shared" si="15"/>
        <v>1.2421887908294227</v>
      </c>
      <c r="GM31" s="539">
        <f t="shared" si="118"/>
        <v>4617.8941860374298</v>
      </c>
      <c r="GN31" s="2077">
        <f t="shared" si="119"/>
        <v>112855.14171877797</v>
      </c>
      <c r="GO31" s="818">
        <f>+'Plan mina ST'!K29</f>
        <v>1.1126778322880904</v>
      </c>
      <c r="GP31" s="818">
        <f t="shared" si="16"/>
        <v>47.68167364735725</v>
      </c>
      <c r="GQ31" s="539">
        <f t="shared" si="17"/>
        <v>177258.82341092671</v>
      </c>
      <c r="GR31" s="539">
        <f t="shared" si="120"/>
        <v>4288062.157138722</v>
      </c>
      <c r="GS31" s="781">
        <f>+'Plan mina ST'!V29</f>
        <v>32.725416577674395</v>
      </c>
      <c r="GT31" s="782">
        <f t="shared" si="18"/>
        <v>1472.6437459953477</v>
      </c>
      <c r="GU31" s="2072" t="str">
        <f>IF($FC31&lt;=Factores!$D$3,AT31,"")</f>
        <v/>
      </c>
      <c r="GW31" s="781">
        <f>+'Plan mina ST'!AI29</f>
        <v>1.1194414650567424</v>
      </c>
      <c r="GX31" s="2078">
        <v>0.5</v>
      </c>
      <c r="GY31" s="819"/>
      <c r="GZ31" s="2065">
        <f t="shared" si="19"/>
        <v>46105.791666666664</v>
      </c>
      <c r="HA31" s="780">
        <f>IF($FC31&gt;Factores!$D$3,'ST Original'!C31,"")</f>
        <v>184999.99999984697</v>
      </c>
      <c r="HB31" s="782">
        <f>IF($FC31&gt;Factores!$D$3,'ST Original'!D31,"")</f>
        <v>658972.29932983196</v>
      </c>
      <c r="HC31" s="780">
        <f>IF($FC31&gt;Factores!$D$3,'ST Original'!E31,"")</f>
        <v>199135.38567405319</v>
      </c>
      <c r="HD31" s="782"/>
      <c r="HE31" s="2064">
        <f>IF($FC31&gt;Factores!$D$3,'ST Original'!J31,"")</f>
        <v>97.885672723806138</v>
      </c>
      <c r="HF31" s="781">
        <f>IF($FC31&gt;Factores!$D$3,'ST Original'!BT31,"")</f>
        <v>8482.4198770040184</v>
      </c>
      <c r="HG31" s="781">
        <f>IF($FC31&gt;Factores!$D$3,'ST Original'!K31,"")</f>
        <v>64.591307583795782</v>
      </c>
      <c r="HH31" s="2066">
        <f>IF($FC31&gt;Factores!$D$3,'ST Original'!L31,"")</f>
        <v>0.55160275711999007</v>
      </c>
      <c r="HI31" s="781">
        <f>IF($FC31&gt;Factores!$D$3,'ST Original'!M31,"")</f>
        <v>90.381180349036981</v>
      </c>
      <c r="HJ31" s="781">
        <f>IF($FC31&gt;Factores!$D$3,'ST Original'!N31,"")</f>
        <v>26.705241224231788</v>
      </c>
      <c r="HK31" s="780">
        <f>IF($FC31&gt;Factores!$D$3,'ST Original'!O31,"")</f>
        <v>3717.5461734395567</v>
      </c>
      <c r="HL31" s="539">
        <f>IF($FC31&gt;Factores!$D$3,'ST Original'!R31,"")</f>
        <v>75823.972418176694</v>
      </c>
      <c r="HM31" s="780">
        <f>IF($FC31&gt;Factores!$D$3,'ST Original'!S31,"")</f>
        <v>992.7796732392319</v>
      </c>
      <c r="HN31" s="782">
        <f>IF($FC31&gt;Factores!$D$3,'ST Original'!V31,"")</f>
        <v>20453.441869494993</v>
      </c>
      <c r="HO31" s="780">
        <f>IF($FC31&gt;Factores!$D$3,'ST Original'!W31,"")</f>
        <v>116.04786880043868</v>
      </c>
      <c r="HP31" s="819">
        <f>IF($FC31&gt;Factores!$D$3,'ST Original'!X31,"")</f>
        <v>90.129959905640135</v>
      </c>
      <c r="HQ31" s="819">
        <f>IF($FC31&gt;Factores!$D$3,'ST Original'!Y31,"")</f>
        <v>87.82351604273741</v>
      </c>
      <c r="HR31" s="819">
        <f>IF($FC31&gt;Factores!$D$3,'ST Original'!Z31,"")</f>
        <v>79.155299797042659</v>
      </c>
      <c r="HS31" s="819">
        <f>IF($FC31&gt;Factores!$D$3,'ST Original'!AA31,"")</f>
        <v>50</v>
      </c>
      <c r="HT31" s="539">
        <f>IF($FC31&gt;Factores!$D$3,'ST Original'!AB31,"")</f>
        <v>36.584371830819684</v>
      </c>
      <c r="HU31" s="539">
        <f>IF($FC31&gt;Factores!$D$3,'ST Original'!AC31,"")</f>
        <v>36.584371830819684</v>
      </c>
      <c r="HV31" s="819">
        <f>IF($FC31&gt;Factores!$D$3,AE31,"")</f>
        <v>18.292185915409842</v>
      </c>
      <c r="HW31" s="782">
        <f>IF($FC31&gt;Factores!$D$3,AF31,"")</f>
        <v>707.03299574357584</v>
      </c>
      <c r="HX31" s="539">
        <f>IF($FC31&gt;Factores!$D$3,AG31,"")</f>
        <v>25</v>
      </c>
      <c r="HY31" s="780">
        <f>IF($FC31&gt;Factores!$D$3,AI31,"")</f>
        <v>1045.8087202080051</v>
      </c>
      <c r="HZ31" s="782">
        <f>IF($FC31&gt;Factores!$D$3,AJ31,"")</f>
        <v>22503.130524155622</v>
      </c>
      <c r="IA31" s="780">
        <f>IF($FC31&gt;Factores!$D$3,AN31,"")</f>
        <v>4366</v>
      </c>
      <c r="IB31" s="539">
        <f>IF($FC31&gt;Factores!$D$3,AO31,"")</f>
        <v>30.291011915290664</v>
      </c>
      <c r="IC31" s="782">
        <f>IF($FC31&gt;Factores!$D$3,AP31,"")</f>
        <v>1322.5055802215904</v>
      </c>
      <c r="ID31" s="2072">
        <f>IF($FC31&gt;Factores!$D$3,BI31,"")</f>
        <v>32.725416577674395</v>
      </c>
      <c r="IE31" s="2073">
        <f>IF($FC31&gt;Factores!$D$3,BJ31,"")</f>
        <v>1472.6437459953477</v>
      </c>
      <c r="IF31" s="4237">
        <f t="shared" si="20"/>
        <v>199135.38567405319</v>
      </c>
      <c r="IG31" s="4237">
        <f t="shared" si="124"/>
        <v>4296033.1005470725</v>
      </c>
      <c r="IH31" s="4234">
        <f t="shared" si="121"/>
        <v>0.55160275711999007</v>
      </c>
      <c r="II31" s="342">
        <f>SUMPRODUCT(IH$8:IH31,IF$8:IF31)/IG31</f>
        <v>0.52635917204824501</v>
      </c>
      <c r="IJ31" s="4235">
        <f t="shared" si="122"/>
        <v>90.381180349036981</v>
      </c>
      <c r="IK31" s="342" cm="1">
        <f t="array" ref="IK31">SUMPRODUCT(IJ$8:IJ31,IF$8:IF31/IG31)</f>
        <v>90.432842063621166</v>
      </c>
    </row>
    <row r="32" spans="1:245" s="744" customFormat="1" ht="14.25" customHeight="1">
      <c r="A32" s="4643"/>
      <c r="B32" s="2133">
        <f t="shared" si="21"/>
        <v>46106.791666666664</v>
      </c>
      <c r="C32" s="2134">
        <f>+'Plan mina ST'!N67*1000</f>
        <v>220000.00000043112</v>
      </c>
      <c r="D32" s="2134">
        <f>+'Plan mina ST'!M67*1000</f>
        <v>677720.6414014633</v>
      </c>
      <c r="E32" s="2134">
        <f>(('Plan mina ST'!O67*1000))</f>
        <v>201251.65792879966</v>
      </c>
      <c r="F32" s="2134">
        <f>+'Plan mina ST'!J67*1000</f>
        <v>40752.55829265494</v>
      </c>
      <c r="G32" s="2134">
        <f t="shared" si="22"/>
        <v>160499.0996361447</v>
      </c>
      <c r="H32" s="2135">
        <f t="shared" si="23"/>
        <v>98.056332111173901</v>
      </c>
      <c r="I32" s="2135">
        <f t="shared" si="24"/>
        <v>97.12989278992228</v>
      </c>
      <c r="J32" s="2135">
        <f t="shared" si="25"/>
        <v>97.885672723806138</v>
      </c>
      <c r="K32" s="2135">
        <f>+'Plan mina ST'!AM30*100</f>
        <v>56.193647233444196</v>
      </c>
      <c r="L32" s="2135">
        <f>'Plan mina ST'!D30</f>
        <v>0.50905603115424403</v>
      </c>
      <c r="M32" s="2135">
        <f>'Plan mina ST'!C30</f>
        <v>87.707388126030864</v>
      </c>
      <c r="N32" s="2136">
        <f>'Plan mina ST'!B30</f>
        <v>24.113319660599188</v>
      </c>
      <c r="O32" s="2134">
        <f t="shared" si="133"/>
        <v>3726.3550181943365</v>
      </c>
      <c r="P32" s="2134">
        <f t="shared" si="134"/>
        <v>2971.7848364579072</v>
      </c>
      <c r="Q32" s="2134">
        <f t="shared" si="3"/>
        <v>754.57018173642859</v>
      </c>
      <c r="R32" s="2134">
        <f t="shared" si="135"/>
        <v>79550.327436371037</v>
      </c>
      <c r="S32" s="2134">
        <f t="shared" si="136"/>
        <v>898.54789722597934</v>
      </c>
      <c r="T32" s="2134">
        <f t="shared" si="137"/>
        <v>716.59597724031005</v>
      </c>
      <c r="U32" s="2134">
        <f t="shared" si="138"/>
        <v>181.95191998566926</v>
      </c>
      <c r="V32" s="2134">
        <f t="shared" si="139"/>
        <v>21351.989766720973</v>
      </c>
      <c r="W32" s="3933">
        <f>+'Plan mina ST'!E30</f>
        <v>80.170312557958326</v>
      </c>
      <c r="X32" s="3934">
        <f>IF(W32&gt;0,$X$2*LN(W32)+$X$3,$X$2*LN(W32)+$X$3)-$Y$4</f>
        <v>87.333156641235632</v>
      </c>
      <c r="Y32" s="2135">
        <f t="shared" si="29"/>
        <v>86.775621484645612</v>
      </c>
      <c r="Z32" s="2135">
        <f t="shared" si="30"/>
        <v>75.78388943759127</v>
      </c>
      <c r="AA32" s="2136">
        <v>50</v>
      </c>
      <c r="AB32" s="2134">
        <f t="shared" si="141"/>
        <v>24.454564323699106</v>
      </c>
      <c r="AC32" s="2134">
        <f t="shared" si="142"/>
        <v>24.454564323699106</v>
      </c>
      <c r="AD32" s="2134">
        <f t="shared" si="143"/>
        <v>50</v>
      </c>
      <c r="AE32" s="2134">
        <f t="shared" si="144"/>
        <v>12.227282161849553</v>
      </c>
      <c r="AF32" s="2134">
        <f t="shared" si="145"/>
        <v>719.26027790542537</v>
      </c>
      <c r="AG32" s="2134">
        <v>25</v>
      </c>
      <c r="AH32" s="2134">
        <f t="shared" si="147"/>
        <v>303.06552047148813</v>
      </c>
      <c r="AI32" s="2134">
        <f t="shared" si="9"/>
        <v>933.99478821318121</v>
      </c>
      <c r="AJ32" s="2134">
        <f t="shared" si="148"/>
        <v>23437.125312368804</v>
      </c>
      <c r="AK32" s="2134">
        <f>'Envíos STC 2800'!G28</f>
        <v>4366</v>
      </c>
      <c r="AL32" s="2136">
        <f t="shared" si="126"/>
        <v>26.705241224231788</v>
      </c>
      <c r="AM32" s="2134">
        <f t="shared" si="149"/>
        <v>1165.9508318499597</v>
      </c>
      <c r="AN32" s="2134">
        <f t="shared" si="123"/>
        <v>4366</v>
      </c>
      <c r="AO32" s="2136">
        <f t="shared" si="36"/>
        <v>29.00637430726275</v>
      </c>
      <c r="AP32" s="2134">
        <f t="shared" si="150"/>
        <v>1266.4183022550917</v>
      </c>
      <c r="AQ32" s="2134">
        <f t="shared" si="151"/>
        <v>11.119020477338058</v>
      </c>
      <c r="AR32" s="2134">
        <f t="shared" si="38"/>
        <v>2974.7388353818715</v>
      </c>
      <c r="AS32" s="2134">
        <f t="shared" si="39"/>
        <v>-639.64498180566352</v>
      </c>
      <c r="AT32" s="2136">
        <f>+'Recalculos ST'!E33</f>
        <v>37.100089455925193</v>
      </c>
      <c r="AU32" s="2134">
        <f>+'MCP ST'!V26</f>
        <v>74.705348359208827</v>
      </c>
      <c r="AV32" s="3973">
        <f>+Factores!$D$24</f>
        <v>0.96199999999999997</v>
      </c>
      <c r="AW32" s="2134">
        <f t="shared" si="40"/>
        <v>1218.2944067693982</v>
      </c>
      <c r="AX32" s="2376">
        <f>'Plan mina ST'!AK30/25.4</f>
        <v>4.1703639949699189</v>
      </c>
      <c r="AY32" s="2718">
        <f>+'Recalculos ST'!AK33</f>
        <v>185.13554322458796</v>
      </c>
      <c r="AZ32" s="2138">
        <f>'Plan mina ST'!O30*BA32/1000000*0.79</f>
        <v>11.119020477338058</v>
      </c>
      <c r="BA32" s="2137">
        <f t="shared" si="152"/>
        <v>8385.4857470333191</v>
      </c>
      <c r="BB32" s="2138">
        <f>'Plan mina ST'!O30*'ST Original'!BT32/1000000*0.8</f>
        <v>11.510971907653703</v>
      </c>
      <c r="BC32" s="4640"/>
      <c r="BD32" s="2148">
        <f t="shared" si="12"/>
        <v>46106.791666666664</v>
      </c>
      <c r="BE32" s="2149">
        <f>'Plan mina ST'!J30</f>
        <v>3.0067620876736385E-2</v>
      </c>
      <c r="BF32" s="2150">
        <f t="shared" si="42"/>
        <v>1.0403878887263338</v>
      </c>
      <c r="BG32" s="2151">
        <f>'Plan mina ST'!K30</f>
        <v>1.0617590771620453</v>
      </c>
      <c r="BH32" s="2150">
        <f t="shared" si="43"/>
        <v>36.738566351929521</v>
      </c>
      <c r="BI32" s="2151">
        <f>'Plan mina ST'!V30</f>
        <v>35.841282935384321</v>
      </c>
      <c r="BJ32" s="2152">
        <f t="shared" si="44"/>
        <v>1612.8577320922943</v>
      </c>
      <c r="BK32" s="3395">
        <f>'Plan mina ST'!AI30</f>
        <v>0.5838687082547015</v>
      </c>
      <c r="BL32" s="3399">
        <f>'Recalculos ST'!T33</f>
        <v>6.0858361185973244</v>
      </c>
      <c r="BM32" s="3391">
        <f t="shared" si="45"/>
        <v>13.568622574308041</v>
      </c>
      <c r="BN32" s="3391">
        <f t="shared" si="46"/>
        <v>13.568622574308041</v>
      </c>
      <c r="BO32" s="3391">
        <f t="shared" si="47"/>
        <v>13.568622574308041</v>
      </c>
      <c r="BP32" s="3391">
        <f t="shared" si="48"/>
        <v>40.705867722924125</v>
      </c>
      <c r="BQ32" s="3400">
        <f t="shared" si="49"/>
        <v>14.469959964817026</v>
      </c>
      <c r="BR32" s="3397">
        <f t="shared" si="50"/>
        <v>6820.0210438804488</v>
      </c>
      <c r="BS32" s="2137">
        <f t="shared" si="51"/>
        <v>1748.5019907940266</v>
      </c>
      <c r="BT32" s="3344">
        <f t="shared" si="52"/>
        <v>8572.565130586403</v>
      </c>
      <c r="BU32" s="3345">
        <f t="shared" si="53"/>
        <v>2273.7350936361281</v>
      </c>
      <c r="BV32" s="3345">
        <f t="shared" si="54"/>
        <v>2273.7350936361281</v>
      </c>
      <c r="BW32" s="3345">
        <f t="shared" si="55"/>
        <v>2273.7350936361281</v>
      </c>
      <c r="BX32" s="3346">
        <f t="shared" si="56"/>
        <v>98.056332111173916</v>
      </c>
      <c r="BY32" s="3346">
        <f t="shared" si="57"/>
        <v>98.056332111173916</v>
      </c>
      <c r="BZ32" s="3346">
        <f t="shared" si="58"/>
        <v>98.056332111173916</v>
      </c>
      <c r="CA32" s="3346">
        <f t="shared" si="59"/>
        <v>97.12989278992228</v>
      </c>
      <c r="CB32" s="3346">
        <f t="shared" si="60"/>
        <v>97.885715079916608</v>
      </c>
      <c r="CC32" s="3623">
        <f t="shared" si="61"/>
        <v>98.056332111173901</v>
      </c>
      <c r="CD32" s="3348">
        <f t="shared" si="62"/>
        <v>98.886834920573264</v>
      </c>
      <c r="CE32" s="3348">
        <f t="shared" si="63"/>
        <v>98.886834920573264</v>
      </c>
      <c r="CF32" s="3348">
        <f t="shared" si="64"/>
        <v>98.886834920573264</v>
      </c>
      <c r="CG32" s="3348">
        <f t="shared" si="65"/>
        <v>98.356250499976611</v>
      </c>
      <c r="CH32" s="3346">
        <f t="shared" si="66"/>
        <v>98.789120222376653</v>
      </c>
      <c r="CI32" s="3347">
        <f t="shared" si="67"/>
        <v>26.877795450599066</v>
      </c>
      <c r="CJ32" s="3354">
        <f t="shared" si="68"/>
        <v>6.4495510000000005</v>
      </c>
      <c r="CK32" s="3355">
        <f t="shared" si="69"/>
        <v>6.4495510000000005</v>
      </c>
      <c r="CL32" s="3355">
        <f t="shared" si="70"/>
        <v>6.4495510000000005</v>
      </c>
      <c r="CM32" s="3356">
        <f t="shared" si="71"/>
        <v>4.3442710000000009</v>
      </c>
      <c r="CN32" s="3356">
        <f t="shared" si="72"/>
        <v>23.692924000000001</v>
      </c>
      <c r="CO32" s="3354">
        <f t="shared" si="73"/>
        <v>6.3953843333333333</v>
      </c>
      <c r="CP32" s="3355">
        <f t="shared" si="74"/>
        <v>6.3953843333333333</v>
      </c>
      <c r="CQ32" s="3355">
        <f t="shared" si="75"/>
        <v>6.3953843333333333</v>
      </c>
      <c r="CR32" s="3356">
        <f t="shared" si="76"/>
        <v>4.2901043333333337</v>
      </c>
      <c r="CS32" s="3356">
        <f t="shared" si="77"/>
        <v>23.476257333333333</v>
      </c>
      <c r="CT32" s="3357">
        <f t="shared" si="78"/>
        <v>6.5217878333333337</v>
      </c>
      <c r="CU32" s="2153">
        <f t="shared" si="79"/>
        <v>6.5217878333333337</v>
      </c>
      <c r="CV32" s="2153">
        <f t="shared" si="80"/>
        <v>6.5217878333333337</v>
      </c>
      <c r="CW32" s="3358">
        <f t="shared" si="81"/>
        <v>4.4179698333333342</v>
      </c>
      <c r="CX32" s="3354">
        <f t="shared" si="82"/>
        <v>0</v>
      </c>
      <c r="CY32" s="3355">
        <f t="shared" si="83"/>
        <v>0</v>
      </c>
      <c r="CZ32" s="3355">
        <f t="shared" si="84"/>
        <v>0</v>
      </c>
      <c r="DA32" s="3356">
        <f t="shared" si="85"/>
        <v>0</v>
      </c>
      <c r="DB32" s="3354">
        <f t="shared" si="86"/>
        <v>7.2602333333333338E-2</v>
      </c>
      <c r="DC32" s="3355">
        <f t="shared" si="87"/>
        <v>7.2602333333333338E-2</v>
      </c>
      <c r="DD32" s="3355">
        <f t="shared" si="88"/>
        <v>7.2602333333333338E-2</v>
      </c>
      <c r="DE32" s="3356">
        <f t="shared" si="89"/>
        <v>7.2602333333333338E-2</v>
      </c>
      <c r="DF32" s="3356">
        <f t="shared" si="90"/>
        <v>0.29040933333333335</v>
      </c>
      <c r="DG32" s="3354">
        <f t="shared" si="91"/>
        <v>0.12676900000000002</v>
      </c>
      <c r="DH32" s="3355">
        <f t="shared" si="92"/>
        <v>0.12676900000000002</v>
      </c>
      <c r="DI32" s="3355">
        <f t="shared" si="93"/>
        <v>0.12676900000000002</v>
      </c>
      <c r="DJ32" s="3356">
        <f t="shared" si="94"/>
        <v>0.12676900000000002</v>
      </c>
      <c r="DK32" s="3356">
        <f t="shared" si="95"/>
        <v>0.50707600000000008</v>
      </c>
      <c r="DL32" s="2137">
        <v>0</v>
      </c>
      <c r="DM32" s="2137">
        <v>0</v>
      </c>
      <c r="DN32" s="2137">
        <v>0</v>
      </c>
      <c r="DO32" s="2137">
        <v>0</v>
      </c>
      <c r="DP32" s="2137">
        <v>0</v>
      </c>
      <c r="DQ32" s="2137">
        <v>0</v>
      </c>
      <c r="DR32" s="2137">
        <v>0</v>
      </c>
      <c r="DS32" s="2137">
        <v>0</v>
      </c>
      <c r="DT32" s="2137">
        <v>0</v>
      </c>
      <c r="DU32" s="2137">
        <v>0</v>
      </c>
      <c r="DV32" s="2137">
        <v>0</v>
      </c>
      <c r="DW32" s="2579">
        <f t="shared" si="96"/>
        <v>7.2602333333333338E-2</v>
      </c>
      <c r="DX32" s="2579">
        <f t="shared" si="97"/>
        <v>7.2602333333333338E-2</v>
      </c>
      <c r="DY32" s="2579">
        <f t="shared" si="98"/>
        <v>7.2602333333333338E-2</v>
      </c>
      <c r="DZ32" s="2579">
        <f t="shared" si="99"/>
        <v>7.2602333333333338E-2</v>
      </c>
      <c r="EA32" s="2579">
        <f t="shared" si="100"/>
        <v>0</v>
      </c>
      <c r="EB32" s="2579">
        <f t="shared" si="101"/>
        <v>0</v>
      </c>
      <c r="EC32" s="2579">
        <f t="shared" si="102"/>
        <v>0</v>
      </c>
      <c r="ED32" s="2579">
        <f t="shared" si="103"/>
        <v>0</v>
      </c>
      <c r="EE32" s="2579">
        <f t="shared" si="104"/>
        <v>0.05</v>
      </c>
      <c r="EF32" s="2579">
        <f t="shared" si="105"/>
        <v>0.05</v>
      </c>
      <c r="EG32" s="2579">
        <f t="shared" si="106"/>
        <v>0.05</v>
      </c>
      <c r="EH32" s="2579">
        <f t="shared" si="127"/>
        <v>0.05</v>
      </c>
      <c r="EI32" s="2579">
        <f t="shared" si="108"/>
        <v>4.1666666666666666E-3</v>
      </c>
      <c r="EJ32" s="2579">
        <f t="shared" si="109"/>
        <v>4.1666666666666666E-3</v>
      </c>
      <c r="EK32" s="2579">
        <f t="shared" si="110"/>
        <v>4.1666666666666666E-3</v>
      </c>
      <c r="EL32" s="2581">
        <f t="shared" si="111"/>
        <v>4.1666666666666666E-3</v>
      </c>
      <c r="EM32" s="3341">
        <f t="shared" si="129"/>
        <v>4.1666666666666666E-3</v>
      </c>
      <c r="EN32" s="3341">
        <f t="shared" si="130"/>
        <v>4.1666666666666666E-3</v>
      </c>
      <c r="EO32" s="3341">
        <f t="shared" si="131"/>
        <v>4.1666666666666666E-3</v>
      </c>
      <c r="EP32" s="3341">
        <f t="shared" si="132"/>
        <v>4.1666666666666666E-3</v>
      </c>
      <c r="EQ32" s="3319">
        <f t="shared" si="116"/>
        <v>1.6666666666666666E-2</v>
      </c>
      <c r="ER32" s="809">
        <f>+'MCP ST'!H26</f>
        <v>1.6030867271054539</v>
      </c>
      <c r="ES32" s="4236">
        <f t="shared" si="117"/>
        <v>0.30707600000000002</v>
      </c>
      <c r="EZ32" s="2154">
        <f>+'Plan mina ST'!AM30</f>
        <v>0.56193647233444199</v>
      </c>
      <c r="FA32" s="2067" t="str">
        <f>IF($FC32&lt;=Factores!$D$3,AX32,"")</f>
        <v/>
      </c>
      <c r="FB32" s="2076"/>
      <c r="FC32" s="2065">
        <f t="shared" si="13"/>
        <v>46106.791666666664</v>
      </c>
      <c r="FD32" s="780" t="str">
        <f>IF($FC32&lt;=Factores!$D$3,'ST Original'!C32,"")</f>
        <v/>
      </c>
      <c r="FE32" s="782" t="str">
        <f>IF($FC32&lt;=Factores!$D$3,'ST Original'!D32,"")</f>
        <v/>
      </c>
      <c r="FF32" s="780" t="str">
        <f>IF($FC32&lt;=Factores!$D$3,'ST Original'!E32,"")</f>
        <v/>
      </c>
      <c r="FG32" s="782"/>
      <c r="FH32" s="2064" t="str">
        <f>IF($FC32&lt;=Factores!$D$3,'ST Original'!J32,"")</f>
        <v/>
      </c>
      <c r="FI32" s="781" t="str">
        <f>IF($FC32&lt;=Factores!$D$3,'ST Original'!BT32,"")</f>
        <v/>
      </c>
      <c r="FJ32" s="781" t="str">
        <f>IF($FC32&lt;=Factores!$D$3,'ST Original'!K32,"")</f>
        <v/>
      </c>
      <c r="FK32" s="2066" t="str">
        <f>IF($FC32&lt;=Factores!$D$3,'ST Original'!L32,"")</f>
        <v/>
      </c>
      <c r="FL32" s="781" t="str">
        <f>IF($FC32&lt;=Factores!$D$3,'ST Original'!M32,"")</f>
        <v/>
      </c>
      <c r="FM32" s="781" t="str">
        <f>IF($FC32&lt;=Factores!$D$3,'ST Original'!N32,"")</f>
        <v/>
      </c>
      <c r="FN32" s="780" t="str">
        <f>IF($FC32&lt;=Factores!$D$3,'ST Original'!O32,"")</f>
        <v/>
      </c>
      <c r="FO32" s="539" t="str">
        <f>IF($FC32&lt;=Factores!$D$3,'ST Original'!R32,"")</f>
        <v/>
      </c>
      <c r="FP32" s="780" t="str">
        <f>IF($FC32&lt;=Factores!$D$3,'ST Original'!S32,"")</f>
        <v/>
      </c>
      <c r="FQ32" s="782" t="str">
        <f>IF($FC32&lt;=Factores!$D$3,'ST Original'!V32,"")</f>
        <v/>
      </c>
      <c r="FR32" s="780" t="str">
        <f>IF($FC32&lt;=Factores!$D$3,'ST Original'!W32,"")</f>
        <v/>
      </c>
      <c r="FS32" s="819" t="str">
        <f>IF($FC32&lt;=Factores!$D$3,'ST Original'!X32,"")</f>
        <v/>
      </c>
      <c r="FT32" s="819" t="str">
        <f>IF($FC32&lt;=Factores!$D$3,'ST Original'!Y32,"")</f>
        <v/>
      </c>
      <c r="FU32" s="819" t="str">
        <f>IF($FC32&lt;=Factores!$D$3,'ST Original'!Z32,"")</f>
        <v/>
      </c>
      <c r="FV32" s="819" t="str">
        <f>IF($FC32&lt;=Factores!$D$3,'ST Original'!AA32,"")</f>
        <v/>
      </c>
      <c r="FW32" s="539" t="str">
        <f>IF($FC32&lt;=Factores!$D$3,'ST Original'!AB32,"")</f>
        <v/>
      </c>
      <c r="FX32" s="539" t="str">
        <f>IF($FC32&lt;=Factores!$D$3,'ST Original'!AC32,"")</f>
        <v/>
      </c>
      <c r="FY32" s="819" t="str">
        <f>IF($FC32&lt;=Factores!$D$3,AE32,"")</f>
        <v/>
      </c>
      <c r="FZ32" s="782" t="str">
        <f>IF($FC32&lt;=Factores!$D$3,AF32,"")</f>
        <v/>
      </c>
      <c r="GA32" s="539" t="str">
        <f>IF($FC32&lt;=Factores!$D$3,AG32,"")</f>
        <v/>
      </c>
      <c r="GB32" s="780" t="str">
        <f>IF($FC32&lt;=Factores!$D$3,AI32,"")</f>
        <v/>
      </c>
      <c r="GC32" s="782" t="str">
        <f>IF($FC32&lt;=Factores!$D$3,AJ32,"")</f>
        <v/>
      </c>
      <c r="GD32" s="780" t="str">
        <f>IF($FC32&lt;=Factores!$D$3,AN32,"")</f>
        <v/>
      </c>
      <c r="GE32" s="539" t="str">
        <f>IF($FC32&lt;=Factores!$D$3,AO32,"")</f>
        <v/>
      </c>
      <c r="GF32" s="782" t="str">
        <f>IF($FC32&lt;=Factores!$D$3,AP32,"")</f>
        <v/>
      </c>
      <c r="GG32" s="2072" t="str">
        <f>IF($FC32&lt;=Factores!$D$3,BI32,"")</f>
        <v/>
      </c>
      <c r="GH32" s="2073" t="str">
        <f>IF($FC32&lt;=Factores!$D$3,BJ32,"")</f>
        <v/>
      </c>
      <c r="GI32" s="2069">
        <f>+'Plan mina ST'!AN67</f>
        <v>0</v>
      </c>
      <c r="GJ32" s="2065">
        <f t="shared" si="14"/>
        <v>46106.791666666664</v>
      </c>
      <c r="GK32" s="2067">
        <f>+'Plan mina ST'!J30</f>
        <v>3.0067620876736385E-2</v>
      </c>
      <c r="GL32" s="818">
        <f t="shared" si="15"/>
        <v>1.1367169701519686</v>
      </c>
      <c r="GM32" s="539">
        <f t="shared" si="118"/>
        <v>4235.8109859924498</v>
      </c>
      <c r="GN32" s="2077">
        <f t="shared" si="119"/>
        <v>117090.95270477042</v>
      </c>
      <c r="GO32" s="818">
        <f>+'Plan mina ST'!K30</f>
        <v>1.0617590771620453</v>
      </c>
      <c r="GP32" s="818">
        <f t="shared" si="16"/>
        <v>45.874485615352086</v>
      </c>
      <c r="GQ32" s="539">
        <f t="shared" si="17"/>
        <v>170944.61967985114</v>
      </c>
      <c r="GR32" s="539">
        <f t="shared" si="120"/>
        <v>4459006.7768185735</v>
      </c>
      <c r="GS32" s="781">
        <f>+'Plan mina ST'!V30</f>
        <v>35.841282935384321</v>
      </c>
      <c r="GT32" s="782">
        <f t="shared" si="18"/>
        <v>1612.8577320922943</v>
      </c>
      <c r="GU32" s="2072" t="str">
        <f>IF($FC32&lt;=Factores!$D$3,AT32,"")</f>
        <v/>
      </c>
      <c r="GW32" s="781">
        <f>+'Plan mina ST'!AI30</f>
        <v>0.5838687082547015</v>
      </c>
      <c r="GX32" s="2078">
        <v>0.5</v>
      </c>
      <c r="GY32" s="819"/>
      <c r="GZ32" s="2065">
        <f t="shared" si="19"/>
        <v>46106.791666666664</v>
      </c>
      <c r="HA32" s="780">
        <f>IF($FC32&gt;Factores!$D$3,'ST Original'!C32,"")</f>
        <v>220000.00000043112</v>
      </c>
      <c r="HB32" s="782">
        <f>IF($FC32&gt;Factores!$D$3,'ST Original'!D32,"")</f>
        <v>677720.6414014633</v>
      </c>
      <c r="HC32" s="780">
        <f>IF($FC32&gt;Factores!$D$3,'ST Original'!E32,"")</f>
        <v>201251.65792879966</v>
      </c>
      <c r="HD32" s="782"/>
      <c r="HE32" s="2064">
        <f>IF($FC32&gt;Factores!$D$3,'ST Original'!J32,"")</f>
        <v>97.885672723806138</v>
      </c>
      <c r="HF32" s="781">
        <f>IF($FC32&gt;Factores!$D$3,'ST Original'!BT32,"")</f>
        <v>8572.565130586403</v>
      </c>
      <c r="HG32" s="781">
        <f>IF($FC32&gt;Factores!$D$3,'ST Original'!K32,"")</f>
        <v>56.193647233444196</v>
      </c>
      <c r="HH32" s="2066">
        <f>IF($FC32&gt;Factores!$D$3,'ST Original'!L32,"")</f>
        <v>0.50905603115424403</v>
      </c>
      <c r="HI32" s="781">
        <f>IF($FC32&gt;Factores!$D$3,'ST Original'!M32,"")</f>
        <v>87.707388126030864</v>
      </c>
      <c r="HJ32" s="781">
        <f>IF($FC32&gt;Factores!$D$3,'ST Original'!N32,"")</f>
        <v>24.113319660599188</v>
      </c>
      <c r="HK32" s="780">
        <f>IF($FC32&gt;Factores!$D$3,'ST Original'!O32,"")</f>
        <v>3726.3550181943365</v>
      </c>
      <c r="HL32" s="539">
        <f>IF($FC32&gt;Factores!$D$3,'ST Original'!R32,"")</f>
        <v>79550.327436371037</v>
      </c>
      <c r="HM32" s="780">
        <f>IF($FC32&gt;Factores!$D$3,'ST Original'!S32,"")</f>
        <v>898.54789722597934</v>
      </c>
      <c r="HN32" s="782">
        <f>IF($FC32&gt;Factores!$D$3,'ST Original'!V32,"")</f>
        <v>21351.989766720973</v>
      </c>
      <c r="HO32" s="780">
        <f>IF($FC32&gt;Factores!$D$3,'ST Original'!W32,"")</f>
        <v>80.170312557958326</v>
      </c>
      <c r="HP32" s="819">
        <f>IF($FC32&gt;Factores!$D$3,'ST Original'!X32,"")</f>
        <v>87.333156641235632</v>
      </c>
      <c r="HQ32" s="819">
        <f>IF($FC32&gt;Factores!$D$3,'ST Original'!Y32,"")</f>
        <v>86.775621484645612</v>
      </c>
      <c r="HR32" s="819">
        <f>IF($FC32&gt;Factores!$D$3,'ST Original'!Z32,"")</f>
        <v>75.78388943759127</v>
      </c>
      <c r="HS32" s="819">
        <f>IF($FC32&gt;Factores!$D$3,'ST Original'!AA32,"")</f>
        <v>50</v>
      </c>
      <c r="HT32" s="539">
        <f>IF($FC32&gt;Factores!$D$3,'ST Original'!AB32,"")</f>
        <v>24.454564323699106</v>
      </c>
      <c r="HU32" s="539">
        <f>IF($FC32&gt;Factores!$D$3,'ST Original'!AC32,"")</f>
        <v>24.454564323699106</v>
      </c>
      <c r="HV32" s="819">
        <f>IF($FC32&gt;Factores!$D$3,AE32,"")</f>
        <v>12.227282161849553</v>
      </c>
      <c r="HW32" s="782">
        <f>IF($FC32&gt;Factores!$D$3,AF32,"")</f>
        <v>719.26027790542537</v>
      </c>
      <c r="HX32" s="539">
        <f>IF($FC32&gt;Factores!$D$3,AG32,"")</f>
        <v>25</v>
      </c>
      <c r="HY32" s="780">
        <f>IF($FC32&gt;Factores!$D$3,AI32,"")</f>
        <v>933.99478821318121</v>
      </c>
      <c r="HZ32" s="782">
        <f>IF($FC32&gt;Factores!$D$3,AJ32,"")</f>
        <v>23437.125312368804</v>
      </c>
      <c r="IA32" s="780">
        <f>IF($FC32&gt;Factores!$D$3,AN32,"")</f>
        <v>4366</v>
      </c>
      <c r="IB32" s="539">
        <f>IF($FC32&gt;Factores!$D$3,AO32,"")</f>
        <v>29.00637430726275</v>
      </c>
      <c r="IC32" s="782">
        <f>IF($FC32&gt;Factores!$D$3,AP32,"")</f>
        <v>1266.4183022550917</v>
      </c>
      <c r="ID32" s="2072">
        <f>IF($FC32&gt;Factores!$D$3,BI32,"")</f>
        <v>35.841282935384321</v>
      </c>
      <c r="IE32" s="2073">
        <f>IF($FC32&gt;Factores!$D$3,BJ32,"")</f>
        <v>1612.8577320922943</v>
      </c>
      <c r="IF32" s="4237">
        <f t="shared" si="20"/>
        <v>201251.65792879966</v>
      </c>
      <c r="IG32" s="4237">
        <f t="shared" si="124"/>
        <v>4497284.7584758718</v>
      </c>
      <c r="IH32" s="4234">
        <f t="shared" si="121"/>
        <v>0.50905603115424403</v>
      </c>
      <c r="II32" s="342">
        <f>SUMPRODUCT(IH$8:IH32,IF$8:IF32)/IG32</f>
        <v>0.52558486355338485</v>
      </c>
      <c r="IJ32" s="4235">
        <f t="shared" si="122"/>
        <v>87.707388126030864</v>
      </c>
      <c r="IK32" s="342" cm="1">
        <f t="array" ref="IK32">SUMPRODUCT(IJ$8:IJ32,IF$8:IF32/IG32)</f>
        <v>90.31087911197244</v>
      </c>
    </row>
    <row r="33" spans="1:245" s="744" customFormat="1" ht="14.15" customHeight="1">
      <c r="A33" s="4643"/>
      <c r="B33" s="2133">
        <f t="shared" si="21"/>
        <v>46107.791666666664</v>
      </c>
      <c r="C33" s="2134">
        <f>+'Plan mina ST'!N68*1000</f>
        <v>220000.00000017299</v>
      </c>
      <c r="D33" s="2134">
        <f>+'Plan mina ST'!M68*1000</f>
        <v>688553.0530963178</v>
      </c>
      <c r="E33" s="2134">
        <f>(('Plan mina ST'!O68*1000))</f>
        <v>209167.58830531855</v>
      </c>
      <c r="F33" s="2134">
        <f>+'Plan mina ST'!J68*1000</f>
        <v>42200.038282395093</v>
      </c>
      <c r="G33" s="2134">
        <f t="shared" si="22"/>
        <v>166967.55002292345</v>
      </c>
      <c r="H33" s="2135">
        <f t="shared" si="23"/>
        <v>98.056332111173901</v>
      </c>
      <c r="I33" s="2135">
        <f t="shared" si="24"/>
        <v>97.12989278992228</v>
      </c>
      <c r="J33" s="2135">
        <f t="shared" si="25"/>
        <v>97.885672723806138</v>
      </c>
      <c r="K33" s="2135">
        <f>+'Plan mina ST'!AM31*100</f>
        <v>64.433085598601608</v>
      </c>
      <c r="L33" s="2135">
        <f>'Plan mina ST'!D31</f>
        <v>0.53298775612561489</v>
      </c>
      <c r="M33" s="2135">
        <f>'Plan mina ST'!C31</f>
        <v>90.469439382451938</v>
      </c>
      <c r="N33" s="2136">
        <f>'Plan mina ST'!B31</f>
        <v>25.237979789437635</v>
      </c>
      <c r="O33" s="2134">
        <f t="shared" si="133"/>
        <v>3996.3078155678249</v>
      </c>
      <c r="P33" s="2134">
        <f t="shared" si="134"/>
        <v>3190.0435937944708</v>
      </c>
      <c r="Q33" s="2134">
        <f t="shared" si="3"/>
        <v>806.26422177335382</v>
      </c>
      <c r="R33" s="2134">
        <f t="shared" si="135"/>
        <v>83546.63525193886</v>
      </c>
      <c r="S33" s="2134">
        <f t="shared" si="136"/>
        <v>1008.5873588167243</v>
      </c>
      <c r="T33" s="2134">
        <f t="shared" si="137"/>
        <v>805.10255747609858</v>
      </c>
      <c r="U33" s="2134">
        <f t="shared" si="138"/>
        <v>203.48480134062567</v>
      </c>
      <c r="V33" s="2134">
        <f t="shared" si="139"/>
        <v>22360.577125537697</v>
      </c>
      <c r="W33" s="3933">
        <f>+'Plan mina ST'!E31</f>
        <v>99.511122211505906</v>
      </c>
      <c r="X33" s="3934">
        <f t="shared" ref="X33:X38" si="153">IF(W33&gt;0,$X$2*LN(W33)+$X$3,$X$2*LN(W33)+$X$3)-$Y$4</f>
        <v>88.090924663621166</v>
      </c>
      <c r="Y33" s="2135">
        <f t="shared" si="29"/>
        <v>87.387943344676103</v>
      </c>
      <c r="Z33" s="2135">
        <f t="shared" si="30"/>
        <v>76.98084733684658</v>
      </c>
      <c r="AA33" s="2136">
        <v>50</v>
      </c>
      <c r="AB33" s="2134">
        <f t="shared" si="141"/>
        <v>32.046359158809516</v>
      </c>
      <c r="AC33" s="2134">
        <f t="shared" si="142"/>
        <v>32.046359158809516</v>
      </c>
      <c r="AD33" s="2134">
        <f t="shared" si="143"/>
        <v>50</v>
      </c>
      <c r="AE33" s="2134">
        <f t="shared" si="144"/>
        <v>16.023179579404758</v>
      </c>
      <c r="AF33" s="2134">
        <f t="shared" si="145"/>
        <v>735.28345748483014</v>
      </c>
      <c r="AG33" s="2134">
        <v>25</v>
      </c>
      <c r="AH33" s="2134">
        <f t="shared" si="147"/>
        <v>294.0887000508929</v>
      </c>
      <c r="AI33" s="2134">
        <f t="shared" si="9"/>
        <v>1055.0385564174187</v>
      </c>
      <c r="AJ33" s="2134">
        <f t="shared" si="148"/>
        <v>24492.163868786221</v>
      </c>
      <c r="AK33" s="2134">
        <f>'Envíos STC 2800'!G29</f>
        <v>4366</v>
      </c>
      <c r="AL33" s="2136">
        <f t="shared" si="126"/>
        <v>24.113319660599188</v>
      </c>
      <c r="AM33" s="2134">
        <f t="shared" si="149"/>
        <v>1052.7875363817607</v>
      </c>
      <c r="AN33" s="2134">
        <f t="shared" si="123"/>
        <v>4366</v>
      </c>
      <c r="AO33" s="2136">
        <f t="shared" si="36"/>
        <v>26.705241224231788</v>
      </c>
      <c r="AP33" s="2134">
        <f t="shared" si="150"/>
        <v>1165.9508318499597</v>
      </c>
      <c r="AQ33" s="2134">
        <f t="shared" si="151"/>
        <v>10.809148306665374</v>
      </c>
      <c r="AR33" s="2134">
        <f t="shared" si="38"/>
        <v>2817.3753623486359</v>
      </c>
      <c r="AS33" s="2134">
        <f t="shared" si="39"/>
        <v>-369.69218443217505</v>
      </c>
      <c r="AT33" s="2136">
        <f>+'Recalculos ST'!E34</f>
        <v>37.148098228593724</v>
      </c>
      <c r="AU33" s="2134">
        <f>+'MCP ST'!V27</f>
        <v>69.620664398692853</v>
      </c>
      <c r="AV33" s="3973">
        <f>+Factores!$D$24</f>
        <v>0.96199999999999997</v>
      </c>
      <c r="AW33" s="2134">
        <f t="shared" si="40"/>
        <v>1121.6447002396612</v>
      </c>
      <c r="AX33" s="2376">
        <f>'Plan mina ST'!AK31/25.4</f>
        <v>3.9727736812415437</v>
      </c>
      <c r="AY33" s="2718">
        <f>+'Recalculos ST'!AK34</f>
        <v>190.10601777280255</v>
      </c>
      <c r="AZ33" s="2138">
        <f>'Plan mina ST'!O31*BA33/1000000*0.79</f>
        <v>10.809148306665374</v>
      </c>
      <c r="BA33" s="2137">
        <f t="shared" si="152"/>
        <v>8715.3161793882737</v>
      </c>
      <c r="BB33" s="2138">
        <f>'Plan mina ST'!O31*'ST Original'!BT33/1000000*0.8</f>
        <v>11.190176576909705</v>
      </c>
      <c r="BC33" s="4640"/>
      <c r="BD33" s="2148">
        <f t="shared" si="12"/>
        <v>46107.791666666664</v>
      </c>
      <c r="BE33" s="2149">
        <f>'Plan mina ST'!J31</f>
        <v>3.6454974308144067E-2</v>
      </c>
      <c r="BF33" s="2150">
        <f t="shared" si="42"/>
        <v>1.2614005580789893</v>
      </c>
      <c r="BG33" s="2151">
        <f>'Plan mina ST'!K31</f>
        <v>1.2339221013971797</v>
      </c>
      <c r="BH33" s="2150">
        <f t="shared" si="43"/>
        <v>42.69568301357122</v>
      </c>
      <c r="BI33" s="2151">
        <f>'Plan mina ST'!V31</f>
        <v>41.877634288827736</v>
      </c>
      <c r="BJ33" s="2152">
        <f t="shared" si="44"/>
        <v>1884.4935429972481</v>
      </c>
      <c r="BK33" s="3395">
        <f>'Plan mina ST'!AI31</f>
        <v>0.77820886477901929</v>
      </c>
      <c r="BL33" s="3399">
        <f>'Recalculos ST'!T34</f>
        <v>5.8500661801283913</v>
      </c>
      <c r="BM33" s="3391">
        <f t="shared" si="45"/>
        <v>13.568622574308039</v>
      </c>
      <c r="BN33" s="3391">
        <f t="shared" si="46"/>
        <v>13.568622574308039</v>
      </c>
      <c r="BO33" s="3391">
        <f t="shared" si="47"/>
        <v>13.568622574308039</v>
      </c>
      <c r="BP33" s="3391">
        <f t="shared" si="48"/>
        <v>40.705867722924118</v>
      </c>
      <c r="BQ33" s="3400">
        <f t="shared" si="49"/>
        <v>14.403426572322198</v>
      </c>
      <c r="BR33" s="3397">
        <f t="shared" si="50"/>
        <v>7094.8821979874647</v>
      </c>
      <c r="BS33" s="2137">
        <f t="shared" si="51"/>
        <v>1810.6065984488382</v>
      </c>
      <c r="BT33" s="3344">
        <f t="shared" si="52"/>
        <v>8909.7540482841814</v>
      </c>
      <c r="BU33" s="3345">
        <f t="shared" si="53"/>
        <v>2365.3713874172486</v>
      </c>
      <c r="BV33" s="3345">
        <f t="shared" si="54"/>
        <v>2365.3713874172486</v>
      </c>
      <c r="BW33" s="3345">
        <f t="shared" si="55"/>
        <v>2365.3713874172486</v>
      </c>
      <c r="BX33" s="3346">
        <f t="shared" si="56"/>
        <v>98.056332111173916</v>
      </c>
      <c r="BY33" s="3346">
        <f t="shared" si="57"/>
        <v>98.056332111173916</v>
      </c>
      <c r="BZ33" s="3346">
        <f t="shared" si="58"/>
        <v>98.056332111173916</v>
      </c>
      <c r="CA33" s="3346">
        <f t="shared" si="59"/>
        <v>97.12989278992228</v>
      </c>
      <c r="CB33" s="3346">
        <f t="shared" si="60"/>
        <v>97.885715079916608</v>
      </c>
      <c r="CC33" s="3623">
        <f t="shared" si="61"/>
        <v>98.056332111173901</v>
      </c>
      <c r="CD33" s="3348">
        <f t="shared" si="62"/>
        <v>98.886834920573264</v>
      </c>
      <c r="CE33" s="3348">
        <f t="shared" si="63"/>
        <v>98.886834920573264</v>
      </c>
      <c r="CF33" s="3348">
        <f t="shared" si="64"/>
        <v>98.886834920573264</v>
      </c>
      <c r="CG33" s="3348">
        <f t="shared" si="65"/>
        <v>98.356250499976611</v>
      </c>
      <c r="CH33" s="3346">
        <f t="shared" si="66"/>
        <v>98.789120222376653</v>
      </c>
      <c r="CI33" s="3347">
        <f t="shared" si="67"/>
        <v>26.877795450599066</v>
      </c>
      <c r="CJ33" s="3354">
        <f t="shared" si="68"/>
        <v>6.4495510000000005</v>
      </c>
      <c r="CK33" s="3355">
        <f t="shared" si="69"/>
        <v>6.4495510000000005</v>
      </c>
      <c r="CL33" s="3355">
        <f t="shared" si="70"/>
        <v>6.4495510000000005</v>
      </c>
      <c r="CM33" s="3356">
        <f t="shared" si="71"/>
        <v>4.3442710000000009</v>
      </c>
      <c r="CN33" s="3356">
        <f t="shared" si="72"/>
        <v>23.692924000000001</v>
      </c>
      <c r="CO33" s="3354">
        <f t="shared" si="73"/>
        <v>6.3953843333333333</v>
      </c>
      <c r="CP33" s="3355">
        <f t="shared" si="74"/>
        <v>6.3953843333333333</v>
      </c>
      <c r="CQ33" s="3355">
        <f t="shared" si="75"/>
        <v>6.3953843333333333</v>
      </c>
      <c r="CR33" s="3356">
        <f t="shared" si="76"/>
        <v>4.2901043333333337</v>
      </c>
      <c r="CS33" s="3356">
        <f t="shared" si="77"/>
        <v>23.476257333333333</v>
      </c>
      <c r="CT33" s="3357">
        <f t="shared" si="78"/>
        <v>6.5217878333333337</v>
      </c>
      <c r="CU33" s="2153">
        <f t="shared" si="79"/>
        <v>6.5217878333333337</v>
      </c>
      <c r="CV33" s="2153">
        <f t="shared" si="80"/>
        <v>6.5217878333333337</v>
      </c>
      <c r="CW33" s="3358">
        <f t="shared" si="81"/>
        <v>4.4179698333333342</v>
      </c>
      <c r="CX33" s="3354">
        <f t="shared" si="82"/>
        <v>0</v>
      </c>
      <c r="CY33" s="3355">
        <f t="shared" si="83"/>
        <v>0</v>
      </c>
      <c r="CZ33" s="3355">
        <f t="shared" si="84"/>
        <v>0</v>
      </c>
      <c r="DA33" s="3356">
        <f t="shared" si="85"/>
        <v>0</v>
      </c>
      <c r="DB33" s="3354">
        <f t="shared" si="86"/>
        <v>7.2602333333333338E-2</v>
      </c>
      <c r="DC33" s="3355">
        <f t="shared" si="87"/>
        <v>7.2602333333333338E-2</v>
      </c>
      <c r="DD33" s="3355">
        <f t="shared" si="88"/>
        <v>7.2602333333333338E-2</v>
      </c>
      <c r="DE33" s="3356">
        <f t="shared" si="89"/>
        <v>7.2602333333333338E-2</v>
      </c>
      <c r="DF33" s="3356">
        <f t="shared" si="90"/>
        <v>0.29040933333333335</v>
      </c>
      <c r="DG33" s="3354">
        <f t="shared" si="91"/>
        <v>0.12676900000000002</v>
      </c>
      <c r="DH33" s="3355">
        <f t="shared" si="92"/>
        <v>0.12676900000000002</v>
      </c>
      <c r="DI33" s="3355">
        <f t="shared" si="93"/>
        <v>0.12676900000000002</v>
      </c>
      <c r="DJ33" s="3356">
        <f t="shared" si="94"/>
        <v>0.12676900000000002</v>
      </c>
      <c r="DK33" s="3356">
        <f t="shared" si="95"/>
        <v>0.50707600000000008</v>
      </c>
      <c r="DL33" s="2137">
        <v>0</v>
      </c>
      <c r="DM33" s="2137">
        <v>0</v>
      </c>
      <c r="DN33" s="2137">
        <v>0</v>
      </c>
      <c r="DO33" s="2137">
        <v>0</v>
      </c>
      <c r="DP33" s="2137">
        <v>0</v>
      </c>
      <c r="DQ33" s="2137">
        <v>0</v>
      </c>
      <c r="DR33" s="2137">
        <v>0</v>
      </c>
      <c r="DS33" s="2137">
        <v>0</v>
      </c>
      <c r="DT33" s="2137">
        <v>0</v>
      </c>
      <c r="DU33" s="2137">
        <v>0</v>
      </c>
      <c r="DV33" s="2137">
        <v>0</v>
      </c>
      <c r="DW33" s="2579">
        <f t="shared" si="96"/>
        <v>7.2602333333333338E-2</v>
      </c>
      <c r="DX33" s="2579">
        <f t="shared" si="97"/>
        <v>7.2602333333333338E-2</v>
      </c>
      <c r="DY33" s="2579">
        <f t="shared" si="98"/>
        <v>7.2602333333333338E-2</v>
      </c>
      <c r="DZ33" s="2579">
        <f t="shared" si="99"/>
        <v>7.2602333333333338E-2</v>
      </c>
      <c r="EA33" s="2579">
        <f t="shared" si="100"/>
        <v>0</v>
      </c>
      <c r="EB33" s="2579">
        <f t="shared" si="101"/>
        <v>0</v>
      </c>
      <c r="EC33" s="2579">
        <f t="shared" si="102"/>
        <v>0</v>
      </c>
      <c r="ED33" s="2579">
        <f t="shared" si="103"/>
        <v>0</v>
      </c>
      <c r="EE33" s="2579">
        <f t="shared" si="104"/>
        <v>0.05</v>
      </c>
      <c r="EF33" s="2579">
        <f t="shared" si="105"/>
        <v>0.05</v>
      </c>
      <c r="EG33" s="2579">
        <f t="shared" si="106"/>
        <v>0.05</v>
      </c>
      <c r="EH33" s="2579">
        <f t="shared" si="127"/>
        <v>0.05</v>
      </c>
      <c r="EI33" s="2579">
        <f t="shared" si="108"/>
        <v>4.1666666666666666E-3</v>
      </c>
      <c r="EJ33" s="2579">
        <f t="shared" si="109"/>
        <v>4.1666666666666666E-3</v>
      </c>
      <c r="EK33" s="2579">
        <f t="shared" si="110"/>
        <v>4.1666666666666666E-3</v>
      </c>
      <c r="EL33" s="2581">
        <f t="shared" si="111"/>
        <v>4.1666666666666666E-3</v>
      </c>
      <c r="EM33" s="3341">
        <f t="shared" si="129"/>
        <v>4.1666666666666666E-3</v>
      </c>
      <c r="EN33" s="3341">
        <f t="shared" si="130"/>
        <v>4.1666666666666666E-3</v>
      </c>
      <c r="EO33" s="3341">
        <f t="shared" si="131"/>
        <v>4.1666666666666666E-3</v>
      </c>
      <c r="EP33" s="3341">
        <f t="shared" si="132"/>
        <v>4.1666666666666666E-3</v>
      </c>
      <c r="EQ33" s="3319">
        <f t="shared" si="116"/>
        <v>1.6666666666666666E-2</v>
      </c>
      <c r="ER33" s="809">
        <f>+'MCP ST'!H27</f>
        <v>1.6443073895245173</v>
      </c>
      <c r="ES33" s="4236">
        <f t="shared" si="117"/>
        <v>0.30707600000000002</v>
      </c>
      <c r="EZ33" s="2154">
        <f>+'Plan mina ST'!AM31</f>
        <v>0.64433085598601603</v>
      </c>
      <c r="FA33" s="2067" t="str">
        <f>IF($FC33&lt;=Factores!$D$3,AX33,"")</f>
        <v/>
      </c>
      <c r="FB33" s="2076"/>
      <c r="FC33" s="2065">
        <f t="shared" si="13"/>
        <v>46107.791666666664</v>
      </c>
      <c r="FD33" s="780" t="str">
        <f>IF($FC33&lt;=Factores!$D$3,'ST Original'!C33,"")</f>
        <v/>
      </c>
      <c r="FE33" s="782" t="str">
        <f>IF($FC33&lt;=Factores!$D$3,'ST Original'!D33,"")</f>
        <v/>
      </c>
      <c r="FF33" s="780" t="str">
        <f>IF($FC33&lt;=Factores!$D$3,'ST Original'!E33,"")</f>
        <v/>
      </c>
      <c r="FG33" s="782"/>
      <c r="FH33" s="2064" t="str">
        <f>IF($FC33&lt;=Factores!$D$3,'ST Original'!J33,"")</f>
        <v/>
      </c>
      <c r="FI33" s="781" t="str">
        <f>IF($FC33&lt;=Factores!$D$3,'ST Original'!BT33,"")</f>
        <v/>
      </c>
      <c r="FJ33" s="781" t="str">
        <f>IF($FC33&lt;=Factores!$D$3,'ST Original'!K33,"")</f>
        <v/>
      </c>
      <c r="FK33" s="2066" t="str">
        <f>IF($FC33&lt;=Factores!$D$3,'ST Original'!L33,"")</f>
        <v/>
      </c>
      <c r="FL33" s="781" t="str">
        <f>IF($FC33&lt;=Factores!$D$3,'ST Original'!M33,"")</f>
        <v/>
      </c>
      <c r="FM33" s="781" t="str">
        <f>IF($FC33&lt;=Factores!$D$3,'ST Original'!N33,"")</f>
        <v/>
      </c>
      <c r="FN33" s="780" t="str">
        <f>IF($FC33&lt;=Factores!$D$3,'ST Original'!O33,"")</f>
        <v/>
      </c>
      <c r="FO33" s="539" t="str">
        <f>IF($FC33&lt;=Factores!$D$3,'ST Original'!R33,"")</f>
        <v/>
      </c>
      <c r="FP33" s="780" t="str">
        <f>IF($FC33&lt;=Factores!$D$3,'ST Original'!S33,"")</f>
        <v/>
      </c>
      <c r="FQ33" s="782" t="str">
        <f>IF($FC33&lt;=Factores!$D$3,'ST Original'!V33,"")</f>
        <v/>
      </c>
      <c r="FR33" s="780" t="str">
        <f>IF($FC33&lt;=Factores!$D$3,'ST Original'!W33,"")</f>
        <v/>
      </c>
      <c r="FS33" s="819" t="str">
        <f>IF($FC33&lt;=Factores!$D$3,'ST Original'!X33,"")</f>
        <v/>
      </c>
      <c r="FT33" s="819" t="str">
        <f>IF($FC33&lt;=Factores!$D$3,'ST Original'!Y33,"")</f>
        <v/>
      </c>
      <c r="FU33" s="819" t="str">
        <f>IF($FC33&lt;=Factores!$D$3,'ST Original'!Z33,"")</f>
        <v/>
      </c>
      <c r="FV33" s="819" t="str">
        <f>IF($FC33&lt;=Factores!$D$3,'ST Original'!AA33,"")</f>
        <v/>
      </c>
      <c r="FW33" s="539" t="str">
        <f>IF($FC33&lt;=Factores!$D$3,'ST Original'!AB33,"")</f>
        <v/>
      </c>
      <c r="FX33" s="539" t="str">
        <f>IF($FC33&lt;=Factores!$D$3,'ST Original'!AC33,"")</f>
        <v/>
      </c>
      <c r="FY33" s="819" t="str">
        <f>IF($FC33&lt;=Factores!$D$3,AE33,"")</f>
        <v/>
      </c>
      <c r="FZ33" s="782" t="str">
        <f>IF($FC33&lt;=Factores!$D$3,AF33,"")</f>
        <v/>
      </c>
      <c r="GA33" s="539" t="str">
        <f>IF($FC33&lt;=Factores!$D$3,AG33,"")</f>
        <v/>
      </c>
      <c r="GB33" s="780" t="str">
        <f>IF($FC33&lt;=Factores!$D$3,AI33,"")</f>
        <v/>
      </c>
      <c r="GC33" s="782" t="str">
        <f>IF($FC33&lt;=Factores!$D$3,AJ33,"")</f>
        <v/>
      </c>
      <c r="GD33" s="780" t="str">
        <f>IF($FC33&lt;=Factores!$D$3,AN33,"")</f>
        <v/>
      </c>
      <c r="GE33" s="539" t="str">
        <f>IF($FC33&lt;=Factores!$D$3,AO33,"")</f>
        <v/>
      </c>
      <c r="GF33" s="782" t="str">
        <f>IF($FC33&lt;=Factores!$D$3,AP33,"")</f>
        <v/>
      </c>
      <c r="GG33" s="2072" t="str">
        <f>IF($FC33&lt;=Factores!$D$3,BI33,"")</f>
        <v/>
      </c>
      <c r="GH33" s="2073" t="str">
        <f>IF($FC33&lt;=Factores!$D$3,BJ33,"")</f>
        <v/>
      </c>
      <c r="GI33" s="2069">
        <f>+'Plan mina ST'!AN68</f>
        <v>0</v>
      </c>
      <c r="GJ33" s="2065">
        <f t="shared" si="14"/>
        <v>46107.791666666664</v>
      </c>
      <c r="GK33" s="2067">
        <f>+'Plan mina ST'!J31</f>
        <v>3.6454974308144067E-2</v>
      </c>
      <c r="GL33" s="818">
        <f t="shared" si="15"/>
        <v>1.3356426949004625</v>
      </c>
      <c r="GM33" s="539">
        <f t="shared" si="118"/>
        <v>5337.63934043679</v>
      </c>
      <c r="GN33" s="2077">
        <f t="shared" si="119"/>
        <v>122428.5920452072</v>
      </c>
      <c r="GO33" s="818">
        <f>+'Plan mina ST'!K31</f>
        <v>1.2339221013971797</v>
      </c>
      <c r="GP33" s="818">
        <f t="shared" si="16"/>
        <v>51.666993038013821</v>
      </c>
      <c r="GQ33" s="539">
        <f t="shared" si="17"/>
        <v>206477.20808470304</v>
      </c>
      <c r="GR33" s="539">
        <f t="shared" si="120"/>
        <v>4665483.9849032769</v>
      </c>
      <c r="GS33" s="781">
        <f>+'Plan mina ST'!V31</f>
        <v>41.877634288827736</v>
      </c>
      <c r="GT33" s="782">
        <f t="shared" si="18"/>
        <v>1884.4935429972481</v>
      </c>
      <c r="GU33" s="2072" t="str">
        <f>IF($FC33&lt;=Factores!$D$3,AT33,"")</f>
        <v/>
      </c>
      <c r="GW33" s="781">
        <f>+'Plan mina ST'!AI31</f>
        <v>0.77820886477901929</v>
      </c>
      <c r="GX33" s="2078">
        <v>0.5</v>
      </c>
      <c r="GY33" s="819"/>
      <c r="GZ33" s="2065">
        <f t="shared" si="19"/>
        <v>46107.791666666664</v>
      </c>
      <c r="HA33" s="780">
        <f>IF($FC33&gt;Factores!$D$3,'ST Original'!C33,"")</f>
        <v>220000.00000017299</v>
      </c>
      <c r="HB33" s="782">
        <f>IF($FC33&gt;Factores!$D$3,'ST Original'!D33,"")</f>
        <v>688553.0530963178</v>
      </c>
      <c r="HC33" s="780">
        <f>IF($FC33&gt;Factores!$D$3,'ST Original'!E33,"")</f>
        <v>209167.58830531855</v>
      </c>
      <c r="HD33" s="782"/>
      <c r="HE33" s="2064">
        <f>IF($FC33&gt;Factores!$D$3,'ST Original'!J33,"")</f>
        <v>97.885672723806138</v>
      </c>
      <c r="HF33" s="781">
        <f>IF($FC33&gt;Factores!$D$3,'ST Original'!BT33,"")</f>
        <v>8909.7540482841814</v>
      </c>
      <c r="HG33" s="781">
        <f>IF($FC33&gt;Factores!$D$3,'ST Original'!K33,"")</f>
        <v>64.433085598601608</v>
      </c>
      <c r="HH33" s="2066">
        <f>IF($FC33&gt;Factores!$D$3,'ST Original'!L33,"")</f>
        <v>0.53298775612561489</v>
      </c>
      <c r="HI33" s="781">
        <f>IF($FC33&gt;Factores!$D$3,'ST Original'!M33,"")</f>
        <v>90.469439382451938</v>
      </c>
      <c r="HJ33" s="781">
        <f>IF($FC33&gt;Factores!$D$3,'ST Original'!N33,"")</f>
        <v>25.237979789437635</v>
      </c>
      <c r="HK33" s="780">
        <f>IF($FC33&gt;Factores!$D$3,'ST Original'!O33,"")</f>
        <v>3996.3078155678249</v>
      </c>
      <c r="HL33" s="539">
        <f>IF($FC33&gt;Factores!$D$3,'ST Original'!R33,"")</f>
        <v>83546.63525193886</v>
      </c>
      <c r="HM33" s="780">
        <f>IF($FC33&gt;Factores!$D$3,'ST Original'!S33,"")</f>
        <v>1008.5873588167243</v>
      </c>
      <c r="HN33" s="782">
        <f>IF($FC33&gt;Factores!$D$3,'ST Original'!V33,"")</f>
        <v>22360.577125537697</v>
      </c>
      <c r="HO33" s="780">
        <f>IF($FC33&gt;Factores!$D$3,'ST Original'!W33,"")</f>
        <v>99.511122211505906</v>
      </c>
      <c r="HP33" s="819">
        <f>IF($FC33&gt;Factores!$D$3,'ST Original'!X33,"")</f>
        <v>88.090924663621166</v>
      </c>
      <c r="HQ33" s="819">
        <f>IF($FC33&gt;Factores!$D$3,'ST Original'!Y33,"")</f>
        <v>87.387943344676103</v>
      </c>
      <c r="HR33" s="819">
        <f>IF($FC33&gt;Factores!$D$3,'ST Original'!Z33,"")</f>
        <v>76.98084733684658</v>
      </c>
      <c r="HS33" s="819">
        <f>IF($FC33&gt;Factores!$D$3,'ST Original'!AA33,"")</f>
        <v>50</v>
      </c>
      <c r="HT33" s="539">
        <f>IF($FC33&gt;Factores!$D$3,'ST Original'!AB33,"")</f>
        <v>32.046359158809516</v>
      </c>
      <c r="HU33" s="539">
        <f>IF($FC33&gt;Factores!$D$3,'ST Original'!AC33,"")</f>
        <v>32.046359158809516</v>
      </c>
      <c r="HV33" s="819">
        <f>IF($FC33&gt;Factores!$D$3,AE33,"")</f>
        <v>16.023179579404758</v>
      </c>
      <c r="HW33" s="782">
        <f>IF($FC33&gt;Factores!$D$3,AF33,"")</f>
        <v>735.28345748483014</v>
      </c>
      <c r="HX33" s="539">
        <f>IF($FC33&gt;Factores!$D$3,AG33,"")</f>
        <v>25</v>
      </c>
      <c r="HY33" s="780">
        <f>IF($FC33&gt;Factores!$D$3,AI33,"")</f>
        <v>1055.0385564174187</v>
      </c>
      <c r="HZ33" s="782">
        <f>IF($FC33&gt;Factores!$D$3,AJ33,"")</f>
        <v>24492.163868786221</v>
      </c>
      <c r="IA33" s="780">
        <f>IF($FC33&gt;Factores!$D$3,AN33,"")</f>
        <v>4366</v>
      </c>
      <c r="IB33" s="539">
        <f>IF($FC33&gt;Factores!$D$3,AO33,"")</f>
        <v>26.705241224231788</v>
      </c>
      <c r="IC33" s="782">
        <f>IF($FC33&gt;Factores!$D$3,AP33,"")</f>
        <v>1165.9508318499597</v>
      </c>
      <c r="ID33" s="2072">
        <f>IF($FC33&gt;Factores!$D$3,BI33,"")</f>
        <v>41.877634288827736</v>
      </c>
      <c r="IE33" s="2073">
        <f>IF($FC33&gt;Factores!$D$3,BJ33,"")</f>
        <v>1884.4935429972481</v>
      </c>
      <c r="IF33" s="4237">
        <f t="shared" si="20"/>
        <v>209167.58830531855</v>
      </c>
      <c r="IG33" s="4237">
        <f t="shared" si="124"/>
        <v>4706452.3467811905</v>
      </c>
      <c r="IH33" s="4234">
        <f t="shared" si="121"/>
        <v>0.53298775612561489</v>
      </c>
      <c r="II33" s="342">
        <f>SUMPRODUCT(IH$8:IH33,IF$8:IF33)/IG33</f>
        <v>0.52591386830510101</v>
      </c>
      <c r="IJ33" s="4235">
        <f t="shared" si="122"/>
        <v>90.469439382451938</v>
      </c>
      <c r="IK33" s="342" cm="1">
        <f t="array" ref="IK33">SUMPRODUCT(IJ$8:IJ33,IF$8:IF33/IG33)</f>
        <v>90.317925963174474</v>
      </c>
    </row>
    <row r="34" spans="1:245" s="744" customFormat="1" ht="14.25" customHeight="1">
      <c r="A34" s="4643"/>
      <c r="B34" s="2133">
        <f t="shared" si="21"/>
        <v>46108.791666666664</v>
      </c>
      <c r="C34" s="2134">
        <f>+'Plan mina ST'!N69*1000</f>
        <v>200000.00000007878</v>
      </c>
      <c r="D34" s="2134">
        <f>+'Plan mina ST'!M69*1000</f>
        <v>679004.17815013626</v>
      </c>
      <c r="E34" s="2134">
        <f>(('Plan mina ST'!O69*1000))</f>
        <v>209548.87494626042</v>
      </c>
      <c r="F34" s="2134">
        <f>+'Plan mina ST'!J69*1000</f>
        <v>42200.038282395093</v>
      </c>
      <c r="G34" s="2134">
        <f t="shared" si="22"/>
        <v>167348.83666386531</v>
      </c>
      <c r="H34" s="2135">
        <f t="shared" si="23"/>
        <v>98.056332111173901</v>
      </c>
      <c r="I34" s="2135">
        <f t="shared" si="24"/>
        <v>97.12989278992228</v>
      </c>
      <c r="J34" s="2135">
        <f t="shared" si="25"/>
        <v>97.885672723806138</v>
      </c>
      <c r="K34" s="2135">
        <f>+'Plan mina ST'!AM32*100</f>
        <v>60.938995065387836</v>
      </c>
      <c r="L34" s="2135">
        <f>'Plan mina ST'!D32</f>
        <v>0.58620307725686216</v>
      </c>
      <c r="M34" s="2135">
        <f>'Plan mina ST'!C32</f>
        <v>90.218317494085895</v>
      </c>
      <c r="N34" s="2136">
        <f>'Plan mina ST'!B32</f>
        <v>26.753175806139513</v>
      </c>
      <c r="O34" s="2134">
        <f t="shared" si="133"/>
        <v>4142.4073862917176</v>
      </c>
      <c r="P34" s="2134">
        <f t="shared" si="134"/>
        <v>3308.1879216077987</v>
      </c>
      <c r="Q34" s="2134">
        <f t="shared" si="3"/>
        <v>834.2194646839182</v>
      </c>
      <c r="R34" s="2134">
        <f t="shared" si="135"/>
        <v>87689.042638230574</v>
      </c>
      <c r="S34" s="2134">
        <f t="shared" si="136"/>
        <v>1108.2255306611319</v>
      </c>
      <c r="T34" s="2134">
        <f t="shared" si="137"/>
        <v>885.04533066520719</v>
      </c>
      <c r="U34" s="2134">
        <f t="shared" si="138"/>
        <v>223.18019999592457</v>
      </c>
      <c r="V34" s="2134">
        <f t="shared" si="139"/>
        <v>23468.80265619883</v>
      </c>
      <c r="W34" s="3933">
        <f>+'Plan mina ST'!E32</f>
        <v>112.14130337017447</v>
      </c>
      <c r="X34" s="3934">
        <f t="shared" si="153"/>
        <v>88.509893482860562</v>
      </c>
      <c r="Y34" s="2135">
        <f t="shared" si="29"/>
        <v>87.726495195787237</v>
      </c>
      <c r="Z34" s="2135">
        <f t="shared" si="30"/>
        <v>77.646627454038068</v>
      </c>
      <c r="AA34" s="2136">
        <v>50</v>
      </c>
      <c r="AB34" s="2134">
        <f t="shared" si="141"/>
        <v>36.492492349206955</v>
      </c>
      <c r="AC34" s="2134">
        <f t="shared" si="142"/>
        <v>36.492492349206955</v>
      </c>
      <c r="AD34" s="2134">
        <f t="shared" si="143"/>
        <v>50</v>
      </c>
      <c r="AE34" s="2134">
        <f t="shared" si="144"/>
        <v>18.246246174603478</v>
      </c>
      <c r="AF34" s="2134">
        <f t="shared" si="145"/>
        <v>753.52970365943361</v>
      </c>
      <c r="AG34" s="2134">
        <v>25</v>
      </c>
      <c r="AH34" s="2134">
        <f t="shared" si="147"/>
        <v>287.33494622549637</v>
      </c>
      <c r="AI34" s="2134">
        <f t="shared" si="9"/>
        <v>1161.1213983213074</v>
      </c>
      <c r="AJ34" s="2134">
        <f t="shared" si="148"/>
        <v>25653.285267107531</v>
      </c>
      <c r="AK34" s="2134">
        <f>'Envíos STC 2800'!G30</f>
        <v>4366</v>
      </c>
      <c r="AL34" s="2136">
        <f t="shared" si="126"/>
        <v>25.237979789437635</v>
      </c>
      <c r="AM34" s="2134">
        <f t="shared" si="149"/>
        <v>1101.8901976068471</v>
      </c>
      <c r="AN34" s="2134">
        <f t="shared" si="123"/>
        <v>4366</v>
      </c>
      <c r="AO34" s="2136">
        <f t="shared" si="36"/>
        <v>24.113319660599188</v>
      </c>
      <c r="AP34" s="2134">
        <f t="shared" si="150"/>
        <v>1052.7875363817607</v>
      </c>
      <c r="AQ34" s="2134">
        <f t="shared" si="151"/>
        <v>8.7386528305975517</v>
      </c>
      <c r="AR34" s="2134">
        <f t="shared" si="38"/>
        <v>2872.8133566280071</v>
      </c>
      <c r="AS34" s="2134">
        <f t="shared" si="39"/>
        <v>-223.59261370828244</v>
      </c>
      <c r="AT34" s="2136">
        <f>+'Recalculos ST'!E35</f>
        <v>39.057782088721687</v>
      </c>
      <c r="AU34" s="2134">
        <f>+'MCP ST'!V28</f>
        <v>78.579167787525421</v>
      </c>
      <c r="AV34" s="3973">
        <f>+Factores!$D$24</f>
        <v>0.96199999999999997</v>
      </c>
      <c r="AW34" s="2134">
        <f t="shared" si="40"/>
        <v>1012.7816099992538</v>
      </c>
      <c r="AX34" s="2376">
        <f>'Plan mina ST'!AK32/25.4</f>
        <v>4.1634157910757033</v>
      </c>
      <c r="AY34" s="2718">
        <f>+'Recalculos ST'!AK35</f>
        <v>195.98286777612435</v>
      </c>
      <c r="AZ34" s="2138">
        <f>'Plan mina ST'!O32*BA34/1000000*0.79</f>
        <v>8.7386528305975517</v>
      </c>
      <c r="BA34" s="2137">
        <f t="shared" si="152"/>
        <v>8731.2031227608513</v>
      </c>
      <c r="BB34" s="2138">
        <f>'Plan mina ST'!O32*'ST Original'!BT34/1000000*0.8</f>
        <v>9.0466950257680168</v>
      </c>
      <c r="BC34" s="4640"/>
      <c r="BD34" s="2148">
        <f t="shared" si="12"/>
        <v>46108.791666666664</v>
      </c>
      <c r="BE34" s="2149">
        <f>'Plan mina ST'!J32</f>
        <v>4.7847866921231573E-2</v>
      </c>
      <c r="BF34" s="2150">
        <f t="shared" si="42"/>
        <v>1.6556129083280493</v>
      </c>
      <c r="BG34" s="2151">
        <f>'Plan mina ST'!K32</f>
        <v>1.5172372301547199</v>
      </c>
      <c r="BH34" s="2150">
        <f t="shared" si="43"/>
        <v>52.498840698067085</v>
      </c>
      <c r="BI34" s="2151">
        <f>'Plan mina ST'!V32</f>
        <v>49.395080981495639</v>
      </c>
      <c r="BJ34" s="2152">
        <f t="shared" si="44"/>
        <v>2222.7786441673038</v>
      </c>
      <c r="BK34" s="3395">
        <f>'Plan mina ST'!AI32</f>
        <v>1.1922321838696952</v>
      </c>
      <c r="BL34" s="3399">
        <f>'Recalculos ST'!T35</f>
        <v>5.8367374225010602</v>
      </c>
      <c r="BM34" s="3391">
        <f t="shared" si="45"/>
        <v>13.568622574308041</v>
      </c>
      <c r="BN34" s="3391">
        <f t="shared" si="46"/>
        <v>13.568622574308041</v>
      </c>
      <c r="BO34" s="3391">
        <f t="shared" si="47"/>
        <v>13.568622574308041</v>
      </c>
      <c r="BP34" s="3391">
        <f t="shared" si="48"/>
        <v>40.705867722924125</v>
      </c>
      <c r="BQ34" s="3400">
        <f t="shared" si="49"/>
        <v>14.370609886856712</v>
      </c>
      <c r="BR34" s="3397">
        <f t="shared" si="50"/>
        <v>7111.084051585829</v>
      </c>
      <c r="BS34" s="2137">
        <f t="shared" si="51"/>
        <v>1810.6065984488382</v>
      </c>
      <c r="BT34" s="3344">
        <f t="shared" si="52"/>
        <v>8925.9954278411788</v>
      </c>
      <c r="BU34" s="3345">
        <f t="shared" si="53"/>
        <v>2370.772943053445</v>
      </c>
      <c r="BV34" s="3345">
        <f t="shared" si="54"/>
        <v>2370.772943053445</v>
      </c>
      <c r="BW34" s="3345">
        <f t="shared" si="55"/>
        <v>2370.772943053445</v>
      </c>
      <c r="BX34" s="3346">
        <f t="shared" si="56"/>
        <v>98.056332111173916</v>
      </c>
      <c r="BY34" s="3346">
        <f t="shared" si="57"/>
        <v>98.056332111173916</v>
      </c>
      <c r="BZ34" s="3346">
        <f t="shared" si="58"/>
        <v>98.056332111173916</v>
      </c>
      <c r="CA34" s="3346">
        <f t="shared" si="59"/>
        <v>97.12989278992228</v>
      </c>
      <c r="CB34" s="3346">
        <f t="shared" si="60"/>
        <v>97.885715079916608</v>
      </c>
      <c r="CC34" s="3623">
        <f t="shared" si="61"/>
        <v>98.056332111173901</v>
      </c>
      <c r="CD34" s="3348">
        <f t="shared" si="62"/>
        <v>98.886834920573264</v>
      </c>
      <c r="CE34" s="3348">
        <f t="shared" si="63"/>
        <v>98.886834920573264</v>
      </c>
      <c r="CF34" s="3348">
        <f t="shared" si="64"/>
        <v>98.886834920573264</v>
      </c>
      <c r="CG34" s="3348">
        <f t="shared" si="65"/>
        <v>98.356250499976611</v>
      </c>
      <c r="CH34" s="3346">
        <f t="shared" si="66"/>
        <v>98.789120222376653</v>
      </c>
      <c r="CI34" s="3347">
        <f t="shared" si="67"/>
        <v>26.877795450599066</v>
      </c>
      <c r="CJ34" s="3354">
        <f t="shared" si="68"/>
        <v>6.4495510000000005</v>
      </c>
      <c r="CK34" s="3355">
        <f t="shared" si="69"/>
        <v>6.4495510000000005</v>
      </c>
      <c r="CL34" s="3355">
        <f t="shared" si="70"/>
        <v>6.4495510000000005</v>
      </c>
      <c r="CM34" s="3356">
        <f t="shared" si="71"/>
        <v>4.3442710000000009</v>
      </c>
      <c r="CN34" s="3356">
        <f t="shared" si="72"/>
        <v>23.692924000000001</v>
      </c>
      <c r="CO34" s="3354">
        <f t="shared" si="73"/>
        <v>6.3953843333333333</v>
      </c>
      <c r="CP34" s="3355">
        <f t="shared" si="74"/>
        <v>6.3953843333333333</v>
      </c>
      <c r="CQ34" s="3355">
        <f t="shared" si="75"/>
        <v>6.3953843333333333</v>
      </c>
      <c r="CR34" s="3356">
        <f t="shared" si="76"/>
        <v>4.2901043333333337</v>
      </c>
      <c r="CS34" s="3356">
        <f t="shared" si="77"/>
        <v>23.476257333333333</v>
      </c>
      <c r="CT34" s="3357">
        <f t="shared" si="78"/>
        <v>6.5217878333333337</v>
      </c>
      <c r="CU34" s="2153">
        <f t="shared" si="79"/>
        <v>6.5217878333333337</v>
      </c>
      <c r="CV34" s="2153">
        <f t="shared" si="80"/>
        <v>6.5217878333333337</v>
      </c>
      <c r="CW34" s="3358">
        <f t="shared" si="81"/>
        <v>4.4179698333333342</v>
      </c>
      <c r="CX34" s="3354">
        <f t="shared" si="82"/>
        <v>0</v>
      </c>
      <c r="CY34" s="3355">
        <f t="shared" si="83"/>
        <v>0</v>
      </c>
      <c r="CZ34" s="3355">
        <f t="shared" si="84"/>
        <v>0</v>
      </c>
      <c r="DA34" s="3356">
        <f t="shared" si="85"/>
        <v>0</v>
      </c>
      <c r="DB34" s="3354">
        <f t="shared" si="86"/>
        <v>7.2602333333333338E-2</v>
      </c>
      <c r="DC34" s="3355">
        <f t="shared" si="87"/>
        <v>7.2602333333333338E-2</v>
      </c>
      <c r="DD34" s="3355">
        <f t="shared" si="88"/>
        <v>7.2602333333333338E-2</v>
      </c>
      <c r="DE34" s="3356">
        <f t="shared" si="89"/>
        <v>7.2602333333333338E-2</v>
      </c>
      <c r="DF34" s="3356">
        <f t="shared" si="90"/>
        <v>0.29040933333333335</v>
      </c>
      <c r="DG34" s="3354">
        <f t="shared" si="91"/>
        <v>0.12676900000000002</v>
      </c>
      <c r="DH34" s="3355">
        <f t="shared" si="92"/>
        <v>0.12676900000000002</v>
      </c>
      <c r="DI34" s="3355">
        <f t="shared" si="93"/>
        <v>0.12676900000000002</v>
      </c>
      <c r="DJ34" s="3356">
        <f t="shared" si="94"/>
        <v>0.12676900000000002</v>
      </c>
      <c r="DK34" s="3356">
        <f t="shared" si="95"/>
        <v>0.50707600000000008</v>
      </c>
      <c r="DL34" s="2137">
        <v>0</v>
      </c>
      <c r="DM34" s="2137">
        <v>0</v>
      </c>
      <c r="DN34" s="2137">
        <v>0</v>
      </c>
      <c r="DO34" s="2137">
        <v>0</v>
      </c>
      <c r="DP34" s="2137">
        <v>0</v>
      </c>
      <c r="DQ34" s="2137">
        <v>0</v>
      </c>
      <c r="DR34" s="2137">
        <v>0</v>
      </c>
      <c r="DS34" s="2137">
        <v>0</v>
      </c>
      <c r="DT34" s="2137">
        <v>0</v>
      </c>
      <c r="DU34" s="2137">
        <v>0</v>
      </c>
      <c r="DV34" s="2137">
        <v>0</v>
      </c>
      <c r="DW34" s="2579">
        <f t="shared" si="96"/>
        <v>7.2602333333333338E-2</v>
      </c>
      <c r="DX34" s="2579">
        <f t="shared" si="97"/>
        <v>7.2602333333333338E-2</v>
      </c>
      <c r="DY34" s="2579">
        <f t="shared" si="98"/>
        <v>7.2602333333333338E-2</v>
      </c>
      <c r="DZ34" s="2579">
        <f t="shared" si="99"/>
        <v>7.2602333333333338E-2</v>
      </c>
      <c r="EA34" s="2579">
        <f t="shared" si="100"/>
        <v>0</v>
      </c>
      <c r="EB34" s="2579">
        <f t="shared" si="101"/>
        <v>0</v>
      </c>
      <c r="EC34" s="2579">
        <f t="shared" si="102"/>
        <v>0</v>
      </c>
      <c r="ED34" s="2579">
        <f t="shared" si="103"/>
        <v>0</v>
      </c>
      <c r="EE34" s="2579">
        <f t="shared" si="104"/>
        <v>0.05</v>
      </c>
      <c r="EF34" s="2579">
        <f t="shared" si="105"/>
        <v>0.05</v>
      </c>
      <c r="EG34" s="2579">
        <f t="shared" si="106"/>
        <v>0.05</v>
      </c>
      <c r="EH34" s="2579">
        <f t="shared" si="127"/>
        <v>0.05</v>
      </c>
      <c r="EI34" s="2579">
        <f t="shared" si="108"/>
        <v>4.1666666666666666E-3</v>
      </c>
      <c r="EJ34" s="2579">
        <f t="shared" si="109"/>
        <v>4.1666666666666666E-3</v>
      </c>
      <c r="EK34" s="2579">
        <f t="shared" si="110"/>
        <v>4.1666666666666666E-3</v>
      </c>
      <c r="EL34" s="2581">
        <f t="shared" si="111"/>
        <v>4.1666666666666666E-3</v>
      </c>
      <c r="EM34" s="3341">
        <f t="shared" si="129"/>
        <v>4.1666666666666666E-3</v>
      </c>
      <c r="EN34" s="3341">
        <f t="shared" si="130"/>
        <v>4.1666666666666666E-3</v>
      </c>
      <c r="EO34" s="3341">
        <f t="shared" si="131"/>
        <v>4.1666666666666666E-3</v>
      </c>
      <c r="EP34" s="3341">
        <f t="shared" si="132"/>
        <v>4.1666666666666666E-3</v>
      </c>
      <c r="EQ34" s="3319">
        <f t="shared" si="116"/>
        <v>1.6666666666666666E-2</v>
      </c>
      <c r="ER34" s="809">
        <f>+'MCP ST'!H28</f>
        <v>1.5091117424802334</v>
      </c>
      <c r="ES34" s="4236">
        <f t="shared" si="117"/>
        <v>0.30707600000000002</v>
      </c>
      <c r="EZ34" s="2154">
        <f>+'Plan mina ST'!AM32</f>
        <v>0.60938995065387835</v>
      </c>
      <c r="FA34" s="2067" t="str">
        <f>IF($FC34&lt;=Factores!$D$3,AX34,"")</f>
        <v/>
      </c>
      <c r="FB34" s="2076"/>
      <c r="FC34" s="2065">
        <f t="shared" si="13"/>
        <v>46108.791666666664</v>
      </c>
      <c r="FD34" s="780" t="str">
        <f>IF($FC34&lt;=Factores!$D$3,'ST Original'!C34,"")</f>
        <v/>
      </c>
      <c r="FE34" s="782" t="str">
        <f>IF($FC34&lt;=Factores!$D$3,'ST Original'!D34,"")</f>
        <v/>
      </c>
      <c r="FF34" s="780" t="str">
        <f>IF($FC34&lt;=Factores!$D$3,'ST Original'!E34,"")</f>
        <v/>
      </c>
      <c r="FG34" s="782"/>
      <c r="FH34" s="2064" t="str">
        <f>IF($FC34&lt;=Factores!$D$3,'ST Original'!J34,"")</f>
        <v/>
      </c>
      <c r="FI34" s="781" t="str">
        <f>IF($FC34&lt;=Factores!$D$3,'ST Original'!BT34,"")</f>
        <v/>
      </c>
      <c r="FJ34" s="781" t="str">
        <f>IF($FC34&lt;=Factores!$D$3,'ST Original'!K34,"")</f>
        <v/>
      </c>
      <c r="FK34" s="2066" t="str">
        <f>IF($FC34&lt;=Factores!$D$3,'ST Original'!L34,"")</f>
        <v/>
      </c>
      <c r="FL34" s="781" t="str">
        <f>IF($FC34&lt;=Factores!$D$3,'ST Original'!M34,"")</f>
        <v/>
      </c>
      <c r="FM34" s="781" t="str">
        <f>IF($FC34&lt;=Factores!$D$3,'ST Original'!N34,"")</f>
        <v/>
      </c>
      <c r="FN34" s="780" t="str">
        <f>IF($FC34&lt;=Factores!$D$3,'ST Original'!O34,"")</f>
        <v/>
      </c>
      <c r="FO34" s="539" t="str">
        <f>IF($FC34&lt;=Factores!$D$3,'ST Original'!R34,"")</f>
        <v/>
      </c>
      <c r="FP34" s="780" t="str">
        <f>IF($FC34&lt;=Factores!$D$3,'ST Original'!S34,"")</f>
        <v/>
      </c>
      <c r="FQ34" s="782" t="str">
        <f>IF($FC34&lt;=Factores!$D$3,'ST Original'!V34,"")</f>
        <v/>
      </c>
      <c r="FR34" s="780" t="str">
        <f>IF($FC34&lt;=Factores!$D$3,'ST Original'!W34,"")</f>
        <v/>
      </c>
      <c r="FS34" s="819" t="str">
        <f>IF($FC34&lt;=Factores!$D$3,'ST Original'!X34,"")</f>
        <v/>
      </c>
      <c r="FT34" s="819" t="str">
        <f>IF($FC34&lt;=Factores!$D$3,'ST Original'!Y34,"")</f>
        <v/>
      </c>
      <c r="FU34" s="819" t="str">
        <f>IF($FC34&lt;=Factores!$D$3,'ST Original'!Z34,"")</f>
        <v/>
      </c>
      <c r="FV34" s="819" t="str">
        <f>IF($FC34&lt;=Factores!$D$3,'ST Original'!AA34,"")</f>
        <v/>
      </c>
      <c r="FW34" s="539" t="str">
        <f>IF($FC34&lt;=Factores!$D$3,'ST Original'!AB34,"")</f>
        <v/>
      </c>
      <c r="FX34" s="539" t="str">
        <f>IF($FC34&lt;=Factores!$D$3,'ST Original'!AC34,"")</f>
        <v/>
      </c>
      <c r="FY34" s="819" t="str">
        <f>IF($FC34&lt;=Factores!$D$3,AE34,"")</f>
        <v/>
      </c>
      <c r="FZ34" s="782" t="str">
        <f>IF($FC34&lt;=Factores!$D$3,AF34,"")</f>
        <v/>
      </c>
      <c r="GA34" s="539" t="str">
        <f>IF($FC34&lt;=Factores!$D$3,AG34,"")</f>
        <v/>
      </c>
      <c r="GB34" s="780" t="str">
        <f>IF($FC34&lt;=Factores!$D$3,AI34,"")</f>
        <v/>
      </c>
      <c r="GC34" s="782" t="str">
        <f>IF($FC34&lt;=Factores!$D$3,AJ34,"")</f>
        <v/>
      </c>
      <c r="GD34" s="780" t="str">
        <f>IF($FC34&lt;=Factores!$D$3,AN34,"")</f>
        <v/>
      </c>
      <c r="GE34" s="539" t="str">
        <f>IF($FC34&lt;=Factores!$D$3,AO34,"")</f>
        <v/>
      </c>
      <c r="GF34" s="782" t="str">
        <f>IF($FC34&lt;=Factores!$D$3,AP34,"")</f>
        <v/>
      </c>
      <c r="GG34" s="2072" t="str">
        <f>IF($FC34&lt;=Factores!$D$3,BI34,"")</f>
        <v/>
      </c>
      <c r="GH34" s="2073" t="str">
        <f>IF($FC34&lt;=Factores!$D$3,BJ34,"")</f>
        <v/>
      </c>
      <c r="GI34" s="2069">
        <f>+'Plan mina ST'!AN69</f>
        <v>0</v>
      </c>
      <c r="GJ34" s="2065">
        <f t="shared" si="14"/>
        <v>46108.791666666664</v>
      </c>
      <c r="GK34" s="2067">
        <f>+'Plan mina ST'!J32</f>
        <v>4.7847866921231573E-2</v>
      </c>
      <c r="GL34" s="818">
        <f t="shared" si="15"/>
        <v>1.6943110666932037</v>
      </c>
      <c r="GM34" s="539">
        <f t="shared" si="118"/>
        <v>7018.5266773457261</v>
      </c>
      <c r="GN34" s="2077">
        <f t="shared" si="119"/>
        <v>129447.11872255293</v>
      </c>
      <c r="GO34" s="818">
        <f>+'Plan mina ST'!K32</f>
        <v>1.5172372301547199</v>
      </c>
      <c r="GP34" s="818">
        <f t="shared" si="16"/>
        <v>61.401079122759597</v>
      </c>
      <c r="GQ34" s="539">
        <f t="shared" si="17"/>
        <v>254348.28368440154</v>
      </c>
      <c r="GR34" s="539">
        <f t="shared" si="120"/>
        <v>4919832.2685876787</v>
      </c>
      <c r="GS34" s="781">
        <f>+'Plan mina ST'!V32</f>
        <v>49.395080981495639</v>
      </c>
      <c r="GT34" s="782">
        <f t="shared" si="18"/>
        <v>2222.7786441673038</v>
      </c>
      <c r="GU34" s="2072" t="str">
        <f>IF($FC34&lt;=Factores!$D$3,AT34,"")</f>
        <v/>
      </c>
      <c r="GW34" s="781">
        <f>+'Plan mina ST'!AI32</f>
        <v>1.1922321838696952</v>
      </c>
      <c r="GX34" s="2078">
        <v>0.5</v>
      </c>
      <c r="GY34" s="819"/>
      <c r="GZ34" s="2065">
        <f t="shared" si="19"/>
        <v>46108.791666666664</v>
      </c>
      <c r="HA34" s="780">
        <f>IF($FC34&gt;Factores!$D$3,'ST Original'!C34,"")</f>
        <v>200000.00000007878</v>
      </c>
      <c r="HB34" s="782">
        <f>IF($FC34&gt;Factores!$D$3,'ST Original'!D34,"")</f>
        <v>679004.17815013626</v>
      </c>
      <c r="HC34" s="780">
        <f>IF($FC34&gt;Factores!$D$3,'ST Original'!E34,"")</f>
        <v>209548.87494626042</v>
      </c>
      <c r="HD34" s="782"/>
      <c r="HE34" s="2064">
        <f>IF($FC34&gt;Factores!$D$3,'ST Original'!J34,"")</f>
        <v>97.885672723806138</v>
      </c>
      <c r="HF34" s="781">
        <f>IF($FC34&gt;Factores!$D$3,'ST Original'!BT34,"")</f>
        <v>8925.9954278411788</v>
      </c>
      <c r="HG34" s="781">
        <f>IF($FC34&gt;Factores!$D$3,'ST Original'!K34,"")</f>
        <v>60.938995065387836</v>
      </c>
      <c r="HH34" s="2066">
        <f>IF($FC34&gt;Factores!$D$3,'ST Original'!L34,"")</f>
        <v>0.58620307725686216</v>
      </c>
      <c r="HI34" s="781">
        <f>IF($FC34&gt;Factores!$D$3,'ST Original'!M34,"")</f>
        <v>90.218317494085895</v>
      </c>
      <c r="HJ34" s="781">
        <f>IF($FC34&gt;Factores!$D$3,'ST Original'!N34,"")</f>
        <v>26.753175806139513</v>
      </c>
      <c r="HK34" s="780">
        <f>IF($FC34&gt;Factores!$D$3,'ST Original'!O34,"")</f>
        <v>4142.4073862917176</v>
      </c>
      <c r="HL34" s="539">
        <f>IF($FC34&gt;Factores!$D$3,'ST Original'!R34,"")</f>
        <v>87689.042638230574</v>
      </c>
      <c r="HM34" s="780">
        <f>IF($FC34&gt;Factores!$D$3,'ST Original'!S34,"")</f>
        <v>1108.2255306611319</v>
      </c>
      <c r="HN34" s="782">
        <f>IF($FC34&gt;Factores!$D$3,'ST Original'!V34,"")</f>
        <v>23468.80265619883</v>
      </c>
      <c r="HO34" s="780">
        <f>IF($FC34&gt;Factores!$D$3,'ST Original'!W34,"")</f>
        <v>112.14130337017447</v>
      </c>
      <c r="HP34" s="819">
        <f>IF($FC34&gt;Factores!$D$3,'ST Original'!X34,"")</f>
        <v>88.509893482860562</v>
      </c>
      <c r="HQ34" s="819">
        <f>IF($FC34&gt;Factores!$D$3,'ST Original'!Y34,"")</f>
        <v>87.726495195787237</v>
      </c>
      <c r="HR34" s="819">
        <f>IF($FC34&gt;Factores!$D$3,'ST Original'!Z34,"")</f>
        <v>77.646627454038068</v>
      </c>
      <c r="HS34" s="819">
        <f>IF($FC34&gt;Factores!$D$3,'ST Original'!AA34,"")</f>
        <v>50</v>
      </c>
      <c r="HT34" s="539">
        <f>IF($FC34&gt;Factores!$D$3,'ST Original'!AB34,"")</f>
        <v>36.492492349206955</v>
      </c>
      <c r="HU34" s="539">
        <f>IF($FC34&gt;Factores!$D$3,'ST Original'!AC34,"")</f>
        <v>36.492492349206955</v>
      </c>
      <c r="HV34" s="819">
        <f>IF($FC34&gt;Factores!$D$3,AE34,"")</f>
        <v>18.246246174603478</v>
      </c>
      <c r="HW34" s="782">
        <f>IF($FC34&gt;Factores!$D$3,AF34,"")</f>
        <v>753.52970365943361</v>
      </c>
      <c r="HX34" s="539">
        <f>IF($FC34&gt;Factores!$D$3,AG34,"")</f>
        <v>25</v>
      </c>
      <c r="HY34" s="780">
        <f>IF($FC34&gt;Factores!$D$3,AI34,"")</f>
        <v>1161.1213983213074</v>
      </c>
      <c r="HZ34" s="782">
        <f>IF($FC34&gt;Factores!$D$3,AJ34,"")</f>
        <v>25653.285267107531</v>
      </c>
      <c r="IA34" s="780">
        <f>IF($FC34&gt;Factores!$D$3,AN34,"")</f>
        <v>4366</v>
      </c>
      <c r="IB34" s="539">
        <f>IF($FC34&gt;Factores!$D$3,AO34,"")</f>
        <v>24.113319660599188</v>
      </c>
      <c r="IC34" s="782">
        <f>IF($FC34&gt;Factores!$D$3,AP34,"")</f>
        <v>1052.7875363817607</v>
      </c>
      <c r="ID34" s="2072">
        <f>IF($FC34&gt;Factores!$D$3,BI34,"")</f>
        <v>49.395080981495639</v>
      </c>
      <c r="IE34" s="2073">
        <f>IF($FC34&gt;Factores!$D$3,BJ34,"")</f>
        <v>2222.7786441673038</v>
      </c>
      <c r="IF34" s="4237">
        <f t="shared" si="20"/>
        <v>209548.87494626042</v>
      </c>
      <c r="IG34" s="4237">
        <f t="shared" si="124"/>
        <v>4916001.2217274513</v>
      </c>
      <c r="IH34" s="4234">
        <f t="shared" si="121"/>
        <v>0.58620307725686216</v>
      </c>
      <c r="II34" s="342">
        <f>SUMPRODUCT(IH$8:IH34,IF$8:IF34)/IG34</f>
        <v>0.52848374885179494</v>
      </c>
      <c r="IJ34" s="4235">
        <f t="shared" si="122"/>
        <v>90.218317494085895</v>
      </c>
      <c r="IK34" s="342" cm="1">
        <f t="array" ref="IK34">SUMPRODUCT(IJ$8:IJ34,IF$8:IF34/IG34)</f>
        <v>90.313680064589192</v>
      </c>
    </row>
    <row r="35" spans="1:245" s="744" customFormat="1" ht="14.25" customHeight="1">
      <c r="A35" s="4643"/>
      <c r="B35" s="2133">
        <f t="shared" si="21"/>
        <v>46109.791666666664</v>
      </c>
      <c r="C35" s="2134">
        <f>+'Plan mina ST'!N70*1000</f>
        <v>185000.00000020902</v>
      </c>
      <c r="D35" s="2134">
        <f>+'Plan mina ST'!M70*1000</f>
        <v>648411.08982838516</v>
      </c>
      <c r="E35" s="2134">
        <f>(('Plan mina ST'!O70*1000))</f>
        <v>215593.08832196021</v>
      </c>
      <c r="F35" s="2134">
        <f>+'Plan mina ST'!J70*1000</f>
        <v>42200.038282395093</v>
      </c>
      <c r="G35" s="2134">
        <f t="shared" si="22"/>
        <v>173393.05003956513</v>
      </c>
      <c r="H35" s="2135">
        <f t="shared" si="23"/>
        <v>98.056332111173901</v>
      </c>
      <c r="I35" s="2135">
        <f t="shared" si="24"/>
        <v>97.12989278992228</v>
      </c>
      <c r="J35" s="2135">
        <f t="shared" si="25"/>
        <v>97.885672723806138</v>
      </c>
      <c r="K35" s="2135">
        <f>+'Plan mina ST'!AM33*100</f>
        <v>44.153437527899392</v>
      </c>
      <c r="L35" s="2528">
        <f>'Plan mina ST'!D33</f>
        <v>0.58702891178295702</v>
      </c>
      <c r="M35" s="2135">
        <f>'Plan mina ST'!C33</f>
        <v>89.583309455896881</v>
      </c>
      <c r="N35" s="2136">
        <f>'Plan mina ST'!B33</f>
        <v>25.41389590416216</v>
      </c>
      <c r="O35" s="2134">
        <f t="shared" si="133"/>
        <v>4461.1844597926402</v>
      </c>
      <c r="P35" s="2134">
        <f t="shared" si="134"/>
        <v>3587.955375996919</v>
      </c>
      <c r="Q35" s="2134">
        <f t="shared" si="3"/>
        <v>873.22908379572209</v>
      </c>
      <c r="R35" s="2134">
        <f t="shared" si="135"/>
        <v>92150.227098023213</v>
      </c>
      <c r="S35" s="2134">
        <f t="shared" si="136"/>
        <v>1133.7607747043605</v>
      </c>
      <c r="T35" s="2134">
        <f t="shared" si="137"/>
        <v>911.83924434364701</v>
      </c>
      <c r="U35" s="2134">
        <f t="shared" si="138"/>
        <v>221.92153036071377</v>
      </c>
      <c r="V35" s="2134">
        <f t="shared" si="139"/>
        <v>24602.563430903192</v>
      </c>
      <c r="W35" s="3933">
        <f>+'Plan mina ST'!E33</f>
        <v>79.320162188502493</v>
      </c>
      <c r="X35" s="3934">
        <f t="shared" si="153"/>
        <v>87.295776221145999</v>
      </c>
      <c r="Y35" s="2135">
        <f t="shared" si="29"/>
        <v>86.74541587068218</v>
      </c>
      <c r="Z35" s="2135">
        <f t="shared" si="30"/>
        <v>75.725084120573186</v>
      </c>
      <c r="AA35" s="2136">
        <v>50</v>
      </c>
      <c r="AB35" s="2134">
        <f t="shared" si="141"/>
        <v>25.899309610961517</v>
      </c>
      <c r="AC35" s="2134">
        <f t="shared" si="142"/>
        <v>25.899309610961517</v>
      </c>
      <c r="AD35" s="2134">
        <f t="shared" si="143"/>
        <v>50</v>
      </c>
      <c r="AE35" s="2134">
        <f t="shared" si="144"/>
        <v>12.949654805480758</v>
      </c>
      <c r="AF35" s="2134">
        <f t="shared" si="145"/>
        <v>766.47935846491441</v>
      </c>
      <c r="AG35" s="2134">
        <v>25</v>
      </c>
      <c r="AH35" s="2134">
        <f t="shared" si="147"/>
        <v>275.28460103097711</v>
      </c>
      <c r="AI35" s="2134">
        <f t="shared" si="9"/>
        <v>1171.3018239854493</v>
      </c>
      <c r="AJ35" s="2134">
        <f t="shared" si="148"/>
        <v>26824.587091092981</v>
      </c>
      <c r="AK35" s="2134">
        <f>'Envíos STC 2800'!G31</f>
        <v>4366</v>
      </c>
      <c r="AL35" s="2136">
        <f t="shared" si="126"/>
        <v>26.753175806139513</v>
      </c>
      <c r="AM35" s="2134">
        <f t="shared" si="149"/>
        <v>1168.0436556960512</v>
      </c>
      <c r="AN35" s="2134">
        <f t="shared" si="123"/>
        <v>4366</v>
      </c>
      <c r="AO35" s="2136">
        <f t="shared" si="36"/>
        <v>25.237979789437635</v>
      </c>
      <c r="AP35" s="2134">
        <f t="shared" si="150"/>
        <v>1101.8901976068471</v>
      </c>
      <c r="AQ35" s="2134">
        <f t="shared" si="151"/>
        <v>10.589780880680918</v>
      </c>
      <c r="AR35" s="2134">
        <f t="shared" si="38"/>
        <v>2904.6839337255205</v>
      </c>
      <c r="AS35" s="2134">
        <f t="shared" si="39"/>
        <v>95.184459792640155</v>
      </c>
      <c r="AT35" s="2136">
        <f>+'Recalculos ST'!E36</f>
        <v>40.074008752534851</v>
      </c>
      <c r="AU35" s="2134">
        <f>+'MCP ST'!V29</f>
        <v>70.050570607737995</v>
      </c>
      <c r="AV35" s="3973">
        <f>+Factores!$D$24</f>
        <v>0.96199999999999997</v>
      </c>
      <c r="AW35" s="2134">
        <f t="shared" si="40"/>
        <v>1060.0183700977868</v>
      </c>
      <c r="AX35" s="2376">
        <f>'Plan mina ST'!AK33/25.4</f>
        <v>4.0382898044277393</v>
      </c>
      <c r="AY35" s="2718">
        <f>+'Recalculos ST'!AK36</f>
        <v>199.64277284310384</v>
      </c>
      <c r="AZ35" s="2138">
        <f>'Plan mina ST'!O33*BA35/1000000*0.79</f>
        <v>10.589780880680918</v>
      </c>
      <c r="BA35" s="2137">
        <f t="shared" si="152"/>
        <v>8983.0453467483421</v>
      </c>
      <c r="BB35" s="2138">
        <f>'Plan mina ST'!O33*'ST Original'!BT35/1000000*0.8</f>
        <v>10.963076331604112</v>
      </c>
      <c r="BC35" s="4640"/>
      <c r="BD35" s="2148">
        <f t="shared" si="12"/>
        <v>46109.791666666664</v>
      </c>
      <c r="BE35" s="2149">
        <f>'Plan mina ST'!J33</f>
        <v>3.7182738605934233E-2</v>
      </c>
      <c r="BF35" s="2150">
        <f t="shared" si="42"/>
        <v>1.2865823695822112</v>
      </c>
      <c r="BG35" s="2151">
        <f>'Plan mina ST'!K33</f>
        <v>1.2044504491599561</v>
      </c>
      <c r="BH35" s="2150">
        <f t="shared" si="43"/>
        <v>41.675916595268227</v>
      </c>
      <c r="BI35" s="2151">
        <f>'Plan mina ST'!V33</f>
        <v>29.582279762370987</v>
      </c>
      <c r="BJ35" s="2152">
        <f t="shared" si="44"/>
        <v>1331.2025893066943</v>
      </c>
      <c r="BK35" s="3395">
        <f>'Plan mina ST'!AI33</f>
        <v>0.95472883959469068</v>
      </c>
      <c r="BL35" s="3399">
        <f>'Recalculos ST'!T36</f>
        <v>5.6332777890758532</v>
      </c>
      <c r="BM35" s="3391">
        <f t="shared" si="45"/>
        <v>13.568622574308042</v>
      </c>
      <c r="BN35" s="3391">
        <f t="shared" si="46"/>
        <v>13.568622574308042</v>
      </c>
      <c r="BO35" s="3391">
        <f t="shared" si="47"/>
        <v>13.568622574308042</v>
      </c>
      <c r="BP35" s="3391">
        <f t="shared" si="48"/>
        <v>40.705867722924125</v>
      </c>
      <c r="BQ35" s="3400">
        <f t="shared" si="49"/>
        <v>13.869672666620474</v>
      </c>
      <c r="BR35" s="3397">
        <f t="shared" si="50"/>
        <v>7367.9182799984928</v>
      </c>
      <c r="BS35" s="2137">
        <f t="shared" si="51"/>
        <v>1810.6065984488382</v>
      </c>
      <c r="BT35" s="3344">
        <f t="shared" si="52"/>
        <v>9183.4562277153309</v>
      </c>
      <c r="BU35" s="3345">
        <f t="shared" si="53"/>
        <v>2456.3992181971012</v>
      </c>
      <c r="BV35" s="3345">
        <f t="shared" si="54"/>
        <v>2456.3992181971012</v>
      </c>
      <c r="BW35" s="3345">
        <f t="shared" si="55"/>
        <v>2456.3992181971012</v>
      </c>
      <c r="BX35" s="3346">
        <f t="shared" si="56"/>
        <v>98.056332111173916</v>
      </c>
      <c r="BY35" s="3346">
        <f t="shared" si="57"/>
        <v>98.056332111173916</v>
      </c>
      <c r="BZ35" s="3346">
        <f t="shared" si="58"/>
        <v>98.056332111173916</v>
      </c>
      <c r="CA35" s="3346">
        <f t="shared" si="59"/>
        <v>97.12989278992228</v>
      </c>
      <c r="CB35" s="3346">
        <f t="shared" si="60"/>
        <v>97.885715079916608</v>
      </c>
      <c r="CC35" s="3623">
        <f t="shared" si="61"/>
        <v>98.056332111173901</v>
      </c>
      <c r="CD35" s="3348">
        <f t="shared" si="62"/>
        <v>98.886834920573264</v>
      </c>
      <c r="CE35" s="3348">
        <f t="shared" si="63"/>
        <v>98.886834920573264</v>
      </c>
      <c r="CF35" s="3348">
        <f t="shared" si="64"/>
        <v>98.886834920573264</v>
      </c>
      <c r="CG35" s="3348">
        <f t="shared" si="65"/>
        <v>98.356250499976611</v>
      </c>
      <c r="CH35" s="3346">
        <f t="shared" si="66"/>
        <v>98.789120222376653</v>
      </c>
      <c r="CI35" s="3347">
        <f t="shared" si="67"/>
        <v>26.877795450599066</v>
      </c>
      <c r="CJ35" s="3354">
        <f t="shared" si="68"/>
        <v>6.4495510000000005</v>
      </c>
      <c r="CK35" s="3355">
        <f t="shared" si="69"/>
        <v>6.4495510000000005</v>
      </c>
      <c r="CL35" s="3355">
        <f t="shared" si="70"/>
        <v>6.4495510000000005</v>
      </c>
      <c r="CM35" s="3356">
        <f t="shared" si="71"/>
        <v>4.3442710000000009</v>
      </c>
      <c r="CN35" s="3356">
        <f t="shared" si="72"/>
        <v>23.692924000000001</v>
      </c>
      <c r="CO35" s="3354">
        <f t="shared" si="73"/>
        <v>6.3953843333333333</v>
      </c>
      <c r="CP35" s="3355">
        <f t="shared" si="74"/>
        <v>6.3953843333333333</v>
      </c>
      <c r="CQ35" s="3355">
        <f t="shared" si="75"/>
        <v>6.3953843333333333</v>
      </c>
      <c r="CR35" s="3356">
        <f t="shared" si="76"/>
        <v>4.2901043333333337</v>
      </c>
      <c r="CS35" s="3356">
        <f t="shared" si="77"/>
        <v>23.476257333333333</v>
      </c>
      <c r="CT35" s="3357">
        <f t="shared" si="78"/>
        <v>6.5217878333333337</v>
      </c>
      <c r="CU35" s="2153">
        <f t="shared" si="79"/>
        <v>6.5217878333333337</v>
      </c>
      <c r="CV35" s="2153">
        <f t="shared" si="80"/>
        <v>6.5217878333333337</v>
      </c>
      <c r="CW35" s="3358">
        <f t="shared" si="81"/>
        <v>4.4179698333333342</v>
      </c>
      <c r="CX35" s="3354">
        <f t="shared" si="82"/>
        <v>0</v>
      </c>
      <c r="CY35" s="3355">
        <f t="shared" si="83"/>
        <v>0</v>
      </c>
      <c r="CZ35" s="3355">
        <f t="shared" si="84"/>
        <v>0</v>
      </c>
      <c r="DA35" s="3356">
        <f t="shared" si="85"/>
        <v>0</v>
      </c>
      <c r="DB35" s="3354">
        <f t="shared" si="86"/>
        <v>7.2602333333333338E-2</v>
      </c>
      <c r="DC35" s="3355">
        <f t="shared" si="87"/>
        <v>7.2602333333333338E-2</v>
      </c>
      <c r="DD35" s="3355">
        <f t="shared" si="88"/>
        <v>7.2602333333333338E-2</v>
      </c>
      <c r="DE35" s="3356">
        <f t="shared" si="89"/>
        <v>7.2602333333333338E-2</v>
      </c>
      <c r="DF35" s="3356">
        <f t="shared" si="90"/>
        <v>0.29040933333333335</v>
      </c>
      <c r="DG35" s="3354">
        <f t="shared" si="91"/>
        <v>0.12676900000000002</v>
      </c>
      <c r="DH35" s="3355">
        <f t="shared" si="92"/>
        <v>0.12676900000000002</v>
      </c>
      <c r="DI35" s="3355">
        <f t="shared" si="93"/>
        <v>0.12676900000000002</v>
      </c>
      <c r="DJ35" s="3356">
        <f t="shared" si="94"/>
        <v>0.12676900000000002</v>
      </c>
      <c r="DK35" s="3356">
        <f t="shared" si="95"/>
        <v>0.50707600000000008</v>
      </c>
      <c r="DL35" s="2137">
        <v>0</v>
      </c>
      <c r="DM35" s="2137">
        <v>0</v>
      </c>
      <c r="DN35" s="2137">
        <v>0</v>
      </c>
      <c r="DO35" s="2137">
        <v>0</v>
      </c>
      <c r="DP35" s="2137">
        <v>0</v>
      </c>
      <c r="DQ35" s="2137">
        <v>0</v>
      </c>
      <c r="DR35" s="2137">
        <v>0</v>
      </c>
      <c r="DS35" s="2137">
        <v>0</v>
      </c>
      <c r="DT35" s="2137">
        <v>0</v>
      </c>
      <c r="DU35" s="2137">
        <v>0</v>
      </c>
      <c r="DV35" s="2137">
        <v>0</v>
      </c>
      <c r="DW35" s="2579">
        <f t="shared" si="96"/>
        <v>7.2602333333333338E-2</v>
      </c>
      <c r="DX35" s="2579">
        <f t="shared" si="97"/>
        <v>7.2602333333333338E-2</v>
      </c>
      <c r="DY35" s="2579">
        <f t="shared" si="98"/>
        <v>7.2602333333333338E-2</v>
      </c>
      <c r="DZ35" s="2579">
        <f t="shared" si="99"/>
        <v>7.2602333333333338E-2</v>
      </c>
      <c r="EA35" s="2579">
        <f t="shared" si="100"/>
        <v>0</v>
      </c>
      <c r="EB35" s="2579">
        <f t="shared" si="101"/>
        <v>0</v>
      </c>
      <c r="EC35" s="2579">
        <f t="shared" si="102"/>
        <v>0</v>
      </c>
      <c r="ED35" s="2579">
        <f t="shared" si="103"/>
        <v>0</v>
      </c>
      <c r="EE35" s="2579">
        <f t="shared" si="104"/>
        <v>0.05</v>
      </c>
      <c r="EF35" s="2579">
        <f t="shared" si="105"/>
        <v>0.05</v>
      </c>
      <c r="EG35" s="2579">
        <f t="shared" si="106"/>
        <v>0.05</v>
      </c>
      <c r="EH35" s="2579">
        <f t="shared" si="127"/>
        <v>0.05</v>
      </c>
      <c r="EI35" s="2579">
        <f t="shared" si="108"/>
        <v>4.1666666666666666E-3</v>
      </c>
      <c r="EJ35" s="2579">
        <f t="shared" si="109"/>
        <v>4.1666666666666666E-3</v>
      </c>
      <c r="EK35" s="2579">
        <f t="shared" si="110"/>
        <v>4.1666666666666666E-3</v>
      </c>
      <c r="EL35" s="2581">
        <f t="shared" si="111"/>
        <v>4.1666666666666666E-3</v>
      </c>
      <c r="EM35" s="3341">
        <f t="shared" si="129"/>
        <v>4.1666666666666666E-3</v>
      </c>
      <c r="EN35" s="3341">
        <f t="shared" si="130"/>
        <v>4.1666666666666666E-3</v>
      </c>
      <c r="EO35" s="3341">
        <f t="shared" si="131"/>
        <v>4.1666666666666666E-3</v>
      </c>
      <c r="EP35" s="3341">
        <f t="shared" si="132"/>
        <v>4.1666666666666666E-3</v>
      </c>
      <c r="EQ35" s="3319">
        <f t="shared" si="116"/>
        <v>1.6666666666666666E-2</v>
      </c>
      <c r="ER35" s="809">
        <f>+'MCP ST'!H29</f>
        <v>1.5959135455590834</v>
      </c>
      <c r="ES35" s="4236">
        <f t="shared" si="117"/>
        <v>0.30707600000000002</v>
      </c>
      <c r="EZ35" s="2154">
        <f>+'Plan mina ST'!AM33</f>
        <v>0.44153437527899392</v>
      </c>
      <c r="FA35" s="2080" t="str">
        <f>IF($FC35&lt;=Factores!$D$3,AX35,"")</f>
        <v/>
      </c>
      <c r="FB35" s="2083"/>
      <c r="FC35" s="2079">
        <f t="shared" si="13"/>
        <v>46109.791666666664</v>
      </c>
      <c r="FD35" s="787" t="str">
        <f>IF($FC35&lt;=Factores!$D$3,'ST Original'!C35,"")</f>
        <v/>
      </c>
      <c r="FE35" s="789" t="str">
        <f>IF($FC35&lt;=Factores!$D$3,'ST Original'!D35,"")</f>
        <v/>
      </c>
      <c r="FF35" s="787" t="str">
        <f>IF($FC35&lt;=Factores!$D$3,'ST Original'!E35,"")</f>
        <v/>
      </c>
      <c r="FG35" s="789"/>
      <c r="FH35" s="2064" t="str">
        <f>IF($FC35&lt;=Factores!$D$3,'ST Original'!J35,"")</f>
        <v/>
      </c>
      <c r="FI35" s="2082" t="str">
        <f>IF($FC35&lt;=Factores!$D$3,'ST Original'!BT35,"")</f>
        <v/>
      </c>
      <c r="FJ35" s="2082" t="str">
        <f>IF($FC35&lt;=Factores!$D$3,'ST Original'!K35,"")</f>
        <v/>
      </c>
      <c r="FK35" s="2081" t="str">
        <f>IF($FC35&lt;=Factores!$D$3,'ST Original'!L35,"")</f>
        <v/>
      </c>
      <c r="FL35" s="2082" t="str">
        <f>IF($FC35&lt;=Factores!$D$3,'ST Original'!M35,"")</f>
        <v/>
      </c>
      <c r="FM35" s="2082" t="str">
        <f>IF($FC35&lt;=Factores!$D$3,'ST Original'!N35,"")</f>
        <v/>
      </c>
      <c r="FN35" s="787" t="str">
        <f>IF($FC35&lt;=Factores!$D$3,'ST Original'!O35,"")</f>
        <v/>
      </c>
      <c r="FO35" s="788" t="str">
        <f>IF($FC35&lt;=Factores!$D$3,'ST Original'!R35,"")</f>
        <v/>
      </c>
      <c r="FP35" s="787" t="str">
        <f>IF($FC35&lt;=Factores!$D$3,'ST Original'!S35,"")</f>
        <v/>
      </c>
      <c r="FQ35" s="789" t="str">
        <f>IF($FC35&lt;=Factores!$D$3,'ST Original'!V35,"")</f>
        <v/>
      </c>
      <c r="FR35" s="787" t="str">
        <f>IF($FC35&lt;=Factores!$D$3,'ST Original'!W35,"")</f>
        <v/>
      </c>
      <c r="FS35" s="827" t="str">
        <f>IF($FC35&lt;=Factores!$D$3,'ST Original'!X35,"")</f>
        <v/>
      </c>
      <c r="FT35" s="827" t="str">
        <f>IF($FC35&lt;=Factores!$D$3,'ST Original'!Y35,"")</f>
        <v/>
      </c>
      <c r="FU35" s="827" t="str">
        <f>IF($FC35&lt;=Factores!$D$3,'ST Original'!Z35,"")</f>
        <v/>
      </c>
      <c r="FV35" s="827" t="str">
        <f>IF($FC35&lt;=Factores!$D$3,'ST Original'!AA35,"")</f>
        <v/>
      </c>
      <c r="FW35" s="788" t="str">
        <f>IF($FC35&lt;=Factores!$D$3,'ST Original'!AB35,"")</f>
        <v/>
      </c>
      <c r="FX35" s="788" t="str">
        <f>IF($FC35&lt;=Factores!$D$3,'ST Original'!AC35,"")</f>
        <v/>
      </c>
      <c r="FY35" s="827" t="str">
        <f>IF($FC35&lt;=Factores!$D$3,AE35,"")</f>
        <v/>
      </c>
      <c r="FZ35" s="789" t="str">
        <f>IF($FC35&lt;=Factores!$D$3,AF35,"")</f>
        <v/>
      </c>
      <c r="GA35" s="788" t="str">
        <f>IF($FC35&lt;=Factores!$D$3,AG35,"")</f>
        <v/>
      </c>
      <c r="GB35" s="787" t="str">
        <f>IF($FC35&lt;=Factores!$D$3,AI35,"")</f>
        <v/>
      </c>
      <c r="GC35" s="789" t="str">
        <f>IF($FC35&lt;=Factores!$D$3,AJ35,"")</f>
        <v/>
      </c>
      <c r="GD35" s="787" t="str">
        <f>IF($FC35&lt;=Factores!$D$3,AN35,"")</f>
        <v/>
      </c>
      <c r="GE35" s="788" t="str">
        <f>IF($FC35&lt;=Factores!$D$3,AO35,"")</f>
        <v/>
      </c>
      <c r="GF35" s="789" t="str">
        <f>IF($FC35&lt;=Factores!$D$3,AP35,"")</f>
        <v/>
      </c>
      <c r="GG35" s="2072" t="str">
        <f>IF($FC35&lt;=Factores!$D$3,BI35,"")</f>
        <v/>
      </c>
      <c r="GH35" s="2073" t="str">
        <f>IF($FC35&lt;=Factores!$D$3,BJ35,"")</f>
        <v/>
      </c>
      <c r="GI35" s="2069">
        <f>+'Plan mina ST'!AN70</f>
        <v>0</v>
      </c>
      <c r="GJ35" s="2065">
        <f t="shared" si="14"/>
        <v>46109.791666666664</v>
      </c>
      <c r="GK35" s="2080">
        <f>+'Plan mina ST'!J33</f>
        <v>3.7182738605934233E-2</v>
      </c>
      <c r="GL35" s="826">
        <f t="shared" si="15"/>
        <v>1.2578361339683097</v>
      </c>
      <c r="GM35" s="788">
        <f t="shared" si="118"/>
        <v>5611.4390138250765</v>
      </c>
      <c r="GN35" s="2084">
        <f t="shared" si="119"/>
        <v>135058.55773637802</v>
      </c>
      <c r="GO35" s="826">
        <f>+'Plan mina ST'!K33</f>
        <v>1.2044504491599561</v>
      </c>
      <c r="GP35" s="826">
        <f t="shared" si="16"/>
        <v>46.565425734893161</v>
      </c>
      <c r="GQ35" s="788">
        <f t="shared" si="17"/>
        <v>207736.95365213364</v>
      </c>
      <c r="GR35" s="788">
        <f t="shared" si="120"/>
        <v>5127569.2222398119</v>
      </c>
      <c r="GS35" s="2082">
        <f>+'Plan mina ST'!V33</f>
        <v>29.582279762370987</v>
      </c>
      <c r="GT35" s="789">
        <f t="shared" si="18"/>
        <v>1331.2025893066943</v>
      </c>
      <c r="GU35" s="2072" t="str">
        <f>IF($FC35&lt;=Factores!$D$3,AT35,"")</f>
        <v/>
      </c>
      <c r="GW35" s="2082">
        <f>+'Plan mina ST'!AI33</f>
        <v>0.95472883959469068</v>
      </c>
      <c r="GX35" s="2085">
        <v>0.5</v>
      </c>
      <c r="GY35" s="819"/>
      <c r="GZ35" s="2079">
        <f t="shared" si="19"/>
        <v>46109.791666666664</v>
      </c>
      <c r="HA35" s="787">
        <f>IF($FC35&gt;Factores!$D$3,'ST Original'!C35,"")</f>
        <v>185000.00000020902</v>
      </c>
      <c r="HB35" s="789">
        <f>IF($FC35&gt;Factores!$D$3,'ST Original'!D35,"")</f>
        <v>648411.08982838516</v>
      </c>
      <c r="HC35" s="787">
        <f>IF($FC35&gt;Factores!$D$3,'ST Original'!E35,"")</f>
        <v>215593.08832196021</v>
      </c>
      <c r="HD35" s="789"/>
      <c r="HE35" s="2064">
        <f>IF($FC35&gt;Factores!$D$3,'ST Original'!J35,"")</f>
        <v>97.885672723806138</v>
      </c>
      <c r="HF35" s="2082">
        <f>IF($FC35&gt;Factores!$D$3,'ST Original'!BT35,"")</f>
        <v>9183.4562277153309</v>
      </c>
      <c r="HG35" s="2082">
        <f>IF($FC35&gt;Factores!$D$3,'ST Original'!K35,"")</f>
        <v>44.153437527899392</v>
      </c>
      <c r="HH35" s="2081">
        <f>IF($FC35&gt;Factores!$D$3,'ST Original'!L35,"")</f>
        <v>0.58702891178295702</v>
      </c>
      <c r="HI35" s="2082">
        <f>IF($FC35&gt;Factores!$D$3,'ST Original'!M35,"")</f>
        <v>89.583309455896881</v>
      </c>
      <c r="HJ35" s="2082">
        <f>IF($FC35&gt;Factores!$D$3,'ST Original'!N35,"")</f>
        <v>25.41389590416216</v>
      </c>
      <c r="HK35" s="787">
        <f>IF($FC35&gt;Factores!$D$3,'ST Original'!O35,"")</f>
        <v>4461.1844597926402</v>
      </c>
      <c r="HL35" s="788">
        <f>IF($FC35&gt;Factores!$D$3,'ST Original'!R35,"")</f>
        <v>92150.227098023213</v>
      </c>
      <c r="HM35" s="787">
        <f>IF($FC35&gt;Factores!$D$3,'ST Original'!S35,"")</f>
        <v>1133.7607747043605</v>
      </c>
      <c r="HN35" s="789">
        <f>IF($FC35&gt;Factores!$D$3,'ST Original'!V35,"")</f>
        <v>24602.563430903192</v>
      </c>
      <c r="HO35" s="787">
        <f>IF($FC35&gt;Factores!$D$3,'ST Original'!W35,"")</f>
        <v>79.320162188502493</v>
      </c>
      <c r="HP35" s="827">
        <f>IF($FC35&gt;Factores!$D$3,'ST Original'!X35,"")</f>
        <v>87.295776221145999</v>
      </c>
      <c r="HQ35" s="827">
        <f>IF($FC35&gt;Factores!$D$3,'ST Original'!Y35,"")</f>
        <v>86.74541587068218</v>
      </c>
      <c r="HR35" s="827">
        <f>IF($FC35&gt;Factores!$D$3,'ST Original'!Z35,"")</f>
        <v>75.725084120573186</v>
      </c>
      <c r="HS35" s="827">
        <f>IF($FC35&gt;Factores!$D$3,'ST Original'!AA35,"")</f>
        <v>50</v>
      </c>
      <c r="HT35" s="788">
        <f>IF($FC35&gt;Factores!$D$3,'ST Original'!AB35,"")</f>
        <v>25.899309610961517</v>
      </c>
      <c r="HU35" s="788">
        <f>IF($FC35&gt;Factores!$D$3,'ST Original'!AC35,"")</f>
        <v>25.899309610961517</v>
      </c>
      <c r="HV35" s="827">
        <f>IF($FC35&gt;Factores!$D$3,AE35,"")</f>
        <v>12.949654805480758</v>
      </c>
      <c r="HW35" s="789">
        <f>IF($FC35&gt;Factores!$D$3,AF35,"")</f>
        <v>766.47935846491441</v>
      </c>
      <c r="HX35" s="788">
        <f>IF($FC35&gt;Factores!$D$3,AG35,"")</f>
        <v>25</v>
      </c>
      <c r="HY35" s="787">
        <f>IF($FC35&gt;Factores!$D$3,AI35,"")</f>
        <v>1171.3018239854493</v>
      </c>
      <c r="HZ35" s="789">
        <f>IF($FC35&gt;Factores!$D$3,AJ35,"")</f>
        <v>26824.587091092981</v>
      </c>
      <c r="IA35" s="787">
        <f>IF($FC35&gt;Factores!$D$3,AN35,"")</f>
        <v>4366</v>
      </c>
      <c r="IB35" s="788">
        <f>IF($FC35&gt;Factores!$D$3,AO35,"")</f>
        <v>25.237979789437635</v>
      </c>
      <c r="IC35" s="789">
        <f>IF($FC35&gt;Factores!$D$3,AP35,"")</f>
        <v>1101.8901976068471</v>
      </c>
      <c r="ID35" s="2072">
        <f>IF($FC35&gt;Factores!$D$3,BI35,"")</f>
        <v>29.582279762370987</v>
      </c>
      <c r="IE35" s="2073">
        <f>IF($FC35&gt;Factores!$D$3,BJ35,"")</f>
        <v>1331.2025893066943</v>
      </c>
      <c r="IF35" s="4237">
        <f t="shared" si="20"/>
        <v>215593.08832196021</v>
      </c>
      <c r="IG35" s="4237">
        <f t="shared" si="124"/>
        <v>5131594.3100494118</v>
      </c>
      <c r="IH35" s="4234">
        <f t="shared" si="121"/>
        <v>0.58702891178295702</v>
      </c>
      <c r="II35" s="342">
        <f>SUMPRODUCT(IH$8:IH35,IF$8:IF35)/IG35</f>
        <v>0.53094340012584895</v>
      </c>
      <c r="IJ35" s="4235">
        <f t="shared" si="122"/>
        <v>89.583309455896881</v>
      </c>
      <c r="IK35" s="342" cm="1">
        <f t="array" ref="IK35">SUMPRODUCT(IJ$8:IJ35,IF$8:IF35/IG35)</f>
        <v>90.28299508724416</v>
      </c>
    </row>
    <row r="36" spans="1:245" s="744" customFormat="1" ht="14.25" customHeight="1">
      <c r="A36" s="4643"/>
      <c r="B36" s="2133">
        <f t="shared" si="21"/>
        <v>46110.791666666664</v>
      </c>
      <c r="C36" s="2134">
        <f>+'Plan mina ST'!N71*1000</f>
        <v>219999.99999977328</v>
      </c>
      <c r="D36" s="2134">
        <f>+'Plan mina ST'!M71*1000</f>
        <v>657785.16053012596</v>
      </c>
      <c r="E36" s="2134">
        <f>(('Plan mina ST'!O71*1000))</f>
        <v>210625.92929803248</v>
      </c>
      <c r="F36" s="2134">
        <f>+'Plan mina ST'!J71*1000</f>
        <v>42200.038282395093</v>
      </c>
      <c r="G36" s="2134">
        <f t="shared" ref="G36:G38" si="154">+E36-F36</f>
        <v>168425.89101563737</v>
      </c>
      <c r="H36" s="2135">
        <f t="shared" ref="H36:H38" si="155">CC36</f>
        <v>98.056332111173901</v>
      </c>
      <c r="I36" s="2135">
        <f t="shared" ref="I36:I38" si="156">CA36</f>
        <v>97.12989278992228</v>
      </c>
      <c r="J36" s="2135">
        <f t="shared" ref="J36:J38" si="157">+SUMPRODUCT(H36:I36,$H$4:$I$4)</f>
        <v>97.885672723806138</v>
      </c>
      <c r="K36" s="2135">
        <f>+'Plan mina ST'!AM34*100</f>
        <v>70.841381451589641</v>
      </c>
      <c r="L36" s="2528">
        <f>'Plan mina ST'!D34</f>
        <v>0.58110873305710664</v>
      </c>
      <c r="M36" s="2135">
        <f>'Plan mina ST'!C34</f>
        <v>89.976839205924364</v>
      </c>
      <c r="N36" s="2136">
        <f>'Plan mina ST'!B34</f>
        <v>26.613948682597318</v>
      </c>
      <c r="O36" s="2134">
        <f t="shared" ref="O36:O38" si="158">+IF(ISNUMBER(E36*L36*M36/N36/100),E36*L36*M36/N36/100,"0")</f>
        <v>4138.0015993722654</v>
      </c>
      <c r="P36" s="2134">
        <f t="shared" ref="P36:P38" si="159">+IF(ISNUMBER(G36*L36*M36/N36/100),G36*L36*M36/N36/100,"0")</f>
        <v>3308.9307129524268</v>
      </c>
      <c r="Q36" s="2134">
        <f t="shared" ref="Q36:Q38" si="160">+F36*L36*M36/N36/100</f>
        <v>829.07088641983694</v>
      </c>
      <c r="R36" s="2134">
        <f t="shared" ref="R36:R38" si="161">R35+O36</f>
        <v>96288.228697395476</v>
      </c>
      <c r="S36" s="2134">
        <f t="shared" ref="S36:S38" si="162">O36*N36/100</f>
        <v>1101.2856221419911</v>
      </c>
      <c r="T36" s="2134">
        <f t="shared" ref="T36:T38" si="163">+P36*N36/100</f>
        <v>880.63712188786042</v>
      </c>
      <c r="U36" s="2134">
        <f t="shared" ref="U36:U38" si="164">+IF(ISNUMBER(Q36*N36/100),Q36*N36/100,"0")</f>
        <v>220.64850025413008</v>
      </c>
      <c r="V36" s="2134">
        <f t="shared" ref="V36:V38" si="165">V35+S36</f>
        <v>25703.849053045182</v>
      </c>
      <c r="W36" s="3933">
        <f>+'Plan mina ST'!E34</f>
        <v>81.246285404785922</v>
      </c>
      <c r="X36" s="3934">
        <f t="shared" si="153"/>
        <v>87.379902013387337</v>
      </c>
      <c r="Y36" s="2135">
        <f t="shared" ref="Y36:Y38" si="166">(IF(W36&gt;0,$Y$2*LN(W36)+$Y$3,$Y$2*LN(W36)+$Y$3))</f>
        <v>86.813394539694372</v>
      </c>
      <c r="Z36" s="2135">
        <f t="shared" si="30"/>
        <v>75.85745908328029</v>
      </c>
      <c r="AA36" s="2136">
        <v>50</v>
      </c>
      <c r="AB36" s="2134">
        <f t="shared" ref="AB36:AB38" si="167">+AE36/(AA36/100)</f>
        <v>25.962328194652681</v>
      </c>
      <c r="AC36" s="2134">
        <f t="shared" ref="AC36:AC38" si="168">+AB36</f>
        <v>25.962328194652681</v>
      </c>
      <c r="AD36" s="2134">
        <f t="shared" ref="AD36:AD38" si="169">+AG36/0.5</f>
        <v>50</v>
      </c>
      <c r="AE36" s="2134">
        <f t="shared" ref="AE36:AE38" si="170">+E36*W36*Z36/100000000</f>
        <v>12.98116409732634</v>
      </c>
      <c r="AF36" s="2134">
        <f t="shared" ref="AF36:AF38" si="171">+AF35+AE36</f>
        <v>779.46052256224073</v>
      </c>
      <c r="AG36" s="2134">
        <v>25</v>
      </c>
      <c r="AH36" s="2134">
        <f t="shared" ref="AH36:AH38" si="172">IF(AE36&gt;AG36,AH35+AE36-AG36,AH35+AE36-AG36)</f>
        <v>263.26576512830343</v>
      </c>
      <c r="AI36" s="2134">
        <f t="shared" ref="AI36:AI38" si="173">+S36+AE36*$EW$7</f>
        <v>1138.9180168601401</v>
      </c>
      <c r="AJ36" s="2134">
        <f t="shared" ref="AJ36:AJ38" si="174">AJ35+AI36</f>
        <v>27963.505107953122</v>
      </c>
      <c r="AK36" s="2134">
        <v>4366</v>
      </c>
      <c r="AL36" s="2136">
        <f t="shared" si="126"/>
        <v>25.41389590416216</v>
      </c>
      <c r="AM36" s="2134">
        <f t="shared" ref="AM36:AM38" si="175">IF(ISNUMBER(AK36*AL36/100),AK36*AL36/100,"---")</f>
        <v>1109.5706951757199</v>
      </c>
      <c r="AN36" s="2134">
        <f t="shared" ref="AN36:AN37" si="176">+AK35</f>
        <v>4366</v>
      </c>
      <c r="AO36" s="2136">
        <f t="shared" si="36"/>
        <v>26.753175806139513</v>
      </c>
      <c r="AP36" s="2134">
        <f t="shared" ref="AP36:AP37" si="177">IF(ISNUMBER(AN36*AO36/100),AN36*AO36/100,"---")</f>
        <v>1168.0436556960512</v>
      </c>
      <c r="AQ36" s="2134">
        <f t="shared" ref="AQ36:AQ38" si="178">+AZ36</f>
        <v>8.4777408915590264</v>
      </c>
      <c r="AR36" s="2134">
        <f t="shared" si="38"/>
        <v>2837.9259001714604</v>
      </c>
      <c r="AS36" s="2134">
        <f t="shared" ref="AS36:AS38" si="179">+O36-AK36</f>
        <v>-227.99840062773455</v>
      </c>
      <c r="AT36" s="2136">
        <f>+'Recalculos ST'!E37</f>
        <v>39.461790207852523</v>
      </c>
      <c r="AU36" s="2134">
        <f>+'MCP ST'!V30</f>
        <v>78.391943949599408</v>
      </c>
      <c r="AV36" s="3973">
        <f>+Factores!$D$24</f>
        <v>0.96199999999999997</v>
      </c>
      <c r="AW36" s="2134">
        <f t="shared" si="40"/>
        <v>1123.6579967796013</v>
      </c>
      <c r="AX36" s="2376">
        <f>'Plan mina ST'!AK34/25.4</f>
        <v>4.1654771605232419</v>
      </c>
      <c r="AY36" s="2718">
        <f>+'Recalculos ST'!AK37</f>
        <v>197.04603008427083</v>
      </c>
      <c r="AZ36" s="2138">
        <f>'Plan mina ST'!O34*BA36/1000000*0.79</f>
        <v>8.4777408915590264</v>
      </c>
      <c r="BA36" s="2137">
        <f t="shared" ref="BA36:BA38" si="180">+E36/24</f>
        <v>8776.0803874180201</v>
      </c>
      <c r="BB36" s="2138">
        <f>'Plan mina ST'!O34*'ST Original'!BT36/1000000*0.8</f>
        <v>8.776585801060218</v>
      </c>
      <c r="BC36" s="4640"/>
      <c r="BD36" s="2148">
        <f t="shared" si="12"/>
        <v>46110.791666666664</v>
      </c>
      <c r="BE36" s="2149">
        <f>'Plan mina ST'!J34</f>
        <v>3.678014984588035E-2</v>
      </c>
      <c r="BF36" s="2150">
        <f t="shared" ref="BF36:BF38" si="181">BE36*$BF$4</f>
        <v>1.2726521530275159</v>
      </c>
      <c r="BG36" s="2151">
        <f>'Plan mina ST'!K34</f>
        <v>1.3811764266152766</v>
      </c>
      <c r="BH36" s="2150">
        <f t="shared" ref="BH36:BH38" si="182">BG36*$BH$4</f>
        <v>47.790918753955665</v>
      </c>
      <c r="BI36" s="2151">
        <f>'Plan mina ST'!V34</f>
        <v>39.292126131271907</v>
      </c>
      <c r="BJ36" s="2152">
        <f t="shared" ref="BJ36:BJ38" si="183">BI36*$BJ$4</f>
        <v>1768.1456759072357</v>
      </c>
      <c r="BK36" s="3395">
        <f>'Plan mina ST'!AI34</f>
        <v>1.2026141680676279</v>
      </c>
      <c r="BL36" s="3399">
        <f>'Recalculos ST'!T37</f>
        <v>5.7994124993366523</v>
      </c>
      <c r="BM36" s="3391">
        <f t="shared" ref="BM36:BM38" si="184">BL36*(BU36*BX36/100)/1000</f>
        <v>13.568622574308042</v>
      </c>
      <c r="BN36" s="3391">
        <f t="shared" ref="BN36:BN38" si="185">BL36*(BV36*BY36/100)/1000</f>
        <v>13.568622574308042</v>
      </c>
      <c r="BO36" s="3391">
        <f t="shared" ref="BO36:BO38" si="186">BL36*(BW36*BZ36/100)/1000</f>
        <v>13.568622574308042</v>
      </c>
      <c r="BP36" s="3391">
        <f t="shared" ref="BP36:BP38" si="187">SUM(BM36:BO36)</f>
        <v>40.705867722924125</v>
      </c>
      <c r="BQ36" s="3400">
        <f t="shared" ref="BQ36:BQ38" si="188">BL36*1.4*(BS36*CA36/100)/1000</f>
        <v>14.278712329878253</v>
      </c>
      <c r="BR36" s="3397">
        <f t="shared" si="50"/>
        <v>7156.8508712199628</v>
      </c>
      <c r="BS36" s="2137">
        <f t="shared" si="51"/>
        <v>1810.6065984488382</v>
      </c>
      <c r="BT36" s="3344">
        <f t="shared" si="52"/>
        <v>8971.8738999728921</v>
      </c>
      <c r="BU36" s="3345">
        <f t="shared" si="53"/>
        <v>2386.031198600856</v>
      </c>
      <c r="BV36" s="3345">
        <f t="shared" si="54"/>
        <v>2386.031198600856</v>
      </c>
      <c r="BW36" s="3345">
        <f t="shared" si="55"/>
        <v>2386.031198600856</v>
      </c>
      <c r="BX36" s="3346">
        <f t="shared" si="56"/>
        <v>98.056332111173916</v>
      </c>
      <c r="BY36" s="3346">
        <f t="shared" si="57"/>
        <v>98.056332111173916</v>
      </c>
      <c r="BZ36" s="3346">
        <f t="shared" si="58"/>
        <v>98.056332111173916</v>
      </c>
      <c r="CA36" s="3346">
        <f t="shared" si="59"/>
        <v>97.12989278992228</v>
      </c>
      <c r="CB36" s="3346">
        <f t="shared" si="60"/>
        <v>97.885715079916608</v>
      </c>
      <c r="CC36" s="3623">
        <f t="shared" si="61"/>
        <v>98.056332111173901</v>
      </c>
      <c r="CD36" s="3348">
        <f t="shared" si="62"/>
        <v>98.886834920573264</v>
      </c>
      <c r="CE36" s="3348">
        <f t="shared" si="63"/>
        <v>98.886834920573264</v>
      </c>
      <c r="CF36" s="3348">
        <f t="shared" si="64"/>
        <v>98.886834920573264</v>
      </c>
      <c r="CG36" s="3348">
        <f t="shared" si="65"/>
        <v>98.356250499976611</v>
      </c>
      <c r="CH36" s="3346">
        <f t="shared" si="66"/>
        <v>98.789120222376653</v>
      </c>
      <c r="CI36" s="3347">
        <f t="shared" si="67"/>
        <v>26.877795450599066</v>
      </c>
      <c r="CJ36" s="3354">
        <f t="shared" si="68"/>
        <v>6.4495510000000005</v>
      </c>
      <c r="CK36" s="3355">
        <f t="shared" si="69"/>
        <v>6.4495510000000005</v>
      </c>
      <c r="CL36" s="3355">
        <f t="shared" si="70"/>
        <v>6.4495510000000005</v>
      </c>
      <c r="CM36" s="3356">
        <f t="shared" si="71"/>
        <v>4.3442710000000009</v>
      </c>
      <c r="CN36" s="3356">
        <f t="shared" si="72"/>
        <v>23.692924000000001</v>
      </c>
      <c r="CO36" s="3354">
        <f t="shared" si="73"/>
        <v>6.3953843333333333</v>
      </c>
      <c r="CP36" s="3355">
        <f t="shared" si="74"/>
        <v>6.3953843333333333</v>
      </c>
      <c r="CQ36" s="3355">
        <f t="shared" si="75"/>
        <v>6.3953843333333333</v>
      </c>
      <c r="CR36" s="3356">
        <f t="shared" si="76"/>
        <v>4.2901043333333337</v>
      </c>
      <c r="CS36" s="3356">
        <f t="shared" si="77"/>
        <v>23.476257333333333</v>
      </c>
      <c r="CT36" s="3357">
        <f t="shared" ref="CT36:CT37" si="189">(24-$EQ36)*DL$3</f>
        <v>6.5217878333333337</v>
      </c>
      <c r="CU36" s="2153">
        <f t="shared" ref="CU36:CU37" si="190">(24-$EQ36)*DM$3</f>
        <v>6.5217878333333337</v>
      </c>
      <c r="CV36" s="2153">
        <f t="shared" ref="CV36:CV37" si="191">(24-$EQ36)*DN$3</f>
        <v>6.5217878333333337</v>
      </c>
      <c r="CW36" s="3358">
        <f t="shared" ref="CW36:CW37" si="192">(24-$EQ36)*DO$3</f>
        <v>4.4179698333333342</v>
      </c>
      <c r="CX36" s="3354">
        <f t="shared" ref="CX36:CX38" si="193">DL36*DL$3+IF(DL36&gt;=DP36,0,(DP36-DL36)*DP$3)+IF(DL36&gt;=DQ36,0,(DQ36-DL36)*DQ$3)</f>
        <v>0</v>
      </c>
      <c r="CY36" s="3355">
        <f t="shared" ref="CY36:CY38" si="194">DM36*DM$3+IF(DM36&gt;=DR36,0,(DR36-DM36)*DR$3)+IF(DM36&gt;=DS36,0,(DS36-DM36)*DS$3)</f>
        <v>0</v>
      </c>
      <c r="CZ36" s="3355">
        <f t="shared" ref="CZ36:CZ38" si="195">DN36*DN$3+IF(DN36&gt;=DT36,0,(DT36-DN36)*DT$3)+IF(DN36&gt;=DU36,0,(DU36-DN36)*DU$3)</f>
        <v>0</v>
      </c>
      <c r="DA36" s="3356">
        <f t="shared" ref="DA36:DA38" si="196">DO36*DO$3+IF(DO36&gt;=DV36,0,(DV36-DO36)*DV$3)</f>
        <v>0</v>
      </c>
      <c r="DB36" s="3354">
        <f t="shared" ref="DB36:DB38" si="197">+CX36+DW36</f>
        <v>7.2602333333333338E-2</v>
      </c>
      <c r="DC36" s="3355">
        <f t="shared" ref="DC36:DC38" si="198">+CY36+DX36</f>
        <v>7.2602333333333338E-2</v>
      </c>
      <c r="DD36" s="3355">
        <f t="shared" ref="DD36:DD38" si="199">+CZ36+DY36</f>
        <v>7.2602333333333338E-2</v>
      </c>
      <c r="DE36" s="3356">
        <f t="shared" ref="DE36:DE38" si="200">+DA36+DZ36</f>
        <v>7.2602333333333338E-2</v>
      </c>
      <c r="DF36" s="3356">
        <f t="shared" ref="DF36:DF38" si="201">SUM(DB36:DE36)</f>
        <v>0.29040933333333335</v>
      </c>
      <c r="DG36" s="3354">
        <f t="shared" ref="DG36:DG38" si="202">+DB36+EE36+EI36</f>
        <v>0.12676900000000002</v>
      </c>
      <c r="DH36" s="3355">
        <f t="shared" ref="DH36:DH38" si="203">+DC36+EF36+EJ36</f>
        <v>0.12676900000000002</v>
      </c>
      <c r="DI36" s="3355">
        <f t="shared" ref="DI36:DI38" si="204">+DD36+EG36+EK36</f>
        <v>0.12676900000000002</v>
      </c>
      <c r="DJ36" s="3356">
        <f t="shared" ref="DJ36:DJ38" si="205">+DE36+EH36+EL36</f>
        <v>0.12676900000000002</v>
      </c>
      <c r="DK36" s="3356">
        <f t="shared" ref="DK36:DK38" si="206">SUM(DG36:DJ36)</f>
        <v>0.50707600000000008</v>
      </c>
      <c r="DL36" s="2137">
        <v>0</v>
      </c>
      <c r="DM36" s="2137">
        <v>0</v>
      </c>
      <c r="DN36" s="2137">
        <v>0</v>
      </c>
      <c r="DO36" s="2137">
        <v>0</v>
      </c>
      <c r="DP36" s="2137">
        <v>0</v>
      </c>
      <c r="DQ36" s="2137">
        <v>0</v>
      </c>
      <c r="DR36" s="2137">
        <v>0</v>
      </c>
      <c r="DS36" s="2137">
        <v>0</v>
      </c>
      <c r="DT36" s="2137">
        <v>0</v>
      </c>
      <c r="DU36" s="2137">
        <v>0</v>
      </c>
      <c r="DV36" s="2137">
        <v>0</v>
      </c>
      <c r="DW36" s="2579">
        <f t="shared" ref="DW36:DW37" si="207">+IF(DL36=24,0,$DW$4)</f>
        <v>7.2602333333333338E-2</v>
      </c>
      <c r="DX36" s="2579">
        <f t="shared" ref="DX36:DX37" si="208">+IF(DM36=24,0,$DW$4)</f>
        <v>7.2602333333333338E-2</v>
      </c>
      <c r="DY36" s="2579">
        <f t="shared" ref="DY36:DY37" si="209">+IF(DN36=24,0,$DW$4)</f>
        <v>7.2602333333333338E-2</v>
      </c>
      <c r="DZ36" s="2579">
        <f t="shared" ref="DZ36:DZ37" si="210">+IF(DO36=24,0,$DW$4)</f>
        <v>7.2602333333333338E-2</v>
      </c>
      <c r="EA36" s="2579">
        <f t="shared" ref="EA36:EA37" si="211">+IF(DL36=24,0,$EA$4)</f>
        <v>0</v>
      </c>
      <c r="EB36" s="2579">
        <f t="shared" ref="EB36:EB37" si="212">+IF(DM36=24,0,$EA$4)</f>
        <v>0</v>
      </c>
      <c r="EC36" s="2579">
        <f t="shared" ref="EC36:EC37" si="213">+IF(DN36=24,0,$EA$4)</f>
        <v>0</v>
      </c>
      <c r="ED36" s="2579">
        <f t="shared" ref="ED36:ED37" si="214">+IF(DO36=24,0,$EA$4)</f>
        <v>0</v>
      </c>
      <c r="EE36" s="2579">
        <f t="shared" ref="EE36:EE37" si="215">+IF(DL36=24,0,$EE$4)</f>
        <v>0.05</v>
      </c>
      <c r="EF36" s="2579">
        <f t="shared" ref="EF36:EF37" si="216">+IF(DM36=24,0,$EE$4)</f>
        <v>0.05</v>
      </c>
      <c r="EG36" s="2579">
        <f t="shared" ref="EG36:EG37" si="217">+IF(DN36=24,0,$EE$4)</f>
        <v>0.05</v>
      </c>
      <c r="EH36" s="2579">
        <f t="shared" ref="EH36:EH37" si="218">+IF(DO36=24,0,$EE$4)</f>
        <v>0.05</v>
      </c>
      <c r="EI36" s="2579">
        <f t="shared" ref="EI36:EI37" si="219">+IF(DL36=24,0,$EI$4)</f>
        <v>4.1666666666666666E-3</v>
      </c>
      <c r="EJ36" s="2579">
        <f t="shared" ref="EJ36:EJ37" si="220">+IF(DM36=24,0,$EI$4)</f>
        <v>4.1666666666666666E-3</v>
      </c>
      <c r="EK36" s="2579">
        <f t="shared" ref="EK36:EK37" si="221">+IF(DN36=24,0,$EI$4)</f>
        <v>4.1666666666666666E-3</v>
      </c>
      <c r="EL36" s="2581">
        <f t="shared" ref="EL36:EL37" si="222">+IF(DO36=24,0,$EI$4)</f>
        <v>4.1666666666666666E-3</v>
      </c>
      <c r="EM36" s="3341">
        <f t="shared" ref="EM36:EM37" si="223">+IF(DL36=24,0,$EM$4)</f>
        <v>4.1666666666666666E-3</v>
      </c>
      <c r="EN36" s="3341">
        <f t="shared" ref="EN36:EN37" si="224">+IF(DM36=24,0,$EM$4)</f>
        <v>4.1666666666666666E-3</v>
      </c>
      <c r="EO36" s="3341">
        <f t="shared" ref="EO36:EO37" si="225">+IF(DN36=24,0,$EM$4)</f>
        <v>4.1666666666666666E-3</v>
      </c>
      <c r="EP36" s="3341">
        <f t="shared" ref="EP36:EP37" si="226">+IF(DO36=24,0,$EM$4)</f>
        <v>4.1666666666666666E-3</v>
      </c>
      <c r="EQ36" s="3319">
        <f t="shared" si="116"/>
        <v>1.6666666666666666E-2</v>
      </c>
      <c r="ER36" s="809">
        <f>+'MCP ST'!H30</f>
        <v>1.4155252190675685</v>
      </c>
      <c r="ES36" s="4236">
        <f t="shared" si="117"/>
        <v>0.30707600000000002</v>
      </c>
      <c r="EZ36" s="2154">
        <f>+'Plan mina ST'!AM34</f>
        <v>0.70841381451589636</v>
      </c>
      <c r="FA36" s="2069"/>
      <c r="FB36" s="2068"/>
      <c r="FC36" s="2070">
        <f t="shared" si="13"/>
        <v>46110.791666666664</v>
      </c>
      <c r="FD36" s="1573"/>
      <c r="FE36" s="976"/>
      <c r="FF36" s="1573"/>
      <c r="FG36" s="976"/>
      <c r="FH36" s="2064"/>
      <c r="FI36" s="2064"/>
      <c r="FJ36" s="2064"/>
      <c r="FK36" s="2071"/>
      <c r="FL36" s="2064"/>
      <c r="FM36" s="2064"/>
      <c r="FN36" s="1573"/>
      <c r="FO36" s="1556"/>
      <c r="FP36" s="1573"/>
      <c r="FQ36" s="976"/>
      <c r="FR36" s="1573"/>
      <c r="FS36" s="975"/>
      <c r="FT36" s="975"/>
      <c r="FU36" s="975"/>
      <c r="FV36" s="975"/>
      <c r="FW36" s="1556"/>
      <c r="FX36" s="1556"/>
      <c r="FY36" s="975"/>
      <c r="FZ36" s="976"/>
      <c r="GA36" s="1556"/>
      <c r="GB36" s="1573"/>
      <c r="GC36" s="976"/>
      <c r="GD36" s="780"/>
      <c r="GE36" s="539"/>
      <c r="GF36" s="782"/>
      <c r="GG36" s="2072"/>
      <c r="GH36" s="2073"/>
      <c r="GI36" s="2069">
        <f>+'Plan mina ST'!AN71</f>
        <v>0</v>
      </c>
      <c r="GJ36" s="2065">
        <f t="shared" ref="GJ36:GJ38" si="227">FC36</f>
        <v>46110.791666666664</v>
      </c>
      <c r="GK36" s="2080">
        <f>+'Plan mina ST'!J34</f>
        <v>3.678014984588035E-2</v>
      </c>
      <c r="GL36" s="826">
        <f t="shared" ref="GL36:GL38" si="228">+(GM36/O36)</f>
        <v>1.3104869919647304</v>
      </c>
      <c r="GM36" s="788">
        <f t="shared" ref="GM36:GM38" si="229">+E36*$GF$4/100*GK36</f>
        <v>5422.797268706604</v>
      </c>
      <c r="GN36" s="2084">
        <f t="shared" ref="GN36:GN38" si="230">+GN35+GM36</f>
        <v>140481.35500508462</v>
      </c>
      <c r="GO36" s="826">
        <f>+'Plan mina ST'!K34</f>
        <v>1.3811764266152766</v>
      </c>
      <c r="GP36" s="826">
        <f t="shared" ref="GP36:GP38" si="231">+(GQ36/O36)</f>
        <v>56.241944116118212</v>
      </c>
      <c r="GQ36" s="788">
        <f t="shared" ref="GQ36:GQ38" si="232">+E36*$GJ$4/100*GO36</f>
        <v>232729.25470430273</v>
      </c>
      <c r="GR36" s="788">
        <f t="shared" ref="GR36:GR38" si="233">+GR35+GQ36</f>
        <v>5360298.476944115</v>
      </c>
      <c r="GS36" s="2082">
        <f>+'Plan mina ST'!V34</f>
        <v>39.292126131271907</v>
      </c>
      <c r="GT36" s="789">
        <f t="shared" ref="GT36:GT38" si="234">+GS36*$GO$4</f>
        <v>1768.1456759072357</v>
      </c>
      <c r="GU36" s="2072"/>
      <c r="GW36" s="2082">
        <f>+'Plan mina ST'!AI34</f>
        <v>1.2026141680676279</v>
      </c>
      <c r="GX36" s="2085">
        <v>1.5</v>
      </c>
      <c r="GY36" s="819"/>
      <c r="GZ36" s="2079">
        <f t="shared" ref="GZ36:GZ38" si="235">B36</f>
        <v>46110.791666666664</v>
      </c>
      <c r="HA36" s="787">
        <f>IF($FC36&gt;Factores!$D$3,'ST Original'!C36,"")</f>
        <v>219999.99999977328</v>
      </c>
      <c r="HB36" s="789">
        <f>IF($FC36&gt;Factores!$D$3,'ST Original'!D36,"")</f>
        <v>657785.16053012596</v>
      </c>
      <c r="HC36" s="787">
        <f>IF($FC36&gt;Factores!$D$3,'ST Original'!E36,"")</f>
        <v>210625.92929803248</v>
      </c>
      <c r="HD36" s="789"/>
      <c r="HE36" s="2064">
        <f>IF($FC36&gt;Factores!$D$3,'ST Original'!J36,"")</f>
        <v>97.885672723806138</v>
      </c>
      <c r="HF36" s="2082">
        <f>IF($FC36&gt;Factores!$D$3,'ST Original'!BT36,"")</f>
        <v>8971.8738999728921</v>
      </c>
      <c r="HG36" s="2082">
        <f>IF($FC36&gt;Factores!$D$3,'ST Original'!K36,"")</f>
        <v>70.841381451589641</v>
      </c>
      <c r="HH36" s="2081">
        <f>IF($FC36&gt;Factores!$D$3,'ST Original'!L36,"")</f>
        <v>0.58110873305710664</v>
      </c>
      <c r="HI36" s="2082">
        <f>IF($FC36&gt;Factores!$D$3,'ST Original'!M36,"")</f>
        <v>89.976839205924364</v>
      </c>
      <c r="HJ36" s="2082">
        <f>IF($FC36&gt;Factores!$D$3,'ST Original'!N36,"")</f>
        <v>26.613948682597318</v>
      </c>
      <c r="HK36" s="787">
        <f>IF($FC36&gt;Factores!$D$3,'ST Original'!O36,"")</f>
        <v>4138.0015993722654</v>
      </c>
      <c r="HL36" s="788">
        <f>IF($FC36&gt;Factores!$D$3,'ST Original'!R36,"")</f>
        <v>96288.228697395476</v>
      </c>
      <c r="HM36" s="787">
        <f>IF($FC36&gt;Factores!$D$3,'ST Original'!S36,"")</f>
        <v>1101.2856221419911</v>
      </c>
      <c r="HN36" s="789">
        <f>IF($FC36&gt;Factores!$D$3,'ST Original'!V36,"")</f>
        <v>25703.849053045182</v>
      </c>
      <c r="HO36" s="787">
        <f>IF($FC36&gt;Factores!$D$3,'ST Original'!W36,"")</f>
        <v>81.246285404785922</v>
      </c>
      <c r="HP36" s="827">
        <f>IF($FC36&gt;Factores!$D$3,'ST Original'!X36,"")</f>
        <v>87.379902013387337</v>
      </c>
      <c r="HQ36" s="827">
        <f>IF($FC36&gt;Factores!$D$3,'ST Original'!Y36,"")</f>
        <v>86.813394539694372</v>
      </c>
      <c r="HR36" s="827">
        <f>IF($FC36&gt;Factores!$D$3,'ST Original'!Z36,"")</f>
        <v>75.85745908328029</v>
      </c>
      <c r="HS36" s="827">
        <f>IF($FC36&gt;Factores!$D$3,'ST Original'!AA36,"")</f>
        <v>50</v>
      </c>
      <c r="HT36" s="788">
        <f>IF($FC36&gt;Factores!$D$3,'ST Original'!AB36,"")</f>
        <v>25.962328194652681</v>
      </c>
      <c r="HU36" s="788">
        <f>IF($FC36&gt;Factores!$D$3,'ST Original'!AC36,"")</f>
        <v>25.962328194652681</v>
      </c>
      <c r="HV36" s="827">
        <f>IF($FC36&gt;Factores!$D$3,AE36,"")</f>
        <v>12.98116409732634</v>
      </c>
      <c r="HW36" s="789">
        <f>IF($FC36&gt;Factores!$D$3,AF36,"")</f>
        <v>779.46052256224073</v>
      </c>
      <c r="HX36" s="788">
        <f>IF($FC36&gt;Factores!$D$3,AG36,"")</f>
        <v>25</v>
      </c>
      <c r="HY36" s="787">
        <f>IF($FC36&gt;Factores!$D$3,AI36,"")</f>
        <v>1138.9180168601401</v>
      </c>
      <c r="HZ36" s="789">
        <f>IF($FC36&gt;Factores!$D$3,AJ36,"")</f>
        <v>27963.505107953122</v>
      </c>
      <c r="IA36" s="787">
        <f>IF($FC36&gt;Factores!$D$3,AN36,"")</f>
        <v>4366</v>
      </c>
      <c r="IB36" s="788">
        <f>IF($FC36&gt;Factores!$D$3,AO36,"")</f>
        <v>26.753175806139513</v>
      </c>
      <c r="IC36" s="789">
        <f>IF($FC36&gt;Factores!$D$3,AP36,"")</f>
        <v>1168.0436556960512</v>
      </c>
      <c r="ID36" s="2072">
        <f>IF($FC36&gt;Factores!$D$3,BI36,"")</f>
        <v>39.292126131271907</v>
      </c>
      <c r="IE36" s="2073">
        <f>IF($FC36&gt;Factores!$D$3,BJ36,"")</f>
        <v>1768.1456759072357</v>
      </c>
      <c r="IF36" s="4237">
        <f t="shared" si="20"/>
        <v>210625.92929803248</v>
      </c>
      <c r="IG36" s="4237">
        <f t="shared" si="124"/>
        <v>5342220.2393474439</v>
      </c>
      <c r="IH36" s="4234">
        <f t="shared" si="121"/>
        <v>0.58110873305710664</v>
      </c>
      <c r="II36" s="342">
        <f>SUMPRODUCT(IH$8:IH36,IF$8:IF36)/IG36</f>
        <v>0.53292125191663964</v>
      </c>
      <c r="IJ36" s="4235">
        <f t="shared" si="122"/>
        <v>89.976839205924364</v>
      </c>
      <c r="IK36" s="342" cm="1">
        <f t="array" ref="IK36">SUMPRODUCT(IJ$8:IJ36,IF$8:IF36/IG36)</f>
        <v>90.270924381783928</v>
      </c>
    </row>
    <row r="37" spans="1:245" s="744" customFormat="1" ht="14.25" customHeight="1">
      <c r="A37" s="4643"/>
      <c r="B37" s="2133">
        <f t="shared" si="21"/>
        <v>46111.791666666664</v>
      </c>
      <c r="C37" s="2134">
        <f>+'Plan mina ST'!N72*1000</f>
        <v>219999.9999998819</v>
      </c>
      <c r="D37" s="2134">
        <f>+'Plan mina ST'!M72*1000</f>
        <v>672096.13345321768</v>
      </c>
      <c r="E37" s="2134">
        <f>(('Plan mina ST'!O72*1000))</f>
        <v>205689.02707679011</v>
      </c>
      <c r="F37" s="2134">
        <f>+'Plan mina ST'!J72*1000</f>
        <v>41651.105647397664</v>
      </c>
      <c r="G37" s="2134">
        <f t="shared" si="154"/>
        <v>164037.92142939245</v>
      </c>
      <c r="H37" s="2135">
        <f t="shared" si="155"/>
        <v>98.056332111173901</v>
      </c>
      <c r="I37" s="2135">
        <f t="shared" si="156"/>
        <v>97.12989278992228</v>
      </c>
      <c r="J37" s="2135">
        <f t="shared" si="157"/>
        <v>97.885672723806138</v>
      </c>
      <c r="K37" s="2135">
        <f>+'Plan mina ST'!AM35*100</f>
        <v>70.841381451589641</v>
      </c>
      <c r="L37" s="2528">
        <f>'Plan mina ST'!D35</f>
        <v>0.56194335962321529</v>
      </c>
      <c r="M37" s="2135">
        <f>'Plan mina ST'!C35</f>
        <v>90.285434666516934</v>
      </c>
      <c r="N37" s="2136">
        <f>'Plan mina ST'!B35</f>
        <v>27.633995175069714</v>
      </c>
      <c r="O37" s="2134">
        <f t="shared" si="158"/>
        <v>3776.3973426152384</v>
      </c>
      <c r="P37" s="2134">
        <f t="shared" si="159"/>
        <v>3011.6938145796985</v>
      </c>
      <c r="Q37" s="2134">
        <f t="shared" si="160"/>
        <v>764.70352803553965</v>
      </c>
      <c r="R37" s="2134">
        <f t="shared" si="161"/>
        <v>100064.62604001071</v>
      </c>
      <c r="S37" s="2134">
        <f t="shared" si="162"/>
        <v>1043.5694594497559</v>
      </c>
      <c r="T37" s="2134">
        <f t="shared" si="163"/>
        <v>832.25132340882692</v>
      </c>
      <c r="U37" s="2134">
        <f t="shared" si="164"/>
        <v>211.31813604092892</v>
      </c>
      <c r="V37" s="2134">
        <f t="shared" si="165"/>
        <v>26747.418512494936</v>
      </c>
      <c r="W37" s="3933">
        <f>+'Plan mina ST'!E35</f>
        <v>73.450913666676442</v>
      </c>
      <c r="X37" s="3934">
        <f t="shared" si="153"/>
        <v>87.026229385706785</v>
      </c>
      <c r="Y37" s="2135">
        <f t="shared" si="166"/>
        <v>86.527605914645932</v>
      </c>
      <c r="Z37" s="2135">
        <f t="shared" si="30"/>
        <v>75.301712805240157</v>
      </c>
      <c r="AA37" s="2136">
        <v>50</v>
      </c>
      <c r="AB37" s="2134">
        <f t="shared" si="167"/>
        <v>22.753236279660349</v>
      </c>
      <c r="AC37" s="2134">
        <f t="shared" si="168"/>
        <v>22.753236279660349</v>
      </c>
      <c r="AD37" s="2134">
        <f t="shared" si="169"/>
        <v>50</v>
      </c>
      <c r="AE37" s="2134">
        <f t="shared" si="170"/>
        <v>11.376618139830175</v>
      </c>
      <c r="AF37" s="2134">
        <f t="shared" si="171"/>
        <v>790.83714070207088</v>
      </c>
      <c r="AG37" s="2134">
        <v>25</v>
      </c>
      <c r="AH37" s="2134">
        <f t="shared" si="172"/>
        <v>249.64238326813359</v>
      </c>
      <c r="AI37" s="2134">
        <f t="shared" si="173"/>
        <v>1076.5502754371234</v>
      </c>
      <c r="AJ37" s="2134">
        <f t="shared" si="174"/>
        <v>29040.055383390245</v>
      </c>
      <c r="AK37" s="2134">
        <v>4366</v>
      </c>
      <c r="AL37" s="2136">
        <f t="shared" si="126"/>
        <v>26.613948682597318</v>
      </c>
      <c r="AM37" s="2134">
        <f t="shared" si="175"/>
        <v>1161.9649994821989</v>
      </c>
      <c r="AN37" s="2134">
        <f t="shared" si="176"/>
        <v>4366</v>
      </c>
      <c r="AO37" s="2136">
        <f t="shared" si="36"/>
        <v>25.41389590416216</v>
      </c>
      <c r="AP37" s="2134">
        <f t="shared" si="177"/>
        <v>1109.5706951757199</v>
      </c>
      <c r="AQ37" s="2134">
        <f t="shared" si="178"/>
        <v>7.8452234254684257</v>
      </c>
      <c r="AR37" s="2134">
        <f t="shared" si="38"/>
        <v>2771.9246644454961</v>
      </c>
      <c r="AS37" s="2134">
        <f t="shared" si="179"/>
        <v>-589.60265738476164</v>
      </c>
      <c r="AT37" s="2136">
        <f>+'Recalculos ST'!E38</f>
        <v>39.051234898260368</v>
      </c>
      <c r="AU37" s="2134">
        <f>+'MCP ST'!V31</f>
        <v>87.125693974853675</v>
      </c>
      <c r="AV37" s="3973">
        <f>+Factores!$D$24</f>
        <v>0.96199999999999997</v>
      </c>
      <c r="AW37" s="2134">
        <f t="shared" si="40"/>
        <v>1067.4070087590426</v>
      </c>
      <c r="AX37" s="2376">
        <f>'Plan mina ST'!AK35/25.4</f>
        <v>4.2927391645460542</v>
      </c>
      <c r="AY37" s="2718">
        <f>+'Recalculos ST'!AK38</f>
        <v>192.81737753726057</v>
      </c>
      <c r="AZ37" s="2138">
        <f>'Plan mina ST'!O35*BA37/1000000*0.79</f>
        <v>7.8452234254684257</v>
      </c>
      <c r="BA37" s="2137">
        <f t="shared" si="180"/>
        <v>8570.3761281995885</v>
      </c>
      <c r="BB37" s="2138">
        <f>'Plan mina ST'!O35*'ST Original'!BT37/1000000*0.8</f>
        <v>8.1217717553348248</v>
      </c>
      <c r="BC37" s="4640"/>
      <c r="BD37" s="2148">
        <f t="shared" si="12"/>
        <v>46111.791666666664</v>
      </c>
      <c r="BE37" s="2149">
        <f>'Plan mina ST'!J35</f>
        <v>4.3213714359593022E-2</v>
      </c>
      <c r="BF37" s="2150">
        <f t="shared" si="181"/>
        <v>1.4952637999165768</v>
      </c>
      <c r="BG37" s="2151">
        <f>'Plan mina ST'!K35</f>
        <v>1.4736298341523184</v>
      </c>
      <c r="BH37" s="2150">
        <f t="shared" si="182"/>
        <v>50.989954882132977</v>
      </c>
      <c r="BI37" s="2151">
        <f>'Plan mina ST'!V35</f>
        <v>34.676861667214887</v>
      </c>
      <c r="BJ37" s="2152">
        <f t="shared" si="183"/>
        <v>1560.4587750246699</v>
      </c>
      <c r="BK37" s="3395">
        <f>'Plan mina ST'!AI35</f>
        <v>1.4190181442615963</v>
      </c>
      <c r="BL37" s="3399">
        <f>'Recalculos ST'!T38</f>
        <v>5.9545451994064429</v>
      </c>
      <c r="BM37" s="3391">
        <f t="shared" si="184"/>
        <v>13.568622574308042</v>
      </c>
      <c r="BN37" s="3391">
        <f t="shared" si="185"/>
        <v>13.568622574308042</v>
      </c>
      <c r="BO37" s="3391">
        <f t="shared" si="186"/>
        <v>13.568622574308042</v>
      </c>
      <c r="BP37" s="3391">
        <f t="shared" si="187"/>
        <v>40.705867722924125</v>
      </c>
      <c r="BQ37" s="3400">
        <f t="shared" si="188"/>
        <v>14.469959964817026</v>
      </c>
      <c r="BR37" s="3397">
        <f t="shared" si="50"/>
        <v>6970.3947167247616</v>
      </c>
      <c r="BS37" s="2137">
        <f t="shared" si="51"/>
        <v>1787.0544622071777</v>
      </c>
      <c r="BT37" s="3344">
        <f t="shared" si="52"/>
        <v>8761.580398441045</v>
      </c>
      <c r="BU37" s="3345">
        <f t="shared" si="53"/>
        <v>2323.8683549420984</v>
      </c>
      <c r="BV37" s="3345">
        <f t="shared" si="54"/>
        <v>2323.8683549420984</v>
      </c>
      <c r="BW37" s="3345">
        <f t="shared" si="55"/>
        <v>2323.8683549420984</v>
      </c>
      <c r="BX37" s="3346">
        <f t="shared" si="56"/>
        <v>98.056332111173916</v>
      </c>
      <c r="BY37" s="3346">
        <f t="shared" si="57"/>
        <v>98.056332111173916</v>
      </c>
      <c r="BZ37" s="3346">
        <f t="shared" si="58"/>
        <v>98.056332111173916</v>
      </c>
      <c r="CA37" s="3346">
        <f t="shared" si="59"/>
        <v>97.12989278992228</v>
      </c>
      <c r="CB37" s="3346">
        <f t="shared" si="60"/>
        <v>97.885715079916608</v>
      </c>
      <c r="CC37" s="3623">
        <f t="shared" si="61"/>
        <v>98.056332111173901</v>
      </c>
      <c r="CD37" s="3348">
        <f t="shared" si="62"/>
        <v>98.886834920573264</v>
      </c>
      <c r="CE37" s="3348">
        <f t="shared" si="63"/>
        <v>98.886834920573264</v>
      </c>
      <c r="CF37" s="3348">
        <f t="shared" si="64"/>
        <v>98.886834920573264</v>
      </c>
      <c r="CG37" s="3348">
        <f t="shared" si="65"/>
        <v>98.356250499976611</v>
      </c>
      <c r="CH37" s="3346">
        <f t="shared" si="66"/>
        <v>98.789120222376653</v>
      </c>
      <c r="CI37" s="3347">
        <f t="shared" si="67"/>
        <v>26.877795450599066</v>
      </c>
      <c r="CJ37" s="3354">
        <f t="shared" si="68"/>
        <v>6.4495510000000005</v>
      </c>
      <c r="CK37" s="3355">
        <f t="shared" si="69"/>
        <v>6.4495510000000005</v>
      </c>
      <c r="CL37" s="3355">
        <f t="shared" si="70"/>
        <v>6.4495510000000005</v>
      </c>
      <c r="CM37" s="3356">
        <f t="shared" si="71"/>
        <v>4.3442710000000009</v>
      </c>
      <c r="CN37" s="3356">
        <f t="shared" si="72"/>
        <v>23.692924000000001</v>
      </c>
      <c r="CO37" s="3354">
        <f t="shared" si="73"/>
        <v>6.3953843333333333</v>
      </c>
      <c r="CP37" s="3355">
        <f t="shared" si="74"/>
        <v>6.3953843333333333</v>
      </c>
      <c r="CQ37" s="3355">
        <f t="shared" si="75"/>
        <v>6.3953843333333333</v>
      </c>
      <c r="CR37" s="3356">
        <f t="shared" si="76"/>
        <v>4.2901043333333337</v>
      </c>
      <c r="CS37" s="3356">
        <f t="shared" si="77"/>
        <v>23.476257333333333</v>
      </c>
      <c r="CT37" s="3357">
        <f t="shared" si="189"/>
        <v>6.5217878333333337</v>
      </c>
      <c r="CU37" s="2153">
        <f t="shared" si="190"/>
        <v>6.5217878333333337</v>
      </c>
      <c r="CV37" s="2153">
        <f t="shared" si="191"/>
        <v>6.5217878333333337</v>
      </c>
      <c r="CW37" s="3358">
        <f t="shared" si="192"/>
        <v>4.4179698333333342</v>
      </c>
      <c r="CX37" s="3354">
        <f t="shared" si="193"/>
        <v>0</v>
      </c>
      <c r="CY37" s="3355">
        <f t="shared" si="194"/>
        <v>0</v>
      </c>
      <c r="CZ37" s="3355">
        <f t="shared" si="195"/>
        <v>0</v>
      </c>
      <c r="DA37" s="3356">
        <f t="shared" si="196"/>
        <v>0</v>
      </c>
      <c r="DB37" s="3354">
        <f t="shared" si="197"/>
        <v>7.2602333333333338E-2</v>
      </c>
      <c r="DC37" s="3355">
        <f t="shared" si="198"/>
        <v>7.2602333333333338E-2</v>
      </c>
      <c r="DD37" s="3355">
        <f t="shared" si="199"/>
        <v>7.2602333333333338E-2</v>
      </c>
      <c r="DE37" s="3356">
        <f t="shared" si="200"/>
        <v>7.2602333333333338E-2</v>
      </c>
      <c r="DF37" s="3356">
        <f t="shared" si="201"/>
        <v>0.29040933333333335</v>
      </c>
      <c r="DG37" s="3354">
        <f t="shared" si="202"/>
        <v>0.12676900000000002</v>
      </c>
      <c r="DH37" s="3355">
        <f t="shared" si="203"/>
        <v>0.12676900000000002</v>
      </c>
      <c r="DI37" s="3355">
        <f t="shared" si="204"/>
        <v>0.12676900000000002</v>
      </c>
      <c r="DJ37" s="3356">
        <f t="shared" si="205"/>
        <v>0.12676900000000002</v>
      </c>
      <c r="DK37" s="3356">
        <f t="shared" si="206"/>
        <v>0.50707600000000008</v>
      </c>
      <c r="DL37" s="2137">
        <v>0</v>
      </c>
      <c r="DM37" s="2137">
        <v>0</v>
      </c>
      <c r="DN37" s="2137">
        <v>0</v>
      </c>
      <c r="DO37" s="2137">
        <v>0</v>
      </c>
      <c r="DP37" s="2137">
        <v>0</v>
      </c>
      <c r="DQ37" s="2137">
        <v>0</v>
      </c>
      <c r="DR37" s="2137">
        <v>0</v>
      </c>
      <c r="DS37" s="2137">
        <v>0</v>
      </c>
      <c r="DT37" s="2137">
        <v>0</v>
      </c>
      <c r="DU37" s="2137">
        <v>0</v>
      </c>
      <c r="DV37" s="2137">
        <v>0</v>
      </c>
      <c r="DW37" s="2579">
        <f t="shared" si="207"/>
        <v>7.2602333333333338E-2</v>
      </c>
      <c r="DX37" s="2579">
        <f t="shared" si="208"/>
        <v>7.2602333333333338E-2</v>
      </c>
      <c r="DY37" s="2579">
        <f t="shared" si="209"/>
        <v>7.2602333333333338E-2</v>
      </c>
      <c r="DZ37" s="2579">
        <f t="shared" si="210"/>
        <v>7.2602333333333338E-2</v>
      </c>
      <c r="EA37" s="2579">
        <f t="shared" si="211"/>
        <v>0</v>
      </c>
      <c r="EB37" s="2579">
        <f t="shared" si="212"/>
        <v>0</v>
      </c>
      <c r="EC37" s="2579">
        <f t="shared" si="213"/>
        <v>0</v>
      </c>
      <c r="ED37" s="2579">
        <f t="shared" si="214"/>
        <v>0</v>
      </c>
      <c r="EE37" s="2579">
        <f t="shared" si="215"/>
        <v>0.05</v>
      </c>
      <c r="EF37" s="2579">
        <f t="shared" si="216"/>
        <v>0.05</v>
      </c>
      <c r="EG37" s="2579">
        <f t="shared" si="217"/>
        <v>0.05</v>
      </c>
      <c r="EH37" s="2579">
        <f t="shared" si="218"/>
        <v>0.05</v>
      </c>
      <c r="EI37" s="2579">
        <f t="shared" si="219"/>
        <v>4.1666666666666666E-3</v>
      </c>
      <c r="EJ37" s="2579">
        <f t="shared" si="220"/>
        <v>4.1666666666666666E-3</v>
      </c>
      <c r="EK37" s="2579">
        <f t="shared" si="221"/>
        <v>4.1666666666666666E-3</v>
      </c>
      <c r="EL37" s="2581">
        <f t="shared" si="222"/>
        <v>4.1666666666666666E-3</v>
      </c>
      <c r="EM37" s="3341">
        <f t="shared" si="223"/>
        <v>4.1666666666666666E-3</v>
      </c>
      <c r="EN37" s="3341">
        <f t="shared" si="224"/>
        <v>4.1666666666666666E-3</v>
      </c>
      <c r="EO37" s="3341">
        <f t="shared" si="225"/>
        <v>4.1666666666666666E-3</v>
      </c>
      <c r="EP37" s="3341">
        <f t="shared" si="226"/>
        <v>4.1666666666666666E-3</v>
      </c>
      <c r="EQ37" s="3319">
        <f t="shared" si="116"/>
        <v>1.6666666666666666E-2</v>
      </c>
      <c r="ER37" s="809">
        <f>+'MCP ST'!H31</f>
        <v>1.2980155339737318</v>
      </c>
      <c r="ES37" s="4236">
        <f t="shared" si="117"/>
        <v>0.30707600000000002</v>
      </c>
      <c r="EZ37" s="2154">
        <f>+'Plan mina ST'!AM35</f>
        <v>0.70841381451589636</v>
      </c>
      <c r="FA37" s="2067"/>
      <c r="FB37" s="2076"/>
      <c r="FC37" s="2065">
        <f t="shared" si="13"/>
        <v>46111.791666666664</v>
      </c>
      <c r="FD37" s="780"/>
      <c r="FE37" s="782"/>
      <c r="FF37" s="780"/>
      <c r="FG37" s="782"/>
      <c r="FH37" s="2064"/>
      <c r="FI37" s="781"/>
      <c r="FJ37" s="781"/>
      <c r="FK37" s="2066"/>
      <c r="FL37" s="781"/>
      <c r="FM37" s="781"/>
      <c r="FN37" s="780"/>
      <c r="FO37" s="539"/>
      <c r="FP37" s="780"/>
      <c r="FQ37" s="782"/>
      <c r="FR37" s="780"/>
      <c r="FS37" s="819"/>
      <c r="FT37" s="819"/>
      <c r="FU37" s="819"/>
      <c r="FV37" s="819"/>
      <c r="FW37" s="539"/>
      <c r="FX37" s="539"/>
      <c r="FY37" s="819"/>
      <c r="FZ37" s="782"/>
      <c r="GA37" s="539"/>
      <c r="GB37" s="780"/>
      <c r="GC37" s="782"/>
      <c r="GD37" s="780"/>
      <c r="GE37" s="539"/>
      <c r="GF37" s="782"/>
      <c r="GG37" s="2072"/>
      <c r="GH37" s="2073"/>
      <c r="GI37" s="2069">
        <f>+'Plan mina ST'!AN72</f>
        <v>0</v>
      </c>
      <c r="GJ37" s="2065">
        <f t="shared" si="227"/>
        <v>46111.791666666664</v>
      </c>
      <c r="GK37" s="2080">
        <f>+'Plan mina ST'!J35</f>
        <v>4.3213714359593022E-2</v>
      </c>
      <c r="GL37" s="826">
        <f t="shared" si="228"/>
        <v>1.6476049100782446</v>
      </c>
      <c r="GM37" s="788">
        <f t="shared" si="229"/>
        <v>6222.0108040993018</v>
      </c>
      <c r="GN37" s="2084">
        <f t="shared" si="230"/>
        <v>146703.36580918392</v>
      </c>
      <c r="GO37" s="826">
        <f>+'Plan mina ST'!K35</f>
        <v>1.4736298341523184</v>
      </c>
      <c r="GP37" s="826">
        <f t="shared" si="231"/>
        <v>64.211354761352936</v>
      </c>
      <c r="GQ37" s="788">
        <f t="shared" si="232"/>
        <v>242487.58948649757</v>
      </c>
      <c r="GR37" s="788">
        <f t="shared" si="233"/>
        <v>5602786.0664306125</v>
      </c>
      <c r="GS37" s="2082">
        <f>+'Plan mina ST'!V35</f>
        <v>34.676861667214887</v>
      </c>
      <c r="GT37" s="789">
        <f t="shared" si="234"/>
        <v>1560.4587750246699</v>
      </c>
      <c r="GU37" s="2072"/>
      <c r="GW37" s="2082">
        <f>+'Plan mina ST'!AI35</f>
        <v>1.4190181442615963</v>
      </c>
      <c r="GX37" s="2085">
        <v>2.5</v>
      </c>
      <c r="GY37" s="819"/>
      <c r="GZ37" s="2079">
        <f t="shared" si="235"/>
        <v>46111.791666666664</v>
      </c>
      <c r="HA37" s="787">
        <f>IF($FC37&gt;Factores!$D$3,'ST Original'!C37,"")</f>
        <v>219999.9999998819</v>
      </c>
      <c r="HB37" s="789">
        <f>IF($FC37&gt;Factores!$D$3,'ST Original'!D37,"")</f>
        <v>672096.13345321768</v>
      </c>
      <c r="HC37" s="787">
        <f>IF($FC37&gt;Factores!$D$3,'ST Original'!E37,"")</f>
        <v>205689.02707679011</v>
      </c>
      <c r="HD37" s="789"/>
      <c r="HE37" s="2064">
        <f>IF($FC37&gt;Factores!$D$3,'ST Original'!J37,"")</f>
        <v>97.885672723806138</v>
      </c>
      <c r="HF37" s="2082">
        <f>IF($FC37&gt;Factores!$D$3,'ST Original'!BT37,"")</f>
        <v>8761.580398441045</v>
      </c>
      <c r="HG37" s="2082">
        <f>IF($FC37&gt;Factores!$D$3,'ST Original'!K37,"")</f>
        <v>70.841381451589641</v>
      </c>
      <c r="HH37" s="2081">
        <f>IF($FC37&gt;Factores!$D$3,'ST Original'!L37,"")</f>
        <v>0.56194335962321529</v>
      </c>
      <c r="HI37" s="2082">
        <f>IF($FC37&gt;Factores!$D$3,'ST Original'!M37,"")</f>
        <v>90.285434666516934</v>
      </c>
      <c r="HJ37" s="2082">
        <f>IF($FC37&gt;Factores!$D$3,'ST Original'!N37,"")</f>
        <v>27.633995175069714</v>
      </c>
      <c r="HK37" s="787">
        <f>IF($FC37&gt;Factores!$D$3,'ST Original'!O37,"")</f>
        <v>3776.3973426152384</v>
      </c>
      <c r="HL37" s="788">
        <f>IF($FC37&gt;Factores!$D$3,'ST Original'!R37,"")</f>
        <v>100064.62604001071</v>
      </c>
      <c r="HM37" s="787">
        <f>IF($FC37&gt;Factores!$D$3,'ST Original'!S37,"")</f>
        <v>1043.5694594497559</v>
      </c>
      <c r="HN37" s="789">
        <f>IF($FC37&gt;Factores!$D$3,'ST Original'!V37,"")</f>
        <v>26747.418512494936</v>
      </c>
      <c r="HO37" s="787">
        <f>IF($FC37&gt;Factores!$D$3,'ST Original'!W37,"")</f>
        <v>73.450913666676442</v>
      </c>
      <c r="HP37" s="827">
        <f>IF($FC37&gt;Factores!$D$3,'ST Original'!X37,"")</f>
        <v>87.026229385706785</v>
      </c>
      <c r="HQ37" s="827">
        <f>IF($FC37&gt;Factores!$D$3,'ST Original'!Y37,"")</f>
        <v>86.527605914645932</v>
      </c>
      <c r="HR37" s="827">
        <f>IF($FC37&gt;Factores!$D$3,'ST Original'!Z37,"")</f>
        <v>75.301712805240157</v>
      </c>
      <c r="HS37" s="827">
        <f>IF($FC37&gt;Factores!$D$3,'ST Original'!AA37,"")</f>
        <v>50</v>
      </c>
      <c r="HT37" s="788">
        <f>IF($FC37&gt;Factores!$D$3,'ST Original'!AB37,"")</f>
        <v>22.753236279660349</v>
      </c>
      <c r="HU37" s="788">
        <f>IF($FC37&gt;Factores!$D$3,'ST Original'!AC37,"")</f>
        <v>22.753236279660349</v>
      </c>
      <c r="HV37" s="827">
        <f>IF($FC37&gt;Factores!$D$3,AE37,"")</f>
        <v>11.376618139830175</v>
      </c>
      <c r="HW37" s="789">
        <f>IF($FC37&gt;Factores!$D$3,AF37,"")</f>
        <v>790.83714070207088</v>
      </c>
      <c r="HX37" s="788">
        <f>IF($FC37&gt;Factores!$D$3,AG37,"")</f>
        <v>25</v>
      </c>
      <c r="HY37" s="787">
        <f>IF($FC37&gt;Factores!$D$3,AI37,"")</f>
        <v>1076.5502754371234</v>
      </c>
      <c r="HZ37" s="789">
        <f>IF($FC37&gt;Factores!$D$3,AJ37,"")</f>
        <v>29040.055383390245</v>
      </c>
      <c r="IA37" s="787">
        <f>IF($FC37&gt;Factores!$D$3,AN37,"")</f>
        <v>4366</v>
      </c>
      <c r="IB37" s="788">
        <f>IF($FC37&gt;Factores!$D$3,AO37,"")</f>
        <v>25.41389590416216</v>
      </c>
      <c r="IC37" s="789">
        <f>IF($FC37&gt;Factores!$D$3,AP37,"")</f>
        <v>1109.5706951757199</v>
      </c>
      <c r="ID37" s="2072">
        <f>IF($FC37&gt;Factores!$D$3,BI37,"")</f>
        <v>34.676861667214887</v>
      </c>
      <c r="IE37" s="2073">
        <f>IF($FC37&gt;Factores!$D$3,BJ37,"")</f>
        <v>1560.4587750246699</v>
      </c>
      <c r="IF37" s="4237">
        <f t="shared" si="20"/>
        <v>205689.02707679011</v>
      </c>
      <c r="IG37" s="4237">
        <f t="shared" si="124"/>
        <v>5547909.266424234</v>
      </c>
      <c r="IH37" s="4234">
        <f t="shared" si="121"/>
        <v>0.56194335962321529</v>
      </c>
      <c r="II37" s="342">
        <f>SUMPRODUCT(IH$8:IH37,IF$8:IF37)/IG37</f>
        <v>0.53399724808226023</v>
      </c>
      <c r="IJ37" s="4235">
        <f t="shared" si="122"/>
        <v>90.285434666516934</v>
      </c>
      <c r="IK37" s="342" cm="1">
        <f t="array" ref="IK37">SUMPRODUCT(IJ$8:IJ37,IF$8:IF37/IG37)</f>
        <v>90.271462351351559</v>
      </c>
    </row>
    <row r="38" spans="1:245" s="744" customFormat="1" ht="14.25" customHeight="1" thickBot="1">
      <c r="A38" s="4644"/>
      <c r="B38" s="2133">
        <f t="shared" si="21"/>
        <v>46112.791666666664</v>
      </c>
      <c r="C38" s="2134">
        <f>+'Plan mina ST'!N73*1000</f>
        <v>185000.0000001291</v>
      </c>
      <c r="D38" s="2134">
        <f>+'Plan mina ST'!M73*1000</f>
        <v>547806.62419375312</v>
      </c>
      <c r="E38" s="2134">
        <f>(('Plan mina ST'!O73*1000))</f>
        <v>309289.50925959361</v>
      </c>
      <c r="F38" s="2134">
        <f>+'Plan mina ST'!J73*1000</f>
        <v>62859.358739603013</v>
      </c>
      <c r="G38" s="2134">
        <f t="shared" si="154"/>
        <v>246430.1505199906</v>
      </c>
      <c r="H38" s="2135">
        <f t="shared" si="155"/>
        <v>98.704497284024981</v>
      </c>
      <c r="I38" s="2135">
        <f t="shared" si="156"/>
        <v>98.087196675616056</v>
      </c>
      <c r="J38" s="2135">
        <f t="shared" si="157"/>
        <v>98.590784338949973</v>
      </c>
      <c r="K38" s="2135">
        <f>+'Plan mina ST'!AM36*100</f>
        <v>70.841381451589641</v>
      </c>
      <c r="L38" s="2528">
        <f>'Plan mina ST'!D36</f>
        <v>0.56149614023378414</v>
      </c>
      <c r="M38" s="2135">
        <f>'Plan mina ST'!C36</f>
        <v>90.45774167981746</v>
      </c>
      <c r="N38" s="2136">
        <f>'Plan mina ST'!B36</f>
        <v>27.614292362477695</v>
      </c>
      <c r="O38" s="2134">
        <f t="shared" si="158"/>
        <v>5688.8408911197957</v>
      </c>
      <c r="P38" s="2134">
        <f t="shared" si="159"/>
        <v>4532.6526607350297</v>
      </c>
      <c r="Q38" s="2134">
        <f t="shared" si="160"/>
        <v>1156.1882303847656</v>
      </c>
      <c r="R38" s="2134">
        <f t="shared" si="161"/>
        <v>105753.4669311305</v>
      </c>
      <c r="S38" s="2134">
        <f t="shared" si="162"/>
        <v>1570.933155710002</v>
      </c>
      <c r="T38" s="2134">
        <f t="shared" si="163"/>
        <v>1251.6599575109954</v>
      </c>
      <c r="U38" s="2134">
        <f t="shared" si="164"/>
        <v>319.27319819900634</v>
      </c>
      <c r="V38" s="2134">
        <f t="shared" si="165"/>
        <v>28318.351668204938</v>
      </c>
      <c r="W38" s="3933">
        <f>+'Plan mina ST'!E36</f>
        <v>73.462412059144683</v>
      </c>
      <c r="X38" s="3934">
        <f t="shared" si="153"/>
        <v>87.026778237397323</v>
      </c>
      <c r="Y38" s="2135">
        <f t="shared" si="166"/>
        <v>86.528049419621212</v>
      </c>
      <c r="Z38" s="2135">
        <f t="shared" si="30"/>
        <v>75.302573681559309</v>
      </c>
      <c r="AA38" s="2136">
        <v>50</v>
      </c>
      <c r="AB38" s="2134">
        <f t="shared" si="167"/>
        <v>34.219226522716106</v>
      </c>
      <c r="AC38" s="2134">
        <f t="shared" si="168"/>
        <v>34.219226522716106</v>
      </c>
      <c r="AD38" s="2134">
        <f t="shared" si="169"/>
        <v>80</v>
      </c>
      <c r="AE38" s="2134">
        <f t="shared" si="170"/>
        <v>17.109613261358053</v>
      </c>
      <c r="AF38" s="2134">
        <f t="shared" si="171"/>
        <v>807.94675396342893</v>
      </c>
      <c r="AG38" s="2134">
        <v>40</v>
      </c>
      <c r="AH38" s="2134">
        <f t="shared" si="172"/>
        <v>226.75199652949163</v>
      </c>
      <c r="AI38" s="2134">
        <f t="shared" si="173"/>
        <v>1620.5339245546791</v>
      </c>
      <c r="AJ38" s="2134">
        <f t="shared" si="174"/>
        <v>30660.589307944923</v>
      </c>
      <c r="AK38" s="2134">
        <f>'Envíos STC 2800'!G34</f>
        <v>4366</v>
      </c>
      <c r="AL38" s="2136">
        <f t="shared" si="126"/>
        <v>27.633995175069714</v>
      </c>
      <c r="AM38" s="2134">
        <f t="shared" si="175"/>
        <v>1206.5002293435437</v>
      </c>
      <c r="AN38" s="3940">
        <v>6500</v>
      </c>
      <c r="AO38" s="2136">
        <f t="shared" si="36"/>
        <v>26.613948682597318</v>
      </c>
      <c r="AP38" s="2134">
        <f>IF(ISNUMBER(AN38*AO38/100),AN38*AO38/100,"---")</f>
        <v>1729.9066643688257</v>
      </c>
      <c r="AQ38" s="2134">
        <f t="shared" si="178"/>
        <v>6.8002717499619125</v>
      </c>
      <c r="AR38" s="3940">
        <f t="shared" si="38"/>
        <v>2612.9511557866726</v>
      </c>
      <c r="AS38" s="2134">
        <f t="shared" si="179"/>
        <v>1322.8408911197957</v>
      </c>
      <c r="AT38" s="2136">
        <f>+'Recalculos ST'!E39</f>
        <v>38.005042592630858</v>
      </c>
      <c r="AU38" s="2134">
        <f>+'MCP ST'!V32</f>
        <v>89.626325445206248</v>
      </c>
      <c r="AV38" s="3973">
        <f>+Factores!$D$24</f>
        <v>0.96199999999999997</v>
      </c>
      <c r="AW38" s="2134">
        <f t="shared" si="40"/>
        <v>1664.1702111228103</v>
      </c>
      <c r="AX38" s="2376">
        <f>'Plan mina ST'!AK36/25.4</f>
        <v>4.2248100121044816</v>
      </c>
      <c r="AY38" s="2718">
        <f>+'Recalculos ST'!AK39</f>
        <v>192.24643159739196</v>
      </c>
      <c r="AZ38" s="2138">
        <f>'Plan mina ST'!O36*BA38/1000000*0.79</f>
        <v>6.8002717499619125</v>
      </c>
      <c r="BA38" s="2137">
        <f t="shared" si="180"/>
        <v>12887.0628858164</v>
      </c>
      <c r="BB38" s="2138">
        <f>'Plan mina ST'!O36*'ST Original'!BT38/1000000*0.8</f>
        <v>4.6586779806323122</v>
      </c>
      <c r="BC38" s="4641"/>
      <c r="BD38" s="2148">
        <f t="shared" si="12"/>
        <v>46112.791666666664</v>
      </c>
      <c r="BE38" s="2149">
        <f>'Plan mina ST'!J36</f>
        <v>5.323733387665134E-2</v>
      </c>
      <c r="BF38" s="2150">
        <f t="shared" si="181"/>
        <v>1.8420971057341637</v>
      </c>
      <c r="BG38" s="2151">
        <f>'Plan mina ST'!K36</f>
        <v>1.6911686530816561</v>
      </c>
      <c r="BH38" s="2150">
        <f t="shared" si="182"/>
        <v>58.517146789658447</v>
      </c>
      <c r="BI38" s="2151">
        <f>'Plan mina ST'!V36</f>
        <v>15.826001958554642</v>
      </c>
      <c r="BJ38" s="2152">
        <f t="shared" si="183"/>
        <v>712.17008813495886</v>
      </c>
      <c r="BK38" s="3395">
        <f>'Plan mina ST'!AI36</f>
        <v>1.6069762902326332</v>
      </c>
      <c r="BL38" s="3399">
        <f>'Recalculos ST'!T39</f>
        <v>5.9785022833416885</v>
      </c>
      <c r="BM38" s="3391">
        <f t="shared" si="184"/>
        <v>13.64309033515916</v>
      </c>
      <c r="BN38" s="3391">
        <f t="shared" si="185"/>
        <v>13.64309033515916</v>
      </c>
      <c r="BO38" s="3391">
        <f t="shared" si="186"/>
        <v>13.64309033515916</v>
      </c>
      <c r="BP38" s="3391">
        <f t="shared" si="187"/>
        <v>40.929271005477482</v>
      </c>
      <c r="BQ38" s="3400">
        <f t="shared" si="188"/>
        <v>14.616323583444991</v>
      </c>
      <c r="BR38" s="3397">
        <f>+IF(ISNUMBER(G38/H38/36*100),(G38/H38/36*100),"0")</f>
        <v>6935.1267138225066</v>
      </c>
      <c r="BS38" s="2137">
        <f>+IFERROR(F38/((36-EP38)*I38%),0)</f>
        <v>1780.3500100247109</v>
      </c>
      <c r="BT38" s="3344">
        <f>+IFERROR(E38/((36-EQ38)*J38%),0)</f>
        <v>8718.2130111556362</v>
      </c>
      <c r="BU38" s="3345">
        <f>+IFERROR(($G38*(36-EM38)*BX38%/((36-$EM38)*$BX38%+(36-$EN38)*$BY38%+(36-$EO38)*$BZ38%))/((36-EM38)*BX38%),0)</f>
        <v>2311.9764944795488</v>
      </c>
      <c r="BV38" s="3345">
        <f>+IFERROR(($G38*(36-EN38)*BY38%/((36-$EM38)*$BX38%+(36-$EN38)*$BY38%+(36-$EO38)*$BZ38%))/((36-EN38)*BY38%),0)</f>
        <v>2311.9764944795488</v>
      </c>
      <c r="BW38" s="3345">
        <f>+IFERROR(($G38*(36-EO38)*BZ38%/((36-$EM38)*$BX38%+(36-$EN38)*$BY38%+(36-$EO38)*$BZ38%))/((36-EO38)*BZ38%),0)</f>
        <v>2311.9764944795488</v>
      </c>
      <c r="BX38" s="3346">
        <f>CO38/(36*DL$3-EM38)*100</f>
        <v>98.704497284024967</v>
      </c>
      <c r="BY38" s="3346">
        <f>CP38/(36*DM$3-EN38)*100</f>
        <v>98.704497284024967</v>
      </c>
      <c r="BZ38" s="3346">
        <f>CQ38/(36*DN$3-EO38)*100</f>
        <v>98.704497284024967</v>
      </c>
      <c r="CA38" s="3346">
        <f>CR38/(36*DO$3-EP38)*100</f>
        <v>98.087196675616056</v>
      </c>
      <c r="CB38" s="3346">
        <f>CS38/(36-EQ38)*100</f>
        <v>98.590803149606316</v>
      </c>
      <c r="CC38" s="3623">
        <f>SUM(CO38:CQ38)/(36*SUM(DL$3:DN$3)-SUM(EM38:EO38))*100</f>
        <v>98.704497284024981</v>
      </c>
      <c r="CD38" s="3348">
        <f>CJ38/(36*DL$3-EM38)*100</f>
        <v>99.258047945322133</v>
      </c>
      <c r="CE38" s="3348">
        <f>CK38/(36*DM$3-EN38)*100</f>
        <v>99.258047945322133</v>
      </c>
      <c r="CF38" s="3348">
        <f>CL38/(36*DN$3-EO38)*100</f>
        <v>99.258047945322133</v>
      </c>
      <c r="CG38" s="3348">
        <f>CM38/(36*DO$3-EP38)*100</f>
        <v>98.904511477111669</v>
      </c>
      <c r="CH38" s="3346">
        <f>CN38/(36-EQ38)*100</f>
        <v>99.192933765632233</v>
      </c>
      <c r="CI38" s="3347">
        <f>SUM(CJ38:CL38)/(36*3-SUM(EM38:EO38))*100</f>
        <v>26.982875795809701</v>
      </c>
      <c r="CJ38" s="3354">
        <f>36*DL$3-EM38-DB38</f>
        <v>9.7127110000000005</v>
      </c>
      <c r="CK38" s="3355">
        <f>36*DM$3-EN38-DC38</f>
        <v>9.7127110000000005</v>
      </c>
      <c r="CL38" s="3355">
        <f>36*DN$3-EO38-DD38</f>
        <v>9.7127110000000005</v>
      </c>
      <c r="CM38" s="3356">
        <f>36*DO$3-EP38-DE38</f>
        <v>6.5547910000000007</v>
      </c>
      <c r="CN38" s="3356">
        <f>36-$EQ38-DF38</f>
        <v>35.692923999999998</v>
      </c>
      <c r="CO38" s="3354">
        <f>36*DL$3-EM38-DG38</f>
        <v>9.6585443333333352</v>
      </c>
      <c r="CP38" s="3355">
        <f>36*DM$3-EN38-DH38</f>
        <v>9.6585443333333352</v>
      </c>
      <c r="CQ38" s="3355">
        <f>36*DN$3-EO38-DI38</f>
        <v>9.6585443333333352</v>
      </c>
      <c r="CR38" s="3356">
        <f>36*DO$3-EP38-DJ38</f>
        <v>6.5006243333333336</v>
      </c>
      <c r="CS38" s="3356">
        <f>36-$EQ38-DK38</f>
        <v>35.476257333333336</v>
      </c>
      <c r="CT38" s="3357">
        <f>(36-$EQ38)*DL$3</f>
        <v>9.7849478333333337</v>
      </c>
      <c r="CU38" s="2153">
        <f>(36-$EQ38)*DM$3</f>
        <v>9.7849478333333337</v>
      </c>
      <c r="CV38" s="2153">
        <f>(36-$EQ38)*DN$3</f>
        <v>9.7849478333333337</v>
      </c>
      <c r="CW38" s="3358">
        <f>(36-$EQ38)*DO$3</f>
        <v>6.628489833333334</v>
      </c>
      <c r="CX38" s="3354">
        <f t="shared" si="193"/>
        <v>0</v>
      </c>
      <c r="CY38" s="3355">
        <f t="shared" si="194"/>
        <v>0</v>
      </c>
      <c r="CZ38" s="3355">
        <f t="shared" si="195"/>
        <v>0</v>
      </c>
      <c r="DA38" s="3356">
        <f t="shared" si="196"/>
        <v>0</v>
      </c>
      <c r="DB38" s="3354">
        <f t="shared" si="197"/>
        <v>7.2602333333333338E-2</v>
      </c>
      <c r="DC38" s="3355">
        <f t="shared" si="198"/>
        <v>7.2602333333333338E-2</v>
      </c>
      <c r="DD38" s="3355">
        <f t="shared" si="199"/>
        <v>7.2602333333333338E-2</v>
      </c>
      <c r="DE38" s="3356">
        <f t="shared" si="200"/>
        <v>7.2602333333333338E-2</v>
      </c>
      <c r="DF38" s="3356">
        <f t="shared" si="201"/>
        <v>0.29040933333333335</v>
      </c>
      <c r="DG38" s="3354">
        <f t="shared" si="202"/>
        <v>0.12676900000000002</v>
      </c>
      <c r="DH38" s="3355">
        <f t="shared" si="203"/>
        <v>0.12676900000000002</v>
      </c>
      <c r="DI38" s="3355">
        <f t="shared" si="204"/>
        <v>0.12676900000000002</v>
      </c>
      <c r="DJ38" s="3356">
        <f t="shared" si="205"/>
        <v>0.12676900000000002</v>
      </c>
      <c r="DK38" s="3356">
        <f t="shared" si="206"/>
        <v>0.50707600000000008</v>
      </c>
      <c r="DL38" s="2137">
        <v>0</v>
      </c>
      <c r="DM38" s="2137">
        <v>0</v>
      </c>
      <c r="DN38" s="2137">
        <v>0</v>
      </c>
      <c r="DO38" s="2137">
        <v>0</v>
      </c>
      <c r="DP38" s="2137">
        <v>0</v>
      </c>
      <c r="DQ38" s="2137">
        <v>0</v>
      </c>
      <c r="DR38" s="2137">
        <v>0</v>
      </c>
      <c r="DS38" s="2137">
        <v>0</v>
      </c>
      <c r="DT38" s="2137">
        <v>0</v>
      </c>
      <c r="DU38" s="2137">
        <v>0</v>
      </c>
      <c r="DV38" s="2137">
        <v>0</v>
      </c>
      <c r="DW38" s="2579">
        <f>+IF(DL38=36,0,$DW$4)</f>
        <v>7.2602333333333338E-2</v>
      </c>
      <c r="DX38" s="2579">
        <f>+IF(DM38=36,0,$DW$4)</f>
        <v>7.2602333333333338E-2</v>
      </c>
      <c r="DY38" s="2579">
        <f>+IF(DN38=36,0,$DW$4)</f>
        <v>7.2602333333333338E-2</v>
      </c>
      <c r="DZ38" s="2579">
        <f>+IF(DO38=36,0,$DW$4)</f>
        <v>7.2602333333333338E-2</v>
      </c>
      <c r="EA38" s="2579">
        <f>+IF(DL38=36,0,$EA$4)</f>
        <v>0</v>
      </c>
      <c r="EB38" s="2579">
        <f>+IF(DM38=36,0,$EA$4)</f>
        <v>0</v>
      </c>
      <c r="EC38" s="2579">
        <f>+IF(DN38=36,0,$EA$4)</f>
        <v>0</v>
      </c>
      <c r="ED38" s="2579">
        <f>+IF(DO38=36,0,$EA$4)</f>
        <v>0</v>
      </c>
      <c r="EE38" s="2579">
        <f>+IF(DL38=36,0,$EE$4)</f>
        <v>0.05</v>
      </c>
      <c r="EF38" s="2579">
        <f>+IF(DM38=36,0,$EE$4)</f>
        <v>0.05</v>
      </c>
      <c r="EG38" s="2579">
        <f>+IF(DN38=36,0,$EE$4)</f>
        <v>0.05</v>
      </c>
      <c r="EH38" s="2579">
        <f>+IF(DO38=36,0,$EE$4)</f>
        <v>0.05</v>
      </c>
      <c r="EI38" s="2579">
        <f>+IF(DL38=36,0,$EI$4)</f>
        <v>4.1666666666666666E-3</v>
      </c>
      <c r="EJ38" s="2579">
        <f>+IF(DM38=36,0,$EI$4)</f>
        <v>4.1666666666666666E-3</v>
      </c>
      <c r="EK38" s="2579">
        <f>+IF(DN38=36,0,$EI$4)</f>
        <v>4.1666666666666666E-3</v>
      </c>
      <c r="EL38" s="2581">
        <f>+IF(DO38=36,0,$EI$4)</f>
        <v>4.1666666666666666E-3</v>
      </c>
      <c r="EM38" s="3341">
        <f>+IF(DL38=36,0,$EM$4)</f>
        <v>4.1666666666666666E-3</v>
      </c>
      <c r="EN38" s="3341">
        <f>+IF(DM38=36,0,$EM$4)</f>
        <v>4.1666666666666666E-3</v>
      </c>
      <c r="EO38" s="3341">
        <f>+IF(DN38=36,0,$EM$4)</f>
        <v>4.1666666666666666E-3</v>
      </c>
      <c r="EP38" s="3341">
        <f>+IF(DO38=36,0,$EM$4)</f>
        <v>4.1666666666666666E-3</v>
      </c>
      <c r="EQ38" s="3319">
        <f t="shared" si="116"/>
        <v>1.6666666666666666E-2</v>
      </c>
      <c r="ER38" s="809">
        <f>+'MCP ST'!H32</f>
        <v>1.311662220319336</v>
      </c>
      <c r="ES38" s="4236">
        <f t="shared" si="117"/>
        <v>0.30707600000000002</v>
      </c>
      <c r="EZ38" s="2154">
        <f>+'Plan mina ST'!AM36</f>
        <v>0.70841381451589636</v>
      </c>
      <c r="FA38" s="2067"/>
      <c r="FB38" s="2076"/>
      <c r="FC38" s="2065">
        <f t="shared" si="13"/>
        <v>46112.791666666664</v>
      </c>
      <c r="FD38" s="780"/>
      <c r="FE38" s="782"/>
      <c r="FF38" s="780"/>
      <c r="FG38" s="782"/>
      <c r="FH38" s="2064"/>
      <c r="FI38" s="781"/>
      <c r="FJ38" s="781"/>
      <c r="FK38" s="2066"/>
      <c r="FL38" s="781"/>
      <c r="FM38" s="781"/>
      <c r="FN38" s="780"/>
      <c r="FO38" s="539"/>
      <c r="FP38" s="780"/>
      <c r="FQ38" s="782"/>
      <c r="FR38" s="780"/>
      <c r="FS38" s="819"/>
      <c r="FT38" s="819"/>
      <c r="FU38" s="819"/>
      <c r="FV38" s="819"/>
      <c r="FW38" s="539"/>
      <c r="FX38" s="539"/>
      <c r="FY38" s="819"/>
      <c r="FZ38" s="782"/>
      <c r="GA38" s="539"/>
      <c r="GB38" s="780"/>
      <c r="GC38" s="782"/>
      <c r="GD38" s="780"/>
      <c r="GE38" s="539"/>
      <c r="GF38" s="782"/>
      <c r="GG38" s="2072"/>
      <c r="GH38" s="2073"/>
      <c r="GI38" s="2069">
        <f>+'Plan mina ST'!AN73</f>
        <v>0</v>
      </c>
      <c r="GJ38" s="2065">
        <f t="shared" si="227"/>
        <v>46112.791666666664</v>
      </c>
      <c r="GK38" s="2080">
        <f>+'Plan mina ST'!J36</f>
        <v>5.323733387665134E-2</v>
      </c>
      <c r="GL38" s="826">
        <f t="shared" si="228"/>
        <v>2.0260760370870998</v>
      </c>
      <c r="GM38" s="788">
        <f t="shared" si="229"/>
        <v>11526.024208299041</v>
      </c>
      <c r="GN38" s="2084">
        <f t="shared" si="230"/>
        <v>158229.39001748295</v>
      </c>
      <c r="GO38" s="826">
        <f>+'Plan mina ST'!K36</f>
        <v>1.6911686530816561</v>
      </c>
      <c r="GP38" s="826">
        <f t="shared" si="231"/>
        <v>73.556034742096458</v>
      </c>
      <c r="GQ38" s="788">
        <f t="shared" si="232"/>
        <v>418448.57822946669</v>
      </c>
      <c r="GR38" s="788">
        <f t="shared" si="233"/>
        <v>6021234.6446600789</v>
      </c>
      <c r="GS38" s="2082">
        <f>+'Plan mina ST'!V36</f>
        <v>15.826001958554642</v>
      </c>
      <c r="GT38" s="789">
        <f t="shared" si="234"/>
        <v>712.17008813495886</v>
      </c>
      <c r="GU38" s="2072"/>
      <c r="GW38" s="2082">
        <f>+'Plan mina ST'!AI36</f>
        <v>1.6069762902326332</v>
      </c>
      <c r="GX38" s="2085">
        <v>3.5</v>
      </c>
      <c r="GY38" s="819"/>
      <c r="GZ38" s="2079">
        <f t="shared" si="235"/>
        <v>46112.791666666664</v>
      </c>
      <c r="HA38" s="787">
        <f>IF($FC38&gt;Factores!$D$3,'ST Original'!C38,"")</f>
        <v>185000.0000001291</v>
      </c>
      <c r="HB38" s="789">
        <f>IF($FC38&gt;Factores!$D$3,'ST Original'!D38,"")</f>
        <v>547806.62419375312</v>
      </c>
      <c r="HC38" s="787">
        <f>IF($FC38&gt;Factores!$D$3,'ST Original'!E38,"")</f>
        <v>309289.50925959361</v>
      </c>
      <c r="HD38" s="789"/>
      <c r="HE38" s="2064">
        <f>IF($FC38&gt;Factores!$D$3,'ST Original'!J38,"")</f>
        <v>98.590784338949973</v>
      </c>
      <c r="HF38" s="2082">
        <f>IF($FC38&gt;Factores!$D$3,'ST Original'!BT38,"")</f>
        <v>8718.2130111556362</v>
      </c>
      <c r="HG38" s="2082">
        <f>IF($FC38&gt;Factores!$D$3,'ST Original'!K38,"")</f>
        <v>70.841381451589641</v>
      </c>
      <c r="HH38" s="2081">
        <f>IF($FC38&gt;Factores!$D$3,'ST Original'!L38,"")</f>
        <v>0.56149614023378414</v>
      </c>
      <c r="HI38" s="2082">
        <f>IF($FC38&gt;Factores!$D$3,'ST Original'!M38,"")</f>
        <v>90.45774167981746</v>
      </c>
      <c r="HJ38" s="2082">
        <f>IF($FC38&gt;Factores!$D$3,'ST Original'!N38,"")</f>
        <v>27.614292362477695</v>
      </c>
      <c r="HK38" s="787">
        <f>IF($FC38&gt;Factores!$D$3,'ST Original'!O38,"")</f>
        <v>5688.8408911197957</v>
      </c>
      <c r="HL38" s="788">
        <f>IF($FC38&gt;Factores!$D$3,'ST Original'!R38,"")</f>
        <v>105753.4669311305</v>
      </c>
      <c r="HM38" s="787">
        <f>IF($FC38&gt;Factores!$D$3,'ST Original'!S38,"")</f>
        <v>1570.933155710002</v>
      </c>
      <c r="HN38" s="789">
        <f>IF($FC38&gt;Factores!$D$3,'ST Original'!V38,"")</f>
        <v>28318.351668204938</v>
      </c>
      <c r="HO38" s="787">
        <f>IF($FC38&gt;Factores!$D$3,'ST Original'!W38,"")</f>
        <v>73.462412059144683</v>
      </c>
      <c r="HP38" s="827">
        <f>IF($FC38&gt;Factores!$D$3,'ST Original'!X38,"")</f>
        <v>87.026778237397323</v>
      </c>
      <c r="HQ38" s="827">
        <f>IF($FC38&gt;Factores!$D$3,'ST Original'!Y38,"")</f>
        <v>86.528049419621212</v>
      </c>
      <c r="HR38" s="827">
        <f>IF($FC38&gt;Factores!$D$3,'ST Original'!Z38,"")</f>
        <v>75.302573681559309</v>
      </c>
      <c r="HS38" s="827">
        <f>IF($FC38&gt;Factores!$D$3,'ST Original'!AA38,"")</f>
        <v>50</v>
      </c>
      <c r="HT38" s="788">
        <f>IF($FC38&gt;Factores!$D$3,'ST Original'!AB38,"")</f>
        <v>34.219226522716106</v>
      </c>
      <c r="HU38" s="788">
        <f>IF($FC38&gt;Factores!$D$3,'ST Original'!AC38,"")</f>
        <v>34.219226522716106</v>
      </c>
      <c r="HV38" s="827">
        <f>IF($FC38&gt;Factores!$D$3,AE38,"")</f>
        <v>17.109613261358053</v>
      </c>
      <c r="HW38" s="789">
        <f>IF($FC38&gt;Factores!$D$3,AF38,"")</f>
        <v>807.94675396342893</v>
      </c>
      <c r="HX38" s="788">
        <f>IF($FC38&gt;Factores!$D$3,AG38,"")</f>
        <v>40</v>
      </c>
      <c r="HY38" s="787">
        <f>IF($FC38&gt;Factores!$D$3,AI38,"")</f>
        <v>1620.5339245546791</v>
      </c>
      <c r="HZ38" s="789">
        <f>IF($FC38&gt;Factores!$D$3,AJ38,"")</f>
        <v>30660.589307944923</v>
      </c>
      <c r="IA38" s="787">
        <f>IF($FC38&gt;Factores!$D$3,AN38,"")</f>
        <v>6500</v>
      </c>
      <c r="IB38" s="788">
        <f>IF($FC38&gt;Factores!$D$3,AO38,"")</f>
        <v>26.613948682597318</v>
      </c>
      <c r="IC38" s="789">
        <f>IF($FC38&gt;Factores!$D$3,AP38,"")</f>
        <v>1729.9066643688257</v>
      </c>
      <c r="ID38" s="2072">
        <f>IF($FC38&gt;Factores!$D$3,BI38,"")</f>
        <v>15.826001958554642</v>
      </c>
      <c r="IE38" s="2073">
        <f>IF($FC38&gt;Factores!$D$3,BJ38,"")</f>
        <v>712.17008813495886</v>
      </c>
      <c r="IF38" s="4237">
        <f t="shared" si="20"/>
        <v>309289.50925959361</v>
      </c>
      <c r="IG38" s="4237">
        <f t="shared" si="124"/>
        <v>5857198.7756838277</v>
      </c>
      <c r="IH38" s="4234">
        <f t="shared" si="121"/>
        <v>0.56149614023378414</v>
      </c>
      <c r="II38" s="342">
        <f>SUMPRODUCT(IH$8:IH38,IF$8:IF38)/IG38</f>
        <v>0.5354493276828427</v>
      </c>
      <c r="IJ38" s="4235">
        <f t="shared" si="122"/>
        <v>90.45774167981746</v>
      </c>
      <c r="IK38" s="4233" cm="1">
        <f t="array" ref="IK38">SUMPRODUCT(IJ$8:IJ38,IF$8:IF38/IG38)</f>
        <v>90.281298835359166</v>
      </c>
    </row>
    <row r="39" spans="1:245" ht="14.25" customHeight="1" thickBot="1">
      <c r="A39" s="4633" t="s">
        <v>330</v>
      </c>
      <c r="B39" s="4634"/>
      <c r="C39" s="2156">
        <f>+SUM(C8:C38)</f>
        <v>5897516.4726738958</v>
      </c>
      <c r="D39" s="2156">
        <f>+D37</f>
        <v>672096.13345321768</v>
      </c>
      <c r="E39" s="2156">
        <f>+SUM(E8:E38)</f>
        <v>5857198.7756838277</v>
      </c>
      <c r="F39" s="2156">
        <f>+SUM(F8:F38)</f>
        <v>1264187.9374576083</v>
      </c>
      <c r="G39" s="2156">
        <f>+SUM(G8:G38)</f>
        <v>4593010.8382262196</v>
      </c>
      <c r="H39" s="2157">
        <f>+CC39</f>
        <v>93.142816386542236</v>
      </c>
      <c r="I39" s="2157">
        <f>+CA39</f>
        <v>98.723712855664047</v>
      </c>
      <c r="J39" s="2157">
        <f>+CB39</f>
        <v>92.650688634835248</v>
      </c>
      <c r="K39" s="2156">
        <f>SUMPRODUCT(K8:K38,$E8:$E38)/SUM($E8:$E38)</f>
        <v>73.985882319413648</v>
      </c>
      <c r="L39" s="2158">
        <f>SUMPRODUCT(L8:L38,E8:E38)/SUM(E39)</f>
        <v>0.5354493276828427</v>
      </c>
      <c r="M39" s="2157">
        <f>V39*100/(E39*L39/100)</f>
        <v>90.294153352101702</v>
      </c>
      <c r="N39" s="3678">
        <f>M39*E39*L39/(100*R39)</f>
        <v>26.777705251636434</v>
      </c>
      <c r="O39" s="2156">
        <f>+SUM(O8:O38)</f>
        <v>105753.4669311305</v>
      </c>
      <c r="P39" s="2156">
        <f>+SUM(P8:P38)</f>
        <v>82962.011848602662</v>
      </c>
      <c r="Q39" s="2156">
        <f>+SUM(Q8:Q38)</f>
        <v>22791.455082527849</v>
      </c>
      <c r="R39" s="2156">
        <f>SUM(O8:O38)</f>
        <v>105753.4669311305</v>
      </c>
      <c r="S39" s="2156">
        <f>+SUM(S8:S38)</f>
        <v>28318.351668204938</v>
      </c>
      <c r="T39" s="2156">
        <f>+SUM(T8:T38)</f>
        <v>22221.593697514025</v>
      </c>
      <c r="U39" s="2156">
        <f>+SUM(U8:U38)</f>
        <v>6096.7579706909091</v>
      </c>
      <c r="V39" s="2156">
        <f>+SUM(S8:S38)</f>
        <v>28318.351668204938</v>
      </c>
      <c r="W39" s="2156">
        <f>+SUMPRODUCT(W8:W38,E8:E38)/E39</f>
        <v>171.18629045307489</v>
      </c>
      <c r="X39" s="2157">
        <f>SUMPRODUCT(E8:E38,W8:W38,X8:X38)/SUMPRODUCT(E8:E38,W8:W38)</f>
        <v>91.633786719447059</v>
      </c>
      <c r="Y39" s="2157">
        <f>SUMPRODUCT(E8:E38,W8:W38,X8:X38,Y8:Y38)/SUMPRODUCT(E8:E38,W8:W38,X8:X38)</f>
        <v>87.936294783268124</v>
      </c>
      <c r="Z39" s="2157">
        <f>SUMPRODUCT(E8:E38,W8:W38,Z8:Z38)/SUMPRODUCT(E8:E38,W8:W38)</f>
        <v>80.57935681068416</v>
      </c>
      <c r="AA39" s="2159">
        <v>50</v>
      </c>
      <c r="AB39" s="2156">
        <f>SUM(AB8:AB38)</f>
        <v>1615.8935079268579</v>
      </c>
      <c r="AC39" s="2156">
        <f t="shared" si="31"/>
        <v>1615.8935079268579</v>
      </c>
      <c r="AD39" s="2156">
        <f>SUM(AD8:AD38)</f>
        <v>1762.3895148678746</v>
      </c>
      <c r="AE39" s="2156">
        <f>SUM(AE8:AE38)</f>
        <v>807.94675396342893</v>
      </c>
      <c r="AF39" s="2156">
        <f>+SUM(AE8:AE38)</f>
        <v>807.94675396342893</v>
      </c>
      <c r="AG39" s="2156">
        <f>SUM(AG8:AG38)</f>
        <v>881.1947574339373</v>
      </c>
      <c r="AH39" s="2156">
        <f>+AH38</f>
        <v>226.75199652949163</v>
      </c>
      <c r="AI39" s="2156">
        <f>SUM(AI8:AI38)</f>
        <v>30660.589307944923</v>
      </c>
      <c r="AJ39" s="2156">
        <f>+SUM(AI8:AI38)</f>
        <v>30660.589307944923</v>
      </c>
      <c r="AK39" s="2156">
        <f>SUM(AK8:AK38)</f>
        <v>105736</v>
      </c>
      <c r="AL39" s="3678">
        <f>AM39/AK39*100</f>
        <v>26.861002002038276</v>
      </c>
      <c r="AM39" s="2156">
        <f>SUM(AM8:AM38)</f>
        <v>28401.749076875189</v>
      </c>
      <c r="AN39" s="2156">
        <f>SUM(AN8:AN38)</f>
        <v>105342</v>
      </c>
      <c r="AO39" s="3678">
        <f>AP39/AN39*100</f>
        <v>26.870004853162342</v>
      </c>
      <c r="AP39" s="2156">
        <f>SUM(AP8:AP38)</f>
        <v>28305.400512418273</v>
      </c>
      <c r="AQ39" s="2159">
        <f>+SUMPRODUCT(AQ8:AQ38,E8:E38)/SUM(E8:E38)</f>
        <v>6.5217142114127098</v>
      </c>
      <c r="AR39" s="2156">
        <f>+AR38</f>
        <v>2612.9511557866726</v>
      </c>
      <c r="AS39" s="2156">
        <f>+AS37</f>
        <v>-589.60265738476164</v>
      </c>
      <c r="AT39" s="2160">
        <f>SUMPRODUCT(AT8:AT38,$E8:$E38)/SUM($E8:$E38)</f>
        <v>37.368348754344872</v>
      </c>
      <c r="AU39" s="2160">
        <f>SUMPRODUCT(AU8:AU38,$E8:$E38)/SUM($E8:$E38)</f>
        <v>82.923534192742608</v>
      </c>
      <c r="AV39" s="3627">
        <f>+AW39/AP39</f>
        <v>0.96199999999999963</v>
      </c>
      <c r="AW39" s="2161">
        <f>SUM(AW8:AW38)</f>
        <v>27229.795292946368</v>
      </c>
      <c r="AX39" s="2158">
        <f>SUMPRODUCT(AX8:AX38,$E8:$E38)/SUM($E8:$E38)</f>
        <v>4.202866572472935</v>
      </c>
      <c r="AY39" s="2162">
        <f>SUMPRODUCT(AY8:AY38,$E8:$E38)/SUM($E8:$E38)</f>
        <v>189.18049622258414</v>
      </c>
      <c r="AZ39" s="2183">
        <f>SUMPRODUCT(AZ8:AZ38,$E8:$E38)/SUM($E8:$E38)</f>
        <v>6.5217142114127098</v>
      </c>
      <c r="BA39" s="2168">
        <f>AZ37</f>
        <v>7.8452234254684257</v>
      </c>
      <c r="BB39" s="2169">
        <f>+SUMPRODUCT(BB8:BB38,E8:E38)/SUM(E8:E38)</f>
        <v>6.9489613757993238</v>
      </c>
      <c r="BC39" s="2170" t="s">
        <v>330</v>
      </c>
      <c r="BD39" s="2170"/>
      <c r="BE39" s="2158">
        <f>SUMPRODUCT($E8:$E38,BE8:BE38)/SUM($E8:$E38)</f>
        <v>3.8592165708576438E-2</v>
      </c>
      <c r="BF39" s="2158">
        <f>SUMPRODUCT($O8:$O38,BF8:BF38)/SUM($O8:$O38)</f>
        <v>1.3214459306584305</v>
      </c>
      <c r="BG39" s="2158">
        <f>SUMPRODUCT($E8:$E38,BG8:BG38)/SUM($E8:$E38)</f>
        <v>1.2850073207471733</v>
      </c>
      <c r="BH39" s="2158">
        <f>SUMPRODUCT($O8:$O38,BH8:BH38)/SUM($O8:$O38)</f>
        <v>44.1577073689961</v>
      </c>
      <c r="BI39" s="2157">
        <f>SUMPRODUCT($E8:$E38,BI8:BI38)/SUM($E8:$E38)</f>
        <v>27.44514654815184</v>
      </c>
      <c r="BJ39" s="2157">
        <f>SUMPRODUCT($O8:$O38,BJ8:BJ38)/SUM($O8:$O38)</f>
        <v>1264.0913954643502</v>
      </c>
      <c r="BK39" s="3396">
        <f>SUMPRODUCT($E8:$E38,BK8:BK38)/SUM($E8:$E38)</f>
        <v>1.3058182300305909</v>
      </c>
      <c r="BL39" s="3405">
        <f>SUMPRODUCT(BL8:BL38,E8:E38)/E39</f>
        <v>6.0417879638299175</v>
      </c>
      <c r="BM39" s="2167">
        <f t="shared" si="45"/>
        <v>10.828223571323841</v>
      </c>
      <c r="BN39" s="2167">
        <f t="shared" si="46"/>
        <v>13.515923039308339</v>
      </c>
      <c r="BO39" s="2167">
        <f t="shared" si="47"/>
        <v>13.515923039308339</v>
      </c>
      <c r="BP39" s="2167">
        <f t="shared" si="48"/>
        <v>37.86006964994052</v>
      </c>
      <c r="BQ39" s="2183">
        <f t="shared" si="49"/>
        <v>14.600452351270535</v>
      </c>
      <c r="BR39" s="3398">
        <f>+SUMPRODUCT(BR8:BR38,H8:H38)/SUM(H8:H38)</f>
        <v>6726.6134284650625</v>
      </c>
      <c r="BS39" s="2161">
        <f>+SUMPRODUCT(BS8:BS38,I8:I38)/SUM(I8:I38)</f>
        <v>1748.4423441398249</v>
      </c>
      <c r="BT39" s="3370">
        <f>E39/((COUNT(BT8:BT38)*24-EQ39)*CB39%)</f>
        <v>8502.7681772494343</v>
      </c>
      <c r="BU39" s="3370">
        <f>SUMPRODUCT(BU8:BU38,BX8:BX38)/SUM(BX8:BX38)</f>
        <v>2237.485082016934</v>
      </c>
      <c r="BV39" s="3370">
        <f>SUMPRODUCT(BV8:BV38,BY8:BY38)/SUM(BY8:BY38)</f>
        <v>2244.5959949647167</v>
      </c>
      <c r="BW39" s="3371">
        <f>SUMPRODUCT(BW8:BW38,BZ8:BZ38)/SUM(BZ8:BZ38)</f>
        <v>2244.5959949647167</v>
      </c>
      <c r="BX39" s="3372">
        <f>CO39/(24*DAY(EOMONTH($B$8,0))*DL$3-EM39-12*DL3)*100</f>
        <v>80.099828461066693</v>
      </c>
      <c r="BY39" s="3373">
        <f>CP39/(24*DAY(EOMONTH($B$8,0))*DM$3-EN39-12*DM3)*100</f>
        <v>99.664856747845505</v>
      </c>
      <c r="BZ39" s="3373">
        <f>CQ39/(24*DAY(EOMONTH($B$8,0))*DN$3-EO39-12*DN3)*100</f>
        <v>99.664856747845505</v>
      </c>
      <c r="CA39" s="3373">
        <f>CR39/(24*DAY(EOMONTH($B$8,0))*DO$3-EP39-12*DO3)*100</f>
        <v>98.723712855664047</v>
      </c>
      <c r="CB39" s="3626">
        <f>CS39/(24*DAY(EOMONTH($B$8,0))-EQ39)*100</f>
        <v>92.650688634835248</v>
      </c>
      <c r="CC39" s="3375">
        <f>SUM(CO39:CQ39)/(24*DAY(EOMONTH($B$8,0))*SUM(DL$3:DN$3)-SUM(EM39:EO39)-12*SUM(DL3:DN3))*100</f>
        <v>93.142816386542236</v>
      </c>
      <c r="CD39" s="3376">
        <f>CJ39/(24*DAY(EOMONTH($B$8,0))-EM39)*100</f>
        <v>21.61796064593101</v>
      </c>
      <c r="CE39" s="3374">
        <f>CK39/(24*DAY(EOMONTH($B$8,0))-EN39)*100</f>
        <v>26.877795450599084</v>
      </c>
      <c r="CF39" s="3374">
        <f>CL39/(24*DAY(EOMONTH($B$8,0))-EO39)*100</f>
        <v>26.877795450599084</v>
      </c>
      <c r="CG39" s="3374">
        <f>CM39/(24*DAY(EOMONTH($B$8,0))-EP39)*100</f>
        <v>18.104272269491243</v>
      </c>
      <c r="CH39" s="3374">
        <f>CN39/(24*DAY(EOMONTH($B$8,0))-EQ39)*100</f>
        <v>93.524932078009371</v>
      </c>
      <c r="CI39" s="3375">
        <f>SUM(CJ39:CL39)/(24*3*DAY(EOMONTH($B$8,0))-SUM(EM39:EO39))*100</f>
        <v>25.124490994060782</v>
      </c>
      <c r="CJ39" s="3372">
        <f t="shared" ref="CJ39:EL39" si="236">SUM(CJ8:CJ38)</f>
        <v>160.81330700000007</v>
      </c>
      <c r="CK39" s="3373">
        <f t="shared" si="236"/>
        <v>199.93608100000014</v>
      </c>
      <c r="CL39" s="3373">
        <f t="shared" si="236"/>
        <v>199.93608100000014</v>
      </c>
      <c r="CM39" s="3373">
        <f t="shared" si="236"/>
        <v>134.67240100000006</v>
      </c>
      <c r="CN39" s="3373">
        <f t="shared" si="236"/>
        <v>695.35786999999971</v>
      </c>
      <c r="CO39" s="3373">
        <f>SUM(CO8:CO38)</f>
        <v>159.35080700000006</v>
      </c>
      <c r="CP39" s="3373">
        <f>SUM(CP8:CP38)</f>
        <v>198.25691433333344</v>
      </c>
      <c r="CQ39" s="3373">
        <f>SUM(CQ8:CQ38)</f>
        <v>198.25691433333344</v>
      </c>
      <c r="CR39" s="3373">
        <f>SUM(CR8:CR38)</f>
        <v>132.99323433333331</v>
      </c>
      <c r="CS39" s="3373">
        <f>SUM(CS8:CS38)</f>
        <v>688.85787000000005</v>
      </c>
      <c r="CT39" s="3318">
        <f t="shared" si="236"/>
        <v>202.17995499999989</v>
      </c>
      <c r="CU39" s="3318">
        <f t="shared" si="236"/>
        <v>202.17995499999989</v>
      </c>
      <c r="CV39" s="3318">
        <f t="shared" si="236"/>
        <v>202.17995499999989</v>
      </c>
      <c r="CW39" s="2157">
        <f t="shared" si="236"/>
        <v>136.96013499999995</v>
      </c>
      <c r="CX39" s="3377">
        <f t="shared" si="236"/>
        <v>39.429849999999995</v>
      </c>
      <c r="CY39" s="3377">
        <f t="shared" si="236"/>
        <v>0</v>
      </c>
      <c r="CZ39" s="3377">
        <f t="shared" si="236"/>
        <v>0</v>
      </c>
      <c r="DA39" s="3373">
        <f t="shared" si="236"/>
        <v>0</v>
      </c>
      <c r="DB39" s="3373">
        <f t="shared" si="236"/>
        <v>41.390113000000042</v>
      </c>
      <c r="DC39" s="3373">
        <f t="shared" si="236"/>
        <v>2.2506723333333345</v>
      </c>
      <c r="DD39" s="3373">
        <f t="shared" si="236"/>
        <v>2.2506723333333345</v>
      </c>
      <c r="DE39" s="3373">
        <f t="shared" si="236"/>
        <v>2.2506723333333345</v>
      </c>
      <c r="DF39" s="3373">
        <f t="shared" si="236"/>
        <v>48.142130000000058</v>
      </c>
      <c r="DG39" s="3373">
        <f>SUM(DG8:DG38)</f>
        <v>42.852613000000055</v>
      </c>
      <c r="DH39" s="3373">
        <f>SUM(DH8:DH38)</f>
        <v>3.9298389999999981</v>
      </c>
      <c r="DI39" s="3373">
        <f>SUM(DI8:DI38)</f>
        <v>3.9298389999999981</v>
      </c>
      <c r="DJ39" s="3373">
        <f>SUM(DJ8:DJ38)</f>
        <v>3.9298389999999981</v>
      </c>
      <c r="DK39" s="3373">
        <f>SUM(DK8:DK38)</f>
        <v>54.642129999999959</v>
      </c>
      <c r="DL39" s="2171">
        <f t="shared" si="236"/>
        <v>145</v>
      </c>
      <c r="DM39" s="2171">
        <f t="shared" si="236"/>
        <v>0</v>
      </c>
      <c r="DN39" s="2171">
        <f t="shared" si="236"/>
        <v>0</v>
      </c>
      <c r="DO39" s="2171">
        <f t="shared" si="236"/>
        <v>0</v>
      </c>
      <c r="DP39" s="2171">
        <f t="shared" si="236"/>
        <v>0</v>
      </c>
      <c r="DQ39" s="2171">
        <f t="shared" si="236"/>
        <v>0</v>
      </c>
      <c r="DR39" s="2171">
        <f t="shared" si="236"/>
        <v>0</v>
      </c>
      <c r="DS39" s="2171">
        <f t="shared" si="236"/>
        <v>0</v>
      </c>
      <c r="DT39" s="2171">
        <f t="shared" si="236"/>
        <v>0</v>
      </c>
      <c r="DU39" s="2171">
        <f t="shared" si="236"/>
        <v>0</v>
      </c>
      <c r="DV39" s="2171">
        <f t="shared" si="236"/>
        <v>0</v>
      </c>
      <c r="DW39" s="2798">
        <f t="shared" si="236"/>
        <v>1.9602630000000014</v>
      </c>
      <c r="DX39" s="2798">
        <f t="shared" si="236"/>
        <v>2.2506723333333345</v>
      </c>
      <c r="DY39" s="2798">
        <f t="shared" si="236"/>
        <v>2.2506723333333345</v>
      </c>
      <c r="DZ39" s="2798">
        <f t="shared" si="236"/>
        <v>2.2506723333333345</v>
      </c>
      <c r="EA39" s="2172">
        <f t="shared" si="236"/>
        <v>0</v>
      </c>
      <c r="EB39" s="2172">
        <f t="shared" si="236"/>
        <v>0</v>
      </c>
      <c r="EC39" s="2172">
        <f t="shared" si="236"/>
        <v>0</v>
      </c>
      <c r="ED39" s="2172">
        <f t="shared" si="236"/>
        <v>0</v>
      </c>
      <c r="EE39" s="2172">
        <f t="shared" si="236"/>
        <v>1.3500000000000005</v>
      </c>
      <c r="EF39" s="2172">
        <f t="shared" si="236"/>
        <v>1.5500000000000007</v>
      </c>
      <c r="EG39" s="2172">
        <f t="shared" si="236"/>
        <v>1.5500000000000007</v>
      </c>
      <c r="EH39" s="2172">
        <f t="shared" si="236"/>
        <v>1.5500000000000007</v>
      </c>
      <c r="EI39" s="2172">
        <f t="shared" si="236"/>
        <v>0.11249999999999999</v>
      </c>
      <c r="EJ39" s="2172">
        <f t="shared" si="236"/>
        <v>0.12916666666666665</v>
      </c>
      <c r="EK39" s="2172">
        <f t="shared" si="236"/>
        <v>0.12916666666666665</v>
      </c>
      <c r="EL39" s="2396">
        <f t="shared" si="236"/>
        <v>0.12916666666666665</v>
      </c>
      <c r="EM39" s="3342">
        <f>SUM(EM8:EM38)</f>
        <v>0.11249999999999999</v>
      </c>
      <c r="EN39" s="3342">
        <f>SUM(EN8:EN38)</f>
        <v>0.12916666666666665</v>
      </c>
      <c r="EO39" s="3342">
        <f>SUM(EO8:EO38)</f>
        <v>0.12916666666666665</v>
      </c>
      <c r="EP39" s="3343">
        <f>SUM(EP8:EP38)</f>
        <v>0.12916666666666665</v>
      </c>
      <c r="EQ39" s="3414">
        <f>+SUM(EQ8:EQ38)</f>
        <v>0.49999999999999994</v>
      </c>
      <c r="ER39" s="3320"/>
      <c r="ES39" s="3321"/>
      <c r="EZ39" s="1763"/>
      <c r="FA39" s="1772">
        <f>SUMPRODUCT(FA8:FA38,FF8:FF38)/SUM(FG39)</f>
        <v>4.1675369074255659</v>
      </c>
      <c r="FB39" s="1768" t="s">
        <v>330</v>
      </c>
      <c r="FC39" s="1769"/>
      <c r="FD39" s="1764">
        <f>AVERAGE(FD8:FD38)</f>
        <v>179559.7895054961</v>
      </c>
      <c r="FE39" s="1767">
        <f>+SUM(FD8:FD38)</f>
        <v>3052516.4215934337</v>
      </c>
      <c r="FF39" s="1764">
        <f>AVERAGE(FF8:FF38)</f>
        <v>172579.00802587395</v>
      </c>
      <c r="FG39" s="1765">
        <f>+SUM(FF8:FF38)</f>
        <v>2933843.1364398571</v>
      </c>
      <c r="FH39" s="1766">
        <f>+SUM(FH8:FH38)/COUNT(FD8:FD38)</f>
        <v>88.216548475401808</v>
      </c>
      <c r="FI39" s="1771">
        <f>+SUMPRODUCT(FI8:FI38,FH8:FH38)/SUM(FH8:FH38)</f>
        <v>8414.2411591830714</v>
      </c>
      <c r="FJ39" s="1770">
        <f>SUMPRODUCT(FJ8:FJ38,FF8:FF38)/SUM(FG39)</f>
        <v>73.498171103170478</v>
      </c>
      <c r="FK39" s="1770">
        <f>SUMPRODUCT(FK8:FK38,FF8:FF38)/SUM(FG39)</f>
        <v>0.51107741857165567</v>
      </c>
      <c r="FL39" s="1766">
        <f>FQ39*100/(FG39*FK39/100)</f>
        <v>90.302073381744648</v>
      </c>
      <c r="FM39" s="1771">
        <f>FL39*FG39*FK39/(100*FO39)</f>
        <v>26.389507297964627</v>
      </c>
      <c r="FN39" s="1767">
        <f>+SUM(FN8:FN38)</f>
        <v>51308.583194143299</v>
      </c>
      <c r="FO39" s="1767">
        <f>SUM(FN8:FN38)</f>
        <v>51308.583194143299</v>
      </c>
      <c r="FP39" s="1767">
        <f>+SUM(FP8:FP38)</f>
        <v>13540.082306500699</v>
      </c>
      <c r="FQ39" s="1765">
        <f>+SUM(FP8:FP38)</f>
        <v>13540.082306500699</v>
      </c>
      <c r="FR39" s="1767">
        <f>+SUMPRODUCT(FR8:FR38,FF8:FF38)/FG39</f>
        <v>190.92613315237236</v>
      </c>
      <c r="FS39" s="1771">
        <f>SUMPRODUCT(FF8:FF38,FR8:FR38,FS8:FS38)/SUMPRODUCT(FF8:FF38,FR8:FR38)</f>
        <v>92.043617348570208</v>
      </c>
      <c r="FT39" s="1771">
        <f>SUMPRODUCT(FF8:FF38,FR8:FR38,FS8:FS38,FT8:FT38)/SUMPRODUCT(FF8:FF38,FR8:FR38,FS8:FS38)</f>
        <v>87.824160700571653</v>
      </c>
      <c r="FU39" s="1771">
        <f>+FY39/(FG39*FR39/10000)*10000</f>
        <v>80.83653441482754</v>
      </c>
      <c r="FV39" s="1771">
        <f>FZ39/FX39*100</f>
        <v>50</v>
      </c>
      <c r="FW39" s="1767">
        <f>SUM(FW8:FW38)</f>
        <v>905.60737080575404</v>
      </c>
      <c r="FX39" s="1767">
        <f>+SUM(FW8:FW38)</f>
        <v>905.60737080575404</v>
      </c>
      <c r="FY39" s="1767">
        <f>SUM(FY8:FY38)</f>
        <v>452.80368540287702</v>
      </c>
      <c r="FZ39" s="1765">
        <f>+SUM(FY8:FY38)</f>
        <v>452.80368540287702</v>
      </c>
      <c r="GA39" s="1767">
        <f>SUM(GA8:GA38)</f>
        <v>449.14625440864052</v>
      </c>
      <c r="GB39" s="1767">
        <f>SUM(GB8:GB38)</f>
        <v>14852.760190483637</v>
      </c>
      <c r="GC39" s="1765">
        <f>+SUM(GB8:GB38)</f>
        <v>14852.760190483637</v>
      </c>
      <c r="GD39" s="1764">
        <f>SUM(GD8:GD38)</f>
        <v>47588</v>
      </c>
      <c r="GE39" s="1771">
        <f>GF39/GD39*100</f>
        <v>26.462049765738875</v>
      </c>
      <c r="GF39" s="1765">
        <f>SUM(GF8:GF38)</f>
        <v>12592.760242519817</v>
      </c>
      <c r="GG39" s="1773">
        <f>SUMPRODUCT($GG$8:$GG$38,$FF$8:$FF$38)/SUM($FF$8:$FF$38)</f>
        <v>28.042765104804531</v>
      </c>
      <c r="GH39" s="1773">
        <f>SUMPRODUCT($GH$8:$GH$38,$FF$8:$FF$38)/SUM($FF$8:$FF$38)</f>
        <v>1261.9244297162038</v>
      </c>
      <c r="GI39" s="1770">
        <f>SUMPRODUCT(GI8:GI38,FF8:FF38)/SUM(FG39)</f>
        <v>98.374648963469824</v>
      </c>
      <c r="GJ39" s="1774"/>
      <c r="GK39" s="1767"/>
      <c r="GL39" s="1767"/>
      <c r="GM39" s="1771"/>
      <c r="GN39" s="1771"/>
      <c r="GO39" s="1771"/>
      <c r="GP39" s="1771"/>
      <c r="GQ39" s="1767"/>
      <c r="GR39" s="1767"/>
      <c r="GS39" s="1767"/>
      <c r="GT39" s="1765"/>
      <c r="GU39" s="1773">
        <f>SUMPRODUCT($GU$8:$GU$38,$FF$8:$FF$38)/SUM($FF$8:$FF$38)</f>
        <v>36.90009719889941</v>
      </c>
      <c r="GW39" s="1774"/>
      <c r="GX39" s="970"/>
      <c r="GZ39" s="1769"/>
      <c r="HA39" s="1764">
        <f>AVERAGE(HA8:HA38)</f>
        <v>203214.28936289009</v>
      </c>
      <c r="HB39" s="1767">
        <f>+SUM(HA8:HA38)</f>
        <v>2845000.0510804611</v>
      </c>
      <c r="HC39" s="1764">
        <f>AVERAGE(HC8:HC38)</f>
        <v>208811.11708885504</v>
      </c>
      <c r="HD39" s="1765">
        <f>+SUM(HC8:HC38)</f>
        <v>2923355.6392439706</v>
      </c>
      <c r="HE39" s="1766">
        <f>+SUM(HE8:HE38)/COUNT(HA8:HA38)</f>
        <v>97.936037839173565</v>
      </c>
      <c r="HF39" s="1771">
        <f>+SUMPRODUCT(HF8:HF38,HE8:HE38)/SUM(HE8:HE38)</f>
        <v>8576.3313569596121</v>
      </c>
      <c r="HG39" s="1770">
        <f>SUMPRODUCT(HG8:HG38,HC8:HC38)/SUM(HD39)</f>
        <v>74.475343192778226</v>
      </c>
      <c r="HH39" s="1770">
        <f>SUMPRODUCT(HH8:HH38,HC8:HC38)/SUM(HD39)</f>
        <v>0.55990867067481775</v>
      </c>
      <c r="HI39" s="1766">
        <f>HN39*100/(HD39*HH39/100)</f>
        <v>90.286898116100303</v>
      </c>
      <c r="HJ39" s="1771">
        <f>HI39*HD39*HH39/(100*HL39)</f>
        <v>27.143541040688454</v>
      </c>
      <c r="HK39" s="1767">
        <f>+SUM(HK8:HK38)</f>
        <v>54444.883736987227</v>
      </c>
      <c r="HL39" s="1767">
        <f>SUM(HK8:HK38)</f>
        <v>54444.883736987227</v>
      </c>
      <c r="HM39" s="1767">
        <f>+SUM(HM8:HM38)</f>
        <v>14778.269361704241</v>
      </c>
      <c r="HN39" s="1765">
        <f>+SUM(HM8:HM38)</f>
        <v>14778.269361704241</v>
      </c>
      <c r="HO39" s="1767">
        <f>+SUMPRODUCT(HO8:HO38,HC8:HC38)/HD39</f>
        <v>151.37563134602425</v>
      </c>
      <c r="HP39" s="1771">
        <f>SUMPRODUCT(HC8:HC38,HO8:HO38,HP8:HP38)/SUMPRODUCT(HC8:HC38,HO8:HO38)</f>
        <v>91.115023640265434</v>
      </c>
      <c r="HQ39" s="1771">
        <f>SUMPRODUCT(HC8:HC38,HO8:HO38,HP8:HP38,HQ8:HQ38)/SUMPRODUCT(HC8:HC38,HO8:HO38,HP8:HP38)</f>
        <v>88.079680525056418</v>
      </c>
      <c r="HR39" s="1771">
        <f>+HV39/(HD39*HO39/10000)*10000</f>
        <v>80.253821732675405</v>
      </c>
      <c r="HS39" s="1771">
        <f>HW39/HU39*100</f>
        <v>50</v>
      </c>
      <c r="HT39" s="1767">
        <f>SUM(HT8:HT38)</f>
        <v>710.28613712110382</v>
      </c>
      <c r="HU39" s="1767">
        <f>+SUM(HT8:HT38)</f>
        <v>710.28613712110382</v>
      </c>
      <c r="HV39" s="1767">
        <f>SUM(HV8:HV38)</f>
        <v>355.14306856055191</v>
      </c>
      <c r="HW39" s="1765">
        <f>+SUM(HV8:HV38)</f>
        <v>355.14306856055191</v>
      </c>
      <c r="HX39" s="1767">
        <f>SUM(HX8:HX38)</f>
        <v>432.04850302529678</v>
      </c>
      <c r="HY39" s="1767">
        <f>SUM(HY8:HY38)</f>
        <v>15807.82911746128</v>
      </c>
      <c r="HZ39" s="1765">
        <f>+SUM(HY8:HY38)</f>
        <v>15807.82911746128</v>
      </c>
      <c r="IA39" s="1764">
        <f>SUM(IA8:IA38)</f>
        <v>57754</v>
      </c>
      <c r="IB39" s="1771">
        <f>IC39/IA39*100</f>
        <v>27.206150690685405</v>
      </c>
      <c r="IC39" s="1765">
        <f>SUM(IC8:IC38)</f>
        <v>15712.640269898448</v>
      </c>
      <c r="ID39" s="1773">
        <f>SUMPRODUCT($GG$8:$GG$38,$FF$8:$FF$38)/SUM($FF$8:$FF$38)</f>
        <v>28.042765104804531</v>
      </c>
      <c r="IE39" s="1773">
        <f>SUMPRODUCT($GH$8:$GH$38,$FF$8:$FF$38)/SUM($FF$8:$FF$38)</f>
        <v>1261.9244297162038</v>
      </c>
      <c r="IF39" s="745">
        <f t="shared" si="20"/>
        <v>5857198.7756838277</v>
      </c>
      <c r="IG39" s="745">
        <f t="shared" si="124"/>
        <v>11714397.551367655</v>
      </c>
    </row>
    <row r="40" spans="1:245" ht="14.25" customHeight="1">
      <c r="I40" s="347">
        <f>+CA40</f>
        <v>94.696724949562878</v>
      </c>
      <c r="J40" s="745">
        <f>+CB40</f>
        <v>688.85787000000016</v>
      </c>
      <c r="AG40" s="964">
        <f>+AE39-AG39</f>
        <v>-73.248003470508365</v>
      </c>
      <c r="AH40" s="347">
        <f>+AG38/2</f>
        <v>20</v>
      </c>
      <c r="AJ40" s="745">
        <f>+O39</f>
        <v>105753.4669311305</v>
      </c>
      <c r="AK40" s="745">
        <f>+AK39-O39</f>
        <v>-17.466931130504236</v>
      </c>
      <c r="AR40" s="347">
        <f>2000*0.9644</f>
        <v>1928.8000000000002</v>
      </c>
      <c r="BX40" s="795">
        <f>DAY(EOMONTH($B$8,0))*24-0.5</f>
        <v>743.5</v>
      </c>
      <c r="BZ40" s="963">
        <f>+BX40-CX40</f>
        <v>704.07015000000001</v>
      </c>
      <c r="CA40" s="966">
        <f>+BZ40/BX40*100</f>
        <v>94.696724949562878</v>
      </c>
      <c r="CB40" s="745">
        <f>+CB39*(24*DAY(EOMONTH($B$8,0))-EQ39)/100</f>
        <v>688.85787000000016</v>
      </c>
      <c r="CN40" s="745">
        <f>+CN39-CS40</f>
        <v>-48.142130000000293</v>
      </c>
      <c r="CS40" s="745">
        <f>31*24-0.5</f>
        <v>743.5</v>
      </c>
      <c r="CX40" s="795">
        <f>+SUM(CX39:DA39)</f>
        <v>39.429849999999995</v>
      </c>
      <c r="CY40" s="745">
        <v>0.5</v>
      </c>
      <c r="CZ40" s="795">
        <f>+CX40-CY40</f>
        <v>38.929849999999995</v>
      </c>
      <c r="DT40" s="963">
        <f>9.8-DL24*DL3</f>
        <v>8.7122799999999998</v>
      </c>
      <c r="DW40" s="2799">
        <f>+SUM(DW39:DZ39)</f>
        <v>8.7122800000000051</v>
      </c>
      <c r="DZ40" s="745">
        <f>8.5/115</f>
        <v>7.3913043478260873E-2</v>
      </c>
      <c r="EE40" s="3693">
        <f>+SUM(EE39:EH39)</f>
        <v>6.0000000000000027</v>
      </c>
      <c r="EI40" s="2799">
        <f>+SUM(EI39:EL39)</f>
        <v>0.49999999999999994</v>
      </c>
      <c r="EM40" s="963">
        <f>+SUM(EM8:EP38)</f>
        <v>0.49999999999999944</v>
      </c>
      <c r="ET40" s="745"/>
      <c r="EU40" s="745"/>
    </row>
    <row r="41" spans="1:245" ht="14.25" customHeight="1" thickBot="1">
      <c r="AK41" s="347">
        <f>+AK38/2</f>
        <v>2183</v>
      </c>
      <c r="AN41" s="347">
        <v>112688</v>
      </c>
      <c r="AP41" s="1836">
        <f>+AP39*$AV$8</f>
        <v>27229.795292946379</v>
      </c>
      <c r="AT41" s="347">
        <v>79422.833333333343</v>
      </c>
      <c r="CS41" s="966">
        <f>+CS40-CS39</f>
        <v>54.642129999999952</v>
      </c>
      <c r="CT41" s="963"/>
      <c r="CU41" s="963"/>
      <c r="CV41" s="963"/>
      <c r="CW41" s="963"/>
      <c r="CX41" s="963"/>
      <c r="CZ41" s="745">
        <v>59</v>
      </c>
      <c r="DL41" s="2112">
        <f>+'Plan mina ST'!O74</f>
        <v>5857.1987756838262</v>
      </c>
      <c r="DN41" s="963"/>
      <c r="DO41" s="963">
        <f>+'PM vs OL y BD'!D16</f>
        <v>92.650688634835248</v>
      </c>
      <c r="DQ41" s="966"/>
      <c r="DR41" s="966"/>
      <c r="DT41" s="2802"/>
      <c r="DW41" s="2112"/>
      <c r="DX41" s="966">
        <f>+DX39*4</f>
        <v>9.002689333333338</v>
      </c>
      <c r="DY41" s="2577">
        <f>+DX41/108</f>
        <v>8.3358234567901271E-2</v>
      </c>
      <c r="EB41" s="2112"/>
      <c r="EE41" s="963">
        <v>10.9</v>
      </c>
      <c r="EF41" s="2112">
        <f>+EF39*4</f>
        <v>6.2000000000000028</v>
      </c>
      <c r="EJ41" s="2112">
        <f>+EJ39*4</f>
        <v>0.51666666666666661</v>
      </c>
      <c r="EK41" s="745">
        <f>115-8</f>
        <v>107</v>
      </c>
      <c r="ET41" s="745"/>
      <c r="EU41" s="745"/>
    </row>
    <row r="42" spans="1:245" ht="14.25" customHeight="1" thickBot="1">
      <c r="D42" s="347" t="s">
        <v>9</v>
      </c>
      <c r="E42" s="747" t="s">
        <v>57</v>
      </c>
      <c r="AK42" s="745">
        <v>2183</v>
      </c>
      <c r="AM42" s="3161">
        <v>122607.28209863446</v>
      </c>
      <c r="AR42" s="3154" t="s">
        <v>1563</v>
      </c>
      <c r="AW42" s="347">
        <v>89963.666666666672</v>
      </c>
      <c r="BW42" s="966">
        <v>96.434482279360665</v>
      </c>
      <c r="CA42" s="795"/>
      <c r="CC42" s="745">
        <f>30*24</f>
        <v>720</v>
      </c>
      <c r="CZ42" s="966">
        <v>0.5</v>
      </c>
      <c r="DA42" s="966">
        <f>+CZ41-CZ42</f>
        <v>58.5</v>
      </c>
      <c r="DB42" s="966"/>
      <c r="DC42" s="966"/>
      <c r="DD42" s="966"/>
      <c r="DE42" s="966"/>
      <c r="DF42" s="966"/>
      <c r="DG42" s="966"/>
      <c r="DH42" s="966"/>
      <c r="DI42" s="966"/>
      <c r="DJ42" s="966"/>
      <c r="DK42" s="966"/>
      <c r="DL42" s="2112"/>
      <c r="DN42" s="963"/>
      <c r="DS42" s="745">
        <f>288-18</f>
        <v>270</v>
      </c>
      <c r="DT42" s="2802"/>
      <c r="DU42" s="3187">
        <f>+'TP sin BM'!G5</f>
        <v>28.318351668204937</v>
      </c>
      <c r="DX42" s="2112">
        <f>+DX41/108</f>
        <v>8.3358234567901271E-2</v>
      </c>
      <c r="DY42" s="2577"/>
      <c r="EA42" s="3625">
        <f>+'PM vs OL y BD'!D16</f>
        <v>92.650688634835248</v>
      </c>
      <c r="EC42" s="2577">
        <f>+EE43/(28*4-9)</f>
        <v>-4.7572815533980559E-2</v>
      </c>
      <c r="EE42" s="2577">
        <v>10.923684999999999</v>
      </c>
      <c r="EF42" s="2112">
        <f>+EF41/108</f>
        <v>5.7407407407407435E-2</v>
      </c>
      <c r="EG42" s="963"/>
      <c r="EH42" s="963">
        <f>+J39</f>
        <v>92.650688634835248</v>
      </c>
      <c r="EJ42" s="745">
        <f>+EJ41/108</f>
        <v>4.78395061728395E-3</v>
      </c>
      <c r="ET42" s="745"/>
      <c r="EU42" s="745"/>
      <c r="II42" s="4232">
        <v>0.5354493276828427</v>
      </c>
      <c r="IK42" s="2577">
        <f>+M39</f>
        <v>90.294153352101702</v>
      </c>
    </row>
    <row r="43" spans="1:245" ht="14.25" customHeight="1">
      <c r="C43" s="3759">
        <v>46054.791666666664</v>
      </c>
      <c r="D43" s="747">
        <v>411812.41287464526</v>
      </c>
      <c r="E43" s="747">
        <v>593593.29960000003</v>
      </c>
      <c r="AK43" s="745">
        <f>+AK42+4366</f>
        <v>6549</v>
      </c>
      <c r="AN43" s="347">
        <v>96503.918503414257</v>
      </c>
      <c r="AO43" s="347">
        <v>0.96399999999999997</v>
      </c>
      <c r="AP43" s="347">
        <f>+AP39*AO43</f>
        <v>27286.406093971214</v>
      </c>
      <c r="CC43" s="795"/>
      <c r="CD43" s="795"/>
      <c r="CE43" s="795"/>
      <c r="CF43" s="795"/>
      <c r="CG43" s="795"/>
      <c r="CH43" s="795"/>
      <c r="CI43" s="795"/>
      <c r="CJ43" s="795"/>
      <c r="CK43" s="795"/>
      <c r="CL43" s="795"/>
      <c r="CM43" s="795"/>
      <c r="CN43" s="795"/>
      <c r="CO43" s="795"/>
      <c r="CP43" s="795"/>
      <c r="CQ43" s="795"/>
      <c r="CR43" s="795"/>
      <c r="CS43" s="795"/>
      <c r="CX43" s="2577"/>
      <c r="CY43" s="963"/>
      <c r="DL43" s="2112"/>
      <c r="DN43" s="963"/>
      <c r="DY43" s="2577"/>
      <c r="EA43" s="2801">
        <v>90.621602999999993</v>
      </c>
      <c r="EC43" s="2577"/>
      <c r="EE43" s="2577">
        <f>+EE40-EE41</f>
        <v>-4.8999999999999977</v>
      </c>
      <c r="EF43" s="3624">
        <v>7.7</v>
      </c>
      <c r="EJ43" s="963"/>
      <c r="ET43" s="745"/>
      <c r="EU43" s="745"/>
    </row>
    <row r="44" spans="1:245" ht="14.25" customHeight="1">
      <c r="B44" s="347">
        <v>1700</v>
      </c>
      <c r="C44" s="3759">
        <v>46055.791666666664</v>
      </c>
      <c r="D44" s="747">
        <v>430389.48701294285</v>
      </c>
      <c r="E44" s="747">
        <v>593884.50520000001</v>
      </c>
      <c r="O44" s="745">
        <f>+SUM(O17:O20)-AK20</f>
        <v>9602.9957817797895</v>
      </c>
      <c r="AV44" s="347">
        <v>593593.29960000003</v>
      </c>
      <c r="DT44" s="2801"/>
      <c r="DU44" s="3187">
        <v>33.049229312340195</v>
      </c>
      <c r="DV44" s="2112"/>
      <c r="DY44" s="2577"/>
      <c r="EA44" s="2577"/>
      <c r="EC44" s="2577">
        <v>0.11645990650845028</v>
      </c>
      <c r="EE44" s="2577"/>
      <c r="EH44" s="2112">
        <v>90.621603127326907</v>
      </c>
      <c r="EJ44" s="963"/>
      <c r="ET44" s="745"/>
      <c r="EU44" s="745"/>
    </row>
    <row r="45" spans="1:245" ht="14.25" customHeight="1">
      <c r="B45" s="347">
        <v>3571.5053394736779</v>
      </c>
      <c r="C45" s="3759">
        <v>46056.791666666664</v>
      </c>
      <c r="D45" s="747">
        <v>413857.55645166355</v>
      </c>
      <c r="E45" s="747">
        <v>593517.07799999998</v>
      </c>
      <c r="AV45" s="347">
        <v>593884.50520000001</v>
      </c>
      <c r="DS45" s="963"/>
      <c r="DT45" s="963"/>
      <c r="DY45" s="2577"/>
      <c r="EA45" s="2577"/>
      <c r="EC45" s="2112">
        <f>+EC44-EE8</f>
        <v>6.6459906508450281E-2</v>
      </c>
      <c r="EG45" s="963"/>
      <c r="EH45" s="963"/>
      <c r="EJ45" s="963"/>
      <c r="ET45" s="745"/>
      <c r="EU45" s="745"/>
    </row>
    <row r="46" spans="1:245" ht="14.25" customHeight="1">
      <c r="B46" s="347">
        <v>2900</v>
      </c>
      <c r="C46" s="3759">
        <v>46057.791666666664</v>
      </c>
      <c r="D46" s="747">
        <v>435931.84401710215</v>
      </c>
      <c r="E46" s="747">
        <v>614266.94279999996</v>
      </c>
      <c r="AV46" s="347">
        <v>593517.07799999998</v>
      </c>
      <c r="DU46" s="3188">
        <v>0.13676720699167788</v>
      </c>
      <c r="DV46" s="3189">
        <v>9.1178137994451916E-2</v>
      </c>
      <c r="DY46" s="2577"/>
      <c r="EA46" s="2577"/>
      <c r="EJ46" s="963"/>
      <c r="ET46" s="745"/>
      <c r="EU46" s="745"/>
    </row>
    <row r="47" spans="1:245" ht="14.25" customHeight="1">
      <c r="B47" s="347">
        <v>2900</v>
      </c>
      <c r="C47" s="3759">
        <v>46058.791666666664</v>
      </c>
      <c r="D47" s="747">
        <v>462278.50965390191</v>
      </c>
      <c r="E47" s="747">
        <v>593928.47919999994</v>
      </c>
      <c r="G47" s="347">
        <v>185980</v>
      </c>
      <c r="H47" s="347">
        <v>183371.623046875</v>
      </c>
      <c r="I47" s="347">
        <f>+G47-H47</f>
        <v>2608.376953125</v>
      </c>
      <c r="J47" s="347">
        <f>+-I47</f>
        <v>-2608.376953125</v>
      </c>
      <c r="AV47" s="347">
        <v>614266.94279999996</v>
      </c>
      <c r="DY47" s="2577"/>
      <c r="EA47" s="2577"/>
      <c r="EF47" s="963"/>
      <c r="EG47" s="963"/>
      <c r="EH47" s="963"/>
      <c r="EJ47" s="963"/>
      <c r="ET47" s="745"/>
      <c r="EU47" s="745"/>
    </row>
    <row r="48" spans="1:245" ht="14.25" customHeight="1">
      <c r="B48" s="347">
        <v>2900</v>
      </c>
      <c r="C48" s="3759">
        <v>46059.791666666664</v>
      </c>
      <c r="D48" s="747">
        <v>488616.04762452014</v>
      </c>
      <c r="E48" s="747">
        <v>620775.09479999996</v>
      </c>
      <c r="G48" s="347">
        <v>155300</v>
      </c>
      <c r="H48" s="347">
        <v>161195.171875</v>
      </c>
      <c r="I48" s="347">
        <f>+G48-H48</f>
        <v>-5895.171875</v>
      </c>
      <c r="J48" s="347">
        <f>+-I48</f>
        <v>5895.171875</v>
      </c>
      <c r="AV48" s="347">
        <v>593928.47919999994</v>
      </c>
      <c r="DY48" s="2577"/>
      <c r="EA48" s="2577"/>
      <c r="EF48" s="963"/>
      <c r="EG48" s="963"/>
      <c r="EH48" s="963"/>
      <c r="EJ48" s="963"/>
      <c r="ET48" s="745"/>
      <c r="EU48" s="745"/>
    </row>
    <row r="49" spans="2:151" ht="14.25" customHeight="1">
      <c r="B49" s="347">
        <v>2900</v>
      </c>
      <c r="C49" s="3759">
        <v>46060.791666666664</v>
      </c>
      <c r="D49" s="747">
        <v>478550.13744462159</v>
      </c>
      <c r="E49" s="747">
        <v>673513.60159999994</v>
      </c>
      <c r="G49" s="347">
        <v>207308.47245541992</v>
      </c>
      <c r="H49" s="347">
        <v>174684.07486236573</v>
      </c>
      <c r="I49" s="347">
        <f>+G49-H49</f>
        <v>32624.397593054193</v>
      </c>
      <c r="J49" s="347">
        <f>+-I49</f>
        <v>-32624.397593054193</v>
      </c>
      <c r="AV49" s="347">
        <v>620775.09479999996</v>
      </c>
      <c r="DY49" s="2577"/>
      <c r="EA49" s="2577"/>
      <c r="ET49" s="745"/>
      <c r="EU49" s="745"/>
    </row>
    <row r="50" spans="2:151" ht="14.25" customHeight="1">
      <c r="B50" s="347">
        <v>2900</v>
      </c>
      <c r="C50" s="3759">
        <v>46061.791666666664</v>
      </c>
      <c r="D50" s="747">
        <v>500681.90528733481</v>
      </c>
      <c r="E50" s="747">
        <v>665881.66960000002</v>
      </c>
      <c r="AV50" s="347">
        <v>673513.60159999994</v>
      </c>
      <c r="DY50" s="2577"/>
      <c r="EA50" s="2577"/>
      <c r="ET50" s="745"/>
      <c r="EU50" s="745"/>
    </row>
    <row r="51" spans="2:151" ht="14.25" customHeight="1">
      <c r="B51" s="347">
        <v>2900</v>
      </c>
      <c r="C51" s="3759">
        <v>46062.791666666664</v>
      </c>
      <c r="D51" s="747">
        <v>506456.14753382781</v>
      </c>
      <c r="E51" s="747">
        <v>715614.30920000002</v>
      </c>
      <c r="AV51" s="347">
        <v>665881.66960000002</v>
      </c>
      <c r="DY51" s="2577"/>
      <c r="EA51" s="2577"/>
      <c r="EF51" s="2112"/>
      <c r="EG51" s="2112"/>
      <c r="EH51" s="2112"/>
      <c r="ET51" s="745"/>
      <c r="EU51" s="745"/>
    </row>
    <row r="52" spans="2:151" ht="14.25" customHeight="1">
      <c r="B52" s="347">
        <v>4366</v>
      </c>
      <c r="C52" s="3759">
        <v>46063.791666666664</v>
      </c>
      <c r="D52" s="747">
        <v>486767.021042648</v>
      </c>
      <c r="E52" s="747">
        <v>706921.13799999992</v>
      </c>
      <c r="AV52" s="347">
        <v>715614.30920000002</v>
      </c>
      <c r="DY52" s="2577"/>
      <c r="EA52" s="2577"/>
      <c r="EF52" s="2112"/>
      <c r="EG52" s="2112"/>
      <c r="EH52" s="2112"/>
      <c r="ET52" s="745"/>
      <c r="EU52" s="745"/>
    </row>
    <row r="53" spans="2:151" ht="14.25" customHeight="1">
      <c r="B53" s="347">
        <v>4366</v>
      </c>
      <c r="C53" s="3759">
        <v>46064.791666666664</v>
      </c>
      <c r="D53" s="747">
        <v>506495.79303150083</v>
      </c>
      <c r="E53" s="747">
        <v>736991.53639999998</v>
      </c>
      <c r="AV53" s="347">
        <v>706921.13799999992</v>
      </c>
      <c r="DY53" s="2577"/>
      <c r="EA53" s="2577"/>
      <c r="ET53" s="745"/>
      <c r="EU53" s="745"/>
    </row>
    <row r="54" spans="2:151" ht="14.25" customHeight="1">
      <c r="B54" s="347">
        <v>4366</v>
      </c>
      <c r="C54" s="3759">
        <v>46065.791666666664</v>
      </c>
      <c r="D54" s="747"/>
      <c r="E54" s="747">
        <v>731139.08559999999</v>
      </c>
      <c r="AV54" s="347">
        <v>736991.53639999998</v>
      </c>
      <c r="DY54" s="2577"/>
      <c r="EA54" s="2577"/>
      <c r="ET54" s="745"/>
      <c r="EU54" s="745"/>
    </row>
    <row r="55" spans="2:151" ht="14.25" customHeight="1">
      <c r="B55" s="347">
        <v>4366</v>
      </c>
      <c r="E55" s="747"/>
      <c r="AV55" s="347">
        <v>731139.08559999999</v>
      </c>
      <c r="DY55" s="2577"/>
      <c r="EA55" s="2577"/>
      <c r="ET55" s="745"/>
      <c r="EU55" s="745"/>
    </row>
    <row r="56" spans="2:151" ht="14.25" customHeight="1">
      <c r="B56" s="347">
        <v>4366</v>
      </c>
      <c r="E56" s="747"/>
      <c r="DY56" s="2577"/>
      <c r="EA56" s="2577"/>
      <c r="ET56" s="745"/>
      <c r="EU56" s="745"/>
    </row>
    <row r="57" spans="2:151" ht="14.25" customHeight="1">
      <c r="B57" s="347">
        <v>0</v>
      </c>
      <c r="E57" s="747"/>
      <c r="DY57" s="2577"/>
      <c r="EA57" s="2577"/>
      <c r="ET57" s="745"/>
      <c r="EU57" s="745"/>
    </row>
    <row r="58" spans="2:151" ht="14.25" customHeight="1">
      <c r="B58" s="347">
        <v>0</v>
      </c>
      <c r="E58" s="747"/>
      <c r="DY58" s="2577"/>
      <c r="EA58" s="2577"/>
      <c r="ET58" s="745"/>
      <c r="EU58" s="745"/>
    </row>
    <row r="59" spans="2:151" ht="14.25" customHeight="1">
      <c r="B59" s="347">
        <v>0</v>
      </c>
      <c r="E59" s="747"/>
      <c r="DY59" s="2577"/>
      <c r="EA59" s="2577"/>
      <c r="ET59" s="745"/>
      <c r="EU59" s="745"/>
    </row>
    <row r="60" spans="2:151" ht="14.25" customHeight="1">
      <c r="B60" s="347">
        <v>900</v>
      </c>
      <c r="E60" s="747"/>
      <c r="DY60" s="2577"/>
      <c r="EA60" s="2577"/>
      <c r="ET60" s="745"/>
      <c r="EU60" s="745"/>
    </row>
    <row r="61" spans="2:151" ht="14.25" customHeight="1">
      <c r="B61" s="347">
        <v>3000</v>
      </c>
      <c r="E61" s="747"/>
      <c r="DY61" s="2577"/>
      <c r="EA61" s="2577"/>
      <c r="ET61" s="745"/>
      <c r="EU61" s="745"/>
    </row>
    <row r="62" spans="2:151" ht="14.25" customHeight="1">
      <c r="B62" s="347">
        <v>3000</v>
      </c>
      <c r="E62" s="747"/>
      <c r="ET62" s="745"/>
      <c r="EU62" s="745"/>
    </row>
    <row r="63" spans="2:151" ht="14.25" customHeight="1">
      <c r="B63" s="347">
        <v>3000</v>
      </c>
      <c r="E63" s="747"/>
      <c r="ET63" s="745"/>
      <c r="EU63" s="745"/>
    </row>
    <row r="64" spans="2:151" ht="14.25" customHeight="1">
      <c r="B64" s="347">
        <v>4366</v>
      </c>
      <c r="E64" s="747"/>
      <c r="ET64" s="745"/>
      <c r="EU64" s="745"/>
    </row>
    <row r="65" spans="2:202" ht="14.25" customHeight="1">
      <c r="B65" s="347">
        <v>4366</v>
      </c>
      <c r="E65" s="747"/>
      <c r="O65" s="1840"/>
      <c r="P65" s="1840"/>
      <c r="Q65" s="1840"/>
      <c r="R65" s="1840"/>
      <c r="S65" s="1840"/>
      <c r="T65" s="1840"/>
      <c r="U65" s="1840"/>
      <c r="V65" s="1840"/>
      <c r="W65" s="1840"/>
      <c r="X65" s="1840"/>
      <c r="Y65" s="1840"/>
      <c r="Z65" s="1840"/>
      <c r="AA65" s="1840"/>
      <c r="AB65" s="1840"/>
      <c r="AC65" s="1840"/>
      <c r="AD65" s="1840"/>
      <c r="AE65" s="1840"/>
      <c r="AF65" s="1840"/>
      <c r="AG65" s="1840"/>
      <c r="AH65" s="1840"/>
      <c r="AI65" s="1840"/>
      <c r="AJ65" s="1840"/>
      <c r="AK65" s="1840"/>
      <c r="AL65" s="1840"/>
      <c r="AM65" s="1840"/>
      <c r="AN65" s="1840"/>
      <c r="AO65" s="1840"/>
      <c r="AP65" s="1840"/>
      <c r="AQ65" s="1840"/>
      <c r="AR65" s="1840"/>
      <c r="AS65" s="1840"/>
      <c r="AT65" s="1840"/>
      <c r="AU65" s="1840"/>
      <c r="AV65" s="1840"/>
      <c r="AW65" s="1840"/>
      <c r="AX65" s="1840"/>
      <c r="AY65" s="1840"/>
      <c r="AZ65" s="1840"/>
      <c r="BA65" s="1840"/>
      <c r="BB65" s="1840"/>
      <c r="BC65" s="1840"/>
      <c r="BD65" s="1840"/>
      <c r="BE65" s="1840"/>
      <c r="BF65" s="1840"/>
      <c r="BG65" s="1840"/>
      <c r="BH65" s="1840"/>
      <c r="BI65" s="1840"/>
      <c r="BJ65" s="1840"/>
      <c r="BK65" s="1840"/>
      <c r="BL65" s="1840"/>
      <c r="BM65" s="1840"/>
      <c r="BN65" s="1840"/>
      <c r="BO65" s="1840"/>
      <c r="BP65" s="1840"/>
      <c r="BQ65" s="1840"/>
      <c r="BR65" s="1840"/>
      <c r="BS65" s="1840"/>
      <c r="BT65" s="1840"/>
      <c r="BU65" s="1840"/>
      <c r="BV65" s="1840"/>
      <c r="BW65" s="1840"/>
      <c r="BX65" s="1840"/>
      <c r="BY65" s="1840"/>
      <c r="BZ65" s="1840"/>
      <c r="CA65" s="1840"/>
      <c r="CB65" s="1840"/>
      <c r="CC65" s="1840"/>
      <c r="CD65" s="1840"/>
      <c r="CE65" s="1840"/>
      <c r="CF65" s="1840"/>
      <c r="CG65" s="1840"/>
      <c r="CH65" s="1840"/>
      <c r="CI65" s="1840"/>
      <c r="CJ65" s="1840"/>
      <c r="CK65" s="1840"/>
      <c r="CL65" s="1840"/>
      <c r="CM65" s="1840"/>
      <c r="CN65" s="1840"/>
      <c r="CO65" s="1840"/>
      <c r="CP65" s="1840"/>
      <c r="CQ65" s="1840"/>
      <c r="CR65" s="1840"/>
      <c r="CS65" s="1840"/>
      <c r="CT65" s="1840"/>
      <c r="CU65" s="1840"/>
      <c r="CV65" s="1840"/>
      <c r="CW65" s="1840"/>
      <c r="CX65" s="1840"/>
      <c r="CY65" s="1840"/>
      <c r="CZ65" s="1840"/>
      <c r="DA65" s="1840"/>
      <c r="DB65" s="1840"/>
      <c r="DC65" s="1840"/>
      <c r="DD65" s="1840"/>
      <c r="DE65" s="1840"/>
      <c r="DF65" s="1840"/>
      <c r="DG65" s="1840"/>
      <c r="DH65" s="1840"/>
      <c r="DI65" s="1840"/>
      <c r="DJ65" s="1840"/>
      <c r="DK65" s="1840"/>
      <c r="DL65" s="1840"/>
      <c r="DM65" s="1840"/>
      <c r="DN65" s="1840"/>
      <c r="DO65" s="1840"/>
      <c r="DP65" s="1840"/>
      <c r="DQ65" s="1840"/>
      <c r="DR65" s="1840"/>
      <c r="DS65" s="1840"/>
      <c r="DT65" s="1840"/>
      <c r="DU65" s="1840"/>
      <c r="DV65" s="1840"/>
      <c r="DW65" s="1840"/>
      <c r="DX65" s="1840"/>
      <c r="DY65" s="1840"/>
      <c r="DZ65" s="1840"/>
      <c r="EA65" s="1840"/>
      <c r="EB65" s="1840"/>
      <c r="EC65" s="1840"/>
      <c r="ED65" s="1840"/>
      <c r="EE65" s="1840"/>
      <c r="EF65" s="1840"/>
      <c r="EG65" s="1840"/>
      <c r="EH65" s="1840"/>
      <c r="EI65" s="1840"/>
      <c r="EJ65" s="1840"/>
      <c r="EK65" s="1840"/>
      <c r="EL65" s="1840"/>
      <c r="EM65" s="1840"/>
      <c r="EN65" s="1840"/>
      <c r="EO65" s="1840"/>
      <c r="EP65" s="1840"/>
      <c r="EQ65" s="1840"/>
      <c r="ER65" s="1840"/>
      <c r="ES65" s="1840"/>
      <c r="ET65" s="745"/>
      <c r="EU65" s="745"/>
      <c r="EV65" s="1840"/>
      <c r="EW65" s="1840"/>
      <c r="EX65" s="1840"/>
      <c r="EY65" s="1840"/>
      <c r="EZ65" s="1840"/>
      <c r="FA65" s="1840"/>
      <c r="FB65" s="1840"/>
      <c r="FC65" s="1840"/>
      <c r="FD65" s="1840"/>
      <c r="FE65" s="1840"/>
      <c r="FF65" s="1840"/>
      <c r="FG65" s="1840"/>
      <c r="FH65" s="1840"/>
      <c r="FI65" s="1840"/>
      <c r="FJ65" s="1840"/>
      <c r="FK65" s="1840"/>
      <c r="FL65" s="1840"/>
      <c r="FM65" s="1840"/>
      <c r="FN65" s="1840"/>
      <c r="FO65" s="1840"/>
      <c r="FP65" s="1840"/>
      <c r="FQ65" s="1840"/>
      <c r="FR65" s="1840"/>
      <c r="FS65" s="1840"/>
      <c r="FT65" s="1840"/>
      <c r="FU65" s="1840"/>
      <c r="FV65" s="1840"/>
      <c r="FW65" s="1840"/>
      <c r="FX65" s="1840"/>
      <c r="FY65" s="1840"/>
      <c r="FZ65" s="1840"/>
      <c r="GA65" s="1840"/>
      <c r="GB65" s="1840"/>
      <c r="GC65" s="1840"/>
      <c r="GD65" s="1840"/>
      <c r="GE65" s="1840"/>
      <c r="GF65" s="1840"/>
      <c r="GG65" s="1840"/>
      <c r="GH65" s="1840"/>
      <c r="GI65" s="1840"/>
      <c r="GJ65" s="1840"/>
      <c r="GK65" s="1840"/>
      <c r="GL65" s="1840"/>
      <c r="GM65" s="1840"/>
      <c r="GN65" s="1840"/>
      <c r="GO65" s="1840"/>
      <c r="GP65" s="1840"/>
      <c r="GQ65" s="1840"/>
      <c r="GR65" s="1840"/>
      <c r="GS65" s="1840"/>
      <c r="GT65" s="1840"/>
    </row>
    <row r="66" spans="2:202" ht="14.25" customHeight="1">
      <c r="B66" s="347">
        <v>4366</v>
      </c>
      <c r="E66" s="747"/>
      <c r="ET66" s="745"/>
      <c r="EU66" s="745"/>
    </row>
    <row r="67" spans="2:202" ht="14.25" customHeight="1">
      <c r="B67" s="347">
        <v>4366</v>
      </c>
      <c r="E67" s="747"/>
      <c r="ET67" s="745"/>
      <c r="EU67" s="745"/>
    </row>
    <row r="68" spans="2:202" ht="14.25" customHeight="1">
      <c r="B68" s="347">
        <v>4366</v>
      </c>
      <c r="E68" s="747"/>
      <c r="F68" s="747"/>
      <c r="G68" s="747"/>
      <c r="ET68" s="745"/>
      <c r="EU68" s="745"/>
    </row>
    <row r="69" spans="2:202" ht="14.25" customHeight="1">
      <c r="B69" s="347">
        <v>4366</v>
      </c>
      <c r="E69" s="747"/>
      <c r="F69" s="747"/>
      <c r="G69" s="747"/>
      <c r="ET69" s="745"/>
      <c r="EU69" s="745"/>
    </row>
    <row r="70" spans="2:202" ht="14.25" customHeight="1">
      <c r="B70" s="347">
        <v>4366</v>
      </c>
      <c r="E70" s="747"/>
      <c r="F70" s="747"/>
      <c r="G70" s="747"/>
      <c r="CA70" s="963">
        <v>0.98151881720430112</v>
      </c>
      <c r="ET70" s="745"/>
      <c r="EU70" s="745"/>
    </row>
    <row r="71" spans="2:202" ht="14.25" customHeight="1">
      <c r="B71" s="347">
        <v>3175.0360405141237</v>
      </c>
      <c r="E71" s="747"/>
      <c r="F71" s="747"/>
      <c r="G71" s="747"/>
      <c r="CA71" s="963">
        <v>0.98151881720430112</v>
      </c>
      <c r="ET71" s="745"/>
      <c r="EU71" s="745"/>
    </row>
    <row r="72" spans="2:202" ht="14.25" customHeight="1">
      <c r="E72" s="747"/>
      <c r="F72" s="747"/>
      <c r="G72" s="747"/>
      <c r="CA72" s="963">
        <v>0.98151881720430112</v>
      </c>
      <c r="ET72" s="745">
        <f t="shared" ref="ET72" si="237">+E72</f>
        <v>0</v>
      </c>
      <c r="EU72" s="745"/>
    </row>
    <row r="73" spans="2:202" ht="14.25" customHeight="1">
      <c r="E73" s="747"/>
      <c r="F73" s="747"/>
      <c r="G73" s="747"/>
      <c r="CA73" s="963">
        <v>0.98151881720430112</v>
      </c>
      <c r="ET73" s="745">
        <f t="shared" ref="ET73:ET83" si="238">+E73</f>
        <v>0</v>
      </c>
      <c r="EU73" s="745"/>
    </row>
    <row r="74" spans="2:202" ht="14.25" customHeight="1">
      <c r="E74" s="747"/>
      <c r="F74" s="747"/>
      <c r="G74" s="747"/>
      <c r="CA74" s="963">
        <v>0.98151881720430112</v>
      </c>
      <c r="ET74" s="745">
        <f t="shared" si="238"/>
        <v>0</v>
      </c>
      <c r="EU74" s="745"/>
    </row>
    <row r="75" spans="2:202" ht="14.25" customHeight="1">
      <c r="E75" s="747"/>
      <c r="F75" s="747"/>
      <c r="G75" s="747"/>
      <c r="CA75" s="963">
        <v>0.98151881720430112</v>
      </c>
      <c r="ET75" s="745">
        <f t="shared" si="238"/>
        <v>0</v>
      </c>
      <c r="EU75" s="745"/>
    </row>
    <row r="76" spans="2:202" ht="14.25" customHeight="1">
      <c r="E76" s="747"/>
      <c r="F76" s="747"/>
      <c r="G76" s="747"/>
      <c r="CA76" s="963">
        <v>0.98151881720430112</v>
      </c>
      <c r="ET76" s="745">
        <f t="shared" si="238"/>
        <v>0</v>
      </c>
      <c r="EU76" s="745"/>
    </row>
    <row r="77" spans="2:202" ht="14.25" customHeight="1">
      <c r="E77" s="747"/>
      <c r="F77" s="747"/>
      <c r="G77" s="747"/>
      <c r="CA77" s="963">
        <v>0.98151881720430112</v>
      </c>
      <c r="ET77" s="745">
        <f t="shared" si="238"/>
        <v>0</v>
      </c>
      <c r="EU77" s="745"/>
    </row>
    <row r="78" spans="2:202" ht="14.25" customHeight="1">
      <c r="E78" s="747"/>
      <c r="F78" s="747"/>
      <c r="G78" s="747"/>
      <c r="CA78" s="963">
        <v>0.98151881720430112</v>
      </c>
      <c r="ET78" s="745">
        <f t="shared" si="238"/>
        <v>0</v>
      </c>
      <c r="EU78" s="745"/>
    </row>
    <row r="79" spans="2:202" ht="14.25" customHeight="1">
      <c r="E79" s="747"/>
      <c r="F79" s="747"/>
      <c r="G79" s="747"/>
      <c r="CA79" s="963">
        <v>0.98151881720430112</v>
      </c>
      <c r="ET79" s="745">
        <f t="shared" si="238"/>
        <v>0</v>
      </c>
      <c r="EU79" s="745"/>
    </row>
    <row r="80" spans="2:202" ht="14.25" customHeight="1">
      <c r="E80" s="747"/>
      <c r="F80" s="747"/>
      <c r="G80" s="747"/>
      <c r="CA80" s="963">
        <v>0.98151881720430112</v>
      </c>
      <c r="ET80" s="745">
        <f t="shared" si="238"/>
        <v>0</v>
      </c>
      <c r="EU80" s="745"/>
    </row>
    <row r="81" spans="1:151" ht="14.25" customHeight="1">
      <c r="E81" s="747"/>
      <c r="F81" s="747"/>
      <c r="G81" s="747"/>
      <c r="CA81" s="963">
        <v>0.33678381720430106</v>
      </c>
      <c r="ET81" s="745">
        <f t="shared" si="238"/>
        <v>0</v>
      </c>
      <c r="EU81" s="745"/>
    </row>
    <row r="82" spans="1:151" ht="14.25" customHeight="1">
      <c r="E82" s="747"/>
      <c r="F82" s="747"/>
      <c r="G82" s="747"/>
      <c r="CA82" s="963">
        <v>0.88941381720430113</v>
      </c>
      <c r="ET82" s="745">
        <f t="shared" si="238"/>
        <v>0</v>
      </c>
      <c r="EU82" s="745"/>
    </row>
    <row r="83" spans="1:151" ht="14.25" customHeight="1">
      <c r="C83" s="4603" t="s">
        <v>1421</v>
      </c>
      <c r="D83" s="4603"/>
      <c r="E83" s="4603"/>
      <c r="F83" s="4603"/>
      <c r="G83" s="4603"/>
      <c r="H83" s="4603"/>
      <c r="CA83" s="963">
        <v>0.98151881720430112</v>
      </c>
      <c r="ET83" s="745">
        <f t="shared" si="238"/>
        <v>0</v>
      </c>
      <c r="EU83" s="745"/>
    </row>
    <row r="84" spans="1:151" s="744" customFormat="1" ht="17.25" customHeight="1">
      <c r="A84" s="2450"/>
      <c r="B84" s="2070"/>
      <c r="C84" s="1573"/>
      <c r="D84" s="2456"/>
      <c r="E84" s="2456"/>
      <c r="F84" s="2456"/>
      <c r="G84" s="2456"/>
      <c r="H84" s="2064"/>
      <c r="I84" s="2064"/>
      <c r="J84" s="2064"/>
      <c r="K84" s="2064"/>
      <c r="L84" s="2071"/>
      <c r="M84" s="2064"/>
      <c r="N84" s="2064"/>
      <c r="O84" s="1573"/>
      <c r="P84" s="1556"/>
      <c r="Q84" s="1573"/>
      <c r="R84" s="976"/>
      <c r="S84" s="1573"/>
      <c r="T84" s="2064"/>
      <c r="U84" s="2064"/>
      <c r="V84" s="2064"/>
      <c r="W84" s="2064"/>
      <c r="X84" s="1573"/>
      <c r="Y84" s="1556"/>
      <c r="Z84" s="1556"/>
      <c r="AA84" s="1573"/>
      <c r="AB84" s="976"/>
      <c r="AC84" s="780"/>
      <c r="AD84" s="539"/>
      <c r="AE84" s="782"/>
      <c r="AF84" s="780"/>
      <c r="AG84" s="539"/>
      <c r="AH84" s="2072"/>
      <c r="AI84" s="2451"/>
      <c r="AJ84" s="2439"/>
      <c r="AK84" s="2452"/>
      <c r="AL84" s="2453"/>
      <c r="AM84" s="2439"/>
      <c r="AN84" s="2452"/>
      <c r="AO84" s="2453"/>
      <c r="AP84" s="783"/>
      <c r="AQ84" s="783"/>
      <c r="AR84" s="783"/>
      <c r="AS84" s="2632"/>
      <c r="AT84" s="784"/>
      <c r="AU84" s="2454"/>
      <c r="AV84" s="2454"/>
      <c r="AW84" s="2438"/>
      <c r="AX84" s="2439"/>
      <c r="AY84" s="783"/>
      <c r="AZ84" s="783"/>
      <c r="BA84" s="783"/>
      <c r="BB84" s="2432"/>
      <c r="BC84" s="782"/>
      <c r="BD84" s="794"/>
      <c r="BE84" s="2078"/>
      <c r="BF84" s="2449"/>
      <c r="BG84" s="780"/>
      <c r="BH84" s="780"/>
      <c r="BI84" s="780"/>
      <c r="BJ84" s="780"/>
      <c r="BK84" s="539"/>
      <c r="BL84" s="539"/>
      <c r="BM84" s="539"/>
      <c r="BN84" s="539"/>
      <c r="BO84" s="539"/>
      <c r="BP84" s="539"/>
      <c r="BQ84" s="539"/>
      <c r="BR84" s="781"/>
      <c r="BS84" s="539"/>
      <c r="BT84" s="539"/>
      <c r="BU84" s="539"/>
      <c r="BV84" s="2441"/>
      <c r="BW84" s="2442"/>
      <c r="BX84" s="785"/>
      <c r="BY84" s="785"/>
      <c r="BZ84" s="2445"/>
      <c r="CA84" s="785"/>
      <c r="CB84" s="2443"/>
      <c r="CC84" s="2444"/>
      <c r="CD84" s="2446"/>
      <c r="CE84" s="2446"/>
      <c r="CF84" s="2446"/>
      <c r="CG84" s="2446"/>
      <c r="CH84" s="2446"/>
      <c r="CI84" s="2446"/>
      <c r="CJ84" s="2446"/>
      <c r="CK84" s="2446"/>
      <c r="CL84" s="2446"/>
      <c r="CM84" s="2446"/>
      <c r="CN84" s="2446"/>
      <c r="CO84" s="2446"/>
      <c r="CP84" s="2446"/>
      <c r="CQ84" s="2446"/>
      <c r="CR84" s="2446"/>
      <c r="CS84" s="2446"/>
      <c r="CT84" s="2446"/>
      <c r="CU84" s="2446"/>
      <c r="CV84" s="2446"/>
      <c r="CW84" s="2446"/>
      <c r="CX84" s="2446"/>
      <c r="CY84" s="2446"/>
      <c r="CZ84" s="2443"/>
      <c r="DA84" s="2446"/>
      <c r="DB84" s="2446"/>
      <c r="DC84" s="2446"/>
      <c r="DD84" s="2446"/>
      <c r="DE84" s="2446"/>
      <c r="DF84" s="2446"/>
      <c r="DG84" s="2446"/>
      <c r="DH84" s="2446"/>
      <c r="DI84" s="2446"/>
      <c r="DJ84" s="2446"/>
      <c r="DK84" s="2446"/>
      <c r="DL84" s="2446"/>
      <c r="DM84" s="2446"/>
      <c r="DN84" s="2444"/>
      <c r="DO84" s="2446"/>
      <c r="DP84" s="2443"/>
      <c r="DQ84" s="2446"/>
      <c r="DR84" s="2446"/>
      <c r="DS84" s="2443"/>
      <c r="DT84" s="2444"/>
      <c r="DU84" s="2446"/>
      <c r="DV84" s="2447"/>
      <c r="DW84" s="786"/>
      <c r="EB84" s="2448"/>
      <c r="EC84" s="2449"/>
      <c r="ED84" s="783"/>
    </row>
    <row r="85" spans="1:151" s="744" customFormat="1" ht="17.25" customHeight="1">
      <c r="A85" s="2450"/>
      <c r="B85" s="794">
        <f>B8</f>
        <v>46082.791666666664</v>
      </c>
      <c r="C85" s="780" t="str">
        <f>IF($B85&lt;=Factores!$D$3,"",C8)</f>
        <v/>
      </c>
      <c r="D85" s="780" t="str">
        <f>IF($B85&lt;=Factores!$D$3,"",D8)</f>
        <v/>
      </c>
      <c r="E85" s="780" t="str">
        <f>IF($B85&lt;=Factores!$D$3,"",E8)</f>
        <v/>
      </c>
      <c r="F85" s="780" t="str">
        <f>IF($B85&lt;=Factores!$D$3,"",F8)</f>
        <v/>
      </c>
      <c r="G85" s="780" t="str">
        <f>IF($B85&lt;=Factores!$D$3,"",G8)</f>
        <v/>
      </c>
      <c r="H85" s="780" t="str">
        <f>IF($B85&lt;=Factores!$D$3,"",H8)</f>
        <v/>
      </c>
      <c r="I85" s="780" t="str">
        <f>IF($B85&lt;=Factores!$D$3,"",I8)</f>
        <v/>
      </c>
      <c r="J85" s="780" t="str">
        <f>IF($B85&lt;=Factores!$D$3,"",J8)</f>
        <v/>
      </c>
      <c r="K85" s="780" t="str">
        <f>IF($B85&lt;=Factores!$D$3,"",K8)</f>
        <v/>
      </c>
      <c r="L85" s="3107" t="str">
        <f>IF($B85&lt;=Factores!$D$3,"",L8)</f>
        <v/>
      </c>
      <c r="M85" s="780" t="str">
        <f>IF($B85&lt;=Factores!$D$3,"",M8)</f>
        <v/>
      </c>
      <c r="N85" s="780" t="str">
        <f>IF($B85&lt;=Factores!$D$3,"",N8)</f>
        <v/>
      </c>
      <c r="O85" s="780" t="str">
        <f>IF($B85&lt;=Factores!$D$3,"",O8)</f>
        <v/>
      </c>
      <c r="P85" s="780" t="str">
        <f>IF($B85&lt;=Factores!$D$3,"",P8)</f>
        <v/>
      </c>
      <c r="Q85" s="780" t="str">
        <f>IF($B85&lt;=Factores!$D$3,"",Q8)</f>
        <v/>
      </c>
      <c r="R85" s="780" t="str">
        <f>IF($B85&lt;=Factores!$D$3,"",R8)</f>
        <v/>
      </c>
      <c r="S85" s="780" t="str">
        <f>IF($B85&lt;=Factores!$D$3,"",S8)</f>
        <v/>
      </c>
      <c r="T85" s="780" t="str">
        <f>IF($B85&lt;=Factores!$D$3,"",T8)</f>
        <v/>
      </c>
      <c r="U85" s="780" t="str">
        <f>IF($B85&lt;=Factores!$D$3,"",U8)</f>
        <v/>
      </c>
      <c r="V85" s="780" t="str">
        <f>IF($B85&lt;=Factores!$D$3,"",V8)</f>
        <v/>
      </c>
      <c r="W85" s="780" t="str">
        <f>IF($B85&lt;=Factores!$D$3,"",W8)</f>
        <v/>
      </c>
      <c r="X85" s="780" t="str">
        <f>IF($B85&lt;=Factores!$D$3,"",X8)</f>
        <v/>
      </c>
      <c r="Y85" s="780" t="str">
        <f>IF($B85&lt;=Factores!$D$3,"",Y8)</f>
        <v/>
      </c>
      <c r="Z85" s="780" t="str">
        <f>IF($B85&lt;=Factores!$D$3,"",Z8)</f>
        <v/>
      </c>
      <c r="AA85" s="780" t="str">
        <f>IF($B85&lt;=Factores!$D$3,"",AA8)</f>
        <v/>
      </c>
      <c r="AB85" s="780" t="str">
        <f>IF($B85&lt;=Factores!$D$3,"",AB8)</f>
        <v/>
      </c>
      <c r="AC85" s="780" t="str">
        <f>IF($B85&lt;=Factores!$D$3,"",AC8)</f>
        <v/>
      </c>
      <c r="AD85" s="780" t="str">
        <f>IF($B85&lt;=Factores!$D$3,"",AD8)</f>
        <v/>
      </c>
      <c r="AE85" s="780" t="str">
        <f>IF($B85&lt;=Factores!$D$3,"",AE8)</f>
        <v/>
      </c>
      <c r="AF85" s="780" t="str">
        <f>IF($B85&lt;=Factores!$D$3,"",AF8)</f>
        <v/>
      </c>
      <c r="AG85" s="780" t="str">
        <f>IF($B85&lt;=Factores!$D$3,"",AG8)</f>
        <v/>
      </c>
      <c r="AH85" s="780" t="str">
        <f>IF($B85&lt;=Factores!$D$3,"",AH8)</f>
        <v/>
      </c>
      <c r="AI85" s="780" t="str">
        <f>IF($B85&lt;=Factores!$D$3,"",AI8)</f>
        <v/>
      </c>
      <c r="AJ85" s="780" t="str">
        <f>IF($B85&lt;=Factores!$D$3,"",AJ8)</f>
        <v/>
      </c>
      <c r="AK85" s="780" t="str">
        <f>IF($B85&lt;=Factores!$D$3,"",AK8)</f>
        <v/>
      </c>
      <c r="AL85" s="780" t="str">
        <f>IF($B85&lt;=Factores!$D$3,"",AL8)</f>
        <v/>
      </c>
      <c r="AM85" s="780" t="str">
        <f>IF($B85&lt;=Factores!$D$3,"",AM8)</f>
        <v/>
      </c>
      <c r="AN85" s="780" t="str">
        <f>IF($B85&lt;=Factores!$D$3,"",AN8)</f>
        <v/>
      </c>
      <c r="AO85" s="780" t="str">
        <f>IF($B85&lt;=Factores!$D$3,"",AO8)</f>
        <v/>
      </c>
      <c r="AP85" s="780" t="str">
        <f>IF($B85&lt;=Factores!$D$3,"",AP8)</f>
        <v/>
      </c>
      <c r="AQ85" s="780" t="str">
        <f>IF($B85&lt;=Factores!$D$3,"",AQ8)</f>
        <v/>
      </c>
      <c r="AR85" s="780" t="str">
        <f>IF($B85&lt;=Factores!$D$3,"",AR8)</f>
        <v/>
      </c>
      <c r="AS85" s="780" t="str">
        <f>IF($B85&lt;=Factores!$D$3,"",AS8)</f>
        <v/>
      </c>
      <c r="AT85" s="780" t="str">
        <f>IF($B85&lt;=Factores!$D$3,"",AT8)</f>
        <v/>
      </c>
      <c r="AU85" s="780" t="str">
        <f>IF($B85&lt;=Factores!$D$3,"",AU8)</f>
        <v/>
      </c>
      <c r="AV85" s="780"/>
      <c r="AW85" s="780" t="str">
        <f>IF($B85&lt;=Factores!$D$3,"",AW8)</f>
        <v/>
      </c>
      <c r="AX85" s="780" t="str">
        <f>IF($B85&lt;=Factores!$D$3,"",AX8)</f>
        <v/>
      </c>
      <c r="AY85" s="780" t="str">
        <f>IF($B85&lt;=Factores!$D$3,"",AY8)</f>
        <v/>
      </c>
      <c r="AZ85" s="780" t="str">
        <f>IF($B85&lt;=Factores!$D$3,"",AZ8)</f>
        <v/>
      </c>
      <c r="BA85" s="780" t="str">
        <f>IF($B85&lt;=Factores!$D$3,"",BA8)</f>
        <v/>
      </c>
      <c r="BB85" s="780" t="str">
        <f>IF($B85&lt;=Factores!$D$3,"",BB8)</f>
        <v/>
      </c>
      <c r="BC85" s="780"/>
      <c r="BD85" s="794" t="str">
        <f>IF($B85&lt;=Factores!$D$3,"",BD8)</f>
        <v/>
      </c>
      <c r="BE85" s="780" t="str">
        <f>IF($B85&lt;=Factores!$D$3,"",BE8)</f>
        <v/>
      </c>
      <c r="BF85" s="780" t="str">
        <f>IF($B85&lt;=Factores!$D$3,"",BF8)</f>
        <v/>
      </c>
      <c r="BG85" s="780" t="str">
        <f>IF($B85&lt;=Factores!$D$3,"",BG8)</f>
        <v/>
      </c>
      <c r="BH85" s="780" t="str">
        <f>IF($B85&lt;=Factores!$D$3,"",BH8)</f>
        <v/>
      </c>
      <c r="BI85" s="780" t="str">
        <f>IF($B85&lt;=Factores!$D$3,"",BI8)</f>
        <v/>
      </c>
      <c r="BJ85" s="780" t="str">
        <f>IF($B85&lt;=Factores!$D$3,"",BJ8)</f>
        <v/>
      </c>
      <c r="BK85" s="780" t="str">
        <f>IF($B85&lt;=Factores!$D$3,"",BK8)</f>
        <v/>
      </c>
      <c r="BL85" s="780" t="str">
        <f>IF($B85&lt;=Factores!$D$3,"",BL8)</f>
        <v/>
      </c>
      <c r="BM85" s="780"/>
      <c r="BN85" s="780"/>
      <c r="BO85" s="780"/>
      <c r="BP85" s="780"/>
      <c r="BQ85" s="780"/>
      <c r="BR85" s="780" t="str">
        <f>IF($B85&lt;=Factores!$D$3,"",BR8)</f>
        <v/>
      </c>
      <c r="BS85" s="780" t="str">
        <f>IF($B85&lt;=Factores!$D$3,"",BS8)</f>
        <v/>
      </c>
      <c r="BT85" s="780" t="str">
        <f>IF($B85&lt;=Factores!$D$3,"",BT8)</f>
        <v/>
      </c>
      <c r="BU85" s="780" t="str">
        <f>IF($B85&lt;=Factores!$D$3,"",BU8)</f>
        <v/>
      </c>
      <c r="BV85" s="780" t="str">
        <f>IF($B85&lt;=Factores!$D$3,"",BV8)</f>
        <v/>
      </c>
      <c r="BW85" s="780" t="str">
        <f>IF($B85&lt;=Factores!$D$3,"",BW8)</f>
        <v/>
      </c>
      <c r="BX85" s="780" t="str">
        <f>IF($B85&lt;=Factores!$D$3,"",BX8)</f>
        <v/>
      </c>
      <c r="BY85" s="780" t="str">
        <f>IF($B85&lt;=Factores!$D$3,"",BY8)</f>
        <v/>
      </c>
      <c r="BZ85" s="780" t="str">
        <f>IF($B85&lt;=Factores!$D$3,"",BZ8)</f>
        <v/>
      </c>
      <c r="CA85" s="780" t="str">
        <f>IF($B85&lt;=Factores!$D$3,"",CA8)</f>
        <v/>
      </c>
      <c r="CB85" s="780" t="str">
        <f>IF($B85&lt;=Factores!$D$3,"",CB8)</f>
        <v/>
      </c>
      <c r="CC85" s="780" t="str">
        <f>IF($B85&lt;=Factores!$D$3,"",CC8)</f>
        <v/>
      </c>
      <c r="CD85" s="780"/>
      <c r="CE85" s="780"/>
      <c r="CF85" s="780"/>
      <c r="CG85" s="780"/>
      <c r="CH85" s="780"/>
      <c r="CI85" s="780"/>
      <c r="CJ85" s="780"/>
      <c r="CK85" s="780"/>
      <c r="CL85" s="780"/>
      <c r="CM85" s="780"/>
      <c r="CN85" s="780"/>
      <c r="CO85" s="780"/>
      <c r="CP85" s="780"/>
      <c r="CQ85" s="780"/>
      <c r="CR85" s="780"/>
      <c r="CS85" s="780"/>
      <c r="CT85" s="780"/>
      <c r="CU85" s="780"/>
      <c r="CV85" s="780"/>
      <c r="CW85" s="780"/>
      <c r="CX85" s="780" t="str">
        <f>IF($B85&lt;=Factores!$D$3,"",CX8)</f>
        <v/>
      </c>
      <c r="CY85" s="780" t="str">
        <f>IF($B85&lt;=Factores!$D$3,"",CY8)</f>
        <v/>
      </c>
      <c r="CZ85" s="780" t="str">
        <f>IF($B85&lt;=Factores!$D$3,"",CZ8)</f>
        <v/>
      </c>
      <c r="DA85" s="780" t="str">
        <f>IF($B85&lt;=Factores!$D$3,"",DA8)</f>
        <v/>
      </c>
      <c r="DB85" s="780"/>
      <c r="DC85" s="780"/>
      <c r="DD85" s="780"/>
      <c r="DE85" s="780"/>
      <c r="DF85" s="780"/>
      <c r="DG85" s="780"/>
      <c r="DH85" s="780"/>
      <c r="DI85" s="780"/>
      <c r="DJ85" s="780"/>
      <c r="DK85" s="780"/>
      <c r="DL85" s="780" t="str">
        <f>IF($B85&lt;=Factores!$D$3,"",DL8)</f>
        <v/>
      </c>
      <c r="DM85" s="780" t="str">
        <f>IF($B85&lt;=Factores!$D$3,"",DM8)</f>
        <v/>
      </c>
      <c r="DN85" s="780" t="str">
        <f>IF($B85&lt;=Factores!$D$3,"",DN8)</f>
        <v/>
      </c>
      <c r="DO85" s="780" t="str">
        <f>IF($B85&lt;=Factores!$D$3,"",DO8)</f>
        <v/>
      </c>
      <c r="DP85" s="780" t="str">
        <f>IF($B85&lt;=Factores!$D$3,"",DP8)</f>
        <v/>
      </c>
      <c r="DQ85" s="780" t="str">
        <f>IF($B85&lt;=Factores!$D$3,"",DQ8)</f>
        <v/>
      </c>
      <c r="DR85" s="780" t="str">
        <f>IF($B85&lt;=Factores!$D$3,"",DR8)</f>
        <v/>
      </c>
      <c r="DS85" s="780" t="str">
        <f>IF($B85&lt;=Factores!$D$3,"",DS8)</f>
        <v/>
      </c>
      <c r="DT85" s="780" t="str">
        <f>IF($B85&lt;=Factores!$D$3,"",DT8)</f>
        <v/>
      </c>
      <c r="DU85" s="780" t="str">
        <f>IF($B85&lt;=Factores!$D$3,"",DU8)</f>
        <v/>
      </c>
      <c r="DV85" s="780" t="str">
        <f>IF($B85&lt;=Factores!$D$3,"",DV8)</f>
        <v/>
      </c>
      <c r="DW85" s="780" t="str">
        <f>IF($B85&lt;=Factores!$D$3,"",DW8)</f>
        <v/>
      </c>
      <c r="DX85" s="780" t="str">
        <f>IF($B85&lt;=Factores!$D$3,"",DX8)</f>
        <v/>
      </c>
      <c r="DY85" s="780" t="str">
        <f>IF($B85&lt;=Factores!$D$3,"",DY8)</f>
        <v/>
      </c>
      <c r="DZ85" s="780" t="str">
        <f>IF($B85&lt;=Factores!$D$3,"",DZ8)</f>
        <v/>
      </c>
      <c r="EA85" s="780" t="str">
        <f>IF($B85&lt;=Factores!$D$3,"",EA8)</f>
        <v/>
      </c>
      <c r="EB85" s="780" t="str">
        <f>IF($B85&lt;=Factores!$D$3,"",EB8)</f>
        <v/>
      </c>
      <c r="EC85" s="780" t="str">
        <f>IF($B85&lt;=Factores!$D$3,"",EC8)</f>
        <v/>
      </c>
      <c r="ED85" s="780" t="str">
        <f>IF($B85&lt;=Factores!$D$3,"",ED8)</f>
        <v/>
      </c>
      <c r="EE85" s="780" t="str">
        <f>IF($B85&lt;=Factores!$D$3,"",EE8)</f>
        <v/>
      </c>
      <c r="EF85" s="780" t="str">
        <f>IF($B85&lt;=Factores!$D$3,"",EF8)</f>
        <v/>
      </c>
      <c r="EG85" s="780" t="str">
        <f>IF($B85&lt;=Factores!$D$3,"",EG8)</f>
        <v/>
      </c>
      <c r="EH85" s="780" t="str">
        <f>IF($B85&lt;=Factores!$D$3,"",EH8)</f>
        <v/>
      </c>
      <c r="EI85" s="780" t="str">
        <f>IF($B85&lt;=Factores!$D$3,"",EI8)</f>
        <v/>
      </c>
      <c r="EJ85" s="780" t="str">
        <f>IF($B85&lt;=Factores!$D$3,"",EJ8)</f>
        <v/>
      </c>
      <c r="EK85" s="780" t="str">
        <f>IF($B85&lt;=Factores!$D$3,"",EK8)</f>
        <v/>
      </c>
      <c r="EL85" s="780" t="str">
        <f>IF($B85&lt;=Factores!$D$3,"",EL8)</f>
        <v/>
      </c>
    </row>
    <row r="86" spans="1:151" s="744" customFormat="1" ht="17.25" customHeight="1">
      <c r="A86" s="2450"/>
      <c r="B86" s="794">
        <f t="shared" ref="B86:B115" si="239">B9</f>
        <v>46083.791666666664</v>
      </c>
      <c r="C86" s="780" t="str">
        <f>IF($B86&lt;=Factores!$D$3,"",C9)</f>
        <v/>
      </c>
      <c r="D86" s="780" t="str">
        <f>IF($B86&lt;=Factores!$D$3,"",D9)</f>
        <v/>
      </c>
      <c r="E86" s="780" t="str">
        <f>IF($B86&lt;=Factores!$D$3,"",E9)</f>
        <v/>
      </c>
      <c r="F86" s="780" t="str">
        <f>IF($B86&lt;=Factores!$D$3,"",F9)</f>
        <v/>
      </c>
      <c r="G86" s="780" t="str">
        <f>IF($B86&lt;=Factores!$D$3,"",G9)</f>
        <v/>
      </c>
      <c r="H86" s="780" t="str">
        <f>IF($B86&lt;=Factores!$D$3,"",H9)</f>
        <v/>
      </c>
      <c r="I86" s="780" t="str">
        <f>IF($B86&lt;=Factores!$D$3,"",I9)</f>
        <v/>
      </c>
      <c r="J86" s="780" t="str">
        <f>IF($B86&lt;=Factores!$D$3,"",J9)</f>
        <v/>
      </c>
      <c r="K86" s="780" t="str">
        <f>IF($B86&lt;=Factores!$D$3,"",K9)</f>
        <v/>
      </c>
      <c r="L86" s="3107" t="str">
        <f>IF($B86&lt;=Factores!$D$3,"",L9)</f>
        <v/>
      </c>
      <c r="M86" s="780" t="str">
        <f>IF($B86&lt;=Factores!$D$3,"",M9)</f>
        <v/>
      </c>
      <c r="N86" s="780" t="str">
        <f>IF($B86&lt;=Factores!$D$3,"",N9)</f>
        <v/>
      </c>
      <c r="O86" s="780" t="str">
        <f>IF($B86&lt;=Factores!$D$3,"",O9)</f>
        <v/>
      </c>
      <c r="P86" s="780" t="str">
        <f>IF($B86&lt;=Factores!$D$3,"",P9)</f>
        <v/>
      </c>
      <c r="Q86" s="780" t="str">
        <f>IF($B86&lt;=Factores!$D$3,"",Q9)</f>
        <v/>
      </c>
      <c r="R86" s="780" t="str">
        <f>IF($B86&lt;=Factores!$D$3,"",R9)</f>
        <v/>
      </c>
      <c r="S86" s="780" t="str">
        <f>IF($B86&lt;=Factores!$D$3,"",S9)</f>
        <v/>
      </c>
      <c r="T86" s="780" t="str">
        <f>IF($B86&lt;=Factores!$D$3,"",T9)</f>
        <v/>
      </c>
      <c r="U86" s="780" t="str">
        <f>IF($B86&lt;=Factores!$D$3,"",U9)</f>
        <v/>
      </c>
      <c r="V86" s="780" t="str">
        <f>IF($B86&lt;=Factores!$D$3,"",V9)</f>
        <v/>
      </c>
      <c r="W86" s="780" t="str">
        <f>IF($B86&lt;=Factores!$D$3,"",W9)</f>
        <v/>
      </c>
      <c r="X86" s="780" t="str">
        <f>IF($B86&lt;=Factores!$D$3,"",X9)</f>
        <v/>
      </c>
      <c r="Y86" s="780" t="str">
        <f>IF($B86&lt;=Factores!$D$3,"",Y9)</f>
        <v/>
      </c>
      <c r="Z86" s="780" t="str">
        <f>IF($B86&lt;=Factores!$D$3,"",Z9)</f>
        <v/>
      </c>
      <c r="AA86" s="780" t="str">
        <f>IF($B86&lt;=Factores!$D$3,"",AA9)</f>
        <v/>
      </c>
      <c r="AB86" s="780" t="str">
        <f>IF($B86&lt;=Factores!$D$3,"",AB9)</f>
        <v/>
      </c>
      <c r="AC86" s="780" t="str">
        <f>IF($B86&lt;=Factores!$D$3,"",AC9)</f>
        <v/>
      </c>
      <c r="AD86" s="780" t="str">
        <f>IF($B86&lt;=Factores!$D$3,"",AD9)</f>
        <v/>
      </c>
      <c r="AE86" s="780" t="str">
        <f>IF($B86&lt;=Factores!$D$3,"",AE9)</f>
        <v/>
      </c>
      <c r="AF86" s="780" t="str">
        <f>IF($B86&lt;=Factores!$D$3,"",AF9)</f>
        <v/>
      </c>
      <c r="AG86" s="780" t="str">
        <f>IF($B86&lt;=Factores!$D$3,"",AG9)</f>
        <v/>
      </c>
      <c r="AH86" s="780" t="str">
        <f>IF($B86&lt;=Factores!$D$3,"",AH9)</f>
        <v/>
      </c>
      <c r="AI86" s="780" t="str">
        <f>IF($B86&lt;=Factores!$D$3,"",AI9)</f>
        <v/>
      </c>
      <c r="AJ86" s="780" t="str">
        <f>IF($B86&lt;=Factores!$D$3,"",AJ9)</f>
        <v/>
      </c>
      <c r="AK86" s="780" t="str">
        <f>IF($B86&lt;=Factores!$D$3,"",AK9)</f>
        <v/>
      </c>
      <c r="AL86" s="780" t="str">
        <f>IF($B86&lt;=Factores!$D$3,"",AL9)</f>
        <v/>
      </c>
      <c r="AM86" s="780" t="str">
        <f>IF($B86&lt;=Factores!$D$3,"",AM9)</f>
        <v/>
      </c>
      <c r="AN86" s="780" t="str">
        <f>IF($B86&lt;=Factores!$D$3,"",AN9)</f>
        <v/>
      </c>
      <c r="AO86" s="780" t="str">
        <f>IF($B86&lt;=Factores!$D$3,"",AO9)</f>
        <v/>
      </c>
      <c r="AP86" s="780" t="str">
        <f>IF($B86&lt;=Factores!$D$3,"",AP9)</f>
        <v/>
      </c>
      <c r="AQ86" s="780" t="str">
        <f>IF($B86&lt;=Factores!$D$3,"",AQ9)</f>
        <v/>
      </c>
      <c r="AR86" s="780" t="str">
        <f>IF($B86&lt;=Factores!$D$3,"",AR9)</f>
        <v/>
      </c>
      <c r="AS86" s="780" t="str">
        <f>IF($B86&lt;=Factores!$D$3,"",AS9)</f>
        <v/>
      </c>
      <c r="AT86" s="780" t="str">
        <f>IF($B86&lt;=Factores!$D$3,"",AT9)</f>
        <v/>
      </c>
      <c r="AU86" s="780" t="str">
        <f>IF($B86&lt;=Factores!$D$3,"",AU9)</f>
        <v/>
      </c>
      <c r="AV86" s="780"/>
      <c r="AW86" s="780" t="str">
        <f>IF($B86&lt;=Factores!$D$3,"",AW9)</f>
        <v/>
      </c>
      <c r="AX86" s="780" t="str">
        <f>IF($B86&lt;=Factores!$D$3,"",AX9)</f>
        <v/>
      </c>
      <c r="AY86" s="780" t="str">
        <f>IF($B86&lt;=Factores!$D$3,"",AY9)</f>
        <v/>
      </c>
      <c r="AZ86" s="780" t="str">
        <f>IF($B86&lt;=Factores!$D$3,"",AZ9)</f>
        <v/>
      </c>
      <c r="BA86" s="780" t="str">
        <f>IF($B86&lt;=Factores!$D$3,"",BA9)</f>
        <v/>
      </c>
      <c r="BB86" s="780" t="str">
        <f>IF($B86&lt;=Factores!$D$3,"",BB9)</f>
        <v/>
      </c>
      <c r="BC86" s="780"/>
      <c r="BD86" s="794" t="str">
        <f>IF($B86&lt;=Factores!$D$3,"",BD9)</f>
        <v/>
      </c>
      <c r="BE86" s="780" t="str">
        <f>IF($B86&lt;=Factores!$D$3,"",BE9)</f>
        <v/>
      </c>
      <c r="BF86" s="780" t="str">
        <f>IF($B86&lt;=Factores!$D$3,"",BF9)</f>
        <v/>
      </c>
      <c r="BG86" s="780" t="str">
        <f>IF($B86&lt;=Factores!$D$3,"",BG9)</f>
        <v/>
      </c>
      <c r="BH86" s="780" t="str">
        <f>IF($B86&lt;=Factores!$D$3,"",BH9)</f>
        <v/>
      </c>
      <c r="BI86" s="780" t="str">
        <f>IF($B86&lt;=Factores!$D$3,"",BI9)</f>
        <v/>
      </c>
      <c r="BJ86" s="780" t="str">
        <f>IF($B86&lt;=Factores!$D$3,"",BJ9)</f>
        <v/>
      </c>
      <c r="BK86" s="780" t="str">
        <f>IF($B86&lt;=Factores!$D$3,"",BK9)</f>
        <v/>
      </c>
      <c r="BL86" s="780" t="str">
        <f>IF($B86&lt;=Factores!$D$3,"",BL9)</f>
        <v/>
      </c>
      <c r="BM86" s="780"/>
      <c r="BN86" s="780"/>
      <c r="BO86" s="780"/>
      <c r="BP86" s="780"/>
      <c r="BQ86" s="780"/>
      <c r="BR86" s="780" t="str">
        <f>IF($B86&lt;=Factores!$D$3,"",BR9)</f>
        <v/>
      </c>
      <c r="BS86" s="780" t="str">
        <f>IF($B86&lt;=Factores!$D$3,"",BS9)</f>
        <v/>
      </c>
      <c r="BT86" s="780" t="str">
        <f>IF($B86&lt;=Factores!$D$3,"",BT9)</f>
        <v/>
      </c>
      <c r="BU86" s="780" t="str">
        <f>IF($B86&lt;=Factores!$D$3,"",BU9)</f>
        <v/>
      </c>
      <c r="BV86" s="780" t="str">
        <f>IF($B86&lt;=Factores!$D$3,"",BV9)</f>
        <v/>
      </c>
      <c r="BW86" s="780" t="str">
        <f>IF($B86&lt;=Factores!$D$3,"",BW9)</f>
        <v/>
      </c>
      <c r="BX86" s="780" t="str">
        <f>IF($B86&lt;=Factores!$D$3,"",BX9)</f>
        <v/>
      </c>
      <c r="BY86" s="780" t="str">
        <f>IF($B86&lt;=Factores!$D$3,"",BY9)</f>
        <v/>
      </c>
      <c r="BZ86" s="780" t="str">
        <f>IF($B86&lt;=Factores!$D$3,"",BZ9)</f>
        <v/>
      </c>
      <c r="CA86" s="780" t="str">
        <f>IF($B86&lt;=Factores!$D$3,"",CA9)</f>
        <v/>
      </c>
      <c r="CB86" s="780" t="str">
        <f>IF($B86&lt;=Factores!$D$3,"",CB9)</f>
        <v/>
      </c>
      <c r="CC86" s="780" t="str">
        <f>IF($B86&lt;=Factores!$D$3,"",CC9)</f>
        <v/>
      </c>
      <c r="CD86" s="780"/>
      <c r="CE86" s="780"/>
      <c r="CF86" s="780"/>
      <c r="CG86" s="780"/>
      <c r="CH86" s="780"/>
      <c r="CI86" s="780"/>
      <c r="CJ86" s="780"/>
      <c r="CK86" s="780"/>
      <c r="CL86" s="780"/>
      <c r="CM86" s="780"/>
      <c r="CN86" s="780"/>
      <c r="CO86" s="780"/>
      <c r="CP86" s="780"/>
      <c r="CQ86" s="780"/>
      <c r="CR86" s="780"/>
      <c r="CS86" s="780"/>
      <c r="CT86" s="780"/>
      <c r="CU86" s="780"/>
      <c r="CV86" s="780"/>
      <c r="CW86" s="780"/>
      <c r="CX86" s="780" t="str">
        <f>IF($B86&lt;=Factores!$D$3,"",CX9)</f>
        <v/>
      </c>
      <c r="CY86" s="780" t="str">
        <f>IF($B86&lt;=Factores!$D$3,"",CY9)</f>
        <v/>
      </c>
      <c r="CZ86" s="780" t="str">
        <f>IF($B86&lt;=Factores!$D$3,"",CZ9)</f>
        <v/>
      </c>
      <c r="DA86" s="780" t="str">
        <f>IF($B86&lt;=Factores!$D$3,"",DA9)</f>
        <v/>
      </c>
      <c r="DB86" s="780"/>
      <c r="DC86" s="780"/>
      <c r="DD86" s="780"/>
      <c r="DE86" s="780"/>
      <c r="DF86" s="780"/>
      <c r="DG86" s="780"/>
      <c r="DH86" s="780"/>
      <c r="DI86" s="780"/>
      <c r="DJ86" s="780"/>
      <c r="DK86" s="780"/>
      <c r="DL86" s="780" t="str">
        <f>IF($B86&lt;=Factores!$D$3,"",DL9)</f>
        <v/>
      </c>
      <c r="DM86" s="780" t="str">
        <f>IF($B86&lt;=Factores!$D$3,"",DM9)</f>
        <v/>
      </c>
      <c r="DN86" s="780" t="str">
        <f>IF($B86&lt;=Factores!$D$3,"",DN9)</f>
        <v/>
      </c>
      <c r="DO86" s="780" t="str">
        <f>IF($B86&lt;=Factores!$D$3,"",DO9)</f>
        <v/>
      </c>
      <c r="DP86" s="780" t="str">
        <f>IF($B86&lt;=Factores!$D$3,"",DP9)</f>
        <v/>
      </c>
      <c r="DQ86" s="780" t="str">
        <f>IF($B86&lt;=Factores!$D$3,"",DQ9)</f>
        <v/>
      </c>
      <c r="DR86" s="780" t="str">
        <f>IF($B86&lt;=Factores!$D$3,"",DR9)</f>
        <v/>
      </c>
      <c r="DS86" s="780" t="str">
        <f>IF($B86&lt;=Factores!$D$3,"",DS9)</f>
        <v/>
      </c>
      <c r="DT86" s="780" t="str">
        <f>IF($B86&lt;=Factores!$D$3,"",DT9)</f>
        <v/>
      </c>
      <c r="DU86" s="780" t="str">
        <f>IF($B86&lt;=Factores!$D$3,"",DU9)</f>
        <v/>
      </c>
      <c r="DV86" s="780" t="str">
        <f>IF($B86&lt;=Factores!$D$3,"",DV9)</f>
        <v/>
      </c>
      <c r="DW86" s="780" t="str">
        <f>IF($B86&lt;=Factores!$D$3,"",DW9)</f>
        <v/>
      </c>
      <c r="DX86" s="780" t="str">
        <f>IF($B86&lt;=Factores!$D$3,"",DX9)</f>
        <v/>
      </c>
      <c r="DY86" s="780" t="str">
        <f>IF($B86&lt;=Factores!$D$3,"",DY9)</f>
        <v/>
      </c>
      <c r="DZ86" s="780" t="str">
        <f>IF($B86&lt;=Factores!$D$3,"",DZ9)</f>
        <v/>
      </c>
      <c r="EA86" s="780" t="str">
        <f>IF($B86&lt;=Factores!$D$3,"",EA9)</f>
        <v/>
      </c>
      <c r="EB86" s="780" t="str">
        <f>IF($B86&lt;=Factores!$D$3,"",EB9)</f>
        <v/>
      </c>
      <c r="EC86" s="780" t="str">
        <f>IF($B86&lt;=Factores!$D$3,"",EC9)</f>
        <v/>
      </c>
      <c r="ED86" s="780" t="str">
        <f>IF($B86&lt;=Factores!$D$3,"",ED9)</f>
        <v/>
      </c>
      <c r="EE86" s="780" t="str">
        <f>IF($B86&lt;=Factores!$D$3,"",EE9)</f>
        <v/>
      </c>
      <c r="EF86" s="780" t="str">
        <f>IF($B86&lt;=Factores!$D$3,"",EF9)</f>
        <v/>
      </c>
      <c r="EG86" s="780" t="str">
        <f>IF($B86&lt;=Factores!$D$3,"",EG9)</f>
        <v/>
      </c>
      <c r="EH86" s="780" t="str">
        <f>IF($B86&lt;=Factores!$D$3,"",EH9)</f>
        <v/>
      </c>
      <c r="EI86" s="780" t="str">
        <f>IF($B86&lt;=Factores!$D$3,"",EI9)</f>
        <v/>
      </c>
      <c r="EJ86" s="780" t="str">
        <f>IF($B86&lt;=Factores!$D$3,"",EJ9)</f>
        <v/>
      </c>
      <c r="EK86" s="780" t="str">
        <f>IF($B86&lt;=Factores!$D$3,"",EK9)</f>
        <v/>
      </c>
      <c r="EL86" s="780" t="str">
        <f>IF($B86&lt;=Factores!$D$3,"",EL9)</f>
        <v/>
      </c>
    </row>
    <row r="87" spans="1:151" s="744" customFormat="1" ht="17.25" customHeight="1">
      <c r="A87" s="2450"/>
      <c r="B87" s="794">
        <f t="shared" si="239"/>
        <v>46084.791666666664</v>
      </c>
      <c r="C87" s="780" t="str">
        <f>IF($B87&lt;=Factores!$D$3,"",C10)</f>
        <v/>
      </c>
      <c r="D87" s="780" t="str">
        <f>IF($B87&lt;=Factores!$D$3,"",D10)</f>
        <v/>
      </c>
      <c r="E87" s="780" t="str">
        <f>IF($B87&lt;=Factores!$D$3,"",E10)</f>
        <v/>
      </c>
      <c r="F87" s="780" t="str">
        <f>IF($B87&lt;=Factores!$D$3,"",F10)</f>
        <v/>
      </c>
      <c r="G87" s="780" t="str">
        <f>IF($B87&lt;=Factores!$D$3,"",G10)</f>
        <v/>
      </c>
      <c r="H87" s="780" t="str">
        <f>IF($B87&lt;=Factores!$D$3,"",H10)</f>
        <v/>
      </c>
      <c r="I87" s="780" t="str">
        <f>IF($B87&lt;=Factores!$D$3,"",I10)</f>
        <v/>
      </c>
      <c r="J87" s="780" t="str">
        <f>IF($B87&lt;=Factores!$D$3,"",J10)</f>
        <v/>
      </c>
      <c r="K87" s="780" t="str">
        <f>IF($B87&lt;=Factores!$D$3,"",K10)</f>
        <v/>
      </c>
      <c r="L87" s="3107" t="str">
        <f>IF($B87&lt;=Factores!$D$3,"",L10)</f>
        <v/>
      </c>
      <c r="M87" s="780" t="str">
        <f>IF($B87&lt;=Factores!$D$3,"",M10)</f>
        <v/>
      </c>
      <c r="N87" s="780" t="str">
        <f>IF($B87&lt;=Factores!$D$3,"",N10)</f>
        <v/>
      </c>
      <c r="O87" s="780" t="str">
        <f>IF($B87&lt;=Factores!$D$3,"",O10)</f>
        <v/>
      </c>
      <c r="P87" s="780" t="str">
        <f>IF($B87&lt;=Factores!$D$3,"",P10)</f>
        <v/>
      </c>
      <c r="Q87" s="780" t="str">
        <f>IF($B87&lt;=Factores!$D$3,"",Q10)</f>
        <v/>
      </c>
      <c r="R87" s="780" t="str">
        <f>IF($B87&lt;=Factores!$D$3,"",R10)</f>
        <v/>
      </c>
      <c r="S87" s="780" t="str">
        <f>IF($B87&lt;=Factores!$D$3,"",S10)</f>
        <v/>
      </c>
      <c r="T87" s="780" t="str">
        <f>IF($B87&lt;=Factores!$D$3,"",T10)</f>
        <v/>
      </c>
      <c r="U87" s="780" t="str">
        <f>IF($B87&lt;=Factores!$D$3,"",U10)</f>
        <v/>
      </c>
      <c r="V87" s="780" t="str">
        <f>IF($B87&lt;=Factores!$D$3,"",V10)</f>
        <v/>
      </c>
      <c r="W87" s="780" t="str">
        <f>IF($B87&lt;=Factores!$D$3,"",W10)</f>
        <v/>
      </c>
      <c r="X87" s="780" t="str">
        <f>IF($B87&lt;=Factores!$D$3,"",X10)</f>
        <v/>
      </c>
      <c r="Y87" s="780" t="str">
        <f>IF($B87&lt;=Factores!$D$3,"",Y10)</f>
        <v/>
      </c>
      <c r="Z87" s="780" t="str">
        <f>IF($B87&lt;=Factores!$D$3,"",Z10)</f>
        <v/>
      </c>
      <c r="AA87" s="780" t="str">
        <f>IF($B87&lt;=Factores!$D$3,"",AA10)</f>
        <v/>
      </c>
      <c r="AB87" s="780" t="str">
        <f>IF($B87&lt;=Factores!$D$3,"",AB10)</f>
        <v/>
      </c>
      <c r="AC87" s="780" t="str">
        <f>IF($B87&lt;=Factores!$D$3,"",AC10)</f>
        <v/>
      </c>
      <c r="AD87" s="780" t="str">
        <f>IF($B87&lt;=Factores!$D$3,"",AD10)</f>
        <v/>
      </c>
      <c r="AE87" s="780" t="str">
        <f>IF($B87&lt;=Factores!$D$3,"",AE10)</f>
        <v/>
      </c>
      <c r="AF87" s="780" t="str">
        <f>IF($B87&lt;=Factores!$D$3,"",AF10)</f>
        <v/>
      </c>
      <c r="AG87" s="780" t="str">
        <f>IF($B87&lt;=Factores!$D$3,"",AG10)</f>
        <v/>
      </c>
      <c r="AH87" s="780" t="str">
        <f>IF($B87&lt;=Factores!$D$3,"",AH10)</f>
        <v/>
      </c>
      <c r="AI87" s="780" t="str">
        <f>IF($B87&lt;=Factores!$D$3,"",AI10)</f>
        <v/>
      </c>
      <c r="AJ87" s="780" t="str">
        <f>IF($B87&lt;=Factores!$D$3,"",AJ10)</f>
        <v/>
      </c>
      <c r="AK87" s="780" t="str">
        <f>IF($B87&lt;=Factores!$D$3,"",AK10)</f>
        <v/>
      </c>
      <c r="AL87" s="780" t="str">
        <f>IF($B87&lt;=Factores!$D$3,"",AL10)</f>
        <v/>
      </c>
      <c r="AM87" s="780" t="str">
        <f>IF($B87&lt;=Factores!$D$3,"",AM10)</f>
        <v/>
      </c>
      <c r="AN87" s="780" t="str">
        <f>IF($B87&lt;=Factores!$D$3,"",AN10)</f>
        <v/>
      </c>
      <c r="AO87" s="780" t="str">
        <f>IF($B87&lt;=Factores!$D$3,"",AO10)</f>
        <v/>
      </c>
      <c r="AP87" s="780" t="str">
        <f>IF($B87&lt;=Factores!$D$3,"",AP10)</f>
        <v/>
      </c>
      <c r="AQ87" s="780" t="str">
        <f>IF($B87&lt;=Factores!$D$3,"",AQ10)</f>
        <v/>
      </c>
      <c r="AR87" s="780" t="str">
        <f>IF($B87&lt;=Factores!$D$3,"",AR10)</f>
        <v/>
      </c>
      <c r="AS87" s="780" t="str">
        <f>IF($B87&lt;=Factores!$D$3,"",AS10)</f>
        <v/>
      </c>
      <c r="AT87" s="780" t="str">
        <f>IF($B87&lt;=Factores!$D$3,"",AT10)</f>
        <v/>
      </c>
      <c r="AU87" s="780" t="str">
        <f>IF($B87&lt;=Factores!$D$3,"",AU10)</f>
        <v/>
      </c>
      <c r="AV87" s="780"/>
      <c r="AW87" s="780" t="str">
        <f>IF($B87&lt;=Factores!$D$3,"",AW10)</f>
        <v/>
      </c>
      <c r="AX87" s="780" t="str">
        <f>IF($B87&lt;=Factores!$D$3,"",AX10)</f>
        <v/>
      </c>
      <c r="AY87" s="780" t="str">
        <f>IF($B87&lt;=Factores!$D$3,"",AY10)</f>
        <v/>
      </c>
      <c r="AZ87" s="780" t="str">
        <f>IF($B87&lt;=Factores!$D$3,"",AZ10)</f>
        <v/>
      </c>
      <c r="BA87" s="780" t="str">
        <f>IF($B87&lt;=Factores!$D$3,"",BA10)</f>
        <v/>
      </c>
      <c r="BB87" s="780" t="str">
        <f>IF($B87&lt;=Factores!$D$3,"",BB10)</f>
        <v/>
      </c>
      <c r="BC87" s="780"/>
      <c r="BD87" s="794" t="str">
        <f>IF($B87&lt;=Factores!$D$3,"",BD10)</f>
        <v/>
      </c>
      <c r="BE87" s="780" t="str">
        <f>IF($B87&lt;=Factores!$D$3,"",BE10)</f>
        <v/>
      </c>
      <c r="BF87" s="780" t="str">
        <f>IF($B87&lt;=Factores!$D$3,"",BF10)</f>
        <v/>
      </c>
      <c r="BG87" s="780" t="str">
        <f>IF($B87&lt;=Factores!$D$3,"",BG10)</f>
        <v/>
      </c>
      <c r="BH87" s="780" t="str">
        <f>IF($B87&lt;=Factores!$D$3,"",BH10)</f>
        <v/>
      </c>
      <c r="BI87" s="780" t="str">
        <f>IF($B87&lt;=Factores!$D$3,"",BI10)</f>
        <v/>
      </c>
      <c r="BJ87" s="780" t="str">
        <f>IF($B87&lt;=Factores!$D$3,"",BJ10)</f>
        <v/>
      </c>
      <c r="BK87" s="780" t="str">
        <f>IF($B87&lt;=Factores!$D$3,"",BK10)</f>
        <v/>
      </c>
      <c r="BL87" s="780" t="str">
        <f>IF($B87&lt;=Factores!$D$3,"",BL10)</f>
        <v/>
      </c>
      <c r="BM87" s="780"/>
      <c r="BN87" s="780"/>
      <c r="BO87" s="780"/>
      <c r="BP87" s="780"/>
      <c r="BQ87" s="780"/>
      <c r="BR87" s="780" t="str">
        <f>IF($B87&lt;=Factores!$D$3,"",BR10)</f>
        <v/>
      </c>
      <c r="BS87" s="780" t="str">
        <f>IF($B87&lt;=Factores!$D$3,"",BS10)</f>
        <v/>
      </c>
      <c r="BT87" s="780" t="str">
        <f>IF($B87&lt;=Factores!$D$3,"",BT10)</f>
        <v/>
      </c>
      <c r="BU87" s="780" t="str">
        <f>IF($B87&lt;=Factores!$D$3,"",BU10)</f>
        <v/>
      </c>
      <c r="BV87" s="780" t="str">
        <f>IF($B87&lt;=Factores!$D$3,"",BV10)</f>
        <v/>
      </c>
      <c r="BW87" s="780" t="str">
        <f>IF($B87&lt;=Factores!$D$3,"",BW10)</f>
        <v/>
      </c>
      <c r="BX87" s="780" t="str">
        <f>IF($B87&lt;=Factores!$D$3,"",BX10)</f>
        <v/>
      </c>
      <c r="BY87" s="780" t="str">
        <f>IF($B87&lt;=Factores!$D$3,"",BY10)</f>
        <v/>
      </c>
      <c r="BZ87" s="780" t="str">
        <f>IF($B87&lt;=Factores!$D$3,"",BZ10)</f>
        <v/>
      </c>
      <c r="CA87" s="780" t="str">
        <f>IF($B87&lt;=Factores!$D$3,"",CA10)</f>
        <v/>
      </c>
      <c r="CB87" s="780" t="str">
        <f>IF($B87&lt;=Factores!$D$3,"",CB10)</f>
        <v/>
      </c>
      <c r="CC87" s="780" t="str">
        <f>IF($B87&lt;=Factores!$D$3,"",CC10)</f>
        <v/>
      </c>
      <c r="CD87" s="780"/>
      <c r="CE87" s="780"/>
      <c r="CF87" s="780"/>
      <c r="CG87" s="780"/>
      <c r="CH87" s="780"/>
      <c r="CI87" s="780"/>
      <c r="CJ87" s="780"/>
      <c r="CK87" s="780"/>
      <c r="CL87" s="780"/>
      <c r="CM87" s="780"/>
      <c r="CN87" s="780"/>
      <c r="CO87" s="780"/>
      <c r="CP87" s="780"/>
      <c r="CQ87" s="780"/>
      <c r="CR87" s="780"/>
      <c r="CS87" s="780"/>
      <c r="CT87" s="780"/>
      <c r="CU87" s="780"/>
      <c r="CV87" s="780"/>
      <c r="CW87" s="780"/>
      <c r="CX87" s="780" t="str">
        <f>IF($B87&lt;=Factores!$D$3,"",CX10)</f>
        <v/>
      </c>
      <c r="CY87" s="780" t="str">
        <f>IF($B87&lt;=Factores!$D$3,"",CY10)</f>
        <v/>
      </c>
      <c r="CZ87" s="780" t="str">
        <f>IF($B87&lt;=Factores!$D$3,"",CZ10)</f>
        <v/>
      </c>
      <c r="DA87" s="780" t="str">
        <f>IF($B87&lt;=Factores!$D$3,"",DA10)</f>
        <v/>
      </c>
      <c r="DB87" s="780"/>
      <c r="DC87" s="780"/>
      <c r="DD87" s="780"/>
      <c r="DE87" s="780"/>
      <c r="DF87" s="780"/>
      <c r="DG87" s="780"/>
      <c r="DH87" s="780"/>
      <c r="DI87" s="780"/>
      <c r="DJ87" s="780"/>
      <c r="DK87" s="780"/>
      <c r="DL87" s="780" t="str">
        <f>IF($B87&lt;=Factores!$D$3,"",DL10)</f>
        <v/>
      </c>
      <c r="DM87" s="780" t="str">
        <f>IF($B87&lt;=Factores!$D$3,"",DM10)</f>
        <v/>
      </c>
      <c r="DN87" s="780" t="str">
        <f>IF($B87&lt;=Factores!$D$3,"",DN10)</f>
        <v/>
      </c>
      <c r="DO87" s="780" t="str">
        <f>IF($B87&lt;=Factores!$D$3,"",DO10)</f>
        <v/>
      </c>
      <c r="DP87" s="780" t="str">
        <f>IF($B87&lt;=Factores!$D$3,"",DP10)</f>
        <v/>
      </c>
      <c r="DQ87" s="780" t="str">
        <f>IF($B87&lt;=Factores!$D$3,"",DQ10)</f>
        <v/>
      </c>
      <c r="DR87" s="780" t="str">
        <f>IF($B87&lt;=Factores!$D$3,"",DR10)</f>
        <v/>
      </c>
      <c r="DS87" s="780" t="str">
        <f>IF($B87&lt;=Factores!$D$3,"",DS10)</f>
        <v/>
      </c>
      <c r="DT87" s="780" t="str">
        <f>IF($B87&lt;=Factores!$D$3,"",DT10)</f>
        <v/>
      </c>
      <c r="DU87" s="780" t="str">
        <f>IF($B87&lt;=Factores!$D$3,"",DU10)</f>
        <v/>
      </c>
      <c r="DV87" s="780" t="str">
        <f>IF($B87&lt;=Factores!$D$3,"",DV10)</f>
        <v/>
      </c>
      <c r="DW87" s="780" t="str">
        <f>IF($B87&lt;=Factores!$D$3,"",DW10)</f>
        <v/>
      </c>
      <c r="DX87" s="780" t="str">
        <f>IF($B87&lt;=Factores!$D$3,"",DX10)</f>
        <v/>
      </c>
      <c r="DY87" s="780" t="str">
        <f>IF($B87&lt;=Factores!$D$3,"",DY10)</f>
        <v/>
      </c>
      <c r="DZ87" s="780" t="str">
        <f>IF($B87&lt;=Factores!$D$3,"",DZ10)</f>
        <v/>
      </c>
      <c r="EA87" s="780" t="str">
        <f>IF($B87&lt;=Factores!$D$3,"",EA10)</f>
        <v/>
      </c>
      <c r="EB87" s="780" t="str">
        <f>IF($B87&lt;=Factores!$D$3,"",EB10)</f>
        <v/>
      </c>
      <c r="EC87" s="780" t="str">
        <f>IF($B87&lt;=Factores!$D$3,"",EC10)</f>
        <v/>
      </c>
      <c r="ED87" s="780" t="str">
        <f>IF($B87&lt;=Factores!$D$3,"",ED10)</f>
        <v/>
      </c>
      <c r="EE87" s="780" t="str">
        <f>IF($B87&lt;=Factores!$D$3,"",EE10)</f>
        <v/>
      </c>
      <c r="EF87" s="780" t="str">
        <f>IF($B87&lt;=Factores!$D$3,"",EF10)</f>
        <v/>
      </c>
      <c r="EG87" s="780" t="str">
        <f>IF($B87&lt;=Factores!$D$3,"",EG10)</f>
        <v/>
      </c>
      <c r="EH87" s="780" t="str">
        <f>IF($B87&lt;=Factores!$D$3,"",EH10)</f>
        <v/>
      </c>
      <c r="EI87" s="780" t="str">
        <f>IF($B87&lt;=Factores!$D$3,"",EI10)</f>
        <v/>
      </c>
      <c r="EJ87" s="780" t="str">
        <f>IF($B87&lt;=Factores!$D$3,"",EJ10)</f>
        <v/>
      </c>
      <c r="EK87" s="780" t="str">
        <f>IF($B87&lt;=Factores!$D$3,"",EK10)</f>
        <v/>
      </c>
      <c r="EL87" s="780" t="str">
        <f>IF($B87&lt;=Factores!$D$3,"",EL10)</f>
        <v/>
      </c>
    </row>
    <row r="88" spans="1:151" ht="14.25" customHeight="1">
      <c r="B88" s="794">
        <f t="shared" si="239"/>
        <v>46085.791666666664</v>
      </c>
      <c r="C88" s="780" t="str">
        <f>IF($B88&lt;=Factores!$D$3,"",C11)</f>
        <v/>
      </c>
      <c r="D88" s="780" t="str">
        <f>IF($B88&lt;=Factores!$D$3,"",D11)</f>
        <v/>
      </c>
      <c r="E88" s="780" t="str">
        <f>IF($B88&lt;=Factores!$D$3,"",E11)</f>
        <v/>
      </c>
      <c r="F88" s="780" t="str">
        <f>IF($B88&lt;=Factores!$D$3,"",F11)</f>
        <v/>
      </c>
      <c r="G88" s="780" t="str">
        <f>IF($B88&lt;=Factores!$D$3,"",G11)</f>
        <v/>
      </c>
      <c r="H88" s="780" t="str">
        <f>IF($B88&lt;=Factores!$D$3,"",H11)</f>
        <v/>
      </c>
      <c r="I88" s="780" t="str">
        <f>IF($B88&lt;=Factores!$D$3,"",I11)</f>
        <v/>
      </c>
      <c r="J88" s="780" t="str">
        <f>IF($B88&lt;=Factores!$D$3,"",J11)</f>
        <v/>
      </c>
      <c r="K88" s="780" t="str">
        <f>IF($B88&lt;=Factores!$D$3,"",K11)</f>
        <v/>
      </c>
      <c r="L88" s="3107" t="str">
        <f>IF($B88&lt;=Factores!$D$3,"",L11)</f>
        <v/>
      </c>
      <c r="M88" s="780" t="str">
        <f>IF($B88&lt;=Factores!$D$3,"",M11)</f>
        <v/>
      </c>
      <c r="N88" s="780" t="str">
        <f>IF($B88&lt;=Factores!$D$3,"",N11)</f>
        <v/>
      </c>
      <c r="O88" s="780" t="str">
        <f>IF($B88&lt;=Factores!$D$3,"",O11)</f>
        <v/>
      </c>
      <c r="P88" s="780" t="str">
        <f>IF($B88&lt;=Factores!$D$3,"",P11)</f>
        <v/>
      </c>
      <c r="Q88" s="780" t="str">
        <f>IF($B88&lt;=Factores!$D$3,"",Q11)</f>
        <v/>
      </c>
      <c r="R88" s="780" t="str">
        <f>IF($B88&lt;=Factores!$D$3,"",R11)</f>
        <v/>
      </c>
      <c r="S88" s="780" t="str">
        <f>IF($B88&lt;=Factores!$D$3,"",S11)</f>
        <v/>
      </c>
      <c r="T88" s="780" t="str">
        <f>IF($B88&lt;=Factores!$D$3,"",T11)</f>
        <v/>
      </c>
      <c r="U88" s="780" t="str">
        <f>IF($B88&lt;=Factores!$D$3,"",U11)</f>
        <v/>
      </c>
      <c r="V88" s="780" t="str">
        <f>IF($B88&lt;=Factores!$D$3,"",V11)</f>
        <v/>
      </c>
      <c r="W88" s="780" t="str">
        <f>IF($B88&lt;=Factores!$D$3,"",W11)</f>
        <v/>
      </c>
      <c r="X88" s="780" t="str">
        <f>IF($B88&lt;=Factores!$D$3,"",X11)</f>
        <v/>
      </c>
      <c r="Y88" s="780" t="str">
        <f>IF($B88&lt;=Factores!$D$3,"",Y11)</f>
        <v/>
      </c>
      <c r="Z88" s="780" t="str">
        <f>IF($B88&lt;=Factores!$D$3,"",Z11)</f>
        <v/>
      </c>
      <c r="AA88" s="780" t="str">
        <f>IF($B88&lt;=Factores!$D$3,"",AA11)</f>
        <v/>
      </c>
      <c r="AB88" s="780" t="str">
        <f>IF($B88&lt;=Factores!$D$3,"",AB11)</f>
        <v/>
      </c>
      <c r="AC88" s="780" t="str">
        <f>IF($B88&lt;=Factores!$D$3,"",AC11)</f>
        <v/>
      </c>
      <c r="AD88" s="780" t="str">
        <f>IF($B88&lt;=Factores!$D$3,"",AD11)</f>
        <v/>
      </c>
      <c r="AE88" s="780" t="str">
        <f>IF($B88&lt;=Factores!$D$3,"",AE11)</f>
        <v/>
      </c>
      <c r="AF88" s="780" t="str">
        <f>IF($B88&lt;=Factores!$D$3,"",AF11)</f>
        <v/>
      </c>
      <c r="AG88" s="780" t="str">
        <f>IF($B88&lt;=Factores!$D$3,"",AG11)</f>
        <v/>
      </c>
      <c r="AH88" s="780" t="str">
        <f>IF($B88&lt;=Factores!$D$3,"",AH11)</f>
        <v/>
      </c>
      <c r="AI88" s="780" t="str">
        <f>IF($B88&lt;=Factores!$D$3,"",AI11)</f>
        <v/>
      </c>
      <c r="AJ88" s="780" t="str">
        <f>IF($B88&lt;=Factores!$D$3,"",AJ11)</f>
        <v/>
      </c>
      <c r="AK88" s="780" t="str">
        <f>IF($B88&lt;=Factores!$D$3,"",AK11)</f>
        <v/>
      </c>
      <c r="AL88" s="780" t="str">
        <f>IF($B88&lt;=Factores!$D$3,"",AL11)</f>
        <v/>
      </c>
      <c r="AM88" s="780" t="str">
        <f>IF($B88&lt;=Factores!$D$3,"",AM11)</f>
        <v/>
      </c>
      <c r="AN88" s="780" t="str">
        <f>IF($B88&lt;=Factores!$D$3,"",AN11)</f>
        <v/>
      </c>
      <c r="AO88" s="780" t="str">
        <f>IF($B88&lt;=Factores!$D$3,"",AO11)</f>
        <v/>
      </c>
      <c r="AP88" s="780" t="str">
        <f>IF($B88&lt;=Factores!$D$3,"",AP11)</f>
        <v/>
      </c>
      <c r="AQ88" s="780" t="str">
        <f>IF($B88&lt;=Factores!$D$3,"",AQ11)</f>
        <v/>
      </c>
      <c r="AR88" s="780" t="str">
        <f>IF($B88&lt;=Factores!$D$3,"",AR11)</f>
        <v/>
      </c>
      <c r="AS88" s="780" t="str">
        <f>IF($B88&lt;=Factores!$D$3,"",AS11)</f>
        <v/>
      </c>
      <c r="AT88" s="780" t="str">
        <f>IF($B88&lt;=Factores!$D$3,"",AT11)</f>
        <v/>
      </c>
      <c r="AU88" s="780" t="str">
        <f>IF($B88&lt;=Factores!$D$3,"",AU11)</f>
        <v/>
      </c>
      <c r="AV88" s="780"/>
      <c r="AW88" s="780" t="str">
        <f>IF($B88&lt;=Factores!$D$3,"",AW11)</f>
        <v/>
      </c>
      <c r="AX88" s="780" t="str">
        <f>IF($B88&lt;=Factores!$D$3,"",AX11)</f>
        <v/>
      </c>
      <c r="AY88" s="780" t="str">
        <f>IF($B88&lt;=Factores!$D$3,"",AY11)</f>
        <v/>
      </c>
      <c r="AZ88" s="780" t="str">
        <f>IF($B88&lt;=Factores!$D$3,"",AZ11)</f>
        <v/>
      </c>
      <c r="BA88" s="780" t="str">
        <f>IF($B88&lt;=Factores!$D$3,"",BA11)</f>
        <v/>
      </c>
      <c r="BB88" s="780" t="str">
        <f>IF($B88&lt;=Factores!$D$3,"",BB11)</f>
        <v/>
      </c>
      <c r="BC88" s="780"/>
      <c r="BD88" s="794" t="str">
        <f>IF($B88&lt;=Factores!$D$3,"",BD11)</f>
        <v/>
      </c>
      <c r="BE88" s="780" t="str">
        <f>IF($B88&lt;=Factores!$D$3,"",BE11)</f>
        <v/>
      </c>
      <c r="BF88" s="780" t="str">
        <f>IF($B88&lt;=Factores!$D$3,"",BF11)</f>
        <v/>
      </c>
      <c r="BG88" s="780" t="str">
        <f>IF($B88&lt;=Factores!$D$3,"",BG11)</f>
        <v/>
      </c>
      <c r="BH88" s="780" t="str">
        <f>IF($B88&lt;=Factores!$D$3,"",BH11)</f>
        <v/>
      </c>
      <c r="BI88" s="780" t="str">
        <f>IF($B88&lt;=Factores!$D$3,"",BI11)</f>
        <v/>
      </c>
      <c r="BJ88" s="780" t="str">
        <f>IF($B88&lt;=Factores!$D$3,"",BJ11)</f>
        <v/>
      </c>
      <c r="BK88" s="780" t="str">
        <f>IF($B88&lt;=Factores!$D$3,"",BK11)</f>
        <v/>
      </c>
      <c r="BL88" s="780" t="str">
        <f>IF($B88&lt;=Factores!$D$3,"",BL11)</f>
        <v/>
      </c>
      <c r="BM88" s="780"/>
      <c r="BN88" s="780"/>
      <c r="BO88" s="780"/>
      <c r="BP88" s="780"/>
      <c r="BQ88" s="780"/>
      <c r="BR88" s="780" t="str">
        <f>IF($B88&lt;=Factores!$D$3,"",BR11)</f>
        <v/>
      </c>
      <c r="BS88" s="780" t="str">
        <f>IF($B88&lt;=Factores!$D$3,"",BS11)</f>
        <v/>
      </c>
      <c r="BT88" s="780" t="str">
        <f>IF($B88&lt;=Factores!$D$3,"",BT11)</f>
        <v/>
      </c>
      <c r="BU88" s="780" t="str">
        <f>IF($B88&lt;=Factores!$D$3,"",BU11)</f>
        <v/>
      </c>
      <c r="BV88" s="780" t="str">
        <f>IF($B88&lt;=Factores!$D$3,"",BV11)</f>
        <v/>
      </c>
      <c r="BW88" s="780" t="str">
        <f>IF($B88&lt;=Factores!$D$3,"",BW11)</f>
        <v/>
      </c>
      <c r="BX88" s="780" t="str">
        <f>IF($B88&lt;=Factores!$D$3,"",BX11)</f>
        <v/>
      </c>
      <c r="BY88" s="780" t="str">
        <f>IF($B88&lt;=Factores!$D$3,"",BY11)</f>
        <v/>
      </c>
      <c r="BZ88" s="780" t="str">
        <f>IF($B88&lt;=Factores!$D$3,"",BZ11)</f>
        <v/>
      </c>
      <c r="CA88" s="780" t="str">
        <f>IF($B88&lt;=Factores!$D$3,"",CA11)</f>
        <v/>
      </c>
      <c r="CB88" s="780" t="str">
        <f>IF($B88&lt;=Factores!$D$3,"",CB11)</f>
        <v/>
      </c>
      <c r="CC88" s="780" t="str">
        <f>IF($B88&lt;=Factores!$D$3,"",CC11)</f>
        <v/>
      </c>
      <c r="CD88" s="780"/>
      <c r="CE88" s="780"/>
      <c r="CF88" s="780"/>
      <c r="CG88" s="780"/>
      <c r="CH88" s="780"/>
      <c r="CI88" s="780"/>
      <c r="CJ88" s="780"/>
      <c r="CK88" s="780"/>
      <c r="CL88" s="780"/>
      <c r="CM88" s="780"/>
      <c r="CN88" s="780"/>
      <c r="CO88" s="780"/>
      <c r="CP88" s="780"/>
      <c r="CQ88" s="780"/>
      <c r="CR88" s="780"/>
      <c r="CS88" s="780"/>
      <c r="CT88" s="780"/>
      <c r="CU88" s="780"/>
      <c r="CV88" s="780"/>
      <c r="CW88" s="780"/>
      <c r="CX88" s="780" t="str">
        <f>IF($B88&lt;=Factores!$D$3,"",CX11)</f>
        <v/>
      </c>
      <c r="CY88" s="780" t="str">
        <f>IF($B88&lt;=Factores!$D$3,"",CY11)</f>
        <v/>
      </c>
      <c r="CZ88" s="780" t="str">
        <f>IF($B88&lt;=Factores!$D$3,"",CZ11)</f>
        <v/>
      </c>
      <c r="DA88" s="780" t="str">
        <f>IF($B88&lt;=Factores!$D$3,"",DA11)</f>
        <v/>
      </c>
      <c r="DB88" s="780"/>
      <c r="DC88" s="780"/>
      <c r="DD88" s="780"/>
      <c r="DE88" s="780"/>
      <c r="DF88" s="780"/>
      <c r="DG88" s="780"/>
      <c r="DH88" s="780"/>
      <c r="DI88" s="780"/>
      <c r="DJ88" s="780"/>
      <c r="DK88" s="780"/>
      <c r="DL88" s="780" t="str">
        <f>IF($B88&lt;=Factores!$D$3,"",DL11)</f>
        <v/>
      </c>
      <c r="DM88" s="780" t="str">
        <f>IF($B88&lt;=Factores!$D$3,"",DM11)</f>
        <v/>
      </c>
      <c r="DN88" s="780" t="str">
        <f>IF($B88&lt;=Factores!$D$3,"",DN11)</f>
        <v/>
      </c>
      <c r="DO88" s="780" t="str">
        <f>IF($B88&lt;=Factores!$D$3,"",DO11)</f>
        <v/>
      </c>
      <c r="DP88" s="780" t="str">
        <f>IF($B88&lt;=Factores!$D$3,"",DP11)</f>
        <v/>
      </c>
      <c r="DQ88" s="780" t="str">
        <f>IF($B88&lt;=Factores!$D$3,"",DQ11)</f>
        <v/>
      </c>
      <c r="DR88" s="780" t="str">
        <f>IF($B88&lt;=Factores!$D$3,"",DR11)</f>
        <v/>
      </c>
      <c r="DS88" s="780" t="str">
        <f>IF($B88&lt;=Factores!$D$3,"",DS11)</f>
        <v/>
      </c>
      <c r="DT88" s="780" t="str">
        <f>IF($B88&lt;=Factores!$D$3,"",DT11)</f>
        <v/>
      </c>
      <c r="DU88" s="780" t="str">
        <f>IF($B88&lt;=Factores!$D$3,"",DU11)</f>
        <v/>
      </c>
      <c r="DV88" s="780" t="str">
        <f>IF($B88&lt;=Factores!$D$3,"",DV11)</f>
        <v/>
      </c>
      <c r="DW88" s="780" t="str">
        <f>IF($B88&lt;=Factores!$D$3,"",DW11)</f>
        <v/>
      </c>
      <c r="DX88" s="780" t="str">
        <f>IF($B88&lt;=Factores!$D$3,"",DX11)</f>
        <v/>
      </c>
      <c r="DY88" s="780" t="str">
        <f>IF($B88&lt;=Factores!$D$3,"",DY11)</f>
        <v/>
      </c>
      <c r="DZ88" s="780" t="str">
        <f>IF($B88&lt;=Factores!$D$3,"",DZ11)</f>
        <v/>
      </c>
      <c r="EA88" s="780" t="str">
        <f>IF($B88&lt;=Factores!$D$3,"",EA11)</f>
        <v/>
      </c>
      <c r="EB88" s="780" t="str">
        <f>IF($B88&lt;=Factores!$D$3,"",EB11)</f>
        <v/>
      </c>
      <c r="EC88" s="780" t="str">
        <f>IF($B88&lt;=Factores!$D$3,"",EC11)</f>
        <v/>
      </c>
      <c r="ED88" s="780" t="str">
        <f>IF($B88&lt;=Factores!$D$3,"",ED11)</f>
        <v/>
      </c>
      <c r="EE88" s="780" t="str">
        <f>IF($B88&lt;=Factores!$D$3,"",EE11)</f>
        <v/>
      </c>
      <c r="EF88" s="780" t="str">
        <f>IF($B88&lt;=Factores!$D$3,"",EF11)</f>
        <v/>
      </c>
      <c r="EG88" s="780" t="str">
        <f>IF($B88&lt;=Factores!$D$3,"",EG11)</f>
        <v/>
      </c>
      <c r="EH88" s="780" t="str">
        <f>IF($B88&lt;=Factores!$D$3,"",EH11)</f>
        <v/>
      </c>
      <c r="EI88" s="780" t="str">
        <f>IF($B88&lt;=Factores!$D$3,"",EI11)</f>
        <v/>
      </c>
      <c r="EJ88" s="780" t="str">
        <f>IF($B88&lt;=Factores!$D$3,"",EJ11)</f>
        <v/>
      </c>
      <c r="EK88" s="780" t="str">
        <f>IF($B88&lt;=Factores!$D$3,"",EK11)</f>
        <v/>
      </c>
      <c r="EL88" s="780" t="str">
        <f>IF($B88&lt;=Factores!$D$3,"",EL11)</f>
        <v/>
      </c>
    </row>
    <row r="89" spans="1:151" ht="14.25" customHeight="1">
      <c r="B89" s="794">
        <f t="shared" si="239"/>
        <v>46086.791666666664</v>
      </c>
      <c r="C89" s="780" t="str">
        <f>IF($B89&lt;=Factores!$D$3,"",C12)</f>
        <v/>
      </c>
      <c r="D89" s="780" t="str">
        <f>IF($B89&lt;=Factores!$D$3,"",D12)</f>
        <v/>
      </c>
      <c r="E89" s="780" t="str">
        <f>IF($B89&lt;=Factores!$D$3,"",E12)</f>
        <v/>
      </c>
      <c r="F89" s="780" t="str">
        <f>IF($B89&lt;=Factores!$D$3,"",F12)</f>
        <v/>
      </c>
      <c r="G89" s="780" t="str">
        <f>IF($B89&lt;=Factores!$D$3,"",G12)</f>
        <v/>
      </c>
      <c r="H89" s="780" t="str">
        <f>IF($B89&lt;=Factores!$D$3,"",H12)</f>
        <v/>
      </c>
      <c r="I89" s="780" t="str">
        <f>IF($B89&lt;=Factores!$D$3,"",I12)</f>
        <v/>
      </c>
      <c r="J89" s="780" t="str">
        <f>IF($B89&lt;=Factores!$D$3,"",J12)</f>
        <v/>
      </c>
      <c r="K89" s="780" t="str">
        <f>IF($B89&lt;=Factores!$D$3,"",K12)</f>
        <v/>
      </c>
      <c r="L89" s="3107" t="str">
        <f>IF($B89&lt;=Factores!$D$3,"",L12)</f>
        <v/>
      </c>
      <c r="M89" s="780" t="str">
        <f>IF($B89&lt;=Factores!$D$3,"",M12)</f>
        <v/>
      </c>
      <c r="N89" s="780" t="str">
        <f>IF($B89&lt;=Factores!$D$3,"",N12)</f>
        <v/>
      </c>
      <c r="O89" s="780" t="str">
        <f>IF($B89&lt;=Factores!$D$3,"",O12)</f>
        <v/>
      </c>
      <c r="P89" s="780" t="str">
        <f>IF($B89&lt;=Factores!$D$3,"",P12)</f>
        <v/>
      </c>
      <c r="Q89" s="780" t="str">
        <f>IF($B89&lt;=Factores!$D$3,"",Q12)</f>
        <v/>
      </c>
      <c r="R89" s="780" t="str">
        <f>IF($B89&lt;=Factores!$D$3,"",R12)</f>
        <v/>
      </c>
      <c r="S89" s="780" t="str">
        <f>IF($B89&lt;=Factores!$D$3,"",S12)</f>
        <v/>
      </c>
      <c r="T89" s="780" t="str">
        <f>IF($B89&lt;=Factores!$D$3,"",T12)</f>
        <v/>
      </c>
      <c r="U89" s="780" t="str">
        <f>IF($B89&lt;=Factores!$D$3,"",U12)</f>
        <v/>
      </c>
      <c r="V89" s="780" t="str">
        <f>IF($B89&lt;=Factores!$D$3,"",V12)</f>
        <v/>
      </c>
      <c r="W89" s="780" t="str">
        <f>IF($B89&lt;=Factores!$D$3,"",W12)</f>
        <v/>
      </c>
      <c r="X89" s="780" t="str">
        <f>IF($B89&lt;=Factores!$D$3,"",X12)</f>
        <v/>
      </c>
      <c r="Y89" s="780" t="str">
        <f>IF($B89&lt;=Factores!$D$3,"",Y12)</f>
        <v/>
      </c>
      <c r="Z89" s="780" t="str">
        <f>IF($B89&lt;=Factores!$D$3,"",Z12)</f>
        <v/>
      </c>
      <c r="AA89" s="780" t="str">
        <f>IF($B89&lt;=Factores!$D$3,"",AA12)</f>
        <v/>
      </c>
      <c r="AB89" s="780" t="str">
        <f>IF($B89&lt;=Factores!$D$3,"",AB12)</f>
        <v/>
      </c>
      <c r="AC89" s="780" t="str">
        <f>IF($B89&lt;=Factores!$D$3,"",AC12)</f>
        <v/>
      </c>
      <c r="AD89" s="780" t="str">
        <f>IF($B89&lt;=Factores!$D$3,"",AD12)</f>
        <v/>
      </c>
      <c r="AE89" s="780" t="str">
        <f>IF($B89&lt;=Factores!$D$3,"",AE12)</f>
        <v/>
      </c>
      <c r="AF89" s="780" t="str">
        <f>IF($B89&lt;=Factores!$D$3,"",AF12)</f>
        <v/>
      </c>
      <c r="AG89" s="780" t="str">
        <f>IF($B89&lt;=Factores!$D$3,"",AG12)</f>
        <v/>
      </c>
      <c r="AH89" s="780" t="str">
        <f>IF($B89&lt;=Factores!$D$3,"",AH12)</f>
        <v/>
      </c>
      <c r="AI89" s="780" t="str">
        <f>IF($B89&lt;=Factores!$D$3,"",AI12)</f>
        <v/>
      </c>
      <c r="AJ89" s="780" t="str">
        <f>IF($B89&lt;=Factores!$D$3,"",AJ12)</f>
        <v/>
      </c>
      <c r="AK89" s="780" t="str">
        <f>IF($B89&lt;=Factores!$D$3,"",AK12)</f>
        <v/>
      </c>
      <c r="AL89" s="780" t="str">
        <f>IF($B89&lt;=Factores!$D$3,"",AL12)</f>
        <v/>
      </c>
      <c r="AM89" s="780" t="str">
        <f>IF($B89&lt;=Factores!$D$3,"",AM12)</f>
        <v/>
      </c>
      <c r="AN89" s="780" t="str">
        <f>IF($B89&lt;=Factores!$D$3,"",AN12)</f>
        <v/>
      </c>
      <c r="AO89" s="780" t="str">
        <f>IF($B89&lt;=Factores!$D$3,"",AO12)</f>
        <v/>
      </c>
      <c r="AP89" s="780" t="str">
        <f>IF($B89&lt;=Factores!$D$3,"",AP12)</f>
        <v/>
      </c>
      <c r="AQ89" s="780" t="str">
        <f>IF($B89&lt;=Factores!$D$3,"",AQ12)</f>
        <v/>
      </c>
      <c r="AR89" s="780" t="str">
        <f>IF($B89&lt;=Factores!$D$3,"",AR12)</f>
        <v/>
      </c>
      <c r="AS89" s="780" t="str">
        <f>IF($B89&lt;=Factores!$D$3,"",AS12)</f>
        <v/>
      </c>
      <c r="AT89" s="780" t="str">
        <f>IF($B89&lt;=Factores!$D$3,"",AT12)</f>
        <v/>
      </c>
      <c r="AU89" s="780" t="str">
        <f>IF($B89&lt;=Factores!$D$3,"",AU12)</f>
        <v/>
      </c>
      <c r="AV89" s="780"/>
      <c r="AW89" s="780" t="str">
        <f>IF($B89&lt;=Factores!$D$3,"",AW12)</f>
        <v/>
      </c>
      <c r="AX89" s="780" t="str">
        <f>IF($B89&lt;=Factores!$D$3,"",AX12)</f>
        <v/>
      </c>
      <c r="AY89" s="780" t="str">
        <f>IF($B89&lt;=Factores!$D$3,"",AY12)</f>
        <v/>
      </c>
      <c r="AZ89" s="780" t="str">
        <f>IF($B89&lt;=Factores!$D$3,"",AZ12)</f>
        <v/>
      </c>
      <c r="BA89" s="780" t="str">
        <f>IF($B89&lt;=Factores!$D$3,"",BA12)</f>
        <v/>
      </c>
      <c r="BB89" s="780" t="str">
        <f>IF($B89&lt;=Factores!$D$3,"",BB12)</f>
        <v/>
      </c>
      <c r="BC89" s="780"/>
      <c r="BD89" s="794" t="str">
        <f>IF($B89&lt;=Factores!$D$3,"",BD12)</f>
        <v/>
      </c>
      <c r="BE89" s="780" t="str">
        <f>IF($B89&lt;=Factores!$D$3,"",BE12)</f>
        <v/>
      </c>
      <c r="BF89" s="780" t="str">
        <f>IF($B89&lt;=Factores!$D$3,"",BF12)</f>
        <v/>
      </c>
      <c r="BG89" s="780" t="str">
        <f>IF($B89&lt;=Factores!$D$3,"",BG12)</f>
        <v/>
      </c>
      <c r="BH89" s="780" t="str">
        <f>IF($B89&lt;=Factores!$D$3,"",BH12)</f>
        <v/>
      </c>
      <c r="BI89" s="780" t="str">
        <f>IF($B89&lt;=Factores!$D$3,"",BI12)</f>
        <v/>
      </c>
      <c r="BJ89" s="780" t="str">
        <f>IF($B89&lt;=Factores!$D$3,"",BJ12)</f>
        <v/>
      </c>
      <c r="BK89" s="780" t="str">
        <f>IF($B89&lt;=Factores!$D$3,"",BK12)</f>
        <v/>
      </c>
      <c r="BL89" s="780" t="str">
        <f>IF($B89&lt;=Factores!$D$3,"",BL12)</f>
        <v/>
      </c>
      <c r="BM89" s="780"/>
      <c r="BN89" s="780"/>
      <c r="BO89" s="780"/>
      <c r="BP89" s="780"/>
      <c r="BQ89" s="780"/>
      <c r="BR89" s="780" t="str">
        <f>IF($B89&lt;=Factores!$D$3,"",BR12)</f>
        <v/>
      </c>
      <c r="BS89" s="780" t="str">
        <f>IF($B89&lt;=Factores!$D$3,"",BS12)</f>
        <v/>
      </c>
      <c r="BT89" s="780" t="str">
        <f>IF($B89&lt;=Factores!$D$3,"",BT12)</f>
        <v/>
      </c>
      <c r="BU89" s="780" t="str">
        <f>IF($B89&lt;=Factores!$D$3,"",BU12)</f>
        <v/>
      </c>
      <c r="BV89" s="780" t="str">
        <f>IF($B89&lt;=Factores!$D$3,"",BV12)</f>
        <v/>
      </c>
      <c r="BW89" s="780" t="str">
        <f>IF($B89&lt;=Factores!$D$3,"",BW12)</f>
        <v/>
      </c>
      <c r="BX89" s="780" t="str">
        <f>IF($B89&lt;=Factores!$D$3,"",BX12)</f>
        <v/>
      </c>
      <c r="BY89" s="780" t="str">
        <f>IF($B89&lt;=Factores!$D$3,"",BY12)</f>
        <v/>
      </c>
      <c r="BZ89" s="780" t="str">
        <f>IF($B89&lt;=Factores!$D$3,"",BZ12)</f>
        <v/>
      </c>
      <c r="CA89" s="780" t="str">
        <f>IF($B89&lt;=Factores!$D$3,"",CA12)</f>
        <v/>
      </c>
      <c r="CB89" s="780" t="str">
        <f>IF($B89&lt;=Factores!$D$3,"",CB12)</f>
        <v/>
      </c>
      <c r="CC89" s="780" t="str">
        <f>IF($B89&lt;=Factores!$D$3,"",CC12)</f>
        <v/>
      </c>
      <c r="CD89" s="780"/>
      <c r="CE89" s="780"/>
      <c r="CF89" s="780"/>
      <c r="CG89" s="780"/>
      <c r="CH89" s="780"/>
      <c r="CI89" s="780"/>
      <c r="CJ89" s="780"/>
      <c r="CK89" s="780"/>
      <c r="CL89" s="780"/>
      <c r="CM89" s="780"/>
      <c r="CN89" s="780"/>
      <c r="CO89" s="780"/>
      <c r="CP89" s="780"/>
      <c r="CQ89" s="780"/>
      <c r="CR89" s="780"/>
      <c r="CS89" s="780"/>
      <c r="CT89" s="780"/>
      <c r="CU89" s="780"/>
      <c r="CV89" s="780"/>
      <c r="CW89" s="780"/>
      <c r="CX89" s="780" t="str">
        <f>IF($B89&lt;=Factores!$D$3,"",CX12)</f>
        <v/>
      </c>
      <c r="CY89" s="780" t="str">
        <f>IF($B89&lt;=Factores!$D$3,"",CY12)</f>
        <v/>
      </c>
      <c r="CZ89" s="780" t="str">
        <f>IF($B89&lt;=Factores!$D$3,"",CZ12)</f>
        <v/>
      </c>
      <c r="DA89" s="780" t="str">
        <f>IF($B89&lt;=Factores!$D$3,"",DA12)</f>
        <v/>
      </c>
      <c r="DB89" s="780"/>
      <c r="DC89" s="780"/>
      <c r="DD89" s="780"/>
      <c r="DE89" s="780"/>
      <c r="DF89" s="780"/>
      <c r="DG89" s="780"/>
      <c r="DH89" s="780"/>
      <c r="DI89" s="780"/>
      <c r="DJ89" s="780"/>
      <c r="DK89" s="780"/>
      <c r="DL89" s="780" t="str">
        <f>IF($B89&lt;=Factores!$D$3,"",DL12)</f>
        <v/>
      </c>
      <c r="DM89" s="780" t="str">
        <f>IF($B89&lt;=Factores!$D$3,"",DM12)</f>
        <v/>
      </c>
      <c r="DN89" s="780" t="str">
        <f>IF($B89&lt;=Factores!$D$3,"",DN12)</f>
        <v/>
      </c>
      <c r="DO89" s="780" t="str">
        <f>IF($B89&lt;=Factores!$D$3,"",DO12)</f>
        <v/>
      </c>
      <c r="DP89" s="780" t="str">
        <f>IF($B89&lt;=Factores!$D$3,"",DP12)</f>
        <v/>
      </c>
      <c r="DQ89" s="780" t="str">
        <f>IF($B89&lt;=Factores!$D$3,"",DQ12)</f>
        <v/>
      </c>
      <c r="DR89" s="780" t="str">
        <f>IF($B89&lt;=Factores!$D$3,"",DR12)</f>
        <v/>
      </c>
      <c r="DS89" s="780" t="str">
        <f>IF($B89&lt;=Factores!$D$3,"",DS12)</f>
        <v/>
      </c>
      <c r="DT89" s="780" t="str">
        <f>IF($B89&lt;=Factores!$D$3,"",DT12)</f>
        <v/>
      </c>
      <c r="DU89" s="780" t="str">
        <f>IF($B89&lt;=Factores!$D$3,"",DU12)</f>
        <v/>
      </c>
      <c r="DV89" s="780" t="str">
        <f>IF($B89&lt;=Factores!$D$3,"",DV12)</f>
        <v/>
      </c>
      <c r="DW89" s="780" t="str">
        <f>IF($B89&lt;=Factores!$D$3,"",DW12)</f>
        <v/>
      </c>
      <c r="DX89" s="780" t="str">
        <f>IF($B89&lt;=Factores!$D$3,"",DX12)</f>
        <v/>
      </c>
      <c r="DY89" s="780" t="str">
        <f>IF($B89&lt;=Factores!$D$3,"",DY12)</f>
        <v/>
      </c>
      <c r="DZ89" s="780" t="str">
        <f>IF($B89&lt;=Factores!$D$3,"",DZ12)</f>
        <v/>
      </c>
      <c r="EA89" s="780" t="str">
        <f>IF($B89&lt;=Factores!$D$3,"",EA12)</f>
        <v/>
      </c>
      <c r="EB89" s="780" t="str">
        <f>IF($B89&lt;=Factores!$D$3,"",EB12)</f>
        <v/>
      </c>
      <c r="EC89" s="780" t="str">
        <f>IF($B89&lt;=Factores!$D$3,"",EC12)</f>
        <v/>
      </c>
      <c r="ED89" s="780" t="str">
        <f>IF($B89&lt;=Factores!$D$3,"",ED12)</f>
        <v/>
      </c>
      <c r="EE89" s="780" t="str">
        <f>IF($B89&lt;=Factores!$D$3,"",EE12)</f>
        <v/>
      </c>
      <c r="EF89" s="780" t="str">
        <f>IF($B89&lt;=Factores!$D$3,"",EF12)</f>
        <v/>
      </c>
      <c r="EG89" s="780" t="str">
        <f>IF($B89&lt;=Factores!$D$3,"",EG12)</f>
        <v/>
      </c>
      <c r="EH89" s="780" t="str">
        <f>IF($B89&lt;=Factores!$D$3,"",EH12)</f>
        <v/>
      </c>
      <c r="EI89" s="780" t="str">
        <f>IF($B89&lt;=Factores!$D$3,"",EI12)</f>
        <v/>
      </c>
      <c r="EJ89" s="780" t="str">
        <f>IF($B89&lt;=Factores!$D$3,"",EJ12)</f>
        <v/>
      </c>
      <c r="EK89" s="780" t="str">
        <f>IF($B89&lt;=Factores!$D$3,"",EK12)</f>
        <v/>
      </c>
      <c r="EL89" s="780" t="str">
        <f>IF($B89&lt;=Factores!$D$3,"",EL12)</f>
        <v/>
      </c>
    </row>
    <row r="90" spans="1:151" ht="14.25" customHeight="1">
      <c r="B90" s="794">
        <f t="shared" si="239"/>
        <v>46087.791666666664</v>
      </c>
      <c r="C90" s="780" t="str">
        <f>IF($B90&lt;=Factores!$D$3,"",C13)</f>
        <v/>
      </c>
      <c r="D90" s="780" t="str">
        <f>IF($B90&lt;=Factores!$D$3,"",D13)</f>
        <v/>
      </c>
      <c r="E90" s="780" t="str">
        <f>IF($B90&lt;=Factores!$D$3,"",E13)</f>
        <v/>
      </c>
      <c r="F90" s="780" t="str">
        <f>IF($B90&lt;=Factores!$D$3,"",F13)</f>
        <v/>
      </c>
      <c r="G90" s="780" t="str">
        <f>IF($B90&lt;=Factores!$D$3,"",G13)</f>
        <v/>
      </c>
      <c r="H90" s="780" t="str">
        <f>IF($B90&lt;=Factores!$D$3,"",H13)</f>
        <v/>
      </c>
      <c r="I90" s="780" t="str">
        <f>IF($B90&lt;=Factores!$D$3,"",I13)</f>
        <v/>
      </c>
      <c r="J90" s="780" t="str">
        <f>IF($B90&lt;=Factores!$D$3,"",J13)</f>
        <v/>
      </c>
      <c r="K90" s="780" t="str">
        <f>IF($B90&lt;=Factores!$D$3,"",K13)</f>
        <v/>
      </c>
      <c r="L90" s="3107" t="str">
        <f>IF($B90&lt;=Factores!$D$3,"",L13)</f>
        <v/>
      </c>
      <c r="M90" s="780" t="str">
        <f>IF($B90&lt;=Factores!$D$3,"",M13)</f>
        <v/>
      </c>
      <c r="N90" s="780" t="str">
        <f>IF($B90&lt;=Factores!$D$3,"",N13)</f>
        <v/>
      </c>
      <c r="O90" s="780" t="str">
        <f>IF($B90&lt;=Factores!$D$3,"",O13)</f>
        <v/>
      </c>
      <c r="P90" s="780" t="str">
        <f>IF($B90&lt;=Factores!$D$3,"",P13)</f>
        <v/>
      </c>
      <c r="Q90" s="780" t="str">
        <f>IF($B90&lt;=Factores!$D$3,"",Q13)</f>
        <v/>
      </c>
      <c r="R90" s="780" t="str">
        <f>IF($B90&lt;=Factores!$D$3,"",R13)</f>
        <v/>
      </c>
      <c r="S90" s="780" t="str">
        <f>IF($B90&lt;=Factores!$D$3,"",S13)</f>
        <v/>
      </c>
      <c r="T90" s="780" t="str">
        <f>IF($B90&lt;=Factores!$D$3,"",T13)</f>
        <v/>
      </c>
      <c r="U90" s="780" t="str">
        <f>IF($B90&lt;=Factores!$D$3,"",U13)</f>
        <v/>
      </c>
      <c r="V90" s="780" t="str">
        <f>IF($B90&lt;=Factores!$D$3,"",V13)</f>
        <v/>
      </c>
      <c r="W90" s="780" t="str">
        <f>IF($B90&lt;=Factores!$D$3,"",W13)</f>
        <v/>
      </c>
      <c r="X90" s="780" t="str">
        <f>IF($B90&lt;=Factores!$D$3,"",X13)</f>
        <v/>
      </c>
      <c r="Y90" s="780" t="str">
        <f>IF($B90&lt;=Factores!$D$3,"",Y13)</f>
        <v/>
      </c>
      <c r="Z90" s="780" t="str">
        <f>IF($B90&lt;=Factores!$D$3,"",Z13)</f>
        <v/>
      </c>
      <c r="AA90" s="780" t="str">
        <f>IF($B90&lt;=Factores!$D$3,"",AA13)</f>
        <v/>
      </c>
      <c r="AB90" s="780" t="str">
        <f>IF($B90&lt;=Factores!$D$3,"",AB13)</f>
        <v/>
      </c>
      <c r="AC90" s="780" t="str">
        <f>IF($B90&lt;=Factores!$D$3,"",AC13)</f>
        <v/>
      </c>
      <c r="AD90" s="780" t="str">
        <f>IF($B90&lt;=Factores!$D$3,"",AD13)</f>
        <v/>
      </c>
      <c r="AE90" s="780" t="str">
        <f>IF($B90&lt;=Factores!$D$3,"",AE13)</f>
        <v/>
      </c>
      <c r="AF90" s="780" t="str">
        <f>IF($B90&lt;=Factores!$D$3,"",AF13)</f>
        <v/>
      </c>
      <c r="AG90" s="780" t="str">
        <f>IF($B90&lt;=Factores!$D$3,"",AG13)</f>
        <v/>
      </c>
      <c r="AH90" s="780" t="str">
        <f>IF($B90&lt;=Factores!$D$3,"",AH13)</f>
        <v/>
      </c>
      <c r="AI90" s="780" t="str">
        <f>IF($B90&lt;=Factores!$D$3,"",AI13)</f>
        <v/>
      </c>
      <c r="AJ90" s="780" t="str">
        <f>IF($B90&lt;=Factores!$D$3,"",AJ13)</f>
        <v/>
      </c>
      <c r="AK90" s="780" t="str">
        <f>IF($B90&lt;=Factores!$D$3,"",AK13)</f>
        <v/>
      </c>
      <c r="AL90" s="780" t="str">
        <f>IF($B90&lt;=Factores!$D$3,"",AL13)</f>
        <v/>
      </c>
      <c r="AM90" s="780" t="str">
        <f>IF($B90&lt;=Factores!$D$3,"",AM13)</f>
        <v/>
      </c>
      <c r="AN90" s="780" t="str">
        <f>IF($B90&lt;=Factores!$D$3,"",AN13)</f>
        <v/>
      </c>
      <c r="AO90" s="780" t="str">
        <f>IF($B90&lt;=Factores!$D$3,"",AO13)</f>
        <v/>
      </c>
      <c r="AP90" s="780" t="str">
        <f>IF($B90&lt;=Factores!$D$3,"",AP13)</f>
        <v/>
      </c>
      <c r="AQ90" s="780" t="str">
        <f>IF($B90&lt;=Factores!$D$3,"",AQ13)</f>
        <v/>
      </c>
      <c r="AR90" s="780" t="str">
        <f>IF($B90&lt;=Factores!$D$3,"",AR13)</f>
        <v/>
      </c>
      <c r="AS90" s="780" t="str">
        <f>IF($B90&lt;=Factores!$D$3,"",AS13)</f>
        <v/>
      </c>
      <c r="AT90" s="780" t="str">
        <f>IF($B90&lt;=Factores!$D$3,"",AT13)</f>
        <v/>
      </c>
      <c r="AU90" s="780" t="str">
        <f>IF($B90&lt;=Factores!$D$3,"",AU13)</f>
        <v/>
      </c>
      <c r="AV90" s="780"/>
      <c r="AW90" s="780" t="str">
        <f>IF($B90&lt;=Factores!$D$3,"",AW13)</f>
        <v/>
      </c>
      <c r="AX90" s="780" t="str">
        <f>IF($B90&lt;=Factores!$D$3,"",AX13)</f>
        <v/>
      </c>
      <c r="AY90" s="780" t="str">
        <f>IF($B90&lt;=Factores!$D$3,"",AY13)</f>
        <v/>
      </c>
      <c r="AZ90" s="780" t="str">
        <f>IF($B90&lt;=Factores!$D$3,"",AZ13)</f>
        <v/>
      </c>
      <c r="BA90" s="780" t="str">
        <f>IF($B90&lt;=Factores!$D$3,"",BA13)</f>
        <v/>
      </c>
      <c r="BB90" s="780" t="str">
        <f>IF($B90&lt;=Factores!$D$3,"",BB13)</f>
        <v/>
      </c>
      <c r="BC90" s="780"/>
      <c r="BD90" s="794" t="str">
        <f>IF($B90&lt;=Factores!$D$3,"",BD13)</f>
        <v/>
      </c>
      <c r="BE90" s="780" t="str">
        <f>IF($B90&lt;=Factores!$D$3,"",BE13)</f>
        <v/>
      </c>
      <c r="BF90" s="780" t="str">
        <f>IF($B90&lt;=Factores!$D$3,"",BF13)</f>
        <v/>
      </c>
      <c r="BG90" s="780" t="str">
        <f>IF($B90&lt;=Factores!$D$3,"",BG13)</f>
        <v/>
      </c>
      <c r="BH90" s="780" t="str">
        <f>IF($B90&lt;=Factores!$D$3,"",BH13)</f>
        <v/>
      </c>
      <c r="BI90" s="780" t="str">
        <f>IF($B90&lt;=Factores!$D$3,"",BI13)</f>
        <v/>
      </c>
      <c r="BJ90" s="780" t="str">
        <f>IF($B90&lt;=Factores!$D$3,"",BJ13)</f>
        <v/>
      </c>
      <c r="BK90" s="780" t="str">
        <f>IF($B90&lt;=Factores!$D$3,"",BK13)</f>
        <v/>
      </c>
      <c r="BL90" s="780" t="str">
        <f>IF($B90&lt;=Factores!$D$3,"",BL13)</f>
        <v/>
      </c>
      <c r="BM90" s="780"/>
      <c r="BN90" s="780"/>
      <c r="BO90" s="780"/>
      <c r="BP90" s="780"/>
      <c r="BQ90" s="780"/>
      <c r="BR90" s="780" t="str">
        <f>IF($B90&lt;=Factores!$D$3,"",BR13)</f>
        <v/>
      </c>
      <c r="BS90" s="780" t="str">
        <f>IF($B90&lt;=Factores!$D$3,"",BS13)</f>
        <v/>
      </c>
      <c r="BT90" s="780" t="str">
        <f>IF($B90&lt;=Factores!$D$3,"",BT13)</f>
        <v/>
      </c>
      <c r="BU90" s="780" t="str">
        <f>IF($B90&lt;=Factores!$D$3,"",BU13)</f>
        <v/>
      </c>
      <c r="BV90" s="780" t="str">
        <f>IF($B90&lt;=Factores!$D$3,"",BV13)</f>
        <v/>
      </c>
      <c r="BW90" s="780" t="str">
        <f>IF($B90&lt;=Factores!$D$3,"",BW13)</f>
        <v/>
      </c>
      <c r="BX90" s="780" t="str">
        <f>IF($B90&lt;=Factores!$D$3,"",BX13)</f>
        <v/>
      </c>
      <c r="BY90" s="780" t="str">
        <f>IF($B90&lt;=Factores!$D$3,"",BY13)</f>
        <v/>
      </c>
      <c r="BZ90" s="780" t="str">
        <f>IF($B90&lt;=Factores!$D$3,"",BZ13)</f>
        <v/>
      </c>
      <c r="CA90" s="780" t="str">
        <f>IF($B90&lt;=Factores!$D$3,"",CA13)</f>
        <v/>
      </c>
      <c r="CB90" s="780" t="str">
        <f>IF($B90&lt;=Factores!$D$3,"",CB13)</f>
        <v/>
      </c>
      <c r="CC90" s="780" t="str">
        <f>IF($B90&lt;=Factores!$D$3,"",CC13)</f>
        <v/>
      </c>
      <c r="CD90" s="780"/>
      <c r="CE90" s="780"/>
      <c r="CF90" s="780"/>
      <c r="CG90" s="780"/>
      <c r="CH90" s="780"/>
      <c r="CI90" s="780"/>
      <c r="CJ90" s="780"/>
      <c r="CK90" s="780"/>
      <c r="CL90" s="780"/>
      <c r="CM90" s="780"/>
      <c r="CN90" s="780"/>
      <c r="CO90" s="780"/>
      <c r="CP90" s="780"/>
      <c r="CQ90" s="780"/>
      <c r="CR90" s="780"/>
      <c r="CS90" s="780"/>
      <c r="CT90" s="780"/>
      <c r="CU90" s="780"/>
      <c r="CV90" s="780"/>
      <c r="CW90" s="780"/>
      <c r="CX90" s="780" t="str">
        <f>IF($B90&lt;=Factores!$D$3,"",CX13)</f>
        <v/>
      </c>
      <c r="CY90" s="780" t="str">
        <f>IF($B90&lt;=Factores!$D$3,"",CY13)</f>
        <v/>
      </c>
      <c r="CZ90" s="780" t="str">
        <f>IF($B90&lt;=Factores!$D$3,"",CZ13)</f>
        <v/>
      </c>
      <c r="DA90" s="780" t="str">
        <f>IF($B90&lt;=Factores!$D$3,"",DA13)</f>
        <v/>
      </c>
      <c r="DB90" s="780"/>
      <c r="DC90" s="780"/>
      <c r="DD90" s="780"/>
      <c r="DE90" s="780"/>
      <c r="DF90" s="780"/>
      <c r="DG90" s="780"/>
      <c r="DH90" s="780"/>
      <c r="DI90" s="780"/>
      <c r="DJ90" s="780"/>
      <c r="DK90" s="780"/>
      <c r="DL90" s="780" t="str">
        <f>IF($B90&lt;=Factores!$D$3,"",DL13)</f>
        <v/>
      </c>
      <c r="DM90" s="780" t="str">
        <f>IF($B90&lt;=Factores!$D$3,"",DM13)</f>
        <v/>
      </c>
      <c r="DN90" s="780" t="str">
        <f>IF($B90&lt;=Factores!$D$3,"",DN13)</f>
        <v/>
      </c>
      <c r="DO90" s="780" t="str">
        <f>IF($B90&lt;=Factores!$D$3,"",DO13)</f>
        <v/>
      </c>
      <c r="DP90" s="780" t="str">
        <f>IF($B90&lt;=Factores!$D$3,"",DP13)</f>
        <v/>
      </c>
      <c r="DQ90" s="780" t="str">
        <f>IF($B90&lt;=Factores!$D$3,"",DQ13)</f>
        <v/>
      </c>
      <c r="DR90" s="780" t="str">
        <f>IF($B90&lt;=Factores!$D$3,"",DR13)</f>
        <v/>
      </c>
      <c r="DS90" s="780" t="str">
        <f>IF($B90&lt;=Factores!$D$3,"",DS13)</f>
        <v/>
      </c>
      <c r="DT90" s="780" t="str">
        <f>IF($B90&lt;=Factores!$D$3,"",DT13)</f>
        <v/>
      </c>
      <c r="DU90" s="780" t="str">
        <f>IF($B90&lt;=Factores!$D$3,"",DU13)</f>
        <v/>
      </c>
      <c r="DV90" s="780" t="str">
        <f>IF($B90&lt;=Factores!$D$3,"",DV13)</f>
        <v/>
      </c>
      <c r="DW90" s="780" t="str">
        <f>IF($B90&lt;=Factores!$D$3,"",DW13)</f>
        <v/>
      </c>
      <c r="DX90" s="780" t="str">
        <f>IF($B90&lt;=Factores!$D$3,"",DX13)</f>
        <v/>
      </c>
      <c r="DY90" s="780" t="str">
        <f>IF($B90&lt;=Factores!$D$3,"",DY13)</f>
        <v/>
      </c>
      <c r="DZ90" s="780" t="str">
        <f>IF($B90&lt;=Factores!$D$3,"",DZ13)</f>
        <v/>
      </c>
      <c r="EA90" s="780" t="str">
        <f>IF($B90&lt;=Factores!$D$3,"",EA13)</f>
        <v/>
      </c>
      <c r="EB90" s="780" t="str">
        <f>IF($B90&lt;=Factores!$D$3,"",EB13)</f>
        <v/>
      </c>
      <c r="EC90" s="780" t="str">
        <f>IF($B90&lt;=Factores!$D$3,"",EC13)</f>
        <v/>
      </c>
      <c r="ED90" s="780" t="str">
        <f>IF($B90&lt;=Factores!$D$3,"",ED13)</f>
        <v/>
      </c>
      <c r="EE90" s="780" t="str">
        <f>IF($B90&lt;=Factores!$D$3,"",EE13)</f>
        <v/>
      </c>
      <c r="EF90" s="780" t="str">
        <f>IF($B90&lt;=Factores!$D$3,"",EF13)</f>
        <v/>
      </c>
      <c r="EG90" s="780" t="str">
        <f>IF($B90&lt;=Factores!$D$3,"",EG13)</f>
        <v/>
      </c>
      <c r="EH90" s="780" t="str">
        <f>IF($B90&lt;=Factores!$D$3,"",EH13)</f>
        <v/>
      </c>
      <c r="EI90" s="780" t="str">
        <f>IF($B90&lt;=Factores!$D$3,"",EI13)</f>
        <v/>
      </c>
      <c r="EJ90" s="780" t="str">
        <f>IF($B90&lt;=Factores!$D$3,"",EJ13)</f>
        <v/>
      </c>
      <c r="EK90" s="780" t="str">
        <f>IF($B90&lt;=Factores!$D$3,"",EK13)</f>
        <v/>
      </c>
      <c r="EL90" s="780" t="str">
        <f>IF($B90&lt;=Factores!$D$3,"",EL13)</f>
        <v/>
      </c>
    </row>
    <row r="91" spans="1:151" ht="14.25" customHeight="1">
      <c r="B91" s="794">
        <f t="shared" si="239"/>
        <v>46088.791666666664</v>
      </c>
      <c r="C91" s="780" t="str">
        <f>IF($B91&lt;=Factores!$D$3,"",C14)</f>
        <v/>
      </c>
      <c r="D91" s="780" t="str">
        <f>IF($B91&lt;=Factores!$D$3,"",D14)</f>
        <v/>
      </c>
      <c r="E91" s="780" t="str">
        <f>IF($B91&lt;=Factores!$D$3,"",E14)</f>
        <v/>
      </c>
      <c r="F91" s="780" t="str">
        <f>IF($B91&lt;=Factores!$D$3,"",F14)</f>
        <v/>
      </c>
      <c r="G91" s="780" t="str">
        <f>IF($B91&lt;=Factores!$D$3,"",G14)</f>
        <v/>
      </c>
      <c r="H91" s="780" t="str">
        <f>IF($B91&lt;=Factores!$D$3,"",H14)</f>
        <v/>
      </c>
      <c r="I91" s="780" t="str">
        <f>IF($B91&lt;=Factores!$D$3,"",I14)</f>
        <v/>
      </c>
      <c r="J91" s="780" t="str">
        <f>IF($B91&lt;=Factores!$D$3,"",J14)</f>
        <v/>
      </c>
      <c r="K91" s="780" t="str">
        <f>IF($B91&lt;=Factores!$D$3,"",K14)</f>
        <v/>
      </c>
      <c r="L91" s="3107" t="str">
        <f>IF($B91&lt;=Factores!$D$3,"",L14)</f>
        <v/>
      </c>
      <c r="M91" s="780" t="str">
        <f>IF($B91&lt;=Factores!$D$3,"",M14)</f>
        <v/>
      </c>
      <c r="N91" s="780" t="str">
        <f>IF($B91&lt;=Factores!$D$3,"",N14)</f>
        <v/>
      </c>
      <c r="O91" s="780" t="str">
        <f>IF($B91&lt;=Factores!$D$3,"",O14)</f>
        <v/>
      </c>
      <c r="P91" s="780" t="str">
        <f>IF($B91&lt;=Factores!$D$3,"",P14)</f>
        <v/>
      </c>
      <c r="Q91" s="780" t="str">
        <f>IF($B91&lt;=Factores!$D$3,"",Q14)</f>
        <v/>
      </c>
      <c r="R91" s="780" t="str">
        <f>IF($B91&lt;=Factores!$D$3,"",R14)</f>
        <v/>
      </c>
      <c r="S91" s="780" t="str">
        <f>IF($B91&lt;=Factores!$D$3,"",S14)</f>
        <v/>
      </c>
      <c r="T91" s="780" t="str">
        <f>IF($B91&lt;=Factores!$D$3,"",T14)</f>
        <v/>
      </c>
      <c r="U91" s="780" t="str">
        <f>IF($B91&lt;=Factores!$D$3,"",U14)</f>
        <v/>
      </c>
      <c r="V91" s="780" t="str">
        <f>IF($B91&lt;=Factores!$D$3,"",V14)</f>
        <v/>
      </c>
      <c r="W91" s="780" t="str">
        <f>IF($B91&lt;=Factores!$D$3,"",W14)</f>
        <v/>
      </c>
      <c r="X91" s="780" t="str">
        <f>IF($B91&lt;=Factores!$D$3,"",X14)</f>
        <v/>
      </c>
      <c r="Y91" s="780" t="str">
        <f>IF($B91&lt;=Factores!$D$3,"",Y14)</f>
        <v/>
      </c>
      <c r="Z91" s="780" t="str">
        <f>IF($B91&lt;=Factores!$D$3,"",Z14)</f>
        <v/>
      </c>
      <c r="AA91" s="780" t="str">
        <f>IF($B91&lt;=Factores!$D$3,"",AA14)</f>
        <v/>
      </c>
      <c r="AB91" s="780" t="str">
        <f>IF($B91&lt;=Factores!$D$3,"",AB14)</f>
        <v/>
      </c>
      <c r="AC91" s="780" t="str">
        <f>IF($B91&lt;=Factores!$D$3,"",AC14)</f>
        <v/>
      </c>
      <c r="AD91" s="780" t="str">
        <f>IF($B91&lt;=Factores!$D$3,"",AD14)</f>
        <v/>
      </c>
      <c r="AE91" s="780" t="str">
        <f>IF($B91&lt;=Factores!$D$3,"",AE14)</f>
        <v/>
      </c>
      <c r="AF91" s="780" t="str">
        <f>IF($B91&lt;=Factores!$D$3,"",AF14)</f>
        <v/>
      </c>
      <c r="AG91" s="780" t="str">
        <f>IF($B91&lt;=Factores!$D$3,"",AG14)</f>
        <v/>
      </c>
      <c r="AH91" s="780" t="str">
        <f>IF($B91&lt;=Factores!$D$3,"",AH14)</f>
        <v/>
      </c>
      <c r="AI91" s="780" t="str">
        <f>IF($B91&lt;=Factores!$D$3,"",AI14)</f>
        <v/>
      </c>
      <c r="AJ91" s="780" t="str">
        <f>IF($B91&lt;=Factores!$D$3,"",AJ14)</f>
        <v/>
      </c>
      <c r="AK91" s="780" t="str">
        <f>IF($B91&lt;=Factores!$D$3,"",AK14)</f>
        <v/>
      </c>
      <c r="AL91" s="780" t="str">
        <f>IF($B91&lt;=Factores!$D$3,"",AL14)</f>
        <v/>
      </c>
      <c r="AM91" s="780" t="str">
        <f>IF($B91&lt;=Factores!$D$3,"",AM14)</f>
        <v/>
      </c>
      <c r="AN91" s="780" t="str">
        <f>IF($B91&lt;=Factores!$D$3,"",AN14)</f>
        <v/>
      </c>
      <c r="AO91" s="780" t="str">
        <f>IF($B91&lt;=Factores!$D$3,"",AO14)</f>
        <v/>
      </c>
      <c r="AP91" s="780" t="str">
        <f>IF($B91&lt;=Factores!$D$3,"",AP14)</f>
        <v/>
      </c>
      <c r="AQ91" s="780" t="str">
        <f>IF($B91&lt;=Factores!$D$3,"",AQ14)</f>
        <v/>
      </c>
      <c r="AR91" s="780" t="str">
        <f>IF($B91&lt;=Factores!$D$3,"",AR14)</f>
        <v/>
      </c>
      <c r="AS91" s="780" t="str">
        <f>IF($B91&lt;=Factores!$D$3,"",AS14)</f>
        <v/>
      </c>
      <c r="AT91" s="780" t="str">
        <f>IF($B91&lt;=Factores!$D$3,"",AT14)</f>
        <v/>
      </c>
      <c r="AU91" s="780" t="str">
        <f>IF($B91&lt;=Factores!$D$3,"",AU14)</f>
        <v/>
      </c>
      <c r="AV91" s="780"/>
      <c r="AW91" s="780" t="str">
        <f>IF($B91&lt;=Factores!$D$3,"",AW14)</f>
        <v/>
      </c>
      <c r="AX91" s="780" t="str">
        <f>IF($B91&lt;=Factores!$D$3,"",AX14)</f>
        <v/>
      </c>
      <c r="AY91" s="780" t="str">
        <f>IF($B91&lt;=Factores!$D$3,"",AY14)</f>
        <v/>
      </c>
      <c r="AZ91" s="780" t="str">
        <f>IF($B91&lt;=Factores!$D$3,"",AZ14)</f>
        <v/>
      </c>
      <c r="BA91" s="780" t="str">
        <f>IF($B91&lt;=Factores!$D$3,"",BA14)</f>
        <v/>
      </c>
      <c r="BB91" s="780" t="str">
        <f>IF($B91&lt;=Factores!$D$3,"",BB14)</f>
        <v/>
      </c>
      <c r="BC91" s="780"/>
      <c r="BD91" s="794" t="str">
        <f>IF($B91&lt;=Factores!$D$3,"",BD14)</f>
        <v/>
      </c>
      <c r="BE91" s="780" t="str">
        <f>IF($B91&lt;=Factores!$D$3,"",BE14)</f>
        <v/>
      </c>
      <c r="BF91" s="780" t="str">
        <f>IF($B91&lt;=Factores!$D$3,"",BF14)</f>
        <v/>
      </c>
      <c r="BG91" s="780" t="str">
        <f>IF($B91&lt;=Factores!$D$3,"",BG14)</f>
        <v/>
      </c>
      <c r="BH91" s="780" t="str">
        <f>IF($B91&lt;=Factores!$D$3,"",BH14)</f>
        <v/>
      </c>
      <c r="BI91" s="780" t="str">
        <f>IF($B91&lt;=Factores!$D$3,"",BI14)</f>
        <v/>
      </c>
      <c r="BJ91" s="780" t="str">
        <f>IF($B91&lt;=Factores!$D$3,"",BJ14)</f>
        <v/>
      </c>
      <c r="BK91" s="780" t="str">
        <f>IF($B91&lt;=Factores!$D$3,"",BK14)</f>
        <v/>
      </c>
      <c r="BL91" s="780" t="str">
        <f>IF($B91&lt;=Factores!$D$3,"",BL14)</f>
        <v/>
      </c>
      <c r="BM91" s="780"/>
      <c r="BN91" s="780"/>
      <c r="BO91" s="780"/>
      <c r="BP91" s="780"/>
      <c r="BQ91" s="780"/>
      <c r="BR91" s="780" t="str">
        <f>IF($B91&lt;=Factores!$D$3,"",BR14)</f>
        <v/>
      </c>
      <c r="BS91" s="780" t="str">
        <f>IF($B91&lt;=Factores!$D$3,"",BS14)</f>
        <v/>
      </c>
      <c r="BT91" s="780" t="str">
        <f>IF($B91&lt;=Factores!$D$3,"",BT14)</f>
        <v/>
      </c>
      <c r="BU91" s="780" t="str">
        <f>IF($B91&lt;=Factores!$D$3,"",BU14)</f>
        <v/>
      </c>
      <c r="BV91" s="780" t="str">
        <f>IF($B91&lt;=Factores!$D$3,"",BV14)</f>
        <v/>
      </c>
      <c r="BW91" s="780" t="str">
        <f>IF($B91&lt;=Factores!$D$3,"",BW14)</f>
        <v/>
      </c>
      <c r="BX91" s="780" t="str">
        <f>IF($B91&lt;=Factores!$D$3,"",BX14)</f>
        <v/>
      </c>
      <c r="BY91" s="780" t="str">
        <f>IF($B91&lt;=Factores!$D$3,"",BY14)</f>
        <v/>
      </c>
      <c r="BZ91" s="780" t="str">
        <f>IF($B91&lt;=Factores!$D$3,"",BZ14)</f>
        <v/>
      </c>
      <c r="CA91" s="780" t="str">
        <f>IF($B91&lt;=Factores!$D$3,"",CA14)</f>
        <v/>
      </c>
      <c r="CB91" s="780" t="str">
        <f>IF($B91&lt;=Factores!$D$3,"",CB14)</f>
        <v/>
      </c>
      <c r="CC91" s="780" t="str">
        <f>IF($B91&lt;=Factores!$D$3,"",CC14)</f>
        <v/>
      </c>
      <c r="CD91" s="780"/>
      <c r="CE91" s="780"/>
      <c r="CF91" s="780"/>
      <c r="CG91" s="780"/>
      <c r="CH91" s="780"/>
      <c r="CI91" s="780"/>
      <c r="CJ91" s="780"/>
      <c r="CK91" s="780"/>
      <c r="CL91" s="780"/>
      <c r="CM91" s="780"/>
      <c r="CN91" s="780"/>
      <c r="CO91" s="780"/>
      <c r="CP91" s="780"/>
      <c r="CQ91" s="780"/>
      <c r="CR91" s="780"/>
      <c r="CS91" s="780"/>
      <c r="CT91" s="780"/>
      <c r="CU91" s="780"/>
      <c r="CV91" s="780"/>
      <c r="CW91" s="780"/>
      <c r="CX91" s="780" t="str">
        <f>IF($B91&lt;=Factores!$D$3,"",CX14)</f>
        <v/>
      </c>
      <c r="CY91" s="780" t="str">
        <f>IF($B91&lt;=Factores!$D$3,"",CY14)</f>
        <v/>
      </c>
      <c r="CZ91" s="780" t="str">
        <f>IF($B91&lt;=Factores!$D$3,"",CZ14)</f>
        <v/>
      </c>
      <c r="DA91" s="780" t="str">
        <f>IF($B91&lt;=Factores!$D$3,"",DA14)</f>
        <v/>
      </c>
      <c r="DB91" s="780"/>
      <c r="DC91" s="780"/>
      <c r="DD91" s="780"/>
      <c r="DE91" s="780"/>
      <c r="DF91" s="780"/>
      <c r="DG91" s="780"/>
      <c r="DH91" s="780"/>
      <c r="DI91" s="780"/>
      <c r="DJ91" s="780"/>
      <c r="DK91" s="780"/>
      <c r="DL91" s="780" t="str">
        <f>IF($B91&lt;=Factores!$D$3,"",DL14)</f>
        <v/>
      </c>
      <c r="DM91" s="780" t="str">
        <f>IF($B91&lt;=Factores!$D$3,"",DM14)</f>
        <v/>
      </c>
      <c r="DN91" s="780" t="str">
        <f>IF($B91&lt;=Factores!$D$3,"",DN14)</f>
        <v/>
      </c>
      <c r="DO91" s="780" t="str">
        <f>IF($B91&lt;=Factores!$D$3,"",DO14)</f>
        <v/>
      </c>
      <c r="DP91" s="780" t="str">
        <f>IF($B91&lt;=Factores!$D$3,"",DP14)</f>
        <v/>
      </c>
      <c r="DQ91" s="780" t="str">
        <f>IF($B91&lt;=Factores!$D$3,"",DQ14)</f>
        <v/>
      </c>
      <c r="DR91" s="780" t="str">
        <f>IF($B91&lt;=Factores!$D$3,"",DR14)</f>
        <v/>
      </c>
      <c r="DS91" s="780" t="str">
        <f>IF($B91&lt;=Factores!$D$3,"",DS14)</f>
        <v/>
      </c>
      <c r="DT91" s="780" t="str">
        <f>IF($B91&lt;=Factores!$D$3,"",DT14)</f>
        <v/>
      </c>
      <c r="DU91" s="780" t="str">
        <f>IF($B91&lt;=Factores!$D$3,"",DU14)</f>
        <v/>
      </c>
      <c r="DV91" s="780" t="str">
        <f>IF($B91&lt;=Factores!$D$3,"",DV14)</f>
        <v/>
      </c>
      <c r="DW91" s="780" t="str">
        <f>IF($B91&lt;=Factores!$D$3,"",DW14)</f>
        <v/>
      </c>
      <c r="DX91" s="780" t="str">
        <f>IF($B91&lt;=Factores!$D$3,"",DX14)</f>
        <v/>
      </c>
      <c r="DY91" s="780" t="str">
        <f>IF($B91&lt;=Factores!$D$3,"",DY14)</f>
        <v/>
      </c>
      <c r="DZ91" s="780" t="str">
        <f>IF($B91&lt;=Factores!$D$3,"",DZ14)</f>
        <v/>
      </c>
      <c r="EA91" s="780" t="str">
        <f>IF($B91&lt;=Factores!$D$3,"",EA14)</f>
        <v/>
      </c>
      <c r="EB91" s="780" t="str">
        <f>IF($B91&lt;=Factores!$D$3,"",EB14)</f>
        <v/>
      </c>
      <c r="EC91" s="780" t="str">
        <f>IF($B91&lt;=Factores!$D$3,"",EC14)</f>
        <v/>
      </c>
      <c r="ED91" s="780" t="str">
        <f>IF($B91&lt;=Factores!$D$3,"",ED14)</f>
        <v/>
      </c>
      <c r="EE91" s="780" t="str">
        <f>IF($B91&lt;=Factores!$D$3,"",EE14)</f>
        <v/>
      </c>
      <c r="EF91" s="780" t="str">
        <f>IF($B91&lt;=Factores!$D$3,"",EF14)</f>
        <v/>
      </c>
      <c r="EG91" s="780" t="str">
        <f>IF($B91&lt;=Factores!$D$3,"",EG14)</f>
        <v/>
      </c>
      <c r="EH91" s="780" t="str">
        <f>IF($B91&lt;=Factores!$D$3,"",EH14)</f>
        <v/>
      </c>
      <c r="EI91" s="780" t="str">
        <f>IF($B91&lt;=Factores!$D$3,"",EI14)</f>
        <v/>
      </c>
      <c r="EJ91" s="780" t="str">
        <f>IF($B91&lt;=Factores!$D$3,"",EJ14)</f>
        <v/>
      </c>
      <c r="EK91" s="780" t="str">
        <f>IF($B91&lt;=Factores!$D$3,"",EK14)</f>
        <v/>
      </c>
      <c r="EL91" s="780" t="str">
        <f>IF($B91&lt;=Factores!$D$3,"",EL14)</f>
        <v/>
      </c>
    </row>
    <row r="92" spans="1:151" ht="14.25" customHeight="1">
      <c r="B92" s="794">
        <f t="shared" si="239"/>
        <v>46089.791666666664</v>
      </c>
      <c r="C92" s="780" t="str">
        <f>IF($B92&lt;=Factores!$D$3,"",C15)</f>
        <v/>
      </c>
      <c r="D92" s="780" t="str">
        <f>IF($B92&lt;=Factores!$D$3,"",D15)</f>
        <v/>
      </c>
      <c r="E92" s="780" t="str">
        <f>IF($B92&lt;=Factores!$D$3,"",E15)</f>
        <v/>
      </c>
      <c r="F92" s="780" t="str">
        <f>IF($B92&lt;=Factores!$D$3,"",F15)</f>
        <v/>
      </c>
      <c r="G92" s="780" t="str">
        <f>IF($B92&lt;=Factores!$D$3,"",G15)</f>
        <v/>
      </c>
      <c r="H92" s="780" t="str">
        <f>IF($B92&lt;=Factores!$D$3,"",H15)</f>
        <v/>
      </c>
      <c r="I92" s="780" t="str">
        <f>IF($B92&lt;=Factores!$D$3,"",I15)</f>
        <v/>
      </c>
      <c r="J92" s="780" t="str">
        <f>IF($B92&lt;=Factores!$D$3,"",J15)</f>
        <v/>
      </c>
      <c r="K92" s="780" t="str">
        <f>IF($B92&lt;=Factores!$D$3,"",K15)</f>
        <v/>
      </c>
      <c r="L92" s="3107" t="str">
        <f>IF($B92&lt;=Factores!$D$3,"",L15)</f>
        <v/>
      </c>
      <c r="M92" s="780" t="str">
        <f>IF($B92&lt;=Factores!$D$3,"",M15)</f>
        <v/>
      </c>
      <c r="N92" s="780" t="str">
        <f>IF($B92&lt;=Factores!$D$3,"",N15)</f>
        <v/>
      </c>
      <c r="O92" s="780" t="str">
        <f>IF($B92&lt;=Factores!$D$3,"",O15)</f>
        <v/>
      </c>
      <c r="P92" s="780" t="str">
        <f>IF($B92&lt;=Factores!$D$3,"",P15)</f>
        <v/>
      </c>
      <c r="Q92" s="780" t="str">
        <f>IF($B92&lt;=Factores!$D$3,"",Q15)</f>
        <v/>
      </c>
      <c r="R92" s="780" t="str">
        <f>IF($B92&lt;=Factores!$D$3,"",R15)</f>
        <v/>
      </c>
      <c r="S92" s="780" t="str">
        <f>IF($B92&lt;=Factores!$D$3,"",S15)</f>
        <v/>
      </c>
      <c r="T92" s="780" t="str">
        <f>IF($B92&lt;=Factores!$D$3,"",T15)</f>
        <v/>
      </c>
      <c r="U92" s="780" t="str">
        <f>IF($B92&lt;=Factores!$D$3,"",U15)</f>
        <v/>
      </c>
      <c r="V92" s="780" t="str">
        <f>IF($B92&lt;=Factores!$D$3,"",V15)</f>
        <v/>
      </c>
      <c r="W92" s="780" t="str">
        <f>IF($B92&lt;=Factores!$D$3,"",W15)</f>
        <v/>
      </c>
      <c r="X92" s="780" t="str">
        <f>IF($B92&lt;=Factores!$D$3,"",X15)</f>
        <v/>
      </c>
      <c r="Y92" s="780" t="str">
        <f>IF($B92&lt;=Factores!$D$3,"",Y15)</f>
        <v/>
      </c>
      <c r="Z92" s="780" t="str">
        <f>IF($B92&lt;=Factores!$D$3,"",Z15)</f>
        <v/>
      </c>
      <c r="AA92" s="780" t="str">
        <f>IF($B92&lt;=Factores!$D$3,"",AA15)</f>
        <v/>
      </c>
      <c r="AB92" s="780" t="str">
        <f>IF($B92&lt;=Factores!$D$3,"",AB15)</f>
        <v/>
      </c>
      <c r="AC92" s="780" t="str">
        <f>IF($B92&lt;=Factores!$D$3,"",AC15)</f>
        <v/>
      </c>
      <c r="AD92" s="780" t="str">
        <f>IF($B92&lt;=Factores!$D$3,"",AD15)</f>
        <v/>
      </c>
      <c r="AE92" s="780" t="str">
        <f>IF($B92&lt;=Factores!$D$3,"",AE15)</f>
        <v/>
      </c>
      <c r="AF92" s="780" t="str">
        <f>IF($B92&lt;=Factores!$D$3,"",AF15)</f>
        <v/>
      </c>
      <c r="AG92" s="780" t="str">
        <f>IF($B92&lt;=Factores!$D$3,"",AG15)</f>
        <v/>
      </c>
      <c r="AH92" s="780" t="str">
        <f>IF($B92&lt;=Factores!$D$3,"",AH15)</f>
        <v/>
      </c>
      <c r="AI92" s="780" t="str">
        <f>IF($B92&lt;=Factores!$D$3,"",AI15)</f>
        <v/>
      </c>
      <c r="AJ92" s="780" t="str">
        <f>IF($B92&lt;=Factores!$D$3,"",AJ15)</f>
        <v/>
      </c>
      <c r="AK92" s="780" t="str">
        <f>IF($B92&lt;=Factores!$D$3,"",AK15)</f>
        <v/>
      </c>
      <c r="AL92" s="780" t="str">
        <f>IF($B92&lt;=Factores!$D$3,"",AL15)</f>
        <v/>
      </c>
      <c r="AM92" s="780" t="str">
        <f>IF($B92&lt;=Factores!$D$3,"",AM15)</f>
        <v/>
      </c>
      <c r="AN92" s="780" t="str">
        <f>IF($B92&lt;=Factores!$D$3,"",AN15)</f>
        <v/>
      </c>
      <c r="AO92" s="780" t="str">
        <f>IF($B92&lt;=Factores!$D$3,"",AO15)</f>
        <v/>
      </c>
      <c r="AP92" s="780" t="str">
        <f>IF($B92&lt;=Factores!$D$3,"",AP15)</f>
        <v/>
      </c>
      <c r="AQ92" s="780" t="str">
        <f>IF($B92&lt;=Factores!$D$3,"",AQ15)</f>
        <v/>
      </c>
      <c r="AR92" s="780" t="str">
        <f>IF($B92&lt;=Factores!$D$3,"",AR15)</f>
        <v/>
      </c>
      <c r="AS92" s="780" t="str">
        <f>IF($B92&lt;=Factores!$D$3,"",AS15)</f>
        <v/>
      </c>
      <c r="AT92" s="780" t="str">
        <f>IF($B92&lt;=Factores!$D$3,"",AT15)</f>
        <v/>
      </c>
      <c r="AU92" s="780" t="str">
        <f>IF($B92&lt;=Factores!$D$3,"",AU15)</f>
        <v/>
      </c>
      <c r="AV92" s="780"/>
      <c r="AW92" s="780" t="str">
        <f>IF($B92&lt;=Factores!$D$3,"",AW15)</f>
        <v/>
      </c>
      <c r="AX92" s="780" t="str">
        <f>IF($B92&lt;=Factores!$D$3,"",AX15)</f>
        <v/>
      </c>
      <c r="AY92" s="780" t="str">
        <f>IF($B92&lt;=Factores!$D$3,"",AY15)</f>
        <v/>
      </c>
      <c r="AZ92" s="780" t="str">
        <f>IF($B92&lt;=Factores!$D$3,"",AZ15)</f>
        <v/>
      </c>
      <c r="BA92" s="780" t="str">
        <f>IF($B92&lt;=Factores!$D$3,"",BA15)</f>
        <v/>
      </c>
      <c r="BB92" s="780" t="str">
        <f>IF($B92&lt;=Factores!$D$3,"",BB15)</f>
        <v/>
      </c>
      <c r="BC92" s="780"/>
      <c r="BD92" s="794" t="str">
        <f>IF($B92&lt;=Factores!$D$3,"",BD15)</f>
        <v/>
      </c>
      <c r="BE92" s="780" t="str">
        <f>IF($B92&lt;=Factores!$D$3,"",BE15)</f>
        <v/>
      </c>
      <c r="BF92" s="780" t="str">
        <f>IF($B92&lt;=Factores!$D$3,"",BF15)</f>
        <v/>
      </c>
      <c r="BG92" s="780" t="str">
        <f>IF($B92&lt;=Factores!$D$3,"",BG15)</f>
        <v/>
      </c>
      <c r="BH92" s="780" t="str">
        <f>IF($B92&lt;=Factores!$D$3,"",BH15)</f>
        <v/>
      </c>
      <c r="BI92" s="780" t="str">
        <f>IF($B92&lt;=Factores!$D$3,"",BI15)</f>
        <v/>
      </c>
      <c r="BJ92" s="780" t="str">
        <f>IF($B92&lt;=Factores!$D$3,"",BJ15)</f>
        <v/>
      </c>
      <c r="BK92" s="780" t="str">
        <f>IF($B92&lt;=Factores!$D$3,"",BK15)</f>
        <v/>
      </c>
      <c r="BL92" s="780" t="str">
        <f>IF($B92&lt;=Factores!$D$3,"",BL15)</f>
        <v/>
      </c>
      <c r="BM92" s="780"/>
      <c r="BN92" s="780"/>
      <c r="BO92" s="780"/>
      <c r="BP92" s="780"/>
      <c r="BQ92" s="780"/>
      <c r="BR92" s="780" t="str">
        <f>IF($B92&lt;=Factores!$D$3,"",BR15)</f>
        <v/>
      </c>
      <c r="BS92" s="780" t="str">
        <f>IF($B92&lt;=Factores!$D$3,"",BS15)</f>
        <v/>
      </c>
      <c r="BT92" s="780" t="str">
        <f>IF($B92&lt;=Factores!$D$3,"",BT15)</f>
        <v/>
      </c>
      <c r="BU92" s="780" t="str">
        <f>IF($B92&lt;=Factores!$D$3,"",BU15)</f>
        <v/>
      </c>
      <c r="BV92" s="780" t="str">
        <f>IF($B92&lt;=Factores!$D$3,"",BV15)</f>
        <v/>
      </c>
      <c r="BW92" s="780" t="str">
        <f>IF($B92&lt;=Factores!$D$3,"",BW15)</f>
        <v/>
      </c>
      <c r="BX92" s="780" t="str">
        <f>IF($B92&lt;=Factores!$D$3,"",BX15)</f>
        <v/>
      </c>
      <c r="BY92" s="780" t="str">
        <f>IF($B92&lt;=Factores!$D$3,"",BY15)</f>
        <v/>
      </c>
      <c r="BZ92" s="780" t="str">
        <f>IF($B92&lt;=Factores!$D$3,"",BZ15)</f>
        <v/>
      </c>
      <c r="CA92" s="780" t="str">
        <f>IF($B92&lt;=Factores!$D$3,"",CA15)</f>
        <v/>
      </c>
      <c r="CB92" s="780" t="str">
        <f>IF($B92&lt;=Factores!$D$3,"",CB15)</f>
        <v/>
      </c>
      <c r="CC92" s="780" t="str">
        <f>IF($B92&lt;=Factores!$D$3,"",CC15)</f>
        <v/>
      </c>
      <c r="CD92" s="780"/>
      <c r="CE92" s="780"/>
      <c r="CF92" s="780"/>
      <c r="CG92" s="780"/>
      <c r="CH92" s="780"/>
      <c r="CI92" s="780"/>
      <c r="CJ92" s="780"/>
      <c r="CK92" s="780"/>
      <c r="CL92" s="780"/>
      <c r="CM92" s="780"/>
      <c r="CN92" s="780"/>
      <c r="CO92" s="780"/>
      <c r="CP92" s="780"/>
      <c r="CQ92" s="780"/>
      <c r="CR92" s="780"/>
      <c r="CS92" s="780"/>
      <c r="CT92" s="780"/>
      <c r="CU92" s="780"/>
      <c r="CV92" s="780"/>
      <c r="CW92" s="780"/>
      <c r="CX92" s="780" t="str">
        <f>IF($B92&lt;=Factores!$D$3,"",CX15)</f>
        <v/>
      </c>
      <c r="CY92" s="780" t="str">
        <f>IF($B92&lt;=Factores!$D$3,"",CY15)</f>
        <v/>
      </c>
      <c r="CZ92" s="780" t="str">
        <f>IF($B92&lt;=Factores!$D$3,"",CZ15)</f>
        <v/>
      </c>
      <c r="DA92" s="780" t="str">
        <f>IF($B92&lt;=Factores!$D$3,"",DA15)</f>
        <v/>
      </c>
      <c r="DB92" s="780"/>
      <c r="DC92" s="780"/>
      <c r="DD92" s="780"/>
      <c r="DE92" s="780"/>
      <c r="DF92" s="780"/>
      <c r="DG92" s="780"/>
      <c r="DH92" s="780"/>
      <c r="DI92" s="780"/>
      <c r="DJ92" s="780"/>
      <c r="DK92" s="780"/>
      <c r="DL92" s="780" t="str">
        <f>IF($B92&lt;=Factores!$D$3,"",DL15)</f>
        <v/>
      </c>
      <c r="DM92" s="780" t="str">
        <f>IF($B92&lt;=Factores!$D$3,"",DM15)</f>
        <v/>
      </c>
      <c r="DN92" s="780" t="str">
        <f>IF($B92&lt;=Factores!$D$3,"",DN15)</f>
        <v/>
      </c>
      <c r="DO92" s="780" t="str">
        <f>IF($B92&lt;=Factores!$D$3,"",DO15)</f>
        <v/>
      </c>
      <c r="DP92" s="780" t="str">
        <f>IF($B92&lt;=Factores!$D$3,"",DP15)</f>
        <v/>
      </c>
      <c r="DQ92" s="780" t="str">
        <f>IF($B92&lt;=Factores!$D$3,"",DQ15)</f>
        <v/>
      </c>
      <c r="DR92" s="780" t="str">
        <f>IF($B92&lt;=Factores!$D$3,"",DR15)</f>
        <v/>
      </c>
      <c r="DS92" s="780" t="str">
        <f>IF($B92&lt;=Factores!$D$3,"",DS15)</f>
        <v/>
      </c>
      <c r="DT92" s="780" t="str">
        <f>IF($B92&lt;=Factores!$D$3,"",DT15)</f>
        <v/>
      </c>
      <c r="DU92" s="780" t="str">
        <f>IF($B92&lt;=Factores!$D$3,"",DU15)</f>
        <v/>
      </c>
      <c r="DV92" s="780" t="str">
        <f>IF($B92&lt;=Factores!$D$3,"",DV15)</f>
        <v/>
      </c>
      <c r="DW92" s="780" t="str">
        <f>IF($B92&lt;=Factores!$D$3,"",DW15)</f>
        <v/>
      </c>
      <c r="DX92" s="780" t="str">
        <f>IF($B92&lt;=Factores!$D$3,"",DX15)</f>
        <v/>
      </c>
      <c r="DY92" s="780" t="str">
        <f>IF($B92&lt;=Factores!$D$3,"",DY15)</f>
        <v/>
      </c>
      <c r="DZ92" s="780" t="str">
        <f>IF($B92&lt;=Factores!$D$3,"",DZ15)</f>
        <v/>
      </c>
      <c r="EA92" s="780" t="str">
        <f>IF($B92&lt;=Factores!$D$3,"",EA15)</f>
        <v/>
      </c>
      <c r="EB92" s="780" t="str">
        <f>IF($B92&lt;=Factores!$D$3,"",EB15)</f>
        <v/>
      </c>
      <c r="EC92" s="780" t="str">
        <f>IF($B92&lt;=Factores!$D$3,"",EC15)</f>
        <v/>
      </c>
      <c r="ED92" s="780" t="str">
        <f>IF($B92&lt;=Factores!$D$3,"",ED15)</f>
        <v/>
      </c>
      <c r="EE92" s="780" t="str">
        <f>IF($B92&lt;=Factores!$D$3,"",EE15)</f>
        <v/>
      </c>
      <c r="EF92" s="780" t="str">
        <f>IF($B92&lt;=Factores!$D$3,"",EF15)</f>
        <v/>
      </c>
      <c r="EG92" s="780" t="str">
        <f>IF($B92&lt;=Factores!$D$3,"",EG15)</f>
        <v/>
      </c>
      <c r="EH92" s="780" t="str">
        <f>IF($B92&lt;=Factores!$D$3,"",EH15)</f>
        <v/>
      </c>
      <c r="EI92" s="780" t="str">
        <f>IF($B92&lt;=Factores!$D$3,"",EI15)</f>
        <v/>
      </c>
      <c r="EJ92" s="780" t="str">
        <f>IF($B92&lt;=Factores!$D$3,"",EJ15)</f>
        <v/>
      </c>
      <c r="EK92" s="780" t="str">
        <f>IF($B92&lt;=Factores!$D$3,"",EK15)</f>
        <v/>
      </c>
      <c r="EL92" s="780" t="str">
        <f>IF($B92&lt;=Factores!$D$3,"",EL15)</f>
        <v/>
      </c>
    </row>
    <row r="93" spans="1:151" ht="14.25" customHeight="1">
      <c r="B93" s="794">
        <f t="shared" si="239"/>
        <v>46090.791666666664</v>
      </c>
      <c r="C93" s="780" t="str">
        <f>IF($B93&lt;=Factores!$D$3,"",C16)</f>
        <v/>
      </c>
      <c r="D93" s="780" t="str">
        <f>IF($B93&lt;=Factores!$D$3,"",D16)</f>
        <v/>
      </c>
      <c r="E93" s="780" t="str">
        <f>IF($B93&lt;=Factores!$D$3,"",E16)</f>
        <v/>
      </c>
      <c r="F93" s="780" t="str">
        <f>IF($B93&lt;=Factores!$D$3,"",F16)</f>
        <v/>
      </c>
      <c r="G93" s="780" t="str">
        <f>IF($B93&lt;=Factores!$D$3,"",G16)</f>
        <v/>
      </c>
      <c r="H93" s="780" t="str">
        <f>IF($B93&lt;=Factores!$D$3,"",H16)</f>
        <v/>
      </c>
      <c r="I93" s="780" t="str">
        <f>IF($B93&lt;=Factores!$D$3,"",I16)</f>
        <v/>
      </c>
      <c r="J93" s="780" t="str">
        <f>IF($B93&lt;=Factores!$D$3,"",J16)</f>
        <v/>
      </c>
      <c r="K93" s="780" t="str">
        <f>IF($B93&lt;=Factores!$D$3,"",K16)</f>
        <v/>
      </c>
      <c r="L93" s="3107" t="str">
        <f>IF($B93&lt;=Factores!$D$3,"",L16)</f>
        <v/>
      </c>
      <c r="M93" s="780" t="str">
        <f>IF($B93&lt;=Factores!$D$3,"",M16)</f>
        <v/>
      </c>
      <c r="N93" s="780" t="str">
        <f>IF($B93&lt;=Factores!$D$3,"",N16)</f>
        <v/>
      </c>
      <c r="O93" s="780" t="str">
        <f>IF($B93&lt;=Factores!$D$3,"",O16)</f>
        <v/>
      </c>
      <c r="P93" s="780" t="str">
        <f>IF($B93&lt;=Factores!$D$3,"",P16)</f>
        <v/>
      </c>
      <c r="Q93" s="780" t="str">
        <f>IF($B93&lt;=Factores!$D$3,"",Q16)</f>
        <v/>
      </c>
      <c r="R93" s="780" t="str">
        <f>IF($B93&lt;=Factores!$D$3,"",R16)</f>
        <v/>
      </c>
      <c r="S93" s="780" t="str">
        <f>IF($B93&lt;=Factores!$D$3,"",S16)</f>
        <v/>
      </c>
      <c r="T93" s="780" t="str">
        <f>IF($B93&lt;=Factores!$D$3,"",T16)</f>
        <v/>
      </c>
      <c r="U93" s="780" t="str">
        <f>IF($B93&lt;=Factores!$D$3,"",U16)</f>
        <v/>
      </c>
      <c r="V93" s="780" t="str">
        <f>IF($B93&lt;=Factores!$D$3,"",V16)</f>
        <v/>
      </c>
      <c r="W93" s="780" t="str">
        <f>IF($B93&lt;=Factores!$D$3,"",W16)</f>
        <v/>
      </c>
      <c r="X93" s="780" t="str">
        <f>IF($B93&lt;=Factores!$D$3,"",X16)</f>
        <v/>
      </c>
      <c r="Y93" s="780" t="str">
        <f>IF($B93&lt;=Factores!$D$3,"",Y16)</f>
        <v/>
      </c>
      <c r="Z93" s="780" t="str">
        <f>IF($B93&lt;=Factores!$D$3,"",Z16)</f>
        <v/>
      </c>
      <c r="AA93" s="780" t="str">
        <f>IF($B93&lt;=Factores!$D$3,"",AA16)</f>
        <v/>
      </c>
      <c r="AB93" s="780" t="str">
        <f>IF($B93&lt;=Factores!$D$3,"",AB16)</f>
        <v/>
      </c>
      <c r="AC93" s="780" t="str">
        <f>IF($B93&lt;=Factores!$D$3,"",AC16)</f>
        <v/>
      </c>
      <c r="AD93" s="780" t="str">
        <f>IF($B93&lt;=Factores!$D$3,"",AD16)</f>
        <v/>
      </c>
      <c r="AE93" s="780" t="str">
        <f>IF($B93&lt;=Factores!$D$3,"",AE16)</f>
        <v/>
      </c>
      <c r="AF93" s="780" t="str">
        <f>IF($B93&lt;=Factores!$D$3,"",AF16)</f>
        <v/>
      </c>
      <c r="AG93" s="780" t="str">
        <f>IF($B93&lt;=Factores!$D$3,"",AG16)</f>
        <v/>
      </c>
      <c r="AH93" s="780" t="str">
        <f>IF($B93&lt;=Factores!$D$3,"",AH16)</f>
        <v/>
      </c>
      <c r="AI93" s="780" t="str">
        <f>IF($B93&lt;=Factores!$D$3,"",AI16)</f>
        <v/>
      </c>
      <c r="AJ93" s="780" t="str">
        <f>IF($B93&lt;=Factores!$D$3,"",AJ16)</f>
        <v/>
      </c>
      <c r="AK93" s="780" t="str">
        <f>IF($B93&lt;=Factores!$D$3,"",AK16)</f>
        <v/>
      </c>
      <c r="AL93" s="780" t="str">
        <f>IF($B93&lt;=Factores!$D$3,"",AL16)</f>
        <v/>
      </c>
      <c r="AM93" s="780" t="str">
        <f>IF($B93&lt;=Factores!$D$3,"",AM16)</f>
        <v/>
      </c>
      <c r="AN93" s="780" t="str">
        <f>IF($B93&lt;=Factores!$D$3,"",AN16)</f>
        <v/>
      </c>
      <c r="AO93" s="780" t="str">
        <f>IF($B93&lt;=Factores!$D$3,"",AO16)</f>
        <v/>
      </c>
      <c r="AP93" s="780" t="str">
        <f>IF($B93&lt;=Factores!$D$3,"",AP16)</f>
        <v/>
      </c>
      <c r="AQ93" s="780" t="str">
        <f>IF($B93&lt;=Factores!$D$3,"",AQ16)</f>
        <v/>
      </c>
      <c r="AR93" s="780" t="str">
        <f>IF($B93&lt;=Factores!$D$3,"",AR16)</f>
        <v/>
      </c>
      <c r="AS93" s="780" t="str">
        <f>IF($B93&lt;=Factores!$D$3,"",AS16)</f>
        <v/>
      </c>
      <c r="AT93" s="780" t="str">
        <f>IF($B93&lt;=Factores!$D$3,"",AT16)</f>
        <v/>
      </c>
      <c r="AU93" s="780" t="str">
        <f>IF($B93&lt;=Factores!$D$3,"",AU16)</f>
        <v/>
      </c>
      <c r="AV93" s="780"/>
      <c r="AW93" s="780" t="str">
        <f>IF($B93&lt;=Factores!$D$3,"",AW16)</f>
        <v/>
      </c>
      <c r="AX93" s="780" t="str">
        <f>IF($B93&lt;=Factores!$D$3,"",AX16)</f>
        <v/>
      </c>
      <c r="AY93" s="780" t="str">
        <f>IF($B93&lt;=Factores!$D$3,"",AY16)</f>
        <v/>
      </c>
      <c r="AZ93" s="780" t="str">
        <f>IF($B93&lt;=Factores!$D$3,"",AZ16)</f>
        <v/>
      </c>
      <c r="BA93" s="780" t="str">
        <f>IF($B93&lt;=Factores!$D$3,"",BA16)</f>
        <v/>
      </c>
      <c r="BB93" s="780" t="str">
        <f>IF($B93&lt;=Factores!$D$3,"",BB16)</f>
        <v/>
      </c>
      <c r="BC93" s="780"/>
      <c r="BD93" s="794" t="str">
        <f>IF($B93&lt;=Factores!$D$3,"",BD16)</f>
        <v/>
      </c>
      <c r="BE93" s="780" t="str">
        <f>IF($B93&lt;=Factores!$D$3,"",BE16)</f>
        <v/>
      </c>
      <c r="BF93" s="780" t="str">
        <f>IF($B93&lt;=Factores!$D$3,"",BF16)</f>
        <v/>
      </c>
      <c r="BG93" s="780" t="str">
        <f>IF($B93&lt;=Factores!$D$3,"",BG16)</f>
        <v/>
      </c>
      <c r="BH93" s="780" t="str">
        <f>IF($B93&lt;=Factores!$D$3,"",BH16)</f>
        <v/>
      </c>
      <c r="BI93" s="780" t="str">
        <f>IF($B93&lt;=Factores!$D$3,"",BI16)</f>
        <v/>
      </c>
      <c r="BJ93" s="780" t="str">
        <f>IF($B93&lt;=Factores!$D$3,"",BJ16)</f>
        <v/>
      </c>
      <c r="BK93" s="780" t="str">
        <f>IF($B93&lt;=Factores!$D$3,"",BK16)</f>
        <v/>
      </c>
      <c r="BL93" s="780" t="str">
        <f>IF($B93&lt;=Factores!$D$3,"",BL16)</f>
        <v/>
      </c>
      <c r="BM93" s="780"/>
      <c r="BN93" s="780"/>
      <c r="BO93" s="780"/>
      <c r="BP93" s="780"/>
      <c r="BQ93" s="780"/>
      <c r="BR93" s="780" t="str">
        <f>IF($B93&lt;=Factores!$D$3,"",BR16)</f>
        <v/>
      </c>
      <c r="BS93" s="780" t="str">
        <f>IF($B93&lt;=Factores!$D$3,"",BS16)</f>
        <v/>
      </c>
      <c r="BT93" s="780" t="str">
        <f>IF($B93&lt;=Factores!$D$3,"",BT16)</f>
        <v/>
      </c>
      <c r="BU93" s="780" t="str">
        <f>IF($B93&lt;=Factores!$D$3,"",BU16)</f>
        <v/>
      </c>
      <c r="BV93" s="780" t="str">
        <f>IF($B93&lt;=Factores!$D$3,"",BV16)</f>
        <v/>
      </c>
      <c r="BW93" s="780" t="str">
        <f>IF($B93&lt;=Factores!$D$3,"",BW16)</f>
        <v/>
      </c>
      <c r="BX93" s="780" t="str">
        <f>IF($B93&lt;=Factores!$D$3,"",BX16)</f>
        <v/>
      </c>
      <c r="BY93" s="780" t="str">
        <f>IF($B93&lt;=Factores!$D$3,"",BY16)</f>
        <v/>
      </c>
      <c r="BZ93" s="780" t="str">
        <f>IF($B93&lt;=Factores!$D$3,"",BZ16)</f>
        <v/>
      </c>
      <c r="CA93" s="780" t="str">
        <f>IF($B93&lt;=Factores!$D$3,"",CA16)</f>
        <v/>
      </c>
      <c r="CB93" s="780" t="str">
        <f>IF($B93&lt;=Factores!$D$3,"",CB16)</f>
        <v/>
      </c>
      <c r="CC93" s="780" t="str">
        <f>IF($B93&lt;=Factores!$D$3,"",CC16)</f>
        <v/>
      </c>
      <c r="CD93" s="780"/>
      <c r="CE93" s="780"/>
      <c r="CF93" s="780"/>
      <c r="CG93" s="780"/>
      <c r="CH93" s="780"/>
      <c r="CI93" s="780"/>
      <c r="CJ93" s="780"/>
      <c r="CK93" s="780"/>
      <c r="CL93" s="780"/>
      <c r="CM93" s="780"/>
      <c r="CN93" s="780"/>
      <c r="CO93" s="780"/>
      <c r="CP93" s="780"/>
      <c r="CQ93" s="780"/>
      <c r="CR93" s="780"/>
      <c r="CS93" s="780"/>
      <c r="CT93" s="780"/>
      <c r="CU93" s="780"/>
      <c r="CV93" s="780"/>
      <c r="CW93" s="780"/>
      <c r="CX93" s="780" t="str">
        <f>IF($B93&lt;=Factores!$D$3,"",CX16)</f>
        <v/>
      </c>
      <c r="CY93" s="780" t="str">
        <f>IF($B93&lt;=Factores!$D$3,"",CY16)</f>
        <v/>
      </c>
      <c r="CZ93" s="780" t="str">
        <f>IF($B93&lt;=Factores!$D$3,"",CZ16)</f>
        <v/>
      </c>
      <c r="DA93" s="780" t="str">
        <f>IF($B93&lt;=Factores!$D$3,"",DA16)</f>
        <v/>
      </c>
      <c r="DB93" s="780"/>
      <c r="DC93" s="780"/>
      <c r="DD93" s="780"/>
      <c r="DE93" s="780"/>
      <c r="DF93" s="780"/>
      <c r="DG93" s="780"/>
      <c r="DH93" s="780"/>
      <c r="DI93" s="780"/>
      <c r="DJ93" s="780"/>
      <c r="DK93" s="780"/>
      <c r="DL93" s="780" t="str">
        <f>IF($B93&lt;=Factores!$D$3,"",DL16)</f>
        <v/>
      </c>
      <c r="DM93" s="780" t="str">
        <f>IF($B93&lt;=Factores!$D$3,"",DM16)</f>
        <v/>
      </c>
      <c r="DN93" s="780" t="str">
        <f>IF($B93&lt;=Factores!$D$3,"",DN16)</f>
        <v/>
      </c>
      <c r="DO93" s="780" t="str">
        <f>IF($B93&lt;=Factores!$D$3,"",DO16)</f>
        <v/>
      </c>
      <c r="DP93" s="780" t="str">
        <f>IF($B93&lt;=Factores!$D$3,"",DP16)</f>
        <v/>
      </c>
      <c r="DQ93" s="780" t="str">
        <f>IF($B93&lt;=Factores!$D$3,"",DQ16)</f>
        <v/>
      </c>
      <c r="DR93" s="780" t="str">
        <f>IF($B93&lt;=Factores!$D$3,"",DR16)</f>
        <v/>
      </c>
      <c r="DS93" s="780" t="str">
        <f>IF($B93&lt;=Factores!$D$3,"",DS16)</f>
        <v/>
      </c>
      <c r="DT93" s="780" t="str">
        <f>IF($B93&lt;=Factores!$D$3,"",DT16)</f>
        <v/>
      </c>
      <c r="DU93" s="780" t="str">
        <f>IF($B93&lt;=Factores!$D$3,"",DU16)</f>
        <v/>
      </c>
      <c r="DV93" s="780" t="str">
        <f>IF($B93&lt;=Factores!$D$3,"",DV16)</f>
        <v/>
      </c>
      <c r="DW93" s="780" t="str">
        <f>IF($B93&lt;=Factores!$D$3,"",DW16)</f>
        <v/>
      </c>
      <c r="DX93" s="780" t="str">
        <f>IF($B93&lt;=Factores!$D$3,"",DX16)</f>
        <v/>
      </c>
      <c r="DY93" s="780" t="str">
        <f>IF($B93&lt;=Factores!$D$3,"",DY16)</f>
        <v/>
      </c>
      <c r="DZ93" s="780" t="str">
        <f>IF($B93&lt;=Factores!$D$3,"",DZ16)</f>
        <v/>
      </c>
      <c r="EA93" s="780" t="str">
        <f>IF($B93&lt;=Factores!$D$3,"",EA16)</f>
        <v/>
      </c>
      <c r="EB93" s="780" t="str">
        <f>IF($B93&lt;=Factores!$D$3,"",EB16)</f>
        <v/>
      </c>
      <c r="EC93" s="780" t="str">
        <f>IF($B93&lt;=Factores!$D$3,"",EC16)</f>
        <v/>
      </c>
      <c r="ED93" s="780" t="str">
        <f>IF($B93&lt;=Factores!$D$3,"",ED16)</f>
        <v/>
      </c>
      <c r="EE93" s="780" t="str">
        <f>IF($B93&lt;=Factores!$D$3,"",EE16)</f>
        <v/>
      </c>
      <c r="EF93" s="780" t="str">
        <f>IF($B93&lt;=Factores!$D$3,"",EF16)</f>
        <v/>
      </c>
      <c r="EG93" s="780" t="str">
        <f>IF($B93&lt;=Factores!$D$3,"",EG16)</f>
        <v/>
      </c>
      <c r="EH93" s="780" t="str">
        <f>IF($B93&lt;=Factores!$D$3,"",EH16)</f>
        <v/>
      </c>
      <c r="EI93" s="780" t="str">
        <f>IF($B93&lt;=Factores!$D$3,"",EI16)</f>
        <v/>
      </c>
      <c r="EJ93" s="780" t="str">
        <f>IF($B93&lt;=Factores!$D$3,"",EJ16)</f>
        <v/>
      </c>
      <c r="EK93" s="780" t="str">
        <f>IF($B93&lt;=Factores!$D$3,"",EK16)</f>
        <v/>
      </c>
      <c r="EL93" s="780" t="str">
        <f>IF($B93&lt;=Factores!$D$3,"",EL16)</f>
        <v/>
      </c>
    </row>
    <row r="94" spans="1:151" ht="14.25" customHeight="1">
      <c r="B94" s="794">
        <f t="shared" si="239"/>
        <v>46091.791666666664</v>
      </c>
      <c r="C94" s="780" t="str">
        <f>IF($B94&lt;=Factores!$D$3,"",C17)</f>
        <v/>
      </c>
      <c r="D94" s="780" t="str">
        <f>IF($B94&lt;=Factores!$D$3,"",D17)</f>
        <v/>
      </c>
      <c r="E94" s="780" t="str">
        <f>IF($B94&lt;=Factores!$D$3,"",E17)</f>
        <v/>
      </c>
      <c r="F94" s="780" t="str">
        <f>IF($B94&lt;=Factores!$D$3,"",F17)</f>
        <v/>
      </c>
      <c r="G94" s="780" t="str">
        <f>IF($B94&lt;=Factores!$D$3,"",G17)</f>
        <v/>
      </c>
      <c r="H94" s="780" t="str">
        <f>IF($B94&lt;=Factores!$D$3,"",H17)</f>
        <v/>
      </c>
      <c r="I94" s="780" t="str">
        <f>IF($B94&lt;=Factores!$D$3,"",I17)</f>
        <v/>
      </c>
      <c r="J94" s="780" t="str">
        <f>IF($B94&lt;=Factores!$D$3,"",J17)</f>
        <v/>
      </c>
      <c r="K94" s="780" t="str">
        <f>IF($B94&lt;=Factores!$D$3,"",K17)</f>
        <v/>
      </c>
      <c r="L94" s="3107" t="str">
        <f>IF($B94&lt;=Factores!$D$3,"",L17)</f>
        <v/>
      </c>
      <c r="M94" s="780" t="str">
        <f>IF($B94&lt;=Factores!$D$3,"",M17)</f>
        <v/>
      </c>
      <c r="N94" s="780" t="str">
        <f>IF($B94&lt;=Factores!$D$3,"",N17)</f>
        <v/>
      </c>
      <c r="O94" s="780" t="str">
        <f>IF($B94&lt;=Factores!$D$3,"",O17)</f>
        <v/>
      </c>
      <c r="P94" s="780" t="str">
        <f>IF($B94&lt;=Factores!$D$3,"",P17)</f>
        <v/>
      </c>
      <c r="Q94" s="780" t="str">
        <f>IF($B94&lt;=Factores!$D$3,"",Q17)</f>
        <v/>
      </c>
      <c r="R94" s="780" t="str">
        <f>IF($B94&lt;=Factores!$D$3,"",R17)</f>
        <v/>
      </c>
      <c r="S94" s="780" t="str">
        <f>IF($B94&lt;=Factores!$D$3,"",S17)</f>
        <v/>
      </c>
      <c r="T94" s="780" t="str">
        <f>IF($B94&lt;=Factores!$D$3,"",T17)</f>
        <v/>
      </c>
      <c r="U94" s="780" t="str">
        <f>IF($B94&lt;=Factores!$D$3,"",U17)</f>
        <v/>
      </c>
      <c r="V94" s="780" t="str">
        <f>IF($B94&lt;=Factores!$D$3,"",V17)</f>
        <v/>
      </c>
      <c r="W94" s="780" t="str">
        <f>IF($B94&lt;=Factores!$D$3,"",W17)</f>
        <v/>
      </c>
      <c r="X94" s="780" t="str">
        <f>IF($B94&lt;=Factores!$D$3,"",X17)</f>
        <v/>
      </c>
      <c r="Y94" s="780" t="str">
        <f>IF($B94&lt;=Factores!$D$3,"",Y17)</f>
        <v/>
      </c>
      <c r="Z94" s="780" t="str">
        <f>IF($B94&lt;=Factores!$D$3,"",Z17)</f>
        <v/>
      </c>
      <c r="AA94" s="780" t="str">
        <f>IF($B94&lt;=Factores!$D$3,"",AA17)</f>
        <v/>
      </c>
      <c r="AB94" s="780" t="str">
        <f>IF($B94&lt;=Factores!$D$3,"",AB17)</f>
        <v/>
      </c>
      <c r="AC94" s="780" t="str">
        <f>IF($B94&lt;=Factores!$D$3,"",AC17)</f>
        <v/>
      </c>
      <c r="AD94" s="780" t="str">
        <f>IF($B94&lt;=Factores!$D$3,"",AD17)</f>
        <v/>
      </c>
      <c r="AE94" s="780" t="str">
        <f>IF($B94&lt;=Factores!$D$3,"",AE17)</f>
        <v/>
      </c>
      <c r="AF94" s="780" t="str">
        <f>IF($B94&lt;=Factores!$D$3,"",AF17)</f>
        <v/>
      </c>
      <c r="AG94" s="780" t="str">
        <f>IF($B94&lt;=Factores!$D$3,"",AG17)</f>
        <v/>
      </c>
      <c r="AH94" s="780" t="str">
        <f>IF($B94&lt;=Factores!$D$3,"",AH17)</f>
        <v/>
      </c>
      <c r="AI94" s="780" t="str">
        <f>IF($B94&lt;=Factores!$D$3,"",AI17)</f>
        <v/>
      </c>
      <c r="AJ94" s="780" t="str">
        <f>IF($B94&lt;=Factores!$D$3,"",AJ17)</f>
        <v/>
      </c>
      <c r="AK94" s="780" t="str">
        <f>IF($B94&lt;=Factores!$D$3,"",AK17)</f>
        <v/>
      </c>
      <c r="AL94" s="780" t="str">
        <f>IF($B94&lt;=Factores!$D$3,"",AL17)</f>
        <v/>
      </c>
      <c r="AM94" s="780" t="str">
        <f>IF($B94&lt;=Factores!$D$3,"",AM17)</f>
        <v/>
      </c>
      <c r="AN94" s="780" t="str">
        <f>IF($B94&lt;=Factores!$D$3,"",AN17)</f>
        <v/>
      </c>
      <c r="AO94" s="780" t="str">
        <f>IF($B94&lt;=Factores!$D$3,"",AO17)</f>
        <v/>
      </c>
      <c r="AP94" s="780" t="str">
        <f>IF($B94&lt;=Factores!$D$3,"",AP17)</f>
        <v/>
      </c>
      <c r="AQ94" s="780" t="str">
        <f>IF($B94&lt;=Factores!$D$3,"",AQ17)</f>
        <v/>
      </c>
      <c r="AR94" s="780" t="str">
        <f>IF($B94&lt;=Factores!$D$3,"",AR17)</f>
        <v/>
      </c>
      <c r="AS94" s="780" t="str">
        <f>IF($B94&lt;=Factores!$D$3,"",AS17)</f>
        <v/>
      </c>
      <c r="AT94" s="780" t="str">
        <f>IF($B94&lt;=Factores!$D$3,"",AT17)</f>
        <v/>
      </c>
      <c r="AU94" s="780" t="str">
        <f>IF($B94&lt;=Factores!$D$3,"",AU17)</f>
        <v/>
      </c>
      <c r="AV94" s="780"/>
      <c r="AW94" s="780" t="str">
        <f>IF($B94&lt;=Factores!$D$3,"",AW17)</f>
        <v/>
      </c>
      <c r="AX94" s="780" t="str">
        <f>IF($B94&lt;=Factores!$D$3,"",AX17)</f>
        <v/>
      </c>
      <c r="AY94" s="780" t="str">
        <f>IF($B94&lt;=Factores!$D$3,"",AY17)</f>
        <v/>
      </c>
      <c r="AZ94" s="780" t="str">
        <f>IF($B94&lt;=Factores!$D$3,"",AZ17)</f>
        <v/>
      </c>
      <c r="BA94" s="780" t="str">
        <f>IF($B94&lt;=Factores!$D$3,"",BA17)</f>
        <v/>
      </c>
      <c r="BB94" s="780" t="str">
        <f>IF($B94&lt;=Factores!$D$3,"",BB17)</f>
        <v/>
      </c>
      <c r="BC94" s="780"/>
      <c r="BD94" s="794" t="str">
        <f>IF($B94&lt;=Factores!$D$3,"",BD17)</f>
        <v/>
      </c>
      <c r="BE94" s="780" t="str">
        <f>IF($B94&lt;=Factores!$D$3,"",BE17)</f>
        <v/>
      </c>
      <c r="BF94" s="780" t="str">
        <f>IF($B94&lt;=Factores!$D$3,"",BF17)</f>
        <v/>
      </c>
      <c r="BG94" s="780" t="str">
        <f>IF($B94&lt;=Factores!$D$3,"",BG17)</f>
        <v/>
      </c>
      <c r="BH94" s="780" t="str">
        <f>IF($B94&lt;=Factores!$D$3,"",BH17)</f>
        <v/>
      </c>
      <c r="BI94" s="780" t="str">
        <f>IF($B94&lt;=Factores!$D$3,"",BI17)</f>
        <v/>
      </c>
      <c r="BJ94" s="780" t="str">
        <f>IF($B94&lt;=Factores!$D$3,"",BJ17)</f>
        <v/>
      </c>
      <c r="BK94" s="780" t="str">
        <f>IF($B94&lt;=Factores!$D$3,"",BK17)</f>
        <v/>
      </c>
      <c r="BL94" s="780" t="str">
        <f>IF($B94&lt;=Factores!$D$3,"",BL17)</f>
        <v/>
      </c>
      <c r="BM94" s="780"/>
      <c r="BN94" s="780"/>
      <c r="BO94" s="780"/>
      <c r="BP94" s="780"/>
      <c r="BQ94" s="780"/>
      <c r="BR94" s="780" t="str">
        <f>IF($B94&lt;=Factores!$D$3,"",BR17)</f>
        <v/>
      </c>
      <c r="BS94" s="780" t="str">
        <f>IF($B94&lt;=Factores!$D$3,"",BS17)</f>
        <v/>
      </c>
      <c r="BT94" s="780" t="str">
        <f>IF($B94&lt;=Factores!$D$3,"",BT17)</f>
        <v/>
      </c>
      <c r="BU94" s="780" t="str">
        <f>IF($B94&lt;=Factores!$D$3,"",BU17)</f>
        <v/>
      </c>
      <c r="BV94" s="780" t="str">
        <f>IF($B94&lt;=Factores!$D$3,"",BV17)</f>
        <v/>
      </c>
      <c r="BW94" s="780" t="str">
        <f>IF($B94&lt;=Factores!$D$3,"",BW17)</f>
        <v/>
      </c>
      <c r="BX94" s="780" t="str">
        <f>IF($B94&lt;=Factores!$D$3,"",BX17)</f>
        <v/>
      </c>
      <c r="BY94" s="780" t="str">
        <f>IF($B94&lt;=Factores!$D$3,"",BY17)</f>
        <v/>
      </c>
      <c r="BZ94" s="780" t="str">
        <f>IF($B94&lt;=Factores!$D$3,"",BZ17)</f>
        <v/>
      </c>
      <c r="CA94" s="780" t="str">
        <f>IF($B94&lt;=Factores!$D$3,"",CA17)</f>
        <v/>
      </c>
      <c r="CB94" s="780" t="str">
        <f>IF($B94&lt;=Factores!$D$3,"",CB17)</f>
        <v/>
      </c>
      <c r="CC94" s="780" t="str">
        <f>IF($B94&lt;=Factores!$D$3,"",CC17)</f>
        <v/>
      </c>
      <c r="CD94" s="780"/>
      <c r="CE94" s="780"/>
      <c r="CF94" s="780"/>
      <c r="CG94" s="780"/>
      <c r="CH94" s="780"/>
      <c r="CI94" s="780"/>
      <c r="CJ94" s="780"/>
      <c r="CK94" s="780"/>
      <c r="CL94" s="780"/>
      <c r="CM94" s="780"/>
      <c r="CN94" s="780"/>
      <c r="CO94" s="780"/>
      <c r="CP94" s="780"/>
      <c r="CQ94" s="780"/>
      <c r="CR94" s="780"/>
      <c r="CS94" s="780"/>
      <c r="CT94" s="780"/>
      <c r="CU94" s="780"/>
      <c r="CV94" s="780"/>
      <c r="CW94" s="780"/>
      <c r="CX94" s="780" t="str">
        <f>IF($B94&lt;=Factores!$D$3,"",CX17)</f>
        <v/>
      </c>
      <c r="CY94" s="780" t="str">
        <f>IF($B94&lt;=Factores!$D$3,"",CY17)</f>
        <v/>
      </c>
      <c r="CZ94" s="780" t="str">
        <f>IF($B94&lt;=Factores!$D$3,"",CZ17)</f>
        <v/>
      </c>
      <c r="DA94" s="780" t="str">
        <f>IF($B94&lt;=Factores!$D$3,"",DA17)</f>
        <v/>
      </c>
      <c r="DB94" s="780"/>
      <c r="DC94" s="780"/>
      <c r="DD94" s="780"/>
      <c r="DE94" s="780"/>
      <c r="DF94" s="780"/>
      <c r="DG94" s="780"/>
      <c r="DH94" s="780"/>
      <c r="DI94" s="780"/>
      <c r="DJ94" s="780"/>
      <c r="DK94" s="780"/>
      <c r="DL94" s="780" t="str">
        <f>IF($B94&lt;=Factores!$D$3,"",DL17)</f>
        <v/>
      </c>
      <c r="DM94" s="780" t="str">
        <f>IF($B94&lt;=Factores!$D$3,"",DM17)</f>
        <v/>
      </c>
      <c r="DN94" s="780" t="str">
        <f>IF($B94&lt;=Factores!$D$3,"",DN17)</f>
        <v/>
      </c>
      <c r="DO94" s="780" t="str">
        <f>IF($B94&lt;=Factores!$D$3,"",DO17)</f>
        <v/>
      </c>
      <c r="DP94" s="780" t="str">
        <f>IF($B94&lt;=Factores!$D$3,"",DP17)</f>
        <v/>
      </c>
      <c r="DQ94" s="780" t="str">
        <f>IF($B94&lt;=Factores!$D$3,"",DQ17)</f>
        <v/>
      </c>
      <c r="DR94" s="780" t="str">
        <f>IF($B94&lt;=Factores!$D$3,"",DR17)</f>
        <v/>
      </c>
      <c r="DS94" s="780" t="str">
        <f>IF($B94&lt;=Factores!$D$3,"",DS17)</f>
        <v/>
      </c>
      <c r="DT94" s="780" t="str">
        <f>IF($B94&lt;=Factores!$D$3,"",DT17)</f>
        <v/>
      </c>
      <c r="DU94" s="780" t="str">
        <f>IF($B94&lt;=Factores!$D$3,"",DU17)</f>
        <v/>
      </c>
      <c r="DV94" s="780" t="str">
        <f>IF($B94&lt;=Factores!$D$3,"",DV17)</f>
        <v/>
      </c>
      <c r="DW94" s="780" t="str">
        <f>IF($B94&lt;=Factores!$D$3,"",DW17)</f>
        <v/>
      </c>
      <c r="DX94" s="780" t="str">
        <f>IF($B94&lt;=Factores!$D$3,"",DX17)</f>
        <v/>
      </c>
      <c r="DY94" s="780" t="str">
        <f>IF($B94&lt;=Factores!$D$3,"",DY17)</f>
        <v/>
      </c>
      <c r="DZ94" s="780" t="str">
        <f>IF($B94&lt;=Factores!$D$3,"",DZ17)</f>
        <v/>
      </c>
      <c r="EA94" s="780" t="str">
        <f>IF($B94&lt;=Factores!$D$3,"",EA17)</f>
        <v/>
      </c>
      <c r="EB94" s="780" t="str">
        <f>IF($B94&lt;=Factores!$D$3,"",EB17)</f>
        <v/>
      </c>
      <c r="EC94" s="780" t="str">
        <f>IF($B94&lt;=Factores!$D$3,"",EC17)</f>
        <v/>
      </c>
      <c r="ED94" s="780" t="str">
        <f>IF($B94&lt;=Factores!$D$3,"",ED17)</f>
        <v/>
      </c>
      <c r="EE94" s="780" t="str">
        <f>IF($B94&lt;=Factores!$D$3,"",EE17)</f>
        <v/>
      </c>
      <c r="EF94" s="780" t="str">
        <f>IF($B94&lt;=Factores!$D$3,"",EF17)</f>
        <v/>
      </c>
      <c r="EG94" s="780" t="str">
        <f>IF($B94&lt;=Factores!$D$3,"",EG17)</f>
        <v/>
      </c>
      <c r="EH94" s="780" t="str">
        <f>IF($B94&lt;=Factores!$D$3,"",EH17)</f>
        <v/>
      </c>
      <c r="EI94" s="780" t="str">
        <f>IF($B94&lt;=Factores!$D$3,"",EI17)</f>
        <v/>
      </c>
      <c r="EJ94" s="780" t="str">
        <f>IF($B94&lt;=Factores!$D$3,"",EJ17)</f>
        <v/>
      </c>
      <c r="EK94" s="780" t="str">
        <f>IF($B94&lt;=Factores!$D$3,"",EK17)</f>
        <v/>
      </c>
      <c r="EL94" s="780" t="str">
        <f>IF($B94&lt;=Factores!$D$3,"",EL17)</f>
        <v/>
      </c>
    </row>
    <row r="95" spans="1:151" ht="14.25" customHeight="1">
      <c r="B95" s="794">
        <f t="shared" si="239"/>
        <v>46092.791666666664</v>
      </c>
      <c r="C95" s="780" t="str">
        <f>IF($B95&lt;=Factores!$D$3,"",C18)</f>
        <v/>
      </c>
      <c r="D95" s="780" t="str">
        <f>IF($B95&lt;=Factores!$D$3,"",D18)</f>
        <v/>
      </c>
      <c r="E95" s="780" t="str">
        <f>IF($B95&lt;=Factores!$D$3,"",E18)</f>
        <v/>
      </c>
      <c r="F95" s="780" t="str">
        <f>IF($B95&lt;=Factores!$D$3,"",F18)</f>
        <v/>
      </c>
      <c r="G95" s="780" t="str">
        <f>IF($B95&lt;=Factores!$D$3,"",G18)</f>
        <v/>
      </c>
      <c r="H95" s="780" t="str">
        <f>IF($B95&lt;=Factores!$D$3,"",H18)</f>
        <v/>
      </c>
      <c r="I95" s="780" t="str">
        <f>IF($B95&lt;=Factores!$D$3,"",I18)</f>
        <v/>
      </c>
      <c r="J95" s="780" t="str">
        <f>IF($B95&lt;=Factores!$D$3,"",J18)</f>
        <v/>
      </c>
      <c r="K95" s="780" t="str">
        <f>IF($B95&lt;=Factores!$D$3,"",K18)</f>
        <v/>
      </c>
      <c r="L95" s="3107" t="str">
        <f>IF($B95&lt;=Factores!$D$3,"",L18)</f>
        <v/>
      </c>
      <c r="M95" s="780" t="str">
        <f>IF($B95&lt;=Factores!$D$3,"",M18)</f>
        <v/>
      </c>
      <c r="N95" s="780" t="str">
        <f>IF($B95&lt;=Factores!$D$3,"",N18)</f>
        <v/>
      </c>
      <c r="O95" s="780" t="str">
        <f>IF($B95&lt;=Factores!$D$3,"",O18)</f>
        <v/>
      </c>
      <c r="P95" s="780" t="str">
        <f>IF($B95&lt;=Factores!$D$3,"",P18)</f>
        <v/>
      </c>
      <c r="Q95" s="780" t="str">
        <f>IF($B95&lt;=Factores!$D$3,"",Q18)</f>
        <v/>
      </c>
      <c r="R95" s="780" t="str">
        <f>IF($B95&lt;=Factores!$D$3,"",R18)</f>
        <v/>
      </c>
      <c r="S95" s="780" t="str">
        <f>IF($B95&lt;=Factores!$D$3,"",S18)</f>
        <v/>
      </c>
      <c r="T95" s="780" t="str">
        <f>IF($B95&lt;=Factores!$D$3,"",T18)</f>
        <v/>
      </c>
      <c r="U95" s="780" t="str">
        <f>IF($B95&lt;=Factores!$D$3,"",U18)</f>
        <v/>
      </c>
      <c r="V95" s="780" t="str">
        <f>IF($B95&lt;=Factores!$D$3,"",V18)</f>
        <v/>
      </c>
      <c r="W95" s="780" t="str">
        <f>IF($B95&lt;=Factores!$D$3,"",W18)</f>
        <v/>
      </c>
      <c r="X95" s="780" t="str">
        <f>IF($B95&lt;=Factores!$D$3,"",X18)</f>
        <v/>
      </c>
      <c r="Y95" s="780" t="str">
        <f>IF($B95&lt;=Factores!$D$3,"",Y18)</f>
        <v/>
      </c>
      <c r="Z95" s="780" t="str">
        <f>IF($B95&lt;=Factores!$D$3,"",Z18)</f>
        <v/>
      </c>
      <c r="AA95" s="780" t="str">
        <f>IF($B95&lt;=Factores!$D$3,"",AA18)</f>
        <v/>
      </c>
      <c r="AB95" s="780" t="str">
        <f>IF($B95&lt;=Factores!$D$3,"",AB18)</f>
        <v/>
      </c>
      <c r="AC95" s="780" t="str">
        <f>IF($B95&lt;=Factores!$D$3,"",AC18)</f>
        <v/>
      </c>
      <c r="AD95" s="780" t="str">
        <f>IF($B95&lt;=Factores!$D$3,"",AD18)</f>
        <v/>
      </c>
      <c r="AE95" s="780" t="str">
        <f>IF($B95&lt;=Factores!$D$3,"",AE18)</f>
        <v/>
      </c>
      <c r="AF95" s="780" t="str">
        <f>IF($B95&lt;=Factores!$D$3,"",AF18)</f>
        <v/>
      </c>
      <c r="AG95" s="780" t="str">
        <f>IF($B95&lt;=Factores!$D$3,"",AG18)</f>
        <v/>
      </c>
      <c r="AH95" s="780" t="str">
        <f>IF($B95&lt;=Factores!$D$3,"",AH18)</f>
        <v/>
      </c>
      <c r="AI95" s="780" t="str">
        <f>IF($B95&lt;=Factores!$D$3,"",AI18)</f>
        <v/>
      </c>
      <c r="AJ95" s="780" t="str">
        <f>IF($B95&lt;=Factores!$D$3,"",AJ18)</f>
        <v/>
      </c>
      <c r="AK95" s="780" t="str">
        <f>IF($B95&lt;=Factores!$D$3,"",AK18)</f>
        <v/>
      </c>
      <c r="AL95" s="780" t="str">
        <f>IF($B95&lt;=Factores!$D$3,"",AL18)</f>
        <v/>
      </c>
      <c r="AM95" s="780" t="str">
        <f>IF($B95&lt;=Factores!$D$3,"",AM18)</f>
        <v/>
      </c>
      <c r="AN95" s="780" t="str">
        <f>IF($B95&lt;=Factores!$D$3,"",AN18)</f>
        <v/>
      </c>
      <c r="AO95" s="780" t="str">
        <f>IF($B95&lt;=Factores!$D$3,"",AO18)</f>
        <v/>
      </c>
      <c r="AP95" s="780" t="str">
        <f>IF($B95&lt;=Factores!$D$3,"",AP18)</f>
        <v/>
      </c>
      <c r="AQ95" s="780" t="str">
        <f>IF($B95&lt;=Factores!$D$3,"",AQ18)</f>
        <v/>
      </c>
      <c r="AR95" s="780" t="str">
        <f>IF($B95&lt;=Factores!$D$3,"",AR18)</f>
        <v/>
      </c>
      <c r="AS95" s="780" t="str">
        <f>IF($B95&lt;=Factores!$D$3,"",AS18)</f>
        <v/>
      </c>
      <c r="AT95" s="780" t="str">
        <f>IF($B95&lt;=Factores!$D$3,"",AT18)</f>
        <v/>
      </c>
      <c r="AU95" s="780" t="str">
        <f>IF($B95&lt;=Factores!$D$3,"",AU18)</f>
        <v/>
      </c>
      <c r="AV95" s="780"/>
      <c r="AW95" s="780" t="str">
        <f>IF($B95&lt;=Factores!$D$3,"",AW18)</f>
        <v/>
      </c>
      <c r="AX95" s="780" t="str">
        <f>IF($B95&lt;=Factores!$D$3,"",AX18)</f>
        <v/>
      </c>
      <c r="AY95" s="780" t="str">
        <f>IF($B95&lt;=Factores!$D$3,"",AY18)</f>
        <v/>
      </c>
      <c r="AZ95" s="780" t="str">
        <f>IF($B95&lt;=Factores!$D$3,"",AZ18)</f>
        <v/>
      </c>
      <c r="BA95" s="780" t="str">
        <f>IF($B95&lt;=Factores!$D$3,"",BA18)</f>
        <v/>
      </c>
      <c r="BB95" s="780" t="str">
        <f>IF($B95&lt;=Factores!$D$3,"",BB18)</f>
        <v/>
      </c>
      <c r="BC95" s="780"/>
      <c r="BD95" s="794" t="str">
        <f>IF($B95&lt;=Factores!$D$3,"",BD18)</f>
        <v/>
      </c>
      <c r="BE95" s="780" t="str">
        <f>IF($B95&lt;=Factores!$D$3,"",BE18)</f>
        <v/>
      </c>
      <c r="BF95" s="780" t="str">
        <f>IF($B95&lt;=Factores!$D$3,"",BF18)</f>
        <v/>
      </c>
      <c r="BG95" s="780" t="str">
        <f>IF($B95&lt;=Factores!$D$3,"",BG18)</f>
        <v/>
      </c>
      <c r="BH95" s="780" t="str">
        <f>IF($B95&lt;=Factores!$D$3,"",BH18)</f>
        <v/>
      </c>
      <c r="BI95" s="780" t="str">
        <f>IF($B95&lt;=Factores!$D$3,"",BI18)</f>
        <v/>
      </c>
      <c r="BJ95" s="780" t="str">
        <f>IF($B95&lt;=Factores!$D$3,"",BJ18)</f>
        <v/>
      </c>
      <c r="BK95" s="780" t="str">
        <f>IF($B95&lt;=Factores!$D$3,"",BK18)</f>
        <v/>
      </c>
      <c r="BL95" s="780" t="str">
        <f>IF($B95&lt;=Factores!$D$3,"",BL18)</f>
        <v/>
      </c>
      <c r="BM95" s="780"/>
      <c r="BN95" s="780"/>
      <c r="BO95" s="780"/>
      <c r="BP95" s="780"/>
      <c r="BQ95" s="780"/>
      <c r="BR95" s="780" t="str">
        <f>IF($B95&lt;=Factores!$D$3,"",BR18)</f>
        <v/>
      </c>
      <c r="BS95" s="780" t="str">
        <f>IF($B95&lt;=Factores!$D$3,"",BS18)</f>
        <v/>
      </c>
      <c r="BT95" s="780" t="str">
        <f>IF($B95&lt;=Factores!$D$3,"",BT18)</f>
        <v/>
      </c>
      <c r="BU95" s="780" t="str">
        <f>IF($B95&lt;=Factores!$D$3,"",BU18)</f>
        <v/>
      </c>
      <c r="BV95" s="780" t="str">
        <f>IF($B95&lt;=Factores!$D$3,"",BV18)</f>
        <v/>
      </c>
      <c r="BW95" s="780" t="str">
        <f>IF($B95&lt;=Factores!$D$3,"",BW18)</f>
        <v/>
      </c>
      <c r="BX95" s="780" t="str">
        <f>IF($B95&lt;=Factores!$D$3,"",BX18)</f>
        <v/>
      </c>
      <c r="BY95" s="780" t="str">
        <f>IF($B95&lt;=Factores!$D$3,"",BY18)</f>
        <v/>
      </c>
      <c r="BZ95" s="780" t="str">
        <f>IF($B95&lt;=Factores!$D$3,"",BZ18)</f>
        <v/>
      </c>
      <c r="CA95" s="780" t="str">
        <f>IF($B95&lt;=Factores!$D$3,"",CA18)</f>
        <v/>
      </c>
      <c r="CB95" s="780" t="str">
        <f>IF($B95&lt;=Factores!$D$3,"",CB18)</f>
        <v/>
      </c>
      <c r="CC95" s="780" t="str">
        <f>IF($B95&lt;=Factores!$D$3,"",CC18)</f>
        <v/>
      </c>
      <c r="CD95" s="780"/>
      <c r="CE95" s="780"/>
      <c r="CF95" s="780"/>
      <c r="CG95" s="780"/>
      <c r="CH95" s="780"/>
      <c r="CI95" s="780"/>
      <c r="CJ95" s="780"/>
      <c r="CK95" s="780"/>
      <c r="CL95" s="780"/>
      <c r="CM95" s="780"/>
      <c r="CN95" s="780"/>
      <c r="CO95" s="780"/>
      <c r="CP95" s="780"/>
      <c r="CQ95" s="780"/>
      <c r="CR95" s="780"/>
      <c r="CS95" s="780"/>
      <c r="CT95" s="780"/>
      <c r="CU95" s="780"/>
      <c r="CV95" s="780"/>
      <c r="CW95" s="780"/>
      <c r="CX95" s="780" t="str">
        <f>IF($B95&lt;=Factores!$D$3,"",CX18)</f>
        <v/>
      </c>
      <c r="CY95" s="780" t="str">
        <f>IF($B95&lt;=Factores!$D$3,"",CY18)</f>
        <v/>
      </c>
      <c r="CZ95" s="780" t="str">
        <f>IF($B95&lt;=Factores!$D$3,"",CZ18)</f>
        <v/>
      </c>
      <c r="DA95" s="780" t="str">
        <f>IF($B95&lt;=Factores!$D$3,"",DA18)</f>
        <v/>
      </c>
      <c r="DB95" s="780"/>
      <c r="DC95" s="780"/>
      <c r="DD95" s="780"/>
      <c r="DE95" s="780"/>
      <c r="DF95" s="780"/>
      <c r="DG95" s="780"/>
      <c r="DH95" s="780"/>
      <c r="DI95" s="780"/>
      <c r="DJ95" s="780"/>
      <c r="DK95" s="780"/>
      <c r="DL95" s="780" t="str">
        <f>IF($B95&lt;=Factores!$D$3,"",DL18)</f>
        <v/>
      </c>
      <c r="DM95" s="780" t="str">
        <f>IF($B95&lt;=Factores!$D$3,"",DM18)</f>
        <v/>
      </c>
      <c r="DN95" s="780" t="str">
        <f>IF($B95&lt;=Factores!$D$3,"",DN18)</f>
        <v/>
      </c>
      <c r="DO95" s="780" t="str">
        <f>IF($B95&lt;=Factores!$D$3,"",DO18)</f>
        <v/>
      </c>
      <c r="DP95" s="780" t="str">
        <f>IF($B95&lt;=Factores!$D$3,"",DP18)</f>
        <v/>
      </c>
      <c r="DQ95" s="780" t="str">
        <f>IF($B95&lt;=Factores!$D$3,"",DQ18)</f>
        <v/>
      </c>
      <c r="DR95" s="780" t="str">
        <f>IF($B95&lt;=Factores!$D$3,"",DR18)</f>
        <v/>
      </c>
      <c r="DS95" s="780" t="str">
        <f>IF($B95&lt;=Factores!$D$3,"",DS18)</f>
        <v/>
      </c>
      <c r="DT95" s="780" t="str">
        <f>IF($B95&lt;=Factores!$D$3,"",DT18)</f>
        <v/>
      </c>
      <c r="DU95" s="780" t="str">
        <f>IF($B95&lt;=Factores!$D$3,"",DU18)</f>
        <v/>
      </c>
      <c r="DV95" s="780" t="str">
        <f>IF($B95&lt;=Factores!$D$3,"",DV18)</f>
        <v/>
      </c>
      <c r="DW95" s="780" t="str">
        <f>IF($B95&lt;=Factores!$D$3,"",DW18)</f>
        <v/>
      </c>
      <c r="DX95" s="780" t="str">
        <f>IF($B95&lt;=Factores!$D$3,"",DX18)</f>
        <v/>
      </c>
      <c r="DY95" s="780" t="str">
        <f>IF($B95&lt;=Factores!$D$3,"",DY18)</f>
        <v/>
      </c>
      <c r="DZ95" s="780" t="str">
        <f>IF($B95&lt;=Factores!$D$3,"",DZ18)</f>
        <v/>
      </c>
      <c r="EA95" s="780" t="str">
        <f>IF($B95&lt;=Factores!$D$3,"",EA18)</f>
        <v/>
      </c>
      <c r="EB95" s="780" t="str">
        <f>IF($B95&lt;=Factores!$D$3,"",EB18)</f>
        <v/>
      </c>
      <c r="EC95" s="780" t="str">
        <f>IF($B95&lt;=Factores!$D$3,"",EC18)</f>
        <v/>
      </c>
      <c r="ED95" s="780" t="str">
        <f>IF($B95&lt;=Factores!$D$3,"",ED18)</f>
        <v/>
      </c>
      <c r="EE95" s="780" t="str">
        <f>IF($B95&lt;=Factores!$D$3,"",EE18)</f>
        <v/>
      </c>
      <c r="EF95" s="780" t="str">
        <f>IF($B95&lt;=Factores!$D$3,"",EF18)</f>
        <v/>
      </c>
      <c r="EG95" s="780" t="str">
        <f>IF($B95&lt;=Factores!$D$3,"",EG18)</f>
        <v/>
      </c>
      <c r="EH95" s="780" t="str">
        <f>IF($B95&lt;=Factores!$D$3,"",EH18)</f>
        <v/>
      </c>
      <c r="EI95" s="780" t="str">
        <f>IF($B95&lt;=Factores!$D$3,"",EI18)</f>
        <v/>
      </c>
      <c r="EJ95" s="780" t="str">
        <f>IF($B95&lt;=Factores!$D$3,"",EJ18)</f>
        <v/>
      </c>
      <c r="EK95" s="780" t="str">
        <f>IF($B95&lt;=Factores!$D$3,"",EK18)</f>
        <v/>
      </c>
      <c r="EL95" s="780" t="str">
        <f>IF($B95&lt;=Factores!$D$3,"",EL18)</f>
        <v/>
      </c>
    </row>
    <row r="96" spans="1:151" ht="14.25" customHeight="1">
      <c r="B96" s="794">
        <f t="shared" si="239"/>
        <v>46093.791666666664</v>
      </c>
      <c r="C96" s="780" t="str">
        <f>IF($B96&lt;=Factores!$D$3,"",C19)</f>
        <v/>
      </c>
      <c r="D96" s="780" t="str">
        <f>IF($B96&lt;=Factores!$D$3,"",D19)</f>
        <v/>
      </c>
      <c r="E96" s="780" t="str">
        <f>IF($B96&lt;=Factores!$D$3,"",E19)</f>
        <v/>
      </c>
      <c r="F96" s="780" t="str">
        <f>IF($B96&lt;=Factores!$D$3,"",F19)</f>
        <v/>
      </c>
      <c r="G96" s="780" t="str">
        <f>IF($B96&lt;=Factores!$D$3,"",G19)</f>
        <v/>
      </c>
      <c r="H96" s="780" t="str">
        <f>IF($B96&lt;=Factores!$D$3,"",H19)</f>
        <v/>
      </c>
      <c r="I96" s="780" t="str">
        <f>IF($B96&lt;=Factores!$D$3,"",I19)</f>
        <v/>
      </c>
      <c r="J96" s="780" t="str">
        <f>IF($B96&lt;=Factores!$D$3,"",J19)</f>
        <v/>
      </c>
      <c r="K96" s="780" t="str">
        <f>IF($B96&lt;=Factores!$D$3,"",K19)</f>
        <v/>
      </c>
      <c r="L96" s="3107" t="str">
        <f>IF($B96&lt;=Factores!$D$3,"",L19)</f>
        <v/>
      </c>
      <c r="M96" s="780" t="str">
        <f>IF($B96&lt;=Factores!$D$3,"",M19)</f>
        <v/>
      </c>
      <c r="N96" s="780" t="str">
        <f>IF($B96&lt;=Factores!$D$3,"",N19)</f>
        <v/>
      </c>
      <c r="O96" s="780" t="str">
        <f>IF($B96&lt;=Factores!$D$3,"",O19)</f>
        <v/>
      </c>
      <c r="P96" s="780" t="str">
        <f>IF($B96&lt;=Factores!$D$3,"",P19)</f>
        <v/>
      </c>
      <c r="Q96" s="780" t="str">
        <f>IF($B96&lt;=Factores!$D$3,"",Q19)</f>
        <v/>
      </c>
      <c r="R96" s="780" t="str">
        <f>IF($B96&lt;=Factores!$D$3,"",R19)</f>
        <v/>
      </c>
      <c r="S96" s="780" t="str">
        <f>IF($B96&lt;=Factores!$D$3,"",S19)</f>
        <v/>
      </c>
      <c r="T96" s="780" t="str">
        <f>IF($B96&lt;=Factores!$D$3,"",T19)</f>
        <v/>
      </c>
      <c r="U96" s="780" t="str">
        <f>IF($B96&lt;=Factores!$D$3,"",U19)</f>
        <v/>
      </c>
      <c r="V96" s="780" t="str">
        <f>IF($B96&lt;=Factores!$D$3,"",V19)</f>
        <v/>
      </c>
      <c r="W96" s="780" t="str">
        <f>IF($B96&lt;=Factores!$D$3,"",W19)</f>
        <v/>
      </c>
      <c r="X96" s="780" t="str">
        <f>IF($B96&lt;=Factores!$D$3,"",X19)</f>
        <v/>
      </c>
      <c r="Y96" s="780" t="str">
        <f>IF($B96&lt;=Factores!$D$3,"",Y19)</f>
        <v/>
      </c>
      <c r="Z96" s="780" t="str">
        <f>IF($B96&lt;=Factores!$D$3,"",Z19)</f>
        <v/>
      </c>
      <c r="AA96" s="780" t="str">
        <f>IF($B96&lt;=Factores!$D$3,"",AA19)</f>
        <v/>
      </c>
      <c r="AB96" s="780" t="str">
        <f>IF($B96&lt;=Factores!$D$3,"",AB19)</f>
        <v/>
      </c>
      <c r="AC96" s="780" t="str">
        <f>IF($B96&lt;=Factores!$D$3,"",AC19)</f>
        <v/>
      </c>
      <c r="AD96" s="780" t="str">
        <f>IF($B96&lt;=Factores!$D$3,"",AD19)</f>
        <v/>
      </c>
      <c r="AE96" s="780" t="str">
        <f>IF($B96&lt;=Factores!$D$3,"",AE19)</f>
        <v/>
      </c>
      <c r="AF96" s="780" t="str">
        <f>IF($B96&lt;=Factores!$D$3,"",AF19)</f>
        <v/>
      </c>
      <c r="AG96" s="780" t="str">
        <f>IF($B96&lt;=Factores!$D$3,"",AG19)</f>
        <v/>
      </c>
      <c r="AH96" s="780" t="str">
        <f>IF($B96&lt;=Factores!$D$3,"",AH19)</f>
        <v/>
      </c>
      <c r="AI96" s="780" t="str">
        <f>IF($B96&lt;=Factores!$D$3,"",AI19)</f>
        <v/>
      </c>
      <c r="AJ96" s="780" t="str">
        <f>IF($B96&lt;=Factores!$D$3,"",AJ19)</f>
        <v/>
      </c>
      <c r="AK96" s="780" t="str">
        <f>IF($B96&lt;=Factores!$D$3,"",AK19)</f>
        <v/>
      </c>
      <c r="AL96" s="780" t="str">
        <f>IF($B96&lt;=Factores!$D$3,"",AL19)</f>
        <v/>
      </c>
      <c r="AM96" s="780" t="str">
        <f>IF($B96&lt;=Factores!$D$3,"",AM19)</f>
        <v/>
      </c>
      <c r="AN96" s="780" t="str">
        <f>IF($B96&lt;=Factores!$D$3,"",AN19)</f>
        <v/>
      </c>
      <c r="AO96" s="780" t="str">
        <f>IF($B96&lt;=Factores!$D$3,"",AO19)</f>
        <v/>
      </c>
      <c r="AP96" s="780" t="str">
        <f>IF($B96&lt;=Factores!$D$3,"",AP19)</f>
        <v/>
      </c>
      <c r="AQ96" s="780" t="str">
        <f>IF($B96&lt;=Factores!$D$3,"",AQ19)</f>
        <v/>
      </c>
      <c r="AR96" s="780" t="str">
        <f>IF($B96&lt;=Factores!$D$3,"",AR19)</f>
        <v/>
      </c>
      <c r="AS96" s="780" t="str">
        <f>IF($B96&lt;=Factores!$D$3,"",AS19)</f>
        <v/>
      </c>
      <c r="AT96" s="780" t="str">
        <f>IF($B96&lt;=Factores!$D$3,"",AT19)</f>
        <v/>
      </c>
      <c r="AU96" s="780" t="str">
        <f>IF($B96&lt;=Factores!$D$3,"",AU19)</f>
        <v/>
      </c>
      <c r="AV96" s="780"/>
      <c r="AW96" s="780" t="str">
        <f>IF($B96&lt;=Factores!$D$3,"",AW19)</f>
        <v/>
      </c>
      <c r="AX96" s="780" t="str">
        <f>IF($B96&lt;=Factores!$D$3,"",AX19)</f>
        <v/>
      </c>
      <c r="AY96" s="780" t="str">
        <f>IF($B96&lt;=Factores!$D$3,"",AY19)</f>
        <v/>
      </c>
      <c r="AZ96" s="780" t="str">
        <f>IF($B96&lt;=Factores!$D$3,"",AZ19)</f>
        <v/>
      </c>
      <c r="BA96" s="780" t="str">
        <f>IF($B96&lt;=Factores!$D$3,"",BA19)</f>
        <v/>
      </c>
      <c r="BB96" s="780" t="str">
        <f>IF($B96&lt;=Factores!$D$3,"",BB19)</f>
        <v/>
      </c>
      <c r="BC96" s="780"/>
      <c r="BD96" s="794" t="str">
        <f>IF($B96&lt;=Factores!$D$3,"",BD19)</f>
        <v/>
      </c>
      <c r="BE96" s="780" t="str">
        <f>IF($B96&lt;=Factores!$D$3,"",BE19)</f>
        <v/>
      </c>
      <c r="BF96" s="780" t="str">
        <f>IF($B96&lt;=Factores!$D$3,"",BF19)</f>
        <v/>
      </c>
      <c r="BG96" s="780" t="str">
        <f>IF($B96&lt;=Factores!$D$3,"",BG19)</f>
        <v/>
      </c>
      <c r="BH96" s="780" t="str">
        <f>IF($B96&lt;=Factores!$D$3,"",BH19)</f>
        <v/>
      </c>
      <c r="BI96" s="780" t="str">
        <f>IF($B96&lt;=Factores!$D$3,"",BI19)</f>
        <v/>
      </c>
      <c r="BJ96" s="780" t="str">
        <f>IF($B96&lt;=Factores!$D$3,"",BJ19)</f>
        <v/>
      </c>
      <c r="BK96" s="780" t="str">
        <f>IF($B96&lt;=Factores!$D$3,"",BK19)</f>
        <v/>
      </c>
      <c r="BL96" s="780" t="str">
        <f>IF($B96&lt;=Factores!$D$3,"",BL19)</f>
        <v/>
      </c>
      <c r="BM96" s="780"/>
      <c r="BN96" s="780"/>
      <c r="BO96" s="780"/>
      <c r="BP96" s="780"/>
      <c r="BQ96" s="780"/>
      <c r="BR96" s="780" t="str">
        <f>IF($B96&lt;=Factores!$D$3,"",BR19)</f>
        <v/>
      </c>
      <c r="BS96" s="780" t="str">
        <f>IF($B96&lt;=Factores!$D$3,"",BS19)</f>
        <v/>
      </c>
      <c r="BT96" s="780" t="str">
        <f>IF($B96&lt;=Factores!$D$3,"",BT19)</f>
        <v/>
      </c>
      <c r="BU96" s="780" t="str">
        <f>IF($B96&lt;=Factores!$D$3,"",BU19)</f>
        <v/>
      </c>
      <c r="BV96" s="780" t="str">
        <f>IF($B96&lt;=Factores!$D$3,"",BV19)</f>
        <v/>
      </c>
      <c r="BW96" s="780" t="str">
        <f>IF($B96&lt;=Factores!$D$3,"",BW19)</f>
        <v/>
      </c>
      <c r="BX96" s="780" t="str">
        <f>IF($B96&lt;=Factores!$D$3,"",BX19)</f>
        <v/>
      </c>
      <c r="BY96" s="780" t="str">
        <f>IF($B96&lt;=Factores!$D$3,"",BY19)</f>
        <v/>
      </c>
      <c r="BZ96" s="780" t="str">
        <f>IF($B96&lt;=Factores!$D$3,"",BZ19)</f>
        <v/>
      </c>
      <c r="CA96" s="780" t="str">
        <f>IF($B96&lt;=Factores!$D$3,"",CA19)</f>
        <v/>
      </c>
      <c r="CB96" s="780" t="str">
        <f>IF($B96&lt;=Factores!$D$3,"",CB19)</f>
        <v/>
      </c>
      <c r="CC96" s="780" t="str">
        <f>IF($B96&lt;=Factores!$D$3,"",CC19)</f>
        <v/>
      </c>
      <c r="CD96" s="780"/>
      <c r="CE96" s="780"/>
      <c r="CF96" s="780"/>
      <c r="CG96" s="780"/>
      <c r="CH96" s="780"/>
      <c r="CI96" s="780"/>
      <c r="CJ96" s="780"/>
      <c r="CK96" s="780"/>
      <c r="CL96" s="780"/>
      <c r="CM96" s="780"/>
      <c r="CN96" s="780"/>
      <c r="CO96" s="780"/>
      <c r="CP96" s="780"/>
      <c r="CQ96" s="780"/>
      <c r="CR96" s="780"/>
      <c r="CS96" s="780"/>
      <c r="CT96" s="780"/>
      <c r="CU96" s="780"/>
      <c r="CV96" s="780"/>
      <c r="CW96" s="780"/>
      <c r="CX96" s="780" t="str">
        <f>IF($B96&lt;=Factores!$D$3,"",CX19)</f>
        <v/>
      </c>
      <c r="CY96" s="780" t="str">
        <f>IF($B96&lt;=Factores!$D$3,"",CY19)</f>
        <v/>
      </c>
      <c r="CZ96" s="780" t="str">
        <f>IF($B96&lt;=Factores!$D$3,"",CZ19)</f>
        <v/>
      </c>
      <c r="DA96" s="780" t="str">
        <f>IF($B96&lt;=Factores!$D$3,"",DA19)</f>
        <v/>
      </c>
      <c r="DB96" s="780"/>
      <c r="DC96" s="780"/>
      <c r="DD96" s="780"/>
      <c r="DE96" s="780"/>
      <c r="DF96" s="780"/>
      <c r="DG96" s="780"/>
      <c r="DH96" s="780"/>
      <c r="DI96" s="780"/>
      <c r="DJ96" s="780"/>
      <c r="DK96" s="780"/>
      <c r="DL96" s="780" t="str">
        <f>IF($B96&lt;=Factores!$D$3,"",DL19)</f>
        <v/>
      </c>
      <c r="DM96" s="780" t="str">
        <f>IF($B96&lt;=Factores!$D$3,"",DM19)</f>
        <v/>
      </c>
      <c r="DN96" s="780" t="str">
        <f>IF($B96&lt;=Factores!$D$3,"",DN19)</f>
        <v/>
      </c>
      <c r="DO96" s="780" t="str">
        <f>IF($B96&lt;=Factores!$D$3,"",DO19)</f>
        <v/>
      </c>
      <c r="DP96" s="780" t="str">
        <f>IF($B96&lt;=Factores!$D$3,"",DP19)</f>
        <v/>
      </c>
      <c r="DQ96" s="780" t="str">
        <f>IF($B96&lt;=Factores!$D$3,"",DQ19)</f>
        <v/>
      </c>
      <c r="DR96" s="780" t="str">
        <f>IF($B96&lt;=Factores!$D$3,"",DR19)</f>
        <v/>
      </c>
      <c r="DS96" s="780" t="str">
        <f>IF($B96&lt;=Factores!$D$3,"",DS19)</f>
        <v/>
      </c>
      <c r="DT96" s="780" t="str">
        <f>IF($B96&lt;=Factores!$D$3,"",DT19)</f>
        <v/>
      </c>
      <c r="DU96" s="780" t="str">
        <f>IF($B96&lt;=Factores!$D$3,"",DU19)</f>
        <v/>
      </c>
      <c r="DV96" s="780" t="str">
        <f>IF($B96&lt;=Factores!$D$3,"",DV19)</f>
        <v/>
      </c>
      <c r="DW96" s="780" t="str">
        <f>IF($B96&lt;=Factores!$D$3,"",DW19)</f>
        <v/>
      </c>
      <c r="DX96" s="780" t="str">
        <f>IF($B96&lt;=Factores!$D$3,"",DX19)</f>
        <v/>
      </c>
      <c r="DY96" s="780" t="str">
        <f>IF($B96&lt;=Factores!$D$3,"",DY19)</f>
        <v/>
      </c>
      <c r="DZ96" s="780" t="str">
        <f>IF($B96&lt;=Factores!$D$3,"",DZ19)</f>
        <v/>
      </c>
      <c r="EA96" s="780" t="str">
        <f>IF($B96&lt;=Factores!$D$3,"",EA19)</f>
        <v/>
      </c>
      <c r="EB96" s="780" t="str">
        <f>IF($B96&lt;=Factores!$D$3,"",EB19)</f>
        <v/>
      </c>
      <c r="EC96" s="780" t="str">
        <f>IF($B96&lt;=Factores!$D$3,"",EC19)</f>
        <v/>
      </c>
      <c r="ED96" s="780" t="str">
        <f>IF($B96&lt;=Factores!$D$3,"",ED19)</f>
        <v/>
      </c>
      <c r="EE96" s="780" t="str">
        <f>IF($B96&lt;=Factores!$D$3,"",EE19)</f>
        <v/>
      </c>
      <c r="EF96" s="780" t="str">
        <f>IF($B96&lt;=Factores!$D$3,"",EF19)</f>
        <v/>
      </c>
      <c r="EG96" s="780" t="str">
        <f>IF($B96&lt;=Factores!$D$3,"",EG19)</f>
        <v/>
      </c>
      <c r="EH96" s="780" t="str">
        <f>IF($B96&lt;=Factores!$D$3,"",EH19)</f>
        <v/>
      </c>
      <c r="EI96" s="780" t="str">
        <f>IF($B96&lt;=Factores!$D$3,"",EI19)</f>
        <v/>
      </c>
      <c r="EJ96" s="780" t="str">
        <f>IF($B96&lt;=Factores!$D$3,"",EJ19)</f>
        <v/>
      </c>
      <c r="EK96" s="780" t="str">
        <f>IF($B96&lt;=Factores!$D$3,"",EK19)</f>
        <v/>
      </c>
      <c r="EL96" s="780" t="str">
        <f>IF($B96&lt;=Factores!$D$3,"",EL19)</f>
        <v/>
      </c>
    </row>
    <row r="97" spans="2:142" ht="14.25" customHeight="1">
      <c r="B97" s="794">
        <f t="shared" si="239"/>
        <v>46094.791666666664</v>
      </c>
      <c r="C97" s="780" t="str">
        <f>IF($B97&lt;=Factores!$D$3,"",C20)</f>
        <v/>
      </c>
      <c r="D97" s="780" t="str">
        <f>IF($B97&lt;=Factores!$D$3,"",D20)</f>
        <v/>
      </c>
      <c r="E97" s="780" t="str">
        <f>IF($B97&lt;=Factores!$D$3,"",E20)</f>
        <v/>
      </c>
      <c r="F97" s="780" t="str">
        <f>IF($B97&lt;=Factores!$D$3,"",F20)</f>
        <v/>
      </c>
      <c r="G97" s="780" t="str">
        <f>IF($B97&lt;=Factores!$D$3,"",G20)</f>
        <v/>
      </c>
      <c r="H97" s="780" t="str">
        <f>IF($B97&lt;=Factores!$D$3,"",H20)</f>
        <v/>
      </c>
      <c r="I97" s="780" t="str">
        <f>IF($B97&lt;=Factores!$D$3,"",I20)</f>
        <v/>
      </c>
      <c r="J97" s="780" t="str">
        <f>IF($B97&lt;=Factores!$D$3,"",J20)</f>
        <v/>
      </c>
      <c r="K97" s="780" t="str">
        <f>IF($B97&lt;=Factores!$D$3,"",K20)</f>
        <v/>
      </c>
      <c r="L97" s="3107" t="str">
        <f>IF($B97&lt;=Factores!$D$3,"",L20)</f>
        <v/>
      </c>
      <c r="M97" s="780" t="str">
        <f>IF($B97&lt;=Factores!$D$3,"",M20)</f>
        <v/>
      </c>
      <c r="N97" s="780" t="str">
        <f>IF($B97&lt;=Factores!$D$3,"",N20)</f>
        <v/>
      </c>
      <c r="O97" s="780" t="str">
        <f>IF($B97&lt;=Factores!$D$3,"",O20)</f>
        <v/>
      </c>
      <c r="P97" s="780" t="str">
        <f>IF($B97&lt;=Factores!$D$3,"",P20)</f>
        <v/>
      </c>
      <c r="Q97" s="780" t="str">
        <f>IF($B97&lt;=Factores!$D$3,"",Q20)</f>
        <v/>
      </c>
      <c r="R97" s="780" t="str">
        <f>IF($B97&lt;=Factores!$D$3,"",R20)</f>
        <v/>
      </c>
      <c r="S97" s="780" t="str">
        <f>IF($B97&lt;=Factores!$D$3,"",S20)</f>
        <v/>
      </c>
      <c r="T97" s="780" t="str">
        <f>IF($B97&lt;=Factores!$D$3,"",T20)</f>
        <v/>
      </c>
      <c r="U97" s="780" t="str">
        <f>IF($B97&lt;=Factores!$D$3,"",U20)</f>
        <v/>
      </c>
      <c r="V97" s="780" t="str">
        <f>IF($B97&lt;=Factores!$D$3,"",V20)</f>
        <v/>
      </c>
      <c r="W97" s="780" t="str">
        <f>IF($B97&lt;=Factores!$D$3,"",W20)</f>
        <v/>
      </c>
      <c r="X97" s="780" t="str">
        <f>IF($B97&lt;=Factores!$D$3,"",X20)</f>
        <v/>
      </c>
      <c r="Y97" s="780" t="str">
        <f>IF($B97&lt;=Factores!$D$3,"",Y20)</f>
        <v/>
      </c>
      <c r="Z97" s="780" t="str">
        <f>IF($B97&lt;=Factores!$D$3,"",Z20)</f>
        <v/>
      </c>
      <c r="AA97" s="780" t="str">
        <f>IF($B97&lt;=Factores!$D$3,"",AA20)</f>
        <v/>
      </c>
      <c r="AB97" s="780" t="str">
        <f>IF($B97&lt;=Factores!$D$3,"",AB20)</f>
        <v/>
      </c>
      <c r="AC97" s="780" t="str">
        <f>IF($B97&lt;=Factores!$D$3,"",AC20)</f>
        <v/>
      </c>
      <c r="AD97" s="780" t="str">
        <f>IF($B97&lt;=Factores!$D$3,"",AD20)</f>
        <v/>
      </c>
      <c r="AE97" s="780" t="str">
        <f>IF($B97&lt;=Factores!$D$3,"",AE20)</f>
        <v/>
      </c>
      <c r="AF97" s="780" t="str">
        <f>IF($B97&lt;=Factores!$D$3,"",AF20)</f>
        <v/>
      </c>
      <c r="AG97" s="780" t="str">
        <f>IF($B97&lt;=Factores!$D$3,"",AG20)</f>
        <v/>
      </c>
      <c r="AH97" s="780" t="str">
        <f>IF($B97&lt;=Factores!$D$3,"",AH20)</f>
        <v/>
      </c>
      <c r="AI97" s="780" t="str">
        <f>IF($B97&lt;=Factores!$D$3,"",AI20)</f>
        <v/>
      </c>
      <c r="AJ97" s="780" t="str">
        <f>IF($B97&lt;=Factores!$D$3,"",AJ20)</f>
        <v/>
      </c>
      <c r="AK97" s="780" t="str">
        <f>IF($B97&lt;=Factores!$D$3,"",AK20)</f>
        <v/>
      </c>
      <c r="AL97" s="780" t="str">
        <f>IF($B97&lt;=Factores!$D$3,"",AL20)</f>
        <v/>
      </c>
      <c r="AM97" s="780" t="str">
        <f>IF($B97&lt;=Factores!$D$3,"",AM20)</f>
        <v/>
      </c>
      <c r="AN97" s="780" t="str">
        <f>IF($B97&lt;=Factores!$D$3,"",AN20)</f>
        <v/>
      </c>
      <c r="AO97" s="780" t="str">
        <f>IF($B97&lt;=Factores!$D$3,"",AO20)</f>
        <v/>
      </c>
      <c r="AP97" s="780" t="str">
        <f>IF($B97&lt;=Factores!$D$3,"",AP20)</f>
        <v/>
      </c>
      <c r="AQ97" s="780" t="str">
        <f>IF($B97&lt;=Factores!$D$3,"",AQ20)</f>
        <v/>
      </c>
      <c r="AR97" s="780" t="str">
        <f>IF($B97&lt;=Factores!$D$3,"",AR20)</f>
        <v/>
      </c>
      <c r="AS97" s="780" t="str">
        <f>IF($B97&lt;=Factores!$D$3,"",AS20)</f>
        <v/>
      </c>
      <c r="AT97" s="780" t="str">
        <f>IF($B97&lt;=Factores!$D$3,"",AT20)</f>
        <v/>
      </c>
      <c r="AU97" s="780" t="str">
        <f>IF($B97&lt;=Factores!$D$3,"",AU20)</f>
        <v/>
      </c>
      <c r="AV97" s="780"/>
      <c r="AW97" s="780" t="str">
        <f>IF($B97&lt;=Factores!$D$3,"",AW20)</f>
        <v/>
      </c>
      <c r="AX97" s="780" t="str">
        <f>IF($B97&lt;=Factores!$D$3,"",AX20)</f>
        <v/>
      </c>
      <c r="AY97" s="780" t="str">
        <f>IF($B97&lt;=Factores!$D$3,"",AY20)</f>
        <v/>
      </c>
      <c r="AZ97" s="780" t="str">
        <f>IF($B97&lt;=Factores!$D$3,"",AZ20)</f>
        <v/>
      </c>
      <c r="BA97" s="780" t="str">
        <f>IF($B97&lt;=Factores!$D$3,"",BA20)</f>
        <v/>
      </c>
      <c r="BB97" s="780" t="str">
        <f>IF($B97&lt;=Factores!$D$3,"",BB20)</f>
        <v/>
      </c>
      <c r="BC97" s="780"/>
      <c r="BD97" s="794" t="str">
        <f>IF($B97&lt;=Factores!$D$3,"",BD20)</f>
        <v/>
      </c>
      <c r="BE97" s="780" t="str">
        <f>IF($B97&lt;=Factores!$D$3,"",BE20)</f>
        <v/>
      </c>
      <c r="BF97" s="780" t="str">
        <f>IF($B97&lt;=Factores!$D$3,"",BF20)</f>
        <v/>
      </c>
      <c r="BG97" s="780" t="str">
        <f>IF($B97&lt;=Factores!$D$3,"",BG20)</f>
        <v/>
      </c>
      <c r="BH97" s="780" t="str">
        <f>IF($B97&lt;=Factores!$D$3,"",BH20)</f>
        <v/>
      </c>
      <c r="BI97" s="780" t="str">
        <f>IF($B97&lt;=Factores!$D$3,"",BI20)</f>
        <v/>
      </c>
      <c r="BJ97" s="780" t="str">
        <f>IF($B97&lt;=Factores!$D$3,"",BJ20)</f>
        <v/>
      </c>
      <c r="BK97" s="780" t="str">
        <f>IF($B97&lt;=Factores!$D$3,"",BK20)</f>
        <v/>
      </c>
      <c r="BL97" s="780" t="str">
        <f>IF($B97&lt;=Factores!$D$3,"",BL20)</f>
        <v/>
      </c>
      <c r="BM97" s="780"/>
      <c r="BN97" s="780"/>
      <c r="BO97" s="780"/>
      <c r="BP97" s="780"/>
      <c r="BQ97" s="780"/>
      <c r="BR97" s="780" t="str">
        <f>IF($B97&lt;=Factores!$D$3,"",BR20)</f>
        <v/>
      </c>
      <c r="BS97" s="780" t="str">
        <f>IF($B97&lt;=Factores!$D$3,"",BS20)</f>
        <v/>
      </c>
      <c r="BT97" s="780" t="str">
        <f>IF($B97&lt;=Factores!$D$3,"",BT20)</f>
        <v/>
      </c>
      <c r="BU97" s="780" t="str">
        <f>IF($B97&lt;=Factores!$D$3,"",BU20)</f>
        <v/>
      </c>
      <c r="BV97" s="780" t="str">
        <f>IF($B97&lt;=Factores!$D$3,"",BV20)</f>
        <v/>
      </c>
      <c r="BW97" s="780" t="str">
        <f>IF($B97&lt;=Factores!$D$3,"",BW20)</f>
        <v/>
      </c>
      <c r="BX97" s="780" t="str">
        <f>IF($B97&lt;=Factores!$D$3,"",BX20)</f>
        <v/>
      </c>
      <c r="BY97" s="780" t="str">
        <f>IF($B97&lt;=Factores!$D$3,"",BY20)</f>
        <v/>
      </c>
      <c r="BZ97" s="780" t="str">
        <f>IF($B97&lt;=Factores!$D$3,"",BZ20)</f>
        <v/>
      </c>
      <c r="CA97" s="780" t="str">
        <f>IF($B97&lt;=Factores!$D$3,"",CA20)</f>
        <v/>
      </c>
      <c r="CB97" s="780" t="str">
        <f>IF($B97&lt;=Factores!$D$3,"",CB20)</f>
        <v/>
      </c>
      <c r="CC97" s="780" t="str">
        <f>IF($B97&lt;=Factores!$D$3,"",CC20)</f>
        <v/>
      </c>
      <c r="CD97" s="780"/>
      <c r="CE97" s="780"/>
      <c r="CF97" s="780"/>
      <c r="CG97" s="780"/>
      <c r="CH97" s="780"/>
      <c r="CI97" s="780"/>
      <c r="CJ97" s="780"/>
      <c r="CK97" s="780"/>
      <c r="CL97" s="780"/>
      <c r="CM97" s="780"/>
      <c r="CN97" s="780"/>
      <c r="CO97" s="780"/>
      <c r="CP97" s="780"/>
      <c r="CQ97" s="780"/>
      <c r="CR97" s="780"/>
      <c r="CS97" s="780"/>
      <c r="CT97" s="780"/>
      <c r="CU97" s="780"/>
      <c r="CV97" s="780"/>
      <c r="CW97" s="780"/>
      <c r="CX97" s="780" t="str">
        <f>IF($B97&lt;=Factores!$D$3,"",CX20)</f>
        <v/>
      </c>
      <c r="CY97" s="780" t="str">
        <f>IF($B97&lt;=Factores!$D$3,"",CY20)</f>
        <v/>
      </c>
      <c r="CZ97" s="780" t="str">
        <f>IF($B97&lt;=Factores!$D$3,"",CZ20)</f>
        <v/>
      </c>
      <c r="DA97" s="780" t="str">
        <f>IF($B97&lt;=Factores!$D$3,"",DA20)</f>
        <v/>
      </c>
      <c r="DB97" s="780"/>
      <c r="DC97" s="780"/>
      <c r="DD97" s="780"/>
      <c r="DE97" s="780"/>
      <c r="DF97" s="780"/>
      <c r="DG97" s="780"/>
      <c r="DH97" s="780"/>
      <c r="DI97" s="780"/>
      <c r="DJ97" s="780"/>
      <c r="DK97" s="780"/>
      <c r="DL97" s="780" t="str">
        <f>IF($B97&lt;=Factores!$D$3,"",DL20)</f>
        <v/>
      </c>
      <c r="DM97" s="780" t="str">
        <f>IF($B97&lt;=Factores!$D$3,"",DM20)</f>
        <v/>
      </c>
      <c r="DN97" s="780" t="str">
        <f>IF($B97&lt;=Factores!$D$3,"",DN20)</f>
        <v/>
      </c>
      <c r="DO97" s="780" t="str">
        <f>IF($B97&lt;=Factores!$D$3,"",DO20)</f>
        <v/>
      </c>
      <c r="DP97" s="780" t="str">
        <f>IF($B97&lt;=Factores!$D$3,"",DP20)</f>
        <v/>
      </c>
      <c r="DQ97" s="780" t="str">
        <f>IF($B97&lt;=Factores!$D$3,"",DQ20)</f>
        <v/>
      </c>
      <c r="DR97" s="780" t="str">
        <f>IF($B97&lt;=Factores!$D$3,"",DR20)</f>
        <v/>
      </c>
      <c r="DS97" s="780" t="str">
        <f>IF($B97&lt;=Factores!$D$3,"",DS20)</f>
        <v/>
      </c>
      <c r="DT97" s="780" t="str">
        <f>IF($B97&lt;=Factores!$D$3,"",DT20)</f>
        <v/>
      </c>
      <c r="DU97" s="780" t="str">
        <f>IF($B97&lt;=Factores!$D$3,"",DU20)</f>
        <v/>
      </c>
      <c r="DV97" s="780" t="str">
        <f>IF($B97&lt;=Factores!$D$3,"",DV20)</f>
        <v/>
      </c>
      <c r="DW97" s="780" t="str">
        <f>IF($B97&lt;=Factores!$D$3,"",DW20)</f>
        <v/>
      </c>
      <c r="DX97" s="780" t="str">
        <f>IF($B97&lt;=Factores!$D$3,"",DX20)</f>
        <v/>
      </c>
      <c r="DY97" s="780" t="str">
        <f>IF($B97&lt;=Factores!$D$3,"",DY20)</f>
        <v/>
      </c>
      <c r="DZ97" s="780" t="str">
        <f>IF($B97&lt;=Factores!$D$3,"",DZ20)</f>
        <v/>
      </c>
      <c r="EA97" s="780" t="str">
        <f>IF($B97&lt;=Factores!$D$3,"",EA20)</f>
        <v/>
      </c>
      <c r="EB97" s="780" t="str">
        <f>IF($B97&lt;=Factores!$D$3,"",EB20)</f>
        <v/>
      </c>
      <c r="EC97" s="780" t="str">
        <f>IF($B97&lt;=Factores!$D$3,"",EC20)</f>
        <v/>
      </c>
      <c r="ED97" s="780" t="str">
        <f>IF($B97&lt;=Factores!$D$3,"",ED20)</f>
        <v/>
      </c>
      <c r="EE97" s="780" t="str">
        <f>IF($B97&lt;=Factores!$D$3,"",EE20)</f>
        <v/>
      </c>
      <c r="EF97" s="780" t="str">
        <f>IF($B97&lt;=Factores!$D$3,"",EF20)</f>
        <v/>
      </c>
      <c r="EG97" s="780" t="str">
        <f>IF($B97&lt;=Factores!$D$3,"",EG20)</f>
        <v/>
      </c>
      <c r="EH97" s="780" t="str">
        <f>IF($B97&lt;=Factores!$D$3,"",EH20)</f>
        <v/>
      </c>
      <c r="EI97" s="780" t="str">
        <f>IF($B97&lt;=Factores!$D$3,"",EI20)</f>
        <v/>
      </c>
      <c r="EJ97" s="780" t="str">
        <f>IF($B97&lt;=Factores!$D$3,"",EJ20)</f>
        <v/>
      </c>
      <c r="EK97" s="780" t="str">
        <f>IF($B97&lt;=Factores!$D$3,"",EK20)</f>
        <v/>
      </c>
      <c r="EL97" s="780" t="str">
        <f>IF($B97&lt;=Factores!$D$3,"",EL20)</f>
        <v/>
      </c>
    </row>
    <row r="98" spans="2:142" ht="14.25" customHeight="1">
      <c r="B98" s="794">
        <f t="shared" si="239"/>
        <v>46095.791666666664</v>
      </c>
      <c r="C98" s="780" t="str">
        <f>IF($B98&lt;=Factores!$D$3,"",C21)</f>
        <v/>
      </c>
      <c r="D98" s="780" t="str">
        <f>IF($B98&lt;=Factores!$D$3,"",D21)</f>
        <v/>
      </c>
      <c r="E98" s="780" t="str">
        <f>IF($B98&lt;=Factores!$D$3,"",E21)</f>
        <v/>
      </c>
      <c r="F98" s="780" t="str">
        <f>IF($B98&lt;=Factores!$D$3,"",F21)</f>
        <v/>
      </c>
      <c r="G98" s="780" t="str">
        <f>IF($B98&lt;=Factores!$D$3,"",G21)</f>
        <v/>
      </c>
      <c r="H98" s="780" t="str">
        <f>IF($B98&lt;=Factores!$D$3,"",H21)</f>
        <v/>
      </c>
      <c r="I98" s="780" t="str">
        <f>IF($B98&lt;=Factores!$D$3,"",I21)</f>
        <v/>
      </c>
      <c r="J98" s="780" t="str">
        <f>IF($B98&lt;=Factores!$D$3,"",J21)</f>
        <v/>
      </c>
      <c r="K98" s="780" t="str">
        <f>IF($B98&lt;=Factores!$D$3,"",K21)</f>
        <v/>
      </c>
      <c r="L98" s="3107" t="str">
        <f>IF($B98&lt;=Factores!$D$3,"",L21)</f>
        <v/>
      </c>
      <c r="M98" s="780" t="str">
        <f>IF($B98&lt;=Factores!$D$3,"",M21)</f>
        <v/>
      </c>
      <c r="N98" s="780" t="str">
        <f>IF($B98&lt;=Factores!$D$3,"",N21)</f>
        <v/>
      </c>
      <c r="O98" s="780" t="str">
        <f>IF($B98&lt;=Factores!$D$3,"",O21)</f>
        <v/>
      </c>
      <c r="P98" s="780" t="str">
        <f>IF($B98&lt;=Factores!$D$3,"",P21)</f>
        <v/>
      </c>
      <c r="Q98" s="780" t="str">
        <f>IF($B98&lt;=Factores!$D$3,"",Q21)</f>
        <v/>
      </c>
      <c r="R98" s="780" t="str">
        <f>IF($B98&lt;=Factores!$D$3,"",R21)</f>
        <v/>
      </c>
      <c r="S98" s="780" t="str">
        <f>IF($B98&lt;=Factores!$D$3,"",S21)</f>
        <v/>
      </c>
      <c r="T98" s="780" t="str">
        <f>IF($B98&lt;=Factores!$D$3,"",T21)</f>
        <v/>
      </c>
      <c r="U98" s="780" t="str">
        <f>IF($B98&lt;=Factores!$D$3,"",U21)</f>
        <v/>
      </c>
      <c r="V98" s="780" t="str">
        <f>IF($B98&lt;=Factores!$D$3,"",V21)</f>
        <v/>
      </c>
      <c r="W98" s="780" t="str">
        <f>IF($B98&lt;=Factores!$D$3,"",W21)</f>
        <v/>
      </c>
      <c r="X98" s="780" t="str">
        <f>IF($B98&lt;=Factores!$D$3,"",X21)</f>
        <v/>
      </c>
      <c r="Y98" s="780" t="str">
        <f>IF($B98&lt;=Factores!$D$3,"",Y21)</f>
        <v/>
      </c>
      <c r="Z98" s="780" t="str">
        <f>IF($B98&lt;=Factores!$D$3,"",Z21)</f>
        <v/>
      </c>
      <c r="AA98" s="780" t="str">
        <f>IF($B98&lt;=Factores!$D$3,"",AA21)</f>
        <v/>
      </c>
      <c r="AB98" s="780" t="str">
        <f>IF($B98&lt;=Factores!$D$3,"",AB21)</f>
        <v/>
      </c>
      <c r="AC98" s="780" t="str">
        <f>IF($B98&lt;=Factores!$D$3,"",AC21)</f>
        <v/>
      </c>
      <c r="AD98" s="780" t="str">
        <f>IF($B98&lt;=Factores!$D$3,"",AD21)</f>
        <v/>
      </c>
      <c r="AE98" s="780" t="str">
        <f>IF($B98&lt;=Factores!$D$3,"",AE21)</f>
        <v/>
      </c>
      <c r="AF98" s="780" t="str">
        <f>IF($B98&lt;=Factores!$D$3,"",AF21)</f>
        <v/>
      </c>
      <c r="AG98" s="780" t="str">
        <f>IF($B98&lt;=Factores!$D$3,"",AG21)</f>
        <v/>
      </c>
      <c r="AH98" s="780" t="str">
        <f>IF($B98&lt;=Factores!$D$3,"",AH21)</f>
        <v/>
      </c>
      <c r="AI98" s="780" t="str">
        <f>IF($B98&lt;=Factores!$D$3,"",AI21)</f>
        <v/>
      </c>
      <c r="AJ98" s="780" t="str">
        <f>IF($B98&lt;=Factores!$D$3,"",AJ21)</f>
        <v/>
      </c>
      <c r="AK98" s="780" t="str">
        <f>IF($B98&lt;=Factores!$D$3,"",AK21)</f>
        <v/>
      </c>
      <c r="AL98" s="780" t="str">
        <f>IF($B98&lt;=Factores!$D$3,"",AL21)</f>
        <v/>
      </c>
      <c r="AM98" s="780" t="str">
        <f>IF($B98&lt;=Factores!$D$3,"",AM21)</f>
        <v/>
      </c>
      <c r="AN98" s="780" t="str">
        <f>IF($B98&lt;=Factores!$D$3,"",AN21)</f>
        <v/>
      </c>
      <c r="AO98" s="780" t="str">
        <f>IF($B98&lt;=Factores!$D$3,"",AO21)</f>
        <v/>
      </c>
      <c r="AP98" s="780" t="str">
        <f>IF($B98&lt;=Factores!$D$3,"",AP21)</f>
        <v/>
      </c>
      <c r="AQ98" s="780" t="str">
        <f>IF($B98&lt;=Factores!$D$3,"",AQ21)</f>
        <v/>
      </c>
      <c r="AR98" s="780" t="str">
        <f>IF($B98&lt;=Factores!$D$3,"",AR21)</f>
        <v/>
      </c>
      <c r="AS98" s="780" t="str">
        <f>IF($B98&lt;=Factores!$D$3,"",AS21)</f>
        <v/>
      </c>
      <c r="AT98" s="780" t="str">
        <f>IF($B98&lt;=Factores!$D$3,"",AT21)</f>
        <v/>
      </c>
      <c r="AU98" s="780" t="str">
        <f>IF($B98&lt;=Factores!$D$3,"",AU21)</f>
        <v/>
      </c>
      <c r="AV98" s="780"/>
      <c r="AW98" s="780" t="str">
        <f>IF($B98&lt;=Factores!$D$3,"",AW21)</f>
        <v/>
      </c>
      <c r="AX98" s="780" t="str">
        <f>IF($B98&lt;=Factores!$D$3,"",AX21)</f>
        <v/>
      </c>
      <c r="AY98" s="780" t="str">
        <f>IF($B98&lt;=Factores!$D$3,"",AY21)</f>
        <v/>
      </c>
      <c r="AZ98" s="780" t="str">
        <f>IF($B98&lt;=Factores!$D$3,"",AZ21)</f>
        <v/>
      </c>
      <c r="BA98" s="780" t="str">
        <f>IF($B98&lt;=Factores!$D$3,"",BA21)</f>
        <v/>
      </c>
      <c r="BB98" s="780" t="str">
        <f>IF($B98&lt;=Factores!$D$3,"",BB21)</f>
        <v/>
      </c>
      <c r="BC98" s="780"/>
      <c r="BD98" s="794" t="str">
        <f>IF($B98&lt;=Factores!$D$3,"",BD21)</f>
        <v/>
      </c>
      <c r="BE98" s="780" t="str">
        <f>IF($B98&lt;=Factores!$D$3,"",BE21)</f>
        <v/>
      </c>
      <c r="BF98" s="780" t="str">
        <f>IF($B98&lt;=Factores!$D$3,"",BF21)</f>
        <v/>
      </c>
      <c r="BG98" s="780" t="str">
        <f>IF($B98&lt;=Factores!$D$3,"",BG21)</f>
        <v/>
      </c>
      <c r="BH98" s="780" t="str">
        <f>IF($B98&lt;=Factores!$D$3,"",BH21)</f>
        <v/>
      </c>
      <c r="BI98" s="780" t="str">
        <f>IF($B98&lt;=Factores!$D$3,"",BI21)</f>
        <v/>
      </c>
      <c r="BJ98" s="780" t="str">
        <f>IF($B98&lt;=Factores!$D$3,"",BJ21)</f>
        <v/>
      </c>
      <c r="BK98" s="780" t="str">
        <f>IF($B98&lt;=Factores!$D$3,"",BK21)</f>
        <v/>
      </c>
      <c r="BL98" s="780" t="str">
        <f>IF($B98&lt;=Factores!$D$3,"",BL21)</f>
        <v/>
      </c>
      <c r="BM98" s="780"/>
      <c r="BN98" s="780"/>
      <c r="BO98" s="780"/>
      <c r="BP98" s="780"/>
      <c r="BQ98" s="780"/>
      <c r="BR98" s="780" t="str">
        <f>IF($B98&lt;=Factores!$D$3,"",BR21)</f>
        <v/>
      </c>
      <c r="BS98" s="780" t="str">
        <f>IF($B98&lt;=Factores!$D$3,"",BS21)</f>
        <v/>
      </c>
      <c r="BT98" s="780" t="str">
        <f>IF($B98&lt;=Factores!$D$3,"",BT21)</f>
        <v/>
      </c>
      <c r="BU98" s="780" t="str">
        <f>IF($B98&lt;=Factores!$D$3,"",BU21)</f>
        <v/>
      </c>
      <c r="BV98" s="780" t="str">
        <f>IF($B98&lt;=Factores!$D$3,"",BV21)</f>
        <v/>
      </c>
      <c r="BW98" s="780" t="str">
        <f>IF($B98&lt;=Factores!$D$3,"",BW21)</f>
        <v/>
      </c>
      <c r="BX98" s="780" t="str">
        <f>IF($B98&lt;=Factores!$D$3,"",BX21)</f>
        <v/>
      </c>
      <c r="BY98" s="780" t="str">
        <f>IF($B98&lt;=Factores!$D$3,"",BY21)</f>
        <v/>
      </c>
      <c r="BZ98" s="780" t="str">
        <f>IF($B98&lt;=Factores!$D$3,"",BZ21)</f>
        <v/>
      </c>
      <c r="CA98" s="780" t="str">
        <f>IF($B98&lt;=Factores!$D$3,"",CA21)</f>
        <v/>
      </c>
      <c r="CB98" s="780" t="str">
        <f>IF($B98&lt;=Factores!$D$3,"",CB21)</f>
        <v/>
      </c>
      <c r="CC98" s="780" t="str">
        <f>IF($B98&lt;=Factores!$D$3,"",CC21)</f>
        <v/>
      </c>
      <c r="CD98" s="780"/>
      <c r="CE98" s="780"/>
      <c r="CF98" s="780"/>
      <c r="CG98" s="780"/>
      <c r="CH98" s="780"/>
      <c r="CI98" s="780"/>
      <c r="CJ98" s="780"/>
      <c r="CK98" s="780"/>
      <c r="CL98" s="780"/>
      <c r="CM98" s="780"/>
      <c r="CN98" s="780"/>
      <c r="CO98" s="780"/>
      <c r="CP98" s="780"/>
      <c r="CQ98" s="780"/>
      <c r="CR98" s="780"/>
      <c r="CS98" s="780"/>
      <c r="CT98" s="780"/>
      <c r="CU98" s="780"/>
      <c r="CV98" s="780"/>
      <c r="CW98" s="780"/>
      <c r="CX98" s="780" t="str">
        <f>IF($B98&lt;=Factores!$D$3,"",CX21)</f>
        <v/>
      </c>
      <c r="CY98" s="780" t="str">
        <f>IF($B98&lt;=Factores!$D$3,"",CY21)</f>
        <v/>
      </c>
      <c r="CZ98" s="780" t="str">
        <f>IF($B98&lt;=Factores!$D$3,"",CZ21)</f>
        <v/>
      </c>
      <c r="DA98" s="780" t="str">
        <f>IF($B98&lt;=Factores!$D$3,"",DA21)</f>
        <v/>
      </c>
      <c r="DB98" s="780"/>
      <c r="DC98" s="780"/>
      <c r="DD98" s="780"/>
      <c r="DE98" s="780"/>
      <c r="DF98" s="780"/>
      <c r="DG98" s="780"/>
      <c r="DH98" s="780"/>
      <c r="DI98" s="780"/>
      <c r="DJ98" s="780"/>
      <c r="DK98" s="780"/>
      <c r="DL98" s="780" t="str">
        <f>IF($B98&lt;=Factores!$D$3,"",DL21)</f>
        <v/>
      </c>
      <c r="DM98" s="780" t="str">
        <f>IF($B98&lt;=Factores!$D$3,"",DM21)</f>
        <v/>
      </c>
      <c r="DN98" s="780" t="str">
        <f>IF($B98&lt;=Factores!$D$3,"",DN21)</f>
        <v/>
      </c>
      <c r="DO98" s="780" t="str">
        <f>IF($B98&lt;=Factores!$D$3,"",DO21)</f>
        <v/>
      </c>
      <c r="DP98" s="780" t="str">
        <f>IF($B98&lt;=Factores!$D$3,"",DP21)</f>
        <v/>
      </c>
      <c r="DQ98" s="780" t="str">
        <f>IF($B98&lt;=Factores!$D$3,"",DQ21)</f>
        <v/>
      </c>
      <c r="DR98" s="780" t="str">
        <f>IF($B98&lt;=Factores!$D$3,"",DR21)</f>
        <v/>
      </c>
      <c r="DS98" s="780" t="str">
        <f>IF($B98&lt;=Factores!$D$3,"",DS21)</f>
        <v/>
      </c>
      <c r="DT98" s="780" t="str">
        <f>IF($B98&lt;=Factores!$D$3,"",DT21)</f>
        <v/>
      </c>
      <c r="DU98" s="780" t="str">
        <f>IF($B98&lt;=Factores!$D$3,"",DU21)</f>
        <v/>
      </c>
      <c r="DV98" s="780" t="str">
        <f>IF($B98&lt;=Factores!$D$3,"",DV21)</f>
        <v/>
      </c>
      <c r="DW98" s="780" t="str">
        <f>IF($B98&lt;=Factores!$D$3,"",DW21)</f>
        <v/>
      </c>
      <c r="DX98" s="780" t="str">
        <f>IF($B98&lt;=Factores!$D$3,"",DX21)</f>
        <v/>
      </c>
      <c r="DY98" s="780" t="str">
        <f>IF($B98&lt;=Factores!$D$3,"",DY21)</f>
        <v/>
      </c>
      <c r="DZ98" s="780" t="str">
        <f>IF($B98&lt;=Factores!$D$3,"",DZ21)</f>
        <v/>
      </c>
      <c r="EA98" s="780" t="str">
        <f>IF($B98&lt;=Factores!$D$3,"",EA21)</f>
        <v/>
      </c>
      <c r="EB98" s="780" t="str">
        <f>IF($B98&lt;=Factores!$D$3,"",EB21)</f>
        <v/>
      </c>
      <c r="EC98" s="780" t="str">
        <f>IF($B98&lt;=Factores!$D$3,"",EC21)</f>
        <v/>
      </c>
      <c r="ED98" s="780" t="str">
        <f>IF($B98&lt;=Factores!$D$3,"",ED21)</f>
        <v/>
      </c>
      <c r="EE98" s="780" t="str">
        <f>IF($B98&lt;=Factores!$D$3,"",EE21)</f>
        <v/>
      </c>
      <c r="EF98" s="780" t="str">
        <f>IF($B98&lt;=Factores!$D$3,"",EF21)</f>
        <v/>
      </c>
      <c r="EG98" s="780" t="str">
        <f>IF($B98&lt;=Factores!$D$3,"",EG21)</f>
        <v/>
      </c>
      <c r="EH98" s="780" t="str">
        <f>IF($B98&lt;=Factores!$D$3,"",EH21)</f>
        <v/>
      </c>
      <c r="EI98" s="780" t="str">
        <f>IF($B98&lt;=Factores!$D$3,"",EI21)</f>
        <v/>
      </c>
      <c r="EJ98" s="780" t="str">
        <f>IF($B98&lt;=Factores!$D$3,"",EJ21)</f>
        <v/>
      </c>
      <c r="EK98" s="780" t="str">
        <f>IF($B98&lt;=Factores!$D$3,"",EK21)</f>
        <v/>
      </c>
      <c r="EL98" s="780" t="str">
        <f>IF($B98&lt;=Factores!$D$3,"",EL21)</f>
        <v/>
      </c>
    </row>
    <row r="99" spans="2:142" ht="14.25" customHeight="1">
      <c r="B99" s="794">
        <f t="shared" si="239"/>
        <v>46096.791666666664</v>
      </c>
      <c r="C99" s="780" t="str">
        <f>IF($B99&lt;=Factores!$D$3,"",C22)</f>
        <v/>
      </c>
      <c r="D99" s="780" t="str">
        <f>IF($B99&lt;=Factores!$D$3,"",D22)</f>
        <v/>
      </c>
      <c r="E99" s="780" t="str">
        <f>IF($B99&lt;=Factores!$D$3,"",E22)</f>
        <v/>
      </c>
      <c r="F99" s="780" t="str">
        <f>IF($B99&lt;=Factores!$D$3,"",F22)</f>
        <v/>
      </c>
      <c r="G99" s="780" t="str">
        <f>IF($B99&lt;=Factores!$D$3,"",G22)</f>
        <v/>
      </c>
      <c r="H99" s="780" t="str">
        <f>IF($B99&lt;=Factores!$D$3,"",H22)</f>
        <v/>
      </c>
      <c r="I99" s="780" t="str">
        <f>IF($B99&lt;=Factores!$D$3,"",I22)</f>
        <v/>
      </c>
      <c r="J99" s="780" t="str">
        <f>IF($B99&lt;=Factores!$D$3,"",J22)</f>
        <v/>
      </c>
      <c r="K99" s="780" t="str">
        <f>IF($B99&lt;=Factores!$D$3,"",K22)</f>
        <v/>
      </c>
      <c r="L99" s="3107" t="str">
        <f>IF($B99&lt;=Factores!$D$3,"",L22)</f>
        <v/>
      </c>
      <c r="M99" s="780" t="str">
        <f>IF($B99&lt;=Factores!$D$3,"",M22)</f>
        <v/>
      </c>
      <c r="N99" s="780" t="str">
        <f>IF($B99&lt;=Factores!$D$3,"",N22)</f>
        <v/>
      </c>
      <c r="O99" s="780" t="str">
        <f>IF($B99&lt;=Factores!$D$3,"",O22)</f>
        <v/>
      </c>
      <c r="P99" s="780" t="str">
        <f>IF($B99&lt;=Factores!$D$3,"",P22)</f>
        <v/>
      </c>
      <c r="Q99" s="780" t="str">
        <f>IF($B99&lt;=Factores!$D$3,"",Q22)</f>
        <v/>
      </c>
      <c r="R99" s="780" t="str">
        <f>IF($B99&lt;=Factores!$D$3,"",R22)</f>
        <v/>
      </c>
      <c r="S99" s="780" t="str">
        <f>IF($B99&lt;=Factores!$D$3,"",S22)</f>
        <v/>
      </c>
      <c r="T99" s="780" t="str">
        <f>IF($B99&lt;=Factores!$D$3,"",T22)</f>
        <v/>
      </c>
      <c r="U99" s="780" t="str">
        <f>IF($B99&lt;=Factores!$D$3,"",U22)</f>
        <v/>
      </c>
      <c r="V99" s="780" t="str">
        <f>IF($B99&lt;=Factores!$D$3,"",V22)</f>
        <v/>
      </c>
      <c r="W99" s="780" t="str">
        <f>IF($B99&lt;=Factores!$D$3,"",W22)</f>
        <v/>
      </c>
      <c r="X99" s="780" t="str">
        <f>IF($B99&lt;=Factores!$D$3,"",X22)</f>
        <v/>
      </c>
      <c r="Y99" s="780" t="str">
        <f>IF($B99&lt;=Factores!$D$3,"",Y22)</f>
        <v/>
      </c>
      <c r="Z99" s="780" t="str">
        <f>IF($B99&lt;=Factores!$D$3,"",Z22)</f>
        <v/>
      </c>
      <c r="AA99" s="780" t="str">
        <f>IF($B99&lt;=Factores!$D$3,"",AA22)</f>
        <v/>
      </c>
      <c r="AB99" s="780" t="str">
        <f>IF($B99&lt;=Factores!$D$3,"",AB22)</f>
        <v/>
      </c>
      <c r="AC99" s="780" t="str">
        <f>IF($B99&lt;=Factores!$D$3,"",AC22)</f>
        <v/>
      </c>
      <c r="AD99" s="780" t="str">
        <f>IF($B99&lt;=Factores!$D$3,"",AD22)</f>
        <v/>
      </c>
      <c r="AE99" s="780" t="str">
        <f>IF($B99&lt;=Factores!$D$3,"",AE22)</f>
        <v/>
      </c>
      <c r="AF99" s="780" t="str">
        <f>IF($B99&lt;=Factores!$D$3,"",AF22)</f>
        <v/>
      </c>
      <c r="AG99" s="780" t="str">
        <f>IF($B99&lt;=Factores!$D$3,"",AG22)</f>
        <v/>
      </c>
      <c r="AH99" s="780" t="str">
        <f>IF($B99&lt;=Factores!$D$3,"",AH22)</f>
        <v/>
      </c>
      <c r="AI99" s="780" t="str">
        <f>IF($B99&lt;=Factores!$D$3,"",AI22)</f>
        <v/>
      </c>
      <c r="AJ99" s="780" t="str">
        <f>IF($B99&lt;=Factores!$D$3,"",AJ22)</f>
        <v/>
      </c>
      <c r="AK99" s="780" t="str">
        <f>IF($B99&lt;=Factores!$D$3,"",AK22)</f>
        <v/>
      </c>
      <c r="AL99" s="780" t="str">
        <f>IF($B99&lt;=Factores!$D$3,"",AL22)</f>
        <v/>
      </c>
      <c r="AM99" s="780" t="str">
        <f>IF($B99&lt;=Factores!$D$3,"",AM22)</f>
        <v/>
      </c>
      <c r="AN99" s="780" t="str">
        <f>IF($B99&lt;=Factores!$D$3,"",AN22)</f>
        <v/>
      </c>
      <c r="AO99" s="780" t="str">
        <f>IF($B99&lt;=Factores!$D$3,"",AO22)</f>
        <v/>
      </c>
      <c r="AP99" s="780" t="str">
        <f>IF($B99&lt;=Factores!$D$3,"",AP22)</f>
        <v/>
      </c>
      <c r="AQ99" s="780" t="str">
        <f>IF($B99&lt;=Factores!$D$3,"",AQ22)</f>
        <v/>
      </c>
      <c r="AR99" s="780" t="str">
        <f>IF($B99&lt;=Factores!$D$3,"",AR22)</f>
        <v/>
      </c>
      <c r="AS99" s="780" t="str">
        <f>IF($B99&lt;=Factores!$D$3,"",AS22)</f>
        <v/>
      </c>
      <c r="AT99" s="780" t="str">
        <f>IF($B99&lt;=Factores!$D$3,"",AT22)</f>
        <v/>
      </c>
      <c r="AU99" s="780" t="str">
        <f>IF($B99&lt;=Factores!$D$3,"",AU22)</f>
        <v/>
      </c>
      <c r="AV99" s="780"/>
      <c r="AW99" s="780" t="str">
        <f>IF($B99&lt;=Factores!$D$3,"",AW22)</f>
        <v/>
      </c>
      <c r="AX99" s="780" t="str">
        <f>IF($B99&lt;=Factores!$D$3,"",AX22)</f>
        <v/>
      </c>
      <c r="AY99" s="780" t="str">
        <f>IF($B99&lt;=Factores!$D$3,"",AY22)</f>
        <v/>
      </c>
      <c r="AZ99" s="780" t="str">
        <f>IF($B99&lt;=Factores!$D$3,"",AZ22)</f>
        <v/>
      </c>
      <c r="BA99" s="780" t="str">
        <f>IF($B99&lt;=Factores!$D$3,"",BA22)</f>
        <v/>
      </c>
      <c r="BB99" s="780" t="str">
        <f>IF($B99&lt;=Factores!$D$3,"",BB22)</f>
        <v/>
      </c>
      <c r="BC99" s="780"/>
      <c r="BD99" s="794" t="str">
        <f>IF($B99&lt;=Factores!$D$3,"",BD22)</f>
        <v/>
      </c>
      <c r="BE99" s="780" t="str">
        <f>IF($B99&lt;=Factores!$D$3,"",BE22)</f>
        <v/>
      </c>
      <c r="BF99" s="780" t="str">
        <f>IF($B99&lt;=Factores!$D$3,"",BF22)</f>
        <v/>
      </c>
      <c r="BG99" s="780" t="str">
        <f>IF($B99&lt;=Factores!$D$3,"",BG22)</f>
        <v/>
      </c>
      <c r="BH99" s="780" t="str">
        <f>IF($B99&lt;=Factores!$D$3,"",BH22)</f>
        <v/>
      </c>
      <c r="BI99" s="780" t="str">
        <f>IF($B99&lt;=Factores!$D$3,"",BI22)</f>
        <v/>
      </c>
      <c r="BJ99" s="780" t="str">
        <f>IF($B99&lt;=Factores!$D$3,"",BJ22)</f>
        <v/>
      </c>
      <c r="BK99" s="780" t="str">
        <f>IF($B99&lt;=Factores!$D$3,"",BK22)</f>
        <v/>
      </c>
      <c r="BL99" s="780" t="str">
        <f>IF($B99&lt;=Factores!$D$3,"",BL22)</f>
        <v/>
      </c>
      <c r="BM99" s="780"/>
      <c r="BN99" s="780"/>
      <c r="BO99" s="780"/>
      <c r="BP99" s="780"/>
      <c r="BQ99" s="780"/>
      <c r="BR99" s="780" t="str">
        <f>IF($B99&lt;=Factores!$D$3,"",BR22)</f>
        <v/>
      </c>
      <c r="BS99" s="780" t="str">
        <f>IF($B99&lt;=Factores!$D$3,"",BS22)</f>
        <v/>
      </c>
      <c r="BT99" s="780" t="str">
        <f>IF($B99&lt;=Factores!$D$3,"",BT22)</f>
        <v/>
      </c>
      <c r="BU99" s="780" t="str">
        <f>IF($B99&lt;=Factores!$D$3,"",BU22)</f>
        <v/>
      </c>
      <c r="BV99" s="780" t="str">
        <f>IF($B99&lt;=Factores!$D$3,"",BV22)</f>
        <v/>
      </c>
      <c r="BW99" s="780" t="str">
        <f>IF($B99&lt;=Factores!$D$3,"",BW22)</f>
        <v/>
      </c>
      <c r="BX99" s="780" t="str">
        <f>IF($B99&lt;=Factores!$D$3,"",BX22)</f>
        <v/>
      </c>
      <c r="BY99" s="780" t="str">
        <f>IF($B99&lt;=Factores!$D$3,"",BY22)</f>
        <v/>
      </c>
      <c r="BZ99" s="780" t="str">
        <f>IF($B99&lt;=Factores!$D$3,"",BZ22)</f>
        <v/>
      </c>
      <c r="CA99" s="780" t="str">
        <f>IF($B99&lt;=Factores!$D$3,"",CA22)</f>
        <v/>
      </c>
      <c r="CB99" s="780" t="str">
        <f>IF($B99&lt;=Factores!$D$3,"",CB22)</f>
        <v/>
      </c>
      <c r="CC99" s="780" t="str">
        <f>IF($B99&lt;=Factores!$D$3,"",CC22)</f>
        <v/>
      </c>
      <c r="CD99" s="780"/>
      <c r="CE99" s="780"/>
      <c r="CF99" s="780"/>
      <c r="CG99" s="780"/>
      <c r="CH99" s="780"/>
      <c r="CI99" s="780"/>
      <c r="CJ99" s="780"/>
      <c r="CK99" s="780"/>
      <c r="CL99" s="780"/>
      <c r="CM99" s="780"/>
      <c r="CN99" s="780"/>
      <c r="CO99" s="780"/>
      <c r="CP99" s="780"/>
      <c r="CQ99" s="780"/>
      <c r="CR99" s="780"/>
      <c r="CS99" s="780"/>
      <c r="CT99" s="780"/>
      <c r="CU99" s="780"/>
      <c r="CV99" s="780"/>
      <c r="CW99" s="780"/>
      <c r="CX99" s="780" t="str">
        <f>IF($B99&lt;=Factores!$D$3,"",CX22)</f>
        <v/>
      </c>
      <c r="CY99" s="780" t="str">
        <f>IF($B99&lt;=Factores!$D$3,"",CY22)</f>
        <v/>
      </c>
      <c r="CZ99" s="780" t="str">
        <f>IF($B99&lt;=Factores!$D$3,"",CZ22)</f>
        <v/>
      </c>
      <c r="DA99" s="780" t="str">
        <f>IF($B99&lt;=Factores!$D$3,"",DA22)</f>
        <v/>
      </c>
      <c r="DB99" s="780"/>
      <c r="DC99" s="780"/>
      <c r="DD99" s="780"/>
      <c r="DE99" s="780"/>
      <c r="DF99" s="780"/>
      <c r="DG99" s="780"/>
      <c r="DH99" s="780"/>
      <c r="DI99" s="780"/>
      <c r="DJ99" s="780"/>
      <c r="DK99" s="780"/>
      <c r="DL99" s="780" t="str">
        <f>IF($B99&lt;=Factores!$D$3,"",DL22)</f>
        <v/>
      </c>
      <c r="DM99" s="780" t="str">
        <f>IF($B99&lt;=Factores!$D$3,"",DM22)</f>
        <v/>
      </c>
      <c r="DN99" s="780" t="str">
        <f>IF($B99&lt;=Factores!$D$3,"",DN22)</f>
        <v/>
      </c>
      <c r="DO99" s="780" t="str">
        <f>IF($B99&lt;=Factores!$D$3,"",DO22)</f>
        <v/>
      </c>
      <c r="DP99" s="780" t="str">
        <f>IF($B99&lt;=Factores!$D$3,"",DP22)</f>
        <v/>
      </c>
      <c r="DQ99" s="780" t="str">
        <f>IF($B99&lt;=Factores!$D$3,"",DQ22)</f>
        <v/>
      </c>
      <c r="DR99" s="780" t="str">
        <f>IF($B99&lt;=Factores!$D$3,"",DR22)</f>
        <v/>
      </c>
      <c r="DS99" s="780" t="str">
        <f>IF($B99&lt;=Factores!$D$3,"",DS22)</f>
        <v/>
      </c>
      <c r="DT99" s="780" t="str">
        <f>IF($B99&lt;=Factores!$D$3,"",DT22)</f>
        <v/>
      </c>
      <c r="DU99" s="780" t="str">
        <f>IF($B99&lt;=Factores!$D$3,"",DU22)</f>
        <v/>
      </c>
      <c r="DV99" s="780" t="str">
        <f>IF($B99&lt;=Factores!$D$3,"",DV22)</f>
        <v/>
      </c>
      <c r="DW99" s="780" t="str">
        <f>IF($B99&lt;=Factores!$D$3,"",DW22)</f>
        <v/>
      </c>
      <c r="DX99" s="780" t="str">
        <f>IF($B99&lt;=Factores!$D$3,"",DX22)</f>
        <v/>
      </c>
      <c r="DY99" s="780" t="str">
        <f>IF($B99&lt;=Factores!$D$3,"",DY22)</f>
        <v/>
      </c>
      <c r="DZ99" s="780" t="str">
        <f>IF($B99&lt;=Factores!$D$3,"",DZ22)</f>
        <v/>
      </c>
      <c r="EA99" s="780" t="str">
        <f>IF($B99&lt;=Factores!$D$3,"",EA22)</f>
        <v/>
      </c>
      <c r="EB99" s="780" t="str">
        <f>IF($B99&lt;=Factores!$D$3,"",EB22)</f>
        <v/>
      </c>
      <c r="EC99" s="780" t="str">
        <f>IF($B99&lt;=Factores!$D$3,"",EC22)</f>
        <v/>
      </c>
      <c r="ED99" s="780" t="str">
        <f>IF($B99&lt;=Factores!$D$3,"",ED22)</f>
        <v/>
      </c>
      <c r="EE99" s="780" t="str">
        <f>IF($B99&lt;=Factores!$D$3,"",EE22)</f>
        <v/>
      </c>
      <c r="EF99" s="780" t="str">
        <f>IF($B99&lt;=Factores!$D$3,"",EF22)</f>
        <v/>
      </c>
      <c r="EG99" s="780" t="str">
        <f>IF($B99&lt;=Factores!$D$3,"",EG22)</f>
        <v/>
      </c>
      <c r="EH99" s="780" t="str">
        <f>IF($B99&lt;=Factores!$D$3,"",EH22)</f>
        <v/>
      </c>
      <c r="EI99" s="780" t="str">
        <f>IF($B99&lt;=Factores!$D$3,"",EI22)</f>
        <v/>
      </c>
      <c r="EJ99" s="780" t="str">
        <f>IF($B99&lt;=Factores!$D$3,"",EJ22)</f>
        <v/>
      </c>
      <c r="EK99" s="780" t="str">
        <f>IF($B99&lt;=Factores!$D$3,"",EK22)</f>
        <v/>
      </c>
      <c r="EL99" s="780" t="str">
        <f>IF($B99&lt;=Factores!$D$3,"",EL22)</f>
        <v/>
      </c>
    </row>
    <row r="100" spans="2:142" ht="14.25" customHeight="1">
      <c r="B100" s="794">
        <f t="shared" si="239"/>
        <v>46097.791666666664</v>
      </c>
      <c r="C100" s="780" t="str">
        <f>IF($B100&lt;=Factores!$D$3,"",C23)</f>
        <v/>
      </c>
      <c r="D100" s="780" t="str">
        <f>IF($B100&lt;=Factores!$D$3,"",D23)</f>
        <v/>
      </c>
      <c r="E100" s="780" t="str">
        <f>IF($B100&lt;=Factores!$D$3,"",E23)</f>
        <v/>
      </c>
      <c r="F100" s="780" t="str">
        <f>IF($B100&lt;=Factores!$D$3,"",F23)</f>
        <v/>
      </c>
      <c r="G100" s="780" t="str">
        <f>IF($B100&lt;=Factores!$D$3,"",G23)</f>
        <v/>
      </c>
      <c r="H100" s="780" t="str">
        <f>IF($B100&lt;=Factores!$D$3,"",H23)</f>
        <v/>
      </c>
      <c r="I100" s="780" t="str">
        <f>IF($B100&lt;=Factores!$D$3,"",I23)</f>
        <v/>
      </c>
      <c r="J100" s="780" t="str">
        <f>IF($B100&lt;=Factores!$D$3,"",J23)</f>
        <v/>
      </c>
      <c r="K100" s="780" t="str">
        <f>IF($B100&lt;=Factores!$D$3,"",K23)</f>
        <v/>
      </c>
      <c r="L100" s="3107" t="str">
        <f>IF($B100&lt;=Factores!$D$3,"",L23)</f>
        <v/>
      </c>
      <c r="M100" s="780" t="str">
        <f>IF($B100&lt;=Factores!$D$3,"",M23)</f>
        <v/>
      </c>
      <c r="N100" s="780" t="str">
        <f>IF($B100&lt;=Factores!$D$3,"",N23)</f>
        <v/>
      </c>
      <c r="O100" s="780" t="str">
        <f>IF($B100&lt;=Factores!$D$3,"",O23)</f>
        <v/>
      </c>
      <c r="P100" s="780" t="str">
        <f>IF($B100&lt;=Factores!$D$3,"",P23)</f>
        <v/>
      </c>
      <c r="Q100" s="780" t="str">
        <f>IF($B100&lt;=Factores!$D$3,"",Q23)</f>
        <v/>
      </c>
      <c r="R100" s="780" t="str">
        <f>IF($B100&lt;=Factores!$D$3,"",R23)</f>
        <v/>
      </c>
      <c r="S100" s="780" t="str">
        <f>IF($B100&lt;=Factores!$D$3,"",S23)</f>
        <v/>
      </c>
      <c r="T100" s="780" t="str">
        <f>IF($B100&lt;=Factores!$D$3,"",T23)</f>
        <v/>
      </c>
      <c r="U100" s="780" t="str">
        <f>IF($B100&lt;=Factores!$D$3,"",U23)</f>
        <v/>
      </c>
      <c r="V100" s="780" t="str">
        <f>IF($B100&lt;=Factores!$D$3,"",V23)</f>
        <v/>
      </c>
      <c r="W100" s="780" t="str">
        <f>IF($B100&lt;=Factores!$D$3,"",W23)</f>
        <v/>
      </c>
      <c r="X100" s="780" t="str">
        <f>IF($B100&lt;=Factores!$D$3,"",X23)</f>
        <v/>
      </c>
      <c r="Y100" s="780" t="str">
        <f>IF($B100&lt;=Factores!$D$3,"",Y23)</f>
        <v/>
      </c>
      <c r="Z100" s="780" t="str">
        <f>IF($B100&lt;=Factores!$D$3,"",Z23)</f>
        <v/>
      </c>
      <c r="AA100" s="780" t="str">
        <f>IF($B100&lt;=Factores!$D$3,"",AA23)</f>
        <v/>
      </c>
      <c r="AB100" s="780" t="str">
        <f>IF($B100&lt;=Factores!$D$3,"",AB23)</f>
        <v/>
      </c>
      <c r="AC100" s="780" t="str">
        <f>IF($B100&lt;=Factores!$D$3,"",AC23)</f>
        <v/>
      </c>
      <c r="AD100" s="780" t="str">
        <f>IF($B100&lt;=Factores!$D$3,"",AD23)</f>
        <v/>
      </c>
      <c r="AE100" s="780" t="str">
        <f>IF($B100&lt;=Factores!$D$3,"",AE23)</f>
        <v/>
      </c>
      <c r="AF100" s="780" t="str">
        <f>IF($B100&lt;=Factores!$D$3,"",AF23)</f>
        <v/>
      </c>
      <c r="AG100" s="780" t="str">
        <f>IF($B100&lt;=Factores!$D$3,"",AG23)</f>
        <v/>
      </c>
      <c r="AH100" s="780" t="str">
        <f>IF($B100&lt;=Factores!$D$3,"",AH23)</f>
        <v/>
      </c>
      <c r="AI100" s="780" t="str">
        <f>IF($B100&lt;=Factores!$D$3,"",AI23)</f>
        <v/>
      </c>
      <c r="AJ100" s="780" t="str">
        <f>IF($B100&lt;=Factores!$D$3,"",AJ23)</f>
        <v/>
      </c>
      <c r="AK100" s="780" t="str">
        <f>IF($B100&lt;=Factores!$D$3,"",AK23)</f>
        <v/>
      </c>
      <c r="AL100" s="780" t="str">
        <f>IF($B100&lt;=Factores!$D$3,"",AL23)</f>
        <v/>
      </c>
      <c r="AM100" s="780" t="str">
        <f>IF($B100&lt;=Factores!$D$3,"",AM23)</f>
        <v/>
      </c>
      <c r="AN100" s="780" t="str">
        <f>IF($B100&lt;=Factores!$D$3,"",AN23)</f>
        <v/>
      </c>
      <c r="AO100" s="780" t="str">
        <f>IF($B100&lt;=Factores!$D$3,"",AO23)</f>
        <v/>
      </c>
      <c r="AP100" s="780" t="str">
        <f>IF($B100&lt;=Factores!$D$3,"",AP23)</f>
        <v/>
      </c>
      <c r="AQ100" s="780" t="str">
        <f>IF($B100&lt;=Factores!$D$3,"",AQ23)</f>
        <v/>
      </c>
      <c r="AR100" s="780" t="str">
        <f>IF($B100&lt;=Factores!$D$3,"",AR23)</f>
        <v/>
      </c>
      <c r="AS100" s="780" t="str">
        <f>IF($B100&lt;=Factores!$D$3,"",AS23)</f>
        <v/>
      </c>
      <c r="AT100" s="780" t="str">
        <f>IF($B100&lt;=Factores!$D$3,"",AT23)</f>
        <v/>
      </c>
      <c r="AU100" s="780" t="str">
        <f>IF($B100&lt;=Factores!$D$3,"",AU23)</f>
        <v/>
      </c>
      <c r="AV100" s="780"/>
      <c r="AW100" s="780" t="str">
        <f>IF($B100&lt;=Factores!$D$3,"",AW23)</f>
        <v/>
      </c>
      <c r="AX100" s="780" t="str">
        <f>IF($B100&lt;=Factores!$D$3,"",AX23)</f>
        <v/>
      </c>
      <c r="AY100" s="780" t="str">
        <f>IF($B100&lt;=Factores!$D$3,"",AY23)</f>
        <v/>
      </c>
      <c r="AZ100" s="780" t="str">
        <f>IF($B100&lt;=Factores!$D$3,"",AZ23)</f>
        <v/>
      </c>
      <c r="BA100" s="780" t="str">
        <f>IF($B100&lt;=Factores!$D$3,"",BA23)</f>
        <v/>
      </c>
      <c r="BB100" s="780" t="str">
        <f>IF($B100&lt;=Factores!$D$3,"",BB23)</f>
        <v/>
      </c>
      <c r="BC100" s="780"/>
      <c r="BD100" s="794" t="str">
        <f>IF($B100&lt;=Factores!$D$3,"",BD23)</f>
        <v/>
      </c>
      <c r="BE100" s="780" t="str">
        <f>IF($B100&lt;=Factores!$D$3,"",BE23)</f>
        <v/>
      </c>
      <c r="BF100" s="780" t="str">
        <f>IF($B100&lt;=Factores!$D$3,"",BF23)</f>
        <v/>
      </c>
      <c r="BG100" s="780" t="str">
        <f>IF($B100&lt;=Factores!$D$3,"",BG23)</f>
        <v/>
      </c>
      <c r="BH100" s="780" t="str">
        <f>IF($B100&lt;=Factores!$D$3,"",BH23)</f>
        <v/>
      </c>
      <c r="BI100" s="780" t="str">
        <f>IF($B100&lt;=Factores!$D$3,"",BI23)</f>
        <v/>
      </c>
      <c r="BJ100" s="780" t="str">
        <f>IF($B100&lt;=Factores!$D$3,"",BJ23)</f>
        <v/>
      </c>
      <c r="BK100" s="780" t="str">
        <f>IF($B100&lt;=Factores!$D$3,"",BK23)</f>
        <v/>
      </c>
      <c r="BL100" s="780" t="str">
        <f>IF($B100&lt;=Factores!$D$3,"",BL23)</f>
        <v/>
      </c>
      <c r="BM100" s="780"/>
      <c r="BN100" s="780"/>
      <c r="BO100" s="780"/>
      <c r="BP100" s="780"/>
      <c r="BQ100" s="780"/>
      <c r="BR100" s="780" t="str">
        <f>IF($B100&lt;=Factores!$D$3,"",BR23)</f>
        <v/>
      </c>
      <c r="BS100" s="780" t="str">
        <f>IF($B100&lt;=Factores!$D$3,"",BS23)</f>
        <v/>
      </c>
      <c r="BT100" s="780" t="str">
        <f>IF($B100&lt;=Factores!$D$3,"",BT23)</f>
        <v/>
      </c>
      <c r="BU100" s="780" t="str">
        <f>IF($B100&lt;=Factores!$D$3,"",BU23)</f>
        <v/>
      </c>
      <c r="BV100" s="780" t="str">
        <f>IF($B100&lt;=Factores!$D$3,"",BV23)</f>
        <v/>
      </c>
      <c r="BW100" s="780" t="str">
        <f>IF($B100&lt;=Factores!$D$3,"",BW23)</f>
        <v/>
      </c>
      <c r="BX100" s="780" t="str">
        <f>IF($B100&lt;=Factores!$D$3,"",BX23)</f>
        <v/>
      </c>
      <c r="BY100" s="780" t="str">
        <f>IF($B100&lt;=Factores!$D$3,"",BY23)</f>
        <v/>
      </c>
      <c r="BZ100" s="780" t="str">
        <f>IF($B100&lt;=Factores!$D$3,"",BZ23)</f>
        <v/>
      </c>
      <c r="CA100" s="780" t="str">
        <f>IF($B100&lt;=Factores!$D$3,"",CA23)</f>
        <v/>
      </c>
      <c r="CB100" s="780" t="str">
        <f>IF($B100&lt;=Factores!$D$3,"",CB23)</f>
        <v/>
      </c>
      <c r="CC100" s="780" t="str">
        <f>IF($B100&lt;=Factores!$D$3,"",CC23)</f>
        <v/>
      </c>
      <c r="CD100" s="780"/>
      <c r="CE100" s="780"/>
      <c r="CF100" s="780"/>
      <c r="CG100" s="780"/>
      <c r="CH100" s="780"/>
      <c r="CI100" s="780"/>
      <c r="CJ100" s="780"/>
      <c r="CK100" s="780"/>
      <c r="CL100" s="780"/>
      <c r="CM100" s="780"/>
      <c r="CN100" s="780"/>
      <c r="CO100" s="780"/>
      <c r="CP100" s="780"/>
      <c r="CQ100" s="780"/>
      <c r="CR100" s="780"/>
      <c r="CS100" s="780"/>
      <c r="CT100" s="780"/>
      <c r="CU100" s="780"/>
      <c r="CV100" s="780"/>
      <c r="CW100" s="780"/>
      <c r="CX100" s="780" t="str">
        <f>IF($B100&lt;=Factores!$D$3,"",CX23)</f>
        <v/>
      </c>
      <c r="CY100" s="780" t="str">
        <f>IF($B100&lt;=Factores!$D$3,"",CY23)</f>
        <v/>
      </c>
      <c r="CZ100" s="780" t="str">
        <f>IF($B100&lt;=Factores!$D$3,"",CZ23)</f>
        <v/>
      </c>
      <c r="DA100" s="780" t="str">
        <f>IF($B100&lt;=Factores!$D$3,"",DA23)</f>
        <v/>
      </c>
      <c r="DB100" s="780"/>
      <c r="DC100" s="780"/>
      <c r="DD100" s="780"/>
      <c r="DE100" s="780"/>
      <c r="DF100" s="780"/>
      <c r="DG100" s="780"/>
      <c r="DH100" s="780"/>
      <c r="DI100" s="780"/>
      <c r="DJ100" s="780"/>
      <c r="DK100" s="780"/>
      <c r="DL100" s="780" t="str">
        <f>IF($B100&lt;=Factores!$D$3,"",DL23)</f>
        <v/>
      </c>
      <c r="DM100" s="780" t="str">
        <f>IF($B100&lt;=Factores!$D$3,"",DM23)</f>
        <v/>
      </c>
      <c r="DN100" s="780" t="str">
        <f>IF($B100&lt;=Factores!$D$3,"",DN23)</f>
        <v/>
      </c>
      <c r="DO100" s="780" t="str">
        <f>IF($B100&lt;=Factores!$D$3,"",DO23)</f>
        <v/>
      </c>
      <c r="DP100" s="780" t="str">
        <f>IF($B100&lt;=Factores!$D$3,"",DP23)</f>
        <v/>
      </c>
      <c r="DQ100" s="780" t="str">
        <f>IF($B100&lt;=Factores!$D$3,"",DQ23)</f>
        <v/>
      </c>
      <c r="DR100" s="780" t="str">
        <f>IF($B100&lt;=Factores!$D$3,"",DR23)</f>
        <v/>
      </c>
      <c r="DS100" s="780" t="str">
        <f>IF($B100&lt;=Factores!$D$3,"",DS23)</f>
        <v/>
      </c>
      <c r="DT100" s="780" t="str">
        <f>IF($B100&lt;=Factores!$D$3,"",DT23)</f>
        <v/>
      </c>
      <c r="DU100" s="780" t="str">
        <f>IF($B100&lt;=Factores!$D$3,"",DU23)</f>
        <v/>
      </c>
      <c r="DV100" s="780" t="str">
        <f>IF($B100&lt;=Factores!$D$3,"",DV23)</f>
        <v/>
      </c>
      <c r="DW100" s="780" t="str">
        <f>IF($B100&lt;=Factores!$D$3,"",DW23)</f>
        <v/>
      </c>
      <c r="DX100" s="780" t="str">
        <f>IF($B100&lt;=Factores!$D$3,"",DX23)</f>
        <v/>
      </c>
      <c r="DY100" s="780" t="str">
        <f>IF($B100&lt;=Factores!$D$3,"",DY23)</f>
        <v/>
      </c>
      <c r="DZ100" s="780" t="str">
        <f>IF($B100&lt;=Factores!$D$3,"",DZ23)</f>
        <v/>
      </c>
      <c r="EA100" s="780" t="str">
        <f>IF($B100&lt;=Factores!$D$3,"",EA23)</f>
        <v/>
      </c>
      <c r="EB100" s="780" t="str">
        <f>IF($B100&lt;=Factores!$D$3,"",EB23)</f>
        <v/>
      </c>
      <c r="EC100" s="780" t="str">
        <f>IF($B100&lt;=Factores!$D$3,"",EC23)</f>
        <v/>
      </c>
      <c r="ED100" s="780" t="str">
        <f>IF($B100&lt;=Factores!$D$3,"",ED23)</f>
        <v/>
      </c>
      <c r="EE100" s="780" t="str">
        <f>IF($B100&lt;=Factores!$D$3,"",EE23)</f>
        <v/>
      </c>
      <c r="EF100" s="780" t="str">
        <f>IF($B100&lt;=Factores!$D$3,"",EF23)</f>
        <v/>
      </c>
      <c r="EG100" s="780" t="str">
        <f>IF($B100&lt;=Factores!$D$3,"",EG23)</f>
        <v/>
      </c>
      <c r="EH100" s="780" t="str">
        <f>IF($B100&lt;=Factores!$D$3,"",EH23)</f>
        <v/>
      </c>
      <c r="EI100" s="780" t="str">
        <f>IF($B100&lt;=Factores!$D$3,"",EI23)</f>
        <v/>
      </c>
      <c r="EJ100" s="780" t="str">
        <f>IF($B100&lt;=Factores!$D$3,"",EJ23)</f>
        <v/>
      </c>
      <c r="EK100" s="780" t="str">
        <f>IF($B100&lt;=Factores!$D$3,"",EK23)</f>
        <v/>
      </c>
      <c r="EL100" s="780" t="str">
        <f>IF($B100&lt;=Factores!$D$3,"",EL23)</f>
        <v/>
      </c>
    </row>
    <row r="101" spans="2:142" ht="14.25" customHeight="1">
      <c r="B101" s="794">
        <f t="shared" si="239"/>
        <v>46098.791666666664</v>
      </c>
      <c r="C101" s="780" t="str">
        <f>IF($B101&lt;=Factores!$D$3,"",C24)</f>
        <v/>
      </c>
      <c r="D101" s="780" t="str">
        <f>IF($B101&lt;=Factores!$D$3,"",D24)</f>
        <v/>
      </c>
      <c r="E101" s="780" t="str">
        <f>IF($B101&lt;=Factores!$D$3,"",E24)</f>
        <v/>
      </c>
      <c r="F101" s="780" t="str">
        <f>IF($B101&lt;=Factores!$D$3,"",F24)</f>
        <v/>
      </c>
      <c r="G101" s="780" t="str">
        <f>IF($B101&lt;=Factores!$D$3,"",G24)</f>
        <v/>
      </c>
      <c r="H101" s="780" t="str">
        <f>IF($B101&lt;=Factores!$D$3,"",H24)</f>
        <v/>
      </c>
      <c r="I101" s="780" t="str">
        <f>IF($B101&lt;=Factores!$D$3,"",I24)</f>
        <v/>
      </c>
      <c r="J101" s="780" t="str">
        <f>IF($B101&lt;=Factores!$D$3,"",J24)</f>
        <v/>
      </c>
      <c r="K101" s="780" t="str">
        <f>IF($B101&lt;=Factores!$D$3,"",K24)</f>
        <v/>
      </c>
      <c r="L101" s="3107" t="str">
        <f>IF($B101&lt;=Factores!$D$3,"",L24)</f>
        <v/>
      </c>
      <c r="M101" s="780" t="str">
        <f>IF($B101&lt;=Factores!$D$3,"",M24)</f>
        <v/>
      </c>
      <c r="N101" s="780" t="str">
        <f>IF($B101&lt;=Factores!$D$3,"",N24)</f>
        <v/>
      </c>
      <c r="O101" s="780" t="str">
        <f>IF($B101&lt;=Factores!$D$3,"",O24)</f>
        <v/>
      </c>
      <c r="P101" s="780" t="str">
        <f>IF($B101&lt;=Factores!$D$3,"",P24)</f>
        <v/>
      </c>
      <c r="Q101" s="780" t="str">
        <f>IF($B101&lt;=Factores!$D$3,"",Q24)</f>
        <v/>
      </c>
      <c r="R101" s="780" t="str">
        <f>IF($B101&lt;=Factores!$D$3,"",R24)</f>
        <v/>
      </c>
      <c r="S101" s="780" t="str">
        <f>IF($B101&lt;=Factores!$D$3,"",S24)</f>
        <v/>
      </c>
      <c r="T101" s="780" t="str">
        <f>IF($B101&lt;=Factores!$D$3,"",T24)</f>
        <v/>
      </c>
      <c r="U101" s="780" t="str">
        <f>IF($B101&lt;=Factores!$D$3,"",U24)</f>
        <v/>
      </c>
      <c r="V101" s="780" t="str">
        <f>IF($B101&lt;=Factores!$D$3,"",V24)</f>
        <v/>
      </c>
      <c r="W101" s="780" t="str">
        <f>IF($B101&lt;=Factores!$D$3,"",W24)</f>
        <v/>
      </c>
      <c r="X101" s="780" t="str">
        <f>IF($B101&lt;=Factores!$D$3,"",X24)</f>
        <v/>
      </c>
      <c r="Y101" s="780" t="str">
        <f>IF($B101&lt;=Factores!$D$3,"",Y24)</f>
        <v/>
      </c>
      <c r="Z101" s="780" t="str">
        <f>IF($B101&lt;=Factores!$D$3,"",Z24)</f>
        <v/>
      </c>
      <c r="AA101" s="780" t="str">
        <f>IF($B101&lt;=Factores!$D$3,"",AA24)</f>
        <v/>
      </c>
      <c r="AB101" s="780" t="str">
        <f>IF($B101&lt;=Factores!$D$3,"",AB24)</f>
        <v/>
      </c>
      <c r="AC101" s="780" t="str">
        <f>IF($B101&lt;=Factores!$D$3,"",AC24)</f>
        <v/>
      </c>
      <c r="AD101" s="780" t="str">
        <f>IF($B101&lt;=Factores!$D$3,"",AD24)</f>
        <v/>
      </c>
      <c r="AE101" s="780" t="str">
        <f>IF($B101&lt;=Factores!$D$3,"",AE24)</f>
        <v/>
      </c>
      <c r="AF101" s="780" t="str">
        <f>IF($B101&lt;=Factores!$D$3,"",AF24)</f>
        <v/>
      </c>
      <c r="AG101" s="780" t="str">
        <f>IF($B101&lt;=Factores!$D$3,"",AG24)</f>
        <v/>
      </c>
      <c r="AH101" s="780" t="str">
        <f>IF($B101&lt;=Factores!$D$3,"",AH24)</f>
        <v/>
      </c>
      <c r="AI101" s="780" t="str">
        <f>IF($B101&lt;=Factores!$D$3,"",AI24)</f>
        <v/>
      </c>
      <c r="AJ101" s="780" t="str">
        <f>IF($B101&lt;=Factores!$D$3,"",AJ24)</f>
        <v/>
      </c>
      <c r="AK101" s="780" t="str">
        <f>IF($B101&lt;=Factores!$D$3,"",AK24)</f>
        <v/>
      </c>
      <c r="AL101" s="780" t="str">
        <f>IF($B101&lt;=Factores!$D$3,"",AL24)</f>
        <v/>
      </c>
      <c r="AM101" s="780" t="str">
        <f>IF($B101&lt;=Factores!$D$3,"",AM24)</f>
        <v/>
      </c>
      <c r="AN101" s="780" t="str">
        <f>IF($B101&lt;=Factores!$D$3,"",AN24)</f>
        <v/>
      </c>
      <c r="AO101" s="780" t="str">
        <f>IF($B101&lt;=Factores!$D$3,"",AO24)</f>
        <v/>
      </c>
      <c r="AP101" s="780" t="str">
        <f>IF($B101&lt;=Factores!$D$3,"",AP24)</f>
        <v/>
      </c>
      <c r="AQ101" s="780" t="str">
        <f>IF($B101&lt;=Factores!$D$3,"",AQ24)</f>
        <v/>
      </c>
      <c r="AR101" s="780" t="str">
        <f>IF($B101&lt;=Factores!$D$3,"",AR24)</f>
        <v/>
      </c>
      <c r="AS101" s="780" t="str">
        <f>IF($B101&lt;=Factores!$D$3,"",AS24)</f>
        <v/>
      </c>
      <c r="AT101" s="780" t="str">
        <f>IF($B101&lt;=Factores!$D$3,"",AT24)</f>
        <v/>
      </c>
      <c r="AU101" s="780" t="str">
        <f>IF($B101&lt;=Factores!$D$3,"",AU24)</f>
        <v/>
      </c>
      <c r="AV101" s="780"/>
      <c r="AW101" s="780" t="str">
        <f>IF($B101&lt;=Factores!$D$3,"",AW24)</f>
        <v/>
      </c>
      <c r="AX101" s="780" t="str">
        <f>IF($B101&lt;=Factores!$D$3,"",AX24)</f>
        <v/>
      </c>
      <c r="AY101" s="780" t="str">
        <f>IF($B101&lt;=Factores!$D$3,"",AY24)</f>
        <v/>
      </c>
      <c r="AZ101" s="780" t="str">
        <f>IF($B101&lt;=Factores!$D$3,"",AZ24)</f>
        <v/>
      </c>
      <c r="BA101" s="780" t="str">
        <f>IF($B101&lt;=Factores!$D$3,"",BA24)</f>
        <v/>
      </c>
      <c r="BB101" s="780" t="str">
        <f>IF($B101&lt;=Factores!$D$3,"",BB24)</f>
        <v/>
      </c>
      <c r="BC101" s="780"/>
      <c r="BD101" s="794" t="str">
        <f>IF($B101&lt;=Factores!$D$3,"",BD24)</f>
        <v/>
      </c>
      <c r="BE101" s="780" t="str">
        <f>IF($B101&lt;=Factores!$D$3,"",BE24)</f>
        <v/>
      </c>
      <c r="BF101" s="780" t="str">
        <f>IF($B101&lt;=Factores!$D$3,"",BF24)</f>
        <v/>
      </c>
      <c r="BG101" s="780" t="str">
        <f>IF($B101&lt;=Factores!$D$3,"",BG24)</f>
        <v/>
      </c>
      <c r="BH101" s="780" t="str">
        <f>IF($B101&lt;=Factores!$D$3,"",BH24)</f>
        <v/>
      </c>
      <c r="BI101" s="780" t="str">
        <f>IF($B101&lt;=Factores!$D$3,"",BI24)</f>
        <v/>
      </c>
      <c r="BJ101" s="780" t="str">
        <f>IF($B101&lt;=Factores!$D$3,"",BJ24)</f>
        <v/>
      </c>
      <c r="BK101" s="780" t="str">
        <f>IF($B101&lt;=Factores!$D$3,"",BK24)</f>
        <v/>
      </c>
      <c r="BL101" s="780" t="str">
        <f>IF($B101&lt;=Factores!$D$3,"",BL24)</f>
        <v/>
      </c>
      <c r="BM101" s="780"/>
      <c r="BN101" s="780"/>
      <c r="BO101" s="780"/>
      <c r="BP101" s="780"/>
      <c r="BQ101" s="780"/>
      <c r="BR101" s="780" t="str">
        <f>IF($B101&lt;=Factores!$D$3,"",BR24)</f>
        <v/>
      </c>
      <c r="BS101" s="780" t="str">
        <f>IF($B101&lt;=Factores!$D$3,"",BS24)</f>
        <v/>
      </c>
      <c r="BT101" s="780" t="str">
        <f>IF($B101&lt;=Factores!$D$3,"",BT24)</f>
        <v/>
      </c>
      <c r="BU101" s="780" t="str">
        <f>IF($B101&lt;=Factores!$D$3,"",BU24)</f>
        <v/>
      </c>
      <c r="BV101" s="780" t="str">
        <f>IF($B101&lt;=Factores!$D$3,"",BV24)</f>
        <v/>
      </c>
      <c r="BW101" s="780" t="str">
        <f>IF($B101&lt;=Factores!$D$3,"",BW24)</f>
        <v/>
      </c>
      <c r="BX101" s="780" t="str">
        <f>IF($B101&lt;=Factores!$D$3,"",BX24)</f>
        <v/>
      </c>
      <c r="BY101" s="780" t="str">
        <f>IF($B101&lt;=Factores!$D$3,"",BY24)</f>
        <v/>
      </c>
      <c r="BZ101" s="780" t="str">
        <f>IF($B101&lt;=Factores!$D$3,"",BZ24)</f>
        <v/>
      </c>
      <c r="CA101" s="780" t="str">
        <f>IF($B101&lt;=Factores!$D$3,"",CA24)</f>
        <v/>
      </c>
      <c r="CB101" s="780" t="str">
        <f>IF($B101&lt;=Factores!$D$3,"",CB24)</f>
        <v/>
      </c>
      <c r="CC101" s="780" t="str">
        <f>IF($B101&lt;=Factores!$D$3,"",CC24)</f>
        <v/>
      </c>
      <c r="CD101" s="780"/>
      <c r="CE101" s="780"/>
      <c r="CF101" s="780"/>
      <c r="CG101" s="780"/>
      <c r="CH101" s="780"/>
      <c r="CI101" s="780"/>
      <c r="CJ101" s="780"/>
      <c r="CK101" s="780"/>
      <c r="CL101" s="780"/>
      <c r="CM101" s="780"/>
      <c r="CN101" s="780"/>
      <c r="CO101" s="780"/>
      <c r="CP101" s="780"/>
      <c r="CQ101" s="780"/>
      <c r="CR101" s="780"/>
      <c r="CS101" s="780"/>
      <c r="CT101" s="780"/>
      <c r="CU101" s="780"/>
      <c r="CV101" s="780"/>
      <c r="CW101" s="780"/>
      <c r="CX101" s="780" t="str">
        <f>IF($B101&lt;=Factores!$D$3,"",CX24)</f>
        <v/>
      </c>
      <c r="CY101" s="780" t="str">
        <f>IF($B101&lt;=Factores!$D$3,"",CY24)</f>
        <v/>
      </c>
      <c r="CZ101" s="780" t="str">
        <f>IF($B101&lt;=Factores!$D$3,"",CZ24)</f>
        <v/>
      </c>
      <c r="DA101" s="780" t="str">
        <f>IF($B101&lt;=Factores!$D$3,"",DA24)</f>
        <v/>
      </c>
      <c r="DB101" s="780"/>
      <c r="DC101" s="780"/>
      <c r="DD101" s="780"/>
      <c r="DE101" s="780"/>
      <c r="DF101" s="780"/>
      <c r="DG101" s="780"/>
      <c r="DH101" s="780"/>
      <c r="DI101" s="780"/>
      <c r="DJ101" s="780"/>
      <c r="DK101" s="780"/>
      <c r="DL101" s="780" t="str">
        <f>IF($B101&lt;=Factores!$D$3,"",DL24)</f>
        <v/>
      </c>
      <c r="DM101" s="780" t="str">
        <f>IF($B101&lt;=Factores!$D$3,"",DM24)</f>
        <v/>
      </c>
      <c r="DN101" s="780" t="str">
        <f>IF($B101&lt;=Factores!$D$3,"",DN24)</f>
        <v/>
      </c>
      <c r="DO101" s="780" t="str">
        <f>IF($B101&lt;=Factores!$D$3,"",DO24)</f>
        <v/>
      </c>
      <c r="DP101" s="780" t="str">
        <f>IF($B101&lt;=Factores!$D$3,"",DP24)</f>
        <v/>
      </c>
      <c r="DQ101" s="780" t="str">
        <f>IF($B101&lt;=Factores!$D$3,"",DQ24)</f>
        <v/>
      </c>
      <c r="DR101" s="780" t="str">
        <f>IF($B101&lt;=Factores!$D$3,"",DR24)</f>
        <v/>
      </c>
      <c r="DS101" s="780" t="str">
        <f>IF($B101&lt;=Factores!$D$3,"",DS24)</f>
        <v/>
      </c>
      <c r="DT101" s="780" t="str">
        <f>IF($B101&lt;=Factores!$D$3,"",DT24)</f>
        <v/>
      </c>
      <c r="DU101" s="780" t="str">
        <f>IF($B101&lt;=Factores!$D$3,"",DU24)</f>
        <v/>
      </c>
      <c r="DV101" s="780" t="str">
        <f>IF($B101&lt;=Factores!$D$3,"",DV24)</f>
        <v/>
      </c>
      <c r="DW101" s="780" t="str">
        <f>IF($B101&lt;=Factores!$D$3,"",DW24)</f>
        <v/>
      </c>
      <c r="DX101" s="780" t="str">
        <f>IF($B101&lt;=Factores!$D$3,"",DX24)</f>
        <v/>
      </c>
      <c r="DY101" s="780" t="str">
        <f>IF($B101&lt;=Factores!$D$3,"",DY24)</f>
        <v/>
      </c>
      <c r="DZ101" s="780" t="str">
        <f>IF($B101&lt;=Factores!$D$3,"",DZ24)</f>
        <v/>
      </c>
      <c r="EA101" s="780" t="str">
        <f>IF($B101&lt;=Factores!$D$3,"",EA24)</f>
        <v/>
      </c>
      <c r="EB101" s="780" t="str">
        <f>IF($B101&lt;=Factores!$D$3,"",EB24)</f>
        <v/>
      </c>
      <c r="EC101" s="780" t="str">
        <f>IF($B101&lt;=Factores!$D$3,"",EC24)</f>
        <v/>
      </c>
      <c r="ED101" s="780" t="str">
        <f>IF($B101&lt;=Factores!$D$3,"",ED24)</f>
        <v/>
      </c>
      <c r="EE101" s="780" t="str">
        <f>IF($B101&lt;=Factores!$D$3,"",EE24)</f>
        <v/>
      </c>
      <c r="EF101" s="780" t="str">
        <f>IF($B101&lt;=Factores!$D$3,"",EF24)</f>
        <v/>
      </c>
      <c r="EG101" s="780" t="str">
        <f>IF($B101&lt;=Factores!$D$3,"",EG24)</f>
        <v/>
      </c>
      <c r="EH101" s="780" t="str">
        <f>IF($B101&lt;=Factores!$D$3,"",EH24)</f>
        <v/>
      </c>
      <c r="EI101" s="780" t="str">
        <f>IF($B101&lt;=Factores!$D$3,"",EI24)</f>
        <v/>
      </c>
      <c r="EJ101" s="780" t="str">
        <f>IF($B101&lt;=Factores!$D$3,"",EJ24)</f>
        <v/>
      </c>
      <c r="EK101" s="780" t="str">
        <f>IF($B101&lt;=Factores!$D$3,"",EK24)</f>
        <v/>
      </c>
      <c r="EL101" s="780" t="str">
        <f>IF($B101&lt;=Factores!$D$3,"",EL24)</f>
        <v/>
      </c>
    </row>
    <row r="102" spans="2:142" ht="14.25" customHeight="1">
      <c r="B102" s="794">
        <f t="shared" si="239"/>
        <v>46099.791666666664</v>
      </c>
      <c r="C102" s="780">
        <f>IF($B102&lt;=Factores!$D$3,"",C25)</f>
        <v>184999.99999976202</v>
      </c>
      <c r="D102" s="780">
        <f>IF($B102&lt;=Factores!$D$3,"",D25)</f>
        <v>618796.75273211498</v>
      </c>
      <c r="E102" s="780">
        <f>IF($B102&lt;=Factores!$D$3,"",E25)</f>
        <v>192365.45962490924</v>
      </c>
      <c r="F102" s="780">
        <f>IF($B102&lt;=Factores!$D$3,"",F25)</f>
        <v>39925.121459147937</v>
      </c>
      <c r="G102" s="780">
        <f>IF($B102&lt;=Factores!$D$3,"",G25)</f>
        <v>152440.33816576132</v>
      </c>
      <c r="H102" s="780">
        <f>IF($B102&lt;=Factores!$D$3,"",H25)</f>
        <v>98.056332111173901</v>
      </c>
      <c r="I102" s="780">
        <f>IF($B102&lt;=Factores!$D$3,"",I25)</f>
        <v>97.12989278992228</v>
      </c>
      <c r="J102" s="780">
        <f>IF($B102&lt;=Factores!$D$3,"",J25)</f>
        <v>97.885672723806138</v>
      </c>
      <c r="K102" s="780">
        <f>IF($B102&lt;=Factores!$D$3,"",K25)</f>
        <v>87.590883446912244</v>
      </c>
      <c r="L102" s="3107">
        <f>IF($B102&lt;=Factores!$D$3,"",L25)</f>
        <v>0.56886214340434216</v>
      </c>
      <c r="M102" s="780">
        <f>IF($B102&lt;=Factores!$D$3,"",M25)</f>
        <v>90.926839648250052</v>
      </c>
      <c r="N102" s="780">
        <f>IF($B102&lt;=Factores!$D$3,"",N25)</f>
        <v>27.392396331005557</v>
      </c>
      <c r="O102" s="780">
        <f>IF($B102&lt;=Factores!$D$3,"",O25)</f>
        <v>3632.4211664982063</v>
      </c>
      <c r="P102" s="780">
        <f>IF($B102&lt;=Factores!$D$3,"",P25)</f>
        <v>2878.5183788251875</v>
      </c>
      <c r="Q102" s="780">
        <f>IF($B102&lt;=Factores!$D$3,"",Q25)</f>
        <v>753.90278767301947</v>
      </c>
      <c r="R102" s="780">
        <f>IF($B102&lt;=Factores!$D$3,"",R25)</f>
        <v>54941.004360641506</v>
      </c>
      <c r="S102" s="780">
        <f>IF($B102&lt;=Factores!$D$3,"",S25)</f>
        <v>995.00720233852394</v>
      </c>
      <c r="T102" s="780">
        <f>IF($B102&lt;=Factores!$D$3,"",T25)</f>
        <v>788.49516278863132</v>
      </c>
      <c r="U102" s="780">
        <f>IF($B102&lt;=Factores!$D$3,"",U25)</f>
        <v>206.51203954989279</v>
      </c>
      <c r="V102" s="780">
        <f>IF($B102&lt;=Factores!$D$3,"",V25)</f>
        <v>14535.089508839223</v>
      </c>
      <c r="W102" s="780">
        <f>IF($B102&lt;=Factores!$D$3,"",W25)</f>
        <v>215.69511239515333</v>
      </c>
      <c r="X102" s="780">
        <f>IF($B102&lt;=Factores!$D$3,"",X25)</f>
        <v>92.30338598366572</v>
      </c>
      <c r="Y102" s="780">
        <f>IF($B102&lt;=Factores!$D$3,"",Y25)</f>
        <v>86.892381009980454</v>
      </c>
      <c r="Z102" s="780">
        <f>IF($B102&lt;=Factores!$D$3,"",Z25)</f>
        <v>80.204609834039715</v>
      </c>
      <c r="AA102" s="780">
        <f>IF($B102&lt;=Factores!$D$3,"",AA25)</f>
        <v>50</v>
      </c>
      <c r="AB102" s="780">
        <f>IF($B102&lt;=Factores!$D$3,"",AB25)</f>
        <v>66.557457704687607</v>
      </c>
      <c r="AC102" s="780">
        <f>IF($B102&lt;=Factores!$D$3,"",AC25)</f>
        <v>66.557457704687607</v>
      </c>
      <c r="AD102" s="780">
        <f>IF($B102&lt;=Factores!$D$3,"",AD25)</f>
        <v>66.557457704687607</v>
      </c>
      <c r="AE102" s="780">
        <f>IF($B102&lt;=Factores!$D$3,"",AE25)</f>
        <v>33.278728852343804</v>
      </c>
      <c r="AF102" s="780">
        <f>IF($B102&lt;=Factores!$D$3,"",AF25)</f>
        <v>486.08241425522084</v>
      </c>
      <c r="AG102" s="780">
        <f>IF($B102&lt;=Factores!$D$3,"",AG25)</f>
        <v>33.278728852343804</v>
      </c>
      <c r="AH102" s="780">
        <f>IF($B102&lt;=Factores!$D$3,"",AH25)</f>
        <v>303.65743099423651</v>
      </c>
      <c r="AI102" s="780">
        <f>IF($B102&lt;=Factores!$D$3,"",AI25)</f>
        <v>1091.4822372814685</v>
      </c>
      <c r="AJ102" s="780">
        <f>IF($B102&lt;=Factores!$D$3,"",AJ25)</f>
        <v>15944.242427765106</v>
      </c>
      <c r="AK102" s="780">
        <f>IF($B102&lt;=Factores!$D$3,"",AK25)</f>
        <v>2990</v>
      </c>
      <c r="AL102" s="780">
        <f>IF($B102&lt;=Factores!$D$3,"",AL25)</f>
        <v>27.911463669552148</v>
      </c>
      <c r="AM102" s="780">
        <f>IF($B102&lt;=Factores!$D$3,"",AM25)</f>
        <v>834.55276371960917</v>
      </c>
      <c r="AN102" s="780">
        <f>IF($B102&lt;=Factores!$D$3,"",AN25)</f>
        <v>2990</v>
      </c>
      <c r="AO102" s="780">
        <f>IF($B102&lt;=Factores!$D$3,"",AO25)</f>
        <v>28.488910364507881</v>
      </c>
      <c r="AP102" s="780">
        <f>IF($B102&lt;=Factores!$D$3,"",AP25)</f>
        <v>851.81841989878569</v>
      </c>
      <c r="AQ102" s="780">
        <f>IF($B102&lt;=Factores!$D$3,"",AQ25)</f>
        <v>2.8638560982822594</v>
      </c>
      <c r="AR102" s="780">
        <f>IF($B102&lt;=Factores!$D$3,"",AR25)</f>
        <v>3690.5108464206196</v>
      </c>
      <c r="AS102" s="780">
        <f>IF($B102&lt;=Factores!$D$3,"",AS25)</f>
        <v>642.42116649820628</v>
      </c>
      <c r="AT102" s="780">
        <f>IF($B102&lt;=Factores!$D$3,"",AT25)</f>
        <v>36.941364576954399</v>
      </c>
      <c r="AU102" s="780">
        <f>IF($B102&lt;=Factores!$D$3,"",AU25)</f>
        <v>93.647047578349571</v>
      </c>
      <c r="AV102" s="780"/>
      <c r="AW102" s="780">
        <f>IF($B102&lt;=Factores!$D$3,"",AW25)</f>
        <v>819.44931994263186</v>
      </c>
      <c r="AX102" s="780">
        <f>IF($B102&lt;=Factores!$D$3,"",AX25)</f>
        <v>4.3497652831422418</v>
      </c>
      <c r="AY102" s="780">
        <f>IF($B102&lt;=Factores!$D$3,"",AY25)</f>
        <v>185.32431017474977</v>
      </c>
      <c r="AZ102" s="780">
        <f>IF($B102&lt;=Factores!$D$3,"",AZ25)</f>
        <v>2.8638560982822594</v>
      </c>
      <c r="BA102" s="780">
        <f>IF($B102&lt;=Factores!$D$3,"",BA25)</f>
        <v>8015.2274843712185</v>
      </c>
      <c r="BB102" s="780">
        <f>IF($B102&lt;=Factores!$D$3,"",BB25)</f>
        <v>2.9648085604373295</v>
      </c>
      <c r="BC102" s="780"/>
      <c r="BD102" s="794">
        <f>IF($B102&lt;=Factores!$D$3,"",BD25)</f>
        <v>46099.791666666664</v>
      </c>
      <c r="BE102" s="780">
        <f>IF($B102&lt;=Factores!$D$3,"",BE25)</f>
        <v>4.1455626305146452E-2</v>
      </c>
      <c r="BF102" s="780">
        <f>IF($B102&lt;=Factores!$D$3,"",BF25)</f>
        <v>1.434431134550098</v>
      </c>
      <c r="BG102" s="780">
        <f>IF($B102&lt;=Factores!$D$3,"",BG25)</f>
        <v>1.2651778946604433</v>
      </c>
      <c r="BH102" s="780">
        <f>IF($B102&lt;=Factores!$D$3,"",BH25)</f>
        <v>43.777183571827663</v>
      </c>
      <c r="BI102" s="780">
        <f>IF($B102&lt;=Factores!$D$3,"",BI25)</f>
        <v>16.373163639706902</v>
      </c>
      <c r="BJ102" s="780">
        <f>IF($B102&lt;=Factores!$D$3,"",BJ25)</f>
        <v>736.7923637868106</v>
      </c>
      <c r="BK102" s="780">
        <f>IF($B102&lt;=Factores!$D$3,"",BK25)</f>
        <v>1.346663793300209</v>
      </c>
      <c r="BL102" s="780">
        <f>IF($B102&lt;=Factores!$D$3,"",BL25)</f>
        <v>6.2119633483508334</v>
      </c>
      <c r="BM102" s="780"/>
      <c r="BN102" s="780"/>
      <c r="BO102" s="780"/>
      <c r="BP102" s="780"/>
      <c r="BQ102" s="780"/>
      <c r="BR102" s="780">
        <f>IF($B102&lt;=Factores!$D$3,"",BR25)</f>
        <v>6477.5834667212921</v>
      </c>
      <c r="BS102" s="780">
        <f>IF($B102&lt;=Factores!$D$3,"",BS25)</f>
        <v>1713.0005398114006</v>
      </c>
      <c r="BT102" s="780">
        <f>IF($B102&lt;=Factores!$D$3,"",BT25)</f>
        <v>8194.0464415609567</v>
      </c>
      <c r="BU102" s="780">
        <f>IF($B102&lt;=Factores!$D$3,"",BU25)</f>
        <v>2159.5694141526096</v>
      </c>
      <c r="BV102" s="780">
        <f>IF($B102&lt;=Factores!$D$3,"",BV25)</f>
        <v>2159.5694141526096</v>
      </c>
      <c r="BW102" s="780">
        <f>IF($B102&lt;=Factores!$D$3,"",BW25)</f>
        <v>2159.5694141526096</v>
      </c>
      <c r="BX102" s="780">
        <f>IF($B102&lt;=Factores!$D$3,"",BX25)</f>
        <v>98.056332111173916</v>
      </c>
      <c r="BY102" s="780">
        <f>IF($B102&lt;=Factores!$D$3,"",BY25)</f>
        <v>98.056332111173916</v>
      </c>
      <c r="BZ102" s="780">
        <f>IF($B102&lt;=Factores!$D$3,"",BZ25)</f>
        <v>98.056332111173916</v>
      </c>
      <c r="CA102" s="780">
        <f>IF($B102&lt;=Factores!$D$3,"",CA25)</f>
        <v>97.12989278992228</v>
      </c>
      <c r="CB102" s="780">
        <f>IF($B102&lt;=Factores!$D$3,"",CB25)</f>
        <v>97.885715079916608</v>
      </c>
      <c r="CC102" s="780">
        <f>IF($B102&lt;=Factores!$D$3,"",CC25)</f>
        <v>98.056332111173901</v>
      </c>
      <c r="CD102" s="780"/>
      <c r="CE102" s="780"/>
      <c r="CF102" s="780"/>
      <c r="CG102" s="780"/>
      <c r="CH102" s="780"/>
      <c r="CI102" s="780"/>
      <c r="CJ102" s="780"/>
      <c r="CK102" s="780"/>
      <c r="CL102" s="780"/>
      <c r="CM102" s="780"/>
      <c r="CN102" s="780"/>
      <c r="CO102" s="780"/>
      <c r="CP102" s="780"/>
      <c r="CQ102" s="780"/>
      <c r="CR102" s="780"/>
      <c r="CS102" s="780"/>
      <c r="CT102" s="780"/>
      <c r="CU102" s="780"/>
      <c r="CV102" s="780"/>
      <c r="CW102" s="780"/>
      <c r="CX102" s="780">
        <f>IF($B102&lt;=Factores!$D$3,"",CX25)</f>
        <v>0</v>
      </c>
      <c r="CY102" s="780">
        <f>IF($B102&lt;=Factores!$D$3,"",CY25)</f>
        <v>0</v>
      </c>
      <c r="CZ102" s="780">
        <f>IF($B102&lt;=Factores!$D$3,"",CZ25)</f>
        <v>0</v>
      </c>
      <c r="DA102" s="780">
        <f>IF($B102&lt;=Factores!$D$3,"",DA25)</f>
        <v>0</v>
      </c>
      <c r="DB102" s="780"/>
      <c r="DC102" s="780"/>
      <c r="DD102" s="780"/>
      <c r="DE102" s="780"/>
      <c r="DF102" s="780"/>
      <c r="DG102" s="780"/>
      <c r="DH102" s="780"/>
      <c r="DI102" s="780"/>
      <c r="DJ102" s="780"/>
      <c r="DK102" s="780"/>
      <c r="DL102" s="780">
        <f>IF($B102&lt;=Factores!$D$3,"",DL25)</f>
        <v>0</v>
      </c>
      <c r="DM102" s="780">
        <f>IF($B102&lt;=Factores!$D$3,"",DM25)</f>
        <v>0</v>
      </c>
      <c r="DN102" s="780">
        <f>IF($B102&lt;=Factores!$D$3,"",DN25)</f>
        <v>0</v>
      </c>
      <c r="DO102" s="780">
        <f>IF($B102&lt;=Factores!$D$3,"",DO25)</f>
        <v>0</v>
      </c>
      <c r="DP102" s="780">
        <f>IF($B102&lt;=Factores!$D$3,"",DP25)</f>
        <v>0</v>
      </c>
      <c r="DQ102" s="780">
        <f>IF($B102&lt;=Factores!$D$3,"",DQ25)</f>
        <v>0</v>
      </c>
      <c r="DR102" s="780">
        <f>IF($B102&lt;=Factores!$D$3,"",DR25)</f>
        <v>0</v>
      </c>
      <c r="DS102" s="780">
        <f>IF($B102&lt;=Factores!$D$3,"",DS25)</f>
        <v>0</v>
      </c>
      <c r="DT102" s="780">
        <f>IF($B102&lt;=Factores!$D$3,"",DT25)</f>
        <v>0</v>
      </c>
      <c r="DU102" s="780">
        <f>IF($B102&lt;=Factores!$D$3,"",DU25)</f>
        <v>0</v>
      </c>
      <c r="DV102" s="780">
        <f>IF($B102&lt;=Factores!$D$3,"",DV25)</f>
        <v>0</v>
      </c>
      <c r="DW102" s="780">
        <f>IF($B102&lt;=Factores!$D$3,"",DW25)</f>
        <v>7.2602333333333338E-2</v>
      </c>
      <c r="DX102" s="780">
        <f>IF($B102&lt;=Factores!$D$3,"",DX25)</f>
        <v>7.2602333333333338E-2</v>
      </c>
      <c r="DY102" s="780">
        <f>IF($B102&lt;=Factores!$D$3,"",DY25)</f>
        <v>7.2602333333333338E-2</v>
      </c>
      <c r="DZ102" s="780">
        <f>IF($B102&lt;=Factores!$D$3,"",DZ25)</f>
        <v>7.2602333333333338E-2</v>
      </c>
      <c r="EA102" s="780">
        <f>IF($B102&lt;=Factores!$D$3,"",EA25)</f>
        <v>0</v>
      </c>
      <c r="EB102" s="780">
        <f>IF($B102&lt;=Factores!$D$3,"",EB25)</f>
        <v>0</v>
      </c>
      <c r="EC102" s="780">
        <f>IF($B102&lt;=Factores!$D$3,"",EC25)</f>
        <v>0</v>
      </c>
      <c r="ED102" s="780">
        <f>IF($B102&lt;=Factores!$D$3,"",ED25)</f>
        <v>0</v>
      </c>
      <c r="EE102" s="780">
        <f>IF($B102&lt;=Factores!$D$3,"",EE25)</f>
        <v>0.05</v>
      </c>
      <c r="EF102" s="780">
        <f>IF($B102&lt;=Factores!$D$3,"",EF25)</f>
        <v>0.05</v>
      </c>
      <c r="EG102" s="780">
        <f>IF($B102&lt;=Factores!$D$3,"",EG25)</f>
        <v>0.05</v>
      </c>
      <c r="EH102" s="780">
        <f>IF($B102&lt;=Factores!$D$3,"",EH25)</f>
        <v>0.05</v>
      </c>
      <c r="EI102" s="780">
        <f>IF($B102&lt;=Factores!$D$3,"",EI25)</f>
        <v>4.1666666666666666E-3</v>
      </c>
      <c r="EJ102" s="780">
        <f>IF($B102&lt;=Factores!$D$3,"",EJ25)</f>
        <v>4.1666666666666666E-3</v>
      </c>
      <c r="EK102" s="780">
        <f>IF($B102&lt;=Factores!$D$3,"",EK25)</f>
        <v>4.1666666666666666E-3</v>
      </c>
      <c r="EL102" s="780">
        <f>IF($B102&lt;=Factores!$D$3,"",EL25)</f>
        <v>4.1666666666666666E-3</v>
      </c>
    </row>
    <row r="103" spans="2:142" ht="14.25" customHeight="1">
      <c r="B103" s="794">
        <f t="shared" si="239"/>
        <v>46100.791666666664</v>
      </c>
      <c r="C103" s="780">
        <f>IF($B103&lt;=Factores!$D$3,"",C26)</f>
        <v>219999.99999969656</v>
      </c>
      <c r="D103" s="780">
        <f>IF($B103&lt;=Factores!$D$3,"",D26)</f>
        <v>644095.91337383026</v>
      </c>
      <c r="E103" s="780">
        <f>IF($B103&lt;=Factores!$D$3,"",E26)</f>
        <v>194700.83935798128</v>
      </c>
      <c r="F103" s="780">
        <f>IF($B103&lt;=Factores!$D$3,"",F26)</f>
        <v>40398.025382956475</v>
      </c>
      <c r="G103" s="780">
        <f>IF($B103&lt;=Factores!$D$3,"",G26)</f>
        <v>154302.81397502479</v>
      </c>
      <c r="H103" s="780">
        <f>IF($B103&lt;=Factores!$D$3,"",H26)</f>
        <v>98.056332111173901</v>
      </c>
      <c r="I103" s="780">
        <f>IF($B103&lt;=Factores!$D$3,"",I26)</f>
        <v>97.12989278992228</v>
      </c>
      <c r="J103" s="780">
        <f>IF($B103&lt;=Factores!$D$3,"",J26)</f>
        <v>97.885672723806138</v>
      </c>
      <c r="K103" s="780">
        <f>IF($B103&lt;=Factores!$D$3,"",K26)</f>
        <v>90.578700227860679</v>
      </c>
      <c r="L103" s="3107">
        <f>IF($B103&lt;=Factores!$D$3,"",L26)</f>
        <v>0.57285134895832379</v>
      </c>
      <c r="M103" s="780">
        <f>IF($B103&lt;=Factores!$D$3,"",M26)</f>
        <v>90.59379882412091</v>
      </c>
      <c r="N103" s="780">
        <f>IF($B103&lt;=Factores!$D$3,"",N26)</f>
        <v>27.98518896538231</v>
      </c>
      <c r="O103" s="780">
        <f>IF($B103&lt;=Factores!$D$3,"",O26)</f>
        <v>3610.6050996937756</v>
      </c>
      <c r="P103" s="780">
        <f>IF($B103&lt;=Factores!$D$3,"",P26)</f>
        <v>2861.4490254506782</v>
      </c>
      <c r="Q103" s="780">
        <f>IF($B103&lt;=Factores!$D$3,"",Q26)</f>
        <v>749.15607424309769</v>
      </c>
      <c r="R103" s="780">
        <f>IF($B103&lt;=Factores!$D$3,"",R26)</f>
        <v>58551.609460335283</v>
      </c>
      <c r="S103" s="780">
        <f>IF($B103&lt;=Factores!$D$3,"",S26)</f>
        <v>1010.4346599430335</v>
      </c>
      <c r="T103" s="780">
        <f>IF($B103&lt;=Factores!$D$3,"",T26)</f>
        <v>800.78191692046278</v>
      </c>
      <c r="U103" s="780">
        <f>IF($B103&lt;=Factores!$D$3,"",U26)</f>
        <v>209.65274302257069</v>
      </c>
      <c r="V103" s="780">
        <f>IF($B103&lt;=Factores!$D$3,"",V26)</f>
        <v>15545.524168782256</v>
      </c>
      <c r="W103" s="780">
        <f>IF($B103&lt;=Factores!$D$3,"",W26)</f>
        <v>282.06358348329417</v>
      </c>
      <c r="X103" s="780">
        <f>IF($B103&lt;=Factores!$D$3,"",X26)</f>
        <v>93.244009250906288</v>
      </c>
      <c r="Y103" s="780">
        <f>IF($B103&lt;=Factores!$D$3,"",Y26)</f>
        <v>87.629658443736986</v>
      </c>
      <c r="Z103" s="780">
        <f>IF($B103&lt;=Factores!$D$3,"",Z26)</f>
        <v>81.709406825815691</v>
      </c>
      <c r="AA103" s="780">
        <f>IF($B103&lt;=Factores!$D$3,"",AA26)</f>
        <v>50</v>
      </c>
      <c r="AB103" s="780">
        <f>IF($B103&lt;=Factores!$D$3,"",AB26)</f>
        <v>89.746370974248421</v>
      </c>
      <c r="AC103" s="780">
        <f>IF($B103&lt;=Factores!$D$3,"",AC26)</f>
        <v>89.746370974248421</v>
      </c>
      <c r="AD103" s="780">
        <f>IF($B103&lt;=Factores!$D$3,"",AD26)</f>
        <v>89.746370974248421</v>
      </c>
      <c r="AE103" s="780">
        <f>IF($B103&lt;=Factores!$D$3,"",AE26)</f>
        <v>44.873185487124211</v>
      </c>
      <c r="AF103" s="780">
        <f>IF($B103&lt;=Factores!$D$3,"",AF26)</f>
        <v>530.95559974234504</v>
      </c>
      <c r="AG103" s="780">
        <f>IF($B103&lt;=Factores!$D$3,"",AG26)</f>
        <v>44.873185487124211</v>
      </c>
      <c r="AH103" s="780">
        <f>IF($B103&lt;=Factores!$D$3,"",AH26)</f>
        <v>303.65743099423651</v>
      </c>
      <c r="AI103" s="780">
        <f>IF($B103&lt;=Factores!$D$3,"",AI26)</f>
        <v>1140.5220246702065</v>
      </c>
      <c r="AJ103" s="780">
        <f>IF($B103&lt;=Factores!$D$3,"",AJ26)</f>
        <v>17084.764452435313</v>
      </c>
      <c r="AK103" s="780">
        <f>IF($B103&lt;=Factores!$D$3,"",AK26)</f>
        <v>2990</v>
      </c>
      <c r="AL103" s="780">
        <f>IF($B103&lt;=Factores!$D$3,"",AL26)</f>
        <v>27.392396331005557</v>
      </c>
      <c r="AM103" s="780">
        <f>IF($B103&lt;=Factores!$D$3,"",AM26)</f>
        <v>819.03265029706608</v>
      </c>
      <c r="AN103" s="780">
        <f>IF($B103&lt;=Factores!$D$3,"",AN26)</f>
        <v>2990</v>
      </c>
      <c r="AO103" s="780">
        <f>IF($B103&lt;=Factores!$D$3,"",AO26)</f>
        <v>27.911463669552148</v>
      </c>
      <c r="AP103" s="780">
        <f>IF($B103&lt;=Factores!$D$3,"",AP26)</f>
        <v>834.55276371960917</v>
      </c>
      <c r="AQ103" s="780">
        <f>IF($B103&lt;=Factores!$D$3,"",AQ26)</f>
        <v>3.096517410862305</v>
      </c>
      <c r="AR103" s="780">
        <f>IF($B103&lt;=Factores!$D$3,"",AR26)</f>
        <v>3866.3927426440441</v>
      </c>
      <c r="AS103" s="780">
        <f>IF($B103&lt;=Factores!$D$3,"",AS26)</f>
        <v>620.60509969377563</v>
      </c>
      <c r="AT103" s="780">
        <f>IF($B103&lt;=Factores!$D$3,"",AT26)</f>
        <v>37.752071762460638</v>
      </c>
      <c r="AU103" s="780">
        <f>IF($B103&lt;=Factores!$D$3,"",AU26)</f>
        <v>95.057164618721828</v>
      </c>
      <c r="AV103" s="780"/>
      <c r="AW103" s="780">
        <f>IF($B103&lt;=Factores!$D$3,"",AW26)</f>
        <v>802.83975869826395</v>
      </c>
      <c r="AX103" s="780">
        <f>IF($B103&lt;=Factores!$D$3,"",AX26)</f>
        <v>4.3674610798957367</v>
      </c>
      <c r="AY103" s="780">
        <f>IF($B103&lt;=Factores!$D$3,"",AY26)</f>
        <v>185.97680776469983</v>
      </c>
      <c r="AZ103" s="780">
        <f>IF($B103&lt;=Factores!$D$3,"",AZ26)</f>
        <v>3.096517410862305</v>
      </c>
      <c r="BA103" s="780">
        <f>IF($B103&lt;=Factores!$D$3,"",BA26)</f>
        <v>8112.5349732492205</v>
      </c>
      <c r="BB103" s="780">
        <f>IF($B103&lt;=Factores!$D$3,"",BB26)</f>
        <v>3.205671308964968</v>
      </c>
      <c r="BC103" s="780"/>
      <c r="BD103" s="794">
        <f>IF($B103&lt;=Factores!$D$3,"",BD26)</f>
        <v>46100.791666666664</v>
      </c>
      <c r="BE103" s="780">
        <f>IF($B103&lt;=Factores!$D$3,"",BE26)</f>
        <v>4.9886928224094823E-2</v>
      </c>
      <c r="BF103" s="780">
        <f>IF($B103&lt;=Factores!$D$3,"",BF26)</f>
        <v>1.7261676985645733</v>
      </c>
      <c r="BG103" s="780">
        <f>IF($B103&lt;=Factores!$D$3,"",BG26)</f>
        <v>1.3114882364023868</v>
      </c>
      <c r="BH103" s="780">
        <f>IF($B103&lt;=Factores!$D$3,"",BH26)</f>
        <v>45.379595643890653</v>
      </c>
      <c r="BI103" s="780">
        <f>IF($B103&lt;=Factores!$D$3,"",BI26)</f>
        <v>13.718164963383902</v>
      </c>
      <c r="BJ103" s="780">
        <f>IF($B103&lt;=Factores!$D$3,"",BJ26)</f>
        <v>617.31742335227557</v>
      </c>
      <c r="BK103" s="780">
        <f>IF($B103&lt;=Factores!$D$3,"",BK26)</f>
        <v>1.4734696709293165</v>
      </c>
      <c r="BL103" s="780">
        <f>IF($B103&lt;=Factores!$D$3,"",BL26)</f>
        <v>6.1392453921105927</v>
      </c>
      <c r="BM103" s="780"/>
      <c r="BN103" s="780"/>
      <c r="BO103" s="780"/>
      <c r="BP103" s="780"/>
      <c r="BQ103" s="780"/>
      <c r="BR103" s="780">
        <f>IF($B103&lt;=Factores!$D$3,"",BR26)</f>
        <v>6556.7248715122914</v>
      </c>
      <c r="BS103" s="780">
        <f>IF($B103&lt;=Factores!$D$3,"",BS26)</f>
        <v>1733.2906390561041</v>
      </c>
      <c r="BT103" s="780">
        <f>IF($B103&lt;=Factores!$D$3,"",BT26)</f>
        <v>8293.5248511922164</v>
      </c>
      <c r="BU103" s="780">
        <f>IF($B103&lt;=Factores!$D$3,"",BU26)</f>
        <v>2185.9544631539502</v>
      </c>
      <c r="BV103" s="780">
        <f>IF($B103&lt;=Factores!$D$3,"",BV26)</f>
        <v>2185.9544631539502</v>
      </c>
      <c r="BW103" s="780">
        <f>IF($B103&lt;=Factores!$D$3,"",BW26)</f>
        <v>2185.9544631539502</v>
      </c>
      <c r="BX103" s="780">
        <f>IF($B103&lt;=Factores!$D$3,"",BX26)</f>
        <v>98.056332111173916</v>
      </c>
      <c r="BY103" s="780">
        <f>IF($B103&lt;=Factores!$D$3,"",BY26)</f>
        <v>98.056332111173916</v>
      </c>
      <c r="BZ103" s="780">
        <f>IF($B103&lt;=Factores!$D$3,"",BZ26)</f>
        <v>98.056332111173916</v>
      </c>
      <c r="CA103" s="780">
        <f>IF($B103&lt;=Factores!$D$3,"",CA26)</f>
        <v>97.12989278992228</v>
      </c>
      <c r="CB103" s="780">
        <f>IF($B103&lt;=Factores!$D$3,"",CB26)</f>
        <v>97.885715079916608</v>
      </c>
      <c r="CC103" s="780">
        <f>IF($B103&lt;=Factores!$D$3,"",CC26)</f>
        <v>98.056332111173901</v>
      </c>
      <c r="CD103" s="780"/>
      <c r="CE103" s="780"/>
      <c r="CF103" s="780"/>
      <c r="CG103" s="780"/>
      <c r="CH103" s="780"/>
      <c r="CI103" s="780"/>
      <c r="CJ103" s="780"/>
      <c r="CK103" s="780"/>
      <c r="CL103" s="780"/>
      <c r="CM103" s="780"/>
      <c r="CN103" s="780"/>
      <c r="CO103" s="780"/>
      <c r="CP103" s="780"/>
      <c r="CQ103" s="780"/>
      <c r="CR103" s="780"/>
      <c r="CS103" s="780"/>
      <c r="CT103" s="780"/>
      <c r="CU103" s="780"/>
      <c r="CV103" s="780"/>
      <c r="CW103" s="780"/>
      <c r="CX103" s="780">
        <f>IF($B103&lt;=Factores!$D$3,"",CX26)</f>
        <v>0</v>
      </c>
      <c r="CY103" s="780">
        <f>IF($B103&lt;=Factores!$D$3,"",CY26)</f>
        <v>0</v>
      </c>
      <c r="CZ103" s="780">
        <f>IF($B103&lt;=Factores!$D$3,"",CZ26)</f>
        <v>0</v>
      </c>
      <c r="DA103" s="780">
        <f>IF($B103&lt;=Factores!$D$3,"",DA26)</f>
        <v>0</v>
      </c>
      <c r="DB103" s="780"/>
      <c r="DC103" s="780"/>
      <c r="DD103" s="780"/>
      <c r="DE103" s="780"/>
      <c r="DF103" s="780"/>
      <c r="DG103" s="780"/>
      <c r="DH103" s="780"/>
      <c r="DI103" s="780"/>
      <c r="DJ103" s="780"/>
      <c r="DK103" s="780"/>
      <c r="DL103" s="780">
        <f>IF($B103&lt;=Factores!$D$3,"",DL26)</f>
        <v>0</v>
      </c>
      <c r="DM103" s="780">
        <f>IF($B103&lt;=Factores!$D$3,"",DM26)</f>
        <v>0</v>
      </c>
      <c r="DN103" s="780">
        <f>IF($B103&lt;=Factores!$D$3,"",DN26)</f>
        <v>0</v>
      </c>
      <c r="DO103" s="780">
        <f>IF($B103&lt;=Factores!$D$3,"",DO26)</f>
        <v>0</v>
      </c>
      <c r="DP103" s="780">
        <f>IF($B103&lt;=Factores!$D$3,"",DP26)</f>
        <v>0</v>
      </c>
      <c r="DQ103" s="780">
        <f>IF($B103&lt;=Factores!$D$3,"",DQ26)</f>
        <v>0</v>
      </c>
      <c r="DR103" s="780">
        <f>IF($B103&lt;=Factores!$D$3,"",DR26)</f>
        <v>0</v>
      </c>
      <c r="DS103" s="780">
        <f>IF($B103&lt;=Factores!$D$3,"",DS26)</f>
        <v>0</v>
      </c>
      <c r="DT103" s="780">
        <f>IF($B103&lt;=Factores!$D$3,"",DT26)</f>
        <v>0</v>
      </c>
      <c r="DU103" s="780">
        <f>IF($B103&lt;=Factores!$D$3,"",DU26)</f>
        <v>0</v>
      </c>
      <c r="DV103" s="780">
        <f>IF($B103&lt;=Factores!$D$3,"",DV26)</f>
        <v>0</v>
      </c>
      <c r="DW103" s="780">
        <f>IF($B103&lt;=Factores!$D$3,"",DW26)</f>
        <v>7.2602333333333338E-2</v>
      </c>
      <c r="DX103" s="780">
        <f>IF($B103&lt;=Factores!$D$3,"",DX26)</f>
        <v>7.2602333333333338E-2</v>
      </c>
      <c r="DY103" s="780">
        <f>IF($B103&lt;=Factores!$D$3,"",DY26)</f>
        <v>7.2602333333333338E-2</v>
      </c>
      <c r="DZ103" s="780">
        <f>IF($B103&lt;=Factores!$D$3,"",DZ26)</f>
        <v>7.2602333333333338E-2</v>
      </c>
      <c r="EA103" s="780">
        <f>IF($B103&lt;=Factores!$D$3,"",EA26)</f>
        <v>0</v>
      </c>
      <c r="EB103" s="780">
        <f>IF($B103&lt;=Factores!$D$3,"",EB26)</f>
        <v>0</v>
      </c>
      <c r="EC103" s="780">
        <f>IF($B103&lt;=Factores!$D$3,"",EC26)</f>
        <v>0</v>
      </c>
      <c r="ED103" s="780">
        <f>IF($B103&lt;=Factores!$D$3,"",ED26)</f>
        <v>0</v>
      </c>
      <c r="EE103" s="780">
        <f>IF($B103&lt;=Factores!$D$3,"",EE26)</f>
        <v>0.05</v>
      </c>
      <c r="EF103" s="780">
        <f>IF($B103&lt;=Factores!$D$3,"",EF26)</f>
        <v>0.05</v>
      </c>
      <c r="EG103" s="780">
        <f>IF($B103&lt;=Factores!$D$3,"",EG26)</f>
        <v>0.05</v>
      </c>
      <c r="EH103" s="780">
        <f>IF($B103&lt;=Factores!$D$3,"",EH26)</f>
        <v>0.05</v>
      </c>
      <c r="EI103" s="780">
        <f>IF($B103&lt;=Factores!$D$3,"",EI26)</f>
        <v>4.1666666666666666E-3</v>
      </c>
      <c r="EJ103" s="780">
        <f>IF($B103&lt;=Factores!$D$3,"",EJ26)</f>
        <v>4.1666666666666666E-3</v>
      </c>
      <c r="EK103" s="780">
        <f>IF($B103&lt;=Factores!$D$3,"",EK26)</f>
        <v>4.1666666666666666E-3</v>
      </c>
      <c r="EL103" s="780">
        <f>IF($B103&lt;=Factores!$D$3,"",EL26)</f>
        <v>4.1666666666666666E-3</v>
      </c>
    </row>
    <row r="104" spans="2:142" ht="14.25" customHeight="1">
      <c r="B104" s="794">
        <f t="shared" si="239"/>
        <v>46101.791666666664</v>
      </c>
      <c r="C104" s="780">
        <f>IF($B104&lt;=Factores!$D$3,"",C27)</f>
        <v>220000.03021743204</v>
      </c>
      <c r="D104" s="780">
        <f>IF($B104&lt;=Factores!$D$3,"",D27)</f>
        <v>667290.41378565237</v>
      </c>
      <c r="E104" s="780">
        <f>IF($B104&lt;=Factores!$D$3,"",E27)</f>
        <v>196805.52980560993</v>
      </c>
      <c r="F104" s="780">
        <f>IF($B104&lt;=Factores!$D$3,"",F27)</f>
        <v>40824.215760902705</v>
      </c>
      <c r="G104" s="780">
        <f>IF($B104&lt;=Factores!$D$3,"",G27)</f>
        <v>155981.31404470722</v>
      </c>
      <c r="H104" s="780">
        <f>IF($B104&lt;=Factores!$D$3,"",H27)</f>
        <v>98.056332111173901</v>
      </c>
      <c r="I104" s="780">
        <f>IF($B104&lt;=Factores!$D$3,"",I27)</f>
        <v>97.12989278992228</v>
      </c>
      <c r="J104" s="780">
        <f>IF($B104&lt;=Factores!$D$3,"",J27)</f>
        <v>97.885672723806138</v>
      </c>
      <c r="K104" s="780">
        <f>IF($B104&lt;=Factores!$D$3,"",K27)</f>
        <v>93.99288658928468</v>
      </c>
      <c r="L104" s="3107">
        <f>IF($B104&lt;=Factores!$D$3,"",L27)</f>
        <v>0.54156117360462053</v>
      </c>
      <c r="M104" s="780">
        <f>IF($B104&lt;=Factores!$D$3,"",M27)</f>
        <v>90.626900611127141</v>
      </c>
      <c r="N104" s="780">
        <f>IF($B104&lt;=Factores!$D$3,"",N27)</f>
        <v>28.477234564178254</v>
      </c>
      <c r="O104" s="780">
        <f>IF($B104&lt;=Factores!$D$3,"",O27)</f>
        <v>3391.9085359484216</v>
      </c>
      <c r="P104" s="780">
        <f>IF($B104&lt;=Factores!$D$3,"",P27)</f>
        <v>2688.3103898517211</v>
      </c>
      <c r="Q104" s="780">
        <f>IF($B104&lt;=Factores!$D$3,"",Q27)</f>
        <v>703.59814609669979</v>
      </c>
      <c r="R104" s="780">
        <f>IF($B104&lt;=Factores!$D$3,"",R27)</f>
        <v>61943.517996283706</v>
      </c>
      <c r="S104" s="780">
        <f>IF($B104&lt;=Factores!$D$3,"",S27)</f>
        <v>965.92174998441658</v>
      </c>
      <c r="T104" s="780">
        <f>IF($B104&lt;=Factores!$D$3,"",T27)</f>
        <v>765.55645553124953</v>
      </c>
      <c r="U104" s="780">
        <f>IF($B104&lt;=Factores!$D$3,"",U27)</f>
        <v>200.3652944531668</v>
      </c>
      <c r="V104" s="780">
        <f>IF($B104&lt;=Factores!$D$3,"",V27)</f>
        <v>16511.445918766673</v>
      </c>
      <c r="W104" s="780">
        <f>IF($B104&lt;=Factores!$D$3,"",W27)</f>
        <v>278.04752238264018</v>
      </c>
      <c r="X104" s="780">
        <f>IF($B104&lt;=Factores!$D$3,"",X27)</f>
        <v>93.19372724003378</v>
      </c>
      <c r="Y104" s="780">
        <f>IF($B104&lt;=Factores!$D$3,"",Y27)</f>
        <v>87.590246499304698</v>
      </c>
      <c r="Z104" s="780">
        <f>IF($B104&lt;=Factores!$D$3,"",Z27)</f>
        <v>81.628615411435263</v>
      </c>
      <c r="AA104" s="780">
        <f>IF($B104&lt;=Factores!$D$3,"",AA27)</f>
        <v>50</v>
      </c>
      <c r="AB104" s="780">
        <f>IF($B104&lt;=Factores!$D$3,"",AB27)</f>
        <v>89.336462648887021</v>
      </c>
      <c r="AC104" s="780">
        <f>IF($B104&lt;=Factores!$D$3,"",AC27)</f>
        <v>89.336462648887021</v>
      </c>
      <c r="AD104" s="780">
        <f>IF($B104&lt;=Factores!$D$3,"",AD27)</f>
        <v>89.336462648887021</v>
      </c>
      <c r="AE104" s="780">
        <f>IF($B104&lt;=Factores!$D$3,"",AE27)</f>
        <v>44.668231324443511</v>
      </c>
      <c r="AF104" s="780">
        <f>IF($B104&lt;=Factores!$D$3,"",AF27)</f>
        <v>575.62383106678851</v>
      </c>
      <c r="AG104" s="780">
        <f>IF($B104&lt;=Factores!$D$3,"",AG27)</f>
        <v>44.668231324443511</v>
      </c>
      <c r="AH104" s="780">
        <f>IF($B104&lt;=Factores!$D$3,"",AH27)</f>
        <v>303.65743099423651</v>
      </c>
      <c r="AI104" s="780">
        <f>IF($B104&lt;=Factores!$D$3,"",AI27)</f>
        <v>1095.4149525939783</v>
      </c>
      <c r="AJ104" s="780">
        <f>IF($B104&lt;=Factores!$D$3,"",AJ27)</f>
        <v>18180.179405029292</v>
      </c>
      <c r="AK104" s="780">
        <f>IF($B104&lt;=Factores!$D$3,"",AK27)</f>
        <v>2990</v>
      </c>
      <c r="AL104" s="780">
        <f>IF($B104&lt;=Factores!$D$3,"",AL27)</f>
        <v>27.98518896538231</v>
      </c>
      <c r="AM104" s="780">
        <f>IF($B104&lt;=Factores!$D$3,"",AM27)</f>
        <v>836.75715006493101</v>
      </c>
      <c r="AN104" s="780">
        <f>IF($B104&lt;=Factores!$D$3,"",AN27)</f>
        <v>2990</v>
      </c>
      <c r="AO104" s="780">
        <f>IF($B104&lt;=Factores!$D$3,"",AO27)</f>
        <v>27.392396331005557</v>
      </c>
      <c r="AP104" s="780">
        <f>IF($B104&lt;=Factores!$D$3,"",AP27)</f>
        <v>819.03265029706608</v>
      </c>
      <c r="AQ104" s="780">
        <f>IF($B104&lt;=Factores!$D$3,"",AQ27)</f>
        <v>2.1118733473778781</v>
      </c>
      <c r="AR104" s="780">
        <f>IF($B104&lt;=Factores!$D$3,"",AR27)</f>
        <v>4013.2818423313943</v>
      </c>
      <c r="AS104" s="780">
        <f>IF($B104&lt;=Factores!$D$3,"",AS27)</f>
        <v>401.90853594842156</v>
      </c>
      <c r="AT104" s="780">
        <f>IF($B104&lt;=Factores!$D$3,"",AT27)</f>
        <v>37.831207029537204</v>
      </c>
      <c r="AU104" s="780">
        <f>IF($B104&lt;=Factores!$D$3,"",AU27)</f>
        <v>94.882705131702281</v>
      </c>
      <c r="AV104" s="780"/>
      <c r="AW104" s="780">
        <f>IF($B104&lt;=Factores!$D$3,"",AW27)</f>
        <v>787.90940958577755</v>
      </c>
      <c r="AX104" s="780">
        <f>IF($B104&lt;=Factores!$D$3,"",AX27)</f>
        <v>4.3183355762180522</v>
      </c>
      <c r="AY104" s="780">
        <f>IF($B104&lt;=Factores!$D$3,"",AY27)</f>
        <v>186.9792286860106</v>
      </c>
      <c r="AZ104" s="780">
        <f>IF($B104&lt;=Factores!$D$3,"",AZ27)</f>
        <v>2.1118733473778781</v>
      </c>
      <c r="BA104" s="780">
        <f>IF($B104&lt;=Factores!$D$3,"",BA27)</f>
        <v>8200.2304085670803</v>
      </c>
      <c r="BB104" s="780">
        <f>IF($B104&lt;=Factores!$D$3,"",BB27)</f>
        <v>2.1863180145891046</v>
      </c>
      <c r="BC104" s="780"/>
      <c r="BD104" s="794">
        <f>IF($B104&lt;=Factores!$D$3,"",BD27)</f>
        <v>46101.791666666664</v>
      </c>
      <c r="BE104" s="780">
        <f>IF($B104&lt;=Factores!$D$3,"",BE27)</f>
        <v>4.364424523027001E-2</v>
      </c>
      <c r="BF104" s="780">
        <f>IF($B104&lt;=Factores!$D$3,"",BF27)</f>
        <v>1.5101608582974644</v>
      </c>
      <c r="BG104" s="780">
        <f>IF($B104&lt;=Factores!$D$3,"",BG27)</f>
        <v>1.3047131631498017</v>
      </c>
      <c r="BH104" s="780">
        <f>IF($B104&lt;=Factores!$D$3,"",BH27)</f>
        <v>45.145167247107288</v>
      </c>
      <c r="BI104" s="780">
        <f>IF($B104&lt;=Factores!$D$3,"",BI27)</f>
        <v>12.567823898950513</v>
      </c>
      <c r="BJ104" s="780">
        <f>IF($B104&lt;=Factores!$D$3,"",BJ27)</f>
        <v>565.55207545277312</v>
      </c>
      <c r="BK104" s="780">
        <f>IF($B104&lt;=Factores!$D$3,"",BK27)</f>
        <v>1.4242911578801434</v>
      </c>
      <c r="BL104" s="780">
        <f>IF($B104&lt;=Factores!$D$3,"",BL27)</f>
        <v>6.0751538409270411</v>
      </c>
      <c r="BM104" s="780"/>
      <c r="BN104" s="780"/>
      <c r="BO104" s="780"/>
      <c r="BP104" s="780"/>
      <c r="BQ104" s="780"/>
      <c r="BR104" s="780">
        <f>IF($B104&lt;=Factores!$D$3,"",BR27)</f>
        <v>6628.0486722273154</v>
      </c>
      <c r="BS104" s="780">
        <f>IF($B104&lt;=Factores!$D$3,"",BS27)</f>
        <v>1751.5764781669839</v>
      </c>
      <c r="BT104" s="780">
        <f>IF($B104&lt;=Factores!$D$3,"",BT27)</f>
        <v>8383.1767632693973</v>
      </c>
      <c r="BU104" s="780">
        <f>IF($B104&lt;=Factores!$D$3,"",BU27)</f>
        <v>2209.7331916437652</v>
      </c>
      <c r="BV104" s="780">
        <f>IF($B104&lt;=Factores!$D$3,"",BV27)</f>
        <v>2209.7331916437652</v>
      </c>
      <c r="BW104" s="780">
        <f>IF($B104&lt;=Factores!$D$3,"",BW27)</f>
        <v>2209.7331916437652</v>
      </c>
      <c r="BX104" s="780">
        <f>IF($B104&lt;=Factores!$D$3,"",BX27)</f>
        <v>98.056332111173916</v>
      </c>
      <c r="BY104" s="780">
        <f>IF($B104&lt;=Factores!$D$3,"",BY27)</f>
        <v>98.056332111173916</v>
      </c>
      <c r="BZ104" s="780">
        <f>IF($B104&lt;=Factores!$D$3,"",BZ27)</f>
        <v>98.056332111173916</v>
      </c>
      <c r="CA104" s="780">
        <f>IF($B104&lt;=Factores!$D$3,"",CA27)</f>
        <v>97.12989278992228</v>
      </c>
      <c r="CB104" s="780">
        <f>IF($B104&lt;=Factores!$D$3,"",CB27)</f>
        <v>97.885715079916608</v>
      </c>
      <c r="CC104" s="780">
        <f>IF($B104&lt;=Factores!$D$3,"",CC27)</f>
        <v>98.056332111173901</v>
      </c>
      <c r="CD104" s="780"/>
      <c r="CE104" s="780"/>
      <c r="CF104" s="780"/>
      <c r="CG104" s="780"/>
      <c r="CH104" s="780"/>
      <c r="CI104" s="780"/>
      <c r="CJ104" s="780"/>
      <c r="CK104" s="780"/>
      <c r="CL104" s="780"/>
      <c r="CM104" s="780"/>
      <c r="CN104" s="780"/>
      <c r="CO104" s="780"/>
      <c r="CP104" s="780"/>
      <c r="CQ104" s="780"/>
      <c r="CR104" s="780"/>
      <c r="CS104" s="780"/>
      <c r="CT104" s="780"/>
      <c r="CU104" s="780"/>
      <c r="CV104" s="780"/>
      <c r="CW104" s="780"/>
      <c r="CX104" s="780">
        <f>IF($B104&lt;=Factores!$D$3,"",CX27)</f>
        <v>0</v>
      </c>
      <c r="CY104" s="780">
        <f>IF($B104&lt;=Factores!$D$3,"",CY27)</f>
        <v>0</v>
      </c>
      <c r="CZ104" s="780">
        <f>IF($B104&lt;=Factores!$D$3,"",CZ27)</f>
        <v>0</v>
      </c>
      <c r="DA104" s="780">
        <f>IF($B104&lt;=Factores!$D$3,"",DA27)</f>
        <v>0</v>
      </c>
      <c r="DB104" s="780"/>
      <c r="DC104" s="780"/>
      <c r="DD104" s="780"/>
      <c r="DE104" s="780"/>
      <c r="DF104" s="780"/>
      <c r="DG104" s="780"/>
      <c r="DH104" s="780"/>
      <c r="DI104" s="780"/>
      <c r="DJ104" s="780"/>
      <c r="DK104" s="780"/>
      <c r="DL104" s="780">
        <f>IF($B104&lt;=Factores!$D$3,"",DL27)</f>
        <v>0</v>
      </c>
      <c r="DM104" s="780">
        <f>IF($B104&lt;=Factores!$D$3,"",DM27)</f>
        <v>0</v>
      </c>
      <c r="DN104" s="780">
        <f>IF($B104&lt;=Factores!$D$3,"",DN27)</f>
        <v>0</v>
      </c>
      <c r="DO104" s="780">
        <f>IF($B104&lt;=Factores!$D$3,"",DO27)</f>
        <v>0</v>
      </c>
      <c r="DP104" s="780">
        <f>IF($B104&lt;=Factores!$D$3,"",DP27)</f>
        <v>0</v>
      </c>
      <c r="DQ104" s="780">
        <f>IF($B104&lt;=Factores!$D$3,"",DQ27)</f>
        <v>0</v>
      </c>
      <c r="DR104" s="780">
        <f>IF($B104&lt;=Factores!$D$3,"",DR27)</f>
        <v>0</v>
      </c>
      <c r="DS104" s="780">
        <f>IF($B104&lt;=Factores!$D$3,"",DS27)</f>
        <v>0</v>
      </c>
      <c r="DT104" s="780">
        <f>IF($B104&lt;=Factores!$D$3,"",DT27)</f>
        <v>0</v>
      </c>
      <c r="DU104" s="780">
        <f>IF($B104&lt;=Factores!$D$3,"",DU27)</f>
        <v>0</v>
      </c>
      <c r="DV104" s="780">
        <f>IF($B104&lt;=Factores!$D$3,"",DV27)</f>
        <v>0</v>
      </c>
      <c r="DW104" s="780">
        <f>IF($B104&lt;=Factores!$D$3,"",DW27)</f>
        <v>7.2602333333333338E-2</v>
      </c>
      <c r="DX104" s="780">
        <f>IF($B104&lt;=Factores!$D$3,"",DX27)</f>
        <v>7.2602333333333338E-2</v>
      </c>
      <c r="DY104" s="780">
        <f>IF($B104&lt;=Factores!$D$3,"",DY27)</f>
        <v>7.2602333333333338E-2</v>
      </c>
      <c r="DZ104" s="780">
        <f>IF($B104&lt;=Factores!$D$3,"",DZ27)</f>
        <v>7.2602333333333338E-2</v>
      </c>
      <c r="EA104" s="780">
        <f>IF($B104&lt;=Factores!$D$3,"",EA27)</f>
        <v>0</v>
      </c>
      <c r="EB104" s="780">
        <f>IF($B104&lt;=Factores!$D$3,"",EB27)</f>
        <v>0</v>
      </c>
      <c r="EC104" s="780">
        <f>IF($B104&lt;=Factores!$D$3,"",EC27)</f>
        <v>0</v>
      </c>
      <c r="ED104" s="780">
        <f>IF($B104&lt;=Factores!$D$3,"",ED27)</f>
        <v>0</v>
      </c>
      <c r="EE104" s="780">
        <f>IF($B104&lt;=Factores!$D$3,"",EE27)</f>
        <v>0.05</v>
      </c>
      <c r="EF104" s="780">
        <f>IF($B104&lt;=Factores!$D$3,"",EF27)</f>
        <v>0.05</v>
      </c>
      <c r="EG104" s="780">
        <f>IF($B104&lt;=Factores!$D$3,"",EG27)</f>
        <v>0.05</v>
      </c>
      <c r="EH104" s="780">
        <f>IF($B104&lt;=Factores!$D$3,"",EH27)</f>
        <v>0.05</v>
      </c>
      <c r="EI104" s="780">
        <f>IF($B104&lt;=Factores!$D$3,"",EI27)</f>
        <v>4.1666666666666666E-3</v>
      </c>
      <c r="EJ104" s="780">
        <f>IF($B104&lt;=Factores!$D$3,"",EJ27)</f>
        <v>4.1666666666666666E-3</v>
      </c>
      <c r="EK104" s="780">
        <f>IF($B104&lt;=Factores!$D$3,"",EK27)</f>
        <v>4.1666666666666666E-3</v>
      </c>
      <c r="EL104" s="780">
        <f>IF($B104&lt;=Factores!$D$3,"",EL27)</f>
        <v>4.1666666666666666E-3</v>
      </c>
    </row>
    <row r="105" spans="2:142" ht="14.25" customHeight="1">
      <c r="B105" s="794">
        <f t="shared" si="239"/>
        <v>46102.791666666664</v>
      </c>
      <c r="C105" s="780">
        <f>IF($B105&lt;=Factores!$D$3,"",C28)</f>
        <v>185000.02086318861</v>
      </c>
      <c r="D105" s="780">
        <f>IF($B105&lt;=Factores!$D$3,"",D28)</f>
        <v>659217.75062644877</v>
      </c>
      <c r="E105" s="780">
        <f>IF($B105&lt;=Factores!$D$3,"",E28)</f>
        <v>193072.68402239218</v>
      </c>
      <c r="F105" s="780">
        <f>IF($B105&lt;=Factores!$D$3,"",F28)</f>
        <v>39582.34199025845</v>
      </c>
      <c r="G105" s="780">
        <f>IF($B105&lt;=Factores!$D$3,"",G28)</f>
        <v>153490.34203213372</v>
      </c>
      <c r="H105" s="780">
        <f>IF($B105&lt;=Factores!$D$3,"",H28)</f>
        <v>98.056332111173901</v>
      </c>
      <c r="I105" s="780">
        <f>IF($B105&lt;=Factores!$D$3,"",I28)</f>
        <v>97.12989278992228</v>
      </c>
      <c r="J105" s="780">
        <f>IF($B105&lt;=Factores!$D$3,"",J28)</f>
        <v>97.885672723806138</v>
      </c>
      <c r="K105" s="780">
        <f>IF($B105&lt;=Factores!$D$3,"",K28)</f>
        <v>94.868711324936768</v>
      </c>
      <c r="L105" s="3107">
        <f>IF($B105&lt;=Factores!$D$3,"",L28)</f>
        <v>0.53439489892154024</v>
      </c>
      <c r="M105" s="780">
        <f>IF($B105&lt;=Factores!$D$3,"",M28)</f>
        <v>90.95708040849614</v>
      </c>
      <c r="N105" s="780">
        <f>IF($B105&lt;=Factores!$D$3,"",N28)</f>
        <v>27.716210748744583</v>
      </c>
      <c r="O105" s="780">
        <f>IF($B105&lt;=Factores!$D$3,"",O28)</f>
        <v>3385.9909628403943</v>
      </c>
      <c r="P105" s="780">
        <f>IF($B105&lt;=Factores!$D$3,"",P28)</f>
        <v>2691.8199932612433</v>
      </c>
      <c r="Q105" s="780">
        <f>IF($B105&lt;=Factores!$D$3,"",Q28)</f>
        <v>694.17096957915066</v>
      </c>
      <c r="R105" s="780">
        <f>IF($B105&lt;=Factores!$D$3,"",R28)</f>
        <v>65329.508959124098</v>
      </c>
      <c r="S105" s="780">
        <f>IF($B105&lt;=Factores!$D$3,"",S28)</f>
        <v>938.46839119428955</v>
      </c>
      <c r="T105" s="780">
        <f>IF($B105&lt;=Factores!$D$3,"",T28)</f>
        <v>746.07050230912853</v>
      </c>
      <c r="U105" s="780">
        <f>IF($B105&lt;=Factores!$D$3,"",U28)</f>
        <v>192.39788888516105</v>
      </c>
      <c r="V105" s="780">
        <f>IF($B105&lt;=Factores!$D$3,"",V28)</f>
        <v>17449.914309960961</v>
      </c>
      <c r="W105" s="780">
        <f>IF($B105&lt;=Factores!$D$3,"",W28)</f>
        <v>272.5862418242171</v>
      </c>
      <c r="X105" s="780">
        <f>IF($B105&lt;=Factores!$D$3,"",X28)</f>
        <v>93.124172784071234</v>
      </c>
      <c r="Y105" s="780">
        <f>IF($B105&lt;=Factores!$D$3,"",Y28)</f>
        <v>90.243019036907583</v>
      </c>
      <c r="Z105" s="780">
        <f>IF($B105&lt;=Factores!$D$3,"",Z28)</f>
        <v>84.038064973492112</v>
      </c>
      <c r="AA105" s="780">
        <f>IF($B105&lt;=Factores!$D$3,"",AA28)</f>
        <v>50</v>
      </c>
      <c r="AB105" s="780">
        <f>IF($B105&lt;=Factores!$D$3,"",AB28)</f>
        <v>88.456714722770485</v>
      </c>
      <c r="AC105" s="780">
        <f>IF($B105&lt;=Factores!$D$3,"",AC28)</f>
        <v>88.456714722770485</v>
      </c>
      <c r="AD105" s="780">
        <f>IF($B105&lt;=Factores!$D$3,"",AD28)</f>
        <v>88.456714722770485</v>
      </c>
      <c r="AE105" s="780">
        <f>IF($B105&lt;=Factores!$D$3,"",AE28)</f>
        <v>44.228357361385243</v>
      </c>
      <c r="AF105" s="780">
        <f>IF($B105&lt;=Factores!$D$3,"",AF28)</f>
        <v>619.8521884281738</v>
      </c>
      <c r="AG105" s="780">
        <f>IF($B105&lt;=Factores!$D$3,"",AG28)</f>
        <v>44.228357361385243</v>
      </c>
      <c r="AH105" s="780">
        <f>IF($B105&lt;=Factores!$D$3,"",AH28)</f>
        <v>303.65743099423651</v>
      </c>
      <c r="AI105" s="780">
        <f>IF($B105&lt;=Factores!$D$3,"",AI28)</f>
        <v>1066.6863991849455</v>
      </c>
      <c r="AJ105" s="780">
        <f>IF($B105&lt;=Factores!$D$3,"",AJ28)</f>
        <v>19246.865804214238</v>
      </c>
      <c r="AK105" s="780">
        <f>IF($B105&lt;=Factores!$D$3,"",AK28)</f>
        <v>4366</v>
      </c>
      <c r="AL105" s="780">
        <f>IF($B105&lt;=Factores!$D$3,"",AL28)</f>
        <v>28.477234564178254</v>
      </c>
      <c r="AM105" s="780">
        <f>IF($B105&lt;=Factores!$D$3,"",AM28)</f>
        <v>1243.3160610720226</v>
      </c>
      <c r="AN105" s="780">
        <f>IF($B105&lt;=Factores!$D$3,"",AN28)</f>
        <v>2990</v>
      </c>
      <c r="AO105" s="780">
        <f>IF($B105&lt;=Factores!$D$3,"",AO28)</f>
        <v>27.98518896538231</v>
      </c>
      <c r="AP105" s="780">
        <f>IF($B105&lt;=Factores!$D$3,"",AP28)</f>
        <v>836.75715006493101</v>
      </c>
      <c r="AQ105" s="780">
        <f>IF($B105&lt;=Factores!$D$3,"",AQ28)</f>
        <v>1.782782478636471</v>
      </c>
      <c r="AR105" s="780">
        <f>IF($B105&lt;=Factores!$D$3,"",AR28)</f>
        <v>4114.993083460753</v>
      </c>
      <c r="AS105" s="780">
        <f>IF($B105&lt;=Factores!$D$3,"",AS28)</f>
        <v>-980.00903715960567</v>
      </c>
      <c r="AT105" s="780">
        <f>IF($B105&lt;=Factores!$D$3,"",AT28)</f>
        <v>36.152261349255689</v>
      </c>
      <c r="AU105" s="780">
        <f>IF($B105&lt;=Factores!$D$3,"",AU28)</f>
        <v>92.23774481701308</v>
      </c>
      <c r="AV105" s="780"/>
      <c r="AW105" s="780">
        <f>IF($B105&lt;=Factores!$D$3,"",AW28)</f>
        <v>804.96037836246364</v>
      </c>
      <c r="AX105" s="780">
        <f>IF($B105&lt;=Factores!$D$3,"",AX28)</f>
        <v>4.3184590964731928</v>
      </c>
      <c r="AY105" s="780">
        <f>IF($B105&lt;=Factores!$D$3,"",AY28)</f>
        <v>184.90758068144279</v>
      </c>
      <c r="AZ105" s="780">
        <f>IF($B105&lt;=Factores!$D$3,"",AZ28)</f>
        <v>1.782782478636471</v>
      </c>
      <c r="BA105" s="780">
        <f>IF($B105&lt;=Factores!$D$3,"",BA28)</f>
        <v>8044.6951675996743</v>
      </c>
      <c r="BB105" s="780">
        <f>IF($B105&lt;=Factores!$D$3,"",BB28)</f>
        <v>1.8456265163704968</v>
      </c>
      <c r="BC105" s="780"/>
      <c r="BD105" s="794">
        <f>IF($B105&lt;=Factores!$D$3,"",BD28)</f>
        <v>46102.791666666664</v>
      </c>
      <c r="BE105" s="780">
        <f>IF($B105&lt;=Factores!$D$3,"",BE28)</f>
        <v>2.9819882257727189E-2</v>
      </c>
      <c r="BF105" s="780">
        <f>IF($B105&lt;=Factores!$D$3,"",BF28)</f>
        <v>1.0318157353177355</v>
      </c>
      <c r="BG105" s="780">
        <f>IF($B105&lt;=Factores!$D$3,"",BG28)</f>
        <v>1.095007473279739</v>
      </c>
      <c r="BH105" s="780">
        <f>IF($B105&lt;=Factores!$D$3,"",BH28)</f>
        <v>37.889014163621454</v>
      </c>
      <c r="BI105" s="780">
        <f>IF($B105&lt;=Factores!$D$3,"",BI28)</f>
        <v>17.786078626776714</v>
      </c>
      <c r="BJ105" s="780">
        <f>IF($B105&lt;=Factores!$D$3,"",BJ28)</f>
        <v>800.37353820495218</v>
      </c>
      <c r="BK105" s="780">
        <f>IF($B105&lt;=Factores!$D$3,"",BK28)</f>
        <v>1.3984071041345416</v>
      </c>
      <c r="BL105" s="780">
        <f>IF($B105&lt;=Factores!$D$3,"",BL28)</f>
        <v>6.2657583839713302</v>
      </c>
      <c r="BM105" s="780"/>
      <c r="BN105" s="780"/>
      <c r="BO105" s="780"/>
      <c r="BP105" s="780"/>
      <c r="BQ105" s="780"/>
      <c r="BR105" s="780">
        <f>IF($B105&lt;=Factores!$D$3,"",BR28)</f>
        <v>6522.2008414047014</v>
      </c>
      <c r="BS105" s="780">
        <f>IF($B105&lt;=Factores!$D$3,"",BS28)</f>
        <v>1698.2934733383588</v>
      </c>
      <c r="BT105" s="780">
        <f>IF($B105&lt;=Factores!$D$3,"",BT28)</f>
        <v>8224.1715459787647</v>
      </c>
      <c r="BU105" s="780">
        <f>IF($B105&lt;=Factores!$D$3,"",BU28)</f>
        <v>2174.4444548527567</v>
      </c>
      <c r="BV105" s="780">
        <f>IF($B105&lt;=Factores!$D$3,"",BV28)</f>
        <v>2174.4444548527567</v>
      </c>
      <c r="BW105" s="780">
        <f>IF($B105&lt;=Factores!$D$3,"",BW28)</f>
        <v>2174.4444548527567</v>
      </c>
      <c r="BX105" s="780">
        <f>IF($B105&lt;=Factores!$D$3,"",BX28)</f>
        <v>98.056332111173916</v>
      </c>
      <c r="BY105" s="780">
        <f>IF($B105&lt;=Factores!$D$3,"",BY28)</f>
        <v>98.056332111173916</v>
      </c>
      <c r="BZ105" s="780">
        <f>IF($B105&lt;=Factores!$D$3,"",BZ28)</f>
        <v>98.056332111173916</v>
      </c>
      <c r="CA105" s="780">
        <f>IF($B105&lt;=Factores!$D$3,"",CA28)</f>
        <v>97.12989278992228</v>
      </c>
      <c r="CB105" s="780">
        <f>IF($B105&lt;=Factores!$D$3,"",CB28)</f>
        <v>97.885715079916608</v>
      </c>
      <c r="CC105" s="780">
        <f>IF($B105&lt;=Factores!$D$3,"",CC28)</f>
        <v>98.056332111173901</v>
      </c>
      <c r="CD105" s="780"/>
      <c r="CE105" s="780"/>
      <c r="CF105" s="780"/>
      <c r="CG105" s="780"/>
      <c r="CH105" s="780"/>
      <c r="CI105" s="780"/>
      <c r="CJ105" s="780"/>
      <c r="CK105" s="780"/>
      <c r="CL105" s="780"/>
      <c r="CM105" s="780"/>
      <c r="CN105" s="780"/>
      <c r="CO105" s="780"/>
      <c r="CP105" s="780"/>
      <c r="CQ105" s="780"/>
      <c r="CR105" s="780"/>
      <c r="CS105" s="780"/>
      <c r="CT105" s="780"/>
      <c r="CU105" s="780"/>
      <c r="CV105" s="780"/>
      <c r="CW105" s="780"/>
      <c r="CX105" s="780">
        <f>IF($B105&lt;=Factores!$D$3,"",CX28)</f>
        <v>0</v>
      </c>
      <c r="CY105" s="780">
        <f>IF($B105&lt;=Factores!$D$3,"",CY28)</f>
        <v>0</v>
      </c>
      <c r="CZ105" s="780">
        <f>IF($B105&lt;=Factores!$D$3,"",CZ28)</f>
        <v>0</v>
      </c>
      <c r="DA105" s="780">
        <f>IF($B105&lt;=Factores!$D$3,"",DA28)</f>
        <v>0</v>
      </c>
      <c r="DB105" s="780"/>
      <c r="DC105" s="780"/>
      <c r="DD105" s="780"/>
      <c r="DE105" s="780"/>
      <c r="DF105" s="780"/>
      <c r="DG105" s="780"/>
      <c r="DH105" s="780"/>
      <c r="DI105" s="780"/>
      <c r="DJ105" s="780"/>
      <c r="DK105" s="780"/>
      <c r="DL105" s="780">
        <f>IF($B105&lt;=Factores!$D$3,"",DL28)</f>
        <v>0</v>
      </c>
      <c r="DM105" s="780">
        <f>IF($B105&lt;=Factores!$D$3,"",DM28)</f>
        <v>0</v>
      </c>
      <c r="DN105" s="780">
        <f>IF($B105&lt;=Factores!$D$3,"",DN28)</f>
        <v>0</v>
      </c>
      <c r="DO105" s="780">
        <f>IF($B105&lt;=Factores!$D$3,"",DO28)</f>
        <v>0</v>
      </c>
      <c r="DP105" s="780">
        <f>IF($B105&lt;=Factores!$D$3,"",DP28)</f>
        <v>0</v>
      </c>
      <c r="DQ105" s="780">
        <f>IF($B105&lt;=Factores!$D$3,"",DQ28)</f>
        <v>0</v>
      </c>
      <c r="DR105" s="780">
        <f>IF($B105&lt;=Factores!$D$3,"",DR28)</f>
        <v>0</v>
      </c>
      <c r="DS105" s="780">
        <f>IF($B105&lt;=Factores!$D$3,"",DS28)</f>
        <v>0</v>
      </c>
      <c r="DT105" s="780">
        <f>IF($B105&lt;=Factores!$D$3,"",DT28)</f>
        <v>0</v>
      </c>
      <c r="DU105" s="780">
        <f>IF($B105&lt;=Factores!$D$3,"",DU28)</f>
        <v>0</v>
      </c>
      <c r="DV105" s="780">
        <f>IF($B105&lt;=Factores!$D$3,"",DV28)</f>
        <v>0</v>
      </c>
      <c r="DW105" s="780">
        <f>IF($B105&lt;=Factores!$D$3,"",DW28)</f>
        <v>7.2602333333333338E-2</v>
      </c>
      <c r="DX105" s="780">
        <f>IF($B105&lt;=Factores!$D$3,"",DX28)</f>
        <v>7.2602333333333338E-2</v>
      </c>
      <c r="DY105" s="780">
        <f>IF($B105&lt;=Factores!$D$3,"",DY28)</f>
        <v>7.2602333333333338E-2</v>
      </c>
      <c r="DZ105" s="780">
        <f>IF($B105&lt;=Factores!$D$3,"",DZ28)</f>
        <v>7.2602333333333338E-2</v>
      </c>
      <c r="EA105" s="780">
        <f>IF($B105&lt;=Factores!$D$3,"",EA28)</f>
        <v>0</v>
      </c>
      <c r="EB105" s="780">
        <f>IF($B105&lt;=Factores!$D$3,"",EB28)</f>
        <v>0</v>
      </c>
      <c r="EC105" s="780">
        <f>IF($B105&lt;=Factores!$D$3,"",EC28)</f>
        <v>0</v>
      </c>
      <c r="ED105" s="780">
        <f>IF($B105&lt;=Factores!$D$3,"",ED28)</f>
        <v>0</v>
      </c>
      <c r="EE105" s="780">
        <f>IF($B105&lt;=Factores!$D$3,"",EE28)</f>
        <v>0.05</v>
      </c>
      <c r="EF105" s="780">
        <f>IF($B105&lt;=Factores!$D$3,"",EF28)</f>
        <v>0.05</v>
      </c>
      <c r="EG105" s="780">
        <f>IF($B105&lt;=Factores!$D$3,"",EG28)</f>
        <v>0.05</v>
      </c>
      <c r="EH105" s="780">
        <f>IF($B105&lt;=Factores!$D$3,"",EH28)</f>
        <v>0.05</v>
      </c>
      <c r="EI105" s="780">
        <f>IF($B105&lt;=Factores!$D$3,"",EI28)</f>
        <v>4.1666666666666666E-3</v>
      </c>
      <c r="EJ105" s="780">
        <f>IF($B105&lt;=Factores!$D$3,"",EJ28)</f>
        <v>4.1666666666666666E-3</v>
      </c>
      <c r="EK105" s="780">
        <f>IF($B105&lt;=Factores!$D$3,"",EK28)</f>
        <v>4.1666666666666666E-3</v>
      </c>
      <c r="EL105" s="780">
        <f>IF($B105&lt;=Factores!$D$3,"",EL28)</f>
        <v>4.1666666666666666E-3</v>
      </c>
    </row>
    <row r="106" spans="2:142" ht="14.25" customHeight="1">
      <c r="B106" s="794">
        <f t="shared" si="239"/>
        <v>46103.791666666664</v>
      </c>
      <c r="C106" s="780">
        <f>IF($B106&lt;=Factores!$D$3,"",C29)</f>
        <v>199999.99999970043</v>
      </c>
      <c r="D106" s="780">
        <f>IF($B106&lt;=Factores!$D$3,"",D29)</f>
        <v>664614.52002148295</v>
      </c>
      <c r="E106" s="780">
        <f>IF($B106&lt;=Factores!$D$3,"",E29)</f>
        <v>194603.23060466634</v>
      </c>
      <c r="F106" s="780">
        <f>IF($B106&lt;=Factores!$D$3,"",F29)</f>
        <v>39892.270810004215</v>
      </c>
      <c r="G106" s="780">
        <f>IF($B106&lt;=Factores!$D$3,"",G29)</f>
        <v>154710.95979466214</v>
      </c>
      <c r="H106" s="780">
        <f>IF($B106&lt;=Factores!$D$3,"",H29)</f>
        <v>98.056332111173901</v>
      </c>
      <c r="I106" s="780">
        <f>IF($B106&lt;=Factores!$D$3,"",I29)</f>
        <v>97.12989278992228</v>
      </c>
      <c r="J106" s="780">
        <f>IF($B106&lt;=Factores!$D$3,"",J29)</f>
        <v>97.885672723806138</v>
      </c>
      <c r="K106" s="780">
        <f>IF($B106&lt;=Factores!$D$3,"",K29)</f>
        <v>95.490523878590622</v>
      </c>
      <c r="L106" s="3107">
        <f>IF($B106&lt;=Factores!$D$3,"",L29)</f>
        <v>0.59959530689926632</v>
      </c>
      <c r="M106" s="780">
        <f>IF($B106&lt;=Factores!$D$3,"",M29)</f>
        <v>90.956313421697885</v>
      </c>
      <c r="N106" s="780">
        <f>IF($B106&lt;=Factores!$D$3,"",N29)</f>
        <v>30.291011915290664</v>
      </c>
      <c r="O106" s="780">
        <f>IF($B106&lt;=Factores!$D$3,"",O29)</f>
        <v>3503.7034300578671</v>
      </c>
      <c r="P106" s="780">
        <f>IF($B106&lt;=Factores!$D$3,"",P29)</f>
        <v>2785.4692792911142</v>
      </c>
      <c r="Q106" s="780">
        <f>IF($B106&lt;=Factores!$D$3,"",Q29)</f>
        <v>718.23415076675292</v>
      </c>
      <c r="R106" s="780">
        <f>IF($B106&lt;=Factores!$D$3,"",R29)</f>
        <v>68833.212389181965</v>
      </c>
      <c r="S106" s="780">
        <f>IF($B106&lt;=Factores!$D$3,"",S29)</f>
        <v>1061.3072234752763</v>
      </c>
      <c r="T106" s="780">
        <f>IF($B106&lt;=Factores!$D$3,"",T29)</f>
        <v>843.74683128683228</v>
      </c>
      <c r="U106" s="780">
        <f>IF($B106&lt;=Factores!$D$3,"",U29)</f>
        <v>217.56039218844384</v>
      </c>
      <c r="V106" s="780">
        <f>IF($B106&lt;=Factores!$D$3,"",V29)</f>
        <v>18511.221533436237</v>
      </c>
      <c r="W106" s="780">
        <f>IF($B106&lt;=Factores!$D$3,"",W29)</f>
        <v>264.2633640477236</v>
      </c>
      <c r="X106" s="780">
        <f>IF($B106&lt;=Factores!$D$3,"",X29)</f>
        <v>93.015446450445978</v>
      </c>
      <c r="Y106" s="780">
        <f>IF($B106&lt;=Factores!$D$3,"",Y29)</f>
        <v>90.155161659883234</v>
      </c>
      <c r="Z106" s="780">
        <f>IF($B106&lt;=Factores!$D$3,"",Z29)</f>
        <v>83.858226116061687</v>
      </c>
      <c r="AA106" s="780">
        <f>IF($B106&lt;=Factores!$D$3,"",AA29)</f>
        <v>50</v>
      </c>
      <c r="AB106" s="780">
        <f>IF($B106&lt;=Factores!$D$3,"",AB29)</f>
        <v>86.250708643312123</v>
      </c>
      <c r="AC106" s="780">
        <f>IF($B106&lt;=Factores!$D$3,"",AC29)</f>
        <v>86.250708643312123</v>
      </c>
      <c r="AD106" s="780">
        <f>IF($B106&lt;=Factores!$D$3,"",AD29)</f>
        <v>50</v>
      </c>
      <c r="AE106" s="780">
        <f>IF($B106&lt;=Factores!$D$3,"",AE29)</f>
        <v>43.125354321656062</v>
      </c>
      <c r="AF106" s="780">
        <f>IF($B106&lt;=Factores!$D$3,"",AF29)</f>
        <v>662.97754274982981</v>
      </c>
      <c r="AG106" s="780">
        <f>IF($B106&lt;=Factores!$D$3,"",AG29)</f>
        <v>25</v>
      </c>
      <c r="AH106" s="780">
        <f>IF($B106&lt;=Factores!$D$3,"",AH29)</f>
        <v>321.78278531589257</v>
      </c>
      <c r="AI106" s="780">
        <f>IF($B106&lt;=Factores!$D$3,"",AI29)</f>
        <v>1186.3276256537572</v>
      </c>
      <c r="AJ106" s="780">
        <f>IF($B106&lt;=Factores!$D$3,"",AJ29)</f>
        <v>20433.193429867995</v>
      </c>
      <c r="AK106" s="780">
        <f>IF($B106&lt;=Factores!$D$3,"",AK29)</f>
        <v>4366</v>
      </c>
      <c r="AL106" s="780">
        <f>IF($B106&lt;=Factores!$D$3,"",AL29)</f>
        <v>27.716210748744583</v>
      </c>
      <c r="AM106" s="780">
        <f>IF($B106&lt;=Factores!$D$3,"",AM29)</f>
        <v>1210.0897612901886</v>
      </c>
      <c r="AN106" s="780">
        <f>IF($B106&lt;=Factores!$D$3,"",AN29)</f>
        <v>4366</v>
      </c>
      <c r="AO106" s="780">
        <f>IF($B106&lt;=Factores!$D$3,"",AO29)</f>
        <v>28.477234564178254</v>
      </c>
      <c r="AP106" s="780">
        <f>IF($B106&lt;=Factores!$D$3,"",AP29)</f>
        <v>1243.3160610720226</v>
      </c>
      <c r="AQ106" s="780">
        <f>IF($B106&lt;=Factores!$D$3,"",AQ29)</f>
        <v>1.53551784221249</v>
      </c>
      <c r="AR106" s="780">
        <f>IF($B106&lt;=Factores!$D$3,"",AR29)</f>
        <v>3932.9842458640069</v>
      </c>
      <c r="AS106" s="780">
        <f>IF($B106&lt;=Factores!$D$3,"",AS29)</f>
        <v>-862.29656994213292</v>
      </c>
      <c r="AT106" s="780">
        <f>IF($B106&lt;=Factores!$D$3,"",AT29)</f>
        <v>36.837072346157001</v>
      </c>
      <c r="AU106" s="780">
        <f>IF($B106&lt;=Factores!$D$3,"",AU29)</f>
        <v>94.785056199938552</v>
      </c>
      <c r="AV106" s="780"/>
      <c r="AW106" s="780">
        <f>IF($B106&lt;=Factores!$D$3,"",AW29)</f>
        <v>1196.0700507512856</v>
      </c>
      <c r="AX106" s="780">
        <f>IF($B106&lt;=Factores!$D$3,"",AX29)</f>
        <v>4.3493738116910921</v>
      </c>
      <c r="AY106" s="780">
        <f>IF($B106&lt;=Factores!$D$3,"",AY29)</f>
        <v>186.24871616436286</v>
      </c>
      <c r="AZ106" s="780">
        <f>IF($B106&lt;=Factores!$D$3,"",AZ29)</f>
        <v>1.53551784221249</v>
      </c>
      <c r="BA106" s="780">
        <f>IF($B106&lt;=Factores!$D$3,"",BA29)</f>
        <v>8108.4679418610976</v>
      </c>
      <c r="BB106" s="780">
        <f>IF($B106&lt;=Factores!$D$3,"",BB29)</f>
        <v>1.5896456690077565</v>
      </c>
      <c r="BC106" s="780"/>
      <c r="BD106" s="794">
        <f>IF($B106&lt;=Factores!$D$3,"",BD29)</f>
        <v>46103.791666666664</v>
      </c>
      <c r="BE106" s="780">
        <f>IF($B106&lt;=Factores!$D$3,"",BE29)</f>
        <v>4.6050319635068365E-2</v>
      </c>
      <c r="BF106" s="780">
        <f>IF($B106&lt;=Factores!$D$3,"",BF29)</f>
        <v>1.5934148902805343</v>
      </c>
      <c r="BG106" s="780">
        <f>IF($B106&lt;=Factores!$D$3,"",BG29)</f>
        <v>1.3853210823985254</v>
      </c>
      <c r="BH106" s="780">
        <f>IF($B106&lt;=Factores!$D$3,"",BH29)</f>
        <v>47.934330489041358</v>
      </c>
      <c r="BI106" s="780">
        <f>IF($B106&lt;=Factores!$D$3,"",BI29)</f>
        <v>14.221244023782493</v>
      </c>
      <c r="BJ106" s="780">
        <f>IF($B106&lt;=Factores!$D$3,"",BJ29)</f>
        <v>639.95598107021215</v>
      </c>
      <c r="BK106" s="780">
        <f>IF($B106&lt;=Factores!$D$3,"",BK29)</f>
        <v>1.7967702057632227</v>
      </c>
      <c r="BL106" s="780">
        <f>IF($B106&lt;=Factores!$D$3,"",BL29)</f>
        <v>6.2170788011517581</v>
      </c>
      <c r="BM106" s="780"/>
      <c r="BN106" s="780"/>
      <c r="BO106" s="780"/>
      <c r="BP106" s="780"/>
      <c r="BQ106" s="780"/>
      <c r="BR106" s="780">
        <f>IF($B106&lt;=Factores!$D$3,"",BR29)</f>
        <v>6574.0680409456972</v>
      </c>
      <c r="BS106" s="780">
        <f>IF($B106&lt;=Factores!$D$3,"",BS29)</f>
        <v>1711.5910718458758</v>
      </c>
      <c r="BT106" s="780">
        <f>IF($B106&lt;=Factores!$D$3,"",BT29)</f>
        <v>8289.3670847235117</v>
      </c>
      <c r="BU106" s="780">
        <f>IF($B106&lt;=Factores!$D$3,"",BU29)</f>
        <v>2191.7365234616664</v>
      </c>
      <c r="BV106" s="780">
        <f>IF($B106&lt;=Factores!$D$3,"",BV29)</f>
        <v>2191.7365234616664</v>
      </c>
      <c r="BW106" s="780">
        <f>IF($B106&lt;=Factores!$D$3,"",BW29)</f>
        <v>2191.7365234616664</v>
      </c>
      <c r="BX106" s="780">
        <f>IF($B106&lt;=Factores!$D$3,"",BX29)</f>
        <v>98.056332111173916</v>
      </c>
      <c r="BY106" s="780">
        <f>IF($B106&lt;=Factores!$D$3,"",BY29)</f>
        <v>98.056332111173916</v>
      </c>
      <c r="BZ106" s="780">
        <f>IF($B106&lt;=Factores!$D$3,"",BZ29)</f>
        <v>98.056332111173916</v>
      </c>
      <c r="CA106" s="780">
        <f>IF($B106&lt;=Factores!$D$3,"",CA29)</f>
        <v>97.12989278992228</v>
      </c>
      <c r="CB106" s="780">
        <f>IF($B106&lt;=Factores!$D$3,"",CB29)</f>
        <v>97.885715079916608</v>
      </c>
      <c r="CC106" s="780">
        <f>IF($B106&lt;=Factores!$D$3,"",CC29)</f>
        <v>98.056332111173901</v>
      </c>
      <c r="CD106" s="780"/>
      <c r="CE106" s="780"/>
      <c r="CF106" s="780"/>
      <c r="CG106" s="780"/>
      <c r="CH106" s="780"/>
      <c r="CI106" s="780"/>
      <c r="CJ106" s="780"/>
      <c r="CK106" s="780"/>
      <c r="CL106" s="780"/>
      <c r="CM106" s="780"/>
      <c r="CN106" s="780"/>
      <c r="CO106" s="780"/>
      <c r="CP106" s="780"/>
      <c r="CQ106" s="780"/>
      <c r="CR106" s="780"/>
      <c r="CS106" s="780"/>
      <c r="CT106" s="780"/>
      <c r="CU106" s="780"/>
      <c r="CV106" s="780"/>
      <c r="CW106" s="780"/>
      <c r="CX106" s="780">
        <f>IF($B106&lt;=Factores!$D$3,"",CX29)</f>
        <v>0</v>
      </c>
      <c r="CY106" s="780">
        <f>IF($B106&lt;=Factores!$D$3,"",CY29)</f>
        <v>0</v>
      </c>
      <c r="CZ106" s="780">
        <f>IF($B106&lt;=Factores!$D$3,"",CZ29)</f>
        <v>0</v>
      </c>
      <c r="DA106" s="780">
        <f>IF($B106&lt;=Factores!$D$3,"",DA29)</f>
        <v>0</v>
      </c>
      <c r="DB106" s="780"/>
      <c r="DC106" s="780"/>
      <c r="DD106" s="780"/>
      <c r="DE106" s="780"/>
      <c r="DF106" s="780"/>
      <c r="DG106" s="780"/>
      <c r="DH106" s="780"/>
      <c r="DI106" s="780"/>
      <c r="DJ106" s="780"/>
      <c r="DK106" s="780"/>
      <c r="DL106" s="780">
        <f>IF($B106&lt;=Factores!$D$3,"",DL29)</f>
        <v>0</v>
      </c>
      <c r="DM106" s="780">
        <f>IF($B106&lt;=Factores!$D$3,"",DM29)</f>
        <v>0</v>
      </c>
      <c r="DN106" s="780">
        <f>IF($B106&lt;=Factores!$D$3,"",DN29)</f>
        <v>0</v>
      </c>
      <c r="DO106" s="780">
        <f>IF($B106&lt;=Factores!$D$3,"",DO29)</f>
        <v>0</v>
      </c>
      <c r="DP106" s="780">
        <f>IF($B106&lt;=Factores!$D$3,"",DP29)</f>
        <v>0</v>
      </c>
      <c r="DQ106" s="780">
        <f>IF($B106&lt;=Factores!$D$3,"",DQ29)</f>
        <v>0</v>
      </c>
      <c r="DR106" s="780">
        <f>IF($B106&lt;=Factores!$D$3,"",DR29)</f>
        <v>0</v>
      </c>
      <c r="DS106" s="780">
        <f>IF($B106&lt;=Factores!$D$3,"",DS29)</f>
        <v>0</v>
      </c>
      <c r="DT106" s="780">
        <f>IF($B106&lt;=Factores!$D$3,"",DT29)</f>
        <v>0</v>
      </c>
      <c r="DU106" s="780">
        <f>IF($B106&lt;=Factores!$D$3,"",DU29)</f>
        <v>0</v>
      </c>
      <c r="DV106" s="780">
        <f>IF($B106&lt;=Factores!$D$3,"",DV29)</f>
        <v>0</v>
      </c>
      <c r="DW106" s="780">
        <f>IF($B106&lt;=Factores!$D$3,"",DW29)</f>
        <v>7.2602333333333338E-2</v>
      </c>
      <c r="DX106" s="780">
        <f>IF($B106&lt;=Factores!$D$3,"",DX29)</f>
        <v>7.2602333333333338E-2</v>
      </c>
      <c r="DY106" s="780">
        <f>IF($B106&lt;=Factores!$D$3,"",DY29)</f>
        <v>7.2602333333333338E-2</v>
      </c>
      <c r="DZ106" s="780">
        <f>IF($B106&lt;=Factores!$D$3,"",DZ29)</f>
        <v>7.2602333333333338E-2</v>
      </c>
      <c r="EA106" s="780">
        <f>IF($B106&lt;=Factores!$D$3,"",EA29)</f>
        <v>0</v>
      </c>
      <c r="EB106" s="780">
        <f>IF($B106&lt;=Factores!$D$3,"",EB29)</f>
        <v>0</v>
      </c>
      <c r="EC106" s="780">
        <f>IF($B106&lt;=Factores!$D$3,"",EC29)</f>
        <v>0</v>
      </c>
      <c r="ED106" s="780">
        <f>IF($B106&lt;=Factores!$D$3,"",ED29)</f>
        <v>0</v>
      </c>
      <c r="EE106" s="780">
        <f>IF($B106&lt;=Factores!$D$3,"",EE29)</f>
        <v>0.05</v>
      </c>
      <c r="EF106" s="780">
        <f>IF($B106&lt;=Factores!$D$3,"",EF29)</f>
        <v>0.05</v>
      </c>
      <c r="EG106" s="780">
        <f>IF($B106&lt;=Factores!$D$3,"",EG29)</f>
        <v>0.05</v>
      </c>
      <c r="EH106" s="780">
        <f>IF($B106&lt;=Factores!$D$3,"",EH29)</f>
        <v>0.05</v>
      </c>
      <c r="EI106" s="780">
        <f>IF($B106&lt;=Factores!$D$3,"",EI29)</f>
        <v>4.1666666666666666E-3</v>
      </c>
      <c r="EJ106" s="780">
        <f>IF($B106&lt;=Factores!$D$3,"",EJ29)</f>
        <v>4.1666666666666666E-3</v>
      </c>
      <c r="EK106" s="780">
        <f>IF($B106&lt;=Factores!$D$3,"",EK29)</f>
        <v>4.1666666666666666E-3</v>
      </c>
      <c r="EL106" s="780">
        <f>IF($B106&lt;=Factores!$D$3,"",EL29)</f>
        <v>4.1666666666666666E-3</v>
      </c>
    </row>
    <row r="107" spans="2:142" ht="14.25" customHeight="1">
      <c r="B107" s="794">
        <f t="shared" si="239"/>
        <v>46104.791666666664</v>
      </c>
      <c r="C107" s="780">
        <f>IF($B107&lt;=Factores!$D$3,"",C30)</f>
        <v>200000.00000015847</v>
      </c>
      <c r="D107" s="780">
        <f>IF($B107&lt;=Factores!$D$3,"",D30)</f>
        <v>673107.68500403815</v>
      </c>
      <c r="E107" s="780">
        <f>IF($B107&lt;=Factores!$D$3,"",E30)</f>
        <v>191506.83501760333</v>
      </c>
      <c r="F107" s="780">
        <f>IF($B107&lt;=Factores!$D$3,"",F30)</f>
        <v>39265.264588253995</v>
      </c>
      <c r="G107" s="780">
        <f>IF($B107&lt;=Factores!$D$3,"",G30)</f>
        <v>152241.57042934932</v>
      </c>
      <c r="H107" s="780">
        <f>IF($B107&lt;=Factores!$D$3,"",H30)</f>
        <v>98.056332111173901</v>
      </c>
      <c r="I107" s="780">
        <f>IF($B107&lt;=Factores!$D$3,"",I30)</f>
        <v>97.12989278992228</v>
      </c>
      <c r="J107" s="780">
        <f>IF($B107&lt;=Factores!$D$3,"",J30)</f>
        <v>97.885672723806138</v>
      </c>
      <c r="K107" s="780">
        <f>IF($B107&lt;=Factores!$D$3,"",K30)</f>
        <v>86.130475173307232</v>
      </c>
      <c r="L107" s="3107">
        <f>IF($B107&lt;=Factores!$D$3,"",L30)</f>
        <v>0.54611774227069232</v>
      </c>
      <c r="M107" s="780">
        <f>IF($B107&lt;=Factores!$D$3,"",M30)</f>
        <v>90.781480861139713</v>
      </c>
      <c r="N107" s="780">
        <f>IF($B107&lt;=Factores!$D$3,"",N30)</f>
        <v>29.00637430726275</v>
      </c>
      <c r="O107" s="780">
        <f>IF($B107&lt;=Factores!$D$3,"",O30)</f>
        <v>3273.2138555551828</v>
      </c>
      <c r="P107" s="780">
        <f>IF($B107&lt;=Factores!$D$3,"",P30)</f>
        <v>2602.0962524654578</v>
      </c>
      <c r="Q107" s="780">
        <f>IF($B107&lt;=Factores!$D$3,"",Q30)</f>
        <v>671.1176030897243</v>
      </c>
      <c r="R107" s="780">
        <f>IF($B107&lt;=Factores!$D$3,"",R30)</f>
        <v>72106.426244737144</v>
      </c>
      <c r="S107" s="780">
        <f>IF($B107&lt;=Factores!$D$3,"",S30)</f>
        <v>949.44066281952303</v>
      </c>
      <c r="T107" s="780">
        <f>IF($B107&lt;=Factores!$D$3,"",T30)</f>
        <v>754.77377882538747</v>
      </c>
      <c r="U107" s="780">
        <f>IF($B107&lt;=Factores!$D$3,"",U30)</f>
        <v>194.66688399413539</v>
      </c>
      <c r="V107" s="780">
        <f>IF($B107&lt;=Factores!$D$3,"",V30)</f>
        <v>19460.662196255762</v>
      </c>
      <c r="W107" s="780">
        <f>IF($B107&lt;=Factores!$D$3,"",W30)</f>
        <v>165.72705465265955</v>
      </c>
      <c r="X107" s="780">
        <f>IF($B107&lt;=Factores!$D$3,"",X30)</f>
        <v>91.379392806824598</v>
      </c>
      <c r="Y107" s="780">
        <f>IF($B107&lt;=Factores!$D$3,"",Y30)</f>
        <v>88.833132515636464</v>
      </c>
      <c r="Z107" s="780">
        <f>IF($B107&lt;=Factores!$D$3,"",Z30)</f>
        <v>81.175177104070471</v>
      </c>
      <c r="AA107" s="780">
        <f>IF($B107&lt;=Factores!$D$3,"",AA30)</f>
        <v>50</v>
      </c>
      <c r="AB107" s="780">
        <f>IF($B107&lt;=Factores!$D$3,"",AB30)</f>
        <v>51.526534156672383</v>
      </c>
      <c r="AC107" s="780">
        <f>IF($B107&lt;=Factores!$D$3,"",AC30)</f>
        <v>51.526534156672383</v>
      </c>
      <c r="AD107" s="780">
        <f>IF($B107&lt;=Factores!$D$3,"",AD30)</f>
        <v>50</v>
      </c>
      <c r="AE107" s="780">
        <f>IF($B107&lt;=Factores!$D$3,"",AE30)</f>
        <v>25.763267078336192</v>
      </c>
      <c r="AF107" s="780">
        <f>IF($B107&lt;=Factores!$D$3,"",AF30)</f>
        <v>688.74080982816599</v>
      </c>
      <c r="AG107" s="780">
        <f>IF($B107&lt;=Factores!$D$3,"",AG30)</f>
        <v>25</v>
      </c>
      <c r="AH107" s="780">
        <f>IF($B107&lt;=Factores!$D$3,"",AH30)</f>
        <v>322.54605239422875</v>
      </c>
      <c r="AI107" s="780">
        <f>IF($B107&lt;=Factores!$D$3,"",AI30)</f>
        <v>1024.1283740796196</v>
      </c>
      <c r="AJ107" s="780">
        <f>IF($B107&lt;=Factores!$D$3,"",AJ30)</f>
        <v>21457.321803947616</v>
      </c>
      <c r="AK107" s="780">
        <f>IF($B107&lt;=Factores!$D$3,"",AK30)</f>
        <v>4366</v>
      </c>
      <c r="AL107" s="780">
        <f>IF($B107&lt;=Factores!$D$3,"",AL30)</f>
        <v>30.291011915290664</v>
      </c>
      <c r="AM107" s="780">
        <f>IF($B107&lt;=Factores!$D$3,"",AM30)</f>
        <v>1322.5055802215904</v>
      </c>
      <c r="AN107" s="780">
        <f>IF($B107&lt;=Factores!$D$3,"",AN30)</f>
        <v>4366</v>
      </c>
      <c r="AO107" s="780">
        <f>IF($B107&lt;=Factores!$D$3,"",AO30)</f>
        <v>27.716210748744583</v>
      </c>
      <c r="AP107" s="780">
        <f>IF($B107&lt;=Factores!$D$3,"",AP30)</f>
        <v>1210.0897612901886</v>
      </c>
      <c r="AQ107" s="780">
        <f>IF($B107&lt;=Factores!$D$3,"",AQ30)</f>
        <v>4.4578530929984543</v>
      </c>
      <c r="AR107" s="780">
        <f>IF($B107&lt;=Factores!$D$3,"",AR30)</f>
        <v>3672.3351473933412</v>
      </c>
      <c r="AS107" s="780">
        <f>IF($B107&lt;=Factores!$D$3,"",AS30)</f>
        <v>-1092.7861444448172</v>
      </c>
      <c r="AT107" s="780">
        <f>IF($B107&lt;=Factores!$D$3,"",AT30)</f>
        <v>36.355026368370282</v>
      </c>
      <c r="AU107" s="780">
        <f>IF($B107&lt;=Factores!$D$3,"",AU30)</f>
        <v>93.006760265208342</v>
      </c>
      <c r="AV107" s="780"/>
      <c r="AW107" s="780">
        <f>IF($B107&lt;=Factores!$D$3,"",AW30)</f>
        <v>1164.1063503611613</v>
      </c>
      <c r="AX107" s="780">
        <f>IF($B107&lt;=Factores!$D$3,"",AX30)</f>
        <v>4.3775371759285386</v>
      </c>
      <c r="AY107" s="780">
        <f>IF($B107&lt;=Factores!$D$3,"",AY30)</f>
        <v>183.77408524901566</v>
      </c>
      <c r="AZ107" s="780">
        <f>IF($B107&lt;=Factores!$D$3,"",AZ30)</f>
        <v>4.4578530929984543</v>
      </c>
      <c r="BA107" s="780">
        <f>IF($B107&lt;=Factores!$D$3,"",BA30)</f>
        <v>7979.451459066805</v>
      </c>
      <c r="BB107" s="780">
        <f>IF($B107&lt;=Factores!$D$3,"",BB30)</f>
        <v>4.6149948034125057</v>
      </c>
      <c r="BC107" s="780"/>
      <c r="BD107" s="794">
        <f>IF($B107&lt;=Factores!$D$3,"",BD30)</f>
        <v>46104.791666666664</v>
      </c>
      <c r="BE107" s="780">
        <f>IF($B107&lt;=Factores!$D$3,"",BE30)</f>
        <v>4.502116310401405E-2</v>
      </c>
      <c r="BF107" s="780">
        <f>IF($B107&lt;=Factores!$D$3,"",BF30)</f>
        <v>1.5578044242944826</v>
      </c>
      <c r="BG107" s="780">
        <f>IF($B107&lt;=Factores!$D$3,"",BG30)</f>
        <v>1.3090516804563819</v>
      </c>
      <c r="BH107" s="780">
        <f>IF($B107&lt;=Factores!$D$3,"",BH30)</f>
        <v>45.295286901711819</v>
      </c>
      <c r="BI107" s="780">
        <f>IF($B107&lt;=Factores!$D$3,"",BI30)</f>
        <v>23.299099515436758</v>
      </c>
      <c r="BJ107" s="780">
        <f>IF($B107&lt;=Factores!$D$3,"",BJ30)</f>
        <v>1048.4594781946541</v>
      </c>
      <c r="BK107" s="780">
        <f>IF($B107&lt;=Factores!$D$3,"",BK30)</f>
        <v>1.7187921162965227</v>
      </c>
      <c r="BL107" s="780">
        <f>IF($B107&lt;=Factores!$D$3,"",BL30)</f>
        <v>6.3163560409796462</v>
      </c>
      <c r="BM107" s="780"/>
      <c r="BN107" s="780"/>
      <c r="BO107" s="780"/>
      <c r="BP107" s="780"/>
      <c r="BQ107" s="780"/>
      <c r="BR107" s="780">
        <f>IF($B107&lt;=Factores!$D$3,"",BR30)</f>
        <v>6469.1373125170157</v>
      </c>
      <c r="BS107" s="780">
        <f>IF($B107&lt;=Factores!$D$3,"",BS30)</f>
        <v>1684.6891625449302</v>
      </c>
      <c r="BT107" s="780">
        <f>IF($B107&lt;=Factores!$D$3,"",BT30)</f>
        <v>8157.472256559915</v>
      </c>
      <c r="BU107" s="780">
        <f>IF($B107&lt;=Factores!$D$3,"",BU30)</f>
        <v>2156.7535405509066</v>
      </c>
      <c r="BV107" s="780">
        <f>IF($B107&lt;=Factores!$D$3,"",BV30)</f>
        <v>2156.7535405509066</v>
      </c>
      <c r="BW107" s="780">
        <f>IF($B107&lt;=Factores!$D$3,"",BW30)</f>
        <v>2156.7535405509066</v>
      </c>
      <c r="BX107" s="780">
        <f>IF($B107&lt;=Factores!$D$3,"",BX30)</f>
        <v>98.056332111173916</v>
      </c>
      <c r="BY107" s="780">
        <f>IF($B107&lt;=Factores!$D$3,"",BY30)</f>
        <v>98.056332111173916</v>
      </c>
      <c r="BZ107" s="780">
        <f>IF($B107&lt;=Factores!$D$3,"",BZ30)</f>
        <v>98.056332111173916</v>
      </c>
      <c r="CA107" s="780">
        <f>IF($B107&lt;=Factores!$D$3,"",CA30)</f>
        <v>97.12989278992228</v>
      </c>
      <c r="CB107" s="780">
        <f>IF($B107&lt;=Factores!$D$3,"",CB30)</f>
        <v>97.885715079916608</v>
      </c>
      <c r="CC107" s="780">
        <f>IF($B107&lt;=Factores!$D$3,"",CC30)</f>
        <v>98.056332111173901</v>
      </c>
      <c r="CD107" s="780"/>
      <c r="CE107" s="780"/>
      <c r="CF107" s="780"/>
      <c r="CG107" s="780"/>
      <c r="CH107" s="780"/>
      <c r="CI107" s="780"/>
      <c r="CJ107" s="780"/>
      <c r="CK107" s="780"/>
      <c r="CL107" s="780"/>
      <c r="CM107" s="780"/>
      <c r="CN107" s="780"/>
      <c r="CO107" s="780"/>
      <c r="CP107" s="780"/>
      <c r="CQ107" s="780"/>
      <c r="CR107" s="780"/>
      <c r="CS107" s="780"/>
      <c r="CT107" s="780"/>
      <c r="CU107" s="780"/>
      <c r="CV107" s="780"/>
      <c r="CW107" s="780"/>
      <c r="CX107" s="780">
        <f>IF($B107&lt;=Factores!$D$3,"",CX30)</f>
        <v>0</v>
      </c>
      <c r="CY107" s="780">
        <f>IF($B107&lt;=Factores!$D$3,"",CY30)</f>
        <v>0</v>
      </c>
      <c r="CZ107" s="780">
        <f>IF($B107&lt;=Factores!$D$3,"",CZ30)</f>
        <v>0</v>
      </c>
      <c r="DA107" s="780">
        <f>IF($B107&lt;=Factores!$D$3,"",DA30)</f>
        <v>0</v>
      </c>
      <c r="DB107" s="780"/>
      <c r="DC107" s="780"/>
      <c r="DD107" s="780"/>
      <c r="DE107" s="780"/>
      <c r="DF107" s="780"/>
      <c r="DG107" s="780"/>
      <c r="DH107" s="780"/>
      <c r="DI107" s="780"/>
      <c r="DJ107" s="780"/>
      <c r="DK107" s="780"/>
      <c r="DL107" s="780">
        <f>IF($B107&lt;=Factores!$D$3,"",DL30)</f>
        <v>0</v>
      </c>
      <c r="DM107" s="780">
        <f>IF($B107&lt;=Factores!$D$3,"",DM30)</f>
        <v>0</v>
      </c>
      <c r="DN107" s="780">
        <f>IF($B107&lt;=Factores!$D$3,"",DN30)</f>
        <v>0</v>
      </c>
      <c r="DO107" s="780">
        <f>IF($B107&lt;=Factores!$D$3,"",DO30)</f>
        <v>0</v>
      </c>
      <c r="DP107" s="780">
        <f>IF($B107&lt;=Factores!$D$3,"",DP30)</f>
        <v>0</v>
      </c>
      <c r="DQ107" s="780">
        <f>IF($B107&lt;=Factores!$D$3,"",DQ30)</f>
        <v>0</v>
      </c>
      <c r="DR107" s="780">
        <f>IF($B107&lt;=Factores!$D$3,"",DR30)</f>
        <v>0</v>
      </c>
      <c r="DS107" s="780">
        <f>IF($B107&lt;=Factores!$D$3,"",DS30)</f>
        <v>0</v>
      </c>
      <c r="DT107" s="780">
        <f>IF($B107&lt;=Factores!$D$3,"",DT30)</f>
        <v>0</v>
      </c>
      <c r="DU107" s="780">
        <f>IF($B107&lt;=Factores!$D$3,"",DU30)</f>
        <v>0</v>
      </c>
      <c r="DV107" s="780">
        <f>IF($B107&lt;=Factores!$D$3,"",DV30)</f>
        <v>0</v>
      </c>
      <c r="DW107" s="780">
        <f>IF($B107&lt;=Factores!$D$3,"",DW30)</f>
        <v>7.2602333333333338E-2</v>
      </c>
      <c r="DX107" s="780">
        <f>IF($B107&lt;=Factores!$D$3,"",DX30)</f>
        <v>7.2602333333333338E-2</v>
      </c>
      <c r="DY107" s="780">
        <f>IF($B107&lt;=Factores!$D$3,"",DY30)</f>
        <v>7.2602333333333338E-2</v>
      </c>
      <c r="DZ107" s="780">
        <f>IF($B107&lt;=Factores!$D$3,"",DZ30)</f>
        <v>7.2602333333333338E-2</v>
      </c>
      <c r="EA107" s="780">
        <f>IF($B107&lt;=Factores!$D$3,"",EA30)</f>
        <v>0</v>
      </c>
      <c r="EB107" s="780">
        <f>IF($B107&lt;=Factores!$D$3,"",EB30)</f>
        <v>0</v>
      </c>
      <c r="EC107" s="780">
        <f>IF($B107&lt;=Factores!$D$3,"",EC30)</f>
        <v>0</v>
      </c>
      <c r="ED107" s="780">
        <f>IF($B107&lt;=Factores!$D$3,"",ED30)</f>
        <v>0</v>
      </c>
      <c r="EE107" s="780">
        <f>IF($B107&lt;=Factores!$D$3,"",EE30)</f>
        <v>0.05</v>
      </c>
      <c r="EF107" s="780">
        <f>IF($B107&lt;=Factores!$D$3,"",EF30)</f>
        <v>0.05</v>
      </c>
      <c r="EG107" s="780">
        <f>IF($B107&lt;=Factores!$D$3,"",EG30)</f>
        <v>0.05</v>
      </c>
      <c r="EH107" s="780">
        <f>IF($B107&lt;=Factores!$D$3,"",EH30)</f>
        <v>0.05</v>
      </c>
      <c r="EI107" s="780">
        <f>IF($B107&lt;=Factores!$D$3,"",EI30)</f>
        <v>4.1666666666666666E-3</v>
      </c>
      <c r="EJ107" s="780">
        <f>IF($B107&lt;=Factores!$D$3,"",EJ30)</f>
        <v>4.1666666666666666E-3</v>
      </c>
      <c r="EK107" s="780">
        <f>IF($B107&lt;=Factores!$D$3,"",EK30)</f>
        <v>4.1666666666666666E-3</v>
      </c>
      <c r="EL107" s="780">
        <f>IF($B107&lt;=Factores!$D$3,"",EL30)</f>
        <v>4.1666666666666666E-3</v>
      </c>
    </row>
    <row r="108" spans="2:142" ht="14.25" customHeight="1">
      <c r="B108" s="794">
        <f t="shared" si="239"/>
        <v>46105.791666666664</v>
      </c>
      <c r="C108" s="780">
        <f>IF($B108&lt;=Factores!$D$3,"",C31)</f>
        <v>184999.99999984697</v>
      </c>
      <c r="D108" s="780">
        <f>IF($B108&lt;=Factores!$D$3,"",D31)</f>
        <v>658972.29932983196</v>
      </c>
      <c r="E108" s="780">
        <f>IF($B108&lt;=Factores!$D$3,"",E31)</f>
        <v>199135.38567405319</v>
      </c>
      <c r="F108" s="780">
        <f>IF($B108&lt;=Factores!$D$3,"",F31)</f>
        <v>40344.272202288972</v>
      </c>
      <c r="G108" s="780">
        <f>IF($B108&lt;=Factores!$D$3,"",G31)</f>
        <v>158791.11347176423</v>
      </c>
      <c r="H108" s="780">
        <f>IF($B108&lt;=Factores!$D$3,"",H31)</f>
        <v>98.056332111173901</v>
      </c>
      <c r="I108" s="780">
        <f>IF($B108&lt;=Factores!$D$3,"",I31)</f>
        <v>97.12989278992228</v>
      </c>
      <c r="J108" s="780">
        <f>IF($B108&lt;=Factores!$D$3,"",J31)</f>
        <v>97.885672723806138</v>
      </c>
      <c r="K108" s="780">
        <f>IF($B108&lt;=Factores!$D$3,"",K31)</f>
        <v>64.591307583795782</v>
      </c>
      <c r="L108" s="3107">
        <f>IF($B108&lt;=Factores!$D$3,"",L31)</f>
        <v>0.55160275711999007</v>
      </c>
      <c r="M108" s="780">
        <f>IF($B108&lt;=Factores!$D$3,"",M31)</f>
        <v>90.381180349036981</v>
      </c>
      <c r="N108" s="780">
        <f>IF($B108&lt;=Factores!$D$3,"",N31)</f>
        <v>26.705241224231788</v>
      </c>
      <c r="O108" s="780">
        <f>IF($B108&lt;=Factores!$D$3,"",O31)</f>
        <v>3717.5461734395567</v>
      </c>
      <c r="P108" s="780">
        <f>IF($B108&lt;=Factores!$D$3,"",P31)</f>
        <v>2964.3817158111433</v>
      </c>
      <c r="Q108" s="780">
        <f>IF($B108&lt;=Factores!$D$3,"",Q31)</f>
        <v>753.16445762841363</v>
      </c>
      <c r="R108" s="780">
        <f>IF($B108&lt;=Factores!$D$3,"",R31)</f>
        <v>75823.972418176694</v>
      </c>
      <c r="S108" s="780">
        <f>IF($B108&lt;=Factores!$D$3,"",S31)</f>
        <v>992.7796732392319</v>
      </c>
      <c r="T108" s="780">
        <f>IF($B108&lt;=Factores!$D$3,"",T31)</f>
        <v>791.64528801438701</v>
      </c>
      <c r="U108" s="780">
        <f>IF($B108&lt;=Factores!$D$3,"",U31)</f>
        <v>201.13438522484489</v>
      </c>
      <c r="V108" s="780">
        <f>IF($B108&lt;=Factores!$D$3,"",V31)</f>
        <v>20453.441869494993</v>
      </c>
      <c r="W108" s="780">
        <f>IF($B108&lt;=Factores!$D$3,"",W31)</f>
        <v>116.04786880043868</v>
      </c>
      <c r="X108" s="780">
        <f>IF($B108&lt;=Factores!$D$3,"",X31)</f>
        <v>90.129959905640135</v>
      </c>
      <c r="Y108" s="780">
        <f>IF($B108&lt;=Factores!$D$3,"",Y31)</f>
        <v>87.82351604273741</v>
      </c>
      <c r="Z108" s="780">
        <f>IF($B108&lt;=Factores!$D$3,"",Z31)</f>
        <v>79.155299797042659</v>
      </c>
      <c r="AA108" s="780">
        <f>IF($B108&lt;=Factores!$D$3,"",AA31)</f>
        <v>50</v>
      </c>
      <c r="AB108" s="780">
        <f>IF($B108&lt;=Factores!$D$3,"",AB31)</f>
        <v>36.584371830819684</v>
      </c>
      <c r="AC108" s="780">
        <f>IF($B108&lt;=Factores!$D$3,"",AC31)</f>
        <v>36.584371830819684</v>
      </c>
      <c r="AD108" s="780">
        <f>IF($B108&lt;=Factores!$D$3,"",AD31)</f>
        <v>50</v>
      </c>
      <c r="AE108" s="780">
        <f>IF($B108&lt;=Factores!$D$3,"",AE31)</f>
        <v>18.292185915409842</v>
      </c>
      <c r="AF108" s="780">
        <f>IF($B108&lt;=Factores!$D$3,"",AF31)</f>
        <v>707.03299574357584</v>
      </c>
      <c r="AG108" s="780">
        <f>IF($B108&lt;=Factores!$D$3,"",AG31)</f>
        <v>25</v>
      </c>
      <c r="AH108" s="780">
        <f>IF($B108&lt;=Factores!$D$3,"",AH31)</f>
        <v>315.8382383096386</v>
      </c>
      <c r="AI108" s="780">
        <f>IF($B108&lt;=Factores!$D$3,"",AI31)</f>
        <v>1045.8087202080051</v>
      </c>
      <c r="AJ108" s="780">
        <f>IF($B108&lt;=Factores!$D$3,"",AJ31)</f>
        <v>22503.130524155622</v>
      </c>
      <c r="AK108" s="780">
        <f>IF($B108&lt;=Factores!$D$3,"",AK31)</f>
        <v>4366</v>
      </c>
      <c r="AL108" s="780">
        <f>IF($B108&lt;=Factores!$D$3,"",AL31)</f>
        <v>29.00637430726275</v>
      </c>
      <c r="AM108" s="780">
        <f>IF($B108&lt;=Factores!$D$3,"",AM31)</f>
        <v>1266.4183022550917</v>
      </c>
      <c r="AN108" s="780">
        <f>IF($B108&lt;=Factores!$D$3,"",AN31)</f>
        <v>4366</v>
      </c>
      <c r="AO108" s="780">
        <f>IF($B108&lt;=Factores!$D$3,"",AO31)</f>
        <v>30.291011915290664</v>
      </c>
      <c r="AP108" s="780">
        <f>IF($B108&lt;=Factores!$D$3,"",AP31)</f>
        <v>1322.5055802215904</v>
      </c>
      <c r="AQ108" s="780">
        <f>IF($B108&lt;=Factores!$D$3,"",AQ31)</f>
        <v>8.4162492796094117</v>
      </c>
      <c r="AR108" s="780">
        <f>IF($B108&lt;=Factores!$D$3,"",AR31)</f>
        <v>3342.6092404109831</v>
      </c>
      <c r="AS108" s="780">
        <f>IF($B108&lt;=Factores!$D$3,"",AS31)</f>
        <v>-648.4538265604433</v>
      </c>
      <c r="AT108" s="780">
        <f>IF($B108&lt;=Factores!$D$3,"",AT31)</f>
        <v>37.37366346942364</v>
      </c>
      <c r="AU108" s="780">
        <f>IF($B108&lt;=Factores!$D$3,"",AU31)</f>
        <v>83.560410965114826</v>
      </c>
      <c r="AV108" s="780"/>
      <c r="AW108" s="780">
        <f>IF($B108&lt;=Factores!$D$3,"",AW31)</f>
        <v>1272.25036817317</v>
      </c>
      <c r="AX108" s="780">
        <f>IF($B108&lt;=Factores!$D$3,"",AX31)</f>
        <v>4.2900576356295144</v>
      </c>
      <c r="AY108" s="780">
        <f>IF($B108&lt;=Factores!$D$3,"",AY31)</f>
        <v>186.61872401743344</v>
      </c>
      <c r="AZ108" s="780">
        <f>IF($B108&lt;=Factores!$D$3,"",AZ31)</f>
        <v>8.4162492796094117</v>
      </c>
      <c r="BA108" s="780">
        <f>IF($B108&lt;=Factores!$D$3,"",BA31)</f>
        <v>8297.307736418883</v>
      </c>
      <c r="BB108" s="780">
        <f>IF($B108&lt;=Factores!$D$3,"",BB31)</f>
        <v>8.7129265768370967</v>
      </c>
      <c r="BC108" s="780"/>
      <c r="BD108" s="794">
        <f>IF($B108&lt;=Factores!$D$3,"",BD31)</f>
        <v>46105.791666666664</v>
      </c>
      <c r="BE108" s="780">
        <f>IF($B108&lt;=Factores!$D$3,"",BE31)</f>
        <v>3.3128173940603446E-2</v>
      </c>
      <c r="BF108" s="780">
        <f>IF($B108&lt;=Factores!$D$3,"",BF31)</f>
        <v>1.1462879316164976</v>
      </c>
      <c r="BG108" s="780">
        <f>IF($B108&lt;=Factores!$D$3,"",BG31)</f>
        <v>1.1126778322880904</v>
      </c>
      <c r="BH108" s="780">
        <f>IF($B108&lt;=Factores!$D$3,"",BH31)</f>
        <v>38.500436915594456</v>
      </c>
      <c r="BI108" s="780">
        <f>IF($B108&lt;=Factores!$D$3,"",BI31)</f>
        <v>32.725416577674395</v>
      </c>
      <c r="BJ108" s="780">
        <f>IF($B108&lt;=Factores!$D$3,"",BJ31)</f>
        <v>1472.6437459953477</v>
      </c>
      <c r="BK108" s="780">
        <f>IF($B108&lt;=Factores!$D$3,"",BK31)</f>
        <v>1.1194414650567424</v>
      </c>
      <c r="BL108" s="780">
        <f>IF($B108&lt;=Factores!$D$3,"",BL31)</f>
        <v>6.1474250902117156</v>
      </c>
      <c r="BM108" s="780"/>
      <c r="BN108" s="780"/>
      <c r="BO108" s="780"/>
      <c r="BP108" s="780"/>
      <c r="BQ108" s="780"/>
      <c r="BR108" s="780">
        <f>IF($B108&lt;=Factores!$D$3,"",BR31)</f>
        <v>6747.4443028885116</v>
      </c>
      <c r="BS108" s="780">
        <f>IF($B108&lt;=Factores!$D$3,"",BS31)</f>
        <v>1730.9843410628912</v>
      </c>
      <c r="BT108" s="780">
        <f>IF($B108&lt;=Factores!$D$3,"",BT31)</f>
        <v>8482.4198770040184</v>
      </c>
      <c r="BU108" s="780">
        <f>IF($B108&lt;=Factores!$D$3,"",BU31)</f>
        <v>2249.5386458666339</v>
      </c>
      <c r="BV108" s="780">
        <f>IF($B108&lt;=Factores!$D$3,"",BV31)</f>
        <v>2249.5386458666339</v>
      </c>
      <c r="BW108" s="780">
        <f>IF($B108&lt;=Factores!$D$3,"",BW31)</f>
        <v>2249.5386458666339</v>
      </c>
      <c r="BX108" s="780">
        <f>IF($B108&lt;=Factores!$D$3,"",BX31)</f>
        <v>98.056332111173916</v>
      </c>
      <c r="BY108" s="780">
        <f>IF($B108&lt;=Factores!$D$3,"",BY31)</f>
        <v>98.056332111173916</v>
      </c>
      <c r="BZ108" s="780">
        <f>IF($B108&lt;=Factores!$D$3,"",BZ31)</f>
        <v>98.056332111173916</v>
      </c>
      <c r="CA108" s="780">
        <f>IF($B108&lt;=Factores!$D$3,"",CA31)</f>
        <v>97.12989278992228</v>
      </c>
      <c r="CB108" s="780">
        <f>IF($B108&lt;=Factores!$D$3,"",CB31)</f>
        <v>97.885715079916608</v>
      </c>
      <c r="CC108" s="780">
        <f>IF($B108&lt;=Factores!$D$3,"",CC31)</f>
        <v>98.056332111173901</v>
      </c>
      <c r="CD108" s="780"/>
      <c r="CE108" s="780"/>
      <c r="CF108" s="780"/>
      <c r="CG108" s="780"/>
      <c r="CH108" s="780"/>
      <c r="CI108" s="780"/>
      <c r="CJ108" s="780"/>
      <c r="CK108" s="780"/>
      <c r="CL108" s="780"/>
      <c r="CM108" s="780"/>
      <c r="CN108" s="780"/>
      <c r="CO108" s="780"/>
      <c r="CP108" s="780"/>
      <c r="CQ108" s="780"/>
      <c r="CR108" s="780"/>
      <c r="CS108" s="780"/>
      <c r="CT108" s="780"/>
      <c r="CU108" s="780"/>
      <c r="CV108" s="780"/>
      <c r="CW108" s="780"/>
      <c r="CX108" s="780">
        <f>IF($B108&lt;=Factores!$D$3,"",CX31)</f>
        <v>0</v>
      </c>
      <c r="CY108" s="780">
        <f>IF($B108&lt;=Factores!$D$3,"",CY31)</f>
        <v>0</v>
      </c>
      <c r="CZ108" s="780">
        <f>IF($B108&lt;=Factores!$D$3,"",CZ31)</f>
        <v>0</v>
      </c>
      <c r="DA108" s="780">
        <f>IF($B108&lt;=Factores!$D$3,"",DA31)</f>
        <v>0</v>
      </c>
      <c r="DB108" s="780"/>
      <c r="DC108" s="780"/>
      <c r="DD108" s="780"/>
      <c r="DE108" s="780"/>
      <c r="DF108" s="780"/>
      <c r="DG108" s="780"/>
      <c r="DH108" s="780"/>
      <c r="DI108" s="780"/>
      <c r="DJ108" s="780"/>
      <c r="DK108" s="780"/>
      <c r="DL108" s="780">
        <f>IF($B108&lt;=Factores!$D$3,"",DL31)</f>
        <v>0</v>
      </c>
      <c r="DM108" s="780">
        <f>IF($B108&lt;=Factores!$D$3,"",DM31)</f>
        <v>0</v>
      </c>
      <c r="DN108" s="780">
        <f>IF($B108&lt;=Factores!$D$3,"",DN31)</f>
        <v>0</v>
      </c>
      <c r="DO108" s="780">
        <f>IF($B108&lt;=Factores!$D$3,"",DO31)</f>
        <v>0</v>
      </c>
      <c r="DP108" s="780">
        <f>IF($B108&lt;=Factores!$D$3,"",DP31)</f>
        <v>0</v>
      </c>
      <c r="DQ108" s="780">
        <f>IF($B108&lt;=Factores!$D$3,"",DQ31)</f>
        <v>0</v>
      </c>
      <c r="DR108" s="780">
        <f>IF($B108&lt;=Factores!$D$3,"",DR31)</f>
        <v>0</v>
      </c>
      <c r="DS108" s="780">
        <f>IF($B108&lt;=Factores!$D$3,"",DS31)</f>
        <v>0</v>
      </c>
      <c r="DT108" s="780">
        <f>IF($B108&lt;=Factores!$D$3,"",DT31)</f>
        <v>0</v>
      </c>
      <c r="DU108" s="780">
        <f>IF($B108&lt;=Factores!$D$3,"",DU31)</f>
        <v>0</v>
      </c>
      <c r="DV108" s="780">
        <f>IF($B108&lt;=Factores!$D$3,"",DV31)</f>
        <v>0</v>
      </c>
      <c r="DW108" s="780">
        <f>IF($B108&lt;=Factores!$D$3,"",DW31)</f>
        <v>7.2602333333333338E-2</v>
      </c>
      <c r="DX108" s="780">
        <f>IF($B108&lt;=Factores!$D$3,"",DX31)</f>
        <v>7.2602333333333338E-2</v>
      </c>
      <c r="DY108" s="780">
        <f>IF($B108&lt;=Factores!$D$3,"",DY31)</f>
        <v>7.2602333333333338E-2</v>
      </c>
      <c r="DZ108" s="780">
        <f>IF($B108&lt;=Factores!$D$3,"",DZ31)</f>
        <v>7.2602333333333338E-2</v>
      </c>
      <c r="EA108" s="780">
        <f>IF($B108&lt;=Factores!$D$3,"",EA31)</f>
        <v>0</v>
      </c>
      <c r="EB108" s="780">
        <f>IF($B108&lt;=Factores!$D$3,"",EB31)</f>
        <v>0</v>
      </c>
      <c r="EC108" s="780">
        <f>IF($B108&lt;=Factores!$D$3,"",EC31)</f>
        <v>0</v>
      </c>
      <c r="ED108" s="780">
        <f>IF($B108&lt;=Factores!$D$3,"",ED31)</f>
        <v>0</v>
      </c>
      <c r="EE108" s="780">
        <f>IF($B108&lt;=Factores!$D$3,"",EE31)</f>
        <v>0.05</v>
      </c>
      <c r="EF108" s="780">
        <f>IF($B108&lt;=Factores!$D$3,"",EF31)</f>
        <v>0.05</v>
      </c>
      <c r="EG108" s="780">
        <f>IF($B108&lt;=Factores!$D$3,"",EG31)</f>
        <v>0.05</v>
      </c>
      <c r="EH108" s="780">
        <f>IF($B108&lt;=Factores!$D$3,"",EH31)</f>
        <v>0.05</v>
      </c>
      <c r="EI108" s="780">
        <f>IF($B108&lt;=Factores!$D$3,"",EI31)</f>
        <v>4.1666666666666666E-3</v>
      </c>
      <c r="EJ108" s="780">
        <f>IF($B108&lt;=Factores!$D$3,"",EJ31)</f>
        <v>4.1666666666666666E-3</v>
      </c>
      <c r="EK108" s="780">
        <f>IF($B108&lt;=Factores!$D$3,"",EK31)</f>
        <v>4.1666666666666666E-3</v>
      </c>
      <c r="EL108" s="780">
        <f>IF($B108&lt;=Factores!$D$3,"",EL31)</f>
        <v>4.1666666666666666E-3</v>
      </c>
    </row>
    <row r="109" spans="2:142" ht="14.25" customHeight="1">
      <c r="B109" s="794">
        <f t="shared" si="239"/>
        <v>46106.791666666664</v>
      </c>
      <c r="C109" s="780">
        <f>IF($B109&lt;=Factores!$D$3,"",C32)</f>
        <v>220000.00000043112</v>
      </c>
      <c r="D109" s="780">
        <f>IF($B109&lt;=Factores!$D$3,"",D32)</f>
        <v>677720.6414014633</v>
      </c>
      <c r="E109" s="780">
        <f>IF($B109&lt;=Factores!$D$3,"",E32)</f>
        <v>201251.65792879966</v>
      </c>
      <c r="F109" s="780">
        <f>IF($B109&lt;=Factores!$D$3,"",F32)</f>
        <v>40752.55829265494</v>
      </c>
      <c r="G109" s="780">
        <f>IF($B109&lt;=Factores!$D$3,"",G32)</f>
        <v>160499.0996361447</v>
      </c>
      <c r="H109" s="780">
        <f>IF($B109&lt;=Factores!$D$3,"",H32)</f>
        <v>98.056332111173901</v>
      </c>
      <c r="I109" s="780">
        <f>IF($B109&lt;=Factores!$D$3,"",I32)</f>
        <v>97.12989278992228</v>
      </c>
      <c r="J109" s="780">
        <f>IF($B109&lt;=Factores!$D$3,"",J32)</f>
        <v>97.885672723806138</v>
      </c>
      <c r="K109" s="780">
        <f>IF($B109&lt;=Factores!$D$3,"",K32)</f>
        <v>56.193647233444196</v>
      </c>
      <c r="L109" s="3107">
        <f>IF($B109&lt;=Factores!$D$3,"",L32)</f>
        <v>0.50905603115424403</v>
      </c>
      <c r="M109" s="780">
        <f>IF($B109&lt;=Factores!$D$3,"",M32)</f>
        <v>87.707388126030864</v>
      </c>
      <c r="N109" s="780">
        <f>IF($B109&lt;=Factores!$D$3,"",N32)</f>
        <v>24.113319660599188</v>
      </c>
      <c r="O109" s="780">
        <f>IF($B109&lt;=Factores!$D$3,"",O32)</f>
        <v>3726.3550181943365</v>
      </c>
      <c r="P109" s="780">
        <f>IF($B109&lt;=Factores!$D$3,"",P32)</f>
        <v>2971.7848364579072</v>
      </c>
      <c r="Q109" s="780">
        <f>IF($B109&lt;=Factores!$D$3,"",Q32)</f>
        <v>754.57018173642859</v>
      </c>
      <c r="R109" s="780">
        <f>IF($B109&lt;=Factores!$D$3,"",R32)</f>
        <v>79550.327436371037</v>
      </c>
      <c r="S109" s="780">
        <f>IF($B109&lt;=Factores!$D$3,"",S32)</f>
        <v>898.54789722597934</v>
      </c>
      <c r="T109" s="780">
        <f>IF($B109&lt;=Factores!$D$3,"",T32)</f>
        <v>716.59597724031005</v>
      </c>
      <c r="U109" s="780">
        <f>IF($B109&lt;=Factores!$D$3,"",U32)</f>
        <v>181.95191998566926</v>
      </c>
      <c r="V109" s="780">
        <f>IF($B109&lt;=Factores!$D$3,"",V32)</f>
        <v>21351.989766720973</v>
      </c>
      <c r="W109" s="780">
        <f>IF($B109&lt;=Factores!$D$3,"",W32)</f>
        <v>80.170312557958326</v>
      </c>
      <c r="X109" s="780">
        <f>IF($B109&lt;=Factores!$D$3,"",X32)</f>
        <v>87.333156641235632</v>
      </c>
      <c r="Y109" s="780">
        <f>IF($B109&lt;=Factores!$D$3,"",Y32)</f>
        <v>86.775621484645612</v>
      </c>
      <c r="Z109" s="780">
        <f>IF($B109&lt;=Factores!$D$3,"",Z32)</f>
        <v>75.78388943759127</v>
      </c>
      <c r="AA109" s="780">
        <f>IF($B109&lt;=Factores!$D$3,"",AA32)</f>
        <v>50</v>
      </c>
      <c r="AB109" s="780">
        <f>IF($B109&lt;=Factores!$D$3,"",AB32)</f>
        <v>24.454564323699106</v>
      </c>
      <c r="AC109" s="780">
        <f>IF($B109&lt;=Factores!$D$3,"",AC32)</f>
        <v>24.454564323699106</v>
      </c>
      <c r="AD109" s="780">
        <f>IF($B109&lt;=Factores!$D$3,"",AD32)</f>
        <v>50</v>
      </c>
      <c r="AE109" s="780">
        <f>IF($B109&lt;=Factores!$D$3,"",AE32)</f>
        <v>12.227282161849553</v>
      </c>
      <c r="AF109" s="780">
        <f>IF($B109&lt;=Factores!$D$3,"",AF32)</f>
        <v>719.26027790542537</v>
      </c>
      <c r="AG109" s="780">
        <f>IF($B109&lt;=Factores!$D$3,"",AG32)</f>
        <v>25</v>
      </c>
      <c r="AH109" s="780">
        <f>IF($B109&lt;=Factores!$D$3,"",AH32)</f>
        <v>303.06552047148813</v>
      </c>
      <c r="AI109" s="780">
        <f>IF($B109&lt;=Factores!$D$3,"",AI32)</f>
        <v>933.99478821318121</v>
      </c>
      <c r="AJ109" s="780">
        <f>IF($B109&lt;=Factores!$D$3,"",AJ32)</f>
        <v>23437.125312368804</v>
      </c>
      <c r="AK109" s="780">
        <f>IF($B109&lt;=Factores!$D$3,"",AK32)</f>
        <v>4366</v>
      </c>
      <c r="AL109" s="780">
        <f>IF($B109&lt;=Factores!$D$3,"",AL32)</f>
        <v>26.705241224231788</v>
      </c>
      <c r="AM109" s="780">
        <f>IF($B109&lt;=Factores!$D$3,"",AM32)</f>
        <v>1165.9508318499597</v>
      </c>
      <c r="AN109" s="780">
        <f>IF($B109&lt;=Factores!$D$3,"",AN32)</f>
        <v>4366</v>
      </c>
      <c r="AO109" s="780">
        <f>IF($B109&lt;=Factores!$D$3,"",AO32)</f>
        <v>29.00637430726275</v>
      </c>
      <c r="AP109" s="780">
        <f>IF($B109&lt;=Factores!$D$3,"",AP32)</f>
        <v>1266.4183022550917</v>
      </c>
      <c r="AQ109" s="780">
        <f>IF($B109&lt;=Factores!$D$3,"",AQ32)</f>
        <v>11.119020477338058</v>
      </c>
      <c r="AR109" s="780">
        <f>IF($B109&lt;=Factores!$D$3,"",AR32)</f>
        <v>2974.7388353818715</v>
      </c>
      <c r="AS109" s="780">
        <f>IF($B109&lt;=Factores!$D$3,"",AS32)</f>
        <v>-639.64498180566352</v>
      </c>
      <c r="AT109" s="780">
        <f>IF($B109&lt;=Factores!$D$3,"",AT32)</f>
        <v>37.100089455925193</v>
      </c>
      <c r="AU109" s="780">
        <f>IF($B109&lt;=Factores!$D$3,"",AU32)</f>
        <v>74.705348359208827</v>
      </c>
      <c r="AV109" s="780"/>
      <c r="AW109" s="780">
        <f>IF($B109&lt;=Factores!$D$3,"",AW32)</f>
        <v>1218.2944067693982</v>
      </c>
      <c r="AX109" s="780">
        <f>IF($B109&lt;=Factores!$D$3,"",AX32)</f>
        <v>4.1703639949699189</v>
      </c>
      <c r="AY109" s="780">
        <f>IF($B109&lt;=Factores!$D$3,"",AY32)</f>
        <v>185.13554322458796</v>
      </c>
      <c r="AZ109" s="780">
        <f>IF($B109&lt;=Factores!$D$3,"",AZ32)</f>
        <v>11.119020477338058</v>
      </c>
      <c r="BA109" s="780">
        <f>IF($B109&lt;=Factores!$D$3,"",BA32)</f>
        <v>8385.4857470333191</v>
      </c>
      <c r="BB109" s="780">
        <f>IF($B109&lt;=Factores!$D$3,"",BB32)</f>
        <v>11.510971907653703</v>
      </c>
      <c r="BC109" s="780"/>
      <c r="BD109" s="794">
        <f>IF($B109&lt;=Factores!$D$3,"",BD32)</f>
        <v>46106.791666666664</v>
      </c>
      <c r="BE109" s="780">
        <f>IF($B109&lt;=Factores!$D$3,"",BE32)</f>
        <v>3.0067620876736385E-2</v>
      </c>
      <c r="BF109" s="780">
        <f>IF($B109&lt;=Factores!$D$3,"",BF32)</f>
        <v>1.0403878887263338</v>
      </c>
      <c r="BG109" s="780">
        <f>IF($B109&lt;=Factores!$D$3,"",BG32)</f>
        <v>1.0617590771620453</v>
      </c>
      <c r="BH109" s="780">
        <f>IF($B109&lt;=Factores!$D$3,"",BH32)</f>
        <v>36.738566351929521</v>
      </c>
      <c r="BI109" s="780">
        <f>IF($B109&lt;=Factores!$D$3,"",BI32)</f>
        <v>35.841282935384321</v>
      </c>
      <c r="BJ109" s="780">
        <f>IF($B109&lt;=Factores!$D$3,"",BJ32)</f>
        <v>1612.8577320922943</v>
      </c>
      <c r="BK109" s="780">
        <f>IF($B109&lt;=Factores!$D$3,"",BK32)</f>
        <v>0.5838687082547015</v>
      </c>
      <c r="BL109" s="780">
        <f>IF($B109&lt;=Factores!$D$3,"",BL32)</f>
        <v>6.0858361185973244</v>
      </c>
      <c r="BM109" s="780"/>
      <c r="BN109" s="780"/>
      <c r="BO109" s="780"/>
      <c r="BP109" s="780"/>
      <c r="BQ109" s="780"/>
      <c r="BR109" s="780">
        <f>IF($B109&lt;=Factores!$D$3,"",BR32)</f>
        <v>6820.0210438804488</v>
      </c>
      <c r="BS109" s="780">
        <f>IF($B109&lt;=Factores!$D$3,"",BS32)</f>
        <v>1748.5019907940266</v>
      </c>
      <c r="BT109" s="780">
        <f>IF($B109&lt;=Factores!$D$3,"",BT32)</f>
        <v>8572.565130586403</v>
      </c>
      <c r="BU109" s="780">
        <f>IF($B109&lt;=Factores!$D$3,"",BU32)</f>
        <v>2273.7350936361281</v>
      </c>
      <c r="BV109" s="780">
        <f>IF($B109&lt;=Factores!$D$3,"",BV32)</f>
        <v>2273.7350936361281</v>
      </c>
      <c r="BW109" s="780">
        <f>IF($B109&lt;=Factores!$D$3,"",BW32)</f>
        <v>2273.7350936361281</v>
      </c>
      <c r="BX109" s="780">
        <f>IF($B109&lt;=Factores!$D$3,"",BX32)</f>
        <v>98.056332111173916</v>
      </c>
      <c r="BY109" s="780">
        <f>IF($B109&lt;=Factores!$D$3,"",BY32)</f>
        <v>98.056332111173916</v>
      </c>
      <c r="BZ109" s="780">
        <f>IF($B109&lt;=Factores!$D$3,"",BZ32)</f>
        <v>98.056332111173916</v>
      </c>
      <c r="CA109" s="780">
        <f>IF($B109&lt;=Factores!$D$3,"",CA32)</f>
        <v>97.12989278992228</v>
      </c>
      <c r="CB109" s="780">
        <f>IF($B109&lt;=Factores!$D$3,"",CB32)</f>
        <v>97.885715079916608</v>
      </c>
      <c r="CC109" s="780">
        <f>IF($B109&lt;=Factores!$D$3,"",CC32)</f>
        <v>98.056332111173901</v>
      </c>
      <c r="CD109" s="780"/>
      <c r="CE109" s="780"/>
      <c r="CF109" s="780"/>
      <c r="CG109" s="780"/>
      <c r="CH109" s="780"/>
      <c r="CI109" s="780"/>
      <c r="CJ109" s="780"/>
      <c r="CK109" s="780"/>
      <c r="CL109" s="780"/>
      <c r="CM109" s="780"/>
      <c r="CN109" s="780"/>
      <c r="CO109" s="780"/>
      <c r="CP109" s="780"/>
      <c r="CQ109" s="780"/>
      <c r="CR109" s="780"/>
      <c r="CS109" s="780"/>
      <c r="CT109" s="780"/>
      <c r="CU109" s="780"/>
      <c r="CV109" s="780"/>
      <c r="CW109" s="780"/>
      <c r="CX109" s="780">
        <f>IF($B109&lt;=Factores!$D$3,"",CX32)</f>
        <v>0</v>
      </c>
      <c r="CY109" s="780">
        <f>IF($B109&lt;=Factores!$D$3,"",CY32)</f>
        <v>0</v>
      </c>
      <c r="CZ109" s="780">
        <f>IF($B109&lt;=Factores!$D$3,"",CZ32)</f>
        <v>0</v>
      </c>
      <c r="DA109" s="780">
        <f>IF($B109&lt;=Factores!$D$3,"",DA32)</f>
        <v>0</v>
      </c>
      <c r="DB109" s="780"/>
      <c r="DC109" s="780"/>
      <c r="DD109" s="780"/>
      <c r="DE109" s="780"/>
      <c r="DF109" s="780"/>
      <c r="DG109" s="780"/>
      <c r="DH109" s="780"/>
      <c r="DI109" s="780"/>
      <c r="DJ109" s="780"/>
      <c r="DK109" s="780"/>
      <c r="DL109" s="780">
        <f>IF($B109&lt;=Factores!$D$3,"",DL32)</f>
        <v>0</v>
      </c>
      <c r="DM109" s="780">
        <f>IF($B109&lt;=Factores!$D$3,"",DM32)</f>
        <v>0</v>
      </c>
      <c r="DN109" s="780">
        <f>IF($B109&lt;=Factores!$D$3,"",DN32)</f>
        <v>0</v>
      </c>
      <c r="DO109" s="780">
        <f>IF($B109&lt;=Factores!$D$3,"",DO32)</f>
        <v>0</v>
      </c>
      <c r="DP109" s="780">
        <f>IF($B109&lt;=Factores!$D$3,"",DP32)</f>
        <v>0</v>
      </c>
      <c r="DQ109" s="780">
        <f>IF($B109&lt;=Factores!$D$3,"",DQ32)</f>
        <v>0</v>
      </c>
      <c r="DR109" s="780">
        <f>IF($B109&lt;=Factores!$D$3,"",DR32)</f>
        <v>0</v>
      </c>
      <c r="DS109" s="780">
        <f>IF($B109&lt;=Factores!$D$3,"",DS32)</f>
        <v>0</v>
      </c>
      <c r="DT109" s="780">
        <f>IF($B109&lt;=Factores!$D$3,"",DT32)</f>
        <v>0</v>
      </c>
      <c r="DU109" s="780">
        <f>IF($B109&lt;=Factores!$D$3,"",DU32)</f>
        <v>0</v>
      </c>
      <c r="DV109" s="780">
        <f>IF($B109&lt;=Factores!$D$3,"",DV32)</f>
        <v>0</v>
      </c>
      <c r="DW109" s="780">
        <f>IF($B109&lt;=Factores!$D$3,"",DW32)</f>
        <v>7.2602333333333338E-2</v>
      </c>
      <c r="DX109" s="780">
        <f>IF($B109&lt;=Factores!$D$3,"",DX32)</f>
        <v>7.2602333333333338E-2</v>
      </c>
      <c r="DY109" s="780">
        <f>IF($B109&lt;=Factores!$D$3,"",DY32)</f>
        <v>7.2602333333333338E-2</v>
      </c>
      <c r="DZ109" s="780">
        <f>IF($B109&lt;=Factores!$D$3,"",DZ32)</f>
        <v>7.2602333333333338E-2</v>
      </c>
      <c r="EA109" s="780">
        <f>IF($B109&lt;=Factores!$D$3,"",EA32)</f>
        <v>0</v>
      </c>
      <c r="EB109" s="780">
        <f>IF($B109&lt;=Factores!$D$3,"",EB32)</f>
        <v>0</v>
      </c>
      <c r="EC109" s="780">
        <f>IF($B109&lt;=Factores!$D$3,"",EC32)</f>
        <v>0</v>
      </c>
      <c r="ED109" s="780">
        <f>IF($B109&lt;=Factores!$D$3,"",ED32)</f>
        <v>0</v>
      </c>
      <c r="EE109" s="780">
        <f>IF($B109&lt;=Factores!$D$3,"",EE32)</f>
        <v>0.05</v>
      </c>
      <c r="EF109" s="780">
        <f>IF($B109&lt;=Factores!$D$3,"",EF32)</f>
        <v>0.05</v>
      </c>
      <c r="EG109" s="780">
        <f>IF($B109&lt;=Factores!$D$3,"",EG32)</f>
        <v>0.05</v>
      </c>
      <c r="EH109" s="780">
        <f>IF($B109&lt;=Factores!$D$3,"",EH32)</f>
        <v>0.05</v>
      </c>
      <c r="EI109" s="780">
        <f>IF($B109&lt;=Factores!$D$3,"",EI32)</f>
        <v>4.1666666666666666E-3</v>
      </c>
      <c r="EJ109" s="780">
        <f>IF($B109&lt;=Factores!$D$3,"",EJ32)</f>
        <v>4.1666666666666666E-3</v>
      </c>
      <c r="EK109" s="780">
        <f>IF($B109&lt;=Factores!$D$3,"",EK32)</f>
        <v>4.1666666666666666E-3</v>
      </c>
      <c r="EL109" s="780">
        <f>IF($B109&lt;=Factores!$D$3,"",EL32)</f>
        <v>4.1666666666666666E-3</v>
      </c>
    </row>
    <row r="110" spans="2:142" ht="14.25" customHeight="1">
      <c r="B110" s="794">
        <f t="shared" si="239"/>
        <v>46107.791666666664</v>
      </c>
      <c r="C110" s="780">
        <f>IF($B110&lt;=Factores!$D$3,"",C33)</f>
        <v>220000.00000017299</v>
      </c>
      <c r="D110" s="780">
        <f>IF($B110&lt;=Factores!$D$3,"",D33)</f>
        <v>688553.0530963178</v>
      </c>
      <c r="E110" s="780">
        <f>IF($B110&lt;=Factores!$D$3,"",E33)</f>
        <v>209167.58830531855</v>
      </c>
      <c r="F110" s="780">
        <f>IF($B110&lt;=Factores!$D$3,"",F33)</f>
        <v>42200.038282395093</v>
      </c>
      <c r="G110" s="780">
        <f>IF($B110&lt;=Factores!$D$3,"",G33)</f>
        <v>166967.55002292345</v>
      </c>
      <c r="H110" s="780">
        <f>IF($B110&lt;=Factores!$D$3,"",H33)</f>
        <v>98.056332111173901</v>
      </c>
      <c r="I110" s="780">
        <f>IF($B110&lt;=Factores!$D$3,"",I33)</f>
        <v>97.12989278992228</v>
      </c>
      <c r="J110" s="780">
        <f>IF($B110&lt;=Factores!$D$3,"",J33)</f>
        <v>97.885672723806138</v>
      </c>
      <c r="K110" s="780">
        <f>IF($B110&lt;=Factores!$D$3,"",K33)</f>
        <v>64.433085598601608</v>
      </c>
      <c r="L110" s="3107">
        <f>IF($B110&lt;=Factores!$D$3,"",L33)</f>
        <v>0.53298775612561489</v>
      </c>
      <c r="M110" s="780">
        <f>IF($B110&lt;=Factores!$D$3,"",M33)</f>
        <v>90.469439382451938</v>
      </c>
      <c r="N110" s="780">
        <f>IF($B110&lt;=Factores!$D$3,"",N33)</f>
        <v>25.237979789437635</v>
      </c>
      <c r="O110" s="780">
        <f>IF($B110&lt;=Factores!$D$3,"",O33)</f>
        <v>3996.3078155678249</v>
      </c>
      <c r="P110" s="780">
        <f>IF($B110&lt;=Factores!$D$3,"",P33)</f>
        <v>3190.0435937944708</v>
      </c>
      <c r="Q110" s="780">
        <f>IF($B110&lt;=Factores!$D$3,"",Q33)</f>
        <v>806.26422177335382</v>
      </c>
      <c r="R110" s="780">
        <f>IF($B110&lt;=Factores!$D$3,"",R33)</f>
        <v>83546.63525193886</v>
      </c>
      <c r="S110" s="780">
        <f>IF($B110&lt;=Factores!$D$3,"",S33)</f>
        <v>1008.5873588167243</v>
      </c>
      <c r="T110" s="780">
        <f>IF($B110&lt;=Factores!$D$3,"",T33)</f>
        <v>805.10255747609858</v>
      </c>
      <c r="U110" s="780">
        <f>IF($B110&lt;=Factores!$D$3,"",U33)</f>
        <v>203.48480134062567</v>
      </c>
      <c r="V110" s="780">
        <f>IF($B110&lt;=Factores!$D$3,"",V33)</f>
        <v>22360.577125537697</v>
      </c>
      <c r="W110" s="780">
        <f>IF($B110&lt;=Factores!$D$3,"",W33)</f>
        <v>99.511122211505906</v>
      </c>
      <c r="X110" s="780">
        <f>IF($B110&lt;=Factores!$D$3,"",X33)</f>
        <v>88.090924663621166</v>
      </c>
      <c r="Y110" s="780">
        <f>IF($B110&lt;=Factores!$D$3,"",Y33)</f>
        <v>87.387943344676103</v>
      </c>
      <c r="Z110" s="780">
        <f>IF($B110&lt;=Factores!$D$3,"",Z33)</f>
        <v>76.98084733684658</v>
      </c>
      <c r="AA110" s="780">
        <f>IF($B110&lt;=Factores!$D$3,"",AA33)</f>
        <v>50</v>
      </c>
      <c r="AB110" s="780">
        <f>IF($B110&lt;=Factores!$D$3,"",AB33)</f>
        <v>32.046359158809516</v>
      </c>
      <c r="AC110" s="780">
        <f>IF($B110&lt;=Factores!$D$3,"",AC33)</f>
        <v>32.046359158809516</v>
      </c>
      <c r="AD110" s="780">
        <f>IF($B110&lt;=Factores!$D$3,"",AD33)</f>
        <v>50</v>
      </c>
      <c r="AE110" s="780">
        <f>IF($B110&lt;=Factores!$D$3,"",AE33)</f>
        <v>16.023179579404758</v>
      </c>
      <c r="AF110" s="780">
        <f>IF($B110&lt;=Factores!$D$3,"",AF33)</f>
        <v>735.28345748483014</v>
      </c>
      <c r="AG110" s="780">
        <f>IF($B110&lt;=Factores!$D$3,"",AG33)</f>
        <v>25</v>
      </c>
      <c r="AH110" s="780">
        <f>IF($B110&lt;=Factores!$D$3,"",AH33)</f>
        <v>294.0887000508929</v>
      </c>
      <c r="AI110" s="780">
        <f>IF($B110&lt;=Factores!$D$3,"",AI33)</f>
        <v>1055.0385564174187</v>
      </c>
      <c r="AJ110" s="780">
        <f>IF($B110&lt;=Factores!$D$3,"",AJ33)</f>
        <v>24492.163868786221</v>
      </c>
      <c r="AK110" s="780">
        <f>IF($B110&lt;=Factores!$D$3,"",AK33)</f>
        <v>4366</v>
      </c>
      <c r="AL110" s="780">
        <f>IF($B110&lt;=Factores!$D$3,"",AL33)</f>
        <v>24.113319660599188</v>
      </c>
      <c r="AM110" s="780">
        <f>IF($B110&lt;=Factores!$D$3,"",AM33)</f>
        <v>1052.7875363817607</v>
      </c>
      <c r="AN110" s="780">
        <f>IF($B110&lt;=Factores!$D$3,"",AN33)</f>
        <v>4366</v>
      </c>
      <c r="AO110" s="780">
        <f>IF($B110&lt;=Factores!$D$3,"",AO33)</f>
        <v>26.705241224231788</v>
      </c>
      <c r="AP110" s="780">
        <f>IF($B110&lt;=Factores!$D$3,"",AP33)</f>
        <v>1165.9508318499597</v>
      </c>
      <c r="AQ110" s="780">
        <f>IF($B110&lt;=Factores!$D$3,"",AQ33)</f>
        <v>10.809148306665374</v>
      </c>
      <c r="AR110" s="780">
        <f>IF($B110&lt;=Factores!$D$3,"",AR33)</f>
        <v>2817.3753623486359</v>
      </c>
      <c r="AS110" s="780">
        <f>IF($B110&lt;=Factores!$D$3,"",AS33)</f>
        <v>-369.69218443217505</v>
      </c>
      <c r="AT110" s="780">
        <f>IF($B110&lt;=Factores!$D$3,"",AT33)</f>
        <v>37.148098228593724</v>
      </c>
      <c r="AU110" s="780">
        <f>IF($B110&lt;=Factores!$D$3,"",AU33)</f>
        <v>69.620664398692853</v>
      </c>
      <c r="AV110" s="780"/>
      <c r="AW110" s="780">
        <f>IF($B110&lt;=Factores!$D$3,"",AW33)</f>
        <v>1121.6447002396612</v>
      </c>
      <c r="AX110" s="780">
        <f>IF($B110&lt;=Factores!$D$3,"",AX33)</f>
        <v>3.9727736812415437</v>
      </c>
      <c r="AY110" s="780">
        <f>IF($B110&lt;=Factores!$D$3,"",AY33)</f>
        <v>190.10601777280255</v>
      </c>
      <c r="AZ110" s="780">
        <f>IF($B110&lt;=Factores!$D$3,"",AZ33)</f>
        <v>10.809148306665374</v>
      </c>
      <c r="BA110" s="780">
        <f>IF($B110&lt;=Factores!$D$3,"",BA33)</f>
        <v>8715.3161793882737</v>
      </c>
      <c r="BB110" s="780">
        <f>IF($B110&lt;=Factores!$D$3,"",BB33)</f>
        <v>11.190176576909705</v>
      </c>
      <c r="BC110" s="780"/>
      <c r="BD110" s="794">
        <f>IF($B110&lt;=Factores!$D$3,"",BD33)</f>
        <v>46107.791666666664</v>
      </c>
      <c r="BE110" s="780">
        <f>IF($B110&lt;=Factores!$D$3,"",BE33)</f>
        <v>3.6454974308144067E-2</v>
      </c>
      <c r="BF110" s="780">
        <f>IF($B110&lt;=Factores!$D$3,"",BF33)</f>
        <v>1.2614005580789893</v>
      </c>
      <c r="BG110" s="780">
        <f>IF($B110&lt;=Factores!$D$3,"",BG33)</f>
        <v>1.2339221013971797</v>
      </c>
      <c r="BH110" s="780">
        <f>IF($B110&lt;=Factores!$D$3,"",BH33)</f>
        <v>42.69568301357122</v>
      </c>
      <c r="BI110" s="780">
        <f>IF($B110&lt;=Factores!$D$3,"",BI33)</f>
        <v>41.877634288827736</v>
      </c>
      <c r="BJ110" s="780">
        <f>IF($B110&lt;=Factores!$D$3,"",BJ33)</f>
        <v>1884.4935429972481</v>
      </c>
      <c r="BK110" s="780">
        <f>IF($B110&lt;=Factores!$D$3,"",BK33)</f>
        <v>0.77820886477901929</v>
      </c>
      <c r="BL110" s="780">
        <f>IF($B110&lt;=Factores!$D$3,"",BL33)</f>
        <v>5.8500661801283913</v>
      </c>
      <c r="BM110" s="780"/>
      <c r="BN110" s="780"/>
      <c r="BO110" s="780"/>
      <c r="BP110" s="780"/>
      <c r="BQ110" s="780"/>
      <c r="BR110" s="780">
        <f>IF($B110&lt;=Factores!$D$3,"",BR33)</f>
        <v>7094.8821979874647</v>
      </c>
      <c r="BS110" s="780">
        <f>IF($B110&lt;=Factores!$D$3,"",BS33)</f>
        <v>1810.6065984488382</v>
      </c>
      <c r="BT110" s="780">
        <f>IF($B110&lt;=Factores!$D$3,"",BT33)</f>
        <v>8909.7540482841814</v>
      </c>
      <c r="BU110" s="780">
        <f>IF($B110&lt;=Factores!$D$3,"",BU33)</f>
        <v>2365.3713874172486</v>
      </c>
      <c r="BV110" s="780">
        <f>IF($B110&lt;=Factores!$D$3,"",BV33)</f>
        <v>2365.3713874172486</v>
      </c>
      <c r="BW110" s="780">
        <f>IF($B110&lt;=Factores!$D$3,"",BW33)</f>
        <v>2365.3713874172486</v>
      </c>
      <c r="BX110" s="780">
        <f>IF($B110&lt;=Factores!$D$3,"",BX33)</f>
        <v>98.056332111173916</v>
      </c>
      <c r="BY110" s="780">
        <f>IF($B110&lt;=Factores!$D$3,"",BY33)</f>
        <v>98.056332111173916</v>
      </c>
      <c r="BZ110" s="780">
        <f>IF($B110&lt;=Factores!$D$3,"",BZ33)</f>
        <v>98.056332111173916</v>
      </c>
      <c r="CA110" s="780">
        <f>IF($B110&lt;=Factores!$D$3,"",CA33)</f>
        <v>97.12989278992228</v>
      </c>
      <c r="CB110" s="780">
        <f>IF($B110&lt;=Factores!$D$3,"",CB33)</f>
        <v>97.885715079916608</v>
      </c>
      <c r="CC110" s="780">
        <f>IF($B110&lt;=Factores!$D$3,"",CC33)</f>
        <v>98.056332111173901</v>
      </c>
      <c r="CD110" s="780"/>
      <c r="CE110" s="780"/>
      <c r="CF110" s="780"/>
      <c r="CG110" s="780"/>
      <c r="CH110" s="780"/>
      <c r="CI110" s="780"/>
      <c r="CJ110" s="780"/>
      <c r="CK110" s="780"/>
      <c r="CL110" s="780"/>
      <c r="CM110" s="780"/>
      <c r="CN110" s="780"/>
      <c r="CO110" s="780"/>
      <c r="CP110" s="780"/>
      <c r="CQ110" s="780"/>
      <c r="CR110" s="780"/>
      <c r="CS110" s="780"/>
      <c r="CT110" s="780"/>
      <c r="CU110" s="780"/>
      <c r="CV110" s="780"/>
      <c r="CW110" s="780"/>
      <c r="CX110" s="780">
        <f>IF($B110&lt;=Factores!$D$3,"",CX33)</f>
        <v>0</v>
      </c>
      <c r="CY110" s="780">
        <f>IF($B110&lt;=Factores!$D$3,"",CY33)</f>
        <v>0</v>
      </c>
      <c r="CZ110" s="780">
        <f>IF($B110&lt;=Factores!$D$3,"",CZ33)</f>
        <v>0</v>
      </c>
      <c r="DA110" s="780">
        <f>IF($B110&lt;=Factores!$D$3,"",DA33)</f>
        <v>0</v>
      </c>
      <c r="DB110" s="780"/>
      <c r="DC110" s="780"/>
      <c r="DD110" s="780"/>
      <c r="DE110" s="780"/>
      <c r="DF110" s="780"/>
      <c r="DG110" s="780"/>
      <c r="DH110" s="780"/>
      <c r="DI110" s="780"/>
      <c r="DJ110" s="780"/>
      <c r="DK110" s="780"/>
      <c r="DL110" s="780">
        <f>IF($B110&lt;=Factores!$D$3,"",DL33)</f>
        <v>0</v>
      </c>
      <c r="DM110" s="780">
        <f>IF($B110&lt;=Factores!$D$3,"",DM33)</f>
        <v>0</v>
      </c>
      <c r="DN110" s="780">
        <f>IF($B110&lt;=Factores!$D$3,"",DN33)</f>
        <v>0</v>
      </c>
      <c r="DO110" s="780">
        <f>IF($B110&lt;=Factores!$D$3,"",DO33)</f>
        <v>0</v>
      </c>
      <c r="DP110" s="780">
        <f>IF($B110&lt;=Factores!$D$3,"",DP33)</f>
        <v>0</v>
      </c>
      <c r="DQ110" s="780">
        <f>IF($B110&lt;=Factores!$D$3,"",DQ33)</f>
        <v>0</v>
      </c>
      <c r="DR110" s="780">
        <f>IF($B110&lt;=Factores!$D$3,"",DR33)</f>
        <v>0</v>
      </c>
      <c r="DS110" s="780">
        <f>IF($B110&lt;=Factores!$D$3,"",DS33)</f>
        <v>0</v>
      </c>
      <c r="DT110" s="780">
        <f>IF($B110&lt;=Factores!$D$3,"",DT33)</f>
        <v>0</v>
      </c>
      <c r="DU110" s="780">
        <f>IF($B110&lt;=Factores!$D$3,"",DU33)</f>
        <v>0</v>
      </c>
      <c r="DV110" s="780">
        <f>IF($B110&lt;=Factores!$D$3,"",DV33)</f>
        <v>0</v>
      </c>
      <c r="DW110" s="780">
        <f>IF($B110&lt;=Factores!$D$3,"",DW33)</f>
        <v>7.2602333333333338E-2</v>
      </c>
      <c r="DX110" s="780">
        <f>IF($B110&lt;=Factores!$D$3,"",DX33)</f>
        <v>7.2602333333333338E-2</v>
      </c>
      <c r="DY110" s="780">
        <f>IF($B110&lt;=Factores!$D$3,"",DY33)</f>
        <v>7.2602333333333338E-2</v>
      </c>
      <c r="DZ110" s="780">
        <f>IF($B110&lt;=Factores!$D$3,"",DZ33)</f>
        <v>7.2602333333333338E-2</v>
      </c>
      <c r="EA110" s="780">
        <f>IF($B110&lt;=Factores!$D$3,"",EA33)</f>
        <v>0</v>
      </c>
      <c r="EB110" s="780">
        <f>IF($B110&lt;=Factores!$D$3,"",EB33)</f>
        <v>0</v>
      </c>
      <c r="EC110" s="780">
        <f>IF($B110&lt;=Factores!$D$3,"",EC33)</f>
        <v>0</v>
      </c>
      <c r="ED110" s="780">
        <f>IF($B110&lt;=Factores!$D$3,"",ED33)</f>
        <v>0</v>
      </c>
      <c r="EE110" s="780">
        <f>IF($B110&lt;=Factores!$D$3,"",EE33)</f>
        <v>0.05</v>
      </c>
      <c r="EF110" s="780">
        <f>IF($B110&lt;=Factores!$D$3,"",EF33)</f>
        <v>0.05</v>
      </c>
      <c r="EG110" s="780">
        <f>IF($B110&lt;=Factores!$D$3,"",EG33)</f>
        <v>0.05</v>
      </c>
      <c r="EH110" s="780">
        <f>IF($B110&lt;=Factores!$D$3,"",EH33)</f>
        <v>0.05</v>
      </c>
      <c r="EI110" s="780">
        <f>IF($B110&lt;=Factores!$D$3,"",EI33)</f>
        <v>4.1666666666666666E-3</v>
      </c>
      <c r="EJ110" s="780">
        <f>IF($B110&lt;=Factores!$D$3,"",EJ33)</f>
        <v>4.1666666666666666E-3</v>
      </c>
      <c r="EK110" s="780">
        <f>IF($B110&lt;=Factores!$D$3,"",EK33)</f>
        <v>4.1666666666666666E-3</v>
      </c>
      <c r="EL110" s="780">
        <f>IF($B110&lt;=Factores!$D$3,"",EL33)</f>
        <v>4.1666666666666666E-3</v>
      </c>
    </row>
    <row r="111" spans="2:142" ht="14.25" customHeight="1">
      <c r="B111" s="794">
        <f t="shared" si="239"/>
        <v>46108.791666666664</v>
      </c>
      <c r="C111" s="780">
        <f>IF($B111&lt;=Factores!$D$3,"",C34)</f>
        <v>200000.00000007878</v>
      </c>
      <c r="D111" s="780">
        <f>IF($B111&lt;=Factores!$D$3,"",D34)</f>
        <v>679004.17815013626</v>
      </c>
      <c r="E111" s="780">
        <f>IF($B111&lt;=Factores!$D$3,"",E34)</f>
        <v>209548.87494626042</v>
      </c>
      <c r="F111" s="780">
        <f>IF($B111&lt;=Factores!$D$3,"",F34)</f>
        <v>42200.038282395093</v>
      </c>
      <c r="G111" s="780">
        <f>IF($B111&lt;=Factores!$D$3,"",G34)</f>
        <v>167348.83666386531</v>
      </c>
      <c r="H111" s="780">
        <f>IF($B111&lt;=Factores!$D$3,"",H34)</f>
        <v>98.056332111173901</v>
      </c>
      <c r="I111" s="780">
        <f>IF($B111&lt;=Factores!$D$3,"",I34)</f>
        <v>97.12989278992228</v>
      </c>
      <c r="J111" s="780">
        <f>IF($B111&lt;=Factores!$D$3,"",J34)</f>
        <v>97.885672723806138</v>
      </c>
      <c r="K111" s="780">
        <f>IF($B111&lt;=Factores!$D$3,"",K34)</f>
        <v>60.938995065387836</v>
      </c>
      <c r="L111" s="3107">
        <f>IF($B111&lt;=Factores!$D$3,"",L34)</f>
        <v>0.58620307725686216</v>
      </c>
      <c r="M111" s="780">
        <f>IF($B111&lt;=Factores!$D$3,"",M34)</f>
        <v>90.218317494085895</v>
      </c>
      <c r="N111" s="780">
        <f>IF($B111&lt;=Factores!$D$3,"",N34)</f>
        <v>26.753175806139513</v>
      </c>
      <c r="O111" s="780">
        <f>IF($B111&lt;=Factores!$D$3,"",O34)</f>
        <v>4142.4073862917176</v>
      </c>
      <c r="P111" s="780">
        <f>IF($B111&lt;=Factores!$D$3,"",P34)</f>
        <v>3308.1879216077987</v>
      </c>
      <c r="Q111" s="780">
        <f>IF($B111&lt;=Factores!$D$3,"",Q34)</f>
        <v>834.2194646839182</v>
      </c>
      <c r="R111" s="780">
        <f>IF($B111&lt;=Factores!$D$3,"",R34)</f>
        <v>87689.042638230574</v>
      </c>
      <c r="S111" s="780">
        <f>IF($B111&lt;=Factores!$D$3,"",S34)</f>
        <v>1108.2255306611319</v>
      </c>
      <c r="T111" s="780">
        <f>IF($B111&lt;=Factores!$D$3,"",T34)</f>
        <v>885.04533066520719</v>
      </c>
      <c r="U111" s="780">
        <f>IF($B111&lt;=Factores!$D$3,"",U34)</f>
        <v>223.18019999592457</v>
      </c>
      <c r="V111" s="780">
        <f>IF($B111&lt;=Factores!$D$3,"",V34)</f>
        <v>23468.80265619883</v>
      </c>
      <c r="W111" s="780">
        <f>IF($B111&lt;=Factores!$D$3,"",W34)</f>
        <v>112.14130337017447</v>
      </c>
      <c r="X111" s="780">
        <f>IF($B111&lt;=Factores!$D$3,"",X34)</f>
        <v>88.509893482860562</v>
      </c>
      <c r="Y111" s="780">
        <f>IF($B111&lt;=Factores!$D$3,"",Y34)</f>
        <v>87.726495195787237</v>
      </c>
      <c r="Z111" s="780">
        <f>IF($B111&lt;=Factores!$D$3,"",Z34)</f>
        <v>77.646627454038068</v>
      </c>
      <c r="AA111" s="780">
        <f>IF($B111&lt;=Factores!$D$3,"",AA34)</f>
        <v>50</v>
      </c>
      <c r="AB111" s="780">
        <f>IF($B111&lt;=Factores!$D$3,"",AB34)</f>
        <v>36.492492349206955</v>
      </c>
      <c r="AC111" s="780">
        <f>IF($B111&lt;=Factores!$D$3,"",AC34)</f>
        <v>36.492492349206955</v>
      </c>
      <c r="AD111" s="780">
        <f>IF($B111&lt;=Factores!$D$3,"",AD34)</f>
        <v>50</v>
      </c>
      <c r="AE111" s="780">
        <f>IF($B111&lt;=Factores!$D$3,"",AE34)</f>
        <v>18.246246174603478</v>
      </c>
      <c r="AF111" s="780">
        <f>IF($B111&lt;=Factores!$D$3,"",AF34)</f>
        <v>753.52970365943361</v>
      </c>
      <c r="AG111" s="780">
        <f>IF($B111&lt;=Factores!$D$3,"",AG34)</f>
        <v>25</v>
      </c>
      <c r="AH111" s="780">
        <f>IF($B111&lt;=Factores!$D$3,"",AH34)</f>
        <v>287.33494622549637</v>
      </c>
      <c r="AI111" s="780">
        <f>IF($B111&lt;=Factores!$D$3,"",AI34)</f>
        <v>1161.1213983213074</v>
      </c>
      <c r="AJ111" s="780">
        <f>IF($B111&lt;=Factores!$D$3,"",AJ34)</f>
        <v>25653.285267107531</v>
      </c>
      <c r="AK111" s="780">
        <f>IF($B111&lt;=Factores!$D$3,"",AK34)</f>
        <v>4366</v>
      </c>
      <c r="AL111" s="780">
        <f>IF($B111&lt;=Factores!$D$3,"",AL34)</f>
        <v>25.237979789437635</v>
      </c>
      <c r="AM111" s="780">
        <f>IF($B111&lt;=Factores!$D$3,"",AM34)</f>
        <v>1101.8901976068471</v>
      </c>
      <c r="AN111" s="780">
        <f>IF($B111&lt;=Factores!$D$3,"",AN34)</f>
        <v>4366</v>
      </c>
      <c r="AO111" s="780">
        <f>IF($B111&lt;=Factores!$D$3,"",AO34)</f>
        <v>24.113319660599188</v>
      </c>
      <c r="AP111" s="780">
        <f>IF($B111&lt;=Factores!$D$3,"",AP34)</f>
        <v>1052.7875363817607</v>
      </c>
      <c r="AQ111" s="780">
        <f>IF($B111&lt;=Factores!$D$3,"",AQ34)</f>
        <v>8.7386528305975517</v>
      </c>
      <c r="AR111" s="780">
        <f>IF($B111&lt;=Factores!$D$3,"",AR34)</f>
        <v>2872.8133566280071</v>
      </c>
      <c r="AS111" s="780">
        <f>IF($B111&lt;=Factores!$D$3,"",AS34)</f>
        <v>-223.59261370828244</v>
      </c>
      <c r="AT111" s="780">
        <f>IF($B111&lt;=Factores!$D$3,"",AT34)</f>
        <v>39.057782088721687</v>
      </c>
      <c r="AU111" s="780">
        <f>IF($B111&lt;=Factores!$D$3,"",AU34)</f>
        <v>78.579167787525421</v>
      </c>
      <c r="AV111" s="780"/>
      <c r="AW111" s="780">
        <f>IF($B111&lt;=Factores!$D$3,"",AW34)</f>
        <v>1012.7816099992538</v>
      </c>
      <c r="AX111" s="780">
        <f>IF($B111&lt;=Factores!$D$3,"",AX34)</f>
        <v>4.1634157910757033</v>
      </c>
      <c r="AY111" s="780">
        <f>IF($B111&lt;=Factores!$D$3,"",AY34)</f>
        <v>195.98286777612435</v>
      </c>
      <c r="AZ111" s="780">
        <f>IF($B111&lt;=Factores!$D$3,"",AZ34)</f>
        <v>8.7386528305975517</v>
      </c>
      <c r="BA111" s="780">
        <f>IF($B111&lt;=Factores!$D$3,"",BA34)</f>
        <v>8731.2031227608513</v>
      </c>
      <c r="BB111" s="780">
        <f>IF($B111&lt;=Factores!$D$3,"",BB34)</f>
        <v>9.0466950257680168</v>
      </c>
      <c r="BC111" s="780"/>
      <c r="BD111" s="794">
        <f>IF($B111&lt;=Factores!$D$3,"",BD34)</f>
        <v>46108.791666666664</v>
      </c>
      <c r="BE111" s="780">
        <f>IF($B111&lt;=Factores!$D$3,"",BE34)</f>
        <v>4.7847866921231573E-2</v>
      </c>
      <c r="BF111" s="780">
        <f>IF($B111&lt;=Factores!$D$3,"",BF34)</f>
        <v>1.6556129083280493</v>
      </c>
      <c r="BG111" s="780">
        <f>IF($B111&lt;=Factores!$D$3,"",BG34)</f>
        <v>1.5172372301547199</v>
      </c>
      <c r="BH111" s="780">
        <f>IF($B111&lt;=Factores!$D$3,"",BH34)</f>
        <v>52.498840698067085</v>
      </c>
      <c r="BI111" s="780">
        <f>IF($B111&lt;=Factores!$D$3,"",BI34)</f>
        <v>49.395080981495639</v>
      </c>
      <c r="BJ111" s="780">
        <f>IF($B111&lt;=Factores!$D$3,"",BJ34)</f>
        <v>2222.7786441673038</v>
      </c>
      <c r="BK111" s="780">
        <f>IF($B111&lt;=Factores!$D$3,"",BK34)</f>
        <v>1.1922321838696952</v>
      </c>
      <c r="BL111" s="780">
        <f>IF($B111&lt;=Factores!$D$3,"",BL34)</f>
        <v>5.8367374225010602</v>
      </c>
      <c r="BM111" s="780"/>
      <c r="BN111" s="780"/>
      <c r="BO111" s="780"/>
      <c r="BP111" s="780"/>
      <c r="BQ111" s="780"/>
      <c r="BR111" s="780">
        <f>IF($B111&lt;=Factores!$D$3,"",BR34)</f>
        <v>7111.084051585829</v>
      </c>
      <c r="BS111" s="780">
        <f>IF($B111&lt;=Factores!$D$3,"",BS34)</f>
        <v>1810.6065984488382</v>
      </c>
      <c r="BT111" s="780">
        <f>IF($B111&lt;=Factores!$D$3,"",BT34)</f>
        <v>8925.9954278411788</v>
      </c>
      <c r="BU111" s="780">
        <f>IF($B111&lt;=Factores!$D$3,"",BU34)</f>
        <v>2370.772943053445</v>
      </c>
      <c r="BV111" s="780">
        <f>IF($B111&lt;=Factores!$D$3,"",BV34)</f>
        <v>2370.772943053445</v>
      </c>
      <c r="BW111" s="780">
        <f>IF($B111&lt;=Factores!$D$3,"",BW34)</f>
        <v>2370.772943053445</v>
      </c>
      <c r="BX111" s="780">
        <f>IF($B111&lt;=Factores!$D$3,"",BX34)</f>
        <v>98.056332111173916</v>
      </c>
      <c r="BY111" s="780">
        <f>IF($B111&lt;=Factores!$D$3,"",BY34)</f>
        <v>98.056332111173916</v>
      </c>
      <c r="BZ111" s="780">
        <f>IF($B111&lt;=Factores!$D$3,"",BZ34)</f>
        <v>98.056332111173916</v>
      </c>
      <c r="CA111" s="780">
        <f>IF($B111&lt;=Factores!$D$3,"",CA34)</f>
        <v>97.12989278992228</v>
      </c>
      <c r="CB111" s="780">
        <f>IF($B111&lt;=Factores!$D$3,"",CB34)</f>
        <v>97.885715079916608</v>
      </c>
      <c r="CC111" s="780">
        <f>IF($B111&lt;=Factores!$D$3,"",CC34)</f>
        <v>98.056332111173901</v>
      </c>
      <c r="CD111" s="780"/>
      <c r="CE111" s="780"/>
      <c r="CF111" s="780"/>
      <c r="CG111" s="780"/>
      <c r="CH111" s="780"/>
      <c r="CI111" s="780"/>
      <c r="CJ111" s="780"/>
      <c r="CK111" s="780"/>
      <c r="CL111" s="780"/>
      <c r="CM111" s="780"/>
      <c r="CN111" s="780"/>
      <c r="CO111" s="780"/>
      <c r="CP111" s="780"/>
      <c r="CQ111" s="780"/>
      <c r="CR111" s="780"/>
      <c r="CS111" s="780"/>
      <c r="CT111" s="780"/>
      <c r="CU111" s="780"/>
      <c r="CV111" s="780"/>
      <c r="CW111" s="780"/>
      <c r="CX111" s="780">
        <f>IF($B111&lt;=Factores!$D$3,"",CX34)</f>
        <v>0</v>
      </c>
      <c r="CY111" s="780">
        <f>IF($B111&lt;=Factores!$D$3,"",CY34)</f>
        <v>0</v>
      </c>
      <c r="CZ111" s="780">
        <f>IF($B111&lt;=Factores!$D$3,"",CZ34)</f>
        <v>0</v>
      </c>
      <c r="DA111" s="780">
        <f>IF($B111&lt;=Factores!$D$3,"",DA34)</f>
        <v>0</v>
      </c>
      <c r="DB111" s="780"/>
      <c r="DC111" s="780"/>
      <c r="DD111" s="780"/>
      <c r="DE111" s="780"/>
      <c r="DF111" s="780"/>
      <c r="DG111" s="780"/>
      <c r="DH111" s="780"/>
      <c r="DI111" s="780"/>
      <c r="DJ111" s="780"/>
      <c r="DK111" s="780"/>
      <c r="DL111" s="780">
        <f>IF($B111&lt;=Factores!$D$3,"",DL34)</f>
        <v>0</v>
      </c>
      <c r="DM111" s="780">
        <f>IF($B111&lt;=Factores!$D$3,"",DM34)</f>
        <v>0</v>
      </c>
      <c r="DN111" s="780">
        <f>IF($B111&lt;=Factores!$D$3,"",DN34)</f>
        <v>0</v>
      </c>
      <c r="DO111" s="780">
        <f>IF($B111&lt;=Factores!$D$3,"",DO34)</f>
        <v>0</v>
      </c>
      <c r="DP111" s="780">
        <f>IF($B111&lt;=Factores!$D$3,"",DP34)</f>
        <v>0</v>
      </c>
      <c r="DQ111" s="780">
        <f>IF($B111&lt;=Factores!$D$3,"",DQ34)</f>
        <v>0</v>
      </c>
      <c r="DR111" s="780">
        <f>IF($B111&lt;=Factores!$D$3,"",DR34)</f>
        <v>0</v>
      </c>
      <c r="DS111" s="780">
        <f>IF($B111&lt;=Factores!$D$3,"",DS34)</f>
        <v>0</v>
      </c>
      <c r="DT111" s="780">
        <f>IF($B111&lt;=Factores!$D$3,"",DT34)</f>
        <v>0</v>
      </c>
      <c r="DU111" s="780">
        <f>IF($B111&lt;=Factores!$D$3,"",DU34)</f>
        <v>0</v>
      </c>
      <c r="DV111" s="780">
        <f>IF($B111&lt;=Factores!$D$3,"",DV34)</f>
        <v>0</v>
      </c>
      <c r="DW111" s="780">
        <f>IF($B111&lt;=Factores!$D$3,"",DW34)</f>
        <v>7.2602333333333338E-2</v>
      </c>
      <c r="DX111" s="780">
        <f>IF($B111&lt;=Factores!$D$3,"",DX34)</f>
        <v>7.2602333333333338E-2</v>
      </c>
      <c r="DY111" s="780">
        <f>IF($B111&lt;=Factores!$D$3,"",DY34)</f>
        <v>7.2602333333333338E-2</v>
      </c>
      <c r="DZ111" s="780">
        <f>IF($B111&lt;=Factores!$D$3,"",DZ34)</f>
        <v>7.2602333333333338E-2</v>
      </c>
      <c r="EA111" s="780">
        <f>IF($B111&lt;=Factores!$D$3,"",EA34)</f>
        <v>0</v>
      </c>
      <c r="EB111" s="780">
        <f>IF($B111&lt;=Factores!$D$3,"",EB34)</f>
        <v>0</v>
      </c>
      <c r="EC111" s="780">
        <f>IF($B111&lt;=Factores!$D$3,"",EC34)</f>
        <v>0</v>
      </c>
      <c r="ED111" s="780">
        <f>IF($B111&lt;=Factores!$D$3,"",ED34)</f>
        <v>0</v>
      </c>
      <c r="EE111" s="780">
        <f>IF($B111&lt;=Factores!$D$3,"",EE34)</f>
        <v>0.05</v>
      </c>
      <c r="EF111" s="780">
        <f>IF($B111&lt;=Factores!$D$3,"",EF34)</f>
        <v>0.05</v>
      </c>
      <c r="EG111" s="780">
        <f>IF($B111&lt;=Factores!$D$3,"",EG34)</f>
        <v>0.05</v>
      </c>
      <c r="EH111" s="780">
        <f>IF($B111&lt;=Factores!$D$3,"",EH34)</f>
        <v>0.05</v>
      </c>
      <c r="EI111" s="780">
        <f>IF($B111&lt;=Factores!$D$3,"",EI34)</f>
        <v>4.1666666666666666E-3</v>
      </c>
      <c r="EJ111" s="780">
        <f>IF($B111&lt;=Factores!$D$3,"",EJ34)</f>
        <v>4.1666666666666666E-3</v>
      </c>
      <c r="EK111" s="780">
        <f>IF($B111&lt;=Factores!$D$3,"",EK34)</f>
        <v>4.1666666666666666E-3</v>
      </c>
      <c r="EL111" s="780">
        <f>IF($B111&lt;=Factores!$D$3,"",EL34)</f>
        <v>4.1666666666666666E-3</v>
      </c>
    </row>
    <row r="112" spans="2:142" ht="14.25" customHeight="1">
      <c r="B112" s="794">
        <f t="shared" si="239"/>
        <v>46109.791666666664</v>
      </c>
      <c r="C112" s="780">
        <f>IF($B112&lt;=Factores!$D$3,"",C35)</f>
        <v>185000.00000020902</v>
      </c>
      <c r="D112" s="780">
        <f>IF($B112&lt;=Factores!$D$3,"",D35)</f>
        <v>648411.08982838516</v>
      </c>
      <c r="E112" s="780">
        <f>IF($B112&lt;=Factores!$D$3,"",E35)</f>
        <v>215593.08832196021</v>
      </c>
      <c r="F112" s="780">
        <f>IF($B112&lt;=Factores!$D$3,"",F35)</f>
        <v>42200.038282395093</v>
      </c>
      <c r="G112" s="780">
        <f>IF($B112&lt;=Factores!$D$3,"",G35)</f>
        <v>173393.05003956513</v>
      </c>
      <c r="H112" s="780">
        <f>IF($B112&lt;=Factores!$D$3,"",H35)</f>
        <v>98.056332111173901</v>
      </c>
      <c r="I112" s="780">
        <f>IF($B112&lt;=Factores!$D$3,"",I35)</f>
        <v>97.12989278992228</v>
      </c>
      <c r="J112" s="780">
        <f>IF($B112&lt;=Factores!$D$3,"",J35)</f>
        <v>97.885672723806138</v>
      </c>
      <c r="K112" s="780">
        <f>IF($B112&lt;=Factores!$D$3,"",K35)</f>
        <v>44.153437527899392</v>
      </c>
      <c r="L112" s="3107">
        <f>IF($B112&lt;=Factores!$D$3,"",L35)</f>
        <v>0.58702891178295702</v>
      </c>
      <c r="M112" s="780">
        <f>IF($B112&lt;=Factores!$D$3,"",M35)</f>
        <v>89.583309455896881</v>
      </c>
      <c r="N112" s="780">
        <f>IF($B112&lt;=Factores!$D$3,"",N35)</f>
        <v>25.41389590416216</v>
      </c>
      <c r="O112" s="780">
        <f>IF($B112&lt;=Factores!$D$3,"",O35)</f>
        <v>4461.1844597926402</v>
      </c>
      <c r="P112" s="780">
        <f>IF($B112&lt;=Factores!$D$3,"",P35)</f>
        <v>3587.955375996919</v>
      </c>
      <c r="Q112" s="780">
        <f>IF($B112&lt;=Factores!$D$3,"",Q35)</f>
        <v>873.22908379572209</v>
      </c>
      <c r="R112" s="780">
        <f>IF($B112&lt;=Factores!$D$3,"",R35)</f>
        <v>92150.227098023213</v>
      </c>
      <c r="S112" s="780">
        <f>IF($B112&lt;=Factores!$D$3,"",S35)</f>
        <v>1133.7607747043605</v>
      </c>
      <c r="T112" s="780">
        <f>IF($B112&lt;=Factores!$D$3,"",T35)</f>
        <v>911.83924434364701</v>
      </c>
      <c r="U112" s="780">
        <f>IF($B112&lt;=Factores!$D$3,"",U35)</f>
        <v>221.92153036071377</v>
      </c>
      <c r="V112" s="780">
        <f>IF($B112&lt;=Factores!$D$3,"",V35)</f>
        <v>24602.563430903192</v>
      </c>
      <c r="W112" s="780">
        <f>IF($B112&lt;=Factores!$D$3,"",W35)</f>
        <v>79.320162188502493</v>
      </c>
      <c r="X112" s="780">
        <f>IF($B112&lt;=Factores!$D$3,"",X35)</f>
        <v>87.295776221145999</v>
      </c>
      <c r="Y112" s="780">
        <f>IF($B112&lt;=Factores!$D$3,"",Y35)</f>
        <v>86.74541587068218</v>
      </c>
      <c r="Z112" s="780">
        <f>IF($B112&lt;=Factores!$D$3,"",Z35)</f>
        <v>75.725084120573186</v>
      </c>
      <c r="AA112" s="780">
        <f>IF($B112&lt;=Factores!$D$3,"",AA35)</f>
        <v>50</v>
      </c>
      <c r="AB112" s="780">
        <f>IF($B112&lt;=Factores!$D$3,"",AB35)</f>
        <v>25.899309610961517</v>
      </c>
      <c r="AC112" s="780">
        <f>IF($B112&lt;=Factores!$D$3,"",AC35)</f>
        <v>25.899309610961517</v>
      </c>
      <c r="AD112" s="780">
        <f>IF($B112&lt;=Factores!$D$3,"",AD35)</f>
        <v>50</v>
      </c>
      <c r="AE112" s="780">
        <f>IF($B112&lt;=Factores!$D$3,"",AE35)</f>
        <v>12.949654805480758</v>
      </c>
      <c r="AF112" s="780">
        <f>IF($B112&lt;=Factores!$D$3,"",AF35)</f>
        <v>766.47935846491441</v>
      </c>
      <c r="AG112" s="780">
        <f>IF($B112&lt;=Factores!$D$3,"",AG35)</f>
        <v>25</v>
      </c>
      <c r="AH112" s="780">
        <f>IF($B112&lt;=Factores!$D$3,"",AH35)</f>
        <v>275.28460103097711</v>
      </c>
      <c r="AI112" s="780">
        <f>IF($B112&lt;=Factores!$D$3,"",AI35)</f>
        <v>1171.3018239854493</v>
      </c>
      <c r="AJ112" s="780">
        <f>IF($B112&lt;=Factores!$D$3,"",AJ35)</f>
        <v>26824.587091092981</v>
      </c>
      <c r="AK112" s="780">
        <f>IF($B112&lt;=Factores!$D$3,"",AK35)</f>
        <v>4366</v>
      </c>
      <c r="AL112" s="780">
        <f>IF($B112&lt;=Factores!$D$3,"",AL35)</f>
        <v>26.753175806139513</v>
      </c>
      <c r="AM112" s="780">
        <f>IF($B112&lt;=Factores!$D$3,"",AM35)</f>
        <v>1168.0436556960512</v>
      </c>
      <c r="AN112" s="780">
        <f>IF($B112&lt;=Factores!$D$3,"",AN35)</f>
        <v>4366</v>
      </c>
      <c r="AO112" s="780">
        <f>IF($B112&lt;=Factores!$D$3,"",AO35)</f>
        <v>25.237979789437635</v>
      </c>
      <c r="AP112" s="780">
        <f>IF($B112&lt;=Factores!$D$3,"",AP35)</f>
        <v>1101.8901976068471</v>
      </c>
      <c r="AQ112" s="780">
        <f>IF($B112&lt;=Factores!$D$3,"",AQ35)</f>
        <v>10.589780880680918</v>
      </c>
      <c r="AR112" s="780">
        <f>IF($B112&lt;=Factores!$D$3,"",AR35)</f>
        <v>2904.6839337255205</v>
      </c>
      <c r="AS112" s="780">
        <f>IF($B112&lt;=Factores!$D$3,"",AS35)</f>
        <v>95.184459792640155</v>
      </c>
      <c r="AT112" s="780">
        <f>IF($B112&lt;=Factores!$D$3,"",AT35)</f>
        <v>40.074008752534851</v>
      </c>
      <c r="AU112" s="780">
        <f>IF($B112&lt;=Factores!$D$3,"",AU35)</f>
        <v>70.050570607737995</v>
      </c>
      <c r="AV112" s="780"/>
      <c r="AW112" s="780">
        <f>IF($B112&lt;=Factores!$D$3,"",AW35)</f>
        <v>1060.0183700977868</v>
      </c>
      <c r="AX112" s="780">
        <f>IF($B112&lt;=Factores!$D$3,"",AX35)</f>
        <v>4.0382898044277393</v>
      </c>
      <c r="AY112" s="780">
        <f>IF($B112&lt;=Factores!$D$3,"",AY35)</f>
        <v>199.64277284310384</v>
      </c>
      <c r="AZ112" s="780">
        <f>IF($B112&lt;=Factores!$D$3,"",AZ35)</f>
        <v>10.589780880680918</v>
      </c>
      <c r="BA112" s="780">
        <f>IF($B112&lt;=Factores!$D$3,"",BA35)</f>
        <v>8983.0453467483421</v>
      </c>
      <c r="BB112" s="780">
        <f>IF($B112&lt;=Factores!$D$3,"",BB35)</f>
        <v>10.963076331604112</v>
      </c>
      <c r="BC112" s="780"/>
      <c r="BD112" s="794">
        <f>IF($B112&lt;=Factores!$D$3,"",BD35)</f>
        <v>46109.791666666664</v>
      </c>
      <c r="BE112" s="780">
        <f>IF($B112&lt;=Factores!$D$3,"",BE35)</f>
        <v>3.7182738605934233E-2</v>
      </c>
      <c r="BF112" s="780">
        <f>IF($B112&lt;=Factores!$D$3,"",BF35)</f>
        <v>1.2865823695822112</v>
      </c>
      <c r="BG112" s="780">
        <f>IF($B112&lt;=Factores!$D$3,"",BG35)</f>
        <v>1.2044504491599561</v>
      </c>
      <c r="BH112" s="780">
        <f>IF($B112&lt;=Factores!$D$3,"",BH35)</f>
        <v>41.675916595268227</v>
      </c>
      <c r="BI112" s="780">
        <f>IF($B112&lt;=Factores!$D$3,"",BI35)</f>
        <v>29.582279762370987</v>
      </c>
      <c r="BJ112" s="780">
        <f>IF($B112&lt;=Factores!$D$3,"",BJ35)</f>
        <v>1331.2025893066943</v>
      </c>
      <c r="BK112" s="780">
        <f>IF($B112&lt;=Factores!$D$3,"",BK35)</f>
        <v>0.95472883959469068</v>
      </c>
      <c r="BL112" s="780">
        <f>IF($B112&lt;=Factores!$D$3,"",BL35)</f>
        <v>5.6332777890758532</v>
      </c>
      <c r="BM112" s="780"/>
      <c r="BN112" s="780"/>
      <c r="BO112" s="780"/>
      <c r="BP112" s="780"/>
      <c r="BQ112" s="780"/>
      <c r="BR112" s="780">
        <f>IF($B112&lt;=Factores!$D$3,"",BR35)</f>
        <v>7367.9182799984928</v>
      </c>
      <c r="BS112" s="780">
        <f>IF($B112&lt;=Factores!$D$3,"",BS35)</f>
        <v>1810.6065984488382</v>
      </c>
      <c r="BT112" s="780">
        <f>IF($B112&lt;=Factores!$D$3,"",BT35)</f>
        <v>9183.4562277153309</v>
      </c>
      <c r="BU112" s="780">
        <f>IF($B112&lt;=Factores!$D$3,"",BU35)</f>
        <v>2456.3992181971012</v>
      </c>
      <c r="BV112" s="780">
        <f>IF($B112&lt;=Factores!$D$3,"",BV35)</f>
        <v>2456.3992181971012</v>
      </c>
      <c r="BW112" s="780">
        <f>IF($B112&lt;=Factores!$D$3,"",BW35)</f>
        <v>2456.3992181971012</v>
      </c>
      <c r="BX112" s="780">
        <f>IF($B112&lt;=Factores!$D$3,"",BX35)</f>
        <v>98.056332111173916</v>
      </c>
      <c r="BY112" s="780">
        <f>IF($B112&lt;=Factores!$D$3,"",BY35)</f>
        <v>98.056332111173916</v>
      </c>
      <c r="BZ112" s="780">
        <f>IF($B112&lt;=Factores!$D$3,"",BZ35)</f>
        <v>98.056332111173916</v>
      </c>
      <c r="CA112" s="780">
        <f>IF($B112&lt;=Factores!$D$3,"",CA35)</f>
        <v>97.12989278992228</v>
      </c>
      <c r="CB112" s="780">
        <f>IF($B112&lt;=Factores!$D$3,"",CB35)</f>
        <v>97.885715079916608</v>
      </c>
      <c r="CC112" s="780">
        <f>IF($B112&lt;=Factores!$D$3,"",CC35)</f>
        <v>98.056332111173901</v>
      </c>
      <c r="CD112" s="780"/>
      <c r="CE112" s="780"/>
      <c r="CF112" s="780"/>
      <c r="CG112" s="780"/>
      <c r="CH112" s="780"/>
      <c r="CI112" s="780"/>
      <c r="CJ112" s="780"/>
      <c r="CK112" s="780"/>
      <c r="CL112" s="780"/>
      <c r="CM112" s="780"/>
      <c r="CN112" s="780"/>
      <c r="CO112" s="780"/>
      <c r="CP112" s="780"/>
      <c r="CQ112" s="780"/>
      <c r="CR112" s="780"/>
      <c r="CS112" s="780"/>
      <c r="CT112" s="780"/>
      <c r="CU112" s="780"/>
      <c r="CV112" s="780"/>
      <c r="CW112" s="780"/>
      <c r="CX112" s="780">
        <f>IF($B112&lt;=Factores!$D$3,"",CX35)</f>
        <v>0</v>
      </c>
      <c r="CY112" s="780">
        <f>IF($B112&lt;=Factores!$D$3,"",CY35)</f>
        <v>0</v>
      </c>
      <c r="CZ112" s="780">
        <f>IF($B112&lt;=Factores!$D$3,"",CZ35)</f>
        <v>0</v>
      </c>
      <c r="DA112" s="780">
        <f>IF($B112&lt;=Factores!$D$3,"",DA35)</f>
        <v>0</v>
      </c>
      <c r="DB112" s="780"/>
      <c r="DC112" s="780"/>
      <c r="DD112" s="780"/>
      <c r="DE112" s="780"/>
      <c r="DF112" s="780"/>
      <c r="DG112" s="780"/>
      <c r="DH112" s="780"/>
      <c r="DI112" s="780"/>
      <c r="DJ112" s="780"/>
      <c r="DK112" s="780"/>
      <c r="DL112" s="780">
        <f>IF($B112&lt;=Factores!$D$3,"",DL35)</f>
        <v>0</v>
      </c>
      <c r="DM112" s="780">
        <f>IF($B112&lt;=Factores!$D$3,"",DM35)</f>
        <v>0</v>
      </c>
      <c r="DN112" s="780">
        <f>IF($B112&lt;=Factores!$D$3,"",DN35)</f>
        <v>0</v>
      </c>
      <c r="DO112" s="780">
        <f>IF($B112&lt;=Factores!$D$3,"",DO35)</f>
        <v>0</v>
      </c>
      <c r="DP112" s="780">
        <f>IF($B112&lt;=Factores!$D$3,"",DP35)</f>
        <v>0</v>
      </c>
      <c r="DQ112" s="780">
        <f>IF($B112&lt;=Factores!$D$3,"",DQ35)</f>
        <v>0</v>
      </c>
      <c r="DR112" s="780">
        <f>IF($B112&lt;=Factores!$D$3,"",DR35)</f>
        <v>0</v>
      </c>
      <c r="DS112" s="780">
        <f>IF($B112&lt;=Factores!$D$3,"",DS35)</f>
        <v>0</v>
      </c>
      <c r="DT112" s="780">
        <f>IF($B112&lt;=Factores!$D$3,"",DT35)</f>
        <v>0</v>
      </c>
      <c r="DU112" s="780">
        <f>IF($B112&lt;=Factores!$D$3,"",DU35)</f>
        <v>0</v>
      </c>
      <c r="DV112" s="780">
        <f>IF($B112&lt;=Factores!$D$3,"",DV35)</f>
        <v>0</v>
      </c>
      <c r="DW112" s="780">
        <f>IF($B112&lt;=Factores!$D$3,"",DW35)</f>
        <v>7.2602333333333338E-2</v>
      </c>
      <c r="DX112" s="780">
        <f>IF($B112&lt;=Factores!$D$3,"",DX35)</f>
        <v>7.2602333333333338E-2</v>
      </c>
      <c r="DY112" s="780">
        <f>IF($B112&lt;=Factores!$D$3,"",DY35)</f>
        <v>7.2602333333333338E-2</v>
      </c>
      <c r="DZ112" s="780">
        <f>IF($B112&lt;=Factores!$D$3,"",DZ35)</f>
        <v>7.2602333333333338E-2</v>
      </c>
      <c r="EA112" s="780">
        <f>IF($B112&lt;=Factores!$D$3,"",EA35)</f>
        <v>0</v>
      </c>
      <c r="EB112" s="780">
        <f>IF($B112&lt;=Factores!$D$3,"",EB35)</f>
        <v>0</v>
      </c>
      <c r="EC112" s="780">
        <f>IF($B112&lt;=Factores!$D$3,"",EC35)</f>
        <v>0</v>
      </c>
      <c r="ED112" s="780">
        <f>IF($B112&lt;=Factores!$D$3,"",ED35)</f>
        <v>0</v>
      </c>
      <c r="EE112" s="780">
        <f>IF($B112&lt;=Factores!$D$3,"",EE35)</f>
        <v>0.05</v>
      </c>
      <c r="EF112" s="780">
        <f>IF($B112&lt;=Factores!$D$3,"",EF35)</f>
        <v>0.05</v>
      </c>
      <c r="EG112" s="780">
        <f>IF($B112&lt;=Factores!$D$3,"",EG35)</f>
        <v>0.05</v>
      </c>
      <c r="EH112" s="780">
        <f>IF($B112&lt;=Factores!$D$3,"",EH35)</f>
        <v>0.05</v>
      </c>
      <c r="EI112" s="780">
        <f>IF($B112&lt;=Factores!$D$3,"",EI35)</f>
        <v>4.1666666666666666E-3</v>
      </c>
      <c r="EJ112" s="780">
        <f>IF($B112&lt;=Factores!$D$3,"",EJ35)</f>
        <v>4.1666666666666666E-3</v>
      </c>
      <c r="EK112" s="780">
        <f>IF($B112&lt;=Factores!$D$3,"",EK35)</f>
        <v>4.1666666666666666E-3</v>
      </c>
      <c r="EL112" s="780">
        <f>IF($B112&lt;=Factores!$D$3,"",EL35)</f>
        <v>4.1666666666666666E-3</v>
      </c>
    </row>
    <row r="113" spans="2:142" ht="14.25" customHeight="1">
      <c r="B113" s="794">
        <f t="shared" si="239"/>
        <v>46110.791666666664</v>
      </c>
      <c r="C113" s="780">
        <f>IF($B113&lt;=Factores!$D$3,"",C36)</f>
        <v>219999.99999977328</v>
      </c>
      <c r="D113" s="780">
        <f>IF($B113&lt;=Factores!$D$3,"",D36)</f>
        <v>657785.16053012596</v>
      </c>
      <c r="E113" s="780">
        <f>IF($B113&lt;=Factores!$D$3,"",E36)</f>
        <v>210625.92929803248</v>
      </c>
      <c r="F113" s="780">
        <f>IF($B113&lt;=Factores!$D$3,"",F36)</f>
        <v>42200.038282395093</v>
      </c>
      <c r="G113" s="780">
        <f>IF($B113&lt;=Factores!$D$3,"",G36)</f>
        <v>168425.89101563737</v>
      </c>
      <c r="H113" s="780">
        <f>IF($B113&lt;=Factores!$D$3,"",H36)</f>
        <v>98.056332111173901</v>
      </c>
      <c r="I113" s="780">
        <f>IF($B113&lt;=Factores!$D$3,"",I36)</f>
        <v>97.12989278992228</v>
      </c>
      <c r="J113" s="780">
        <f>IF($B113&lt;=Factores!$D$3,"",J36)</f>
        <v>97.885672723806138</v>
      </c>
      <c r="K113" s="780">
        <f>IF($B113&lt;=Factores!$D$3,"",K36)</f>
        <v>70.841381451589641</v>
      </c>
      <c r="L113" s="3107">
        <f>IF($B113&lt;=Factores!$D$3,"",L36)</f>
        <v>0.58110873305710664</v>
      </c>
      <c r="M113" s="780">
        <f>IF($B113&lt;=Factores!$D$3,"",M36)</f>
        <v>89.976839205924364</v>
      </c>
      <c r="N113" s="780">
        <f>IF($B113&lt;=Factores!$D$3,"",N36)</f>
        <v>26.613948682597318</v>
      </c>
      <c r="O113" s="780">
        <f>IF($B113&lt;=Factores!$D$3,"",O36)</f>
        <v>4138.0015993722654</v>
      </c>
      <c r="P113" s="780">
        <f>IF($B113&lt;=Factores!$D$3,"",P36)</f>
        <v>3308.9307129524268</v>
      </c>
      <c r="Q113" s="780">
        <f>IF($B113&lt;=Factores!$D$3,"",Q36)</f>
        <v>829.07088641983694</v>
      </c>
      <c r="R113" s="780">
        <f>IF($B113&lt;=Factores!$D$3,"",R36)</f>
        <v>96288.228697395476</v>
      </c>
      <c r="S113" s="780">
        <f>IF($B113&lt;=Factores!$D$3,"",S36)</f>
        <v>1101.2856221419911</v>
      </c>
      <c r="T113" s="780">
        <f>IF($B113&lt;=Factores!$D$3,"",T36)</f>
        <v>880.63712188786042</v>
      </c>
      <c r="U113" s="780">
        <f>IF($B113&lt;=Factores!$D$3,"",U36)</f>
        <v>220.64850025413008</v>
      </c>
      <c r="V113" s="780">
        <f>IF($B113&lt;=Factores!$D$3,"",V36)</f>
        <v>25703.849053045182</v>
      </c>
      <c r="W113" s="780">
        <f>IF($B113&lt;=Factores!$D$3,"",W36)</f>
        <v>81.246285404785922</v>
      </c>
      <c r="X113" s="780">
        <f>IF($B113&lt;=Factores!$D$3,"",X36)</f>
        <v>87.379902013387337</v>
      </c>
      <c r="Y113" s="780">
        <f>IF($B113&lt;=Factores!$D$3,"",Y36)</f>
        <v>86.813394539694372</v>
      </c>
      <c r="Z113" s="780">
        <f>IF($B113&lt;=Factores!$D$3,"",Z36)</f>
        <v>75.85745908328029</v>
      </c>
      <c r="AA113" s="780">
        <f>IF($B113&lt;=Factores!$D$3,"",AA36)</f>
        <v>50</v>
      </c>
      <c r="AB113" s="780">
        <f>IF($B113&lt;=Factores!$D$3,"",AB36)</f>
        <v>25.962328194652681</v>
      </c>
      <c r="AC113" s="780">
        <f>IF($B113&lt;=Factores!$D$3,"",AC36)</f>
        <v>25.962328194652681</v>
      </c>
      <c r="AD113" s="780">
        <f>IF($B113&lt;=Factores!$D$3,"",AD36)</f>
        <v>50</v>
      </c>
      <c r="AE113" s="780">
        <f>IF($B113&lt;=Factores!$D$3,"",AE36)</f>
        <v>12.98116409732634</v>
      </c>
      <c r="AF113" s="780">
        <f>IF($B113&lt;=Factores!$D$3,"",AF36)</f>
        <v>779.46052256224073</v>
      </c>
      <c r="AG113" s="780">
        <f>IF($B113&lt;=Factores!$D$3,"",AG36)</f>
        <v>25</v>
      </c>
      <c r="AH113" s="780">
        <f>IF($B113&lt;=Factores!$D$3,"",AH36)</f>
        <v>263.26576512830343</v>
      </c>
      <c r="AI113" s="780">
        <f>IF($B113&lt;=Factores!$D$3,"",AI36)</f>
        <v>1138.9180168601401</v>
      </c>
      <c r="AJ113" s="780">
        <f>IF($B113&lt;=Factores!$D$3,"",AJ36)</f>
        <v>27963.505107953122</v>
      </c>
      <c r="AK113" s="780">
        <f>IF($B113&lt;=Factores!$D$3,"",AK36)</f>
        <v>4366</v>
      </c>
      <c r="AL113" s="780">
        <f>IF($B113&lt;=Factores!$D$3,"",AL36)</f>
        <v>25.41389590416216</v>
      </c>
      <c r="AM113" s="780">
        <f>IF($B113&lt;=Factores!$D$3,"",AM36)</f>
        <v>1109.5706951757199</v>
      </c>
      <c r="AN113" s="780">
        <f>IF($B113&lt;=Factores!$D$3,"",AN36)</f>
        <v>4366</v>
      </c>
      <c r="AO113" s="780">
        <f>IF($B113&lt;=Factores!$D$3,"",AO36)</f>
        <v>26.753175806139513</v>
      </c>
      <c r="AP113" s="780">
        <f>IF($B113&lt;=Factores!$D$3,"",AP36)</f>
        <v>1168.0436556960512</v>
      </c>
      <c r="AQ113" s="780">
        <f>IF($B113&lt;=Factores!$D$3,"",AQ36)</f>
        <v>8.4777408915590264</v>
      </c>
      <c r="AR113" s="780">
        <f>IF($B113&lt;=Factores!$D$3,"",AR36)</f>
        <v>2837.9259001714604</v>
      </c>
      <c r="AS113" s="780">
        <f>IF($B113&lt;=Factores!$D$3,"",AS36)</f>
        <v>-227.99840062773455</v>
      </c>
      <c r="AT113" s="780">
        <f>IF($B113&lt;=Factores!$D$3,"",AT36)</f>
        <v>39.461790207852523</v>
      </c>
      <c r="AU113" s="780">
        <f>IF($B113&lt;=Factores!$D$3,"",AU36)</f>
        <v>78.391943949599408</v>
      </c>
      <c r="AV113" s="780"/>
      <c r="AW113" s="780">
        <f>IF($B113&lt;=Factores!$D$3,"",AW36)</f>
        <v>1123.6579967796013</v>
      </c>
      <c r="AX113" s="780">
        <f>IF($B113&lt;=Factores!$D$3,"",AX36)</f>
        <v>4.1654771605232419</v>
      </c>
      <c r="AY113" s="780">
        <f>IF($B113&lt;=Factores!$D$3,"",AY36)</f>
        <v>197.04603008427083</v>
      </c>
      <c r="AZ113" s="780">
        <f>IF($B113&lt;=Factores!$D$3,"",AZ36)</f>
        <v>8.4777408915590264</v>
      </c>
      <c r="BA113" s="780">
        <f>IF($B113&lt;=Factores!$D$3,"",BA36)</f>
        <v>8776.0803874180201</v>
      </c>
      <c r="BB113" s="780">
        <f>IF($B113&lt;=Factores!$D$3,"",BB36)</f>
        <v>8.776585801060218</v>
      </c>
      <c r="BC113" s="780"/>
      <c r="BD113" s="794">
        <f>IF($B113&lt;=Factores!$D$3,"",BD36)</f>
        <v>46110.791666666664</v>
      </c>
      <c r="BE113" s="780">
        <f>IF($B113&lt;=Factores!$D$3,"",BE36)</f>
        <v>3.678014984588035E-2</v>
      </c>
      <c r="BF113" s="780">
        <f>IF($B113&lt;=Factores!$D$3,"",BF36)</f>
        <v>1.2726521530275159</v>
      </c>
      <c r="BG113" s="780">
        <f>IF($B113&lt;=Factores!$D$3,"",BG36)</f>
        <v>1.3811764266152766</v>
      </c>
      <c r="BH113" s="780">
        <f>IF($B113&lt;=Factores!$D$3,"",BH36)</f>
        <v>47.790918753955665</v>
      </c>
      <c r="BI113" s="780">
        <f>IF($B113&lt;=Factores!$D$3,"",BI36)</f>
        <v>39.292126131271907</v>
      </c>
      <c r="BJ113" s="780">
        <f>IF($B113&lt;=Factores!$D$3,"",BJ36)</f>
        <v>1768.1456759072357</v>
      </c>
      <c r="BK113" s="780">
        <f>IF($B113&lt;=Factores!$D$3,"",BK36)</f>
        <v>1.2026141680676279</v>
      </c>
      <c r="BL113" s="780">
        <f>IF($B113&lt;=Factores!$D$3,"",BL36)</f>
        <v>5.7994124993366523</v>
      </c>
      <c r="BM113" s="780"/>
      <c r="BN113" s="780"/>
      <c r="BO113" s="780"/>
      <c r="BP113" s="780"/>
      <c r="BQ113" s="780"/>
      <c r="BR113" s="780">
        <f>IF($B113&lt;=Factores!$D$3,"",BR36)</f>
        <v>7156.8508712199628</v>
      </c>
      <c r="BS113" s="780">
        <f>IF($B113&lt;=Factores!$D$3,"",BS36)</f>
        <v>1810.6065984488382</v>
      </c>
      <c r="BT113" s="780">
        <f>IF($B113&lt;=Factores!$D$3,"",BT36)</f>
        <v>8971.8738999728921</v>
      </c>
      <c r="BU113" s="780">
        <f>IF($B113&lt;=Factores!$D$3,"",BU36)</f>
        <v>2386.031198600856</v>
      </c>
      <c r="BV113" s="780">
        <f>IF($B113&lt;=Factores!$D$3,"",BV36)</f>
        <v>2386.031198600856</v>
      </c>
      <c r="BW113" s="780">
        <f>IF($B113&lt;=Factores!$D$3,"",BW36)</f>
        <v>2386.031198600856</v>
      </c>
      <c r="BX113" s="780">
        <f>IF($B113&lt;=Factores!$D$3,"",BX36)</f>
        <v>98.056332111173916</v>
      </c>
      <c r="BY113" s="780">
        <f>IF($B113&lt;=Factores!$D$3,"",BY36)</f>
        <v>98.056332111173916</v>
      </c>
      <c r="BZ113" s="780">
        <f>IF($B113&lt;=Factores!$D$3,"",BZ36)</f>
        <v>98.056332111173916</v>
      </c>
      <c r="CA113" s="780">
        <f>IF($B113&lt;=Factores!$D$3,"",CA36)</f>
        <v>97.12989278992228</v>
      </c>
      <c r="CB113" s="780">
        <f>IF($B113&lt;=Factores!$D$3,"",CB36)</f>
        <v>97.885715079916608</v>
      </c>
      <c r="CC113" s="780">
        <f>IF($B113&lt;=Factores!$D$3,"",CC36)</f>
        <v>98.056332111173901</v>
      </c>
      <c r="CD113" s="780"/>
      <c r="CE113" s="780"/>
      <c r="CF113" s="780"/>
      <c r="CG113" s="780"/>
      <c r="CH113" s="780"/>
      <c r="CI113" s="780"/>
      <c r="CJ113" s="780"/>
      <c r="CK113" s="780"/>
      <c r="CL113" s="780"/>
      <c r="CM113" s="780"/>
      <c r="CN113" s="780"/>
      <c r="CO113" s="780"/>
      <c r="CP113" s="780"/>
      <c r="CQ113" s="780"/>
      <c r="CR113" s="780"/>
      <c r="CS113" s="780"/>
      <c r="CT113" s="780"/>
      <c r="CU113" s="780"/>
      <c r="CV113" s="780"/>
      <c r="CW113" s="780"/>
      <c r="CX113" s="780">
        <f>IF($B113&lt;=Factores!$D$3,"",CX36)</f>
        <v>0</v>
      </c>
      <c r="CY113" s="780">
        <f>IF($B113&lt;=Factores!$D$3,"",CY36)</f>
        <v>0</v>
      </c>
      <c r="CZ113" s="780">
        <f>IF($B113&lt;=Factores!$D$3,"",CZ36)</f>
        <v>0</v>
      </c>
      <c r="DA113" s="780">
        <f>IF($B113&lt;=Factores!$D$3,"",DA36)</f>
        <v>0</v>
      </c>
      <c r="DB113" s="780"/>
      <c r="DC113" s="780"/>
      <c r="DD113" s="780"/>
      <c r="DE113" s="780"/>
      <c r="DF113" s="780"/>
      <c r="DG113" s="780"/>
      <c r="DH113" s="780"/>
      <c r="DI113" s="780"/>
      <c r="DJ113" s="780"/>
      <c r="DK113" s="780"/>
      <c r="DL113" s="780">
        <f>IF($B113&lt;=Factores!$D$3,"",DL36)</f>
        <v>0</v>
      </c>
      <c r="DM113" s="780">
        <f>IF($B113&lt;=Factores!$D$3,"",DM36)</f>
        <v>0</v>
      </c>
      <c r="DN113" s="780">
        <f>IF($B113&lt;=Factores!$D$3,"",DN36)</f>
        <v>0</v>
      </c>
      <c r="DO113" s="780">
        <f>IF($B113&lt;=Factores!$D$3,"",DO36)</f>
        <v>0</v>
      </c>
      <c r="DP113" s="780">
        <f>IF($B113&lt;=Factores!$D$3,"",DP36)</f>
        <v>0</v>
      </c>
      <c r="DQ113" s="780">
        <f>IF($B113&lt;=Factores!$D$3,"",DQ36)</f>
        <v>0</v>
      </c>
      <c r="DR113" s="780">
        <f>IF($B113&lt;=Factores!$D$3,"",DR36)</f>
        <v>0</v>
      </c>
      <c r="DS113" s="780">
        <f>IF($B113&lt;=Factores!$D$3,"",DS36)</f>
        <v>0</v>
      </c>
      <c r="DT113" s="780">
        <f>IF($B113&lt;=Factores!$D$3,"",DT36)</f>
        <v>0</v>
      </c>
      <c r="DU113" s="780">
        <f>IF($B113&lt;=Factores!$D$3,"",DU36)</f>
        <v>0</v>
      </c>
      <c r="DV113" s="780">
        <f>IF($B113&lt;=Factores!$D$3,"",DV36)</f>
        <v>0</v>
      </c>
      <c r="DW113" s="780">
        <f>IF($B113&lt;=Factores!$D$3,"",DW36)</f>
        <v>7.2602333333333338E-2</v>
      </c>
      <c r="DX113" s="780">
        <f>IF($B113&lt;=Factores!$D$3,"",DX36)</f>
        <v>7.2602333333333338E-2</v>
      </c>
      <c r="DY113" s="780">
        <f>IF($B113&lt;=Factores!$D$3,"",DY36)</f>
        <v>7.2602333333333338E-2</v>
      </c>
      <c r="DZ113" s="780">
        <f>IF($B113&lt;=Factores!$D$3,"",DZ36)</f>
        <v>7.2602333333333338E-2</v>
      </c>
      <c r="EA113" s="780">
        <f>IF($B113&lt;=Factores!$D$3,"",EA36)</f>
        <v>0</v>
      </c>
      <c r="EB113" s="780">
        <f>IF($B113&lt;=Factores!$D$3,"",EB36)</f>
        <v>0</v>
      </c>
      <c r="EC113" s="780">
        <f>IF($B113&lt;=Factores!$D$3,"",EC36)</f>
        <v>0</v>
      </c>
      <c r="ED113" s="780">
        <f>IF($B113&lt;=Factores!$D$3,"",ED36)</f>
        <v>0</v>
      </c>
      <c r="EE113" s="780">
        <f>IF($B113&lt;=Factores!$D$3,"",EE36)</f>
        <v>0.05</v>
      </c>
      <c r="EF113" s="780">
        <f>IF($B113&lt;=Factores!$D$3,"",EF36)</f>
        <v>0.05</v>
      </c>
      <c r="EG113" s="780">
        <f>IF($B113&lt;=Factores!$D$3,"",EG36)</f>
        <v>0.05</v>
      </c>
      <c r="EH113" s="780">
        <f>IF($B113&lt;=Factores!$D$3,"",EH36)</f>
        <v>0.05</v>
      </c>
      <c r="EI113" s="780">
        <f>IF($B113&lt;=Factores!$D$3,"",EI36)</f>
        <v>4.1666666666666666E-3</v>
      </c>
      <c r="EJ113" s="780">
        <f>IF($B113&lt;=Factores!$D$3,"",EJ36)</f>
        <v>4.1666666666666666E-3</v>
      </c>
      <c r="EK113" s="780">
        <f>IF($B113&lt;=Factores!$D$3,"",EK36)</f>
        <v>4.1666666666666666E-3</v>
      </c>
      <c r="EL113" s="780">
        <f>IF($B113&lt;=Factores!$D$3,"",EL36)</f>
        <v>4.1666666666666666E-3</v>
      </c>
    </row>
    <row r="114" spans="2:142" ht="14.25" customHeight="1">
      <c r="B114" s="794">
        <f t="shared" si="239"/>
        <v>46111.791666666664</v>
      </c>
      <c r="C114" s="780">
        <f>IF($B114&lt;=Factores!$D$3,"",C37)</f>
        <v>219999.9999998819</v>
      </c>
      <c r="D114" s="780">
        <f>IF($B114&lt;=Factores!$D$3,"",D37)</f>
        <v>672096.13345321768</v>
      </c>
      <c r="E114" s="780">
        <f>IF($B114&lt;=Factores!$D$3,"",E37)</f>
        <v>205689.02707679011</v>
      </c>
      <c r="F114" s="780">
        <f>IF($B114&lt;=Factores!$D$3,"",F37)</f>
        <v>41651.105647397664</v>
      </c>
      <c r="G114" s="780">
        <f>IF($B114&lt;=Factores!$D$3,"",G37)</f>
        <v>164037.92142939245</v>
      </c>
      <c r="H114" s="780">
        <f>IF($B114&lt;=Factores!$D$3,"",H37)</f>
        <v>98.056332111173901</v>
      </c>
      <c r="I114" s="780">
        <f>IF($B114&lt;=Factores!$D$3,"",I37)</f>
        <v>97.12989278992228</v>
      </c>
      <c r="J114" s="780">
        <f>IF($B114&lt;=Factores!$D$3,"",J37)</f>
        <v>97.885672723806138</v>
      </c>
      <c r="K114" s="780">
        <f>IF($B114&lt;=Factores!$D$3,"",K37)</f>
        <v>70.841381451589641</v>
      </c>
      <c r="L114" s="3107">
        <f>IF($B114&lt;=Factores!$D$3,"",L37)</f>
        <v>0.56194335962321529</v>
      </c>
      <c r="M114" s="780">
        <f>IF($B114&lt;=Factores!$D$3,"",M37)</f>
        <v>90.285434666516934</v>
      </c>
      <c r="N114" s="780">
        <f>IF($B114&lt;=Factores!$D$3,"",N37)</f>
        <v>27.633995175069714</v>
      </c>
      <c r="O114" s="780">
        <f>IF($B114&lt;=Factores!$D$3,"",O37)</f>
        <v>3776.3973426152384</v>
      </c>
      <c r="P114" s="780">
        <f>IF($B114&lt;=Factores!$D$3,"",P37)</f>
        <v>3011.6938145796985</v>
      </c>
      <c r="Q114" s="780">
        <f>IF($B114&lt;=Factores!$D$3,"",Q37)</f>
        <v>764.70352803553965</v>
      </c>
      <c r="R114" s="780">
        <f>IF($B114&lt;=Factores!$D$3,"",R37)</f>
        <v>100064.62604001071</v>
      </c>
      <c r="S114" s="780">
        <f>IF($B114&lt;=Factores!$D$3,"",S37)</f>
        <v>1043.5694594497559</v>
      </c>
      <c r="T114" s="780">
        <f>IF($B114&lt;=Factores!$D$3,"",T37)</f>
        <v>832.25132340882692</v>
      </c>
      <c r="U114" s="780">
        <f>IF($B114&lt;=Factores!$D$3,"",U37)</f>
        <v>211.31813604092892</v>
      </c>
      <c r="V114" s="780">
        <f>IF($B114&lt;=Factores!$D$3,"",V37)</f>
        <v>26747.418512494936</v>
      </c>
      <c r="W114" s="780">
        <f>IF($B114&lt;=Factores!$D$3,"",W37)</f>
        <v>73.450913666676442</v>
      </c>
      <c r="X114" s="780">
        <f>IF($B114&lt;=Factores!$D$3,"",X37)</f>
        <v>87.026229385706785</v>
      </c>
      <c r="Y114" s="780">
        <f>IF($B114&lt;=Factores!$D$3,"",Y37)</f>
        <v>86.527605914645932</v>
      </c>
      <c r="Z114" s="780">
        <f>IF($B114&lt;=Factores!$D$3,"",Z37)</f>
        <v>75.301712805240157</v>
      </c>
      <c r="AA114" s="780">
        <f>IF($B114&lt;=Factores!$D$3,"",AA37)</f>
        <v>50</v>
      </c>
      <c r="AB114" s="780">
        <f>IF($B114&lt;=Factores!$D$3,"",AB37)</f>
        <v>22.753236279660349</v>
      </c>
      <c r="AC114" s="780">
        <f>IF($B114&lt;=Factores!$D$3,"",AC37)</f>
        <v>22.753236279660349</v>
      </c>
      <c r="AD114" s="780">
        <f>IF($B114&lt;=Factores!$D$3,"",AD37)</f>
        <v>50</v>
      </c>
      <c r="AE114" s="780">
        <f>IF($B114&lt;=Factores!$D$3,"",AE37)</f>
        <v>11.376618139830175</v>
      </c>
      <c r="AF114" s="780">
        <f>IF($B114&lt;=Factores!$D$3,"",AF37)</f>
        <v>790.83714070207088</v>
      </c>
      <c r="AG114" s="780">
        <f>IF($B114&lt;=Factores!$D$3,"",AG37)</f>
        <v>25</v>
      </c>
      <c r="AH114" s="780">
        <f>IF($B114&lt;=Factores!$D$3,"",AH37)</f>
        <v>249.64238326813359</v>
      </c>
      <c r="AI114" s="780">
        <f>IF($B114&lt;=Factores!$D$3,"",AI37)</f>
        <v>1076.5502754371234</v>
      </c>
      <c r="AJ114" s="780">
        <f>IF($B114&lt;=Factores!$D$3,"",AJ37)</f>
        <v>29040.055383390245</v>
      </c>
      <c r="AK114" s="780">
        <f>IF($B114&lt;=Factores!$D$3,"",AK37)</f>
        <v>4366</v>
      </c>
      <c r="AL114" s="780">
        <f>IF($B114&lt;=Factores!$D$3,"",AL37)</f>
        <v>26.613948682597318</v>
      </c>
      <c r="AM114" s="780">
        <f>IF($B114&lt;=Factores!$D$3,"",AM37)</f>
        <v>1161.9649994821989</v>
      </c>
      <c r="AN114" s="780">
        <f>IF($B114&lt;=Factores!$D$3,"",AN37)</f>
        <v>4366</v>
      </c>
      <c r="AO114" s="780">
        <f>IF($B114&lt;=Factores!$D$3,"",AO37)</f>
        <v>25.41389590416216</v>
      </c>
      <c r="AP114" s="780">
        <f>IF($B114&lt;=Factores!$D$3,"",AP37)</f>
        <v>1109.5706951757199</v>
      </c>
      <c r="AQ114" s="780">
        <f>IF($B114&lt;=Factores!$D$3,"",AQ37)</f>
        <v>7.8452234254684257</v>
      </c>
      <c r="AR114" s="780">
        <f>IF($B114&lt;=Factores!$D$3,"",AR37)</f>
        <v>2771.9246644454961</v>
      </c>
      <c r="AS114" s="780">
        <f>IF($B114&lt;=Factores!$D$3,"",AS37)</f>
        <v>-589.60265738476164</v>
      </c>
      <c r="AT114" s="780">
        <f>IF($B114&lt;=Factores!$D$3,"",AT37)</f>
        <v>39.051234898260368</v>
      </c>
      <c r="AU114" s="780">
        <f>IF($B114&lt;=Factores!$D$3,"",AU37)</f>
        <v>87.125693974853675</v>
      </c>
      <c r="AV114" s="780"/>
      <c r="AW114" s="780">
        <f>IF($B114&lt;=Factores!$D$3,"",AW37)</f>
        <v>1067.4070087590426</v>
      </c>
      <c r="AX114" s="780">
        <f>IF($B114&lt;=Factores!$D$3,"",AX37)</f>
        <v>4.2927391645460542</v>
      </c>
      <c r="AY114" s="780">
        <f>IF($B114&lt;=Factores!$D$3,"",AY37)</f>
        <v>192.81737753726057</v>
      </c>
      <c r="AZ114" s="780">
        <f>IF($B114&lt;=Factores!$D$3,"",AZ37)</f>
        <v>7.8452234254684257</v>
      </c>
      <c r="BA114" s="780">
        <f>IF($B114&lt;=Factores!$D$3,"",BA37)</f>
        <v>8570.3761281995885</v>
      </c>
      <c r="BB114" s="780">
        <f>IF($B114&lt;=Factores!$D$3,"",BB37)</f>
        <v>8.1217717553348248</v>
      </c>
      <c r="BC114" s="780"/>
      <c r="BD114" s="794">
        <f>IF($B114&lt;=Factores!$D$3,"",BD37)</f>
        <v>46111.791666666664</v>
      </c>
      <c r="BE114" s="780">
        <f>IF($B114&lt;=Factores!$D$3,"",BE37)</f>
        <v>4.3213714359593022E-2</v>
      </c>
      <c r="BF114" s="780">
        <f>IF($B114&lt;=Factores!$D$3,"",BF37)</f>
        <v>1.4952637999165768</v>
      </c>
      <c r="BG114" s="780">
        <f>IF($B114&lt;=Factores!$D$3,"",BG37)</f>
        <v>1.4736298341523184</v>
      </c>
      <c r="BH114" s="780">
        <f>IF($B114&lt;=Factores!$D$3,"",BH37)</f>
        <v>50.989954882132977</v>
      </c>
      <c r="BI114" s="780">
        <f>IF($B114&lt;=Factores!$D$3,"",BI37)</f>
        <v>34.676861667214887</v>
      </c>
      <c r="BJ114" s="780">
        <f>IF($B114&lt;=Factores!$D$3,"",BJ37)</f>
        <v>1560.4587750246699</v>
      </c>
      <c r="BK114" s="780">
        <f>IF($B114&lt;=Factores!$D$3,"",BK37)</f>
        <v>1.4190181442615963</v>
      </c>
      <c r="BL114" s="780">
        <f>IF($B114&lt;=Factores!$D$3,"",BL37)</f>
        <v>5.9545451994064429</v>
      </c>
      <c r="BM114" s="780"/>
      <c r="BN114" s="780"/>
      <c r="BO114" s="780"/>
      <c r="BP114" s="780"/>
      <c r="BQ114" s="780"/>
      <c r="BR114" s="780">
        <f>IF($B114&lt;=Factores!$D$3,"",BR37)</f>
        <v>6970.3947167247616</v>
      </c>
      <c r="BS114" s="780">
        <f>IF($B114&lt;=Factores!$D$3,"",BS37)</f>
        <v>1787.0544622071777</v>
      </c>
      <c r="BT114" s="780">
        <f>IF($B114&lt;=Factores!$D$3,"",BT37)</f>
        <v>8761.580398441045</v>
      </c>
      <c r="BU114" s="780">
        <f>IF($B114&lt;=Factores!$D$3,"",BU37)</f>
        <v>2323.8683549420984</v>
      </c>
      <c r="BV114" s="780">
        <f>IF($B114&lt;=Factores!$D$3,"",BV37)</f>
        <v>2323.8683549420984</v>
      </c>
      <c r="BW114" s="780">
        <f>IF($B114&lt;=Factores!$D$3,"",BW37)</f>
        <v>2323.8683549420984</v>
      </c>
      <c r="BX114" s="780">
        <f>IF($B114&lt;=Factores!$D$3,"",BX37)</f>
        <v>98.056332111173916</v>
      </c>
      <c r="BY114" s="780">
        <f>IF($B114&lt;=Factores!$D$3,"",BY37)</f>
        <v>98.056332111173916</v>
      </c>
      <c r="BZ114" s="780">
        <f>IF($B114&lt;=Factores!$D$3,"",BZ37)</f>
        <v>98.056332111173916</v>
      </c>
      <c r="CA114" s="780">
        <f>IF($B114&lt;=Factores!$D$3,"",CA37)</f>
        <v>97.12989278992228</v>
      </c>
      <c r="CB114" s="780">
        <f>IF($B114&lt;=Factores!$D$3,"",CB37)</f>
        <v>97.885715079916608</v>
      </c>
      <c r="CC114" s="780">
        <f>IF($B114&lt;=Factores!$D$3,"",CC37)</f>
        <v>98.056332111173901</v>
      </c>
      <c r="CD114" s="780"/>
      <c r="CE114" s="780"/>
      <c r="CF114" s="780"/>
      <c r="CG114" s="780"/>
      <c r="CH114" s="780"/>
      <c r="CI114" s="780"/>
      <c r="CJ114" s="780"/>
      <c r="CK114" s="780"/>
      <c r="CL114" s="780"/>
      <c r="CM114" s="780"/>
      <c r="CN114" s="780"/>
      <c r="CO114" s="780"/>
      <c r="CP114" s="780"/>
      <c r="CQ114" s="780"/>
      <c r="CR114" s="780"/>
      <c r="CS114" s="780"/>
      <c r="CT114" s="780"/>
      <c r="CU114" s="780"/>
      <c r="CV114" s="780"/>
      <c r="CW114" s="780"/>
      <c r="CX114" s="780">
        <f>IF($B114&lt;=Factores!$D$3,"",CX37)</f>
        <v>0</v>
      </c>
      <c r="CY114" s="780">
        <f>IF($B114&lt;=Factores!$D$3,"",CY37)</f>
        <v>0</v>
      </c>
      <c r="CZ114" s="780">
        <f>IF($B114&lt;=Factores!$D$3,"",CZ37)</f>
        <v>0</v>
      </c>
      <c r="DA114" s="780">
        <f>IF($B114&lt;=Factores!$D$3,"",DA37)</f>
        <v>0</v>
      </c>
      <c r="DB114" s="780"/>
      <c r="DC114" s="780"/>
      <c r="DD114" s="780"/>
      <c r="DE114" s="780"/>
      <c r="DF114" s="780"/>
      <c r="DG114" s="780"/>
      <c r="DH114" s="780"/>
      <c r="DI114" s="780"/>
      <c r="DJ114" s="780"/>
      <c r="DK114" s="780"/>
      <c r="DL114" s="780">
        <f>IF($B114&lt;=Factores!$D$3,"",DL37)</f>
        <v>0</v>
      </c>
      <c r="DM114" s="780">
        <f>IF($B114&lt;=Factores!$D$3,"",DM37)</f>
        <v>0</v>
      </c>
      <c r="DN114" s="780">
        <f>IF($B114&lt;=Factores!$D$3,"",DN37)</f>
        <v>0</v>
      </c>
      <c r="DO114" s="780">
        <f>IF($B114&lt;=Factores!$D$3,"",DO37)</f>
        <v>0</v>
      </c>
      <c r="DP114" s="780">
        <f>IF($B114&lt;=Factores!$D$3,"",DP37)</f>
        <v>0</v>
      </c>
      <c r="DQ114" s="780">
        <f>IF($B114&lt;=Factores!$D$3,"",DQ37)</f>
        <v>0</v>
      </c>
      <c r="DR114" s="780">
        <f>IF($B114&lt;=Factores!$D$3,"",DR37)</f>
        <v>0</v>
      </c>
      <c r="DS114" s="780">
        <f>IF($B114&lt;=Factores!$D$3,"",DS37)</f>
        <v>0</v>
      </c>
      <c r="DT114" s="780">
        <f>IF($B114&lt;=Factores!$D$3,"",DT37)</f>
        <v>0</v>
      </c>
      <c r="DU114" s="780">
        <f>IF($B114&lt;=Factores!$D$3,"",DU37)</f>
        <v>0</v>
      </c>
      <c r="DV114" s="780">
        <f>IF($B114&lt;=Factores!$D$3,"",DV37)</f>
        <v>0</v>
      </c>
      <c r="DW114" s="780">
        <f>IF($B114&lt;=Factores!$D$3,"",DW37)</f>
        <v>7.2602333333333338E-2</v>
      </c>
      <c r="DX114" s="780">
        <f>IF($B114&lt;=Factores!$D$3,"",DX37)</f>
        <v>7.2602333333333338E-2</v>
      </c>
      <c r="DY114" s="780">
        <f>IF($B114&lt;=Factores!$D$3,"",DY37)</f>
        <v>7.2602333333333338E-2</v>
      </c>
      <c r="DZ114" s="780">
        <f>IF($B114&lt;=Factores!$D$3,"",DZ37)</f>
        <v>7.2602333333333338E-2</v>
      </c>
      <c r="EA114" s="780">
        <f>IF($B114&lt;=Factores!$D$3,"",EA37)</f>
        <v>0</v>
      </c>
      <c r="EB114" s="780">
        <f>IF($B114&lt;=Factores!$D$3,"",EB37)</f>
        <v>0</v>
      </c>
      <c r="EC114" s="780">
        <f>IF($B114&lt;=Factores!$D$3,"",EC37)</f>
        <v>0</v>
      </c>
      <c r="ED114" s="780">
        <f>IF($B114&lt;=Factores!$D$3,"",ED37)</f>
        <v>0</v>
      </c>
      <c r="EE114" s="780">
        <f>IF($B114&lt;=Factores!$D$3,"",EE37)</f>
        <v>0.05</v>
      </c>
      <c r="EF114" s="780">
        <f>IF($B114&lt;=Factores!$D$3,"",EF37)</f>
        <v>0.05</v>
      </c>
      <c r="EG114" s="780">
        <f>IF($B114&lt;=Factores!$D$3,"",EG37)</f>
        <v>0.05</v>
      </c>
      <c r="EH114" s="780">
        <f>IF($B114&lt;=Factores!$D$3,"",EH37)</f>
        <v>0.05</v>
      </c>
      <c r="EI114" s="780">
        <f>IF($B114&lt;=Factores!$D$3,"",EI37)</f>
        <v>4.1666666666666666E-3</v>
      </c>
      <c r="EJ114" s="780">
        <f>IF($B114&lt;=Factores!$D$3,"",EJ37)</f>
        <v>4.1666666666666666E-3</v>
      </c>
      <c r="EK114" s="780">
        <f>IF($B114&lt;=Factores!$D$3,"",EK37)</f>
        <v>4.1666666666666666E-3</v>
      </c>
      <c r="EL114" s="780">
        <f>IF($B114&lt;=Factores!$D$3,"",EL37)</f>
        <v>4.1666666666666666E-3</v>
      </c>
    </row>
    <row r="115" spans="2:142" ht="14.25" customHeight="1">
      <c r="B115" s="794">
        <f t="shared" si="239"/>
        <v>46112.791666666664</v>
      </c>
      <c r="C115" s="780">
        <f>IF($B115&lt;=Factores!$D$3,"",C38)</f>
        <v>185000.0000001291</v>
      </c>
      <c r="D115" s="780">
        <f>IF($B115&lt;=Factores!$D$3,"",D38)</f>
        <v>547806.62419375312</v>
      </c>
      <c r="E115" s="780">
        <f>IF($B115&lt;=Factores!$D$3,"",E38)</f>
        <v>309289.50925959361</v>
      </c>
      <c r="F115" s="780">
        <f>IF($B115&lt;=Factores!$D$3,"",F38)</f>
        <v>62859.358739603013</v>
      </c>
      <c r="G115" s="780">
        <f>IF($B115&lt;=Factores!$D$3,"",G38)</f>
        <v>246430.1505199906</v>
      </c>
      <c r="H115" s="780">
        <f>IF($B115&lt;=Factores!$D$3,"",H38)</f>
        <v>98.704497284024981</v>
      </c>
      <c r="I115" s="780">
        <f>IF($B115&lt;=Factores!$D$3,"",I38)</f>
        <v>98.087196675616056</v>
      </c>
      <c r="J115" s="780">
        <f>IF($B115&lt;=Factores!$D$3,"",J38)</f>
        <v>98.590784338949973</v>
      </c>
      <c r="K115" s="780">
        <f>IF($B115&lt;=Factores!$D$3,"",K38)</f>
        <v>70.841381451589641</v>
      </c>
      <c r="L115" s="3107">
        <f>IF($B115&lt;=Factores!$D$3,"",L38)</f>
        <v>0.56149614023378414</v>
      </c>
      <c r="M115" s="780">
        <f>IF($B115&lt;=Factores!$D$3,"",M38)</f>
        <v>90.45774167981746</v>
      </c>
      <c r="N115" s="780">
        <f>IF($B115&lt;=Factores!$D$3,"",N38)</f>
        <v>27.614292362477695</v>
      </c>
      <c r="O115" s="780">
        <f>IF($B115&lt;=Factores!$D$3,"",O38)</f>
        <v>5688.8408911197957</v>
      </c>
      <c r="P115" s="780">
        <f>IF($B115&lt;=Factores!$D$3,"",P38)</f>
        <v>4532.6526607350297</v>
      </c>
      <c r="Q115" s="780">
        <f>IF($B115&lt;=Factores!$D$3,"",Q38)</f>
        <v>1156.1882303847656</v>
      </c>
      <c r="R115" s="780">
        <f>IF($B115&lt;=Factores!$D$3,"",R38)</f>
        <v>105753.4669311305</v>
      </c>
      <c r="S115" s="780">
        <f>IF($B115&lt;=Factores!$D$3,"",S38)</f>
        <v>1570.933155710002</v>
      </c>
      <c r="T115" s="780">
        <f>IF($B115&lt;=Factores!$D$3,"",T38)</f>
        <v>1251.6599575109954</v>
      </c>
      <c r="U115" s="780">
        <f>IF($B115&lt;=Factores!$D$3,"",U38)</f>
        <v>319.27319819900634</v>
      </c>
      <c r="V115" s="780">
        <f>IF($B115&lt;=Factores!$D$3,"",V38)</f>
        <v>28318.351668204938</v>
      </c>
      <c r="W115" s="780">
        <f>IF($B115&lt;=Factores!$D$3,"",W38)</f>
        <v>73.462412059144683</v>
      </c>
      <c r="X115" s="780">
        <f>IF($B115&lt;=Factores!$D$3,"",X38)</f>
        <v>87.026778237397323</v>
      </c>
      <c r="Y115" s="780">
        <f>IF($B115&lt;=Factores!$D$3,"",Y38)</f>
        <v>86.528049419621212</v>
      </c>
      <c r="Z115" s="780">
        <f>IF($B115&lt;=Factores!$D$3,"",Z38)</f>
        <v>75.302573681559309</v>
      </c>
      <c r="AA115" s="780">
        <f>IF($B115&lt;=Factores!$D$3,"",AA38)</f>
        <v>50</v>
      </c>
      <c r="AB115" s="780">
        <f>IF($B115&lt;=Factores!$D$3,"",AB38)</f>
        <v>34.219226522716106</v>
      </c>
      <c r="AC115" s="780">
        <f>IF($B115&lt;=Factores!$D$3,"",AC38)</f>
        <v>34.219226522716106</v>
      </c>
      <c r="AD115" s="780">
        <f>IF($B115&lt;=Factores!$D$3,"",AD38)</f>
        <v>80</v>
      </c>
      <c r="AE115" s="780">
        <f>IF($B115&lt;=Factores!$D$3,"",AE38)</f>
        <v>17.109613261358053</v>
      </c>
      <c r="AF115" s="780">
        <f>IF($B115&lt;=Factores!$D$3,"",AF38)</f>
        <v>807.94675396342893</v>
      </c>
      <c r="AG115" s="780">
        <f>IF($B115&lt;=Factores!$D$3,"",AG38)</f>
        <v>40</v>
      </c>
      <c r="AH115" s="780">
        <f>IF($B115&lt;=Factores!$D$3,"",AH38)</f>
        <v>226.75199652949163</v>
      </c>
      <c r="AI115" s="780">
        <f>IF($B115&lt;=Factores!$D$3,"",AI38)</f>
        <v>1620.5339245546791</v>
      </c>
      <c r="AJ115" s="780">
        <f>IF($B115&lt;=Factores!$D$3,"",AJ38)</f>
        <v>30660.589307944923</v>
      </c>
      <c r="AK115" s="780">
        <f>IF($B115&lt;=Factores!$D$3,"",AK38)</f>
        <v>4366</v>
      </c>
      <c r="AL115" s="780">
        <f>IF($B115&lt;=Factores!$D$3,"",AL38)</f>
        <v>27.633995175069714</v>
      </c>
      <c r="AM115" s="780">
        <f>IF($B115&lt;=Factores!$D$3,"",AM38)</f>
        <v>1206.5002293435437</v>
      </c>
      <c r="AN115" s="780">
        <f>IF($B115&lt;=Factores!$D$3,"",AN38)</f>
        <v>6500</v>
      </c>
      <c r="AO115" s="780">
        <f>IF($B115&lt;=Factores!$D$3,"",AO38)</f>
        <v>26.613948682597318</v>
      </c>
      <c r="AP115" s="780">
        <f>IF($B115&lt;=Factores!$D$3,"",AP38)</f>
        <v>1729.9066643688257</v>
      </c>
      <c r="AQ115" s="780">
        <f>IF($B115&lt;=Factores!$D$3,"",AQ38)</f>
        <v>6.8002717499619125</v>
      </c>
      <c r="AR115" s="780">
        <f>IF($B115&lt;=Factores!$D$3,"",AR38)</f>
        <v>2612.9511557866726</v>
      </c>
      <c r="AS115" s="780">
        <f>IF($B115&lt;=Factores!$D$3,"",AS38)</f>
        <v>1322.8408911197957</v>
      </c>
      <c r="AT115" s="780">
        <f>IF($B115&lt;=Factores!$D$3,"",AT38)</f>
        <v>38.005042592630858</v>
      </c>
      <c r="AU115" s="780">
        <f>IF($B115&lt;=Factores!$D$3,"",AU38)</f>
        <v>89.626325445206248</v>
      </c>
      <c r="AV115" s="780"/>
      <c r="AW115" s="780">
        <f>IF($B115&lt;=Factores!$D$3,"",AW38)</f>
        <v>1664.1702111228103</v>
      </c>
      <c r="AX115" s="780">
        <f>IF($B115&lt;=Factores!$D$3,"",AX38)</f>
        <v>4.2248100121044816</v>
      </c>
      <c r="AY115" s="780">
        <f>IF($B115&lt;=Factores!$D$3,"",AY38)</f>
        <v>192.24643159739196</v>
      </c>
      <c r="AZ115" s="780">
        <f>IF($B115&lt;=Factores!$D$3,"",AZ38)</f>
        <v>6.8002717499619125</v>
      </c>
      <c r="BA115" s="780">
        <f>IF($B115&lt;=Factores!$D$3,"",BA38)</f>
        <v>12887.0628858164</v>
      </c>
      <c r="BB115" s="780">
        <f>IF($B115&lt;=Factores!$D$3,"",BB38)</f>
        <v>4.6586779806323122</v>
      </c>
      <c r="BC115" s="780"/>
      <c r="BD115" s="794">
        <f>IF($B115&lt;=Factores!$D$3,"",BD38)</f>
        <v>46112.791666666664</v>
      </c>
      <c r="BE115" s="780">
        <f>IF($B115&lt;=Factores!$D$3,"",BE38)</f>
        <v>5.323733387665134E-2</v>
      </c>
      <c r="BF115" s="780">
        <f>IF($B115&lt;=Factores!$D$3,"",BF38)</f>
        <v>1.8420971057341637</v>
      </c>
      <c r="BG115" s="780">
        <f>IF($B115&lt;=Factores!$D$3,"",BG38)</f>
        <v>1.6911686530816561</v>
      </c>
      <c r="BH115" s="780">
        <f>IF($B115&lt;=Factores!$D$3,"",BH38)</f>
        <v>58.517146789658447</v>
      </c>
      <c r="BI115" s="780">
        <f>IF($B115&lt;=Factores!$D$3,"",BI38)</f>
        <v>15.826001958554642</v>
      </c>
      <c r="BJ115" s="780">
        <f>IF($B115&lt;=Factores!$D$3,"",BJ38)</f>
        <v>712.17008813495886</v>
      </c>
      <c r="BK115" s="780">
        <f>IF($B115&lt;=Factores!$D$3,"",BK38)</f>
        <v>1.6069762902326332</v>
      </c>
      <c r="BL115" s="780">
        <f>IF($B115&lt;=Factores!$D$3,"",BL38)</f>
        <v>5.9785022833416885</v>
      </c>
      <c r="BM115" s="780"/>
      <c r="BN115" s="780"/>
      <c r="BO115" s="780"/>
      <c r="BP115" s="780"/>
      <c r="BQ115" s="780"/>
      <c r="BR115" s="780">
        <f>IF($B115&lt;=Factores!$D$3,"",BR38)</f>
        <v>6935.1267138225066</v>
      </c>
      <c r="BS115" s="780">
        <f>IF($B115&lt;=Factores!$D$3,"",BS38)</f>
        <v>1780.3500100247109</v>
      </c>
      <c r="BT115" s="780">
        <f>IF($B115&lt;=Factores!$D$3,"",BT38)</f>
        <v>8718.2130111556362</v>
      </c>
      <c r="BU115" s="780">
        <f>IF($B115&lt;=Factores!$D$3,"",BU38)</f>
        <v>2311.9764944795488</v>
      </c>
      <c r="BV115" s="780">
        <f>IF($B115&lt;=Factores!$D$3,"",BV38)</f>
        <v>2311.9764944795488</v>
      </c>
      <c r="BW115" s="780">
        <f>IF($B115&lt;=Factores!$D$3,"",BW38)</f>
        <v>2311.9764944795488</v>
      </c>
      <c r="BX115" s="780">
        <f>IF($B115&lt;=Factores!$D$3,"",BX38)</f>
        <v>98.704497284024967</v>
      </c>
      <c r="BY115" s="780">
        <f>IF($B115&lt;=Factores!$D$3,"",BY38)</f>
        <v>98.704497284024967</v>
      </c>
      <c r="BZ115" s="780">
        <f>IF($B115&lt;=Factores!$D$3,"",BZ38)</f>
        <v>98.704497284024967</v>
      </c>
      <c r="CA115" s="780">
        <f>IF($B115&lt;=Factores!$D$3,"",CA38)</f>
        <v>98.087196675616056</v>
      </c>
      <c r="CB115" s="780">
        <f>IF($B115&lt;=Factores!$D$3,"",CB38)</f>
        <v>98.590803149606316</v>
      </c>
      <c r="CC115" s="780">
        <f>IF($B115&lt;=Factores!$D$3,"",CC38)</f>
        <v>98.704497284024981</v>
      </c>
      <c r="CD115" s="780"/>
      <c r="CE115" s="780"/>
      <c r="CF115" s="780"/>
      <c r="CG115" s="780"/>
      <c r="CH115" s="780"/>
      <c r="CI115" s="780"/>
      <c r="CJ115" s="780"/>
      <c r="CK115" s="780"/>
      <c r="CL115" s="780"/>
      <c r="CM115" s="780"/>
      <c r="CN115" s="780"/>
      <c r="CO115" s="780"/>
      <c r="CP115" s="780"/>
      <c r="CQ115" s="780"/>
      <c r="CR115" s="780"/>
      <c r="CS115" s="780"/>
      <c r="CT115" s="780"/>
      <c r="CU115" s="780"/>
      <c r="CV115" s="780"/>
      <c r="CW115" s="780"/>
      <c r="CX115" s="780">
        <f>IF($B115&lt;=Factores!$D$3,"",CX38)</f>
        <v>0</v>
      </c>
      <c r="CY115" s="780">
        <f>IF($B115&lt;=Factores!$D$3,"",CY38)</f>
        <v>0</v>
      </c>
      <c r="CZ115" s="780">
        <f>IF($B115&lt;=Factores!$D$3,"",CZ38)</f>
        <v>0</v>
      </c>
      <c r="DA115" s="780">
        <f>IF($B115&lt;=Factores!$D$3,"",DA38)</f>
        <v>0</v>
      </c>
      <c r="DB115" s="780"/>
      <c r="DC115" s="780"/>
      <c r="DD115" s="780"/>
      <c r="DE115" s="780"/>
      <c r="DF115" s="780"/>
      <c r="DG115" s="780"/>
      <c r="DH115" s="780"/>
      <c r="DI115" s="780"/>
      <c r="DJ115" s="780"/>
      <c r="DK115" s="780"/>
      <c r="DL115" s="780">
        <f>IF($B115&lt;=Factores!$D$3,"",DL38)</f>
        <v>0</v>
      </c>
      <c r="DM115" s="780">
        <f>IF($B115&lt;=Factores!$D$3,"",DM38)</f>
        <v>0</v>
      </c>
      <c r="DN115" s="780">
        <f>IF($B115&lt;=Factores!$D$3,"",DN38)</f>
        <v>0</v>
      </c>
      <c r="DO115" s="780">
        <f>IF($B115&lt;=Factores!$D$3,"",DO38)</f>
        <v>0</v>
      </c>
      <c r="DP115" s="780">
        <f>IF($B115&lt;=Factores!$D$3,"",DP38)</f>
        <v>0</v>
      </c>
      <c r="DQ115" s="780">
        <f>IF($B115&lt;=Factores!$D$3,"",DQ38)</f>
        <v>0</v>
      </c>
      <c r="DR115" s="780">
        <f>IF($B115&lt;=Factores!$D$3,"",DR38)</f>
        <v>0</v>
      </c>
      <c r="DS115" s="780">
        <f>IF($B115&lt;=Factores!$D$3,"",DS38)</f>
        <v>0</v>
      </c>
      <c r="DT115" s="780">
        <f>IF($B115&lt;=Factores!$D$3,"",DT38)</f>
        <v>0</v>
      </c>
      <c r="DU115" s="780">
        <f>IF($B115&lt;=Factores!$D$3,"",DU38)</f>
        <v>0</v>
      </c>
      <c r="DV115" s="780">
        <f>IF($B115&lt;=Factores!$D$3,"",DV38)</f>
        <v>0</v>
      </c>
      <c r="DW115" s="780">
        <f>IF($B115&lt;=Factores!$D$3,"",DW38)</f>
        <v>7.2602333333333338E-2</v>
      </c>
      <c r="DX115" s="780">
        <f>IF($B115&lt;=Factores!$D$3,"",DX38)</f>
        <v>7.2602333333333338E-2</v>
      </c>
      <c r="DY115" s="780">
        <f>IF($B115&lt;=Factores!$D$3,"",DY38)</f>
        <v>7.2602333333333338E-2</v>
      </c>
      <c r="DZ115" s="780">
        <f>IF($B115&lt;=Factores!$D$3,"",DZ38)</f>
        <v>7.2602333333333338E-2</v>
      </c>
      <c r="EA115" s="780">
        <f>IF($B115&lt;=Factores!$D$3,"",EA38)</f>
        <v>0</v>
      </c>
      <c r="EB115" s="780">
        <f>IF($B115&lt;=Factores!$D$3,"",EB38)</f>
        <v>0</v>
      </c>
      <c r="EC115" s="780">
        <f>IF($B115&lt;=Factores!$D$3,"",EC38)</f>
        <v>0</v>
      </c>
      <c r="ED115" s="780">
        <f>IF($B115&lt;=Factores!$D$3,"",ED38)</f>
        <v>0</v>
      </c>
      <c r="EE115" s="780">
        <f>IF($B115&lt;=Factores!$D$3,"",EE38)</f>
        <v>0.05</v>
      </c>
      <c r="EF115" s="780">
        <f>IF($B115&lt;=Factores!$D$3,"",EF38)</f>
        <v>0.05</v>
      </c>
      <c r="EG115" s="780">
        <f>IF($B115&lt;=Factores!$D$3,"",EG38)</f>
        <v>0.05</v>
      </c>
      <c r="EH115" s="780">
        <f>IF($B115&lt;=Factores!$D$3,"",EH38)</f>
        <v>0.05</v>
      </c>
      <c r="EI115" s="780">
        <f>IF($B115&lt;=Factores!$D$3,"",EI38)</f>
        <v>4.1666666666666666E-3</v>
      </c>
      <c r="EJ115" s="780">
        <f>IF($B115&lt;=Factores!$D$3,"",EJ38)</f>
        <v>4.1666666666666666E-3</v>
      </c>
      <c r="EK115" s="780">
        <f>IF($B115&lt;=Factores!$D$3,"",EK38)</f>
        <v>4.1666666666666666E-3</v>
      </c>
      <c r="EL115" s="780">
        <f>IF($B115&lt;=Factores!$D$3,"",EL38)</f>
        <v>4.1666666666666666E-3</v>
      </c>
    </row>
    <row r="116" spans="2:142" ht="14.25" customHeight="1">
      <c r="L116" s="960"/>
    </row>
    <row r="117" spans="2:142" ht="14.25" customHeight="1">
      <c r="C117" s="745">
        <f>SUM(C85:C115)</f>
        <v>2845000.0510804611</v>
      </c>
      <c r="E117" s="745">
        <f>SUM(E85:E115)</f>
        <v>2923355.6392439706</v>
      </c>
      <c r="F117" s="745">
        <f>SUM(F85:F115)</f>
        <v>594294.68800304877</v>
      </c>
      <c r="G117" s="745">
        <f>SUM(G85:G115)</f>
        <v>2329060.9512409214</v>
      </c>
      <c r="H117" s="791">
        <f>AVERAGE(H85:H115)</f>
        <v>98.102629623520414</v>
      </c>
      <c r="I117" s="791">
        <f>AVERAGE(I85:I115)</f>
        <v>97.19827163890038</v>
      </c>
      <c r="J117" s="791">
        <f>AVERAGE(J85:J115)</f>
        <v>97.936037839173565</v>
      </c>
      <c r="K117" s="791">
        <f>AVERAGE(K85:K115)</f>
        <v>75.106199857484995</v>
      </c>
      <c r="L117" s="2641">
        <f>SUMPRODUCT($E$85:$E$115,L85:L115)/$E$117</f>
        <v>0.55990867067481775</v>
      </c>
      <c r="M117" s="965">
        <f>S117/(E117*L117/100)*100</f>
        <v>90.286898116100303</v>
      </c>
      <c r="N117" s="965">
        <f>S117/O117*100</f>
        <v>27.143541040688451</v>
      </c>
      <c r="O117" s="745">
        <f>SUM(O85:O115)</f>
        <v>54444.883736987227</v>
      </c>
      <c r="S117" s="745">
        <f>SUM(S85:S115)</f>
        <v>14778.269361704241</v>
      </c>
      <c r="W117" s="974">
        <f>SUMPRODUCT($E$85:$E$115,W85:W115)/$E$117</f>
        <v>151.37563134602425</v>
      </c>
      <c r="AE117" s="745">
        <f>SUM(AE85:AE115)</f>
        <v>355.14306856055191</v>
      </c>
      <c r="AG117" s="745">
        <f>SUM(AG85:AG115)</f>
        <v>432.04850302529678</v>
      </c>
      <c r="AK117" s="745">
        <f>SUM(AK85:AK115)</f>
        <v>56996</v>
      </c>
      <c r="AM117" s="745">
        <f>SUM(AM85:AM115)</f>
        <v>15499.38041445658</v>
      </c>
      <c r="AN117" s="745">
        <f>SUM(AN85:AN115)</f>
        <v>57754</v>
      </c>
      <c r="AO117" s="745"/>
      <c r="AP117" s="745">
        <f>SUM(AP85:AP115)</f>
        <v>15712.640269898448</v>
      </c>
      <c r="AW117" s="745">
        <f>SUM(AW85:AW115)</f>
        <v>15115.559939642306</v>
      </c>
    </row>
    <row r="122" spans="2:142" ht="14.25" customHeight="1">
      <c r="M122" s="747"/>
      <c r="N122" s="747"/>
      <c r="O122" s="747"/>
    </row>
  </sheetData>
  <mergeCells count="118">
    <mergeCell ref="HA5:HB5"/>
    <mergeCell ref="HC5:HD5"/>
    <mergeCell ref="HF5:HF7"/>
    <mergeCell ref="HG5:HG7"/>
    <mergeCell ref="HH5:HN5"/>
    <mergeCell ref="HO5:HX5"/>
    <mergeCell ref="HY5:HZ6"/>
    <mergeCell ref="IA5:IC6"/>
    <mergeCell ref="ID5:IE6"/>
    <mergeCell ref="HK6:HL6"/>
    <mergeCell ref="HM6:HN6"/>
    <mergeCell ref="HT6:HU6"/>
    <mergeCell ref="HV6:HW6"/>
    <mergeCell ref="CO5:CS6"/>
    <mergeCell ref="DG6:DK6"/>
    <mergeCell ref="DB6:DF6"/>
    <mergeCell ref="CF6:CF7"/>
    <mergeCell ref="CG6:CG7"/>
    <mergeCell ref="CH6:CH7"/>
    <mergeCell ref="CI6:CI7"/>
    <mergeCell ref="CJ5:CN6"/>
    <mergeCell ref="CT5:CW6"/>
    <mergeCell ref="BY6:BY7"/>
    <mergeCell ref="BZ6:BZ7"/>
    <mergeCell ref="CA6:CA7"/>
    <mergeCell ref="BC15:BC21"/>
    <mergeCell ref="BC22:BC28"/>
    <mergeCell ref="BR5:BW5"/>
    <mergeCell ref="BR6:BR7"/>
    <mergeCell ref="BT6:BT7"/>
    <mergeCell ref="BU6:BU7"/>
    <mergeCell ref="BV6:BV7"/>
    <mergeCell ref="BW6:BW7"/>
    <mergeCell ref="BS6:BS7"/>
    <mergeCell ref="BQ5:BQ6"/>
    <mergeCell ref="BP5:BP6"/>
    <mergeCell ref="BM5:BM6"/>
    <mergeCell ref="BN5:BN6"/>
    <mergeCell ref="BO5:BO6"/>
    <mergeCell ref="DW6:DZ6"/>
    <mergeCell ref="BC29:BC38"/>
    <mergeCell ref="A29:A38"/>
    <mergeCell ref="BI5:BJ5"/>
    <mergeCell ref="BL5:BL6"/>
    <mergeCell ref="A5:A7"/>
    <mergeCell ref="W5:AH5"/>
    <mergeCell ref="AI5:AJ6"/>
    <mergeCell ref="AB6:AD6"/>
    <mergeCell ref="AE6:AH6"/>
    <mergeCell ref="C5:D5"/>
    <mergeCell ref="H5:J5"/>
    <mergeCell ref="AZ5:BA6"/>
    <mergeCell ref="BC5:BC7"/>
    <mergeCell ref="BE5:BF5"/>
    <mergeCell ref="BB5:BB6"/>
    <mergeCell ref="BC8:BC14"/>
    <mergeCell ref="CB6:CB7"/>
    <mergeCell ref="BX5:CC5"/>
    <mergeCell ref="CD5:CI5"/>
    <mergeCell ref="CD6:CD7"/>
    <mergeCell ref="CE6:CE7"/>
    <mergeCell ref="BX6:BX7"/>
    <mergeCell ref="CC6:CC7"/>
    <mergeCell ref="A39:B39"/>
    <mergeCell ref="S6:V6"/>
    <mergeCell ref="O6:R6"/>
    <mergeCell ref="A8:A14"/>
    <mergeCell ref="AW5:AW6"/>
    <mergeCell ref="AQ5:AQ6"/>
    <mergeCell ref="AT5:AT7"/>
    <mergeCell ref="A22:A28"/>
    <mergeCell ref="AR5:AR6"/>
    <mergeCell ref="AK5:AM6"/>
    <mergeCell ref="AN5:AP6"/>
    <mergeCell ref="A15:A21"/>
    <mergeCell ref="AS5:AS6"/>
    <mergeCell ref="E5:G5"/>
    <mergeCell ref="K5:K6"/>
    <mergeCell ref="L5:V5"/>
    <mergeCell ref="AV5:AV6"/>
    <mergeCell ref="EM6:EP6"/>
    <mergeCell ref="GW5:GX5"/>
    <mergeCell ref="GF2:GO2"/>
    <mergeCell ref="FB5:FB7"/>
    <mergeCell ref="FI5:FI7"/>
    <mergeCell ref="FD5:FE5"/>
    <mergeCell ref="FF5:FG5"/>
    <mergeCell ref="FP6:FQ6"/>
    <mergeCell ref="FN6:FO6"/>
    <mergeCell ref="GQ6:GR6"/>
    <mergeCell ref="GM6:GN6"/>
    <mergeCell ref="GK5:GN5"/>
    <mergeCell ref="GO5:GR5"/>
    <mergeCell ref="GS5:GT5"/>
    <mergeCell ref="BM4:BQ4"/>
    <mergeCell ref="C83:H83"/>
    <mergeCell ref="GR2:GS2"/>
    <mergeCell ref="AX5:AX6"/>
    <mergeCell ref="AY5:AY6"/>
    <mergeCell ref="GG5:GH6"/>
    <mergeCell ref="FJ5:FJ7"/>
    <mergeCell ref="FK5:FQ5"/>
    <mergeCell ref="FR5:GA5"/>
    <mergeCell ref="GB5:GC6"/>
    <mergeCell ref="FY6:FZ6"/>
    <mergeCell ref="GD5:GF6"/>
    <mergeCell ref="FW6:FX6"/>
    <mergeCell ref="BG5:BH5"/>
    <mergeCell ref="EA6:ED6"/>
    <mergeCell ref="EE6:EH6"/>
    <mergeCell ref="DW5:EL5"/>
    <mergeCell ref="EZ5:EZ7"/>
    <mergeCell ref="FA5:FA7"/>
    <mergeCell ref="EI6:EL6"/>
    <mergeCell ref="CX6:DA6"/>
    <mergeCell ref="DL6:DV6"/>
    <mergeCell ref="CX5:DA5"/>
    <mergeCell ref="DL5:DV5"/>
  </mergeCells>
  <phoneticPr fontId="51" type="noConversion"/>
  <conditionalFormatting sqref="K14">
    <cfRule type="cellIs" priority="16" stopIfTrue="1" operator="lessThan">
      <formula>0.6</formula>
    </cfRule>
  </conditionalFormatting>
  <conditionalFormatting sqref="K21">
    <cfRule type="cellIs" priority="14" stopIfTrue="1" operator="lessThan">
      <formula>0.6</formula>
    </cfRule>
  </conditionalFormatting>
  <conditionalFormatting sqref="K28">
    <cfRule type="cellIs" priority="13" stopIfTrue="1" operator="lessThan">
      <formula>0.6</formula>
    </cfRule>
  </conditionalFormatting>
  <conditionalFormatting sqref="L8:M38">
    <cfRule type="cellIs" priority="21" stopIfTrue="1" operator="lessThan">
      <formula>0.6</formula>
    </cfRule>
  </conditionalFormatting>
  <conditionalFormatting sqref="DL8:DV38">
    <cfRule type="cellIs" dxfId="227" priority="3" operator="greaterThan">
      <formula>0</formula>
    </cfRule>
  </conditionalFormatting>
  <conditionalFormatting sqref="DW8:EP38">
    <cfRule type="cellIs" dxfId="226" priority="4" operator="lessThan">
      <formula>0.0001</formula>
    </cfRule>
    <cfRule type="cellIs" dxfId="225" priority="5" operator="greaterThan">
      <formula>"0.01"</formula>
    </cfRule>
  </conditionalFormatting>
  <conditionalFormatting sqref="EE8:EH38 EE10:EI12">
    <cfRule type="cellIs" dxfId="224" priority="2" operator="greaterThanOrEqual">
      <formula>2</formula>
    </cfRule>
  </conditionalFormatting>
  <pageMargins left="0" right="0" top="0" bottom="0" header="0" footer="0"/>
  <pageSetup paperSize="17" scale="12" orientation="landscape" horizontalDpi="300" verticalDpi="300" r:id="rId1"/>
  <ignoredErrors>
    <ignoredError sqref="BH39 R39" formula="1"/>
  </ignoredErrors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4FED-BBC3-471E-B814-FED1747D5D80}">
  <sheetPr codeName="Hoja37">
    <tabColor theme="4" tint="0.39997558519241921"/>
    <pageSetUpPr fitToPage="1"/>
  </sheetPr>
  <dimension ref="A1:BA336"/>
  <sheetViews>
    <sheetView showGridLines="0" topLeftCell="G31" zoomScale="80" zoomScaleNormal="80" workbookViewId="0">
      <selection activeCell="T68" sqref="T68"/>
    </sheetView>
  </sheetViews>
  <sheetFormatPr baseColWidth="10" defaultColWidth="10" defaultRowHeight="13"/>
  <cols>
    <col min="1" max="1" width="9.81640625" style="2198" customWidth="1"/>
    <col min="2" max="2" width="12.1796875" style="2184" customWidth="1"/>
    <col min="3" max="3" width="9.453125" style="2197" customWidth="1"/>
    <col min="4" max="4" width="10.1796875" style="2197" customWidth="1"/>
    <col min="5" max="5" width="8.1796875" style="1400" customWidth="1"/>
    <col min="6" max="6" width="13.81640625" style="2196" customWidth="1"/>
    <col min="7" max="7" width="11" style="2195" customWidth="1"/>
    <col min="8" max="8" width="11.81640625" style="2194" bestFit="1" customWidth="1"/>
    <col min="9" max="9" width="13.54296875" style="2193" customWidth="1"/>
    <col min="10" max="10" width="14.453125" style="2193" customWidth="1"/>
    <col min="11" max="11" width="10.453125" style="2192" customWidth="1"/>
    <col min="12" max="12" width="11.1796875" style="2191" customWidth="1"/>
    <col min="13" max="13" width="11.81640625" style="2190" customWidth="1"/>
    <col min="14" max="14" width="11.81640625" style="2189" customWidth="1"/>
    <col min="15" max="15" width="15.453125" style="2187" customWidth="1"/>
    <col min="16" max="17" width="11.1796875" style="2187" customWidth="1"/>
    <col min="18" max="18" width="11" style="2187" customWidth="1"/>
    <col min="19" max="19" width="13" style="2187" customWidth="1"/>
    <col min="20" max="20" width="36.453125" style="2187" customWidth="1"/>
    <col min="21" max="21" width="54.81640625" style="2187" customWidth="1"/>
    <col min="22" max="22" width="15" style="2188" customWidth="1"/>
    <col min="23" max="23" width="29.54296875" style="2184" bestFit="1" customWidth="1"/>
    <col min="24" max="24" width="11" style="2184" bestFit="1" customWidth="1"/>
    <col min="25" max="25" width="9.1796875" style="2187" bestFit="1" customWidth="1"/>
    <col min="26" max="26" width="9.453125" style="2187" bestFit="1" customWidth="1"/>
    <col min="27" max="27" width="11.1796875" style="2187" bestFit="1" customWidth="1"/>
    <col min="28" max="28" width="12.54296875" style="2187" customWidth="1"/>
    <col min="29" max="29" width="10.453125" style="2187" bestFit="1" customWidth="1"/>
    <col min="30" max="30" width="10.54296875" style="2187" bestFit="1" customWidth="1"/>
    <col min="31" max="31" width="15.1796875" style="2187" customWidth="1"/>
    <col min="32" max="32" width="11.81640625" style="2186" bestFit="1" customWidth="1"/>
    <col min="33" max="33" width="8.1796875" style="2185" bestFit="1" customWidth="1"/>
    <col min="34" max="34" width="9.54296875" style="2185" bestFit="1" customWidth="1"/>
    <col min="35" max="35" width="8.1796875" style="2185" bestFit="1" customWidth="1"/>
    <col min="36" max="36" width="12.453125" style="2184" bestFit="1" customWidth="1"/>
    <col min="37" max="37" width="21" style="2184" customWidth="1"/>
    <col min="38" max="38" width="47.54296875" style="2184" bestFit="1" customWidth="1"/>
    <col min="39" max="39" width="8.1796875" style="2184" bestFit="1" customWidth="1"/>
    <col min="40" max="40" width="15.1796875" style="2184" bestFit="1" customWidth="1"/>
    <col min="41" max="41" width="13.54296875" style="2184" bestFit="1" customWidth="1"/>
    <col min="42" max="42" width="7.54296875" style="2184" bestFit="1" customWidth="1"/>
    <col min="43" max="50" width="10" style="2184"/>
    <col min="51" max="16384" width="10" style="1399"/>
  </cols>
  <sheetData>
    <row r="1" spans="1:50">
      <c r="A1" s="2197"/>
      <c r="B1" s="2295"/>
      <c r="D1" s="2588"/>
      <c r="E1" s="2286"/>
      <c r="F1" s="2285"/>
      <c r="G1" s="2201"/>
      <c r="H1" s="2589"/>
      <c r="I1" s="2290"/>
      <c r="J1" s="2294"/>
      <c r="K1" s="2293"/>
      <c r="L1" s="2292"/>
      <c r="M1" s="2291"/>
      <c r="N1" s="2187"/>
      <c r="V1" s="2187"/>
      <c r="W1" s="2187"/>
      <c r="X1" s="2280"/>
      <c r="AA1" s="2184"/>
      <c r="AB1" s="2184"/>
      <c r="AC1" s="2184"/>
      <c r="AD1" s="2184"/>
      <c r="AE1" s="2184"/>
      <c r="AF1" s="2184"/>
      <c r="AG1" s="2184"/>
      <c r="AH1" s="2184"/>
      <c r="AI1" s="2184"/>
      <c r="AR1" s="1399"/>
      <c r="AS1" s="1399"/>
      <c r="AT1" s="1399"/>
      <c r="AU1" s="1399"/>
      <c r="AV1" s="1399"/>
      <c r="AW1" s="1399"/>
      <c r="AX1" s="1399"/>
    </row>
    <row r="2" spans="1:50" ht="14.5">
      <c r="A2" s="2264"/>
      <c r="B2" s="1400"/>
      <c r="C2" s="3134"/>
      <c r="D2" s="2588"/>
      <c r="E2" s="2286"/>
      <c r="F2" s="2285"/>
      <c r="G2" s="2201">
        <f>+'PM vs OL y BD'!D21</f>
        <v>90.294153352101716</v>
      </c>
      <c r="H2" s="2589"/>
      <c r="I2" s="2290"/>
      <c r="J2" s="2287"/>
      <c r="K2" s="2287"/>
      <c r="L2" s="2289"/>
      <c r="M2" s="2289"/>
      <c r="N2" s="2287"/>
      <c r="O2" s="2288"/>
      <c r="P2" s="2288"/>
      <c r="Q2" s="2288"/>
      <c r="R2" s="2287"/>
      <c r="S2" s="2287"/>
      <c r="T2" s="2287"/>
      <c r="U2" s="2287"/>
      <c r="V2" s="2287"/>
      <c r="W2" s="2287"/>
      <c r="X2" s="2288"/>
      <c r="Y2" s="2287"/>
      <c r="Z2" s="2287"/>
      <c r="AA2" s="2184"/>
      <c r="AB2" s="2184"/>
      <c r="AC2" s="2184"/>
      <c r="AD2" s="2184"/>
      <c r="AE2" s="2184"/>
      <c r="AF2" s="2184"/>
      <c r="AG2" s="2184"/>
      <c r="AH2" s="2184"/>
      <c r="AI2" s="2184"/>
      <c r="AQ2" s="2284"/>
      <c r="AR2" s="1399"/>
      <c r="AS2" s="1399"/>
      <c r="AT2" s="1399"/>
      <c r="AU2" s="1399"/>
      <c r="AV2" s="1399"/>
      <c r="AW2" s="1399"/>
      <c r="AX2" s="1399"/>
    </row>
    <row r="3" spans="1:50">
      <c r="A3" s="2264"/>
      <c r="B3" s="3120" t="s">
        <v>1550</v>
      </c>
      <c r="D3" s="2588"/>
      <c r="E3" s="2286"/>
      <c r="F3" s="2285"/>
      <c r="G3" s="2201">
        <f>+'PM vs OL y BD'!F5</f>
        <v>-1.1959191457766849</v>
      </c>
      <c r="H3" s="2589"/>
      <c r="I3" s="3389"/>
      <c r="J3" s="2187"/>
      <c r="K3" s="2187"/>
      <c r="L3" s="2184"/>
      <c r="M3" s="2184"/>
      <c r="N3" s="2187"/>
      <c r="V3" s="2187"/>
      <c r="W3" s="2187"/>
      <c r="X3" s="2280"/>
      <c r="AA3" s="2184"/>
      <c r="AB3" s="2184"/>
      <c r="AC3" s="2184"/>
      <c r="AD3" s="2184"/>
      <c r="AE3" s="2184"/>
      <c r="AF3" s="2184"/>
      <c r="AG3" s="2184"/>
      <c r="AH3" s="2184"/>
      <c r="AI3" s="2184"/>
      <c r="AQ3" s="2284"/>
      <c r="AR3" s="1399"/>
      <c r="AS3" s="1399"/>
      <c r="AT3" s="1399"/>
      <c r="AU3" s="1399"/>
      <c r="AV3" s="1399"/>
      <c r="AW3" s="1399"/>
      <c r="AX3" s="1399"/>
    </row>
    <row r="4" spans="1:50" ht="14.5">
      <c r="A4" s="2283"/>
      <c r="B4" s="3697">
        <v>0.6</v>
      </c>
      <c r="C4" s="2526">
        <v>0.3</v>
      </c>
      <c r="D4" s="2526">
        <v>1</v>
      </c>
      <c r="E4" s="2282">
        <v>1</v>
      </c>
      <c r="F4" s="2184"/>
      <c r="G4" s="2184"/>
      <c r="H4" s="2187"/>
      <c r="I4" s="2198"/>
      <c r="J4" s="2187"/>
      <c r="K4" s="2187"/>
      <c r="L4" s="2281"/>
      <c r="M4" s="2281"/>
      <c r="N4" s="2187"/>
      <c r="V4" s="2187"/>
      <c r="W4" s="2187"/>
      <c r="X4" s="2280"/>
      <c r="Z4" s="2279"/>
      <c r="AA4" s="2279"/>
      <c r="AB4" s="2279"/>
      <c r="AC4" s="2279"/>
      <c r="AD4" s="2279"/>
      <c r="AE4" s="2279"/>
      <c r="AF4" s="2279"/>
      <c r="AG4" s="2279"/>
      <c r="AH4" s="2279"/>
      <c r="AI4" s="2279"/>
      <c r="AJ4" s="2279"/>
      <c r="AK4" s="2279"/>
      <c r="AL4" s="2279"/>
      <c r="AM4" s="2279"/>
      <c r="AN4" s="2279"/>
      <c r="AO4" s="2279"/>
      <c r="AP4" s="2279"/>
      <c r="AQ4" s="2279"/>
      <c r="AR4" s="1399"/>
      <c r="AS4" s="1399"/>
      <c r="AT4" s="1399"/>
      <c r="AU4" s="1399"/>
      <c r="AV4" s="1399"/>
      <c r="AW4" s="1399"/>
      <c r="AX4" s="1399"/>
    </row>
    <row r="5" spans="1:50" s="2276" customFormat="1" ht="44.25" customHeight="1">
      <c r="A5" s="2277" t="s">
        <v>549</v>
      </c>
      <c r="B5" s="2277" t="s">
        <v>451</v>
      </c>
      <c r="C5" s="2278" t="s">
        <v>452</v>
      </c>
      <c r="D5" s="2277" t="s">
        <v>453</v>
      </c>
      <c r="E5" s="2277" t="s">
        <v>454</v>
      </c>
      <c r="F5" s="2277" t="s">
        <v>100</v>
      </c>
      <c r="G5" s="2277" t="s">
        <v>455</v>
      </c>
      <c r="H5" s="2277" t="s">
        <v>456</v>
      </c>
      <c r="I5" s="2277" t="s">
        <v>457</v>
      </c>
      <c r="J5" s="2277" t="s">
        <v>458</v>
      </c>
      <c r="K5" s="2277" t="s">
        <v>378</v>
      </c>
      <c r="L5" s="2277" t="s">
        <v>459</v>
      </c>
      <c r="M5" s="2277" t="s">
        <v>460</v>
      </c>
      <c r="N5" s="2277" t="s">
        <v>461</v>
      </c>
      <c r="O5" s="2277" t="s">
        <v>462</v>
      </c>
      <c r="P5" s="2277"/>
      <c r="Q5" s="2277"/>
      <c r="R5" s="2277" t="s">
        <v>463</v>
      </c>
      <c r="S5" s="2277"/>
      <c r="T5" s="2277" t="s">
        <v>464</v>
      </c>
      <c r="U5" s="2277" t="s">
        <v>465</v>
      </c>
      <c r="V5" s="2277" t="s">
        <v>466</v>
      </c>
      <c r="W5" s="2277" t="s">
        <v>467</v>
      </c>
      <c r="X5" s="2277" t="s">
        <v>468</v>
      </c>
      <c r="Y5" s="2277" t="s">
        <v>469</v>
      </c>
      <c r="Z5" s="2277" t="s">
        <v>470</v>
      </c>
      <c r="AA5" s="2277" t="s">
        <v>471</v>
      </c>
      <c r="AB5" s="2277" t="s">
        <v>472</v>
      </c>
      <c r="AC5" s="2277" t="s">
        <v>473</v>
      </c>
      <c r="AD5" s="2277" t="s">
        <v>474</v>
      </c>
      <c r="AE5" s="2277" t="s">
        <v>475</v>
      </c>
      <c r="AF5" s="2277" t="s">
        <v>476</v>
      </c>
      <c r="AG5" s="2277" t="s">
        <v>477</v>
      </c>
      <c r="AH5" s="2277" t="s">
        <v>478</v>
      </c>
      <c r="AI5" s="2277" t="s">
        <v>390</v>
      </c>
      <c r="AJ5" s="2277" t="s">
        <v>83</v>
      </c>
      <c r="AK5" s="2277" t="s">
        <v>1349</v>
      </c>
      <c r="AL5" s="2277" t="s">
        <v>1350</v>
      </c>
      <c r="AM5" s="2277" t="s">
        <v>278</v>
      </c>
    </row>
    <row r="6" spans="1:50" s="2264" customFormat="1" ht="12.75" customHeight="1">
      <c r="A6" s="2275">
        <v>1</v>
      </c>
      <c r="B6" s="2274">
        <f>+'Recalculos ST'!BI9+$B$4</f>
        <v>30.850432592347524</v>
      </c>
      <c r="C6" s="3915">
        <f>+'Recalculos ST'!BA9+$C$4</f>
        <v>91.062827037611598</v>
      </c>
      <c r="D6" s="3160">
        <f>+'MCP ST'!D2*$D$4</f>
        <v>0.53577266948079771</v>
      </c>
      <c r="E6" s="2273">
        <f>+I6*$E$4</f>
        <v>275.37082353416963</v>
      </c>
      <c r="F6" s="2267">
        <f>+'MCP ST'!B2</f>
        <v>180000.00000031578</v>
      </c>
      <c r="G6" s="2268">
        <f>+'MCP ST'!C2</f>
        <v>0.64496322650059046</v>
      </c>
      <c r="H6" s="2268">
        <f>+'MCP ST'!D2</f>
        <v>0.53577266948079771</v>
      </c>
      <c r="I6" s="2272">
        <f>+'MCP ST'!E2</f>
        <v>275.37082353416963</v>
      </c>
      <c r="J6" s="2268">
        <f>+'MCP ST'!F2</f>
        <v>4.6199791034031754E-2</v>
      </c>
      <c r="K6" s="2268">
        <f>+'MCP ST'!G2</f>
        <v>1.4813892882876376</v>
      </c>
      <c r="L6" s="2271">
        <f>+'MCP ST'!I2</f>
        <v>29.182509309000007</v>
      </c>
      <c r="M6" s="2270">
        <f>+'MCP ST'!J2</f>
        <v>89.807516984710873</v>
      </c>
      <c r="N6" s="2268">
        <f>+'MCP ST'!L2</f>
        <v>12.475370071720862</v>
      </c>
      <c r="O6" s="2269">
        <f>+'MCP ST'!M2</f>
        <v>445.24447056088866</v>
      </c>
      <c r="P6" s="2269"/>
      <c r="Q6" s="2269"/>
      <c r="R6" s="2268">
        <f>+'MCP ST'!N2</f>
        <v>0.95446819232470492</v>
      </c>
      <c r="S6" s="2268"/>
      <c r="T6" s="2268">
        <f>+'MCP ST'!O2</f>
        <v>0.18277807486534425</v>
      </c>
      <c r="U6" s="2268">
        <f>+'MCP ST'!P2</f>
        <v>0.29069118652483289</v>
      </c>
      <c r="V6" s="2268">
        <f>+'MCP ST'!R2</f>
        <v>13.340934941070996</v>
      </c>
      <c r="W6" s="2268">
        <f>+'MCP ST'!Q2</f>
        <v>8.7333390712014403E-3</v>
      </c>
      <c r="X6" s="2269">
        <f>+'Recalculos ST'!AL9</f>
        <v>182.95898445842676</v>
      </c>
      <c r="Y6" s="2268">
        <f>+'MCP ST'!T2</f>
        <v>36.675380974817763</v>
      </c>
      <c r="Z6" s="2268">
        <f>+'MCP ST'!U2</f>
        <v>87.854089168436545</v>
      </c>
      <c r="AA6" s="2268">
        <f>+'MCP ST'!V2</f>
        <v>96.378941330274941</v>
      </c>
      <c r="AB6" s="2267">
        <f>+'MCP ST'!W2</f>
        <v>6169.7751907434522</v>
      </c>
      <c r="AC6" s="2267">
        <f>+'MCP ST'!X2</f>
        <v>0</v>
      </c>
      <c r="AD6" s="2267">
        <f>+'MCP ST'!Y2</f>
        <v>0</v>
      </c>
      <c r="AE6" s="2267">
        <f>+'MCP ST'!Z2</f>
        <v>170766.89694059078</v>
      </c>
      <c r="AF6" s="2267">
        <f>+'MCP ST'!AA2</f>
        <v>0</v>
      </c>
      <c r="AG6" s="2267">
        <f>+'MCP ST'!AB2</f>
        <v>0</v>
      </c>
      <c r="AH6" s="2267">
        <f>+'MCP ST'!AC2</f>
        <v>3063.2829569879746</v>
      </c>
      <c r="AI6" s="2266">
        <f>+'MCP ST'!AS2</f>
        <v>1.967079068207177</v>
      </c>
      <c r="AJ6" s="2265">
        <f>+'Recalculos ST'!P9</f>
        <v>110.79642230970572</v>
      </c>
      <c r="AK6" s="2265">
        <f t="shared" ref="AK6:AK33" si="0">+IF(ISNUMBER(AJ6*1),AJ6*1,"")</f>
        <v>110.79642230970572</v>
      </c>
      <c r="AL6" s="2265">
        <f t="shared" ref="AL6:AL36" si="1">IF(ISNUMBER(+AK6/25.4),+AK6/25.4,"")</f>
        <v>4.3620638704608554</v>
      </c>
      <c r="AM6" s="2265">
        <f>+'MCP ST'!AU2</f>
        <v>0.94870521971407751</v>
      </c>
      <c r="AN6" s="3122"/>
    </row>
    <row r="7" spans="1:50" s="2264" customFormat="1" ht="12.75" customHeight="1">
      <c r="A7" s="2275">
        <f t="shared" ref="A7:A36" si="2">A6+1</f>
        <v>2</v>
      </c>
      <c r="B7" s="2274">
        <f>+'Recalculos ST'!BI10+$B$4</f>
        <v>29.134132599024685</v>
      </c>
      <c r="C7" s="3915">
        <f>+'Recalculos ST'!BA10+$C$4</f>
        <v>90.540593071994593</v>
      </c>
      <c r="D7" s="3160">
        <f>+'MCP ST'!D3*$D$4</f>
        <v>0.51534433766209709</v>
      </c>
      <c r="E7" s="2273">
        <f t="shared" ref="E7:E36" si="3">+I7*$E$4</f>
        <v>230.76029228681685</v>
      </c>
      <c r="F7" s="2267">
        <f>+'MCP ST'!B3</f>
        <v>180000.00000038478</v>
      </c>
      <c r="G7" s="2268">
        <f>+'MCP ST'!C3</f>
        <v>0.60619242116389604</v>
      </c>
      <c r="H7" s="2268">
        <f>+'MCP ST'!D3</f>
        <v>0.51534433766209709</v>
      </c>
      <c r="I7" s="2272">
        <f>+'MCP ST'!E3</f>
        <v>230.76029228681685</v>
      </c>
      <c r="J7" s="2268">
        <f>+'MCP ST'!F3</f>
        <v>4.4824729141085311E-2</v>
      </c>
      <c r="K7" s="2268">
        <f>+'MCP ST'!G3</f>
        <v>1.4239715059710938</v>
      </c>
      <c r="L7" s="2271">
        <f>+'MCP ST'!I3</f>
        <v>27.738964166145095</v>
      </c>
      <c r="M7" s="2270">
        <f>+'MCP ST'!J3</f>
        <v>89.381371015675711</v>
      </c>
      <c r="N7" s="2268">
        <f>+'MCP ST'!L3</f>
        <v>12.657770878649988</v>
      </c>
      <c r="O7" s="2269">
        <f>+'MCP ST'!M3</f>
        <v>590.15298773465929</v>
      </c>
      <c r="P7" s="2269"/>
      <c r="Q7" s="2269"/>
      <c r="R7" s="2268">
        <f>+'MCP ST'!N3</f>
        <v>0.93728208140654778</v>
      </c>
      <c r="S7" s="2268"/>
      <c r="T7" s="2268">
        <f>+'MCP ST'!O3</f>
        <v>0.46000023609861412</v>
      </c>
      <c r="U7" s="2268">
        <f>+'MCP ST'!P3</f>
        <v>0.22957473308023896</v>
      </c>
      <c r="V7" s="2268">
        <f>+'MCP ST'!R3</f>
        <v>15.018858959845458</v>
      </c>
      <c r="W7" s="2268">
        <f>+'MCP ST'!Q3</f>
        <v>4.2880437327138421E-2</v>
      </c>
      <c r="X7" s="2269">
        <f>+'Recalculos ST'!AL10</f>
        <v>197.14636251005234</v>
      </c>
      <c r="Y7" s="2268">
        <f>+'MCP ST'!T3</f>
        <v>37.065796219206057</v>
      </c>
      <c r="Z7" s="2268">
        <f>+'MCP ST'!U3</f>
        <v>87.539350029988114</v>
      </c>
      <c r="AA7" s="2268">
        <f>+'MCP ST'!V3</f>
        <v>90.130573498039709</v>
      </c>
      <c r="AB7" s="2267">
        <f>+'MCP ST'!W3</f>
        <v>26600.671733175586</v>
      </c>
      <c r="AC7" s="2267">
        <f>+'MCP ST'!X3</f>
        <v>0</v>
      </c>
      <c r="AD7" s="2267">
        <f>+'MCP ST'!Y3</f>
        <v>0</v>
      </c>
      <c r="AE7" s="2267">
        <f>+'MCP ST'!Z3</f>
        <v>147119.12276274778</v>
      </c>
      <c r="AF7" s="2267">
        <f>+'MCP ST'!AA3</f>
        <v>0</v>
      </c>
      <c r="AG7" s="2267">
        <f>+'MCP ST'!AB3</f>
        <v>0</v>
      </c>
      <c r="AH7" s="2267">
        <f>+'MCP ST'!AC3</f>
        <v>6280.0830496513117</v>
      </c>
      <c r="AI7" s="2266">
        <f>+'MCP ST'!AS3</f>
        <v>1.6861898107818687</v>
      </c>
      <c r="AJ7" s="2265">
        <f>+'Recalculos ST'!P10</f>
        <v>108.9778398332526</v>
      </c>
      <c r="AK7" s="2265">
        <f t="shared" si="0"/>
        <v>108.9778398332526</v>
      </c>
      <c r="AL7" s="2265">
        <f t="shared" si="1"/>
        <v>4.2904661351674251</v>
      </c>
      <c r="AM7" s="2265">
        <f>+'MCP ST'!AU3</f>
        <v>0.81732901582390405</v>
      </c>
      <c r="AN7" s="3122"/>
    </row>
    <row r="8" spans="1:50" s="2264" customFormat="1" ht="12.75" customHeight="1">
      <c r="A8" s="2275">
        <f t="shared" si="2"/>
        <v>3</v>
      </c>
      <c r="B8" s="2274">
        <f>+'Recalculos ST'!BI11+$B$4</f>
        <v>29.410557320073053</v>
      </c>
      <c r="C8" s="3915">
        <f>+'Recalculos ST'!BA11+$C$4</f>
        <v>90.859006569002403</v>
      </c>
      <c r="D8" s="3160">
        <f>+'MCP ST'!D4*$D$4</f>
        <v>0.49680204407498407</v>
      </c>
      <c r="E8" s="2273">
        <f t="shared" si="3"/>
        <v>245.13337410328603</v>
      </c>
      <c r="F8" s="2267">
        <f>+'MCP ST'!B4</f>
        <v>190000.00000005015</v>
      </c>
      <c r="G8" s="2268">
        <f>+'MCP ST'!C4</f>
        <v>0.59331130222755624</v>
      </c>
      <c r="H8" s="2268">
        <f>+'MCP ST'!D4</f>
        <v>0.49680204407498407</v>
      </c>
      <c r="I8" s="2272">
        <f>+'MCP ST'!E4</f>
        <v>245.13337410328603</v>
      </c>
      <c r="J8" s="2268">
        <f>+'MCP ST'!F4</f>
        <v>4.6400243491630848E-2</v>
      </c>
      <c r="K8" s="2268">
        <f>+'MCP ST'!G4</f>
        <v>1.392622194131244</v>
      </c>
      <c r="L8" s="2271">
        <f>+'MCP ST'!I4</f>
        <v>27.780394265281327</v>
      </c>
      <c r="M8" s="2270">
        <f>+'MCP ST'!J4</f>
        <v>89.67475520919325</v>
      </c>
      <c r="N8" s="2268">
        <f>+'MCP ST'!L4</f>
        <v>12.600060268728631</v>
      </c>
      <c r="O8" s="2269">
        <f>+'MCP ST'!M4</f>
        <v>533.10784600327781</v>
      </c>
      <c r="P8" s="2269"/>
      <c r="Q8" s="2269"/>
      <c r="R8" s="2268">
        <f>+'MCP ST'!N4</f>
        <v>1.0058328114240622</v>
      </c>
      <c r="S8" s="2268"/>
      <c r="T8" s="2268">
        <f>+'MCP ST'!O4</f>
        <v>0.25435446664700512</v>
      </c>
      <c r="U8" s="2268">
        <f>+'MCP ST'!P4</f>
        <v>0.1997558473034855</v>
      </c>
      <c r="V8" s="2268">
        <f>+'MCP ST'!R4</f>
        <v>20.001321136031645</v>
      </c>
      <c r="W8" s="2268">
        <f>+'MCP ST'!Q4</f>
        <v>1.1616284463202731E-2</v>
      </c>
      <c r="X8" s="2269">
        <f>+'Recalculos ST'!AL11</f>
        <v>198.31984056042879</v>
      </c>
      <c r="Y8" s="2268">
        <f>+'MCP ST'!T4</f>
        <v>36.156022597522785</v>
      </c>
      <c r="Z8" s="2268">
        <f>+'MCP ST'!U4</f>
        <v>91.240601679995024</v>
      </c>
      <c r="AA8" s="2268">
        <f>+'MCP ST'!V4</f>
        <v>96.270823334597765</v>
      </c>
      <c r="AB8" s="2267">
        <f>+'MCP ST'!W4</f>
        <v>10389.325510548188</v>
      </c>
      <c r="AC8" s="2267">
        <f>+'MCP ST'!X4</f>
        <v>0</v>
      </c>
      <c r="AD8" s="2267">
        <f>+'MCP ST'!Y4</f>
        <v>0</v>
      </c>
      <c r="AE8" s="2267">
        <f>+'MCP ST'!Z4</f>
        <v>175243.75533439484</v>
      </c>
      <c r="AF8" s="2267">
        <f>+'MCP ST'!AA4</f>
        <v>1078.70511321708</v>
      </c>
      <c r="AG8" s="2267">
        <f>+'MCP ST'!AB4</f>
        <v>0</v>
      </c>
      <c r="AH8" s="2267">
        <f>+'MCP ST'!AC4</f>
        <v>3288.09892033096</v>
      </c>
      <c r="AI8" s="2266">
        <f>+'MCP ST'!AS4</f>
        <v>1.8889274729893171</v>
      </c>
      <c r="AJ8" s="2265">
        <f>+'Recalculos ST'!P11</f>
        <v>111.30898387860118</v>
      </c>
      <c r="AK8" s="2265">
        <f t="shared" si="0"/>
        <v>111.30898387860118</v>
      </c>
      <c r="AL8" s="2265">
        <f t="shared" si="1"/>
        <v>4.382243459787448</v>
      </c>
      <c r="AM8" s="2265">
        <f>+'MCP ST'!AU4</f>
        <v>0.92801351201014604</v>
      </c>
      <c r="AN8" s="3122"/>
    </row>
    <row r="9" spans="1:50" s="2264" customFormat="1" ht="12.75" customHeight="1">
      <c r="A9" s="2275">
        <f t="shared" si="2"/>
        <v>4</v>
      </c>
      <c r="B9" s="2274">
        <f>+'Recalculos ST'!BI12+$B$4</f>
        <v>27.75556816154316</v>
      </c>
      <c r="C9" s="3915">
        <f>+'Recalculos ST'!BA12+$C$4</f>
        <v>90.808026236438835</v>
      </c>
      <c r="D9" s="3160">
        <f>+'MCP ST'!D5*$D$4</f>
        <v>0.4882136188061143</v>
      </c>
      <c r="E9" s="2273">
        <f t="shared" si="3"/>
        <v>256.1785536033874</v>
      </c>
      <c r="F9" s="2267">
        <f>+'MCP ST'!B5</f>
        <v>175916.20114159485</v>
      </c>
      <c r="G9" s="2268">
        <f>+'MCP ST'!C5</f>
        <v>0.59004705521544754</v>
      </c>
      <c r="H9" s="2268">
        <f>+'MCP ST'!D5</f>
        <v>0.4882136188061143</v>
      </c>
      <c r="I9" s="2272">
        <f>+'MCP ST'!E5</f>
        <v>256.1785536033874</v>
      </c>
      <c r="J9" s="2268">
        <f>+'MCP ST'!F5</f>
        <v>4.238170090514097E-2</v>
      </c>
      <c r="K9" s="2268">
        <f>+'MCP ST'!G5</f>
        <v>1.2464253699788432</v>
      </c>
      <c r="L9" s="2271">
        <f>+'MCP ST'!I5</f>
        <v>26.712253442403213</v>
      </c>
      <c r="M9" s="2270">
        <f>+'MCP ST'!J5</f>
        <v>89.658220041434518</v>
      </c>
      <c r="N9" s="2268">
        <f>+'MCP ST'!L5</f>
        <v>12.738623238526184</v>
      </c>
      <c r="O9" s="2269">
        <f>+'MCP ST'!M5</f>
        <v>653.79443217995754</v>
      </c>
      <c r="P9" s="2269"/>
      <c r="Q9" s="2269"/>
      <c r="R9" s="2268">
        <f>+'MCP ST'!N5</f>
        <v>1.0349668571883945</v>
      </c>
      <c r="S9" s="2268"/>
      <c r="T9" s="2268">
        <f>+'MCP ST'!O5</f>
        <v>0.48383970682165478</v>
      </c>
      <c r="U9" s="2268">
        <f>+'MCP ST'!P5</f>
        <v>0.16775810913115535</v>
      </c>
      <c r="V9" s="2268">
        <f>+'MCP ST'!R5</f>
        <v>24.727257065352916</v>
      </c>
      <c r="W9" s="2268">
        <f>+'MCP ST'!Q5</f>
        <v>1.4048100956178441E-2</v>
      </c>
      <c r="X9" s="2269">
        <f>+'Recalculos ST'!AL12</f>
        <v>203.22213043948199</v>
      </c>
      <c r="Y9" s="2268">
        <f>+'MCP ST'!T5</f>
        <v>35.229162470968802</v>
      </c>
      <c r="Z9" s="2268">
        <f>+'MCP ST'!U5</f>
        <v>92.212481581814515</v>
      </c>
      <c r="AA9" s="2268">
        <f>+'MCP ST'!V5</f>
        <v>93.837024872477173</v>
      </c>
      <c r="AB9" s="2267">
        <f>+'MCP ST'!W5</f>
        <v>12186.107942683591</v>
      </c>
      <c r="AC9" s="2267">
        <f>+'MCP ST'!X5</f>
        <v>0</v>
      </c>
      <c r="AD9" s="2267">
        <f>+'MCP ST'!Y5</f>
        <v>411.93516074788698</v>
      </c>
      <c r="AE9" s="2267">
        <f>+'MCP ST'!Z5</f>
        <v>150358.1268057462</v>
      </c>
      <c r="AF9" s="2267">
        <f>+'MCP ST'!AA5</f>
        <v>8035.1563877162562</v>
      </c>
      <c r="AG9" s="2267">
        <f>+'MCP ST'!AB5</f>
        <v>0</v>
      </c>
      <c r="AH9" s="2267">
        <f>+'MCP ST'!AC5</f>
        <v>4924.8541334186893</v>
      </c>
      <c r="AI9" s="2266">
        <f>+'MCP ST'!AS5</f>
        <v>1.7226055503714228</v>
      </c>
      <c r="AJ9" s="2265">
        <f>+'Recalculos ST'!P12</f>
        <v>110.48449774097553</v>
      </c>
      <c r="AK9" s="2265">
        <f t="shared" si="0"/>
        <v>110.48449774097553</v>
      </c>
      <c r="AL9" s="2265">
        <f t="shared" si="1"/>
        <v>4.3497833756289577</v>
      </c>
      <c r="AM9" s="2265">
        <f>+'MCP ST'!AU5</f>
        <v>0.90273230106379776</v>
      </c>
      <c r="AN9" s="3122"/>
    </row>
    <row r="10" spans="1:50" s="2264" customFormat="1" ht="12.75" customHeight="1">
      <c r="A10" s="2275">
        <f t="shared" si="2"/>
        <v>5</v>
      </c>
      <c r="B10" s="2274">
        <f>+'Recalculos ST'!BI13+$B$4</f>
        <v>27.081789545143941</v>
      </c>
      <c r="C10" s="3915">
        <f>+'Recalculos ST'!BA13+$C$4</f>
        <v>90.004166198440984</v>
      </c>
      <c r="D10" s="3160">
        <f>+'MCP ST'!D6*$D$4</f>
        <v>0.49844229396827905</v>
      </c>
      <c r="E10" s="2273">
        <f t="shared" si="3"/>
        <v>269.23170975716766</v>
      </c>
      <c r="F10" s="2267">
        <f>+'MCP ST'!B6</f>
        <v>180000.09726478133</v>
      </c>
      <c r="G10" s="2268">
        <f>+'MCP ST'!C6</f>
        <v>0.60955406080662033</v>
      </c>
      <c r="H10" s="2268">
        <f>+'MCP ST'!D6</f>
        <v>0.49844229396827905</v>
      </c>
      <c r="I10" s="2272">
        <f>+'MCP ST'!E6</f>
        <v>269.23170975716766</v>
      </c>
      <c r="J10" s="2268">
        <f>+'MCP ST'!F6</f>
        <v>2.8175410036552922E-2</v>
      </c>
      <c r="K10" s="2268">
        <f>+'MCP ST'!G6</f>
        <v>0.98452834084467789</v>
      </c>
      <c r="L10" s="2271">
        <f>+'MCP ST'!I6</f>
        <v>25.9780525805396</v>
      </c>
      <c r="M10" s="2270">
        <f>+'MCP ST'!J6</f>
        <v>88.913686320215149</v>
      </c>
      <c r="N10" s="2268">
        <f>+'MCP ST'!L6</f>
        <v>12.621615419415265</v>
      </c>
      <c r="O10" s="2269">
        <f>+'MCP ST'!M6</f>
        <v>1096.9094652717617</v>
      </c>
      <c r="P10" s="2269"/>
      <c r="Q10" s="2269"/>
      <c r="R10" s="2268">
        <f>+'MCP ST'!N6</f>
        <v>0.99219627436144897</v>
      </c>
      <c r="S10" s="2268"/>
      <c r="T10" s="2268">
        <f>+'MCP ST'!O6</f>
        <v>0.74405936722098331</v>
      </c>
      <c r="U10" s="2268">
        <f>+'MCP ST'!P6</f>
        <v>0.12445850225168868</v>
      </c>
      <c r="V10" s="2268">
        <f>+'MCP ST'!R6</f>
        <v>18.480650909820113</v>
      </c>
      <c r="W10" s="2268">
        <f>+'MCP ST'!Q6</f>
        <v>8.3813226325031881E-2</v>
      </c>
      <c r="X10" s="2269">
        <f>+'Recalculos ST'!AL13</f>
        <v>213.62976044498907</v>
      </c>
      <c r="Y10" s="2268">
        <f>+'MCP ST'!T6</f>
        <v>36.905824554680905</v>
      </c>
      <c r="Z10" s="2268">
        <f>+'MCP ST'!U6</f>
        <v>83.683899143522837</v>
      </c>
      <c r="AA10" s="2268">
        <f>+'MCP ST'!V6</f>
        <v>86.83290792940636</v>
      </c>
      <c r="AB10" s="2267">
        <f>+'MCP ST'!W6</f>
        <v>38139.534441541626</v>
      </c>
      <c r="AC10" s="2267">
        <f>+'MCP ST'!X6</f>
        <v>0</v>
      </c>
      <c r="AD10" s="2267">
        <f>+'MCP ST'!Y6</f>
        <v>2611.4284223108225</v>
      </c>
      <c r="AE10" s="2267">
        <f>+'MCP ST'!Z6</f>
        <v>134085.42605932121</v>
      </c>
      <c r="AF10" s="2267">
        <f>+'MCP ST'!AA6</f>
        <v>4771.4142113372009</v>
      </c>
      <c r="AG10" s="2267">
        <f>+'MCP ST'!AB6</f>
        <v>0.60897246319332088</v>
      </c>
      <c r="AH10" s="2267">
        <f>+'MCP ST'!AC6</f>
        <v>391.61540188312591</v>
      </c>
      <c r="AI10" s="2266">
        <f>+'MCP ST'!AS6</f>
        <v>1.5239942409106315</v>
      </c>
      <c r="AJ10" s="2265">
        <f>+'Recalculos ST'!P13</f>
        <v>108.79301062277133</v>
      </c>
      <c r="AK10" s="2265">
        <f t="shared" si="0"/>
        <v>108.79301062277133</v>
      </c>
      <c r="AL10" s="2265">
        <f t="shared" si="1"/>
        <v>4.2831893945972972</v>
      </c>
      <c r="AM10" s="2265">
        <f>+'MCP ST'!AU6</f>
        <v>0.78593808913985441</v>
      </c>
      <c r="AN10" s="3122"/>
    </row>
    <row r="11" spans="1:50" s="2264" customFormat="1" ht="12.75" customHeight="1">
      <c r="A11" s="2275">
        <f t="shared" si="2"/>
        <v>6</v>
      </c>
      <c r="B11" s="2274">
        <f>+'Recalculos ST'!BI14+$B$4</f>
        <v>25.963682552608038</v>
      </c>
      <c r="C11" s="3915">
        <f>+'Recalculos ST'!BA14+$C$4</f>
        <v>90.255537453585774</v>
      </c>
      <c r="D11" s="3160">
        <f>+'MCP ST'!D7*$D$4</f>
        <v>0.53151821193003124</v>
      </c>
      <c r="E11" s="2273">
        <f t="shared" si="3"/>
        <v>247.66290420821971</v>
      </c>
      <c r="F11" s="2267">
        <f>+'MCP ST'!B7</f>
        <v>159999.99999997913</v>
      </c>
      <c r="G11" s="2268">
        <f>+'MCP ST'!C7</f>
        <v>0.63225878028557336</v>
      </c>
      <c r="H11" s="2268">
        <f>+'MCP ST'!D7</f>
        <v>0.53151821193003124</v>
      </c>
      <c r="I11" s="2272">
        <f>+'MCP ST'!E7</f>
        <v>247.66290420821971</v>
      </c>
      <c r="J11" s="2268">
        <f>+'MCP ST'!F7</f>
        <v>2.6208238779063354E-2</v>
      </c>
      <c r="K11" s="2268">
        <f>+'MCP ST'!G7</f>
        <v>1.0058177410395115</v>
      </c>
      <c r="L11" s="2271">
        <f>+'MCP ST'!I7</f>
        <v>25.614967627386321</v>
      </c>
      <c r="M11" s="2270">
        <f>+'MCP ST'!J7</f>
        <v>89.273873550482421</v>
      </c>
      <c r="N11" s="2268">
        <f>+'MCP ST'!L7</f>
        <v>12.559396532097116</v>
      </c>
      <c r="O11" s="2269">
        <f>+'MCP ST'!M7</f>
        <v>1246.5448350057732</v>
      </c>
      <c r="P11" s="2269"/>
      <c r="Q11" s="2269"/>
      <c r="R11" s="2268">
        <f>+'MCP ST'!N7</f>
        <v>1.0411575215357198</v>
      </c>
      <c r="S11" s="2268"/>
      <c r="T11" s="2268">
        <f>+'MCP ST'!O7</f>
        <v>1.0651763421699061</v>
      </c>
      <c r="U11" s="2268">
        <f>+'MCP ST'!P7</f>
        <v>0.13421342820681706</v>
      </c>
      <c r="V11" s="2268">
        <f>+'MCP ST'!R7</f>
        <v>25.413285510370944</v>
      </c>
      <c r="W11" s="2268">
        <f>+'MCP ST'!Q7</f>
        <v>9.5717961100902929E-2</v>
      </c>
      <c r="X11" s="2269">
        <f>+'Recalculos ST'!AL14</f>
        <v>212.21870602910522</v>
      </c>
      <c r="Y11" s="2268">
        <f>+'MCP ST'!T7</f>
        <v>36.486561420348757</v>
      </c>
      <c r="Z11" s="2268">
        <f>+'MCP ST'!U7</f>
        <v>86.454819035392362</v>
      </c>
      <c r="AA11" s="2268">
        <f>+'MCP ST'!V7</f>
        <v>81.236583504793145</v>
      </c>
      <c r="AB11" s="2267">
        <f>+'MCP ST'!W7</f>
        <v>38131.542746562583</v>
      </c>
      <c r="AC11" s="2267">
        <f>+'MCP ST'!X7</f>
        <v>0</v>
      </c>
      <c r="AD11" s="2267">
        <f>+'MCP ST'!Y7</f>
        <v>16810.418564497089</v>
      </c>
      <c r="AE11" s="2267">
        <f>+'MCP ST'!Z7</f>
        <v>101858.10387074396</v>
      </c>
      <c r="AF11" s="2267">
        <f>+'MCP ST'!AA7</f>
        <v>2847.4788347452263</v>
      </c>
      <c r="AG11" s="2267">
        <f>+'MCP ST'!AB7</f>
        <v>76.056287930899913</v>
      </c>
      <c r="AH11" s="2267">
        <f>+'MCP ST'!AC7</f>
        <v>276.18215630581062</v>
      </c>
      <c r="AI11" s="2266">
        <f>+'MCP ST'!AS7</f>
        <v>1.3681838842822875</v>
      </c>
      <c r="AJ11" s="2265">
        <f>+'Recalculos ST'!P14</f>
        <v>106.48031993684724</v>
      </c>
      <c r="AK11" s="2265">
        <f t="shared" si="0"/>
        <v>106.48031993684724</v>
      </c>
      <c r="AL11" s="2265">
        <f t="shared" si="1"/>
        <v>4.1921385801908366</v>
      </c>
      <c r="AM11" s="2265">
        <f>+'MCP ST'!AU7</f>
        <v>0.75995139298216385</v>
      </c>
      <c r="AN11" s="3122"/>
    </row>
    <row r="12" spans="1:50" s="2264" customFormat="1" ht="12.75" customHeight="1">
      <c r="A12" s="2275">
        <f t="shared" si="2"/>
        <v>7</v>
      </c>
      <c r="B12" s="2274">
        <f>+'Recalculos ST'!BI15+$B$4</f>
        <v>22.273176938850266</v>
      </c>
      <c r="C12" s="3915">
        <f>+'Recalculos ST'!BA15+$C$4</f>
        <v>89.832031455850071</v>
      </c>
      <c r="D12" s="3160">
        <f>+'MCP ST'!D8*$D$4</f>
        <v>0.50948477260958724</v>
      </c>
      <c r="E12" s="2273">
        <f t="shared" si="3"/>
        <v>138.66702464235686</v>
      </c>
      <c r="F12" s="2267">
        <f>+'MCP ST'!B8</f>
        <v>170000.00000024194</v>
      </c>
      <c r="G12" s="2268">
        <f>+'MCP ST'!C8</f>
        <v>0.56549563136332648</v>
      </c>
      <c r="H12" s="2268">
        <f>+'MCP ST'!D8</f>
        <v>0.50948477260958724</v>
      </c>
      <c r="I12" s="2272">
        <f>+'MCP ST'!E8</f>
        <v>138.66702464235686</v>
      </c>
      <c r="J12" s="2268">
        <f>+'MCP ST'!F8</f>
        <v>2.3046832044990525E-2</v>
      </c>
      <c r="K12" s="2268">
        <f>+'MCP ST'!G8</f>
        <v>0.97216347745932397</v>
      </c>
      <c r="L12" s="2271">
        <f>+'MCP ST'!I8</f>
        <v>22.472312768213669</v>
      </c>
      <c r="M12" s="2270">
        <f>+'MCP ST'!J8</f>
        <v>88.925372500411981</v>
      </c>
      <c r="N12" s="2268">
        <f>+'MCP ST'!L8</f>
        <v>12.378070038437249</v>
      </c>
      <c r="O12" s="2269">
        <f>+'MCP ST'!M8</f>
        <v>1737.7156964655849</v>
      </c>
      <c r="P12" s="2269"/>
      <c r="Q12" s="2269"/>
      <c r="R12" s="2268">
        <f>+'MCP ST'!N8</f>
        <v>1.0504291481486223</v>
      </c>
      <c r="S12" s="2268"/>
      <c r="T12" s="2268">
        <f>+'MCP ST'!O8</f>
        <v>1.9353536978901085</v>
      </c>
      <c r="U12" s="2268">
        <f>+'MCP ST'!P8</f>
        <v>6.6880553373642515E-2</v>
      </c>
      <c r="V12" s="2268">
        <f>+'MCP ST'!R8</f>
        <v>50.502314575070429</v>
      </c>
      <c r="W12" s="2268">
        <f>+'MCP ST'!Q8</f>
        <v>0.12388234476741199</v>
      </c>
      <c r="X12" s="2269">
        <f>+'Recalculos ST'!AL15</f>
        <v>191.5928335055963</v>
      </c>
      <c r="Y12" s="2268">
        <f>+'MCP ST'!T8</f>
        <v>35.663290764251407</v>
      </c>
      <c r="Z12" s="2268">
        <f>+'MCP ST'!U8</f>
        <v>84.591037351362203</v>
      </c>
      <c r="AA12" s="2268">
        <f>+'MCP ST'!V8</f>
        <v>66.144355264056699</v>
      </c>
      <c r="AB12" s="2267">
        <f>+'MCP ST'!W8</f>
        <v>57126.26797978273</v>
      </c>
      <c r="AC12" s="2267">
        <f>+'MCP ST'!X8</f>
        <v>0</v>
      </c>
      <c r="AD12" s="2267">
        <f>+'MCP ST'!Y8</f>
        <v>35895.671398318831</v>
      </c>
      <c r="AE12" s="2267">
        <f>+'MCP ST'!Z8</f>
        <v>57550.568335759097</v>
      </c>
      <c r="AF12" s="2267">
        <f>+'MCP ST'!AA8</f>
        <v>18200.595481198419</v>
      </c>
      <c r="AG12" s="2267">
        <f>+'MCP ST'!AB8</f>
        <v>177.695952230622</v>
      </c>
      <c r="AH12" s="2267">
        <f>+'MCP ST'!AC8</f>
        <v>1049.3239751590775</v>
      </c>
      <c r="AI12" s="2266">
        <f>+'MCP ST'!AS8</f>
        <v>0.74399207012954371</v>
      </c>
      <c r="AJ12" s="2265">
        <f>+'Recalculos ST'!P15</f>
        <v>99.356010196411177</v>
      </c>
      <c r="AK12" s="2265">
        <f t="shared" si="0"/>
        <v>99.356010196411177</v>
      </c>
      <c r="AL12" s="2265">
        <f t="shared" si="1"/>
        <v>3.9116539447405976</v>
      </c>
      <c r="AM12" s="2265">
        <f>+'MCP ST'!AU8</f>
        <v>0.65779088340401548</v>
      </c>
      <c r="AN12" s="3122"/>
    </row>
    <row r="13" spans="1:50" s="2264" customFormat="1" ht="12.75" customHeight="1">
      <c r="A13" s="2275">
        <f t="shared" si="2"/>
        <v>8</v>
      </c>
      <c r="B13" s="2274">
        <f>+'Recalculos ST'!BI16+$B$4</f>
        <v>22.685636281349066</v>
      </c>
      <c r="C13" s="3915">
        <f>+'Recalculos ST'!BA16+$C$4</f>
        <v>89.507920876634486</v>
      </c>
      <c r="D13" s="3160">
        <f>+'MCP ST'!D9*$D$4</f>
        <v>0.49383422810273897</v>
      </c>
      <c r="E13" s="2273">
        <f t="shared" si="3"/>
        <v>128.11667232381174</v>
      </c>
      <c r="F13" s="2267">
        <f>+'MCP ST'!B9</f>
        <v>190000.00000046202</v>
      </c>
      <c r="G13" s="2268">
        <f>+'MCP ST'!C9</f>
        <v>0.54123213509553181</v>
      </c>
      <c r="H13" s="2268">
        <f>+'MCP ST'!D9</f>
        <v>0.49383422810273897</v>
      </c>
      <c r="I13" s="2272">
        <f>+'MCP ST'!E9</f>
        <v>128.11667232381174</v>
      </c>
      <c r="J13" s="2268">
        <f>+'MCP ST'!F9</f>
        <v>2.1442443420408859E-2</v>
      </c>
      <c r="K13" s="2268">
        <f>+'MCP ST'!G9</f>
        <v>0.9649470719769726</v>
      </c>
      <c r="L13" s="2271">
        <f>+'MCP ST'!I9</f>
        <v>22.765597682584616</v>
      </c>
      <c r="M13" s="2270">
        <f>+'MCP ST'!J9</f>
        <v>88.467082655528174</v>
      </c>
      <c r="N13" s="2268">
        <f>+'MCP ST'!L9</f>
        <v>12.369380593357146</v>
      </c>
      <c r="O13" s="2269">
        <f>+'MCP ST'!M9</f>
        <v>1878.6984099413801</v>
      </c>
      <c r="P13" s="2269"/>
      <c r="Q13" s="2269"/>
      <c r="R13" s="2268">
        <f>+'MCP ST'!N9</f>
        <v>0.99779757594647722</v>
      </c>
      <c r="S13" s="2268"/>
      <c r="T13" s="2268">
        <f>+'MCP ST'!O9</f>
        <v>1.7874567893444711</v>
      </c>
      <c r="U13" s="2268">
        <f>+'MCP ST'!P9</f>
        <v>6.3843335645419927E-2</v>
      </c>
      <c r="V13" s="2268">
        <f>+'MCP ST'!R9</f>
        <v>57.800312080789894</v>
      </c>
      <c r="W13" s="2268">
        <f>+'MCP ST'!Q9</f>
        <v>0.13013901675013842</v>
      </c>
      <c r="X13" s="2269">
        <f>+'Recalculos ST'!AL16</f>
        <v>201.71474988047942</v>
      </c>
      <c r="Y13" s="2268">
        <f>+'MCP ST'!T9</f>
        <v>36.663946231963571</v>
      </c>
      <c r="Z13" s="2268">
        <f>+'MCP ST'!U9</f>
        <v>79.189086702551776</v>
      </c>
      <c r="AA13" s="2268">
        <f>+'MCP ST'!V9</f>
        <v>67.712256194736412</v>
      </c>
      <c r="AB13" s="2267">
        <f>+'MCP ST'!W9</f>
        <v>75386.394953302777</v>
      </c>
      <c r="AC13" s="2267">
        <f>+'MCP ST'!X9</f>
        <v>0</v>
      </c>
      <c r="AD13" s="2267">
        <f>+'MCP ST'!Y9</f>
        <v>37195.740392500622</v>
      </c>
      <c r="AE13" s="2267">
        <f>+'MCP ST'!Z9</f>
        <v>70321.530064527542</v>
      </c>
      <c r="AF13" s="2267">
        <f>+'MCP ST'!AA9</f>
        <v>5096.4381878156546</v>
      </c>
      <c r="AG13" s="2267">
        <f>+'MCP ST'!AB9</f>
        <v>177.695952230622</v>
      </c>
      <c r="AH13" s="2267">
        <f>+'MCP ST'!AC9</f>
        <v>1822.4657940123443</v>
      </c>
      <c r="AI13" s="2266">
        <f>+'MCP ST'!AS9</f>
        <v>0.77281331219560301</v>
      </c>
      <c r="AJ13" s="2265">
        <f>+'Recalculos ST'!P16</f>
        <v>100.73100797268711</v>
      </c>
      <c r="AK13" s="2265">
        <f t="shared" si="0"/>
        <v>100.73100797268711</v>
      </c>
      <c r="AL13" s="2265">
        <f t="shared" si="1"/>
        <v>3.9657877154601224</v>
      </c>
      <c r="AM13" s="2265">
        <f>+'MCP ST'!AU9</f>
        <v>0.59363814251854685</v>
      </c>
      <c r="AN13" s="3122"/>
    </row>
    <row r="14" spans="1:50" s="2264" customFormat="1" ht="12.75" customHeight="1">
      <c r="A14" s="2275">
        <f t="shared" si="2"/>
        <v>9</v>
      </c>
      <c r="B14" s="2274">
        <f>+'Recalculos ST'!BI17+$B$4</f>
        <v>22.370136588735768</v>
      </c>
      <c r="C14" s="2347">
        <f>+'Recalculos ST'!BA17+$C$4</f>
        <v>89.465286058888495</v>
      </c>
      <c r="D14" s="3160">
        <f>+'MCP ST'!D10*$D$4</f>
        <v>0.51530782874982706</v>
      </c>
      <c r="E14" s="2273">
        <f t="shared" si="3"/>
        <v>94.305091723084985</v>
      </c>
      <c r="F14" s="2267">
        <f>+'MCP ST'!B10</f>
        <v>170000.00000050824</v>
      </c>
      <c r="G14" s="2268">
        <f>+'MCP ST'!C10</f>
        <v>0.543044504219799</v>
      </c>
      <c r="H14" s="2268">
        <f>+'MCP ST'!D10</f>
        <v>0.51530782874982706</v>
      </c>
      <c r="I14" s="2272">
        <f>+'MCP ST'!E10</f>
        <v>94.305091723084985</v>
      </c>
      <c r="J14" s="2268">
        <f>+'MCP ST'!F10</f>
        <v>2.0593693322455819E-2</v>
      </c>
      <c r="K14" s="2268">
        <f>+'MCP ST'!G10</f>
        <v>0.96219887551412775</v>
      </c>
      <c r="L14" s="2271">
        <f>+'MCP ST'!I10</f>
        <v>22.177801430048742</v>
      </c>
      <c r="M14" s="2270">
        <f>+'MCP ST'!J10</f>
        <v>88.35865795208727</v>
      </c>
      <c r="N14" s="2268">
        <f>+'MCP ST'!L10</f>
        <v>12.424010059916426</v>
      </c>
      <c r="O14" s="2269">
        <f>+'MCP ST'!M10</f>
        <v>1906.0191226884535</v>
      </c>
      <c r="P14" s="2269"/>
      <c r="Q14" s="2269"/>
      <c r="R14" s="2268">
        <f>+'MCP ST'!N10</f>
        <v>1.1098543130026703</v>
      </c>
      <c r="S14" s="2268"/>
      <c r="T14" s="2268">
        <f>+'MCP ST'!O10</f>
        <v>1.8630856281645474</v>
      </c>
      <c r="U14" s="2268">
        <f>+'MCP ST'!P10</f>
        <v>5.5602722682740989E-2</v>
      </c>
      <c r="V14" s="2268">
        <f>+'MCP ST'!R10</f>
        <v>41.609581397084085</v>
      </c>
      <c r="W14" s="2268">
        <f>+'MCP ST'!Q10</f>
        <v>0.11344928056698639</v>
      </c>
      <c r="X14" s="2269">
        <f>+'Recalculos ST'!AL17</f>
        <v>216.8875066255527</v>
      </c>
      <c r="Y14" s="2268">
        <f>+'MCP ST'!T10</f>
        <v>36.764329766123417</v>
      </c>
      <c r="Z14" s="2268">
        <f>+'MCP ST'!U10</f>
        <v>78.183179710923724</v>
      </c>
      <c r="AA14" s="2268">
        <f>+'MCP ST'!V10</f>
        <v>63.994982914877895</v>
      </c>
      <c r="AB14" s="2267">
        <f>+'MCP ST'!W10</f>
        <v>76848.63392954311</v>
      </c>
      <c r="AC14" s="2267">
        <f>+'MCP ST'!X10</f>
        <v>0</v>
      </c>
      <c r="AD14" s="2267">
        <f>+'MCP ST'!Y10</f>
        <v>34078.316451073624</v>
      </c>
      <c r="AE14" s="2267">
        <f>+'MCP ST'!Z10</f>
        <v>55662.029686572518</v>
      </c>
      <c r="AF14" s="2267">
        <f>+'MCP ST'!AA10</f>
        <v>2184.2980325500107</v>
      </c>
      <c r="AG14" s="2267">
        <f>+'MCP ST'!AB10</f>
        <v>177.695952230622</v>
      </c>
      <c r="AH14" s="2267">
        <f>+'MCP ST'!AC10</f>
        <v>1049.3239751590775</v>
      </c>
      <c r="AI14" s="2266">
        <f>+'MCP ST'!AS10</f>
        <v>0.68244706792630627</v>
      </c>
      <c r="AJ14" s="2265">
        <f>+'Recalculos ST'!P17</f>
        <v>99.226991083218337</v>
      </c>
      <c r="AK14" s="2265">
        <f t="shared" si="0"/>
        <v>99.226991083218337</v>
      </c>
      <c r="AL14" s="2265">
        <f t="shared" si="1"/>
        <v>3.9065744520952101</v>
      </c>
      <c r="AM14" s="2265">
        <f>+'MCP ST'!AU10</f>
        <v>0.54177752151780878</v>
      </c>
      <c r="AN14" s="3122"/>
    </row>
    <row r="15" spans="1:50" s="2264" customFormat="1" ht="12.75" customHeight="1">
      <c r="A15" s="2275">
        <f t="shared" si="2"/>
        <v>10</v>
      </c>
      <c r="B15" s="2274">
        <f>+'Recalculos ST'!BI18+$B$4</f>
        <v>23.946767218343805</v>
      </c>
      <c r="C15" s="2347">
        <f>+'Recalculos ST'!BA18+$C$4</f>
        <v>90.430957181968168</v>
      </c>
      <c r="D15" s="3160">
        <f>+'MCP ST'!D11*$D$4</f>
        <v>0.55771537034815388</v>
      </c>
      <c r="E15" s="2273">
        <f t="shared" si="3"/>
        <v>182.04912233631345</v>
      </c>
      <c r="F15" s="2267">
        <f>+'MCP ST'!B11</f>
        <v>64238.95277386612</v>
      </c>
      <c r="G15" s="2268">
        <f>+'MCP ST'!C11</f>
        <v>0.62953214968051929</v>
      </c>
      <c r="H15" s="2268">
        <f>+'MCP ST'!D11</f>
        <v>0.55771537034815388</v>
      </c>
      <c r="I15" s="2272">
        <f>+'MCP ST'!E11</f>
        <v>182.04912233631345</v>
      </c>
      <c r="J15" s="2268">
        <f>+'MCP ST'!F11</f>
        <v>2.7082170800446004E-2</v>
      </c>
      <c r="K15" s="2268">
        <f>+'MCP ST'!G11</f>
        <v>1.0755533935657617</v>
      </c>
      <c r="L15" s="2271">
        <f>+'MCP ST'!I11</f>
        <v>24.512358395850693</v>
      </c>
      <c r="M15" s="2270">
        <f>+'MCP ST'!J11</f>
        <v>89.118894187834357</v>
      </c>
      <c r="N15" s="2268">
        <f>+'MCP ST'!L11</f>
        <v>12.408758841262589</v>
      </c>
      <c r="O15" s="2269">
        <f>+'MCP ST'!M11</f>
        <v>1370.9721626514327</v>
      </c>
      <c r="P15" s="2269"/>
      <c r="Q15" s="2269"/>
      <c r="R15" s="2268">
        <f>+'MCP ST'!N11</f>
        <v>1.2372100607778997</v>
      </c>
      <c r="S15" s="2268"/>
      <c r="T15" s="2268">
        <f>+'MCP ST'!O11</f>
        <v>1.4487392030526722</v>
      </c>
      <c r="U15" s="2268">
        <f>+'MCP ST'!P11</f>
        <v>0.12406361669749821</v>
      </c>
      <c r="V15" s="2268">
        <f>+'MCP ST'!R11</f>
        <v>33.827752555975259</v>
      </c>
      <c r="W15" s="2268">
        <f>+'MCP ST'!Q11</f>
        <v>5.3766498750743866E-2</v>
      </c>
      <c r="X15" s="2269">
        <f>+'Recalculos ST'!AL18</f>
        <v>164.26419359966692</v>
      </c>
      <c r="Y15" s="2268">
        <f>+'MCP ST'!T11</f>
        <v>36.139237251662863</v>
      </c>
      <c r="Z15" s="2268">
        <f>+'MCP ST'!U11</f>
        <v>83.526553939930821</v>
      </c>
      <c r="AA15" s="2268">
        <f>+'MCP ST'!V11</f>
        <v>75.198752095137451</v>
      </c>
      <c r="AB15" s="2267">
        <f>+'MCP ST'!W11</f>
        <v>18691.013328005574</v>
      </c>
      <c r="AC15" s="2267">
        <f>+'MCP ST'!X11</f>
        <v>0</v>
      </c>
      <c r="AD15" s="2267">
        <f>+'MCP ST'!Y11</f>
        <v>20180.592006641331</v>
      </c>
      <c r="AE15" s="2267">
        <f>+'MCP ST'!Z11</f>
        <v>24499.49585090228</v>
      </c>
      <c r="AF15" s="2267">
        <f>+'MCP ST'!AA11</f>
        <v>725.71216755273304</v>
      </c>
      <c r="AG15" s="2267">
        <f>+'MCP ST'!AB11</f>
        <v>142.15676178449741</v>
      </c>
      <c r="AH15" s="2267">
        <f>+'MCP ST'!AC11</f>
        <v>0</v>
      </c>
      <c r="AI15" s="2266">
        <f>+'MCP ST'!AS11</f>
        <v>1.1014409930802846</v>
      </c>
      <c r="AJ15" s="2265">
        <f>+'Recalculos ST'!P18</f>
        <v>109.35859929662269</v>
      </c>
      <c r="AK15" s="2265">
        <f t="shared" si="0"/>
        <v>109.35859929662269</v>
      </c>
      <c r="AL15" s="2265">
        <f t="shared" si="1"/>
        <v>4.3054566652213655</v>
      </c>
      <c r="AM15" s="2265">
        <f>+'MCP ST'!AU11</f>
        <v>0.72688958444696095</v>
      </c>
      <c r="AN15" s="3122"/>
    </row>
    <row r="16" spans="1:50" s="2264" customFormat="1" ht="12.75" customHeight="1">
      <c r="A16" s="2275">
        <f t="shared" si="2"/>
        <v>11</v>
      </c>
      <c r="B16" s="2274">
        <f>+'Recalculos ST'!BI19+$B$4</f>
        <v>25.346686511879629</v>
      </c>
      <c r="C16" s="3915">
        <f>+'Recalculos ST'!BA19+$C$4</f>
        <v>89.867717301530561</v>
      </c>
      <c r="D16" s="3160">
        <f>+'MCP ST'!D12*$D$4</f>
        <v>0.51805503431547117</v>
      </c>
      <c r="E16" s="2273">
        <f t="shared" si="3"/>
        <v>161.37866993395704</v>
      </c>
      <c r="F16" s="2267">
        <f>+'MCP ST'!B12</f>
        <v>150000.62475222696</v>
      </c>
      <c r="G16" s="2268">
        <f>+'MCP ST'!C12</f>
        <v>0.57292943022745324</v>
      </c>
      <c r="H16" s="2268">
        <f>+'MCP ST'!D12</f>
        <v>0.51805503431547117</v>
      </c>
      <c r="I16" s="2272">
        <f>+'MCP ST'!E12</f>
        <v>161.37866993395704</v>
      </c>
      <c r="J16" s="2268">
        <f>+'MCP ST'!F12</f>
        <v>2.3586110144671588E-2</v>
      </c>
      <c r="K16" s="2268">
        <f>+'MCP ST'!G12</f>
        <v>1.0158919324259585</v>
      </c>
      <c r="L16" s="2271">
        <f>+'MCP ST'!I12</f>
        <v>25.342167904509946</v>
      </c>
      <c r="M16" s="2270">
        <f>+'MCP ST'!J12</f>
        <v>88.89218809452268</v>
      </c>
      <c r="N16" s="2268">
        <f>+'MCP ST'!L12</f>
        <v>12.480891047546018</v>
      </c>
      <c r="O16" s="2269">
        <f>+'MCP ST'!M12</f>
        <v>1615.3387909104497</v>
      </c>
      <c r="P16" s="2269"/>
      <c r="Q16" s="2269"/>
      <c r="R16" s="2268">
        <f>+'MCP ST'!N12</f>
        <v>0.92169991530674766</v>
      </c>
      <c r="S16" s="2268"/>
      <c r="T16" s="2268">
        <f>+'MCP ST'!O12</f>
        <v>1.3210127023542937</v>
      </c>
      <c r="U16" s="2268">
        <f>+'MCP ST'!P12</f>
        <v>0.12518822326317175</v>
      </c>
      <c r="V16" s="2268">
        <f>+'MCP ST'!R12</f>
        <v>28.347256174127001</v>
      </c>
      <c r="W16" s="2268">
        <f>+'MCP ST'!Q12</f>
        <v>0.14008194821346656</v>
      </c>
      <c r="X16" s="2269">
        <f>+'Recalculos ST'!AL19</f>
        <v>191.46194013153175</v>
      </c>
      <c r="Y16" s="2268">
        <f>+'MCP ST'!T12</f>
        <v>37.994256084481933</v>
      </c>
      <c r="Z16" s="2268">
        <f>+'MCP ST'!U12</f>
        <v>77.781459679856781</v>
      </c>
      <c r="AA16" s="2268">
        <f>+'MCP ST'!V12</f>
        <v>67.947687366999389</v>
      </c>
      <c r="AB16" s="2267">
        <f>+'MCP ST'!W12</f>
        <v>71782.521454043657</v>
      </c>
      <c r="AC16" s="2267">
        <f>+'MCP ST'!X12</f>
        <v>0</v>
      </c>
      <c r="AD16" s="2267">
        <f>+'MCP ST'!Y12</f>
        <v>8025.3974374482032</v>
      </c>
      <c r="AE16" s="2267">
        <f>+'MCP ST'!Z12</f>
        <v>69355.458704378849</v>
      </c>
      <c r="AF16" s="2267">
        <f>+'MCP ST'!AA12</f>
        <v>410.09995872352317</v>
      </c>
      <c r="AG16" s="2267">
        <f>+'MCP ST'!AB12</f>
        <v>43.57038277189077</v>
      </c>
      <c r="AH16" s="2267">
        <f>+'MCP ST'!AC12</f>
        <v>383.26645839300141</v>
      </c>
      <c r="AI16" s="2266">
        <f>+'MCP ST'!AS12</f>
        <v>1.0366254567356363</v>
      </c>
      <c r="AJ16" s="2265">
        <f>+'Recalculos ST'!P19</f>
        <v>101.2983448694447</v>
      </c>
      <c r="AK16" s="2265">
        <f t="shared" si="0"/>
        <v>101.2983448694447</v>
      </c>
      <c r="AL16" s="2265">
        <f t="shared" si="1"/>
        <v>3.9881238137576656</v>
      </c>
      <c r="AM16" s="2265">
        <f>+'MCP ST'!AU12</f>
        <v>0.51889575563131651</v>
      </c>
      <c r="AN16" s="3122"/>
    </row>
    <row r="17" spans="1:40" s="2264" customFormat="1" ht="12.75" customHeight="1">
      <c r="A17" s="2275">
        <f t="shared" si="2"/>
        <v>12</v>
      </c>
      <c r="B17" s="2274">
        <f>+'Recalculos ST'!BI20+$B$4</f>
        <v>25.079636186181251</v>
      </c>
      <c r="C17" s="3915">
        <f>+'Recalculos ST'!BA20+$C$4</f>
        <v>89.424533892205758</v>
      </c>
      <c r="D17" s="3160">
        <f>+'MCP ST'!D13*$D$4</f>
        <v>0.46221007725168212</v>
      </c>
      <c r="E17" s="2273">
        <f t="shared" si="3"/>
        <v>108.51402882704599</v>
      </c>
      <c r="F17" s="2267">
        <f>+'MCP ST'!B13</f>
        <v>220000.61924611669</v>
      </c>
      <c r="G17" s="2268">
        <f>+'MCP ST'!C13</f>
        <v>0.48777442119269787</v>
      </c>
      <c r="H17" s="2268">
        <f>+'MCP ST'!D13</f>
        <v>0.46221007725168212</v>
      </c>
      <c r="I17" s="2272">
        <f>+'MCP ST'!E13</f>
        <v>108.51402882704599</v>
      </c>
      <c r="J17" s="2268">
        <f>+'MCP ST'!F13</f>
        <v>2.3310974351147543E-2</v>
      </c>
      <c r="K17" s="2268">
        <f>+'MCP ST'!G13</f>
        <v>0.96284697172708089</v>
      </c>
      <c r="L17" s="2271">
        <f>+'MCP ST'!I13</f>
        <v>25.013643155044935</v>
      </c>
      <c r="M17" s="2270">
        <f>+'MCP ST'!J13</f>
        <v>88.388494031114348</v>
      </c>
      <c r="N17" s="2268">
        <f>+'MCP ST'!L13</f>
        <v>12.509212018702772</v>
      </c>
      <c r="O17" s="2269">
        <f>+'MCP ST'!M13</f>
        <v>1784.6533405925759</v>
      </c>
      <c r="P17" s="2269"/>
      <c r="Q17" s="2269"/>
      <c r="R17" s="2268">
        <f>+'MCP ST'!N13</f>
        <v>0.73923559470345546</v>
      </c>
      <c r="S17" s="2268"/>
      <c r="T17" s="2268">
        <f>+'MCP ST'!O13</f>
        <v>1.3705008806916195</v>
      </c>
      <c r="U17" s="2268">
        <f>+'MCP ST'!P13</f>
        <v>8.2485672991675307E-2</v>
      </c>
      <c r="V17" s="2268">
        <f>+'MCP ST'!R13</f>
        <v>19.822486450107309</v>
      </c>
      <c r="W17" s="2268">
        <f>+'MCP ST'!Q13</f>
        <v>0.18501782620026871</v>
      </c>
      <c r="X17" s="2269">
        <f>+'Recalculos ST'!AL20</f>
        <v>215.92182211743483</v>
      </c>
      <c r="Y17" s="2268">
        <f>+'MCP ST'!T13</f>
        <v>38.949408800978375</v>
      </c>
      <c r="Z17" s="2268">
        <f>+'MCP ST'!U13</f>
        <v>75.506167073650488</v>
      </c>
      <c r="AA17" s="2268">
        <f>+'MCP ST'!V13</f>
        <v>61.77905381452085</v>
      </c>
      <c r="AB17" s="2267">
        <f>+'MCP ST'!W13</f>
        <v>138921.72057123447</v>
      </c>
      <c r="AC17" s="2267">
        <f>+'MCP ST'!X13</f>
        <v>0</v>
      </c>
      <c r="AD17" s="2267">
        <f>+'MCP ST'!Y13</f>
        <v>0.61925517812963404</v>
      </c>
      <c r="AE17" s="2267">
        <f>+'MCP ST'!Z13</f>
        <v>78498.948968815384</v>
      </c>
      <c r="AF17" s="2267">
        <f>+'MCP ST'!AA13</f>
        <v>0</v>
      </c>
      <c r="AG17" s="2267">
        <f>+'MCP ST'!AB13</f>
        <v>0</v>
      </c>
      <c r="AH17" s="2267">
        <f>+'MCP ST'!AC13</f>
        <v>2579.0398396485771</v>
      </c>
      <c r="AI17" s="2266">
        <f>+'MCP ST'!AS13</f>
        <v>0.75434669317733383</v>
      </c>
      <c r="AJ17" s="2265">
        <f>+'Recalculos ST'!P20</f>
        <v>98.6239733807097</v>
      </c>
      <c r="AK17" s="2265">
        <f t="shared" si="0"/>
        <v>98.6239733807097</v>
      </c>
      <c r="AL17" s="2265">
        <f t="shared" si="1"/>
        <v>3.8828335976657362</v>
      </c>
      <c r="AM17" s="2265">
        <f>+'MCP ST'!AU13</f>
        <v>0.35681568619052056</v>
      </c>
      <c r="AN17" s="3122"/>
    </row>
    <row r="18" spans="1:40" s="2264" customFormat="1" ht="12.75" customHeight="1">
      <c r="A18" s="2275">
        <f t="shared" si="2"/>
        <v>13</v>
      </c>
      <c r="B18" s="2274">
        <f>+'Recalculos ST'!BI21+$B$4</f>
        <v>27.48949315042346</v>
      </c>
      <c r="C18" s="3915">
        <f>+'Recalculos ST'!BA21+$C$4</f>
        <v>89.618075972381988</v>
      </c>
      <c r="D18" s="3160">
        <f>+'MCP ST'!D14*$D$4</f>
        <v>0.50894157569520238</v>
      </c>
      <c r="E18" s="2273">
        <f t="shared" si="3"/>
        <v>149.61943491805948</v>
      </c>
      <c r="F18" s="2267">
        <f>+'MCP ST'!B14</f>
        <v>220000.5090867368</v>
      </c>
      <c r="G18" s="2268">
        <f>+'MCP ST'!C14</f>
        <v>0.56334222885968721</v>
      </c>
      <c r="H18" s="2268">
        <f>+'MCP ST'!D14</f>
        <v>0.50894157569520238</v>
      </c>
      <c r="I18" s="2272">
        <f>+'MCP ST'!E14</f>
        <v>149.61943491805948</v>
      </c>
      <c r="J18" s="2268">
        <f>+'MCP ST'!F14</f>
        <v>3.5849377473126422E-2</v>
      </c>
      <c r="K18" s="2268">
        <f>+'MCP ST'!G14</f>
        <v>1.2618848340546593</v>
      </c>
      <c r="L18" s="2271">
        <f>+'MCP ST'!I14</f>
        <v>27.182734194632442</v>
      </c>
      <c r="M18" s="2270">
        <f>+'MCP ST'!J14</f>
        <v>88.390645502879778</v>
      </c>
      <c r="N18" s="2268">
        <f>+'MCP ST'!L14</f>
        <v>12.366531344329239</v>
      </c>
      <c r="O18" s="2269">
        <f>+'MCP ST'!M14</f>
        <v>1602.8563300088877</v>
      </c>
      <c r="P18" s="2269"/>
      <c r="Q18" s="2269"/>
      <c r="R18" s="2268">
        <f>+'MCP ST'!N14</f>
        <v>0.75093683870643724</v>
      </c>
      <c r="S18" s="2268"/>
      <c r="T18" s="2268">
        <f>+'MCP ST'!O14</f>
        <v>1.0507190625720064</v>
      </c>
      <c r="U18" s="2268">
        <f>+'MCP ST'!P14</f>
        <v>0.16164012894286295</v>
      </c>
      <c r="V18" s="2268">
        <f>+'MCP ST'!R14</f>
        <v>33.625401102141829</v>
      </c>
      <c r="W18" s="2268">
        <f>+'MCP ST'!Q14</f>
        <v>0.17687129186245398</v>
      </c>
      <c r="X18" s="2269">
        <f>+'Recalculos ST'!AL21</f>
        <v>205.08940006141259</v>
      </c>
      <c r="Y18" s="2268">
        <f>+'MCP ST'!T14</f>
        <v>38.471143749007744</v>
      </c>
      <c r="Z18" s="2268">
        <f>+'MCP ST'!U14</f>
        <v>76.405114127682992</v>
      </c>
      <c r="AA18" s="2268">
        <f>+'MCP ST'!V14</f>
        <v>67.780225087270651</v>
      </c>
      <c r="AB18" s="2267">
        <f>+'MCP ST'!W14</f>
        <v>111871.77604305846</v>
      </c>
      <c r="AC18" s="2267">
        <f>+'MCP ST'!X14</f>
        <v>0</v>
      </c>
      <c r="AD18" s="2267">
        <f>+'MCP ST'!Y14</f>
        <v>0.47124125647730702</v>
      </c>
      <c r="AE18" s="2267">
        <f>+'MCP ST'!Z14</f>
        <v>107790.96045255807</v>
      </c>
      <c r="AF18" s="2267">
        <f>+'MCP ST'!AA14</f>
        <v>3.7122269500511597E-2</v>
      </c>
      <c r="AG18" s="2267">
        <f>+'MCP ST'!AB14</f>
        <v>0</v>
      </c>
      <c r="AH18" s="2267">
        <f>+'MCP ST'!AC14</f>
        <v>337.20960091182519</v>
      </c>
      <c r="AI18" s="2266">
        <f>+'MCP ST'!AS14</f>
        <v>1.003785842978322</v>
      </c>
      <c r="AJ18" s="2265">
        <f>+'Recalculos ST'!P21</f>
        <v>101.33222961488948</v>
      </c>
      <c r="AK18" s="2265">
        <f t="shared" si="0"/>
        <v>101.33222961488948</v>
      </c>
      <c r="AL18" s="2265">
        <f t="shared" si="1"/>
        <v>3.9894578588539171</v>
      </c>
      <c r="AM18" s="2265">
        <f>+'MCP ST'!AU14</f>
        <v>0.48996020976700227</v>
      </c>
      <c r="AN18" s="3122"/>
    </row>
    <row r="19" spans="1:40" s="2264" customFormat="1" ht="12.75" customHeight="1">
      <c r="A19" s="2275">
        <f t="shared" si="2"/>
        <v>14</v>
      </c>
      <c r="B19" s="2274">
        <f>+'Recalculos ST'!BI22+$B$4</f>
        <v>29.815510333934824</v>
      </c>
      <c r="C19" s="3915">
        <f>+'Recalculos ST'!BA22+$C$4</f>
        <v>90.761989942980776</v>
      </c>
      <c r="D19" s="3160">
        <f>+'MCP ST'!D15*$D$4</f>
        <v>0.48919387585138341</v>
      </c>
      <c r="E19" s="2273">
        <f t="shared" si="3"/>
        <v>213.14420892543211</v>
      </c>
      <c r="F19" s="2267">
        <f>+'MCP ST'!B15</f>
        <v>165088.43244626594</v>
      </c>
      <c r="G19" s="2268">
        <f>+'MCP ST'!C15</f>
        <v>0.5692875166493111</v>
      </c>
      <c r="H19" s="2268">
        <f>+'MCP ST'!D15</f>
        <v>0.48919387585138341</v>
      </c>
      <c r="I19" s="2272">
        <f>+'MCP ST'!E15</f>
        <v>213.14420892543211</v>
      </c>
      <c r="J19" s="2268">
        <f>+'MCP ST'!F15</f>
        <v>5.3884202316277829E-2</v>
      </c>
      <c r="K19" s="2268">
        <f>+'MCP ST'!G15</f>
        <v>1.755096225188721</v>
      </c>
      <c r="L19" s="2271">
        <f>+'MCP ST'!I15</f>
        <v>29.671012472800037</v>
      </c>
      <c r="M19" s="2270">
        <f>+'MCP ST'!J15</f>
        <v>89.566140800557761</v>
      </c>
      <c r="N19" s="2268">
        <f>+'MCP ST'!L15</f>
        <v>12.331340137479614</v>
      </c>
      <c r="O19" s="2269">
        <f>+'MCP ST'!M15</f>
        <v>394.99899599095124</v>
      </c>
      <c r="P19" s="2269"/>
      <c r="Q19" s="2269"/>
      <c r="R19" s="2268">
        <f>+'MCP ST'!N15</f>
        <v>0.82763532769129544</v>
      </c>
      <c r="S19" s="2268"/>
      <c r="T19" s="2268">
        <f>+'MCP ST'!O15</f>
        <v>0.39899852399275088</v>
      </c>
      <c r="U19" s="2268">
        <f>+'MCP ST'!P15</f>
        <v>0.26230470866011468</v>
      </c>
      <c r="V19" s="2268">
        <f>+'MCP ST'!R15</f>
        <v>27.759645092424382</v>
      </c>
      <c r="W19" s="2268">
        <f>+'MCP ST'!Q15</f>
        <v>3.5303701984262109E-2</v>
      </c>
      <c r="X19" s="2269">
        <f>+'Recalculos ST'!AL22</f>
        <v>183.57737989417251</v>
      </c>
      <c r="Y19" s="2268">
        <f>+'MCP ST'!T15</f>
        <v>37.239356535075302</v>
      </c>
      <c r="Z19" s="2268">
        <f>+'MCP ST'!U15</f>
        <v>76.255230939996167</v>
      </c>
      <c r="AA19" s="2268">
        <f>+'MCP ST'!V15</f>
        <v>91.63921598331099</v>
      </c>
      <c r="AB19" s="2267">
        <f>+'MCP ST'!W15</f>
        <v>19180.770076675442</v>
      </c>
      <c r="AC19" s="2267">
        <f>+'MCP ST'!X15</f>
        <v>375</v>
      </c>
      <c r="AD19" s="2267">
        <f>+'MCP ST'!Y15</f>
        <v>5384.9970268095167</v>
      </c>
      <c r="AE19" s="2267">
        <f>+'MCP ST'!Z15</f>
        <v>136617.41513462775</v>
      </c>
      <c r="AF19" s="2267">
        <f>+'MCP ST'!AA15</f>
        <v>206.64565068087992</v>
      </c>
      <c r="AG19" s="2267">
        <f>+'MCP ST'!AB15</f>
        <v>0</v>
      </c>
      <c r="AH19" s="2267">
        <f>+'MCP ST'!AC15</f>
        <v>823.43561005028073</v>
      </c>
      <c r="AI19" s="2266">
        <f>+'MCP ST'!AS15</f>
        <v>1.7379426220237728</v>
      </c>
      <c r="AJ19" s="2265">
        <f>+'Recalculos ST'!P22</f>
        <v>109.80346341114233</v>
      </c>
      <c r="AK19" s="2265">
        <f t="shared" si="0"/>
        <v>109.80346341114233</v>
      </c>
      <c r="AL19" s="2265">
        <f t="shared" si="1"/>
        <v>4.3229710004386748</v>
      </c>
      <c r="AM19" s="2265">
        <f>+'MCP ST'!AU15</f>
        <v>0.87465758445184072</v>
      </c>
      <c r="AN19" s="3122"/>
    </row>
    <row r="20" spans="1:40" s="2264" customFormat="1" ht="12.75" customHeight="1">
      <c r="A20" s="2275">
        <f t="shared" si="2"/>
        <v>15</v>
      </c>
      <c r="B20" s="2274">
        <f>+'Recalculos ST'!BI23+$B$4</f>
        <v>30.189318413634609</v>
      </c>
      <c r="C20" s="3915">
        <f>+'Recalculos ST'!BA23+$C$4</f>
        <v>90.760266518740806</v>
      </c>
      <c r="D20" s="3160">
        <f>+'MCP ST'!D16*$D$4</f>
        <v>0.49273891077590615</v>
      </c>
      <c r="E20" s="2273">
        <f t="shared" si="3"/>
        <v>275.79728692083603</v>
      </c>
      <c r="F20" s="2267">
        <f>+'MCP ST'!B16</f>
        <v>197270.98487997908</v>
      </c>
      <c r="G20" s="2268">
        <f>+'MCP ST'!C16</f>
        <v>0.6107484401800688</v>
      </c>
      <c r="H20" s="2268">
        <f>+'MCP ST'!D16</f>
        <v>0.49273891077590615</v>
      </c>
      <c r="I20" s="2272">
        <f>+'MCP ST'!E16</f>
        <v>275.79728692083603</v>
      </c>
      <c r="J20" s="2268">
        <f>+'MCP ST'!F16</f>
        <v>4.9628781934450535E-2</v>
      </c>
      <c r="K20" s="2268">
        <f>+'MCP ST'!G16</f>
        <v>1.6924248039137588</v>
      </c>
      <c r="L20" s="2271">
        <f>+'MCP ST'!I16</f>
        <v>29.11477817082487</v>
      </c>
      <c r="M20" s="2270">
        <f>+'MCP ST'!J16</f>
        <v>89.445791505060242</v>
      </c>
      <c r="N20" s="2268">
        <f>+'MCP ST'!L16</f>
        <v>12.348748642831099</v>
      </c>
      <c r="O20" s="2269">
        <f>+'MCP ST'!M16</f>
        <v>424.53943588444901</v>
      </c>
      <c r="P20" s="2269"/>
      <c r="Q20" s="2269"/>
      <c r="R20" s="2268">
        <f>+'MCP ST'!N16</f>
        <v>0.82406664911187855</v>
      </c>
      <c r="S20" s="2268"/>
      <c r="T20" s="2268">
        <f>+'MCP ST'!O16</f>
        <v>0.34299343583560676</v>
      </c>
      <c r="U20" s="2268">
        <f>+'MCP ST'!P16</f>
        <v>0.28509025589638887</v>
      </c>
      <c r="V20" s="2268">
        <f>+'MCP ST'!R16</f>
        <v>14.817580029148322</v>
      </c>
      <c r="W20" s="2268">
        <f>+'MCP ST'!Q16</f>
        <v>1.9528436884085405E-2</v>
      </c>
      <c r="X20" s="2269">
        <f>+'Recalculos ST'!AL23</f>
        <v>180.5659090647373</v>
      </c>
      <c r="Y20" s="2268">
        <f>+'MCP ST'!T16</f>
        <v>36.932517110142435</v>
      </c>
      <c r="Z20" s="2268">
        <f>+'MCP ST'!U16</f>
        <v>75.41140175835389</v>
      </c>
      <c r="AA20" s="2268">
        <f>+'MCP ST'!V16</f>
        <v>94.975831011478306</v>
      </c>
      <c r="AB20" s="2267">
        <f>+'MCP ST'!W16</f>
        <v>15320.931436266072</v>
      </c>
      <c r="AC20" s="2267">
        <f>+'MCP ST'!X16</f>
        <v>0</v>
      </c>
      <c r="AD20" s="2267">
        <f>+'MCP ST'!Y16</f>
        <v>7833.8543473584105</v>
      </c>
      <c r="AE20" s="2267">
        <f>+'MCP ST'!Z16</f>
        <v>171860.46689341546</v>
      </c>
      <c r="AF20" s="2267">
        <f>+'MCP ST'!AA16</f>
        <v>405.79336641305099</v>
      </c>
      <c r="AG20" s="2267">
        <f>+'MCP ST'!AB16</f>
        <v>0</v>
      </c>
      <c r="AH20" s="2267">
        <f>+'MCP ST'!AC16</f>
        <v>1849.9564453398516</v>
      </c>
      <c r="AI20" s="2266">
        <f>+'MCP ST'!AS16</f>
        <v>1.8639079317247422</v>
      </c>
      <c r="AJ20" s="2265">
        <f>+'Recalculos ST'!P23</f>
        <v>110.83157967357825</v>
      </c>
      <c r="AK20" s="2265">
        <f t="shared" si="0"/>
        <v>110.83157967357825</v>
      </c>
      <c r="AL20" s="2265">
        <f t="shared" si="1"/>
        <v>4.3634480186448128</v>
      </c>
      <c r="AM20" s="2265">
        <f>+'MCP ST'!AU16</f>
        <v>0.91295787183632615</v>
      </c>
      <c r="AN20" s="3122"/>
    </row>
    <row r="21" spans="1:40" s="2264" customFormat="1" ht="12.75" customHeight="1">
      <c r="A21" s="2275">
        <f t="shared" si="2"/>
        <v>16</v>
      </c>
      <c r="B21" s="2274">
        <f>+'Recalculos ST'!BI24+$B$4</f>
        <v>28.488910364507881</v>
      </c>
      <c r="C21" s="3915">
        <f>+'Recalculos ST'!BA24+$C$4</f>
        <v>91.764641420674238</v>
      </c>
      <c r="D21" s="3160">
        <f>+'MCP ST'!D17*$D$4</f>
        <v>0.54811213262379888</v>
      </c>
      <c r="E21" s="2273">
        <f t="shared" si="3"/>
        <v>167.73400802713974</v>
      </c>
      <c r="F21" s="2267">
        <f>+'MCP ST'!B17</f>
        <v>219999.99999989281</v>
      </c>
      <c r="G21" s="2268">
        <f>+'MCP ST'!C17</f>
        <v>0.61049230751624339</v>
      </c>
      <c r="H21" s="2268">
        <f>+'MCP ST'!D17</f>
        <v>0.54811213262379888</v>
      </c>
      <c r="I21" s="2272">
        <f>+'MCP ST'!E17</f>
        <v>167.73400802713974</v>
      </c>
      <c r="J21" s="2268">
        <f>+'MCP ST'!F17</f>
        <v>4.663619066862118E-2</v>
      </c>
      <c r="K21" s="2268">
        <f>+'MCP ST'!G17</f>
        <v>1.4709506745911181</v>
      </c>
      <c r="L21" s="2271">
        <f>+'MCP ST'!I17</f>
        <v>28.539442685189996</v>
      </c>
      <c r="M21" s="2270">
        <f>+'MCP ST'!J17</f>
        <v>90.531767488318224</v>
      </c>
      <c r="N21" s="2268">
        <f>+'MCP ST'!L17</f>
        <v>12.450060294196971</v>
      </c>
      <c r="O21" s="2269">
        <f>+'MCP ST'!M17</f>
        <v>326.90632207814406</v>
      </c>
      <c r="P21" s="2269"/>
      <c r="Q21" s="2269"/>
      <c r="R21" s="2268">
        <f>+'MCP ST'!N17</f>
        <v>1.084128883981567</v>
      </c>
      <c r="S21" s="2268"/>
      <c r="T21" s="2268">
        <f>+'MCP ST'!O17</f>
        <v>0.48518416266208519</v>
      </c>
      <c r="U21" s="2268">
        <f>+'MCP ST'!P17</f>
        <v>0.2489104900906301</v>
      </c>
      <c r="V21" s="2268">
        <f>+'MCP ST'!R17</f>
        <v>18.341810177800259</v>
      </c>
      <c r="W21" s="2268">
        <f>+'MCP ST'!Q17</f>
        <v>4.7536038084995047E-3</v>
      </c>
      <c r="X21" s="2269">
        <f>+'Recalculos ST'!AL24</f>
        <v>181.20632525165342</v>
      </c>
      <c r="Y21" s="2268">
        <f>+'MCP ST'!T17</f>
        <v>35.57410957317115</v>
      </c>
      <c r="Z21" s="2268">
        <f>+'MCP ST'!U17</f>
        <v>83.079698705534952</v>
      </c>
      <c r="AA21" s="2268">
        <f>+'MCP ST'!V17</f>
        <v>93.342832551410524</v>
      </c>
      <c r="AB21" s="2267">
        <f>+'MCP ST'!W17</f>
        <v>4532.0029003025784</v>
      </c>
      <c r="AC21" s="2267">
        <f>+'MCP ST'!X17</f>
        <v>0</v>
      </c>
      <c r="AD21" s="2267">
        <f>+'MCP ST'!Y17</f>
        <v>30858.036052022977</v>
      </c>
      <c r="AE21" s="2267">
        <f>+'MCP ST'!Z17</f>
        <v>174688.85828186446</v>
      </c>
      <c r="AF21" s="2267">
        <f>+'MCP ST'!AA17</f>
        <v>9324.1379951080798</v>
      </c>
      <c r="AG21" s="2267">
        <f>+'MCP ST'!AB17</f>
        <v>214.20198276915937</v>
      </c>
      <c r="AH21" s="2267">
        <f>+'MCP ST'!AC17</f>
        <v>383.26645839300141</v>
      </c>
      <c r="AI21" s="2266">
        <f>+'MCP ST'!AS17</f>
        <v>1.6917707748291084</v>
      </c>
      <c r="AJ21" s="2265">
        <f>+'Recalculos ST'!P24</f>
        <v>109.84894242654964</v>
      </c>
      <c r="AK21" s="2265">
        <f t="shared" si="0"/>
        <v>109.84894242654964</v>
      </c>
      <c r="AL21" s="2265">
        <f t="shared" si="1"/>
        <v>4.3247615128562851</v>
      </c>
      <c r="AM21" s="2265">
        <f>+'MCP ST'!AU17</f>
        <v>0.97765791770159682</v>
      </c>
      <c r="AN21" s="3122"/>
    </row>
    <row r="22" spans="1:40" s="2264" customFormat="1" ht="12.65" customHeight="1">
      <c r="A22" s="2275">
        <f t="shared" si="2"/>
        <v>17</v>
      </c>
      <c r="B22" s="2274">
        <f>+'Recalculos ST'!BI25+$B$4</f>
        <v>27.911463669552148</v>
      </c>
      <c r="C22" s="3915">
        <f>+'Recalculos ST'!BA25+$C$4</f>
        <v>90.697314111280107</v>
      </c>
      <c r="D22" s="3160">
        <f>+'MCP ST'!D18*$D$4</f>
        <v>0.54513115631698694</v>
      </c>
      <c r="E22" s="2273">
        <f t="shared" si="3"/>
        <v>210.71505553652881</v>
      </c>
      <c r="F22" s="2267">
        <f>+'MCP ST'!B18</f>
        <v>220000.00000003117</v>
      </c>
      <c r="G22" s="2268">
        <f>+'MCP ST'!C18</f>
        <v>0.6292731082211257</v>
      </c>
      <c r="H22" s="2268">
        <f>+'MCP ST'!D18</f>
        <v>0.54513115631698694</v>
      </c>
      <c r="I22" s="2272">
        <f>+'MCP ST'!E18</f>
        <v>210.71505553652881</v>
      </c>
      <c r="J22" s="2268">
        <f>+'MCP ST'!F18</f>
        <v>5.5605693373704385E-2</v>
      </c>
      <c r="K22" s="2268">
        <f>+'MCP ST'!G18</f>
        <v>1.5515431351514475</v>
      </c>
      <c r="L22" s="2271">
        <f>+'MCP ST'!I18</f>
        <v>27.115624560354838</v>
      </c>
      <c r="M22" s="2270">
        <f>+'MCP ST'!J18</f>
        <v>89.687907884934219</v>
      </c>
      <c r="N22" s="2268">
        <f>+'MCP ST'!L18</f>
        <v>12.597114029768719</v>
      </c>
      <c r="O22" s="2269">
        <f>+'MCP ST'!M18</f>
        <v>318.21050574073803</v>
      </c>
      <c r="P22" s="2269"/>
      <c r="Q22" s="2269"/>
      <c r="R22" s="2268">
        <f>+'MCP ST'!N18</f>
        <v>1.0492616550432241</v>
      </c>
      <c r="S22" s="2268"/>
      <c r="T22" s="2268">
        <f>+'MCP ST'!O18</f>
        <v>0.63347038259857535</v>
      </c>
      <c r="U22" s="2268">
        <f>+'MCP ST'!P18</f>
        <v>0.26449959399620454</v>
      </c>
      <c r="V22" s="2268">
        <f>+'MCP ST'!R18</f>
        <v>21.341985226593096</v>
      </c>
      <c r="W22" s="2268">
        <f>+'MCP ST'!Q18</f>
        <v>4.3079644682747845E-3</v>
      </c>
      <c r="X22" s="2269">
        <f>+'Recalculos ST'!AL25</f>
        <v>196.6570862526678</v>
      </c>
      <c r="Y22" s="2268">
        <f>+'MCP ST'!T18</f>
        <v>37.024870781020738</v>
      </c>
      <c r="Z22" s="2268">
        <f>+'MCP ST'!U18</f>
        <v>82.326007877143553</v>
      </c>
      <c r="AA22" s="2268">
        <f>+'MCP ST'!V18</f>
        <v>93.683253716619816</v>
      </c>
      <c r="AB22" s="2267">
        <f>+'MCP ST'!W18</f>
        <v>4073.0367513206338</v>
      </c>
      <c r="AC22" s="2267">
        <f>+'MCP ST'!X18</f>
        <v>0</v>
      </c>
      <c r="AD22" s="2267">
        <f>+'MCP ST'!Y18</f>
        <v>48771.638327867666</v>
      </c>
      <c r="AE22" s="2267">
        <f>+'MCP ST'!Z18</f>
        <v>155050.03797511404</v>
      </c>
      <c r="AF22" s="2267">
        <f>+'MCP ST'!AA18</f>
        <v>11594.265061986745</v>
      </c>
      <c r="AG22" s="2267">
        <f>+'MCP ST'!AB18</f>
        <v>128.28819223266152</v>
      </c>
      <c r="AH22" s="2267">
        <f>+'MCP ST'!AC18</f>
        <v>383.26645839300141</v>
      </c>
      <c r="AI22" s="2266">
        <f>+'MCP ST'!AS18</f>
        <v>1.5524428163127619</v>
      </c>
      <c r="AJ22" s="2265">
        <f>+'Recalculos ST'!P25</f>
        <v>109.2015458572762</v>
      </c>
      <c r="AK22" s="2265">
        <f t="shared" si="0"/>
        <v>109.2015458572762</v>
      </c>
      <c r="AL22" s="2265">
        <f t="shared" si="1"/>
        <v>4.2992734589478818</v>
      </c>
      <c r="AM22" s="2265">
        <f>+'MCP ST'!AU18</f>
        <v>0.97974412537248279</v>
      </c>
      <c r="AN22" s="3122"/>
    </row>
    <row r="23" spans="1:40" s="2264" customFormat="1" ht="12.75" customHeight="1">
      <c r="A23" s="2275">
        <f t="shared" si="2"/>
        <v>18</v>
      </c>
      <c r="B23" s="2274">
        <f>+'Recalculos ST'!BI26+$B$4</f>
        <v>27.392396331005557</v>
      </c>
      <c r="C23" s="3915">
        <f>+'Recalculos ST'!BA26+$C$4</f>
        <v>90.926839648250052</v>
      </c>
      <c r="D23" s="3160">
        <f>+'MCP ST'!D19*$D$4</f>
        <v>0.56886214340434216</v>
      </c>
      <c r="E23" s="2273">
        <f t="shared" si="3"/>
        <v>215.69511239515333</v>
      </c>
      <c r="F23" s="2267">
        <f>+'MCP ST'!B19</f>
        <v>184999.99999976202</v>
      </c>
      <c r="G23" s="2268">
        <f>+'MCP ST'!C19</f>
        <v>0.62228417620317056</v>
      </c>
      <c r="H23" s="2268">
        <f>+'MCP ST'!D19</f>
        <v>0.56886214340434216</v>
      </c>
      <c r="I23" s="2272">
        <f>+'MCP ST'!E19</f>
        <v>215.69511239515333</v>
      </c>
      <c r="J23" s="2268">
        <f>+'MCP ST'!F19</f>
        <v>4.1455626305146452E-2</v>
      </c>
      <c r="K23" s="2268">
        <f>+'MCP ST'!G19</f>
        <v>1.2651778946604433</v>
      </c>
      <c r="L23" s="2271">
        <f>+'MCP ST'!I19</f>
        <v>27.219775987773108</v>
      </c>
      <c r="M23" s="2270">
        <f>+'MCP ST'!J19</f>
        <v>89.820041289395149</v>
      </c>
      <c r="N23" s="2268">
        <f>+'MCP ST'!L19</f>
        <v>12.482712152368032</v>
      </c>
      <c r="O23" s="2269">
        <f>+'MCP ST'!M19</f>
        <v>452.28090016056467</v>
      </c>
      <c r="P23" s="2269"/>
      <c r="Q23" s="2269"/>
      <c r="R23" s="2268">
        <f>+'MCP ST'!N19</f>
        <v>1.1209262546593712</v>
      </c>
      <c r="S23" s="2268"/>
      <c r="T23" s="2268">
        <f>+'MCP ST'!O19</f>
        <v>0.74570482957980089</v>
      </c>
      <c r="U23" s="2268">
        <f>+'MCP ST'!P19</f>
        <v>0.24444344311422375</v>
      </c>
      <c r="V23" s="2268">
        <f>+'MCP ST'!R19</f>
        <v>16.373163639706902</v>
      </c>
      <c r="W23" s="2268">
        <f>+'MCP ST'!Q19</f>
        <v>1.4483253771572053E-2</v>
      </c>
      <c r="X23" s="2269">
        <f>+'Recalculos ST'!AL26</f>
        <v>188.06913996069142</v>
      </c>
      <c r="Y23" s="2268">
        <f>+'MCP ST'!T19</f>
        <v>36.941364576954399</v>
      </c>
      <c r="Z23" s="2268">
        <f>+'MCP ST'!U19</f>
        <v>76.871598169792222</v>
      </c>
      <c r="AA23" s="2268">
        <f>+'MCP ST'!V19</f>
        <v>93.647047578349571</v>
      </c>
      <c r="AB23" s="2267">
        <f>+'MCP ST'!W19</f>
        <v>16213.989100675821</v>
      </c>
      <c r="AC23" s="2267">
        <f>+'MCP ST'!X19</f>
        <v>0</v>
      </c>
      <c r="AD23" s="2267">
        <f>+'MCP ST'!Y19</f>
        <v>58112.134603273225</v>
      </c>
      <c r="AE23" s="2267">
        <f>+'MCP ST'!Z19</f>
        <v>108420.89259128094</v>
      </c>
      <c r="AF23" s="2267">
        <f>+'MCP ST'!AA19</f>
        <v>2252.8995172858299</v>
      </c>
      <c r="AG23" s="2267">
        <f>+'MCP ST'!AB19</f>
        <v>0</v>
      </c>
      <c r="AH23" s="2267">
        <f>+'MCP ST'!AC19</f>
        <v>0.120998999720937</v>
      </c>
      <c r="AI23" s="2266">
        <f>+'MCP ST'!AS19</f>
        <v>1.346663793300209</v>
      </c>
      <c r="AJ23" s="2265">
        <f>+'Recalculos ST'!P26</f>
        <v>110.48403819181293</v>
      </c>
      <c r="AK23" s="2265">
        <f t="shared" si="0"/>
        <v>110.48403819181293</v>
      </c>
      <c r="AL23" s="2265">
        <f t="shared" si="1"/>
        <v>4.3497652831422418</v>
      </c>
      <c r="AM23" s="2265">
        <f>+'MCP ST'!AU19</f>
        <v>0.87590883446912238</v>
      </c>
      <c r="AN23" s="3122"/>
    </row>
    <row r="24" spans="1:40" s="2264" customFormat="1" ht="12.75" customHeight="1">
      <c r="A24" s="2275">
        <f t="shared" si="2"/>
        <v>19</v>
      </c>
      <c r="B24" s="2274">
        <f>+'Recalculos ST'!BI27+$B$4</f>
        <v>27.98518896538231</v>
      </c>
      <c r="C24" s="3915">
        <f>+'Recalculos ST'!BA27+$C$4</f>
        <v>90.59379882412091</v>
      </c>
      <c r="D24" s="3160">
        <f>+'MCP ST'!D20*$D$4</f>
        <v>0.57285134895832379</v>
      </c>
      <c r="E24" s="2273">
        <f t="shared" si="3"/>
        <v>282.06358348329417</v>
      </c>
      <c r="F24" s="2267">
        <f>+'MCP ST'!B20</f>
        <v>219999.99999969656</v>
      </c>
      <c r="G24" s="2268">
        <f>+'MCP ST'!C20</f>
        <v>0.64966765535197601</v>
      </c>
      <c r="H24" s="2268">
        <f>+'MCP ST'!D20</f>
        <v>0.57285134895832379</v>
      </c>
      <c r="I24" s="2272">
        <f>+'MCP ST'!E20</f>
        <v>282.06358348329417</v>
      </c>
      <c r="J24" s="2268">
        <f>+'MCP ST'!F20</f>
        <v>4.9886928224094823E-2</v>
      </c>
      <c r="K24" s="2268">
        <f>+'MCP ST'!G20</f>
        <v>1.3114882364023868</v>
      </c>
      <c r="L24" s="2271">
        <f>+'MCP ST'!I20</f>
        <v>27.116266147102536</v>
      </c>
      <c r="M24" s="2270">
        <f>+'MCP ST'!J20</f>
        <v>89.524664362028332</v>
      </c>
      <c r="N24" s="2268">
        <f>+'MCP ST'!L20</f>
        <v>12.399625000855545</v>
      </c>
      <c r="O24" s="2269">
        <f>+'MCP ST'!M20</f>
        <v>483.15875434197068</v>
      </c>
      <c r="P24" s="2269"/>
      <c r="Q24" s="2269"/>
      <c r="R24" s="2268">
        <f>+'MCP ST'!N20</f>
        <v>1.1266891579589819</v>
      </c>
      <c r="S24" s="2268"/>
      <c r="T24" s="2268">
        <f>+'MCP ST'!O20</f>
        <v>0.62468350493040337</v>
      </c>
      <c r="U24" s="2268">
        <f>+'MCP ST'!P20</f>
        <v>0.2434297323689425</v>
      </c>
      <c r="V24" s="2268">
        <f>+'MCP ST'!R20</f>
        <v>13.718164963383902</v>
      </c>
      <c r="W24" s="2268">
        <f>+'MCP ST'!Q20</f>
        <v>1.6758676200880483E-2</v>
      </c>
      <c r="X24" s="2269">
        <f>+'Recalculos ST'!AL27</f>
        <v>189.68459938199248</v>
      </c>
      <c r="Y24" s="2268">
        <f>+'MCP ST'!T20</f>
        <v>37.752071762460638</v>
      </c>
      <c r="Z24" s="2268">
        <f>+'MCP ST'!U20</f>
        <v>76.570763484195851</v>
      </c>
      <c r="AA24" s="2268">
        <f>+'MCP ST'!V20</f>
        <v>95.057164618721828</v>
      </c>
      <c r="AB24" s="2267">
        <f>+'MCP ST'!W20</f>
        <v>20704.219242183655</v>
      </c>
      <c r="AC24" s="2267">
        <f>+'MCP ST'!X20</f>
        <v>0</v>
      </c>
      <c r="AD24" s="2267">
        <f>+'MCP ST'!Y20</f>
        <v>56425.838743727269</v>
      </c>
      <c r="AE24" s="2267">
        <f>+'MCP ST'!Z20</f>
        <v>142847.22662190133</v>
      </c>
      <c r="AF24" s="2267">
        <f>+'MCP ST'!AA20</f>
        <v>0</v>
      </c>
      <c r="AG24" s="2267">
        <f>+'MCP ST'!AB20</f>
        <v>0</v>
      </c>
      <c r="AH24" s="2267">
        <f>+'MCP ST'!AC20</f>
        <v>22.632441488859435</v>
      </c>
      <c r="AI24" s="2266">
        <f>+'MCP ST'!AS20</f>
        <v>1.4734696709293165</v>
      </c>
      <c r="AJ24" s="2265">
        <f>+'Recalculos ST'!P27</f>
        <v>110.9335114293517</v>
      </c>
      <c r="AK24" s="2265">
        <f t="shared" si="0"/>
        <v>110.9335114293517</v>
      </c>
      <c r="AL24" s="2265">
        <f t="shared" si="1"/>
        <v>4.3674610798957367</v>
      </c>
      <c r="AM24" s="2265">
        <f>+'MCP ST'!AU20</f>
        <v>0.90578700227860676</v>
      </c>
      <c r="AN24" s="3122"/>
    </row>
    <row r="25" spans="1:40" s="2264" customFormat="1" ht="12.75" customHeight="1">
      <c r="A25" s="2275">
        <f t="shared" si="2"/>
        <v>20</v>
      </c>
      <c r="B25" s="2274">
        <f>+'Recalculos ST'!BI28+$B$4</f>
        <v>28.477234564178254</v>
      </c>
      <c r="C25" s="3915">
        <f>+'Recalculos ST'!BA28+$C$4</f>
        <v>90.626900611127141</v>
      </c>
      <c r="D25" s="3160">
        <f>+'MCP ST'!D21*$D$4</f>
        <v>0.54156117360462053</v>
      </c>
      <c r="E25" s="2273">
        <f t="shared" si="3"/>
        <v>278.04752238264018</v>
      </c>
      <c r="F25" s="2267">
        <f>+'MCP ST'!B21</f>
        <v>220000.03021743204</v>
      </c>
      <c r="G25" s="2268">
        <f>+'MCP ST'!C21</f>
        <v>0.63131298002338432</v>
      </c>
      <c r="H25" s="2268">
        <f>+'MCP ST'!D21</f>
        <v>0.54156117360462053</v>
      </c>
      <c r="I25" s="2272">
        <f>+'MCP ST'!E21</f>
        <v>278.04752238264018</v>
      </c>
      <c r="J25" s="2268">
        <f>+'MCP ST'!F21</f>
        <v>4.364424523027001E-2</v>
      </c>
      <c r="K25" s="2268">
        <f>+'MCP ST'!G21</f>
        <v>1.3047131631498017</v>
      </c>
      <c r="L25" s="2271">
        <f>+'MCP ST'!I21</f>
        <v>27.828411157188938</v>
      </c>
      <c r="M25" s="2270">
        <f>+'MCP ST'!J21</f>
        <v>89.542954910849971</v>
      </c>
      <c r="N25" s="2268">
        <f>+'MCP ST'!L21</f>
        <v>12.365721631309196</v>
      </c>
      <c r="O25" s="2269">
        <f>+'MCP ST'!M21</f>
        <v>325.99784012791883</v>
      </c>
      <c r="P25" s="2269"/>
      <c r="Q25" s="2269"/>
      <c r="R25" s="2268">
        <f>+'MCP ST'!N21</f>
        <v>1.0190054063093172</v>
      </c>
      <c r="S25" s="2268"/>
      <c r="T25" s="2268">
        <f>+'MCP ST'!O21</f>
        <v>0.54068363031725331</v>
      </c>
      <c r="U25" s="2268">
        <f>+'MCP ST'!P21</f>
        <v>0.26997724515549898</v>
      </c>
      <c r="V25" s="2268">
        <f>+'MCP ST'!R21</f>
        <v>12.567823898950513</v>
      </c>
      <c r="W25" s="2268">
        <f>+'MCP ST'!Q21</f>
        <v>2.497381728237341E-3</v>
      </c>
      <c r="X25" s="2269">
        <f>+'Recalculos ST'!AL28</f>
        <v>192.10963991983851</v>
      </c>
      <c r="Y25" s="2268">
        <f>+'MCP ST'!T21</f>
        <v>37.831207029537204</v>
      </c>
      <c r="Z25" s="2268">
        <f>+'MCP ST'!U21</f>
        <v>73.788014355444489</v>
      </c>
      <c r="AA25" s="2268">
        <f>+'MCP ST'!V21</f>
        <v>94.882705131702281</v>
      </c>
      <c r="AB25" s="2267">
        <f>+'MCP ST'!W21</f>
        <v>9615.632866432019</v>
      </c>
      <c r="AC25" s="2267">
        <f>+'MCP ST'!X21</f>
        <v>0</v>
      </c>
      <c r="AD25" s="2267">
        <f>+'MCP ST'!Y21</f>
        <v>68891.896698700555</v>
      </c>
      <c r="AE25" s="2267">
        <f>+'MCP ST'!Z21</f>
        <v>137450.60093206979</v>
      </c>
      <c r="AF25" s="2267">
        <f>+'MCP ST'!AA21</f>
        <v>0</v>
      </c>
      <c r="AG25" s="2267">
        <f>+'MCP ST'!AB21</f>
        <v>0</v>
      </c>
      <c r="AH25" s="2267">
        <f>+'MCP ST'!AC21</f>
        <v>3571.7776887365385</v>
      </c>
      <c r="AI25" s="2266">
        <f>+'MCP ST'!AS21</f>
        <v>1.4242911578801434</v>
      </c>
      <c r="AJ25" s="2265">
        <f>+'Recalculos ST'!P28</f>
        <v>109.68572363593852</v>
      </c>
      <c r="AK25" s="2265">
        <f t="shared" si="0"/>
        <v>109.68572363593852</v>
      </c>
      <c r="AL25" s="2265">
        <f t="shared" si="1"/>
        <v>4.3183355762180522</v>
      </c>
      <c r="AM25" s="2265">
        <f>+'MCP ST'!AU21</f>
        <v>0.93992886589284685</v>
      </c>
      <c r="AN25" s="3122"/>
    </row>
    <row r="26" spans="1:40" s="2264" customFormat="1" ht="12.75" customHeight="1">
      <c r="A26" s="2275">
        <f t="shared" si="2"/>
        <v>21</v>
      </c>
      <c r="B26" s="2274">
        <f>+'Recalculos ST'!BI29+$B$4</f>
        <v>27.716210748744583</v>
      </c>
      <c r="C26" s="3915">
        <f>+'Recalculos ST'!BA29+$C$4</f>
        <v>90.95708040849614</v>
      </c>
      <c r="D26" s="3160">
        <f>+'MCP ST'!D22*$D$4</f>
        <v>0.53439489892154024</v>
      </c>
      <c r="E26" s="2273">
        <f t="shared" si="3"/>
        <v>272.5862418242171</v>
      </c>
      <c r="F26" s="2267">
        <f>+'MCP ST'!B22</f>
        <v>185000.02086318861</v>
      </c>
      <c r="G26" s="2268">
        <f>+'MCP ST'!C22</f>
        <v>0.61796076089747143</v>
      </c>
      <c r="H26" s="2268">
        <f>+'MCP ST'!D22</f>
        <v>0.53439489892154024</v>
      </c>
      <c r="I26" s="2272">
        <f>+'MCP ST'!E22</f>
        <v>272.5862418242171</v>
      </c>
      <c r="J26" s="2268">
        <f>+'MCP ST'!F22</f>
        <v>2.9819882257727189E-2</v>
      </c>
      <c r="K26" s="2268">
        <f>+'MCP ST'!G22</f>
        <v>1.095007473279739</v>
      </c>
      <c r="L26" s="2271">
        <f>+'MCP ST'!I22</f>
        <v>27.522279163240981</v>
      </c>
      <c r="M26" s="2270">
        <f>+'MCP ST'!J22</f>
        <v>89.69455051882872</v>
      </c>
      <c r="N26" s="2268">
        <f>+'MCP ST'!L22</f>
        <v>12.551785630639429</v>
      </c>
      <c r="O26" s="2269">
        <f>+'MCP ST'!M22</f>
        <v>280.51860695818681</v>
      </c>
      <c r="P26" s="2269"/>
      <c r="Q26" s="2269"/>
      <c r="R26" s="2268">
        <f>+'MCP ST'!N22</f>
        <v>1.0377375824318493</v>
      </c>
      <c r="S26" s="2268"/>
      <c r="T26" s="2268">
        <f>+'MCP ST'!O22</f>
        <v>0.64382088371850421</v>
      </c>
      <c r="U26" s="2268">
        <f>+'MCP ST'!P22</f>
        <v>0.25130961122209999</v>
      </c>
      <c r="V26" s="2268">
        <f>+'MCP ST'!R22</f>
        <v>17.786078626776714</v>
      </c>
      <c r="W26" s="2268">
        <f>+'MCP ST'!Q22</f>
        <v>5.4090127305516115E-4</v>
      </c>
      <c r="X26" s="2269">
        <f>+'Recalculos ST'!AL29</f>
        <v>190.82370319814521</v>
      </c>
      <c r="Y26" s="2268">
        <f>+'MCP ST'!T22</f>
        <v>36.152261349255689</v>
      </c>
      <c r="Z26" s="2268">
        <f>+'MCP ST'!U22</f>
        <v>76.371484562678987</v>
      </c>
      <c r="AA26" s="2268">
        <f>+'MCP ST'!V22</f>
        <v>92.23774481701308</v>
      </c>
      <c r="AB26" s="2267">
        <f>+'MCP ST'!W22</f>
        <v>9444.1574412628215</v>
      </c>
      <c r="AC26" s="2267">
        <f>+'MCP ST'!X22</f>
        <v>0</v>
      </c>
      <c r="AD26" s="2267">
        <f>+'MCP ST'!Y22</f>
        <v>71223.699621152904</v>
      </c>
      <c r="AE26" s="2267">
        <f>+'MCP ST'!Z22</f>
        <v>103837.61825757282</v>
      </c>
      <c r="AF26" s="2267">
        <f>+'MCP ST'!AA22</f>
        <v>0</v>
      </c>
      <c r="AG26" s="2267">
        <f>+'MCP ST'!AB22</f>
        <v>0</v>
      </c>
      <c r="AH26" s="2267">
        <f>+'MCP ST'!AC22</f>
        <v>24.614141350925799</v>
      </c>
      <c r="AI26" s="2266">
        <f>+'MCP ST'!AS22</f>
        <v>1.3984071041345416</v>
      </c>
      <c r="AJ26" s="2265">
        <f>+'Recalculos ST'!P29</f>
        <v>109.68886105041909</v>
      </c>
      <c r="AK26" s="2265">
        <f t="shared" si="0"/>
        <v>109.68886105041909</v>
      </c>
      <c r="AL26" s="2265">
        <f t="shared" si="1"/>
        <v>4.3184590964731928</v>
      </c>
      <c r="AM26" s="2265">
        <f>+'MCP ST'!AU22</f>
        <v>0.94868711324936772</v>
      </c>
      <c r="AN26" s="3122"/>
    </row>
    <row r="27" spans="1:40" s="2264" customFormat="1" ht="12.75" customHeight="1">
      <c r="A27" s="2275">
        <f t="shared" si="2"/>
        <v>22</v>
      </c>
      <c r="B27" s="2274">
        <f>+'Recalculos ST'!BI30+$B$4</f>
        <v>30.291011915290664</v>
      </c>
      <c r="C27" s="3915">
        <f>+'Recalculos ST'!BA30+$C$4</f>
        <v>90.956313421697885</v>
      </c>
      <c r="D27" s="3160">
        <f>+'MCP ST'!D23*$D$4</f>
        <v>0.59959530689926632</v>
      </c>
      <c r="E27" s="2273">
        <f t="shared" si="3"/>
        <v>264.2633640477236</v>
      </c>
      <c r="F27" s="2267">
        <f>+'MCP ST'!B23</f>
        <v>199999.99999970043</v>
      </c>
      <c r="G27" s="2268">
        <f>+'MCP ST'!C23</f>
        <v>0.67854822829765549</v>
      </c>
      <c r="H27" s="2268">
        <f>+'MCP ST'!D23</f>
        <v>0.59959530689926632</v>
      </c>
      <c r="I27" s="2272">
        <f>+'MCP ST'!E23</f>
        <v>264.2633640477236</v>
      </c>
      <c r="J27" s="2268">
        <f>+'MCP ST'!F23</f>
        <v>4.6050319635068365E-2</v>
      </c>
      <c r="K27" s="2268">
        <f>+'MCP ST'!G23</f>
        <v>1.3853210823985254</v>
      </c>
      <c r="L27" s="2271">
        <f>+'MCP ST'!I23</f>
        <v>29.661040329964397</v>
      </c>
      <c r="M27" s="2270">
        <f>+'MCP ST'!J23</f>
        <v>89.798104348719633</v>
      </c>
      <c r="N27" s="2268">
        <f>+'MCP ST'!L23</f>
        <v>12.585984727797692</v>
      </c>
      <c r="O27" s="2269">
        <f>+'MCP ST'!M23</f>
        <v>239.71155649767837</v>
      </c>
      <c r="P27" s="2269"/>
      <c r="Q27" s="2269"/>
      <c r="R27" s="2268">
        <f>+'MCP ST'!N23</f>
        <v>1.0433532468429025</v>
      </c>
      <c r="S27" s="2268"/>
      <c r="T27" s="2268">
        <f>+'MCP ST'!O23</f>
        <v>0.33196913621256019</v>
      </c>
      <c r="U27" s="2268">
        <f>+'MCP ST'!P23</f>
        <v>0.34705274378513412</v>
      </c>
      <c r="V27" s="2268">
        <f>+'MCP ST'!R23</f>
        <v>14.221244023782493</v>
      </c>
      <c r="W27" s="2268">
        <f>+'MCP ST'!Q23</f>
        <v>0</v>
      </c>
      <c r="X27" s="2269">
        <f>+'Recalculos ST'!AL30</f>
        <v>194.05935274478989</v>
      </c>
      <c r="Y27" s="2268">
        <f>+'MCP ST'!T23</f>
        <v>36.837072346157001</v>
      </c>
      <c r="Z27" s="2268">
        <f>+'MCP ST'!U23</f>
        <v>80.510597658584786</v>
      </c>
      <c r="AA27" s="2268">
        <f>+'MCP ST'!V23</f>
        <v>94.785056199938552</v>
      </c>
      <c r="AB27" s="2267">
        <f>+'MCP ST'!W23</f>
        <v>9018.9568497344608</v>
      </c>
      <c r="AC27" s="2267">
        <f>+'MCP ST'!X23</f>
        <v>0</v>
      </c>
      <c r="AD27" s="2267">
        <f>+'MCP ST'!Y23</f>
        <v>29652.186530544059</v>
      </c>
      <c r="AE27" s="2267">
        <f>+'MCP ST'!Z23</f>
        <v>161328.95878049501</v>
      </c>
      <c r="AF27" s="2267">
        <f>+'MCP ST'!AA23</f>
        <v>0</v>
      </c>
      <c r="AG27" s="2267">
        <f>+'MCP ST'!AB23</f>
        <v>0</v>
      </c>
      <c r="AH27" s="2267">
        <f>+'MCP ST'!AC23</f>
        <v>0</v>
      </c>
      <c r="AI27" s="2266">
        <f>+'MCP ST'!AS23</f>
        <v>1.7967702057632227</v>
      </c>
      <c r="AJ27" s="2265">
        <f>+'Recalculos ST'!P30</f>
        <v>110.47409481695372</v>
      </c>
      <c r="AK27" s="2265">
        <f t="shared" si="0"/>
        <v>110.47409481695372</v>
      </c>
      <c r="AL27" s="2265">
        <f t="shared" si="1"/>
        <v>4.3493738116910921</v>
      </c>
      <c r="AM27" s="2265">
        <f>+'MCP ST'!AU23</f>
        <v>0.95490523878590616</v>
      </c>
      <c r="AN27" s="3122"/>
    </row>
    <row r="28" spans="1:40" s="2264" customFormat="1" ht="12.75" customHeight="1">
      <c r="A28" s="2275">
        <f t="shared" si="2"/>
        <v>23</v>
      </c>
      <c r="B28" s="2274">
        <f>+'Recalculos ST'!BI31+$B$4</f>
        <v>29.00637430726275</v>
      </c>
      <c r="C28" s="3915">
        <f>+'Recalculos ST'!BA31+$C$4</f>
        <v>90.781480861139713</v>
      </c>
      <c r="D28" s="3160">
        <f>+'MCP ST'!D24*$D$4</f>
        <v>0.54611774227069232</v>
      </c>
      <c r="E28" s="2273">
        <f t="shared" si="3"/>
        <v>165.72705465265955</v>
      </c>
      <c r="F28" s="2267">
        <f>+'MCP ST'!B24</f>
        <v>200000.00000015847</v>
      </c>
      <c r="G28" s="2268">
        <f>+'MCP ST'!C24</f>
        <v>0.60475167986883094</v>
      </c>
      <c r="H28" s="2268">
        <f>+'MCP ST'!D24</f>
        <v>0.54611774227069232</v>
      </c>
      <c r="I28" s="2272">
        <f>+'MCP ST'!E24</f>
        <v>165.72705465265955</v>
      </c>
      <c r="J28" s="2268">
        <f>+'MCP ST'!F24</f>
        <v>4.502116310401405E-2</v>
      </c>
      <c r="K28" s="2268">
        <f>+'MCP ST'!G24</f>
        <v>1.3090516804563819</v>
      </c>
      <c r="L28" s="2271">
        <f>+'MCP ST'!I24</f>
        <v>29.178519818492596</v>
      </c>
      <c r="M28" s="2270">
        <f>+'MCP ST'!J24</f>
        <v>89.450917903123866</v>
      </c>
      <c r="N28" s="2268">
        <f>+'MCP ST'!L24</f>
        <v>12.539562343120252</v>
      </c>
      <c r="O28" s="2269">
        <f>+'MCP ST'!M24</f>
        <v>707.17292352746131</v>
      </c>
      <c r="P28" s="2269"/>
      <c r="Q28" s="2269"/>
      <c r="R28" s="2268">
        <f>+'MCP ST'!N24</f>
        <v>0.94668128445851452</v>
      </c>
      <c r="S28" s="2268"/>
      <c r="T28" s="2268">
        <f>+'MCP ST'!O24</f>
        <v>0.56710401453456771</v>
      </c>
      <c r="U28" s="2268">
        <f>+'MCP ST'!P24</f>
        <v>0.27538130146318102</v>
      </c>
      <c r="V28" s="2268">
        <f>+'MCP ST'!R24</f>
        <v>23.299099515436758</v>
      </c>
      <c r="W28" s="2268">
        <f>+'MCP ST'!Q24</f>
        <v>4.1762112085729747E-2</v>
      </c>
      <c r="X28" s="2269">
        <f>+'Recalculos ST'!AL31</f>
        <v>188.08290851390808</v>
      </c>
      <c r="Y28" s="2268">
        <f>+'MCP ST'!T24</f>
        <v>36.355026368370282</v>
      </c>
      <c r="Z28" s="2268">
        <f>+'MCP ST'!U24</f>
        <v>81.517421254070641</v>
      </c>
      <c r="AA28" s="2268">
        <f>+'MCP ST'!V24</f>
        <v>93.006760265208342</v>
      </c>
      <c r="AB28" s="2267">
        <f>+'MCP ST'!W24</f>
        <v>27285.332907015203</v>
      </c>
      <c r="AC28" s="2267">
        <f>+'MCP ST'!X24</f>
        <v>0</v>
      </c>
      <c r="AD28" s="2267">
        <f>+'MCP ST'!Y24</f>
        <v>1219.3065198734068</v>
      </c>
      <c r="AE28" s="2267">
        <f>+'MCP ST'!Z24</f>
        <v>168521.24193292187</v>
      </c>
      <c r="AF28" s="2267">
        <f>+'MCP ST'!AA24</f>
        <v>0</v>
      </c>
      <c r="AG28" s="2267">
        <f>+'MCP ST'!AB24</f>
        <v>2457.6898460082466</v>
      </c>
      <c r="AH28" s="2267">
        <f>+'MCP ST'!AC24</f>
        <v>443.61827306807942</v>
      </c>
      <c r="AI28" s="2266">
        <f>+'MCP ST'!AS24</f>
        <v>1.7187921162965227</v>
      </c>
      <c r="AJ28" s="2265">
        <f>+'Recalculos ST'!P31</f>
        <v>111.18944426858488</v>
      </c>
      <c r="AK28" s="2265">
        <f t="shared" si="0"/>
        <v>111.18944426858488</v>
      </c>
      <c r="AL28" s="2265">
        <f t="shared" si="1"/>
        <v>4.3775371759285386</v>
      </c>
      <c r="AM28" s="2265">
        <f>+'MCP ST'!AU24</f>
        <v>0.8613047517330723</v>
      </c>
      <c r="AN28" s="3122"/>
    </row>
    <row r="29" spans="1:40" s="2264" customFormat="1" ht="12.75" customHeight="1">
      <c r="A29" s="2275">
        <f t="shared" si="2"/>
        <v>24</v>
      </c>
      <c r="B29" s="2274">
        <f>+'Recalculos ST'!BI32+$B$4</f>
        <v>26.705241224231788</v>
      </c>
      <c r="C29" s="2347">
        <f>+'Recalculos ST'!BA32+$C$4</f>
        <v>90.381180349036981</v>
      </c>
      <c r="D29" s="3160">
        <f>+'MCP ST'!D25*$D$4</f>
        <v>0.55160275711999007</v>
      </c>
      <c r="E29" s="2273">
        <f t="shared" si="3"/>
        <v>116.04786880043868</v>
      </c>
      <c r="F29" s="2267">
        <f>+'MCP ST'!B25</f>
        <v>184999.99999984697</v>
      </c>
      <c r="G29" s="2268">
        <f>+'MCP ST'!C25</f>
        <v>0.5950080136883914</v>
      </c>
      <c r="H29" s="2268">
        <f>+'MCP ST'!D25</f>
        <v>0.55160275711999007</v>
      </c>
      <c r="I29" s="2272">
        <f>+'MCP ST'!E25</f>
        <v>116.04786880043868</v>
      </c>
      <c r="J29" s="2268">
        <f>+'MCP ST'!F25</f>
        <v>3.3128173940603446E-2</v>
      </c>
      <c r="K29" s="2268">
        <f>+'MCP ST'!G25</f>
        <v>1.1126778322880904</v>
      </c>
      <c r="L29" s="2271">
        <f>+'MCP ST'!I25</f>
        <v>26.795474799065147</v>
      </c>
      <c r="M29" s="2270">
        <f>+'MCP ST'!J25</f>
        <v>88.983751397369389</v>
      </c>
      <c r="N29" s="2268">
        <f>+'MCP ST'!L25</f>
        <v>12.483457505466498</v>
      </c>
      <c r="O29" s="2269">
        <f>+'MCP ST'!M25</f>
        <v>1283.9682990195381</v>
      </c>
      <c r="P29" s="2269"/>
      <c r="Q29" s="2269"/>
      <c r="R29" s="2268">
        <f>+'MCP ST'!N25</f>
        <v>0.98633435396694968</v>
      </c>
      <c r="S29" s="2268"/>
      <c r="T29" s="2268">
        <f>+'MCP ST'!O25</f>
        <v>1.0668955903686488</v>
      </c>
      <c r="U29" s="2268">
        <f>+'MCP ST'!P25</f>
        <v>0.16154822915613018</v>
      </c>
      <c r="V29" s="2268">
        <f>+'MCP ST'!R25</f>
        <v>32.725416577674395</v>
      </c>
      <c r="W29" s="2268">
        <f>+'MCP ST'!Q25</f>
        <v>0.12863544218364914</v>
      </c>
      <c r="X29" s="2269">
        <f>+'Recalculos ST'!AL32</f>
        <v>198.65610853764866</v>
      </c>
      <c r="Y29" s="2268">
        <f>+'MCP ST'!T25</f>
        <v>37.37366346942364</v>
      </c>
      <c r="Z29" s="2268">
        <f>+'MCP ST'!U25</f>
        <v>76.261336123631082</v>
      </c>
      <c r="AA29" s="2268">
        <f>+'MCP ST'!V25</f>
        <v>83.560410965114826</v>
      </c>
      <c r="AB29" s="2267">
        <f>+'MCP ST'!W25</f>
        <v>65335.314231469412</v>
      </c>
      <c r="AC29" s="2267">
        <f>+'MCP ST'!X25</f>
        <v>0</v>
      </c>
      <c r="AD29" s="2267">
        <f>+'MCP ST'!Y25</f>
        <v>0</v>
      </c>
      <c r="AE29" s="2267">
        <f>+'MCP ST'!Z25</f>
        <v>105425.34268745764</v>
      </c>
      <c r="AF29" s="2267">
        <f>+'MCP ST'!AA25</f>
        <v>0</v>
      </c>
      <c r="AG29" s="2267">
        <f>+'MCP ST'!AB25</f>
        <v>14068.272802718886</v>
      </c>
      <c r="AH29" s="2267">
        <f>+'MCP ST'!AC25</f>
        <v>170.60033919812099</v>
      </c>
      <c r="AI29" s="2266">
        <f>+'MCP ST'!AS25</f>
        <v>1.1194414650567424</v>
      </c>
      <c r="AJ29" s="2265">
        <f>+'Recalculos ST'!P32</f>
        <v>108.96746394498966</v>
      </c>
      <c r="AK29" s="2265">
        <f t="shared" si="0"/>
        <v>108.96746394498966</v>
      </c>
      <c r="AL29" s="2265">
        <f t="shared" si="1"/>
        <v>4.2900576356295144</v>
      </c>
      <c r="AM29" s="2265">
        <f>+'MCP ST'!AU25</f>
        <v>0.64591307583795776</v>
      </c>
      <c r="AN29" s="3122"/>
    </row>
    <row r="30" spans="1:40" s="2264" customFormat="1" ht="12.75" customHeight="1">
      <c r="A30" s="2275">
        <f t="shared" si="2"/>
        <v>25</v>
      </c>
      <c r="B30" s="2274">
        <f>+'Recalculos ST'!BI33+$B$4</f>
        <v>24.113319660599188</v>
      </c>
      <c r="C30" s="2347">
        <f>+'Recalculos ST'!BA33+$C$4</f>
        <v>87.707388126030864</v>
      </c>
      <c r="D30" s="3160">
        <f>+'MCP ST'!D26*$D$4</f>
        <v>0.50905603115424403</v>
      </c>
      <c r="E30" s="2273">
        <f t="shared" si="3"/>
        <v>80.170312557958326</v>
      </c>
      <c r="F30" s="2267">
        <f>+'MCP ST'!B26</f>
        <v>220000.00000043112</v>
      </c>
      <c r="G30" s="2268">
        <f>+'MCP ST'!C26</f>
        <v>0.54849787926665894</v>
      </c>
      <c r="H30" s="2268">
        <f>+'MCP ST'!D26</f>
        <v>0.50905603115424403</v>
      </c>
      <c r="I30" s="2272">
        <f>+'MCP ST'!E26</f>
        <v>80.170312557958326</v>
      </c>
      <c r="J30" s="2268">
        <f>+'MCP ST'!F26</f>
        <v>3.0067620876736385E-2</v>
      </c>
      <c r="K30" s="2268">
        <f>+'MCP ST'!G26</f>
        <v>1.0617590771620453</v>
      </c>
      <c r="L30" s="2271">
        <f>+'MCP ST'!I26</f>
        <v>24.528875877353652</v>
      </c>
      <c r="M30" s="2270">
        <f>+'MCP ST'!J26</f>
        <v>87.284838028538545</v>
      </c>
      <c r="N30" s="2268">
        <f>+'MCP ST'!L26</f>
        <v>12.215453139506778</v>
      </c>
      <c r="O30" s="2269">
        <f>+'MCP ST'!M26</f>
        <v>1678.460841694751</v>
      </c>
      <c r="P30" s="2269"/>
      <c r="Q30" s="2269"/>
      <c r="R30" s="2268">
        <f>+'MCP ST'!N26</f>
        <v>1.0599065150878337</v>
      </c>
      <c r="S30" s="2268"/>
      <c r="T30" s="2268">
        <f>+'MCP ST'!O26</f>
        <v>1.4038597890446465</v>
      </c>
      <c r="U30" s="2268">
        <f>+'MCP ST'!P26</f>
        <v>7.3670981238715696E-2</v>
      </c>
      <c r="V30" s="2268">
        <f>+'MCP ST'!R26</f>
        <v>35.841282935384321</v>
      </c>
      <c r="W30" s="2268">
        <f>+'MCP ST'!Q26</f>
        <v>0.11613309615561031</v>
      </c>
      <c r="X30" s="2269">
        <f>+'Recalculos ST'!AL33</f>
        <v>195.19424993924309</v>
      </c>
      <c r="Y30" s="2268">
        <f>+'MCP ST'!T26</f>
        <v>37.100089455925193</v>
      </c>
      <c r="Z30" s="2268">
        <f>+'MCP ST'!U26</f>
        <v>74.118842782793735</v>
      </c>
      <c r="AA30" s="2268">
        <f>+'MCP ST'!V26</f>
        <v>74.705348359208827</v>
      </c>
      <c r="AB30" s="2267">
        <f>+'MCP ST'!W26</f>
        <v>95051.198350509687</v>
      </c>
      <c r="AC30" s="2267">
        <f>+'MCP ST'!X26</f>
        <v>0</v>
      </c>
      <c r="AD30" s="2267">
        <f>+'MCP ST'!Y26</f>
        <v>2375.6543869007978</v>
      </c>
      <c r="AE30" s="2267">
        <f>+'MCP ST'!Z26</f>
        <v>61871.933034164227</v>
      </c>
      <c r="AF30" s="2267">
        <f>+'MCP ST'!AA26</f>
        <v>6092.6348652266461</v>
      </c>
      <c r="AG30" s="2267">
        <f>+'MCP ST'!AB26</f>
        <v>53285.666958840433</v>
      </c>
      <c r="AH30" s="2267">
        <f>+'MCP ST'!AC26</f>
        <v>1322.6727537006043</v>
      </c>
      <c r="AI30" s="2266">
        <f>+'MCP ST'!AS26</f>
        <v>0.5838687082547015</v>
      </c>
      <c r="AJ30" s="2265">
        <f>+'Recalculos ST'!P33</f>
        <v>105.92724547223592</v>
      </c>
      <c r="AK30" s="2265">
        <f t="shared" si="0"/>
        <v>105.92724547223592</v>
      </c>
      <c r="AL30" s="2265">
        <f t="shared" si="1"/>
        <v>4.1703639949699189</v>
      </c>
      <c r="AM30" s="2265">
        <f>+'MCP ST'!AU26</f>
        <v>0.56193647233444199</v>
      </c>
      <c r="AN30" s="3122"/>
    </row>
    <row r="31" spans="1:40" s="2264" customFormat="1" ht="12.75" customHeight="1">
      <c r="A31" s="2275">
        <f t="shared" si="2"/>
        <v>26</v>
      </c>
      <c r="B31" s="2274">
        <f>+'Recalculos ST'!BI34+$B$4</f>
        <v>25.237979789437635</v>
      </c>
      <c r="C31" s="3915">
        <f>+'Recalculos ST'!BA34+$C$4</f>
        <v>90.469439382451938</v>
      </c>
      <c r="D31" s="3160">
        <f>+'MCP ST'!D27*$D$4</f>
        <v>0.53298775612561489</v>
      </c>
      <c r="E31" s="2273">
        <f t="shared" si="3"/>
        <v>99.511122211505906</v>
      </c>
      <c r="F31" s="2267">
        <f>+'MCP ST'!B27</f>
        <v>220000.00000017299</v>
      </c>
      <c r="G31" s="2268">
        <f>+'MCP ST'!C27</f>
        <v>0.56843689883555948</v>
      </c>
      <c r="H31" s="2268">
        <f>+'MCP ST'!D27</f>
        <v>0.53298775612561489</v>
      </c>
      <c r="I31" s="2272">
        <f>+'MCP ST'!E27</f>
        <v>99.511122211505906</v>
      </c>
      <c r="J31" s="2268">
        <f>+'MCP ST'!F27</f>
        <v>3.6454974308144067E-2</v>
      </c>
      <c r="K31" s="2268">
        <f>+'MCP ST'!G27</f>
        <v>1.2339221013971797</v>
      </c>
      <c r="L31" s="2271">
        <f>+'MCP ST'!I27</f>
        <v>25.416172346441932</v>
      </c>
      <c r="M31" s="2270">
        <f>+'MCP ST'!J27</f>
        <v>89.723660547506526</v>
      </c>
      <c r="N31" s="2268">
        <f>+'MCP ST'!L27</f>
        <v>12.228997405429707</v>
      </c>
      <c r="O31" s="2269">
        <f>+'MCP ST'!M27</f>
        <v>1569.9334286147721</v>
      </c>
      <c r="P31" s="2269"/>
      <c r="Q31" s="2269"/>
      <c r="R31" s="2268">
        <f>+'MCP ST'!N27</f>
        <v>1.0994939323269994</v>
      </c>
      <c r="S31" s="2268"/>
      <c r="T31" s="2268">
        <f>+'MCP ST'!O27</f>
        <v>1.1860764179678269</v>
      </c>
      <c r="U31" s="2268">
        <f>+'MCP ST'!P27</f>
        <v>0.11992527743010677</v>
      </c>
      <c r="V31" s="2268">
        <f>+'MCP ST'!R27</f>
        <v>41.877634288827736</v>
      </c>
      <c r="W31" s="2268">
        <f>+'MCP ST'!Q27</f>
        <v>0.10065775750127896</v>
      </c>
      <c r="X31" s="2269">
        <f>+'Recalculos ST'!AL34</f>
        <v>207.77993052761485</v>
      </c>
      <c r="Y31" s="2268">
        <f>+'MCP ST'!T27</f>
        <v>37.148098228593724</v>
      </c>
      <c r="Z31" s="2268">
        <f>+'MCP ST'!U27</f>
        <v>79.259069304768445</v>
      </c>
      <c r="AA31" s="2268">
        <f>+'MCP ST'!V27</f>
        <v>69.620664398692853</v>
      </c>
      <c r="AB31" s="2267">
        <f>+'MCP ST'!W27</f>
        <v>72028.268772517637</v>
      </c>
      <c r="AC31" s="2267">
        <f>+'MCP ST'!X27</f>
        <v>1312.5</v>
      </c>
      <c r="AD31" s="2267">
        <f>+'MCP ST'!Y27</f>
        <v>11433.843371041552</v>
      </c>
      <c r="AE31" s="2267">
        <f>+'MCP ST'!Z27</f>
        <v>72705.790316125509</v>
      </c>
      <c r="AF31" s="2267">
        <f>+'MCP ST'!AA27</f>
        <v>34584.752058888414</v>
      </c>
      <c r="AG31" s="2267">
        <f>+'MCP ST'!AB27</f>
        <v>17390.318492821403</v>
      </c>
      <c r="AH31" s="2267">
        <f>+'MCP ST'!AC27</f>
        <v>1794.233524204011</v>
      </c>
      <c r="AI31" s="2266">
        <f>+'MCP ST'!AS27</f>
        <v>0.77820886477901929</v>
      </c>
      <c r="AJ31" s="2265">
        <f>+'Recalculos ST'!P34</f>
        <v>100.9084515035352</v>
      </c>
      <c r="AK31" s="2265">
        <f t="shared" si="0"/>
        <v>100.9084515035352</v>
      </c>
      <c r="AL31" s="2265">
        <f t="shared" si="1"/>
        <v>3.9727736812415437</v>
      </c>
      <c r="AM31" s="2265">
        <f>+'MCP ST'!AU27</f>
        <v>0.64433085598601603</v>
      </c>
      <c r="AN31" s="3122"/>
    </row>
    <row r="32" spans="1:40" s="2264" customFormat="1" ht="12.75" customHeight="1">
      <c r="A32" s="2275">
        <f t="shared" si="2"/>
        <v>27</v>
      </c>
      <c r="B32" s="2274">
        <f>+'Recalculos ST'!BI35+$B$4</f>
        <v>26.753175806139513</v>
      </c>
      <c r="C32" s="3915">
        <f>+'Recalculos ST'!BA35+$C$4</f>
        <v>90.218317494085895</v>
      </c>
      <c r="D32" s="3160">
        <f>+'MCP ST'!D28*$D$4</f>
        <v>0.58620307725686216</v>
      </c>
      <c r="E32" s="2273">
        <f t="shared" si="3"/>
        <v>112.14130337017447</v>
      </c>
      <c r="F32" s="2267">
        <f>+'MCP ST'!B28</f>
        <v>200000.00000007878</v>
      </c>
      <c r="G32" s="2268">
        <f>+'MCP ST'!C28</f>
        <v>0.62380461064444814</v>
      </c>
      <c r="H32" s="2268">
        <f>+'MCP ST'!D28</f>
        <v>0.58620307725686216</v>
      </c>
      <c r="I32" s="2272">
        <f>+'MCP ST'!E28</f>
        <v>112.14130337017447</v>
      </c>
      <c r="J32" s="2268">
        <f>+'MCP ST'!F28</f>
        <v>4.7847866921231573E-2</v>
      </c>
      <c r="K32" s="2268">
        <f>+'MCP ST'!G28</f>
        <v>1.5172372301547199</v>
      </c>
      <c r="L32" s="2271">
        <f>+'MCP ST'!I28</f>
        <v>26.479434456082828</v>
      </c>
      <c r="M32" s="2270">
        <f>+'MCP ST'!J28</f>
        <v>89.03685121034853</v>
      </c>
      <c r="N32" s="2268">
        <f>+'MCP ST'!L28</f>
        <v>12.749233007521404</v>
      </c>
      <c r="O32" s="2269">
        <f>+'MCP ST'!M28</f>
        <v>1266.9028203776525</v>
      </c>
      <c r="P32" s="2269"/>
      <c r="Q32" s="2269"/>
      <c r="R32" s="2268">
        <f>+'MCP ST'!N28</f>
        <v>1.0069239924180575</v>
      </c>
      <c r="S32" s="2268"/>
      <c r="T32" s="2268">
        <f>+'MCP ST'!O28</f>
        <v>1.1642281581839011</v>
      </c>
      <c r="U32" s="2268">
        <f>+'MCP ST'!P28</f>
        <v>0.23586491882454141</v>
      </c>
      <c r="V32" s="2268">
        <f>+'MCP ST'!R28</f>
        <v>49.395080981495639</v>
      </c>
      <c r="W32" s="2268">
        <f>+'MCP ST'!Q28</f>
        <v>0.11257799489161981</v>
      </c>
      <c r="X32" s="2269">
        <f>+'Recalculos ST'!AL35</f>
        <v>222.37487926734971</v>
      </c>
      <c r="Y32" s="2268">
        <f>+'MCP ST'!T28</f>
        <v>39.057782088721687</v>
      </c>
      <c r="Z32" s="2268">
        <f>+'MCP ST'!U28</f>
        <v>78.806587449143862</v>
      </c>
      <c r="AA32" s="2268">
        <f>+'MCP ST'!V28</f>
        <v>78.579167787525421</v>
      </c>
      <c r="AB32" s="2267">
        <f>+'MCP ST'!W28</f>
        <v>72662.734240230653</v>
      </c>
      <c r="AC32" s="2267">
        <f>+'MCP ST'!X28</f>
        <v>1312.5</v>
      </c>
      <c r="AD32" s="2267">
        <f>+'MCP ST'!Y28</f>
        <v>9619.8561920044231</v>
      </c>
      <c r="AE32" s="2267">
        <f>+'MCP ST'!Z28</f>
        <v>102159.00757908809</v>
      </c>
      <c r="AF32" s="2267">
        <f>+'MCP ST'!AA28</f>
        <v>4766.7862625280395</v>
      </c>
      <c r="AG32" s="2267">
        <f>+'MCP ST'!AB28</f>
        <v>0</v>
      </c>
      <c r="AH32" s="2267">
        <f>+'MCP ST'!AC28</f>
        <v>728.82358327135103</v>
      </c>
      <c r="AI32" s="2266">
        <f>+'MCP ST'!AS28</f>
        <v>1.1922321838696952</v>
      </c>
      <c r="AJ32" s="2265">
        <f>+'Recalculos ST'!P35</f>
        <v>105.75076109332285</v>
      </c>
      <c r="AK32" s="2265">
        <f t="shared" si="0"/>
        <v>105.75076109332285</v>
      </c>
      <c r="AL32" s="2265">
        <f t="shared" si="1"/>
        <v>4.1634157910757033</v>
      </c>
      <c r="AM32" s="2265">
        <f>+'MCP ST'!AU28</f>
        <v>0.60938995065387835</v>
      </c>
      <c r="AN32" s="3122"/>
    </row>
    <row r="33" spans="1:53" s="2264" customFormat="1" ht="12.75" customHeight="1">
      <c r="A33" s="2275">
        <f t="shared" si="2"/>
        <v>28</v>
      </c>
      <c r="B33" s="2274">
        <f>+'Recalculos ST'!BI36+$B$4</f>
        <v>25.41389590416216</v>
      </c>
      <c r="C33" s="3915">
        <f>+'Recalculos ST'!BA36+$C$4</f>
        <v>89.583309455896881</v>
      </c>
      <c r="D33" s="3160">
        <f>+'MCP ST'!D29*$D$4</f>
        <v>0.58702891178295702</v>
      </c>
      <c r="E33" s="2273">
        <f t="shared" si="3"/>
        <v>79.320162188502493</v>
      </c>
      <c r="F33" s="2267">
        <f>+'MCP ST'!B29</f>
        <v>185000.00000020902</v>
      </c>
      <c r="G33" s="2268">
        <f>+'MCP ST'!C29</f>
        <v>0.61314056607173728</v>
      </c>
      <c r="H33" s="2268">
        <f>+'MCP ST'!D29</f>
        <v>0.58702891178295702</v>
      </c>
      <c r="I33" s="2272">
        <f>+'MCP ST'!E29</f>
        <v>79.320162188502493</v>
      </c>
      <c r="J33" s="2268">
        <f>+'MCP ST'!F29</f>
        <v>3.7182738605934233E-2</v>
      </c>
      <c r="K33" s="2268">
        <f>+'MCP ST'!G29</f>
        <v>1.2044504491599561</v>
      </c>
      <c r="L33" s="2271">
        <f>+'MCP ST'!I29</f>
        <v>25.425757659428303</v>
      </c>
      <c r="M33" s="2270">
        <f>+'MCP ST'!J29</f>
        <v>88.338646269922862</v>
      </c>
      <c r="N33" s="2268">
        <f>+'MCP ST'!L29</f>
        <v>12.849320642053568</v>
      </c>
      <c r="O33" s="2269">
        <f>+'MCP ST'!M29</f>
        <v>1492.2317997386911</v>
      </c>
      <c r="P33" s="2269"/>
      <c r="Q33" s="2269"/>
      <c r="R33" s="2268">
        <f>+'MCP ST'!N29</f>
        <v>0.94377751245286634</v>
      </c>
      <c r="S33" s="2268"/>
      <c r="T33" s="2268">
        <f>+'MCP ST'!O29</f>
        <v>1.6147434625345152</v>
      </c>
      <c r="U33" s="2268">
        <f>+'MCP ST'!P29</f>
        <v>0.17869857786877177</v>
      </c>
      <c r="V33" s="2268">
        <f>+'MCP ST'!R29</f>
        <v>29.582279762370987</v>
      </c>
      <c r="W33" s="2268">
        <f>+'MCP ST'!Q29</f>
        <v>0.17791604992972612</v>
      </c>
      <c r="X33" s="2269">
        <f>+'Recalculos ST'!AL36</f>
        <v>235.19410565269305</v>
      </c>
      <c r="Y33" s="2268">
        <f>+'MCP ST'!T29</f>
        <v>40.074008752534851</v>
      </c>
      <c r="Z33" s="2268">
        <f>+'MCP ST'!U29</f>
        <v>75.098579130170222</v>
      </c>
      <c r="AA33" s="2268">
        <f>+'MCP ST'!V29</f>
        <v>70.050570607737995</v>
      </c>
      <c r="AB33" s="2267">
        <f>+'MCP ST'!W29</f>
        <v>103112.26324511047</v>
      </c>
      <c r="AC33" s="2267">
        <f>+'MCP ST'!X29</f>
        <v>0</v>
      </c>
      <c r="AD33" s="2267">
        <f>+'MCP ST'!Y29</f>
        <v>5005.6686774852633</v>
      </c>
      <c r="AE33" s="2267">
        <f>+'MCP ST'!Z29</f>
        <v>76678.148257226072</v>
      </c>
      <c r="AF33" s="2267">
        <f>+'MCP ST'!AA29</f>
        <v>0</v>
      </c>
      <c r="AG33" s="2267">
        <f>+'MCP ST'!AB29</f>
        <v>0</v>
      </c>
      <c r="AH33" s="2267">
        <f>+'MCP ST'!AC29</f>
        <v>203.823583271351</v>
      </c>
      <c r="AI33" s="2266">
        <f>+'MCP ST'!AS29</f>
        <v>0.95472883959469068</v>
      </c>
      <c r="AJ33" s="2265">
        <f>+'Recalculos ST'!P36</f>
        <v>102.57256103246458</v>
      </c>
      <c r="AK33" s="2265">
        <f t="shared" si="0"/>
        <v>102.57256103246458</v>
      </c>
      <c r="AL33" s="2265">
        <f t="shared" si="1"/>
        <v>4.0382898044277393</v>
      </c>
      <c r="AM33" s="2265">
        <f>+'MCP ST'!AU29</f>
        <v>0.44153437527899392</v>
      </c>
      <c r="AN33" s="3122"/>
    </row>
    <row r="34" spans="1:53" s="2264" customFormat="1" ht="12.75" customHeight="1">
      <c r="A34" s="2275">
        <f t="shared" si="2"/>
        <v>29</v>
      </c>
      <c r="B34" s="2274">
        <f>+'Recalculos ST'!BI37+$B$4</f>
        <v>26.613948682597318</v>
      </c>
      <c r="C34" s="3915">
        <f>+'Recalculos ST'!BA37+$C$4</f>
        <v>89.976839205924364</v>
      </c>
      <c r="D34" s="3160">
        <f>+'MCP ST'!D30*$D$4</f>
        <v>0.58110873305710664</v>
      </c>
      <c r="E34" s="2273">
        <f t="shared" si="3"/>
        <v>81.246285404785922</v>
      </c>
      <c r="F34" s="2267">
        <f>+'MCP ST'!B30</f>
        <v>219999.99999977328</v>
      </c>
      <c r="G34" s="2268">
        <f>+'MCP ST'!C30</f>
        <v>0.60554461011562</v>
      </c>
      <c r="H34" s="2268">
        <f>+'MCP ST'!D30</f>
        <v>0.58110873305710664</v>
      </c>
      <c r="I34" s="2272">
        <f>+'MCP ST'!E30</f>
        <v>81.246285404785922</v>
      </c>
      <c r="J34" s="2268">
        <f>+'MCP ST'!F30</f>
        <v>3.678014984588035E-2</v>
      </c>
      <c r="K34" s="2268">
        <f>+'MCP ST'!G30</f>
        <v>1.3811764266152766</v>
      </c>
      <c r="L34" s="2271">
        <f>+'MCP ST'!I30</f>
        <v>26.22012963418106</v>
      </c>
      <c r="M34" s="2270">
        <f>+'MCP ST'!J30</f>
        <v>88.558399746515491</v>
      </c>
      <c r="N34" s="2268">
        <f>+'MCP ST'!L30</f>
        <v>12.804795343107346</v>
      </c>
      <c r="O34" s="2269">
        <f>+'MCP ST'!M30</f>
        <v>1222.7916234264526</v>
      </c>
      <c r="P34" s="2269"/>
      <c r="Q34" s="2269"/>
      <c r="R34" s="2268">
        <f>+'MCP ST'!N30</f>
        <v>1.0283587143427104</v>
      </c>
      <c r="S34" s="2268"/>
      <c r="T34" s="2268">
        <f>+'MCP ST'!O30</f>
        <v>1.1488833882876746</v>
      </c>
      <c r="U34" s="2268">
        <f>+'MCP ST'!P30</f>
        <v>0.18920478390619638</v>
      </c>
      <c r="V34" s="2268">
        <f>+'MCP ST'!R30</f>
        <v>39.292126131271907</v>
      </c>
      <c r="W34" s="2268">
        <f>+'MCP ST'!Q30</f>
        <v>0.12131040607415451</v>
      </c>
      <c r="X34" s="2269">
        <f>+'Recalculos ST'!AL37</f>
        <v>225.66714987142089</v>
      </c>
      <c r="Y34" s="2268">
        <f>+'MCP ST'!T30</f>
        <v>39.461790207852523</v>
      </c>
      <c r="Z34" s="2268">
        <f>+'MCP ST'!U30</f>
        <v>79.855065778715996</v>
      </c>
      <c r="AA34" s="2268">
        <f>+'MCP ST'!V30</f>
        <v>78.391943949599408</v>
      </c>
      <c r="AB34" s="2267">
        <f>+'MCP ST'!W30</f>
        <v>88406.673676447914</v>
      </c>
      <c r="AC34" s="2267">
        <f>+'MCP ST'!X30</f>
        <v>0</v>
      </c>
      <c r="AD34" s="2267">
        <f>+'MCP ST'!Y30</f>
        <v>4359.9175731404848</v>
      </c>
      <c r="AE34" s="2267">
        <f>+'MCP ST'!Z30</f>
        <v>127038.50344748047</v>
      </c>
      <c r="AF34" s="2267">
        <f>+'MCP ST'!AA30</f>
        <v>0</v>
      </c>
      <c r="AG34" s="2267">
        <f>+'MCP ST'!AB30</f>
        <v>0</v>
      </c>
      <c r="AH34" s="2267">
        <f>+'MCP ST'!AC30</f>
        <v>194.447698440869</v>
      </c>
      <c r="AI34" s="2266">
        <f>+'MCP ST'!AS30</f>
        <v>1.2026141680676279</v>
      </c>
      <c r="AJ34" s="2265">
        <f>+'Recalculos ST'!P37</f>
        <v>105.80311987729034</v>
      </c>
      <c r="AK34" s="2265">
        <f t="shared" ref="AK34:AK36" si="4">+IF(ISNUMBER(AJ34*1),AJ34*1,"")</f>
        <v>105.80311987729034</v>
      </c>
      <c r="AL34" s="2265">
        <f t="shared" si="1"/>
        <v>4.1654771605232419</v>
      </c>
      <c r="AM34" s="2265">
        <f>+'MCP ST'!AU30</f>
        <v>0.70841381451589636</v>
      </c>
      <c r="AN34" s="3122"/>
    </row>
    <row r="35" spans="1:53" s="2264" customFormat="1" ht="12.75" customHeight="1">
      <c r="A35" s="2275">
        <f t="shared" si="2"/>
        <v>30</v>
      </c>
      <c r="B35" s="2274">
        <f>+'Recalculos ST'!BI38+$B$4</f>
        <v>27.633995175069714</v>
      </c>
      <c r="C35" s="3915">
        <f>+'Recalculos ST'!BA38+$C$4</f>
        <v>90.285434666516934</v>
      </c>
      <c r="D35" s="3160">
        <f>+'MCP ST'!D31*$D$4</f>
        <v>0.56194335962321529</v>
      </c>
      <c r="E35" s="2273">
        <f t="shared" si="3"/>
        <v>73.450913666676442</v>
      </c>
      <c r="F35" s="2267">
        <f>+'MCP ST'!B31</f>
        <v>219999.9999998819</v>
      </c>
      <c r="G35" s="2268">
        <f>+'MCP ST'!C31</f>
        <v>0.58111715000881992</v>
      </c>
      <c r="H35" s="2268">
        <f>+'MCP ST'!D31</f>
        <v>0.56194335962321529</v>
      </c>
      <c r="I35" s="2272">
        <f>+'MCP ST'!E31</f>
        <v>73.450913666676442</v>
      </c>
      <c r="J35" s="2268">
        <f>+'MCP ST'!F31</f>
        <v>4.3213714359593022E-2</v>
      </c>
      <c r="K35" s="2268">
        <f>+'MCP ST'!G31</f>
        <v>1.4736298341523184</v>
      </c>
      <c r="L35" s="2271">
        <f>+'MCP ST'!I31</f>
        <v>27.668627824499222</v>
      </c>
      <c r="M35" s="2270">
        <f>+'MCP ST'!J31</f>
        <v>89.204965426959831</v>
      </c>
      <c r="N35" s="2268">
        <f>+'MCP ST'!L31</f>
        <v>12.669526583618662</v>
      </c>
      <c r="O35" s="2269">
        <f>+'MCP ST'!M31</f>
        <v>1158.7195725527924</v>
      </c>
      <c r="P35" s="2269"/>
      <c r="Q35" s="2269"/>
      <c r="R35" s="2268">
        <f>+'MCP ST'!N31</f>
        <v>1.0244310918357682</v>
      </c>
      <c r="S35" s="2268"/>
      <c r="T35" s="2268">
        <f>+'MCP ST'!O31</f>
        <v>0.82719182800932523</v>
      </c>
      <c r="U35" s="2268">
        <f>+'MCP ST'!P31</f>
        <v>0.20252050974094826</v>
      </c>
      <c r="V35" s="2268">
        <f>+'MCP ST'!R31</f>
        <v>34.676861667214887</v>
      </c>
      <c r="W35" s="2268">
        <f>+'MCP ST'!Q31</f>
        <v>8.5714539100168324E-2</v>
      </c>
      <c r="X35" s="2269">
        <f>+'Recalculos ST'!AL38</f>
        <v>213.92747414621758</v>
      </c>
      <c r="Y35" s="2268">
        <f>+'MCP ST'!T31</f>
        <v>39.051234898260368</v>
      </c>
      <c r="Z35" s="2268">
        <f>+'MCP ST'!U31</f>
        <v>77.222205675392829</v>
      </c>
      <c r="AA35" s="2268">
        <f>+'MCP ST'!V31</f>
        <v>87.125693974853675</v>
      </c>
      <c r="AB35" s="2267">
        <f>+'MCP ST'!W31</f>
        <v>66100.960376992647</v>
      </c>
      <c r="AC35" s="2267">
        <f>+'MCP ST'!X31</f>
        <v>0</v>
      </c>
      <c r="AD35" s="2267">
        <f>+'MCP ST'!Y31</f>
        <v>0</v>
      </c>
      <c r="AE35" s="2267">
        <f>+'MCP ST'!Z31</f>
        <v>149481.12702983132</v>
      </c>
      <c r="AF35" s="2267">
        <f>+'MCP ST'!AA31</f>
        <v>0</v>
      </c>
      <c r="AG35" s="2267">
        <f>+'MCP ST'!AB31</f>
        <v>0</v>
      </c>
      <c r="AH35" s="2267">
        <f>+'MCP ST'!AC31</f>
        <v>4417.8748995025098</v>
      </c>
      <c r="AI35" s="2266">
        <f>+'MCP ST'!AS31</f>
        <v>1.4190181442615963</v>
      </c>
      <c r="AJ35" s="2265">
        <f>+'Recalculos ST'!P38</f>
        <v>109.03557477946977</v>
      </c>
      <c r="AK35" s="2265">
        <f t="shared" si="4"/>
        <v>109.03557477946977</v>
      </c>
      <c r="AL35" s="2265">
        <f t="shared" si="1"/>
        <v>4.2927391645460542</v>
      </c>
      <c r="AM35" s="2265">
        <f>+'MCP ST'!AU31</f>
        <v>0.70841381451589636</v>
      </c>
      <c r="AN35" s="3122"/>
    </row>
    <row r="36" spans="1:53" s="2264" customFormat="1" ht="12.75" customHeight="1">
      <c r="A36" s="2275">
        <f t="shared" si="2"/>
        <v>31</v>
      </c>
      <c r="B36" s="2274">
        <f>+'Recalculos ST'!BI39+$B$4</f>
        <v>27.614292362477695</v>
      </c>
      <c r="C36" s="3915">
        <f>+'Recalculos ST'!BA39+$C$4</f>
        <v>90.45774167981746</v>
      </c>
      <c r="D36" s="3160">
        <f>+'MCP ST'!D32*$D$4</f>
        <v>0.56149614023378414</v>
      </c>
      <c r="E36" s="2273">
        <f t="shared" si="3"/>
        <v>73.462412059144683</v>
      </c>
      <c r="F36" s="2267">
        <f>+'MCP ST'!B32</f>
        <v>185000.0000001291</v>
      </c>
      <c r="G36" s="2268">
        <f>+'MCP ST'!C32</f>
        <v>0.57896902220836066</v>
      </c>
      <c r="H36" s="2268">
        <f>+'MCP ST'!D32</f>
        <v>0.56149614023378414</v>
      </c>
      <c r="I36" s="2272">
        <f>+'MCP ST'!E32</f>
        <v>73.462412059144683</v>
      </c>
      <c r="J36" s="2268">
        <f>+'MCP ST'!F32</f>
        <v>5.323733387665134E-2</v>
      </c>
      <c r="K36" s="2268">
        <f>+'MCP ST'!G32</f>
        <v>1.6911686530816561</v>
      </c>
      <c r="L36" s="2271">
        <f>+'MCP ST'!I32</f>
        <v>28.065062333094396</v>
      </c>
      <c r="M36" s="2270">
        <f>+'MCP ST'!J32</f>
        <v>89.476335963574257</v>
      </c>
      <c r="N36" s="2268">
        <f>+'MCP ST'!L32</f>
        <v>12.664481906681157</v>
      </c>
      <c r="O36" s="2269">
        <f>+'MCP ST'!M32</f>
        <v>667.95196083635039</v>
      </c>
      <c r="P36" s="2269"/>
      <c r="Q36" s="2269"/>
      <c r="R36" s="2268">
        <f>+'MCP ST'!N32</f>
        <v>1.1231023717742226</v>
      </c>
      <c r="S36" s="2268"/>
      <c r="T36" s="2268">
        <f>+'MCP ST'!O32</f>
        <v>0.67443660974899677</v>
      </c>
      <c r="U36" s="2268">
        <f>+'MCP ST'!P32</f>
        <v>0.22206256279795095</v>
      </c>
      <c r="V36" s="2268">
        <f>+'MCP ST'!R32</f>
        <v>15.826001958554642</v>
      </c>
      <c r="W36" s="2268">
        <f>+'MCP ST'!Q32</f>
        <v>2.4475635117389486E-2</v>
      </c>
      <c r="X36" s="2269">
        <f>+'Recalculos ST'!AL39</f>
        <v>212.19472678126468</v>
      </c>
      <c r="Y36" s="2268">
        <f>+'MCP ST'!T32</f>
        <v>38.005042592630858</v>
      </c>
      <c r="Z36" s="2268">
        <f>+'MCP ST'!U32</f>
        <v>75.87180514108455</v>
      </c>
      <c r="AA36" s="2268">
        <f>+'MCP ST'!V32</f>
        <v>89.626325445206248</v>
      </c>
      <c r="AB36" s="2267">
        <f>+'MCP ST'!W32</f>
        <v>26838.948289611497</v>
      </c>
      <c r="AC36" s="2267">
        <f>+'MCP ST'!X32</f>
        <v>0</v>
      </c>
      <c r="AD36" s="2267">
        <f>+'MCP ST'!Y32</f>
        <v>0</v>
      </c>
      <c r="AE36" s="2267">
        <f>+'MCP ST'!Z32</f>
        <v>142529.64836721134</v>
      </c>
      <c r="AF36" s="2267">
        <f>+'MCP ST'!AA32</f>
        <v>0</v>
      </c>
      <c r="AG36" s="2267">
        <f>+'MCP ST'!AB32</f>
        <v>0</v>
      </c>
      <c r="AH36" s="2267">
        <f>+'MCP ST'!AC32</f>
        <v>15631.488446369423</v>
      </c>
      <c r="AI36" s="2266">
        <f>+'MCP ST'!AS32</f>
        <v>1.6069762902326332</v>
      </c>
      <c r="AJ36" s="2265">
        <f>+'Recalculos ST'!P39</f>
        <v>107.31017430745383</v>
      </c>
      <c r="AK36" s="2265">
        <f t="shared" si="4"/>
        <v>107.31017430745383</v>
      </c>
      <c r="AL36" s="2265">
        <f t="shared" si="1"/>
        <v>4.2248100121044816</v>
      </c>
      <c r="AM36" s="2265">
        <f>+'MCP ST'!AU32</f>
        <v>0.70841381451589636</v>
      </c>
    </row>
    <row r="37" spans="1:53">
      <c r="A37" s="2263"/>
      <c r="B37" s="2262"/>
      <c r="C37" s="2262"/>
      <c r="D37" s="2262"/>
      <c r="E37" s="375"/>
      <c r="F37" s="375"/>
      <c r="G37" s="2261"/>
      <c r="H37" s="2260"/>
      <c r="I37" s="2259"/>
      <c r="J37" s="2259"/>
      <c r="K37" s="2258"/>
      <c r="L37" s="2257"/>
      <c r="M37" s="2256"/>
      <c r="N37" s="2255"/>
      <c r="O37" s="2253"/>
      <c r="P37" s="2253"/>
      <c r="Q37" s="2253"/>
      <c r="R37" s="2254"/>
      <c r="S37" s="2254"/>
      <c r="T37" s="353"/>
      <c r="U37" s="353"/>
      <c r="V37" s="2253"/>
      <c r="W37" s="2253"/>
      <c r="X37" s="2253"/>
      <c r="Y37" s="2253"/>
      <c r="Z37" s="2253"/>
      <c r="AA37" s="2253"/>
      <c r="AB37" s="2253"/>
      <c r="AC37" s="2252"/>
      <c r="AD37" s="2251"/>
      <c r="AE37" s="2250"/>
      <c r="AF37" s="2250"/>
      <c r="AG37" s="353"/>
      <c r="AH37" s="353"/>
      <c r="AI37" s="353"/>
      <c r="AJ37" s="353"/>
      <c r="AK37" s="353"/>
      <c r="AL37" s="353"/>
      <c r="AM37" s="353"/>
      <c r="AN37" s="353"/>
      <c r="AO37" s="375"/>
      <c r="AP37" s="353"/>
      <c r="AQ37" s="353"/>
      <c r="AR37" s="353"/>
      <c r="AS37" s="375"/>
      <c r="AT37" s="375"/>
      <c r="AU37" s="375"/>
      <c r="AV37" s="1399"/>
      <c r="AW37" s="1399"/>
      <c r="AX37" s="1399"/>
    </row>
    <row r="38" spans="1:53">
      <c r="B38" s="3089"/>
      <c r="C38" s="3089"/>
      <c r="D38" s="3089"/>
      <c r="E38" s="3089"/>
      <c r="F38" s="2246"/>
      <c r="G38" s="2246"/>
      <c r="H38" s="2246"/>
      <c r="I38" s="2576"/>
      <c r="J38" s="2246"/>
      <c r="K38" s="2245"/>
      <c r="L38" s="2248"/>
      <c r="M38" s="2248">
        <f>6800*24</f>
        <v>163200</v>
      </c>
      <c r="N38" s="2248"/>
      <c r="O38" s="2248"/>
      <c r="P38" s="2248"/>
      <c r="Q38" s="2248"/>
      <c r="R38" s="2249"/>
      <c r="S38" s="2249"/>
      <c r="T38" s="2249"/>
      <c r="U38" s="2229">
        <f>200000/24</f>
        <v>8333.3333333333339</v>
      </c>
      <c r="V38" s="2249"/>
      <c r="W38" s="2249"/>
      <c r="X38" s="2249"/>
      <c r="Y38" s="2249"/>
      <c r="Z38" s="2249"/>
      <c r="AA38" s="2248"/>
      <c r="AB38" s="2248"/>
      <c r="AC38" s="2248"/>
      <c r="AD38" s="2248"/>
      <c r="AE38" s="2248"/>
      <c r="AF38" s="2248"/>
      <c r="AG38" s="2248"/>
      <c r="AH38" s="2248"/>
      <c r="AI38" s="2248"/>
      <c r="AJ38" s="2248"/>
      <c r="AK38" s="2248"/>
      <c r="AL38" s="2248"/>
      <c r="AM38" s="2248"/>
      <c r="AN38" s="476"/>
      <c r="AO38" s="331"/>
      <c r="AP38" s="331"/>
      <c r="AQ38" s="331"/>
      <c r="AR38" s="331"/>
      <c r="AS38"/>
      <c r="AT38"/>
      <c r="AU38" s="2247"/>
      <c r="AV38"/>
      <c r="AW38"/>
      <c r="AX38"/>
      <c r="AY38" s="331"/>
      <c r="AZ38" s="331"/>
      <c r="BA38"/>
    </row>
    <row r="39" spans="1:53">
      <c r="B39" s="2198"/>
      <c r="C39" s="2198"/>
      <c r="D39" s="2198"/>
      <c r="E39" s="2198"/>
      <c r="F39" s="2246"/>
      <c r="G39" s="2246"/>
      <c r="H39" s="2246"/>
      <c r="I39" s="2246"/>
      <c r="J39" s="2246"/>
      <c r="K39" s="2245"/>
      <c r="L39" s="4663"/>
      <c r="M39" s="4663"/>
      <c r="N39" s="4663"/>
      <c r="O39" s="4663"/>
      <c r="P39" s="3121"/>
      <c r="Q39" s="3121"/>
      <c r="R39" s="2229">
        <v>100</v>
      </c>
      <c r="S39" s="2229"/>
      <c r="T39" s="2229">
        <f>24+24+16</f>
        <v>64</v>
      </c>
      <c r="U39" s="2229">
        <f>+U38*11</f>
        <v>91666.666666666672</v>
      </c>
      <c r="V39" s="2229"/>
      <c r="W39" s="2229"/>
      <c r="X39" s="2229"/>
      <c r="Y39" s="2229"/>
      <c r="Z39" s="2229"/>
      <c r="AA39" s="1400"/>
      <c r="AB39" s="1400"/>
      <c r="AC39" s="1400"/>
      <c r="AD39" s="1400"/>
      <c r="AE39" s="1400"/>
      <c r="AF39" s="1400"/>
      <c r="AG39" s="1400"/>
      <c r="AH39" s="1400"/>
      <c r="AI39" s="1400"/>
      <c r="AJ39" s="1400"/>
      <c r="AK39" s="1400"/>
      <c r="AL39" s="1400"/>
      <c r="AM39" s="1400"/>
      <c r="AN39" s="2244"/>
      <c r="AO39" s="2243"/>
      <c r="AP39" s="173"/>
      <c r="AQ39"/>
      <c r="AR39"/>
      <c r="AS39"/>
      <c r="AT39" s="254"/>
      <c r="AU39" s="254"/>
      <c r="AV39"/>
      <c r="AW39"/>
      <c r="AX39"/>
      <c r="AY39"/>
      <c r="AZ39"/>
      <c r="BA39"/>
    </row>
    <row r="40" spans="1:53" ht="13.5" thickBot="1">
      <c r="A40" s="2242"/>
      <c r="B40" s="3090"/>
      <c r="C40" s="3090"/>
      <c r="D40" s="3090"/>
      <c r="E40" s="2233">
        <f>+G41*98*36/100</f>
        <v>65268</v>
      </c>
      <c r="F40" s="2241"/>
      <c r="G40" s="2241"/>
      <c r="H40" s="2241"/>
      <c r="I40" s="2241"/>
      <c r="J40" s="2240">
        <f>123-75</f>
        <v>48</v>
      </c>
      <c r="K40" s="2193"/>
      <c r="L40" s="4666" t="s">
        <v>1334</v>
      </c>
      <c r="M40" s="4666"/>
      <c r="N40" s="4666"/>
      <c r="O40" s="3180">
        <v>600</v>
      </c>
      <c r="P40" s="3124"/>
      <c r="Q40" s="3124"/>
      <c r="R40" s="2229"/>
      <c r="S40" s="3941">
        <f>6*24</f>
        <v>144</v>
      </c>
      <c r="T40" s="2229"/>
      <c r="V40" s="2229"/>
      <c r="W40" s="2229"/>
      <c r="X40" s="2189"/>
      <c r="Y40" s="2229"/>
      <c r="Z40" s="2229"/>
      <c r="AA40" s="1400"/>
      <c r="AB40" s="1400"/>
      <c r="AC40" s="1400"/>
      <c r="AD40" s="1400"/>
      <c r="AE40" s="1400"/>
      <c r="AF40" s="1400"/>
      <c r="AG40" s="1400"/>
      <c r="AH40" s="1400"/>
      <c r="AI40" s="1400"/>
      <c r="AJ40" s="1400"/>
      <c r="AK40" s="1400"/>
      <c r="AL40" s="1400"/>
      <c r="AM40" s="1400"/>
      <c r="AN40" s="2239"/>
      <c r="AO40" s="2238"/>
      <c r="AP40" s="2237"/>
      <c r="AQ40" s="2237"/>
      <c r="AR40" s="2237"/>
      <c r="AS40" s="2237"/>
      <c r="AT40" s="2236"/>
      <c r="AU40"/>
      <c r="AV40"/>
      <c r="AW40"/>
      <c r="AX40"/>
      <c r="AY40"/>
      <c r="AZ40" s="2184"/>
      <c r="BA40" s="157"/>
    </row>
    <row r="41" spans="1:53" ht="26">
      <c r="A41" s="2235"/>
      <c r="B41" s="2235"/>
      <c r="C41" s="2235"/>
      <c r="D41" s="2234"/>
      <c r="E41" s="2233">
        <f>+G41*98*24/100</f>
        <v>43512</v>
      </c>
      <c r="F41" s="2233">
        <v>1812</v>
      </c>
      <c r="G41" s="2232">
        <v>1850</v>
      </c>
      <c r="H41" s="2503"/>
      <c r="I41" s="2231"/>
      <c r="J41" s="2231">
        <f>48*2100</f>
        <v>100800</v>
      </c>
      <c r="K41" s="2231"/>
      <c r="L41" s="4664" t="s">
        <v>482</v>
      </c>
      <c r="M41" s="3181" t="s">
        <v>1333</v>
      </c>
      <c r="N41" s="3181" t="s">
        <v>280</v>
      </c>
      <c r="O41" s="3182" t="s">
        <v>1332</v>
      </c>
      <c r="P41" s="2458"/>
      <c r="Q41" s="2458"/>
      <c r="R41" s="2230"/>
      <c r="S41" s="2230"/>
      <c r="T41" s="3410"/>
      <c r="U41" s="2230"/>
      <c r="V41" s="2230"/>
      <c r="W41" s="2230">
        <v>310</v>
      </c>
      <c r="X41" s="3114">
        <v>250</v>
      </c>
      <c r="Y41" s="2184"/>
      <c r="Z41" s="2228"/>
      <c r="AA41" s="2227">
        <v>1.0449999999999999</v>
      </c>
      <c r="AB41" s="2226">
        <v>650</v>
      </c>
      <c r="AC41" s="2787"/>
      <c r="AD41" s="2225"/>
      <c r="AE41" s="2221">
        <v>550</v>
      </c>
      <c r="AF41" s="2225"/>
      <c r="AG41" s="2186"/>
      <c r="AH41" s="2225"/>
      <c r="AI41" s="2224" t="s">
        <v>481</v>
      </c>
      <c r="AJ41" s="2223">
        <v>1.1000000000000001</v>
      </c>
      <c r="AK41" s="2222"/>
      <c r="AL41" s="2221" t="s">
        <v>483</v>
      </c>
      <c r="AM41" s="2222"/>
      <c r="AN41" s="2220" t="s">
        <v>1331</v>
      </c>
      <c r="AO41" s="2220" t="s">
        <v>484</v>
      </c>
      <c r="AP41" s="2220" t="s">
        <v>485</v>
      </c>
      <c r="AQ41"/>
      <c r="AR41"/>
      <c r="AS41" s="1399"/>
      <c r="AT41" s="1399"/>
      <c r="AU41" s="1399"/>
      <c r="AV41" s="1399"/>
      <c r="AW41" s="1399"/>
      <c r="AX41" s="1399"/>
    </row>
    <row r="42" spans="1:53" ht="33" customHeight="1" thickBot="1">
      <c r="A42" s="2418" t="s">
        <v>1330</v>
      </c>
      <c r="B42" s="2419" t="s">
        <v>1818</v>
      </c>
      <c r="C42" s="2419" t="s">
        <v>1819</v>
      </c>
      <c r="D42" s="2419" t="s">
        <v>1356</v>
      </c>
      <c r="E42" s="2420" t="s">
        <v>392</v>
      </c>
      <c r="F42" s="2420" t="s">
        <v>1354</v>
      </c>
      <c r="G42" s="2420" t="s">
        <v>1355</v>
      </c>
      <c r="H42" s="2420" t="s">
        <v>1376</v>
      </c>
      <c r="I42" s="2357" t="s">
        <v>1352</v>
      </c>
      <c r="J42" s="2357" t="s">
        <v>1351</v>
      </c>
      <c r="K42" s="2421" t="s">
        <v>549</v>
      </c>
      <c r="L42" s="4665"/>
      <c r="M42" s="2139" t="s">
        <v>119</v>
      </c>
      <c r="N42" s="2139" t="s">
        <v>119</v>
      </c>
      <c r="O42" s="3183" t="s">
        <v>119</v>
      </c>
      <c r="P42" s="2393" t="s">
        <v>1565</v>
      </c>
      <c r="Q42" s="2393" t="s">
        <v>364</v>
      </c>
      <c r="R42" s="2493" t="s">
        <v>576</v>
      </c>
      <c r="S42" s="2493" t="s">
        <v>1620</v>
      </c>
      <c r="T42" s="2493" t="s">
        <v>280</v>
      </c>
      <c r="U42" s="2493" t="s">
        <v>1664</v>
      </c>
      <c r="V42" s="2493" t="s">
        <v>1665</v>
      </c>
      <c r="W42" s="2493" t="s">
        <v>1377</v>
      </c>
      <c r="X42" s="2357" t="s">
        <v>1328</v>
      </c>
      <c r="Y42" s="2357" t="s">
        <v>1648</v>
      </c>
      <c r="Z42" s="2422" t="s">
        <v>1353</v>
      </c>
      <c r="AA42" s="2423" t="s">
        <v>1324</v>
      </c>
      <c r="AB42" s="2131" t="s">
        <v>1327</v>
      </c>
      <c r="AC42" s="2007" t="s">
        <v>488</v>
      </c>
      <c r="AD42" s="2007" t="s">
        <v>489</v>
      </c>
      <c r="AE42" s="2007" t="s">
        <v>1326</v>
      </c>
      <c r="AF42" s="2007" t="s">
        <v>490</v>
      </c>
      <c r="AG42" s="2007" t="s">
        <v>491</v>
      </c>
      <c r="AH42" s="2007" t="s">
        <v>492</v>
      </c>
      <c r="AI42"/>
      <c r="AJ42" s="2007" t="s">
        <v>493</v>
      </c>
      <c r="AK42" s="2007" t="s">
        <v>494</v>
      </c>
      <c r="AL42" s="2007" t="s">
        <v>1325</v>
      </c>
      <c r="AM42" s="2131"/>
      <c r="AN42" s="2131"/>
      <c r="AO42" s="2131" t="s">
        <v>493</v>
      </c>
      <c r="AP42" s="2131" t="s">
        <v>495</v>
      </c>
      <c r="AQ42"/>
      <c r="AR42"/>
      <c r="AS42" s="1399"/>
      <c r="AT42" s="1399"/>
      <c r="AU42" s="1399"/>
      <c r="AV42" s="1399"/>
      <c r="AW42" s="1399"/>
      <c r="AX42" s="1399"/>
    </row>
    <row r="43" spans="1:53" ht="14.25" customHeight="1">
      <c r="A43" s="2574">
        <f>+'Recalculos ST'!V9</f>
        <v>6622.5085469509295</v>
      </c>
      <c r="B43" s="2424">
        <f>12-SUM('ST Original'!DG8:DI8)-SUM('ST Original'!EM8:EO8)</f>
        <v>11.607193000000001</v>
      </c>
      <c r="C43" s="2219">
        <f>+'ST Original'!CR8/'ST Original'!$DO$3</f>
        <v>11.289204350107667</v>
      </c>
      <c r="D43" s="2218">
        <f>+IF(AO43&gt;=A43,A43,AO43)</f>
        <v>6622.5085469509295</v>
      </c>
      <c r="E43" s="1257">
        <f>+IF('Recalculos ST'!AD9&gt;$F$41,$F$41,'Recalculos ST'!AD9)</f>
        <v>1704.4901793740232</v>
      </c>
      <c r="F43" s="1257">
        <f>+D43*B43</f>
        <v>76868.734848609005</v>
      </c>
      <c r="G43" s="1257">
        <f>+IF(J43*1000&gt;$E$41,$E$41,J43*1000)</f>
        <v>19242.337947705022</v>
      </c>
      <c r="H43" s="1257">
        <f>+F43+G43</f>
        <v>96111.072796314023</v>
      </c>
      <c r="I43" s="2358">
        <f>+F43/1000</f>
        <v>76.868734848609009</v>
      </c>
      <c r="J43" s="3611">
        <f>+IF(C43*$E43&gt;$E$41,$E$41,C43*$E43)/1000</f>
        <v>19.242337947705021</v>
      </c>
      <c r="K43" s="3612">
        <f t="shared" ref="K43:K70" si="5">WEEKDAY(L43,1)</f>
        <v>1</v>
      </c>
      <c r="L43" s="2350">
        <f>'R+P'!B8</f>
        <v>46082.791666666664</v>
      </c>
      <c r="M43" s="2351">
        <f>+O40+N43-O43*2</f>
        <v>594.9778544076878</v>
      </c>
      <c r="N43" s="2351">
        <f>+F6/1000</f>
        <v>180.00000000031577</v>
      </c>
      <c r="O43" s="3613">
        <f>+(IF((I43+J43)&gt;$X$41,$X$41,(I43+J43))-0.3*12)</f>
        <v>92.511072796314039</v>
      </c>
      <c r="P43" s="3193"/>
      <c r="Q43" s="3251">
        <v>63.530200210855902</v>
      </c>
      <c r="R43" s="3194">
        <f>+'ST Original'!AT8</f>
        <v>36.675380974817763</v>
      </c>
      <c r="S43" s="3643" t="s">
        <v>1566</v>
      </c>
      <c r="T43" s="3195"/>
      <c r="U43" s="3195" t="s">
        <v>1832</v>
      </c>
      <c r="V43" s="3641"/>
      <c r="W43" s="3638"/>
      <c r="X43" s="2573">
        <f t="shared" ref="X43:X70" si="6">+(F43+G43)/1000</f>
        <v>96.111072796314019</v>
      </c>
      <c r="Y43" s="1217">
        <f>+O43/24*1000</f>
        <v>3854.6280331797516</v>
      </c>
      <c r="Z43" s="1217">
        <f t="shared" ref="Z43:Z73" si="7">+X43-O43</f>
        <v>3.5999999999999801</v>
      </c>
      <c r="AA43" s="2217">
        <f t="shared" ref="AA43:AA73" si="8">L43</f>
        <v>46082.791666666664</v>
      </c>
      <c r="AB43" s="2215">
        <v>6.7903225806451619</v>
      </c>
      <c r="AC43" s="2216">
        <f t="shared" ref="AC43:AC73" si="9">(24-AB43)/24</f>
        <v>0.71706989247311836</v>
      </c>
      <c r="AD43" s="1287">
        <f t="shared" ref="AD43:AD70" si="10">+AC43*$AB$41</f>
        <v>466.09543010752691</v>
      </c>
      <c r="AE43" s="2215">
        <v>6.629032258064516</v>
      </c>
      <c r="AF43" s="2216">
        <f t="shared" ref="AF43:AF70" si="11">(24-AE43)/24</f>
        <v>0.72379032258064513</v>
      </c>
      <c r="AG43" s="1287">
        <f t="shared" ref="AG43:AG70" si="12">+AF43*$AE$41</f>
        <v>398.08467741935482</v>
      </c>
      <c r="AH43" s="1287">
        <f t="shared" ref="AH43:AH70" si="13">+AD43+AG43</f>
        <v>864.18010752688178</v>
      </c>
      <c r="AI43" s="273"/>
      <c r="AJ43" s="1289">
        <f t="shared" ref="AJ43:AJ70" si="14">A43</f>
        <v>6622.5085469509295</v>
      </c>
      <c r="AK43" s="1289">
        <f t="shared" ref="AK43:AK74" si="15" xml:space="preserve"> (0.00000000612366*AJ43^3 - 0.0001641321*AJ43^2 + 1.47442017999*AJ43 - 3625.3824079)</f>
        <v>719.13614480331171</v>
      </c>
      <c r="AL43" s="1289">
        <f t="shared" ref="AL43:AL74" si="16">(0.000000006888843*AJ43^3 - 0.00017708145721*AJ43^2 + 1.55021494603*AJ43 - 3878.31848115)</f>
        <v>622.4690353164583</v>
      </c>
      <c r="AM43" s="2215">
        <f t="shared" ref="AM43:AM74" si="17">AK43-AL43</f>
        <v>96.667109486853406</v>
      </c>
      <c r="AN43" s="1287">
        <f t="shared" ref="AN43:AN70" si="18">IF(AK43-AH43&lt;0,0,AK43-AH43)</f>
        <v>0</v>
      </c>
      <c r="AO43" s="1289">
        <f t="shared" ref="AO43:AO70" si="19">AJ43+(AM43-AN43)*$AJ$41</f>
        <v>6728.8423673864681</v>
      </c>
      <c r="AP43" s="1289">
        <f t="shared" ref="AP43:AP70" si="20">AO43-AJ43</f>
        <v>106.33382043553866</v>
      </c>
      <c r="AQ43" s="273"/>
      <c r="AR43" s="469"/>
      <c r="AS43" s="1399"/>
      <c r="AT43" s="1399"/>
      <c r="AU43" s="1399"/>
      <c r="AV43" s="1399"/>
      <c r="AW43" s="1399"/>
      <c r="AX43" s="1399"/>
    </row>
    <row r="44" spans="1:53" ht="14.25" customHeight="1">
      <c r="A44" s="2574">
        <f>+'Recalculos ST'!V10</f>
        <v>6731.4312458694485</v>
      </c>
      <c r="B44" s="2424">
        <f>24-SUM('ST Original'!DG9:DI9)-SUM('ST Original'!EM9:EO9)</f>
        <v>20.072103000000002</v>
      </c>
      <c r="C44" s="2219">
        <f>+'ST Original'!CR9/'ST Original'!$DO$3</f>
        <v>23.289204350107667</v>
      </c>
      <c r="D44" s="2218">
        <f t="shared" ref="D44:D70" si="21">+IF(AO44&gt;=A44,A44,AO44)</f>
        <v>6731.4312458694485</v>
      </c>
      <c r="E44" s="1257">
        <f>+IF('Recalculos ST'!AD10&gt;$F$41,$F$41,'Recalculos ST'!AD10)</f>
        <v>1732.5245215422951</v>
      </c>
      <c r="F44" s="1257">
        <f t="shared" ref="F44:F73" si="22">+D44*B44</f>
        <v>135113.98130450991</v>
      </c>
      <c r="G44" s="1257">
        <f t="shared" ref="G44:G70" si="23">+IF(J44*1000&gt;$E$41,$E$41,J44*1000)</f>
        <v>40349.117623771024</v>
      </c>
      <c r="H44" s="1257">
        <f t="shared" ref="H44:H70" si="24">+F44+G44</f>
        <v>175463.09892828093</v>
      </c>
      <c r="I44" s="2358">
        <f t="shared" ref="I44:I70" si="25">+F44/1000</f>
        <v>135.11398130450991</v>
      </c>
      <c r="J44" s="3611">
        <f t="shared" ref="J44:J72" si="26">+IF(C44*$E44&gt;$E$41,$E$41,C44*$E44)/1000</f>
        <v>40.349117623771022</v>
      </c>
      <c r="K44" s="3614">
        <f t="shared" si="5"/>
        <v>2</v>
      </c>
      <c r="L44" s="2353">
        <f t="shared" ref="L44:L73" si="27">L43+1</f>
        <v>46083.791666666664</v>
      </c>
      <c r="M44" s="2354">
        <f>+M43+N44-O44</f>
        <v>608.1147554797916</v>
      </c>
      <c r="N44" s="2354">
        <f t="shared" ref="N44:N73" si="28">+F7/1000</f>
        <v>180.00000000038477</v>
      </c>
      <c r="O44" s="2352">
        <f>+IF((I44+J44)&gt;$X$41,$X$41,(I44+J44))-2*0.7-0.3*24</f>
        <v>166.86309892828095</v>
      </c>
      <c r="P44" s="3126"/>
      <c r="Q44" s="1134">
        <v>71.087138511271974</v>
      </c>
      <c r="R44" s="3137">
        <f>+'ST Original'!AT9</f>
        <v>37.065796219206057</v>
      </c>
      <c r="S44" s="3644" t="s">
        <v>1834</v>
      </c>
      <c r="T44" s="2575"/>
      <c r="U44" s="2575" t="s">
        <v>1836</v>
      </c>
      <c r="V44" s="3241"/>
      <c r="W44" s="3638"/>
      <c r="X44" s="2573">
        <f t="shared" si="6"/>
        <v>175.46309892828094</v>
      </c>
      <c r="Y44" s="1217">
        <f t="shared" ref="Y44:Y70" si="29">+O44/24*1000</f>
        <v>6952.6291220117064</v>
      </c>
      <c r="Z44" s="1217">
        <f t="shared" si="7"/>
        <v>8.5999999999999943</v>
      </c>
      <c r="AA44" s="2217">
        <f t="shared" si="8"/>
        <v>46083.791666666664</v>
      </c>
      <c r="AB44" s="2215">
        <v>6.7903225806451619</v>
      </c>
      <c r="AC44" s="2216">
        <f t="shared" si="9"/>
        <v>0.71706989247311836</v>
      </c>
      <c r="AD44" s="1287">
        <f t="shared" si="10"/>
        <v>466.09543010752691</v>
      </c>
      <c r="AE44" s="2215">
        <v>6.629032258064516</v>
      </c>
      <c r="AF44" s="2216">
        <f t="shared" si="11"/>
        <v>0.72379032258064513</v>
      </c>
      <c r="AG44" s="1287">
        <f t="shared" si="12"/>
        <v>398.08467741935482</v>
      </c>
      <c r="AH44" s="1287">
        <f t="shared" si="13"/>
        <v>864.18010752688178</v>
      </c>
      <c r="AI44" s="273"/>
      <c r="AJ44" s="1289">
        <f t="shared" si="14"/>
        <v>6731.4312458694485</v>
      </c>
      <c r="AK44" s="1289">
        <f t="shared" si="15"/>
        <v>730.20724951186685</v>
      </c>
      <c r="AL44" s="1289">
        <f t="shared" si="16"/>
        <v>634.1078556974503</v>
      </c>
      <c r="AM44" s="2215">
        <f t="shared" si="17"/>
        <v>96.099393814416544</v>
      </c>
      <c r="AN44" s="1287">
        <f t="shared" si="18"/>
        <v>0</v>
      </c>
      <c r="AO44" s="1289">
        <f t="shared" si="19"/>
        <v>6837.1405790653071</v>
      </c>
      <c r="AP44" s="1289">
        <f t="shared" si="20"/>
        <v>105.70933319585856</v>
      </c>
      <c r="AQ44" s="273"/>
      <c r="AR44" s="273"/>
      <c r="AS44" s="1399"/>
      <c r="AT44" s="1399"/>
      <c r="AU44" s="1399"/>
      <c r="AV44" s="1399"/>
      <c r="AW44" s="1399"/>
      <c r="AX44" s="1399"/>
    </row>
    <row r="45" spans="1:53" ht="14.25" customHeight="1">
      <c r="A45" s="2574">
        <f>+'Recalculos ST'!V11</f>
        <v>6533.8733371985199</v>
      </c>
      <c r="B45" s="2424">
        <f>24-SUM('ST Original'!DG10:DI10)-SUM('ST Original'!EM10:EO10)</f>
        <v>17.211808666666666</v>
      </c>
      <c r="C45" s="2219">
        <f>+'ST Original'!CR10/'ST Original'!$DO$3</f>
        <v>23.289204350107667</v>
      </c>
      <c r="D45" s="2218">
        <f t="shared" si="21"/>
        <v>6533.8733371985199</v>
      </c>
      <c r="E45" s="1257">
        <f>+IF('Recalculos ST'!AD11&gt;$F$41,$F$41,'Recalculos ST'!AD11)</f>
        <v>1681.6773972539763</v>
      </c>
      <c r="F45" s="1257">
        <f t="shared" si="22"/>
        <v>112459.77773209574</v>
      </c>
      <c r="G45" s="1257">
        <f t="shared" si="23"/>
        <v>39164.928555605045</v>
      </c>
      <c r="H45" s="1257">
        <f t="shared" si="24"/>
        <v>151624.7062877008</v>
      </c>
      <c r="I45" s="2358">
        <f t="shared" si="25"/>
        <v>112.45977773209574</v>
      </c>
      <c r="J45" s="3611">
        <f t="shared" si="26"/>
        <v>39.164928555605044</v>
      </c>
      <c r="K45" s="3614">
        <f t="shared" si="5"/>
        <v>3</v>
      </c>
      <c r="L45" s="2353">
        <f t="shared" si="27"/>
        <v>46084.791666666664</v>
      </c>
      <c r="M45" s="2354">
        <f>+M44+N45-O45</f>
        <v>653.69004919214092</v>
      </c>
      <c r="N45" s="2354">
        <f t="shared" si="28"/>
        <v>190.00000000005014</v>
      </c>
      <c r="O45" s="2352">
        <f>+IF((I45+J45)&gt;$X$41,$X$41,(I45+J45))-0.3*24</f>
        <v>144.42470628770081</v>
      </c>
      <c r="P45" s="3126" t="s">
        <v>1566</v>
      </c>
      <c r="Q45" s="1134">
        <v>72.182392593248977</v>
      </c>
      <c r="R45" s="3137">
        <f>+'ST Original'!AT10</f>
        <v>36.156022597522785</v>
      </c>
      <c r="S45" s="3644" t="s">
        <v>1834</v>
      </c>
      <c r="T45" s="2575"/>
      <c r="U45" s="2575" t="s">
        <v>1823</v>
      </c>
      <c r="V45" s="3241"/>
      <c r="W45" s="3638"/>
      <c r="X45" s="2573">
        <f t="shared" si="6"/>
        <v>151.6247062877008</v>
      </c>
      <c r="Y45" s="1217">
        <f t="shared" si="29"/>
        <v>6017.6960953208672</v>
      </c>
      <c r="Z45" s="1217">
        <f t="shared" si="7"/>
        <v>7.1999999999999886</v>
      </c>
      <c r="AA45" s="2217">
        <f t="shared" si="8"/>
        <v>46084.791666666664</v>
      </c>
      <c r="AB45" s="2215">
        <v>6.7903225806451619</v>
      </c>
      <c r="AC45" s="2216">
        <f t="shared" si="9"/>
        <v>0.71706989247311836</v>
      </c>
      <c r="AD45" s="1287">
        <f t="shared" si="10"/>
        <v>466.09543010752691</v>
      </c>
      <c r="AE45" s="2215">
        <v>6.629032258064516</v>
      </c>
      <c r="AF45" s="2216">
        <f t="shared" si="11"/>
        <v>0.72379032258064513</v>
      </c>
      <c r="AG45" s="1287">
        <f t="shared" si="12"/>
        <v>398.08467741935482</v>
      </c>
      <c r="AH45" s="1287">
        <f t="shared" si="13"/>
        <v>864.18010752688178</v>
      </c>
      <c r="AI45" s="273"/>
      <c r="AJ45" s="1289">
        <f t="shared" si="14"/>
        <v>6533.8733371985199</v>
      </c>
      <c r="AK45" s="1289">
        <f t="shared" si="15"/>
        <v>709.38559658951135</v>
      </c>
      <c r="AL45" s="1289">
        <f t="shared" si="16"/>
        <v>612.29623384493652</v>
      </c>
      <c r="AM45" s="2215">
        <f t="shared" si="17"/>
        <v>97.089362744574828</v>
      </c>
      <c r="AN45" s="1287">
        <f t="shared" si="18"/>
        <v>0</v>
      </c>
      <c r="AO45" s="1289">
        <f t="shared" si="19"/>
        <v>6640.6716362175521</v>
      </c>
      <c r="AP45" s="1289">
        <f t="shared" si="20"/>
        <v>106.79829901903213</v>
      </c>
      <c r="AQ45" s="273"/>
      <c r="AR45" s="273"/>
      <c r="AS45" s="1399"/>
      <c r="AT45" s="1399"/>
      <c r="AU45" s="1399"/>
      <c r="AV45" s="1399"/>
      <c r="AW45" s="1399"/>
      <c r="AX45" s="1399"/>
    </row>
    <row r="46" spans="1:53" ht="14.25" customHeight="1">
      <c r="A46" s="2574">
        <f>+'Recalculos ST'!V12</f>
        <v>6449.2458715441244</v>
      </c>
      <c r="B46" s="2424">
        <f>24-SUM('ST Original'!DG11:DI11)-SUM('ST Original'!EM11:EO11)</f>
        <v>17.211808666666666</v>
      </c>
      <c r="C46" s="2219">
        <f>+'ST Original'!CR11/'ST Original'!$DO$3</f>
        <v>23.289204350107667</v>
      </c>
      <c r="D46" s="2218">
        <f t="shared" si="21"/>
        <v>6449.2458715441244</v>
      </c>
      <c r="E46" s="1257">
        <f>+IF('Recalculos ST'!AD12&gt;$F$41,$F$41,'Recalculos ST'!AD12)</f>
        <v>1659.8961216103771</v>
      </c>
      <c r="F46" s="1257">
        <f t="shared" si="22"/>
        <v>111003.18598530738</v>
      </c>
      <c r="G46" s="1257">
        <f t="shared" si="23"/>
        <v>38657.659976135241</v>
      </c>
      <c r="H46" s="1257">
        <f t="shared" si="24"/>
        <v>149660.84596144262</v>
      </c>
      <c r="I46" s="2358">
        <f t="shared" si="25"/>
        <v>111.00318598530738</v>
      </c>
      <c r="J46" s="3611">
        <f t="shared" si="26"/>
        <v>38.657659976135243</v>
      </c>
      <c r="K46" s="3614">
        <f t="shared" si="5"/>
        <v>4</v>
      </c>
      <c r="L46" s="2353">
        <f t="shared" si="27"/>
        <v>46085.791666666664</v>
      </c>
      <c r="M46" s="2354">
        <f>+M45+N46-O46</f>
        <v>684.74540437229314</v>
      </c>
      <c r="N46" s="2354">
        <f t="shared" si="28"/>
        <v>175.91620114159485</v>
      </c>
      <c r="O46" s="2352">
        <f>+IF((I46+J46)&gt;$X$41,$X$41,(I46+J46))-0.2*24</f>
        <v>144.86084596144261</v>
      </c>
      <c r="P46" s="3126" t="s">
        <v>1566</v>
      </c>
      <c r="Q46" s="1134">
        <v>88.337760165885797</v>
      </c>
      <c r="R46" s="3137">
        <f>+'ST Original'!AT11</f>
        <v>35.229162470968802</v>
      </c>
      <c r="S46" s="3644" t="s">
        <v>1834</v>
      </c>
      <c r="T46" s="2575"/>
      <c r="U46" s="2575"/>
      <c r="V46" s="3241"/>
      <c r="W46" s="3638"/>
      <c r="X46" s="2573">
        <f t="shared" si="6"/>
        <v>149.66084596144262</v>
      </c>
      <c r="Y46" s="1217">
        <f t="shared" si="29"/>
        <v>6035.8685817267751</v>
      </c>
      <c r="Z46" s="1217">
        <f t="shared" si="7"/>
        <v>4.8000000000000114</v>
      </c>
      <c r="AA46" s="2217">
        <f t="shared" si="8"/>
        <v>46085.791666666664</v>
      </c>
      <c r="AB46" s="2215">
        <v>6.7903225806451619</v>
      </c>
      <c r="AC46" s="2216">
        <f t="shared" si="9"/>
        <v>0.71706989247311836</v>
      </c>
      <c r="AD46" s="1287">
        <f t="shared" si="10"/>
        <v>466.09543010752691</v>
      </c>
      <c r="AE46" s="2215">
        <v>6.629032258064516</v>
      </c>
      <c r="AF46" s="2216">
        <f t="shared" si="11"/>
        <v>0.72379032258064513</v>
      </c>
      <c r="AG46" s="1287">
        <f t="shared" si="12"/>
        <v>398.08467741935482</v>
      </c>
      <c r="AH46" s="1287">
        <f t="shared" si="13"/>
        <v>864.18010752688178</v>
      </c>
      <c r="AI46" s="273"/>
      <c r="AJ46" s="1289">
        <f t="shared" si="14"/>
        <v>6449.2458715441244</v>
      </c>
      <c r="AK46" s="1289">
        <f t="shared" si="15"/>
        <v>699.42968478277771</v>
      </c>
      <c r="AL46" s="1289">
        <f t="shared" si="16"/>
        <v>601.96725733657559</v>
      </c>
      <c r="AM46" s="2215">
        <f t="shared" si="17"/>
        <v>97.462427446202128</v>
      </c>
      <c r="AN46" s="1287">
        <f t="shared" si="18"/>
        <v>0</v>
      </c>
      <c r="AO46" s="1289">
        <f t="shared" si="19"/>
        <v>6556.4545417349464</v>
      </c>
      <c r="AP46" s="1289">
        <f t="shared" si="20"/>
        <v>107.20867019082198</v>
      </c>
      <c r="AQ46" s="273"/>
      <c r="AR46" s="273"/>
      <c r="AS46" s="1399"/>
      <c r="AT46" s="1399"/>
      <c r="AU46" s="1399"/>
      <c r="AV46" s="1399"/>
      <c r="AW46" s="1399"/>
      <c r="AX46" s="1399"/>
    </row>
    <row r="47" spans="1:53" ht="14.25" customHeight="1">
      <c r="A47" s="2574">
        <f>+'Recalculos ST'!V13</f>
        <v>6710.2533746749332</v>
      </c>
      <c r="B47" s="2424">
        <f>24-SUM('ST Original'!DG12:DI12)-SUM('ST Original'!EM12:EO12)</f>
        <v>17.211808666666666</v>
      </c>
      <c r="C47" s="2219">
        <f>+'ST Original'!CR12/'ST Original'!$DO$3</f>
        <v>23.289204350107667</v>
      </c>
      <c r="D47" s="2218">
        <f t="shared" si="21"/>
        <v>6710.2533746749332</v>
      </c>
      <c r="E47" s="1257">
        <f>+IF('Recalculos ST'!AD13&gt;$F$41,$F$41,'Recalculos ST'!AD13)</f>
        <v>1727.0737964559955</v>
      </c>
      <c r="F47" s="1257">
        <f t="shared" si="22"/>
        <v>115495.59718975925</v>
      </c>
      <c r="G47" s="1257">
        <f t="shared" si="23"/>
        <v>40222.174573379933</v>
      </c>
      <c r="H47" s="1257">
        <f t="shared" si="24"/>
        <v>155717.77176313917</v>
      </c>
      <c r="I47" s="2358">
        <f t="shared" si="25"/>
        <v>115.49559718975925</v>
      </c>
      <c r="J47" s="3611">
        <f t="shared" si="26"/>
        <v>40.222174573379931</v>
      </c>
      <c r="K47" s="3614">
        <f t="shared" si="5"/>
        <v>5</v>
      </c>
      <c r="L47" s="2353">
        <f t="shared" si="27"/>
        <v>46086.791666666664</v>
      </c>
      <c r="M47" s="2354">
        <f t="shared" ref="M47:M70" si="30">+M46+N47-O47</f>
        <v>713.82772987393537</v>
      </c>
      <c r="N47" s="2354">
        <f t="shared" si="28"/>
        <v>180.00009726478135</v>
      </c>
      <c r="O47" s="2352">
        <f>+IF((I47+J47)&gt;$X$41,$X$41,(I47+J47))-0.2*24</f>
        <v>150.91777176313917</v>
      </c>
      <c r="P47" s="3126" t="s">
        <v>1566</v>
      </c>
      <c r="Q47" s="1134">
        <v>76.876588992864654</v>
      </c>
      <c r="R47" s="3137">
        <f>+'ST Original'!AT12</f>
        <v>36.905824554680905</v>
      </c>
      <c r="S47" s="3644" t="s">
        <v>1834</v>
      </c>
      <c r="T47" s="2575"/>
      <c r="U47" s="2575"/>
      <c r="V47" s="3241"/>
      <c r="W47" s="3638"/>
      <c r="X47" s="2573">
        <f t="shared" si="6"/>
        <v>155.71777176313918</v>
      </c>
      <c r="Y47" s="1217">
        <f t="shared" si="29"/>
        <v>6288.2404901307991</v>
      </c>
      <c r="Z47" s="1217">
        <f t="shared" si="7"/>
        <v>4.8000000000000114</v>
      </c>
      <c r="AA47" s="2217">
        <f t="shared" si="8"/>
        <v>46086.791666666664</v>
      </c>
      <c r="AB47" s="2215">
        <v>6.7903225806451619</v>
      </c>
      <c r="AC47" s="2216">
        <f t="shared" si="9"/>
        <v>0.71706989247311836</v>
      </c>
      <c r="AD47" s="1287">
        <f t="shared" si="10"/>
        <v>466.09543010752691</v>
      </c>
      <c r="AE47" s="2215">
        <v>6.629032258064516</v>
      </c>
      <c r="AF47" s="2216">
        <f t="shared" si="11"/>
        <v>0.72379032258064513</v>
      </c>
      <c r="AG47" s="1287">
        <f t="shared" si="12"/>
        <v>398.08467741935482</v>
      </c>
      <c r="AH47" s="1287">
        <f t="shared" si="13"/>
        <v>864.18010752688178</v>
      </c>
      <c r="AI47" s="273"/>
      <c r="AJ47" s="1289">
        <f t="shared" si="14"/>
        <v>6710.2533746749332</v>
      </c>
      <c r="AK47" s="1289">
        <f t="shared" si="15"/>
        <v>728.13137361122472</v>
      </c>
      <c r="AL47" s="1289">
        <f t="shared" si="16"/>
        <v>631.91713252156887</v>
      </c>
      <c r="AM47" s="2215">
        <f t="shared" si="17"/>
        <v>96.214241089655843</v>
      </c>
      <c r="AN47" s="1287">
        <f t="shared" si="18"/>
        <v>0</v>
      </c>
      <c r="AO47" s="1289">
        <f t="shared" si="19"/>
        <v>6816.0890398735546</v>
      </c>
      <c r="AP47" s="1289">
        <f t="shared" si="20"/>
        <v>105.83566519862143</v>
      </c>
      <c r="AQ47" s="273"/>
      <c r="AR47" s="273"/>
      <c r="AS47" s="1399"/>
      <c r="AT47" s="1399"/>
      <c r="AU47" s="1399"/>
      <c r="AV47" s="1399"/>
      <c r="AW47" s="1399"/>
      <c r="AX47" s="1399"/>
    </row>
    <row r="48" spans="1:53" ht="14.25" customHeight="1">
      <c r="A48" s="2574">
        <f>+'Recalculos ST'!V14</f>
        <v>6757.1813031330739</v>
      </c>
      <c r="B48" s="2424">
        <f>24-SUM('ST Original'!DG13:DI13)-SUM('ST Original'!EM13:EO13)</f>
        <v>17.211808666666666</v>
      </c>
      <c r="C48" s="2219">
        <f>+'ST Original'!CR13/'ST Original'!$DO$3</f>
        <v>23.289204350107667</v>
      </c>
      <c r="D48" s="2218">
        <f t="shared" si="21"/>
        <v>6704.8811471516738</v>
      </c>
      <c r="E48" s="1257">
        <f>+IF('Recalculos ST'!AD14&gt;$F$41,$F$41,'Recalculos ST'!AD14)</f>
        <v>1739.15202823602</v>
      </c>
      <c r="F48" s="3974">
        <f>+D48*B48</f>
        <v>115403.13143751511</v>
      </c>
      <c r="G48" s="1257">
        <f t="shared" si="23"/>
        <v>40503.466981492886</v>
      </c>
      <c r="H48" s="1257">
        <f t="shared" si="24"/>
        <v>155906.59841900799</v>
      </c>
      <c r="I48" s="2358">
        <f t="shared" si="25"/>
        <v>115.40313143751511</v>
      </c>
      <c r="J48" s="3611">
        <f t="shared" si="26"/>
        <v>40.503466981492885</v>
      </c>
      <c r="K48" s="3614">
        <f t="shared" si="5"/>
        <v>6</v>
      </c>
      <c r="L48" s="3975">
        <f t="shared" si="27"/>
        <v>46087.791666666664</v>
      </c>
      <c r="M48" s="1823">
        <f t="shared" si="30"/>
        <v>722.72113145490653</v>
      </c>
      <c r="N48" s="1823">
        <f t="shared" si="28"/>
        <v>159.99999999997914</v>
      </c>
      <c r="O48" s="3976">
        <f>+IF((I48+J48)&gt;$X$41,$X$41,(I48+J48))-0.2*24</f>
        <v>151.10659841900798</v>
      </c>
      <c r="P48" s="555" t="s">
        <v>1566</v>
      </c>
      <c r="Q48" s="556">
        <v>85.560090041115004</v>
      </c>
      <c r="R48" s="3977">
        <f>+'ST Original'!AT13</f>
        <v>36.486561420348757</v>
      </c>
      <c r="S48" s="3978" t="s">
        <v>1834</v>
      </c>
      <c r="T48" s="3979"/>
      <c r="U48" s="3979" t="s">
        <v>1820</v>
      </c>
      <c r="V48" s="3241"/>
      <c r="W48" s="3638"/>
      <c r="X48" s="2573">
        <f t="shared" si="6"/>
        <v>155.90659841900799</v>
      </c>
      <c r="Y48" s="1217">
        <f t="shared" si="29"/>
        <v>6296.108267458666</v>
      </c>
      <c r="Z48" s="1217">
        <f t="shared" si="7"/>
        <v>4.8000000000000114</v>
      </c>
      <c r="AA48" s="2217">
        <f t="shared" si="8"/>
        <v>46087.791666666664</v>
      </c>
      <c r="AB48" s="2215">
        <v>6.7903225806451619</v>
      </c>
      <c r="AC48" s="2216">
        <f t="shared" si="9"/>
        <v>0.71706989247311836</v>
      </c>
      <c r="AD48" s="1287">
        <f t="shared" si="10"/>
        <v>466.09543010752691</v>
      </c>
      <c r="AE48" s="2215">
        <v>18.629032258064516</v>
      </c>
      <c r="AF48" s="2216">
        <f t="shared" si="11"/>
        <v>0.22379032258064516</v>
      </c>
      <c r="AG48" s="1287">
        <f t="shared" si="12"/>
        <v>123.08467741935483</v>
      </c>
      <c r="AH48" s="1287">
        <f t="shared" si="13"/>
        <v>589.18010752688178</v>
      </c>
      <c r="AI48" s="273"/>
      <c r="AJ48" s="1289">
        <f t="shared" si="14"/>
        <v>6757.1813031330739</v>
      </c>
      <c r="AK48" s="1289">
        <f t="shared" si="15"/>
        <v>732.68242670448535</v>
      </c>
      <c r="AL48" s="1289">
        <f t="shared" si="16"/>
        <v>636.72570387360929</v>
      </c>
      <c r="AM48" s="2215">
        <f t="shared" si="17"/>
        <v>95.95672283087606</v>
      </c>
      <c r="AN48" s="1287">
        <f t="shared" si="18"/>
        <v>143.50231917760357</v>
      </c>
      <c r="AO48" s="1289">
        <f t="shared" si="19"/>
        <v>6704.8811471516738</v>
      </c>
      <c r="AP48" s="1289">
        <f t="shared" si="20"/>
        <v>-52.300155981400167</v>
      </c>
      <c r="AQ48" s="273"/>
      <c r="AR48" s="273"/>
      <c r="AS48" s="1399"/>
      <c r="AT48" s="1399"/>
      <c r="AU48" s="1399"/>
      <c r="AV48" s="1399"/>
      <c r="AW48" s="1399"/>
      <c r="AX48" s="1399"/>
    </row>
    <row r="49" spans="1:50" ht="14.25" customHeight="1" thickBot="1">
      <c r="A49" s="2574">
        <f>+'Recalculos ST'!V15</f>
        <v>6968.7817774059431</v>
      </c>
      <c r="B49" s="2424">
        <f>24-SUM('ST Original'!DG14:DI14)-SUM('ST Original'!EM14:EO14)</f>
        <v>19.800173000000001</v>
      </c>
      <c r="C49" s="2219">
        <f>+'ST Original'!CR14/'ST Original'!$DO$3</f>
        <v>23.289204350107667</v>
      </c>
      <c r="D49" s="2218">
        <f t="shared" si="21"/>
        <v>6759.42250177605</v>
      </c>
      <c r="E49" s="1257">
        <f>+IF('Recalculos ST'!AD15&gt;$F$41,$F$41,'Recalculos ST'!AD15)</f>
        <v>1793.6134045848735</v>
      </c>
      <c r="F49" s="1257">
        <f t="shared" si="22"/>
        <v>133837.7349152586</v>
      </c>
      <c r="G49" s="1257">
        <f t="shared" si="23"/>
        <v>41771.829104469456</v>
      </c>
      <c r="H49" s="1257">
        <f t="shared" si="24"/>
        <v>175609.56401972804</v>
      </c>
      <c r="I49" s="2358">
        <f t="shared" si="25"/>
        <v>133.83773491525861</v>
      </c>
      <c r="J49" s="3611">
        <f t="shared" si="26"/>
        <v>41.771829104469454</v>
      </c>
      <c r="K49" s="3615">
        <f t="shared" si="5"/>
        <v>7</v>
      </c>
      <c r="L49" s="3980">
        <f t="shared" si="27"/>
        <v>46088.791666666664</v>
      </c>
      <c r="M49" s="3981">
        <f t="shared" si="30"/>
        <v>727.1115674354204</v>
      </c>
      <c r="N49" s="3981">
        <f t="shared" si="28"/>
        <v>170.00000000024195</v>
      </c>
      <c r="O49" s="3982">
        <f>+IF((I49+J49)&gt;$X$41,$X$41,(I49+J49))-10</f>
        <v>165.60956401972805</v>
      </c>
      <c r="P49" s="3983" t="s">
        <v>1566</v>
      </c>
      <c r="Q49" s="3984">
        <v>79.173163064385193</v>
      </c>
      <c r="R49" s="3985">
        <f>+'ST Original'!AT14</f>
        <v>35.663290764251407</v>
      </c>
      <c r="S49" s="3978" t="s">
        <v>1834</v>
      </c>
      <c r="T49" s="3986"/>
      <c r="U49" s="3986"/>
      <c r="V49" s="3242"/>
      <c r="W49" s="3638"/>
      <c r="X49" s="2573">
        <f t="shared" si="6"/>
        <v>175.60956401972805</v>
      </c>
      <c r="Y49" s="1217">
        <f t="shared" si="29"/>
        <v>6900.3985008220025</v>
      </c>
      <c r="Z49" s="1217">
        <f t="shared" si="7"/>
        <v>10</v>
      </c>
      <c r="AA49" s="2217">
        <f t="shared" si="8"/>
        <v>46088.791666666664</v>
      </c>
      <c r="AB49" s="2215">
        <v>6.7903225806451619</v>
      </c>
      <c r="AC49" s="2216">
        <f t="shared" si="9"/>
        <v>0.71706989247311836</v>
      </c>
      <c r="AD49" s="1287">
        <f t="shared" si="10"/>
        <v>466.09543010752691</v>
      </c>
      <c r="AE49" s="2215">
        <v>24</v>
      </c>
      <c r="AF49" s="2216">
        <f t="shared" si="11"/>
        <v>0</v>
      </c>
      <c r="AG49" s="1287">
        <f t="shared" si="12"/>
        <v>0</v>
      </c>
      <c r="AH49" s="1287">
        <f t="shared" si="13"/>
        <v>466.09543010752691</v>
      </c>
      <c r="AI49" s="273"/>
      <c r="AJ49" s="1289">
        <f t="shared" si="14"/>
        <v>6968.7817774059431</v>
      </c>
      <c r="AK49" s="1289">
        <f t="shared" si="15"/>
        <v>751.07055275574612</v>
      </c>
      <c r="AL49" s="1289">
        <f t="shared" si="16"/>
        <v>656.4220443165209</v>
      </c>
      <c r="AM49" s="2215">
        <f t="shared" si="17"/>
        <v>94.648508439225225</v>
      </c>
      <c r="AN49" s="1287">
        <f t="shared" si="18"/>
        <v>284.97512264821921</v>
      </c>
      <c r="AO49" s="1289">
        <f t="shared" si="19"/>
        <v>6759.42250177605</v>
      </c>
      <c r="AP49" s="1289">
        <f t="shared" si="20"/>
        <v>-209.35927562989309</v>
      </c>
      <c r="AQ49" s="273"/>
      <c r="AR49" s="273"/>
      <c r="AS49" s="1399"/>
      <c r="AT49" s="1399"/>
      <c r="AU49" s="1399"/>
      <c r="AV49" s="1399"/>
      <c r="AW49" s="1399"/>
      <c r="AX49" s="1399"/>
    </row>
    <row r="50" spans="1:50" ht="14.25" customHeight="1">
      <c r="A50" s="2574">
        <f>+'Recalculos ST'!V16</f>
        <v>7026.3020071821129</v>
      </c>
      <c r="B50" s="2424">
        <f>24-SUM('ST Original'!DG15:DI15)-SUM('ST Original'!EM15:EO15)</f>
        <v>23.607193000000002</v>
      </c>
      <c r="C50" s="2219">
        <f>+'ST Original'!CR15/'ST Original'!$DO$3</f>
        <v>23.289204350107667</v>
      </c>
      <c r="D50" s="2218">
        <f t="shared" si="21"/>
        <v>6811.6342115737616</v>
      </c>
      <c r="E50" s="1257">
        <f>+IF('Recalculos ST'!AD16&gt;$F$41,$F$41,'Recalculos ST'!AD16)</f>
        <v>1808.4178651716338</v>
      </c>
      <c r="F50" s="1257">
        <f t="shared" si="22"/>
        <v>160803.56347802465</v>
      </c>
      <c r="G50" s="1257">
        <f t="shared" si="23"/>
        <v>42116.613212367636</v>
      </c>
      <c r="H50" s="1257">
        <f t="shared" si="24"/>
        <v>202920.17669039228</v>
      </c>
      <c r="I50" s="2358">
        <f t="shared" si="25"/>
        <v>160.80356347802464</v>
      </c>
      <c r="J50" s="3611">
        <f t="shared" si="26"/>
        <v>42.116613212367639</v>
      </c>
      <c r="K50" s="3612">
        <f t="shared" si="5"/>
        <v>1</v>
      </c>
      <c r="L50" s="3987">
        <f t="shared" si="27"/>
        <v>46089.791666666664</v>
      </c>
      <c r="M50" s="3988">
        <f t="shared" si="30"/>
        <v>714.19139074549014</v>
      </c>
      <c r="N50" s="3988">
        <f t="shared" si="28"/>
        <v>190.00000000046202</v>
      </c>
      <c r="O50" s="3989">
        <f>+IF((I50+J50)&gt;$X$41,$X$41,(I50+J50))</f>
        <v>202.92017669039228</v>
      </c>
      <c r="P50" s="3990" t="s">
        <v>1566</v>
      </c>
      <c r="Q50" s="3991">
        <v>89.462188062355764</v>
      </c>
      <c r="R50" s="3992">
        <f>+'ST Original'!AT15</f>
        <v>36.663946231963571</v>
      </c>
      <c r="S50" s="3993" t="s">
        <v>1566</v>
      </c>
      <c r="T50" s="3994"/>
      <c r="U50" s="3994"/>
      <c r="V50" s="3641"/>
      <c r="W50" s="3638"/>
      <c r="X50" s="2573">
        <f t="shared" si="6"/>
        <v>202.92017669039228</v>
      </c>
      <c r="Y50" s="1217">
        <f t="shared" si="29"/>
        <v>8455.0073620996791</v>
      </c>
      <c r="Z50" s="1217">
        <f t="shared" si="7"/>
        <v>0</v>
      </c>
      <c r="AA50" s="2217">
        <f t="shared" si="8"/>
        <v>46089.791666666664</v>
      </c>
      <c r="AB50" s="2215">
        <v>6.7903225806451619</v>
      </c>
      <c r="AC50" s="2216">
        <f t="shared" si="9"/>
        <v>0.71706989247311836</v>
      </c>
      <c r="AD50" s="1287">
        <f t="shared" si="10"/>
        <v>466.09543010752691</v>
      </c>
      <c r="AE50" s="2215">
        <v>24</v>
      </c>
      <c r="AF50" s="2216">
        <f t="shared" si="11"/>
        <v>0</v>
      </c>
      <c r="AG50" s="1287">
        <f t="shared" si="12"/>
        <v>0</v>
      </c>
      <c r="AH50" s="1287">
        <f t="shared" si="13"/>
        <v>466.09543010752691</v>
      </c>
      <c r="AI50" s="273"/>
      <c r="AJ50" s="1289">
        <f t="shared" si="14"/>
        <v>7026.3020071821129</v>
      </c>
      <c r="AK50" s="1289">
        <f t="shared" si="15"/>
        <v>755.49550782026972</v>
      </c>
      <c r="AL50" s="1289">
        <f t="shared" si="16"/>
        <v>661.24797156966406</v>
      </c>
      <c r="AM50" s="2215">
        <f t="shared" si="17"/>
        <v>94.247536250605663</v>
      </c>
      <c r="AN50" s="1287">
        <f t="shared" si="18"/>
        <v>289.40007771274281</v>
      </c>
      <c r="AO50" s="1289">
        <f t="shared" si="19"/>
        <v>6811.6342115737616</v>
      </c>
      <c r="AP50" s="1289">
        <f t="shared" si="20"/>
        <v>-214.6677956083513</v>
      </c>
      <c r="AQ50" s="273"/>
      <c r="AR50" s="273"/>
      <c r="AS50" s="1399"/>
      <c r="AT50" s="1399"/>
      <c r="AU50" s="1399"/>
      <c r="AV50" s="1399"/>
      <c r="AW50" s="1399"/>
      <c r="AX50" s="1399"/>
    </row>
    <row r="51" spans="1:50" ht="14.25" customHeight="1">
      <c r="A51" s="2574">
        <f>+'Recalculos ST'!V17</f>
        <v>7106.8796663619769</v>
      </c>
      <c r="B51" s="2424">
        <f>24-SUM('ST Original'!DG16:DI16)-SUM('ST Original'!EM16:EO16)</f>
        <v>20.072103000000002</v>
      </c>
      <c r="C51" s="2219">
        <f>+'ST Original'!CR16/'ST Original'!$DO$3</f>
        <v>23.289204350107667</v>
      </c>
      <c r="D51" s="2218">
        <f t="shared" si="21"/>
        <v>6885.1635723543604</v>
      </c>
      <c r="E51" s="1257">
        <f>+IF('Recalculos ST'!AD17&gt;$F$41,$F$41,'Recalculos ST'!AD17)</f>
        <v>1812</v>
      </c>
      <c r="F51" s="1257">
        <f t="shared" si="22"/>
        <v>138199.71239614469</v>
      </c>
      <c r="G51" s="1257">
        <f t="shared" si="23"/>
        <v>42200.038282395093</v>
      </c>
      <c r="H51" s="1257">
        <f t="shared" si="24"/>
        <v>180399.7506785398</v>
      </c>
      <c r="I51" s="2358">
        <f t="shared" si="25"/>
        <v>138.19971239614469</v>
      </c>
      <c r="J51" s="3611">
        <f t="shared" si="26"/>
        <v>42.200038282395091</v>
      </c>
      <c r="K51" s="3614">
        <f t="shared" si="5"/>
        <v>2</v>
      </c>
      <c r="L51" s="3975">
        <f t="shared" si="27"/>
        <v>46090.791666666664</v>
      </c>
      <c r="M51" s="1823">
        <f t="shared" si="30"/>
        <v>703.79164006745862</v>
      </c>
      <c r="N51" s="1823">
        <f t="shared" si="28"/>
        <v>170.00000000050824</v>
      </c>
      <c r="O51" s="3976">
        <f>+IF((I51+J51)&gt;$X$41,$X$41,(I51+J51))</f>
        <v>180.39975067853979</v>
      </c>
      <c r="P51" s="555" t="s">
        <v>1566</v>
      </c>
      <c r="Q51" s="556">
        <v>88.314198111724934</v>
      </c>
      <c r="R51" s="3977">
        <f>+'ST Original'!AT16</f>
        <v>36.764329766123417</v>
      </c>
      <c r="S51" s="3978" t="s">
        <v>1834</v>
      </c>
      <c r="T51" s="3979"/>
      <c r="U51" s="3979" t="s">
        <v>1829</v>
      </c>
      <c r="V51" s="3241"/>
      <c r="W51" s="3638"/>
      <c r="X51" s="2573">
        <f t="shared" si="6"/>
        <v>180.39975067853979</v>
      </c>
      <c r="Y51" s="1217">
        <f t="shared" si="29"/>
        <v>7516.6562782724914</v>
      </c>
      <c r="Z51" s="1217">
        <f t="shared" si="7"/>
        <v>0</v>
      </c>
      <c r="AA51" s="2217">
        <f t="shared" si="8"/>
        <v>46090.791666666664</v>
      </c>
      <c r="AB51" s="2215">
        <v>6.7903225806451619</v>
      </c>
      <c r="AC51" s="2216">
        <f t="shared" si="9"/>
        <v>0.71706989247311836</v>
      </c>
      <c r="AD51" s="1287">
        <f t="shared" si="10"/>
        <v>466.09543010752691</v>
      </c>
      <c r="AE51" s="2215">
        <v>24</v>
      </c>
      <c r="AF51" s="2216">
        <f t="shared" si="11"/>
        <v>0</v>
      </c>
      <c r="AG51" s="1287">
        <f t="shared" si="12"/>
        <v>0</v>
      </c>
      <c r="AH51" s="1287">
        <f t="shared" si="13"/>
        <v>466.09543010752691</v>
      </c>
      <c r="AI51" s="273"/>
      <c r="AJ51" s="1289">
        <f t="shared" si="14"/>
        <v>7106.8796663619769</v>
      </c>
      <c r="AK51" s="1289">
        <f t="shared" si="15"/>
        <v>761.3057662369979</v>
      </c>
      <c r="AL51" s="1289">
        <f t="shared" si="16"/>
        <v>667.65551556899618</v>
      </c>
      <c r="AM51" s="2215">
        <f t="shared" si="17"/>
        <v>93.650250668001718</v>
      </c>
      <c r="AN51" s="1287">
        <f t="shared" si="18"/>
        <v>295.21033612947099</v>
      </c>
      <c r="AO51" s="1289">
        <f t="shared" si="19"/>
        <v>6885.1635723543604</v>
      </c>
      <c r="AP51" s="1289">
        <f t="shared" si="20"/>
        <v>-221.71609400761645</v>
      </c>
      <c r="AQ51" s="273"/>
      <c r="AR51" s="273"/>
      <c r="AS51" s="1399"/>
      <c r="AT51" s="1399"/>
      <c r="AU51" s="1399"/>
      <c r="AV51" s="1399"/>
      <c r="AW51" s="1399"/>
      <c r="AX51" s="1399"/>
    </row>
    <row r="52" spans="1:50" ht="14.25" customHeight="1">
      <c r="A52" s="2574">
        <f>+'Recalculos ST'!V18</f>
        <v>6579.0032749890479</v>
      </c>
      <c r="B52" s="2424">
        <f>24-SUM('ST Original'!DG17:DI17)-SUM('ST Original'!EM17:EO17)</f>
        <v>22.247543</v>
      </c>
      <c r="C52" s="2219">
        <f>+'ST Original'!CR17/'ST Original'!$DO$3</f>
        <v>23.289204350107667</v>
      </c>
      <c r="D52" s="2218">
        <f t="shared" si="21"/>
        <v>6412.3959698425206</v>
      </c>
      <c r="E52" s="1257">
        <f>+IF('Recalculos ST'!AD18&gt;$F$41,$F$41,'Recalculos ST'!AD18)</f>
        <v>1693.2928652015612</v>
      </c>
      <c r="F52" s="1257">
        <f t="shared" si="22"/>
        <v>142660.05507209818</v>
      </c>
      <c r="G52" s="1257">
        <f t="shared" si="23"/>
        <v>39435.443562258472</v>
      </c>
      <c r="H52" s="1257">
        <f t="shared" si="24"/>
        <v>182095.49863435666</v>
      </c>
      <c r="I52" s="2358">
        <f t="shared" si="25"/>
        <v>142.66005507209817</v>
      </c>
      <c r="J52" s="3611">
        <f t="shared" si="26"/>
        <v>39.43544356225847</v>
      </c>
      <c r="K52" s="3614">
        <f t="shared" si="5"/>
        <v>3</v>
      </c>
      <c r="L52" s="3975">
        <f t="shared" si="27"/>
        <v>46091.791666666664</v>
      </c>
      <c r="M52" s="1823">
        <f t="shared" si="30"/>
        <v>600.0350942069681</v>
      </c>
      <c r="N52" s="1823">
        <f t="shared" si="28"/>
        <v>64.238952773866117</v>
      </c>
      <c r="O52" s="3976">
        <f>+IF((I52+J52)&gt;$X$41,$X$41,(I52+J52))-13*0.5-19*0.4</f>
        <v>167.99549863435666</v>
      </c>
      <c r="P52" s="555" t="s">
        <v>1566</v>
      </c>
      <c r="Q52" s="556">
        <v>96.805865450444387</v>
      </c>
      <c r="R52" s="3977">
        <f>+'ST Original'!AT17</f>
        <v>36.139237251662863</v>
      </c>
      <c r="S52" s="3978" t="s">
        <v>1834</v>
      </c>
      <c r="T52" s="3979" t="s">
        <v>1825</v>
      </c>
      <c r="U52" s="3979" t="s">
        <v>1826</v>
      </c>
      <c r="V52" s="3241"/>
      <c r="W52" s="3638"/>
      <c r="X52" s="2573">
        <f t="shared" si="6"/>
        <v>182.09549863435666</v>
      </c>
      <c r="Y52" s="1217">
        <f t="shared" si="29"/>
        <v>6999.8124430981943</v>
      </c>
      <c r="Z52" s="1217">
        <f t="shared" si="7"/>
        <v>14.099999999999994</v>
      </c>
      <c r="AA52" s="2217">
        <f t="shared" si="8"/>
        <v>46091.791666666664</v>
      </c>
      <c r="AB52" s="2215">
        <v>6.7903225806451619</v>
      </c>
      <c r="AC52" s="2216">
        <f t="shared" si="9"/>
        <v>0.71706989247311836</v>
      </c>
      <c r="AD52" s="1287">
        <f t="shared" si="10"/>
        <v>466.09543010752691</v>
      </c>
      <c r="AE52" s="2215">
        <v>24</v>
      </c>
      <c r="AF52" s="2216">
        <f t="shared" si="11"/>
        <v>0</v>
      </c>
      <c r="AG52" s="1287">
        <f t="shared" si="12"/>
        <v>0</v>
      </c>
      <c r="AH52" s="1287">
        <f t="shared" si="13"/>
        <v>466.09543010752691</v>
      </c>
      <c r="AI52" s="273"/>
      <c r="AJ52" s="1289">
        <f t="shared" si="14"/>
        <v>6579.0032749890479</v>
      </c>
      <c r="AK52" s="1289">
        <f t="shared" si="15"/>
        <v>714.43520768103417</v>
      </c>
      <c r="AL52" s="1289">
        <f t="shared" si="16"/>
        <v>617.55661660436954</v>
      </c>
      <c r="AM52" s="2215">
        <f t="shared" si="17"/>
        <v>96.878591076664634</v>
      </c>
      <c r="AN52" s="1287">
        <f t="shared" si="18"/>
        <v>248.33977757350726</v>
      </c>
      <c r="AO52" s="1289">
        <f t="shared" si="19"/>
        <v>6412.3959698425206</v>
      </c>
      <c r="AP52" s="1289">
        <f t="shared" si="20"/>
        <v>-166.60730514652732</v>
      </c>
      <c r="AQ52" s="273"/>
      <c r="AR52" s="273"/>
      <c r="AS52" s="1399"/>
      <c r="AT52" s="1399"/>
      <c r="AU52" s="1399"/>
      <c r="AV52" s="1399"/>
      <c r="AW52" s="1399"/>
      <c r="AX52" s="1399"/>
    </row>
    <row r="53" spans="1:50" ht="14.25" customHeight="1">
      <c r="A53" s="2574">
        <f>+'Recalculos ST'!V19</f>
        <v>7158.6543299031482</v>
      </c>
      <c r="B53" s="2424">
        <f>24-SUM('ST Original'!DG18:DI18)-SUM('ST Original'!EM18:EO18)</f>
        <v>23.607193000000002</v>
      </c>
      <c r="C53" s="2219">
        <f>+'ST Original'!CR18/'ST Original'!$DO$3</f>
        <v>23.289204350107667</v>
      </c>
      <c r="D53" s="2218">
        <f t="shared" si="21"/>
        <v>7068.0317294146143</v>
      </c>
      <c r="E53" s="1257">
        <f>+IF('Recalculos ST'!AD19&gt;$F$41,$F$41,'Recalculos ST'!AD19)</f>
        <v>1812</v>
      </c>
      <c r="F53" s="1257">
        <f t="shared" si="22"/>
        <v>166856.38916641459</v>
      </c>
      <c r="G53" s="1257">
        <f t="shared" si="23"/>
        <v>42200.038282395093</v>
      </c>
      <c r="H53" s="1257">
        <f t="shared" si="24"/>
        <v>209056.42744880967</v>
      </c>
      <c r="I53" s="2358">
        <f t="shared" si="25"/>
        <v>166.8563891664146</v>
      </c>
      <c r="J53" s="3611">
        <f t="shared" si="26"/>
        <v>42.200038282395091</v>
      </c>
      <c r="K53" s="3614">
        <f t="shared" si="5"/>
        <v>4</v>
      </c>
      <c r="L53" s="3975">
        <f t="shared" si="27"/>
        <v>46092.791666666664</v>
      </c>
      <c r="M53" s="1823">
        <f t="shared" si="30"/>
        <v>555.47929151038534</v>
      </c>
      <c r="N53" s="1823">
        <f t="shared" si="28"/>
        <v>150.00062475222697</v>
      </c>
      <c r="O53" s="3976">
        <f>+IF((I53+J53)&gt;$X$41,$X$41,(I53+J53))-2*0.7-7*0.5-24*0.4</f>
        <v>194.5564274488097</v>
      </c>
      <c r="P53" s="555" t="s">
        <v>1566</v>
      </c>
      <c r="Q53" s="556">
        <v>76.103622284136364</v>
      </c>
      <c r="R53" s="3977">
        <f>+'ST Original'!AT18</f>
        <v>37.994256084481933</v>
      </c>
      <c r="S53" s="3978" t="s">
        <v>1566</v>
      </c>
      <c r="T53" s="3979"/>
      <c r="U53" s="3979" t="s">
        <v>1822</v>
      </c>
      <c r="V53" s="3241"/>
      <c r="W53" s="3638"/>
      <c r="X53" s="2573">
        <f t="shared" si="6"/>
        <v>209.05642744880967</v>
      </c>
      <c r="Y53" s="1217">
        <f t="shared" si="29"/>
        <v>8106.5178103670714</v>
      </c>
      <c r="Z53" s="1217">
        <f t="shared" si="7"/>
        <v>14.499999999999972</v>
      </c>
      <c r="AA53" s="2217">
        <f t="shared" si="8"/>
        <v>46092.791666666664</v>
      </c>
      <c r="AB53" s="2215">
        <v>6.7903225806451619</v>
      </c>
      <c r="AC53" s="2216">
        <f t="shared" si="9"/>
        <v>0.71706989247311836</v>
      </c>
      <c r="AD53" s="1287">
        <f t="shared" si="10"/>
        <v>466.09543010752691</v>
      </c>
      <c r="AE53" s="2215">
        <v>18.629032258064516</v>
      </c>
      <c r="AF53" s="2216">
        <f t="shared" si="11"/>
        <v>0.22379032258064516</v>
      </c>
      <c r="AG53" s="1287">
        <f t="shared" si="12"/>
        <v>123.08467741935483</v>
      </c>
      <c r="AH53" s="1287">
        <f t="shared" si="13"/>
        <v>589.18010752688178</v>
      </c>
      <c r="AI53" s="273"/>
      <c r="AJ53" s="1289">
        <f t="shared" si="14"/>
        <v>7158.6543299031482</v>
      </c>
      <c r="AK53" s="1289">
        <f t="shared" si="15"/>
        <v>764.80785191260884</v>
      </c>
      <c r="AL53" s="1289">
        <f t="shared" si="16"/>
        <v>671.5642897891853</v>
      </c>
      <c r="AM53" s="2215">
        <f t="shared" si="17"/>
        <v>93.243562123423544</v>
      </c>
      <c r="AN53" s="1287">
        <f t="shared" si="18"/>
        <v>175.62774438572706</v>
      </c>
      <c r="AO53" s="1289">
        <f t="shared" si="19"/>
        <v>7068.0317294146143</v>
      </c>
      <c r="AP53" s="1289">
        <f t="shared" si="20"/>
        <v>-90.622600488533863</v>
      </c>
      <c r="AQ53" s="273"/>
      <c r="AR53" s="273"/>
      <c r="AS53" s="1399"/>
      <c r="AT53" s="1399"/>
      <c r="AU53" s="1399"/>
      <c r="AV53" s="1399"/>
      <c r="AW53" s="1399"/>
      <c r="AX53" s="1399"/>
    </row>
    <row r="54" spans="1:50" ht="14.25" customHeight="1">
      <c r="A54" s="2574">
        <f>+'Recalculos ST'!V20</f>
        <v>7394.741629759621</v>
      </c>
      <c r="B54" s="2424">
        <f>24-SUM('ST Original'!DG19:DI19)-SUM('ST Original'!EM19:EO19)</f>
        <v>23.607193000000002</v>
      </c>
      <c r="C54" s="2219">
        <f>+'ST Original'!CR19/'ST Original'!$DO$3</f>
        <v>23.289204350107667</v>
      </c>
      <c r="D54" s="2218">
        <f t="shared" si="21"/>
        <v>7394.741629759621</v>
      </c>
      <c r="E54" s="1257">
        <f>+IF('Recalculos ST'!AD20&gt;$F$41,$F$41,'Recalculos ST'!AD20)</f>
        <v>1812</v>
      </c>
      <c r="F54" s="1257">
        <f t="shared" si="22"/>
        <v>174569.09283886992</v>
      </c>
      <c r="G54" s="1257">
        <f t="shared" si="23"/>
        <v>42200.038282395093</v>
      </c>
      <c r="H54" s="1257">
        <f t="shared" si="24"/>
        <v>216769.131121265</v>
      </c>
      <c r="I54" s="2358">
        <f t="shared" si="25"/>
        <v>174.56909283886992</v>
      </c>
      <c r="J54" s="3611">
        <f t="shared" si="26"/>
        <v>42.200038282395091</v>
      </c>
      <c r="K54" s="3614">
        <f t="shared" si="5"/>
        <v>5</v>
      </c>
      <c r="L54" s="3975">
        <f t="shared" si="27"/>
        <v>46093.791666666664</v>
      </c>
      <c r="M54" s="1823">
        <f t="shared" si="30"/>
        <v>565.91077963523696</v>
      </c>
      <c r="N54" s="1823">
        <f t="shared" si="28"/>
        <v>220.00061924611668</v>
      </c>
      <c r="O54" s="3976">
        <f>+IF((I54+J54)&gt;$X$41,$X$41,(I54+J54))-24*0.3</f>
        <v>209.56913112126503</v>
      </c>
      <c r="P54" s="555" t="s">
        <v>1566</v>
      </c>
      <c r="Q54" s="556">
        <v>75.661019240967434</v>
      </c>
      <c r="R54" s="3977">
        <f>+'ST Original'!AT19</f>
        <v>38.949408800978375</v>
      </c>
      <c r="S54" s="3978" t="s">
        <v>1566</v>
      </c>
      <c r="T54" s="3979"/>
      <c r="U54" s="3979" t="s">
        <v>1821</v>
      </c>
      <c r="V54" s="3241"/>
      <c r="W54" s="3638"/>
      <c r="X54" s="2573">
        <f t="shared" si="6"/>
        <v>216.76913112126499</v>
      </c>
      <c r="Y54" s="1217">
        <f t="shared" si="29"/>
        <v>8732.0471300527097</v>
      </c>
      <c r="Z54" s="1217">
        <f t="shared" si="7"/>
        <v>7.1999999999999602</v>
      </c>
      <c r="AA54" s="2217">
        <f t="shared" si="8"/>
        <v>46093.791666666664</v>
      </c>
      <c r="AB54" s="2215">
        <v>8.8903225806451616</v>
      </c>
      <c r="AC54" s="2216">
        <f t="shared" si="9"/>
        <v>0.62956989247311823</v>
      </c>
      <c r="AD54" s="1287">
        <f t="shared" si="10"/>
        <v>409.22043010752685</v>
      </c>
      <c r="AE54" s="2215">
        <v>6.629032258064516</v>
      </c>
      <c r="AF54" s="2216">
        <f t="shared" si="11"/>
        <v>0.72379032258064513</v>
      </c>
      <c r="AG54" s="1287">
        <f t="shared" si="12"/>
        <v>398.08467741935482</v>
      </c>
      <c r="AH54" s="1287">
        <f t="shared" si="13"/>
        <v>807.30510752688167</v>
      </c>
      <c r="AI54" s="273"/>
      <c r="AJ54" s="1289">
        <f t="shared" si="14"/>
        <v>7394.741629759621</v>
      </c>
      <c r="AK54" s="1289">
        <f t="shared" si="15"/>
        <v>778.6368037230236</v>
      </c>
      <c r="AL54" s="1289">
        <f t="shared" si="16"/>
        <v>687.49403859139829</v>
      </c>
      <c r="AM54" s="2215">
        <f t="shared" si="17"/>
        <v>91.14276513162531</v>
      </c>
      <c r="AN54" s="1287">
        <f t="shared" si="18"/>
        <v>0</v>
      </c>
      <c r="AO54" s="1289">
        <f t="shared" si="19"/>
        <v>7494.9986714044089</v>
      </c>
      <c r="AP54" s="1289">
        <f t="shared" si="20"/>
        <v>100.25704164478793</v>
      </c>
      <c r="AQ54" s="273"/>
      <c r="AR54" s="273"/>
      <c r="AS54" s="1399"/>
      <c r="AT54" s="1399"/>
      <c r="AU54" s="1399"/>
      <c r="AV54" s="1399"/>
      <c r="AW54" s="1399"/>
      <c r="AX54" s="1399"/>
    </row>
    <row r="55" spans="1:50" ht="14.25" customHeight="1">
      <c r="A55" s="2574">
        <f>+'Recalculos ST'!V21</f>
        <v>7213.389345064048</v>
      </c>
      <c r="B55" s="4221">
        <f>24-SUM('ST Original'!DG20:DI20)-SUM('ST Original'!EM20:EO20)</f>
        <v>23.607193000000002</v>
      </c>
      <c r="C55" s="2219">
        <f>+'ST Original'!CR20/'ST Original'!$DO$3</f>
        <v>23.289204350107667</v>
      </c>
      <c r="D55" s="2218">
        <f t="shared" si="21"/>
        <v>7206.4079672834641</v>
      </c>
      <c r="E55" s="1257">
        <f>+IF('Recalculos ST'!AD21&gt;$F$41,$F$41,'Recalculos ST'!AD21)</f>
        <v>1812</v>
      </c>
      <c r="F55" s="1257">
        <f t="shared" si="22"/>
        <v>170123.06372039844</v>
      </c>
      <c r="G55" s="1257">
        <f t="shared" si="23"/>
        <v>42200.038282395093</v>
      </c>
      <c r="H55" s="1257">
        <f t="shared" si="24"/>
        <v>212323.10200279352</v>
      </c>
      <c r="I55" s="2358">
        <f t="shared" si="25"/>
        <v>170.12306372039845</v>
      </c>
      <c r="J55" s="3611">
        <f t="shared" si="26"/>
        <v>42.200038282395091</v>
      </c>
      <c r="K55" s="3614">
        <f t="shared" si="5"/>
        <v>6</v>
      </c>
      <c r="L55" s="2353">
        <f t="shared" si="27"/>
        <v>46094.791666666664</v>
      </c>
      <c r="M55" s="2354">
        <f t="shared" si="30"/>
        <v>580.7881867191802</v>
      </c>
      <c r="N55" s="2354">
        <f t="shared" si="28"/>
        <v>220.0005090867368</v>
      </c>
      <c r="O55" s="2352">
        <f>+IF((I55+J55)&gt;$X$41,$X$41,(I55+J55))-24*0.3</f>
        <v>205.12310200279356</v>
      </c>
      <c r="P55" s="3126" t="s">
        <v>1566</v>
      </c>
      <c r="Q55" s="1134">
        <v>66.807443421390616</v>
      </c>
      <c r="R55" s="3137">
        <f>+'ST Original'!AT20</f>
        <v>38.471143749007744</v>
      </c>
      <c r="S55" s="3644" t="s">
        <v>1566</v>
      </c>
      <c r="T55" s="2575"/>
      <c r="U55" s="2575"/>
      <c r="V55" s="3241"/>
      <c r="W55" s="3638"/>
      <c r="X55" s="2573">
        <f t="shared" si="6"/>
        <v>212.32310200279352</v>
      </c>
      <c r="Y55" s="1217">
        <f t="shared" si="29"/>
        <v>8546.795916783065</v>
      </c>
      <c r="Z55" s="1217">
        <f t="shared" si="7"/>
        <v>7.1999999999999602</v>
      </c>
      <c r="AA55" s="2217">
        <f t="shared" si="8"/>
        <v>46094.791666666664</v>
      </c>
      <c r="AB55" s="2215">
        <v>13.990322580645161</v>
      </c>
      <c r="AC55" s="2216">
        <f t="shared" si="9"/>
        <v>0.41706989247311826</v>
      </c>
      <c r="AD55" s="1287">
        <f t="shared" si="10"/>
        <v>271.09543010752685</v>
      </c>
      <c r="AE55" s="2215">
        <v>6.629032258064516</v>
      </c>
      <c r="AF55" s="2216">
        <f t="shared" si="11"/>
        <v>0.72379032258064513</v>
      </c>
      <c r="AG55" s="1287">
        <f t="shared" si="12"/>
        <v>398.08467741935482</v>
      </c>
      <c r="AH55" s="1287">
        <f t="shared" si="13"/>
        <v>669.18010752688167</v>
      </c>
      <c r="AI55" s="273"/>
      <c r="AJ55" s="1289">
        <f t="shared" si="14"/>
        <v>7213.389345064048</v>
      </c>
      <c r="AK55" s="1289">
        <f t="shared" si="15"/>
        <v>768.32011227817611</v>
      </c>
      <c r="AL55" s="1289">
        <f t="shared" si="16"/>
        <v>675.52681460013946</v>
      </c>
      <c r="AM55" s="2215">
        <f t="shared" si="17"/>
        <v>92.793297678036652</v>
      </c>
      <c r="AN55" s="1287">
        <f t="shared" si="18"/>
        <v>99.140004751294441</v>
      </c>
      <c r="AO55" s="1289">
        <f>AJ55+(AM55-AN55)*$AJ$41</f>
        <v>7206.4079672834641</v>
      </c>
      <c r="AP55" s="1289">
        <f t="shared" si="20"/>
        <v>-6.9813777805838981</v>
      </c>
      <c r="AQ55" s="273"/>
      <c r="AR55" s="273"/>
      <c r="AS55" s="1399"/>
      <c r="AT55" s="1399"/>
      <c r="AU55" s="1399"/>
      <c r="AV55" s="1399"/>
      <c r="AW55" s="1399"/>
      <c r="AX55" s="1399"/>
    </row>
    <row r="56" spans="1:50" ht="14.25" customHeight="1" thickBot="1">
      <c r="A56" s="2574">
        <f>+'Recalculos ST'!V22</f>
        <v>6722.160935751398</v>
      </c>
      <c r="B56" s="4221">
        <f>24-SUM('ST Original'!DG21:DI21)-SUM('ST Original'!EM21:EO21)</f>
        <v>23.607193000000002</v>
      </c>
      <c r="C56" s="2219">
        <f>+'ST Original'!CR21/'ST Original'!$DO$3</f>
        <v>23.289204350107667</v>
      </c>
      <c r="D56" s="2218">
        <f t="shared" si="21"/>
        <v>6722.160935751398</v>
      </c>
      <c r="E56" s="1257">
        <f>+IF('Recalculos ST'!AD22&gt;$F$41,$F$41,'Recalculos ST'!AD22)</f>
        <v>1730.1385446207187</v>
      </c>
      <c r="F56" s="1257">
        <f t="shared" si="22"/>
        <v>158691.35058734386</v>
      </c>
      <c r="G56" s="1257">
        <f t="shared" si="23"/>
        <v>40293.550119669788</v>
      </c>
      <c r="H56" s="1257">
        <f t="shared" si="24"/>
        <v>198984.90070701364</v>
      </c>
      <c r="I56" s="2358">
        <f t="shared" si="25"/>
        <v>158.69135058734386</v>
      </c>
      <c r="J56" s="3611">
        <f t="shared" si="26"/>
        <v>40.293550119669789</v>
      </c>
      <c r="K56" s="3615">
        <f t="shared" si="5"/>
        <v>7</v>
      </c>
      <c r="L56" s="2355">
        <f t="shared" si="27"/>
        <v>46095.791666666664</v>
      </c>
      <c r="M56" s="2356">
        <f t="shared" si="30"/>
        <v>554.09171845843252</v>
      </c>
      <c r="N56" s="2356">
        <f t="shared" si="28"/>
        <v>165.08843244626595</v>
      </c>
      <c r="O56" s="3184">
        <f>+IF((I56+J56)&gt;$X$41,$X$41,(I56+J56))-24*0.3</f>
        <v>191.78490070701366</v>
      </c>
      <c r="P56" s="3196" t="s">
        <v>1566</v>
      </c>
      <c r="Q56" s="3197">
        <v>71.111533691109429</v>
      </c>
      <c r="R56" s="3198">
        <f>+'ST Original'!AT21</f>
        <v>37.239356535075302</v>
      </c>
      <c r="S56" s="3645" t="s">
        <v>1566</v>
      </c>
      <c r="T56" s="3199"/>
      <c r="U56" s="3199"/>
      <c r="V56" s="3242"/>
      <c r="W56" s="3638"/>
      <c r="X56" s="2573">
        <f t="shared" si="6"/>
        <v>198.98490070701365</v>
      </c>
      <c r="Y56" s="1217">
        <f t="shared" si="29"/>
        <v>7991.037529458903</v>
      </c>
      <c r="Z56" s="1217">
        <f t="shared" si="7"/>
        <v>7.1999999999999886</v>
      </c>
      <c r="AA56" s="2217">
        <f t="shared" si="8"/>
        <v>46095.791666666664</v>
      </c>
      <c r="AB56" s="2215">
        <v>13.990322580645161</v>
      </c>
      <c r="AC56" s="2216">
        <f t="shared" si="9"/>
        <v>0.41706989247311826</v>
      </c>
      <c r="AD56" s="1287">
        <f t="shared" si="10"/>
        <v>271.09543010752685</v>
      </c>
      <c r="AE56" s="2215">
        <v>6.629032258064516</v>
      </c>
      <c r="AF56" s="2216">
        <f t="shared" si="11"/>
        <v>0.72379032258064513</v>
      </c>
      <c r="AG56" s="1287">
        <f t="shared" si="12"/>
        <v>398.08467741935482</v>
      </c>
      <c r="AH56" s="1287">
        <f t="shared" si="13"/>
        <v>669.18010752688167</v>
      </c>
      <c r="AI56" s="273"/>
      <c r="AJ56" s="1289">
        <f t="shared" si="14"/>
        <v>6722.160935751398</v>
      </c>
      <c r="AK56" s="1289">
        <f t="shared" si="15"/>
        <v>729.30305237358652</v>
      </c>
      <c r="AL56" s="1289">
        <f t="shared" si="16"/>
        <v>633.15311208427784</v>
      </c>
      <c r="AM56" s="2215">
        <f t="shared" si="17"/>
        <v>96.149940289308688</v>
      </c>
      <c r="AN56" s="1287">
        <f t="shared" si="18"/>
        <v>60.122944846704854</v>
      </c>
      <c r="AO56" s="1289">
        <f t="shared" si="19"/>
        <v>6761.7906307382618</v>
      </c>
      <c r="AP56" s="1289">
        <f t="shared" si="20"/>
        <v>39.629694986863797</v>
      </c>
      <c r="AQ56" s="273"/>
      <c r="AR56" s="273"/>
      <c r="AS56" s="1399"/>
      <c r="AT56" s="1399"/>
      <c r="AU56" s="1399"/>
      <c r="AV56" s="1399"/>
      <c r="AW56" s="1399"/>
      <c r="AX56" s="1399"/>
    </row>
    <row r="57" spans="1:50" ht="14.25" customHeight="1">
      <c r="A57" s="2574">
        <f>+'Recalculos ST'!V23</f>
        <v>6646.2504156003806</v>
      </c>
      <c r="B57" s="4221">
        <f>24-SUM('ST Original'!DG22:DI22)-SUM('ST Original'!EM22:EO22)</f>
        <v>23.607193000000002</v>
      </c>
      <c r="C57" s="2219">
        <f>+'ST Original'!CR22/'ST Original'!$DO$3</f>
        <v>23.289204350107667</v>
      </c>
      <c r="D57" s="2218">
        <f t="shared" si="21"/>
        <v>6646.2504156003806</v>
      </c>
      <c r="E57" s="1257">
        <f>+IF('Recalculos ST'!AD23&gt;$F$41,$F$41,'Recalculos ST'!AD23)</f>
        <v>1710.6008218391976</v>
      </c>
      <c r="F57" s="1257">
        <f t="shared" si="22"/>
        <v>156899.31628740841</v>
      </c>
      <c r="G57" s="1257">
        <f t="shared" si="23"/>
        <v>39838.532101275188</v>
      </c>
      <c r="H57" s="1257">
        <f t="shared" si="24"/>
        <v>196737.8483886836</v>
      </c>
      <c r="I57" s="2358">
        <f t="shared" si="25"/>
        <v>156.8993162874084</v>
      </c>
      <c r="J57" s="3611">
        <f t="shared" si="26"/>
        <v>39.838532101275192</v>
      </c>
      <c r="K57" s="3612">
        <f t="shared" si="5"/>
        <v>1</v>
      </c>
      <c r="L57" s="2350">
        <f t="shared" si="27"/>
        <v>46096.791666666664</v>
      </c>
      <c r="M57" s="2351">
        <f t="shared" si="30"/>
        <v>561.82485494972798</v>
      </c>
      <c r="N57" s="2351">
        <f t="shared" si="28"/>
        <v>197.27098487997907</v>
      </c>
      <c r="O57" s="3613">
        <f>+IF((I57+J57)&gt;$X$41,$X$41,(I57+J57))-24*0.3</f>
        <v>189.53784838868359</v>
      </c>
      <c r="P57" s="3193" t="s">
        <v>1566</v>
      </c>
      <c r="Q57" s="3251">
        <v>71.70199103517038</v>
      </c>
      <c r="R57" s="3194">
        <f>+'ST Original'!AT22</f>
        <v>36.932517110142435</v>
      </c>
      <c r="S57" s="3643" t="s">
        <v>1566</v>
      </c>
      <c r="T57" s="3195"/>
      <c r="U57" s="3195"/>
      <c r="V57" s="3641"/>
      <c r="W57" s="3638"/>
      <c r="X57" s="2573">
        <f t="shared" si="6"/>
        <v>196.7378483886836</v>
      </c>
      <c r="Y57" s="1217">
        <f t="shared" si="29"/>
        <v>7897.4103495284826</v>
      </c>
      <c r="Z57" s="1217">
        <f t="shared" si="7"/>
        <v>7.2000000000000171</v>
      </c>
      <c r="AA57" s="2217">
        <f t="shared" si="8"/>
        <v>46096.791666666664</v>
      </c>
      <c r="AB57" s="2215">
        <v>11.89032258064516</v>
      </c>
      <c r="AC57" s="2216">
        <f t="shared" si="9"/>
        <v>0.50456989247311834</v>
      </c>
      <c r="AD57" s="1287">
        <f t="shared" si="10"/>
        <v>327.97043010752691</v>
      </c>
      <c r="AE57" s="2215">
        <v>6.629032258064516</v>
      </c>
      <c r="AF57" s="2216">
        <f t="shared" si="11"/>
        <v>0.72379032258064513</v>
      </c>
      <c r="AG57" s="1287">
        <f t="shared" si="12"/>
        <v>398.08467741935482</v>
      </c>
      <c r="AH57" s="1287">
        <f t="shared" si="13"/>
        <v>726.05510752688178</v>
      </c>
      <c r="AI57" s="273"/>
      <c r="AJ57" s="1289">
        <f t="shared" si="14"/>
        <v>6646.2504156003806</v>
      </c>
      <c r="AK57" s="1289">
        <f t="shared" si="15"/>
        <v>721.63355888113665</v>
      </c>
      <c r="AL57" s="1289">
        <f t="shared" si="16"/>
        <v>625.08543279318792</v>
      </c>
      <c r="AM57" s="2215">
        <f t="shared" si="17"/>
        <v>96.548126087948731</v>
      </c>
      <c r="AN57" s="1287">
        <f t="shared" si="18"/>
        <v>0</v>
      </c>
      <c r="AO57" s="1289">
        <f t="shared" si="19"/>
        <v>6752.453354297124</v>
      </c>
      <c r="AP57" s="1289">
        <f t="shared" si="20"/>
        <v>106.20293869674333</v>
      </c>
      <c r="AQ57" s="273"/>
      <c r="AR57" s="273"/>
      <c r="AS57" s="1399"/>
      <c r="AT57" s="1399"/>
      <c r="AU57" s="1399"/>
      <c r="AV57" s="1399"/>
      <c r="AW57" s="1399"/>
      <c r="AX57" s="1399"/>
    </row>
    <row r="58" spans="1:50" ht="14.25" customHeight="1">
      <c r="A58" s="2574">
        <f>+'Recalculos ST'!V24</f>
        <v>6527.3324236107219</v>
      </c>
      <c r="B58" s="4221">
        <f>24-SUM('ST Original'!DG23:DI23)-SUM('ST Original'!EM23:EO23)</f>
        <v>23.607193000000002</v>
      </c>
      <c r="C58" s="2219">
        <f>+'ST Original'!CR23/'ST Original'!$DO$3</f>
        <v>23.289204350107667</v>
      </c>
      <c r="D58" s="2218">
        <f t="shared" si="21"/>
        <v>6527.3324236107219</v>
      </c>
      <c r="E58" s="1257">
        <f>+IF('Recalculos ST'!AD24&gt;$F$41,$F$41,'Recalculos ST'!AD24)</f>
        <v>1679.9939078487919</v>
      </c>
      <c r="F58" s="1257">
        <f t="shared" si="22"/>
        <v>154091.99629933608</v>
      </c>
      <c r="G58" s="1257">
        <f t="shared" si="23"/>
        <v>39125.721426826465</v>
      </c>
      <c r="H58" s="1257">
        <f t="shared" si="24"/>
        <v>193217.71772616255</v>
      </c>
      <c r="I58" s="2358">
        <f t="shared" si="25"/>
        <v>154.09199629933607</v>
      </c>
      <c r="J58" s="3611">
        <f t="shared" si="26"/>
        <v>39.125721426826466</v>
      </c>
      <c r="K58" s="3614">
        <f t="shared" si="5"/>
        <v>2</v>
      </c>
      <c r="L58" s="2353">
        <f t="shared" si="27"/>
        <v>46097.791666666664</v>
      </c>
      <c r="M58" s="2354">
        <f t="shared" si="30"/>
        <v>593.40713722345822</v>
      </c>
      <c r="N58" s="2354">
        <f t="shared" si="28"/>
        <v>219.99999999989282</v>
      </c>
      <c r="O58" s="2352">
        <f>+IF((I58+J58)&gt;$X$41,$X$41,(I58+J58))-24*0.2</f>
        <v>188.41771772616252</v>
      </c>
      <c r="P58" s="3126" t="s">
        <v>1566</v>
      </c>
      <c r="Q58" s="1134">
        <v>81.390454669784148</v>
      </c>
      <c r="R58" s="3137">
        <f>+'ST Original'!AT23</f>
        <v>35.57410957317115</v>
      </c>
      <c r="S58" s="3644" t="s">
        <v>1566</v>
      </c>
      <c r="T58" s="2575"/>
      <c r="U58" s="2575"/>
      <c r="V58" s="3241"/>
      <c r="W58" s="3639"/>
      <c r="X58" s="2573">
        <f t="shared" si="6"/>
        <v>193.21771772616256</v>
      </c>
      <c r="Y58" s="1217">
        <f t="shared" si="29"/>
        <v>7850.7382385901046</v>
      </c>
      <c r="Z58" s="1217">
        <f t="shared" si="7"/>
        <v>4.8000000000000398</v>
      </c>
      <c r="AA58" s="2217">
        <f t="shared" si="8"/>
        <v>46097.791666666664</v>
      </c>
      <c r="AB58" s="2215">
        <v>6.7903225806451619</v>
      </c>
      <c r="AC58" s="2216">
        <f t="shared" si="9"/>
        <v>0.71706989247311836</v>
      </c>
      <c r="AD58" s="1287">
        <f t="shared" si="10"/>
        <v>466.09543010752691</v>
      </c>
      <c r="AE58" s="2215">
        <v>6.629032258064516</v>
      </c>
      <c r="AF58" s="2216">
        <f t="shared" si="11"/>
        <v>0.72379032258064513</v>
      </c>
      <c r="AG58" s="1287">
        <f t="shared" si="12"/>
        <v>398.08467741935482</v>
      </c>
      <c r="AH58" s="1287">
        <f t="shared" si="13"/>
        <v>864.18010752688178</v>
      </c>
      <c r="AI58" s="273"/>
      <c r="AJ58" s="1289">
        <f t="shared" si="14"/>
        <v>6527.3324236107219</v>
      </c>
      <c r="AK58" s="1289">
        <f t="shared" si="15"/>
        <v>708.63890624132046</v>
      </c>
      <c r="AL58" s="1289">
        <f t="shared" si="16"/>
        <v>611.51969792485897</v>
      </c>
      <c r="AM58" s="2215">
        <f t="shared" si="17"/>
        <v>97.119208316461481</v>
      </c>
      <c r="AN58" s="1287">
        <f t="shared" si="18"/>
        <v>0</v>
      </c>
      <c r="AO58" s="1289">
        <f t="shared" si="19"/>
        <v>6634.1635527588296</v>
      </c>
      <c r="AP58" s="1289">
        <f t="shared" si="20"/>
        <v>106.83112914810772</v>
      </c>
      <c r="AQ58" s="273"/>
      <c r="AR58" s="273"/>
      <c r="AS58" s="1399"/>
      <c r="AT58" s="1399"/>
      <c r="AU58" s="1399"/>
      <c r="AV58" s="1399"/>
      <c r="AW58" s="1399"/>
      <c r="AX58" s="1399"/>
    </row>
    <row r="59" spans="1:50" ht="14.25" customHeight="1">
      <c r="A59" s="2574">
        <f>+'Recalculos ST'!V25</f>
        <v>6735.2021837368948</v>
      </c>
      <c r="B59" s="4221">
        <f>24-SUM('ST Original'!DG24:DI24)-SUM('ST Original'!EM24:EO24)</f>
        <v>22.519473000000001</v>
      </c>
      <c r="C59" s="2219">
        <f>+'ST Original'!CR24/'ST Original'!$DO$3</f>
        <v>23.289204350107667</v>
      </c>
      <c r="D59" s="2218">
        <f t="shared" si="21"/>
        <v>6735.2021837368948</v>
      </c>
      <c r="E59" s="1257">
        <f>+IF('Recalculos ST'!AD25&gt;$F$41,$F$41,'Recalculos ST'!AD25)</f>
        <v>1733.4950792269735</v>
      </c>
      <c r="F59" s="1257">
        <f t="shared" si="22"/>
        <v>151673.20372620405</v>
      </c>
      <c r="G59" s="1257">
        <f t="shared" si="23"/>
        <v>40371.721140023066</v>
      </c>
      <c r="H59" s="1257">
        <f t="shared" si="24"/>
        <v>192044.92486622711</v>
      </c>
      <c r="I59" s="2358">
        <f t="shared" si="25"/>
        <v>151.67320372620406</v>
      </c>
      <c r="J59" s="3611">
        <f t="shared" si="26"/>
        <v>40.37172114002307</v>
      </c>
      <c r="K59" s="3614">
        <f t="shared" si="5"/>
        <v>3</v>
      </c>
      <c r="L59" s="2353">
        <f t="shared" si="27"/>
        <v>46098.791666666664</v>
      </c>
      <c r="M59" s="2354">
        <f t="shared" si="30"/>
        <v>626.16221235726221</v>
      </c>
      <c r="N59" s="2354">
        <f t="shared" si="28"/>
        <v>220.00000000003118</v>
      </c>
      <c r="O59" s="2352">
        <f>+IF((I59+J59)&gt;$X$41,$X$41,(I59+J59))-24*0.2</f>
        <v>187.24492486622711</v>
      </c>
      <c r="P59" s="3126" t="s">
        <v>1566</v>
      </c>
      <c r="Q59" s="1134">
        <v>65.305017556222808</v>
      </c>
      <c r="R59" s="3137">
        <f>+'ST Original'!AT24</f>
        <v>37.024870781020738</v>
      </c>
      <c r="S59" s="3644" t="s">
        <v>1566</v>
      </c>
      <c r="T59" s="2575"/>
      <c r="U59" s="2575" t="s">
        <v>1831</v>
      </c>
      <c r="V59" s="3241"/>
      <c r="W59" s="3638"/>
      <c r="X59" s="2573">
        <f t="shared" si="6"/>
        <v>192.04492486622712</v>
      </c>
      <c r="Y59" s="1217">
        <f t="shared" si="29"/>
        <v>7801.8718694261297</v>
      </c>
      <c r="Z59" s="1217">
        <f t="shared" si="7"/>
        <v>4.8000000000000114</v>
      </c>
      <c r="AA59" s="2217">
        <f t="shared" si="8"/>
        <v>46098.791666666664</v>
      </c>
      <c r="AB59" s="2215">
        <v>6.7903225806451619</v>
      </c>
      <c r="AC59" s="2216">
        <f t="shared" si="9"/>
        <v>0.71706989247311836</v>
      </c>
      <c r="AD59" s="1287">
        <f t="shared" si="10"/>
        <v>466.09543010752691</v>
      </c>
      <c r="AE59" s="2215">
        <v>6.629032258064516</v>
      </c>
      <c r="AF59" s="2216">
        <f t="shared" si="11"/>
        <v>0.72379032258064513</v>
      </c>
      <c r="AG59" s="1287">
        <f t="shared" si="12"/>
        <v>398.08467741935482</v>
      </c>
      <c r="AH59" s="1287">
        <f t="shared" si="13"/>
        <v>864.18010752688178</v>
      </c>
      <c r="AI59" s="273"/>
      <c r="AJ59" s="1289">
        <f t="shared" si="14"/>
        <v>6735.2021837368948</v>
      </c>
      <c r="AK59" s="1289">
        <f t="shared" si="15"/>
        <v>730.57306319592453</v>
      </c>
      <c r="AL59" s="1289">
        <f t="shared" si="16"/>
        <v>634.49435334816508</v>
      </c>
      <c r="AM59" s="2215">
        <f t="shared" si="17"/>
        <v>96.078709847759455</v>
      </c>
      <c r="AN59" s="1287">
        <f t="shared" si="18"/>
        <v>0</v>
      </c>
      <c r="AO59" s="1289">
        <f t="shared" si="19"/>
        <v>6840.8887645694304</v>
      </c>
      <c r="AP59" s="1289">
        <f t="shared" si="20"/>
        <v>105.68658083253558</v>
      </c>
      <c r="AQ59" s="273"/>
      <c r="AR59" s="273"/>
      <c r="AS59" s="1399"/>
      <c r="AT59" s="1399"/>
      <c r="AU59" s="1399"/>
      <c r="AV59" s="1399"/>
      <c r="AW59" s="1399"/>
      <c r="AX59" s="1399"/>
    </row>
    <row r="60" spans="1:50" ht="14.25" customHeight="1">
      <c r="A60" s="2574">
        <f>+'Recalculos ST'!V26</f>
        <v>6660.6960923207307</v>
      </c>
      <c r="B60" s="4221">
        <f>24-SUM('ST Original'!DG25:DI25)-SUM('ST Original'!EM25:EO25)</f>
        <v>23.607193000000002</v>
      </c>
      <c r="C60" s="2219">
        <f>+'ST Original'!CR25/'ST Original'!$DO$3</f>
        <v>23.289204350107667</v>
      </c>
      <c r="D60" s="2218">
        <f t="shared" si="21"/>
        <v>6660.6960923207307</v>
      </c>
      <c r="E60" s="1257">
        <f>+IF('Recalculos ST'!AD26&gt;$F$41,$F$41,'Recalculos ST'!AD26)</f>
        <v>1714.3188259655319</v>
      </c>
      <c r="F60" s="1257">
        <f t="shared" si="22"/>
        <v>157240.33816576132</v>
      </c>
      <c r="G60" s="1257">
        <f t="shared" si="23"/>
        <v>39925.121459147937</v>
      </c>
      <c r="H60" s="1257">
        <f t="shared" si="24"/>
        <v>197165.45962490927</v>
      </c>
      <c r="I60" s="2358">
        <f t="shared" si="25"/>
        <v>157.24033816576133</v>
      </c>
      <c r="J60" s="3611">
        <f t="shared" si="26"/>
        <v>39.925121459147938</v>
      </c>
      <c r="K60" s="3614">
        <f t="shared" si="5"/>
        <v>4</v>
      </c>
      <c r="L60" s="2353">
        <f t="shared" si="27"/>
        <v>46099.791666666664</v>
      </c>
      <c r="M60" s="2354">
        <f t="shared" si="30"/>
        <v>618.79675273211501</v>
      </c>
      <c r="N60" s="2354">
        <f t="shared" si="28"/>
        <v>184.99999999976203</v>
      </c>
      <c r="O60" s="2352">
        <f t="shared" ref="O60:O62" si="31">+IF((I60+J60)&gt;$X$41,$X$41,(I60+J60))-24*0.2</f>
        <v>192.36545962490925</v>
      </c>
      <c r="P60" s="3126" t="s">
        <v>1566</v>
      </c>
      <c r="Q60" s="1134">
        <v>79.246038380334483</v>
      </c>
      <c r="R60" s="3137">
        <f>+'ST Original'!AT25</f>
        <v>36.941364576954399</v>
      </c>
      <c r="S60" s="3644" t="s">
        <v>1566</v>
      </c>
      <c r="T60" s="2575"/>
      <c r="U60" s="2575"/>
      <c r="V60" s="3241"/>
      <c r="W60" s="3638"/>
      <c r="X60" s="2573">
        <f t="shared" si="6"/>
        <v>197.16545962490926</v>
      </c>
      <c r="Y60" s="1217">
        <f t="shared" si="29"/>
        <v>8015.2274843712185</v>
      </c>
      <c r="Z60" s="1217">
        <f t="shared" si="7"/>
        <v>4.8000000000000114</v>
      </c>
      <c r="AA60" s="2217">
        <f t="shared" si="8"/>
        <v>46099.791666666664</v>
      </c>
      <c r="AB60" s="2215">
        <v>6.7903225806451619</v>
      </c>
      <c r="AC60" s="2216">
        <f t="shared" si="9"/>
        <v>0.71706989247311836</v>
      </c>
      <c r="AD60" s="1287">
        <f t="shared" si="10"/>
        <v>466.09543010752691</v>
      </c>
      <c r="AE60" s="2215">
        <v>6.629032258064516</v>
      </c>
      <c r="AF60" s="2216">
        <f t="shared" si="11"/>
        <v>0.72379032258064513</v>
      </c>
      <c r="AG60" s="1287">
        <f t="shared" si="12"/>
        <v>398.08467741935482</v>
      </c>
      <c r="AH60" s="1287">
        <f t="shared" si="13"/>
        <v>864.18010752688178</v>
      </c>
      <c r="AI60" s="273"/>
      <c r="AJ60" s="1289">
        <f t="shared" si="14"/>
        <v>6660.6960923207307</v>
      </c>
      <c r="AK60" s="1289">
        <f t="shared" si="15"/>
        <v>723.12988459443159</v>
      </c>
      <c r="AL60" s="1289">
        <f t="shared" si="16"/>
        <v>626.65542260005122</v>
      </c>
      <c r="AM60" s="2215">
        <f t="shared" si="17"/>
        <v>96.474461994380363</v>
      </c>
      <c r="AN60" s="1287">
        <f t="shared" si="18"/>
        <v>0</v>
      </c>
      <c r="AO60" s="1289">
        <f t="shared" si="19"/>
        <v>6766.8180005145496</v>
      </c>
      <c r="AP60" s="1289">
        <f t="shared" si="20"/>
        <v>106.12190819381885</v>
      </c>
      <c r="AQ60" s="273"/>
      <c r="AR60" s="273"/>
      <c r="AS60" s="1399"/>
      <c r="AT60" s="1399"/>
      <c r="AU60" s="1399"/>
      <c r="AV60" s="1399"/>
      <c r="AW60" s="1399"/>
      <c r="AX60" s="1399"/>
    </row>
    <row r="61" spans="1:50" ht="14.25" customHeight="1">
      <c r="A61" s="2574">
        <f>+'Recalculos ST'!V27</f>
        <v>6739.5905127316419</v>
      </c>
      <c r="B61" s="4221">
        <f>24-SUM('ST Original'!DG26:DI26)-SUM('ST Original'!EM26:EO26)</f>
        <v>23.607193000000002</v>
      </c>
      <c r="C61" s="2219">
        <f>+'ST Original'!CR26/'ST Original'!$DO$3</f>
        <v>23.289204350107667</v>
      </c>
      <c r="D61" s="2218">
        <f t="shared" si="21"/>
        <v>6739.5905127316419</v>
      </c>
      <c r="E61" s="1257">
        <f>+IF('Recalculos ST'!AD27&gt;$F$41,$F$41,'Recalculos ST'!AD27)</f>
        <v>1734.6245400079422</v>
      </c>
      <c r="F61" s="1257">
        <f t="shared" si="22"/>
        <v>159102.81397502485</v>
      </c>
      <c r="G61" s="1257">
        <f t="shared" si="23"/>
        <v>40398.025382956475</v>
      </c>
      <c r="H61" s="1257">
        <f t="shared" si="24"/>
        <v>199500.83935798134</v>
      </c>
      <c r="I61" s="2358">
        <f t="shared" si="25"/>
        <v>159.10281397502484</v>
      </c>
      <c r="J61" s="3611">
        <f t="shared" si="26"/>
        <v>40.398025382956476</v>
      </c>
      <c r="K61" s="3614">
        <f t="shared" si="5"/>
        <v>5</v>
      </c>
      <c r="L61" s="2353">
        <f t="shared" si="27"/>
        <v>46100.791666666664</v>
      </c>
      <c r="M61" s="2354">
        <f t="shared" si="30"/>
        <v>644.09591337383029</v>
      </c>
      <c r="N61" s="2354">
        <f t="shared" si="28"/>
        <v>219.99999999969657</v>
      </c>
      <c r="O61" s="2352">
        <f t="shared" si="31"/>
        <v>194.70083935798129</v>
      </c>
      <c r="P61" s="3126" t="s">
        <v>1566</v>
      </c>
      <c r="Q61" s="1134">
        <v>82.645548429767985</v>
      </c>
      <c r="R61" s="3137">
        <f>+'ST Original'!AT26</f>
        <v>37.752071762460638</v>
      </c>
      <c r="S61" s="3644" t="s">
        <v>1566</v>
      </c>
      <c r="T61" s="2575"/>
      <c r="U61" s="2575"/>
      <c r="V61" s="3241"/>
      <c r="W61" s="3638"/>
      <c r="X61" s="2573">
        <f t="shared" si="6"/>
        <v>199.50083935798133</v>
      </c>
      <c r="Y61" s="1217">
        <f t="shared" si="29"/>
        <v>8112.5349732492205</v>
      </c>
      <c r="Z61" s="1217">
        <f t="shared" si="7"/>
        <v>4.8000000000000398</v>
      </c>
      <c r="AA61" s="2217">
        <f t="shared" si="8"/>
        <v>46100.791666666664</v>
      </c>
      <c r="AB61" s="2215">
        <v>6.7903225806451619</v>
      </c>
      <c r="AC61" s="2216">
        <f t="shared" si="9"/>
        <v>0.71706989247311836</v>
      </c>
      <c r="AD61" s="1287">
        <f t="shared" si="10"/>
        <v>466.09543010752691</v>
      </c>
      <c r="AE61" s="2215">
        <v>6.629032258064516</v>
      </c>
      <c r="AF61" s="2216">
        <f t="shared" si="11"/>
        <v>0.72379032258064513</v>
      </c>
      <c r="AG61" s="1287">
        <f t="shared" si="12"/>
        <v>398.08467741935482</v>
      </c>
      <c r="AH61" s="1287">
        <f t="shared" si="13"/>
        <v>864.18010752688178</v>
      </c>
      <c r="AI61" s="273"/>
      <c r="AJ61" s="1289">
        <f t="shared" si="14"/>
        <v>6739.5905127316419</v>
      </c>
      <c r="AK61" s="1289">
        <f t="shared" si="15"/>
        <v>730.99732277202702</v>
      </c>
      <c r="AL61" s="1289">
        <f t="shared" si="16"/>
        <v>634.94277328941871</v>
      </c>
      <c r="AM61" s="2215">
        <f t="shared" si="17"/>
        <v>96.054549482608309</v>
      </c>
      <c r="AN61" s="1287">
        <f t="shared" si="18"/>
        <v>0</v>
      </c>
      <c r="AO61" s="1289">
        <f t="shared" si="19"/>
        <v>6845.2505171625107</v>
      </c>
      <c r="AP61" s="1289">
        <f t="shared" si="20"/>
        <v>105.66000443086887</v>
      </c>
      <c r="AQ61" s="273"/>
      <c r="AR61" s="273"/>
      <c r="AS61" s="1399"/>
      <c r="AT61" s="1399"/>
      <c r="AU61" s="1399"/>
      <c r="AV61" s="1399"/>
      <c r="AW61" s="1399"/>
      <c r="AX61" s="1399"/>
    </row>
    <row r="62" spans="1:50" ht="14.25" customHeight="1">
      <c r="A62" s="2574">
        <f>+'Recalculos ST'!V28</f>
        <v>6810.6917262339166</v>
      </c>
      <c r="B62" s="2424">
        <f>24-SUM('ST Original'!DG27:DI27)-SUM('ST Original'!EM27:EO27)</f>
        <v>23.607193000000002</v>
      </c>
      <c r="C62" s="2219">
        <f>+'ST Original'!CR27/'ST Original'!$DO$3</f>
        <v>23.289204350107667</v>
      </c>
      <c r="D62" s="2218">
        <f t="shared" si="21"/>
        <v>6810.6917262339166</v>
      </c>
      <c r="E62" s="1257">
        <f>+IF('Recalculos ST'!AD28&gt;$F$41,$F$41,'Recalculos ST'!AD28)</f>
        <v>1752.9244514836323</v>
      </c>
      <c r="F62" s="1257">
        <f t="shared" si="22"/>
        <v>160781.31404470725</v>
      </c>
      <c r="G62" s="1257">
        <f t="shared" si="23"/>
        <v>40824.215760902705</v>
      </c>
      <c r="H62" s="1257">
        <f t="shared" si="24"/>
        <v>201605.52980560996</v>
      </c>
      <c r="I62" s="2358">
        <f t="shared" si="25"/>
        <v>160.78131404470724</v>
      </c>
      <c r="J62" s="3611">
        <f t="shared" si="26"/>
        <v>40.824215760902703</v>
      </c>
      <c r="K62" s="3614">
        <f t="shared" si="5"/>
        <v>6</v>
      </c>
      <c r="L62" s="2353">
        <f t="shared" si="27"/>
        <v>46101.791666666664</v>
      </c>
      <c r="M62" s="2354">
        <f t="shared" si="30"/>
        <v>667.29041378565239</v>
      </c>
      <c r="N62" s="2354">
        <f t="shared" si="28"/>
        <v>220.00003021743203</v>
      </c>
      <c r="O62" s="2352">
        <f t="shared" si="31"/>
        <v>196.80552980560992</v>
      </c>
      <c r="P62" s="3126" t="s">
        <v>1566</v>
      </c>
      <c r="Q62" s="1134">
        <v>73.556449776811718</v>
      </c>
      <c r="R62" s="3137">
        <f>+'ST Original'!AT27</f>
        <v>37.831207029537204</v>
      </c>
      <c r="S62" s="3644" t="s">
        <v>1566</v>
      </c>
      <c r="T62" s="2575"/>
      <c r="U62" s="2575"/>
      <c r="V62" s="3241"/>
      <c r="W62" s="3638"/>
      <c r="X62" s="2573">
        <f t="shared" si="6"/>
        <v>201.60552980560996</v>
      </c>
      <c r="Y62" s="1217">
        <f t="shared" si="29"/>
        <v>8200.2304085670803</v>
      </c>
      <c r="Z62" s="1217">
        <f t="shared" si="7"/>
        <v>4.8000000000000398</v>
      </c>
      <c r="AA62" s="2217">
        <f t="shared" si="8"/>
        <v>46101.791666666664</v>
      </c>
      <c r="AB62" s="2215">
        <v>6.7903225806451619</v>
      </c>
      <c r="AC62" s="2216">
        <f t="shared" si="9"/>
        <v>0.71706989247311836</v>
      </c>
      <c r="AD62" s="1287">
        <f t="shared" si="10"/>
        <v>466.09543010752691</v>
      </c>
      <c r="AE62" s="2215">
        <v>6.629032258064516</v>
      </c>
      <c r="AF62" s="2216">
        <f t="shared" si="11"/>
        <v>0.72379032258064513</v>
      </c>
      <c r="AG62" s="1287">
        <f t="shared" si="12"/>
        <v>398.08467741935482</v>
      </c>
      <c r="AH62" s="1287">
        <f t="shared" si="13"/>
        <v>864.18010752688178</v>
      </c>
      <c r="AI62" s="273"/>
      <c r="AJ62" s="1289">
        <f t="shared" si="14"/>
        <v>6810.6917262339166</v>
      </c>
      <c r="AK62" s="1289">
        <f t="shared" si="15"/>
        <v>737.65710556863496</v>
      </c>
      <c r="AL62" s="1289">
        <f t="shared" si="16"/>
        <v>642.00781959657206</v>
      </c>
      <c r="AM62" s="2215">
        <f t="shared" si="17"/>
        <v>95.649285972062899</v>
      </c>
      <c r="AN62" s="1287">
        <f t="shared" si="18"/>
        <v>0</v>
      </c>
      <c r="AO62" s="1289">
        <f t="shared" si="19"/>
        <v>6915.9059408031862</v>
      </c>
      <c r="AP62" s="1289">
        <f t="shared" si="20"/>
        <v>105.21421456926964</v>
      </c>
      <c r="AQ62" s="273"/>
      <c r="AR62" s="273"/>
      <c r="AS62" s="1399"/>
      <c r="AT62" s="1399"/>
      <c r="AU62" s="1399"/>
      <c r="AV62" s="1399"/>
      <c r="AW62" s="1399"/>
      <c r="AX62" s="1399"/>
    </row>
    <row r="63" spans="1:50" ht="14.25" customHeight="1" thickBot="1">
      <c r="A63" s="2574">
        <f>+'Recalculos ST'!V29</f>
        <v>6603.5102958718435</v>
      </c>
      <c r="B63" s="2424">
        <f>24-SUM('ST Original'!DG28:DI28)-SUM('ST Original'!EM28:EO28)</f>
        <v>23.607193000000002</v>
      </c>
      <c r="C63" s="2219">
        <f>+'ST Original'!CR28/'ST Original'!$DO$3</f>
        <v>23.289204350107667</v>
      </c>
      <c r="D63" s="2218">
        <f t="shared" si="21"/>
        <v>6603.5102958718435</v>
      </c>
      <c r="E63" s="1257">
        <f>+IF('Recalculos ST'!AD29&gt;$F$41,$F$41,'Recalculos ST'!AD29)</f>
        <v>1699.6004412694958</v>
      </c>
      <c r="F63" s="1257">
        <f t="shared" si="22"/>
        <v>155890.34203213372</v>
      </c>
      <c r="G63" s="1257">
        <f t="shared" si="23"/>
        <v>39582.34199025845</v>
      </c>
      <c r="H63" s="1257">
        <f t="shared" si="24"/>
        <v>195472.68402239218</v>
      </c>
      <c r="I63" s="2358">
        <f t="shared" si="25"/>
        <v>155.89034203213373</v>
      </c>
      <c r="J63" s="3611">
        <f t="shared" si="26"/>
        <v>39.582341990258449</v>
      </c>
      <c r="K63" s="3615">
        <f t="shared" si="5"/>
        <v>7</v>
      </c>
      <c r="L63" s="2355">
        <f t="shared" si="27"/>
        <v>46102.791666666664</v>
      </c>
      <c r="M63" s="2356">
        <f t="shared" si="30"/>
        <v>659.21775062644883</v>
      </c>
      <c r="N63" s="2356">
        <f t="shared" si="28"/>
        <v>185.00002086318861</v>
      </c>
      <c r="O63" s="2352">
        <f>+IF((I63+J63)&gt;$X$41,$X$41,(I63+J63))-24*0.1</f>
        <v>193.07268402239217</v>
      </c>
      <c r="P63" s="3196" t="s">
        <v>1566</v>
      </c>
      <c r="Q63" s="3197">
        <v>55.288145641382371</v>
      </c>
      <c r="R63" s="3198">
        <f>+'ST Original'!AT28</f>
        <v>36.152261349255689</v>
      </c>
      <c r="S63" s="3645" t="s">
        <v>1566</v>
      </c>
      <c r="T63" s="3199"/>
      <c r="U63" s="3642"/>
      <c r="V63" s="3242"/>
      <c r="W63" s="3638"/>
      <c r="X63" s="2573">
        <f t="shared" si="6"/>
        <v>195.47268402239217</v>
      </c>
      <c r="Y63" s="1217">
        <f t="shared" si="29"/>
        <v>8044.6951675996734</v>
      </c>
      <c r="Z63" s="1217">
        <f t="shared" si="7"/>
        <v>2.4000000000000057</v>
      </c>
      <c r="AA63" s="2217">
        <f t="shared" si="8"/>
        <v>46102.791666666664</v>
      </c>
      <c r="AB63" s="2215">
        <v>6.7903225806451619</v>
      </c>
      <c r="AC63" s="2216">
        <f t="shared" si="9"/>
        <v>0.71706989247311836</v>
      </c>
      <c r="AD63" s="1287">
        <f t="shared" si="10"/>
        <v>466.09543010752691</v>
      </c>
      <c r="AE63" s="2215">
        <v>6.629032258064516</v>
      </c>
      <c r="AF63" s="2216">
        <f t="shared" si="11"/>
        <v>0.72379032258064513</v>
      </c>
      <c r="AG63" s="1287">
        <f t="shared" si="12"/>
        <v>398.08467741935482</v>
      </c>
      <c r="AH63" s="1287">
        <f t="shared" si="13"/>
        <v>864.18010752688178</v>
      </c>
      <c r="AI63" s="273"/>
      <c r="AJ63" s="1289">
        <f t="shared" si="14"/>
        <v>6603.5102958718435</v>
      </c>
      <c r="AK63" s="1289">
        <f t="shared" si="15"/>
        <v>717.10325161200353</v>
      </c>
      <c r="AL63" s="1289">
        <f t="shared" si="16"/>
        <v>620.34276387328237</v>
      </c>
      <c r="AM63" s="2215">
        <f t="shared" si="17"/>
        <v>96.760487738721167</v>
      </c>
      <c r="AN63" s="1287">
        <f t="shared" si="18"/>
        <v>0</v>
      </c>
      <c r="AO63" s="1289">
        <f t="shared" si="19"/>
        <v>6709.9468323844367</v>
      </c>
      <c r="AP63" s="1289">
        <f t="shared" si="20"/>
        <v>106.43653651259319</v>
      </c>
      <c r="AQ63" s="273"/>
      <c r="AR63" s="273"/>
      <c r="AS63" s="1399"/>
      <c r="AT63" s="1399"/>
      <c r="AU63" s="1399"/>
      <c r="AV63" s="1399"/>
      <c r="AW63" s="1399"/>
      <c r="AX63" s="1399"/>
    </row>
    <row r="64" spans="1:50" ht="14.25" customHeight="1">
      <c r="A64" s="2574">
        <f>+'Recalculos ST'!V30</f>
        <v>6655.2156283325221</v>
      </c>
      <c r="B64" s="2424">
        <f>24-SUM('ST Original'!DG29:DI29)-SUM('ST Original'!EM29:EO29)</f>
        <v>23.607193000000002</v>
      </c>
      <c r="C64" s="2219">
        <f>+'ST Original'!CR29/'ST Original'!$DO$3</f>
        <v>23.289204350107667</v>
      </c>
      <c r="D64" s="2218">
        <f t="shared" si="21"/>
        <v>6655.2156283325221</v>
      </c>
      <c r="E64" s="1257">
        <f>+IF('Recalculos ST'!AD30&gt;$F$41,$F$41,'Recalculos ST'!AD30)</f>
        <v>1712.9082733056009</v>
      </c>
      <c r="F64" s="1257">
        <f t="shared" si="22"/>
        <v>157110.95979466214</v>
      </c>
      <c r="G64" s="1257">
        <f t="shared" si="23"/>
        <v>39892.270810004215</v>
      </c>
      <c r="H64" s="1257">
        <f t="shared" si="24"/>
        <v>197003.23060466634</v>
      </c>
      <c r="I64" s="2358">
        <f t="shared" si="25"/>
        <v>157.11095979466214</v>
      </c>
      <c r="J64" s="3611">
        <f t="shared" si="26"/>
        <v>39.892270810004213</v>
      </c>
      <c r="K64" s="3612">
        <f t="shared" si="5"/>
        <v>1</v>
      </c>
      <c r="L64" s="2350">
        <f t="shared" si="27"/>
        <v>46103.791666666664</v>
      </c>
      <c r="M64" s="2351">
        <f t="shared" si="30"/>
        <v>664.61452002148292</v>
      </c>
      <c r="N64" s="2351">
        <f t="shared" si="28"/>
        <v>199.99999999970044</v>
      </c>
      <c r="O64" s="3613">
        <f>+IF((I64+J64)&gt;$X$41,$X$41,(I64+J64))-24*0.1</f>
        <v>194.60323060466635</v>
      </c>
      <c r="P64" s="3193" t="s">
        <v>1566</v>
      </c>
      <c r="Q64" s="3251">
        <v>52.580039651093891</v>
      </c>
      <c r="R64" s="3194">
        <f>+'ST Original'!AT29</f>
        <v>36.837072346157001</v>
      </c>
      <c r="S64" s="3643" t="s">
        <v>1566</v>
      </c>
      <c r="T64" s="3195"/>
      <c r="U64" s="3195"/>
      <c r="V64" s="3641"/>
      <c r="W64" s="3638"/>
      <c r="X64" s="2573">
        <f t="shared" si="6"/>
        <v>197.00323060466636</v>
      </c>
      <c r="Y64" s="1217">
        <f t="shared" si="29"/>
        <v>8108.4679418610986</v>
      </c>
      <c r="Z64" s="1217">
        <f t="shared" si="7"/>
        <v>2.4000000000000057</v>
      </c>
      <c r="AA64" s="2217">
        <f t="shared" si="8"/>
        <v>46103.791666666664</v>
      </c>
      <c r="AB64" s="2215">
        <v>6.7903225806451619</v>
      </c>
      <c r="AC64" s="2216">
        <f t="shared" si="9"/>
        <v>0.71706989247311836</v>
      </c>
      <c r="AD64" s="1287">
        <f t="shared" si="10"/>
        <v>466.09543010752691</v>
      </c>
      <c r="AE64" s="2215">
        <v>6.629032258064516</v>
      </c>
      <c r="AF64" s="2216">
        <f t="shared" si="11"/>
        <v>0.72379032258064513</v>
      </c>
      <c r="AG64" s="1287">
        <f t="shared" si="12"/>
        <v>398.08467741935482</v>
      </c>
      <c r="AH64" s="1287">
        <f t="shared" si="13"/>
        <v>864.18010752688178</v>
      </c>
      <c r="AI64" s="273"/>
      <c r="AJ64" s="1289">
        <f t="shared" si="14"/>
        <v>6655.2156283325221</v>
      </c>
      <c r="AK64" s="1289">
        <f t="shared" si="15"/>
        <v>722.56426023680933</v>
      </c>
      <c r="AL64" s="1289">
        <f t="shared" si="16"/>
        <v>626.06173698392513</v>
      </c>
      <c r="AM64" s="2215">
        <f t="shared" si="17"/>
        <v>96.502523252884203</v>
      </c>
      <c r="AN64" s="1287">
        <f t="shared" si="18"/>
        <v>0</v>
      </c>
      <c r="AO64" s="1289">
        <f t="shared" si="19"/>
        <v>6761.3684039106947</v>
      </c>
      <c r="AP64" s="1289">
        <f t="shared" si="20"/>
        <v>106.15277557817262</v>
      </c>
      <c r="AQ64" s="273"/>
      <c r="AR64" s="273"/>
      <c r="AS64" s="1399"/>
      <c r="AT64" s="1399"/>
      <c r="AU64" s="1399"/>
      <c r="AV64" s="1399"/>
      <c r="AW64" s="1399"/>
      <c r="AX64" s="1399"/>
    </row>
    <row r="65" spans="1:50" ht="14.25" customHeight="1">
      <c r="A65" s="2574">
        <f>+'Recalculos ST'!V31</f>
        <v>6550.612367567348</v>
      </c>
      <c r="B65" s="2424">
        <f>24-SUM('ST Original'!DG30:DI30)-SUM('ST Original'!EM30:EO30)</f>
        <v>23.607193000000002</v>
      </c>
      <c r="C65" s="2219">
        <f>+'ST Original'!CR30/'ST Original'!$DO$3</f>
        <v>23.289204350107667</v>
      </c>
      <c r="D65" s="2218">
        <f t="shared" si="21"/>
        <v>6550.612367567348</v>
      </c>
      <c r="E65" s="1257">
        <f>+IF('Recalculos ST'!AD31&gt;$F$41,$F$41,'Recalculos ST'!AD31)</f>
        <v>1685.9856609086978</v>
      </c>
      <c r="F65" s="1257">
        <f t="shared" si="22"/>
        <v>154641.57042934935</v>
      </c>
      <c r="G65" s="1257">
        <f t="shared" si="23"/>
        <v>39265.264588253995</v>
      </c>
      <c r="H65" s="1257">
        <f t="shared" si="24"/>
        <v>193906.83501760336</v>
      </c>
      <c r="I65" s="2358">
        <f t="shared" si="25"/>
        <v>154.64157042934934</v>
      </c>
      <c r="J65" s="3611">
        <f t="shared" si="26"/>
        <v>39.265264588253991</v>
      </c>
      <c r="K65" s="3614">
        <f t="shared" si="5"/>
        <v>2</v>
      </c>
      <c r="L65" s="2353">
        <f t="shared" si="27"/>
        <v>46104.791666666664</v>
      </c>
      <c r="M65" s="2354">
        <f t="shared" si="30"/>
        <v>673.1076850040381</v>
      </c>
      <c r="N65" s="2354">
        <f t="shared" si="28"/>
        <v>200.00000000015848</v>
      </c>
      <c r="O65" s="2352">
        <f>+IF((I65+J65)&gt;$X$41,$X$41,(I65+J65))-24*0.1</f>
        <v>191.50683501760332</v>
      </c>
      <c r="P65" s="3126" t="s">
        <v>1566</v>
      </c>
      <c r="Q65" s="1134">
        <v>72.006904766280357</v>
      </c>
      <c r="R65" s="3137">
        <f>+'ST Original'!AT30</f>
        <v>36.355026368370282</v>
      </c>
      <c r="S65" s="3644" t="s">
        <v>1566</v>
      </c>
      <c r="T65" s="2575"/>
      <c r="U65" s="2575" t="s">
        <v>1824</v>
      </c>
      <c r="V65" s="3241"/>
      <c r="W65" s="3638"/>
      <c r="X65" s="2573">
        <f t="shared" si="6"/>
        <v>193.90683501760336</v>
      </c>
      <c r="Y65" s="1217">
        <f t="shared" si="29"/>
        <v>7979.451459066805</v>
      </c>
      <c r="Z65" s="1217">
        <f t="shared" si="7"/>
        <v>2.4000000000000341</v>
      </c>
      <c r="AA65" s="2217">
        <f t="shared" si="8"/>
        <v>46104.791666666664</v>
      </c>
      <c r="AB65" s="2215">
        <v>6.7903225806451619</v>
      </c>
      <c r="AC65" s="2216">
        <f t="shared" si="9"/>
        <v>0.71706989247311836</v>
      </c>
      <c r="AD65" s="1287">
        <f t="shared" si="10"/>
        <v>466.09543010752691</v>
      </c>
      <c r="AE65" s="2215">
        <v>6.629032258064516</v>
      </c>
      <c r="AF65" s="2216">
        <f t="shared" si="11"/>
        <v>0.72379032258064513</v>
      </c>
      <c r="AG65" s="1287">
        <f t="shared" si="12"/>
        <v>398.08467741935482</v>
      </c>
      <c r="AH65" s="1287">
        <f t="shared" si="13"/>
        <v>864.18010752688178</v>
      </c>
      <c r="AI65" s="273"/>
      <c r="AJ65" s="1289">
        <f t="shared" si="14"/>
        <v>6550.612367567348</v>
      </c>
      <c r="AK65" s="1289">
        <f t="shared" si="15"/>
        <v>711.27931211737041</v>
      </c>
      <c r="AL65" s="1289">
        <f t="shared" si="16"/>
        <v>614.26712967544108</v>
      </c>
      <c r="AM65" s="2215">
        <f t="shared" si="17"/>
        <v>97.012182441929326</v>
      </c>
      <c r="AN65" s="1287">
        <f t="shared" si="18"/>
        <v>0</v>
      </c>
      <c r="AO65" s="1289">
        <f t="shared" si="19"/>
        <v>6657.3257682534704</v>
      </c>
      <c r="AP65" s="1289">
        <f t="shared" si="20"/>
        <v>106.71340068612244</v>
      </c>
      <c r="AQ65" s="273"/>
      <c r="AR65" s="273"/>
      <c r="AS65" s="1399"/>
      <c r="AT65" s="1399"/>
      <c r="AU65" s="1399"/>
      <c r="AV65" s="1399"/>
      <c r="AW65" s="1399"/>
      <c r="AX65" s="1399"/>
    </row>
    <row r="66" spans="1:50" ht="14.25" customHeight="1">
      <c r="A66" s="2574">
        <f>+'Recalculos ST'!V32</f>
        <v>6730.6228856503276</v>
      </c>
      <c r="B66" s="2424">
        <f>24-SUM('ST Original'!DG31:DI31)-SUM('ST Original'!EM31:EO31)</f>
        <v>23.607193000000002</v>
      </c>
      <c r="C66" s="2219">
        <f>+'ST Original'!CR31/'ST Original'!$DO$3</f>
        <v>23.289204350107667</v>
      </c>
      <c r="D66" s="2218">
        <f t="shared" si="21"/>
        <v>6730.6228856503276</v>
      </c>
      <c r="E66" s="1257">
        <f>+IF('Recalculos ST'!AD32&gt;$F$41,$F$41,'Recalculos ST'!AD32)</f>
        <v>1732.3164671403838</v>
      </c>
      <c r="F66" s="1257">
        <f t="shared" si="22"/>
        <v>158891.11347176423</v>
      </c>
      <c r="G66" s="1257">
        <f t="shared" si="23"/>
        <v>40344.272202288972</v>
      </c>
      <c r="H66" s="1257">
        <f t="shared" si="24"/>
        <v>199235.38567405319</v>
      </c>
      <c r="I66" s="2358">
        <f t="shared" si="25"/>
        <v>158.89111347176421</v>
      </c>
      <c r="J66" s="3611">
        <f t="shared" si="26"/>
        <v>40.34427220228897</v>
      </c>
      <c r="K66" s="3614">
        <f t="shared" si="5"/>
        <v>3</v>
      </c>
      <c r="L66" s="2353">
        <f t="shared" si="27"/>
        <v>46105.791666666664</v>
      </c>
      <c r="M66" s="2354">
        <f t="shared" si="30"/>
        <v>658.97229932983191</v>
      </c>
      <c r="N66" s="2354">
        <f t="shared" si="28"/>
        <v>184.99999999984698</v>
      </c>
      <c r="O66" s="2352">
        <f>+IF((I66+J66)&gt;$X$41,$X$41,(I66+J66))-0.1</f>
        <v>199.1353856740532</v>
      </c>
      <c r="P66" s="3126" t="s">
        <v>1566</v>
      </c>
      <c r="Q66" s="1134">
        <v>65.846392272810476</v>
      </c>
      <c r="R66" s="3137">
        <f>+'ST Original'!AT31</f>
        <v>37.37366346942364</v>
      </c>
      <c r="S66" s="3644" t="s">
        <v>1566</v>
      </c>
      <c r="T66" s="2575"/>
      <c r="U66" s="2575" t="s">
        <v>1833</v>
      </c>
      <c r="V66" s="3241"/>
      <c r="W66" s="3638"/>
      <c r="X66" s="2573">
        <f t="shared" si="6"/>
        <v>199.23538567405319</v>
      </c>
      <c r="Y66" s="1217">
        <f t="shared" si="29"/>
        <v>8297.307736418883</v>
      </c>
      <c r="Z66" s="1217">
        <f t="shared" si="7"/>
        <v>9.9999999999994316E-2</v>
      </c>
      <c r="AA66" s="2217">
        <f t="shared" si="8"/>
        <v>46105.791666666664</v>
      </c>
      <c r="AB66" s="2215">
        <v>6.7903225806451619</v>
      </c>
      <c r="AC66" s="2216">
        <f t="shared" si="9"/>
        <v>0.71706989247311836</v>
      </c>
      <c r="AD66" s="1287">
        <f t="shared" si="10"/>
        <v>466.09543010752691</v>
      </c>
      <c r="AE66" s="2215">
        <v>6.629032258064516</v>
      </c>
      <c r="AF66" s="2216">
        <f t="shared" si="11"/>
        <v>0.72379032258064513</v>
      </c>
      <c r="AG66" s="1287">
        <f t="shared" si="12"/>
        <v>398.08467741935482</v>
      </c>
      <c r="AH66" s="1287">
        <f t="shared" si="13"/>
        <v>864.18010752688178</v>
      </c>
      <c r="AI66" s="273"/>
      <c r="AJ66" s="1289">
        <f t="shared" si="14"/>
        <v>6730.6228856503276</v>
      </c>
      <c r="AK66" s="1289">
        <f t="shared" si="15"/>
        <v>730.12868182024931</v>
      </c>
      <c r="AL66" s="1289">
        <f t="shared" si="16"/>
        <v>634.02486334389187</v>
      </c>
      <c r="AM66" s="2215">
        <f t="shared" si="17"/>
        <v>96.103818476357446</v>
      </c>
      <c r="AN66" s="1287">
        <f t="shared" si="18"/>
        <v>0</v>
      </c>
      <c r="AO66" s="1289">
        <f t="shared" si="19"/>
        <v>6836.3370859743209</v>
      </c>
      <c r="AP66" s="1289">
        <f t="shared" si="20"/>
        <v>105.71420032399328</v>
      </c>
      <c r="AQ66" s="273"/>
      <c r="AR66" s="273"/>
      <c r="AS66" s="1399"/>
      <c r="AT66" s="1399"/>
      <c r="AU66" s="1399"/>
      <c r="AV66" s="1399"/>
      <c r="AW66" s="1399"/>
      <c r="AX66" s="1399"/>
    </row>
    <row r="67" spans="1:50" ht="14.25" customHeight="1">
      <c r="A67" s="2574">
        <f>+'Recalculos ST'!V33</f>
        <v>6798.7371322013878</v>
      </c>
      <c r="B67" s="2424">
        <f>24-SUM('ST Original'!DG32:DI32)-SUM('ST Original'!EM32:EO32)</f>
        <v>23.607193000000002</v>
      </c>
      <c r="C67" s="2219">
        <f>+'ST Original'!CR32/'ST Original'!$DO$3</f>
        <v>23.289204350107667</v>
      </c>
      <c r="D67" s="2218">
        <f t="shared" si="21"/>
        <v>6798.7371322013878</v>
      </c>
      <c r="E67" s="1257">
        <f>+IF('Recalculos ST'!AD33&gt;$F$41,$F$41,'Recalculos ST'!AD33)</f>
        <v>1749.8475980552996</v>
      </c>
      <c r="F67" s="1257">
        <f t="shared" si="22"/>
        <v>160499.0996361447</v>
      </c>
      <c r="G67" s="1257">
        <f t="shared" si="23"/>
        <v>40752.55829265494</v>
      </c>
      <c r="H67" s="1257">
        <f t="shared" si="24"/>
        <v>201251.65792879963</v>
      </c>
      <c r="I67" s="2358">
        <f t="shared" si="25"/>
        <v>160.49909963614471</v>
      </c>
      <c r="J67" s="3611">
        <f t="shared" si="26"/>
        <v>40.752558292654939</v>
      </c>
      <c r="K67" s="3614">
        <f t="shared" si="5"/>
        <v>4</v>
      </c>
      <c r="L67" s="2353">
        <f t="shared" si="27"/>
        <v>46106.791666666664</v>
      </c>
      <c r="M67" s="2354">
        <f t="shared" si="30"/>
        <v>677.72064140146335</v>
      </c>
      <c r="N67" s="2354">
        <f t="shared" si="28"/>
        <v>220.00000000043113</v>
      </c>
      <c r="O67" s="2352">
        <f t="shared" ref="O67:O72" si="32">+IF((I67+J67)&gt;$X$41,$X$41,(I67+J67))</f>
        <v>201.25165792879966</v>
      </c>
      <c r="P67" s="3126" t="s">
        <v>1566</v>
      </c>
      <c r="Q67" s="1134">
        <v>84.21921580294233</v>
      </c>
      <c r="R67" s="3137">
        <f>+'ST Original'!AT32</f>
        <v>37.100089455925193</v>
      </c>
      <c r="S67" s="3644" t="s">
        <v>1566</v>
      </c>
      <c r="T67" s="2575"/>
      <c r="U67" s="2575"/>
      <c r="V67" s="3241"/>
      <c r="W67" s="3638"/>
      <c r="X67" s="2573">
        <f t="shared" si="6"/>
        <v>201.25165792879963</v>
      </c>
      <c r="Y67" s="1217">
        <f t="shared" si="29"/>
        <v>8385.4857470333191</v>
      </c>
      <c r="Z67" s="1217">
        <f t="shared" si="7"/>
        <v>0</v>
      </c>
      <c r="AA67" s="2217">
        <f t="shared" si="8"/>
        <v>46106.791666666664</v>
      </c>
      <c r="AB67" s="2215">
        <v>6.7903225806451619</v>
      </c>
      <c r="AC67" s="2216">
        <f t="shared" si="9"/>
        <v>0.71706989247311836</v>
      </c>
      <c r="AD67" s="1287">
        <f t="shared" si="10"/>
        <v>466.09543010752691</v>
      </c>
      <c r="AE67" s="2215">
        <v>6.629032258064516</v>
      </c>
      <c r="AF67" s="2216">
        <f t="shared" si="11"/>
        <v>0.72379032258064513</v>
      </c>
      <c r="AG67" s="1287">
        <f t="shared" si="12"/>
        <v>398.08467741935482</v>
      </c>
      <c r="AH67" s="1287">
        <f t="shared" si="13"/>
        <v>864.18010752688178</v>
      </c>
      <c r="AI67" s="273"/>
      <c r="AJ67" s="1289">
        <f t="shared" si="14"/>
        <v>6798.7371322013878</v>
      </c>
      <c r="AK67" s="1289">
        <f t="shared" si="15"/>
        <v>736.56530849010642</v>
      </c>
      <c r="AL67" s="1289">
        <f t="shared" si="16"/>
        <v>640.8460300865213</v>
      </c>
      <c r="AM67" s="2215">
        <f t="shared" si="17"/>
        <v>95.719278403585122</v>
      </c>
      <c r="AN67" s="1287">
        <f t="shared" si="18"/>
        <v>0</v>
      </c>
      <c r="AO67" s="1289">
        <f t="shared" si="19"/>
        <v>6904.0283384453314</v>
      </c>
      <c r="AP67" s="1289">
        <f t="shared" si="20"/>
        <v>105.29120624394363</v>
      </c>
      <c r="AQ67" s="273"/>
      <c r="AR67" s="273"/>
      <c r="AS67" s="1399"/>
      <c r="AT67" s="1399"/>
      <c r="AU67" s="1399"/>
      <c r="AV67" s="1399"/>
      <c r="AW67" s="1399"/>
      <c r="AX67" s="1399"/>
    </row>
    <row r="68" spans="1:50" ht="14.25" customHeight="1">
      <c r="A68" s="2574">
        <f>+'Recalculos ST'!V34</f>
        <v>7072.7405000214749</v>
      </c>
      <c r="B68" s="2424">
        <f>24-SUM('ST Original'!DG33:DI33)-SUM('ST Original'!EM33:EO33)</f>
        <v>23.607193000000002</v>
      </c>
      <c r="C68" s="2219">
        <f>+'ST Original'!CR33/'ST Original'!$DO$3</f>
        <v>23.289204350107667</v>
      </c>
      <c r="D68" s="2218">
        <f t="shared" si="21"/>
        <v>7072.7405000214749</v>
      </c>
      <c r="E68" s="1257">
        <f>+IF('Recalculos ST'!AD34&gt;$F$41,$F$41,'Recalculos ST'!AD34)</f>
        <v>1812</v>
      </c>
      <c r="F68" s="1257">
        <f t="shared" si="22"/>
        <v>166967.55002292347</v>
      </c>
      <c r="G68" s="1257">
        <f t="shared" si="23"/>
        <v>42200.038282395093</v>
      </c>
      <c r="H68" s="1257">
        <f t="shared" si="24"/>
        <v>209167.58830531855</v>
      </c>
      <c r="I68" s="2358">
        <f t="shared" si="25"/>
        <v>166.96755002292346</v>
      </c>
      <c r="J68" s="3611">
        <f t="shared" si="26"/>
        <v>42.200038282395091</v>
      </c>
      <c r="K68" s="3614">
        <f t="shared" si="5"/>
        <v>5</v>
      </c>
      <c r="L68" s="2353">
        <f t="shared" si="27"/>
        <v>46107.791666666664</v>
      </c>
      <c r="M68" s="2354">
        <f t="shared" si="30"/>
        <v>688.55305309631785</v>
      </c>
      <c r="N68" s="2354">
        <f t="shared" si="28"/>
        <v>220.000000000173</v>
      </c>
      <c r="O68" s="2352">
        <f t="shared" si="32"/>
        <v>209.16758830531856</v>
      </c>
      <c r="P68" s="3126" t="s">
        <v>1566</v>
      </c>
      <c r="Q68" s="1134">
        <v>88.079681623465788</v>
      </c>
      <c r="R68" s="3137">
        <f>+'ST Original'!AT33</f>
        <v>37.148098228593724</v>
      </c>
      <c r="S68" s="3644" t="s">
        <v>1566</v>
      </c>
      <c r="T68" s="2575"/>
      <c r="U68" s="2575"/>
      <c r="V68" s="3241"/>
      <c r="W68" s="3638"/>
      <c r="X68" s="2573">
        <f t="shared" si="6"/>
        <v>209.16758830531856</v>
      </c>
      <c r="Y68" s="1217">
        <f t="shared" si="29"/>
        <v>8715.3161793882718</v>
      </c>
      <c r="Z68" s="1217">
        <f t="shared" si="7"/>
        <v>0</v>
      </c>
      <c r="AA68" s="2217">
        <f t="shared" si="8"/>
        <v>46107.791666666664</v>
      </c>
      <c r="AB68" s="2215">
        <v>6.7903225806451619</v>
      </c>
      <c r="AC68" s="2216">
        <f t="shared" si="9"/>
        <v>0.71706989247311836</v>
      </c>
      <c r="AD68" s="1287">
        <f t="shared" si="10"/>
        <v>466.09543010752691</v>
      </c>
      <c r="AE68" s="2215">
        <v>6.629032258064516</v>
      </c>
      <c r="AF68" s="2216">
        <f t="shared" si="11"/>
        <v>0.72379032258064513</v>
      </c>
      <c r="AG68" s="1287">
        <f t="shared" si="12"/>
        <v>398.08467741935482</v>
      </c>
      <c r="AH68" s="1287">
        <f t="shared" si="13"/>
        <v>864.18010752688178</v>
      </c>
      <c r="AI68" s="273"/>
      <c r="AJ68" s="1289">
        <f t="shared" si="14"/>
        <v>7072.7405000214749</v>
      </c>
      <c r="AK68" s="1289">
        <f t="shared" si="15"/>
        <v>758.89841164720428</v>
      </c>
      <c r="AL68" s="1289">
        <f t="shared" si="16"/>
        <v>664.98990750020175</v>
      </c>
      <c r="AM68" s="2215">
        <f t="shared" si="17"/>
        <v>93.908504147002532</v>
      </c>
      <c r="AN68" s="1287">
        <f t="shared" si="18"/>
        <v>0</v>
      </c>
      <c r="AO68" s="1289">
        <f t="shared" si="19"/>
        <v>7176.0398545831777</v>
      </c>
      <c r="AP68" s="1289">
        <f t="shared" si="20"/>
        <v>103.29935456170278</v>
      </c>
      <c r="AQ68" s="273"/>
      <c r="AR68" s="273"/>
      <c r="AS68" s="1399"/>
      <c r="AT68" s="1399"/>
      <c r="AU68" s="1399"/>
      <c r="AV68" s="1399"/>
      <c r="AW68" s="1399"/>
      <c r="AX68" s="1399"/>
    </row>
    <row r="69" spans="1:50" ht="14.25" customHeight="1">
      <c r="A69" s="2574">
        <f>+'Recalculos ST'!V35</f>
        <v>7088.8917908988706</v>
      </c>
      <c r="B69" s="2424">
        <f>24-SUM('ST Original'!DG34:DI34)-SUM('ST Original'!EM34:EO34)</f>
        <v>23.607193000000002</v>
      </c>
      <c r="C69" s="2219">
        <f>+'ST Original'!CR34/'ST Original'!$DO$3</f>
        <v>23.289204350107667</v>
      </c>
      <c r="D69" s="2218">
        <f t="shared" si="21"/>
        <v>7088.8917908988706</v>
      </c>
      <c r="E69" s="1257">
        <f>+IF('Recalculos ST'!AD35&gt;$F$41,$F$41,'Recalculos ST'!AD35)</f>
        <v>1812</v>
      </c>
      <c r="F69" s="1257">
        <f t="shared" si="22"/>
        <v>167348.83666386531</v>
      </c>
      <c r="G69" s="1257">
        <f t="shared" si="23"/>
        <v>42200.038282395093</v>
      </c>
      <c r="H69" s="1257">
        <f t="shared" si="24"/>
        <v>209548.87494626042</v>
      </c>
      <c r="I69" s="2358">
        <f t="shared" si="25"/>
        <v>167.34883666386531</v>
      </c>
      <c r="J69" s="3611">
        <f t="shared" si="26"/>
        <v>42.200038282395091</v>
      </c>
      <c r="K69" s="3614">
        <f t="shared" si="5"/>
        <v>6</v>
      </c>
      <c r="L69" s="2353">
        <f t="shared" si="27"/>
        <v>46108.791666666664</v>
      </c>
      <c r="M69" s="2354">
        <f t="shared" si="30"/>
        <v>679.00417815013623</v>
      </c>
      <c r="N69" s="2354">
        <f t="shared" si="28"/>
        <v>200.00000000007878</v>
      </c>
      <c r="O69" s="2352">
        <f t="shared" si="32"/>
        <v>209.54887494626041</v>
      </c>
      <c r="P69" s="3126" t="s">
        <v>1566</v>
      </c>
      <c r="Q69" s="1134">
        <v>92.363393804998921</v>
      </c>
      <c r="R69" s="3137">
        <f>+'ST Original'!AT34</f>
        <v>39.057782088721687</v>
      </c>
      <c r="S69" s="3644" t="s">
        <v>1566</v>
      </c>
      <c r="T69" s="2575"/>
      <c r="U69" s="2575"/>
      <c r="V69" s="3241"/>
      <c r="W69" s="3638"/>
      <c r="X69" s="2573">
        <f t="shared" si="6"/>
        <v>209.54887494626041</v>
      </c>
      <c r="Y69" s="1217">
        <f t="shared" si="29"/>
        <v>8731.2031227608513</v>
      </c>
      <c r="Z69" s="1217">
        <f t="shared" si="7"/>
        <v>0</v>
      </c>
      <c r="AA69" s="2217">
        <f t="shared" si="8"/>
        <v>46108.791666666664</v>
      </c>
      <c r="AB69" s="2215">
        <v>6.7903225806451619</v>
      </c>
      <c r="AC69" s="2216">
        <f t="shared" si="9"/>
        <v>0.71706989247311836</v>
      </c>
      <c r="AD69" s="1287">
        <f t="shared" si="10"/>
        <v>466.09543010752691</v>
      </c>
      <c r="AE69" s="2215">
        <v>6.629032258064516</v>
      </c>
      <c r="AF69" s="2216">
        <f t="shared" si="11"/>
        <v>0.72379032258064513</v>
      </c>
      <c r="AG69" s="1287">
        <f t="shared" si="12"/>
        <v>398.08467741935482</v>
      </c>
      <c r="AH69" s="1287">
        <f t="shared" si="13"/>
        <v>864.18010752688178</v>
      </c>
      <c r="AI69" s="273"/>
      <c r="AJ69" s="1289">
        <f t="shared" si="14"/>
        <v>7088.8917908988706</v>
      </c>
      <c r="AK69" s="1289">
        <f t="shared" si="15"/>
        <v>760.04718097378873</v>
      </c>
      <c r="AL69" s="1289">
        <f t="shared" si="16"/>
        <v>666.25989094751958</v>
      </c>
      <c r="AM69" s="2215">
        <f t="shared" si="17"/>
        <v>93.787290026269147</v>
      </c>
      <c r="AN69" s="1287">
        <f t="shared" si="18"/>
        <v>0</v>
      </c>
      <c r="AO69" s="1289">
        <f t="shared" si="19"/>
        <v>7192.0578099277664</v>
      </c>
      <c r="AP69" s="1289">
        <f t="shared" si="20"/>
        <v>103.16601902889579</v>
      </c>
      <c r="AQ69" s="273"/>
      <c r="AR69" s="273"/>
      <c r="AS69" s="1399"/>
      <c r="AT69" s="1399"/>
      <c r="AU69" s="1399"/>
      <c r="AV69" s="1399"/>
      <c r="AW69" s="1399"/>
      <c r="AX69" s="1399"/>
    </row>
    <row r="70" spans="1:50" ht="14.25" customHeight="1" thickBot="1">
      <c r="A70" s="2574">
        <f>+'Recalculos ST'!V36</f>
        <v>7344.9244914278916</v>
      </c>
      <c r="B70" s="2424">
        <f>24-SUM('ST Original'!DG35:DI35)-SUM('ST Original'!EM35:EO35)</f>
        <v>23.607193000000002</v>
      </c>
      <c r="C70" s="2219">
        <f>+'ST Original'!CR35/'ST Original'!$DO$3</f>
        <v>23.289204350107667</v>
      </c>
      <c r="D70" s="2218">
        <f t="shared" si="21"/>
        <v>7344.9244914278916</v>
      </c>
      <c r="E70" s="1257">
        <f>+IF('Recalculos ST'!AD36&gt;$F$41,$F$41,'Recalculos ST'!AD36)</f>
        <v>1812</v>
      </c>
      <c r="F70" s="1257">
        <f t="shared" si="22"/>
        <v>173393.0500395651</v>
      </c>
      <c r="G70" s="1257">
        <f t="shared" si="23"/>
        <v>42200.038282395093</v>
      </c>
      <c r="H70" s="1257">
        <f t="shared" si="24"/>
        <v>215593.08832196018</v>
      </c>
      <c r="I70" s="2358">
        <f t="shared" si="25"/>
        <v>173.39305003956511</v>
      </c>
      <c r="J70" s="3611">
        <f t="shared" si="26"/>
        <v>42.200038282395091</v>
      </c>
      <c r="K70" s="3615">
        <f t="shared" si="5"/>
        <v>7</v>
      </c>
      <c r="L70" s="2355">
        <f t="shared" si="27"/>
        <v>46109.791666666664</v>
      </c>
      <c r="M70" s="2356">
        <f t="shared" si="30"/>
        <v>648.41108982838512</v>
      </c>
      <c r="N70" s="2356">
        <f t="shared" si="28"/>
        <v>185.00000000020901</v>
      </c>
      <c r="O70" s="3184">
        <f t="shared" si="32"/>
        <v>215.59308832196021</v>
      </c>
      <c r="P70" s="3196" t="s">
        <v>1566</v>
      </c>
      <c r="Q70" s="3197">
        <v>96.457666802672293</v>
      </c>
      <c r="R70" s="3198">
        <f>+'ST Original'!AT35</f>
        <v>40.074008752534851</v>
      </c>
      <c r="S70" s="3645" t="s">
        <v>1566</v>
      </c>
      <c r="T70" s="3199"/>
      <c r="U70" s="3199"/>
      <c r="V70" s="3242"/>
      <c r="W70" s="3638"/>
      <c r="X70" s="2573">
        <f t="shared" si="6"/>
        <v>215.59308832196018</v>
      </c>
      <c r="Y70" s="1217">
        <f t="shared" si="29"/>
        <v>8983.0453467483421</v>
      </c>
      <c r="Z70" s="1217">
        <f t="shared" si="7"/>
        <v>0</v>
      </c>
      <c r="AA70" s="2217">
        <f t="shared" si="8"/>
        <v>46109.791666666664</v>
      </c>
      <c r="AB70" s="2215">
        <v>6.7903225806451619</v>
      </c>
      <c r="AC70" s="2216">
        <f t="shared" si="9"/>
        <v>0.71706989247311836</v>
      </c>
      <c r="AD70" s="1287">
        <f t="shared" si="10"/>
        <v>466.09543010752691</v>
      </c>
      <c r="AE70" s="2215">
        <v>6.629032258064516</v>
      </c>
      <c r="AF70" s="2216">
        <f t="shared" si="11"/>
        <v>0.72379032258064513</v>
      </c>
      <c r="AG70" s="1287">
        <f t="shared" si="12"/>
        <v>398.08467741935482</v>
      </c>
      <c r="AH70" s="1287">
        <f t="shared" si="13"/>
        <v>864.18010752688178</v>
      </c>
      <c r="AI70" s="273"/>
      <c r="AJ70" s="1289">
        <f t="shared" si="14"/>
        <v>7344.9244914278916</v>
      </c>
      <c r="AK70" s="1289">
        <f t="shared" si="15"/>
        <v>775.99743671566875</v>
      </c>
      <c r="AL70" s="1289">
        <f t="shared" si="16"/>
        <v>684.37605362962449</v>
      </c>
      <c r="AM70" s="2215">
        <f t="shared" si="17"/>
        <v>91.621383086044261</v>
      </c>
      <c r="AN70" s="1287">
        <f t="shared" si="18"/>
        <v>0</v>
      </c>
      <c r="AO70" s="1289">
        <f t="shared" si="19"/>
        <v>7445.7080128225407</v>
      </c>
      <c r="AP70" s="1289">
        <f t="shared" si="20"/>
        <v>100.78352139464914</v>
      </c>
      <c r="AQ70" s="273"/>
      <c r="AR70" s="273"/>
      <c r="AS70" s="1399"/>
      <c r="AT70" s="1399"/>
      <c r="AU70" s="1399"/>
      <c r="AV70" s="1399"/>
      <c r="AW70" s="1399"/>
      <c r="AX70" s="1399"/>
    </row>
    <row r="71" spans="1:50" ht="18" customHeight="1">
      <c r="A71" s="2574">
        <f>+'Recalculos ST'!V37</f>
        <v>7134.5157815093626</v>
      </c>
      <c r="B71" s="2424">
        <f>24-SUM('ST Original'!DG36:DI36)-SUM('ST Original'!EM36:EO36)</f>
        <v>23.607193000000002</v>
      </c>
      <c r="C71" s="2219">
        <f>+'ST Original'!CR36/'ST Original'!$DO$3</f>
        <v>23.289204350107667</v>
      </c>
      <c r="D71" s="2218">
        <f t="shared" ref="D71:D73" si="33">+IF(AO71&gt;=A71,A71,AO71)</f>
        <v>7134.5157815093626</v>
      </c>
      <c r="E71" s="1257">
        <f>+IF('Recalculos ST'!AD37&gt;$F$41,$F$41,'Recalculos ST'!AD37)</f>
        <v>1812</v>
      </c>
      <c r="F71" s="1257">
        <f t="shared" si="22"/>
        <v>168425.89101563737</v>
      </c>
      <c r="G71" s="1257">
        <f t="shared" ref="G71:G73" si="34">+IF(J71*1000&gt;$E$41,$E$41,J71*1000)</f>
        <v>42200.038282395093</v>
      </c>
      <c r="H71" s="1257">
        <f t="shared" ref="H71:H73" si="35">+F71+G71</f>
        <v>210625.92929803248</v>
      </c>
      <c r="I71" s="2358">
        <f t="shared" ref="I71:I72" si="36">+F71/1000</f>
        <v>168.42589101563738</v>
      </c>
      <c r="J71" s="3611">
        <f t="shared" si="26"/>
        <v>42.200038282395091</v>
      </c>
      <c r="K71" s="3889">
        <f t="shared" ref="K71:K73" si="37">WEEKDAY(L71,1)</f>
        <v>1</v>
      </c>
      <c r="L71" s="3190">
        <f t="shared" si="27"/>
        <v>46110.791666666664</v>
      </c>
      <c r="M71" s="2354">
        <f t="shared" ref="M71:M73" si="38">+M70+N71-O71</f>
        <v>657.78516053012595</v>
      </c>
      <c r="N71" s="2354">
        <f t="shared" si="28"/>
        <v>219.99999999977328</v>
      </c>
      <c r="O71" s="2352">
        <f t="shared" si="32"/>
        <v>210.62592929803247</v>
      </c>
      <c r="P71" s="3126"/>
      <c r="Q71" s="1134"/>
      <c r="R71" s="3191"/>
      <c r="S71" s="3644" t="s">
        <v>1566</v>
      </c>
      <c r="T71" s="3640"/>
      <c r="U71" s="3192"/>
      <c r="V71" s="3192"/>
      <c r="W71" s="2575"/>
      <c r="X71" s="2573">
        <f t="shared" ref="X71:X73" si="39">+(F71+G71)/1000</f>
        <v>210.62592929803247</v>
      </c>
      <c r="Y71" s="1217">
        <f t="shared" ref="Y71:Y73" si="40">+O71/24*1000</f>
        <v>8776.0803874180201</v>
      </c>
      <c r="Z71" s="1217">
        <f t="shared" si="7"/>
        <v>0</v>
      </c>
      <c r="AA71" s="2217">
        <f t="shared" si="8"/>
        <v>46110.791666666664</v>
      </c>
      <c r="AB71" s="2215">
        <v>6.7903225806451619</v>
      </c>
      <c r="AC71" s="2216">
        <f t="shared" si="9"/>
        <v>0.71706989247311836</v>
      </c>
      <c r="AD71" s="1287">
        <f t="shared" ref="AD71:AD73" si="41">+AC71*$AB$41</f>
        <v>466.09543010752691</v>
      </c>
      <c r="AE71" s="2215">
        <v>6.629032258064516</v>
      </c>
      <c r="AF71" s="2216">
        <f t="shared" ref="AF71:AF73" si="42">(24-AE71)/24</f>
        <v>0.72379032258064513</v>
      </c>
      <c r="AG71" s="1287">
        <f t="shared" ref="AG71:AG73" si="43">+AF71*$AE$41</f>
        <v>398.08467741935482</v>
      </c>
      <c r="AH71" s="1287">
        <f t="shared" ref="AH71:AH73" si="44">+AD71+AG71</f>
        <v>864.18010752688178</v>
      </c>
      <c r="AI71" s="273"/>
      <c r="AJ71" s="1289">
        <f t="shared" ref="AJ71:AJ73" si="45">A71</f>
        <v>7134.5157815093626</v>
      </c>
      <c r="AK71" s="1289">
        <f t="shared" ref="AK71:AK73" si="46" xml:space="preserve"> (0.00000000612366*AJ71^3 - 0.0001641321*AJ71^2 + 1.47442017999*AJ71 - 3625.3824079)</f>
        <v>763.19716956022103</v>
      </c>
      <c r="AL71" s="1289">
        <f t="shared" ref="AL71:AL73" si="47">(0.000000006888843*AJ71^3 - 0.00017708145721*AJ71^2 + 1.55021494603*AJ71 - 3878.31848115)</f>
        <v>669.76171460828618</v>
      </c>
      <c r="AM71" s="2215">
        <f t="shared" ref="AM71:AM73" si="48">AK71-AL71</f>
        <v>93.435454951934844</v>
      </c>
      <c r="AN71" s="1287">
        <f t="shared" ref="AN71:AN73" si="49">IF(AK71-AH71&lt;0,0,AK71-AH71)</f>
        <v>0</v>
      </c>
      <c r="AO71" s="1289">
        <f t="shared" ref="AO71:AO73" si="50">AJ71+(AM71-AN71)*$AJ$41</f>
        <v>7237.2947819564906</v>
      </c>
      <c r="AP71" s="1289">
        <f t="shared" ref="AP71:AP73" si="51">AO71-AJ71</f>
        <v>102.77900044712806</v>
      </c>
      <c r="AQ71" s="273"/>
      <c r="AR71" s="273"/>
      <c r="AS71" s="1399"/>
      <c r="AT71" s="1399"/>
      <c r="AU71" s="1399"/>
      <c r="AV71" s="1399"/>
      <c r="AW71" s="1399"/>
      <c r="AX71" s="1399"/>
    </row>
    <row r="72" spans="1:50" ht="15.75" customHeight="1">
      <c r="A72" s="2574">
        <f>+'Recalculos ST'!V38</f>
        <v>6948.6415191078595</v>
      </c>
      <c r="B72" s="2424">
        <f>24-SUM('ST Original'!DG37:DI37)-SUM('ST Original'!EM37:EO37)</f>
        <v>23.607193000000002</v>
      </c>
      <c r="C72" s="2219">
        <f>+'ST Original'!CR37/'ST Original'!$DO$3</f>
        <v>23.289204350107667</v>
      </c>
      <c r="D72" s="2218">
        <f t="shared" si="33"/>
        <v>6948.6415191078595</v>
      </c>
      <c r="E72" s="1257">
        <f>+IF('Recalculos ST'!AD38&gt;$F$41,$F$41,'Recalculos ST'!AD38)</f>
        <v>1788.4297385713439</v>
      </c>
      <c r="F72" s="1257">
        <f t="shared" si="22"/>
        <v>164037.92142939245</v>
      </c>
      <c r="G72" s="1257">
        <f t="shared" si="34"/>
        <v>41651.105647397664</v>
      </c>
      <c r="H72" s="1257">
        <f t="shared" si="35"/>
        <v>205689.02707679011</v>
      </c>
      <c r="I72" s="2358">
        <f t="shared" si="36"/>
        <v>164.03792142939244</v>
      </c>
      <c r="J72" s="3611">
        <f t="shared" si="26"/>
        <v>41.651105647397664</v>
      </c>
      <c r="K72" s="3890">
        <f t="shared" si="37"/>
        <v>2</v>
      </c>
      <c r="L72" s="2353">
        <f t="shared" si="27"/>
        <v>46111.791666666664</v>
      </c>
      <c r="M72" s="2354">
        <f t="shared" si="38"/>
        <v>672.0961334532177</v>
      </c>
      <c r="N72" s="2354">
        <f t="shared" si="28"/>
        <v>219.99999999988191</v>
      </c>
      <c r="O72" s="2352">
        <f t="shared" si="32"/>
        <v>205.6890270767901</v>
      </c>
      <c r="P72" s="3126"/>
      <c r="Q72" s="1134"/>
      <c r="R72" s="3137"/>
      <c r="S72" s="3644" t="s">
        <v>1566</v>
      </c>
      <c r="T72" s="2575"/>
      <c r="V72" s="2575"/>
      <c r="W72" s="2575"/>
      <c r="X72" s="2573">
        <f t="shared" si="39"/>
        <v>205.6890270767901</v>
      </c>
      <c r="Y72" s="1217">
        <f t="shared" si="40"/>
        <v>8570.3761281995867</v>
      </c>
      <c r="Z72" s="1217">
        <f t="shared" si="7"/>
        <v>0</v>
      </c>
      <c r="AA72" s="2217">
        <f t="shared" si="8"/>
        <v>46111.791666666664</v>
      </c>
      <c r="AB72" s="2215">
        <v>6.7903225806451619</v>
      </c>
      <c r="AC72" s="2216">
        <f t="shared" si="9"/>
        <v>0.71706989247311836</v>
      </c>
      <c r="AD72" s="1287">
        <f t="shared" si="41"/>
        <v>466.09543010752691</v>
      </c>
      <c r="AE72" s="2215">
        <v>6.629032258064516</v>
      </c>
      <c r="AF72" s="2216">
        <f t="shared" si="42"/>
        <v>0.72379032258064513</v>
      </c>
      <c r="AG72" s="1287">
        <f t="shared" si="43"/>
        <v>398.08467741935482</v>
      </c>
      <c r="AH72" s="1287">
        <f t="shared" si="44"/>
        <v>864.18010752688178</v>
      </c>
      <c r="AI72" s="273"/>
      <c r="AJ72" s="1289">
        <f t="shared" si="45"/>
        <v>6948.6415191078595</v>
      </c>
      <c r="AK72" s="1289">
        <f t="shared" si="46"/>
        <v>749.46506961896421</v>
      </c>
      <c r="AL72" s="1289">
        <f t="shared" si="47"/>
        <v>654.6809757498645</v>
      </c>
      <c r="AM72" s="2215">
        <f t="shared" si="48"/>
        <v>94.784093869099706</v>
      </c>
      <c r="AN72" s="1287">
        <f t="shared" si="49"/>
        <v>0</v>
      </c>
      <c r="AO72" s="1289">
        <f t="shared" si="50"/>
        <v>7052.9040223638694</v>
      </c>
      <c r="AP72" s="1289">
        <f t="shared" si="51"/>
        <v>104.26250325600995</v>
      </c>
      <c r="AQ72" s="273"/>
      <c r="AR72" s="273"/>
      <c r="AS72" s="1399"/>
      <c r="AT72" s="1399"/>
      <c r="AU72" s="1399"/>
      <c r="AV72" s="1399"/>
      <c r="AW72" s="1399"/>
      <c r="AX72" s="1399"/>
    </row>
    <row r="73" spans="1:50" ht="15.75" customHeight="1" thickBot="1">
      <c r="A73" s="2574">
        <f>+'Recalculos ST'!V39</f>
        <v>6920.7968884261845</v>
      </c>
      <c r="B73" s="2424">
        <f>36-SUM('ST Original'!DG38:DI38)-SUM('ST Original'!EM38:EO38)</f>
        <v>35.607192999999995</v>
      </c>
      <c r="C73" s="2219">
        <f>+'ST Original'!CR38/'ST Original'!$DO$3</f>
        <v>35.289204350107667</v>
      </c>
      <c r="D73" s="2218">
        <f t="shared" si="33"/>
        <v>6920.7968884261845</v>
      </c>
      <c r="E73" s="1257">
        <f>+IF('Recalculos ST'!AD39&gt;$F$41,$F$41,'Recalculos ST'!AD39)</f>
        <v>1781.2631340726509</v>
      </c>
      <c r="F73" s="1257">
        <f t="shared" si="22"/>
        <v>246430.1505199906</v>
      </c>
      <c r="G73" s="1257">
        <f t="shared" si="34"/>
        <v>43512</v>
      </c>
      <c r="H73" s="1257">
        <f t="shared" si="35"/>
        <v>289942.1505199906</v>
      </c>
      <c r="I73" s="2358">
        <f>+F73/1000</f>
        <v>246.4301505199906</v>
      </c>
      <c r="J73" s="3611">
        <f>+IF(C73*$E73&gt;$E$40,$E$40,C73*$E73)/1000</f>
        <v>62.85935873960301</v>
      </c>
      <c r="K73" s="3890">
        <f t="shared" si="37"/>
        <v>3</v>
      </c>
      <c r="L73" s="3185">
        <f t="shared" si="27"/>
        <v>46112.791666666664</v>
      </c>
      <c r="M73" s="2354">
        <f t="shared" si="38"/>
        <v>547.80662419375312</v>
      </c>
      <c r="N73" s="2354">
        <f t="shared" si="28"/>
        <v>185.00000000012909</v>
      </c>
      <c r="O73" s="2352">
        <f>+IF((I73+J73)&gt;$W$41,$W$41,(I73+J73))</f>
        <v>309.28950925959361</v>
      </c>
      <c r="P73" s="3126"/>
      <c r="Q73" s="1134"/>
      <c r="R73" s="3137"/>
      <c r="S73" s="3645" t="s">
        <v>1566</v>
      </c>
      <c r="T73" s="2575"/>
      <c r="U73" s="2575"/>
      <c r="V73" s="2575"/>
      <c r="W73" s="2575"/>
      <c r="X73" s="2573">
        <f t="shared" si="39"/>
        <v>289.94215051999061</v>
      </c>
      <c r="Y73" s="1217">
        <f t="shared" si="40"/>
        <v>12887.0628858164</v>
      </c>
      <c r="Z73" s="1217">
        <f t="shared" si="7"/>
        <v>-19.34735873960301</v>
      </c>
      <c r="AA73" s="2217">
        <f t="shared" si="8"/>
        <v>46112.791666666664</v>
      </c>
      <c r="AB73" s="2215">
        <v>6.7903225806451619</v>
      </c>
      <c r="AC73" s="2216">
        <f t="shared" si="9"/>
        <v>0.71706989247311836</v>
      </c>
      <c r="AD73" s="1287">
        <f t="shared" si="41"/>
        <v>466.09543010752691</v>
      </c>
      <c r="AE73" s="2215">
        <v>6.629032258064516</v>
      </c>
      <c r="AF73" s="2216">
        <f t="shared" si="42"/>
        <v>0.72379032258064513</v>
      </c>
      <c r="AG73" s="1287">
        <f t="shared" si="43"/>
        <v>398.08467741935482</v>
      </c>
      <c r="AH73" s="1287">
        <f t="shared" si="44"/>
        <v>864.18010752688178</v>
      </c>
      <c r="AI73" s="273"/>
      <c r="AJ73" s="1289">
        <f t="shared" si="45"/>
        <v>6920.7968884261845</v>
      </c>
      <c r="AK73" s="1289">
        <f t="shared" si="46"/>
        <v>747.19662842815114</v>
      </c>
      <c r="AL73" s="1289">
        <f t="shared" si="47"/>
        <v>652.22908544307256</v>
      </c>
      <c r="AM73" s="2215">
        <f t="shared" si="48"/>
        <v>94.96754298507858</v>
      </c>
      <c r="AN73" s="1287">
        <f t="shared" si="49"/>
        <v>0</v>
      </c>
      <c r="AO73" s="1289">
        <f t="shared" si="50"/>
        <v>7025.2611857097709</v>
      </c>
      <c r="AP73" s="1289">
        <f t="shared" si="51"/>
        <v>104.46429728358635</v>
      </c>
      <c r="AQ73" s="273"/>
      <c r="AR73" s="273"/>
      <c r="AS73" s="1399"/>
      <c r="AT73" s="1399"/>
      <c r="AU73" s="1399"/>
      <c r="AV73" s="1399"/>
      <c r="AW73" s="1399"/>
      <c r="AX73" s="1399"/>
    </row>
    <row r="74" spans="1:50" ht="16" thickBot="1">
      <c r="A74" s="2213">
        <f>+SUMPRODUCT(A43:A73,$B$43:$B$73)/SUM($B$43:$B$73)</f>
        <v>6849.4292844433385</v>
      </c>
      <c r="B74" s="2214">
        <f>+AVERAGE(B43:B73)</f>
        <v>22.352157279569905</v>
      </c>
      <c r="C74" s="2214">
        <f>+AVERAGE(C43:C73)</f>
        <v>23.289204350107649</v>
      </c>
      <c r="D74" s="2213">
        <f>+SUMPRODUCT(D43:D73,$B$43:$B$73)/SUM($B$43:$B$73)</f>
        <v>6819.7369759247485</v>
      </c>
      <c r="E74" s="2213">
        <f>+SUMPRODUCT(E43:E73,$C$43:$C$73)/SUM($C$43:$C$73)</f>
        <v>1751.0368939173795</v>
      </c>
      <c r="F74" s="2213">
        <f>+SUM(F43:F73)</f>
        <v>4725510.8382262206</v>
      </c>
      <c r="G74" s="2213">
        <f>+SUM(G43:G73)</f>
        <v>1244840.5787180052</v>
      </c>
      <c r="H74" s="2213">
        <f>+SUM(H43:H73)</f>
        <v>5970351.4169442244</v>
      </c>
      <c r="I74" s="2210">
        <f>+SUM(I43:I73)*1000/SUM(B43:B73)</f>
        <v>6819.7369759247495</v>
      </c>
      <c r="J74" s="2210">
        <f>+SUM(J43:J73)*1000/SUM(C43:C73)</f>
        <v>1751.0368939173795</v>
      </c>
      <c r="K74" s="2212"/>
      <c r="L74" s="3176" t="s">
        <v>497</v>
      </c>
      <c r="M74" s="3177"/>
      <c r="N74" s="3178">
        <f>+SUM(N43:N73)</f>
        <v>5897.5164726738958</v>
      </c>
      <c r="O74" s="3179">
        <f>SUM(O43:O73)</f>
        <v>5857.1987756838262</v>
      </c>
      <c r="P74" s="3125"/>
      <c r="Q74" s="3125"/>
      <c r="R74" s="2211"/>
      <c r="S74" s="2211"/>
      <c r="T74" s="2211"/>
      <c r="U74" s="2211"/>
      <c r="V74" s="2211"/>
      <c r="W74" s="2211"/>
      <c r="X74" s="2209">
        <f>SUM(X43:X73)</f>
        <v>5970.3514169442233</v>
      </c>
      <c r="Y74" s="2184"/>
      <c r="Z74" s="978"/>
      <c r="AA74" s="2208"/>
      <c r="AB74" s="2208"/>
      <c r="AC74" s="2207">
        <f>AVERAGE(AC43:AC73)</f>
        <v>0.68803763440860244</v>
      </c>
      <c r="AD74" s="2208">
        <f>AVERAGE(AC43:AC71)</f>
        <v>0.68603540971449783</v>
      </c>
      <c r="AE74" s="2208"/>
      <c r="AF74" s="2207">
        <f>AVERAGE(AF43:AF73)</f>
        <v>0.59813995837669109</v>
      </c>
      <c r="AG74" s="2207"/>
      <c r="AH74" s="2206"/>
      <c r="AI74" s="273"/>
      <c r="AJ74" s="2205">
        <f>+AVERAGE(AJ43:AJ73)</f>
        <v>6836.8832026141181</v>
      </c>
      <c r="AK74" s="1776">
        <f t="shared" si="15"/>
        <v>740.01024718648978</v>
      </c>
      <c r="AL74" s="2204">
        <f t="shared" si="16"/>
        <v>644.51700193992701</v>
      </c>
      <c r="AM74" s="2203">
        <f t="shared" si="17"/>
        <v>95.493245246562765</v>
      </c>
      <c r="AN74" s="1288">
        <f>AL74-AM74</f>
        <v>549.02375669336425</v>
      </c>
      <c r="AO74" s="309"/>
      <c r="AP74" s="722"/>
      <c r="AQ74" s="273"/>
      <c r="AR74" s="273"/>
      <c r="AS74" s="1399"/>
      <c r="AT74" s="1399"/>
      <c r="AU74" s="1399"/>
      <c r="AV74" s="1399"/>
      <c r="AW74" s="1399"/>
      <c r="AX74" s="1399"/>
    </row>
    <row r="75" spans="1:50">
      <c r="D75" s="3024"/>
      <c r="E75" s="2196"/>
      <c r="F75" s="2195">
        <f>+F73-172000</f>
        <v>74430.150519990595</v>
      </c>
      <c r="G75" s="2196"/>
      <c r="H75" s="2196"/>
      <c r="I75" s="2195"/>
      <c r="J75" s="2194"/>
      <c r="K75" s="2201"/>
      <c r="L75" s="2200"/>
      <c r="M75" s="2197"/>
      <c r="N75" s="2187"/>
      <c r="O75" s="2188">
        <f>8300*11+13*6200</f>
        <v>171900</v>
      </c>
      <c r="P75" s="2188"/>
      <c r="Q75" s="2188"/>
      <c r="R75" s="2188">
        <v>188.3433030561016</v>
      </c>
      <c r="S75" s="2188"/>
      <c r="T75" s="3129">
        <v>89.310709490011845</v>
      </c>
      <c r="U75" s="3129">
        <v>88.993539660650796</v>
      </c>
      <c r="V75" s="3129">
        <f>+T75-U75</f>
        <v>0.31716982936104898</v>
      </c>
      <c r="W75" s="2202"/>
      <c r="X75" s="2185"/>
      <c r="Y75" s="2185"/>
      <c r="Z75" s="2185"/>
      <c r="AA75" s="2184"/>
      <c r="AB75" s="2184"/>
      <c r="AC75" s="2184"/>
      <c r="AD75" s="2184"/>
      <c r="AE75" s="2184"/>
      <c r="AF75" s="2184"/>
      <c r="AG75" s="2184"/>
      <c r="AH75" s="2184"/>
      <c r="AI75" s="2184"/>
      <c r="AR75" s="1399"/>
      <c r="AS75" s="1399"/>
      <c r="AT75" s="1399"/>
      <c r="AU75" s="1399"/>
      <c r="AV75" s="1399"/>
      <c r="AW75" s="1399"/>
      <c r="AX75" s="1399"/>
    </row>
    <row r="76" spans="1:50">
      <c r="D76" s="3024">
        <v>115403.13143751511</v>
      </c>
      <c r="E76" s="2196">
        <v>9720.8320755582936</v>
      </c>
      <c r="F76" s="2195"/>
      <c r="G76" s="2196"/>
      <c r="H76" s="2196"/>
      <c r="I76" s="2195"/>
      <c r="J76" s="2194"/>
      <c r="K76" s="2201"/>
      <c r="L76" s="2200"/>
      <c r="M76" s="2199"/>
      <c r="N76" s="2187"/>
      <c r="O76" s="2188"/>
      <c r="P76" s="2188"/>
      <c r="Q76" s="2188"/>
      <c r="R76" s="2188">
        <v>190.39240332384728</v>
      </c>
      <c r="S76" s="2188"/>
      <c r="T76" s="3129">
        <v>89.988489731750647</v>
      </c>
      <c r="U76" s="3129">
        <v>89.67970330211746</v>
      </c>
      <c r="V76" s="3129">
        <f t="shared" ref="V76:V81" si="52">+T76-U76</f>
        <v>0.30878642963318725</v>
      </c>
      <c r="W76" s="2187"/>
      <c r="X76" s="2188"/>
      <c r="Y76" s="2185"/>
      <c r="Z76" s="2184"/>
      <c r="AA76" s="2184"/>
      <c r="AB76" s="2184"/>
      <c r="AC76" s="2184"/>
      <c r="AD76" s="2184"/>
      <c r="AE76" s="2184"/>
      <c r="AF76" s="2184"/>
      <c r="AG76" s="2184"/>
      <c r="AH76" s="2184"/>
      <c r="AI76" s="2184"/>
      <c r="AQ76" s="1399"/>
      <c r="AR76" s="1399"/>
      <c r="AS76" s="1399"/>
      <c r="AT76" s="1399"/>
      <c r="AU76" s="1399"/>
      <c r="AV76" s="1399"/>
      <c r="AW76" s="1399"/>
      <c r="AX76" s="1399"/>
    </row>
    <row r="77" spans="1:50">
      <c r="B77" s="2184">
        <v>23.607193000000002</v>
      </c>
      <c r="D77" s="3024">
        <v>124647.28611071878</v>
      </c>
      <c r="E77" s="2196">
        <v>41812.399047392049</v>
      </c>
      <c r="F77" s="2195"/>
      <c r="G77" s="2196"/>
      <c r="H77" s="3701"/>
      <c r="I77" s="2195"/>
      <c r="J77" s="2194"/>
      <c r="K77" s="2201"/>
      <c r="L77" s="2200"/>
      <c r="M77" s="2199"/>
      <c r="N77" s="2187">
        <f>6900*24</f>
        <v>165600</v>
      </c>
      <c r="O77" s="2188">
        <f>178000/24</f>
        <v>7416.666666666667</v>
      </c>
      <c r="P77" s="2188"/>
      <c r="Q77" s="2188"/>
      <c r="R77" s="2188">
        <v>191.29108118427087</v>
      </c>
      <c r="S77" s="2188"/>
      <c r="T77" s="3129">
        <v>89.791098333057903</v>
      </c>
      <c r="U77" s="3129">
        <v>89.472154800789767</v>
      </c>
      <c r="V77" s="3129">
        <f t="shared" si="52"/>
        <v>0.31894353226813621</v>
      </c>
      <c r="W77" s="2187"/>
      <c r="X77" s="2187"/>
      <c r="Y77" s="2185"/>
      <c r="Z77" s="2184"/>
      <c r="AA77" s="2184"/>
      <c r="AB77" s="2184"/>
      <c r="AC77" s="2184"/>
      <c r="AD77" s="2184"/>
      <c r="AE77" s="2184"/>
      <c r="AF77" s="2184"/>
      <c r="AG77" s="2184"/>
      <c r="AH77" s="2184"/>
      <c r="AI77" s="2184"/>
      <c r="AQ77" s="1399"/>
      <c r="AR77" s="1399"/>
      <c r="AS77" s="1399"/>
      <c r="AT77" s="1399"/>
      <c r="AU77" s="1399"/>
      <c r="AV77" s="1399"/>
      <c r="AW77" s="1399"/>
      <c r="AX77" s="1399"/>
    </row>
    <row r="78" spans="1:50">
      <c r="B78" s="2184">
        <v>23.607193000000002</v>
      </c>
      <c r="D78" s="3024">
        <v>160803.56347802465</v>
      </c>
      <c r="E78" s="2196">
        <v>42157.518019045965</v>
      </c>
      <c r="F78" s="2195"/>
      <c r="G78" s="2196"/>
      <c r="H78" s="3701"/>
      <c r="I78" s="2195"/>
      <c r="J78" s="2194"/>
      <c r="K78" s="2201"/>
      <c r="L78" s="2200"/>
      <c r="M78" s="2199"/>
      <c r="N78" s="2187"/>
      <c r="O78" s="2188"/>
      <c r="P78" s="2188"/>
      <c r="Q78" s="2188"/>
      <c r="R78" s="2188">
        <v>192.75096935569132</v>
      </c>
      <c r="S78" s="2188"/>
      <c r="T78" s="3129">
        <v>89.886166493955116</v>
      </c>
      <c r="U78" s="3129">
        <v>89.564543870271294</v>
      </c>
      <c r="V78" s="3129">
        <f t="shared" si="52"/>
        <v>0.32162262368382244</v>
      </c>
      <c r="W78" s="2187"/>
      <c r="X78" s="2187"/>
      <c r="Y78" s="2185"/>
      <c r="Z78" s="2184"/>
      <c r="AA78" s="2184"/>
      <c r="AB78" s="2184"/>
      <c r="AC78" s="2184"/>
      <c r="AD78" s="2184"/>
      <c r="AE78" s="2184"/>
      <c r="AF78" s="2184"/>
      <c r="AG78" s="2184"/>
      <c r="AH78" s="2184"/>
      <c r="AI78" s="2184"/>
      <c r="AQ78" s="1399"/>
      <c r="AR78" s="1399"/>
      <c r="AS78" s="1399"/>
      <c r="AT78" s="1399"/>
      <c r="AU78" s="1399"/>
      <c r="AV78" s="1399"/>
      <c r="AW78" s="1399"/>
      <c r="AX78" s="1399"/>
    </row>
    <row r="79" spans="1:50">
      <c r="B79" s="2184">
        <v>23.607193000000002</v>
      </c>
      <c r="D79" s="3024">
        <v>138199.71239614469</v>
      </c>
      <c r="E79" s="2196">
        <v>42241.024113783184</v>
      </c>
      <c r="F79" s="2195"/>
      <c r="G79" s="2196"/>
      <c r="H79" s="3701"/>
      <c r="I79" s="2195"/>
      <c r="J79" s="2194"/>
      <c r="K79" s="2201"/>
      <c r="L79" s="2200"/>
      <c r="M79" s="2199"/>
      <c r="N79" s="2187"/>
      <c r="O79" s="2188"/>
      <c r="P79" s="2188"/>
      <c r="Q79" s="2188"/>
      <c r="R79" s="2188">
        <v>191.28224438898215</v>
      </c>
      <c r="S79" s="2188"/>
      <c r="T79" s="3129">
        <v>89.728427581465496</v>
      </c>
      <c r="U79" s="3129">
        <v>89.38145818077443</v>
      </c>
      <c r="V79" s="3129">
        <f t="shared" si="52"/>
        <v>0.34696940069106574</v>
      </c>
      <c r="W79" s="2187"/>
      <c r="X79" s="2187"/>
      <c r="Y79" s="2185"/>
      <c r="Z79" s="2184"/>
      <c r="AA79" s="2184"/>
      <c r="AB79" s="2184"/>
      <c r="AC79" s="2184"/>
      <c r="AD79" s="2184"/>
      <c r="AE79" s="2184"/>
      <c r="AF79" s="2184"/>
      <c r="AG79" s="2184"/>
      <c r="AH79" s="2184"/>
      <c r="AI79" s="2184"/>
      <c r="AQ79" s="1399"/>
      <c r="AR79" s="1399"/>
      <c r="AS79" s="1399"/>
      <c r="AT79" s="1399"/>
      <c r="AU79" s="1399"/>
      <c r="AV79" s="1399"/>
      <c r="AW79" s="1399"/>
      <c r="AX79" s="1399"/>
    </row>
    <row r="80" spans="1:50">
      <c r="B80" s="2184">
        <v>21.501233000000003</v>
      </c>
      <c r="D80" s="3024">
        <v>142660.05507209818</v>
      </c>
      <c r="E80" s="2196">
        <v>39473.744343640261</v>
      </c>
      <c r="F80" s="2195"/>
      <c r="G80" s="2196"/>
      <c r="H80" s="3701"/>
      <c r="I80" s="2195"/>
      <c r="J80" s="2194"/>
      <c r="K80" s="2201"/>
      <c r="L80" s="2200"/>
      <c r="M80" s="2189"/>
      <c r="N80" s="2187"/>
      <c r="O80" s="2188"/>
      <c r="P80" s="2188"/>
      <c r="Q80" s="2188"/>
      <c r="R80" s="2188">
        <v>190.4666987197518</v>
      </c>
      <c r="S80" s="2188"/>
      <c r="T80" s="3129">
        <v>90.301955914412559</v>
      </c>
      <c r="U80" s="3129">
        <v>89.949909977789829</v>
      </c>
      <c r="V80" s="3129">
        <f t="shared" si="52"/>
        <v>0.35204593662272998</v>
      </c>
      <c r="W80" s="2184">
        <f>336/24</f>
        <v>14</v>
      </c>
      <c r="AE80" s="2186"/>
      <c r="AF80" s="2185"/>
      <c r="AI80" s="2184"/>
      <c r="AX80" s="1399"/>
    </row>
    <row r="81" spans="2:50">
      <c r="B81" s="2184">
        <v>23.607193000000002</v>
      </c>
      <c r="D81" s="3024">
        <v>166856.38916641459</v>
      </c>
      <c r="E81" s="2196">
        <v>42241.024113783184</v>
      </c>
      <c r="F81" s="2195"/>
      <c r="G81" s="2196"/>
      <c r="H81" s="3701"/>
      <c r="I81" s="2195"/>
      <c r="J81" s="2194"/>
      <c r="K81" s="2201"/>
      <c r="L81" s="2200"/>
      <c r="M81" s="2189"/>
      <c r="N81" s="2187" t="s">
        <v>1657</v>
      </c>
      <c r="O81" s="2188"/>
      <c r="P81" s="2188"/>
      <c r="Q81" s="2188"/>
      <c r="R81" s="2188"/>
      <c r="S81" s="2188"/>
      <c r="T81" s="3129">
        <v>90.693677150144467</v>
      </c>
      <c r="U81" s="3129">
        <v>90.363665337382642</v>
      </c>
      <c r="V81" s="3129">
        <f t="shared" si="52"/>
        <v>0.33001181276182479</v>
      </c>
      <c r="AE81" s="2186"/>
      <c r="AF81" s="2185"/>
      <c r="AI81" s="2184"/>
      <c r="AX81" s="1399"/>
    </row>
    <row r="82" spans="2:50">
      <c r="B82" s="2184">
        <v>23.607193000000002</v>
      </c>
      <c r="D82" s="3024">
        <v>174569.09283886992</v>
      </c>
      <c r="E82" s="2196">
        <v>42241.024113783184</v>
      </c>
      <c r="F82" s="2195"/>
      <c r="G82" s="2196"/>
      <c r="H82" s="3701" t="s">
        <v>1676</v>
      </c>
      <c r="I82" s="2195"/>
      <c r="J82" s="2194">
        <v>220000.0000003046</v>
      </c>
      <c r="K82" s="2201">
        <f>+J82/1000-N43</f>
        <v>39.99999999998883</v>
      </c>
      <c r="L82" s="2200"/>
      <c r="M82" s="2189"/>
      <c r="N82" s="3620" t="s">
        <v>1658</v>
      </c>
      <c r="O82" s="3621"/>
      <c r="P82" s="2188"/>
      <c r="Q82" s="2188"/>
      <c r="R82" s="2188"/>
      <c r="S82" s="2188" t="s">
        <v>1659</v>
      </c>
      <c r="T82" s="2188"/>
      <c r="U82" s="2188"/>
      <c r="AE82" s="2186"/>
      <c r="AF82" s="2185"/>
      <c r="AI82" s="2184"/>
      <c r="AX82" s="1399"/>
    </row>
    <row r="83" spans="2:50">
      <c r="B83" s="2184">
        <v>23.607193000000002</v>
      </c>
      <c r="D83" s="3024">
        <v>170123.06372039844</v>
      </c>
      <c r="E83" s="2196">
        <v>42241.024113783184</v>
      </c>
      <c r="F83" s="2195"/>
      <c r="G83" s="2196"/>
      <c r="H83" s="3701" t="s">
        <v>1677</v>
      </c>
      <c r="I83" s="2195"/>
      <c r="J83" s="2194">
        <v>211594.75553658642</v>
      </c>
      <c r="K83" s="2201">
        <f t="shared" ref="K83:K112" si="53">+J83/1000-N44</f>
        <v>31.59475553620166</v>
      </c>
      <c r="L83" s="2200"/>
      <c r="M83" s="2189"/>
      <c r="N83" s="2187" t="s">
        <v>1660</v>
      </c>
      <c r="O83" s="2188"/>
      <c r="P83" s="2188"/>
      <c r="Q83" s="2188"/>
      <c r="R83" s="2188"/>
      <c r="S83" s="2188"/>
      <c r="T83" s="2188"/>
      <c r="U83" s="2188"/>
      <c r="AE83" s="2186"/>
      <c r="AF83" s="2185"/>
      <c r="AI83" s="2184"/>
      <c r="AX83" s="1399"/>
    </row>
    <row r="84" spans="2:50">
      <c r="D84" s="3024">
        <v>158691.35058734386</v>
      </c>
      <c r="E84" s="2196">
        <v>40332.684317610103</v>
      </c>
      <c r="F84" s="2195"/>
      <c r="G84" s="2196"/>
      <c r="H84" s="3701" t="s">
        <v>1678</v>
      </c>
      <c r="I84" s="2195"/>
      <c r="J84" s="2194">
        <v>190000.00000033915</v>
      </c>
      <c r="K84" s="2201">
        <f t="shared" si="53"/>
        <v>2.8902036319777835E-10</v>
      </c>
      <c r="L84" s="2200"/>
      <c r="M84" s="2189"/>
      <c r="N84" s="2187"/>
      <c r="O84" s="2188"/>
      <c r="P84" s="2188"/>
      <c r="Q84" s="2188"/>
      <c r="R84" s="2188"/>
      <c r="S84" s="2188"/>
      <c r="T84" s="2188"/>
      <c r="U84" s="2188"/>
      <c r="AE84" s="2186"/>
      <c r="AF84" s="2185"/>
      <c r="AI84" s="2184"/>
      <c r="AX84" s="1399"/>
    </row>
    <row r="85" spans="2:50">
      <c r="D85" s="3024"/>
      <c r="E85" s="2196"/>
      <c r="F85" s="2195"/>
      <c r="G85" s="2196"/>
      <c r="H85" s="3701" t="s">
        <v>1679</v>
      </c>
      <c r="I85" s="2195"/>
      <c r="J85" s="2194">
        <v>224999.99999966379</v>
      </c>
      <c r="K85" s="2201">
        <f t="shared" si="53"/>
        <v>49.083798858068945</v>
      </c>
      <c r="L85" s="2200"/>
      <c r="M85" s="3635">
        <f>+N43</f>
        <v>180.00000000031577</v>
      </c>
      <c r="N85" s="3636">
        <f>+M43</f>
        <v>594.9778544076878</v>
      </c>
      <c r="O85" s="3637">
        <f>+O43</f>
        <v>92.511072796314039</v>
      </c>
      <c r="P85" s="2188"/>
      <c r="Q85" s="2188"/>
      <c r="R85" s="2188"/>
      <c r="S85" s="2188"/>
      <c r="T85" s="2188"/>
      <c r="U85" s="2188"/>
      <c r="AE85" s="2186"/>
      <c r="AF85" s="2185"/>
      <c r="AI85" s="2184"/>
      <c r="AX85" s="1399"/>
    </row>
    <row r="86" spans="2:50">
      <c r="D86" s="3024"/>
      <c r="E86" s="2196"/>
      <c r="F86" s="2195"/>
      <c r="G86" s="2196"/>
      <c r="H86" s="3701" t="s">
        <v>1680</v>
      </c>
      <c r="I86" s="2195"/>
      <c r="J86" s="2194">
        <v>225000.00000084893</v>
      </c>
      <c r="K86" s="2201">
        <f t="shared" si="53"/>
        <v>44.999902736067583</v>
      </c>
      <c r="L86" s="2200"/>
      <c r="M86" s="3635">
        <f t="shared" ref="M86:M116" si="54">+N44</f>
        <v>180.00000000038477</v>
      </c>
      <c r="N86" s="3636">
        <f t="shared" ref="N86:N116" si="55">+M44</f>
        <v>608.1147554797916</v>
      </c>
      <c r="O86" s="3637">
        <f t="shared" ref="O86:O116" si="56">+O44</f>
        <v>166.86309892828095</v>
      </c>
      <c r="P86" s="2188"/>
      <c r="Q86" s="2188"/>
      <c r="R86" s="2188"/>
      <c r="S86" s="2188"/>
      <c r="T86" s="2188"/>
      <c r="U86" s="2188"/>
      <c r="AE86" s="2186"/>
      <c r="AF86" s="2185"/>
      <c r="AI86" s="2184"/>
      <c r="AX86" s="1399"/>
    </row>
    <row r="87" spans="2:50">
      <c r="D87" s="3024"/>
      <c r="E87" s="2196"/>
      <c r="F87" s="2195"/>
      <c r="G87" s="2196"/>
      <c r="H87" s="3701" t="s">
        <v>1681</v>
      </c>
      <c r="I87" s="2195"/>
      <c r="J87" s="2194">
        <v>185000.00000052538</v>
      </c>
      <c r="K87" s="2201">
        <f t="shared" si="53"/>
        <v>25.000000000546237</v>
      </c>
      <c r="L87" s="2200"/>
      <c r="M87" s="3635">
        <f t="shared" si="54"/>
        <v>190.00000000005014</v>
      </c>
      <c r="N87" s="3636">
        <f t="shared" si="55"/>
        <v>653.69004919214092</v>
      </c>
      <c r="O87" s="3637">
        <f t="shared" si="56"/>
        <v>144.42470628770081</v>
      </c>
      <c r="P87" s="2188"/>
      <c r="Q87" s="2188"/>
      <c r="R87" s="2188"/>
      <c r="S87" s="2188"/>
      <c r="T87" s="2188"/>
      <c r="U87" s="2188"/>
      <c r="AE87" s="2186"/>
      <c r="AF87" s="2185"/>
      <c r="AI87" s="2184"/>
      <c r="AX87" s="1399"/>
    </row>
    <row r="88" spans="2:50">
      <c r="D88" s="3024"/>
      <c r="E88" s="2196"/>
      <c r="F88" s="2195"/>
      <c r="G88" s="2196"/>
      <c r="H88" s="3701" t="s">
        <v>1682</v>
      </c>
      <c r="I88" s="2195"/>
      <c r="J88" s="2194">
        <v>224999.99999961685</v>
      </c>
      <c r="K88" s="2201">
        <f t="shared" si="53"/>
        <v>54.999999999374893</v>
      </c>
      <c r="L88" s="2200"/>
      <c r="M88" s="3635">
        <f t="shared" si="54"/>
        <v>175.91620114159485</v>
      </c>
      <c r="N88" s="3636">
        <f t="shared" si="55"/>
        <v>684.74540437229314</v>
      </c>
      <c r="O88" s="3637">
        <f t="shared" si="56"/>
        <v>144.86084596144261</v>
      </c>
      <c r="P88" s="2188"/>
      <c r="Q88" s="2188"/>
      <c r="R88" s="2188"/>
      <c r="S88" s="2188"/>
      <c r="T88" s="2188"/>
      <c r="U88" s="2188"/>
      <c r="AE88" s="2186"/>
      <c r="AF88" s="2185"/>
      <c r="AI88" s="2184"/>
      <c r="AX88" s="1399"/>
    </row>
    <row r="89" spans="2:50">
      <c r="D89" s="3024"/>
      <c r="E89" s="2196"/>
      <c r="F89" s="2195"/>
      <c r="G89" s="2196"/>
      <c r="H89" s="3701" t="s">
        <v>1683</v>
      </c>
      <c r="I89" s="2195"/>
      <c r="J89" s="2194">
        <v>189999.99999982244</v>
      </c>
      <c r="K89" s="2201">
        <f t="shared" si="53"/>
        <v>-6.3957372731238138E-10</v>
      </c>
      <c r="L89" s="2200"/>
      <c r="M89" s="3635">
        <f t="shared" si="54"/>
        <v>180.00009726478135</v>
      </c>
      <c r="N89" s="3636">
        <f t="shared" si="55"/>
        <v>713.82772987393537</v>
      </c>
      <c r="O89" s="3637">
        <f t="shared" si="56"/>
        <v>150.91777176313917</v>
      </c>
      <c r="P89" s="2188"/>
      <c r="Q89" s="2188"/>
      <c r="R89" s="2188"/>
      <c r="S89" s="2188"/>
      <c r="T89" s="2188"/>
      <c r="U89" s="2188"/>
      <c r="AE89" s="2186"/>
      <c r="AF89" s="2185"/>
      <c r="AI89" s="2184"/>
      <c r="AX89" s="1399"/>
    </row>
    <row r="90" spans="2:50">
      <c r="D90" s="3024"/>
      <c r="E90" s="2196"/>
      <c r="F90" s="2195"/>
      <c r="G90" s="2196"/>
      <c r="H90" s="3701" t="s">
        <v>1684</v>
      </c>
      <c r="I90" s="2195"/>
      <c r="J90" s="2194">
        <v>223000.00000252243</v>
      </c>
      <c r="K90" s="2201">
        <f t="shared" si="53"/>
        <v>53.00000000201419</v>
      </c>
      <c r="L90" s="2200"/>
      <c r="M90" s="3635">
        <f t="shared" si="54"/>
        <v>159.99999999997914</v>
      </c>
      <c r="N90" s="3636">
        <f t="shared" si="55"/>
        <v>722.72113145490653</v>
      </c>
      <c r="O90" s="3637">
        <f t="shared" si="56"/>
        <v>151.10659841900798</v>
      </c>
      <c r="P90" s="2188"/>
      <c r="Q90" s="2188"/>
      <c r="R90" s="2188"/>
      <c r="S90" s="2188"/>
      <c r="T90" s="2188"/>
      <c r="U90" s="2188"/>
      <c r="AE90" s="2186"/>
      <c r="AF90" s="2185"/>
      <c r="AI90" s="2184"/>
      <c r="AX90" s="1399"/>
    </row>
    <row r="91" spans="2:50">
      <c r="D91" s="3024"/>
      <c r="E91" s="2196"/>
      <c r="F91" s="2195"/>
      <c r="G91" s="2196"/>
      <c r="H91" s="3701" t="s">
        <v>1685</v>
      </c>
      <c r="I91" s="2195"/>
      <c r="J91" s="2194">
        <v>189999.99999985777</v>
      </c>
      <c r="K91" s="2201">
        <f t="shared" si="53"/>
        <v>125.76104722599166</v>
      </c>
      <c r="L91" s="2200"/>
      <c r="M91" s="3635">
        <f t="shared" si="54"/>
        <v>170.00000000024195</v>
      </c>
      <c r="N91" s="3636">
        <f t="shared" si="55"/>
        <v>727.1115674354204</v>
      </c>
      <c r="O91" s="3637">
        <f t="shared" si="56"/>
        <v>165.60956401972805</v>
      </c>
      <c r="R91" s="2188"/>
      <c r="S91" s="2188"/>
      <c r="T91" s="2188"/>
      <c r="U91" s="2188"/>
      <c r="AE91" s="2186"/>
      <c r="AF91" s="2185"/>
      <c r="AI91" s="2184"/>
      <c r="AX91" s="1399"/>
    </row>
    <row r="92" spans="2:50">
      <c r="D92" s="3024"/>
      <c r="E92" s="2196"/>
      <c r="F92" s="2195"/>
      <c r="G92" s="2196"/>
      <c r="H92" s="3701" t="s">
        <v>1686</v>
      </c>
      <c r="I92" s="2195"/>
      <c r="J92" s="2194">
        <v>225000.00000108097</v>
      </c>
      <c r="K92" s="2201">
        <f t="shared" si="53"/>
        <v>74.999375248853994</v>
      </c>
      <c r="L92" s="2200"/>
      <c r="M92" s="3635">
        <f t="shared" si="54"/>
        <v>190.00000000046202</v>
      </c>
      <c r="N92" s="3636">
        <f t="shared" si="55"/>
        <v>714.19139074549014</v>
      </c>
      <c r="O92" s="3637">
        <f t="shared" si="56"/>
        <v>202.92017669039228</v>
      </c>
      <c r="P92" s="2188"/>
      <c r="Q92" s="2188"/>
      <c r="R92" s="2188"/>
      <c r="S92" s="2188"/>
      <c r="T92" s="2188"/>
      <c r="U92" s="2188"/>
      <c r="AE92" s="2186"/>
      <c r="AF92" s="2185"/>
      <c r="AI92" s="2184"/>
      <c r="AX92" s="1399"/>
    </row>
    <row r="93" spans="2:50">
      <c r="D93" s="3024"/>
      <c r="E93" s="2196"/>
      <c r="F93" s="2195"/>
      <c r="G93" s="2196"/>
      <c r="H93" s="3701" t="s">
        <v>1687</v>
      </c>
      <c r="I93" s="2195"/>
      <c r="J93" s="2194">
        <v>224999.99991132639</v>
      </c>
      <c r="K93" s="2201">
        <f t="shared" si="53"/>
        <v>4.9993806652097135</v>
      </c>
      <c r="L93" s="2200"/>
      <c r="M93" s="3635">
        <f t="shared" si="54"/>
        <v>170.00000000050824</v>
      </c>
      <c r="N93" s="3636">
        <f t="shared" si="55"/>
        <v>703.79164006745862</v>
      </c>
      <c r="O93" s="3637">
        <f t="shared" si="56"/>
        <v>180.39975067853979</v>
      </c>
      <c r="P93" s="2188"/>
      <c r="Q93" s="2188"/>
      <c r="R93" s="2188"/>
      <c r="S93" s="2188"/>
      <c r="T93" s="2188"/>
      <c r="U93" s="2188"/>
      <c r="AE93" s="2186"/>
      <c r="AF93" s="2185"/>
      <c r="AI93" s="2184"/>
      <c r="AX93" s="1399"/>
    </row>
    <row r="94" spans="2:50">
      <c r="D94" s="3024"/>
      <c r="E94" s="2196"/>
      <c r="F94" s="2195"/>
      <c r="G94" s="2196"/>
      <c r="H94" s="3701" t="s">
        <v>1688</v>
      </c>
      <c r="I94" s="2195"/>
      <c r="J94" s="2194">
        <v>185000.0756614831</v>
      </c>
      <c r="K94" s="2201">
        <f t="shared" si="53"/>
        <v>-35.000433425253703</v>
      </c>
      <c r="L94" s="2200"/>
      <c r="M94" s="3635">
        <f t="shared" si="54"/>
        <v>64.238952773866117</v>
      </c>
      <c r="N94" s="3636">
        <f t="shared" si="55"/>
        <v>600.0350942069681</v>
      </c>
      <c r="O94" s="3637">
        <f t="shared" si="56"/>
        <v>167.99549863435666</v>
      </c>
      <c r="P94" s="2188"/>
      <c r="Q94" s="2188"/>
      <c r="R94" s="2188"/>
      <c r="S94" s="2188"/>
      <c r="T94" s="2188"/>
      <c r="U94" s="2188"/>
      <c r="AE94" s="2186"/>
      <c r="AF94" s="2185"/>
      <c r="AI94" s="2184"/>
      <c r="AX94" s="1399"/>
    </row>
    <row r="95" spans="2:50">
      <c r="D95" s="3024"/>
      <c r="E95" s="2196"/>
      <c r="F95" s="2195"/>
      <c r="G95" s="2196"/>
      <c r="H95" s="3701" t="s">
        <v>1689</v>
      </c>
      <c r="I95" s="2195"/>
      <c r="J95" s="2194">
        <v>222999.99999992084</v>
      </c>
      <c r="K95" s="2201">
        <f t="shared" si="53"/>
        <v>57.911567553654891</v>
      </c>
      <c r="L95" s="2200"/>
      <c r="M95" s="3635">
        <f t="shared" si="54"/>
        <v>150.00062475222697</v>
      </c>
      <c r="N95" s="3636">
        <f t="shared" si="55"/>
        <v>555.47929151038534</v>
      </c>
      <c r="O95" s="3637">
        <f t="shared" si="56"/>
        <v>194.5564274488097</v>
      </c>
      <c r="P95" s="2188"/>
      <c r="Q95" s="2188"/>
      <c r="R95" s="2188"/>
      <c r="S95" s="2188"/>
      <c r="T95" s="2188"/>
      <c r="U95" s="2188"/>
      <c r="AE95" s="2186"/>
      <c r="AF95" s="2185"/>
      <c r="AI95" s="2184"/>
      <c r="AX95" s="1399"/>
    </row>
    <row r="96" spans="2:50">
      <c r="D96" s="3024"/>
      <c r="E96" s="2196"/>
      <c r="F96" s="2195"/>
      <c r="G96" s="2196"/>
      <c r="H96" s="3701" t="s">
        <v>1690</v>
      </c>
      <c r="I96" s="2195"/>
      <c r="J96" s="2194">
        <v>223000.02000006271</v>
      </c>
      <c r="K96" s="2201">
        <f t="shared" si="53"/>
        <v>25.729035120083637</v>
      </c>
      <c r="L96" s="2200"/>
      <c r="M96" s="3635">
        <f t="shared" si="54"/>
        <v>220.00061924611668</v>
      </c>
      <c r="N96" s="3636">
        <f t="shared" si="55"/>
        <v>565.91077963523696</v>
      </c>
      <c r="O96" s="3637">
        <f t="shared" si="56"/>
        <v>209.56913112126503</v>
      </c>
      <c r="P96" s="2188"/>
      <c r="Q96" s="2188"/>
      <c r="R96" s="2188"/>
      <c r="S96" s="2188"/>
      <c r="T96" s="2188"/>
      <c r="U96" s="2188"/>
      <c r="AE96" s="2186"/>
      <c r="AF96" s="2185"/>
      <c r="AI96" s="2184"/>
      <c r="AX96" s="1399"/>
    </row>
    <row r="97" spans="4:50">
      <c r="D97" s="3024"/>
      <c r="E97" s="2196"/>
      <c r="F97" s="2195"/>
      <c r="G97" s="2196"/>
      <c r="H97" s="3701" t="s">
        <v>1691</v>
      </c>
      <c r="I97" s="2195"/>
      <c r="J97" s="2194">
        <v>57000.0000000082</v>
      </c>
      <c r="K97" s="2201">
        <f t="shared" si="53"/>
        <v>-162.99999999988461</v>
      </c>
      <c r="L97" s="2200"/>
      <c r="M97" s="3635">
        <f t="shared" si="54"/>
        <v>220.0005090867368</v>
      </c>
      <c r="N97" s="3636">
        <f t="shared" si="55"/>
        <v>580.7881867191802</v>
      </c>
      <c r="O97" s="3637">
        <f t="shared" si="56"/>
        <v>205.12310200279356</v>
      </c>
      <c r="P97" s="2188"/>
      <c r="Q97" s="2188"/>
      <c r="R97" s="2188"/>
      <c r="S97" s="2188"/>
      <c r="T97" s="2188"/>
      <c r="U97" s="2188"/>
      <c r="AE97" s="2186"/>
      <c r="AF97" s="2185"/>
      <c r="AI97" s="2184"/>
      <c r="AX97" s="1399"/>
    </row>
    <row r="98" spans="4:50">
      <c r="D98" s="3024"/>
      <c r="E98" s="2196"/>
      <c r="F98" s="2195"/>
      <c r="G98" s="2196"/>
      <c r="H98" s="2196"/>
      <c r="I98" s="2195"/>
      <c r="J98" s="2194">
        <v>189999.9999999362</v>
      </c>
      <c r="K98" s="2201">
        <f t="shared" si="53"/>
        <v>-30.000000000094985</v>
      </c>
      <c r="L98" s="2200"/>
      <c r="M98" s="3635">
        <f t="shared" si="54"/>
        <v>165.08843244626595</v>
      </c>
      <c r="N98" s="3636">
        <f t="shared" si="55"/>
        <v>554.09171845843252</v>
      </c>
      <c r="O98" s="3637">
        <f t="shared" si="56"/>
        <v>191.78490070701366</v>
      </c>
      <c r="P98" s="2188"/>
      <c r="Q98" s="2188"/>
      <c r="R98" s="2188"/>
      <c r="S98" s="2188"/>
      <c r="T98" s="2188"/>
      <c r="U98" s="2188"/>
      <c r="AE98" s="2186"/>
      <c r="AF98" s="2185"/>
      <c r="AI98" s="2184"/>
      <c r="AX98" s="1399"/>
    </row>
    <row r="99" spans="4:50">
      <c r="D99" s="3024"/>
      <c r="E99" s="2196"/>
      <c r="F99" s="2195"/>
      <c r="G99" s="2196"/>
      <c r="H99" s="2196"/>
      <c r="I99" s="2195"/>
      <c r="J99" s="2194">
        <v>185241.91339704068</v>
      </c>
      <c r="K99" s="2201">
        <f t="shared" si="53"/>
        <v>0.24191339727866534</v>
      </c>
      <c r="L99" s="2200"/>
      <c r="M99" s="3635">
        <f t="shared" si="54"/>
        <v>197.27098487997907</v>
      </c>
      <c r="N99" s="3636">
        <f t="shared" si="55"/>
        <v>561.82485494972798</v>
      </c>
      <c r="O99" s="3637">
        <f t="shared" si="56"/>
        <v>189.53784838868359</v>
      </c>
      <c r="P99" s="2188"/>
      <c r="Q99" s="2188"/>
      <c r="R99" s="2188"/>
      <c r="S99" s="2188"/>
      <c r="T99" s="2188"/>
      <c r="U99" s="2188"/>
      <c r="AE99" s="2186"/>
      <c r="AF99" s="2185"/>
      <c r="AI99" s="2184"/>
      <c r="AX99" s="1399"/>
    </row>
    <row r="100" spans="4:50">
      <c r="D100" s="3024"/>
      <c r="E100" s="2196"/>
      <c r="F100" s="2195"/>
      <c r="G100" s="2196"/>
      <c r="H100" s="2196"/>
      <c r="I100" s="2195"/>
      <c r="J100" s="2194">
        <v>203917.05591139017</v>
      </c>
      <c r="K100" s="2201">
        <f t="shared" si="53"/>
        <v>-16.082944088306391</v>
      </c>
      <c r="L100" s="2200"/>
      <c r="M100" s="3635">
        <f t="shared" si="54"/>
        <v>219.99999999989282</v>
      </c>
      <c r="N100" s="3636">
        <f t="shared" si="55"/>
        <v>593.40713722345822</v>
      </c>
      <c r="O100" s="3637">
        <f t="shared" si="56"/>
        <v>188.41771772616252</v>
      </c>
      <c r="P100" s="2188"/>
      <c r="Q100" s="2188"/>
      <c r="R100" s="2188"/>
      <c r="S100" s="2188"/>
      <c r="T100" s="2188"/>
      <c r="U100" s="2188"/>
      <c r="AE100" s="2186"/>
      <c r="AF100" s="2185"/>
      <c r="AI100" s="2184"/>
      <c r="AX100" s="1399"/>
    </row>
    <row r="101" spans="4:50">
      <c r="D101" s="3024"/>
      <c r="E101" s="2196"/>
      <c r="F101" s="2195"/>
      <c r="G101" s="2196"/>
      <c r="H101" s="2196"/>
      <c r="I101" s="2195"/>
      <c r="J101" s="2194">
        <v>185000.00000024415</v>
      </c>
      <c r="K101" s="2201">
        <f t="shared" si="53"/>
        <v>-35.000030217187884</v>
      </c>
      <c r="L101" s="2200"/>
      <c r="M101" s="3635">
        <f t="shared" si="54"/>
        <v>220.00000000003118</v>
      </c>
      <c r="N101" s="3636">
        <f t="shared" si="55"/>
        <v>626.16221235726221</v>
      </c>
      <c r="O101" s="3637">
        <f t="shared" si="56"/>
        <v>187.24492486622711</v>
      </c>
      <c r="P101" s="2188"/>
      <c r="Q101" s="2188"/>
      <c r="R101" s="2188"/>
      <c r="S101" s="2188"/>
      <c r="T101" s="2188"/>
      <c r="U101" s="2188"/>
      <c r="AE101" s="2186"/>
      <c r="AF101" s="2185"/>
      <c r="AI101" s="2184"/>
      <c r="AX101" s="1399"/>
    </row>
    <row r="102" spans="4:50">
      <c r="D102" s="3024"/>
      <c r="E102" s="2196"/>
      <c r="F102" s="2195"/>
      <c r="G102" s="2196"/>
      <c r="H102" s="2196"/>
      <c r="I102" s="2195"/>
      <c r="J102" s="2194">
        <v>222999.99999999793</v>
      </c>
      <c r="K102" s="2201">
        <f t="shared" si="53"/>
        <v>37.999979136809316</v>
      </c>
      <c r="L102" s="2200"/>
      <c r="M102" s="3635">
        <f t="shared" si="54"/>
        <v>184.99999999976203</v>
      </c>
      <c r="N102" s="3636">
        <f t="shared" si="55"/>
        <v>618.79675273211501</v>
      </c>
      <c r="O102" s="3637">
        <f t="shared" si="56"/>
        <v>192.36545962490925</v>
      </c>
      <c r="P102" s="2188"/>
      <c r="Q102" s="2188"/>
      <c r="R102" s="2188"/>
      <c r="S102" s="2188"/>
      <c r="T102" s="2188"/>
      <c r="U102" s="2188"/>
      <c r="AE102" s="2186"/>
      <c r="AF102" s="2185"/>
      <c r="AI102" s="2184"/>
      <c r="AX102" s="1399"/>
    </row>
    <row r="103" spans="4:50">
      <c r="D103" s="3024"/>
      <c r="E103" s="2196"/>
      <c r="F103" s="2195"/>
      <c r="G103" s="2196"/>
      <c r="H103" s="2196"/>
      <c r="I103" s="2195"/>
      <c r="J103" s="2194">
        <v>225000.00000027349</v>
      </c>
      <c r="K103" s="2201">
        <f t="shared" si="53"/>
        <v>25.000000000573067</v>
      </c>
      <c r="L103" s="2200"/>
      <c r="M103" s="3635">
        <f t="shared" si="54"/>
        <v>219.99999999969657</v>
      </c>
      <c r="N103" s="3636">
        <f t="shared" si="55"/>
        <v>644.09591337383029</v>
      </c>
      <c r="O103" s="3637">
        <f t="shared" si="56"/>
        <v>194.70083935798129</v>
      </c>
      <c r="P103" s="2188"/>
      <c r="Q103" s="2188"/>
      <c r="R103" s="2188"/>
      <c r="S103" s="2188"/>
      <c r="T103" s="2188"/>
      <c r="U103" s="2188"/>
      <c r="AE103" s="2186"/>
      <c r="AF103" s="2185"/>
      <c r="AI103" s="2184"/>
      <c r="AX103" s="1399"/>
    </row>
    <row r="104" spans="4:50">
      <c r="D104" s="3024"/>
      <c r="E104" s="2196"/>
      <c r="F104" s="2195"/>
      <c r="G104" s="2196"/>
      <c r="H104" s="2196"/>
      <c r="I104" s="2195"/>
      <c r="J104" s="2194">
        <v>203870.37915520315</v>
      </c>
      <c r="K104" s="2201">
        <f t="shared" si="53"/>
        <v>3.8703791550446738</v>
      </c>
      <c r="L104" s="2200"/>
      <c r="M104" s="3635">
        <f t="shared" si="54"/>
        <v>220.00003021743203</v>
      </c>
      <c r="N104" s="3636">
        <f t="shared" si="55"/>
        <v>667.29041378565239</v>
      </c>
      <c r="O104" s="3637">
        <f t="shared" si="56"/>
        <v>196.80552980560992</v>
      </c>
      <c r="P104" s="2188"/>
      <c r="Q104" s="2188"/>
      <c r="R104" s="2188"/>
      <c r="S104" s="2188"/>
      <c r="T104" s="2188"/>
      <c r="U104" s="2188"/>
      <c r="AE104" s="2186"/>
      <c r="AF104" s="2185"/>
      <c r="AI104" s="2184"/>
      <c r="AX104" s="1399"/>
    </row>
    <row r="105" spans="4:50">
      <c r="D105" s="3024"/>
      <c r="E105" s="2196"/>
      <c r="F105" s="2195"/>
      <c r="G105" s="2196"/>
      <c r="H105" s="2196"/>
      <c r="I105" s="2195"/>
      <c r="J105" s="2194">
        <v>225000.00000012707</v>
      </c>
      <c r="K105" s="2201">
        <f t="shared" si="53"/>
        <v>40.000000000280096</v>
      </c>
      <c r="L105" s="2200"/>
      <c r="M105" s="3635">
        <f t="shared" si="54"/>
        <v>185.00002086318861</v>
      </c>
      <c r="N105" s="3636">
        <f t="shared" si="55"/>
        <v>659.21775062644883</v>
      </c>
      <c r="O105" s="3637">
        <f t="shared" si="56"/>
        <v>193.07268402239217</v>
      </c>
      <c r="P105" s="2188"/>
      <c r="Q105" s="2188"/>
      <c r="R105" s="2188"/>
      <c r="S105" s="2188"/>
      <c r="T105" s="2188"/>
      <c r="U105" s="2188"/>
      <c r="AE105" s="2186"/>
      <c r="AF105" s="2185"/>
      <c r="AI105" s="2184"/>
      <c r="AX105" s="1399"/>
    </row>
    <row r="106" spans="4:50">
      <c r="D106" s="3024"/>
      <c r="E106" s="2196"/>
      <c r="F106" s="2195"/>
      <c r="G106" s="2196"/>
      <c r="H106" s="2196"/>
      <c r="I106" s="2195"/>
      <c r="J106" s="2194">
        <v>224999.99999991237</v>
      </c>
      <c r="K106" s="2201">
        <f t="shared" si="53"/>
        <v>4.999999999481247</v>
      </c>
      <c r="L106" s="2200"/>
      <c r="M106" s="3635">
        <f t="shared" si="54"/>
        <v>199.99999999970044</v>
      </c>
      <c r="N106" s="3636">
        <f t="shared" si="55"/>
        <v>664.61452002148292</v>
      </c>
      <c r="O106" s="3637">
        <f t="shared" si="56"/>
        <v>194.60323060466635</v>
      </c>
      <c r="P106" s="2188"/>
      <c r="Q106" s="2188"/>
      <c r="R106" s="2188"/>
      <c r="S106" s="2188"/>
      <c r="T106" s="2188"/>
      <c r="U106" s="2188"/>
      <c r="AE106" s="2186"/>
      <c r="AF106" s="2185"/>
      <c r="AI106" s="2184"/>
      <c r="AX106" s="1399"/>
    </row>
    <row r="107" spans="4:50">
      <c r="D107" s="3024"/>
      <c r="E107" s="2196"/>
      <c r="F107" s="2195"/>
      <c r="G107" s="2196"/>
      <c r="H107" s="2196"/>
      <c r="I107" s="2195"/>
      <c r="J107" s="2194">
        <v>225000.00000012564</v>
      </c>
      <c r="K107" s="2201">
        <f t="shared" si="53"/>
        <v>4.9999999999526494</v>
      </c>
      <c r="L107" s="2200"/>
      <c r="M107" s="3635">
        <f t="shared" si="54"/>
        <v>200.00000000015848</v>
      </c>
      <c r="N107" s="3636">
        <f t="shared" si="55"/>
        <v>673.1076850040381</v>
      </c>
      <c r="O107" s="3637">
        <f t="shared" si="56"/>
        <v>191.50683501760332</v>
      </c>
      <c r="P107" s="2188"/>
      <c r="Q107" s="2188"/>
      <c r="R107" s="2188"/>
      <c r="S107" s="2188"/>
      <c r="T107" s="2188"/>
      <c r="U107" s="2188"/>
      <c r="AE107" s="2186"/>
      <c r="AF107" s="2185"/>
      <c r="AI107" s="2184"/>
      <c r="AX107" s="1399"/>
    </row>
    <row r="108" spans="4:50">
      <c r="D108" s="3024"/>
      <c r="E108" s="2196"/>
      <c r="F108" s="2195"/>
      <c r="G108" s="2196"/>
      <c r="H108" s="2196"/>
      <c r="I108" s="2195"/>
      <c r="J108" s="2194">
        <v>189999.99999999878</v>
      </c>
      <c r="K108" s="2201">
        <f t="shared" si="53"/>
        <v>-10.000000000080007</v>
      </c>
      <c r="L108" s="2200"/>
      <c r="M108" s="3635">
        <f t="shared" si="54"/>
        <v>184.99999999984698</v>
      </c>
      <c r="N108" s="3636">
        <f t="shared" si="55"/>
        <v>658.97229932983191</v>
      </c>
      <c r="O108" s="3637">
        <f t="shared" si="56"/>
        <v>199.1353856740532</v>
      </c>
      <c r="P108" s="2188"/>
      <c r="Q108" s="2188"/>
      <c r="R108" s="2188"/>
      <c r="S108" s="2188"/>
      <c r="T108" s="2188"/>
      <c r="U108" s="2188"/>
      <c r="AE108" s="2186"/>
      <c r="AF108" s="2185"/>
      <c r="AI108" s="2184"/>
      <c r="AX108" s="1399"/>
    </row>
    <row r="109" spans="4:50">
      <c r="D109" s="3024"/>
      <c r="E109" s="2196"/>
      <c r="F109" s="2195"/>
      <c r="G109" s="2196"/>
      <c r="H109" s="2196"/>
      <c r="I109" s="2195"/>
      <c r="J109" s="2194">
        <v>224999.9999999619</v>
      </c>
      <c r="K109" s="2201">
        <f t="shared" si="53"/>
        <v>39.999999999752902</v>
      </c>
      <c r="L109" s="2200"/>
      <c r="M109" s="3635">
        <f t="shared" si="54"/>
        <v>220.00000000043113</v>
      </c>
      <c r="N109" s="3636">
        <f t="shared" si="55"/>
        <v>677.72064140146335</v>
      </c>
      <c r="O109" s="3637">
        <f t="shared" si="56"/>
        <v>201.25165792879966</v>
      </c>
      <c r="P109" s="2188"/>
      <c r="Q109" s="2188"/>
      <c r="R109" s="2188"/>
      <c r="S109" s="2188"/>
      <c r="T109" s="2188"/>
      <c r="U109" s="2188"/>
      <c r="AE109" s="2186"/>
      <c r="AF109" s="2185"/>
      <c r="AI109" s="2184"/>
      <c r="AX109" s="1399"/>
    </row>
    <row r="110" spans="4:50">
      <c r="D110" s="3024"/>
      <c r="E110" s="2196"/>
      <c r="F110" s="2195"/>
      <c r="G110" s="2196"/>
      <c r="H110" s="2196"/>
      <c r="I110" s="2195"/>
      <c r="J110" s="2194">
        <v>225000.00000034628</v>
      </c>
      <c r="K110" s="2201">
        <f t="shared" si="53"/>
        <v>5.0000000005730101</v>
      </c>
      <c r="L110" s="2200"/>
      <c r="M110" s="3635">
        <f t="shared" si="54"/>
        <v>220.000000000173</v>
      </c>
      <c r="N110" s="3636">
        <f t="shared" si="55"/>
        <v>688.55305309631785</v>
      </c>
      <c r="O110" s="3637">
        <f t="shared" si="56"/>
        <v>209.16758830531856</v>
      </c>
      <c r="P110" s="2188"/>
      <c r="Q110" s="2188"/>
      <c r="R110" s="2188"/>
      <c r="S110" s="2188"/>
      <c r="T110" s="2188"/>
      <c r="U110" s="2188"/>
      <c r="AE110" s="2186"/>
      <c r="AF110" s="2185"/>
      <c r="AI110" s="2184"/>
      <c r="AX110" s="1399"/>
    </row>
    <row r="111" spans="4:50">
      <c r="D111" s="3024"/>
      <c r="E111" s="2196"/>
      <c r="F111" s="2195"/>
      <c r="G111" s="2196"/>
      <c r="H111" s="2196"/>
      <c r="I111" s="2195"/>
      <c r="J111" s="2194">
        <v>195312.59937050773</v>
      </c>
      <c r="K111" s="2201">
        <f t="shared" si="53"/>
        <v>-24.687400629374167</v>
      </c>
      <c r="L111" s="2200"/>
      <c r="M111" s="3635">
        <f t="shared" si="54"/>
        <v>200.00000000007878</v>
      </c>
      <c r="N111" s="3636">
        <f t="shared" si="55"/>
        <v>679.00417815013623</v>
      </c>
      <c r="O111" s="3637">
        <f t="shared" si="56"/>
        <v>209.54887494626041</v>
      </c>
      <c r="P111" s="2188"/>
      <c r="Q111" s="2188"/>
      <c r="R111" s="2188"/>
      <c r="S111" s="2188"/>
      <c r="T111" s="2188"/>
      <c r="U111" s="2188"/>
      <c r="AE111" s="2186"/>
      <c r="AF111" s="2185"/>
      <c r="AI111" s="2184"/>
      <c r="AX111" s="1399"/>
    </row>
    <row r="112" spans="4:50">
      <c r="D112" s="3024"/>
      <c r="E112" s="2196"/>
      <c r="F112" s="2195"/>
      <c r="G112" s="2196"/>
      <c r="H112" s="2196"/>
      <c r="I112" s="2195"/>
      <c r="J112" s="2194">
        <v>225000.00000008877</v>
      </c>
      <c r="K112" s="2201">
        <f t="shared" si="53"/>
        <v>39.99999999995967</v>
      </c>
      <c r="L112" s="2200"/>
      <c r="M112" s="3635">
        <f t="shared" si="54"/>
        <v>185.00000000020901</v>
      </c>
      <c r="N112" s="3636">
        <f t="shared" si="55"/>
        <v>648.41108982838512</v>
      </c>
      <c r="O112" s="3637">
        <f t="shared" si="56"/>
        <v>215.59308832196021</v>
      </c>
      <c r="P112" s="2188"/>
      <c r="Q112" s="2188"/>
      <c r="R112" s="2188"/>
      <c r="S112" s="2188"/>
      <c r="T112" s="2188"/>
      <c r="U112" s="2188"/>
      <c r="AE112" s="2186"/>
      <c r="AF112" s="2185"/>
      <c r="AI112" s="2184"/>
      <c r="AX112" s="1399"/>
    </row>
    <row r="113" spans="3:50">
      <c r="D113" s="3024"/>
      <c r="E113" s="2196"/>
      <c r="F113" s="2195"/>
      <c r="G113" s="2196"/>
      <c r="H113" s="2196"/>
      <c r="I113" s="2195"/>
      <c r="J113" s="2194"/>
      <c r="K113" s="2201"/>
      <c r="L113" s="2200"/>
      <c r="M113" s="3635">
        <f t="shared" si="54"/>
        <v>219.99999999977328</v>
      </c>
      <c r="N113" s="3636">
        <f t="shared" si="55"/>
        <v>657.78516053012595</v>
      </c>
      <c r="O113" s="3637">
        <f t="shared" si="56"/>
        <v>210.62592929803247</v>
      </c>
      <c r="P113" s="2188"/>
      <c r="Q113" s="2188"/>
      <c r="R113" s="2188"/>
      <c r="S113" s="2188"/>
      <c r="T113" s="2188"/>
      <c r="U113" s="2188"/>
      <c r="AE113" s="2186"/>
      <c r="AF113" s="2185"/>
      <c r="AI113" s="2184"/>
      <c r="AX113" s="1399"/>
    </row>
    <row r="114" spans="3:50">
      <c r="D114" s="3024"/>
      <c r="E114" s="2196"/>
      <c r="F114" s="2195"/>
      <c r="G114" s="2196"/>
      <c r="H114" s="2196"/>
      <c r="I114" s="2195"/>
      <c r="J114" s="2194"/>
      <c r="K114" s="2201"/>
      <c r="L114" s="2200"/>
      <c r="M114" s="3635">
        <f t="shared" si="54"/>
        <v>219.99999999988191</v>
      </c>
      <c r="N114" s="3636">
        <f t="shared" si="55"/>
        <v>672.0961334532177</v>
      </c>
      <c r="O114" s="3637">
        <f t="shared" si="56"/>
        <v>205.6890270767901</v>
      </c>
      <c r="P114" s="2188"/>
      <c r="Q114" s="2188"/>
      <c r="R114" s="2188"/>
      <c r="S114" s="2188"/>
      <c r="T114" s="2188"/>
      <c r="U114" s="2188"/>
      <c r="AE114" s="2186"/>
      <c r="AF114" s="2185"/>
      <c r="AI114" s="2184"/>
      <c r="AX114" s="1399"/>
    </row>
    <row r="115" spans="3:50">
      <c r="D115" s="3024"/>
      <c r="E115" s="2196"/>
      <c r="F115" s="2195"/>
      <c r="G115" s="2196"/>
      <c r="H115" s="2196"/>
      <c r="I115" s="2195"/>
      <c r="J115" s="2194"/>
      <c r="K115" s="2201"/>
      <c r="L115" s="2200"/>
      <c r="M115" s="3635">
        <f t="shared" si="54"/>
        <v>185.00000000012909</v>
      </c>
      <c r="N115" s="3636">
        <f t="shared" si="55"/>
        <v>547.80662419375312</v>
      </c>
      <c r="O115" s="3637">
        <f t="shared" si="56"/>
        <v>309.28950925959361</v>
      </c>
      <c r="P115" s="2188"/>
      <c r="Q115" s="2188"/>
      <c r="R115" s="2188"/>
      <c r="S115" s="2188"/>
      <c r="T115" s="2188"/>
      <c r="U115" s="2188"/>
      <c r="AE115" s="2186"/>
      <c r="AF115" s="2185"/>
      <c r="AI115" s="2184"/>
      <c r="AX115" s="1399"/>
    </row>
    <row r="116" spans="3:50">
      <c r="D116" s="3024"/>
      <c r="E116" s="2196"/>
      <c r="F116" s="2195"/>
      <c r="G116" s="2196"/>
      <c r="H116" s="2196"/>
      <c r="I116" s="2195"/>
      <c r="J116" s="2194"/>
      <c r="K116" s="2201"/>
      <c r="L116" s="2200"/>
      <c r="M116" s="3635">
        <f t="shared" si="54"/>
        <v>5897.5164726738958</v>
      </c>
      <c r="N116" s="3636">
        <f t="shared" si="55"/>
        <v>0</v>
      </c>
      <c r="O116" s="3637">
        <f t="shared" si="56"/>
        <v>5857.1987756838262</v>
      </c>
      <c r="P116" s="2188"/>
      <c r="Q116" s="2188"/>
      <c r="R116" s="2188"/>
      <c r="S116" s="2188"/>
      <c r="T116" s="2188"/>
      <c r="U116" s="2188"/>
      <c r="AE116" s="2186"/>
      <c r="AF116" s="2185"/>
      <c r="AI116" s="2184"/>
      <c r="AX116" s="1399"/>
    </row>
    <row r="117" spans="3:50">
      <c r="C117" s="2196"/>
      <c r="D117" s="2196"/>
      <c r="E117" s="2196"/>
      <c r="G117" s="2196"/>
      <c r="H117" s="2193"/>
      <c r="J117" s="2192"/>
      <c r="K117" s="2191"/>
      <c r="L117" s="2190"/>
      <c r="M117" s="2189"/>
      <c r="N117" s="2187"/>
      <c r="O117" s="2188"/>
      <c r="P117" s="2188"/>
      <c r="Q117" s="2188"/>
      <c r="R117" s="2188"/>
      <c r="S117" s="2188"/>
      <c r="T117" s="2188"/>
      <c r="U117" s="2188"/>
      <c r="AE117" s="2186"/>
      <c r="AF117" s="2185"/>
      <c r="AI117" s="2184"/>
      <c r="AX117" s="1399"/>
    </row>
    <row r="118" spans="3:50">
      <c r="D118" s="1400"/>
      <c r="E118" s="2196"/>
      <c r="F118" s="2195"/>
      <c r="G118" s="2194"/>
      <c r="H118" s="2193"/>
      <c r="J118" s="2192"/>
      <c r="K118" s="2191"/>
      <c r="L118" s="2190"/>
      <c r="M118" s="2189"/>
      <c r="N118" s="2187"/>
      <c r="O118" s="2188"/>
      <c r="P118" s="2188"/>
      <c r="Q118" s="2188"/>
      <c r="R118" s="2188"/>
      <c r="S118" s="2188"/>
      <c r="T118" s="2188"/>
      <c r="U118" s="2188"/>
      <c r="AE118" s="2186"/>
      <c r="AF118" s="2185"/>
      <c r="AI118" s="2184"/>
      <c r="AX118" s="1399"/>
    </row>
    <row r="119" spans="3:50">
      <c r="D119" s="1400"/>
      <c r="E119" s="2196"/>
      <c r="F119" s="2195"/>
      <c r="G119" s="2194"/>
      <c r="H119" s="2193"/>
      <c r="J119" s="2192"/>
      <c r="K119" s="2191"/>
      <c r="L119" s="2190"/>
      <c r="M119" s="2189"/>
      <c r="N119" s="2187"/>
      <c r="O119" s="2188"/>
      <c r="P119" s="2188"/>
      <c r="Q119" s="2188"/>
      <c r="R119" s="2188"/>
      <c r="S119" s="2188"/>
      <c r="T119" s="2188"/>
      <c r="U119" s="2188"/>
      <c r="AE119" s="2186"/>
      <c r="AF119" s="2185"/>
      <c r="AI119" s="2184"/>
      <c r="AX119" s="1399"/>
    </row>
    <row r="120" spans="3:50">
      <c r="D120" s="1400"/>
      <c r="E120" s="2196"/>
      <c r="F120" s="2195"/>
      <c r="G120" s="2194"/>
      <c r="H120" s="2193"/>
      <c r="J120" s="2192"/>
      <c r="K120" s="2191"/>
      <c r="L120" s="2190"/>
      <c r="M120" s="2189"/>
      <c r="N120" s="2187"/>
      <c r="O120" s="2188"/>
      <c r="P120" s="2188"/>
      <c r="Q120" s="2188"/>
      <c r="R120" s="2188"/>
      <c r="S120" s="2188"/>
      <c r="T120" s="2188"/>
      <c r="U120" s="2188"/>
      <c r="AE120" s="2186"/>
      <c r="AF120" s="2185"/>
      <c r="AI120" s="2184"/>
      <c r="AX120" s="1399"/>
    </row>
    <row r="121" spans="3:50">
      <c r="D121" s="1400"/>
      <c r="E121" s="2196"/>
      <c r="F121" s="2195"/>
      <c r="G121" s="2194"/>
      <c r="H121" s="2193"/>
      <c r="J121" s="2192"/>
      <c r="K121" s="2191"/>
      <c r="L121" s="2190"/>
      <c r="M121" s="2189"/>
      <c r="N121" s="2187"/>
      <c r="O121" s="2188"/>
      <c r="P121" s="2188"/>
      <c r="Q121" s="2188"/>
      <c r="R121" s="2188"/>
      <c r="S121" s="2188"/>
      <c r="T121" s="2188"/>
      <c r="U121" s="2188"/>
      <c r="AE121" s="2186"/>
      <c r="AF121" s="2185"/>
      <c r="AI121" s="2184"/>
      <c r="AX121" s="1399"/>
    </row>
    <row r="122" spans="3:50">
      <c r="D122" s="1400"/>
      <c r="E122" s="2196"/>
      <c r="F122" s="2195"/>
      <c r="G122" s="2194"/>
      <c r="H122" s="2193"/>
      <c r="J122" s="2192"/>
      <c r="K122" s="2191"/>
      <c r="L122" s="2190"/>
      <c r="M122" s="2189"/>
      <c r="N122" s="2187"/>
      <c r="O122" s="2188"/>
      <c r="P122" s="2188"/>
      <c r="Q122" s="2188"/>
      <c r="R122" s="2188"/>
      <c r="S122" s="2188"/>
      <c r="T122" s="2188"/>
      <c r="U122" s="2188"/>
      <c r="AE122" s="2186"/>
      <c r="AF122" s="2185"/>
      <c r="AI122" s="2184"/>
      <c r="AX122" s="1399"/>
    </row>
    <row r="123" spans="3:50">
      <c r="D123" s="1400"/>
      <c r="E123" s="2196"/>
      <c r="F123" s="2195"/>
      <c r="G123" s="2194"/>
      <c r="H123" s="2193"/>
      <c r="J123" s="2192"/>
      <c r="K123" s="2191"/>
      <c r="L123" s="2190"/>
      <c r="M123" s="2189"/>
      <c r="N123" s="2187"/>
      <c r="O123" s="2188"/>
      <c r="P123" s="2188"/>
      <c r="Q123" s="2188"/>
      <c r="R123" s="2188"/>
      <c r="S123" s="2188"/>
      <c r="T123" s="2188"/>
      <c r="U123" s="2188"/>
      <c r="AE123" s="2186"/>
      <c r="AF123" s="2185"/>
      <c r="AI123" s="2184"/>
      <c r="AX123" s="1399"/>
    </row>
    <row r="124" spans="3:50">
      <c r="D124" s="1400"/>
      <c r="E124" s="2196"/>
      <c r="F124" s="2195"/>
      <c r="G124" s="2194"/>
      <c r="H124" s="2193"/>
      <c r="J124" s="2192"/>
      <c r="K124" s="2191"/>
      <c r="L124" s="2190"/>
      <c r="M124" s="2189"/>
      <c r="N124" s="2187"/>
      <c r="O124" s="2188"/>
      <c r="P124" s="2188"/>
      <c r="Q124" s="2188"/>
      <c r="R124" s="2188"/>
      <c r="S124" s="2188"/>
      <c r="T124" s="2188"/>
      <c r="U124" s="2188"/>
      <c r="AE124" s="2186"/>
      <c r="AF124" s="2185"/>
      <c r="AI124" s="2184"/>
      <c r="AX124" s="1399"/>
    </row>
    <row r="125" spans="3:50">
      <c r="D125" s="1400"/>
      <c r="E125" s="2196"/>
      <c r="F125" s="2195"/>
      <c r="G125" s="2194"/>
      <c r="H125" s="2193"/>
      <c r="J125" s="2192"/>
      <c r="K125" s="2191"/>
      <c r="L125" s="2190"/>
      <c r="M125" s="2189"/>
      <c r="N125" s="2187"/>
      <c r="O125" s="2188"/>
      <c r="P125" s="2188"/>
      <c r="Q125" s="2188"/>
      <c r="R125" s="2188"/>
      <c r="S125" s="2188"/>
      <c r="T125" s="2188"/>
      <c r="U125" s="2188"/>
      <c r="AE125" s="2186"/>
      <c r="AF125" s="2185"/>
      <c r="AI125" s="2184"/>
      <c r="AX125" s="1399"/>
    </row>
    <row r="126" spans="3:50">
      <c r="D126" s="1400"/>
      <c r="E126" s="2196"/>
      <c r="F126" s="2195"/>
      <c r="G126" s="2194"/>
      <c r="H126" s="2193"/>
      <c r="J126" s="2192"/>
      <c r="K126" s="2191"/>
      <c r="L126" s="2190"/>
      <c r="M126" s="2189"/>
      <c r="N126" s="2187"/>
      <c r="O126" s="2188"/>
      <c r="P126" s="2188"/>
      <c r="Q126" s="2188"/>
      <c r="R126" s="2188"/>
      <c r="S126" s="2188"/>
      <c r="T126" s="2188"/>
      <c r="U126" s="2188"/>
      <c r="AE126" s="2186"/>
      <c r="AF126" s="2185"/>
      <c r="AI126" s="2184"/>
      <c r="AX126" s="1399"/>
    </row>
    <row r="127" spans="3:50">
      <c r="D127" s="1400"/>
      <c r="E127" s="2196"/>
      <c r="F127" s="2195"/>
      <c r="G127" s="2194"/>
      <c r="H127" s="2193"/>
      <c r="J127" s="2192"/>
      <c r="K127" s="2191"/>
      <c r="L127" s="2190"/>
      <c r="M127" s="2189"/>
      <c r="N127" s="2187"/>
      <c r="O127" s="2188"/>
      <c r="P127" s="2188"/>
      <c r="Q127" s="2188"/>
      <c r="R127" s="2188"/>
      <c r="S127" s="2188"/>
      <c r="T127" s="2188"/>
      <c r="U127" s="2188"/>
      <c r="AE127" s="2186"/>
      <c r="AF127" s="2185"/>
      <c r="AI127" s="2184"/>
      <c r="AX127" s="1399"/>
    </row>
    <row r="128" spans="3:50">
      <c r="D128" s="1400"/>
      <c r="E128" s="2196"/>
      <c r="F128" s="2195"/>
      <c r="G128" s="2194"/>
      <c r="H128" s="2193"/>
      <c r="J128" s="2192"/>
      <c r="K128" s="2191"/>
      <c r="L128" s="2190"/>
      <c r="M128" s="2189"/>
      <c r="N128" s="2187"/>
      <c r="O128" s="2188"/>
      <c r="P128" s="2188"/>
      <c r="Q128" s="2188"/>
      <c r="R128" s="2188"/>
      <c r="S128" s="2188"/>
      <c r="T128" s="2188"/>
      <c r="U128" s="2188"/>
      <c r="AE128" s="2186"/>
      <c r="AF128" s="2185"/>
      <c r="AI128" s="2184"/>
      <c r="AX128" s="1399"/>
    </row>
    <row r="129" spans="4:50">
      <c r="D129" s="1400"/>
      <c r="E129" s="2196"/>
      <c r="F129" s="2195"/>
      <c r="G129" s="2194"/>
      <c r="H129" s="2193"/>
      <c r="J129" s="2192"/>
      <c r="K129" s="2191"/>
      <c r="L129" s="2190"/>
      <c r="M129" s="2189"/>
      <c r="N129" s="2187"/>
      <c r="O129" s="2188"/>
      <c r="P129" s="2188"/>
      <c r="Q129" s="2188"/>
      <c r="R129" s="2188"/>
      <c r="S129" s="2188"/>
      <c r="T129" s="2188"/>
      <c r="U129" s="2188"/>
      <c r="AE129" s="2186"/>
      <c r="AF129" s="2185"/>
      <c r="AI129" s="2184"/>
      <c r="AX129" s="1399"/>
    </row>
    <row r="130" spans="4:50">
      <c r="D130" s="1400"/>
      <c r="E130" s="2196"/>
      <c r="F130" s="2195"/>
      <c r="G130" s="2194"/>
      <c r="H130" s="2193"/>
      <c r="J130" s="2192"/>
      <c r="K130" s="2191"/>
      <c r="L130" s="2190"/>
      <c r="M130" s="2189"/>
      <c r="N130" s="2187"/>
      <c r="O130" s="2188"/>
      <c r="P130" s="2188"/>
      <c r="Q130" s="2188"/>
      <c r="R130" s="2188"/>
      <c r="S130" s="2188"/>
      <c r="T130" s="2188"/>
      <c r="U130" s="2188"/>
      <c r="AE130" s="2186"/>
      <c r="AF130" s="2185"/>
      <c r="AI130" s="2184"/>
      <c r="AX130" s="1399"/>
    </row>
    <row r="131" spans="4:50">
      <c r="D131" s="1400"/>
      <c r="E131" s="2196"/>
      <c r="F131" s="2195"/>
      <c r="G131" s="2194"/>
      <c r="H131" s="2193"/>
      <c r="J131" s="2192"/>
      <c r="K131" s="2191"/>
      <c r="L131" s="2190"/>
      <c r="M131" s="2189"/>
      <c r="N131" s="2187"/>
      <c r="O131" s="2188"/>
      <c r="P131" s="2188"/>
      <c r="Q131" s="2188"/>
      <c r="R131" s="2188"/>
      <c r="S131" s="2188"/>
      <c r="T131" s="2188"/>
      <c r="U131" s="2188"/>
      <c r="AE131" s="2186"/>
      <c r="AF131" s="2185"/>
      <c r="AI131" s="2184"/>
      <c r="AX131" s="1399"/>
    </row>
    <row r="132" spans="4:50">
      <c r="D132" s="1400"/>
      <c r="E132" s="2196"/>
      <c r="F132" s="2195"/>
      <c r="G132" s="2194"/>
      <c r="H132" s="2193"/>
      <c r="J132" s="2192"/>
      <c r="K132" s="2191"/>
      <c r="L132" s="2190"/>
      <c r="M132" s="2189"/>
      <c r="N132" s="2187"/>
      <c r="O132" s="2188"/>
      <c r="P132" s="2188"/>
      <c r="Q132" s="2188"/>
      <c r="R132" s="2188"/>
      <c r="S132" s="2188"/>
      <c r="T132" s="2188"/>
      <c r="U132" s="2188"/>
      <c r="AE132" s="2186"/>
      <c r="AF132" s="2185"/>
      <c r="AI132" s="2184"/>
      <c r="AX132" s="1399"/>
    </row>
    <row r="133" spans="4:50">
      <c r="D133" s="1400"/>
      <c r="E133" s="2196"/>
      <c r="F133" s="2195"/>
      <c r="G133" s="2194"/>
      <c r="H133" s="2193"/>
      <c r="J133" s="2192"/>
      <c r="K133" s="2191"/>
      <c r="L133" s="2190"/>
      <c r="M133" s="2189"/>
      <c r="N133" s="2187"/>
      <c r="O133" s="2188"/>
      <c r="P133" s="2188"/>
      <c r="Q133" s="2188"/>
      <c r="R133" s="2188"/>
      <c r="S133" s="2188"/>
      <c r="T133" s="2188"/>
      <c r="U133" s="2188"/>
      <c r="AE133" s="2186"/>
      <c r="AF133" s="2185"/>
      <c r="AI133" s="2184"/>
      <c r="AX133" s="1399"/>
    </row>
    <row r="134" spans="4:50">
      <c r="D134" s="1400"/>
      <c r="E134" s="2196"/>
      <c r="F134" s="2195"/>
      <c r="G134" s="2194"/>
      <c r="H134" s="2193"/>
      <c r="J134" s="2192"/>
      <c r="K134" s="2191"/>
      <c r="L134" s="2190"/>
      <c r="M134" s="2189"/>
      <c r="N134" s="2187"/>
      <c r="O134" s="2188"/>
      <c r="P134" s="2188"/>
      <c r="Q134" s="2188"/>
      <c r="R134" s="2188"/>
      <c r="S134" s="2188"/>
      <c r="T134" s="2188"/>
      <c r="U134" s="2188"/>
      <c r="AE134" s="2186"/>
      <c r="AF134" s="2185"/>
      <c r="AI134" s="2184"/>
      <c r="AX134" s="1399"/>
    </row>
    <row r="135" spans="4:50">
      <c r="D135" s="1400"/>
      <c r="E135" s="2196"/>
      <c r="F135" s="2195"/>
      <c r="G135" s="2194"/>
      <c r="H135" s="2193"/>
      <c r="J135" s="2192"/>
      <c r="K135" s="2191"/>
      <c r="L135" s="2190"/>
      <c r="M135" s="2189"/>
      <c r="N135" s="2187"/>
      <c r="O135" s="2188"/>
      <c r="P135" s="2188"/>
      <c r="Q135" s="2188"/>
      <c r="R135" s="2188"/>
      <c r="S135" s="2188"/>
      <c r="T135" s="2188"/>
      <c r="U135" s="2188"/>
      <c r="AE135" s="2186"/>
      <c r="AF135" s="2185"/>
      <c r="AI135" s="2184"/>
      <c r="AX135" s="1399"/>
    </row>
    <row r="136" spans="4:50">
      <c r="D136" s="1400"/>
      <c r="E136" s="2196"/>
      <c r="F136" s="2195"/>
      <c r="G136" s="2194"/>
      <c r="H136" s="2193"/>
      <c r="J136" s="2192"/>
      <c r="K136" s="2191"/>
      <c r="L136" s="2190"/>
      <c r="M136" s="2189"/>
      <c r="N136" s="2187"/>
      <c r="O136" s="2188"/>
      <c r="P136" s="2188"/>
      <c r="Q136" s="2188"/>
      <c r="R136" s="2188"/>
      <c r="S136" s="2188"/>
      <c r="T136" s="2188"/>
      <c r="U136" s="2188"/>
      <c r="AE136" s="2186"/>
      <c r="AF136" s="2185"/>
      <c r="AI136" s="2184"/>
      <c r="AX136" s="1399"/>
    </row>
    <row r="137" spans="4:50">
      <c r="D137" s="1400"/>
      <c r="E137" s="2196"/>
      <c r="F137" s="2195"/>
      <c r="G137" s="2194"/>
      <c r="H137" s="2193"/>
      <c r="J137" s="2192"/>
      <c r="K137" s="2191"/>
      <c r="L137" s="2190"/>
      <c r="M137" s="2189"/>
      <c r="N137" s="2187"/>
      <c r="O137" s="2188"/>
      <c r="P137" s="2188"/>
      <c r="Q137" s="2188"/>
      <c r="R137" s="2188"/>
      <c r="S137" s="2188"/>
      <c r="T137" s="2188"/>
      <c r="U137" s="2188"/>
      <c r="AE137" s="2186"/>
      <c r="AF137" s="2185"/>
      <c r="AI137" s="2184"/>
      <c r="AX137" s="1399"/>
    </row>
    <row r="138" spans="4:50">
      <c r="D138" s="1400"/>
      <c r="E138" s="2196"/>
      <c r="F138" s="2195"/>
      <c r="G138" s="2194"/>
      <c r="H138" s="2193"/>
      <c r="J138" s="2192"/>
      <c r="K138" s="2191"/>
      <c r="L138" s="2190"/>
      <c r="M138" s="2189"/>
      <c r="N138" s="2187"/>
      <c r="O138" s="2188"/>
      <c r="P138" s="2188"/>
      <c r="Q138" s="2188"/>
      <c r="R138" s="2188"/>
      <c r="S138" s="2188"/>
      <c r="T138" s="2188"/>
      <c r="U138" s="2188"/>
      <c r="AE138" s="2186"/>
      <c r="AF138" s="2185"/>
      <c r="AI138" s="2184"/>
      <c r="AX138" s="1399"/>
    </row>
    <row r="139" spans="4:50">
      <c r="D139" s="1400"/>
      <c r="E139" s="2196"/>
      <c r="F139" s="2195"/>
      <c r="G139" s="2194"/>
      <c r="H139" s="2193"/>
      <c r="J139" s="2192"/>
      <c r="K139" s="2191"/>
      <c r="L139" s="2190"/>
      <c r="M139" s="2189"/>
      <c r="N139" s="2187"/>
      <c r="O139" s="2188"/>
      <c r="P139" s="2188"/>
      <c r="Q139" s="2188"/>
      <c r="R139" s="2188"/>
      <c r="S139" s="2188"/>
      <c r="T139" s="2188"/>
      <c r="U139" s="2188"/>
      <c r="AE139" s="2186"/>
      <c r="AF139" s="2185"/>
      <c r="AI139" s="2184"/>
      <c r="AX139" s="1399"/>
    </row>
    <row r="140" spans="4:50">
      <c r="D140" s="1400"/>
      <c r="E140" s="2196"/>
      <c r="F140" s="2195"/>
      <c r="G140" s="2194"/>
      <c r="H140" s="2193"/>
      <c r="J140" s="2192"/>
      <c r="K140" s="2191"/>
      <c r="L140" s="2190"/>
      <c r="M140" s="2189"/>
      <c r="N140" s="2187"/>
      <c r="O140" s="2188"/>
      <c r="P140" s="2188"/>
      <c r="Q140" s="2188"/>
      <c r="R140" s="2188"/>
      <c r="S140" s="2188"/>
      <c r="T140" s="2188"/>
      <c r="U140" s="2188"/>
      <c r="AE140" s="2186"/>
      <c r="AF140" s="2185"/>
      <c r="AI140" s="2184"/>
      <c r="AX140" s="1399"/>
    </row>
    <row r="141" spans="4:50">
      <c r="D141" s="1400"/>
      <c r="E141" s="2196"/>
      <c r="F141" s="2195"/>
      <c r="G141" s="2194"/>
      <c r="H141" s="2193"/>
      <c r="J141" s="2192"/>
      <c r="K141" s="2191"/>
      <c r="L141" s="2190"/>
      <c r="M141" s="2189"/>
      <c r="N141" s="2187"/>
      <c r="O141" s="2188"/>
      <c r="P141" s="2188"/>
      <c r="Q141" s="2188"/>
      <c r="R141" s="2188"/>
      <c r="S141" s="2188"/>
      <c r="T141" s="2188"/>
      <c r="U141" s="2188"/>
      <c r="AE141" s="2186"/>
      <c r="AF141" s="2185"/>
      <c r="AI141" s="2184"/>
      <c r="AX141" s="1399"/>
    </row>
    <row r="142" spans="4:50">
      <c r="D142" s="1400"/>
      <c r="E142" s="2196"/>
      <c r="F142" s="2195"/>
      <c r="G142" s="2194"/>
      <c r="H142" s="2193"/>
      <c r="J142" s="2192"/>
      <c r="K142" s="2191"/>
      <c r="L142" s="2190"/>
      <c r="M142" s="2189"/>
      <c r="N142" s="2187"/>
      <c r="O142" s="2188"/>
      <c r="P142" s="2188"/>
      <c r="Q142" s="2188"/>
      <c r="R142" s="2188"/>
      <c r="S142" s="2188"/>
      <c r="T142" s="2188"/>
      <c r="U142" s="2188"/>
      <c r="AE142" s="2186"/>
      <c r="AF142" s="2185"/>
      <c r="AI142" s="2184"/>
      <c r="AX142" s="1399"/>
    </row>
    <row r="143" spans="4:50">
      <c r="D143" s="1400"/>
      <c r="E143" s="2196"/>
      <c r="F143" s="2195"/>
      <c r="G143" s="2194"/>
      <c r="H143" s="2193"/>
      <c r="J143" s="2192"/>
      <c r="K143" s="2191"/>
      <c r="L143" s="2190"/>
      <c r="M143" s="2189"/>
      <c r="N143" s="2187"/>
      <c r="O143" s="2188"/>
      <c r="P143" s="2188"/>
      <c r="Q143" s="2188"/>
      <c r="R143" s="2188"/>
      <c r="S143" s="2188"/>
      <c r="T143" s="2188"/>
      <c r="U143" s="2188"/>
      <c r="AE143" s="2186"/>
      <c r="AF143" s="2185"/>
      <c r="AI143" s="2184"/>
      <c r="AX143" s="1399"/>
    </row>
    <row r="144" spans="4:50">
      <c r="D144" s="1400"/>
      <c r="E144" s="2196"/>
      <c r="F144" s="2195"/>
      <c r="G144" s="2194"/>
      <c r="H144" s="2193"/>
      <c r="J144" s="2192"/>
      <c r="K144" s="2191"/>
      <c r="L144" s="2190"/>
      <c r="M144" s="2189"/>
      <c r="N144" s="2187"/>
      <c r="O144" s="2188"/>
      <c r="P144" s="2188"/>
      <c r="Q144" s="2188"/>
      <c r="R144" s="2188"/>
      <c r="S144" s="2188"/>
      <c r="T144" s="2188"/>
      <c r="U144" s="2188"/>
      <c r="AE144" s="2186"/>
      <c r="AF144" s="2185"/>
      <c r="AI144" s="2184"/>
      <c r="AX144" s="1399"/>
    </row>
    <row r="145" spans="4:50">
      <c r="D145" s="1400"/>
      <c r="E145" s="2196"/>
      <c r="F145" s="2195"/>
      <c r="G145" s="2194"/>
      <c r="H145" s="2193"/>
      <c r="J145" s="2192"/>
      <c r="K145" s="2191"/>
      <c r="L145" s="2190"/>
      <c r="M145" s="2189"/>
      <c r="N145" s="2187"/>
      <c r="O145" s="2188"/>
      <c r="P145" s="2188"/>
      <c r="Q145" s="2188"/>
      <c r="R145" s="2188"/>
      <c r="S145" s="2188"/>
      <c r="T145" s="2188"/>
      <c r="U145" s="2188"/>
      <c r="AE145" s="2186"/>
      <c r="AF145" s="2185"/>
      <c r="AI145" s="2184"/>
      <c r="AX145" s="1399"/>
    </row>
    <row r="146" spans="4:50">
      <c r="D146" s="1400"/>
      <c r="E146" s="2196"/>
      <c r="F146" s="2195"/>
      <c r="G146" s="2194"/>
      <c r="H146" s="2193"/>
      <c r="J146" s="2192"/>
      <c r="K146" s="2191"/>
      <c r="L146" s="2190"/>
      <c r="M146" s="2189"/>
      <c r="N146" s="2187"/>
      <c r="O146" s="2188"/>
      <c r="P146" s="2188"/>
      <c r="Q146" s="2188"/>
      <c r="R146" s="2188"/>
      <c r="S146" s="2188"/>
      <c r="T146" s="2188"/>
      <c r="U146" s="2188"/>
      <c r="AE146" s="2186"/>
      <c r="AF146" s="2185"/>
      <c r="AI146" s="2184"/>
      <c r="AX146" s="1399"/>
    </row>
    <row r="147" spans="4:50">
      <c r="D147" s="1400"/>
      <c r="E147" s="2196"/>
      <c r="F147" s="2195"/>
      <c r="G147" s="2194"/>
      <c r="H147" s="2193"/>
      <c r="J147" s="2192"/>
      <c r="K147" s="2191"/>
      <c r="L147" s="2190"/>
      <c r="M147" s="2189"/>
      <c r="N147" s="2187"/>
      <c r="O147" s="2188"/>
      <c r="P147" s="2188"/>
      <c r="Q147" s="2188"/>
      <c r="R147" s="2188"/>
      <c r="S147" s="2188"/>
      <c r="T147" s="2188"/>
      <c r="U147" s="2188"/>
      <c r="AE147" s="2186"/>
      <c r="AF147" s="2185"/>
      <c r="AI147" s="2184"/>
      <c r="AX147" s="1399"/>
    </row>
    <row r="148" spans="4:50">
      <c r="D148" s="1400"/>
      <c r="E148" s="2196"/>
      <c r="F148" s="2195"/>
      <c r="G148" s="2194"/>
      <c r="H148" s="2193"/>
      <c r="J148" s="2192"/>
      <c r="K148" s="2191"/>
      <c r="L148" s="2190"/>
      <c r="M148" s="2189"/>
      <c r="N148" s="2187"/>
      <c r="O148" s="2188"/>
      <c r="P148" s="2188"/>
      <c r="Q148" s="2188"/>
      <c r="R148" s="2188"/>
      <c r="S148" s="2188"/>
      <c r="T148" s="2188"/>
      <c r="U148" s="2188"/>
      <c r="AE148" s="2186"/>
      <c r="AF148" s="2185"/>
      <c r="AI148" s="2184"/>
      <c r="AX148" s="1399"/>
    </row>
    <row r="149" spans="4:50">
      <c r="D149" s="1400"/>
      <c r="E149" s="2196"/>
      <c r="F149" s="2195"/>
      <c r="G149" s="2194"/>
      <c r="H149" s="2193"/>
      <c r="J149" s="2192"/>
      <c r="K149" s="2191"/>
      <c r="L149" s="2190"/>
      <c r="M149" s="2189"/>
      <c r="N149" s="2187"/>
      <c r="O149" s="2188"/>
      <c r="P149" s="2188"/>
      <c r="Q149" s="2188"/>
      <c r="R149" s="2188"/>
      <c r="S149" s="2188"/>
      <c r="T149" s="2188"/>
      <c r="U149" s="2188"/>
      <c r="AE149" s="2186"/>
      <c r="AF149" s="2185"/>
      <c r="AI149" s="2184"/>
      <c r="AX149" s="1399"/>
    </row>
    <row r="150" spans="4:50">
      <c r="D150" s="1400"/>
      <c r="E150" s="2196"/>
      <c r="F150" s="2195"/>
      <c r="G150" s="2194"/>
      <c r="H150" s="2193"/>
      <c r="J150" s="2192"/>
      <c r="K150" s="2191"/>
      <c r="L150" s="2190"/>
      <c r="M150" s="2189"/>
      <c r="N150" s="2187"/>
      <c r="O150" s="2188"/>
      <c r="P150" s="2188"/>
      <c r="Q150" s="2188"/>
      <c r="R150" s="2188"/>
      <c r="S150" s="2188"/>
      <c r="T150" s="2188"/>
      <c r="U150" s="2188"/>
      <c r="AE150" s="2186"/>
      <c r="AF150" s="2185"/>
      <c r="AI150" s="2184"/>
      <c r="AX150" s="1399"/>
    </row>
    <row r="151" spans="4:50">
      <c r="D151" s="1400"/>
      <c r="E151" s="2196"/>
      <c r="F151" s="2195"/>
      <c r="G151" s="2194"/>
      <c r="H151" s="2193"/>
      <c r="J151" s="2192"/>
      <c r="K151" s="2191"/>
      <c r="L151" s="2190"/>
      <c r="M151" s="2189"/>
      <c r="N151" s="2187"/>
      <c r="O151" s="2188"/>
      <c r="P151" s="2188"/>
      <c r="Q151" s="2188"/>
      <c r="R151" s="2188"/>
      <c r="S151" s="2188"/>
      <c r="T151" s="2188"/>
      <c r="U151" s="2188"/>
      <c r="AE151" s="2186"/>
      <c r="AF151" s="2185"/>
      <c r="AI151" s="2184"/>
      <c r="AX151" s="1399"/>
    </row>
    <row r="152" spans="4:50">
      <c r="D152" s="1400"/>
      <c r="E152" s="2196"/>
      <c r="F152" s="2195"/>
      <c r="G152" s="2194"/>
      <c r="H152" s="2193"/>
      <c r="J152" s="2192"/>
      <c r="K152" s="2191"/>
      <c r="L152" s="2190"/>
      <c r="M152" s="2189"/>
      <c r="N152" s="2187"/>
      <c r="O152" s="2188"/>
      <c r="P152" s="2188"/>
      <c r="Q152" s="2188"/>
      <c r="R152" s="2188"/>
      <c r="S152" s="2188"/>
      <c r="T152" s="2188"/>
      <c r="U152" s="2188"/>
      <c r="AE152" s="2186"/>
      <c r="AF152" s="2185"/>
      <c r="AI152" s="2184"/>
      <c r="AX152" s="1399"/>
    </row>
    <row r="153" spans="4:50">
      <c r="D153" s="1400"/>
      <c r="E153" s="2196"/>
      <c r="F153" s="2195"/>
      <c r="G153" s="2194"/>
      <c r="H153" s="2193"/>
      <c r="J153" s="2192"/>
      <c r="K153" s="2191"/>
      <c r="L153" s="2190"/>
      <c r="M153" s="2189"/>
      <c r="N153" s="2187"/>
      <c r="O153" s="2188"/>
      <c r="P153" s="2188"/>
      <c r="Q153" s="2188"/>
      <c r="R153" s="2188"/>
      <c r="S153" s="2188"/>
      <c r="T153" s="2188"/>
      <c r="U153" s="2188"/>
      <c r="AE153" s="2186"/>
      <c r="AF153" s="2185"/>
      <c r="AI153" s="2184"/>
      <c r="AX153" s="1399"/>
    </row>
    <row r="154" spans="4:50">
      <c r="D154" s="1400"/>
      <c r="E154" s="2196"/>
      <c r="F154" s="2195"/>
      <c r="G154" s="2194"/>
      <c r="H154" s="2193"/>
      <c r="J154" s="2192"/>
      <c r="K154" s="2191"/>
      <c r="L154" s="2190"/>
      <c r="M154" s="2189"/>
      <c r="N154" s="2187"/>
      <c r="O154" s="2188"/>
      <c r="P154" s="2188"/>
      <c r="Q154" s="2188"/>
      <c r="R154" s="2188"/>
      <c r="S154" s="2188"/>
      <c r="T154" s="2188"/>
      <c r="U154" s="2188"/>
      <c r="AE154" s="2186"/>
      <c r="AF154" s="2185"/>
      <c r="AI154" s="2184"/>
      <c r="AX154" s="1399"/>
    </row>
    <row r="155" spans="4:50">
      <c r="D155" s="1400"/>
      <c r="E155" s="2196"/>
      <c r="F155" s="2195"/>
      <c r="G155" s="2194"/>
      <c r="H155" s="2193"/>
      <c r="J155" s="2192"/>
      <c r="K155" s="2191"/>
      <c r="L155" s="2190"/>
      <c r="M155" s="2189"/>
      <c r="N155" s="2187"/>
      <c r="O155" s="2188"/>
      <c r="P155" s="2188"/>
      <c r="Q155" s="2188"/>
      <c r="R155" s="2188"/>
      <c r="S155" s="2188"/>
      <c r="T155" s="2188"/>
      <c r="U155" s="2188"/>
      <c r="AE155" s="2186"/>
      <c r="AF155" s="2185"/>
      <c r="AI155" s="2184"/>
      <c r="AX155" s="1399"/>
    </row>
    <row r="156" spans="4:50">
      <c r="D156" s="1400"/>
      <c r="E156" s="2196"/>
      <c r="F156" s="2195"/>
      <c r="G156" s="2194"/>
      <c r="H156" s="2193"/>
      <c r="J156" s="2192"/>
      <c r="K156" s="2191"/>
      <c r="L156" s="2190"/>
      <c r="M156" s="2189"/>
      <c r="N156" s="2187"/>
      <c r="O156" s="2188"/>
      <c r="P156" s="2188"/>
      <c r="Q156" s="2188"/>
      <c r="R156" s="2188"/>
      <c r="S156" s="2188"/>
      <c r="T156" s="2188"/>
      <c r="U156" s="2188"/>
      <c r="AE156" s="2186"/>
      <c r="AF156" s="2185"/>
      <c r="AI156" s="2184"/>
      <c r="AX156" s="1399"/>
    </row>
    <row r="157" spans="4:50">
      <c r="D157" s="1400"/>
      <c r="E157" s="2196"/>
      <c r="F157" s="2195"/>
      <c r="G157" s="2194"/>
      <c r="H157" s="2193"/>
      <c r="J157" s="2192"/>
      <c r="K157" s="2191"/>
      <c r="L157" s="2190"/>
      <c r="M157" s="2189"/>
      <c r="N157" s="2187"/>
      <c r="O157" s="2188"/>
      <c r="P157" s="2188"/>
      <c r="Q157" s="2188"/>
      <c r="R157" s="2188"/>
      <c r="S157" s="2188"/>
      <c r="T157" s="2188"/>
      <c r="U157" s="2188"/>
      <c r="AE157" s="2186"/>
      <c r="AF157" s="2185"/>
      <c r="AI157" s="2184"/>
      <c r="AX157" s="1399"/>
    </row>
    <row r="158" spans="4:50">
      <c r="D158" s="1400"/>
      <c r="E158" s="2196"/>
      <c r="F158" s="2195"/>
      <c r="G158" s="2194"/>
      <c r="H158" s="2193"/>
      <c r="J158" s="2192"/>
      <c r="K158" s="2191"/>
      <c r="L158" s="2190"/>
      <c r="M158" s="2189"/>
      <c r="N158" s="2187"/>
      <c r="O158" s="2188"/>
      <c r="P158" s="2188"/>
      <c r="Q158" s="2188"/>
      <c r="R158" s="2188"/>
      <c r="S158" s="2188"/>
      <c r="T158" s="2188"/>
      <c r="U158" s="2188"/>
      <c r="AE158" s="2186"/>
      <c r="AF158" s="2185"/>
      <c r="AI158" s="2184"/>
      <c r="AX158" s="1399"/>
    </row>
    <row r="159" spans="4:50">
      <c r="D159" s="1400"/>
      <c r="E159" s="2196"/>
      <c r="F159" s="2195"/>
      <c r="G159" s="2194"/>
      <c r="H159" s="2193"/>
      <c r="J159" s="2192"/>
      <c r="K159" s="2191"/>
      <c r="L159" s="2190"/>
      <c r="M159" s="2189"/>
      <c r="N159" s="2187"/>
      <c r="O159" s="2188"/>
      <c r="P159" s="2188"/>
      <c r="Q159" s="2188"/>
      <c r="R159" s="2188"/>
      <c r="S159" s="2188"/>
      <c r="T159" s="2188"/>
      <c r="U159" s="2188"/>
      <c r="AE159" s="2186"/>
      <c r="AF159" s="2185"/>
      <c r="AI159" s="2184"/>
      <c r="AX159" s="1399"/>
    </row>
    <row r="160" spans="4:50">
      <c r="D160" s="1400"/>
      <c r="E160" s="2196"/>
      <c r="F160" s="2195"/>
      <c r="G160" s="2194"/>
      <c r="H160" s="2193"/>
      <c r="J160" s="2192"/>
      <c r="K160" s="2191"/>
      <c r="L160" s="2190"/>
      <c r="M160" s="2189"/>
      <c r="N160" s="2187"/>
      <c r="O160" s="2188"/>
      <c r="P160" s="2188"/>
      <c r="Q160" s="2188"/>
      <c r="R160" s="2188"/>
      <c r="S160" s="2188"/>
      <c r="T160" s="2188"/>
      <c r="U160" s="2188"/>
      <c r="AE160" s="2186"/>
      <c r="AF160" s="2185"/>
      <c r="AI160" s="2184"/>
      <c r="AX160" s="1399"/>
    </row>
    <row r="161" spans="4:50">
      <c r="D161" s="1400"/>
      <c r="E161" s="2196"/>
      <c r="F161" s="2195"/>
      <c r="G161" s="2194"/>
      <c r="H161" s="2193"/>
      <c r="J161" s="2192"/>
      <c r="K161" s="2191"/>
      <c r="L161" s="2190"/>
      <c r="M161" s="2189"/>
      <c r="N161" s="2187"/>
      <c r="O161" s="2188"/>
      <c r="P161" s="2188"/>
      <c r="Q161" s="2188"/>
      <c r="R161" s="2188"/>
      <c r="S161" s="2188"/>
      <c r="T161" s="2188"/>
      <c r="U161" s="2188"/>
      <c r="AE161" s="2186"/>
      <c r="AF161" s="2185"/>
      <c r="AI161" s="2184"/>
      <c r="AX161" s="1399"/>
    </row>
    <row r="162" spans="4:50">
      <c r="D162" s="1400"/>
      <c r="E162" s="2196"/>
      <c r="F162" s="2195"/>
      <c r="G162" s="2194"/>
      <c r="H162" s="2193"/>
      <c r="J162" s="2192"/>
      <c r="K162" s="2191"/>
      <c r="L162" s="2190"/>
      <c r="M162" s="2189"/>
      <c r="N162" s="2187"/>
      <c r="O162" s="2188"/>
      <c r="P162" s="2188"/>
      <c r="Q162" s="2188"/>
      <c r="R162" s="2188"/>
      <c r="S162" s="2188"/>
      <c r="T162" s="2188"/>
      <c r="U162" s="2188"/>
      <c r="AE162" s="2186"/>
      <c r="AF162" s="2185"/>
      <c r="AI162" s="2184"/>
      <c r="AX162" s="1399"/>
    </row>
    <row r="163" spans="4:50">
      <c r="D163" s="1400"/>
      <c r="E163" s="2196"/>
      <c r="F163" s="2195"/>
      <c r="G163" s="2194"/>
      <c r="H163" s="2193"/>
      <c r="J163" s="2192"/>
      <c r="K163" s="2191"/>
      <c r="L163" s="2190"/>
      <c r="M163" s="2189"/>
      <c r="N163" s="2187"/>
      <c r="O163" s="2188"/>
      <c r="P163" s="2188"/>
      <c r="Q163" s="2188"/>
      <c r="R163" s="2188"/>
      <c r="S163" s="2188"/>
      <c r="T163" s="2188"/>
      <c r="U163" s="2188"/>
      <c r="AE163" s="2186"/>
      <c r="AF163" s="2185"/>
      <c r="AI163" s="2184"/>
      <c r="AX163" s="1399"/>
    </row>
    <row r="164" spans="4:50">
      <c r="D164" s="1400"/>
      <c r="E164" s="2196"/>
      <c r="F164" s="2195"/>
      <c r="G164" s="2194"/>
      <c r="H164" s="2193"/>
      <c r="J164" s="2192"/>
      <c r="K164" s="2191"/>
      <c r="L164" s="2190"/>
      <c r="M164" s="2189"/>
      <c r="N164" s="2187"/>
      <c r="O164" s="2188"/>
      <c r="P164" s="2188"/>
      <c r="Q164" s="2188"/>
      <c r="R164" s="2188"/>
      <c r="S164" s="2188"/>
      <c r="T164" s="2188"/>
      <c r="U164" s="2188"/>
      <c r="AE164" s="2186"/>
      <c r="AF164" s="2185"/>
      <c r="AI164" s="2184"/>
      <c r="AX164" s="1399"/>
    </row>
    <row r="165" spans="4:50">
      <c r="D165" s="1400"/>
      <c r="E165" s="2196"/>
      <c r="F165" s="2195"/>
      <c r="G165" s="2194"/>
      <c r="H165" s="2193"/>
      <c r="J165" s="2192"/>
      <c r="K165" s="2191"/>
      <c r="L165" s="2190"/>
      <c r="M165" s="2189"/>
      <c r="N165" s="2187"/>
      <c r="O165" s="2188"/>
      <c r="P165" s="2188"/>
      <c r="Q165" s="2188"/>
      <c r="R165" s="2188"/>
      <c r="S165" s="2188"/>
      <c r="T165" s="2188"/>
      <c r="U165" s="2188"/>
      <c r="AE165" s="2186"/>
      <c r="AF165" s="2185"/>
      <c r="AI165" s="2184"/>
      <c r="AX165" s="1399"/>
    </row>
    <row r="166" spans="4:50">
      <c r="D166" s="1400"/>
      <c r="E166" s="2196"/>
      <c r="F166" s="2195"/>
      <c r="G166" s="2194"/>
      <c r="H166" s="2193"/>
      <c r="J166" s="2192"/>
      <c r="K166" s="2191"/>
      <c r="L166" s="2190"/>
      <c r="M166" s="2189"/>
      <c r="N166" s="2187"/>
      <c r="O166" s="2188"/>
      <c r="P166" s="2188"/>
      <c r="Q166" s="2188"/>
      <c r="R166" s="2188"/>
      <c r="S166" s="2188"/>
      <c r="T166" s="2188"/>
      <c r="U166" s="2188"/>
      <c r="AE166" s="2186"/>
      <c r="AF166" s="2185"/>
      <c r="AI166" s="2184"/>
      <c r="AX166" s="1399"/>
    </row>
    <row r="167" spans="4:50">
      <c r="D167" s="1400"/>
      <c r="E167" s="2196"/>
      <c r="F167" s="2195"/>
      <c r="G167" s="2194"/>
      <c r="H167" s="2193"/>
      <c r="J167" s="2192"/>
      <c r="K167" s="2191"/>
      <c r="L167" s="2190"/>
      <c r="M167" s="2189"/>
      <c r="N167" s="2187"/>
      <c r="O167" s="2188"/>
      <c r="P167" s="2188"/>
      <c r="Q167" s="2188"/>
      <c r="R167" s="2188"/>
      <c r="S167" s="2188"/>
      <c r="T167" s="2188"/>
      <c r="U167" s="2188"/>
      <c r="AE167" s="2186"/>
      <c r="AF167" s="2185"/>
      <c r="AI167" s="2184"/>
      <c r="AX167" s="1399"/>
    </row>
    <row r="168" spans="4:50">
      <c r="D168" s="1400"/>
      <c r="E168" s="2196"/>
      <c r="F168" s="2195"/>
      <c r="G168" s="2194"/>
      <c r="H168" s="2193"/>
      <c r="J168" s="2192"/>
      <c r="K168" s="2191"/>
      <c r="L168" s="2190"/>
      <c r="M168" s="2189"/>
      <c r="N168" s="2187"/>
      <c r="O168" s="2188"/>
      <c r="P168" s="2188"/>
      <c r="Q168" s="2188"/>
      <c r="R168" s="2188"/>
      <c r="S168" s="2188"/>
      <c r="T168" s="2188"/>
      <c r="U168" s="2188"/>
      <c r="AE168" s="2186"/>
      <c r="AF168" s="2185"/>
      <c r="AI168" s="2184"/>
      <c r="AX168" s="1399"/>
    </row>
    <row r="169" spans="4:50">
      <c r="D169" s="1400"/>
      <c r="E169" s="2196"/>
      <c r="F169" s="2195"/>
      <c r="G169" s="2194"/>
      <c r="H169" s="2193"/>
      <c r="J169" s="2192"/>
      <c r="K169" s="2191"/>
      <c r="L169" s="2190"/>
      <c r="M169" s="2189"/>
      <c r="N169" s="2187"/>
      <c r="O169" s="2188"/>
      <c r="P169" s="2188"/>
      <c r="Q169" s="2188"/>
      <c r="R169" s="2188"/>
      <c r="S169" s="2188"/>
      <c r="T169" s="2188"/>
      <c r="U169" s="2188"/>
      <c r="AE169" s="2186"/>
      <c r="AF169" s="2185"/>
      <c r="AI169" s="2184"/>
      <c r="AX169" s="1399"/>
    </row>
    <row r="170" spans="4:50">
      <c r="D170" s="1400"/>
      <c r="E170" s="2196"/>
      <c r="F170" s="2195"/>
      <c r="G170" s="2194"/>
      <c r="H170" s="2193"/>
      <c r="J170" s="2192"/>
      <c r="K170" s="2191"/>
      <c r="L170" s="2190"/>
      <c r="M170" s="2189"/>
      <c r="N170" s="2187"/>
      <c r="O170" s="2188"/>
      <c r="P170" s="2188"/>
      <c r="Q170" s="2188"/>
      <c r="R170" s="2188"/>
      <c r="S170" s="2188"/>
      <c r="T170" s="2188"/>
      <c r="U170" s="2188"/>
      <c r="AE170" s="2186"/>
      <c r="AF170" s="2185"/>
      <c r="AI170" s="2184"/>
      <c r="AX170" s="1399"/>
    </row>
    <row r="171" spans="4:50">
      <c r="D171" s="1400"/>
      <c r="E171" s="2196"/>
      <c r="F171" s="2195"/>
      <c r="G171" s="2194"/>
      <c r="H171" s="2193"/>
      <c r="J171" s="2192"/>
      <c r="K171" s="2191"/>
      <c r="L171" s="2190"/>
      <c r="M171" s="2189"/>
      <c r="N171" s="2187"/>
      <c r="O171" s="2188"/>
      <c r="P171" s="2188"/>
      <c r="Q171" s="2188"/>
      <c r="R171" s="2188"/>
      <c r="S171" s="2188"/>
      <c r="T171" s="2188"/>
      <c r="U171" s="2188"/>
      <c r="AE171" s="2186"/>
      <c r="AF171" s="2185"/>
      <c r="AI171" s="2184"/>
      <c r="AX171" s="1399"/>
    </row>
    <row r="172" spans="4:50">
      <c r="D172" s="1400"/>
      <c r="E172" s="2196"/>
      <c r="F172" s="2195"/>
      <c r="G172" s="2194"/>
      <c r="H172" s="2193"/>
      <c r="J172" s="2192"/>
      <c r="K172" s="2191"/>
      <c r="L172" s="2190"/>
      <c r="M172" s="2189"/>
      <c r="N172" s="2187"/>
      <c r="O172" s="2188"/>
      <c r="P172" s="2188"/>
      <c r="Q172" s="2188"/>
      <c r="R172" s="2188"/>
      <c r="S172" s="2188"/>
      <c r="T172" s="2188"/>
      <c r="U172" s="2188"/>
      <c r="AE172" s="2186"/>
      <c r="AF172" s="2185"/>
      <c r="AI172" s="2184"/>
      <c r="AX172" s="1399"/>
    </row>
    <row r="173" spans="4:50">
      <c r="D173" s="1400"/>
      <c r="E173" s="2196"/>
      <c r="F173" s="2195"/>
      <c r="G173" s="2194"/>
      <c r="H173" s="2193"/>
      <c r="J173" s="2192"/>
      <c r="K173" s="2191"/>
      <c r="L173" s="2190"/>
      <c r="M173" s="2189"/>
      <c r="N173" s="2187"/>
      <c r="O173" s="2188"/>
      <c r="P173" s="2188"/>
      <c r="Q173" s="2188"/>
      <c r="R173" s="2188"/>
      <c r="S173" s="2188"/>
      <c r="T173" s="2188"/>
      <c r="U173" s="2188"/>
      <c r="AE173" s="2186"/>
      <c r="AF173" s="2185"/>
      <c r="AI173" s="2184"/>
      <c r="AX173" s="1399"/>
    </row>
    <row r="174" spans="4:50">
      <c r="D174" s="1400"/>
      <c r="E174" s="2196"/>
      <c r="F174" s="2195"/>
      <c r="G174" s="2194"/>
      <c r="H174" s="2193"/>
      <c r="J174" s="2192"/>
      <c r="K174" s="2191"/>
      <c r="L174" s="2190"/>
      <c r="M174" s="2189"/>
      <c r="N174" s="2187"/>
      <c r="O174" s="2188"/>
      <c r="P174" s="2188"/>
      <c r="Q174" s="2188"/>
      <c r="R174" s="2188"/>
      <c r="S174" s="2188"/>
      <c r="T174" s="2188"/>
      <c r="U174" s="2188"/>
      <c r="AE174" s="2186"/>
      <c r="AF174" s="2185"/>
      <c r="AI174" s="2184"/>
      <c r="AX174" s="1399"/>
    </row>
    <row r="175" spans="4:50">
      <c r="D175" s="1400"/>
      <c r="E175" s="2196"/>
      <c r="F175" s="2195"/>
      <c r="G175" s="2194"/>
      <c r="H175" s="2193"/>
      <c r="J175" s="2192"/>
      <c r="K175" s="2191"/>
      <c r="L175" s="2190"/>
      <c r="M175" s="2189"/>
      <c r="N175" s="2187"/>
      <c r="O175" s="2188"/>
      <c r="P175" s="2188"/>
      <c r="Q175" s="2188"/>
      <c r="R175" s="2188"/>
      <c r="S175" s="2188"/>
      <c r="T175" s="2188"/>
      <c r="U175" s="2188"/>
      <c r="AE175" s="2186"/>
      <c r="AF175" s="2185"/>
      <c r="AI175" s="2184"/>
      <c r="AX175" s="1399"/>
    </row>
    <row r="176" spans="4:50">
      <c r="D176" s="1400"/>
      <c r="E176" s="2196"/>
      <c r="F176" s="2195"/>
      <c r="G176" s="2194"/>
      <c r="H176" s="2193"/>
      <c r="J176" s="2192"/>
      <c r="K176" s="2191"/>
      <c r="L176" s="2190"/>
      <c r="M176" s="2189"/>
      <c r="N176" s="2187"/>
      <c r="O176" s="2188"/>
      <c r="P176" s="2188"/>
      <c r="Q176" s="2188"/>
      <c r="R176" s="2188"/>
      <c r="S176" s="2188"/>
      <c r="T176" s="2188"/>
      <c r="U176" s="2188"/>
      <c r="AE176" s="2186"/>
      <c r="AF176" s="2185"/>
      <c r="AI176" s="2184"/>
      <c r="AX176" s="1399"/>
    </row>
    <row r="177" spans="4:50">
      <c r="D177" s="1400"/>
      <c r="E177" s="2196"/>
      <c r="F177" s="2195"/>
      <c r="G177" s="2194"/>
      <c r="H177" s="2193"/>
      <c r="J177" s="2192"/>
      <c r="K177" s="2191"/>
      <c r="L177" s="2190"/>
      <c r="M177" s="2189"/>
      <c r="N177" s="2187"/>
      <c r="O177" s="2188"/>
      <c r="P177" s="2188"/>
      <c r="Q177" s="2188"/>
      <c r="R177" s="2188"/>
      <c r="S177" s="2188"/>
      <c r="T177" s="2188"/>
      <c r="U177" s="2188"/>
      <c r="AE177" s="2186"/>
      <c r="AF177" s="2185"/>
      <c r="AI177" s="2184"/>
      <c r="AX177" s="1399"/>
    </row>
    <row r="178" spans="4:50">
      <c r="D178" s="1400"/>
      <c r="E178" s="2196"/>
      <c r="F178" s="2195"/>
      <c r="G178" s="2194"/>
      <c r="H178" s="2193"/>
      <c r="J178" s="2192"/>
      <c r="K178" s="2191"/>
      <c r="L178" s="2190"/>
      <c r="M178" s="2189"/>
      <c r="N178" s="2187"/>
      <c r="O178" s="2188"/>
      <c r="P178" s="2188"/>
      <c r="Q178" s="2188"/>
      <c r="R178" s="2188"/>
      <c r="S178" s="2188"/>
      <c r="T178" s="2188"/>
      <c r="U178" s="2188"/>
      <c r="AE178" s="2186"/>
      <c r="AF178" s="2185"/>
      <c r="AI178" s="2184"/>
      <c r="AX178" s="1399"/>
    </row>
    <row r="179" spans="4:50">
      <c r="D179" s="1400"/>
      <c r="E179" s="2196"/>
      <c r="F179" s="2195"/>
      <c r="G179" s="2194"/>
      <c r="H179" s="2193"/>
      <c r="J179" s="2192"/>
      <c r="K179" s="2191"/>
      <c r="L179" s="2190"/>
      <c r="M179" s="2189"/>
      <c r="N179" s="2187"/>
      <c r="O179" s="2188"/>
      <c r="P179" s="2188"/>
      <c r="Q179" s="2188"/>
      <c r="R179" s="2188"/>
      <c r="S179" s="2188"/>
      <c r="T179" s="2188"/>
      <c r="U179" s="2188"/>
      <c r="AE179" s="2186"/>
      <c r="AF179" s="2185"/>
      <c r="AI179" s="2184"/>
      <c r="AX179" s="1399"/>
    </row>
    <row r="180" spans="4:50">
      <c r="D180" s="1400"/>
      <c r="E180" s="2196"/>
      <c r="F180" s="2195"/>
      <c r="G180" s="2194"/>
      <c r="H180" s="2193"/>
      <c r="J180" s="2192"/>
      <c r="K180" s="2191"/>
      <c r="L180" s="2190"/>
      <c r="M180" s="2189"/>
      <c r="N180" s="2187"/>
      <c r="O180" s="2188"/>
      <c r="P180" s="2188"/>
      <c r="Q180" s="2188"/>
      <c r="R180" s="2188"/>
      <c r="S180" s="2188"/>
      <c r="T180" s="2188"/>
      <c r="U180" s="2188"/>
      <c r="AE180" s="2186"/>
      <c r="AF180" s="2185"/>
      <c r="AI180" s="2184"/>
      <c r="AX180" s="1399"/>
    </row>
    <row r="181" spans="4:50">
      <c r="D181" s="1400"/>
      <c r="E181" s="2196"/>
      <c r="F181" s="2195"/>
      <c r="G181" s="2194"/>
      <c r="H181" s="2193"/>
      <c r="J181" s="2192"/>
      <c r="K181" s="2191"/>
      <c r="L181" s="2190"/>
      <c r="M181" s="2189"/>
      <c r="N181" s="2187"/>
      <c r="O181" s="2188"/>
      <c r="P181" s="2188"/>
      <c r="Q181" s="2188"/>
      <c r="R181" s="2188"/>
      <c r="S181" s="2188"/>
      <c r="T181" s="2188"/>
      <c r="U181" s="2188"/>
      <c r="AE181" s="2186"/>
      <c r="AF181" s="2185"/>
      <c r="AI181" s="2184"/>
      <c r="AX181" s="1399"/>
    </row>
    <row r="182" spans="4:50">
      <c r="D182" s="1400"/>
      <c r="E182" s="2196"/>
      <c r="F182" s="2195"/>
      <c r="G182" s="2194"/>
      <c r="H182" s="2193"/>
      <c r="J182" s="2192"/>
      <c r="K182" s="2191"/>
      <c r="L182" s="2190"/>
      <c r="M182" s="2189"/>
      <c r="N182" s="2187"/>
      <c r="O182" s="2188"/>
      <c r="P182" s="2188"/>
      <c r="Q182" s="2188"/>
      <c r="R182" s="2188"/>
      <c r="S182" s="2188"/>
      <c r="T182" s="2188"/>
      <c r="U182" s="2188"/>
      <c r="V182" s="2184"/>
      <c r="X182" s="2187"/>
      <c r="AD182" s="2186"/>
      <c r="AE182" s="2185"/>
      <c r="AF182" s="2185"/>
      <c r="AH182" s="2184"/>
      <c r="AI182" s="2184"/>
      <c r="AW182" s="1399"/>
      <c r="AX182" s="1399"/>
    </row>
    <row r="183" spans="4:50">
      <c r="D183" s="1400"/>
      <c r="E183" s="2196"/>
      <c r="F183" s="2195"/>
      <c r="G183" s="2194"/>
      <c r="H183" s="2193"/>
      <c r="J183" s="2192"/>
      <c r="K183" s="2191"/>
      <c r="L183" s="2190"/>
      <c r="M183" s="2189"/>
      <c r="N183" s="2187"/>
      <c r="O183" s="2188"/>
      <c r="P183" s="2188"/>
      <c r="Q183" s="2188"/>
      <c r="R183" s="2188"/>
      <c r="S183" s="2188"/>
      <c r="T183" s="2188"/>
      <c r="U183" s="2188"/>
      <c r="V183" s="2184"/>
      <c r="X183" s="2187"/>
      <c r="AD183" s="2186"/>
      <c r="AE183" s="2185"/>
      <c r="AF183" s="2185"/>
      <c r="AH183" s="2184"/>
      <c r="AI183" s="2184"/>
      <c r="AW183" s="1399"/>
      <c r="AX183" s="1399"/>
    </row>
    <row r="184" spans="4:50">
      <c r="D184" s="1400"/>
      <c r="E184" s="2196"/>
      <c r="F184" s="2195"/>
      <c r="G184" s="2194"/>
      <c r="H184" s="2193"/>
      <c r="J184" s="2192"/>
      <c r="K184" s="2191"/>
      <c r="L184" s="2190"/>
      <c r="M184" s="2189"/>
      <c r="N184" s="2187"/>
      <c r="O184" s="2188"/>
      <c r="P184" s="2188"/>
      <c r="Q184" s="2188"/>
      <c r="R184" s="2188"/>
      <c r="S184" s="2188"/>
      <c r="T184" s="2188"/>
      <c r="U184" s="2188"/>
      <c r="V184" s="2184"/>
      <c r="X184" s="2187"/>
      <c r="AD184" s="2186"/>
      <c r="AE184" s="2185"/>
      <c r="AF184" s="2185"/>
      <c r="AH184" s="2184"/>
      <c r="AI184" s="2184"/>
      <c r="AW184" s="1399"/>
      <c r="AX184" s="1399"/>
    </row>
    <row r="185" spans="4:50">
      <c r="D185" s="1400"/>
      <c r="E185" s="2196"/>
      <c r="F185" s="2195"/>
      <c r="G185" s="2194"/>
      <c r="H185" s="2193"/>
      <c r="J185" s="2192"/>
      <c r="K185" s="2191"/>
      <c r="L185" s="2190"/>
      <c r="M185" s="2189"/>
      <c r="N185" s="2187"/>
      <c r="O185" s="2188"/>
      <c r="P185" s="2188"/>
      <c r="Q185" s="2188"/>
      <c r="R185" s="2188"/>
      <c r="S185" s="2188"/>
      <c r="T185" s="2188"/>
      <c r="U185" s="2188"/>
      <c r="V185" s="2184"/>
      <c r="X185" s="2187"/>
      <c r="AD185" s="2186"/>
      <c r="AE185" s="2185"/>
      <c r="AF185" s="2185"/>
      <c r="AH185" s="2184"/>
      <c r="AI185" s="2184"/>
      <c r="AW185" s="1399"/>
      <c r="AX185" s="1399"/>
    </row>
    <row r="186" spans="4:50">
      <c r="D186" s="1400"/>
      <c r="E186" s="2196"/>
      <c r="F186" s="2195"/>
      <c r="G186" s="2194"/>
      <c r="H186" s="2193"/>
      <c r="J186" s="2192"/>
      <c r="K186" s="2191"/>
      <c r="L186" s="2190"/>
      <c r="M186" s="2189"/>
      <c r="N186" s="2187"/>
      <c r="O186" s="2188"/>
      <c r="P186" s="2188"/>
      <c r="Q186" s="2188"/>
      <c r="R186" s="2188"/>
      <c r="S186" s="2188"/>
      <c r="T186" s="2188"/>
      <c r="U186" s="2188"/>
      <c r="V186" s="2184"/>
      <c r="X186" s="2187"/>
      <c r="AD186" s="2186"/>
      <c r="AE186" s="2185"/>
      <c r="AF186" s="2185"/>
      <c r="AH186" s="2184"/>
      <c r="AI186" s="2184"/>
      <c r="AW186" s="1399"/>
      <c r="AX186" s="1399"/>
    </row>
    <row r="187" spans="4:50">
      <c r="D187" s="1400"/>
      <c r="E187" s="2196"/>
      <c r="F187" s="2195"/>
      <c r="G187" s="2194"/>
      <c r="H187" s="2193"/>
      <c r="J187" s="2192"/>
      <c r="K187" s="2191"/>
      <c r="L187" s="2190"/>
      <c r="M187" s="2189"/>
      <c r="N187" s="2187"/>
      <c r="O187" s="2188"/>
      <c r="P187" s="2188"/>
      <c r="Q187" s="2188"/>
      <c r="R187" s="2188"/>
      <c r="S187" s="2188"/>
      <c r="T187" s="2188"/>
      <c r="U187" s="2188"/>
      <c r="V187" s="2184"/>
      <c r="X187" s="2187"/>
      <c r="AD187" s="2186"/>
      <c r="AE187" s="2185"/>
      <c r="AF187" s="2185"/>
      <c r="AH187" s="2184"/>
      <c r="AI187" s="2184"/>
      <c r="AW187" s="1399"/>
      <c r="AX187" s="1399"/>
    </row>
    <row r="188" spans="4:50">
      <c r="D188" s="1400"/>
      <c r="E188" s="2196"/>
      <c r="F188" s="2195"/>
      <c r="G188" s="2194"/>
      <c r="H188" s="2193"/>
      <c r="J188" s="2192"/>
      <c r="K188" s="2191"/>
      <c r="L188" s="2190"/>
      <c r="M188" s="2189"/>
      <c r="N188" s="2187"/>
      <c r="O188" s="2188"/>
      <c r="P188" s="2188"/>
      <c r="Q188" s="2188"/>
      <c r="R188" s="2188"/>
      <c r="S188" s="2188"/>
      <c r="T188" s="2188"/>
      <c r="U188" s="2188"/>
      <c r="V188" s="2184"/>
      <c r="X188" s="2187"/>
      <c r="AD188" s="2186"/>
      <c r="AE188" s="2185"/>
      <c r="AF188" s="2185"/>
      <c r="AH188" s="2184"/>
      <c r="AI188" s="2184"/>
      <c r="AW188" s="1399"/>
      <c r="AX188" s="1399"/>
    </row>
    <row r="189" spans="4:50">
      <c r="D189" s="1400"/>
      <c r="E189" s="2196"/>
      <c r="F189" s="2195"/>
      <c r="G189" s="2194"/>
      <c r="H189" s="2193"/>
      <c r="J189" s="2192"/>
      <c r="K189" s="2191"/>
      <c r="L189" s="2190"/>
      <c r="M189" s="2189"/>
      <c r="N189" s="2187"/>
      <c r="O189" s="2188"/>
      <c r="P189" s="2188"/>
      <c r="Q189" s="2188"/>
      <c r="R189" s="2188"/>
      <c r="S189" s="2188"/>
      <c r="T189" s="2188"/>
      <c r="U189" s="2188"/>
      <c r="V189" s="2184"/>
      <c r="X189" s="2187"/>
      <c r="AD189" s="2186"/>
      <c r="AE189" s="2185"/>
      <c r="AF189" s="2185"/>
      <c r="AH189" s="2184"/>
      <c r="AI189" s="2184"/>
      <c r="AW189" s="1399"/>
      <c r="AX189" s="1399"/>
    </row>
    <row r="190" spans="4:50">
      <c r="D190" s="1400"/>
      <c r="E190" s="2196"/>
      <c r="F190" s="2195"/>
      <c r="G190" s="2194"/>
      <c r="H190" s="2193"/>
      <c r="J190" s="2192"/>
      <c r="K190" s="2191"/>
      <c r="L190" s="2190"/>
      <c r="M190" s="2189"/>
      <c r="N190" s="2187"/>
      <c r="O190" s="2188"/>
      <c r="P190" s="2188"/>
      <c r="Q190" s="2188"/>
      <c r="R190" s="2188"/>
      <c r="S190" s="2188"/>
      <c r="T190" s="2188"/>
      <c r="U190" s="2188"/>
      <c r="V190" s="2184"/>
      <c r="X190" s="2187"/>
      <c r="AD190" s="2186"/>
      <c r="AE190" s="2185"/>
      <c r="AF190" s="2185"/>
      <c r="AH190" s="2184"/>
      <c r="AI190" s="2184"/>
      <c r="AW190" s="1399"/>
      <c r="AX190" s="1399"/>
    </row>
    <row r="191" spans="4:50">
      <c r="D191" s="1400"/>
      <c r="E191" s="2196"/>
      <c r="F191" s="2195"/>
      <c r="G191" s="2194"/>
      <c r="H191" s="2193"/>
      <c r="J191" s="2192"/>
      <c r="K191" s="2191"/>
      <c r="L191" s="2190"/>
      <c r="M191" s="2189"/>
      <c r="N191" s="2187"/>
      <c r="O191" s="2188"/>
      <c r="P191" s="2188"/>
      <c r="Q191" s="2188"/>
      <c r="R191" s="2188"/>
      <c r="S191" s="2188"/>
      <c r="T191" s="2188"/>
      <c r="U191" s="2188"/>
      <c r="V191" s="2184"/>
      <c r="X191" s="2187"/>
      <c r="AD191" s="2186"/>
      <c r="AE191" s="2185"/>
      <c r="AF191" s="2185"/>
      <c r="AH191" s="2184"/>
      <c r="AI191" s="2184"/>
      <c r="AW191" s="1399"/>
      <c r="AX191" s="1399"/>
    </row>
    <row r="192" spans="4:50">
      <c r="D192" s="1400"/>
      <c r="E192" s="2196"/>
      <c r="F192" s="2195"/>
      <c r="G192" s="2194"/>
      <c r="H192" s="2193"/>
      <c r="J192" s="2192"/>
      <c r="K192" s="2191"/>
      <c r="L192" s="2190"/>
      <c r="M192" s="2189"/>
      <c r="N192" s="2187"/>
      <c r="O192" s="2188"/>
      <c r="P192" s="2188"/>
      <c r="Q192" s="2188"/>
      <c r="R192" s="2188"/>
      <c r="S192" s="2188"/>
      <c r="T192" s="2188"/>
      <c r="U192" s="2188"/>
      <c r="V192" s="2184"/>
      <c r="X192" s="2187"/>
      <c r="AD192" s="2186"/>
      <c r="AE192" s="2185"/>
      <c r="AF192" s="2185"/>
      <c r="AH192" s="2184"/>
      <c r="AI192" s="2184"/>
      <c r="AW192" s="1399"/>
      <c r="AX192" s="1399"/>
    </row>
    <row r="193" spans="4:50">
      <c r="D193" s="1400"/>
      <c r="E193" s="2196"/>
      <c r="F193" s="2195"/>
      <c r="G193" s="2194"/>
      <c r="H193" s="2193"/>
      <c r="J193" s="2192"/>
      <c r="K193" s="2191"/>
      <c r="L193" s="2190"/>
      <c r="M193" s="2189"/>
      <c r="N193" s="2187"/>
      <c r="O193" s="2188"/>
      <c r="P193" s="2188"/>
      <c r="Q193" s="2188"/>
      <c r="R193" s="2188"/>
      <c r="S193" s="2188"/>
      <c r="T193" s="2188"/>
      <c r="U193" s="2188"/>
      <c r="V193" s="2184"/>
      <c r="X193" s="2187"/>
      <c r="AD193" s="2186"/>
      <c r="AE193" s="2185"/>
      <c r="AF193" s="2185"/>
      <c r="AH193" s="2184"/>
      <c r="AI193" s="2184"/>
      <c r="AW193" s="1399"/>
      <c r="AX193" s="1399"/>
    </row>
    <row r="194" spans="4:50">
      <c r="D194" s="1400"/>
      <c r="E194" s="2196"/>
      <c r="F194" s="2195"/>
      <c r="G194" s="2194"/>
      <c r="H194" s="2193"/>
      <c r="J194" s="2192"/>
      <c r="K194" s="2191"/>
      <c r="L194" s="2190"/>
      <c r="M194" s="2189"/>
      <c r="N194" s="2187"/>
      <c r="O194" s="2188"/>
      <c r="P194" s="2188"/>
      <c r="Q194" s="2188"/>
      <c r="R194" s="2188"/>
      <c r="S194" s="2188"/>
      <c r="T194" s="2188"/>
      <c r="U194" s="2188"/>
      <c r="V194" s="2184"/>
      <c r="X194" s="2187"/>
      <c r="AD194" s="2186"/>
      <c r="AE194" s="2185"/>
      <c r="AF194" s="2185"/>
      <c r="AH194" s="2184"/>
      <c r="AI194" s="2184"/>
      <c r="AW194" s="1399"/>
      <c r="AX194" s="1399"/>
    </row>
    <row r="195" spans="4:50">
      <c r="D195" s="1400"/>
      <c r="E195" s="2196"/>
      <c r="F195" s="2195"/>
      <c r="G195" s="2194"/>
      <c r="H195" s="2193"/>
      <c r="J195" s="2192"/>
      <c r="K195" s="2191"/>
      <c r="L195" s="2190"/>
      <c r="M195" s="2189"/>
      <c r="N195" s="2187"/>
      <c r="O195" s="2188"/>
      <c r="P195" s="2188"/>
      <c r="Q195" s="2188"/>
      <c r="R195" s="2188"/>
      <c r="S195" s="2188"/>
      <c r="T195" s="2188"/>
      <c r="U195" s="2188"/>
      <c r="V195" s="2184"/>
      <c r="X195" s="2187"/>
      <c r="AD195" s="2186"/>
      <c r="AE195" s="2185"/>
      <c r="AF195" s="2185"/>
      <c r="AH195" s="2184"/>
      <c r="AI195" s="2184"/>
      <c r="AW195" s="1399"/>
      <c r="AX195" s="1399"/>
    </row>
    <row r="196" spans="4:50">
      <c r="D196" s="1400"/>
      <c r="E196" s="2196"/>
      <c r="F196" s="2195"/>
      <c r="G196" s="2194"/>
      <c r="H196" s="2193"/>
      <c r="J196" s="2192"/>
      <c r="K196" s="2191"/>
      <c r="L196" s="2190"/>
      <c r="M196" s="2189"/>
      <c r="N196" s="2187"/>
      <c r="O196" s="2188"/>
      <c r="P196" s="2188"/>
      <c r="Q196" s="2188"/>
      <c r="R196" s="2188"/>
      <c r="S196" s="2188"/>
      <c r="T196" s="2188"/>
      <c r="U196" s="2188"/>
      <c r="V196" s="2184"/>
      <c r="X196" s="2187"/>
      <c r="AD196" s="2186"/>
      <c r="AE196" s="2185"/>
      <c r="AF196" s="2185"/>
      <c r="AH196" s="2184"/>
      <c r="AI196" s="2184"/>
      <c r="AW196" s="1399"/>
      <c r="AX196" s="1399"/>
    </row>
    <row r="197" spans="4:50">
      <c r="D197" s="1400"/>
      <c r="E197" s="2196"/>
      <c r="F197" s="2195"/>
      <c r="G197" s="2194"/>
      <c r="H197" s="2193"/>
      <c r="J197" s="2192"/>
      <c r="K197" s="2191"/>
      <c r="L197" s="2190"/>
      <c r="M197" s="2189"/>
      <c r="N197" s="2187"/>
      <c r="O197" s="2188"/>
      <c r="P197" s="2188"/>
      <c r="Q197" s="2188"/>
      <c r="R197" s="2188"/>
      <c r="S197" s="2188"/>
      <c r="T197" s="2188"/>
      <c r="U197" s="2188"/>
      <c r="V197" s="2184"/>
      <c r="X197" s="2187"/>
      <c r="AD197" s="2186"/>
      <c r="AE197" s="2185"/>
      <c r="AF197" s="2185"/>
      <c r="AH197" s="2184"/>
      <c r="AI197" s="2184"/>
      <c r="AW197" s="1399"/>
      <c r="AX197" s="1399"/>
    </row>
    <row r="198" spans="4:50">
      <c r="D198" s="1400"/>
      <c r="E198" s="2196"/>
      <c r="F198" s="2195"/>
      <c r="G198" s="2194"/>
      <c r="H198" s="2193"/>
      <c r="J198" s="2192"/>
      <c r="K198" s="2191"/>
      <c r="L198" s="2190"/>
      <c r="M198" s="2189"/>
      <c r="N198" s="2187"/>
      <c r="O198" s="2188"/>
      <c r="P198" s="2188"/>
      <c r="Q198" s="2188"/>
      <c r="R198" s="2188"/>
      <c r="S198" s="2188"/>
      <c r="T198" s="2188"/>
      <c r="U198" s="2188"/>
      <c r="V198" s="2184"/>
      <c r="X198" s="2187"/>
      <c r="AD198" s="2186"/>
      <c r="AE198" s="2185"/>
      <c r="AF198" s="2185"/>
      <c r="AH198" s="2184"/>
      <c r="AI198" s="2184"/>
      <c r="AW198" s="1399"/>
      <c r="AX198" s="1399"/>
    </row>
    <row r="199" spans="4:50">
      <c r="D199" s="1400"/>
      <c r="E199" s="2196"/>
      <c r="F199" s="2195"/>
      <c r="G199" s="2194"/>
      <c r="H199" s="2193"/>
      <c r="J199" s="2192"/>
      <c r="K199" s="2191"/>
      <c r="L199" s="2190"/>
      <c r="M199" s="2189"/>
      <c r="N199" s="2187"/>
      <c r="O199" s="2188"/>
      <c r="P199" s="2188"/>
      <c r="Q199" s="2188"/>
      <c r="R199" s="2188"/>
      <c r="S199" s="2188"/>
      <c r="T199" s="2188"/>
      <c r="U199" s="2188"/>
      <c r="V199" s="2184"/>
      <c r="X199" s="2187"/>
      <c r="AD199" s="2186"/>
      <c r="AE199" s="2185"/>
      <c r="AF199" s="2185"/>
      <c r="AH199" s="2184"/>
      <c r="AI199" s="2184"/>
      <c r="AW199" s="1399"/>
      <c r="AX199" s="1399"/>
    </row>
    <row r="200" spans="4:50">
      <c r="D200" s="1400"/>
      <c r="E200" s="2196"/>
      <c r="F200" s="2195"/>
      <c r="G200" s="2194"/>
      <c r="H200" s="2193"/>
      <c r="J200" s="2192"/>
      <c r="K200" s="2191"/>
      <c r="L200" s="2190"/>
      <c r="M200" s="2189"/>
      <c r="N200" s="2187"/>
      <c r="O200" s="2188"/>
      <c r="P200" s="2188"/>
      <c r="Q200" s="2188"/>
      <c r="R200" s="2188"/>
      <c r="S200" s="2188"/>
      <c r="T200" s="2188"/>
      <c r="U200" s="2188"/>
      <c r="V200" s="2184"/>
      <c r="X200" s="2187"/>
      <c r="AD200" s="2186"/>
      <c r="AE200" s="2185"/>
      <c r="AF200" s="2185"/>
      <c r="AH200" s="2184"/>
      <c r="AI200" s="2184"/>
      <c r="AW200" s="1399"/>
      <c r="AX200" s="1399"/>
    </row>
    <row r="201" spans="4:50">
      <c r="D201" s="1400"/>
      <c r="E201" s="2196"/>
      <c r="F201" s="2195"/>
      <c r="G201" s="2194"/>
      <c r="H201" s="2193"/>
      <c r="J201" s="2192"/>
      <c r="K201" s="2191"/>
      <c r="L201" s="2190"/>
      <c r="M201" s="2189"/>
      <c r="N201" s="2187"/>
      <c r="O201" s="2188"/>
      <c r="P201" s="2188"/>
      <c r="Q201" s="2188"/>
      <c r="R201" s="2188"/>
      <c r="S201" s="2188"/>
      <c r="T201" s="2188"/>
      <c r="U201" s="2188"/>
      <c r="V201" s="2184"/>
      <c r="X201" s="2187"/>
      <c r="AD201" s="2186"/>
      <c r="AE201" s="2185"/>
      <c r="AF201" s="2185"/>
      <c r="AH201" s="2184"/>
      <c r="AI201" s="2184"/>
      <c r="AW201" s="1399"/>
      <c r="AX201" s="1399"/>
    </row>
    <row r="202" spans="4:50">
      <c r="D202" s="1400"/>
      <c r="E202" s="2196"/>
      <c r="F202" s="2195"/>
      <c r="G202" s="2194"/>
      <c r="H202" s="2193"/>
      <c r="J202" s="2192"/>
      <c r="K202" s="2191"/>
      <c r="L202" s="2190"/>
      <c r="M202" s="2189"/>
      <c r="N202" s="2187"/>
      <c r="O202" s="2188"/>
      <c r="P202" s="2188"/>
      <c r="Q202" s="2188"/>
      <c r="R202" s="2188"/>
      <c r="S202" s="2188"/>
      <c r="T202" s="2188"/>
      <c r="U202" s="2188"/>
      <c r="V202" s="2184"/>
      <c r="X202" s="2187"/>
      <c r="AD202" s="2186"/>
      <c r="AE202" s="2185"/>
      <c r="AF202" s="2185"/>
      <c r="AH202" s="2184"/>
      <c r="AI202" s="2184"/>
      <c r="AW202" s="1399"/>
      <c r="AX202" s="1399"/>
    </row>
    <row r="203" spans="4:50">
      <c r="D203" s="1400"/>
      <c r="E203" s="2196"/>
      <c r="F203" s="2195"/>
      <c r="G203" s="2194"/>
      <c r="H203" s="2193"/>
      <c r="J203" s="2192"/>
      <c r="K203" s="2191"/>
      <c r="L203" s="2190"/>
      <c r="M203" s="2189"/>
      <c r="N203" s="2187"/>
      <c r="O203" s="2188"/>
      <c r="P203" s="2188"/>
      <c r="Q203" s="2188"/>
      <c r="R203" s="2188"/>
      <c r="S203" s="2188"/>
      <c r="T203" s="2188"/>
      <c r="U203" s="2188"/>
      <c r="V203" s="2184"/>
      <c r="X203" s="2187"/>
      <c r="AD203" s="2186"/>
      <c r="AE203" s="2185"/>
      <c r="AF203" s="2185"/>
      <c r="AH203" s="2184"/>
      <c r="AI203" s="2184"/>
      <c r="AW203" s="1399"/>
      <c r="AX203" s="1399"/>
    </row>
    <row r="204" spans="4:50">
      <c r="D204" s="1400"/>
      <c r="E204" s="2196"/>
      <c r="F204" s="2195"/>
      <c r="G204" s="2194"/>
      <c r="H204" s="2193"/>
      <c r="J204" s="2192"/>
      <c r="K204" s="2191"/>
      <c r="L204" s="2190"/>
      <c r="M204" s="2189"/>
      <c r="N204" s="2187"/>
      <c r="O204" s="2188"/>
      <c r="P204" s="2188"/>
      <c r="Q204" s="2188"/>
      <c r="R204" s="2188"/>
      <c r="S204" s="2188"/>
      <c r="T204" s="2188"/>
      <c r="U204" s="2188"/>
      <c r="V204" s="2184"/>
      <c r="X204" s="2187"/>
      <c r="AD204" s="2186"/>
      <c r="AE204" s="2185"/>
      <c r="AF204" s="2185"/>
      <c r="AH204" s="2184"/>
      <c r="AI204" s="2184"/>
      <c r="AW204" s="1399"/>
      <c r="AX204" s="1399"/>
    </row>
    <row r="205" spans="4:50">
      <c r="D205" s="1400"/>
      <c r="E205" s="2196"/>
      <c r="F205" s="2195"/>
      <c r="G205" s="2194"/>
      <c r="H205" s="2193"/>
      <c r="J205" s="2192"/>
      <c r="K205" s="2191"/>
      <c r="L205" s="2190"/>
      <c r="M205" s="2189"/>
      <c r="N205" s="2187"/>
      <c r="O205" s="2188"/>
      <c r="P205" s="2188"/>
      <c r="Q205" s="2188"/>
      <c r="R205" s="2188"/>
      <c r="S205" s="2188"/>
      <c r="T205" s="2188"/>
      <c r="U205" s="2188"/>
      <c r="V205" s="2184"/>
      <c r="X205" s="2187"/>
      <c r="AD205" s="2186"/>
      <c r="AE205" s="2185"/>
      <c r="AF205" s="2185"/>
      <c r="AH205" s="2184"/>
      <c r="AI205" s="2184"/>
      <c r="AW205" s="1399"/>
      <c r="AX205" s="1399"/>
    </row>
    <row r="206" spans="4:50">
      <c r="D206" s="1400"/>
      <c r="E206" s="2196"/>
      <c r="F206" s="2195"/>
      <c r="G206" s="2194"/>
      <c r="H206" s="2193"/>
      <c r="J206" s="2192"/>
      <c r="K206" s="2191"/>
      <c r="L206" s="2190"/>
      <c r="M206" s="2189"/>
      <c r="N206" s="2187"/>
      <c r="O206" s="2188"/>
      <c r="P206" s="2188"/>
      <c r="Q206" s="2188"/>
      <c r="R206" s="2188"/>
      <c r="S206" s="2188"/>
      <c r="T206" s="2188"/>
      <c r="U206" s="2188"/>
      <c r="V206" s="2184"/>
      <c r="X206" s="2187"/>
      <c r="AD206" s="2186"/>
      <c r="AE206" s="2185"/>
      <c r="AF206" s="2185"/>
      <c r="AH206" s="2184"/>
      <c r="AI206" s="2184"/>
      <c r="AW206" s="1399"/>
      <c r="AX206" s="1399"/>
    </row>
    <row r="207" spans="4:50">
      <c r="D207" s="1400"/>
      <c r="E207" s="2196"/>
      <c r="F207" s="2195"/>
      <c r="G207" s="2194"/>
      <c r="H207" s="2193"/>
      <c r="J207" s="2192"/>
      <c r="K207" s="2191"/>
      <c r="L207" s="2190"/>
      <c r="M207" s="2189"/>
      <c r="N207" s="2187"/>
      <c r="O207" s="2188"/>
      <c r="P207" s="2188"/>
      <c r="Q207" s="2188"/>
      <c r="R207" s="2188"/>
      <c r="S207" s="2188"/>
      <c r="T207" s="2188"/>
      <c r="U207" s="2188"/>
      <c r="V207" s="2184"/>
      <c r="X207" s="2187"/>
      <c r="AD207" s="2186"/>
      <c r="AE207" s="2185"/>
      <c r="AF207" s="2185"/>
      <c r="AH207" s="2184"/>
      <c r="AI207" s="2184"/>
      <c r="AW207" s="1399"/>
      <c r="AX207" s="1399"/>
    </row>
    <row r="208" spans="4:50">
      <c r="D208" s="1400"/>
      <c r="E208" s="2196"/>
      <c r="F208" s="2195"/>
      <c r="G208" s="2194"/>
      <c r="H208" s="2193"/>
      <c r="J208" s="2192"/>
      <c r="K208" s="2191"/>
      <c r="L208" s="2190"/>
      <c r="M208" s="2189"/>
      <c r="N208" s="2187"/>
      <c r="O208" s="2188"/>
      <c r="P208" s="2188"/>
      <c r="Q208" s="2188"/>
      <c r="R208" s="2188"/>
      <c r="S208" s="2188"/>
      <c r="T208" s="2188"/>
      <c r="U208" s="2188"/>
      <c r="V208" s="2184"/>
      <c r="X208" s="2187"/>
      <c r="AD208" s="2186"/>
      <c r="AE208" s="2185"/>
      <c r="AF208" s="2185"/>
      <c r="AH208" s="2184"/>
      <c r="AI208" s="2184"/>
      <c r="AW208" s="1399"/>
      <c r="AX208" s="1399"/>
    </row>
    <row r="209" spans="4:50">
      <c r="D209" s="1400"/>
      <c r="E209" s="2196"/>
      <c r="F209" s="2195"/>
      <c r="G209" s="2194"/>
      <c r="H209" s="2193"/>
      <c r="J209" s="2192"/>
      <c r="K209" s="2191"/>
      <c r="L209" s="2190"/>
      <c r="M209" s="2189"/>
      <c r="N209" s="2187"/>
      <c r="O209" s="2188"/>
      <c r="P209" s="2188"/>
      <c r="Q209" s="2188"/>
      <c r="R209" s="2188"/>
      <c r="S209" s="2188"/>
      <c r="T209" s="2188"/>
      <c r="U209" s="2188"/>
      <c r="V209" s="2184"/>
      <c r="X209" s="2187"/>
      <c r="AD209" s="2186"/>
      <c r="AE209" s="2185"/>
      <c r="AF209" s="2185"/>
      <c r="AH209" s="2184"/>
      <c r="AI209" s="2184"/>
      <c r="AW209" s="1399"/>
      <c r="AX209" s="1399"/>
    </row>
    <row r="210" spans="4:50">
      <c r="D210" s="1400"/>
      <c r="E210" s="2196"/>
      <c r="F210" s="2195"/>
      <c r="G210" s="2194"/>
      <c r="H210" s="2193"/>
      <c r="J210" s="2192"/>
      <c r="K210" s="2191"/>
      <c r="L210" s="2190"/>
      <c r="M210" s="2189"/>
      <c r="N210" s="2187"/>
      <c r="O210" s="2188"/>
      <c r="P210" s="2188"/>
      <c r="Q210" s="2188"/>
      <c r="R210" s="2188"/>
      <c r="S210" s="2188"/>
      <c r="T210" s="2188"/>
      <c r="U210" s="2188"/>
      <c r="V210" s="2184"/>
      <c r="X210" s="2187"/>
      <c r="AD210" s="2186"/>
      <c r="AE210" s="2185"/>
      <c r="AF210" s="2185"/>
      <c r="AH210" s="2184"/>
      <c r="AI210" s="2184"/>
      <c r="AW210" s="1399"/>
      <c r="AX210" s="1399"/>
    </row>
    <row r="211" spans="4:50">
      <c r="D211" s="1400"/>
      <c r="E211" s="2196"/>
      <c r="F211" s="2195"/>
      <c r="G211" s="2194"/>
      <c r="H211" s="2193"/>
      <c r="J211" s="2192"/>
      <c r="K211" s="2191"/>
      <c r="L211" s="2190"/>
      <c r="M211" s="2189"/>
      <c r="N211" s="2187"/>
      <c r="O211" s="2188"/>
      <c r="P211" s="2188"/>
      <c r="Q211" s="2188"/>
      <c r="R211" s="2188"/>
      <c r="S211" s="2188"/>
      <c r="T211" s="2188"/>
      <c r="U211" s="2188"/>
      <c r="V211" s="2184"/>
      <c r="X211" s="2187"/>
      <c r="AD211" s="2186"/>
      <c r="AE211" s="2185"/>
      <c r="AF211" s="2185"/>
      <c r="AH211" s="2184"/>
      <c r="AI211" s="2184"/>
      <c r="AW211" s="1399"/>
      <c r="AX211" s="1399"/>
    </row>
    <row r="212" spans="4:50">
      <c r="D212" s="1400"/>
      <c r="E212" s="2196"/>
      <c r="F212" s="2195"/>
      <c r="G212" s="2194"/>
      <c r="H212" s="2193"/>
      <c r="J212" s="2192"/>
      <c r="K212" s="2191"/>
      <c r="L212" s="2190"/>
      <c r="M212" s="2189"/>
      <c r="N212" s="2187"/>
      <c r="O212" s="2188"/>
      <c r="P212" s="2188"/>
      <c r="Q212" s="2188"/>
      <c r="R212" s="2188"/>
      <c r="S212" s="2188"/>
      <c r="T212" s="2188"/>
      <c r="U212" s="2188"/>
      <c r="V212" s="2184"/>
      <c r="X212" s="2187"/>
      <c r="AE212" s="2186"/>
      <c r="AF212" s="2185"/>
      <c r="AI212" s="2184"/>
      <c r="AX212" s="1399"/>
    </row>
    <row r="213" spans="4:50">
      <c r="D213" s="1400"/>
      <c r="E213" s="2196"/>
      <c r="F213" s="2195"/>
      <c r="G213" s="2194"/>
      <c r="H213" s="2193"/>
      <c r="J213" s="2192"/>
      <c r="K213" s="2191"/>
      <c r="L213" s="2190"/>
      <c r="M213" s="2189"/>
      <c r="N213" s="2187"/>
      <c r="O213" s="2188"/>
      <c r="P213" s="2188"/>
      <c r="Q213" s="2188"/>
      <c r="R213" s="2188"/>
      <c r="S213" s="2188"/>
      <c r="T213" s="2188"/>
      <c r="U213" s="2188"/>
      <c r="V213" s="2184"/>
      <c r="X213" s="2187"/>
      <c r="AE213" s="2186"/>
      <c r="AF213" s="2185"/>
      <c r="AI213" s="2184"/>
      <c r="AX213" s="1399"/>
    </row>
    <row r="214" spans="4:50">
      <c r="D214" s="1400"/>
      <c r="E214" s="2196"/>
      <c r="F214" s="2195"/>
      <c r="G214" s="2194"/>
      <c r="H214" s="2193"/>
      <c r="J214" s="2192"/>
      <c r="K214" s="2191"/>
      <c r="L214" s="2190"/>
      <c r="M214" s="2189"/>
      <c r="N214" s="2187"/>
      <c r="O214" s="2188"/>
      <c r="P214" s="2188"/>
      <c r="Q214" s="2188"/>
      <c r="R214" s="2188"/>
      <c r="S214" s="2188"/>
      <c r="T214" s="2188"/>
      <c r="U214" s="2188"/>
      <c r="V214" s="2184"/>
      <c r="X214" s="2187"/>
      <c r="AE214" s="2186"/>
      <c r="AF214" s="2185"/>
      <c r="AI214" s="2184"/>
      <c r="AX214" s="1399"/>
    </row>
    <row r="215" spans="4:50">
      <c r="D215" s="1400"/>
      <c r="E215" s="2196"/>
      <c r="F215" s="2195"/>
      <c r="G215" s="2194"/>
      <c r="H215" s="2193"/>
      <c r="J215" s="2192"/>
      <c r="K215" s="2191"/>
      <c r="L215" s="2190"/>
      <c r="M215" s="2189"/>
      <c r="N215" s="2187"/>
      <c r="O215" s="2188"/>
      <c r="P215" s="2188"/>
      <c r="Q215" s="2188"/>
      <c r="R215" s="2188"/>
      <c r="S215" s="2188"/>
      <c r="T215" s="2188"/>
      <c r="U215" s="2188"/>
      <c r="V215" s="2184"/>
      <c r="X215" s="2187"/>
      <c r="AE215" s="2186"/>
      <c r="AF215" s="2185"/>
      <c r="AI215" s="2184"/>
      <c r="AX215" s="1399"/>
    </row>
    <row r="216" spans="4:50">
      <c r="D216" s="1400"/>
      <c r="E216" s="2196"/>
      <c r="F216" s="2195"/>
      <c r="G216" s="2194"/>
      <c r="H216" s="2193"/>
      <c r="J216" s="2192"/>
      <c r="K216" s="2191"/>
      <c r="L216" s="2190"/>
      <c r="M216" s="2189"/>
      <c r="N216" s="2187"/>
      <c r="O216" s="2188"/>
      <c r="P216" s="2188"/>
      <c r="Q216" s="2188"/>
      <c r="R216" s="2188"/>
      <c r="S216" s="2188"/>
      <c r="T216" s="2188"/>
      <c r="U216" s="2188"/>
      <c r="V216" s="2184"/>
      <c r="X216" s="2187"/>
      <c r="AE216" s="2186"/>
      <c r="AF216" s="2185"/>
      <c r="AI216" s="2184"/>
      <c r="AX216" s="1399"/>
    </row>
    <row r="217" spans="4:50">
      <c r="D217" s="1400"/>
      <c r="E217" s="2196"/>
      <c r="F217" s="2195"/>
      <c r="G217" s="2194"/>
      <c r="H217" s="2193"/>
      <c r="J217" s="2192"/>
      <c r="K217" s="2191"/>
      <c r="L217" s="2190"/>
      <c r="M217" s="2189"/>
      <c r="N217" s="2187"/>
      <c r="O217" s="2188"/>
      <c r="P217" s="2188"/>
      <c r="Q217" s="2188"/>
      <c r="R217" s="2188"/>
      <c r="S217" s="2188"/>
      <c r="T217" s="2188"/>
      <c r="U217" s="2188"/>
      <c r="V217" s="2184"/>
      <c r="X217" s="2187"/>
      <c r="AE217" s="2186"/>
      <c r="AF217" s="2185"/>
      <c r="AI217" s="2184"/>
      <c r="AX217" s="1399"/>
    </row>
    <row r="218" spans="4:50">
      <c r="D218" s="1400"/>
      <c r="E218" s="2196"/>
      <c r="F218" s="2195"/>
      <c r="G218" s="2194"/>
      <c r="H218" s="2193"/>
      <c r="J218" s="2192"/>
      <c r="K218" s="2191"/>
      <c r="L218" s="2190"/>
      <c r="M218" s="2189"/>
      <c r="N218" s="2187"/>
      <c r="O218" s="2188"/>
      <c r="P218" s="2188"/>
      <c r="Q218" s="2188"/>
      <c r="R218" s="2188"/>
      <c r="S218" s="2188"/>
      <c r="T218" s="2188"/>
      <c r="U218" s="2188"/>
      <c r="V218" s="2184"/>
      <c r="X218" s="2187"/>
      <c r="AE218" s="2186"/>
      <c r="AF218" s="2185"/>
      <c r="AI218" s="2184"/>
      <c r="AX218" s="1399"/>
    </row>
    <row r="219" spans="4:50">
      <c r="D219" s="1400"/>
      <c r="E219" s="2196"/>
      <c r="F219" s="2195"/>
      <c r="G219" s="2194"/>
      <c r="H219" s="2193"/>
      <c r="J219" s="2192"/>
      <c r="K219" s="2191"/>
      <c r="L219" s="2190"/>
      <c r="M219" s="2189"/>
      <c r="N219" s="2187"/>
      <c r="O219" s="2188"/>
      <c r="P219" s="2188"/>
      <c r="Q219" s="2188"/>
      <c r="R219" s="2188"/>
      <c r="S219" s="2188"/>
      <c r="T219" s="2188"/>
      <c r="U219" s="2188"/>
      <c r="V219" s="2184"/>
      <c r="X219" s="2187"/>
      <c r="AE219" s="2186"/>
      <c r="AF219" s="2185"/>
      <c r="AI219" s="2184"/>
      <c r="AX219" s="1399"/>
    </row>
    <row r="220" spans="4:50">
      <c r="D220" s="1400"/>
      <c r="E220" s="2196"/>
      <c r="F220" s="2195"/>
      <c r="G220" s="2194"/>
      <c r="H220" s="2193"/>
      <c r="J220" s="2192"/>
      <c r="K220" s="2191"/>
      <c r="L220" s="2190"/>
      <c r="M220" s="2189"/>
      <c r="N220" s="2187"/>
      <c r="O220" s="2188"/>
      <c r="P220" s="2188"/>
      <c r="Q220" s="2188"/>
      <c r="R220" s="2188"/>
      <c r="S220" s="2188"/>
      <c r="T220" s="2188"/>
      <c r="U220" s="2188"/>
      <c r="V220" s="2184"/>
      <c r="X220" s="2187"/>
      <c r="AE220" s="2186"/>
      <c r="AF220" s="2185"/>
      <c r="AI220" s="2184"/>
      <c r="AX220" s="1399"/>
    </row>
    <row r="221" spans="4:50">
      <c r="D221" s="1400"/>
      <c r="E221" s="2196"/>
      <c r="F221" s="2195"/>
      <c r="G221" s="2194"/>
      <c r="H221" s="2193"/>
      <c r="J221" s="2192"/>
      <c r="K221" s="2191"/>
      <c r="L221" s="2190"/>
      <c r="M221" s="2189"/>
      <c r="N221" s="2187"/>
      <c r="O221" s="2188"/>
      <c r="P221" s="2188"/>
      <c r="Q221" s="2188"/>
      <c r="R221" s="2188"/>
      <c r="S221" s="2188"/>
      <c r="T221" s="2188"/>
      <c r="U221" s="2188"/>
      <c r="V221" s="2184"/>
      <c r="X221" s="2187"/>
      <c r="AE221" s="2186"/>
      <c r="AF221" s="2185"/>
      <c r="AI221" s="2184"/>
      <c r="AX221" s="1399"/>
    </row>
    <row r="222" spans="4:50">
      <c r="D222" s="1400"/>
      <c r="E222" s="2196"/>
      <c r="F222" s="2195"/>
      <c r="G222" s="2194"/>
      <c r="H222" s="2193"/>
      <c r="J222" s="2192"/>
      <c r="K222" s="2191"/>
      <c r="L222" s="2190"/>
      <c r="M222" s="2189"/>
      <c r="N222" s="2187"/>
      <c r="O222" s="2188"/>
      <c r="P222" s="2188"/>
      <c r="Q222" s="2188"/>
      <c r="R222" s="2188"/>
      <c r="S222" s="2188"/>
      <c r="T222" s="2188"/>
      <c r="U222" s="2188"/>
      <c r="V222" s="2184"/>
      <c r="X222" s="2187"/>
      <c r="AE222" s="2186"/>
      <c r="AF222" s="2185"/>
      <c r="AI222" s="2184"/>
      <c r="AX222" s="1399"/>
    </row>
    <row r="223" spans="4:50">
      <c r="D223" s="1400"/>
      <c r="E223" s="2196"/>
      <c r="F223" s="2195"/>
      <c r="G223" s="2194"/>
      <c r="H223" s="2193"/>
      <c r="J223" s="2192"/>
      <c r="K223" s="2191"/>
      <c r="L223" s="2190"/>
      <c r="M223" s="2189"/>
      <c r="N223" s="2187"/>
      <c r="O223" s="2188"/>
      <c r="P223" s="2188"/>
      <c r="Q223" s="2188"/>
      <c r="R223" s="2188"/>
      <c r="S223" s="2188"/>
      <c r="T223" s="2188"/>
      <c r="U223" s="2188"/>
      <c r="V223" s="2184"/>
      <c r="X223" s="2187"/>
      <c r="AE223" s="2186"/>
      <c r="AF223" s="2185"/>
      <c r="AI223" s="2184"/>
      <c r="AX223" s="1399"/>
    </row>
    <row r="224" spans="4:50">
      <c r="D224" s="1400"/>
      <c r="E224" s="2196"/>
      <c r="F224" s="2195"/>
      <c r="G224" s="2194"/>
      <c r="H224" s="2193"/>
      <c r="J224" s="2192"/>
      <c r="K224" s="2191"/>
      <c r="L224" s="2190"/>
      <c r="M224" s="2189"/>
      <c r="N224" s="2187"/>
      <c r="O224" s="2188"/>
      <c r="P224" s="2188"/>
      <c r="Q224" s="2188"/>
      <c r="R224" s="2188"/>
      <c r="S224" s="2188"/>
      <c r="T224" s="2188"/>
      <c r="U224" s="2188"/>
      <c r="V224" s="2184"/>
      <c r="X224" s="2187"/>
      <c r="AE224" s="2186"/>
      <c r="AF224" s="2185"/>
      <c r="AI224" s="2184"/>
      <c r="AX224" s="1399"/>
    </row>
    <row r="225" spans="4:50">
      <c r="D225" s="1400"/>
      <c r="E225" s="2196"/>
      <c r="F225" s="2195"/>
      <c r="G225" s="2194"/>
      <c r="H225" s="2193"/>
      <c r="J225" s="2192"/>
      <c r="K225" s="2191"/>
      <c r="L225" s="2190"/>
      <c r="M225" s="2189"/>
      <c r="N225" s="2187"/>
      <c r="O225" s="2188"/>
      <c r="P225" s="2188"/>
      <c r="Q225" s="2188"/>
      <c r="R225" s="2188"/>
      <c r="S225" s="2188"/>
      <c r="T225" s="2188"/>
      <c r="U225" s="2188"/>
      <c r="V225" s="2184"/>
      <c r="X225" s="2187"/>
      <c r="AE225" s="2186"/>
      <c r="AF225" s="2185"/>
      <c r="AI225" s="2184"/>
      <c r="AX225" s="1399"/>
    </row>
    <row r="226" spans="4:50">
      <c r="D226" s="1400"/>
      <c r="E226" s="2196"/>
      <c r="F226" s="2195"/>
      <c r="G226" s="2194"/>
      <c r="H226" s="2193"/>
      <c r="J226" s="2192"/>
      <c r="K226" s="2191"/>
      <c r="L226" s="2190"/>
      <c r="M226" s="2189"/>
      <c r="N226" s="2187"/>
      <c r="O226" s="2188"/>
      <c r="P226" s="2188"/>
      <c r="Q226" s="2188"/>
      <c r="R226" s="2188"/>
      <c r="S226" s="2188"/>
      <c r="T226" s="2188"/>
      <c r="U226" s="2188"/>
      <c r="V226" s="2184"/>
      <c r="X226" s="2187"/>
      <c r="AE226" s="2186"/>
      <c r="AF226" s="2185"/>
      <c r="AI226" s="2184"/>
      <c r="AX226" s="1399"/>
    </row>
    <row r="227" spans="4:50">
      <c r="D227" s="1400"/>
      <c r="E227" s="2196"/>
      <c r="F227" s="2195"/>
      <c r="G227" s="2194"/>
      <c r="H227" s="2193"/>
      <c r="J227" s="2192"/>
      <c r="K227" s="2191"/>
      <c r="L227" s="2190"/>
      <c r="M227" s="2189"/>
      <c r="N227" s="2187"/>
      <c r="O227" s="2188"/>
      <c r="P227" s="2188"/>
      <c r="Q227" s="2188"/>
      <c r="R227" s="2188"/>
      <c r="S227" s="2188"/>
      <c r="T227" s="2188"/>
      <c r="U227" s="2188"/>
      <c r="V227" s="2184"/>
      <c r="X227" s="2187"/>
      <c r="AE227" s="2186"/>
      <c r="AF227" s="2185"/>
      <c r="AI227" s="2184"/>
      <c r="AX227" s="1399"/>
    </row>
    <row r="228" spans="4:50">
      <c r="D228" s="1400"/>
      <c r="E228" s="2196"/>
      <c r="F228" s="2195"/>
      <c r="G228" s="2194"/>
      <c r="H228" s="2193"/>
      <c r="J228" s="2192"/>
      <c r="K228" s="2191"/>
      <c r="L228" s="2190"/>
      <c r="M228" s="2189"/>
      <c r="N228" s="2187"/>
      <c r="O228" s="2188"/>
      <c r="P228" s="2188"/>
      <c r="Q228" s="2188"/>
      <c r="R228" s="2188"/>
      <c r="S228" s="2188"/>
      <c r="T228" s="2188"/>
      <c r="U228" s="2188"/>
      <c r="V228" s="2184"/>
      <c r="X228" s="2187"/>
      <c r="AE228" s="2186"/>
      <c r="AF228" s="2185"/>
      <c r="AI228" s="2184"/>
      <c r="AX228" s="1399"/>
    </row>
    <row r="229" spans="4:50">
      <c r="D229" s="1400"/>
      <c r="E229" s="2196"/>
      <c r="F229" s="2195"/>
      <c r="G229" s="2194"/>
      <c r="H229" s="2193"/>
      <c r="J229" s="2192"/>
      <c r="K229" s="2191"/>
      <c r="L229" s="2190"/>
      <c r="M229" s="2189"/>
      <c r="N229" s="2187"/>
      <c r="O229" s="2188"/>
      <c r="P229" s="2188"/>
      <c r="Q229" s="2188"/>
      <c r="R229" s="2188"/>
      <c r="S229" s="2188"/>
      <c r="T229" s="2188"/>
      <c r="U229" s="2188"/>
      <c r="V229" s="2184"/>
      <c r="X229" s="2187"/>
      <c r="AE229" s="2186"/>
      <c r="AF229" s="2185"/>
      <c r="AI229" s="2184"/>
      <c r="AX229" s="1399"/>
    </row>
    <row r="230" spans="4:50">
      <c r="D230" s="1400"/>
      <c r="E230" s="2196"/>
      <c r="F230" s="2195"/>
      <c r="G230" s="2194"/>
      <c r="H230" s="2193"/>
      <c r="J230" s="2192"/>
      <c r="K230" s="2191"/>
      <c r="L230" s="2190"/>
      <c r="M230" s="2189"/>
      <c r="N230" s="2187"/>
      <c r="O230" s="2188"/>
      <c r="P230" s="2188"/>
      <c r="Q230" s="2188"/>
      <c r="R230" s="2188"/>
      <c r="S230" s="2188"/>
      <c r="T230" s="2188"/>
      <c r="U230" s="2188"/>
      <c r="V230" s="2184"/>
      <c r="X230" s="2187"/>
      <c r="AE230" s="2186"/>
      <c r="AF230" s="2185"/>
      <c r="AI230" s="2184"/>
      <c r="AX230" s="1399"/>
    </row>
    <row r="231" spans="4:50">
      <c r="D231" s="1400"/>
      <c r="E231" s="2196"/>
      <c r="F231" s="2195"/>
      <c r="G231" s="2194"/>
      <c r="H231" s="2193"/>
      <c r="J231" s="2192"/>
      <c r="K231" s="2191"/>
      <c r="L231" s="2190"/>
      <c r="M231" s="2189"/>
      <c r="N231" s="2187"/>
      <c r="O231" s="2188"/>
      <c r="P231" s="2188"/>
      <c r="Q231" s="2188"/>
      <c r="R231" s="2188"/>
      <c r="S231" s="2188"/>
      <c r="T231" s="2188"/>
      <c r="U231" s="2188"/>
      <c r="V231" s="2184"/>
      <c r="X231" s="2187"/>
      <c r="AE231" s="2186"/>
      <c r="AF231" s="2185"/>
      <c r="AI231" s="2184"/>
      <c r="AX231" s="1399"/>
    </row>
    <row r="232" spans="4:50">
      <c r="D232" s="1400"/>
      <c r="E232" s="2196"/>
      <c r="F232" s="2195"/>
      <c r="G232" s="2194"/>
      <c r="H232" s="2193"/>
      <c r="J232" s="2192"/>
      <c r="K232" s="2191"/>
      <c r="L232" s="2190"/>
      <c r="M232" s="2189"/>
      <c r="N232" s="2187"/>
      <c r="O232" s="2188"/>
      <c r="P232" s="2188"/>
      <c r="Q232" s="2188"/>
      <c r="R232" s="2188"/>
      <c r="S232" s="2188"/>
      <c r="T232" s="2188"/>
      <c r="U232" s="2188"/>
      <c r="V232" s="2184"/>
      <c r="X232" s="2187"/>
      <c r="AE232" s="2186"/>
      <c r="AF232" s="2185"/>
      <c r="AI232" s="2184"/>
      <c r="AX232" s="1399"/>
    </row>
    <row r="233" spans="4:50">
      <c r="D233" s="1400"/>
      <c r="E233" s="2196"/>
      <c r="F233" s="2195"/>
      <c r="G233" s="2194"/>
      <c r="H233" s="2193"/>
      <c r="J233" s="2192"/>
      <c r="K233" s="2191"/>
      <c r="L233" s="2190"/>
      <c r="M233" s="2189"/>
      <c r="N233" s="2187"/>
      <c r="O233" s="2188"/>
      <c r="P233" s="2188"/>
      <c r="Q233" s="2188"/>
      <c r="R233" s="2188"/>
      <c r="S233" s="2188"/>
      <c r="T233" s="2188"/>
      <c r="U233" s="2188"/>
      <c r="V233" s="2184"/>
      <c r="X233" s="2187"/>
      <c r="AE233" s="2186"/>
      <c r="AF233" s="2185"/>
      <c r="AI233" s="2184"/>
      <c r="AX233" s="1399"/>
    </row>
    <row r="234" spans="4:50">
      <c r="D234" s="1400"/>
      <c r="E234" s="2196"/>
      <c r="F234" s="2195"/>
      <c r="G234" s="2194"/>
      <c r="H234" s="2193"/>
      <c r="J234" s="2192"/>
      <c r="K234" s="2191"/>
      <c r="L234" s="2190"/>
      <c r="M234" s="2189"/>
      <c r="N234" s="2187"/>
      <c r="O234" s="2188"/>
      <c r="P234" s="2188"/>
      <c r="Q234" s="2188"/>
      <c r="R234" s="2188"/>
      <c r="S234" s="2188"/>
      <c r="T234" s="2188"/>
      <c r="U234" s="2188"/>
      <c r="V234" s="2184"/>
      <c r="X234" s="2187"/>
      <c r="AE234" s="2186"/>
      <c r="AF234" s="2185"/>
      <c r="AI234" s="2184"/>
      <c r="AX234" s="1399"/>
    </row>
    <row r="235" spans="4:50">
      <c r="D235" s="1400"/>
      <c r="E235" s="2196"/>
      <c r="F235" s="2195"/>
      <c r="G235" s="2194"/>
      <c r="H235" s="2193"/>
      <c r="J235" s="2192"/>
      <c r="K235" s="2191"/>
      <c r="L235" s="2190"/>
      <c r="M235" s="2189"/>
      <c r="N235" s="2187"/>
      <c r="O235" s="2188"/>
      <c r="P235" s="2188"/>
      <c r="Q235" s="2188"/>
      <c r="R235" s="2188"/>
      <c r="S235" s="2188"/>
      <c r="T235" s="2188"/>
      <c r="U235" s="2188"/>
      <c r="V235" s="2184"/>
      <c r="X235" s="2187"/>
      <c r="AE235" s="2186"/>
      <c r="AF235" s="2185"/>
      <c r="AI235" s="2184"/>
      <c r="AX235" s="1399"/>
    </row>
    <row r="236" spans="4:50">
      <c r="D236" s="1400"/>
      <c r="E236" s="2196"/>
      <c r="F236" s="2195"/>
      <c r="G236" s="2194"/>
      <c r="H236" s="2193"/>
      <c r="J236" s="2192"/>
      <c r="K236" s="2191"/>
      <c r="L236" s="2190"/>
      <c r="M236" s="2189"/>
      <c r="N236" s="2187"/>
      <c r="O236" s="2188"/>
      <c r="P236" s="2188"/>
      <c r="Q236" s="2188"/>
      <c r="R236" s="2188"/>
      <c r="S236" s="2188"/>
      <c r="T236" s="2188"/>
      <c r="U236" s="2188"/>
      <c r="V236" s="2184"/>
      <c r="X236" s="2187"/>
      <c r="AE236" s="2186"/>
      <c r="AF236" s="2185"/>
      <c r="AI236" s="2184"/>
      <c r="AX236" s="1399"/>
    </row>
    <row r="237" spans="4:50">
      <c r="D237" s="1400"/>
      <c r="E237" s="2196"/>
      <c r="F237" s="2195"/>
      <c r="G237" s="2194"/>
      <c r="H237" s="2193"/>
      <c r="J237" s="2192"/>
      <c r="K237" s="2191"/>
      <c r="L237" s="2190"/>
      <c r="M237" s="2189"/>
      <c r="N237" s="2187"/>
      <c r="O237" s="2188"/>
      <c r="P237" s="2188"/>
      <c r="Q237" s="2188"/>
      <c r="R237" s="2188"/>
      <c r="S237" s="2188"/>
      <c r="T237" s="2188"/>
      <c r="U237" s="2188"/>
      <c r="V237" s="2184"/>
      <c r="X237" s="2187"/>
      <c r="AE237" s="2186"/>
      <c r="AF237" s="2185"/>
      <c r="AI237" s="2184"/>
      <c r="AX237" s="1399"/>
    </row>
    <row r="238" spans="4:50">
      <c r="D238" s="1400"/>
      <c r="E238" s="2196"/>
      <c r="F238" s="2195"/>
      <c r="G238" s="2194"/>
      <c r="H238" s="2193"/>
      <c r="J238" s="2192"/>
      <c r="K238" s="2191"/>
      <c r="L238" s="2190"/>
      <c r="M238" s="2189"/>
      <c r="N238" s="2187"/>
      <c r="O238" s="2188"/>
      <c r="P238" s="2188"/>
      <c r="Q238" s="2188"/>
      <c r="R238" s="2188"/>
      <c r="S238" s="2188"/>
      <c r="T238" s="2188"/>
      <c r="U238" s="2188"/>
      <c r="V238" s="2184"/>
      <c r="X238" s="2187"/>
      <c r="AE238" s="2186"/>
      <c r="AF238" s="2185"/>
      <c r="AI238" s="2184"/>
      <c r="AX238" s="1399"/>
    </row>
    <row r="239" spans="4:50">
      <c r="D239" s="1400"/>
      <c r="E239" s="2196"/>
      <c r="F239" s="2195"/>
      <c r="G239" s="2194"/>
      <c r="H239" s="2193"/>
      <c r="J239" s="2192"/>
      <c r="K239" s="2191"/>
      <c r="L239" s="2190"/>
      <c r="M239" s="2189"/>
      <c r="N239" s="2187"/>
      <c r="O239" s="2188"/>
      <c r="P239" s="2188"/>
      <c r="Q239" s="2188"/>
      <c r="R239" s="2188"/>
      <c r="S239" s="2188"/>
      <c r="T239" s="2188"/>
      <c r="U239" s="2188"/>
      <c r="V239" s="2184"/>
      <c r="X239" s="2187"/>
      <c r="AE239" s="2186"/>
      <c r="AF239" s="2185"/>
      <c r="AI239" s="2184"/>
      <c r="AX239" s="1399"/>
    </row>
    <row r="240" spans="4:50">
      <c r="D240" s="1400"/>
      <c r="E240" s="2196"/>
      <c r="F240" s="2195"/>
      <c r="G240" s="2194"/>
      <c r="H240" s="2193"/>
      <c r="J240" s="2192"/>
      <c r="K240" s="2191"/>
      <c r="L240" s="2190"/>
      <c r="M240" s="2189"/>
      <c r="N240" s="2187"/>
      <c r="O240" s="2188"/>
      <c r="P240" s="2188"/>
      <c r="Q240" s="2188"/>
      <c r="R240" s="2188"/>
      <c r="S240" s="2188"/>
      <c r="T240" s="2188"/>
      <c r="U240" s="2188"/>
      <c r="V240" s="2184"/>
      <c r="X240" s="2187"/>
      <c r="AE240" s="2186"/>
      <c r="AF240" s="2185"/>
      <c r="AI240" s="2184"/>
      <c r="AX240" s="1399"/>
    </row>
    <row r="241" spans="4:50">
      <c r="D241" s="1400"/>
      <c r="E241" s="2196"/>
      <c r="F241" s="2195"/>
      <c r="G241" s="2194"/>
      <c r="H241" s="2193"/>
      <c r="J241" s="2192"/>
      <c r="K241" s="2191"/>
      <c r="L241" s="2190"/>
      <c r="M241" s="2189"/>
      <c r="N241" s="2187"/>
      <c r="O241" s="2188"/>
      <c r="P241" s="2188"/>
      <c r="Q241" s="2188"/>
      <c r="R241" s="2188"/>
      <c r="S241" s="2188"/>
      <c r="T241" s="2188"/>
      <c r="U241" s="2188"/>
      <c r="V241" s="2184"/>
      <c r="X241" s="2187"/>
      <c r="AE241" s="2186"/>
      <c r="AF241" s="2185"/>
      <c r="AI241" s="2184"/>
      <c r="AX241" s="1399"/>
    </row>
    <row r="242" spans="4:50">
      <c r="D242" s="1400"/>
      <c r="E242" s="2196"/>
      <c r="F242" s="2195"/>
      <c r="G242" s="2194"/>
      <c r="H242" s="2193"/>
      <c r="J242" s="2192"/>
      <c r="K242" s="2191"/>
      <c r="L242" s="2190"/>
      <c r="M242" s="2189"/>
      <c r="N242" s="2187"/>
      <c r="O242" s="2188"/>
      <c r="P242" s="2188"/>
      <c r="Q242" s="2188"/>
      <c r="R242" s="2188"/>
      <c r="S242" s="2188"/>
      <c r="T242" s="2188"/>
      <c r="U242" s="2188"/>
      <c r="V242" s="2184"/>
      <c r="X242" s="2187"/>
      <c r="AE242" s="2186"/>
      <c r="AF242" s="2185"/>
      <c r="AI242" s="2184"/>
      <c r="AX242" s="1399"/>
    </row>
    <row r="243" spans="4:50">
      <c r="D243" s="1400"/>
      <c r="E243" s="2196"/>
      <c r="F243" s="2195"/>
      <c r="G243" s="2194"/>
      <c r="H243" s="2193"/>
      <c r="J243" s="2192"/>
      <c r="K243" s="2191"/>
      <c r="L243" s="2190"/>
      <c r="M243" s="2189"/>
      <c r="N243" s="2187"/>
      <c r="O243" s="2188"/>
      <c r="P243" s="2188"/>
      <c r="Q243" s="2188"/>
      <c r="R243" s="2188"/>
      <c r="S243" s="2188"/>
      <c r="T243" s="2188"/>
      <c r="U243" s="2188"/>
      <c r="V243" s="2184"/>
      <c r="X243" s="2187"/>
      <c r="AE243" s="2186"/>
      <c r="AF243" s="2185"/>
      <c r="AI243" s="2184"/>
      <c r="AX243" s="1399"/>
    </row>
    <row r="244" spans="4:50">
      <c r="D244" s="1400"/>
      <c r="E244" s="2196"/>
      <c r="F244" s="2195"/>
      <c r="G244" s="2194"/>
      <c r="H244" s="2193"/>
      <c r="J244" s="2192"/>
      <c r="K244" s="2191"/>
      <c r="L244" s="2190"/>
      <c r="M244" s="2189"/>
      <c r="N244" s="2187"/>
      <c r="O244" s="2188"/>
      <c r="P244" s="2188"/>
      <c r="Q244" s="2188"/>
      <c r="R244" s="2188"/>
      <c r="S244" s="2188"/>
      <c r="T244" s="2188"/>
      <c r="U244" s="2188"/>
      <c r="V244" s="2184"/>
      <c r="X244" s="2187"/>
      <c r="AE244" s="2186"/>
      <c r="AF244" s="2185"/>
      <c r="AI244" s="2184"/>
      <c r="AX244" s="1399"/>
    </row>
    <row r="245" spans="4:50">
      <c r="D245" s="1400"/>
      <c r="E245" s="2196"/>
      <c r="F245" s="2195"/>
      <c r="G245" s="2194"/>
      <c r="H245" s="2193"/>
      <c r="J245" s="2192"/>
      <c r="K245" s="2191"/>
      <c r="L245" s="2190"/>
      <c r="M245" s="2189"/>
      <c r="N245" s="2187"/>
      <c r="O245" s="2188"/>
      <c r="P245" s="2188"/>
      <c r="Q245" s="2188"/>
      <c r="R245" s="2188"/>
      <c r="S245" s="2188"/>
      <c r="T245" s="2188"/>
      <c r="U245" s="2188"/>
      <c r="V245" s="2184"/>
      <c r="X245" s="2187"/>
      <c r="AE245" s="2186"/>
      <c r="AF245" s="2185"/>
      <c r="AI245" s="2184"/>
      <c r="AX245" s="1399"/>
    </row>
    <row r="246" spans="4:50">
      <c r="D246" s="1400"/>
      <c r="E246" s="2196"/>
      <c r="F246" s="2195"/>
      <c r="G246" s="2194"/>
      <c r="H246" s="2193"/>
      <c r="J246" s="2192"/>
      <c r="K246" s="2191"/>
      <c r="L246" s="2190"/>
      <c r="M246" s="2189"/>
      <c r="N246" s="2187"/>
      <c r="O246" s="2188"/>
      <c r="P246" s="2188"/>
      <c r="Q246" s="2188"/>
      <c r="R246" s="2188"/>
      <c r="S246" s="2188"/>
      <c r="T246" s="2188"/>
      <c r="U246" s="2188"/>
      <c r="V246" s="2184"/>
      <c r="X246" s="2187"/>
      <c r="AE246" s="2186"/>
      <c r="AF246" s="2185"/>
      <c r="AI246" s="2184"/>
      <c r="AX246" s="1399"/>
    </row>
    <row r="247" spans="4:50">
      <c r="D247" s="1400"/>
      <c r="E247" s="2196"/>
      <c r="F247" s="2195"/>
      <c r="G247" s="2194"/>
      <c r="H247" s="2193"/>
      <c r="J247" s="2192"/>
      <c r="K247" s="2191"/>
      <c r="L247" s="2190"/>
      <c r="M247" s="2189"/>
      <c r="N247" s="2187"/>
      <c r="O247" s="2188"/>
      <c r="P247" s="2188"/>
      <c r="Q247" s="2188"/>
      <c r="R247" s="2188"/>
      <c r="S247" s="2188"/>
      <c r="T247" s="2188"/>
      <c r="U247" s="2188"/>
      <c r="V247" s="2184"/>
      <c r="X247" s="2187"/>
      <c r="AE247" s="2186"/>
      <c r="AF247" s="2185"/>
      <c r="AI247" s="2184"/>
      <c r="AX247" s="1399"/>
    </row>
    <row r="248" spans="4:50">
      <c r="D248" s="1400"/>
      <c r="E248" s="2196"/>
      <c r="F248" s="2195"/>
      <c r="G248" s="2194"/>
      <c r="H248" s="2193"/>
      <c r="J248" s="2192"/>
      <c r="K248" s="2191"/>
      <c r="L248" s="2190"/>
      <c r="M248" s="2189"/>
      <c r="N248" s="2187"/>
      <c r="O248" s="2188"/>
      <c r="P248" s="2188"/>
      <c r="Q248" s="2188"/>
      <c r="R248" s="2188"/>
      <c r="S248" s="2188"/>
      <c r="T248" s="2188"/>
      <c r="U248" s="2188"/>
      <c r="V248" s="2184"/>
      <c r="X248" s="2187"/>
      <c r="AE248" s="2186"/>
      <c r="AF248" s="2185"/>
      <c r="AI248" s="2184"/>
      <c r="AX248" s="1399"/>
    </row>
    <row r="249" spans="4:50">
      <c r="D249" s="1400"/>
      <c r="E249" s="2196"/>
      <c r="F249" s="2195"/>
      <c r="G249" s="2194"/>
      <c r="H249" s="2193"/>
      <c r="J249" s="2192"/>
      <c r="K249" s="2191"/>
      <c r="L249" s="2190"/>
      <c r="M249" s="2189"/>
      <c r="N249" s="2187"/>
      <c r="O249" s="2188"/>
      <c r="P249" s="2188"/>
      <c r="Q249" s="2188"/>
      <c r="R249" s="2188"/>
      <c r="S249" s="2188"/>
      <c r="T249" s="2188"/>
      <c r="U249" s="2188"/>
      <c r="V249" s="2184"/>
      <c r="X249" s="2187"/>
      <c r="AE249" s="2186"/>
      <c r="AF249" s="2185"/>
      <c r="AI249" s="2184"/>
      <c r="AX249" s="1399"/>
    </row>
    <row r="250" spans="4:50">
      <c r="D250" s="1400"/>
      <c r="E250" s="2196"/>
      <c r="F250" s="2195"/>
      <c r="G250" s="2194"/>
      <c r="H250" s="2193"/>
      <c r="J250" s="2192"/>
      <c r="K250" s="2191"/>
      <c r="L250" s="2190"/>
      <c r="M250" s="2189"/>
      <c r="N250" s="2187"/>
      <c r="O250" s="2188"/>
      <c r="P250" s="2188"/>
      <c r="Q250" s="2188"/>
      <c r="R250" s="2188"/>
      <c r="S250" s="2188"/>
      <c r="T250" s="2188"/>
      <c r="U250" s="2188"/>
      <c r="V250" s="2184"/>
      <c r="X250" s="2187"/>
      <c r="AE250" s="2186"/>
      <c r="AF250" s="2185"/>
      <c r="AI250" s="2184"/>
      <c r="AX250" s="1399"/>
    </row>
    <row r="251" spans="4:50">
      <c r="D251" s="1400"/>
      <c r="E251" s="2196"/>
      <c r="F251" s="2195"/>
      <c r="G251" s="2194"/>
      <c r="H251" s="2193"/>
      <c r="J251" s="2192"/>
      <c r="K251" s="2191"/>
      <c r="L251" s="2190"/>
      <c r="M251" s="2189"/>
      <c r="N251" s="2187"/>
      <c r="O251" s="2188"/>
      <c r="P251" s="2188"/>
      <c r="Q251" s="2188"/>
      <c r="R251" s="2188"/>
      <c r="S251" s="2188"/>
      <c r="T251" s="2188"/>
      <c r="U251" s="2188"/>
      <c r="V251" s="2184"/>
      <c r="X251" s="2187"/>
      <c r="AE251" s="2186"/>
      <c r="AF251" s="2185"/>
      <c r="AI251" s="2184"/>
      <c r="AX251" s="1399"/>
    </row>
    <row r="252" spans="4:50">
      <c r="D252" s="1400"/>
      <c r="E252" s="2196"/>
      <c r="F252" s="2195"/>
      <c r="G252" s="2194"/>
      <c r="H252" s="2193"/>
      <c r="J252" s="2192"/>
      <c r="K252" s="2191"/>
      <c r="L252" s="2190"/>
      <c r="M252" s="2189"/>
      <c r="N252" s="2187"/>
      <c r="O252" s="2188"/>
      <c r="P252" s="2188"/>
      <c r="Q252" s="2188"/>
      <c r="R252" s="2188"/>
      <c r="S252" s="2188"/>
      <c r="T252" s="2188"/>
      <c r="U252" s="2188"/>
      <c r="V252" s="2184"/>
      <c r="X252" s="2187"/>
      <c r="AE252" s="2186"/>
      <c r="AF252" s="2185"/>
      <c r="AI252" s="2184"/>
      <c r="AX252" s="1399"/>
    </row>
    <row r="253" spans="4:50">
      <c r="D253" s="1400"/>
      <c r="E253" s="2196"/>
      <c r="F253" s="2195"/>
      <c r="G253" s="2194"/>
      <c r="H253" s="2193"/>
      <c r="J253" s="2192"/>
      <c r="K253" s="2191"/>
      <c r="L253" s="2190"/>
      <c r="M253" s="2189"/>
      <c r="N253" s="2187"/>
      <c r="O253" s="2188"/>
      <c r="P253" s="2188"/>
      <c r="Q253" s="2188"/>
      <c r="R253" s="2188"/>
      <c r="S253" s="2188"/>
      <c r="T253" s="2188"/>
      <c r="U253" s="2188"/>
      <c r="V253" s="2184"/>
      <c r="X253" s="2187"/>
      <c r="AE253" s="2186"/>
      <c r="AF253" s="2185"/>
      <c r="AI253" s="2184"/>
      <c r="AX253" s="1399"/>
    </row>
    <row r="254" spans="4:50">
      <c r="D254" s="1400"/>
      <c r="E254" s="2196"/>
      <c r="F254" s="2195"/>
      <c r="G254" s="2194"/>
      <c r="H254" s="2193"/>
      <c r="J254" s="2192"/>
      <c r="K254" s="2191"/>
      <c r="L254" s="2190"/>
      <c r="M254" s="2189"/>
      <c r="N254" s="2187"/>
      <c r="O254" s="2188"/>
      <c r="P254" s="2188"/>
      <c r="Q254" s="2188"/>
      <c r="R254" s="2188"/>
      <c r="S254" s="2188"/>
      <c r="T254" s="2188"/>
      <c r="U254" s="2188"/>
      <c r="V254" s="2184"/>
      <c r="X254" s="2187"/>
      <c r="AE254" s="2186"/>
      <c r="AF254" s="2185"/>
      <c r="AI254" s="2184"/>
      <c r="AX254" s="1399"/>
    </row>
    <row r="255" spans="4:50">
      <c r="D255" s="1400"/>
      <c r="E255" s="2196"/>
      <c r="F255" s="2195"/>
      <c r="G255" s="2194"/>
      <c r="H255" s="2193"/>
      <c r="J255" s="2192"/>
      <c r="K255" s="2191"/>
      <c r="L255" s="2190"/>
      <c r="M255" s="2189"/>
      <c r="N255" s="2187"/>
      <c r="O255" s="2188"/>
      <c r="P255" s="2188"/>
      <c r="Q255" s="2188"/>
      <c r="R255" s="2188"/>
      <c r="S255" s="2188"/>
      <c r="T255" s="2188"/>
      <c r="U255" s="2188"/>
      <c r="V255" s="2184"/>
      <c r="X255" s="2187"/>
      <c r="AE255" s="2186"/>
      <c r="AF255" s="2185"/>
      <c r="AI255" s="2184"/>
      <c r="AX255" s="1399"/>
    </row>
    <row r="256" spans="4:50">
      <c r="D256" s="1400"/>
      <c r="E256" s="2196"/>
      <c r="F256" s="2195"/>
      <c r="G256" s="2194"/>
      <c r="H256" s="2193"/>
      <c r="J256" s="2192"/>
      <c r="K256" s="2191"/>
      <c r="L256" s="2190"/>
      <c r="M256" s="2189"/>
      <c r="N256" s="2187"/>
      <c r="O256" s="2188"/>
      <c r="P256" s="2188"/>
      <c r="Q256" s="2188"/>
      <c r="R256" s="2188"/>
      <c r="S256" s="2188"/>
      <c r="T256" s="2188"/>
      <c r="U256" s="2188"/>
      <c r="V256" s="2184"/>
      <c r="X256" s="2187"/>
      <c r="AE256" s="2186"/>
      <c r="AF256" s="2185"/>
      <c r="AI256" s="2184"/>
      <c r="AX256" s="1399"/>
    </row>
    <row r="257" spans="4:50">
      <c r="D257" s="1400"/>
      <c r="E257" s="2196"/>
      <c r="F257" s="2195"/>
      <c r="G257" s="2194"/>
      <c r="H257" s="2193"/>
      <c r="J257" s="2192"/>
      <c r="K257" s="2191"/>
      <c r="L257" s="2190"/>
      <c r="M257" s="2189"/>
      <c r="N257" s="2187"/>
      <c r="O257" s="2188"/>
      <c r="P257" s="2188"/>
      <c r="Q257" s="2188"/>
      <c r="R257" s="2188"/>
      <c r="S257" s="2188"/>
      <c r="T257" s="2188"/>
      <c r="U257" s="2188"/>
      <c r="V257" s="2184"/>
      <c r="X257" s="2187"/>
      <c r="AE257" s="2186"/>
      <c r="AF257" s="2185"/>
      <c r="AI257" s="2184"/>
      <c r="AX257" s="1399"/>
    </row>
    <row r="258" spans="4:50">
      <c r="D258" s="1400"/>
      <c r="E258" s="2196"/>
      <c r="F258" s="2195"/>
      <c r="G258" s="2194"/>
      <c r="H258" s="2193"/>
      <c r="J258" s="2192"/>
      <c r="K258" s="2191"/>
      <c r="L258" s="2190"/>
      <c r="M258" s="2189"/>
      <c r="N258" s="2187"/>
      <c r="O258" s="2188"/>
      <c r="P258" s="2188"/>
      <c r="Q258" s="2188"/>
      <c r="R258" s="2188"/>
      <c r="S258" s="2188"/>
      <c r="T258" s="2188"/>
      <c r="U258" s="2188"/>
      <c r="V258" s="2184"/>
      <c r="X258" s="2187"/>
      <c r="AE258" s="2186"/>
      <c r="AF258" s="2185"/>
      <c r="AI258" s="2184"/>
      <c r="AX258" s="1399"/>
    </row>
    <row r="259" spans="4:50">
      <c r="D259" s="1400"/>
      <c r="E259" s="2196"/>
      <c r="F259" s="2195"/>
      <c r="G259" s="2194"/>
      <c r="H259" s="2193"/>
      <c r="J259" s="2192"/>
      <c r="K259" s="2191"/>
      <c r="L259" s="2190"/>
      <c r="M259" s="2189"/>
      <c r="N259" s="2187"/>
      <c r="O259" s="2188"/>
      <c r="P259" s="2188"/>
      <c r="Q259" s="2188"/>
      <c r="R259" s="2188"/>
      <c r="S259" s="2188"/>
      <c r="T259" s="2188"/>
      <c r="U259" s="2188"/>
      <c r="V259" s="2184"/>
      <c r="X259" s="2187"/>
      <c r="AE259" s="2186"/>
      <c r="AF259" s="2185"/>
      <c r="AI259" s="2184"/>
      <c r="AX259" s="1399"/>
    </row>
    <row r="260" spans="4:50">
      <c r="D260" s="1400"/>
      <c r="E260" s="2196"/>
      <c r="F260" s="2195"/>
      <c r="G260" s="2194"/>
      <c r="H260" s="2193"/>
      <c r="J260" s="2192"/>
      <c r="K260" s="2191"/>
      <c r="L260" s="2190"/>
      <c r="M260" s="2189"/>
      <c r="N260" s="2187"/>
      <c r="O260" s="2188"/>
      <c r="P260" s="2188"/>
      <c r="Q260" s="2188"/>
      <c r="R260" s="2188"/>
      <c r="S260" s="2188"/>
      <c r="T260" s="2188"/>
      <c r="U260" s="2188"/>
      <c r="V260" s="2184"/>
      <c r="X260" s="2187"/>
      <c r="AE260" s="2186"/>
      <c r="AF260" s="2185"/>
      <c r="AI260" s="2184"/>
      <c r="AX260" s="1399"/>
    </row>
    <row r="261" spans="4:50">
      <c r="D261" s="1400"/>
      <c r="E261" s="2196"/>
      <c r="F261" s="2195"/>
      <c r="G261" s="2194"/>
      <c r="H261" s="2193"/>
      <c r="J261" s="2192"/>
      <c r="K261" s="2191"/>
      <c r="L261" s="2190"/>
      <c r="M261" s="2189"/>
      <c r="N261" s="2187"/>
      <c r="O261" s="2188"/>
      <c r="P261" s="2188"/>
      <c r="Q261" s="2188"/>
      <c r="R261" s="2188"/>
      <c r="S261" s="2188"/>
      <c r="T261" s="2188"/>
      <c r="U261" s="2188"/>
      <c r="V261" s="2184"/>
      <c r="X261" s="2187"/>
      <c r="AE261" s="2186"/>
      <c r="AF261" s="2185"/>
      <c r="AI261" s="2184"/>
      <c r="AX261" s="1399"/>
    </row>
    <row r="262" spans="4:50">
      <c r="D262" s="1400"/>
      <c r="E262" s="2196"/>
      <c r="F262" s="2195"/>
      <c r="G262" s="2194"/>
      <c r="H262" s="2193"/>
      <c r="J262" s="2192"/>
      <c r="K262" s="2191"/>
      <c r="L262" s="2190"/>
      <c r="M262" s="2189"/>
      <c r="N262" s="2187"/>
      <c r="O262" s="2188"/>
      <c r="P262" s="2188"/>
      <c r="Q262" s="2188"/>
      <c r="R262" s="2188"/>
      <c r="S262" s="2188"/>
      <c r="T262" s="2188"/>
      <c r="U262" s="2188"/>
      <c r="V262" s="2184"/>
      <c r="X262" s="2187"/>
      <c r="AE262" s="2186"/>
      <c r="AF262" s="2185"/>
      <c r="AI262" s="2184"/>
      <c r="AX262" s="1399"/>
    </row>
    <row r="263" spans="4:50">
      <c r="D263" s="1400"/>
      <c r="E263" s="2196"/>
      <c r="F263" s="2195"/>
      <c r="G263" s="2194"/>
      <c r="H263" s="2193"/>
      <c r="J263" s="2192"/>
      <c r="K263" s="2191"/>
      <c r="L263" s="2190"/>
      <c r="M263" s="2189"/>
      <c r="N263" s="2187"/>
      <c r="O263" s="2188"/>
      <c r="P263" s="2188"/>
      <c r="Q263" s="2188"/>
      <c r="R263" s="2188"/>
      <c r="S263" s="2188"/>
      <c r="T263" s="2188"/>
      <c r="U263" s="2188"/>
      <c r="V263" s="2184"/>
      <c r="X263" s="2187"/>
      <c r="AE263" s="2186"/>
      <c r="AF263" s="2185"/>
      <c r="AI263" s="2184"/>
      <c r="AX263" s="1399"/>
    </row>
    <row r="264" spans="4:50">
      <c r="D264" s="1400"/>
      <c r="E264" s="2196"/>
      <c r="F264" s="2195"/>
      <c r="G264" s="2194"/>
      <c r="H264" s="2193"/>
      <c r="J264" s="2192"/>
      <c r="K264" s="2191"/>
      <c r="L264" s="2190"/>
      <c r="M264" s="2189"/>
      <c r="N264" s="2187"/>
      <c r="O264" s="2188"/>
      <c r="P264" s="2188"/>
      <c r="Q264" s="2188"/>
      <c r="R264" s="2188"/>
      <c r="S264" s="2188"/>
      <c r="T264" s="2188"/>
      <c r="U264" s="2188"/>
      <c r="V264" s="2184"/>
      <c r="X264" s="2187"/>
      <c r="AE264" s="2186"/>
      <c r="AF264" s="2185"/>
      <c r="AI264" s="2184"/>
      <c r="AX264" s="1399"/>
    </row>
    <row r="265" spans="4:50">
      <c r="D265" s="1400"/>
      <c r="E265" s="2196"/>
      <c r="F265" s="2195"/>
      <c r="G265" s="2194"/>
      <c r="H265" s="2193"/>
      <c r="J265" s="2192"/>
      <c r="K265" s="2191"/>
      <c r="L265" s="2190"/>
      <c r="M265" s="2189"/>
      <c r="N265" s="2187"/>
      <c r="O265" s="2188"/>
      <c r="P265" s="2188"/>
      <c r="Q265" s="2188"/>
      <c r="R265" s="2188"/>
      <c r="S265" s="2188"/>
      <c r="T265" s="2188"/>
      <c r="U265" s="2188"/>
      <c r="V265" s="2184"/>
      <c r="X265" s="2187"/>
      <c r="AE265" s="2186"/>
      <c r="AF265" s="2185"/>
      <c r="AI265" s="2184"/>
      <c r="AX265" s="1399"/>
    </row>
    <row r="266" spans="4:50">
      <c r="D266" s="1400"/>
      <c r="E266" s="2196"/>
      <c r="F266" s="2195"/>
      <c r="G266" s="2194"/>
      <c r="H266" s="2193"/>
      <c r="J266" s="2192"/>
      <c r="K266" s="2191"/>
      <c r="L266" s="2190"/>
      <c r="M266" s="2189"/>
      <c r="N266" s="2187"/>
      <c r="O266" s="2188"/>
      <c r="P266" s="2188"/>
      <c r="Q266" s="2188"/>
      <c r="R266" s="2188"/>
      <c r="S266" s="2188"/>
      <c r="T266" s="2188"/>
      <c r="U266" s="2188"/>
      <c r="V266" s="2184"/>
      <c r="X266" s="2187"/>
      <c r="AE266" s="2186"/>
      <c r="AF266" s="2185"/>
      <c r="AI266" s="2184"/>
      <c r="AX266" s="1399"/>
    </row>
    <row r="267" spans="4:50">
      <c r="D267" s="1400"/>
      <c r="E267" s="2196"/>
      <c r="F267" s="2195"/>
      <c r="G267" s="2194"/>
      <c r="H267" s="2193"/>
      <c r="J267" s="2192"/>
      <c r="K267" s="2191"/>
      <c r="L267" s="2190"/>
      <c r="M267" s="2189"/>
      <c r="N267" s="2187"/>
      <c r="O267" s="2188"/>
      <c r="P267" s="2188"/>
      <c r="Q267" s="2188"/>
      <c r="R267" s="2188"/>
      <c r="S267" s="2188"/>
      <c r="T267" s="2188"/>
      <c r="U267" s="2188"/>
      <c r="V267" s="2184"/>
      <c r="X267" s="2187"/>
      <c r="AE267" s="2186"/>
      <c r="AF267" s="2185"/>
      <c r="AI267" s="2184"/>
      <c r="AX267" s="1399"/>
    </row>
    <row r="268" spans="4:50">
      <c r="D268" s="1400"/>
      <c r="E268" s="2196"/>
      <c r="F268" s="2195"/>
      <c r="G268" s="2194"/>
      <c r="H268" s="2193"/>
      <c r="J268" s="2192"/>
      <c r="K268" s="2191"/>
      <c r="L268" s="2190"/>
      <c r="M268" s="2189"/>
      <c r="N268" s="2187"/>
      <c r="O268" s="2188"/>
      <c r="P268" s="2188"/>
      <c r="Q268" s="2188"/>
      <c r="R268" s="2188"/>
      <c r="S268" s="2188"/>
      <c r="T268" s="2188"/>
      <c r="U268" s="2188"/>
      <c r="V268" s="2184"/>
      <c r="X268" s="2187"/>
      <c r="AE268" s="2186"/>
      <c r="AF268" s="2185"/>
      <c r="AI268" s="2184"/>
      <c r="AX268" s="1399"/>
    </row>
    <row r="269" spans="4:50">
      <c r="D269" s="1400"/>
      <c r="E269" s="2196"/>
      <c r="F269" s="2195"/>
      <c r="G269" s="2194"/>
      <c r="H269" s="2193"/>
      <c r="J269" s="2192"/>
      <c r="K269" s="2191"/>
      <c r="L269" s="2190"/>
      <c r="M269" s="2189"/>
      <c r="N269" s="2187"/>
      <c r="O269" s="2188"/>
      <c r="P269" s="2188"/>
      <c r="Q269" s="2188"/>
      <c r="R269" s="2188"/>
      <c r="S269" s="2188"/>
      <c r="T269" s="2188"/>
      <c r="U269" s="2188"/>
      <c r="V269" s="2184"/>
      <c r="X269" s="2187"/>
      <c r="AE269" s="2186"/>
      <c r="AF269" s="2185"/>
      <c r="AI269" s="2184"/>
      <c r="AX269" s="1399"/>
    </row>
    <row r="270" spans="4:50">
      <c r="D270" s="1400"/>
      <c r="E270" s="2196"/>
      <c r="F270" s="2195"/>
      <c r="G270" s="2194"/>
      <c r="H270" s="2193"/>
      <c r="J270" s="2192"/>
      <c r="K270" s="2191"/>
      <c r="L270" s="2190"/>
      <c r="M270" s="2189"/>
      <c r="N270" s="2187"/>
      <c r="O270" s="2188"/>
      <c r="P270" s="2188"/>
      <c r="Q270" s="2188"/>
      <c r="R270" s="2188"/>
      <c r="S270" s="2188"/>
      <c r="T270" s="2188"/>
      <c r="U270" s="2188"/>
      <c r="V270" s="2184"/>
      <c r="X270" s="2187"/>
      <c r="AE270" s="2186"/>
      <c r="AF270" s="2185"/>
      <c r="AI270" s="2184"/>
      <c r="AX270" s="1399"/>
    </row>
    <row r="271" spans="4:50">
      <c r="D271" s="1400"/>
      <c r="E271" s="2196"/>
      <c r="F271" s="2195"/>
      <c r="G271" s="2194"/>
      <c r="H271" s="2193"/>
      <c r="J271" s="2192"/>
      <c r="K271" s="2191"/>
      <c r="L271" s="2190"/>
      <c r="M271" s="2189"/>
      <c r="N271" s="2187"/>
      <c r="O271" s="2188"/>
      <c r="P271" s="2188"/>
      <c r="Q271" s="2188"/>
      <c r="R271" s="2188"/>
      <c r="S271" s="2188"/>
      <c r="T271" s="2188"/>
      <c r="U271" s="2188"/>
      <c r="V271" s="2184"/>
      <c r="X271" s="2187"/>
      <c r="AE271" s="2186"/>
      <c r="AF271" s="2185"/>
      <c r="AI271" s="2184"/>
      <c r="AX271" s="1399"/>
    </row>
    <row r="272" spans="4:50">
      <c r="D272" s="1400"/>
      <c r="E272" s="2196"/>
      <c r="F272" s="2195"/>
      <c r="G272" s="2194"/>
      <c r="H272" s="2193"/>
      <c r="J272" s="2192"/>
      <c r="K272" s="2191"/>
      <c r="L272" s="2190"/>
      <c r="M272" s="2189"/>
      <c r="N272" s="2187"/>
      <c r="O272" s="2188"/>
      <c r="P272" s="2188"/>
      <c r="Q272" s="2188"/>
      <c r="R272" s="2188"/>
      <c r="S272" s="2188"/>
      <c r="T272" s="2188"/>
      <c r="U272" s="2188"/>
      <c r="V272" s="2184"/>
      <c r="X272" s="2187"/>
      <c r="AE272" s="2186"/>
      <c r="AF272" s="2185"/>
      <c r="AI272" s="2184"/>
      <c r="AX272" s="1399"/>
    </row>
    <row r="273" spans="4:50">
      <c r="D273" s="1400"/>
      <c r="E273" s="2196"/>
      <c r="F273" s="2195"/>
      <c r="G273" s="2194"/>
      <c r="H273" s="2193"/>
      <c r="J273" s="2192"/>
      <c r="K273" s="2191"/>
      <c r="L273" s="2190"/>
      <c r="M273" s="2189"/>
      <c r="N273" s="2187"/>
      <c r="O273" s="2188"/>
      <c r="P273" s="2188"/>
      <c r="Q273" s="2188"/>
      <c r="R273" s="2188"/>
      <c r="S273" s="2188"/>
      <c r="T273" s="2188"/>
      <c r="U273" s="2188"/>
      <c r="V273" s="2184"/>
      <c r="X273" s="2187"/>
      <c r="AE273" s="2186"/>
      <c r="AF273" s="2185"/>
      <c r="AI273" s="2184"/>
      <c r="AX273" s="1399"/>
    </row>
    <row r="274" spans="4:50">
      <c r="D274" s="1400"/>
      <c r="E274" s="2196"/>
      <c r="F274" s="2195"/>
      <c r="G274" s="2194"/>
      <c r="H274" s="2193"/>
      <c r="J274" s="2192"/>
      <c r="K274" s="2191"/>
      <c r="L274" s="2190"/>
      <c r="M274" s="2189"/>
      <c r="N274" s="2187"/>
      <c r="O274" s="2188"/>
      <c r="P274" s="2188"/>
      <c r="Q274" s="2188"/>
      <c r="R274" s="2188"/>
      <c r="S274" s="2188"/>
      <c r="T274" s="2188"/>
      <c r="U274" s="2188"/>
      <c r="V274" s="2184"/>
      <c r="X274" s="2187"/>
      <c r="AE274" s="2186"/>
      <c r="AF274" s="2185"/>
      <c r="AI274" s="2184"/>
      <c r="AX274" s="1399"/>
    </row>
    <row r="275" spans="4:50">
      <c r="D275" s="1400"/>
      <c r="E275" s="2196"/>
      <c r="F275" s="2195"/>
      <c r="G275" s="2194"/>
      <c r="H275" s="2193"/>
      <c r="J275" s="2192"/>
      <c r="K275" s="2191"/>
      <c r="L275" s="2190"/>
      <c r="M275" s="2189"/>
      <c r="N275" s="2187"/>
      <c r="O275" s="2188"/>
      <c r="P275" s="2188"/>
      <c r="Q275" s="2188"/>
      <c r="R275" s="2188"/>
      <c r="S275" s="2188"/>
      <c r="T275" s="2188"/>
      <c r="U275" s="2188"/>
      <c r="V275" s="2184"/>
      <c r="X275" s="2187"/>
      <c r="AE275" s="2186"/>
      <c r="AF275" s="2185"/>
      <c r="AI275" s="2184"/>
      <c r="AX275" s="1399"/>
    </row>
    <row r="276" spans="4:50">
      <c r="D276" s="1400"/>
      <c r="E276" s="2196"/>
      <c r="F276" s="2195"/>
      <c r="G276" s="2194"/>
      <c r="H276" s="2193"/>
      <c r="J276" s="2192"/>
      <c r="K276" s="2191"/>
      <c r="L276" s="2190"/>
      <c r="M276" s="2189"/>
      <c r="N276" s="2187"/>
      <c r="O276" s="2188"/>
      <c r="P276" s="2188"/>
      <c r="Q276" s="2188"/>
      <c r="R276" s="2188"/>
      <c r="S276" s="2188"/>
      <c r="T276" s="2188"/>
      <c r="U276" s="2188"/>
      <c r="V276" s="2184"/>
      <c r="X276" s="2187"/>
      <c r="AE276" s="2186"/>
      <c r="AF276" s="2185"/>
      <c r="AI276" s="2184"/>
      <c r="AX276" s="1399"/>
    </row>
    <row r="277" spans="4:50">
      <c r="D277" s="1400"/>
      <c r="E277" s="2196"/>
      <c r="F277" s="2195"/>
      <c r="G277" s="2194"/>
      <c r="H277" s="2193"/>
      <c r="J277" s="2192"/>
      <c r="K277" s="2191"/>
      <c r="L277" s="2190"/>
      <c r="M277" s="2189"/>
      <c r="N277" s="2187"/>
      <c r="O277" s="2188"/>
      <c r="P277" s="2188"/>
      <c r="Q277" s="2188"/>
      <c r="R277" s="2188"/>
      <c r="S277" s="2188"/>
      <c r="T277" s="2188"/>
      <c r="U277" s="2188"/>
      <c r="V277" s="2184"/>
      <c r="X277" s="2187"/>
      <c r="AE277" s="2186"/>
      <c r="AF277" s="2185"/>
      <c r="AI277" s="2184"/>
      <c r="AX277" s="1399"/>
    </row>
    <row r="278" spans="4:50">
      <c r="D278" s="1400"/>
      <c r="E278" s="2196"/>
      <c r="F278" s="2195"/>
      <c r="G278" s="2194"/>
      <c r="H278" s="2193"/>
      <c r="J278" s="2192"/>
      <c r="K278" s="2191"/>
      <c r="L278" s="2190"/>
      <c r="M278" s="2189"/>
      <c r="N278" s="2187"/>
      <c r="O278" s="2188"/>
      <c r="P278" s="2188"/>
      <c r="Q278" s="2188"/>
      <c r="R278" s="2188"/>
      <c r="S278" s="2188"/>
      <c r="T278" s="2188"/>
      <c r="U278" s="2188"/>
      <c r="V278" s="2184"/>
      <c r="X278" s="2187"/>
      <c r="AE278" s="2186"/>
      <c r="AF278" s="2185"/>
      <c r="AI278" s="2184"/>
      <c r="AX278" s="1399"/>
    </row>
    <row r="279" spans="4:50">
      <c r="D279" s="1400"/>
      <c r="E279" s="2196"/>
      <c r="F279" s="2195"/>
      <c r="G279" s="2194"/>
      <c r="H279" s="2193"/>
      <c r="J279" s="2192"/>
      <c r="K279" s="2191"/>
      <c r="L279" s="2190"/>
      <c r="M279" s="2189"/>
      <c r="N279" s="2187"/>
      <c r="O279" s="2188"/>
      <c r="P279" s="2188"/>
      <c r="Q279" s="2188"/>
      <c r="R279" s="2188"/>
      <c r="S279" s="2188"/>
      <c r="T279" s="2188"/>
      <c r="U279" s="2188"/>
      <c r="V279" s="2184"/>
      <c r="X279" s="2187"/>
      <c r="AE279" s="2186"/>
      <c r="AF279" s="2185"/>
      <c r="AI279" s="2184"/>
      <c r="AX279" s="1399"/>
    </row>
    <row r="280" spans="4:50">
      <c r="D280" s="1400"/>
      <c r="E280" s="2196"/>
      <c r="F280" s="2195"/>
      <c r="G280" s="2194"/>
      <c r="H280" s="2193"/>
      <c r="J280" s="2192"/>
      <c r="K280" s="2191"/>
      <c r="L280" s="2190"/>
      <c r="M280" s="2189"/>
      <c r="N280" s="2187"/>
      <c r="O280" s="2188"/>
      <c r="P280" s="2188"/>
      <c r="Q280" s="2188"/>
      <c r="R280" s="2188"/>
      <c r="S280" s="2188"/>
      <c r="T280" s="2188"/>
      <c r="U280" s="2188"/>
      <c r="V280" s="2184"/>
      <c r="X280" s="2187"/>
      <c r="AE280" s="2186"/>
      <c r="AF280" s="2185"/>
      <c r="AI280" s="2184"/>
      <c r="AX280" s="1399"/>
    </row>
    <row r="281" spans="4:50">
      <c r="D281" s="1400"/>
      <c r="E281" s="2196"/>
      <c r="F281" s="2195"/>
      <c r="G281" s="2194"/>
      <c r="H281" s="2193"/>
      <c r="J281" s="2192"/>
      <c r="K281" s="2191"/>
      <c r="L281" s="2190"/>
      <c r="M281" s="2189"/>
      <c r="N281" s="2187"/>
      <c r="O281" s="2188"/>
      <c r="P281" s="2188"/>
      <c r="Q281" s="2188"/>
      <c r="R281" s="2188"/>
      <c r="S281" s="2188"/>
      <c r="T281" s="2188"/>
      <c r="U281" s="2188"/>
      <c r="V281" s="2184"/>
      <c r="X281" s="2187"/>
      <c r="AE281" s="2186"/>
      <c r="AF281" s="2185"/>
      <c r="AI281" s="2184"/>
      <c r="AX281" s="1399"/>
    </row>
    <row r="282" spans="4:50">
      <c r="D282" s="1400"/>
      <c r="E282" s="2196"/>
      <c r="F282" s="2195"/>
      <c r="G282" s="2194"/>
      <c r="H282" s="2193"/>
      <c r="J282" s="2192"/>
      <c r="K282" s="2191"/>
      <c r="L282" s="2190"/>
      <c r="M282" s="2189"/>
      <c r="N282" s="2187"/>
      <c r="O282" s="2188"/>
      <c r="P282" s="2188"/>
      <c r="Q282" s="2188"/>
      <c r="R282" s="2188"/>
      <c r="S282" s="2188"/>
      <c r="T282" s="2188"/>
      <c r="U282" s="2188"/>
      <c r="V282" s="2184"/>
      <c r="X282" s="2187"/>
      <c r="AE282" s="2186"/>
      <c r="AF282" s="2185"/>
      <c r="AI282" s="2184"/>
      <c r="AX282" s="1399"/>
    </row>
    <row r="283" spans="4:50">
      <c r="D283" s="1400"/>
      <c r="E283" s="2196"/>
      <c r="F283" s="2195"/>
      <c r="G283" s="2194"/>
      <c r="H283" s="2193"/>
      <c r="J283" s="2192"/>
      <c r="K283" s="2191"/>
      <c r="L283" s="2190"/>
      <c r="M283" s="2189"/>
      <c r="N283" s="2187"/>
      <c r="O283" s="2188"/>
      <c r="P283" s="2188"/>
      <c r="Q283" s="2188"/>
      <c r="R283" s="2188"/>
      <c r="S283" s="2188"/>
      <c r="T283" s="2188"/>
      <c r="U283" s="2188"/>
      <c r="V283" s="2184"/>
      <c r="X283" s="2187"/>
      <c r="AE283" s="2186"/>
      <c r="AF283" s="2185"/>
      <c r="AI283" s="2184"/>
      <c r="AX283" s="1399"/>
    </row>
    <row r="284" spans="4:50">
      <c r="D284" s="1400"/>
      <c r="E284" s="2196"/>
      <c r="F284" s="2195"/>
      <c r="G284" s="2194"/>
      <c r="H284" s="2193"/>
      <c r="J284" s="2192"/>
      <c r="K284" s="2191"/>
      <c r="L284" s="2190"/>
      <c r="M284" s="2189"/>
      <c r="N284" s="2187"/>
      <c r="O284" s="2188"/>
      <c r="P284" s="2188"/>
      <c r="Q284" s="2188"/>
      <c r="R284" s="2188"/>
      <c r="S284" s="2188"/>
      <c r="T284" s="2188"/>
      <c r="U284" s="2188"/>
      <c r="V284" s="2184"/>
      <c r="X284" s="2187"/>
      <c r="AE284" s="2186"/>
      <c r="AF284" s="2185"/>
      <c r="AI284" s="2184"/>
      <c r="AX284" s="1399"/>
    </row>
    <row r="285" spans="4:50">
      <c r="D285" s="1400"/>
      <c r="E285" s="2196"/>
      <c r="F285" s="2195"/>
      <c r="G285" s="2194"/>
      <c r="H285" s="2193"/>
      <c r="J285" s="2192"/>
      <c r="K285" s="2191"/>
      <c r="L285" s="2190"/>
      <c r="M285" s="2189"/>
      <c r="N285" s="2187"/>
      <c r="O285" s="2188"/>
      <c r="P285" s="2188"/>
      <c r="Q285" s="2188"/>
      <c r="R285" s="2188"/>
      <c r="S285" s="2188"/>
      <c r="T285" s="2188"/>
      <c r="U285" s="2188"/>
      <c r="V285" s="2184"/>
      <c r="X285" s="2187"/>
      <c r="AE285" s="2186"/>
      <c r="AF285" s="2185"/>
      <c r="AI285" s="2184"/>
      <c r="AX285" s="1399"/>
    </row>
    <row r="286" spans="4:50">
      <c r="D286" s="1400"/>
      <c r="E286" s="2196"/>
      <c r="F286" s="2195"/>
      <c r="G286" s="2194"/>
      <c r="H286" s="2193"/>
      <c r="J286" s="2192"/>
      <c r="K286" s="2191"/>
      <c r="L286" s="2190"/>
      <c r="M286" s="2189"/>
      <c r="N286" s="2187"/>
      <c r="O286" s="2188"/>
      <c r="P286" s="2188"/>
      <c r="Q286" s="2188"/>
      <c r="R286" s="2188"/>
      <c r="S286" s="2188"/>
      <c r="T286" s="2188"/>
      <c r="U286" s="2188"/>
      <c r="V286" s="2184"/>
      <c r="X286" s="2187"/>
      <c r="AE286" s="2186"/>
      <c r="AF286" s="2185"/>
      <c r="AI286" s="2184"/>
      <c r="AX286" s="1399"/>
    </row>
    <row r="287" spans="4:50">
      <c r="D287" s="1400"/>
      <c r="E287" s="2196"/>
      <c r="F287" s="2195"/>
      <c r="G287" s="2194"/>
      <c r="H287" s="2193"/>
      <c r="J287" s="2192"/>
      <c r="K287" s="2191"/>
      <c r="L287" s="2190"/>
      <c r="M287" s="2189"/>
      <c r="N287" s="2187"/>
      <c r="O287" s="2188"/>
      <c r="P287" s="2188"/>
      <c r="Q287" s="2188"/>
      <c r="R287" s="2188"/>
      <c r="S287" s="2188"/>
      <c r="T287" s="2188"/>
      <c r="U287" s="2188"/>
      <c r="V287" s="2184"/>
      <c r="X287" s="2187"/>
      <c r="AE287" s="2186"/>
      <c r="AF287" s="2185"/>
      <c r="AI287" s="2184"/>
      <c r="AX287" s="1399"/>
    </row>
    <row r="288" spans="4:50">
      <c r="D288" s="1400"/>
      <c r="E288" s="2196"/>
      <c r="F288" s="2195"/>
      <c r="G288" s="2194"/>
      <c r="H288" s="2193"/>
      <c r="J288" s="2192"/>
      <c r="K288" s="2191"/>
      <c r="L288" s="2190"/>
      <c r="M288" s="2189"/>
      <c r="N288" s="2187"/>
      <c r="O288" s="2188"/>
      <c r="P288" s="2188"/>
      <c r="Q288" s="2188"/>
      <c r="R288" s="2188"/>
      <c r="S288" s="2188"/>
      <c r="T288" s="2188"/>
      <c r="U288" s="2188"/>
      <c r="V288" s="2184"/>
      <c r="X288" s="2187"/>
      <c r="AE288" s="2186"/>
      <c r="AF288" s="2185"/>
      <c r="AI288" s="2184"/>
      <c r="AX288" s="1399"/>
    </row>
    <row r="289" spans="4:50">
      <c r="D289" s="1400"/>
      <c r="E289" s="2196"/>
      <c r="F289" s="2195"/>
      <c r="G289" s="2194"/>
      <c r="H289" s="2193"/>
      <c r="J289" s="2192"/>
      <c r="K289" s="2191"/>
      <c r="L289" s="2190"/>
      <c r="M289" s="2189"/>
      <c r="N289" s="2187"/>
      <c r="O289" s="2188"/>
      <c r="P289" s="2188"/>
      <c r="Q289" s="2188"/>
      <c r="R289" s="2188"/>
      <c r="S289" s="2188"/>
      <c r="T289" s="2188"/>
      <c r="U289" s="2188"/>
      <c r="V289" s="2184"/>
      <c r="X289" s="2187"/>
      <c r="AE289" s="2186"/>
      <c r="AF289" s="2185"/>
      <c r="AI289" s="2184"/>
      <c r="AX289" s="1399"/>
    </row>
    <row r="290" spans="4:50">
      <c r="D290" s="1400"/>
      <c r="E290" s="2196"/>
      <c r="F290" s="2195"/>
      <c r="G290" s="2194"/>
      <c r="H290" s="2193"/>
      <c r="J290" s="2192"/>
      <c r="K290" s="2191"/>
      <c r="L290" s="2190"/>
      <c r="M290" s="2189"/>
      <c r="N290" s="2187"/>
      <c r="O290" s="2188"/>
      <c r="P290" s="2188"/>
      <c r="Q290" s="2188"/>
      <c r="R290" s="2188"/>
      <c r="S290" s="2188"/>
      <c r="T290" s="2188"/>
      <c r="U290" s="2188"/>
      <c r="V290" s="2184"/>
      <c r="X290" s="2187"/>
      <c r="AE290" s="2186"/>
      <c r="AF290" s="2185"/>
      <c r="AI290" s="2184"/>
      <c r="AX290" s="1399"/>
    </row>
    <row r="291" spans="4:50">
      <c r="D291" s="1400"/>
      <c r="E291" s="2196"/>
      <c r="F291" s="2195"/>
      <c r="G291" s="2194"/>
      <c r="H291" s="2193"/>
      <c r="J291" s="2192"/>
      <c r="K291" s="2191"/>
      <c r="L291" s="2190"/>
      <c r="M291" s="2189"/>
      <c r="N291" s="2187"/>
      <c r="O291" s="2188"/>
      <c r="P291" s="2188"/>
      <c r="Q291" s="2188"/>
      <c r="R291" s="2188"/>
      <c r="S291" s="2188"/>
      <c r="T291" s="2188"/>
      <c r="U291" s="2188"/>
      <c r="V291" s="2184"/>
      <c r="X291" s="2187"/>
      <c r="AE291" s="2186"/>
      <c r="AF291" s="2185"/>
      <c r="AI291" s="2184"/>
      <c r="AX291" s="1399"/>
    </row>
    <row r="292" spans="4:50">
      <c r="D292" s="1400"/>
      <c r="E292" s="2196"/>
      <c r="F292" s="2195"/>
      <c r="G292" s="2194"/>
      <c r="H292" s="2193"/>
      <c r="J292" s="2192"/>
      <c r="K292" s="2191"/>
      <c r="L292" s="2190"/>
      <c r="M292" s="2189"/>
      <c r="N292" s="2187"/>
      <c r="O292" s="2188"/>
      <c r="P292" s="2188"/>
      <c r="Q292" s="2188"/>
      <c r="R292" s="2188"/>
      <c r="S292" s="2188"/>
      <c r="T292" s="2188"/>
      <c r="U292" s="2188"/>
      <c r="V292" s="2184"/>
      <c r="X292" s="2187"/>
      <c r="AE292" s="2186"/>
      <c r="AF292" s="2185"/>
      <c r="AI292" s="2184"/>
      <c r="AX292" s="1399"/>
    </row>
    <row r="293" spans="4:50">
      <c r="D293" s="1400"/>
      <c r="E293" s="2196"/>
      <c r="F293" s="2195"/>
      <c r="G293" s="2194"/>
      <c r="H293" s="2193"/>
      <c r="J293" s="2192"/>
      <c r="K293" s="2191"/>
      <c r="L293" s="2190"/>
      <c r="M293" s="2189"/>
      <c r="N293" s="2187"/>
      <c r="O293" s="2188"/>
      <c r="P293" s="2188"/>
      <c r="Q293" s="2188"/>
      <c r="R293" s="2188"/>
      <c r="S293" s="2188"/>
      <c r="T293" s="2188"/>
      <c r="U293" s="2188"/>
      <c r="V293" s="2184"/>
      <c r="X293" s="2187"/>
      <c r="AE293" s="2186"/>
      <c r="AF293" s="2185"/>
      <c r="AI293" s="2184"/>
      <c r="AX293" s="1399"/>
    </row>
    <row r="294" spans="4:50">
      <c r="D294" s="1400"/>
      <c r="E294" s="2196"/>
      <c r="F294" s="2195"/>
      <c r="G294" s="2194"/>
      <c r="H294" s="2193"/>
      <c r="J294" s="2192"/>
      <c r="K294" s="2191"/>
      <c r="L294" s="2190"/>
      <c r="M294" s="2189"/>
      <c r="N294" s="2187"/>
      <c r="O294" s="2188"/>
      <c r="P294" s="2188"/>
      <c r="Q294" s="2188"/>
      <c r="R294" s="2188"/>
      <c r="S294" s="2188"/>
      <c r="T294" s="2188"/>
      <c r="U294" s="2188"/>
      <c r="V294" s="2184"/>
      <c r="X294" s="2187"/>
      <c r="AE294" s="2186"/>
      <c r="AF294" s="2185"/>
      <c r="AI294" s="2184"/>
      <c r="AX294" s="1399"/>
    </row>
    <row r="295" spans="4:50">
      <c r="D295" s="1400"/>
      <c r="E295" s="2196"/>
      <c r="F295" s="2195"/>
      <c r="G295" s="2194"/>
      <c r="H295" s="2193"/>
      <c r="J295" s="2192"/>
      <c r="K295" s="2191"/>
      <c r="L295" s="2190"/>
      <c r="M295" s="2189"/>
      <c r="N295" s="2187"/>
      <c r="O295" s="2188"/>
      <c r="P295" s="2188"/>
      <c r="Q295" s="2188"/>
      <c r="R295" s="2188"/>
      <c r="S295" s="2188"/>
      <c r="T295" s="2188"/>
      <c r="U295" s="2188"/>
      <c r="V295" s="2184"/>
      <c r="X295" s="2187"/>
      <c r="AE295" s="2186"/>
      <c r="AF295" s="2185"/>
      <c r="AI295" s="2184"/>
      <c r="AX295" s="1399"/>
    </row>
    <row r="296" spans="4:50">
      <c r="D296" s="1400"/>
      <c r="E296" s="2196"/>
      <c r="F296" s="2195"/>
      <c r="G296" s="2194"/>
      <c r="H296" s="2193"/>
      <c r="J296" s="2192"/>
      <c r="K296" s="2191"/>
      <c r="L296" s="2190"/>
      <c r="M296" s="2189"/>
      <c r="N296" s="2187"/>
      <c r="O296" s="2188"/>
      <c r="P296" s="2188"/>
      <c r="Q296" s="2188"/>
      <c r="R296" s="2188"/>
      <c r="S296" s="2188"/>
      <c r="T296" s="2188"/>
      <c r="U296" s="2188"/>
      <c r="V296" s="2184"/>
      <c r="X296" s="2187"/>
      <c r="AE296" s="2186"/>
      <c r="AF296" s="2185"/>
      <c r="AI296" s="2184"/>
      <c r="AX296" s="1399"/>
    </row>
    <row r="297" spans="4:50">
      <c r="D297" s="1400"/>
      <c r="E297" s="2196"/>
      <c r="F297" s="2195"/>
      <c r="G297" s="2194"/>
      <c r="H297" s="2193"/>
      <c r="J297" s="2192"/>
      <c r="K297" s="2191"/>
      <c r="L297" s="2190"/>
      <c r="M297" s="2189"/>
      <c r="N297" s="2187"/>
      <c r="O297" s="2188"/>
      <c r="P297" s="2188"/>
      <c r="Q297" s="2188"/>
      <c r="R297" s="2188"/>
      <c r="S297" s="2188"/>
      <c r="T297" s="2188"/>
      <c r="U297" s="2188"/>
      <c r="V297" s="2184"/>
      <c r="X297" s="2187"/>
      <c r="AE297" s="2186"/>
      <c r="AF297" s="2185"/>
      <c r="AI297" s="2184"/>
      <c r="AX297" s="1399"/>
    </row>
    <row r="298" spans="4:50">
      <c r="D298" s="1400"/>
      <c r="E298" s="2196"/>
      <c r="F298" s="2195"/>
      <c r="G298" s="2194"/>
      <c r="H298" s="2193"/>
      <c r="J298" s="2192"/>
      <c r="K298" s="2191"/>
      <c r="L298" s="2190"/>
      <c r="M298" s="2189"/>
      <c r="N298" s="2187"/>
      <c r="O298" s="2188"/>
      <c r="P298" s="2188"/>
      <c r="Q298" s="2188"/>
      <c r="R298" s="2188"/>
      <c r="S298" s="2188"/>
      <c r="T298" s="2188"/>
      <c r="U298" s="2188"/>
      <c r="V298" s="2184"/>
      <c r="X298" s="2187"/>
      <c r="AE298" s="2186"/>
      <c r="AF298" s="2185"/>
      <c r="AI298" s="2184"/>
      <c r="AX298" s="1399"/>
    </row>
    <row r="299" spans="4:50">
      <c r="D299" s="1400"/>
      <c r="E299" s="2196"/>
      <c r="F299" s="2195"/>
      <c r="G299" s="2194"/>
      <c r="H299" s="2193"/>
      <c r="J299" s="2192"/>
      <c r="K299" s="2191"/>
      <c r="L299" s="2190"/>
      <c r="M299" s="2189"/>
      <c r="N299" s="2187"/>
      <c r="O299" s="2188"/>
      <c r="P299" s="2188"/>
      <c r="Q299" s="2188"/>
      <c r="R299" s="2188"/>
      <c r="S299" s="2188"/>
      <c r="T299" s="2188"/>
      <c r="U299" s="2188"/>
      <c r="V299" s="2184"/>
      <c r="X299" s="2187"/>
      <c r="AE299" s="2186"/>
      <c r="AF299" s="2185"/>
      <c r="AI299" s="2184"/>
      <c r="AX299" s="1399"/>
    </row>
    <row r="300" spans="4:50">
      <c r="D300" s="1400"/>
      <c r="E300" s="2196"/>
      <c r="F300" s="2195"/>
      <c r="G300" s="2194"/>
      <c r="H300" s="2193"/>
      <c r="J300" s="2192"/>
      <c r="K300" s="2191"/>
      <c r="L300" s="2190"/>
      <c r="M300" s="2189"/>
      <c r="N300" s="2187"/>
      <c r="O300" s="2188"/>
      <c r="P300" s="2188"/>
      <c r="Q300" s="2188"/>
      <c r="R300" s="2188"/>
      <c r="S300" s="2188"/>
      <c r="T300" s="2188"/>
      <c r="U300" s="2188"/>
      <c r="V300" s="2184"/>
      <c r="X300" s="2187"/>
      <c r="AE300" s="2186"/>
      <c r="AF300" s="2185"/>
      <c r="AI300" s="2184"/>
      <c r="AX300" s="1399"/>
    </row>
    <row r="301" spans="4:50">
      <c r="D301" s="1400"/>
      <c r="E301" s="2196"/>
      <c r="F301" s="2195"/>
      <c r="G301" s="2194"/>
      <c r="H301" s="2193"/>
      <c r="J301" s="2192"/>
      <c r="K301" s="2191"/>
      <c r="L301" s="2190"/>
      <c r="M301" s="2189"/>
      <c r="N301" s="2187"/>
      <c r="O301" s="2188"/>
      <c r="P301" s="2188"/>
      <c r="Q301" s="2188"/>
      <c r="R301" s="2188"/>
      <c r="S301" s="2188"/>
      <c r="T301" s="2188"/>
      <c r="U301" s="2188"/>
      <c r="V301" s="2184"/>
      <c r="X301" s="2187"/>
      <c r="AE301" s="2186"/>
      <c r="AF301" s="2185"/>
      <c r="AI301" s="2184"/>
      <c r="AX301" s="1399"/>
    </row>
    <row r="302" spans="4:50">
      <c r="D302" s="1400"/>
      <c r="E302" s="2196"/>
      <c r="F302" s="2195"/>
      <c r="G302" s="2194"/>
      <c r="H302" s="2193"/>
      <c r="J302" s="2192"/>
      <c r="K302" s="2191"/>
      <c r="L302" s="2190"/>
      <c r="M302" s="2189"/>
      <c r="N302" s="2187"/>
      <c r="O302" s="2188"/>
      <c r="P302" s="2188"/>
      <c r="Q302" s="2188"/>
      <c r="R302" s="2188"/>
      <c r="S302" s="2188"/>
      <c r="T302" s="2188"/>
      <c r="U302" s="2188"/>
      <c r="V302" s="2184"/>
      <c r="X302" s="2187"/>
      <c r="AE302" s="2186"/>
      <c r="AF302" s="2185"/>
      <c r="AI302" s="2184"/>
      <c r="AX302" s="1399"/>
    </row>
    <row r="303" spans="4:50">
      <c r="D303" s="1400"/>
      <c r="E303" s="2196"/>
      <c r="F303" s="2195"/>
      <c r="G303" s="2194"/>
      <c r="H303" s="2193"/>
      <c r="J303" s="2192"/>
      <c r="K303" s="2191"/>
      <c r="L303" s="2190"/>
      <c r="M303" s="2189"/>
      <c r="N303" s="2187"/>
      <c r="O303" s="2188"/>
      <c r="P303" s="2188"/>
      <c r="Q303" s="2188"/>
      <c r="R303" s="2188"/>
      <c r="S303" s="2188"/>
      <c r="T303" s="2188"/>
      <c r="U303" s="2188"/>
      <c r="V303" s="2184"/>
      <c r="X303" s="2187"/>
      <c r="AE303" s="2186"/>
      <c r="AF303" s="2185"/>
      <c r="AI303" s="2184"/>
      <c r="AX303" s="1399"/>
    </row>
    <row r="304" spans="4:50">
      <c r="D304" s="1400"/>
      <c r="E304" s="2196"/>
      <c r="F304" s="2195"/>
      <c r="G304" s="2194"/>
      <c r="H304" s="2193"/>
      <c r="J304" s="2192"/>
      <c r="K304" s="2191"/>
      <c r="L304" s="2190"/>
      <c r="M304" s="2189"/>
      <c r="N304" s="2187"/>
      <c r="O304" s="2188"/>
      <c r="P304" s="2188"/>
      <c r="Q304" s="2188"/>
      <c r="R304" s="2188"/>
      <c r="S304" s="2188"/>
      <c r="T304" s="2188"/>
      <c r="U304" s="2188"/>
      <c r="V304" s="2184"/>
      <c r="X304" s="2187"/>
      <c r="AE304" s="2186"/>
      <c r="AF304" s="2185"/>
      <c r="AI304" s="2184"/>
      <c r="AX304" s="1399"/>
    </row>
    <row r="305" spans="4:50">
      <c r="D305" s="1400"/>
      <c r="E305" s="2196"/>
      <c r="F305" s="2195"/>
      <c r="G305" s="2194"/>
      <c r="H305" s="2193"/>
      <c r="J305" s="2192"/>
      <c r="K305" s="2191"/>
      <c r="L305" s="2190"/>
      <c r="M305" s="2189"/>
      <c r="N305" s="2187"/>
      <c r="O305" s="2188"/>
      <c r="P305" s="2188"/>
      <c r="Q305" s="2188"/>
      <c r="R305" s="2188"/>
      <c r="S305" s="2188"/>
      <c r="T305" s="2188"/>
      <c r="U305" s="2188"/>
      <c r="V305" s="2184"/>
      <c r="X305" s="2187"/>
      <c r="AE305" s="2186"/>
      <c r="AF305" s="2185"/>
      <c r="AI305" s="2184"/>
      <c r="AX305" s="1399"/>
    </row>
    <row r="306" spans="4:50">
      <c r="D306" s="1400"/>
      <c r="E306" s="2196"/>
      <c r="F306" s="2195"/>
      <c r="G306" s="2194"/>
      <c r="H306" s="2193"/>
      <c r="J306" s="2192"/>
      <c r="K306" s="2191"/>
      <c r="L306" s="2190"/>
      <c r="M306" s="2189"/>
      <c r="N306" s="2187"/>
      <c r="O306" s="2188"/>
      <c r="P306" s="2188"/>
      <c r="Q306" s="2188"/>
      <c r="R306" s="2188"/>
      <c r="S306" s="2188"/>
      <c r="T306" s="2188"/>
      <c r="U306" s="2188"/>
      <c r="V306" s="2184"/>
      <c r="X306" s="2187"/>
      <c r="AE306" s="2186"/>
      <c r="AF306" s="2185"/>
      <c r="AI306" s="2184"/>
      <c r="AX306" s="1399"/>
    </row>
    <row r="307" spans="4:50">
      <c r="D307" s="1400"/>
      <c r="E307" s="2196"/>
      <c r="F307" s="2195"/>
      <c r="G307" s="2194"/>
      <c r="H307" s="2193"/>
      <c r="J307" s="2192"/>
      <c r="K307" s="2191"/>
      <c r="L307" s="2190"/>
      <c r="M307" s="2189"/>
      <c r="N307" s="2187"/>
      <c r="O307" s="2188"/>
      <c r="P307" s="2188"/>
      <c r="Q307" s="2188"/>
      <c r="R307" s="2188"/>
      <c r="S307" s="2188"/>
      <c r="T307" s="2188"/>
      <c r="U307" s="2188"/>
      <c r="V307" s="2184"/>
      <c r="X307" s="2187"/>
      <c r="AE307" s="2186"/>
      <c r="AF307" s="2185"/>
      <c r="AI307" s="2184"/>
      <c r="AX307" s="1399"/>
    </row>
    <row r="308" spans="4:50">
      <c r="D308" s="1400"/>
      <c r="E308" s="2196"/>
      <c r="F308" s="2195"/>
      <c r="G308" s="2194"/>
      <c r="H308" s="2193"/>
      <c r="J308" s="2192"/>
      <c r="K308" s="2191"/>
      <c r="L308" s="2190"/>
      <c r="M308" s="2189"/>
      <c r="N308" s="2187"/>
      <c r="O308" s="2188"/>
      <c r="P308" s="2188"/>
      <c r="Q308" s="2188"/>
      <c r="R308" s="2188"/>
      <c r="S308" s="2188"/>
      <c r="T308" s="2188"/>
      <c r="U308" s="2188"/>
      <c r="V308" s="2184"/>
      <c r="X308" s="2187"/>
      <c r="AE308" s="2186"/>
      <c r="AF308" s="2185"/>
      <c r="AI308" s="2184"/>
      <c r="AX308" s="1399"/>
    </row>
    <row r="309" spans="4:50">
      <c r="D309" s="1400"/>
      <c r="E309" s="2196"/>
      <c r="F309" s="2195"/>
      <c r="G309" s="2194"/>
      <c r="H309" s="2193"/>
      <c r="J309" s="2192"/>
      <c r="K309" s="2191"/>
      <c r="L309" s="2190"/>
      <c r="M309" s="2189"/>
      <c r="N309" s="2187"/>
      <c r="O309" s="2188"/>
      <c r="P309" s="2188"/>
      <c r="Q309" s="2188"/>
      <c r="R309" s="2188"/>
      <c r="S309" s="2188"/>
      <c r="T309" s="2188"/>
      <c r="U309" s="2188"/>
      <c r="V309" s="2184"/>
      <c r="X309" s="2187"/>
      <c r="AE309" s="2186"/>
      <c r="AF309" s="2185"/>
      <c r="AI309" s="2184"/>
      <c r="AX309" s="1399"/>
    </row>
    <row r="310" spans="4:50">
      <c r="D310" s="1400"/>
      <c r="E310" s="2196"/>
      <c r="F310" s="2195"/>
      <c r="G310" s="2194"/>
      <c r="H310" s="2193"/>
      <c r="J310" s="2192"/>
      <c r="K310" s="2191"/>
      <c r="L310" s="2190"/>
      <c r="M310" s="2189"/>
      <c r="N310" s="2187"/>
      <c r="O310" s="2188"/>
      <c r="P310" s="2188"/>
      <c r="Q310" s="2188"/>
      <c r="R310" s="2188"/>
      <c r="S310" s="2188"/>
      <c r="T310" s="2188"/>
      <c r="U310" s="2188"/>
      <c r="V310" s="2184"/>
      <c r="X310" s="2187"/>
      <c r="AE310" s="2186"/>
      <c r="AF310" s="2185"/>
      <c r="AI310" s="2184"/>
      <c r="AX310" s="1399"/>
    </row>
    <row r="311" spans="4:50">
      <c r="D311" s="1400"/>
      <c r="E311" s="2196"/>
      <c r="F311" s="2195"/>
      <c r="G311" s="2194"/>
      <c r="H311" s="2193"/>
      <c r="J311" s="2192"/>
      <c r="K311" s="2191"/>
      <c r="L311" s="2190"/>
      <c r="M311" s="2189"/>
      <c r="N311" s="2187"/>
      <c r="O311" s="2188"/>
      <c r="P311" s="2188"/>
      <c r="Q311" s="2188"/>
      <c r="R311" s="2188"/>
      <c r="S311" s="2188"/>
      <c r="T311" s="2188"/>
      <c r="U311" s="2188"/>
      <c r="V311" s="2184"/>
      <c r="X311" s="2187"/>
      <c r="AE311" s="2186"/>
      <c r="AF311" s="2185"/>
      <c r="AI311" s="2184"/>
      <c r="AX311" s="1399"/>
    </row>
    <row r="312" spans="4:50">
      <c r="D312" s="1400"/>
      <c r="E312" s="2196"/>
      <c r="F312" s="2195"/>
      <c r="G312" s="2194"/>
      <c r="H312" s="2193"/>
      <c r="J312" s="2192"/>
      <c r="K312" s="2191"/>
      <c r="L312" s="2190"/>
      <c r="M312" s="2189"/>
      <c r="N312" s="2187"/>
      <c r="O312" s="2188"/>
      <c r="P312" s="2188"/>
      <c r="Q312" s="2188"/>
      <c r="R312" s="2188"/>
      <c r="S312" s="2188"/>
      <c r="T312" s="2188"/>
      <c r="U312" s="2188"/>
      <c r="V312" s="2184"/>
      <c r="X312" s="2187"/>
      <c r="AE312" s="2186"/>
      <c r="AF312" s="2185"/>
      <c r="AI312" s="2184"/>
      <c r="AX312" s="1399"/>
    </row>
    <row r="313" spans="4:50">
      <c r="D313" s="1400"/>
      <c r="E313" s="2196"/>
      <c r="F313" s="2195"/>
      <c r="G313" s="2194"/>
      <c r="H313" s="2193"/>
      <c r="J313" s="2192"/>
      <c r="K313" s="2191"/>
      <c r="L313" s="2190"/>
      <c r="M313" s="2189"/>
      <c r="N313" s="2187"/>
      <c r="O313" s="2188"/>
      <c r="P313" s="2188"/>
      <c r="Q313" s="2188"/>
      <c r="R313" s="2188"/>
      <c r="S313" s="2188"/>
      <c r="T313" s="2188"/>
      <c r="U313" s="2188"/>
      <c r="V313" s="2184"/>
      <c r="X313" s="2187"/>
      <c r="AE313" s="2186"/>
      <c r="AF313" s="2185"/>
      <c r="AI313" s="2184"/>
      <c r="AX313" s="1399"/>
    </row>
    <row r="314" spans="4:50">
      <c r="D314" s="1400"/>
      <c r="E314" s="2196"/>
      <c r="F314" s="2195"/>
      <c r="G314" s="2194"/>
      <c r="H314" s="2193"/>
      <c r="J314" s="2192"/>
      <c r="K314" s="2191"/>
      <c r="L314" s="2190"/>
      <c r="M314" s="2189"/>
      <c r="N314" s="2187"/>
      <c r="O314" s="2188"/>
      <c r="P314" s="2188"/>
      <c r="Q314" s="2188"/>
      <c r="R314" s="2188"/>
      <c r="S314" s="2188"/>
      <c r="T314" s="2188"/>
      <c r="U314" s="2188"/>
      <c r="V314" s="2184"/>
      <c r="X314" s="2187"/>
      <c r="AE314" s="2186"/>
      <c r="AF314" s="2185"/>
      <c r="AI314" s="2184"/>
      <c r="AX314" s="1399"/>
    </row>
    <row r="315" spans="4:50">
      <c r="D315" s="1400"/>
      <c r="E315" s="2196"/>
      <c r="F315" s="2195"/>
      <c r="G315" s="2194"/>
      <c r="H315" s="2193"/>
      <c r="J315" s="2192"/>
      <c r="K315" s="2191"/>
      <c r="L315" s="2190"/>
      <c r="M315" s="2189"/>
      <c r="N315" s="2187"/>
      <c r="O315" s="2188"/>
      <c r="P315" s="2188"/>
      <c r="Q315" s="2188"/>
      <c r="R315" s="2188"/>
      <c r="S315" s="2188"/>
      <c r="T315" s="2188"/>
      <c r="U315" s="2188"/>
      <c r="V315" s="2184"/>
      <c r="X315" s="2187"/>
      <c r="AE315" s="2186"/>
      <c r="AF315" s="2185"/>
      <c r="AI315" s="2184"/>
      <c r="AX315" s="1399"/>
    </row>
    <row r="316" spans="4:50">
      <c r="D316" s="1400"/>
      <c r="E316" s="2196"/>
      <c r="F316" s="2195"/>
      <c r="G316" s="2194"/>
      <c r="H316" s="2193"/>
      <c r="J316" s="2192"/>
      <c r="K316" s="2191"/>
      <c r="L316" s="2190"/>
      <c r="M316" s="2189"/>
      <c r="N316" s="2187"/>
      <c r="O316" s="2188"/>
      <c r="P316" s="2188"/>
      <c r="Q316" s="2188"/>
      <c r="R316" s="2188"/>
      <c r="S316" s="2188"/>
      <c r="T316" s="2188"/>
      <c r="U316" s="2188"/>
      <c r="V316" s="2184"/>
      <c r="X316" s="2187"/>
      <c r="AE316" s="2186"/>
      <c r="AF316" s="2185"/>
      <c r="AI316" s="2184"/>
      <c r="AX316" s="1399"/>
    </row>
    <row r="317" spans="4:50">
      <c r="D317" s="1400"/>
      <c r="E317" s="2196"/>
      <c r="F317" s="2195"/>
      <c r="G317" s="2194"/>
      <c r="H317" s="2193"/>
      <c r="J317" s="2192"/>
      <c r="K317" s="2191"/>
      <c r="L317" s="2190"/>
      <c r="M317" s="2189"/>
      <c r="N317" s="2187"/>
      <c r="O317" s="2188"/>
      <c r="P317" s="2188"/>
      <c r="Q317" s="2188"/>
      <c r="R317" s="2188"/>
      <c r="S317" s="2188"/>
      <c r="T317" s="2188"/>
      <c r="U317" s="2188"/>
      <c r="V317" s="2184"/>
      <c r="X317" s="2187"/>
      <c r="AE317" s="2186"/>
      <c r="AF317" s="2185"/>
      <c r="AI317" s="2184"/>
      <c r="AX317" s="1399"/>
    </row>
    <row r="318" spans="4:50">
      <c r="D318" s="1400"/>
      <c r="E318" s="2196"/>
      <c r="F318" s="2195"/>
      <c r="G318" s="2194"/>
      <c r="H318" s="2193"/>
      <c r="J318" s="2192"/>
      <c r="K318" s="2191"/>
      <c r="L318" s="2190"/>
      <c r="M318" s="2189"/>
      <c r="N318" s="2187"/>
      <c r="O318" s="2188"/>
      <c r="P318" s="2188"/>
      <c r="Q318" s="2188"/>
      <c r="R318" s="2188"/>
      <c r="S318" s="2188"/>
      <c r="T318" s="2188"/>
      <c r="U318" s="2188"/>
      <c r="V318" s="2184"/>
      <c r="X318" s="2187"/>
      <c r="AE318" s="2186"/>
      <c r="AF318" s="2185"/>
      <c r="AI318" s="2184"/>
      <c r="AX318" s="1399"/>
    </row>
    <row r="319" spans="4:50">
      <c r="D319" s="1400"/>
      <c r="E319" s="2196"/>
      <c r="F319" s="2195"/>
      <c r="G319" s="2194"/>
      <c r="H319" s="2193"/>
      <c r="J319" s="2192"/>
      <c r="K319" s="2191"/>
      <c r="L319" s="2190"/>
      <c r="M319" s="2189"/>
      <c r="N319" s="2187"/>
      <c r="O319" s="2188"/>
      <c r="P319" s="2188"/>
      <c r="Q319" s="2188"/>
      <c r="R319" s="2188"/>
      <c r="S319" s="2188"/>
      <c r="T319" s="2188"/>
      <c r="U319" s="2188"/>
      <c r="V319" s="2184"/>
      <c r="X319" s="2187"/>
      <c r="AE319" s="2186"/>
      <c r="AF319" s="2185"/>
      <c r="AI319" s="2184"/>
      <c r="AX319" s="1399"/>
    </row>
    <row r="320" spans="4:50">
      <c r="D320" s="1400"/>
      <c r="E320" s="2196"/>
      <c r="F320" s="2195"/>
      <c r="G320" s="2194"/>
      <c r="H320" s="2193"/>
      <c r="J320" s="2192"/>
      <c r="K320" s="2191"/>
      <c r="L320" s="2190"/>
      <c r="M320" s="2189"/>
      <c r="N320" s="2187"/>
      <c r="O320" s="2188"/>
      <c r="P320" s="2188"/>
      <c r="Q320" s="2188"/>
      <c r="R320" s="2188"/>
      <c r="S320" s="2188"/>
      <c r="T320" s="2188"/>
      <c r="U320" s="2188"/>
      <c r="V320" s="2184"/>
      <c r="X320" s="2187"/>
      <c r="AE320" s="2186"/>
      <c r="AF320" s="2185"/>
      <c r="AI320" s="2184"/>
      <c r="AX320" s="1399"/>
    </row>
    <row r="321" spans="4:50">
      <c r="D321" s="1400"/>
      <c r="E321" s="2196"/>
      <c r="F321" s="2195"/>
      <c r="G321" s="2194"/>
      <c r="H321" s="2193"/>
      <c r="J321" s="2192"/>
      <c r="K321" s="2191"/>
      <c r="L321" s="2190"/>
      <c r="M321" s="2189"/>
      <c r="N321" s="2187"/>
      <c r="O321" s="2188"/>
      <c r="P321" s="2188"/>
      <c r="Q321" s="2188"/>
      <c r="R321" s="2188"/>
      <c r="S321" s="2188"/>
      <c r="T321" s="2188"/>
      <c r="U321" s="2188"/>
      <c r="V321" s="2184"/>
      <c r="X321" s="2187"/>
      <c r="AE321" s="2186"/>
      <c r="AF321" s="2185"/>
      <c r="AI321" s="2184"/>
      <c r="AX321" s="1399"/>
    </row>
    <row r="322" spans="4:50">
      <c r="D322" s="1400"/>
      <c r="E322" s="2196"/>
      <c r="F322" s="2195"/>
      <c r="G322" s="2194"/>
      <c r="H322" s="2193"/>
      <c r="J322" s="2192"/>
      <c r="K322" s="2191"/>
      <c r="L322" s="2190"/>
      <c r="M322" s="2189"/>
      <c r="N322" s="2187"/>
      <c r="O322" s="2188"/>
      <c r="P322" s="2188"/>
      <c r="Q322" s="2188"/>
      <c r="R322" s="2188"/>
      <c r="S322" s="2188"/>
      <c r="T322" s="2188"/>
      <c r="U322" s="2188"/>
      <c r="V322" s="2184"/>
      <c r="X322" s="2187"/>
      <c r="AE322" s="2186"/>
      <c r="AF322" s="2185"/>
      <c r="AI322" s="2184"/>
      <c r="AX322" s="1399"/>
    </row>
    <row r="323" spans="4:50">
      <c r="D323" s="1400"/>
      <c r="E323" s="2196"/>
      <c r="F323" s="2195"/>
      <c r="G323" s="2194"/>
      <c r="H323" s="2193"/>
      <c r="J323" s="2192"/>
      <c r="K323" s="2191"/>
      <c r="L323" s="2190"/>
      <c r="M323" s="2189"/>
      <c r="N323" s="2187"/>
      <c r="O323" s="2188"/>
      <c r="P323" s="2188"/>
      <c r="Q323" s="2188"/>
      <c r="R323" s="2188"/>
      <c r="S323" s="2188"/>
      <c r="T323" s="2188"/>
      <c r="U323" s="2188"/>
      <c r="V323" s="2184"/>
      <c r="X323" s="2187"/>
      <c r="AE323" s="2186"/>
      <c r="AF323" s="2185"/>
      <c r="AI323" s="2184"/>
      <c r="AX323" s="1399"/>
    </row>
    <row r="324" spans="4:50">
      <c r="D324" s="1400"/>
      <c r="E324" s="2196"/>
      <c r="F324" s="2195"/>
      <c r="G324" s="2194"/>
      <c r="H324" s="2193"/>
      <c r="J324" s="2192"/>
      <c r="K324" s="2191"/>
      <c r="L324" s="2190"/>
      <c r="M324" s="2189"/>
      <c r="N324" s="2187"/>
      <c r="O324" s="2188"/>
      <c r="P324" s="2188"/>
      <c r="Q324" s="2188"/>
      <c r="R324" s="2188"/>
      <c r="S324" s="2188"/>
      <c r="T324" s="2188"/>
      <c r="U324" s="2188"/>
      <c r="V324" s="2184"/>
      <c r="X324" s="2187"/>
      <c r="AE324" s="2186"/>
      <c r="AF324" s="2185"/>
      <c r="AI324" s="2184"/>
      <c r="AX324" s="1399"/>
    </row>
    <row r="325" spans="4:50">
      <c r="D325" s="1400"/>
      <c r="E325" s="2196"/>
      <c r="F325" s="2195"/>
      <c r="G325" s="2194"/>
      <c r="H325" s="2193"/>
      <c r="J325" s="2192"/>
      <c r="K325" s="2191"/>
      <c r="L325" s="2190"/>
      <c r="M325" s="2189"/>
      <c r="N325" s="2187"/>
      <c r="O325" s="2188"/>
      <c r="P325" s="2188"/>
      <c r="Q325" s="2188"/>
      <c r="R325" s="2188"/>
      <c r="S325" s="2188"/>
      <c r="T325" s="2188"/>
      <c r="U325" s="2188"/>
      <c r="V325" s="2184"/>
      <c r="X325" s="2187"/>
      <c r="AE325" s="2186"/>
      <c r="AF325" s="2185"/>
      <c r="AI325" s="2184"/>
      <c r="AX325" s="1399"/>
    </row>
    <row r="326" spans="4:50">
      <c r="D326" s="1400"/>
      <c r="E326" s="2196"/>
      <c r="F326" s="2195"/>
      <c r="G326" s="2194"/>
      <c r="H326" s="2193"/>
      <c r="J326" s="2192"/>
      <c r="K326" s="2191"/>
      <c r="L326" s="2190"/>
      <c r="M326" s="2189"/>
      <c r="N326" s="2187"/>
      <c r="O326" s="2188"/>
      <c r="P326" s="2188"/>
      <c r="Q326" s="2188"/>
      <c r="R326" s="2188"/>
      <c r="S326" s="2188"/>
      <c r="T326" s="2188"/>
      <c r="U326" s="2188"/>
      <c r="V326" s="2184"/>
      <c r="X326" s="2187"/>
      <c r="AE326" s="2186"/>
      <c r="AF326" s="2185"/>
      <c r="AI326" s="2184"/>
      <c r="AX326" s="1399"/>
    </row>
    <row r="327" spans="4:50">
      <c r="D327" s="1400"/>
      <c r="E327" s="2196"/>
      <c r="F327" s="2195"/>
      <c r="G327" s="2194"/>
      <c r="H327" s="2193"/>
      <c r="J327" s="2192"/>
      <c r="K327" s="2191"/>
      <c r="L327" s="2190"/>
      <c r="M327" s="2189"/>
      <c r="N327" s="2187"/>
      <c r="O327" s="2188"/>
      <c r="P327" s="2188"/>
      <c r="Q327" s="2188"/>
      <c r="R327" s="2188"/>
      <c r="S327" s="2188"/>
      <c r="T327" s="2188"/>
      <c r="U327" s="2188"/>
      <c r="V327" s="2184"/>
      <c r="X327" s="2187"/>
      <c r="AE327" s="2186"/>
      <c r="AF327" s="2185"/>
      <c r="AI327" s="2184"/>
      <c r="AX327" s="1399"/>
    </row>
    <row r="328" spans="4:50">
      <c r="D328" s="1400"/>
      <c r="E328" s="2196"/>
      <c r="F328" s="2195"/>
      <c r="G328" s="2194"/>
      <c r="H328" s="2193"/>
      <c r="J328" s="2192"/>
      <c r="K328" s="2191"/>
      <c r="L328" s="2190"/>
      <c r="M328" s="2189"/>
      <c r="N328" s="2187"/>
      <c r="O328" s="2188"/>
      <c r="P328" s="2188"/>
      <c r="Q328" s="2188"/>
      <c r="R328" s="2188"/>
      <c r="S328" s="2188"/>
      <c r="T328" s="2188"/>
      <c r="U328" s="2188"/>
      <c r="V328" s="2184"/>
      <c r="X328" s="2187"/>
      <c r="AE328" s="2186"/>
      <c r="AF328" s="2185"/>
      <c r="AI328" s="2184"/>
      <c r="AX328" s="1399"/>
    </row>
    <row r="329" spans="4:50">
      <c r="D329" s="1400"/>
      <c r="E329" s="2196"/>
      <c r="F329" s="2195"/>
      <c r="G329" s="2194"/>
      <c r="H329" s="2193"/>
      <c r="J329" s="2192"/>
      <c r="K329" s="2191"/>
      <c r="L329" s="2190"/>
      <c r="M329" s="2189"/>
      <c r="N329" s="2187"/>
      <c r="O329" s="2188"/>
      <c r="P329" s="2188"/>
      <c r="Q329" s="2188"/>
      <c r="R329" s="2188"/>
      <c r="S329" s="2188"/>
      <c r="T329" s="2188"/>
      <c r="U329" s="2188"/>
      <c r="V329" s="2184"/>
      <c r="X329" s="2187"/>
      <c r="AE329" s="2186"/>
      <c r="AF329" s="2185"/>
      <c r="AI329" s="2184"/>
      <c r="AX329" s="1399"/>
    </row>
    <row r="330" spans="4:50">
      <c r="D330" s="1400"/>
      <c r="E330" s="2196"/>
      <c r="F330" s="2195"/>
      <c r="G330" s="2194"/>
      <c r="H330" s="2193"/>
      <c r="J330" s="2192"/>
      <c r="K330" s="2191"/>
      <c r="L330" s="2190"/>
      <c r="M330" s="2189"/>
      <c r="N330" s="2187"/>
      <c r="O330" s="2188"/>
      <c r="P330" s="2188"/>
      <c r="Q330" s="2188"/>
      <c r="R330" s="2188"/>
      <c r="S330" s="2188"/>
      <c r="T330" s="2188"/>
      <c r="U330" s="2188"/>
      <c r="V330" s="2184"/>
      <c r="X330" s="2187"/>
      <c r="AE330" s="2186"/>
      <c r="AF330" s="2185"/>
      <c r="AI330" s="2184"/>
      <c r="AX330" s="1399"/>
    </row>
    <row r="331" spans="4:50">
      <c r="D331" s="1400"/>
      <c r="E331" s="2196"/>
      <c r="F331" s="2195"/>
      <c r="G331" s="2194"/>
      <c r="H331" s="2193"/>
      <c r="J331" s="2192"/>
      <c r="K331" s="2191"/>
      <c r="L331" s="2190"/>
      <c r="M331" s="2189"/>
      <c r="N331" s="2187"/>
      <c r="O331" s="2188"/>
      <c r="P331" s="2188"/>
      <c r="Q331" s="2188"/>
      <c r="R331" s="2188"/>
      <c r="S331" s="2188"/>
      <c r="T331" s="2188"/>
      <c r="U331" s="2188"/>
      <c r="V331" s="2184"/>
      <c r="X331" s="2187"/>
      <c r="AE331" s="2186"/>
      <c r="AF331" s="2185"/>
      <c r="AI331" s="2184"/>
      <c r="AX331" s="1399"/>
    </row>
    <row r="332" spans="4:50">
      <c r="D332" s="1400"/>
      <c r="E332" s="2196"/>
      <c r="F332" s="2195"/>
      <c r="G332" s="2194"/>
      <c r="H332" s="2193"/>
      <c r="J332" s="2192"/>
      <c r="K332" s="2191"/>
      <c r="L332" s="2190"/>
      <c r="M332" s="2189"/>
      <c r="N332" s="2187"/>
      <c r="O332" s="2188"/>
      <c r="P332" s="2188"/>
      <c r="Q332" s="2188"/>
      <c r="R332" s="2188"/>
      <c r="S332" s="2188"/>
      <c r="T332" s="2188"/>
      <c r="U332" s="2188"/>
      <c r="V332" s="2184"/>
      <c r="X332" s="2187"/>
      <c r="AE332" s="2186"/>
      <c r="AF332" s="2185"/>
      <c r="AI332" s="2184"/>
      <c r="AX332" s="1399"/>
    </row>
    <row r="333" spans="4:50">
      <c r="D333" s="1400"/>
      <c r="E333" s="2196"/>
      <c r="F333" s="2195"/>
      <c r="G333" s="2194"/>
      <c r="H333" s="2193"/>
      <c r="J333" s="2192"/>
      <c r="K333" s="2191"/>
      <c r="L333" s="2190"/>
      <c r="M333" s="2189"/>
      <c r="N333" s="2187"/>
      <c r="O333" s="2188"/>
      <c r="P333" s="2188"/>
      <c r="Q333" s="2188"/>
      <c r="R333" s="2188"/>
      <c r="S333" s="2188"/>
      <c r="T333" s="2188"/>
      <c r="U333" s="2188"/>
      <c r="V333" s="2184"/>
      <c r="X333" s="2187"/>
      <c r="AE333" s="2186"/>
      <c r="AF333" s="2185"/>
      <c r="AI333" s="2184"/>
      <c r="AX333" s="1399"/>
    </row>
    <row r="334" spans="4:50">
      <c r="D334" s="1400"/>
      <c r="E334" s="2196"/>
      <c r="F334" s="2195"/>
      <c r="G334" s="2194"/>
      <c r="H334" s="2193"/>
      <c r="J334" s="2192"/>
      <c r="K334" s="2191"/>
      <c r="L334" s="2190"/>
      <c r="M334" s="2189"/>
      <c r="N334" s="2187"/>
      <c r="O334" s="2188"/>
      <c r="P334" s="2188"/>
      <c r="Q334" s="2188"/>
      <c r="R334" s="2188"/>
      <c r="S334" s="2188"/>
      <c r="T334" s="2188"/>
      <c r="U334" s="2188"/>
      <c r="V334" s="2184"/>
      <c r="X334" s="2187"/>
      <c r="AE334" s="2186"/>
      <c r="AF334" s="2185"/>
      <c r="AI334" s="2184"/>
      <c r="AX334" s="1399"/>
    </row>
    <row r="335" spans="4:50">
      <c r="D335" s="1400"/>
      <c r="E335" s="2196"/>
      <c r="F335" s="2195"/>
      <c r="G335" s="2194"/>
      <c r="H335" s="2193"/>
      <c r="J335" s="2192"/>
      <c r="K335" s="2191"/>
      <c r="L335" s="2190"/>
      <c r="M335" s="2189"/>
      <c r="N335" s="2187"/>
      <c r="O335" s="2188"/>
      <c r="P335" s="2188"/>
      <c r="Q335" s="2188"/>
      <c r="R335" s="2188"/>
      <c r="S335" s="2188"/>
      <c r="T335" s="2188"/>
      <c r="U335" s="2188"/>
      <c r="V335" s="2184"/>
      <c r="X335" s="2187"/>
      <c r="AE335" s="2186"/>
      <c r="AF335" s="2185"/>
      <c r="AI335" s="2184"/>
      <c r="AX335" s="1399"/>
    </row>
    <row r="336" spans="4:50">
      <c r="D336" s="1400"/>
      <c r="E336" s="2196"/>
      <c r="F336" s="2195"/>
      <c r="G336" s="2194"/>
      <c r="H336" s="2193"/>
      <c r="J336" s="2192"/>
      <c r="K336" s="2191"/>
      <c r="L336" s="2190"/>
      <c r="M336" s="2189"/>
      <c r="N336" s="2187"/>
      <c r="O336" s="2188"/>
      <c r="P336" s="2188"/>
      <c r="Q336" s="2188"/>
      <c r="R336" s="2188"/>
      <c r="S336" s="2188"/>
      <c r="T336" s="2188"/>
      <c r="U336" s="2188"/>
      <c r="V336" s="2184"/>
      <c r="X336" s="2187"/>
      <c r="AE336" s="2186"/>
      <c r="AF336" s="2185"/>
      <c r="AI336" s="2184"/>
      <c r="AX336" s="1399"/>
    </row>
  </sheetData>
  <dataConsolidate/>
  <mergeCells count="3">
    <mergeCell ref="L39:O39"/>
    <mergeCell ref="L41:L42"/>
    <mergeCell ref="L40:N40"/>
  </mergeCells>
  <phoneticPr fontId="51" type="noConversion"/>
  <conditionalFormatting sqref="B43:C73">
    <cfRule type="cellIs" dxfId="223" priority="2" operator="lessThan">
      <formula>95</formula>
    </cfRule>
  </conditionalFormatting>
  <conditionalFormatting sqref="I43:J73">
    <cfRule type="cellIs" dxfId="222" priority="1" operator="lessThan">
      <formula>30</formula>
    </cfRule>
  </conditionalFormatting>
  <conditionalFormatting sqref="X43:X73">
    <cfRule type="cellIs" dxfId="221" priority="4" operator="equal">
      <formula>"SI"</formula>
    </cfRule>
  </conditionalFormatting>
  <conditionalFormatting sqref="AB43:AB73 AE43:AE73">
    <cfRule type="cellIs" dxfId="220" priority="5" operator="greaterThan">
      <formula>8</formula>
    </cfRule>
  </conditionalFormatting>
  <pageMargins left="0.75" right="0.75" top="1" bottom="1" header="0" footer="0"/>
  <pageSetup scale="79" orientation="landscape" horizontalDpi="300" verticalDpi="300" r:id="rId1"/>
  <headerFooter alignWithMargins="0"/>
  <ignoredErrors>
    <ignoredError sqref="E6" unlockedFormula="1"/>
  </ignoredErrors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B69E6-33DF-4A11-B1A4-05EB5875BB0D}">
  <dimension ref="A1:U302"/>
  <sheetViews>
    <sheetView zoomScale="90" zoomScaleNormal="90" workbookViewId="0">
      <pane ySplit="3" topLeftCell="A124" activePane="bottomLeft" state="frozen"/>
      <selection pane="bottomLeft" activeCell="O156" sqref="O156"/>
    </sheetView>
  </sheetViews>
  <sheetFormatPr baseColWidth="10" defaultRowHeight="12.5"/>
  <cols>
    <col min="3" max="3" width="24.1796875" customWidth="1"/>
    <col min="5" max="5" width="26.54296875" customWidth="1"/>
    <col min="6" max="6" width="19" customWidth="1"/>
    <col min="12" max="12" width="12.54296875" customWidth="1"/>
  </cols>
  <sheetData>
    <row r="1" spans="5:21">
      <c r="E1" t="s">
        <v>1603</v>
      </c>
      <c r="F1">
        <f>2200*2+1812</f>
        <v>6212</v>
      </c>
      <c r="L1">
        <f>8792*24</f>
        <v>211008</v>
      </c>
      <c r="M1">
        <f>+L1-24000</f>
        <v>187008</v>
      </c>
      <c r="N1">
        <f>+M1/24</f>
        <v>7792</v>
      </c>
    </row>
    <row r="3" spans="5:21">
      <c r="F3" t="s">
        <v>280</v>
      </c>
      <c r="G3" t="s">
        <v>1265</v>
      </c>
      <c r="H3" t="s">
        <v>429</v>
      </c>
      <c r="I3" s="3322" t="s">
        <v>1592</v>
      </c>
      <c r="J3" s="3322" t="s">
        <v>1593</v>
      </c>
      <c r="K3" s="3322" t="s">
        <v>1594</v>
      </c>
      <c r="L3" s="3323">
        <v>590000</v>
      </c>
      <c r="M3" t="s">
        <v>1595</v>
      </c>
      <c r="N3" t="s">
        <v>1596</v>
      </c>
      <c r="O3" t="s">
        <v>1597</v>
      </c>
      <c r="P3" t="s">
        <v>1598</v>
      </c>
      <c r="Q3" t="s">
        <v>120</v>
      </c>
      <c r="S3" t="s">
        <v>1565</v>
      </c>
      <c r="T3" s="331" t="s">
        <v>1599</v>
      </c>
      <c r="U3" s="331" t="s">
        <v>1600</v>
      </c>
    </row>
    <row r="4" spans="5:21">
      <c r="I4" s="3324">
        <v>0.83333333333333337</v>
      </c>
      <c r="J4" s="1555">
        <v>45668</v>
      </c>
      <c r="K4">
        <v>1</v>
      </c>
      <c r="L4" s="3323">
        <f t="shared" ref="L4:L67" si="0">+L3-M4+N4</f>
        <v>591792</v>
      </c>
      <c r="M4" s="3325">
        <v>7583</v>
      </c>
      <c r="N4">
        <f>IF(P4=0,P4,O4)</f>
        <v>9375</v>
      </c>
      <c r="O4" s="3326">
        <v>9375</v>
      </c>
      <c r="P4">
        <v>9375</v>
      </c>
      <c r="Q4" s="157">
        <f>+M4</f>
        <v>7583</v>
      </c>
      <c r="T4" s="380"/>
      <c r="U4" s="380"/>
    </row>
    <row r="5" spans="5:21">
      <c r="I5" s="3324">
        <f>+I4+1/24</f>
        <v>0.875</v>
      </c>
      <c r="J5" s="1555">
        <f>+J4</f>
        <v>45668</v>
      </c>
      <c r="K5">
        <v>2</v>
      </c>
      <c r="L5" s="3323">
        <f>+L4-M5+N5</f>
        <v>593584</v>
      </c>
      <c r="M5" s="3325">
        <f>+M4</f>
        <v>7583</v>
      </c>
      <c r="N5">
        <f t="shared" ref="N5:N68" si="1">IF(P5=0,P5,O5)</f>
        <v>9375</v>
      </c>
      <c r="O5" s="3326">
        <f>+O4</f>
        <v>9375</v>
      </c>
      <c r="P5">
        <f>+P4</f>
        <v>9375</v>
      </c>
      <c r="Q5" s="157">
        <f>+Q4+M5</f>
        <v>15166</v>
      </c>
      <c r="T5" s="380"/>
      <c r="U5" s="380"/>
    </row>
    <row r="6" spans="5:21">
      <c r="I6" s="3324">
        <f t="shared" ref="I6:I69" si="2">+I5+1/24</f>
        <v>0.91666666666666663</v>
      </c>
      <c r="J6" s="1555">
        <f t="shared" ref="J6:J69" si="3">+J5</f>
        <v>45668</v>
      </c>
      <c r="K6">
        <v>3</v>
      </c>
      <c r="L6" s="3323">
        <f t="shared" si="0"/>
        <v>595376</v>
      </c>
      <c r="M6" s="3325">
        <f t="shared" ref="M6:M69" si="4">+M5</f>
        <v>7583</v>
      </c>
      <c r="N6">
        <f t="shared" si="1"/>
        <v>9375</v>
      </c>
      <c r="O6" s="3326">
        <f t="shared" ref="O6:P21" si="5">+O5</f>
        <v>9375</v>
      </c>
      <c r="P6">
        <f t="shared" si="5"/>
        <v>9375</v>
      </c>
      <c r="Q6" s="157">
        <f t="shared" ref="Q6:Q27" si="6">+Q5+M6</f>
        <v>22749</v>
      </c>
      <c r="T6" s="380"/>
      <c r="U6" s="380"/>
    </row>
    <row r="7" spans="5:21">
      <c r="I7" s="3324">
        <f t="shared" si="2"/>
        <v>0.95833333333333326</v>
      </c>
      <c r="J7" s="1555">
        <f t="shared" si="3"/>
        <v>45668</v>
      </c>
      <c r="K7">
        <v>4</v>
      </c>
      <c r="L7" s="3323">
        <f t="shared" si="0"/>
        <v>597168</v>
      </c>
      <c r="M7" s="3325">
        <f t="shared" si="4"/>
        <v>7583</v>
      </c>
      <c r="N7">
        <f t="shared" si="1"/>
        <v>9375</v>
      </c>
      <c r="O7" s="3326">
        <f t="shared" si="5"/>
        <v>9375</v>
      </c>
      <c r="P7">
        <f t="shared" si="5"/>
        <v>9375</v>
      </c>
      <c r="Q7" s="157">
        <f t="shared" si="6"/>
        <v>30332</v>
      </c>
      <c r="T7" s="380"/>
      <c r="U7" s="380"/>
    </row>
    <row r="8" spans="5:21">
      <c r="I8" s="3324">
        <f t="shared" si="2"/>
        <v>0.99999999999999989</v>
      </c>
      <c r="J8" s="1555">
        <f t="shared" si="3"/>
        <v>45668</v>
      </c>
      <c r="K8">
        <v>5</v>
      </c>
      <c r="L8" s="3323">
        <f t="shared" si="0"/>
        <v>598960</v>
      </c>
      <c r="M8" s="3325">
        <f t="shared" si="4"/>
        <v>7583</v>
      </c>
      <c r="N8">
        <f t="shared" si="1"/>
        <v>9375</v>
      </c>
      <c r="O8" s="3326">
        <f t="shared" si="5"/>
        <v>9375</v>
      </c>
      <c r="P8">
        <f t="shared" si="5"/>
        <v>9375</v>
      </c>
      <c r="Q8" s="157">
        <f t="shared" si="6"/>
        <v>37915</v>
      </c>
      <c r="T8" s="380"/>
      <c r="U8" s="380"/>
    </row>
    <row r="9" spans="5:21">
      <c r="I9" s="3324">
        <f t="shared" si="2"/>
        <v>1.0416666666666665</v>
      </c>
      <c r="J9" s="1555">
        <f t="shared" si="3"/>
        <v>45668</v>
      </c>
      <c r="K9">
        <v>6</v>
      </c>
      <c r="L9" s="3323">
        <f t="shared" si="0"/>
        <v>600752</v>
      </c>
      <c r="M9" s="3325">
        <f t="shared" si="4"/>
        <v>7583</v>
      </c>
      <c r="N9">
        <f t="shared" si="1"/>
        <v>9375</v>
      </c>
      <c r="O9" s="3326">
        <f t="shared" si="5"/>
        <v>9375</v>
      </c>
      <c r="P9">
        <f t="shared" si="5"/>
        <v>9375</v>
      </c>
      <c r="Q9" s="157">
        <f t="shared" si="6"/>
        <v>45498</v>
      </c>
      <c r="T9" s="380"/>
      <c r="U9" s="380"/>
    </row>
    <row r="10" spans="5:21">
      <c r="I10" s="3324">
        <f t="shared" si="2"/>
        <v>1.0833333333333333</v>
      </c>
      <c r="J10" s="1555">
        <f t="shared" si="3"/>
        <v>45668</v>
      </c>
      <c r="K10">
        <v>7</v>
      </c>
      <c r="L10" s="3323">
        <f t="shared" si="0"/>
        <v>602544</v>
      </c>
      <c r="M10" s="3325">
        <f t="shared" si="4"/>
        <v>7583</v>
      </c>
      <c r="N10">
        <f t="shared" si="1"/>
        <v>9375</v>
      </c>
      <c r="O10" s="3326">
        <f t="shared" si="5"/>
        <v>9375</v>
      </c>
      <c r="P10">
        <f t="shared" si="5"/>
        <v>9375</v>
      </c>
      <c r="Q10" s="157">
        <f t="shared" si="6"/>
        <v>53081</v>
      </c>
      <c r="T10" s="380"/>
      <c r="U10" s="380"/>
    </row>
    <row r="11" spans="5:21">
      <c r="I11" s="3324">
        <f t="shared" si="2"/>
        <v>1.125</v>
      </c>
      <c r="J11" s="1555">
        <f t="shared" si="3"/>
        <v>45668</v>
      </c>
      <c r="K11">
        <v>8</v>
      </c>
      <c r="L11" s="3323">
        <f t="shared" si="0"/>
        <v>604336</v>
      </c>
      <c r="M11" s="3325">
        <f t="shared" si="4"/>
        <v>7583</v>
      </c>
      <c r="N11">
        <f t="shared" si="1"/>
        <v>9375</v>
      </c>
      <c r="O11" s="3326">
        <f t="shared" si="5"/>
        <v>9375</v>
      </c>
      <c r="P11">
        <f t="shared" si="5"/>
        <v>9375</v>
      </c>
      <c r="Q11" s="157">
        <f t="shared" si="6"/>
        <v>60664</v>
      </c>
      <c r="T11" s="380"/>
      <c r="U11" s="380"/>
    </row>
    <row r="12" spans="5:21">
      <c r="I12" s="3324">
        <f t="shared" si="2"/>
        <v>1.1666666666666667</v>
      </c>
      <c r="J12" s="1555">
        <f t="shared" si="3"/>
        <v>45668</v>
      </c>
      <c r="K12">
        <v>9</v>
      </c>
      <c r="L12" s="3323">
        <f t="shared" si="0"/>
        <v>606128</v>
      </c>
      <c r="M12" s="3325">
        <f t="shared" si="4"/>
        <v>7583</v>
      </c>
      <c r="N12">
        <f t="shared" si="1"/>
        <v>9375</v>
      </c>
      <c r="O12" s="3326">
        <f t="shared" si="5"/>
        <v>9375</v>
      </c>
      <c r="P12">
        <f t="shared" si="5"/>
        <v>9375</v>
      </c>
      <c r="Q12" s="157">
        <f t="shared" si="6"/>
        <v>68247</v>
      </c>
      <c r="T12" s="380"/>
      <c r="U12" s="380"/>
    </row>
    <row r="13" spans="5:21">
      <c r="I13" s="3324">
        <f t="shared" si="2"/>
        <v>1.2083333333333335</v>
      </c>
      <c r="J13" s="1555">
        <f t="shared" si="3"/>
        <v>45668</v>
      </c>
      <c r="K13">
        <v>10</v>
      </c>
      <c r="L13" s="3323">
        <f t="shared" si="0"/>
        <v>607920</v>
      </c>
      <c r="M13" s="3325">
        <f t="shared" si="4"/>
        <v>7583</v>
      </c>
      <c r="N13">
        <f t="shared" si="1"/>
        <v>9375</v>
      </c>
      <c r="O13" s="3326">
        <f t="shared" si="5"/>
        <v>9375</v>
      </c>
      <c r="P13">
        <f t="shared" si="5"/>
        <v>9375</v>
      </c>
      <c r="Q13" s="157">
        <f t="shared" si="6"/>
        <v>75830</v>
      </c>
      <c r="T13" s="380"/>
      <c r="U13" s="380"/>
    </row>
    <row r="14" spans="5:21">
      <c r="I14" s="3324">
        <f t="shared" si="2"/>
        <v>1.2500000000000002</v>
      </c>
      <c r="J14" s="1555">
        <f t="shared" si="3"/>
        <v>45668</v>
      </c>
      <c r="K14">
        <v>11</v>
      </c>
      <c r="L14" s="3323">
        <f t="shared" si="0"/>
        <v>609712</v>
      </c>
      <c r="M14" s="3325">
        <f t="shared" si="4"/>
        <v>7583</v>
      </c>
      <c r="N14">
        <f t="shared" si="1"/>
        <v>9375</v>
      </c>
      <c r="O14" s="3326">
        <f t="shared" si="5"/>
        <v>9375</v>
      </c>
      <c r="P14">
        <f t="shared" si="5"/>
        <v>9375</v>
      </c>
      <c r="Q14" s="157">
        <f t="shared" si="6"/>
        <v>83413</v>
      </c>
      <c r="T14" s="380"/>
      <c r="U14" s="380"/>
    </row>
    <row r="15" spans="5:21">
      <c r="I15" s="3324">
        <f t="shared" si="2"/>
        <v>1.291666666666667</v>
      </c>
      <c r="J15" s="1555">
        <f t="shared" si="3"/>
        <v>45668</v>
      </c>
      <c r="K15">
        <v>12</v>
      </c>
      <c r="L15" s="3323">
        <f t="shared" si="0"/>
        <v>611504</v>
      </c>
      <c r="M15" s="3325">
        <f t="shared" si="4"/>
        <v>7583</v>
      </c>
      <c r="N15">
        <f t="shared" si="1"/>
        <v>9375</v>
      </c>
      <c r="O15" s="3326">
        <f t="shared" si="5"/>
        <v>9375</v>
      </c>
      <c r="P15">
        <f t="shared" si="5"/>
        <v>9375</v>
      </c>
      <c r="Q15" s="157">
        <f t="shared" si="6"/>
        <v>90996</v>
      </c>
      <c r="T15" s="380"/>
      <c r="U15" s="380"/>
    </row>
    <row r="16" spans="5:21">
      <c r="I16" s="3324">
        <f t="shared" si="2"/>
        <v>1.3333333333333337</v>
      </c>
      <c r="J16" s="1555">
        <f t="shared" si="3"/>
        <v>45668</v>
      </c>
      <c r="K16">
        <v>13</v>
      </c>
      <c r="L16" s="3323">
        <f t="shared" si="0"/>
        <v>613296</v>
      </c>
      <c r="M16" s="3325">
        <f t="shared" si="4"/>
        <v>7583</v>
      </c>
      <c r="N16">
        <f t="shared" si="1"/>
        <v>9375</v>
      </c>
      <c r="O16" s="3326">
        <f t="shared" si="5"/>
        <v>9375</v>
      </c>
      <c r="P16">
        <f t="shared" si="5"/>
        <v>9375</v>
      </c>
      <c r="Q16" s="157">
        <f t="shared" si="6"/>
        <v>98579</v>
      </c>
      <c r="T16" s="380"/>
      <c r="U16" s="380"/>
    </row>
    <row r="17" spans="5:21">
      <c r="I17" s="3324">
        <f t="shared" si="2"/>
        <v>1.3750000000000004</v>
      </c>
      <c r="J17" s="1555">
        <f t="shared" si="3"/>
        <v>45668</v>
      </c>
      <c r="K17">
        <v>14</v>
      </c>
      <c r="L17" s="3323">
        <f t="shared" si="0"/>
        <v>615088</v>
      </c>
      <c r="M17" s="3325">
        <f t="shared" si="4"/>
        <v>7583</v>
      </c>
      <c r="N17">
        <f t="shared" si="1"/>
        <v>9375</v>
      </c>
      <c r="O17" s="3326">
        <f t="shared" si="5"/>
        <v>9375</v>
      </c>
      <c r="P17">
        <f t="shared" si="5"/>
        <v>9375</v>
      </c>
      <c r="Q17" s="157">
        <f t="shared" si="6"/>
        <v>106162</v>
      </c>
      <c r="T17" s="380"/>
      <c r="U17" s="380"/>
    </row>
    <row r="18" spans="5:21">
      <c r="I18" s="3324">
        <f t="shared" si="2"/>
        <v>1.4166666666666672</v>
      </c>
      <c r="J18" s="1555">
        <f t="shared" si="3"/>
        <v>45668</v>
      </c>
      <c r="K18">
        <v>15</v>
      </c>
      <c r="L18" s="3323">
        <f t="shared" si="0"/>
        <v>616880</v>
      </c>
      <c r="M18" s="3325">
        <f t="shared" si="4"/>
        <v>7583</v>
      </c>
      <c r="N18">
        <f t="shared" si="1"/>
        <v>9375</v>
      </c>
      <c r="O18" s="3326">
        <f t="shared" si="5"/>
        <v>9375</v>
      </c>
      <c r="P18">
        <f t="shared" si="5"/>
        <v>9375</v>
      </c>
      <c r="Q18" s="157">
        <f t="shared" si="6"/>
        <v>113745</v>
      </c>
      <c r="T18" s="380"/>
      <c r="U18" s="380"/>
    </row>
    <row r="19" spans="5:21">
      <c r="I19" s="3324">
        <f t="shared" si="2"/>
        <v>1.4583333333333339</v>
      </c>
      <c r="J19" s="1555">
        <f t="shared" si="3"/>
        <v>45668</v>
      </c>
      <c r="K19">
        <v>16</v>
      </c>
      <c r="L19" s="3323">
        <f t="shared" si="0"/>
        <v>618672</v>
      </c>
      <c r="M19" s="3325">
        <f t="shared" si="4"/>
        <v>7583</v>
      </c>
      <c r="N19">
        <f t="shared" si="1"/>
        <v>9375</v>
      </c>
      <c r="O19" s="3326">
        <f t="shared" si="5"/>
        <v>9375</v>
      </c>
      <c r="P19">
        <f t="shared" si="5"/>
        <v>9375</v>
      </c>
      <c r="Q19" s="157">
        <f t="shared" si="6"/>
        <v>121328</v>
      </c>
      <c r="T19" s="380"/>
      <c r="U19" s="380"/>
    </row>
    <row r="20" spans="5:21">
      <c r="I20" s="3324">
        <f t="shared" si="2"/>
        <v>1.5000000000000007</v>
      </c>
      <c r="J20" s="1555">
        <f t="shared" si="3"/>
        <v>45668</v>
      </c>
      <c r="K20">
        <v>17</v>
      </c>
      <c r="L20" s="3323">
        <f t="shared" si="0"/>
        <v>620464</v>
      </c>
      <c r="M20" s="3325">
        <f t="shared" si="4"/>
        <v>7583</v>
      </c>
      <c r="N20">
        <f t="shared" si="1"/>
        <v>9375</v>
      </c>
      <c r="O20" s="3326">
        <f t="shared" si="5"/>
        <v>9375</v>
      </c>
      <c r="P20">
        <f t="shared" si="5"/>
        <v>9375</v>
      </c>
      <c r="Q20" s="157">
        <f t="shared" si="6"/>
        <v>128911</v>
      </c>
      <c r="T20" s="380"/>
      <c r="U20" s="380"/>
    </row>
    <row r="21" spans="5:21">
      <c r="E21">
        <f>57000/11</f>
        <v>5181.818181818182</v>
      </c>
      <c r="I21" s="3324">
        <f t="shared" si="2"/>
        <v>1.5416666666666674</v>
      </c>
      <c r="J21" s="1555">
        <f t="shared" si="3"/>
        <v>45668</v>
      </c>
      <c r="K21">
        <v>18</v>
      </c>
      <c r="L21" s="3323">
        <f t="shared" si="0"/>
        <v>622256</v>
      </c>
      <c r="M21" s="3325">
        <f t="shared" si="4"/>
        <v>7583</v>
      </c>
      <c r="N21">
        <f t="shared" si="1"/>
        <v>9375</v>
      </c>
      <c r="O21" s="3326">
        <f t="shared" si="5"/>
        <v>9375</v>
      </c>
      <c r="P21">
        <f t="shared" si="5"/>
        <v>9375</v>
      </c>
      <c r="Q21" s="157">
        <f t="shared" si="6"/>
        <v>136494</v>
      </c>
      <c r="R21" s="3327"/>
      <c r="T21" s="380"/>
      <c r="U21" s="380"/>
    </row>
    <row r="22" spans="5:21">
      <c r="I22" s="3324">
        <f t="shared" si="2"/>
        <v>1.5833333333333341</v>
      </c>
      <c r="J22" s="1555">
        <f t="shared" si="3"/>
        <v>45668</v>
      </c>
      <c r="K22">
        <v>19</v>
      </c>
      <c r="L22" s="3323">
        <f t="shared" si="0"/>
        <v>624048</v>
      </c>
      <c r="M22" s="3325">
        <f t="shared" si="4"/>
        <v>7583</v>
      </c>
      <c r="N22">
        <f t="shared" si="1"/>
        <v>9375</v>
      </c>
      <c r="O22" s="3326">
        <f t="shared" ref="O22:P37" si="7">+O21</f>
        <v>9375</v>
      </c>
      <c r="P22">
        <f t="shared" si="7"/>
        <v>9375</v>
      </c>
      <c r="Q22" s="157">
        <f t="shared" si="6"/>
        <v>144077</v>
      </c>
      <c r="R22" s="3327"/>
      <c r="T22" s="380"/>
      <c r="U22" s="380"/>
    </row>
    <row r="23" spans="5:21">
      <c r="I23" s="3324">
        <f t="shared" si="2"/>
        <v>1.6250000000000009</v>
      </c>
      <c r="J23" s="1555">
        <f t="shared" si="3"/>
        <v>45668</v>
      </c>
      <c r="K23">
        <v>20</v>
      </c>
      <c r="L23" s="3323">
        <f t="shared" si="0"/>
        <v>625840</v>
      </c>
      <c r="M23" s="3325">
        <f t="shared" si="4"/>
        <v>7583</v>
      </c>
      <c r="N23">
        <f t="shared" si="1"/>
        <v>9375</v>
      </c>
      <c r="O23" s="3326">
        <f t="shared" si="7"/>
        <v>9375</v>
      </c>
      <c r="P23">
        <f t="shared" si="7"/>
        <v>9375</v>
      </c>
      <c r="Q23" s="157">
        <f t="shared" si="6"/>
        <v>151660</v>
      </c>
      <c r="R23" s="3327"/>
      <c r="T23" s="380"/>
      <c r="U23" s="380"/>
    </row>
    <row r="24" spans="5:21">
      <c r="I24" s="3324">
        <f t="shared" si="2"/>
        <v>1.6666666666666676</v>
      </c>
      <c r="J24" s="1555">
        <f t="shared" si="3"/>
        <v>45668</v>
      </c>
      <c r="K24">
        <v>21</v>
      </c>
      <c r="L24" s="3323">
        <f t="shared" si="0"/>
        <v>627632</v>
      </c>
      <c r="M24" s="3325">
        <f t="shared" si="4"/>
        <v>7583</v>
      </c>
      <c r="N24">
        <f t="shared" si="1"/>
        <v>9375</v>
      </c>
      <c r="O24" s="3326">
        <f t="shared" si="7"/>
        <v>9375</v>
      </c>
      <c r="P24">
        <f t="shared" si="7"/>
        <v>9375</v>
      </c>
      <c r="Q24" s="157">
        <f t="shared" si="6"/>
        <v>159243</v>
      </c>
      <c r="R24" s="3327"/>
      <c r="T24" s="380"/>
      <c r="U24" s="380"/>
    </row>
    <row r="25" spans="5:21">
      <c r="I25" s="3324">
        <f t="shared" si="2"/>
        <v>1.7083333333333344</v>
      </c>
      <c r="J25" s="1555">
        <f t="shared" si="3"/>
        <v>45668</v>
      </c>
      <c r="K25">
        <v>22</v>
      </c>
      <c r="L25" s="3323">
        <f t="shared" si="0"/>
        <v>629424</v>
      </c>
      <c r="M25" s="3325">
        <f t="shared" si="4"/>
        <v>7583</v>
      </c>
      <c r="N25">
        <f t="shared" si="1"/>
        <v>9375</v>
      </c>
      <c r="O25" s="3326">
        <f t="shared" si="7"/>
        <v>9375</v>
      </c>
      <c r="P25">
        <f t="shared" si="7"/>
        <v>9375</v>
      </c>
      <c r="Q25" s="157">
        <f t="shared" si="6"/>
        <v>166826</v>
      </c>
      <c r="R25" s="3327"/>
      <c r="T25" s="380"/>
      <c r="U25" s="380"/>
    </row>
    <row r="26" spans="5:21">
      <c r="I26" s="3324">
        <f t="shared" si="2"/>
        <v>1.7500000000000011</v>
      </c>
      <c r="J26" s="1555">
        <f t="shared" si="3"/>
        <v>45668</v>
      </c>
      <c r="K26">
        <v>23</v>
      </c>
      <c r="L26" s="3323">
        <f t="shared" si="0"/>
        <v>631216</v>
      </c>
      <c r="M26" s="3325">
        <f t="shared" si="4"/>
        <v>7583</v>
      </c>
      <c r="N26">
        <f t="shared" si="1"/>
        <v>9375</v>
      </c>
      <c r="O26" s="3326">
        <f t="shared" si="7"/>
        <v>9375</v>
      </c>
      <c r="P26">
        <f t="shared" si="7"/>
        <v>9375</v>
      </c>
      <c r="Q26" s="157">
        <f t="shared" si="6"/>
        <v>174409</v>
      </c>
      <c r="R26" s="3327"/>
      <c r="T26" s="380"/>
      <c r="U26" s="380"/>
    </row>
    <row r="27" spans="5:21">
      <c r="I27" s="3324">
        <f t="shared" si="2"/>
        <v>1.7916666666666679</v>
      </c>
      <c r="J27" s="1555">
        <f t="shared" si="3"/>
        <v>45668</v>
      </c>
      <c r="K27">
        <v>24</v>
      </c>
      <c r="L27" s="3323">
        <f t="shared" si="0"/>
        <v>628815</v>
      </c>
      <c r="M27" s="3325">
        <f t="shared" si="4"/>
        <v>7583</v>
      </c>
      <c r="N27">
        <f t="shared" si="1"/>
        <v>5182</v>
      </c>
      <c r="O27" s="3326">
        <v>5182</v>
      </c>
      <c r="P27">
        <v>5182</v>
      </c>
      <c r="Q27" s="157">
        <f t="shared" si="6"/>
        <v>181992</v>
      </c>
      <c r="R27" s="3327">
        <f>+Q27</f>
        <v>181992</v>
      </c>
      <c r="T27" s="380"/>
      <c r="U27" s="380"/>
    </row>
    <row r="28" spans="5:21">
      <c r="I28" s="3324">
        <f t="shared" si="2"/>
        <v>1.8333333333333346</v>
      </c>
      <c r="J28" s="1555">
        <f>+J27+1</f>
        <v>45669</v>
      </c>
      <c r="K28">
        <v>25</v>
      </c>
      <c r="L28" s="3323">
        <f t="shared" si="0"/>
        <v>626414</v>
      </c>
      <c r="M28" s="3325">
        <f t="shared" si="4"/>
        <v>7583</v>
      </c>
      <c r="N28">
        <f t="shared" si="1"/>
        <v>5182</v>
      </c>
      <c r="O28" s="3326">
        <f t="shared" si="7"/>
        <v>5182</v>
      </c>
      <c r="P28">
        <f t="shared" si="7"/>
        <v>5182</v>
      </c>
      <c r="Q28" s="157">
        <f>+M28</f>
        <v>7583</v>
      </c>
      <c r="T28" s="380"/>
      <c r="U28" s="380"/>
    </row>
    <row r="29" spans="5:21">
      <c r="I29" s="3324">
        <f t="shared" si="2"/>
        <v>1.8750000000000013</v>
      </c>
      <c r="J29" s="1555">
        <f t="shared" si="3"/>
        <v>45669</v>
      </c>
      <c r="K29">
        <v>26</v>
      </c>
      <c r="L29" s="3323">
        <f t="shared" si="0"/>
        <v>624013</v>
      </c>
      <c r="M29" s="3325">
        <f t="shared" si="4"/>
        <v>7583</v>
      </c>
      <c r="N29">
        <f t="shared" si="1"/>
        <v>5182</v>
      </c>
      <c r="O29" s="3326">
        <f t="shared" si="7"/>
        <v>5182</v>
      </c>
      <c r="P29">
        <f t="shared" si="7"/>
        <v>5182</v>
      </c>
      <c r="Q29" s="157">
        <f t="shared" ref="Q29:Q51" si="8">+Q28+M29</f>
        <v>15166</v>
      </c>
      <c r="T29" s="380"/>
      <c r="U29" s="380"/>
    </row>
    <row r="30" spans="5:21">
      <c r="I30" s="3324">
        <f t="shared" si="2"/>
        <v>1.9166666666666681</v>
      </c>
      <c r="J30" s="1555">
        <f t="shared" si="3"/>
        <v>45669</v>
      </c>
      <c r="K30">
        <v>27</v>
      </c>
      <c r="L30" s="3323">
        <f t="shared" si="0"/>
        <v>621612</v>
      </c>
      <c r="M30" s="3325">
        <f t="shared" si="4"/>
        <v>7583</v>
      </c>
      <c r="N30">
        <f t="shared" si="1"/>
        <v>5182</v>
      </c>
      <c r="O30" s="3326">
        <f t="shared" si="7"/>
        <v>5182</v>
      </c>
      <c r="P30">
        <f t="shared" si="7"/>
        <v>5182</v>
      </c>
      <c r="Q30" s="157">
        <f t="shared" si="8"/>
        <v>22749</v>
      </c>
      <c r="T30" s="380"/>
      <c r="U30" s="380"/>
    </row>
    <row r="31" spans="5:21">
      <c r="I31" s="3324">
        <f t="shared" si="2"/>
        <v>1.9583333333333348</v>
      </c>
      <c r="J31" s="1555">
        <f t="shared" si="3"/>
        <v>45669</v>
      </c>
      <c r="K31">
        <v>28</v>
      </c>
      <c r="L31" s="3323">
        <f t="shared" si="0"/>
        <v>619211</v>
      </c>
      <c r="M31" s="3325">
        <f t="shared" si="4"/>
        <v>7583</v>
      </c>
      <c r="N31">
        <f t="shared" si="1"/>
        <v>5182</v>
      </c>
      <c r="O31" s="3326">
        <f t="shared" si="7"/>
        <v>5182</v>
      </c>
      <c r="P31">
        <f t="shared" si="7"/>
        <v>5182</v>
      </c>
      <c r="Q31" s="157">
        <f t="shared" si="8"/>
        <v>30332</v>
      </c>
      <c r="T31" s="380"/>
      <c r="U31" s="380"/>
    </row>
    <row r="32" spans="5:21">
      <c r="I32" s="3324">
        <f t="shared" si="2"/>
        <v>2.0000000000000013</v>
      </c>
      <c r="J32" s="1555">
        <f t="shared" si="3"/>
        <v>45669</v>
      </c>
      <c r="K32">
        <v>29</v>
      </c>
      <c r="L32" s="3323">
        <f t="shared" si="0"/>
        <v>616810</v>
      </c>
      <c r="M32" s="3325">
        <f t="shared" si="4"/>
        <v>7583</v>
      </c>
      <c r="N32">
        <f t="shared" si="1"/>
        <v>5182</v>
      </c>
      <c r="O32" s="3326">
        <f t="shared" si="7"/>
        <v>5182</v>
      </c>
      <c r="P32">
        <f t="shared" si="7"/>
        <v>5182</v>
      </c>
      <c r="Q32" s="157">
        <f t="shared" si="8"/>
        <v>37915</v>
      </c>
      <c r="T32" s="380"/>
      <c r="U32" s="380"/>
    </row>
    <row r="33" spans="1:21">
      <c r="I33" s="3324">
        <f t="shared" si="2"/>
        <v>2.0416666666666679</v>
      </c>
      <c r="J33" s="1555">
        <f t="shared" si="3"/>
        <v>45669</v>
      </c>
      <c r="K33">
        <v>30</v>
      </c>
      <c r="L33" s="3323">
        <f t="shared" si="0"/>
        <v>614409</v>
      </c>
      <c r="M33" s="3325">
        <f t="shared" si="4"/>
        <v>7583</v>
      </c>
      <c r="N33">
        <f t="shared" si="1"/>
        <v>5182</v>
      </c>
      <c r="O33" s="3326">
        <f t="shared" si="7"/>
        <v>5182</v>
      </c>
      <c r="P33">
        <f t="shared" si="7"/>
        <v>5182</v>
      </c>
      <c r="Q33" s="157">
        <f t="shared" si="8"/>
        <v>45498</v>
      </c>
      <c r="T33" s="380"/>
      <c r="U33" s="380"/>
    </row>
    <row r="34" spans="1:21">
      <c r="I34" s="3324">
        <f t="shared" si="2"/>
        <v>2.0833333333333344</v>
      </c>
      <c r="J34" s="1555">
        <f t="shared" si="3"/>
        <v>45669</v>
      </c>
      <c r="K34">
        <v>31</v>
      </c>
      <c r="L34" s="3323">
        <f t="shared" si="0"/>
        <v>612008</v>
      </c>
      <c r="M34" s="3325">
        <f t="shared" si="4"/>
        <v>7583</v>
      </c>
      <c r="N34">
        <f t="shared" si="1"/>
        <v>5182</v>
      </c>
      <c r="O34" s="3326">
        <f t="shared" si="7"/>
        <v>5182</v>
      </c>
      <c r="P34">
        <f t="shared" si="7"/>
        <v>5182</v>
      </c>
      <c r="Q34" s="157">
        <f t="shared" si="8"/>
        <v>53081</v>
      </c>
      <c r="T34" s="380"/>
      <c r="U34" s="380"/>
    </row>
    <row r="35" spans="1:21">
      <c r="I35" s="3324">
        <f t="shared" si="2"/>
        <v>2.1250000000000009</v>
      </c>
      <c r="J35" s="1555">
        <f t="shared" si="3"/>
        <v>45669</v>
      </c>
      <c r="K35">
        <v>32</v>
      </c>
      <c r="L35" s="3323">
        <f t="shared" si="0"/>
        <v>609607</v>
      </c>
      <c r="M35" s="3325">
        <f t="shared" si="4"/>
        <v>7583</v>
      </c>
      <c r="N35">
        <f t="shared" si="1"/>
        <v>5182</v>
      </c>
      <c r="O35" s="3326">
        <f t="shared" si="7"/>
        <v>5182</v>
      </c>
      <c r="P35">
        <f t="shared" si="7"/>
        <v>5182</v>
      </c>
      <c r="Q35" s="157">
        <f t="shared" si="8"/>
        <v>60664</v>
      </c>
      <c r="T35" s="380"/>
      <c r="U35" s="380"/>
    </row>
    <row r="36" spans="1:21">
      <c r="I36" s="3324">
        <f t="shared" si="2"/>
        <v>2.1666666666666674</v>
      </c>
      <c r="J36" s="1555">
        <f t="shared" si="3"/>
        <v>45669</v>
      </c>
      <c r="K36">
        <v>33</v>
      </c>
      <c r="L36" s="3323">
        <f t="shared" si="0"/>
        <v>607206</v>
      </c>
      <c r="M36" s="3325">
        <f t="shared" si="4"/>
        <v>7583</v>
      </c>
      <c r="N36">
        <f t="shared" si="1"/>
        <v>5182</v>
      </c>
      <c r="O36" s="3326">
        <f t="shared" si="7"/>
        <v>5182</v>
      </c>
      <c r="P36">
        <f t="shared" si="7"/>
        <v>5182</v>
      </c>
      <c r="Q36" s="157">
        <f t="shared" si="8"/>
        <v>68247</v>
      </c>
      <c r="T36" s="380"/>
      <c r="U36" s="380"/>
    </row>
    <row r="37" spans="1:21">
      <c r="I37" s="3324">
        <f t="shared" si="2"/>
        <v>2.2083333333333339</v>
      </c>
      <c r="J37" s="1555">
        <f t="shared" si="3"/>
        <v>45669</v>
      </c>
      <c r="K37">
        <v>34</v>
      </c>
      <c r="L37" s="3323">
        <f t="shared" si="0"/>
        <v>604805</v>
      </c>
      <c r="M37" s="3325">
        <f t="shared" si="4"/>
        <v>7583</v>
      </c>
      <c r="N37">
        <f t="shared" si="1"/>
        <v>5182</v>
      </c>
      <c r="O37" s="3326">
        <f t="shared" si="7"/>
        <v>5182</v>
      </c>
      <c r="P37">
        <f t="shared" si="7"/>
        <v>5182</v>
      </c>
      <c r="Q37" s="157">
        <f t="shared" si="8"/>
        <v>75830</v>
      </c>
      <c r="T37" s="380"/>
      <c r="U37" s="380"/>
    </row>
    <row r="38" spans="1:21">
      <c r="A38" s="4480" t="s">
        <v>1608</v>
      </c>
      <c r="B38" s="4480"/>
      <c r="C38" s="4480"/>
      <c r="D38" s="4480"/>
      <c r="E38" s="4480"/>
      <c r="F38" s="331"/>
      <c r="I38" s="3331">
        <f t="shared" si="2"/>
        <v>2.2500000000000004</v>
      </c>
      <c r="J38" s="1555">
        <f t="shared" si="3"/>
        <v>45669</v>
      </c>
      <c r="K38">
        <v>1</v>
      </c>
      <c r="L38" s="3323">
        <f t="shared" si="0"/>
        <v>602404</v>
      </c>
      <c r="M38" s="3325">
        <f t="shared" si="4"/>
        <v>7583</v>
      </c>
      <c r="N38">
        <f t="shared" si="1"/>
        <v>5182</v>
      </c>
      <c r="O38" s="3326">
        <f t="shared" ref="O38:P53" si="9">+O37</f>
        <v>5182</v>
      </c>
      <c r="P38">
        <f t="shared" si="9"/>
        <v>5182</v>
      </c>
      <c r="Q38" s="157">
        <f t="shared" si="8"/>
        <v>83413</v>
      </c>
      <c r="T38" s="380"/>
      <c r="U38" s="380"/>
    </row>
    <row r="39" spans="1:21">
      <c r="F39">
        <v>1</v>
      </c>
      <c r="G39" s="380">
        <v>1</v>
      </c>
      <c r="H39" s="3335">
        <v>1</v>
      </c>
      <c r="I39" s="3324">
        <f t="shared" si="2"/>
        <v>2.291666666666667</v>
      </c>
      <c r="J39" s="1555">
        <f t="shared" si="3"/>
        <v>45669</v>
      </c>
      <c r="K39">
        <f>1+K38</f>
        <v>2</v>
      </c>
      <c r="L39" s="3323">
        <f t="shared" si="0"/>
        <v>598404</v>
      </c>
      <c r="M39" s="3325">
        <v>4000</v>
      </c>
      <c r="N39">
        <f t="shared" si="1"/>
        <v>0</v>
      </c>
      <c r="O39" s="3326">
        <v>0</v>
      </c>
      <c r="P39">
        <v>0</v>
      </c>
      <c r="Q39" s="157">
        <f t="shared" si="8"/>
        <v>87413</v>
      </c>
      <c r="U39" s="380"/>
    </row>
    <row r="40" spans="1:21">
      <c r="F40">
        <v>2</v>
      </c>
      <c r="G40" s="380">
        <v>2</v>
      </c>
      <c r="H40" s="3335">
        <v>2</v>
      </c>
      <c r="I40" s="3324">
        <f t="shared" si="2"/>
        <v>2.3333333333333335</v>
      </c>
      <c r="J40" s="1555">
        <f t="shared" si="3"/>
        <v>45669</v>
      </c>
      <c r="K40">
        <v>37</v>
      </c>
      <c r="L40" s="3323">
        <f t="shared" si="0"/>
        <v>594404</v>
      </c>
      <c r="M40" s="3325">
        <f t="shared" si="4"/>
        <v>4000</v>
      </c>
      <c r="N40">
        <f t="shared" si="1"/>
        <v>0</v>
      </c>
      <c r="O40" s="3326">
        <f t="shared" si="9"/>
        <v>0</v>
      </c>
      <c r="P40">
        <f t="shared" si="9"/>
        <v>0</v>
      </c>
      <c r="Q40" s="157">
        <f t="shared" si="8"/>
        <v>91413</v>
      </c>
      <c r="U40" s="380"/>
    </row>
    <row r="41" spans="1:21">
      <c r="F41">
        <v>3</v>
      </c>
      <c r="G41" s="380">
        <v>3</v>
      </c>
      <c r="H41" s="3335">
        <v>3</v>
      </c>
      <c r="I41" s="3324">
        <f t="shared" si="2"/>
        <v>2.375</v>
      </c>
      <c r="J41" s="1555">
        <f t="shared" si="3"/>
        <v>45669</v>
      </c>
      <c r="K41">
        <v>38</v>
      </c>
      <c r="L41" s="3323">
        <f t="shared" si="0"/>
        <v>590404</v>
      </c>
      <c r="M41" s="3325">
        <f t="shared" si="4"/>
        <v>4000</v>
      </c>
      <c r="N41">
        <f t="shared" si="1"/>
        <v>0</v>
      </c>
      <c r="O41" s="3326">
        <f t="shared" si="9"/>
        <v>0</v>
      </c>
      <c r="P41">
        <f t="shared" si="9"/>
        <v>0</v>
      </c>
      <c r="Q41" s="157">
        <f t="shared" si="8"/>
        <v>95413</v>
      </c>
      <c r="U41" s="380"/>
    </row>
    <row r="42" spans="1:21">
      <c r="F42">
        <v>4</v>
      </c>
      <c r="G42" s="380">
        <v>4</v>
      </c>
      <c r="H42" s="3335">
        <v>4</v>
      </c>
      <c r="I42" s="3324">
        <f t="shared" si="2"/>
        <v>2.4166666666666665</v>
      </c>
      <c r="J42" s="1555">
        <f t="shared" si="3"/>
        <v>45669</v>
      </c>
      <c r="K42">
        <v>39</v>
      </c>
      <c r="L42" s="3323">
        <f t="shared" si="0"/>
        <v>586404</v>
      </c>
      <c r="M42" s="3325">
        <f t="shared" si="4"/>
        <v>4000</v>
      </c>
      <c r="N42">
        <f t="shared" si="1"/>
        <v>0</v>
      </c>
      <c r="O42" s="3326">
        <f t="shared" si="9"/>
        <v>0</v>
      </c>
      <c r="P42">
        <f t="shared" si="9"/>
        <v>0</v>
      </c>
      <c r="Q42" s="157">
        <f t="shared" si="8"/>
        <v>99413</v>
      </c>
      <c r="U42" s="380"/>
    </row>
    <row r="43" spans="1:21">
      <c r="F43">
        <v>5</v>
      </c>
      <c r="G43" s="380">
        <v>5</v>
      </c>
      <c r="H43" s="3335">
        <v>5</v>
      </c>
      <c r="I43" s="3324">
        <f t="shared" si="2"/>
        <v>2.458333333333333</v>
      </c>
      <c r="J43" s="1555">
        <f t="shared" si="3"/>
        <v>45669</v>
      </c>
      <c r="K43">
        <v>40</v>
      </c>
      <c r="L43" s="3323">
        <f t="shared" si="0"/>
        <v>582404</v>
      </c>
      <c r="M43" s="3325">
        <f t="shared" si="4"/>
        <v>4000</v>
      </c>
      <c r="N43">
        <f t="shared" si="1"/>
        <v>0</v>
      </c>
      <c r="O43" s="3326">
        <f t="shared" si="9"/>
        <v>0</v>
      </c>
      <c r="P43">
        <f t="shared" si="9"/>
        <v>0</v>
      </c>
      <c r="Q43" s="157">
        <f t="shared" si="8"/>
        <v>103413</v>
      </c>
      <c r="U43" s="380"/>
    </row>
    <row r="44" spans="1:21">
      <c r="F44">
        <v>6</v>
      </c>
      <c r="G44" s="380">
        <v>6</v>
      </c>
      <c r="H44" s="3335">
        <v>6</v>
      </c>
      <c r="I44" s="3324">
        <f t="shared" si="2"/>
        <v>2.4999999999999996</v>
      </c>
      <c r="J44" s="1555">
        <f t="shared" si="3"/>
        <v>45669</v>
      </c>
      <c r="K44">
        <v>41</v>
      </c>
      <c r="L44" s="3323">
        <f t="shared" si="0"/>
        <v>578404</v>
      </c>
      <c r="M44" s="3325">
        <f t="shared" si="4"/>
        <v>4000</v>
      </c>
      <c r="N44">
        <f t="shared" si="1"/>
        <v>0</v>
      </c>
      <c r="O44" s="3326">
        <f t="shared" si="9"/>
        <v>0</v>
      </c>
      <c r="P44">
        <f t="shared" si="9"/>
        <v>0</v>
      </c>
      <c r="Q44" s="157">
        <f t="shared" si="8"/>
        <v>107413</v>
      </c>
      <c r="U44" s="380"/>
    </row>
    <row r="45" spans="1:21">
      <c r="F45">
        <v>7</v>
      </c>
      <c r="G45" s="380">
        <v>7</v>
      </c>
      <c r="H45" s="3335">
        <v>7</v>
      </c>
      <c r="I45" s="3324">
        <f t="shared" si="2"/>
        <v>2.5416666666666661</v>
      </c>
      <c r="J45" s="1555">
        <f t="shared" si="3"/>
        <v>45669</v>
      </c>
      <c r="K45">
        <v>42</v>
      </c>
      <c r="L45" s="3323">
        <f t="shared" si="0"/>
        <v>574404</v>
      </c>
      <c r="M45" s="3325">
        <f t="shared" si="4"/>
        <v>4000</v>
      </c>
      <c r="N45">
        <f t="shared" si="1"/>
        <v>0</v>
      </c>
      <c r="O45" s="3326">
        <f t="shared" si="9"/>
        <v>0</v>
      </c>
      <c r="P45">
        <f t="shared" si="9"/>
        <v>0</v>
      </c>
      <c r="Q45" s="157">
        <f t="shared" si="8"/>
        <v>111413</v>
      </c>
      <c r="R45" s="3327"/>
      <c r="U45" s="380"/>
    </row>
    <row r="46" spans="1:21">
      <c r="F46">
        <v>8</v>
      </c>
      <c r="G46" s="380">
        <v>8</v>
      </c>
      <c r="H46" s="3335">
        <v>8</v>
      </c>
      <c r="I46" s="3324">
        <f t="shared" si="2"/>
        <v>2.5833333333333326</v>
      </c>
      <c r="J46" s="1555">
        <f t="shared" si="3"/>
        <v>45669</v>
      </c>
      <c r="K46">
        <v>43</v>
      </c>
      <c r="L46" s="3323">
        <f t="shared" si="0"/>
        <v>570404</v>
      </c>
      <c r="M46" s="3325">
        <f t="shared" si="4"/>
        <v>4000</v>
      </c>
      <c r="N46">
        <f t="shared" si="1"/>
        <v>0</v>
      </c>
      <c r="O46" s="3326">
        <f t="shared" si="9"/>
        <v>0</v>
      </c>
      <c r="P46">
        <f t="shared" si="9"/>
        <v>0</v>
      </c>
      <c r="Q46" s="157">
        <f t="shared" si="8"/>
        <v>115413</v>
      </c>
      <c r="R46" s="3327"/>
      <c r="U46" s="380"/>
    </row>
    <row r="47" spans="1:21">
      <c r="F47">
        <v>9</v>
      </c>
      <c r="G47" s="380">
        <v>9</v>
      </c>
      <c r="H47" s="3335">
        <v>9</v>
      </c>
      <c r="I47" s="3324">
        <f t="shared" si="2"/>
        <v>2.6249999999999991</v>
      </c>
      <c r="J47" s="1555">
        <f t="shared" si="3"/>
        <v>45669</v>
      </c>
      <c r="K47">
        <v>44</v>
      </c>
      <c r="L47" s="3323">
        <f t="shared" si="0"/>
        <v>566404</v>
      </c>
      <c r="M47" s="3325">
        <f t="shared" si="4"/>
        <v>4000</v>
      </c>
      <c r="N47">
        <f t="shared" si="1"/>
        <v>0</v>
      </c>
      <c r="O47" s="3326">
        <f t="shared" si="9"/>
        <v>0</v>
      </c>
      <c r="P47">
        <f t="shared" si="9"/>
        <v>0</v>
      </c>
      <c r="Q47" s="157">
        <f t="shared" si="8"/>
        <v>119413</v>
      </c>
      <c r="R47" s="3327"/>
      <c r="U47" s="380"/>
    </row>
    <row r="48" spans="1:21">
      <c r="F48">
        <v>10</v>
      </c>
      <c r="G48" s="380">
        <v>10</v>
      </c>
      <c r="H48" s="3335">
        <v>10</v>
      </c>
      <c r="I48" s="3324">
        <f t="shared" si="2"/>
        <v>2.6666666666666656</v>
      </c>
      <c r="J48" s="1555">
        <f t="shared" si="3"/>
        <v>45669</v>
      </c>
      <c r="K48">
        <v>45</v>
      </c>
      <c r="L48" s="3323">
        <f t="shared" si="0"/>
        <v>562404</v>
      </c>
      <c r="M48" s="3325">
        <f t="shared" si="4"/>
        <v>4000</v>
      </c>
      <c r="N48">
        <f t="shared" si="1"/>
        <v>0</v>
      </c>
      <c r="O48" s="3326">
        <f t="shared" si="9"/>
        <v>0</v>
      </c>
      <c r="P48">
        <f t="shared" si="9"/>
        <v>0</v>
      </c>
      <c r="Q48" s="157">
        <f t="shared" si="8"/>
        <v>123413</v>
      </c>
      <c r="R48" s="3327"/>
      <c r="U48" s="380"/>
    </row>
    <row r="49" spans="6:21">
      <c r="F49">
        <v>11</v>
      </c>
      <c r="G49" s="380">
        <v>11</v>
      </c>
      <c r="H49" s="3335">
        <v>11</v>
      </c>
      <c r="I49" s="3324">
        <f t="shared" si="2"/>
        <v>2.7083333333333321</v>
      </c>
      <c r="J49" s="1555">
        <f t="shared" si="3"/>
        <v>45669</v>
      </c>
      <c r="K49">
        <v>46</v>
      </c>
      <c r="L49" s="3323">
        <f t="shared" si="0"/>
        <v>558404</v>
      </c>
      <c r="M49" s="3325">
        <f t="shared" si="4"/>
        <v>4000</v>
      </c>
      <c r="N49">
        <f t="shared" si="1"/>
        <v>0</v>
      </c>
      <c r="O49" s="3326">
        <f t="shared" si="9"/>
        <v>0</v>
      </c>
      <c r="P49">
        <f t="shared" si="9"/>
        <v>0</v>
      </c>
      <c r="Q49" s="157">
        <f t="shared" si="8"/>
        <v>127413</v>
      </c>
      <c r="R49" s="3327"/>
      <c r="U49" s="380"/>
    </row>
    <row r="50" spans="6:21">
      <c r="F50">
        <v>12</v>
      </c>
      <c r="G50" s="380">
        <v>12</v>
      </c>
      <c r="H50" s="3335">
        <v>12</v>
      </c>
      <c r="I50" s="3324">
        <f t="shared" si="2"/>
        <v>2.7499999999999987</v>
      </c>
      <c r="J50" s="1555">
        <f t="shared" si="3"/>
        <v>45669</v>
      </c>
      <c r="K50">
        <v>47</v>
      </c>
      <c r="L50" s="3323">
        <f t="shared" si="0"/>
        <v>554404</v>
      </c>
      <c r="M50" s="3325">
        <f t="shared" si="4"/>
        <v>4000</v>
      </c>
      <c r="N50">
        <f t="shared" si="1"/>
        <v>0</v>
      </c>
      <c r="O50" s="3326">
        <f t="shared" si="9"/>
        <v>0</v>
      </c>
      <c r="P50">
        <f t="shared" si="9"/>
        <v>0</v>
      </c>
      <c r="Q50" s="157">
        <f t="shared" si="8"/>
        <v>131413</v>
      </c>
      <c r="R50" s="3327"/>
      <c r="U50" s="380"/>
    </row>
    <row r="51" spans="6:21">
      <c r="F51">
        <v>13</v>
      </c>
      <c r="G51" s="380">
        <v>13</v>
      </c>
      <c r="H51" s="3335">
        <v>13</v>
      </c>
      <c r="I51" s="3324">
        <f t="shared" si="2"/>
        <v>2.7916666666666652</v>
      </c>
      <c r="J51" s="1555">
        <f t="shared" si="3"/>
        <v>45669</v>
      </c>
      <c r="K51">
        <v>48</v>
      </c>
      <c r="L51" s="3323">
        <f t="shared" si="0"/>
        <v>550404</v>
      </c>
      <c r="M51" s="3325">
        <f t="shared" si="4"/>
        <v>4000</v>
      </c>
      <c r="N51">
        <f t="shared" si="1"/>
        <v>0</v>
      </c>
      <c r="O51" s="3326">
        <f t="shared" si="9"/>
        <v>0</v>
      </c>
      <c r="P51">
        <f t="shared" si="9"/>
        <v>0</v>
      </c>
      <c r="Q51" s="157">
        <f t="shared" si="8"/>
        <v>135413</v>
      </c>
      <c r="R51" s="3327">
        <f>+Q51</f>
        <v>135413</v>
      </c>
      <c r="U51" s="380"/>
    </row>
    <row r="52" spans="6:21">
      <c r="F52">
        <v>14</v>
      </c>
      <c r="G52" s="380">
        <v>14</v>
      </c>
      <c r="H52" s="3335">
        <v>14</v>
      </c>
      <c r="I52" s="3324">
        <f t="shared" si="2"/>
        <v>2.8333333333333317</v>
      </c>
      <c r="J52" s="1555">
        <f>+J51+1</f>
        <v>45670</v>
      </c>
      <c r="K52">
        <v>49</v>
      </c>
      <c r="L52" s="3323">
        <f t="shared" si="0"/>
        <v>546904</v>
      </c>
      <c r="M52" s="3325">
        <v>3500</v>
      </c>
      <c r="N52">
        <f t="shared" si="1"/>
        <v>0</v>
      </c>
      <c r="O52" s="3326">
        <f t="shared" si="9"/>
        <v>0</v>
      </c>
      <c r="P52">
        <f t="shared" si="9"/>
        <v>0</v>
      </c>
      <c r="Q52" s="157">
        <f>+M52</f>
        <v>3500</v>
      </c>
      <c r="U52" s="380"/>
    </row>
    <row r="53" spans="6:21">
      <c r="F53">
        <v>15</v>
      </c>
      <c r="G53" s="380">
        <v>15</v>
      </c>
      <c r="H53" s="3335">
        <v>15</v>
      </c>
      <c r="I53" s="3324">
        <f t="shared" si="2"/>
        <v>2.8749999999999982</v>
      </c>
      <c r="J53" s="1555">
        <f t="shared" si="3"/>
        <v>45670</v>
      </c>
      <c r="K53">
        <v>50</v>
      </c>
      <c r="L53" s="3323">
        <f t="shared" si="0"/>
        <v>543404</v>
      </c>
      <c r="M53" s="3325">
        <f t="shared" si="4"/>
        <v>3500</v>
      </c>
      <c r="N53">
        <f t="shared" si="1"/>
        <v>0</v>
      </c>
      <c r="O53" s="3326">
        <f t="shared" si="9"/>
        <v>0</v>
      </c>
      <c r="P53">
        <f t="shared" si="9"/>
        <v>0</v>
      </c>
      <c r="Q53" s="157">
        <f t="shared" ref="Q53:Q75" si="10">+Q52+M53</f>
        <v>7000</v>
      </c>
      <c r="U53" s="380"/>
    </row>
    <row r="54" spans="6:21">
      <c r="F54">
        <v>16</v>
      </c>
      <c r="G54" s="380">
        <v>16</v>
      </c>
      <c r="H54" s="3335">
        <v>16</v>
      </c>
      <c r="I54" s="3324">
        <f t="shared" si="2"/>
        <v>2.9166666666666647</v>
      </c>
      <c r="J54" s="1555">
        <f t="shared" si="3"/>
        <v>45670</v>
      </c>
      <c r="K54">
        <v>51</v>
      </c>
      <c r="L54" s="3323">
        <f t="shared" si="0"/>
        <v>539904</v>
      </c>
      <c r="M54" s="3325">
        <f t="shared" si="4"/>
        <v>3500</v>
      </c>
      <c r="N54">
        <f t="shared" si="1"/>
        <v>0</v>
      </c>
      <c r="O54" s="3326">
        <f t="shared" ref="O54:P69" si="11">+O53</f>
        <v>0</v>
      </c>
      <c r="P54">
        <f t="shared" si="11"/>
        <v>0</v>
      </c>
      <c r="Q54" s="157">
        <f t="shared" si="10"/>
        <v>10500</v>
      </c>
      <c r="U54" s="380"/>
    </row>
    <row r="55" spans="6:21">
      <c r="F55">
        <v>17</v>
      </c>
      <c r="G55" s="380">
        <v>17</v>
      </c>
      <c r="H55" s="3335">
        <v>17</v>
      </c>
      <c r="I55" s="3324">
        <f t="shared" si="2"/>
        <v>2.9583333333333313</v>
      </c>
      <c r="J55" s="1555">
        <f t="shared" si="3"/>
        <v>45670</v>
      </c>
      <c r="K55">
        <v>52</v>
      </c>
      <c r="L55" s="3323">
        <f t="shared" si="0"/>
        <v>536404</v>
      </c>
      <c r="M55" s="3325">
        <f t="shared" si="4"/>
        <v>3500</v>
      </c>
      <c r="N55">
        <f t="shared" si="1"/>
        <v>0</v>
      </c>
      <c r="O55" s="3326">
        <f t="shared" si="11"/>
        <v>0</v>
      </c>
      <c r="P55">
        <f t="shared" si="11"/>
        <v>0</v>
      </c>
      <c r="Q55" s="157">
        <f t="shared" si="10"/>
        <v>14000</v>
      </c>
      <c r="U55" s="380"/>
    </row>
    <row r="56" spans="6:21">
      <c r="F56">
        <v>18</v>
      </c>
      <c r="G56" s="380">
        <v>18</v>
      </c>
      <c r="H56" s="3335">
        <v>18</v>
      </c>
      <c r="I56" s="3324">
        <f t="shared" si="2"/>
        <v>2.9999999999999978</v>
      </c>
      <c r="J56" s="1555">
        <f t="shared" si="3"/>
        <v>45670</v>
      </c>
      <c r="K56">
        <v>53</v>
      </c>
      <c r="L56" s="3323">
        <f t="shared" si="0"/>
        <v>532904</v>
      </c>
      <c r="M56" s="3325">
        <f t="shared" si="4"/>
        <v>3500</v>
      </c>
      <c r="N56">
        <f t="shared" si="1"/>
        <v>0</v>
      </c>
      <c r="O56" s="3326">
        <f t="shared" si="11"/>
        <v>0</v>
      </c>
      <c r="P56">
        <f t="shared" si="11"/>
        <v>0</v>
      </c>
      <c r="Q56" s="157">
        <f t="shared" si="10"/>
        <v>17500</v>
      </c>
      <c r="U56" s="380"/>
    </row>
    <row r="57" spans="6:21">
      <c r="F57">
        <v>19</v>
      </c>
      <c r="G57" s="380">
        <v>19</v>
      </c>
      <c r="H57" s="3335">
        <v>19</v>
      </c>
      <c r="I57" s="3324">
        <f t="shared" si="2"/>
        <v>3.0416666666666643</v>
      </c>
      <c r="J57" s="1555">
        <f t="shared" si="3"/>
        <v>45670</v>
      </c>
      <c r="K57">
        <v>54</v>
      </c>
      <c r="L57" s="3323">
        <f t="shared" si="0"/>
        <v>529404</v>
      </c>
      <c r="M57" s="3325">
        <f t="shared" si="4"/>
        <v>3500</v>
      </c>
      <c r="N57">
        <f t="shared" si="1"/>
        <v>0</v>
      </c>
      <c r="O57" s="3326">
        <f t="shared" si="11"/>
        <v>0</v>
      </c>
      <c r="P57">
        <f t="shared" si="11"/>
        <v>0</v>
      </c>
      <c r="Q57" s="157">
        <f t="shared" si="10"/>
        <v>21000</v>
      </c>
      <c r="U57" s="380"/>
    </row>
    <row r="58" spans="6:21">
      <c r="F58">
        <v>20</v>
      </c>
      <c r="G58" s="380">
        <v>20</v>
      </c>
      <c r="H58" s="3335">
        <v>20</v>
      </c>
      <c r="I58" s="3324">
        <f t="shared" si="2"/>
        <v>3.0833333333333308</v>
      </c>
      <c r="J58" s="1555">
        <f t="shared" si="3"/>
        <v>45670</v>
      </c>
      <c r="K58">
        <v>55</v>
      </c>
      <c r="L58" s="3323">
        <f t="shared" si="0"/>
        <v>525904</v>
      </c>
      <c r="M58" s="3325">
        <f t="shared" si="4"/>
        <v>3500</v>
      </c>
      <c r="N58">
        <f t="shared" si="1"/>
        <v>0</v>
      </c>
      <c r="O58" s="3326">
        <f t="shared" si="11"/>
        <v>0</v>
      </c>
      <c r="P58">
        <f t="shared" si="11"/>
        <v>0</v>
      </c>
      <c r="Q58" s="157">
        <f t="shared" si="10"/>
        <v>24500</v>
      </c>
      <c r="U58" s="380"/>
    </row>
    <row r="59" spans="6:21">
      <c r="F59">
        <v>21</v>
      </c>
      <c r="G59" s="380">
        <v>21</v>
      </c>
      <c r="H59" s="3335">
        <v>21</v>
      </c>
      <c r="I59" s="3324">
        <f t="shared" si="2"/>
        <v>3.1249999999999973</v>
      </c>
      <c r="J59" s="1555">
        <f t="shared" si="3"/>
        <v>45670</v>
      </c>
      <c r="K59">
        <v>56</v>
      </c>
      <c r="L59" s="3323">
        <f t="shared" si="0"/>
        <v>522404</v>
      </c>
      <c r="M59" s="3325">
        <f t="shared" si="4"/>
        <v>3500</v>
      </c>
      <c r="N59">
        <f t="shared" si="1"/>
        <v>0</v>
      </c>
      <c r="O59" s="3326">
        <f t="shared" si="11"/>
        <v>0</v>
      </c>
      <c r="P59">
        <f t="shared" si="11"/>
        <v>0</v>
      </c>
      <c r="Q59" s="157">
        <f t="shared" si="10"/>
        <v>28000</v>
      </c>
      <c r="U59" s="380"/>
    </row>
    <row r="60" spans="6:21">
      <c r="F60">
        <v>22</v>
      </c>
      <c r="G60" s="380">
        <v>22</v>
      </c>
      <c r="H60" s="3335">
        <v>22</v>
      </c>
      <c r="I60" s="3324">
        <f t="shared" si="2"/>
        <v>3.1666666666666639</v>
      </c>
      <c r="J60" s="1555">
        <f t="shared" si="3"/>
        <v>45670</v>
      </c>
      <c r="K60">
        <v>57</v>
      </c>
      <c r="L60" s="3323">
        <f t="shared" si="0"/>
        <v>518904</v>
      </c>
      <c r="M60" s="3325">
        <f t="shared" si="4"/>
        <v>3500</v>
      </c>
      <c r="N60">
        <f t="shared" si="1"/>
        <v>0</v>
      </c>
      <c r="O60" s="3326">
        <f t="shared" si="11"/>
        <v>0</v>
      </c>
      <c r="P60">
        <f t="shared" si="11"/>
        <v>0</v>
      </c>
      <c r="Q60" s="157">
        <f t="shared" si="10"/>
        <v>31500</v>
      </c>
      <c r="U60" s="380"/>
    </row>
    <row r="61" spans="6:21">
      <c r="F61">
        <v>23</v>
      </c>
      <c r="G61" s="380">
        <v>23</v>
      </c>
      <c r="H61" s="3335">
        <v>23</v>
      </c>
      <c r="I61" s="3324">
        <f t="shared" si="2"/>
        <v>3.2083333333333304</v>
      </c>
      <c r="J61" s="1555">
        <f t="shared" si="3"/>
        <v>45670</v>
      </c>
      <c r="K61">
        <v>58</v>
      </c>
      <c r="L61" s="3323">
        <f t="shared" si="0"/>
        <v>515404</v>
      </c>
      <c r="M61" s="3325">
        <f t="shared" si="4"/>
        <v>3500</v>
      </c>
      <c r="N61">
        <f t="shared" si="1"/>
        <v>0</v>
      </c>
      <c r="O61" s="3326">
        <f t="shared" si="11"/>
        <v>0</v>
      </c>
      <c r="P61">
        <f t="shared" si="11"/>
        <v>0</v>
      </c>
      <c r="Q61" s="157">
        <f t="shared" si="10"/>
        <v>35000</v>
      </c>
      <c r="U61" s="380"/>
    </row>
    <row r="62" spans="6:21">
      <c r="F62">
        <v>24</v>
      </c>
      <c r="G62" s="380">
        <v>24</v>
      </c>
      <c r="H62" s="3335">
        <v>24</v>
      </c>
      <c r="I62" s="3324">
        <f t="shared" si="2"/>
        <v>3.2499999999999969</v>
      </c>
      <c r="J62" s="1555">
        <f t="shared" si="3"/>
        <v>45670</v>
      </c>
      <c r="K62">
        <v>59</v>
      </c>
      <c r="L62" s="3323">
        <f t="shared" si="0"/>
        <v>511904</v>
      </c>
      <c r="M62" s="3325">
        <f t="shared" si="4"/>
        <v>3500</v>
      </c>
      <c r="N62">
        <f t="shared" si="1"/>
        <v>0</v>
      </c>
      <c r="O62" s="3326">
        <f t="shared" si="11"/>
        <v>0</v>
      </c>
      <c r="P62">
        <f t="shared" si="11"/>
        <v>0</v>
      </c>
      <c r="Q62" s="157">
        <f t="shared" si="10"/>
        <v>38500</v>
      </c>
      <c r="U62" s="380"/>
    </row>
    <row r="63" spans="6:21">
      <c r="F63">
        <v>25</v>
      </c>
      <c r="G63" s="380">
        <v>25</v>
      </c>
      <c r="H63" s="3335">
        <v>25</v>
      </c>
      <c r="I63" s="3324">
        <f t="shared" si="2"/>
        <v>3.2916666666666634</v>
      </c>
      <c r="J63" s="1555">
        <f t="shared" si="3"/>
        <v>45670</v>
      </c>
      <c r="K63">
        <v>60</v>
      </c>
      <c r="L63" s="3323">
        <f t="shared" si="0"/>
        <v>508404</v>
      </c>
      <c r="M63" s="3325">
        <f t="shared" si="4"/>
        <v>3500</v>
      </c>
      <c r="N63">
        <f t="shared" si="1"/>
        <v>0</v>
      </c>
      <c r="O63" s="3326">
        <f t="shared" si="11"/>
        <v>0</v>
      </c>
      <c r="P63">
        <f t="shared" si="11"/>
        <v>0</v>
      </c>
      <c r="Q63" s="157">
        <f t="shared" si="10"/>
        <v>42000</v>
      </c>
      <c r="U63" s="380"/>
    </row>
    <row r="64" spans="6:21">
      <c r="F64">
        <v>26</v>
      </c>
      <c r="G64" s="380">
        <v>26</v>
      </c>
      <c r="H64" s="3335">
        <v>26</v>
      </c>
      <c r="I64" s="3324">
        <f t="shared" si="2"/>
        <v>3.3333333333333299</v>
      </c>
      <c r="J64" s="1555">
        <f t="shared" si="3"/>
        <v>45670</v>
      </c>
      <c r="K64">
        <v>61</v>
      </c>
      <c r="L64" s="3323">
        <f t="shared" si="0"/>
        <v>504904</v>
      </c>
      <c r="M64" s="3325">
        <f t="shared" si="4"/>
        <v>3500</v>
      </c>
      <c r="N64">
        <f t="shared" si="1"/>
        <v>0</v>
      </c>
      <c r="O64" s="3326">
        <f t="shared" si="11"/>
        <v>0</v>
      </c>
      <c r="P64">
        <f t="shared" si="11"/>
        <v>0</v>
      </c>
      <c r="Q64" s="157">
        <f t="shared" si="10"/>
        <v>45500</v>
      </c>
      <c r="U64" s="380"/>
    </row>
    <row r="65" spans="6:21">
      <c r="F65">
        <v>27</v>
      </c>
      <c r="G65" s="380">
        <v>27</v>
      </c>
      <c r="H65" s="3335">
        <v>27</v>
      </c>
      <c r="I65" s="3324">
        <f t="shared" si="2"/>
        <v>3.3749999999999964</v>
      </c>
      <c r="J65" s="1555">
        <f t="shared" si="3"/>
        <v>45670</v>
      </c>
      <c r="K65">
        <v>62</v>
      </c>
      <c r="L65" s="3323">
        <f t="shared" si="0"/>
        <v>501404</v>
      </c>
      <c r="M65" s="3325">
        <f t="shared" si="4"/>
        <v>3500</v>
      </c>
      <c r="N65">
        <f t="shared" si="1"/>
        <v>0</v>
      </c>
      <c r="O65" s="3326">
        <f t="shared" si="11"/>
        <v>0</v>
      </c>
      <c r="P65">
        <f t="shared" si="11"/>
        <v>0</v>
      </c>
      <c r="Q65" s="157">
        <f t="shared" si="10"/>
        <v>49000</v>
      </c>
      <c r="S65">
        <f>80000/24</f>
        <v>3333.3333333333335</v>
      </c>
      <c r="U65" s="380"/>
    </row>
    <row r="66" spans="6:21">
      <c r="F66">
        <v>28</v>
      </c>
      <c r="G66" s="380">
        <v>28</v>
      </c>
      <c r="H66" s="3335">
        <v>28</v>
      </c>
      <c r="I66" s="3324">
        <f t="shared" si="2"/>
        <v>3.416666666666663</v>
      </c>
      <c r="J66" s="1555">
        <f t="shared" si="3"/>
        <v>45670</v>
      </c>
      <c r="K66">
        <v>63</v>
      </c>
      <c r="L66" s="3323">
        <f t="shared" si="0"/>
        <v>497904</v>
      </c>
      <c r="M66" s="3325">
        <f t="shared" si="4"/>
        <v>3500</v>
      </c>
      <c r="N66">
        <f t="shared" si="1"/>
        <v>0</v>
      </c>
      <c r="O66" s="3326">
        <f t="shared" si="11"/>
        <v>0</v>
      </c>
      <c r="P66">
        <f t="shared" si="11"/>
        <v>0</v>
      </c>
      <c r="Q66" s="157">
        <f t="shared" si="10"/>
        <v>52500</v>
      </c>
      <c r="U66" s="380"/>
    </row>
    <row r="67" spans="6:21">
      <c r="F67">
        <v>29</v>
      </c>
      <c r="G67" s="380">
        <v>29</v>
      </c>
      <c r="H67" s="3335">
        <v>29</v>
      </c>
      <c r="I67" s="3324">
        <f t="shared" si="2"/>
        <v>3.4583333333333295</v>
      </c>
      <c r="J67" s="1555">
        <f t="shared" si="3"/>
        <v>45670</v>
      </c>
      <c r="K67">
        <v>64</v>
      </c>
      <c r="L67" s="3323">
        <f t="shared" si="0"/>
        <v>494404</v>
      </c>
      <c r="M67" s="3325">
        <f t="shared" si="4"/>
        <v>3500</v>
      </c>
      <c r="N67">
        <f t="shared" si="1"/>
        <v>0</v>
      </c>
      <c r="O67" s="3326">
        <f t="shared" si="11"/>
        <v>0</v>
      </c>
      <c r="P67">
        <f t="shared" si="11"/>
        <v>0</v>
      </c>
      <c r="Q67" s="157">
        <f t="shared" si="10"/>
        <v>56000</v>
      </c>
      <c r="U67" s="380"/>
    </row>
    <row r="68" spans="6:21">
      <c r="F68">
        <v>30</v>
      </c>
      <c r="G68" s="380">
        <v>30</v>
      </c>
      <c r="H68" s="3335">
        <v>30</v>
      </c>
      <c r="I68" s="3324">
        <f t="shared" si="2"/>
        <v>3.499999999999996</v>
      </c>
      <c r="J68" s="1555">
        <f t="shared" si="3"/>
        <v>45670</v>
      </c>
      <c r="K68">
        <v>65</v>
      </c>
      <c r="L68" s="3323">
        <f t="shared" ref="L68:L131" si="12">+L67-M68+N68</f>
        <v>490904</v>
      </c>
      <c r="M68" s="3325">
        <f t="shared" si="4"/>
        <v>3500</v>
      </c>
      <c r="N68">
        <f t="shared" si="1"/>
        <v>0</v>
      </c>
      <c r="O68" s="3326">
        <f t="shared" si="11"/>
        <v>0</v>
      </c>
      <c r="P68">
        <f t="shared" si="11"/>
        <v>0</v>
      </c>
      <c r="Q68" s="157">
        <f t="shared" si="10"/>
        <v>59500</v>
      </c>
      <c r="U68" s="380"/>
    </row>
    <row r="69" spans="6:21">
      <c r="F69">
        <v>31</v>
      </c>
      <c r="G69" s="380">
        <v>31</v>
      </c>
      <c r="H69" s="3335">
        <v>31</v>
      </c>
      <c r="I69" s="3324">
        <f t="shared" si="2"/>
        <v>3.5416666666666625</v>
      </c>
      <c r="J69" s="1555">
        <f t="shared" si="3"/>
        <v>45670</v>
      </c>
      <c r="K69">
        <v>66</v>
      </c>
      <c r="L69" s="3323">
        <f t="shared" si="12"/>
        <v>487404</v>
      </c>
      <c r="M69" s="3325">
        <f t="shared" si="4"/>
        <v>3500</v>
      </c>
      <c r="N69">
        <f t="shared" ref="N69:N132" si="13">IF(P69=0,P69,O69)</f>
        <v>0</v>
      </c>
      <c r="O69" s="3326">
        <f t="shared" si="11"/>
        <v>0</v>
      </c>
      <c r="P69">
        <f t="shared" si="11"/>
        <v>0</v>
      </c>
      <c r="Q69" s="157">
        <f t="shared" si="10"/>
        <v>63000</v>
      </c>
      <c r="R69" s="3327"/>
      <c r="U69" s="380"/>
    </row>
    <row r="70" spans="6:21">
      <c r="F70">
        <v>32</v>
      </c>
      <c r="G70" s="380">
        <v>32</v>
      </c>
      <c r="H70" s="3335">
        <v>32</v>
      </c>
      <c r="I70" s="3324">
        <f t="shared" ref="I70:I133" si="14">+I69+1/24</f>
        <v>3.583333333333329</v>
      </c>
      <c r="J70" s="1555">
        <f t="shared" ref="J70:J75" si="15">+J69</f>
        <v>45670</v>
      </c>
      <c r="K70">
        <v>67</v>
      </c>
      <c r="L70" s="3323">
        <f t="shared" si="12"/>
        <v>483904</v>
      </c>
      <c r="M70" s="3325">
        <f t="shared" ref="M70:M92" si="16">+M69</f>
        <v>3500</v>
      </c>
      <c r="N70">
        <f t="shared" si="13"/>
        <v>0</v>
      </c>
      <c r="O70" s="3326">
        <f t="shared" ref="O70:P85" si="17">+O69</f>
        <v>0</v>
      </c>
      <c r="P70">
        <f t="shared" si="17"/>
        <v>0</v>
      </c>
      <c r="Q70" s="157">
        <f t="shared" si="10"/>
        <v>66500</v>
      </c>
      <c r="R70" s="3327"/>
      <c r="U70" s="380"/>
    </row>
    <row r="71" spans="6:21">
      <c r="F71">
        <v>33</v>
      </c>
      <c r="G71" s="380">
        <v>33</v>
      </c>
      <c r="H71" s="3335">
        <v>33</v>
      </c>
      <c r="I71" s="3324">
        <f t="shared" si="14"/>
        <v>3.6249999999999956</v>
      </c>
      <c r="J71" s="1555">
        <f t="shared" si="15"/>
        <v>45670</v>
      </c>
      <c r="K71">
        <v>68</v>
      </c>
      <c r="L71" s="3323">
        <f t="shared" si="12"/>
        <v>480404</v>
      </c>
      <c r="M71" s="3325">
        <f t="shared" si="16"/>
        <v>3500</v>
      </c>
      <c r="N71">
        <f t="shared" si="13"/>
        <v>0</v>
      </c>
      <c r="O71" s="3326">
        <f t="shared" si="17"/>
        <v>0</v>
      </c>
      <c r="P71">
        <f t="shared" si="17"/>
        <v>0</v>
      </c>
      <c r="Q71" s="157">
        <f t="shared" si="10"/>
        <v>70000</v>
      </c>
      <c r="R71" s="3327"/>
      <c r="U71" s="380"/>
    </row>
    <row r="72" spans="6:21">
      <c r="F72">
        <v>34</v>
      </c>
      <c r="G72" s="380">
        <v>34</v>
      </c>
      <c r="H72" s="3335">
        <v>34</v>
      </c>
      <c r="I72" s="3324">
        <f t="shared" si="14"/>
        <v>3.6666666666666621</v>
      </c>
      <c r="J72" s="1555">
        <f t="shared" si="15"/>
        <v>45670</v>
      </c>
      <c r="K72">
        <v>69</v>
      </c>
      <c r="L72" s="3323">
        <f t="shared" si="12"/>
        <v>476904</v>
      </c>
      <c r="M72" s="3325">
        <f t="shared" si="16"/>
        <v>3500</v>
      </c>
      <c r="N72">
        <f t="shared" si="13"/>
        <v>0</v>
      </c>
      <c r="O72" s="3326">
        <f t="shared" si="17"/>
        <v>0</v>
      </c>
      <c r="P72">
        <f t="shared" si="17"/>
        <v>0</v>
      </c>
      <c r="Q72" s="157">
        <f t="shared" si="10"/>
        <v>73500</v>
      </c>
      <c r="R72" s="3327"/>
      <c r="U72" s="380"/>
    </row>
    <row r="73" spans="6:21">
      <c r="F73">
        <v>35</v>
      </c>
      <c r="G73" s="380">
        <v>35</v>
      </c>
      <c r="H73" s="3335">
        <v>35</v>
      </c>
      <c r="I73" s="3324">
        <f t="shared" si="14"/>
        <v>3.7083333333333286</v>
      </c>
      <c r="J73" s="1555">
        <f t="shared" si="15"/>
        <v>45670</v>
      </c>
      <c r="K73">
        <v>70</v>
      </c>
      <c r="L73" s="3323">
        <f t="shared" si="12"/>
        <v>473404</v>
      </c>
      <c r="M73" s="3325">
        <f t="shared" si="16"/>
        <v>3500</v>
      </c>
      <c r="N73">
        <f t="shared" si="13"/>
        <v>0</v>
      </c>
      <c r="O73" s="3326">
        <f t="shared" si="17"/>
        <v>0</v>
      </c>
      <c r="P73">
        <f t="shared" si="17"/>
        <v>0</v>
      </c>
      <c r="Q73" s="157">
        <f t="shared" si="10"/>
        <v>77000</v>
      </c>
      <c r="R73" s="3327"/>
      <c r="U73" s="380"/>
    </row>
    <row r="74" spans="6:21">
      <c r="F74">
        <v>36</v>
      </c>
      <c r="G74" s="380">
        <v>36</v>
      </c>
      <c r="H74" s="3335">
        <v>36</v>
      </c>
      <c r="I74" s="3336">
        <f t="shared" si="14"/>
        <v>3.7499999999999951</v>
      </c>
      <c r="J74" s="1555">
        <f t="shared" si="15"/>
        <v>45670</v>
      </c>
      <c r="K74">
        <v>71</v>
      </c>
      <c r="L74" s="3323">
        <f t="shared" si="12"/>
        <v>469904</v>
      </c>
      <c r="M74" s="3325">
        <f t="shared" si="16"/>
        <v>3500</v>
      </c>
      <c r="N74">
        <f t="shared" si="13"/>
        <v>0</v>
      </c>
      <c r="O74" s="3326">
        <f t="shared" si="17"/>
        <v>0</v>
      </c>
      <c r="P74">
        <f t="shared" si="17"/>
        <v>0</v>
      </c>
      <c r="Q74" s="157">
        <f t="shared" si="10"/>
        <v>80500</v>
      </c>
      <c r="R74" s="3327"/>
      <c r="U74" s="380"/>
    </row>
    <row r="75" spans="6:21">
      <c r="F75">
        <v>37</v>
      </c>
      <c r="G75" s="380">
        <v>37</v>
      </c>
      <c r="H75" s="3335">
        <v>37</v>
      </c>
      <c r="I75" s="3324">
        <f t="shared" si="14"/>
        <v>3.7916666666666616</v>
      </c>
      <c r="J75" s="1555">
        <f t="shared" si="15"/>
        <v>45670</v>
      </c>
      <c r="K75">
        <v>72</v>
      </c>
      <c r="L75" s="3323">
        <f t="shared" si="12"/>
        <v>466404</v>
      </c>
      <c r="M75" s="3325">
        <v>3500</v>
      </c>
      <c r="N75">
        <f t="shared" si="13"/>
        <v>0</v>
      </c>
      <c r="O75" s="3326">
        <f t="shared" si="17"/>
        <v>0</v>
      </c>
      <c r="P75">
        <f t="shared" si="17"/>
        <v>0</v>
      </c>
      <c r="Q75" s="157">
        <f t="shared" si="10"/>
        <v>84000</v>
      </c>
      <c r="R75" s="3327">
        <f>+Q75</f>
        <v>84000</v>
      </c>
      <c r="U75" s="380"/>
    </row>
    <row r="76" spans="6:21">
      <c r="F76">
        <v>38</v>
      </c>
      <c r="G76" s="380">
        <v>38</v>
      </c>
      <c r="H76" s="3335">
        <v>38</v>
      </c>
      <c r="I76" s="3324">
        <f t="shared" si="14"/>
        <v>3.8333333333333282</v>
      </c>
      <c r="J76" s="1555">
        <f>+J75+1</f>
        <v>45671</v>
      </c>
      <c r="K76">
        <v>73</v>
      </c>
      <c r="L76" s="3323">
        <f t="shared" si="12"/>
        <v>462904</v>
      </c>
      <c r="M76" s="3325">
        <v>3500</v>
      </c>
      <c r="N76">
        <f t="shared" si="13"/>
        <v>0</v>
      </c>
      <c r="O76" s="3326">
        <f t="shared" si="17"/>
        <v>0</v>
      </c>
      <c r="P76">
        <f t="shared" si="17"/>
        <v>0</v>
      </c>
      <c r="Q76" s="157">
        <f>+M76</f>
        <v>3500</v>
      </c>
      <c r="U76" s="380"/>
    </row>
    <row r="77" spans="6:21">
      <c r="F77">
        <v>39</v>
      </c>
      <c r="G77" s="380">
        <v>39</v>
      </c>
      <c r="H77" s="3335">
        <v>39</v>
      </c>
      <c r="I77" s="3324">
        <f t="shared" si="14"/>
        <v>3.8749999999999947</v>
      </c>
      <c r="J77" s="1555">
        <f t="shared" ref="J77:J99" si="18">+J76</f>
        <v>45671</v>
      </c>
      <c r="K77">
        <v>74</v>
      </c>
      <c r="L77" s="3323">
        <f t="shared" si="12"/>
        <v>459404</v>
      </c>
      <c r="M77" s="3325">
        <f t="shared" si="16"/>
        <v>3500</v>
      </c>
      <c r="N77">
        <f t="shared" si="13"/>
        <v>0</v>
      </c>
      <c r="O77" s="3326">
        <f t="shared" si="17"/>
        <v>0</v>
      </c>
      <c r="P77">
        <f t="shared" si="17"/>
        <v>0</v>
      </c>
      <c r="Q77" s="157">
        <f t="shared" ref="Q77:Q99" si="19">+Q76+M77</f>
        <v>7000</v>
      </c>
      <c r="U77" s="380"/>
    </row>
    <row r="78" spans="6:21">
      <c r="F78">
        <v>40</v>
      </c>
      <c r="G78" s="380">
        <v>40</v>
      </c>
      <c r="H78" s="3335">
        <v>40</v>
      </c>
      <c r="I78" s="3324">
        <f t="shared" si="14"/>
        <v>3.9166666666666612</v>
      </c>
      <c r="J78" s="1555">
        <f t="shared" si="18"/>
        <v>45671</v>
      </c>
      <c r="K78">
        <v>75</v>
      </c>
      <c r="L78" s="3323">
        <f t="shared" si="12"/>
        <v>455904</v>
      </c>
      <c r="M78" s="3325">
        <f t="shared" si="16"/>
        <v>3500</v>
      </c>
      <c r="N78">
        <f t="shared" si="13"/>
        <v>0</v>
      </c>
      <c r="O78" s="3326">
        <f t="shared" si="17"/>
        <v>0</v>
      </c>
      <c r="P78">
        <f t="shared" si="17"/>
        <v>0</v>
      </c>
      <c r="Q78" s="157">
        <f t="shared" si="19"/>
        <v>10500</v>
      </c>
      <c r="U78" s="380"/>
    </row>
    <row r="79" spans="6:21">
      <c r="F79">
        <v>41</v>
      </c>
      <c r="G79" s="380">
        <v>41</v>
      </c>
      <c r="H79" s="3335">
        <v>41</v>
      </c>
      <c r="I79" s="3324">
        <f t="shared" si="14"/>
        <v>3.9583333333333277</v>
      </c>
      <c r="J79" s="1555">
        <f t="shared" si="18"/>
        <v>45671</v>
      </c>
      <c r="K79">
        <v>76</v>
      </c>
      <c r="L79" s="3323">
        <f t="shared" si="12"/>
        <v>452404</v>
      </c>
      <c r="M79" s="3325">
        <f t="shared" si="16"/>
        <v>3500</v>
      </c>
      <c r="N79">
        <f t="shared" si="13"/>
        <v>0</v>
      </c>
      <c r="O79" s="3326">
        <f t="shared" si="17"/>
        <v>0</v>
      </c>
      <c r="P79">
        <f t="shared" si="17"/>
        <v>0</v>
      </c>
      <c r="Q79" s="157">
        <f t="shared" si="19"/>
        <v>14000</v>
      </c>
      <c r="U79" s="380"/>
    </row>
    <row r="80" spans="6:21" s="273" customFormat="1">
      <c r="F80" s="273">
        <v>42</v>
      </c>
      <c r="G80" s="273">
        <v>42</v>
      </c>
      <c r="H80" s="273">
        <v>42</v>
      </c>
      <c r="I80" s="3336">
        <f t="shared" si="14"/>
        <v>3.9999999999999942</v>
      </c>
      <c r="J80" s="3337">
        <f t="shared" si="18"/>
        <v>45671</v>
      </c>
      <c r="K80" s="273">
        <v>77</v>
      </c>
      <c r="L80" s="3334">
        <f t="shared" si="12"/>
        <v>448904</v>
      </c>
      <c r="M80" s="3325">
        <f t="shared" si="16"/>
        <v>3500</v>
      </c>
      <c r="N80" s="273">
        <f t="shared" si="13"/>
        <v>0</v>
      </c>
      <c r="O80" s="273">
        <f t="shared" si="17"/>
        <v>0</v>
      </c>
      <c r="P80" s="273">
        <f t="shared" si="17"/>
        <v>0</v>
      </c>
      <c r="Q80" s="309">
        <f t="shared" si="19"/>
        <v>17500</v>
      </c>
      <c r="T80"/>
      <c r="U80" s="380"/>
    </row>
    <row r="81" spans="6:21">
      <c r="F81">
        <v>43</v>
      </c>
      <c r="G81" s="380">
        <v>43</v>
      </c>
      <c r="H81" s="3335">
        <v>43</v>
      </c>
      <c r="I81" s="3324">
        <f t="shared" si="14"/>
        <v>4.0416666666666607</v>
      </c>
      <c r="J81" s="1555">
        <f t="shared" si="18"/>
        <v>45671</v>
      </c>
      <c r="K81">
        <v>78</v>
      </c>
      <c r="L81" s="3323">
        <f t="shared" si="12"/>
        <v>445404</v>
      </c>
      <c r="M81" s="3325">
        <f t="shared" si="16"/>
        <v>3500</v>
      </c>
      <c r="N81">
        <f t="shared" si="13"/>
        <v>0</v>
      </c>
      <c r="O81" s="3326">
        <f t="shared" si="17"/>
        <v>0</v>
      </c>
      <c r="P81">
        <f t="shared" si="17"/>
        <v>0</v>
      </c>
      <c r="Q81" s="157">
        <f t="shared" si="19"/>
        <v>21000</v>
      </c>
      <c r="U81" s="380"/>
    </row>
    <row r="82" spans="6:21">
      <c r="F82">
        <v>44</v>
      </c>
      <c r="G82" s="380">
        <v>44</v>
      </c>
      <c r="H82" s="3335">
        <v>44</v>
      </c>
      <c r="I82" s="3324">
        <f t="shared" si="14"/>
        <v>4.0833333333333277</v>
      </c>
      <c r="J82" s="1555">
        <f t="shared" si="18"/>
        <v>45671</v>
      </c>
      <c r="K82">
        <v>79</v>
      </c>
      <c r="L82" s="3323">
        <f t="shared" si="12"/>
        <v>441904</v>
      </c>
      <c r="M82" s="3325">
        <f t="shared" si="16"/>
        <v>3500</v>
      </c>
      <c r="N82">
        <f t="shared" si="13"/>
        <v>0</v>
      </c>
      <c r="O82" s="3326">
        <f t="shared" si="17"/>
        <v>0</v>
      </c>
      <c r="P82">
        <f t="shared" si="17"/>
        <v>0</v>
      </c>
      <c r="Q82" s="157">
        <f t="shared" si="19"/>
        <v>24500</v>
      </c>
      <c r="U82" s="380"/>
    </row>
    <row r="83" spans="6:21">
      <c r="F83">
        <v>45</v>
      </c>
      <c r="G83" s="380">
        <v>45</v>
      </c>
      <c r="H83" s="3335">
        <v>45</v>
      </c>
      <c r="I83" s="3324">
        <f t="shared" si="14"/>
        <v>4.1249999999999947</v>
      </c>
      <c r="J83" s="1555">
        <f t="shared" si="18"/>
        <v>45671</v>
      </c>
      <c r="K83">
        <v>80</v>
      </c>
      <c r="L83" s="3323">
        <f t="shared" si="12"/>
        <v>438404</v>
      </c>
      <c r="M83" s="3325">
        <f t="shared" si="16"/>
        <v>3500</v>
      </c>
      <c r="N83">
        <f t="shared" si="13"/>
        <v>0</v>
      </c>
      <c r="O83" s="3326">
        <f t="shared" si="17"/>
        <v>0</v>
      </c>
      <c r="P83">
        <f t="shared" si="17"/>
        <v>0</v>
      </c>
      <c r="Q83" s="157">
        <f t="shared" si="19"/>
        <v>28000</v>
      </c>
      <c r="U83" s="380"/>
    </row>
    <row r="84" spans="6:21">
      <c r="F84">
        <v>46</v>
      </c>
      <c r="G84" s="380">
        <v>46</v>
      </c>
      <c r="H84" s="3335">
        <v>46</v>
      </c>
      <c r="I84" s="3324">
        <f t="shared" si="14"/>
        <v>4.1666666666666616</v>
      </c>
      <c r="J84" s="1555">
        <f t="shared" si="18"/>
        <v>45671</v>
      </c>
      <c r="K84">
        <v>81</v>
      </c>
      <c r="L84" s="3323">
        <f t="shared" si="12"/>
        <v>434904</v>
      </c>
      <c r="M84" s="3325">
        <f t="shared" si="16"/>
        <v>3500</v>
      </c>
      <c r="N84">
        <f t="shared" si="13"/>
        <v>0</v>
      </c>
      <c r="O84" s="3326">
        <f t="shared" si="17"/>
        <v>0</v>
      </c>
      <c r="P84">
        <f t="shared" si="17"/>
        <v>0</v>
      </c>
      <c r="Q84" s="157">
        <f t="shared" si="19"/>
        <v>31500</v>
      </c>
      <c r="U84" s="380"/>
    </row>
    <row r="85" spans="6:21">
      <c r="F85">
        <v>47</v>
      </c>
      <c r="G85" s="380">
        <v>47</v>
      </c>
      <c r="H85" s="3335">
        <v>47</v>
      </c>
      <c r="I85" s="3324">
        <f t="shared" si="14"/>
        <v>4.2083333333333286</v>
      </c>
      <c r="J85" s="1555">
        <f t="shared" si="18"/>
        <v>45671</v>
      </c>
      <c r="K85">
        <v>82</v>
      </c>
      <c r="L85" s="3323">
        <f t="shared" si="12"/>
        <v>431404</v>
      </c>
      <c r="M85" s="3325">
        <f t="shared" si="16"/>
        <v>3500</v>
      </c>
      <c r="N85">
        <f t="shared" si="13"/>
        <v>0</v>
      </c>
      <c r="O85" s="3326">
        <f t="shared" si="17"/>
        <v>0</v>
      </c>
      <c r="P85">
        <f t="shared" si="17"/>
        <v>0</v>
      </c>
      <c r="Q85" s="157">
        <f t="shared" si="19"/>
        <v>35000</v>
      </c>
      <c r="U85" s="380"/>
    </row>
    <row r="86" spans="6:21">
      <c r="F86">
        <v>48</v>
      </c>
      <c r="G86" s="380">
        <v>48</v>
      </c>
      <c r="H86" s="3335">
        <v>48</v>
      </c>
      <c r="I86" s="3324">
        <f t="shared" si="14"/>
        <v>4.2499999999999956</v>
      </c>
      <c r="J86" s="1555">
        <f t="shared" si="18"/>
        <v>45671</v>
      </c>
      <c r="K86">
        <v>83</v>
      </c>
      <c r="L86" s="3323">
        <f t="shared" si="12"/>
        <v>427904</v>
      </c>
      <c r="M86" s="3325">
        <f t="shared" si="16"/>
        <v>3500</v>
      </c>
      <c r="N86">
        <f t="shared" si="13"/>
        <v>0</v>
      </c>
      <c r="P86">
        <f t="shared" ref="P86:P123" si="20">+P85</f>
        <v>0</v>
      </c>
      <c r="Q86" s="157">
        <f t="shared" si="19"/>
        <v>38500</v>
      </c>
      <c r="U86" s="380"/>
    </row>
    <row r="87" spans="6:21">
      <c r="F87">
        <v>49</v>
      </c>
      <c r="G87" s="380">
        <v>49</v>
      </c>
      <c r="H87" s="3335">
        <v>49</v>
      </c>
      <c r="I87" s="3324">
        <f t="shared" si="14"/>
        <v>4.2916666666666625</v>
      </c>
      <c r="J87" s="1555">
        <f t="shared" si="18"/>
        <v>45671</v>
      </c>
      <c r="K87">
        <v>84</v>
      </c>
      <c r="L87" s="3323">
        <f t="shared" si="12"/>
        <v>424404</v>
      </c>
      <c r="M87" s="3325">
        <f t="shared" si="16"/>
        <v>3500</v>
      </c>
      <c r="N87">
        <f t="shared" si="13"/>
        <v>0</v>
      </c>
      <c r="P87">
        <f t="shared" si="20"/>
        <v>0</v>
      </c>
      <c r="Q87" s="157">
        <f t="shared" si="19"/>
        <v>42000</v>
      </c>
      <c r="U87" s="380"/>
    </row>
    <row r="88" spans="6:21">
      <c r="F88">
        <v>50</v>
      </c>
      <c r="G88" s="380">
        <v>50</v>
      </c>
      <c r="H88" s="3335">
        <v>50</v>
      </c>
      <c r="I88" s="3324">
        <f t="shared" si="14"/>
        <v>4.3333333333333295</v>
      </c>
      <c r="J88" s="1555">
        <f t="shared" si="18"/>
        <v>45671</v>
      </c>
      <c r="K88">
        <v>85</v>
      </c>
      <c r="L88" s="3323">
        <f t="shared" si="12"/>
        <v>420904</v>
      </c>
      <c r="M88" s="3325">
        <f t="shared" si="16"/>
        <v>3500</v>
      </c>
      <c r="N88">
        <f t="shared" si="13"/>
        <v>0</v>
      </c>
      <c r="P88">
        <f t="shared" si="20"/>
        <v>0</v>
      </c>
      <c r="Q88" s="157">
        <f t="shared" si="19"/>
        <v>45500</v>
      </c>
      <c r="U88" s="380"/>
    </row>
    <row r="89" spans="6:21">
      <c r="F89">
        <v>51</v>
      </c>
      <c r="G89" s="380">
        <v>51</v>
      </c>
      <c r="H89" s="3335">
        <v>51</v>
      </c>
      <c r="I89" s="3324">
        <f t="shared" si="14"/>
        <v>4.3749999999999964</v>
      </c>
      <c r="J89" s="1555">
        <f t="shared" si="18"/>
        <v>45671</v>
      </c>
      <c r="K89">
        <v>86</v>
      </c>
      <c r="L89" s="3323">
        <f t="shared" si="12"/>
        <v>417404</v>
      </c>
      <c r="M89" s="3325">
        <f t="shared" si="16"/>
        <v>3500</v>
      </c>
      <c r="N89">
        <f t="shared" si="13"/>
        <v>0</v>
      </c>
      <c r="P89">
        <f t="shared" si="20"/>
        <v>0</v>
      </c>
      <c r="Q89" s="157">
        <f t="shared" si="19"/>
        <v>49000</v>
      </c>
      <c r="U89" s="380"/>
    </row>
    <row r="90" spans="6:21">
      <c r="F90">
        <v>52</v>
      </c>
      <c r="G90" s="380">
        <v>52</v>
      </c>
      <c r="H90" s="3335">
        <v>52</v>
      </c>
      <c r="I90" s="3324">
        <f t="shared" si="14"/>
        <v>4.4166666666666634</v>
      </c>
      <c r="J90" s="1555">
        <f t="shared" si="18"/>
        <v>45671</v>
      </c>
      <c r="K90">
        <v>87</v>
      </c>
      <c r="L90" s="3323">
        <f t="shared" si="12"/>
        <v>413904</v>
      </c>
      <c r="M90" s="3325">
        <f t="shared" si="16"/>
        <v>3500</v>
      </c>
      <c r="N90">
        <f t="shared" si="13"/>
        <v>0</v>
      </c>
      <c r="P90">
        <f t="shared" si="20"/>
        <v>0</v>
      </c>
      <c r="Q90" s="157">
        <f t="shared" si="19"/>
        <v>52500</v>
      </c>
      <c r="U90" s="380"/>
    </row>
    <row r="91" spans="6:21">
      <c r="F91">
        <v>53</v>
      </c>
      <c r="G91" s="380">
        <v>53</v>
      </c>
      <c r="H91" s="3335">
        <v>53</v>
      </c>
      <c r="I91" s="3324">
        <f t="shared" si="14"/>
        <v>4.4583333333333304</v>
      </c>
      <c r="J91" s="1555">
        <f t="shared" si="18"/>
        <v>45671</v>
      </c>
      <c r="K91">
        <v>88</v>
      </c>
      <c r="L91" s="3323">
        <f t="shared" si="12"/>
        <v>410404</v>
      </c>
      <c r="M91" s="3325">
        <f t="shared" si="16"/>
        <v>3500</v>
      </c>
      <c r="N91">
        <f t="shared" si="13"/>
        <v>0</v>
      </c>
      <c r="P91">
        <f t="shared" si="20"/>
        <v>0</v>
      </c>
      <c r="Q91" s="157">
        <f t="shared" si="19"/>
        <v>56000</v>
      </c>
      <c r="S91">
        <f>90000/24</f>
        <v>3750</v>
      </c>
      <c r="U91" s="380"/>
    </row>
    <row r="92" spans="6:21" s="273" customFormat="1">
      <c r="F92" s="273">
        <v>54</v>
      </c>
      <c r="G92" s="273">
        <v>54</v>
      </c>
      <c r="H92" s="273">
        <v>54</v>
      </c>
      <c r="I92" s="3336">
        <f t="shared" si="14"/>
        <v>4.4999999999999973</v>
      </c>
      <c r="J92" s="3337">
        <f t="shared" si="18"/>
        <v>45671</v>
      </c>
      <c r="K92" s="273">
        <v>89</v>
      </c>
      <c r="L92" s="3334">
        <f t="shared" si="12"/>
        <v>406904</v>
      </c>
      <c r="M92" s="309">
        <f t="shared" si="16"/>
        <v>3500</v>
      </c>
      <c r="N92" s="273">
        <f t="shared" si="13"/>
        <v>0</v>
      </c>
      <c r="P92" s="273">
        <f t="shared" si="20"/>
        <v>0</v>
      </c>
      <c r="Q92" s="309">
        <f t="shared" si="19"/>
        <v>59500</v>
      </c>
    </row>
    <row r="93" spans="6:21">
      <c r="F93">
        <v>55</v>
      </c>
      <c r="G93" s="380">
        <v>55</v>
      </c>
      <c r="H93" s="3335">
        <v>55</v>
      </c>
      <c r="I93" s="3324">
        <f t="shared" si="14"/>
        <v>4.5416666666666643</v>
      </c>
      <c r="J93" s="1555">
        <f t="shared" si="18"/>
        <v>45671</v>
      </c>
      <c r="K93">
        <v>90</v>
      </c>
      <c r="L93" s="3323">
        <f t="shared" si="12"/>
        <v>403404</v>
      </c>
      <c r="M93" s="3325">
        <v>3500</v>
      </c>
      <c r="N93">
        <f t="shared" si="13"/>
        <v>0</v>
      </c>
      <c r="P93">
        <f t="shared" si="20"/>
        <v>0</v>
      </c>
      <c r="Q93" s="157">
        <f t="shared" si="19"/>
        <v>63000</v>
      </c>
      <c r="R93" s="3327"/>
    </row>
    <row r="94" spans="6:21">
      <c r="F94">
        <v>56</v>
      </c>
      <c r="G94" s="380">
        <v>56</v>
      </c>
      <c r="H94" s="3335">
        <v>56</v>
      </c>
      <c r="I94" s="3324">
        <f t="shared" si="14"/>
        <v>4.5833333333333313</v>
      </c>
      <c r="J94" s="1555">
        <f t="shared" si="18"/>
        <v>45671</v>
      </c>
      <c r="K94">
        <v>91</v>
      </c>
      <c r="L94" s="3323">
        <f t="shared" si="12"/>
        <v>399904</v>
      </c>
      <c r="M94" s="3325">
        <v>3500</v>
      </c>
      <c r="N94">
        <f t="shared" si="13"/>
        <v>0</v>
      </c>
      <c r="P94">
        <f t="shared" si="20"/>
        <v>0</v>
      </c>
      <c r="Q94" s="157">
        <f t="shared" si="19"/>
        <v>66500</v>
      </c>
      <c r="R94" s="3327"/>
    </row>
    <row r="95" spans="6:21">
      <c r="F95">
        <v>57</v>
      </c>
      <c r="G95" s="380">
        <v>57</v>
      </c>
      <c r="H95" s="3335">
        <v>57</v>
      </c>
      <c r="I95" s="3324">
        <f t="shared" si="14"/>
        <v>4.6249999999999982</v>
      </c>
      <c r="J95" s="1555">
        <f t="shared" si="18"/>
        <v>45671</v>
      </c>
      <c r="K95">
        <v>92</v>
      </c>
      <c r="L95" s="3323">
        <f t="shared" si="12"/>
        <v>396404</v>
      </c>
      <c r="M95" s="3325">
        <v>3500</v>
      </c>
      <c r="N95">
        <f t="shared" si="13"/>
        <v>0</v>
      </c>
      <c r="P95">
        <f t="shared" si="20"/>
        <v>0</v>
      </c>
      <c r="Q95" s="157">
        <f t="shared" si="19"/>
        <v>70000</v>
      </c>
      <c r="R95" s="3327"/>
    </row>
    <row r="96" spans="6:21">
      <c r="F96">
        <v>58</v>
      </c>
      <c r="G96" s="380">
        <v>58</v>
      </c>
      <c r="H96" s="3335">
        <v>58</v>
      </c>
      <c r="I96" s="3324">
        <f t="shared" si="14"/>
        <v>4.6666666666666652</v>
      </c>
      <c r="J96" s="1555">
        <f t="shared" si="18"/>
        <v>45671</v>
      </c>
      <c r="K96">
        <v>93</v>
      </c>
      <c r="L96" s="3323">
        <f t="shared" si="12"/>
        <v>392904</v>
      </c>
      <c r="M96" s="3325">
        <v>3500</v>
      </c>
      <c r="N96">
        <f t="shared" si="13"/>
        <v>0</v>
      </c>
      <c r="P96">
        <f t="shared" si="20"/>
        <v>0</v>
      </c>
      <c r="Q96" s="157">
        <f t="shared" si="19"/>
        <v>73500</v>
      </c>
      <c r="R96" s="3327"/>
    </row>
    <row r="97" spans="6:20">
      <c r="F97">
        <v>59</v>
      </c>
      <c r="G97" s="380">
        <v>59</v>
      </c>
      <c r="H97" s="3335">
        <v>59</v>
      </c>
      <c r="I97" s="3324">
        <f t="shared" si="14"/>
        <v>4.7083333333333321</v>
      </c>
      <c r="J97" s="1555">
        <f t="shared" si="18"/>
        <v>45671</v>
      </c>
      <c r="K97">
        <v>94</v>
      </c>
      <c r="L97" s="3323">
        <f t="shared" si="12"/>
        <v>389404</v>
      </c>
      <c r="M97" s="3325">
        <v>3500</v>
      </c>
      <c r="N97">
        <f t="shared" si="13"/>
        <v>0</v>
      </c>
      <c r="P97">
        <f t="shared" si="20"/>
        <v>0</v>
      </c>
      <c r="Q97" s="157">
        <f t="shared" si="19"/>
        <v>77000</v>
      </c>
      <c r="R97" s="3327"/>
    </row>
    <row r="98" spans="6:20">
      <c r="F98">
        <v>60</v>
      </c>
      <c r="G98" s="380">
        <v>60</v>
      </c>
      <c r="H98" s="3335">
        <v>60</v>
      </c>
      <c r="I98" s="3324">
        <f t="shared" si="14"/>
        <v>4.7499999999999991</v>
      </c>
      <c r="J98" s="1555">
        <f t="shared" si="18"/>
        <v>45671</v>
      </c>
      <c r="K98">
        <v>95</v>
      </c>
      <c r="L98" s="3323">
        <f t="shared" si="12"/>
        <v>385904</v>
      </c>
      <c r="M98" s="3325">
        <v>3500</v>
      </c>
      <c r="N98">
        <f t="shared" si="13"/>
        <v>0</v>
      </c>
      <c r="P98">
        <f t="shared" si="20"/>
        <v>0</v>
      </c>
      <c r="Q98" s="157">
        <f t="shared" si="19"/>
        <v>80500</v>
      </c>
      <c r="R98" s="3327"/>
    </row>
    <row r="99" spans="6:20">
      <c r="F99">
        <v>61</v>
      </c>
      <c r="G99" s="380">
        <v>61</v>
      </c>
      <c r="H99" s="3335">
        <v>61</v>
      </c>
      <c r="I99" s="3324">
        <f t="shared" si="14"/>
        <v>4.7916666666666661</v>
      </c>
      <c r="J99" s="1555">
        <f t="shared" si="18"/>
        <v>45671</v>
      </c>
      <c r="K99">
        <v>96</v>
      </c>
      <c r="L99" s="3323">
        <f t="shared" si="12"/>
        <v>382404</v>
      </c>
      <c r="M99" s="3325">
        <v>3500</v>
      </c>
      <c r="N99">
        <f t="shared" si="13"/>
        <v>0</v>
      </c>
      <c r="P99">
        <f t="shared" si="20"/>
        <v>0</v>
      </c>
      <c r="Q99" s="157">
        <f t="shared" si="19"/>
        <v>84000</v>
      </c>
      <c r="R99" s="157">
        <f>+Q99</f>
        <v>84000</v>
      </c>
    </row>
    <row r="100" spans="6:20" s="273" customFormat="1" ht="13">
      <c r="F100" s="273">
        <v>62</v>
      </c>
      <c r="G100" s="273">
        <v>62</v>
      </c>
      <c r="H100" s="273">
        <v>62</v>
      </c>
      <c r="I100" s="3336">
        <f t="shared" si="14"/>
        <v>4.833333333333333</v>
      </c>
      <c r="J100" s="3337">
        <f>+J99+1</f>
        <v>45672</v>
      </c>
      <c r="K100" s="273">
        <v>97</v>
      </c>
      <c r="L100" s="3334">
        <f t="shared" si="12"/>
        <v>378904</v>
      </c>
      <c r="M100" s="309">
        <v>3500</v>
      </c>
      <c r="N100" s="273">
        <f t="shared" si="13"/>
        <v>0</v>
      </c>
      <c r="P100" s="273">
        <f t="shared" si="20"/>
        <v>0</v>
      </c>
      <c r="Q100" s="309">
        <f>+M100</f>
        <v>3500</v>
      </c>
      <c r="S100" s="1294"/>
    </row>
    <row r="101" spans="6:20">
      <c r="F101">
        <v>63</v>
      </c>
      <c r="G101" s="380">
        <v>63</v>
      </c>
      <c r="H101" s="3335">
        <v>63</v>
      </c>
      <c r="I101" s="3324">
        <f t="shared" si="14"/>
        <v>4.875</v>
      </c>
      <c r="J101" s="1555">
        <f t="shared" ref="J101:J123" si="21">+J100</f>
        <v>45672</v>
      </c>
      <c r="K101">
        <v>98</v>
      </c>
      <c r="L101" s="3323">
        <f t="shared" si="12"/>
        <v>375404</v>
      </c>
      <c r="M101" s="3325">
        <v>3500</v>
      </c>
      <c r="N101">
        <f t="shared" si="13"/>
        <v>0</v>
      </c>
      <c r="P101">
        <f t="shared" si="20"/>
        <v>0</v>
      </c>
      <c r="Q101" s="157">
        <f t="shared" ref="Q101:Q123" si="22">+Q100+M101</f>
        <v>7000</v>
      </c>
    </row>
    <row r="102" spans="6:20" s="273" customFormat="1">
      <c r="F102" s="273">
        <v>64</v>
      </c>
      <c r="G102" s="273">
        <v>64</v>
      </c>
      <c r="H102" s="273">
        <v>64</v>
      </c>
      <c r="I102" s="3336">
        <f t="shared" si="14"/>
        <v>4.916666666666667</v>
      </c>
      <c r="J102" s="3337">
        <f t="shared" si="21"/>
        <v>45672</v>
      </c>
      <c r="K102" s="273">
        <v>99</v>
      </c>
      <c r="L102" s="3334">
        <f t="shared" si="12"/>
        <v>371904</v>
      </c>
      <c r="M102" s="3325">
        <v>3500</v>
      </c>
      <c r="N102" s="273">
        <f t="shared" si="13"/>
        <v>0</v>
      </c>
      <c r="P102" s="273">
        <f t="shared" si="20"/>
        <v>0</v>
      </c>
      <c r="Q102" s="309">
        <f t="shared" si="22"/>
        <v>10500</v>
      </c>
    </row>
    <row r="103" spans="6:20">
      <c r="F103">
        <v>65</v>
      </c>
      <c r="G103" s="380">
        <v>65</v>
      </c>
      <c r="H103" s="3335">
        <v>65</v>
      </c>
      <c r="I103" s="3324">
        <f t="shared" si="14"/>
        <v>4.9583333333333339</v>
      </c>
      <c r="J103" s="1555">
        <f t="shared" si="21"/>
        <v>45672</v>
      </c>
      <c r="K103">
        <v>100</v>
      </c>
      <c r="L103" s="3323">
        <f t="shared" si="12"/>
        <v>368404</v>
      </c>
      <c r="M103" s="3325">
        <v>3500</v>
      </c>
      <c r="N103">
        <f t="shared" si="13"/>
        <v>0</v>
      </c>
      <c r="P103">
        <f t="shared" si="20"/>
        <v>0</v>
      </c>
      <c r="Q103" s="157">
        <f t="shared" si="22"/>
        <v>14000</v>
      </c>
    </row>
    <row r="104" spans="6:20">
      <c r="F104">
        <v>66</v>
      </c>
      <c r="G104" s="380">
        <v>66</v>
      </c>
      <c r="H104" s="3335">
        <v>66</v>
      </c>
      <c r="I104" s="3324">
        <f t="shared" si="14"/>
        <v>5.0000000000000009</v>
      </c>
      <c r="J104" s="1555">
        <f t="shared" si="21"/>
        <v>45672</v>
      </c>
      <c r="K104">
        <v>101</v>
      </c>
      <c r="L104" s="3323">
        <f t="shared" si="12"/>
        <v>364904</v>
      </c>
      <c r="M104" s="3325">
        <v>3500</v>
      </c>
      <c r="N104">
        <f t="shared" si="13"/>
        <v>0</v>
      </c>
      <c r="P104">
        <f t="shared" si="20"/>
        <v>0</v>
      </c>
      <c r="Q104" s="157">
        <f t="shared" si="22"/>
        <v>17500</v>
      </c>
    </row>
    <row r="105" spans="6:20">
      <c r="F105">
        <v>67</v>
      </c>
      <c r="G105" s="380">
        <v>67</v>
      </c>
      <c r="H105" s="3335">
        <v>67</v>
      </c>
      <c r="I105" s="3324">
        <f t="shared" si="14"/>
        <v>5.0416666666666679</v>
      </c>
      <c r="J105" s="1555">
        <f t="shared" si="21"/>
        <v>45672</v>
      </c>
      <c r="K105">
        <v>102</v>
      </c>
      <c r="L105" s="3323">
        <f t="shared" si="12"/>
        <v>361404</v>
      </c>
      <c r="M105" s="3325">
        <v>3500</v>
      </c>
      <c r="N105">
        <f t="shared" si="13"/>
        <v>0</v>
      </c>
      <c r="P105">
        <f t="shared" si="20"/>
        <v>0</v>
      </c>
      <c r="Q105" s="157">
        <f t="shared" si="22"/>
        <v>21000</v>
      </c>
    </row>
    <row r="106" spans="6:20">
      <c r="F106">
        <v>68</v>
      </c>
      <c r="G106" s="380">
        <v>68</v>
      </c>
      <c r="H106" s="3335">
        <v>68</v>
      </c>
      <c r="I106" s="3324">
        <f t="shared" si="14"/>
        <v>5.0833333333333348</v>
      </c>
      <c r="J106" s="1555">
        <f t="shared" si="21"/>
        <v>45672</v>
      </c>
      <c r="K106">
        <v>103</v>
      </c>
      <c r="L106" s="3323">
        <f t="shared" si="12"/>
        <v>357904</v>
      </c>
      <c r="M106" s="3325">
        <v>3500</v>
      </c>
      <c r="N106">
        <f t="shared" si="13"/>
        <v>0</v>
      </c>
      <c r="P106">
        <f t="shared" si="20"/>
        <v>0</v>
      </c>
      <c r="Q106" s="157">
        <f t="shared" si="22"/>
        <v>24500</v>
      </c>
    </row>
    <row r="107" spans="6:20">
      <c r="F107">
        <v>69</v>
      </c>
      <c r="G107" s="380">
        <v>69</v>
      </c>
      <c r="H107" s="3335">
        <v>69</v>
      </c>
      <c r="I107" s="3324">
        <f t="shared" si="14"/>
        <v>5.1250000000000018</v>
      </c>
      <c r="J107" s="1555">
        <f t="shared" si="21"/>
        <v>45672</v>
      </c>
      <c r="K107">
        <v>104</v>
      </c>
      <c r="L107" s="3323">
        <f t="shared" si="12"/>
        <v>354404</v>
      </c>
      <c r="M107" s="3325">
        <v>3500</v>
      </c>
      <c r="N107">
        <f t="shared" si="13"/>
        <v>0</v>
      </c>
      <c r="P107">
        <f t="shared" si="20"/>
        <v>0</v>
      </c>
      <c r="Q107" s="157">
        <f t="shared" si="22"/>
        <v>28000</v>
      </c>
    </row>
    <row r="108" spans="6:20">
      <c r="F108">
        <v>70</v>
      </c>
      <c r="G108" s="380">
        <v>70</v>
      </c>
      <c r="H108" s="3335">
        <v>70</v>
      </c>
      <c r="I108" s="3324">
        <f t="shared" si="14"/>
        <v>5.1666666666666687</v>
      </c>
      <c r="J108" s="1555">
        <f t="shared" si="21"/>
        <v>45672</v>
      </c>
      <c r="K108">
        <v>105</v>
      </c>
      <c r="L108" s="3323">
        <f t="shared" si="12"/>
        <v>350904</v>
      </c>
      <c r="M108" s="3325">
        <v>3500</v>
      </c>
      <c r="N108">
        <f t="shared" si="13"/>
        <v>0</v>
      </c>
      <c r="P108">
        <f t="shared" si="20"/>
        <v>0</v>
      </c>
      <c r="Q108" s="157">
        <f t="shared" si="22"/>
        <v>31500</v>
      </c>
    </row>
    <row r="109" spans="6:20">
      <c r="F109">
        <v>71</v>
      </c>
      <c r="G109" s="380">
        <v>71</v>
      </c>
      <c r="H109" s="3335">
        <v>71</v>
      </c>
      <c r="I109" s="3324">
        <f t="shared" si="14"/>
        <v>5.2083333333333357</v>
      </c>
      <c r="J109" s="1555">
        <f t="shared" si="21"/>
        <v>45672</v>
      </c>
      <c r="K109">
        <v>106</v>
      </c>
      <c r="L109" s="3323">
        <f t="shared" si="12"/>
        <v>347404</v>
      </c>
      <c r="M109" s="3325">
        <v>3500</v>
      </c>
      <c r="N109">
        <f t="shared" si="13"/>
        <v>0</v>
      </c>
      <c r="P109">
        <f t="shared" si="20"/>
        <v>0</v>
      </c>
      <c r="Q109" s="157">
        <f t="shared" si="22"/>
        <v>35000</v>
      </c>
    </row>
    <row r="110" spans="6:20">
      <c r="F110">
        <v>72</v>
      </c>
      <c r="G110" s="380">
        <v>72</v>
      </c>
      <c r="H110" s="3335">
        <v>72</v>
      </c>
      <c r="I110" s="3324">
        <f t="shared" si="14"/>
        <v>5.2500000000000027</v>
      </c>
      <c r="J110" s="1555">
        <f t="shared" si="21"/>
        <v>45672</v>
      </c>
      <c r="K110">
        <v>107</v>
      </c>
      <c r="L110" s="3323">
        <f t="shared" si="12"/>
        <v>343904</v>
      </c>
      <c r="M110" s="3325">
        <v>3500</v>
      </c>
      <c r="N110">
        <f t="shared" si="13"/>
        <v>0</v>
      </c>
      <c r="P110">
        <f t="shared" si="20"/>
        <v>0</v>
      </c>
      <c r="Q110" s="157">
        <f t="shared" si="22"/>
        <v>38500</v>
      </c>
    </row>
    <row r="111" spans="6:20">
      <c r="F111">
        <v>73</v>
      </c>
      <c r="G111" s="380">
        <v>73</v>
      </c>
      <c r="H111" s="3335">
        <v>73</v>
      </c>
      <c r="I111" s="3324">
        <f t="shared" si="14"/>
        <v>5.2916666666666696</v>
      </c>
      <c r="J111" s="1555">
        <f t="shared" si="21"/>
        <v>45672</v>
      </c>
      <c r="K111">
        <v>108</v>
      </c>
      <c r="L111" s="3323">
        <f t="shared" si="12"/>
        <v>340404</v>
      </c>
      <c r="M111" s="3325">
        <v>3500</v>
      </c>
      <c r="N111">
        <f t="shared" si="13"/>
        <v>0</v>
      </c>
      <c r="P111">
        <f t="shared" si="20"/>
        <v>0</v>
      </c>
      <c r="Q111" s="157">
        <f t="shared" si="22"/>
        <v>42000</v>
      </c>
    </row>
    <row r="112" spans="6:20">
      <c r="F112">
        <v>74</v>
      </c>
      <c r="G112" s="380">
        <v>74</v>
      </c>
      <c r="H112" s="3335">
        <v>74</v>
      </c>
      <c r="I112" s="3324">
        <f t="shared" si="14"/>
        <v>5.3333333333333366</v>
      </c>
      <c r="J112" s="1555">
        <f t="shared" si="21"/>
        <v>45672</v>
      </c>
      <c r="K112">
        <v>109</v>
      </c>
      <c r="L112" s="3323">
        <f t="shared" si="12"/>
        <v>336904</v>
      </c>
      <c r="M112" s="3325">
        <v>3500</v>
      </c>
      <c r="N112">
        <f t="shared" si="13"/>
        <v>0</v>
      </c>
      <c r="P112">
        <f t="shared" si="20"/>
        <v>0</v>
      </c>
      <c r="Q112" s="157">
        <f t="shared" si="22"/>
        <v>45500</v>
      </c>
      <c r="T112">
        <f>85000/24</f>
        <v>3541.6666666666665</v>
      </c>
    </row>
    <row r="113" spans="6:18">
      <c r="F113">
        <v>75</v>
      </c>
      <c r="G113" s="380">
        <v>75</v>
      </c>
      <c r="H113" s="3335">
        <v>75</v>
      </c>
      <c r="I113" s="3324">
        <f t="shared" si="14"/>
        <v>5.3750000000000036</v>
      </c>
      <c r="J113" s="1555">
        <f t="shared" si="21"/>
        <v>45672</v>
      </c>
      <c r="K113">
        <v>110</v>
      </c>
      <c r="L113" s="3323">
        <f t="shared" si="12"/>
        <v>333404</v>
      </c>
      <c r="M113" s="3325">
        <v>3500</v>
      </c>
      <c r="N113">
        <f t="shared" si="13"/>
        <v>0</v>
      </c>
      <c r="P113">
        <f t="shared" si="20"/>
        <v>0</v>
      </c>
      <c r="Q113" s="157">
        <f t="shared" si="22"/>
        <v>49000</v>
      </c>
    </row>
    <row r="114" spans="6:18">
      <c r="F114">
        <v>76</v>
      </c>
      <c r="H114" s="3335">
        <v>76</v>
      </c>
      <c r="I114" s="3324">
        <f t="shared" si="14"/>
        <v>5.4166666666666705</v>
      </c>
      <c r="J114" s="1555">
        <f t="shared" si="21"/>
        <v>45672</v>
      </c>
      <c r="K114">
        <v>111</v>
      </c>
      <c r="L114" s="3323">
        <f t="shared" si="12"/>
        <v>329904</v>
      </c>
      <c r="M114" s="3325">
        <v>3500</v>
      </c>
      <c r="N114">
        <f t="shared" si="13"/>
        <v>0</v>
      </c>
      <c r="P114">
        <f t="shared" si="20"/>
        <v>0</v>
      </c>
      <c r="Q114" s="157">
        <f t="shared" si="22"/>
        <v>52500</v>
      </c>
    </row>
    <row r="115" spans="6:18">
      <c r="F115">
        <v>77</v>
      </c>
      <c r="H115" s="3335">
        <v>77</v>
      </c>
      <c r="I115" s="3324">
        <f t="shared" si="14"/>
        <v>5.4583333333333375</v>
      </c>
      <c r="J115" s="1555">
        <f t="shared" si="21"/>
        <v>45672</v>
      </c>
      <c r="K115">
        <v>112</v>
      </c>
      <c r="L115" s="3323">
        <f t="shared" si="12"/>
        <v>326404</v>
      </c>
      <c r="M115" s="3325">
        <v>3500</v>
      </c>
      <c r="N115">
        <f t="shared" si="13"/>
        <v>0</v>
      </c>
      <c r="P115">
        <f t="shared" si="20"/>
        <v>0</v>
      </c>
      <c r="Q115" s="157">
        <f t="shared" si="22"/>
        <v>56000</v>
      </c>
    </row>
    <row r="116" spans="6:18">
      <c r="F116">
        <v>78</v>
      </c>
      <c r="H116" s="3335">
        <v>78</v>
      </c>
      <c r="I116" s="3324">
        <f t="shared" si="14"/>
        <v>5.5000000000000044</v>
      </c>
      <c r="J116" s="1555">
        <f t="shared" si="21"/>
        <v>45672</v>
      </c>
      <c r="K116">
        <v>113</v>
      </c>
      <c r="L116" s="3323">
        <f t="shared" si="12"/>
        <v>322904</v>
      </c>
      <c r="M116" s="3325">
        <v>3500</v>
      </c>
      <c r="N116">
        <f t="shared" si="13"/>
        <v>0</v>
      </c>
      <c r="P116">
        <f t="shared" si="20"/>
        <v>0</v>
      </c>
      <c r="Q116" s="157">
        <f t="shared" si="22"/>
        <v>59500</v>
      </c>
    </row>
    <row r="117" spans="6:18">
      <c r="F117">
        <v>79</v>
      </c>
      <c r="H117" s="3335">
        <v>79</v>
      </c>
      <c r="I117" s="3324">
        <f t="shared" si="14"/>
        <v>5.5416666666666714</v>
      </c>
      <c r="J117" s="1555">
        <f t="shared" si="21"/>
        <v>45672</v>
      </c>
      <c r="K117">
        <v>114</v>
      </c>
      <c r="L117" s="3323">
        <f t="shared" si="12"/>
        <v>319404</v>
      </c>
      <c r="M117" s="3325">
        <v>3500</v>
      </c>
      <c r="N117">
        <f t="shared" si="13"/>
        <v>0</v>
      </c>
      <c r="P117">
        <f t="shared" si="20"/>
        <v>0</v>
      </c>
      <c r="Q117" s="157">
        <f t="shared" si="22"/>
        <v>63000</v>
      </c>
      <c r="R117" s="3327"/>
    </row>
    <row r="118" spans="6:18">
      <c r="F118">
        <v>80</v>
      </c>
      <c r="H118" s="3335">
        <v>80</v>
      </c>
      <c r="I118" s="3324">
        <f t="shared" si="14"/>
        <v>5.5833333333333384</v>
      </c>
      <c r="J118" s="1555">
        <f t="shared" si="21"/>
        <v>45672</v>
      </c>
      <c r="K118">
        <v>115</v>
      </c>
      <c r="L118" s="3323">
        <f t="shared" si="12"/>
        <v>315904</v>
      </c>
      <c r="M118" s="3325">
        <v>3500</v>
      </c>
      <c r="N118">
        <f t="shared" si="13"/>
        <v>0</v>
      </c>
      <c r="P118">
        <f t="shared" si="20"/>
        <v>0</v>
      </c>
      <c r="Q118" s="157">
        <f t="shared" si="22"/>
        <v>66500</v>
      </c>
      <c r="R118" s="3327"/>
    </row>
    <row r="119" spans="6:18">
      <c r="F119">
        <v>81</v>
      </c>
      <c r="H119" s="3335">
        <v>81</v>
      </c>
      <c r="I119" s="3324">
        <f t="shared" si="14"/>
        <v>5.6250000000000053</v>
      </c>
      <c r="J119" s="1555">
        <f t="shared" si="21"/>
        <v>45672</v>
      </c>
      <c r="K119">
        <v>116</v>
      </c>
      <c r="L119" s="3323">
        <f t="shared" si="12"/>
        <v>312404</v>
      </c>
      <c r="M119" s="3325">
        <v>3500</v>
      </c>
      <c r="N119">
        <f t="shared" si="13"/>
        <v>0</v>
      </c>
      <c r="P119">
        <f t="shared" si="20"/>
        <v>0</v>
      </c>
      <c r="Q119" s="157">
        <f t="shared" si="22"/>
        <v>70000</v>
      </c>
      <c r="R119" s="3327"/>
    </row>
    <row r="120" spans="6:18">
      <c r="F120">
        <v>82</v>
      </c>
      <c r="H120" s="3335">
        <v>82</v>
      </c>
      <c r="I120" s="3324">
        <f t="shared" si="14"/>
        <v>5.6666666666666723</v>
      </c>
      <c r="J120" s="1555">
        <f t="shared" si="21"/>
        <v>45672</v>
      </c>
      <c r="K120">
        <v>117</v>
      </c>
      <c r="L120" s="3323">
        <f t="shared" si="12"/>
        <v>308904</v>
      </c>
      <c r="M120" s="3325">
        <v>3500</v>
      </c>
      <c r="N120">
        <f t="shared" si="13"/>
        <v>0</v>
      </c>
      <c r="P120">
        <f t="shared" si="20"/>
        <v>0</v>
      </c>
      <c r="Q120" s="157">
        <f t="shared" si="22"/>
        <v>73500</v>
      </c>
      <c r="R120" s="3327"/>
    </row>
    <row r="121" spans="6:18">
      <c r="F121">
        <v>83</v>
      </c>
      <c r="H121" s="3335">
        <v>83</v>
      </c>
      <c r="I121" s="3324">
        <f t="shared" si="14"/>
        <v>5.7083333333333393</v>
      </c>
      <c r="J121" s="1555">
        <f t="shared" si="21"/>
        <v>45672</v>
      </c>
      <c r="K121">
        <v>118</v>
      </c>
      <c r="L121" s="3323">
        <f t="shared" si="12"/>
        <v>305404</v>
      </c>
      <c r="M121" s="3325">
        <v>3500</v>
      </c>
      <c r="N121">
        <f t="shared" si="13"/>
        <v>0</v>
      </c>
      <c r="P121">
        <f t="shared" si="20"/>
        <v>0</v>
      </c>
      <c r="Q121" s="157">
        <f t="shared" si="22"/>
        <v>77000</v>
      </c>
      <c r="R121" s="3327"/>
    </row>
    <row r="122" spans="6:18">
      <c r="F122">
        <v>84</v>
      </c>
      <c r="H122" s="3335">
        <v>84</v>
      </c>
      <c r="I122" s="3324">
        <f t="shared" si="14"/>
        <v>5.7500000000000062</v>
      </c>
      <c r="J122" s="1555">
        <f t="shared" si="21"/>
        <v>45672</v>
      </c>
      <c r="K122">
        <v>119</v>
      </c>
      <c r="L122" s="3323">
        <f t="shared" si="12"/>
        <v>301904</v>
      </c>
      <c r="M122" s="3325">
        <v>3500</v>
      </c>
      <c r="N122">
        <f t="shared" si="13"/>
        <v>0</v>
      </c>
      <c r="P122">
        <f t="shared" si="20"/>
        <v>0</v>
      </c>
      <c r="Q122" s="157">
        <f t="shared" si="22"/>
        <v>80500</v>
      </c>
      <c r="R122" s="157"/>
    </row>
    <row r="123" spans="6:18">
      <c r="F123">
        <v>85</v>
      </c>
      <c r="H123" s="3335">
        <v>85</v>
      </c>
      <c r="I123" s="3324">
        <f t="shared" si="14"/>
        <v>5.7916666666666732</v>
      </c>
      <c r="J123" s="1555">
        <f t="shared" si="21"/>
        <v>45672</v>
      </c>
      <c r="K123">
        <v>120</v>
      </c>
      <c r="L123" s="3323">
        <f t="shared" si="12"/>
        <v>298404</v>
      </c>
      <c r="M123" s="3325">
        <v>3500</v>
      </c>
      <c r="N123">
        <f t="shared" si="13"/>
        <v>0</v>
      </c>
      <c r="P123">
        <f t="shared" si="20"/>
        <v>0</v>
      </c>
      <c r="Q123" s="157">
        <f t="shared" si="22"/>
        <v>84000</v>
      </c>
      <c r="R123" s="157">
        <f>+Q123</f>
        <v>84000</v>
      </c>
    </row>
    <row r="124" spans="6:18">
      <c r="F124">
        <v>86</v>
      </c>
      <c r="H124" s="3335">
        <v>86</v>
      </c>
      <c r="I124" s="3324">
        <f t="shared" si="14"/>
        <v>5.8333333333333401</v>
      </c>
      <c r="J124" s="1555">
        <f>+J123+1</f>
        <v>45673</v>
      </c>
      <c r="K124">
        <v>121</v>
      </c>
      <c r="L124" s="3323">
        <f t="shared" si="12"/>
        <v>294904</v>
      </c>
      <c r="M124" s="3325">
        <v>3500</v>
      </c>
      <c r="N124">
        <f t="shared" si="13"/>
        <v>0</v>
      </c>
      <c r="P124">
        <f>+P123</f>
        <v>0</v>
      </c>
      <c r="Q124" s="157">
        <f>+M124</f>
        <v>3500</v>
      </c>
    </row>
    <row r="125" spans="6:18">
      <c r="F125">
        <v>87</v>
      </c>
      <c r="H125" s="3335">
        <v>87</v>
      </c>
      <c r="I125" s="3324">
        <f t="shared" si="14"/>
        <v>5.8750000000000071</v>
      </c>
      <c r="J125" s="1555">
        <f t="shared" ref="J125:J147" si="23">+J124</f>
        <v>45673</v>
      </c>
      <c r="K125">
        <v>122</v>
      </c>
      <c r="L125" s="3323">
        <f t="shared" si="12"/>
        <v>291404</v>
      </c>
      <c r="M125" s="3325">
        <v>3500</v>
      </c>
      <c r="N125">
        <f t="shared" si="13"/>
        <v>0</v>
      </c>
      <c r="P125">
        <f>+P124</f>
        <v>0</v>
      </c>
      <c r="Q125" s="157">
        <f t="shared" ref="Q125:Q147" si="24">+Q124+M125</f>
        <v>7000</v>
      </c>
    </row>
    <row r="126" spans="6:18">
      <c r="F126">
        <v>88</v>
      </c>
      <c r="H126" s="3335">
        <v>88</v>
      </c>
      <c r="I126" s="3324">
        <f t="shared" si="14"/>
        <v>5.9166666666666741</v>
      </c>
      <c r="J126" s="1555">
        <f t="shared" si="23"/>
        <v>45673</v>
      </c>
      <c r="K126">
        <v>123</v>
      </c>
      <c r="L126" s="3323">
        <f t="shared" si="12"/>
        <v>287904</v>
      </c>
      <c r="M126" s="3325">
        <v>3500</v>
      </c>
      <c r="N126">
        <f t="shared" si="13"/>
        <v>0</v>
      </c>
      <c r="P126">
        <f t="shared" ref="P126:P141" si="25">+P125</f>
        <v>0</v>
      </c>
      <c r="Q126" s="157">
        <f t="shared" si="24"/>
        <v>10500</v>
      </c>
    </row>
    <row r="127" spans="6:18">
      <c r="F127">
        <v>89</v>
      </c>
      <c r="H127" s="3335">
        <v>89</v>
      </c>
      <c r="I127" s="3324">
        <f t="shared" si="14"/>
        <v>5.958333333333341</v>
      </c>
      <c r="J127" s="1555">
        <f t="shared" si="23"/>
        <v>45673</v>
      </c>
      <c r="K127">
        <v>124</v>
      </c>
      <c r="L127" s="3323">
        <f t="shared" si="12"/>
        <v>284404</v>
      </c>
      <c r="M127" s="3325">
        <v>3500</v>
      </c>
      <c r="N127">
        <f t="shared" si="13"/>
        <v>0</v>
      </c>
      <c r="P127">
        <f t="shared" si="25"/>
        <v>0</v>
      </c>
      <c r="Q127" s="157">
        <f t="shared" si="24"/>
        <v>14000</v>
      </c>
    </row>
    <row r="128" spans="6:18">
      <c r="F128">
        <v>90</v>
      </c>
      <c r="H128" s="3335">
        <v>90</v>
      </c>
      <c r="I128" s="3324">
        <f t="shared" si="14"/>
        <v>6.000000000000008</v>
      </c>
      <c r="J128" s="1555">
        <f t="shared" si="23"/>
        <v>45673</v>
      </c>
      <c r="K128">
        <v>125</v>
      </c>
      <c r="L128" s="3323">
        <f t="shared" si="12"/>
        <v>280904</v>
      </c>
      <c r="M128" s="3325">
        <v>3500</v>
      </c>
      <c r="N128">
        <f t="shared" si="13"/>
        <v>0</v>
      </c>
      <c r="P128">
        <f t="shared" si="25"/>
        <v>0</v>
      </c>
      <c r="Q128" s="157">
        <f t="shared" si="24"/>
        <v>17500</v>
      </c>
    </row>
    <row r="129" spans="6:19">
      <c r="F129">
        <v>91</v>
      </c>
      <c r="I129" s="3324">
        <f t="shared" si="14"/>
        <v>6.041666666666675</v>
      </c>
      <c r="J129" s="1555">
        <f t="shared" si="23"/>
        <v>45673</v>
      </c>
      <c r="K129">
        <v>126</v>
      </c>
      <c r="L129" s="3323">
        <f t="shared" si="12"/>
        <v>277404</v>
      </c>
      <c r="M129" s="3325">
        <v>3500</v>
      </c>
      <c r="N129">
        <f t="shared" si="13"/>
        <v>0</v>
      </c>
      <c r="P129">
        <f t="shared" si="25"/>
        <v>0</v>
      </c>
      <c r="Q129" s="157">
        <f t="shared" si="24"/>
        <v>21000</v>
      </c>
    </row>
    <row r="130" spans="6:19">
      <c r="F130">
        <v>92</v>
      </c>
      <c r="I130" s="3324">
        <f t="shared" si="14"/>
        <v>6.0833333333333419</v>
      </c>
      <c r="J130" s="1555">
        <f t="shared" si="23"/>
        <v>45673</v>
      </c>
      <c r="K130">
        <v>127</v>
      </c>
      <c r="L130" s="3323">
        <f t="shared" si="12"/>
        <v>273904</v>
      </c>
      <c r="M130" s="3325">
        <v>3500</v>
      </c>
      <c r="N130">
        <f t="shared" si="13"/>
        <v>0</v>
      </c>
      <c r="P130">
        <f t="shared" si="25"/>
        <v>0</v>
      </c>
      <c r="Q130" s="157">
        <f t="shared" si="24"/>
        <v>24500</v>
      </c>
    </row>
    <row r="131" spans="6:19">
      <c r="F131">
        <v>93</v>
      </c>
      <c r="I131" s="3324">
        <f t="shared" si="14"/>
        <v>6.1250000000000089</v>
      </c>
      <c r="J131" s="1555">
        <f t="shared" si="23"/>
        <v>45673</v>
      </c>
      <c r="K131">
        <v>128</v>
      </c>
      <c r="L131" s="3323">
        <f t="shared" si="12"/>
        <v>270404</v>
      </c>
      <c r="M131" s="3325">
        <v>3500</v>
      </c>
      <c r="N131">
        <f t="shared" si="13"/>
        <v>0</v>
      </c>
      <c r="P131">
        <f t="shared" si="25"/>
        <v>0</v>
      </c>
      <c r="Q131" s="157">
        <f t="shared" si="24"/>
        <v>28000</v>
      </c>
    </row>
    <row r="132" spans="6:19">
      <c r="F132">
        <v>94</v>
      </c>
      <c r="I132" s="3324">
        <f t="shared" si="14"/>
        <v>6.1666666666666758</v>
      </c>
      <c r="J132" s="1555">
        <f t="shared" si="23"/>
        <v>45673</v>
      </c>
      <c r="K132">
        <v>129</v>
      </c>
      <c r="L132" s="3323">
        <f t="shared" ref="L132:L195" si="26">+L131-M132+N132</f>
        <v>266904</v>
      </c>
      <c r="M132" s="3325">
        <v>3500</v>
      </c>
      <c r="N132">
        <f t="shared" si="13"/>
        <v>0</v>
      </c>
      <c r="P132">
        <f t="shared" si="25"/>
        <v>0</v>
      </c>
      <c r="Q132" s="157">
        <f t="shared" si="24"/>
        <v>31500</v>
      </c>
    </row>
    <row r="133" spans="6:19">
      <c r="F133">
        <v>95</v>
      </c>
      <c r="I133" s="3324">
        <f t="shared" si="14"/>
        <v>6.2083333333333428</v>
      </c>
      <c r="J133" s="1555">
        <f t="shared" si="23"/>
        <v>45673</v>
      </c>
      <c r="K133">
        <v>130</v>
      </c>
      <c r="L133" s="3323">
        <f t="shared" si="26"/>
        <v>263404</v>
      </c>
      <c r="M133" s="3325">
        <v>3500</v>
      </c>
      <c r="N133">
        <f t="shared" ref="N133:N196" si="27">IF(P133=0,P133,O133)</f>
        <v>0</v>
      </c>
      <c r="P133">
        <f t="shared" si="25"/>
        <v>0</v>
      </c>
      <c r="Q133" s="157">
        <f t="shared" si="24"/>
        <v>35000</v>
      </c>
    </row>
    <row r="134" spans="6:19" s="380" customFormat="1" ht="13">
      <c r="F134" s="380">
        <v>96</v>
      </c>
      <c r="I134" s="3331">
        <f t="shared" ref="I134:I197" si="28">+I133+1/24</f>
        <v>6.2500000000000098</v>
      </c>
      <c r="J134" s="3332">
        <f t="shared" si="23"/>
        <v>45673</v>
      </c>
      <c r="K134" s="380">
        <v>131</v>
      </c>
      <c r="L134" s="3328">
        <f t="shared" si="26"/>
        <v>259904</v>
      </c>
      <c r="M134" s="3333">
        <v>3500</v>
      </c>
      <c r="N134" s="380">
        <f t="shared" si="27"/>
        <v>0</v>
      </c>
      <c r="P134" s="380">
        <f t="shared" si="25"/>
        <v>0</v>
      </c>
      <c r="Q134" s="3333">
        <f t="shared" si="24"/>
        <v>38500</v>
      </c>
      <c r="S134" s="1269" t="s">
        <v>1601</v>
      </c>
    </row>
    <row r="135" spans="6:19">
      <c r="F135">
        <v>97</v>
      </c>
      <c r="I135" s="3324">
        <f t="shared" si="28"/>
        <v>6.2916666666666767</v>
      </c>
      <c r="J135" s="1555">
        <f t="shared" si="23"/>
        <v>45673</v>
      </c>
      <c r="K135">
        <v>132</v>
      </c>
      <c r="L135" s="3323">
        <f t="shared" si="26"/>
        <v>259904</v>
      </c>
      <c r="M135" s="3325"/>
      <c r="N135">
        <f t="shared" si="27"/>
        <v>0</v>
      </c>
      <c r="P135">
        <f t="shared" si="25"/>
        <v>0</v>
      </c>
      <c r="Q135" s="157">
        <f t="shared" si="24"/>
        <v>38500</v>
      </c>
    </row>
    <row r="136" spans="6:19">
      <c r="F136">
        <v>98</v>
      </c>
      <c r="I136" s="3324">
        <f t="shared" si="28"/>
        <v>6.3333333333333437</v>
      </c>
      <c r="J136" s="1555">
        <f t="shared" si="23"/>
        <v>45673</v>
      </c>
      <c r="K136">
        <v>133</v>
      </c>
      <c r="L136" s="3323">
        <f t="shared" si="26"/>
        <v>259904</v>
      </c>
      <c r="M136" s="3329"/>
      <c r="N136">
        <f t="shared" si="27"/>
        <v>0</v>
      </c>
      <c r="P136">
        <f t="shared" si="25"/>
        <v>0</v>
      </c>
      <c r="Q136" s="157">
        <f t="shared" si="24"/>
        <v>38500</v>
      </c>
    </row>
    <row r="137" spans="6:19">
      <c r="F137">
        <v>99</v>
      </c>
      <c r="I137" s="3324">
        <f t="shared" si="28"/>
        <v>6.3750000000000107</v>
      </c>
      <c r="J137" s="1555">
        <f t="shared" si="23"/>
        <v>45673</v>
      </c>
      <c r="K137">
        <v>134</v>
      </c>
      <c r="L137" s="3323">
        <f t="shared" si="26"/>
        <v>259904</v>
      </c>
      <c r="M137" s="3329"/>
      <c r="N137">
        <f t="shared" si="27"/>
        <v>0</v>
      </c>
      <c r="P137">
        <f t="shared" si="25"/>
        <v>0</v>
      </c>
      <c r="Q137" s="157">
        <f t="shared" si="24"/>
        <v>38500</v>
      </c>
    </row>
    <row r="138" spans="6:19">
      <c r="F138">
        <v>100</v>
      </c>
      <c r="I138" s="3324">
        <f t="shared" si="28"/>
        <v>6.4166666666666776</v>
      </c>
      <c r="J138" s="1555">
        <f t="shared" si="23"/>
        <v>45673</v>
      </c>
      <c r="K138">
        <v>135</v>
      </c>
      <c r="L138" s="3323">
        <f t="shared" si="26"/>
        <v>259904</v>
      </c>
      <c r="M138" s="3329"/>
      <c r="N138">
        <f t="shared" si="27"/>
        <v>0</v>
      </c>
      <c r="P138">
        <f t="shared" si="25"/>
        <v>0</v>
      </c>
      <c r="Q138" s="157">
        <f t="shared" si="24"/>
        <v>38500</v>
      </c>
    </row>
    <row r="139" spans="6:19">
      <c r="F139">
        <v>101</v>
      </c>
      <c r="I139" s="3324">
        <f t="shared" si="28"/>
        <v>6.4583333333333446</v>
      </c>
      <c r="J139" s="1555">
        <f t="shared" si="23"/>
        <v>45673</v>
      </c>
      <c r="K139">
        <v>136</v>
      </c>
      <c r="L139" s="3323">
        <f t="shared" si="26"/>
        <v>259904</v>
      </c>
      <c r="M139" s="3329"/>
      <c r="N139">
        <f t="shared" si="27"/>
        <v>0</v>
      </c>
      <c r="P139">
        <f t="shared" si="25"/>
        <v>0</v>
      </c>
      <c r="Q139" s="157">
        <f t="shared" si="24"/>
        <v>38500</v>
      </c>
    </row>
    <row r="140" spans="6:19">
      <c r="F140">
        <v>102</v>
      </c>
      <c r="I140" s="3324">
        <f t="shared" si="28"/>
        <v>6.5000000000000115</v>
      </c>
      <c r="J140" s="1555">
        <f t="shared" si="23"/>
        <v>45673</v>
      </c>
      <c r="K140">
        <v>137</v>
      </c>
      <c r="L140" s="3323">
        <f t="shared" si="26"/>
        <v>259904</v>
      </c>
      <c r="M140" s="3329"/>
      <c r="N140">
        <f t="shared" si="27"/>
        <v>0</v>
      </c>
      <c r="P140">
        <f t="shared" si="25"/>
        <v>0</v>
      </c>
      <c r="Q140" s="157">
        <f t="shared" si="24"/>
        <v>38500</v>
      </c>
    </row>
    <row r="141" spans="6:19">
      <c r="F141">
        <v>103</v>
      </c>
      <c r="I141" s="3324">
        <f t="shared" si="28"/>
        <v>6.5416666666666785</v>
      </c>
      <c r="J141" s="1555">
        <f t="shared" si="23"/>
        <v>45673</v>
      </c>
      <c r="K141">
        <v>138</v>
      </c>
      <c r="L141" s="3323">
        <f t="shared" si="26"/>
        <v>259904</v>
      </c>
      <c r="M141" s="3329"/>
      <c r="N141">
        <f t="shared" si="27"/>
        <v>0</v>
      </c>
      <c r="P141">
        <f t="shared" si="25"/>
        <v>0</v>
      </c>
      <c r="Q141" s="157">
        <f t="shared" si="24"/>
        <v>38500</v>
      </c>
      <c r="R141" s="3327"/>
    </row>
    <row r="142" spans="6:19">
      <c r="F142">
        <v>104</v>
      </c>
      <c r="I142" s="3324">
        <f t="shared" si="28"/>
        <v>6.5833333333333455</v>
      </c>
      <c r="J142" s="1555">
        <f t="shared" si="23"/>
        <v>45673</v>
      </c>
      <c r="K142">
        <v>139</v>
      </c>
      <c r="L142" s="3323">
        <f t="shared" si="26"/>
        <v>259904</v>
      </c>
      <c r="M142" s="3329"/>
      <c r="N142">
        <f t="shared" si="27"/>
        <v>0</v>
      </c>
      <c r="P142">
        <f t="shared" ref="O142:P205" si="29">+P141</f>
        <v>0</v>
      </c>
      <c r="Q142" s="157">
        <f t="shared" si="24"/>
        <v>38500</v>
      </c>
      <c r="R142" s="3327"/>
    </row>
    <row r="143" spans="6:19">
      <c r="F143">
        <v>105</v>
      </c>
      <c r="I143" s="3324">
        <f t="shared" si="28"/>
        <v>6.6250000000000124</v>
      </c>
      <c r="J143" s="1555">
        <f t="shared" si="23"/>
        <v>45673</v>
      </c>
      <c r="K143">
        <v>140</v>
      </c>
      <c r="L143" s="3323">
        <f t="shared" si="26"/>
        <v>259904</v>
      </c>
      <c r="M143" s="3329"/>
      <c r="N143">
        <f t="shared" si="27"/>
        <v>0</v>
      </c>
      <c r="P143">
        <f t="shared" si="29"/>
        <v>0</v>
      </c>
      <c r="Q143" s="157">
        <f t="shared" si="24"/>
        <v>38500</v>
      </c>
      <c r="R143" s="3327"/>
    </row>
    <row r="144" spans="6:19">
      <c r="F144">
        <v>106</v>
      </c>
      <c r="I144" s="3324">
        <f t="shared" si="28"/>
        <v>6.6666666666666794</v>
      </c>
      <c r="J144" s="1555">
        <f t="shared" si="23"/>
        <v>45673</v>
      </c>
      <c r="K144">
        <v>141</v>
      </c>
      <c r="L144" s="3323">
        <f t="shared" si="26"/>
        <v>259904</v>
      </c>
      <c r="M144" s="3329"/>
      <c r="N144">
        <f t="shared" si="27"/>
        <v>0</v>
      </c>
      <c r="P144">
        <f t="shared" si="29"/>
        <v>0</v>
      </c>
      <c r="Q144" s="157">
        <f t="shared" si="24"/>
        <v>38500</v>
      </c>
      <c r="R144" s="3327"/>
    </row>
    <row r="145" spans="3:19">
      <c r="F145">
        <v>107</v>
      </c>
      <c r="I145" s="3324">
        <f t="shared" si="28"/>
        <v>6.7083333333333464</v>
      </c>
      <c r="J145" s="1555">
        <f t="shared" si="23"/>
        <v>45673</v>
      </c>
      <c r="K145">
        <v>142</v>
      </c>
      <c r="L145" s="3323">
        <f t="shared" si="26"/>
        <v>259904</v>
      </c>
      <c r="M145" s="3329"/>
      <c r="N145">
        <f t="shared" si="27"/>
        <v>0</v>
      </c>
      <c r="P145">
        <f t="shared" si="29"/>
        <v>0</v>
      </c>
      <c r="Q145" s="157">
        <f t="shared" si="24"/>
        <v>38500</v>
      </c>
      <c r="R145" s="3327"/>
    </row>
    <row r="146" spans="3:19">
      <c r="F146">
        <v>108</v>
      </c>
      <c r="I146" s="3324">
        <f t="shared" si="28"/>
        <v>6.7500000000000133</v>
      </c>
      <c r="J146" s="1555">
        <f t="shared" si="23"/>
        <v>45673</v>
      </c>
      <c r="K146">
        <v>143</v>
      </c>
      <c r="L146" s="3323">
        <f t="shared" si="26"/>
        <v>259904</v>
      </c>
      <c r="M146" s="3329"/>
      <c r="N146">
        <f t="shared" si="27"/>
        <v>0</v>
      </c>
      <c r="P146">
        <f t="shared" si="29"/>
        <v>0</v>
      </c>
      <c r="Q146" s="157">
        <f t="shared" si="24"/>
        <v>38500</v>
      </c>
      <c r="R146" s="3327"/>
    </row>
    <row r="147" spans="3:19">
      <c r="F147">
        <v>109</v>
      </c>
      <c r="I147" s="3324">
        <f t="shared" si="28"/>
        <v>6.7916666666666803</v>
      </c>
      <c r="J147" s="1555">
        <f t="shared" si="23"/>
        <v>45673</v>
      </c>
      <c r="K147">
        <v>144</v>
      </c>
      <c r="L147" s="3323">
        <f t="shared" si="26"/>
        <v>259904</v>
      </c>
      <c r="M147" s="3329"/>
      <c r="N147">
        <f t="shared" si="27"/>
        <v>0</v>
      </c>
      <c r="P147">
        <f t="shared" si="29"/>
        <v>0</v>
      </c>
      <c r="Q147" s="157">
        <f t="shared" si="24"/>
        <v>38500</v>
      </c>
      <c r="R147" s="157">
        <f>+Q147</f>
        <v>38500</v>
      </c>
    </row>
    <row r="148" spans="3:19">
      <c r="F148">
        <v>110</v>
      </c>
      <c r="I148" s="3324">
        <f t="shared" si="28"/>
        <v>6.8333333333333472</v>
      </c>
      <c r="J148" s="1555">
        <f>+J147+1</f>
        <v>45674</v>
      </c>
      <c r="K148">
        <v>145</v>
      </c>
      <c r="L148" s="3323">
        <f t="shared" si="26"/>
        <v>259904</v>
      </c>
      <c r="M148" s="3329"/>
      <c r="N148">
        <f t="shared" si="27"/>
        <v>0</v>
      </c>
      <c r="P148">
        <f t="shared" si="29"/>
        <v>0</v>
      </c>
      <c r="Q148" s="157">
        <f>+M148</f>
        <v>0</v>
      </c>
    </row>
    <row r="149" spans="3:19">
      <c r="F149">
        <v>111</v>
      </c>
      <c r="I149" s="3324">
        <f t="shared" si="28"/>
        <v>6.8750000000000142</v>
      </c>
      <c r="J149" s="1555">
        <f t="shared" ref="J149:J171" si="30">+J148</f>
        <v>45674</v>
      </c>
      <c r="K149">
        <v>146</v>
      </c>
      <c r="L149" s="3323">
        <f t="shared" si="26"/>
        <v>259904</v>
      </c>
      <c r="M149" s="3329"/>
      <c r="N149">
        <f t="shared" si="27"/>
        <v>0</v>
      </c>
      <c r="P149">
        <f t="shared" si="29"/>
        <v>0</v>
      </c>
      <c r="Q149" s="157">
        <f t="shared" ref="Q149:Q171" si="31">+Q148+M149</f>
        <v>0</v>
      </c>
    </row>
    <row r="150" spans="3:19">
      <c r="F150">
        <v>112</v>
      </c>
      <c r="I150" s="3324">
        <f t="shared" si="28"/>
        <v>6.9166666666666812</v>
      </c>
      <c r="J150" s="1555">
        <f t="shared" si="30"/>
        <v>45674</v>
      </c>
      <c r="K150">
        <v>147</v>
      </c>
      <c r="L150" s="3323">
        <f t="shared" si="26"/>
        <v>259904</v>
      </c>
      <c r="M150" s="3329"/>
      <c r="N150">
        <f t="shared" si="27"/>
        <v>0</v>
      </c>
      <c r="P150">
        <f t="shared" si="29"/>
        <v>0</v>
      </c>
      <c r="Q150" s="157">
        <f t="shared" si="31"/>
        <v>0</v>
      </c>
    </row>
    <row r="151" spans="3:19">
      <c r="F151">
        <v>113</v>
      </c>
      <c r="I151" s="3324">
        <f t="shared" si="28"/>
        <v>6.9583333333333481</v>
      </c>
      <c r="J151" s="1555">
        <f t="shared" si="30"/>
        <v>45674</v>
      </c>
      <c r="K151">
        <v>148</v>
      </c>
      <c r="L151" s="3323">
        <f t="shared" si="26"/>
        <v>259904</v>
      </c>
      <c r="M151" s="3329"/>
      <c r="N151">
        <f t="shared" si="27"/>
        <v>0</v>
      </c>
      <c r="P151">
        <f t="shared" si="29"/>
        <v>0</v>
      </c>
      <c r="Q151" s="157">
        <f t="shared" si="31"/>
        <v>0</v>
      </c>
    </row>
    <row r="152" spans="3:19">
      <c r="F152">
        <v>114</v>
      </c>
      <c r="I152" s="3324">
        <f t="shared" si="28"/>
        <v>7.0000000000000151</v>
      </c>
      <c r="J152" s="1555">
        <f t="shared" si="30"/>
        <v>45674</v>
      </c>
      <c r="K152">
        <v>149</v>
      </c>
      <c r="L152" s="3323">
        <f t="shared" si="26"/>
        <v>259904</v>
      </c>
      <c r="M152" s="3329"/>
      <c r="N152">
        <f t="shared" si="27"/>
        <v>0</v>
      </c>
      <c r="P152">
        <f t="shared" si="29"/>
        <v>0</v>
      </c>
      <c r="Q152" s="157">
        <f t="shared" si="31"/>
        <v>0</v>
      </c>
    </row>
    <row r="153" spans="3:19">
      <c r="F153">
        <v>115</v>
      </c>
      <c r="I153" s="3324">
        <f t="shared" si="28"/>
        <v>7.0416666666666821</v>
      </c>
      <c r="J153" s="1555">
        <f t="shared" si="30"/>
        <v>45674</v>
      </c>
      <c r="K153">
        <v>150</v>
      </c>
      <c r="L153" s="3323">
        <f t="shared" si="26"/>
        <v>259904</v>
      </c>
      <c r="M153" s="3329"/>
      <c r="N153">
        <f t="shared" si="27"/>
        <v>0</v>
      </c>
      <c r="P153">
        <f t="shared" si="29"/>
        <v>0</v>
      </c>
      <c r="Q153" s="157">
        <f t="shared" si="31"/>
        <v>0</v>
      </c>
    </row>
    <row r="154" spans="3:19">
      <c r="F154">
        <v>116</v>
      </c>
      <c r="I154" s="3324">
        <f t="shared" si="28"/>
        <v>7.083333333333349</v>
      </c>
      <c r="J154" s="1555">
        <f t="shared" si="30"/>
        <v>45674</v>
      </c>
      <c r="K154">
        <v>151</v>
      </c>
      <c r="L154" s="3323">
        <f t="shared" si="26"/>
        <v>259904</v>
      </c>
      <c r="M154" s="3329"/>
      <c r="N154">
        <f t="shared" si="27"/>
        <v>0</v>
      </c>
      <c r="P154">
        <f t="shared" si="29"/>
        <v>0</v>
      </c>
      <c r="Q154" s="157">
        <f t="shared" si="31"/>
        <v>0</v>
      </c>
    </row>
    <row r="155" spans="3:19">
      <c r="F155">
        <v>117</v>
      </c>
      <c r="I155" s="3324">
        <f t="shared" si="28"/>
        <v>7.125000000000016</v>
      </c>
      <c r="J155" s="1555">
        <f t="shared" si="30"/>
        <v>45674</v>
      </c>
      <c r="K155">
        <v>152</v>
      </c>
      <c r="L155" s="3323">
        <f t="shared" si="26"/>
        <v>259904</v>
      </c>
      <c r="M155" s="3329"/>
      <c r="N155">
        <f t="shared" si="27"/>
        <v>0</v>
      </c>
      <c r="P155">
        <f t="shared" si="29"/>
        <v>0</v>
      </c>
      <c r="Q155" s="157">
        <f t="shared" si="31"/>
        <v>0</v>
      </c>
    </row>
    <row r="156" spans="3:19">
      <c r="F156">
        <v>118</v>
      </c>
      <c r="I156" s="3324">
        <f t="shared" si="28"/>
        <v>7.1666666666666829</v>
      </c>
      <c r="J156" s="1555">
        <f t="shared" si="30"/>
        <v>45674</v>
      </c>
      <c r="K156">
        <v>153</v>
      </c>
      <c r="L156" s="3323">
        <f t="shared" si="26"/>
        <v>259904</v>
      </c>
      <c r="M156" s="3329"/>
      <c r="N156">
        <f t="shared" si="27"/>
        <v>0</v>
      </c>
      <c r="P156">
        <f t="shared" si="29"/>
        <v>0</v>
      </c>
      <c r="Q156" s="157">
        <f t="shared" si="31"/>
        <v>0</v>
      </c>
      <c r="S156">
        <f>24*5</f>
        <v>120</v>
      </c>
    </row>
    <row r="157" spans="3:19">
      <c r="F157">
        <v>119</v>
      </c>
      <c r="I157" s="3324">
        <f t="shared" si="28"/>
        <v>7.2083333333333499</v>
      </c>
      <c r="J157" s="1555">
        <f t="shared" si="30"/>
        <v>45674</v>
      </c>
      <c r="K157">
        <v>154</v>
      </c>
      <c r="L157" s="3323">
        <f t="shared" si="26"/>
        <v>259904</v>
      </c>
      <c r="M157" s="3329"/>
      <c r="N157">
        <f t="shared" si="27"/>
        <v>0</v>
      </c>
      <c r="P157">
        <f t="shared" si="29"/>
        <v>0</v>
      </c>
      <c r="Q157" s="157">
        <f t="shared" si="31"/>
        <v>0</v>
      </c>
    </row>
    <row r="158" spans="3:19">
      <c r="F158">
        <v>120</v>
      </c>
      <c r="I158" s="3324">
        <f t="shared" si="28"/>
        <v>7.2500000000000169</v>
      </c>
      <c r="J158" s="1555">
        <f t="shared" si="30"/>
        <v>45674</v>
      </c>
      <c r="K158">
        <v>155</v>
      </c>
      <c r="L158" s="3323">
        <f t="shared" si="26"/>
        <v>259904</v>
      </c>
      <c r="M158" s="3329"/>
      <c r="N158">
        <f t="shared" si="27"/>
        <v>0</v>
      </c>
      <c r="P158">
        <f t="shared" si="29"/>
        <v>0</v>
      </c>
      <c r="Q158" s="157">
        <f t="shared" si="31"/>
        <v>0</v>
      </c>
    </row>
    <row r="159" spans="3:19" s="380" customFormat="1">
      <c r="C159" s="380" t="s">
        <v>1604</v>
      </c>
      <c r="E159" s="380" t="s">
        <v>1602</v>
      </c>
      <c r="F159" s="380">
        <v>121</v>
      </c>
      <c r="I159" s="3331">
        <f t="shared" si="28"/>
        <v>7.2916666666666838</v>
      </c>
      <c r="J159" s="3332">
        <f t="shared" si="30"/>
        <v>45674</v>
      </c>
      <c r="K159" s="380">
        <v>156</v>
      </c>
      <c r="L159" s="3328">
        <f t="shared" si="26"/>
        <v>268904</v>
      </c>
      <c r="M159" s="3333">
        <f t="shared" ref="M159:M187" si="32">+M158</f>
        <v>0</v>
      </c>
      <c r="N159" s="380">
        <f t="shared" si="27"/>
        <v>9000</v>
      </c>
      <c r="O159" s="380">
        <v>9000</v>
      </c>
      <c r="P159" s="380">
        <v>9000</v>
      </c>
      <c r="Q159" s="3333">
        <f t="shared" si="31"/>
        <v>0</v>
      </c>
    </row>
    <row r="160" spans="3:19">
      <c r="F160">
        <v>122</v>
      </c>
      <c r="I160" s="3324">
        <f t="shared" si="28"/>
        <v>7.3333333333333508</v>
      </c>
      <c r="J160" s="1555">
        <f t="shared" si="30"/>
        <v>45674</v>
      </c>
      <c r="K160">
        <v>157</v>
      </c>
      <c r="L160" s="3323">
        <f t="shared" si="26"/>
        <v>277904</v>
      </c>
      <c r="M160" s="3329">
        <f t="shared" si="32"/>
        <v>0</v>
      </c>
      <c r="N160">
        <f t="shared" si="27"/>
        <v>9000</v>
      </c>
      <c r="O160">
        <f t="shared" si="29"/>
        <v>9000</v>
      </c>
      <c r="P160" s="3330">
        <f>+P159</f>
        <v>9000</v>
      </c>
      <c r="Q160" s="157">
        <f t="shared" si="31"/>
        <v>0</v>
      </c>
    </row>
    <row r="161" spans="6:20">
      <c r="F161">
        <v>123</v>
      </c>
      <c r="I161" s="3324">
        <f t="shared" si="28"/>
        <v>7.3750000000000178</v>
      </c>
      <c r="J161" s="1555">
        <f t="shared" si="30"/>
        <v>45674</v>
      </c>
      <c r="K161">
        <v>158</v>
      </c>
      <c r="L161" s="3323">
        <f t="shared" si="26"/>
        <v>286904</v>
      </c>
      <c r="M161" s="3329">
        <f t="shared" si="32"/>
        <v>0</v>
      </c>
      <c r="N161">
        <f t="shared" si="27"/>
        <v>9000</v>
      </c>
      <c r="O161">
        <f t="shared" si="29"/>
        <v>9000</v>
      </c>
      <c r="P161" s="3330">
        <f>+P160</f>
        <v>9000</v>
      </c>
      <c r="Q161" s="157">
        <f t="shared" si="31"/>
        <v>0</v>
      </c>
    </row>
    <row r="162" spans="6:20">
      <c r="F162">
        <v>124</v>
      </c>
      <c r="I162" s="3324">
        <f t="shared" si="28"/>
        <v>7.4166666666666847</v>
      </c>
      <c r="J162" s="1555">
        <f t="shared" si="30"/>
        <v>45674</v>
      </c>
      <c r="K162">
        <v>159</v>
      </c>
      <c r="L162" s="3323">
        <f t="shared" si="26"/>
        <v>295904</v>
      </c>
      <c r="M162" s="3329">
        <f t="shared" si="32"/>
        <v>0</v>
      </c>
      <c r="N162">
        <f t="shared" si="27"/>
        <v>9000</v>
      </c>
      <c r="O162">
        <f t="shared" si="29"/>
        <v>9000</v>
      </c>
      <c r="P162" s="3330">
        <f t="shared" si="29"/>
        <v>9000</v>
      </c>
      <c r="Q162" s="157">
        <f t="shared" si="31"/>
        <v>0</v>
      </c>
    </row>
    <row r="163" spans="6:20">
      <c r="F163">
        <v>125</v>
      </c>
      <c r="I163" s="3324">
        <f t="shared" si="28"/>
        <v>7.4583333333333517</v>
      </c>
      <c r="J163" s="1555">
        <f t="shared" si="30"/>
        <v>45674</v>
      </c>
      <c r="K163">
        <v>160</v>
      </c>
      <c r="L163" s="3323">
        <f t="shared" si="26"/>
        <v>304904</v>
      </c>
      <c r="M163" s="3329">
        <f t="shared" si="32"/>
        <v>0</v>
      </c>
      <c r="N163">
        <f t="shared" si="27"/>
        <v>9000</v>
      </c>
      <c r="O163">
        <f t="shared" si="29"/>
        <v>9000</v>
      </c>
      <c r="P163" s="3330">
        <f t="shared" si="29"/>
        <v>9000</v>
      </c>
      <c r="Q163" s="157">
        <f t="shared" si="31"/>
        <v>0</v>
      </c>
    </row>
    <row r="164" spans="6:20">
      <c r="F164">
        <v>126</v>
      </c>
      <c r="I164" s="3324">
        <f t="shared" si="28"/>
        <v>7.5000000000000187</v>
      </c>
      <c r="J164" s="1555">
        <f t="shared" si="30"/>
        <v>45674</v>
      </c>
      <c r="K164">
        <v>161</v>
      </c>
      <c r="L164" s="3323">
        <f t="shared" si="26"/>
        <v>313904</v>
      </c>
      <c r="M164" s="3329">
        <f t="shared" si="32"/>
        <v>0</v>
      </c>
      <c r="N164">
        <f t="shared" si="27"/>
        <v>9000</v>
      </c>
      <c r="O164">
        <f t="shared" si="29"/>
        <v>9000</v>
      </c>
      <c r="P164" s="3330">
        <f t="shared" si="29"/>
        <v>9000</v>
      </c>
      <c r="Q164" s="157">
        <f t="shared" si="31"/>
        <v>0</v>
      </c>
    </row>
    <row r="165" spans="6:20">
      <c r="F165">
        <v>127</v>
      </c>
      <c r="I165" s="3324">
        <f t="shared" si="28"/>
        <v>7.5416666666666856</v>
      </c>
      <c r="J165" s="1555">
        <f t="shared" si="30"/>
        <v>45674</v>
      </c>
      <c r="K165">
        <v>162</v>
      </c>
      <c r="L165" s="3323">
        <f t="shared" si="26"/>
        <v>322904</v>
      </c>
      <c r="M165" s="3329">
        <f t="shared" si="32"/>
        <v>0</v>
      </c>
      <c r="N165">
        <f t="shared" si="27"/>
        <v>9000</v>
      </c>
      <c r="O165">
        <f t="shared" si="29"/>
        <v>9000</v>
      </c>
      <c r="P165" s="3330">
        <f t="shared" si="29"/>
        <v>9000</v>
      </c>
      <c r="Q165" s="157">
        <f t="shared" si="31"/>
        <v>0</v>
      </c>
      <c r="R165" s="3327"/>
    </row>
    <row r="166" spans="6:20">
      <c r="F166">
        <v>128</v>
      </c>
      <c r="I166" s="3324">
        <f t="shared" si="28"/>
        <v>7.5833333333333526</v>
      </c>
      <c r="J166" s="1555">
        <f t="shared" si="30"/>
        <v>45674</v>
      </c>
      <c r="K166">
        <v>163</v>
      </c>
      <c r="L166" s="3334">
        <f t="shared" si="26"/>
        <v>331904</v>
      </c>
      <c r="M166" s="3329">
        <f t="shared" si="32"/>
        <v>0</v>
      </c>
      <c r="N166">
        <f t="shared" si="27"/>
        <v>9000</v>
      </c>
      <c r="O166">
        <f t="shared" si="29"/>
        <v>9000</v>
      </c>
      <c r="P166" s="3330">
        <f t="shared" si="29"/>
        <v>9000</v>
      </c>
      <c r="Q166" s="157">
        <f t="shared" si="31"/>
        <v>0</v>
      </c>
      <c r="R166" s="3327"/>
    </row>
    <row r="167" spans="6:20">
      <c r="F167">
        <v>129</v>
      </c>
      <c r="I167" s="3324">
        <f t="shared" si="28"/>
        <v>7.6250000000000195</v>
      </c>
      <c r="J167" s="1555">
        <f t="shared" si="30"/>
        <v>45674</v>
      </c>
      <c r="K167">
        <v>164</v>
      </c>
      <c r="L167" s="3323">
        <f t="shared" si="26"/>
        <v>340904</v>
      </c>
      <c r="M167" s="3329">
        <f t="shared" si="32"/>
        <v>0</v>
      </c>
      <c r="N167">
        <f t="shared" si="27"/>
        <v>9000</v>
      </c>
      <c r="O167">
        <f t="shared" si="29"/>
        <v>9000</v>
      </c>
      <c r="P167" s="3330">
        <f t="shared" si="29"/>
        <v>9000</v>
      </c>
      <c r="Q167" s="157">
        <f t="shared" si="31"/>
        <v>0</v>
      </c>
      <c r="R167" s="3327"/>
    </row>
    <row r="168" spans="6:20">
      <c r="F168">
        <v>130</v>
      </c>
      <c r="I168" s="3324">
        <f t="shared" si="28"/>
        <v>7.6666666666666865</v>
      </c>
      <c r="J168" s="1555">
        <f t="shared" si="30"/>
        <v>45674</v>
      </c>
      <c r="K168">
        <v>165</v>
      </c>
      <c r="L168" s="3334">
        <f t="shared" si="26"/>
        <v>349904</v>
      </c>
      <c r="M168" s="3329">
        <f t="shared" si="32"/>
        <v>0</v>
      </c>
      <c r="N168">
        <f t="shared" si="27"/>
        <v>9000</v>
      </c>
      <c r="O168">
        <f t="shared" si="29"/>
        <v>9000</v>
      </c>
      <c r="P168" s="3330">
        <f t="shared" si="29"/>
        <v>9000</v>
      </c>
      <c r="Q168" s="157">
        <f t="shared" si="31"/>
        <v>0</v>
      </c>
      <c r="R168" s="3327"/>
    </row>
    <row r="169" spans="6:20">
      <c r="F169">
        <v>131</v>
      </c>
      <c r="I169" s="3324">
        <f t="shared" si="28"/>
        <v>7.7083333333333535</v>
      </c>
      <c r="J169" s="1555">
        <f t="shared" si="30"/>
        <v>45674</v>
      </c>
      <c r="K169">
        <v>166</v>
      </c>
      <c r="L169" s="3323">
        <f t="shared" si="26"/>
        <v>358904</v>
      </c>
      <c r="M169" s="3329">
        <f t="shared" si="32"/>
        <v>0</v>
      </c>
      <c r="N169">
        <f t="shared" si="27"/>
        <v>9000</v>
      </c>
      <c r="O169">
        <f t="shared" si="29"/>
        <v>9000</v>
      </c>
      <c r="P169" s="3330">
        <f t="shared" si="29"/>
        <v>9000</v>
      </c>
      <c r="Q169" s="157">
        <f t="shared" si="31"/>
        <v>0</v>
      </c>
      <c r="R169" s="3327"/>
    </row>
    <row r="170" spans="6:20">
      <c r="F170">
        <v>132</v>
      </c>
      <c r="I170" s="3324">
        <f t="shared" si="28"/>
        <v>7.7500000000000204</v>
      </c>
      <c r="J170" s="1555">
        <f t="shared" si="30"/>
        <v>45674</v>
      </c>
      <c r="K170">
        <v>167</v>
      </c>
      <c r="L170" s="3334">
        <f t="shared" si="26"/>
        <v>367904</v>
      </c>
      <c r="M170" s="3329">
        <v>0</v>
      </c>
      <c r="N170">
        <f t="shared" si="27"/>
        <v>9000</v>
      </c>
      <c r="O170">
        <f t="shared" si="29"/>
        <v>9000</v>
      </c>
      <c r="P170" s="3330">
        <f t="shared" si="29"/>
        <v>9000</v>
      </c>
      <c r="Q170" s="157">
        <f t="shared" si="31"/>
        <v>0</v>
      </c>
      <c r="R170" s="3327"/>
    </row>
    <row r="171" spans="6:20">
      <c r="F171">
        <v>133</v>
      </c>
      <c r="I171" s="3324">
        <f t="shared" si="28"/>
        <v>7.7916666666666874</v>
      </c>
      <c r="J171" s="1555">
        <f t="shared" si="30"/>
        <v>45674</v>
      </c>
      <c r="K171">
        <v>168</v>
      </c>
      <c r="L171" s="3323">
        <f t="shared" si="26"/>
        <v>376904</v>
      </c>
      <c r="M171" s="3329">
        <f t="shared" si="32"/>
        <v>0</v>
      </c>
      <c r="N171">
        <f t="shared" si="27"/>
        <v>9000</v>
      </c>
      <c r="O171">
        <f t="shared" si="29"/>
        <v>9000</v>
      </c>
      <c r="P171" s="3330">
        <f t="shared" si="29"/>
        <v>9000</v>
      </c>
      <c r="Q171" s="157">
        <f t="shared" si="31"/>
        <v>0</v>
      </c>
      <c r="R171" s="157">
        <f>+Q171</f>
        <v>0</v>
      </c>
    </row>
    <row r="172" spans="6:20">
      <c r="F172">
        <v>134</v>
      </c>
      <c r="I172" s="3324">
        <f t="shared" si="28"/>
        <v>7.8333333333333544</v>
      </c>
      <c r="J172" s="1555">
        <f>+J171+1</f>
        <v>45675</v>
      </c>
      <c r="K172">
        <v>169</v>
      </c>
      <c r="L172" s="3328">
        <f t="shared" si="26"/>
        <v>379692</v>
      </c>
      <c r="M172" s="3329">
        <v>6212</v>
      </c>
      <c r="N172">
        <f t="shared" si="27"/>
        <v>9000</v>
      </c>
      <c r="O172">
        <v>9000</v>
      </c>
      <c r="P172" s="3330">
        <v>9000</v>
      </c>
      <c r="Q172" s="157">
        <f>+M172</f>
        <v>6212</v>
      </c>
      <c r="T172" s="380"/>
    </row>
    <row r="173" spans="6:20" hidden="1">
      <c r="F173">
        <v>135</v>
      </c>
      <c r="I173" s="3324">
        <f t="shared" si="28"/>
        <v>7.8750000000000213</v>
      </c>
      <c r="J173" s="1555">
        <f t="shared" ref="J173:J195" si="33">+J172</f>
        <v>45675</v>
      </c>
      <c r="K173">
        <v>170</v>
      </c>
      <c r="L173" s="3323">
        <f t="shared" si="26"/>
        <v>382480</v>
      </c>
      <c r="M173" s="3329">
        <f t="shared" si="32"/>
        <v>6212</v>
      </c>
      <c r="N173">
        <f t="shared" si="27"/>
        <v>9000</v>
      </c>
      <c r="O173">
        <f t="shared" si="29"/>
        <v>9000</v>
      </c>
      <c r="P173" s="3330">
        <f t="shared" ref="P173:P205" si="34">+P172</f>
        <v>9000</v>
      </c>
      <c r="Q173" s="157">
        <f t="shared" ref="Q173:Q195" si="35">+Q172+M173</f>
        <v>12424</v>
      </c>
      <c r="T173" s="380"/>
    </row>
    <row r="174" spans="6:20" hidden="1">
      <c r="F174">
        <v>136</v>
      </c>
      <c r="I174" s="3324">
        <f t="shared" si="28"/>
        <v>7.9166666666666883</v>
      </c>
      <c r="J174" s="1555">
        <f t="shared" si="33"/>
        <v>45675</v>
      </c>
      <c r="K174">
        <v>171</v>
      </c>
      <c r="L174" s="3323">
        <f t="shared" si="26"/>
        <v>385268</v>
      </c>
      <c r="M174" s="3329">
        <f t="shared" si="32"/>
        <v>6212</v>
      </c>
      <c r="N174">
        <f t="shared" si="27"/>
        <v>9000</v>
      </c>
      <c r="O174">
        <f t="shared" si="29"/>
        <v>9000</v>
      </c>
      <c r="P174" s="3330">
        <f t="shared" si="34"/>
        <v>9000</v>
      </c>
      <c r="Q174" s="157">
        <f t="shared" si="35"/>
        <v>18636</v>
      </c>
      <c r="T174" s="380"/>
    </row>
    <row r="175" spans="6:20" hidden="1">
      <c r="F175">
        <v>137</v>
      </c>
      <c r="I175" s="3324">
        <f t="shared" si="28"/>
        <v>7.9583333333333552</v>
      </c>
      <c r="J175" s="1555">
        <f t="shared" si="33"/>
        <v>45675</v>
      </c>
      <c r="K175">
        <v>172</v>
      </c>
      <c r="L175" s="3323">
        <f t="shared" si="26"/>
        <v>388056</v>
      </c>
      <c r="M175" s="3329">
        <f t="shared" si="32"/>
        <v>6212</v>
      </c>
      <c r="N175">
        <f t="shared" si="27"/>
        <v>9000</v>
      </c>
      <c r="O175">
        <f t="shared" si="29"/>
        <v>9000</v>
      </c>
      <c r="P175" s="3330">
        <f t="shared" si="34"/>
        <v>9000</v>
      </c>
      <c r="Q175" s="157">
        <f t="shared" si="35"/>
        <v>24848</v>
      </c>
      <c r="T175" s="380"/>
    </row>
    <row r="176" spans="6:20" hidden="1">
      <c r="F176">
        <v>138</v>
      </c>
      <c r="I176" s="3324">
        <f t="shared" si="28"/>
        <v>8.0000000000000213</v>
      </c>
      <c r="J176" s="1555">
        <f t="shared" si="33"/>
        <v>45675</v>
      </c>
      <c r="K176">
        <v>173</v>
      </c>
      <c r="L176" s="3323">
        <f t="shared" si="26"/>
        <v>390844</v>
      </c>
      <c r="M176" s="3329">
        <f t="shared" si="32"/>
        <v>6212</v>
      </c>
      <c r="N176">
        <f t="shared" si="27"/>
        <v>9000</v>
      </c>
      <c r="O176">
        <f t="shared" si="29"/>
        <v>9000</v>
      </c>
      <c r="P176" s="3330">
        <f t="shared" si="34"/>
        <v>9000</v>
      </c>
      <c r="Q176" s="157">
        <f t="shared" si="35"/>
        <v>31060</v>
      </c>
      <c r="T176" s="380"/>
    </row>
    <row r="177" spans="5:21" hidden="1">
      <c r="F177">
        <v>139</v>
      </c>
      <c r="I177" s="3324">
        <f t="shared" si="28"/>
        <v>8.0416666666666874</v>
      </c>
      <c r="J177" s="1555">
        <f t="shared" si="33"/>
        <v>45675</v>
      </c>
      <c r="K177">
        <v>174</v>
      </c>
      <c r="L177" s="3323">
        <f t="shared" si="26"/>
        <v>393632</v>
      </c>
      <c r="M177" s="3329">
        <f t="shared" si="32"/>
        <v>6212</v>
      </c>
      <c r="N177">
        <f t="shared" si="27"/>
        <v>9000</v>
      </c>
      <c r="O177">
        <f t="shared" si="29"/>
        <v>9000</v>
      </c>
      <c r="P177" s="3330">
        <f t="shared" si="34"/>
        <v>9000</v>
      </c>
      <c r="Q177" s="157">
        <f t="shared" si="35"/>
        <v>37272</v>
      </c>
      <c r="T177" s="380"/>
    </row>
    <row r="178" spans="5:21" hidden="1">
      <c r="F178">
        <v>140</v>
      </c>
      <c r="I178" s="3324">
        <f t="shared" si="28"/>
        <v>8.0833333333333535</v>
      </c>
      <c r="J178" s="1555">
        <f t="shared" si="33"/>
        <v>45675</v>
      </c>
      <c r="K178">
        <v>175</v>
      </c>
      <c r="L178" s="3323">
        <f t="shared" si="26"/>
        <v>396420</v>
      </c>
      <c r="M178" s="3329">
        <f t="shared" si="32"/>
        <v>6212</v>
      </c>
      <c r="N178">
        <f t="shared" si="27"/>
        <v>9000</v>
      </c>
      <c r="O178">
        <f t="shared" si="29"/>
        <v>9000</v>
      </c>
      <c r="P178" s="3330">
        <f t="shared" si="34"/>
        <v>9000</v>
      </c>
      <c r="Q178" s="157">
        <f t="shared" si="35"/>
        <v>43484</v>
      </c>
      <c r="T178" s="380"/>
    </row>
    <row r="179" spans="5:21" hidden="1">
      <c r="F179">
        <v>141</v>
      </c>
      <c r="I179" s="3324">
        <f t="shared" si="28"/>
        <v>8.1250000000000195</v>
      </c>
      <c r="J179" s="1555">
        <f t="shared" si="33"/>
        <v>45675</v>
      </c>
      <c r="K179">
        <v>176</v>
      </c>
      <c r="L179" s="3323">
        <f t="shared" si="26"/>
        <v>399208</v>
      </c>
      <c r="M179" s="3329">
        <f t="shared" si="32"/>
        <v>6212</v>
      </c>
      <c r="N179">
        <f t="shared" si="27"/>
        <v>9000</v>
      </c>
      <c r="O179">
        <f t="shared" si="29"/>
        <v>9000</v>
      </c>
      <c r="P179" s="3330">
        <f t="shared" si="34"/>
        <v>9000</v>
      </c>
      <c r="Q179" s="157">
        <f t="shared" si="35"/>
        <v>49696</v>
      </c>
      <c r="T179" s="380"/>
    </row>
    <row r="180" spans="5:21" hidden="1">
      <c r="F180">
        <v>142</v>
      </c>
      <c r="I180" s="3324">
        <f t="shared" si="28"/>
        <v>8.1666666666666856</v>
      </c>
      <c r="J180" s="1555">
        <f t="shared" si="33"/>
        <v>45675</v>
      </c>
      <c r="K180">
        <v>177</v>
      </c>
      <c r="L180" s="3323">
        <f t="shared" si="26"/>
        <v>401996</v>
      </c>
      <c r="M180" s="3329">
        <f t="shared" si="32"/>
        <v>6212</v>
      </c>
      <c r="N180">
        <f t="shared" si="27"/>
        <v>9000</v>
      </c>
      <c r="O180">
        <f t="shared" si="29"/>
        <v>9000</v>
      </c>
      <c r="P180" s="3330">
        <f t="shared" si="34"/>
        <v>9000</v>
      </c>
      <c r="Q180" s="157">
        <f t="shared" si="35"/>
        <v>55908</v>
      </c>
      <c r="T180" s="380"/>
    </row>
    <row r="181" spans="5:21" hidden="1">
      <c r="F181">
        <v>143</v>
      </c>
      <c r="I181" s="3324">
        <f t="shared" si="28"/>
        <v>8.2083333333333517</v>
      </c>
      <c r="J181" s="1555">
        <f t="shared" si="33"/>
        <v>45675</v>
      </c>
      <c r="K181">
        <v>178</v>
      </c>
      <c r="L181" s="3323">
        <f t="shared" si="26"/>
        <v>404784</v>
      </c>
      <c r="M181" s="3329">
        <f t="shared" si="32"/>
        <v>6212</v>
      </c>
      <c r="N181">
        <f t="shared" si="27"/>
        <v>9000</v>
      </c>
      <c r="O181">
        <f t="shared" si="29"/>
        <v>9000</v>
      </c>
      <c r="P181" s="3330">
        <f t="shared" si="34"/>
        <v>9000</v>
      </c>
      <c r="Q181" s="157">
        <f t="shared" si="35"/>
        <v>62120</v>
      </c>
      <c r="T181" s="380"/>
    </row>
    <row r="182" spans="5:21" hidden="1">
      <c r="F182">
        <v>144</v>
      </c>
      <c r="I182" s="3324">
        <f t="shared" si="28"/>
        <v>8.2500000000000178</v>
      </c>
      <c r="J182" s="1555">
        <f t="shared" si="33"/>
        <v>45675</v>
      </c>
      <c r="K182">
        <v>179</v>
      </c>
      <c r="L182" s="3323">
        <f t="shared" si="26"/>
        <v>407572</v>
      </c>
      <c r="M182" s="3329">
        <f t="shared" si="32"/>
        <v>6212</v>
      </c>
      <c r="N182">
        <f t="shared" si="27"/>
        <v>9000</v>
      </c>
      <c r="O182">
        <f t="shared" si="29"/>
        <v>9000</v>
      </c>
      <c r="P182" s="3330">
        <f t="shared" si="34"/>
        <v>9000</v>
      </c>
      <c r="Q182" s="157">
        <f t="shared" si="35"/>
        <v>68332</v>
      </c>
      <c r="T182" s="380"/>
    </row>
    <row r="183" spans="5:21" hidden="1">
      <c r="F183">
        <v>145</v>
      </c>
      <c r="I183" s="3324">
        <f t="shared" si="28"/>
        <v>8.2916666666666838</v>
      </c>
      <c r="J183" s="1555">
        <f t="shared" si="33"/>
        <v>45675</v>
      </c>
      <c r="K183">
        <v>180</v>
      </c>
      <c r="L183" s="3323">
        <f t="shared" si="26"/>
        <v>410360</v>
      </c>
      <c r="M183" s="3329">
        <f t="shared" si="32"/>
        <v>6212</v>
      </c>
      <c r="N183">
        <f t="shared" si="27"/>
        <v>9000</v>
      </c>
      <c r="O183">
        <f t="shared" si="29"/>
        <v>9000</v>
      </c>
      <c r="P183" s="3330">
        <f t="shared" si="34"/>
        <v>9000</v>
      </c>
      <c r="Q183" s="157">
        <f t="shared" si="35"/>
        <v>74544</v>
      </c>
      <c r="T183" s="380"/>
    </row>
    <row r="184" spans="5:21" hidden="1">
      <c r="E184" t="s">
        <v>1605</v>
      </c>
      <c r="F184">
        <v>146</v>
      </c>
      <c r="I184" s="3324">
        <f t="shared" si="28"/>
        <v>8.3333333333333499</v>
      </c>
      <c r="J184" s="1555">
        <f t="shared" si="33"/>
        <v>45675</v>
      </c>
      <c r="K184">
        <v>181</v>
      </c>
      <c r="L184" s="3328">
        <f t="shared" si="26"/>
        <v>410660</v>
      </c>
      <c r="M184" s="3329">
        <v>8700</v>
      </c>
      <c r="N184">
        <f t="shared" si="27"/>
        <v>9000</v>
      </c>
      <c r="O184">
        <f t="shared" si="29"/>
        <v>9000</v>
      </c>
      <c r="P184" s="3330">
        <f t="shared" si="34"/>
        <v>9000</v>
      </c>
      <c r="Q184" s="157">
        <f t="shared" si="35"/>
        <v>83244</v>
      </c>
      <c r="T184" s="380"/>
    </row>
    <row r="185" spans="5:21" hidden="1">
      <c r="F185">
        <v>147</v>
      </c>
      <c r="I185" s="3324">
        <f t="shared" si="28"/>
        <v>8.375000000000016</v>
      </c>
      <c r="J185" s="1555">
        <f t="shared" si="33"/>
        <v>45675</v>
      </c>
      <c r="K185">
        <v>182</v>
      </c>
      <c r="L185" s="3323">
        <f t="shared" si="26"/>
        <v>410960</v>
      </c>
      <c r="M185" s="3329">
        <f t="shared" si="32"/>
        <v>8700</v>
      </c>
      <c r="N185">
        <f t="shared" si="27"/>
        <v>9000</v>
      </c>
      <c r="O185">
        <f t="shared" si="29"/>
        <v>9000</v>
      </c>
      <c r="P185" s="3330">
        <f t="shared" si="34"/>
        <v>9000</v>
      </c>
      <c r="Q185" s="157">
        <f t="shared" si="35"/>
        <v>91944</v>
      </c>
      <c r="T185" s="380"/>
      <c r="U185" s="380"/>
    </row>
    <row r="186" spans="5:21" hidden="1">
      <c r="F186">
        <v>148</v>
      </c>
      <c r="I186" s="3324">
        <f t="shared" si="28"/>
        <v>8.4166666666666821</v>
      </c>
      <c r="J186" s="1555">
        <f t="shared" si="33"/>
        <v>45675</v>
      </c>
      <c r="K186">
        <v>183</v>
      </c>
      <c r="L186" s="3323">
        <f t="shared" si="26"/>
        <v>411260</v>
      </c>
      <c r="M186" s="3329">
        <f t="shared" si="32"/>
        <v>8700</v>
      </c>
      <c r="N186">
        <f t="shared" si="27"/>
        <v>9000</v>
      </c>
      <c r="O186">
        <f t="shared" si="29"/>
        <v>9000</v>
      </c>
      <c r="P186" s="3330">
        <f t="shared" si="34"/>
        <v>9000</v>
      </c>
      <c r="Q186" s="157">
        <f t="shared" si="35"/>
        <v>100644</v>
      </c>
      <c r="T186" s="380"/>
      <c r="U186" s="380"/>
    </row>
    <row r="187" spans="5:21" hidden="1">
      <c r="F187">
        <v>149</v>
      </c>
      <c r="I187" s="3324">
        <f t="shared" si="28"/>
        <v>8.4583333333333481</v>
      </c>
      <c r="J187" s="1555">
        <f t="shared" si="33"/>
        <v>45675</v>
      </c>
      <c r="K187">
        <v>184</v>
      </c>
      <c r="L187" s="3323">
        <f t="shared" si="26"/>
        <v>411560</v>
      </c>
      <c r="M187" s="3329">
        <f t="shared" si="32"/>
        <v>8700</v>
      </c>
      <c r="N187">
        <f t="shared" si="27"/>
        <v>9000</v>
      </c>
      <c r="O187">
        <f t="shared" si="29"/>
        <v>9000</v>
      </c>
      <c r="P187" s="3330">
        <f t="shared" si="34"/>
        <v>9000</v>
      </c>
      <c r="Q187" s="157">
        <f t="shared" si="35"/>
        <v>109344</v>
      </c>
      <c r="T187" s="380"/>
      <c r="U187" s="380"/>
    </row>
    <row r="188" spans="5:21" hidden="1">
      <c r="F188">
        <v>150</v>
      </c>
      <c r="I188" s="3324">
        <f t="shared" si="28"/>
        <v>8.5000000000000142</v>
      </c>
      <c r="J188" s="1555">
        <f t="shared" si="33"/>
        <v>45675</v>
      </c>
      <c r="K188">
        <v>185</v>
      </c>
      <c r="L188" s="3334">
        <f t="shared" si="26"/>
        <v>411860</v>
      </c>
      <c r="M188" s="3329">
        <f>+M187</f>
        <v>8700</v>
      </c>
      <c r="N188">
        <f t="shared" si="27"/>
        <v>9000</v>
      </c>
      <c r="O188">
        <f t="shared" si="29"/>
        <v>9000</v>
      </c>
      <c r="P188" s="3330">
        <f t="shared" si="34"/>
        <v>9000</v>
      </c>
      <c r="Q188" s="157">
        <f t="shared" si="35"/>
        <v>118044</v>
      </c>
      <c r="T188" s="380"/>
      <c r="U188" s="380"/>
    </row>
    <row r="189" spans="5:21" hidden="1">
      <c r="F189">
        <v>151</v>
      </c>
      <c r="I189" s="3324">
        <f t="shared" si="28"/>
        <v>8.5416666666666803</v>
      </c>
      <c r="J189" s="1555">
        <f t="shared" si="33"/>
        <v>45675</v>
      </c>
      <c r="K189">
        <v>186</v>
      </c>
      <c r="L189" s="3323">
        <f t="shared" si="26"/>
        <v>412160</v>
      </c>
      <c r="M189" s="3329">
        <v>8700</v>
      </c>
      <c r="N189">
        <f t="shared" si="27"/>
        <v>9000</v>
      </c>
      <c r="O189">
        <f t="shared" si="29"/>
        <v>9000</v>
      </c>
      <c r="P189" s="3330">
        <f t="shared" si="34"/>
        <v>9000</v>
      </c>
      <c r="Q189" s="157">
        <f t="shared" si="35"/>
        <v>126744</v>
      </c>
      <c r="R189" s="3327"/>
      <c r="T189" s="380"/>
      <c r="U189" s="380"/>
    </row>
    <row r="190" spans="5:21" hidden="1">
      <c r="F190">
        <v>152</v>
      </c>
      <c r="I190" s="3324">
        <f t="shared" si="28"/>
        <v>8.5833333333333464</v>
      </c>
      <c r="J190" s="1555">
        <f t="shared" si="33"/>
        <v>45675</v>
      </c>
      <c r="K190">
        <v>187</v>
      </c>
      <c r="L190" s="3323">
        <f t="shared" si="26"/>
        <v>412460</v>
      </c>
      <c r="M190" s="3329">
        <v>8700</v>
      </c>
      <c r="N190">
        <f t="shared" si="27"/>
        <v>9000</v>
      </c>
      <c r="O190">
        <f t="shared" si="29"/>
        <v>9000</v>
      </c>
      <c r="P190" s="3330">
        <f t="shared" si="34"/>
        <v>9000</v>
      </c>
      <c r="Q190" s="157">
        <f t="shared" si="35"/>
        <v>135444</v>
      </c>
      <c r="R190" s="3327"/>
      <c r="T190" s="380"/>
      <c r="U190" s="380"/>
    </row>
    <row r="191" spans="5:21" hidden="1">
      <c r="F191">
        <v>153</v>
      </c>
      <c r="I191" s="3324">
        <f t="shared" si="28"/>
        <v>8.6250000000000124</v>
      </c>
      <c r="J191" s="1555">
        <f t="shared" si="33"/>
        <v>45675</v>
      </c>
      <c r="K191">
        <v>188</v>
      </c>
      <c r="L191" s="3323">
        <f t="shared" si="26"/>
        <v>412760</v>
      </c>
      <c r="M191" s="3329">
        <v>8700</v>
      </c>
      <c r="N191">
        <f t="shared" si="27"/>
        <v>9000</v>
      </c>
      <c r="O191">
        <f t="shared" si="29"/>
        <v>9000</v>
      </c>
      <c r="P191" s="3330">
        <f t="shared" si="34"/>
        <v>9000</v>
      </c>
      <c r="Q191" s="157">
        <f t="shared" si="35"/>
        <v>144144</v>
      </c>
      <c r="R191" s="3327"/>
      <c r="T191" s="380"/>
      <c r="U191" s="380"/>
    </row>
    <row r="192" spans="5:21" hidden="1">
      <c r="F192">
        <v>154</v>
      </c>
      <c r="I192" s="3324">
        <f t="shared" si="28"/>
        <v>8.6666666666666785</v>
      </c>
      <c r="J192" s="1555">
        <f t="shared" si="33"/>
        <v>45675</v>
      </c>
      <c r="K192">
        <v>189</v>
      </c>
      <c r="L192" s="3323">
        <f t="shared" si="26"/>
        <v>413060</v>
      </c>
      <c r="M192" s="3329">
        <v>8700</v>
      </c>
      <c r="N192">
        <f t="shared" si="27"/>
        <v>9000</v>
      </c>
      <c r="O192">
        <f t="shared" si="29"/>
        <v>9000</v>
      </c>
      <c r="P192" s="3330">
        <f t="shared" si="34"/>
        <v>9000</v>
      </c>
      <c r="Q192" s="157">
        <f t="shared" si="35"/>
        <v>152844</v>
      </c>
      <c r="R192" s="3327"/>
      <c r="T192" s="380"/>
      <c r="U192" s="380"/>
    </row>
    <row r="193" spans="6:21" hidden="1">
      <c r="F193">
        <v>155</v>
      </c>
      <c r="I193" s="3324">
        <f t="shared" si="28"/>
        <v>8.7083333333333446</v>
      </c>
      <c r="J193" s="1555">
        <f t="shared" si="33"/>
        <v>45675</v>
      </c>
      <c r="K193">
        <v>190</v>
      </c>
      <c r="L193" s="3323">
        <f t="shared" si="26"/>
        <v>413360</v>
      </c>
      <c r="M193" s="3329">
        <v>8700</v>
      </c>
      <c r="N193">
        <f t="shared" si="27"/>
        <v>9000</v>
      </c>
      <c r="O193">
        <f t="shared" si="29"/>
        <v>9000</v>
      </c>
      <c r="P193" s="3330">
        <f t="shared" si="34"/>
        <v>9000</v>
      </c>
      <c r="Q193" s="157">
        <f t="shared" si="35"/>
        <v>161544</v>
      </c>
      <c r="R193" s="3327"/>
      <c r="T193" s="380"/>
      <c r="U193" s="380"/>
    </row>
    <row r="194" spans="6:21" hidden="1">
      <c r="F194">
        <v>156</v>
      </c>
      <c r="I194" s="3324">
        <f t="shared" si="28"/>
        <v>8.7500000000000107</v>
      </c>
      <c r="J194" s="1555">
        <f t="shared" si="33"/>
        <v>45675</v>
      </c>
      <c r="K194">
        <v>191</v>
      </c>
      <c r="L194" s="3323">
        <f t="shared" si="26"/>
        <v>413660</v>
      </c>
      <c r="M194" s="3329">
        <v>8700</v>
      </c>
      <c r="N194">
        <f t="shared" si="27"/>
        <v>9000</v>
      </c>
      <c r="O194">
        <f t="shared" si="29"/>
        <v>9000</v>
      </c>
      <c r="P194" s="3330">
        <f t="shared" si="34"/>
        <v>9000</v>
      </c>
      <c r="Q194" s="157">
        <f t="shared" si="35"/>
        <v>170244</v>
      </c>
      <c r="R194" s="3327"/>
      <c r="T194" s="380"/>
      <c r="U194" s="380"/>
    </row>
    <row r="195" spans="6:21" hidden="1">
      <c r="F195">
        <v>157</v>
      </c>
      <c r="I195" s="3324">
        <f t="shared" si="28"/>
        <v>8.7916666666666767</v>
      </c>
      <c r="J195" s="1555">
        <f t="shared" si="33"/>
        <v>45675</v>
      </c>
      <c r="K195">
        <v>192</v>
      </c>
      <c r="L195" s="3323">
        <f t="shared" si="26"/>
        <v>413960</v>
      </c>
      <c r="M195" s="3329">
        <v>8700</v>
      </c>
      <c r="N195">
        <f t="shared" si="27"/>
        <v>9000</v>
      </c>
      <c r="O195">
        <f t="shared" si="29"/>
        <v>9000</v>
      </c>
      <c r="P195" s="3330">
        <f t="shared" si="34"/>
        <v>9000</v>
      </c>
      <c r="Q195" s="157">
        <f t="shared" si="35"/>
        <v>178944</v>
      </c>
      <c r="R195" s="3327">
        <f>+Q195</f>
        <v>178944</v>
      </c>
      <c r="T195" s="380"/>
      <c r="U195" s="380"/>
    </row>
    <row r="196" spans="6:21" hidden="1">
      <c r="F196">
        <v>158</v>
      </c>
      <c r="I196" s="3324">
        <f t="shared" si="28"/>
        <v>8.8333333333333428</v>
      </c>
      <c r="J196" s="1555">
        <f>+J195+1</f>
        <v>45676</v>
      </c>
      <c r="K196">
        <v>193</v>
      </c>
      <c r="L196" s="3323">
        <f t="shared" ref="L196:L259" si="36">+L195-M196+N196</f>
        <v>414260</v>
      </c>
      <c r="M196" s="3329">
        <v>8700</v>
      </c>
      <c r="N196">
        <f t="shared" si="27"/>
        <v>9000</v>
      </c>
      <c r="O196">
        <f t="shared" si="29"/>
        <v>9000</v>
      </c>
      <c r="P196" s="3330">
        <f t="shared" si="34"/>
        <v>9000</v>
      </c>
      <c r="Q196" s="157">
        <f>+M196</f>
        <v>8700</v>
      </c>
      <c r="T196" s="380"/>
      <c r="U196" s="380"/>
    </row>
    <row r="197" spans="6:21" hidden="1">
      <c r="F197">
        <v>159</v>
      </c>
      <c r="I197" s="3324">
        <f t="shared" si="28"/>
        <v>8.8750000000000089</v>
      </c>
      <c r="J197" s="1555">
        <f t="shared" ref="J197:J219" si="37">+J196</f>
        <v>45676</v>
      </c>
      <c r="K197">
        <v>194</v>
      </c>
      <c r="L197" s="3323">
        <f t="shared" si="36"/>
        <v>414560</v>
      </c>
      <c r="M197" s="3329">
        <v>8700</v>
      </c>
      <c r="N197">
        <f t="shared" ref="N197:N260" si="38">IF(P197=0,P197,O197)</f>
        <v>9000</v>
      </c>
      <c r="O197">
        <f t="shared" si="29"/>
        <v>9000</v>
      </c>
      <c r="P197" s="3330">
        <f t="shared" si="34"/>
        <v>9000</v>
      </c>
      <c r="Q197" s="157">
        <f t="shared" ref="Q197:Q219" si="39">+Q196+M197</f>
        <v>17400</v>
      </c>
      <c r="T197" s="380"/>
      <c r="U197" s="380"/>
    </row>
    <row r="198" spans="6:21" hidden="1">
      <c r="F198">
        <v>160</v>
      </c>
      <c r="I198" s="3324">
        <f t="shared" ref="I198:I261" si="40">+I197+1/24</f>
        <v>8.916666666666675</v>
      </c>
      <c r="J198" s="1555">
        <f t="shared" si="37"/>
        <v>45676</v>
      </c>
      <c r="K198">
        <v>195</v>
      </c>
      <c r="L198" s="3323">
        <f t="shared" si="36"/>
        <v>414860</v>
      </c>
      <c r="M198" s="3329">
        <v>8700</v>
      </c>
      <c r="N198">
        <f t="shared" si="38"/>
        <v>9000</v>
      </c>
      <c r="O198">
        <f t="shared" si="29"/>
        <v>9000</v>
      </c>
      <c r="P198" s="3330">
        <f t="shared" si="34"/>
        <v>9000</v>
      </c>
      <c r="Q198" s="157">
        <f t="shared" si="39"/>
        <v>26100</v>
      </c>
      <c r="T198" s="380"/>
      <c r="U198" s="380"/>
    </row>
    <row r="199" spans="6:21" hidden="1">
      <c r="F199">
        <v>161</v>
      </c>
      <c r="I199" s="3324">
        <f t="shared" si="40"/>
        <v>8.958333333333341</v>
      </c>
      <c r="J199" s="1555">
        <f t="shared" si="37"/>
        <v>45676</v>
      </c>
      <c r="K199">
        <v>196</v>
      </c>
      <c r="L199" s="3323">
        <f t="shared" si="36"/>
        <v>415160</v>
      </c>
      <c r="M199" s="3329">
        <v>8700</v>
      </c>
      <c r="N199">
        <f t="shared" si="38"/>
        <v>9000</v>
      </c>
      <c r="O199">
        <f t="shared" si="29"/>
        <v>9000</v>
      </c>
      <c r="P199" s="3330">
        <f t="shared" si="34"/>
        <v>9000</v>
      </c>
      <c r="Q199" s="157">
        <f t="shared" si="39"/>
        <v>34800</v>
      </c>
      <c r="T199" s="380"/>
      <c r="U199" s="380"/>
    </row>
    <row r="200" spans="6:21" hidden="1">
      <c r="F200">
        <v>162</v>
      </c>
      <c r="I200" s="3324">
        <f t="shared" si="40"/>
        <v>9.0000000000000071</v>
      </c>
      <c r="J200" s="1555">
        <f t="shared" si="37"/>
        <v>45676</v>
      </c>
      <c r="K200">
        <v>197</v>
      </c>
      <c r="L200" s="3323">
        <f t="shared" si="36"/>
        <v>415460</v>
      </c>
      <c r="M200" s="3329">
        <v>8700</v>
      </c>
      <c r="N200">
        <f t="shared" si="38"/>
        <v>9000</v>
      </c>
      <c r="O200">
        <f t="shared" si="29"/>
        <v>9000</v>
      </c>
      <c r="P200" s="3330">
        <f t="shared" si="34"/>
        <v>9000</v>
      </c>
      <c r="Q200" s="157">
        <f t="shared" si="39"/>
        <v>43500</v>
      </c>
      <c r="T200" s="380"/>
      <c r="U200" s="380"/>
    </row>
    <row r="201" spans="6:21" hidden="1">
      <c r="F201">
        <v>163</v>
      </c>
      <c r="I201" s="3324">
        <f t="shared" si="40"/>
        <v>9.0416666666666732</v>
      </c>
      <c r="J201" s="1555">
        <f t="shared" si="37"/>
        <v>45676</v>
      </c>
      <c r="K201">
        <v>198</v>
      </c>
      <c r="L201" s="3323">
        <f t="shared" si="36"/>
        <v>415760</v>
      </c>
      <c r="M201" s="3329">
        <v>8700</v>
      </c>
      <c r="N201">
        <f t="shared" si="38"/>
        <v>9000</v>
      </c>
      <c r="O201">
        <f t="shared" si="29"/>
        <v>9000</v>
      </c>
      <c r="P201" s="3330">
        <f t="shared" si="34"/>
        <v>9000</v>
      </c>
      <c r="Q201" s="157">
        <f t="shared" si="39"/>
        <v>52200</v>
      </c>
      <c r="T201" s="380"/>
      <c r="U201" s="380"/>
    </row>
    <row r="202" spans="6:21" hidden="1">
      <c r="F202">
        <v>164</v>
      </c>
      <c r="I202" s="3324">
        <f t="shared" si="40"/>
        <v>9.0833333333333393</v>
      </c>
      <c r="J202" s="1555">
        <f t="shared" si="37"/>
        <v>45676</v>
      </c>
      <c r="K202">
        <v>199</v>
      </c>
      <c r="L202" s="3323">
        <f t="shared" si="36"/>
        <v>416060</v>
      </c>
      <c r="M202" s="3329">
        <v>8700</v>
      </c>
      <c r="N202">
        <f t="shared" si="38"/>
        <v>9000</v>
      </c>
      <c r="O202">
        <f t="shared" si="29"/>
        <v>9000</v>
      </c>
      <c r="P202" s="3330">
        <f t="shared" si="34"/>
        <v>9000</v>
      </c>
      <c r="Q202" s="157">
        <f t="shared" si="39"/>
        <v>60900</v>
      </c>
      <c r="T202" s="380"/>
      <c r="U202" s="380"/>
    </row>
    <row r="203" spans="6:21" hidden="1">
      <c r="F203">
        <v>165</v>
      </c>
      <c r="I203" s="3324">
        <f t="shared" si="40"/>
        <v>9.1250000000000053</v>
      </c>
      <c r="J203" s="1555">
        <f t="shared" si="37"/>
        <v>45676</v>
      </c>
      <c r="K203">
        <v>200</v>
      </c>
      <c r="L203" s="3323">
        <f t="shared" si="36"/>
        <v>416360</v>
      </c>
      <c r="M203" s="3329">
        <v>8700</v>
      </c>
      <c r="N203">
        <f t="shared" si="38"/>
        <v>9000</v>
      </c>
      <c r="O203">
        <f t="shared" si="29"/>
        <v>9000</v>
      </c>
      <c r="P203" s="3330">
        <f t="shared" si="34"/>
        <v>9000</v>
      </c>
      <c r="Q203" s="157">
        <f t="shared" si="39"/>
        <v>69600</v>
      </c>
      <c r="T203" s="380"/>
      <c r="U203" s="380"/>
    </row>
    <row r="204" spans="6:21" hidden="1">
      <c r="F204">
        <v>166</v>
      </c>
      <c r="I204" s="3324">
        <f t="shared" si="40"/>
        <v>9.1666666666666714</v>
      </c>
      <c r="J204" s="1555">
        <f t="shared" si="37"/>
        <v>45676</v>
      </c>
      <c r="K204">
        <v>201</v>
      </c>
      <c r="L204" s="3323">
        <f t="shared" si="36"/>
        <v>416660</v>
      </c>
      <c r="M204" s="3329">
        <v>8700</v>
      </c>
      <c r="N204">
        <f t="shared" si="38"/>
        <v>9000</v>
      </c>
      <c r="O204">
        <f t="shared" si="29"/>
        <v>9000</v>
      </c>
      <c r="P204" s="3330">
        <f t="shared" si="34"/>
        <v>9000</v>
      </c>
      <c r="Q204" s="157">
        <f t="shared" si="39"/>
        <v>78300</v>
      </c>
      <c r="T204" s="380"/>
      <c r="U204" s="380"/>
    </row>
    <row r="205" spans="6:21" hidden="1">
      <c r="F205">
        <v>167</v>
      </c>
      <c r="I205" s="3324">
        <f t="shared" si="40"/>
        <v>9.2083333333333375</v>
      </c>
      <c r="J205" s="1555">
        <f t="shared" si="37"/>
        <v>45676</v>
      </c>
      <c r="K205">
        <v>202</v>
      </c>
      <c r="L205" s="3323">
        <f t="shared" si="36"/>
        <v>416960</v>
      </c>
      <c r="M205" s="3329">
        <v>8700</v>
      </c>
      <c r="N205">
        <f t="shared" si="38"/>
        <v>9000</v>
      </c>
      <c r="O205">
        <f t="shared" si="29"/>
        <v>9000</v>
      </c>
      <c r="P205" s="3330">
        <f t="shared" si="34"/>
        <v>9000</v>
      </c>
      <c r="Q205" s="157">
        <f t="shared" si="39"/>
        <v>87000</v>
      </c>
      <c r="T205" s="380"/>
      <c r="U205" s="380"/>
    </row>
    <row r="206" spans="6:21" hidden="1">
      <c r="F206">
        <v>168</v>
      </c>
      <c r="I206" s="3324">
        <f t="shared" si="40"/>
        <v>9.2500000000000036</v>
      </c>
      <c r="J206" s="1555">
        <f t="shared" si="37"/>
        <v>45676</v>
      </c>
      <c r="K206">
        <v>203</v>
      </c>
      <c r="L206" s="3323">
        <f t="shared" si="36"/>
        <v>417260</v>
      </c>
      <c r="M206" s="3329">
        <v>8700</v>
      </c>
      <c r="N206">
        <f t="shared" si="38"/>
        <v>9000</v>
      </c>
      <c r="O206">
        <f t="shared" ref="O206:P269" si="41">+O205</f>
        <v>9000</v>
      </c>
      <c r="P206" s="3330">
        <f t="shared" si="41"/>
        <v>9000</v>
      </c>
      <c r="Q206" s="157">
        <f t="shared" si="39"/>
        <v>95700</v>
      </c>
      <c r="T206" s="380"/>
      <c r="U206" s="380"/>
    </row>
    <row r="207" spans="6:21" hidden="1">
      <c r="F207">
        <v>169</v>
      </c>
      <c r="I207" s="3324">
        <f t="shared" si="40"/>
        <v>9.2916666666666696</v>
      </c>
      <c r="J207" s="1555">
        <f t="shared" si="37"/>
        <v>45676</v>
      </c>
      <c r="K207">
        <v>204</v>
      </c>
      <c r="L207" s="3323">
        <f t="shared" si="36"/>
        <v>417560</v>
      </c>
      <c r="M207" s="3329">
        <v>8700</v>
      </c>
      <c r="N207">
        <f t="shared" si="38"/>
        <v>9000</v>
      </c>
      <c r="O207">
        <f t="shared" si="41"/>
        <v>9000</v>
      </c>
      <c r="P207" s="3330">
        <f t="shared" si="41"/>
        <v>9000</v>
      </c>
      <c r="Q207" s="157">
        <f t="shared" si="39"/>
        <v>104400</v>
      </c>
      <c r="T207" s="380"/>
      <c r="U207" s="380"/>
    </row>
    <row r="208" spans="6:21" hidden="1">
      <c r="F208">
        <v>170</v>
      </c>
      <c r="I208" s="3324">
        <f t="shared" si="40"/>
        <v>9.3333333333333357</v>
      </c>
      <c r="J208" s="1555">
        <f t="shared" si="37"/>
        <v>45676</v>
      </c>
      <c r="K208">
        <v>205</v>
      </c>
      <c r="L208" s="3323">
        <f t="shared" si="36"/>
        <v>417860</v>
      </c>
      <c r="M208" s="3329">
        <v>8700</v>
      </c>
      <c r="N208">
        <f t="shared" si="38"/>
        <v>9000</v>
      </c>
      <c r="O208">
        <f t="shared" si="41"/>
        <v>9000</v>
      </c>
      <c r="P208" s="3330">
        <f t="shared" si="41"/>
        <v>9000</v>
      </c>
      <c r="Q208" s="157">
        <f t="shared" si="39"/>
        <v>113100</v>
      </c>
      <c r="T208" s="380"/>
      <c r="U208" s="380"/>
    </row>
    <row r="209" spans="6:21" hidden="1">
      <c r="F209">
        <v>171</v>
      </c>
      <c r="I209" s="3324">
        <f t="shared" si="40"/>
        <v>9.3750000000000018</v>
      </c>
      <c r="J209" s="1555">
        <f t="shared" si="37"/>
        <v>45676</v>
      </c>
      <c r="K209">
        <v>206</v>
      </c>
      <c r="L209" s="3323">
        <f t="shared" si="36"/>
        <v>418160</v>
      </c>
      <c r="M209" s="3329">
        <v>8700</v>
      </c>
      <c r="N209">
        <f t="shared" si="38"/>
        <v>9000</v>
      </c>
      <c r="O209">
        <f t="shared" si="41"/>
        <v>9000</v>
      </c>
      <c r="P209" s="3330">
        <f t="shared" si="41"/>
        <v>9000</v>
      </c>
      <c r="Q209" s="157">
        <f t="shared" si="39"/>
        <v>121800</v>
      </c>
      <c r="T209" s="380"/>
      <c r="U209" s="380"/>
    </row>
    <row r="210" spans="6:21" hidden="1">
      <c r="F210">
        <v>172</v>
      </c>
      <c r="I210" s="3324">
        <f t="shared" si="40"/>
        <v>9.4166666666666679</v>
      </c>
      <c r="J210" s="1555">
        <f t="shared" si="37"/>
        <v>45676</v>
      </c>
      <c r="K210">
        <v>207</v>
      </c>
      <c r="L210" s="3323">
        <f t="shared" si="36"/>
        <v>418460</v>
      </c>
      <c r="M210" s="3329">
        <v>8700</v>
      </c>
      <c r="N210">
        <f t="shared" si="38"/>
        <v>9000</v>
      </c>
      <c r="O210">
        <f t="shared" si="41"/>
        <v>9000</v>
      </c>
      <c r="P210" s="3330">
        <f t="shared" si="41"/>
        <v>9000</v>
      </c>
      <c r="Q210" s="157">
        <f t="shared" si="39"/>
        <v>130500</v>
      </c>
      <c r="T210" s="380"/>
      <c r="U210" s="380"/>
    </row>
    <row r="211" spans="6:21" hidden="1">
      <c r="F211">
        <v>173</v>
      </c>
      <c r="I211" s="3324">
        <f t="shared" si="40"/>
        <v>9.4583333333333339</v>
      </c>
      <c r="J211" s="1555">
        <f t="shared" si="37"/>
        <v>45676</v>
      </c>
      <c r="K211">
        <v>208</v>
      </c>
      <c r="L211" s="3323">
        <f t="shared" si="36"/>
        <v>418760</v>
      </c>
      <c r="M211" s="3329">
        <v>8700</v>
      </c>
      <c r="N211">
        <f t="shared" si="38"/>
        <v>9000</v>
      </c>
      <c r="O211">
        <f t="shared" si="41"/>
        <v>9000</v>
      </c>
      <c r="P211" s="3330">
        <f t="shared" si="41"/>
        <v>9000</v>
      </c>
      <c r="Q211" s="157">
        <f t="shared" si="39"/>
        <v>139200</v>
      </c>
      <c r="T211" s="380"/>
      <c r="U211" s="380"/>
    </row>
    <row r="212" spans="6:21" hidden="1">
      <c r="F212">
        <v>174</v>
      </c>
      <c r="I212" s="3324">
        <f t="shared" si="40"/>
        <v>9.5</v>
      </c>
      <c r="J212" s="1555">
        <f t="shared" si="37"/>
        <v>45676</v>
      </c>
      <c r="K212">
        <v>209</v>
      </c>
      <c r="L212" s="3323">
        <f t="shared" si="36"/>
        <v>419060</v>
      </c>
      <c r="M212" s="3329">
        <v>8700</v>
      </c>
      <c r="N212">
        <f t="shared" si="38"/>
        <v>9000</v>
      </c>
      <c r="O212">
        <f t="shared" si="41"/>
        <v>9000</v>
      </c>
      <c r="P212" s="3330">
        <f t="shared" si="41"/>
        <v>9000</v>
      </c>
      <c r="Q212" s="157">
        <f t="shared" si="39"/>
        <v>147900</v>
      </c>
      <c r="T212" s="380"/>
      <c r="U212" s="380"/>
    </row>
    <row r="213" spans="6:21" hidden="1">
      <c r="F213">
        <v>175</v>
      </c>
      <c r="I213" s="3324">
        <f t="shared" si="40"/>
        <v>9.5416666666666661</v>
      </c>
      <c r="J213" s="1555">
        <f t="shared" si="37"/>
        <v>45676</v>
      </c>
      <c r="K213">
        <v>210</v>
      </c>
      <c r="L213" s="3323">
        <f t="shared" si="36"/>
        <v>419360</v>
      </c>
      <c r="M213" s="3329">
        <v>8700</v>
      </c>
      <c r="N213">
        <f t="shared" si="38"/>
        <v>9000</v>
      </c>
      <c r="O213">
        <f t="shared" si="41"/>
        <v>9000</v>
      </c>
      <c r="P213" s="3330">
        <f t="shared" si="41"/>
        <v>9000</v>
      </c>
      <c r="Q213" s="157">
        <f t="shared" si="39"/>
        <v>156600</v>
      </c>
      <c r="R213" s="3327"/>
      <c r="T213" s="380"/>
      <c r="U213" s="380"/>
    </row>
    <row r="214" spans="6:21" hidden="1">
      <c r="F214">
        <v>176</v>
      </c>
      <c r="I214" s="3324">
        <f t="shared" si="40"/>
        <v>9.5833333333333321</v>
      </c>
      <c r="J214" s="1555">
        <f t="shared" si="37"/>
        <v>45676</v>
      </c>
      <c r="K214">
        <v>211</v>
      </c>
      <c r="L214" s="3323">
        <f t="shared" si="36"/>
        <v>419660</v>
      </c>
      <c r="M214" s="3329">
        <v>8700</v>
      </c>
      <c r="N214">
        <f t="shared" si="38"/>
        <v>9000</v>
      </c>
      <c r="O214">
        <f t="shared" si="41"/>
        <v>9000</v>
      </c>
      <c r="P214" s="3330">
        <f t="shared" si="41"/>
        <v>9000</v>
      </c>
      <c r="Q214" s="157">
        <f t="shared" si="39"/>
        <v>165300</v>
      </c>
      <c r="R214" s="3327"/>
      <c r="T214" s="380"/>
      <c r="U214" s="380"/>
    </row>
    <row r="215" spans="6:21" hidden="1">
      <c r="F215">
        <v>177</v>
      </c>
      <c r="I215" s="3324">
        <f t="shared" si="40"/>
        <v>9.6249999999999982</v>
      </c>
      <c r="J215" s="1555">
        <f t="shared" si="37"/>
        <v>45676</v>
      </c>
      <c r="K215">
        <v>212</v>
      </c>
      <c r="L215" s="3323">
        <f t="shared" si="36"/>
        <v>419960</v>
      </c>
      <c r="M215" s="3329">
        <v>8700</v>
      </c>
      <c r="N215">
        <f t="shared" si="38"/>
        <v>9000</v>
      </c>
      <c r="O215">
        <f t="shared" si="41"/>
        <v>9000</v>
      </c>
      <c r="P215" s="3330">
        <f t="shared" si="41"/>
        <v>9000</v>
      </c>
      <c r="Q215" s="157">
        <f t="shared" si="39"/>
        <v>174000</v>
      </c>
      <c r="R215" s="3327"/>
      <c r="T215" s="380"/>
      <c r="U215" s="380"/>
    </row>
    <row r="216" spans="6:21" hidden="1">
      <c r="F216">
        <v>178</v>
      </c>
      <c r="I216" s="3324">
        <f t="shared" si="40"/>
        <v>9.6666666666666643</v>
      </c>
      <c r="J216" s="1555">
        <f t="shared" si="37"/>
        <v>45676</v>
      </c>
      <c r="K216">
        <v>213</v>
      </c>
      <c r="L216" s="3323">
        <f t="shared" si="36"/>
        <v>420260</v>
      </c>
      <c r="M216" s="3329">
        <v>8700</v>
      </c>
      <c r="N216">
        <f t="shared" si="38"/>
        <v>9000</v>
      </c>
      <c r="O216">
        <f t="shared" si="41"/>
        <v>9000</v>
      </c>
      <c r="P216" s="3330">
        <f t="shared" si="41"/>
        <v>9000</v>
      </c>
      <c r="Q216" s="157">
        <f t="shared" si="39"/>
        <v>182700</v>
      </c>
      <c r="R216" s="3327"/>
      <c r="T216" s="380"/>
      <c r="U216" s="380"/>
    </row>
    <row r="217" spans="6:21" hidden="1">
      <c r="F217">
        <v>179</v>
      </c>
      <c r="I217" s="3324">
        <f t="shared" si="40"/>
        <v>9.7083333333333304</v>
      </c>
      <c r="J217" s="1555">
        <f t="shared" si="37"/>
        <v>45676</v>
      </c>
      <c r="K217">
        <v>214</v>
      </c>
      <c r="L217" s="3323">
        <f t="shared" si="36"/>
        <v>420560</v>
      </c>
      <c r="M217" s="3329">
        <v>8700</v>
      </c>
      <c r="N217">
        <f t="shared" si="38"/>
        <v>9000</v>
      </c>
      <c r="O217">
        <f t="shared" si="41"/>
        <v>9000</v>
      </c>
      <c r="P217" s="3330">
        <f t="shared" si="41"/>
        <v>9000</v>
      </c>
      <c r="Q217" s="157">
        <f t="shared" si="39"/>
        <v>191400</v>
      </c>
      <c r="R217" s="3327"/>
      <c r="T217" s="380"/>
      <c r="U217" s="380"/>
    </row>
    <row r="218" spans="6:21" hidden="1">
      <c r="F218">
        <v>180</v>
      </c>
      <c r="I218" s="3324">
        <f t="shared" si="40"/>
        <v>9.7499999999999964</v>
      </c>
      <c r="J218" s="1555">
        <f t="shared" si="37"/>
        <v>45676</v>
      </c>
      <c r="K218">
        <v>215</v>
      </c>
      <c r="L218" s="3323">
        <f t="shared" si="36"/>
        <v>420860</v>
      </c>
      <c r="M218" s="3329">
        <v>8700</v>
      </c>
      <c r="N218">
        <f t="shared" si="38"/>
        <v>9000</v>
      </c>
      <c r="O218">
        <f t="shared" si="41"/>
        <v>9000</v>
      </c>
      <c r="P218" s="3330">
        <f t="shared" si="41"/>
        <v>9000</v>
      </c>
      <c r="Q218" s="157">
        <f t="shared" si="39"/>
        <v>200100</v>
      </c>
      <c r="R218" s="3327"/>
      <c r="T218" s="380"/>
      <c r="U218" s="380"/>
    </row>
    <row r="219" spans="6:21" hidden="1">
      <c r="F219">
        <v>181</v>
      </c>
      <c r="I219" s="3324">
        <f t="shared" si="40"/>
        <v>9.7916666666666625</v>
      </c>
      <c r="J219" s="1555">
        <f t="shared" si="37"/>
        <v>45676</v>
      </c>
      <c r="K219">
        <v>216</v>
      </c>
      <c r="L219" s="3323">
        <f t="shared" si="36"/>
        <v>421160</v>
      </c>
      <c r="M219" s="3329">
        <v>8700</v>
      </c>
      <c r="N219">
        <f t="shared" si="38"/>
        <v>9000</v>
      </c>
      <c r="O219">
        <f t="shared" si="41"/>
        <v>9000</v>
      </c>
      <c r="P219" s="3330">
        <f t="shared" si="41"/>
        <v>9000</v>
      </c>
      <c r="Q219" s="157">
        <f t="shared" si="39"/>
        <v>208800</v>
      </c>
      <c r="R219" s="3327">
        <f>+Q219</f>
        <v>208800</v>
      </c>
      <c r="T219" s="380"/>
      <c r="U219" s="380"/>
    </row>
    <row r="220" spans="6:21" hidden="1">
      <c r="F220">
        <v>182</v>
      </c>
      <c r="I220" s="3324">
        <f t="shared" si="40"/>
        <v>9.8333333333333286</v>
      </c>
      <c r="J220" s="1555">
        <f>+J219+1</f>
        <v>45677</v>
      </c>
      <c r="K220">
        <v>217</v>
      </c>
      <c r="L220" s="3323">
        <f t="shared" si="36"/>
        <v>421460</v>
      </c>
      <c r="M220" s="3329">
        <v>8700</v>
      </c>
      <c r="N220">
        <f t="shared" si="38"/>
        <v>9000</v>
      </c>
      <c r="O220">
        <f t="shared" si="41"/>
        <v>9000</v>
      </c>
      <c r="P220" s="3330">
        <f t="shared" si="41"/>
        <v>9000</v>
      </c>
      <c r="Q220" s="157">
        <f>+M220</f>
        <v>8700</v>
      </c>
      <c r="T220" s="380"/>
      <c r="U220" s="380"/>
    </row>
    <row r="221" spans="6:21" hidden="1">
      <c r="F221">
        <v>183</v>
      </c>
      <c r="I221" s="3324">
        <f t="shared" si="40"/>
        <v>9.8749999999999947</v>
      </c>
      <c r="J221" s="1555">
        <f t="shared" ref="J221:J284" si="42">+J220</f>
        <v>45677</v>
      </c>
      <c r="K221">
        <v>218</v>
      </c>
      <c r="L221" s="3323">
        <f t="shared" si="36"/>
        <v>421760</v>
      </c>
      <c r="M221" s="3329">
        <v>8700</v>
      </c>
      <c r="N221">
        <f t="shared" si="38"/>
        <v>9000</v>
      </c>
      <c r="O221">
        <f t="shared" si="41"/>
        <v>9000</v>
      </c>
      <c r="P221" s="3330">
        <f t="shared" si="41"/>
        <v>9000</v>
      </c>
      <c r="Q221" s="157">
        <f t="shared" ref="Q221:Q243" si="43">+Q220+M221</f>
        <v>17400</v>
      </c>
      <c r="T221" s="380"/>
      <c r="U221" s="380"/>
    </row>
    <row r="222" spans="6:21" hidden="1">
      <c r="F222">
        <v>184</v>
      </c>
      <c r="I222" s="3324">
        <f t="shared" si="40"/>
        <v>9.9166666666666607</v>
      </c>
      <c r="J222" s="1555">
        <f t="shared" si="42"/>
        <v>45677</v>
      </c>
      <c r="K222">
        <v>219</v>
      </c>
      <c r="L222" s="3323">
        <f t="shared" si="36"/>
        <v>422060</v>
      </c>
      <c r="M222" s="3329">
        <v>8700</v>
      </c>
      <c r="N222">
        <f t="shared" si="38"/>
        <v>9000</v>
      </c>
      <c r="O222">
        <f t="shared" si="41"/>
        <v>9000</v>
      </c>
      <c r="P222" s="3330">
        <f t="shared" si="41"/>
        <v>9000</v>
      </c>
      <c r="Q222" s="157">
        <f t="shared" si="43"/>
        <v>26100</v>
      </c>
      <c r="T222" s="380"/>
      <c r="U222" s="380"/>
    </row>
    <row r="223" spans="6:21" hidden="1">
      <c r="F223">
        <v>185</v>
      </c>
      <c r="I223" s="3324">
        <f t="shared" si="40"/>
        <v>9.9583333333333268</v>
      </c>
      <c r="J223" s="1555">
        <f t="shared" si="42"/>
        <v>45677</v>
      </c>
      <c r="K223">
        <v>220</v>
      </c>
      <c r="L223" s="3323">
        <f t="shared" si="36"/>
        <v>422360</v>
      </c>
      <c r="M223" s="3329">
        <v>8700</v>
      </c>
      <c r="N223">
        <f t="shared" si="38"/>
        <v>9000</v>
      </c>
      <c r="O223">
        <f t="shared" si="41"/>
        <v>9000</v>
      </c>
      <c r="P223" s="3330">
        <f t="shared" si="41"/>
        <v>9000</v>
      </c>
      <c r="Q223" s="157">
        <f t="shared" si="43"/>
        <v>34800</v>
      </c>
      <c r="T223" s="380"/>
      <c r="U223" s="380"/>
    </row>
    <row r="224" spans="6:21" hidden="1">
      <c r="F224">
        <v>186</v>
      </c>
      <c r="I224" s="3324">
        <f t="shared" si="40"/>
        <v>9.9999999999999929</v>
      </c>
      <c r="J224" s="1555">
        <f t="shared" si="42"/>
        <v>45677</v>
      </c>
      <c r="K224">
        <v>221</v>
      </c>
      <c r="L224" s="3323">
        <f t="shared" si="36"/>
        <v>422660</v>
      </c>
      <c r="M224" s="3329">
        <v>8700</v>
      </c>
      <c r="N224">
        <f t="shared" si="38"/>
        <v>9000</v>
      </c>
      <c r="O224">
        <f t="shared" si="41"/>
        <v>9000</v>
      </c>
      <c r="P224" s="3330">
        <f t="shared" si="41"/>
        <v>9000</v>
      </c>
      <c r="Q224" s="157">
        <f t="shared" si="43"/>
        <v>43500</v>
      </c>
      <c r="T224" s="380"/>
      <c r="U224" s="380"/>
    </row>
    <row r="225" spans="6:21" hidden="1">
      <c r="F225">
        <v>187</v>
      </c>
      <c r="I225" s="3324">
        <f t="shared" si="40"/>
        <v>10.041666666666659</v>
      </c>
      <c r="J225" s="1555">
        <f t="shared" si="42"/>
        <v>45677</v>
      </c>
      <c r="K225">
        <v>222</v>
      </c>
      <c r="L225" s="3323">
        <f t="shared" si="36"/>
        <v>422960</v>
      </c>
      <c r="M225" s="3329">
        <v>8700</v>
      </c>
      <c r="N225">
        <f t="shared" si="38"/>
        <v>9000</v>
      </c>
      <c r="O225">
        <f t="shared" si="41"/>
        <v>9000</v>
      </c>
      <c r="P225" s="3330">
        <f t="shared" si="41"/>
        <v>9000</v>
      </c>
      <c r="Q225" s="157">
        <f t="shared" si="43"/>
        <v>52200</v>
      </c>
      <c r="T225" s="380"/>
      <c r="U225" s="380"/>
    </row>
    <row r="226" spans="6:21" hidden="1">
      <c r="F226">
        <v>188</v>
      </c>
      <c r="I226" s="3324">
        <f t="shared" si="40"/>
        <v>10.083333333333325</v>
      </c>
      <c r="J226" s="1555">
        <f t="shared" si="42"/>
        <v>45677</v>
      </c>
      <c r="K226">
        <v>223</v>
      </c>
      <c r="L226" s="3323">
        <f t="shared" si="36"/>
        <v>423260</v>
      </c>
      <c r="M226" s="3329">
        <v>8700</v>
      </c>
      <c r="N226">
        <f t="shared" si="38"/>
        <v>9000</v>
      </c>
      <c r="O226">
        <f t="shared" si="41"/>
        <v>9000</v>
      </c>
      <c r="P226" s="3330">
        <f t="shared" si="41"/>
        <v>9000</v>
      </c>
      <c r="Q226" s="157">
        <f t="shared" si="43"/>
        <v>60900</v>
      </c>
      <c r="T226" s="380"/>
      <c r="U226" s="380"/>
    </row>
    <row r="227" spans="6:21" hidden="1">
      <c r="F227">
        <v>189</v>
      </c>
      <c r="I227" s="3324">
        <f t="shared" si="40"/>
        <v>10.124999999999991</v>
      </c>
      <c r="J227" s="1555">
        <f t="shared" si="42"/>
        <v>45677</v>
      </c>
      <c r="K227">
        <v>224</v>
      </c>
      <c r="L227" s="3323">
        <f t="shared" si="36"/>
        <v>423560</v>
      </c>
      <c r="M227" s="3329">
        <v>8700</v>
      </c>
      <c r="N227">
        <f t="shared" si="38"/>
        <v>9000</v>
      </c>
      <c r="O227">
        <f t="shared" si="41"/>
        <v>9000</v>
      </c>
      <c r="P227" s="3330">
        <f t="shared" si="41"/>
        <v>9000</v>
      </c>
      <c r="Q227" s="157">
        <f t="shared" si="43"/>
        <v>69600</v>
      </c>
      <c r="T227" s="380"/>
      <c r="U227" s="380"/>
    </row>
    <row r="228" spans="6:21" hidden="1">
      <c r="F228">
        <v>190</v>
      </c>
      <c r="I228" s="3324">
        <f t="shared" si="40"/>
        <v>10.166666666666657</v>
      </c>
      <c r="J228" s="1555">
        <f t="shared" si="42"/>
        <v>45677</v>
      </c>
      <c r="K228">
        <v>225</v>
      </c>
      <c r="L228" s="3323">
        <f t="shared" si="36"/>
        <v>423860</v>
      </c>
      <c r="M228" s="3329">
        <v>8700</v>
      </c>
      <c r="N228">
        <f t="shared" si="38"/>
        <v>9000</v>
      </c>
      <c r="O228">
        <f t="shared" si="41"/>
        <v>9000</v>
      </c>
      <c r="P228" s="3330">
        <f t="shared" si="41"/>
        <v>9000</v>
      </c>
      <c r="Q228" s="157">
        <f t="shared" si="43"/>
        <v>78300</v>
      </c>
      <c r="T228" s="380"/>
      <c r="U228" s="380"/>
    </row>
    <row r="229" spans="6:21" hidden="1">
      <c r="F229">
        <v>191</v>
      </c>
      <c r="I229" s="3324">
        <f t="shared" si="40"/>
        <v>10.208333333333323</v>
      </c>
      <c r="J229" s="1555">
        <f t="shared" si="42"/>
        <v>45677</v>
      </c>
      <c r="K229">
        <v>226</v>
      </c>
      <c r="L229" s="3323">
        <f t="shared" si="36"/>
        <v>424160</v>
      </c>
      <c r="M229" s="3329">
        <v>8700</v>
      </c>
      <c r="N229">
        <f t="shared" si="38"/>
        <v>9000</v>
      </c>
      <c r="O229">
        <f t="shared" si="41"/>
        <v>9000</v>
      </c>
      <c r="P229" s="3330">
        <f t="shared" si="41"/>
        <v>9000</v>
      </c>
      <c r="Q229" s="157">
        <f t="shared" si="43"/>
        <v>87000</v>
      </c>
      <c r="T229" s="380"/>
      <c r="U229" s="380"/>
    </row>
    <row r="230" spans="6:21" hidden="1">
      <c r="F230">
        <v>192</v>
      </c>
      <c r="I230" s="3324">
        <f t="shared" si="40"/>
        <v>10.249999999999989</v>
      </c>
      <c r="J230" s="1555">
        <f t="shared" si="42"/>
        <v>45677</v>
      </c>
      <c r="K230">
        <v>227</v>
      </c>
      <c r="L230" s="3323">
        <f t="shared" si="36"/>
        <v>424460</v>
      </c>
      <c r="M230" s="3329">
        <v>8700</v>
      </c>
      <c r="N230">
        <f t="shared" si="38"/>
        <v>9000</v>
      </c>
      <c r="O230">
        <f t="shared" si="41"/>
        <v>9000</v>
      </c>
      <c r="P230" s="3330">
        <f t="shared" si="41"/>
        <v>9000</v>
      </c>
      <c r="Q230" s="157">
        <f t="shared" si="43"/>
        <v>95700</v>
      </c>
      <c r="T230" s="380"/>
      <c r="U230" s="380"/>
    </row>
    <row r="231" spans="6:21" hidden="1">
      <c r="F231">
        <v>193</v>
      </c>
      <c r="I231" s="3324">
        <f t="shared" si="40"/>
        <v>10.291666666666655</v>
      </c>
      <c r="J231" s="1555">
        <f t="shared" si="42"/>
        <v>45677</v>
      </c>
      <c r="K231">
        <v>228</v>
      </c>
      <c r="L231" s="3323">
        <f t="shared" si="36"/>
        <v>424760</v>
      </c>
      <c r="M231" s="3329">
        <v>8700</v>
      </c>
      <c r="N231">
        <f t="shared" si="38"/>
        <v>9000</v>
      </c>
      <c r="O231">
        <f t="shared" si="41"/>
        <v>9000</v>
      </c>
      <c r="P231" s="3330">
        <f t="shared" si="41"/>
        <v>9000</v>
      </c>
      <c r="Q231" s="157">
        <f t="shared" si="43"/>
        <v>104400</v>
      </c>
      <c r="T231" s="380"/>
      <c r="U231" s="380"/>
    </row>
    <row r="232" spans="6:21" hidden="1">
      <c r="F232">
        <v>194</v>
      </c>
      <c r="I232" s="3324">
        <f t="shared" si="40"/>
        <v>10.333333333333321</v>
      </c>
      <c r="J232" s="1555">
        <f t="shared" si="42"/>
        <v>45677</v>
      </c>
      <c r="K232">
        <v>229</v>
      </c>
      <c r="L232" s="3323">
        <f t="shared" si="36"/>
        <v>425060</v>
      </c>
      <c r="M232" s="3329">
        <v>8700</v>
      </c>
      <c r="N232">
        <f t="shared" si="38"/>
        <v>9000</v>
      </c>
      <c r="O232">
        <f t="shared" si="41"/>
        <v>9000</v>
      </c>
      <c r="P232" s="3330">
        <f t="shared" si="41"/>
        <v>9000</v>
      </c>
      <c r="Q232" s="157">
        <f t="shared" si="43"/>
        <v>113100</v>
      </c>
      <c r="T232" s="380"/>
      <c r="U232" s="380"/>
    </row>
    <row r="233" spans="6:21" hidden="1">
      <c r="F233">
        <v>195</v>
      </c>
      <c r="I233" s="3324">
        <f t="shared" si="40"/>
        <v>10.374999999999988</v>
      </c>
      <c r="J233" s="1555">
        <f t="shared" si="42"/>
        <v>45677</v>
      </c>
      <c r="K233">
        <v>230</v>
      </c>
      <c r="L233" s="3323">
        <f t="shared" si="36"/>
        <v>425360</v>
      </c>
      <c r="M233" s="3329">
        <v>8700</v>
      </c>
      <c r="N233">
        <f t="shared" si="38"/>
        <v>9000</v>
      </c>
      <c r="O233">
        <f t="shared" si="41"/>
        <v>9000</v>
      </c>
      <c r="P233" s="3330">
        <f t="shared" si="41"/>
        <v>9000</v>
      </c>
      <c r="Q233" s="157">
        <f t="shared" si="43"/>
        <v>121800</v>
      </c>
      <c r="T233" s="380"/>
      <c r="U233" s="380"/>
    </row>
    <row r="234" spans="6:21" hidden="1">
      <c r="F234">
        <v>196</v>
      </c>
      <c r="I234" s="3324">
        <f t="shared" si="40"/>
        <v>10.416666666666654</v>
      </c>
      <c r="J234" s="1555">
        <f t="shared" si="42"/>
        <v>45677</v>
      </c>
      <c r="K234">
        <v>231</v>
      </c>
      <c r="L234" s="3323">
        <f t="shared" si="36"/>
        <v>425660</v>
      </c>
      <c r="M234" s="3329">
        <f t="shared" ref="M234:M253" si="44">+M233</f>
        <v>8700</v>
      </c>
      <c r="N234">
        <f t="shared" si="38"/>
        <v>9000</v>
      </c>
      <c r="O234">
        <f t="shared" si="41"/>
        <v>9000</v>
      </c>
      <c r="P234" s="3330">
        <f t="shared" si="41"/>
        <v>9000</v>
      </c>
      <c r="Q234" s="157">
        <f t="shared" si="43"/>
        <v>130500</v>
      </c>
      <c r="T234" s="380"/>
      <c r="U234" s="380"/>
    </row>
    <row r="235" spans="6:21" hidden="1">
      <c r="F235">
        <v>197</v>
      </c>
      <c r="I235" s="3324">
        <f t="shared" si="40"/>
        <v>10.45833333333332</v>
      </c>
      <c r="J235" s="1555">
        <f t="shared" si="42"/>
        <v>45677</v>
      </c>
      <c r="K235">
        <v>232</v>
      </c>
      <c r="L235" s="3323">
        <f t="shared" si="36"/>
        <v>425960</v>
      </c>
      <c r="M235" s="3329">
        <f t="shared" si="44"/>
        <v>8700</v>
      </c>
      <c r="N235">
        <f t="shared" si="38"/>
        <v>9000</v>
      </c>
      <c r="O235">
        <f t="shared" si="41"/>
        <v>9000</v>
      </c>
      <c r="P235" s="3330">
        <f t="shared" si="41"/>
        <v>9000</v>
      </c>
      <c r="Q235" s="157">
        <f t="shared" si="43"/>
        <v>139200</v>
      </c>
      <c r="T235" s="380"/>
      <c r="U235" s="380"/>
    </row>
    <row r="236" spans="6:21" hidden="1">
      <c r="F236">
        <v>198</v>
      </c>
      <c r="I236" s="3324">
        <f t="shared" si="40"/>
        <v>10.499999999999986</v>
      </c>
      <c r="J236" s="1555">
        <f t="shared" si="42"/>
        <v>45677</v>
      </c>
      <c r="K236">
        <v>233</v>
      </c>
      <c r="L236" s="3323">
        <f t="shared" si="36"/>
        <v>426260</v>
      </c>
      <c r="M236" s="3329">
        <f t="shared" si="44"/>
        <v>8700</v>
      </c>
      <c r="N236">
        <f t="shared" si="38"/>
        <v>9000</v>
      </c>
      <c r="O236">
        <f t="shared" si="41"/>
        <v>9000</v>
      </c>
      <c r="P236" s="3330">
        <f t="shared" si="41"/>
        <v>9000</v>
      </c>
      <c r="Q236" s="157">
        <f t="shared" si="43"/>
        <v>147900</v>
      </c>
      <c r="T236" s="380"/>
      <c r="U236" s="380"/>
    </row>
    <row r="237" spans="6:21" hidden="1">
      <c r="F237">
        <v>199</v>
      </c>
      <c r="I237" s="3324">
        <f t="shared" si="40"/>
        <v>10.541666666666652</v>
      </c>
      <c r="J237" s="1555">
        <f t="shared" si="42"/>
        <v>45677</v>
      </c>
      <c r="K237">
        <v>234</v>
      </c>
      <c r="L237" s="3323">
        <f t="shared" si="36"/>
        <v>426560</v>
      </c>
      <c r="M237" s="3329">
        <f t="shared" si="44"/>
        <v>8700</v>
      </c>
      <c r="N237">
        <f t="shared" si="38"/>
        <v>9000</v>
      </c>
      <c r="O237">
        <f t="shared" si="41"/>
        <v>9000</v>
      </c>
      <c r="P237" s="3330">
        <f t="shared" si="41"/>
        <v>9000</v>
      </c>
      <c r="Q237" s="157">
        <f t="shared" si="43"/>
        <v>156600</v>
      </c>
      <c r="R237" s="3327"/>
      <c r="T237" s="380"/>
      <c r="U237" s="380"/>
    </row>
    <row r="238" spans="6:21" hidden="1">
      <c r="F238">
        <v>200</v>
      </c>
      <c r="I238" s="3324">
        <f t="shared" si="40"/>
        <v>10.583333333333318</v>
      </c>
      <c r="J238" s="1555">
        <f t="shared" si="42"/>
        <v>45677</v>
      </c>
      <c r="K238">
        <v>235</v>
      </c>
      <c r="L238" s="3323">
        <f t="shared" si="36"/>
        <v>426860</v>
      </c>
      <c r="M238" s="3329">
        <f t="shared" si="44"/>
        <v>8700</v>
      </c>
      <c r="N238">
        <f t="shared" si="38"/>
        <v>9000</v>
      </c>
      <c r="O238">
        <f t="shared" si="41"/>
        <v>9000</v>
      </c>
      <c r="P238" s="3330">
        <f t="shared" si="41"/>
        <v>9000</v>
      </c>
      <c r="Q238" s="157">
        <f t="shared" si="43"/>
        <v>165300</v>
      </c>
      <c r="R238" s="3327"/>
      <c r="T238" s="380"/>
      <c r="U238" s="380"/>
    </row>
    <row r="239" spans="6:21" hidden="1">
      <c r="F239">
        <v>201</v>
      </c>
      <c r="I239" s="3324">
        <f t="shared" si="40"/>
        <v>10.624999999999984</v>
      </c>
      <c r="J239" s="1555">
        <f t="shared" si="42"/>
        <v>45677</v>
      </c>
      <c r="K239">
        <v>236</v>
      </c>
      <c r="L239" s="3323">
        <f t="shared" si="36"/>
        <v>427160</v>
      </c>
      <c r="M239" s="3329">
        <f t="shared" si="44"/>
        <v>8700</v>
      </c>
      <c r="N239">
        <f t="shared" si="38"/>
        <v>9000</v>
      </c>
      <c r="O239">
        <f t="shared" si="41"/>
        <v>9000</v>
      </c>
      <c r="P239" s="3330">
        <f t="shared" si="41"/>
        <v>9000</v>
      </c>
      <c r="Q239" s="157">
        <f t="shared" si="43"/>
        <v>174000</v>
      </c>
      <c r="R239" s="3327"/>
      <c r="T239" s="380"/>
      <c r="U239" s="380"/>
    </row>
    <row r="240" spans="6:21" hidden="1">
      <c r="F240">
        <v>202</v>
      </c>
      <c r="I240" s="3324">
        <f t="shared" si="40"/>
        <v>10.66666666666665</v>
      </c>
      <c r="J240" s="1555">
        <f t="shared" si="42"/>
        <v>45677</v>
      </c>
      <c r="K240">
        <v>237</v>
      </c>
      <c r="L240" s="3323">
        <f t="shared" si="36"/>
        <v>427460</v>
      </c>
      <c r="M240" s="3329">
        <f t="shared" si="44"/>
        <v>8700</v>
      </c>
      <c r="N240">
        <f t="shared" si="38"/>
        <v>9000</v>
      </c>
      <c r="O240">
        <f t="shared" si="41"/>
        <v>9000</v>
      </c>
      <c r="P240" s="3330">
        <f t="shared" si="41"/>
        <v>9000</v>
      </c>
      <c r="Q240" s="157">
        <f t="shared" si="43"/>
        <v>182700</v>
      </c>
      <c r="R240" s="3327"/>
      <c r="T240" s="380"/>
      <c r="U240" s="380"/>
    </row>
    <row r="241" spans="6:21" hidden="1">
      <c r="F241">
        <v>203</v>
      </c>
      <c r="I241" s="3324">
        <f t="shared" si="40"/>
        <v>10.708333333333316</v>
      </c>
      <c r="J241" s="1555">
        <f t="shared" si="42"/>
        <v>45677</v>
      </c>
      <c r="K241">
        <v>238</v>
      </c>
      <c r="L241" s="3323">
        <f t="shared" si="36"/>
        <v>427760</v>
      </c>
      <c r="M241" s="3329">
        <f t="shared" si="44"/>
        <v>8700</v>
      </c>
      <c r="N241">
        <f t="shared" si="38"/>
        <v>9000</v>
      </c>
      <c r="O241">
        <f t="shared" si="41"/>
        <v>9000</v>
      </c>
      <c r="P241" s="3330">
        <f t="shared" si="41"/>
        <v>9000</v>
      </c>
      <c r="Q241" s="157">
        <f t="shared" si="43"/>
        <v>191400</v>
      </c>
      <c r="R241" s="3327"/>
      <c r="T241" s="380"/>
      <c r="U241" s="380"/>
    </row>
    <row r="242" spans="6:21" hidden="1">
      <c r="F242">
        <v>204</v>
      </c>
      <c r="I242" s="3324">
        <f t="shared" si="40"/>
        <v>10.749999999999982</v>
      </c>
      <c r="J242" s="1555">
        <f t="shared" si="42"/>
        <v>45677</v>
      </c>
      <c r="K242">
        <v>239</v>
      </c>
      <c r="L242" s="3323">
        <f t="shared" si="36"/>
        <v>428060</v>
      </c>
      <c r="M242" s="3329">
        <f t="shared" si="44"/>
        <v>8700</v>
      </c>
      <c r="N242">
        <f t="shared" si="38"/>
        <v>9000</v>
      </c>
      <c r="O242">
        <f t="shared" si="41"/>
        <v>9000</v>
      </c>
      <c r="P242" s="3330">
        <f t="shared" si="41"/>
        <v>9000</v>
      </c>
      <c r="Q242" s="157">
        <f t="shared" si="43"/>
        <v>200100</v>
      </c>
      <c r="R242" s="3327"/>
      <c r="T242" s="380"/>
      <c r="U242" s="380"/>
    </row>
    <row r="243" spans="6:21" hidden="1">
      <c r="F243">
        <v>205</v>
      </c>
      <c r="I243" s="3324">
        <f t="shared" si="40"/>
        <v>10.791666666666648</v>
      </c>
      <c r="J243" s="1555">
        <f t="shared" si="42"/>
        <v>45677</v>
      </c>
      <c r="K243">
        <v>240</v>
      </c>
      <c r="L243" s="3323">
        <f t="shared" si="36"/>
        <v>428360</v>
      </c>
      <c r="M243" s="3329">
        <f t="shared" si="44"/>
        <v>8700</v>
      </c>
      <c r="N243">
        <f t="shared" si="38"/>
        <v>9000</v>
      </c>
      <c r="O243">
        <f t="shared" si="41"/>
        <v>9000</v>
      </c>
      <c r="P243" s="3330">
        <f t="shared" si="41"/>
        <v>9000</v>
      </c>
      <c r="Q243" s="157">
        <f t="shared" si="43"/>
        <v>208800</v>
      </c>
      <c r="R243" s="3327">
        <f>+Q243</f>
        <v>208800</v>
      </c>
      <c r="T243" s="380"/>
      <c r="U243" s="380"/>
    </row>
    <row r="244" spans="6:21" hidden="1">
      <c r="F244">
        <v>206</v>
      </c>
      <c r="I244" s="3324">
        <f t="shared" si="40"/>
        <v>10.833333333333314</v>
      </c>
      <c r="J244" s="1555">
        <f>+J243+1</f>
        <v>45678</v>
      </c>
      <c r="K244">
        <v>241</v>
      </c>
      <c r="L244" s="3323">
        <f t="shared" si="36"/>
        <v>428660</v>
      </c>
      <c r="M244" s="3329">
        <f t="shared" si="44"/>
        <v>8700</v>
      </c>
      <c r="N244">
        <f t="shared" si="38"/>
        <v>9000</v>
      </c>
      <c r="O244">
        <f t="shared" si="41"/>
        <v>9000</v>
      </c>
      <c r="P244" s="3330">
        <f t="shared" si="41"/>
        <v>9000</v>
      </c>
      <c r="Q244" s="157">
        <f>+M244</f>
        <v>8700</v>
      </c>
      <c r="T244" s="380"/>
      <c r="U244" s="380"/>
    </row>
    <row r="245" spans="6:21" hidden="1">
      <c r="F245">
        <v>207</v>
      </c>
      <c r="I245" s="3324">
        <f t="shared" si="40"/>
        <v>10.87499999999998</v>
      </c>
      <c r="J245" s="1555">
        <f t="shared" si="42"/>
        <v>45678</v>
      </c>
      <c r="K245">
        <v>242</v>
      </c>
      <c r="L245" s="3323">
        <f t="shared" si="36"/>
        <v>428960</v>
      </c>
      <c r="M245" s="3329">
        <f t="shared" si="44"/>
        <v>8700</v>
      </c>
      <c r="N245">
        <f t="shared" si="38"/>
        <v>9000</v>
      </c>
      <c r="O245">
        <f t="shared" si="41"/>
        <v>9000</v>
      </c>
      <c r="P245" s="3330">
        <f t="shared" si="41"/>
        <v>9000</v>
      </c>
      <c r="Q245" s="157">
        <f t="shared" ref="Q245:Q267" si="45">+Q244+M245</f>
        <v>17400</v>
      </c>
      <c r="T245" s="380"/>
      <c r="U245" s="380"/>
    </row>
    <row r="246" spans="6:21" hidden="1">
      <c r="F246">
        <v>208</v>
      </c>
      <c r="I246" s="3324">
        <f t="shared" si="40"/>
        <v>10.916666666666647</v>
      </c>
      <c r="J246" s="1555">
        <f t="shared" si="42"/>
        <v>45678</v>
      </c>
      <c r="K246">
        <v>243</v>
      </c>
      <c r="L246" s="3323">
        <f t="shared" si="36"/>
        <v>429260</v>
      </c>
      <c r="M246" s="3329">
        <f t="shared" si="44"/>
        <v>8700</v>
      </c>
      <c r="N246">
        <f t="shared" si="38"/>
        <v>9000</v>
      </c>
      <c r="O246">
        <f t="shared" si="41"/>
        <v>9000</v>
      </c>
      <c r="P246" s="3330">
        <f t="shared" si="41"/>
        <v>9000</v>
      </c>
      <c r="Q246" s="157">
        <f t="shared" si="45"/>
        <v>26100</v>
      </c>
      <c r="T246" s="380"/>
      <c r="U246" s="380"/>
    </row>
    <row r="247" spans="6:21" hidden="1">
      <c r="F247">
        <v>209</v>
      </c>
      <c r="I247" s="3324">
        <f t="shared" si="40"/>
        <v>10.958333333333313</v>
      </c>
      <c r="J247" s="1555">
        <f t="shared" si="42"/>
        <v>45678</v>
      </c>
      <c r="K247">
        <v>244</v>
      </c>
      <c r="L247" s="3323">
        <f t="shared" si="36"/>
        <v>429560</v>
      </c>
      <c r="M247" s="3329">
        <f t="shared" si="44"/>
        <v>8700</v>
      </c>
      <c r="N247">
        <f t="shared" si="38"/>
        <v>9000</v>
      </c>
      <c r="O247">
        <f t="shared" si="41"/>
        <v>9000</v>
      </c>
      <c r="P247" s="3330">
        <f t="shared" si="41"/>
        <v>9000</v>
      </c>
      <c r="Q247" s="157">
        <f t="shared" si="45"/>
        <v>34800</v>
      </c>
      <c r="T247" s="380"/>
      <c r="U247" s="380"/>
    </row>
    <row r="248" spans="6:21" hidden="1">
      <c r="F248">
        <v>210</v>
      </c>
      <c r="I248" s="3324">
        <f t="shared" si="40"/>
        <v>10.999999999999979</v>
      </c>
      <c r="J248" s="1555">
        <f t="shared" si="42"/>
        <v>45678</v>
      </c>
      <c r="K248">
        <v>245</v>
      </c>
      <c r="L248" s="3323">
        <f t="shared" si="36"/>
        <v>429860</v>
      </c>
      <c r="M248" s="3329">
        <f t="shared" si="44"/>
        <v>8700</v>
      </c>
      <c r="N248">
        <f t="shared" si="38"/>
        <v>9000</v>
      </c>
      <c r="O248">
        <f t="shared" si="41"/>
        <v>9000</v>
      </c>
      <c r="P248" s="3330">
        <f t="shared" si="41"/>
        <v>9000</v>
      </c>
      <c r="Q248" s="157">
        <f t="shared" si="45"/>
        <v>43500</v>
      </c>
      <c r="T248" s="380"/>
      <c r="U248" s="380"/>
    </row>
    <row r="249" spans="6:21" hidden="1">
      <c r="F249">
        <v>211</v>
      </c>
      <c r="I249" s="3324">
        <f t="shared" si="40"/>
        <v>11.041666666666645</v>
      </c>
      <c r="J249" s="1555">
        <f t="shared" si="42"/>
        <v>45678</v>
      </c>
      <c r="K249">
        <v>246</v>
      </c>
      <c r="L249" s="3323">
        <f t="shared" si="36"/>
        <v>430160</v>
      </c>
      <c r="M249" s="3329">
        <f t="shared" si="44"/>
        <v>8700</v>
      </c>
      <c r="N249">
        <f t="shared" si="38"/>
        <v>9000</v>
      </c>
      <c r="O249">
        <f t="shared" si="41"/>
        <v>9000</v>
      </c>
      <c r="P249" s="3330">
        <f t="shared" si="41"/>
        <v>9000</v>
      </c>
      <c r="Q249" s="157">
        <f t="shared" si="45"/>
        <v>52200</v>
      </c>
    </row>
    <row r="250" spans="6:21" hidden="1">
      <c r="F250">
        <v>212</v>
      </c>
      <c r="I250" s="3324">
        <f t="shared" si="40"/>
        <v>11.083333333333311</v>
      </c>
      <c r="J250" s="1555">
        <f t="shared" si="42"/>
        <v>45678</v>
      </c>
      <c r="K250">
        <v>247</v>
      </c>
      <c r="L250" s="3323">
        <f t="shared" si="36"/>
        <v>430460</v>
      </c>
      <c r="M250" s="3329">
        <f t="shared" si="44"/>
        <v>8700</v>
      </c>
      <c r="N250">
        <f t="shared" si="38"/>
        <v>9000</v>
      </c>
      <c r="O250">
        <f t="shared" si="41"/>
        <v>9000</v>
      </c>
      <c r="P250" s="3330">
        <f t="shared" si="41"/>
        <v>9000</v>
      </c>
      <c r="Q250" s="157">
        <f t="shared" si="45"/>
        <v>60900</v>
      </c>
    </row>
    <row r="251" spans="6:21" hidden="1">
      <c r="F251">
        <v>213</v>
      </c>
      <c r="I251" s="3324">
        <f t="shared" si="40"/>
        <v>11.124999999999977</v>
      </c>
      <c r="J251" s="1555">
        <f t="shared" si="42"/>
        <v>45678</v>
      </c>
      <c r="K251">
        <v>248</v>
      </c>
      <c r="L251" s="3323">
        <f t="shared" si="36"/>
        <v>430760</v>
      </c>
      <c r="M251" s="3329">
        <f t="shared" si="44"/>
        <v>8700</v>
      </c>
      <c r="N251">
        <f t="shared" si="38"/>
        <v>9000</v>
      </c>
      <c r="O251">
        <f t="shared" si="41"/>
        <v>9000</v>
      </c>
      <c r="P251" s="3330">
        <f t="shared" si="41"/>
        <v>9000</v>
      </c>
      <c r="Q251" s="157">
        <f t="shared" si="45"/>
        <v>69600</v>
      </c>
    </row>
    <row r="252" spans="6:21" hidden="1">
      <c r="F252">
        <v>214</v>
      </c>
      <c r="I252" s="3324">
        <f t="shared" si="40"/>
        <v>11.166666666666643</v>
      </c>
      <c r="J252" s="1555">
        <f t="shared" si="42"/>
        <v>45678</v>
      </c>
      <c r="K252">
        <v>249</v>
      </c>
      <c r="L252" s="3323">
        <f t="shared" si="36"/>
        <v>431060</v>
      </c>
      <c r="M252" s="3329">
        <f t="shared" si="44"/>
        <v>8700</v>
      </c>
      <c r="N252">
        <f t="shared" si="38"/>
        <v>9000</v>
      </c>
      <c r="O252">
        <f t="shared" si="41"/>
        <v>9000</v>
      </c>
      <c r="P252" s="3330">
        <f t="shared" si="41"/>
        <v>9000</v>
      </c>
      <c r="Q252" s="157">
        <f t="shared" si="45"/>
        <v>78300</v>
      </c>
    </row>
    <row r="253" spans="6:21" hidden="1">
      <c r="F253">
        <v>215</v>
      </c>
      <c r="I253" s="3324">
        <f t="shared" si="40"/>
        <v>11.208333333333309</v>
      </c>
      <c r="J253" s="1555">
        <f t="shared" si="42"/>
        <v>45678</v>
      </c>
      <c r="K253">
        <v>250</v>
      </c>
      <c r="L253" s="3323">
        <f t="shared" si="36"/>
        <v>431360</v>
      </c>
      <c r="M253" s="3329">
        <f t="shared" si="44"/>
        <v>8700</v>
      </c>
      <c r="N253">
        <f t="shared" si="38"/>
        <v>9000</v>
      </c>
      <c r="O253">
        <f t="shared" si="41"/>
        <v>9000</v>
      </c>
      <c r="P253" s="3330">
        <f t="shared" si="41"/>
        <v>9000</v>
      </c>
      <c r="Q253" s="157">
        <f t="shared" si="45"/>
        <v>87000</v>
      </c>
    </row>
    <row r="254" spans="6:21" hidden="1">
      <c r="F254">
        <v>216</v>
      </c>
      <c r="I254" s="3324">
        <f t="shared" si="40"/>
        <v>11.249999999999975</v>
      </c>
      <c r="J254" s="1555">
        <f t="shared" si="42"/>
        <v>45678</v>
      </c>
      <c r="K254">
        <v>251</v>
      </c>
      <c r="L254" s="3323">
        <f t="shared" si="36"/>
        <v>431660</v>
      </c>
      <c r="M254" s="3329">
        <f t="shared" ref="M254:M291" si="46">+M253</f>
        <v>8700</v>
      </c>
      <c r="N254">
        <f t="shared" si="38"/>
        <v>9000</v>
      </c>
      <c r="O254">
        <f t="shared" si="41"/>
        <v>9000</v>
      </c>
      <c r="P254" s="3330">
        <f t="shared" si="41"/>
        <v>9000</v>
      </c>
      <c r="Q254" s="157">
        <f t="shared" si="45"/>
        <v>95700</v>
      </c>
    </row>
    <row r="255" spans="6:21" hidden="1">
      <c r="F255">
        <v>217</v>
      </c>
      <c r="I255" s="3324">
        <f t="shared" si="40"/>
        <v>11.291666666666641</v>
      </c>
      <c r="J255" s="1555">
        <f t="shared" si="42"/>
        <v>45678</v>
      </c>
      <c r="K255">
        <v>252</v>
      </c>
      <c r="L255" s="3323">
        <f t="shared" si="36"/>
        <v>431960</v>
      </c>
      <c r="M255" s="3329">
        <f t="shared" si="46"/>
        <v>8700</v>
      </c>
      <c r="N255">
        <f t="shared" si="38"/>
        <v>9000</v>
      </c>
      <c r="O255">
        <f t="shared" si="41"/>
        <v>9000</v>
      </c>
      <c r="P255" s="3330">
        <f t="shared" si="41"/>
        <v>9000</v>
      </c>
      <c r="Q255" s="157">
        <f t="shared" si="45"/>
        <v>104400</v>
      </c>
    </row>
    <row r="256" spans="6:21" hidden="1">
      <c r="F256">
        <v>218</v>
      </c>
      <c r="I256" s="3324">
        <f t="shared" si="40"/>
        <v>11.333333333333307</v>
      </c>
      <c r="J256" s="1555">
        <f t="shared" si="42"/>
        <v>45678</v>
      </c>
      <c r="K256">
        <v>253</v>
      </c>
      <c r="L256" s="3323">
        <f t="shared" si="36"/>
        <v>432260</v>
      </c>
      <c r="M256" s="3329">
        <f t="shared" si="46"/>
        <v>8700</v>
      </c>
      <c r="N256">
        <f t="shared" si="38"/>
        <v>9000</v>
      </c>
      <c r="O256">
        <f t="shared" si="41"/>
        <v>9000</v>
      </c>
      <c r="P256" s="3330">
        <f t="shared" si="41"/>
        <v>9000</v>
      </c>
      <c r="Q256" s="157">
        <f t="shared" si="45"/>
        <v>113100</v>
      </c>
    </row>
    <row r="257" spans="6:18" hidden="1">
      <c r="F257">
        <v>219</v>
      </c>
      <c r="I257" s="3324">
        <f t="shared" si="40"/>
        <v>11.374999999999973</v>
      </c>
      <c r="J257" s="1555">
        <f t="shared" si="42"/>
        <v>45678</v>
      </c>
      <c r="K257">
        <v>254</v>
      </c>
      <c r="L257" s="3323">
        <f t="shared" si="36"/>
        <v>432560</v>
      </c>
      <c r="M257" s="3329">
        <f t="shared" si="46"/>
        <v>8700</v>
      </c>
      <c r="N257">
        <f t="shared" si="38"/>
        <v>9000</v>
      </c>
      <c r="O257">
        <f t="shared" si="41"/>
        <v>9000</v>
      </c>
      <c r="P257" s="3330">
        <f t="shared" si="41"/>
        <v>9000</v>
      </c>
      <c r="Q257" s="157">
        <f t="shared" si="45"/>
        <v>121800</v>
      </c>
    </row>
    <row r="258" spans="6:18" hidden="1">
      <c r="F258">
        <v>220</v>
      </c>
      <c r="I258" s="3324">
        <f t="shared" si="40"/>
        <v>11.416666666666639</v>
      </c>
      <c r="J258" s="1555">
        <f t="shared" si="42"/>
        <v>45678</v>
      </c>
      <c r="K258">
        <v>255</v>
      </c>
      <c r="L258" s="3323">
        <f t="shared" si="36"/>
        <v>432860</v>
      </c>
      <c r="M258" s="3329">
        <f t="shared" si="46"/>
        <v>8700</v>
      </c>
      <c r="N258">
        <f t="shared" si="38"/>
        <v>9000</v>
      </c>
      <c r="O258">
        <f t="shared" si="41"/>
        <v>9000</v>
      </c>
      <c r="P258" s="3330">
        <f t="shared" si="41"/>
        <v>9000</v>
      </c>
      <c r="Q258" s="157">
        <f t="shared" si="45"/>
        <v>130500</v>
      </c>
    </row>
    <row r="259" spans="6:18" hidden="1">
      <c r="F259">
        <v>221</v>
      </c>
      <c r="I259" s="3324">
        <f t="shared" si="40"/>
        <v>11.458333333333306</v>
      </c>
      <c r="J259" s="1555">
        <f t="shared" si="42"/>
        <v>45678</v>
      </c>
      <c r="K259">
        <v>256</v>
      </c>
      <c r="L259" s="3323">
        <f t="shared" si="36"/>
        <v>433160</v>
      </c>
      <c r="M259" s="3329">
        <f t="shared" si="46"/>
        <v>8700</v>
      </c>
      <c r="N259">
        <f t="shared" si="38"/>
        <v>9000</v>
      </c>
      <c r="O259">
        <f t="shared" si="41"/>
        <v>9000</v>
      </c>
      <c r="P259" s="3330">
        <f t="shared" si="41"/>
        <v>9000</v>
      </c>
      <c r="Q259" s="157">
        <f t="shared" si="45"/>
        <v>139200</v>
      </c>
    </row>
    <row r="260" spans="6:18" hidden="1">
      <c r="F260">
        <v>222</v>
      </c>
      <c r="I260" s="3324">
        <f t="shared" si="40"/>
        <v>11.499999999999972</v>
      </c>
      <c r="J260" s="1555">
        <f t="shared" si="42"/>
        <v>45678</v>
      </c>
      <c r="K260">
        <v>257</v>
      </c>
      <c r="L260" s="3323">
        <f t="shared" ref="L260:L291" si="47">+L259-M260+N260</f>
        <v>433460</v>
      </c>
      <c r="M260" s="3329">
        <f t="shared" si="46"/>
        <v>8700</v>
      </c>
      <c r="N260">
        <f t="shared" si="38"/>
        <v>9000</v>
      </c>
      <c r="O260">
        <f t="shared" si="41"/>
        <v>9000</v>
      </c>
      <c r="P260" s="3330">
        <f t="shared" si="41"/>
        <v>9000</v>
      </c>
      <c r="Q260" s="157">
        <f t="shared" si="45"/>
        <v>147900</v>
      </c>
    </row>
    <row r="261" spans="6:18" hidden="1">
      <c r="F261">
        <v>223</v>
      </c>
      <c r="I261" s="3324">
        <f t="shared" si="40"/>
        <v>11.541666666666638</v>
      </c>
      <c r="J261" s="1555">
        <f t="shared" si="42"/>
        <v>45678</v>
      </c>
      <c r="K261">
        <v>258</v>
      </c>
      <c r="L261" s="3323">
        <f t="shared" si="47"/>
        <v>433760</v>
      </c>
      <c r="M261" s="3329">
        <f t="shared" si="46"/>
        <v>8700</v>
      </c>
      <c r="N261">
        <f t="shared" ref="N261:N291" si="48">IF(P261=0,P261,O261)</f>
        <v>9000</v>
      </c>
      <c r="O261">
        <f t="shared" si="41"/>
        <v>9000</v>
      </c>
      <c r="P261" s="3330">
        <f t="shared" si="41"/>
        <v>9000</v>
      </c>
      <c r="Q261" s="157">
        <f t="shared" si="45"/>
        <v>156600</v>
      </c>
      <c r="R261" s="3327"/>
    </row>
    <row r="262" spans="6:18" hidden="1">
      <c r="F262">
        <v>224</v>
      </c>
      <c r="I262" s="3324">
        <f t="shared" ref="I262:I291" si="49">+I261+1/24</f>
        <v>11.583333333333304</v>
      </c>
      <c r="J262" s="1555">
        <f t="shared" si="42"/>
        <v>45678</v>
      </c>
      <c r="K262">
        <v>259</v>
      </c>
      <c r="L262" s="3323">
        <f t="shared" si="47"/>
        <v>434060</v>
      </c>
      <c r="M262" s="3329">
        <f t="shared" si="46"/>
        <v>8700</v>
      </c>
      <c r="N262">
        <f t="shared" si="48"/>
        <v>9000</v>
      </c>
      <c r="O262">
        <f t="shared" si="41"/>
        <v>9000</v>
      </c>
      <c r="P262" s="3330">
        <f t="shared" si="41"/>
        <v>9000</v>
      </c>
      <c r="Q262" s="157">
        <f t="shared" si="45"/>
        <v>165300</v>
      </c>
      <c r="R262" s="3327"/>
    </row>
    <row r="263" spans="6:18" hidden="1">
      <c r="F263">
        <v>225</v>
      </c>
      <c r="I263" s="3324">
        <f t="shared" si="49"/>
        <v>11.62499999999997</v>
      </c>
      <c r="J263" s="1555">
        <f t="shared" si="42"/>
        <v>45678</v>
      </c>
      <c r="K263">
        <v>260</v>
      </c>
      <c r="L263" s="3323">
        <f t="shared" si="47"/>
        <v>434360</v>
      </c>
      <c r="M263" s="3329">
        <f t="shared" si="46"/>
        <v>8700</v>
      </c>
      <c r="N263">
        <f t="shared" si="48"/>
        <v>9000</v>
      </c>
      <c r="O263">
        <f t="shared" si="41"/>
        <v>9000</v>
      </c>
      <c r="P263" s="3330">
        <f t="shared" si="41"/>
        <v>9000</v>
      </c>
      <c r="Q263" s="157">
        <f t="shared" si="45"/>
        <v>174000</v>
      </c>
      <c r="R263" s="3327"/>
    </row>
    <row r="264" spans="6:18" hidden="1">
      <c r="F264">
        <v>226</v>
      </c>
      <c r="I264" s="3324">
        <f t="shared" si="49"/>
        <v>11.666666666666636</v>
      </c>
      <c r="J264" s="1555">
        <f t="shared" si="42"/>
        <v>45678</v>
      </c>
      <c r="K264">
        <v>261</v>
      </c>
      <c r="L264" s="3323">
        <f t="shared" si="47"/>
        <v>434660</v>
      </c>
      <c r="M264" s="3329">
        <f t="shared" si="46"/>
        <v>8700</v>
      </c>
      <c r="N264">
        <f t="shared" si="48"/>
        <v>9000</v>
      </c>
      <c r="O264">
        <f t="shared" si="41"/>
        <v>9000</v>
      </c>
      <c r="P264" s="3330">
        <f t="shared" si="41"/>
        <v>9000</v>
      </c>
      <c r="Q264" s="157">
        <f t="shared" si="45"/>
        <v>182700</v>
      </c>
      <c r="R264" s="3327"/>
    </row>
    <row r="265" spans="6:18" hidden="1">
      <c r="F265">
        <v>227</v>
      </c>
      <c r="I265" s="3324">
        <f t="shared" si="49"/>
        <v>11.708333333333302</v>
      </c>
      <c r="J265" s="1555">
        <f t="shared" si="42"/>
        <v>45678</v>
      </c>
      <c r="K265">
        <v>262</v>
      </c>
      <c r="L265" s="3323">
        <f t="shared" si="47"/>
        <v>434960</v>
      </c>
      <c r="M265" s="3329">
        <f t="shared" si="46"/>
        <v>8700</v>
      </c>
      <c r="N265">
        <f t="shared" si="48"/>
        <v>9000</v>
      </c>
      <c r="O265">
        <f t="shared" si="41"/>
        <v>9000</v>
      </c>
      <c r="P265" s="3330">
        <f t="shared" si="41"/>
        <v>9000</v>
      </c>
      <c r="Q265" s="157">
        <f t="shared" si="45"/>
        <v>191400</v>
      </c>
      <c r="R265" s="3327"/>
    </row>
    <row r="266" spans="6:18" hidden="1">
      <c r="F266">
        <v>228</v>
      </c>
      <c r="I266" s="3324">
        <f t="shared" si="49"/>
        <v>11.749999999999968</v>
      </c>
      <c r="J266" s="1555">
        <f t="shared" si="42"/>
        <v>45678</v>
      </c>
      <c r="K266">
        <v>263</v>
      </c>
      <c r="L266" s="3323">
        <f t="shared" si="47"/>
        <v>435260</v>
      </c>
      <c r="M266" s="3329">
        <f t="shared" si="46"/>
        <v>8700</v>
      </c>
      <c r="N266">
        <f t="shared" si="48"/>
        <v>9000</v>
      </c>
      <c r="O266">
        <f t="shared" si="41"/>
        <v>9000</v>
      </c>
      <c r="P266" s="3330">
        <f t="shared" si="41"/>
        <v>9000</v>
      </c>
      <c r="Q266" s="157">
        <f t="shared" si="45"/>
        <v>200100</v>
      </c>
      <c r="R266" s="3327"/>
    </row>
    <row r="267" spans="6:18" hidden="1">
      <c r="F267">
        <v>229</v>
      </c>
      <c r="I267" s="3324">
        <f t="shared" si="49"/>
        <v>11.791666666666634</v>
      </c>
      <c r="J267" s="1555">
        <f t="shared" si="42"/>
        <v>45678</v>
      </c>
      <c r="K267">
        <v>264</v>
      </c>
      <c r="L267" s="3323">
        <f t="shared" si="47"/>
        <v>435560</v>
      </c>
      <c r="M267" s="3329">
        <f t="shared" si="46"/>
        <v>8700</v>
      </c>
      <c r="N267">
        <f t="shared" si="48"/>
        <v>9000</v>
      </c>
      <c r="O267">
        <f t="shared" si="41"/>
        <v>9000</v>
      </c>
      <c r="P267" s="3330">
        <f t="shared" si="41"/>
        <v>9000</v>
      </c>
      <c r="Q267" s="157">
        <f t="shared" si="45"/>
        <v>208800</v>
      </c>
      <c r="R267" s="3327">
        <f>+Q267</f>
        <v>208800</v>
      </c>
    </row>
    <row r="268" spans="6:18" hidden="1">
      <c r="F268">
        <v>230</v>
      </c>
      <c r="I268" s="3324">
        <f t="shared" si="49"/>
        <v>11.8333333333333</v>
      </c>
      <c r="J268" s="1555">
        <f>+J267+1</f>
        <v>45679</v>
      </c>
      <c r="K268">
        <v>265</v>
      </c>
      <c r="L268" s="3323">
        <f t="shared" si="47"/>
        <v>435860</v>
      </c>
      <c r="M268" s="3329">
        <f t="shared" si="46"/>
        <v>8700</v>
      </c>
      <c r="N268">
        <f t="shared" si="48"/>
        <v>9000</v>
      </c>
      <c r="O268">
        <f t="shared" si="41"/>
        <v>9000</v>
      </c>
      <c r="P268" s="3330">
        <f t="shared" si="41"/>
        <v>9000</v>
      </c>
      <c r="Q268" s="157">
        <f>+M268</f>
        <v>8700</v>
      </c>
    </row>
    <row r="269" spans="6:18" hidden="1">
      <c r="F269">
        <v>231</v>
      </c>
      <c r="I269" s="3324">
        <f t="shared" si="49"/>
        <v>11.874999999999966</v>
      </c>
      <c r="J269" s="1555">
        <f t="shared" si="42"/>
        <v>45679</v>
      </c>
      <c r="K269">
        <v>266</v>
      </c>
      <c r="L269" s="3323">
        <f t="shared" si="47"/>
        <v>436160</v>
      </c>
      <c r="M269" s="3329">
        <f t="shared" si="46"/>
        <v>8700</v>
      </c>
      <c r="N269">
        <f t="shared" si="48"/>
        <v>9000</v>
      </c>
      <c r="O269">
        <f t="shared" si="41"/>
        <v>9000</v>
      </c>
      <c r="P269" s="3330">
        <f t="shared" si="41"/>
        <v>9000</v>
      </c>
      <c r="Q269" s="157">
        <f t="shared" ref="Q269:Q291" si="50">+Q268+M269</f>
        <v>17400</v>
      </c>
    </row>
    <row r="270" spans="6:18" hidden="1">
      <c r="F270">
        <v>232</v>
      </c>
      <c r="I270" s="3324">
        <f t="shared" si="49"/>
        <v>11.916666666666632</v>
      </c>
      <c r="J270" s="1555">
        <f t="shared" si="42"/>
        <v>45679</v>
      </c>
      <c r="K270">
        <v>267</v>
      </c>
      <c r="L270" s="3323">
        <f t="shared" si="47"/>
        <v>436460</v>
      </c>
      <c r="M270" s="3329">
        <f t="shared" si="46"/>
        <v>8700</v>
      </c>
      <c r="N270">
        <f t="shared" si="48"/>
        <v>9000</v>
      </c>
      <c r="O270">
        <f t="shared" ref="O270:P291" si="51">+O269</f>
        <v>9000</v>
      </c>
      <c r="P270" s="3330">
        <f t="shared" si="51"/>
        <v>9000</v>
      </c>
      <c r="Q270" s="157">
        <f t="shared" si="50"/>
        <v>26100</v>
      </c>
    </row>
    <row r="271" spans="6:18" hidden="1">
      <c r="F271">
        <v>233</v>
      </c>
      <c r="I271" s="3324">
        <f t="shared" si="49"/>
        <v>11.958333333333298</v>
      </c>
      <c r="J271" s="1555">
        <f t="shared" si="42"/>
        <v>45679</v>
      </c>
      <c r="K271">
        <v>268</v>
      </c>
      <c r="L271" s="3323">
        <f t="shared" si="47"/>
        <v>436760</v>
      </c>
      <c r="M271" s="3329">
        <f t="shared" si="46"/>
        <v>8700</v>
      </c>
      <c r="N271">
        <f t="shared" si="48"/>
        <v>9000</v>
      </c>
      <c r="O271">
        <f t="shared" si="51"/>
        <v>9000</v>
      </c>
      <c r="P271" s="3330">
        <f t="shared" si="51"/>
        <v>9000</v>
      </c>
      <c r="Q271" s="157">
        <f t="shared" si="50"/>
        <v>34800</v>
      </c>
    </row>
    <row r="272" spans="6:18" hidden="1">
      <c r="F272">
        <v>234</v>
      </c>
      <c r="I272" s="3324">
        <f t="shared" si="49"/>
        <v>11.999999999999964</v>
      </c>
      <c r="J272" s="1555">
        <f t="shared" si="42"/>
        <v>45679</v>
      </c>
      <c r="K272">
        <v>269</v>
      </c>
      <c r="L272" s="3323">
        <f t="shared" si="47"/>
        <v>437060</v>
      </c>
      <c r="M272" s="3329">
        <f t="shared" si="46"/>
        <v>8700</v>
      </c>
      <c r="N272">
        <f t="shared" si="48"/>
        <v>9000</v>
      </c>
      <c r="O272">
        <f t="shared" si="51"/>
        <v>9000</v>
      </c>
      <c r="P272" s="3330">
        <f t="shared" si="51"/>
        <v>9000</v>
      </c>
      <c r="Q272" s="157">
        <f t="shared" si="50"/>
        <v>43500</v>
      </c>
    </row>
    <row r="273" spans="6:18" hidden="1">
      <c r="F273">
        <v>235</v>
      </c>
      <c r="I273" s="3324">
        <f t="shared" si="49"/>
        <v>12.041666666666631</v>
      </c>
      <c r="J273" s="1555">
        <f t="shared" si="42"/>
        <v>45679</v>
      </c>
      <c r="K273">
        <v>270</v>
      </c>
      <c r="L273" s="3323">
        <f t="shared" si="47"/>
        <v>437360</v>
      </c>
      <c r="M273" s="3329">
        <f t="shared" si="46"/>
        <v>8700</v>
      </c>
      <c r="N273">
        <f t="shared" si="48"/>
        <v>9000</v>
      </c>
      <c r="O273">
        <f t="shared" si="51"/>
        <v>9000</v>
      </c>
      <c r="P273" s="3330">
        <f t="shared" si="51"/>
        <v>9000</v>
      </c>
      <c r="Q273" s="157">
        <f t="shared" si="50"/>
        <v>52200</v>
      </c>
    </row>
    <row r="274" spans="6:18" hidden="1">
      <c r="F274">
        <v>236</v>
      </c>
      <c r="I274" s="3324">
        <f t="shared" si="49"/>
        <v>12.083333333333297</v>
      </c>
      <c r="J274" s="1555">
        <f t="shared" si="42"/>
        <v>45679</v>
      </c>
      <c r="K274">
        <v>271</v>
      </c>
      <c r="L274" s="3323">
        <f t="shared" si="47"/>
        <v>437660</v>
      </c>
      <c r="M274" s="3329">
        <f t="shared" si="46"/>
        <v>8700</v>
      </c>
      <c r="N274">
        <f t="shared" si="48"/>
        <v>9000</v>
      </c>
      <c r="O274">
        <f t="shared" si="51"/>
        <v>9000</v>
      </c>
      <c r="P274" s="3330">
        <f t="shared" si="51"/>
        <v>9000</v>
      </c>
      <c r="Q274" s="157">
        <f t="shared" si="50"/>
        <v>60900</v>
      </c>
    </row>
    <row r="275" spans="6:18" hidden="1">
      <c r="F275">
        <v>237</v>
      </c>
      <c r="I275" s="3324">
        <f t="shared" si="49"/>
        <v>12.124999999999963</v>
      </c>
      <c r="J275" s="1555">
        <f t="shared" si="42"/>
        <v>45679</v>
      </c>
      <c r="K275">
        <v>272</v>
      </c>
      <c r="L275" s="3323">
        <f t="shared" si="47"/>
        <v>437960</v>
      </c>
      <c r="M275" s="3329">
        <f t="shared" si="46"/>
        <v>8700</v>
      </c>
      <c r="N275">
        <f t="shared" si="48"/>
        <v>9000</v>
      </c>
      <c r="O275">
        <f t="shared" si="51"/>
        <v>9000</v>
      </c>
      <c r="P275" s="3330">
        <f t="shared" si="51"/>
        <v>9000</v>
      </c>
      <c r="Q275" s="157">
        <f t="shared" si="50"/>
        <v>69600</v>
      </c>
    </row>
    <row r="276" spans="6:18" hidden="1">
      <c r="F276">
        <v>238</v>
      </c>
      <c r="I276" s="3324">
        <f t="shared" si="49"/>
        <v>12.166666666666629</v>
      </c>
      <c r="J276" s="1555">
        <f t="shared" si="42"/>
        <v>45679</v>
      </c>
      <c r="K276">
        <v>273</v>
      </c>
      <c r="L276" s="3323">
        <f t="shared" si="47"/>
        <v>438260</v>
      </c>
      <c r="M276" s="3329">
        <f t="shared" si="46"/>
        <v>8700</v>
      </c>
      <c r="N276">
        <f t="shared" si="48"/>
        <v>9000</v>
      </c>
      <c r="O276">
        <f t="shared" si="51"/>
        <v>9000</v>
      </c>
      <c r="P276" s="3330">
        <f t="shared" si="51"/>
        <v>9000</v>
      </c>
      <c r="Q276" s="157">
        <f t="shared" si="50"/>
        <v>78300</v>
      </c>
    </row>
    <row r="277" spans="6:18" hidden="1">
      <c r="F277">
        <v>239</v>
      </c>
      <c r="I277" s="3324">
        <f t="shared" si="49"/>
        <v>12.208333333333295</v>
      </c>
      <c r="J277" s="1555">
        <f t="shared" si="42"/>
        <v>45679</v>
      </c>
      <c r="K277">
        <v>274</v>
      </c>
      <c r="L277" s="3323">
        <f t="shared" si="47"/>
        <v>438560</v>
      </c>
      <c r="M277" s="3329">
        <f t="shared" si="46"/>
        <v>8700</v>
      </c>
      <c r="N277">
        <f t="shared" si="48"/>
        <v>9000</v>
      </c>
      <c r="O277">
        <f t="shared" si="51"/>
        <v>9000</v>
      </c>
      <c r="P277" s="3330">
        <f t="shared" si="51"/>
        <v>9000</v>
      </c>
      <c r="Q277" s="157">
        <f t="shared" si="50"/>
        <v>87000</v>
      </c>
    </row>
    <row r="278" spans="6:18" hidden="1">
      <c r="F278">
        <v>240</v>
      </c>
      <c r="I278" s="3324">
        <f t="shared" si="49"/>
        <v>12.249999999999961</v>
      </c>
      <c r="J278" s="1555">
        <f t="shared" si="42"/>
        <v>45679</v>
      </c>
      <c r="K278">
        <v>275</v>
      </c>
      <c r="L278" s="3323">
        <f t="shared" si="47"/>
        <v>438860</v>
      </c>
      <c r="M278" s="3329">
        <f t="shared" si="46"/>
        <v>8700</v>
      </c>
      <c r="N278">
        <f t="shared" si="48"/>
        <v>9000</v>
      </c>
      <c r="O278">
        <f t="shared" si="51"/>
        <v>9000</v>
      </c>
      <c r="P278" s="3330">
        <f t="shared" si="51"/>
        <v>9000</v>
      </c>
      <c r="Q278" s="157">
        <f t="shared" si="50"/>
        <v>95700</v>
      </c>
    </row>
    <row r="279" spans="6:18" hidden="1">
      <c r="F279">
        <v>241</v>
      </c>
      <c r="I279" s="3324">
        <f t="shared" si="49"/>
        <v>12.291666666666627</v>
      </c>
      <c r="J279" s="1555">
        <f t="shared" si="42"/>
        <v>45679</v>
      </c>
      <c r="K279">
        <v>276</v>
      </c>
      <c r="L279" s="3323">
        <f t="shared" si="47"/>
        <v>439160</v>
      </c>
      <c r="M279" s="3329">
        <f t="shared" si="46"/>
        <v>8700</v>
      </c>
      <c r="N279">
        <f t="shared" si="48"/>
        <v>9000</v>
      </c>
      <c r="O279">
        <f t="shared" si="51"/>
        <v>9000</v>
      </c>
      <c r="P279" s="3330">
        <f t="shared" si="51"/>
        <v>9000</v>
      </c>
      <c r="Q279" s="157">
        <f t="shared" si="50"/>
        <v>104400</v>
      </c>
    </row>
    <row r="280" spans="6:18" hidden="1">
      <c r="F280">
        <v>242</v>
      </c>
      <c r="I280" s="3324">
        <f t="shared" si="49"/>
        <v>12.333333333333293</v>
      </c>
      <c r="J280" s="1555">
        <f t="shared" si="42"/>
        <v>45679</v>
      </c>
      <c r="K280">
        <v>277</v>
      </c>
      <c r="L280" s="3323">
        <f t="shared" si="47"/>
        <v>439460</v>
      </c>
      <c r="M280" s="3329">
        <f t="shared" si="46"/>
        <v>8700</v>
      </c>
      <c r="N280">
        <f t="shared" si="48"/>
        <v>9000</v>
      </c>
      <c r="O280">
        <f t="shared" si="51"/>
        <v>9000</v>
      </c>
      <c r="P280" s="3330">
        <f t="shared" si="51"/>
        <v>9000</v>
      </c>
      <c r="Q280" s="157">
        <f t="shared" si="50"/>
        <v>113100</v>
      </c>
    </row>
    <row r="281" spans="6:18" hidden="1">
      <c r="F281">
        <v>243</v>
      </c>
      <c r="I281" s="3324">
        <f t="shared" si="49"/>
        <v>12.374999999999959</v>
      </c>
      <c r="J281" s="1555">
        <f t="shared" si="42"/>
        <v>45679</v>
      </c>
      <c r="K281">
        <v>278</v>
      </c>
      <c r="L281" s="3323">
        <f t="shared" si="47"/>
        <v>439760</v>
      </c>
      <c r="M281" s="3329">
        <f t="shared" si="46"/>
        <v>8700</v>
      </c>
      <c r="N281">
        <f t="shared" si="48"/>
        <v>9000</v>
      </c>
      <c r="O281">
        <f t="shared" si="51"/>
        <v>9000</v>
      </c>
      <c r="P281" s="3330">
        <f t="shared" si="51"/>
        <v>9000</v>
      </c>
      <c r="Q281" s="157">
        <f t="shared" si="50"/>
        <v>121800</v>
      </c>
    </row>
    <row r="282" spans="6:18" hidden="1">
      <c r="F282">
        <v>244</v>
      </c>
      <c r="I282" s="3324">
        <f t="shared" si="49"/>
        <v>12.416666666666625</v>
      </c>
      <c r="J282" s="1555">
        <f t="shared" si="42"/>
        <v>45679</v>
      </c>
      <c r="K282">
        <v>279</v>
      </c>
      <c r="L282" s="3323">
        <f t="shared" si="47"/>
        <v>440060</v>
      </c>
      <c r="M282" s="3329">
        <f t="shared" si="46"/>
        <v>8700</v>
      </c>
      <c r="N282">
        <f t="shared" si="48"/>
        <v>9000</v>
      </c>
      <c r="O282">
        <f t="shared" si="51"/>
        <v>9000</v>
      </c>
      <c r="P282" s="3330">
        <f t="shared" si="51"/>
        <v>9000</v>
      </c>
      <c r="Q282" s="157">
        <f t="shared" si="50"/>
        <v>130500</v>
      </c>
    </row>
    <row r="283" spans="6:18" hidden="1">
      <c r="F283">
        <v>245</v>
      </c>
      <c r="I283" s="3324">
        <f t="shared" si="49"/>
        <v>12.458333333333291</v>
      </c>
      <c r="J283" s="1555">
        <f t="shared" si="42"/>
        <v>45679</v>
      </c>
      <c r="K283">
        <v>280</v>
      </c>
      <c r="L283" s="3323">
        <f t="shared" si="47"/>
        <v>440360</v>
      </c>
      <c r="M283" s="3329">
        <f t="shared" si="46"/>
        <v>8700</v>
      </c>
      <c r="N283">
        <f t="shared" si="48"/>
        <v>9000</v>
      </c>
      <c r="O283">
        <f t="shared" si="51"/>
        <v>9000</v>
      </c>
      <c r="P283" s="3330">
        <f t="shared" si="51"/>
        <v>9000</v>
      </c>
      <c r="Q283" s="157">
        <f t="shared" si="50"/>
        <v>139200</v>
      </c>
    </row>
    <row r="284" spans="6:18" hidden="1">
      <c r="F284">
        <v>246</v>
      </c>
      <c r="I284" s="3324">
        <f t="shared" si="49"/>
        <v>12.499999999999957</v>
      </c>
      <c r="J284" s="1555">
        <f t="shared" si="42"/>
        <v>45679</v>
      </c>
      <c r="K284">
        <v>281</v>
      </c>
      <c r="L284" s="3323">
        <f t="shared" si="47"/>
        <v>440660</v>
      </c>
      <c r="M284" s="3329">
        <f t="shared" si="46"/>
        <v>8700</v>
      </c>
      <c r="N284">
        <f t="shared" si="48"/>
        <v>9000</v>
      </c>
      <c r="O284">
        <f t="shared" si="51"/>
        <v>9000</v>
      </c>
      <c r="P284" s="3330">
        <f t="shared" si="51"/>
        <v>9000</v>
      </c>
      <c r="Q284" s="157">
        <f t="shared" si="50"/>
        <v>147900</v>
      </c>
    </row>
    <row r="285" spans="6:18" hidden="1">
      <c r="F285">
        <v>247</v>
      </c>
      <c r="I285" s="3324">
        <f t="shared" si="49"/>
        <v>12.541666666666623</v>
      </c>
      <c r="J285" s="1555">
        <f t="shared" ref="J285:J291" si="52">+J284</f>
        <v>45679</v>
      </c>
      <c r="K285">
        <v>282</v>
      </c>
      <c r="L285" s="3323">
        <f t="shared" si="47"/>
        <v>440960</v>
      </c>
      <c r="M285" s="3329">
        <f t="shared" si="46"/>
        <v>8700</v>
      </c>
      <c r="N285">
        <f t="shared" si="48"/>
        <v>9000</v>
      </c>
      <c r="O285">
        <f t="shared" si="51"/>
        <v>9000</v>
      </c>
      <c r="P285" s="3330">
        <f t="shared" si="51"/>
        <v>9000</v>
      </c>
      <c r="Q285" s="157">
        <f t="shared" si="50"/>
        <v>156600</v>
      </c>
      <c r="R285" s="3327"/>
    </row>
    <row r="286" spans="6:18" hidden="1">
      <c r="F286">
        <v>248</v>
      </c>
      <c r="I286" s="3324">
        <f t="shared" si="49"/>
        <v>12.58333333333329</v>
      </c>
      <c r="J286" s="1555">
        <f t="shared" si="52"/>
        <v>45679</v>
      </c>
      <c r="K286">
        <v>283</v>
      </c>
      <c r="L286" s="3323">
        <f t="shared" si="47"/>
        <v>441260</v>
      </c>
      <c r="M286" s="3329">
        <f t="shared" si="46"/>
        <v>8700</v>
      </c>
      <c r="N286">
        <f t="shared" si="48"/>
        <v>9000</v>
      </c>
      <c r="O286">
        <f t="shared" si="51"/>
        <v>9000</v>
      </c>
      <c r="P286" s="3330">
        <f t="shared" si="51"/>
        <v>9000</v>
      </c>
      <c r="Q286" s="157">
        <f t="shared" si="50"/>
        <v>165300</v>
      </c>
      <c r="R286" s="3327"/>
    </row>
    <row r="287" spans="6:18" hidden="1">
      <c r="F287">
        <v>249</v>
      </c>
      <c r="I287" s="3324">
        <f t="shared" si="49"/>
        <v>12.624999999999956</v>
      </c>
      <c r="J287" s="1555">
        <f t="shared" si="52"/>
        <v>45679</v>
      </c>
      <c r="K287">
        <v>284</v>
      </c>
      <c r="L287" s="3323">
        <f t="shared" si="47"/>
        <v>441560</v>
      </c>
      <c r="M287" s="3329">
        <f t="shared" si="46"/>
        <v>8700</v>
      </c>
      <c r="N287">
        <f t="shared" si="48"/>
        <v>9000</v>
      </c>
      <c r="O287">
        <f t="shared" si="51"/>
        <v>9000</v>
      </c>
      <c r="P287" s="3330">
        <f t="shared" si="51"/>
        <v>9000</v>
      </c>
      <c r="Q287" s="157">
        <f t="shared" si="50"/>
        <v>174000</v>
      </c>
      <c r="R287" s="3327"/>
    </row>
    <row r="288" spans="6:18" hidden="1">
      <c r="F288">
        <v>250</v>
      </c>
      <c r="I288" s="3324">
        <f t="shared" si="49"/>
        <v>12.666666666666622</v>
      </c>
      <c r="J288" s="1555">
        <f t="shared" si="52"/>
        <v>45679</v>
      </c>
      <c r="K288">
        <v>285</v>
      </c>
      <c r="L288" s="3323">
        <f t="shared" si="47"/>
        <v>441860</v>
      </c>
      <c r="M288" s="3329">
        <f t="shared" si="46"/>
        <v>8700</v>
      </c>
      <c r="N288">
        <f t="shared" si="48"/>
        <v>9000</v>
      </c>
      <c r="O288">
        <f t="shared" si="51"/>
        <v>9000</v>
      </c>
      <c r="P288" s="3330">
        <f t="shared" si="51"/>
        <v>9000</v>
      </c>
      <c r="Q288" s="157">
        <f t="shared" si="50"/>
        <v>182700</v>
      </c>
      <c r="R288" s="3327"/>
    </row>
    <row r="289" spans="6:18" hidden="1">
      <c r="F289">
        <v>251</v>
      </c>
      <c r="I289" s="3324">
        <f t="shared" si="49"/>
        <v>12.708333333333288</v>
      </c>
      <c r="J289" s="1555">
        <f t="shared" si="52"/>
        <v>45679</v>
      </c>
      <c r="K289">
        <v>286</v>
      </c>
      <c r="L289" s="3323">
        <f t="shared" si="47"/>
        <v>442160</v>
      </c>
      <c r="M289" s="3329">
        <f t="shared" si="46"/>
        <v>8700</v>
      </c>
      <c r="N289">
        <f t="shared" si="48"/>
        <v>9000</v>
      </c>
      <c r="O289">
        <f t="shared" si="51"/>
        <v>9000</v>
      </c>
      <c r="P289" s="3330">
        <f t="shared" si="51"/>
        <v>9000</v>
      </c>
      <c r="Q289" s="157">
        <f t="shared" si="50"/>
        <v>191400</v>
      </c>
      <c r="R289" s="3327"/>
    </row>
    <row r="290" spans="6:18" hidden="1">
      <c r="F290">
        <v>252</v>
      </c>
      <c r="I290" s="3324">
        <f t="shared" si="49"/>
        <v>12.749999999999954</v>
      </c>
      <c r="J290" s="1555">
        <f t="shared" si="52"/>
        <v>45679</v>
      </c>
      <c r="K290">
        <v>287</v>
      </c>
      <c r="L290" s="3323">
        <f t="shared" si="47"/>
        <v>442460</v>
      </c>
      <c r="M290" s="3329">
        <f t="shared" si="46"/>
        <v>8700</v>
      </c>
      <c r="N290">
        <f t="shared" si="48"/>
        <v>9000</v>
      </c>
      <c r="O290">
        <f t="shared" si="51"/>
        <v>9000</v>
      </c>
      <c r="P290" s="3330">
        <f t="shared" si="51"/>
        <v>9000</v>
      </c>
      <c r="Q290" s="157">
        <f t="shared" si="50"/>
        <v>200100</v>
      </c>
      <c r="R290" s="3327"/>
    </row>
    <row r="291" spans="6:18" hidden="1">
      <c r="F291">
        <v>253</v>
      </c>
      <c r="I291" s="3324">
        <f t="shared" si="49"/>
        <v>12.79166666666662</v>
      </c>
      <c r="J291" s="1555">
        <f t="shared" si="52"/>
        <v>45679</v>
      </c>
      <c r="K291">
        <v>288</v>
      </c>
      <c r="L291" s="3323">
        <f t="shared" si="47"/>
        <v>442760</v>
      </c>
      <c r="M291" s="3329">
        <f t="shared" si="46"/>
        <v>8700</v>
      </c>
      <c r="N291">
        <f t="shared" si="48"/>
        <v>9000</v>
      </c>
      <c r="O291">
        <f t="shared" si="51"/>
        <v>9000</v>
      </c>
      <c r="P291" s="3330">
        <f t="shared" si="51"/>
        <v>9000</v>
      </c>
      <c r="Q291" s="157">
        <f t="shared" si="50"/>
        <v>208800</v>
      </c>
      <c r="R291" s="3327">
        <f>+Q291</f>
        <v>208800</v>
      </c>
    </row>
    <row r="292" spans="6:18" hidden="1">
      <c r="F292">
        <v>254</v>
      </c>
    </row>
    <row r="293" spans="6:18" hidden="1">
      <c r="F293">
        <v>255</v>
      </c>
    </row>
    <row r="294" spans="6:18" hidden="1">
      <c r="F294">
        <v>256</v>
      </c>
    </row>
    <row r="295" spans="6:18" hidden="1"/>
    <row r="301" spans="6:18">
      <c r="M301">
        <v>250</v>
      </c>
    </row>
    <row r="302" spans="6:18">
      <c r="M302">
        <v>370</v>
      </c>
    </row>
  </sheetData>
  <mergeCells count="1">
    <mergeCell ref="A38:E38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A5C4-2AFC-4CC3-8F49-A8203B5AD347}">
  <dimension ref="A1:DY66"/>
  <sheetViews>
    <sheetView topLeftCell="BZ1" zoomScale="85" zoomScaleNormal="85" workbookViewId="0">
      <selection activeCell="CP36" sqref="CP36"/>
    </sheetView>
  </sheetViews>
  <sheetFormatPr baseColWidth="10" defaultColWidth="10.81640625" defaultRowHeight="14" outlineLevelCol="1"/>
  <cols>
    <col min="1" max="1" width="3.1796875" style="3810" bestFit="1" customWidth="1"/>
    <col min="2" max="2" width="16.81640625" style="3810" customWidth="1"/>
    <col min="3" max="3" width="9.1796875" style="3810" bestFit="1" customWidth="1"/>
    <col min="4" max="4" width="6.453125" style="3810" bestFit="1" customWidth="1"/>
    <col min="5" max="5" width="7.81640625" style="3810" customWidth="1"/>
    <col min="6" max="6" width="5.81640625" style="3810" bestFit="1" customWidth="1"/>
    <col min="7" max="7" width="6.54296875" style="3810" bestFit="1" customWidth="1"/>
    <col min="8" max="8" width="6.81640625" style="3810" bestFit="1" customWidth="1"/>
    <col min="9" max="9" width="4.81640625" style="3810" bestFit="1" customWidth="1"/>
    <col min="10" max="10" width="6.81640625" style="3810" bestFit="1" customWidth="1"/>
    <col min="11" max="11" width="9.1796875" style="3810" bestFit="1" customWidth="1"/>
    <col min="12" max="12" width="5.81640625" style="3810" bestFit="1" customWidth="1"/>
    <col min="13" max="16" width="7.453125" style="3810" bestFit="1" customWidth="1"/>
    <col min="17" max="17" width="8.81640625" style="3810" customWidth="1"/>
    <col min="18" max="21" width="9.81640625" style="3810" bestFit="1" customWidth="1"/>
    <col min="22" max="22" width="6.81640625" style="3810" bestFit="1" customWidth="1"/>
    <col min="23" max="23" width="12.1796875" style="3810" bestFit="1" customWidth="1"/>
    <col min="24" max="27" width="9.81640625" style="3810" bestFit="1" customWidth="1"/>
    <col min="28" max="28" width="6.81640625" style="3810" bestFit="1" customWidth="1"/>
    <col min="29" max="29" width="2" style="3810" customWidth="1" outlineLevel="1"/>
    <col min="30" max="30" width="6.453125" style="3810" customWidth="1" outlineLevel="1"/>
    <col min="31" max="32" width="6.81640625" style="3810" customWidth="1" outlineLevel="1"/>
    <col min="33" max="33" width="7.453125" style="3810" customWidth="1" outlineLevel="1"/>
    <col min="34" max="35" width="6.81640625" style="3810" customWidth="1" outlineLevel="1"/>
    <col min="36" max="36" width="5.81640625" style="3810" customWidth="1" outlineLevel="1"/>
    <col min="37" max="37" width="6.453125" style="3810" customWidth="1" outlineLevel="1"/>
    <col min="38" max="38" width="12.81640625" style="3810" customWidth="1" outlineLevel="1"/>
    <col min="39" max="39" width="3.81640625" style="3810" customWidth="1" outlineLevel="1"/>
    <col min="40" max="79" width="10.81640625" style="3810" customWidth="1" outlineLevel="1"/>
    <col min="80" max="80" width="17.81640625" style="3810" customWidth="1"/>
    <col min="81" max="81" width="2.453125" style="3810" customWidth="1"/>
    <col min="82" max="82" width="19.54296875" style="3810" customWidth="1"/>
    <col min="83" max="83" width="8.81640625" style="3810" customWidth="1"/>
    <col min="84" max="84" width="3.1796875" style="3810" bestFit="1" customWidth="1"/>
    <col min="85" max="85" width="6" style="3810" customWidth="1"/>
    <col min="86" max="86" width="24.453125" style="3810" bestFit="1" customWidth="1"/>
    <col min="87" max="87" width="13" style="3810" customWidth="1"/>
    <col min="88" max="88" width="3.1796875" style="3810" bestFit="1" customWidth="1"/>
    <col min="89" max="89" width="6" style="3810" customWidth="1"/>
    <col min="90" max="90" width="25.81640625" style="3810" bestFit="1" customWidth="1"/>
    <col min="91" max="91" width="13.7265625" style="3810" bestFit="1" customWidth="1"/>
    <col min="92" max="92" width="3.1796875" style="3810" bestFit="1" customWidth="1"/>
    <col min="93" max="93" width="6" style="3810" customWidth="1"/>
    <col min="94" max="94" width="5.453125" style="3810" bestFit="1" customWidth="1"/>
    <col min="95" max="95" width="7.54296875" style="3810" customWidth="1"/>
    <col min="96" max="96" width="3.81640625" style="3810" bestFit="1" customWidth="1"/>
    <col min="97" max="97" width="6" style="3810" customWidth="1"/>
    <col min="98" max="98" width="12" style="3810" bestFit="1" customWidth="1"/>
    <col min="99" max="99" width="18.453125" style="3810" bestFit="1" customWidth="1"/>
    <col min="100" max="100" width="6" style="3810" customWidth="1"/>
    <col min="101" max="101" width="3.1796875" style="3810" bestFit="1" customWidth="1"/>
    <col min="102" max="102" width="10.81640625" style="3810"/>
    <col min="103" max="103" width="11" style="3810" bestFit="1" customWidth="1"/>
    <col min="104" max="104" width="10.81640625" style="3810"/>
    <col min="105" max="105" width="3.1796875" style="3810" bestFit="1" customWidth="1"/>
    <col min="106" max="106" width="10.81640625" style="3810"/>
    <col min="107" max="107" width="11" style="3810" bestFit="1" customWidth="1"/>
    <col min="108" max="108" width="10.81640625" style="3810"/>
    <col min="109" max="109" width="3.1796875" style="3810" bestFit="1" customWidth="1"/>
    <col min="110" max="110" width="10.81640625" style="3810"/>
    <col min="111" max="111" width="9.1796875" style="3810" bestFit="1" customWidth="1"/>
    <col min="112" max="112" width="10.81640625" style="3810"/>
    <col min="113" max="113" width="3.1796875" style="3810" bestFit="1" customWidth="1"/>
    <col min="114" max="114" width="10.81640625" style="3810"/>
    <col min="115" max="115" width="9.81640625" style="3810" bestFit="1" customWidth="1"/>
    <col min="116" max="116" width="10.81640625" style="3810"/>
    <col min="117" max="117" width="3.1796875" style="3810" bestFit="1" customWidth="1"/>
    <col min="118" max="118" width="10.81640625" style="3810"/>
    <col min="119" max="119" width="10.81640625" style="3810" bestFit="1" customWidth="1"/>
    <col min="120" max="120" width="10.81640625" style="3810"/>
    <col min="121" max="121" width="3.1796875" style="3810" bestFit="1" customWidth="1"/>
    <col min="122" max="122" width="10.81640625" style="3810"/>
    <col min="123" max="123" width="11" style="3810" bestFit="1" customWidth="1"/>
    <col min="124" max="124" width="10.81640625" style="3810"/>
    <col min="125" max="125" width="3.1796875" style="3810" bestFit="1" customWidth="1"/>
    <col min="126" max="126" width="10.81640625" style="3810"/>
    <col min="127" max="127" width="7" style="3810" bestFit="1" customWidth="1"/>
    <col min="128" max="128" width="9.453125" style="3810" bestFit="1" customWidth="1"/>
    <col min="129" max="129" width="11.1796875" style="3810" bestFit="1" customWidth="1"/>
    <col min="130" max="16384" width="10.81640625" style="3810"/>
  </cols>
  <sheetData>
    <row r="1" spans="1:129" ht="14.5" thickBot="1">
      <c r="R1" s="3810" t="s">
        <v>1773</v>
      </c>
      <c r="S1" s="3810" t="s">
        <v>1774</v>
      </c>
      <c r="T1" s="3810" t="s">
        <v>1775</v>
      </c>
      <c r="U1" s="3810" t="s">
        <v>1776</v>
      </c>
      <c r="AC1" s="3811"/>
      <c r="AD1" s="3811"/>
      <c r="AE1" s="3811"/>
      <c r="AF1" s="3811"/>
      <c r="AG1" s="3811"/>
      <c r="AH1" s="3811"/>
      <c r="AI1" s="3811"/>
      <c r="AJ1" s="3811"/>
      <c r="AK1" s="3811"/>
      <c r="AL1" s="3811"/>
    </row>
    <row r="2" spans="1:129" ht="14.5" customHeight="1" thickBot="1">
      <c r="C2" s="4667" t="s">
        <v>57</v>
      </c>
      <c r="D2" s="4668"/>
      <c r="E2" s="4668"/>
      <c r="F2" s="4668"/>
      <c r="G2" s="4668"/>
      <c r="H2" s="4668"/>
      <c r="I2" s="4668"/>
      <c r="J2" s="4669"/>
      <c r="K2" s="4670" t="s">
        <v>9</v>
      </c>
      <c r="L2" s="4671"/>
      <c r="M2" s="4671"/>
      <c r="N2" s="4671"/>
      <c r="O2" s="4671"/>
      <c r="P2" s="4672"/>
      <c r="Q2" s="4673" t="s">
        <v>1244</v>
      </c>
      <c r="R2" s="4674"/>
      <c r="S2" s="4674"/>
      <c r="T2" s="4674"/>
      <c r="U2" s="4674"/>
      <c r="V2" s="4675"/>
      <c r="W2" s="4676" t="s">
        <v>1777</v>
      </c>
      <c r="X2" s="4677"/>
      <c r="Y2" s="4677"/>
      <c r="Z2" s="4677"/>
      <c r="AA2" s="4677"/>
      <c r="AB2" s="4678"/>
      <c r="AC2" s="3811"/>
      <c r="AD2" s="3811"/>
      <c r="AE2" s="3811"/>
      <c r="AF2" s="3811"/>
      <c r="AG2" s="3811">
        <v>16671.985414798393</v>
      </c>
      <c r="AH2" s="3811">
        <v>19636.895697405154</v>
      </c>
      <c r="AI2" s="3811"/>
      <c r="AJ2" s="3811"/>
      <c r="AK2" s="3811"/>
      <c r="AL2" s="3811"/>
      <c r="CD2" s="3810" t="s">
        <v>173</v>
      </c>
      <c r="CH2" s="3810" t="s">
        <v>1721</v>
      </c>
      <c r="CL2" s="3810" t="s">
        <v>1696</v>
      </c>
      <c r="CN2" s="3812"/>
    </row>
    <row r="3" spans="1:129" ht="15" thickBot="1">
      <c r="B3" s="3813">
        <f>+B4-1</f>
        <v>46081.791666666664</v>
      </c>
      <c r="C3" s="3814" t="s">
        <v>100</v>
      </c>
      <c r="D3" s="3815" t="s">
        <v>23</v>
      </c>
      <c r="E3" s="3815" t="s">
        <v>121</v>
      </c>
      <c r="F3" s="3815" t="s">
        <v>421</v>
      </c>
      <c r="G3" s="3815" t="s">
        <v>1778</v>
      </c>
      <c r="H3" s="3816" t="s">
        <v>1779</v>
      </c>
      <c r="I3" s="3815" t="s">
        <v>797</v>
      </c>
      <c r="J3" s="3817" t="s">
        <v>1780</v>
      </c>
      <c r="K3" s="3814" t="s">
        <v>100</v>
      </c>
      <c r="L3" s="3815" t="s">
        <v>23</v>
      </c>
      <c r="M3" s="3815" t="s">
        <v>121</v>
      </c>
      <c r="N3" s="3815" t="s">
        <v>421</v>
      </c>
      <c r="O3" s="3815" t="s">
        <v>1778</v>
      </c>
      <c r="P3" s="3818" t="s">
        <v>1781</v>
      </c>
      <c r="Q3" s="3814" t="s">
        <v>1782</v>
      </c>
      <c r="R3" s="3815" t="s">
        <v>1783</v>
      </c>
      <c r="S3" s="3815" t="s">
        <v>1784</v>
      </c>
      <c r="T3" s="3815" t="s">
        <v>1785</v>
      </c>
      <c r="U3" s="3815" t="s">
        <v>1786</v>
      </c>
      <c r="V3" s="3818" t="s">
        <v>1787</v>
      </c>
      <c r="W3" s="3814" t="s">
        <v>1788</v>
      </c>
      <c r="X3" s="3815" t="s">
        <v>23</v>
      </c>
      <c r="Y3" s="3815" t="s">
        <v>121</v>
      </c>
      <c r="Z3" s="3815" t="s">
        <v>421</v>
      </c>
      <c r="AA3" s="3815" t="s">
        <v>1778</v>
      </c>
      <c r="AB3" s="3818" t="s">
        <v>1779</v>
      </c>
      <c r="AC3" s="3811"/>
      <c r="AD3" s="3811"/>
      <c r="AE3" s="3811"/>
      <c r="AF3" s="3811"/>
      <c r="AG3" s="3811"/>
      <c r="AH3" s="3811"/>
      <c r="AI3" s="3811"/>
      <c r="AJ3" s="3811"/>
      <c r="AK3" s="3811"/>
      <c r="AL3" s="3811"/>
      <c r="CD3" s="3810" t="s">
        <v>1871</v>
      </c>
      <c r="CE3" s="3810" t="s">
        <v>1872</v>
      </c>
      <c r="CF3" s="3819"/>
      <c r="CH3" s="3810" t="s">
        <v>1789</v>
      </c>
      <c r="CI3" s="3810" t="s">
        <v>1881</v>
      </c>
      <c r="CJ3" s="3819"/>
      <c r="CL3" s="3810" t="s">
        <v>1790</v>
      </c>
      <c r="CM3" s="3810" t="s">
        <v>1882</v>
      </c>
      <c r="CN3" s="3812"/>
      <c r="CP3" s="3819" t="s">
        <v>1580</v>
      </c>
      <c r="CQ3" s="3810" t="s">
        <v>9</v>
      </c>
      <c r="CT3" s="3810" t="s">
        <v>1791</v>
      </c>
      <c r="CU3" s="3810" t="s">
        <v>1792</v>
      </c>
      <c r="CY3" s="3810" t="s">
        <v>1793</v>
      </c>
      <c r="DC3" s="3810" t="s">
        <v>1794</v>
      </c>
      <c r="DE3" s="3820"/>
      <c r="DF3" s="3821"/>
      <c r="DG3" s="3822" t="s">
        <v>1795</v>
      </c>
      <c r="DI3" s="3820"/>
      <c r="DJ3" s="3821"/>
      <c r="DK3" s="3822" t="s">
        <v>1796</v>
      </c>
      <c r="DM3" s="3820"/>
      <c r="DN3" s="3821"/>
      <c r="DO3" s="3822" t="s">
        <v>1797</v>
      </c>
      <c r="DQ3" s="3820"/>
      <c r="DR3" s="3821"/>
      <c r="DS3" s="3822" t="s">
        <v>1798</v>
      </c>
      <c r="DW3" s="3810" t="s">
        <v>280</v>
      </c>
      <c r="DX3" s="3810" t="s">
        <v>814</v>
      </c>
      <c r="DY3" s="3810" t="s">
        <v>120</v>
      </c>
    </row>
    <row r="4" spans="1:129" ht="15" thickTop="1" thickBot="1">
      <c r="A4" s="3810">
        <v>1</v>
      </c>
      <c r="B4" s="3813">
        <v>46082.791666666664</v>
      </c>
      <c r="C4" s="3823">
        <f>+'R+P'!E8</f>
        <v>98057.835933685317</v>
      </c>
      <c r="D4" s="3824">
        <f>+'R+P'!J8%*100</f>
        <v>91.259679515859375</v>
      </c>
      <c r="E4" s="3825">
        <f>+'R+P'!BH8</f>
        <v>8954.10368648845</v>
      </c>
      <c r="F4" s="3826">
        <f>+'R+P'!L8</f>
        <v>0.57768797734094401</v>
      </c>
      <c r="G4" s="3824">
        <f>+'R+P'!M8</f>
        <v>91.162820073210312</v>
      </c>
      <c r="H4" s="3827">
        <f>+C4*F4%*G4%</f>
        <v>516.40850356498265</v>
      </c>
      <c r="I4" s="3825">
        <f t="shared" ref="I4:I25" si="0">+J4-H4</f>
        <v>19.91144717470263</v>
      </c>
      <c r="J4" s="3828">
        <f>+'R+P'!AO8</f>
        <v>536.31995073968528</v>
      </c>
      <c r="K4" s="3823">
        <f>+'ST Original'!E8</f>
        <v>92511.072796314038</v>
      </c>
      <c r="L4" s="3824">
        <f>+'ST Original'!J8</f>
        <v>95.768319758011856</v>
      </c>
      <c r="M4" s="3825">
        <f>+'ST Original'!BT8</f>
        <v>8061.0981563547739</v>
      </c>
      <c r="N4" s="3826">
        <f>+'ST Original'!L8</f>
        <v>0.53577266948079771</v>
      </c>
      <c r="O4" s="3824">
        <f>+'ST Original'!M8</f>
        <v>91.062827037611598</v>
      </c>
      <c r="P4" s="3829">
        <f>+K4*N4%*O4%</f>
        <v>451.35203191185866</v>
      </c>
      <c r="Q4" s="3823">
        <f>+(C4-K4)*N4*O4/10000</f>
        <v>27.06208821184563</v>
      </c>
      <c r="R4" s="3825">
        <f>+(D4-L4)*E4*F4%*G4%</f>
        <v>-212.60759889751426</v>
      </c>
      <c r="S4" s="3825">
        <f>+(E4-M4)*F4*G4%*L4%</f>
        <v>450.38829664353563</v>
      </c>
      <c r="T4" s="3825">
        <f>+(F4-N4)*G4*L4%*M4%</f>
        <v>294.98945325617836</v>
      </c>
      <c r="U4" s="3825">
        <f>+(G4-O4)*L4*M4%*N4%</f>
        <v>4.1358653015109148</v>
      </c>
      <c r="V4" s="3829">
        <f>+H4-P4</f>
        <v>65.056471653123992</v>
      </c>
      <c r="W4" s="3823">
        <f>+Q4</f>
        <v>27.06208821184563</v>
      </c>
      <c r="X4" s="3825">
        <f t="shared" ref="X4:AB4" si="1">+R4</f>
        <v>-212.60759889751426</v>
      </c>
      <c r="Y4" s="3825">
        <f t="shared" si="1"/>
        <v>450.38829664353563</v>
      </c>
      <c r="Z4" s="3825">
        <f>+T4</f>
        <v>294.98945325617836</v>
      </c>
      <c r="AA4" s="3825">
        <f>+U4</f>
        <v>4.1358653015109148</v>
      </c>
      <c r="AB4" s="3829">
        <f t="shared" si="1"/>
        <v>65.056471653123992</v>
      </c>
      <c r="AC4" s="3811"/>
      <c r="AD4" s="3830"/>
      <c r="AE4" s="3831" t="s">
        <v>9</v>
      </c>
      <c r="AF4" s="3831" t="s">
        <v>23</v>
      </c>
      <c r="AG4" s="3831" t="s">
        <v>22</v>
      </c>
      <c r="AH4" s="3831" t="s">
        <v>24</v>
      </c>
      <c r="AI4" s="3831" t="s">
        <v>1778</v>
      </c>
      <c r="AJ4" s="3831" t="s">
        <v>1799</v>
      </c>
      <c r="AK4" s="3831" t="s">
        <v>797</v>
      </c>
      <c r="AL4" s="3831" t="s">
        <v>1800</v>
      </c>
      <c r="CB4" s="3819">
        <f>+B4</f>
        <v>46082.791666666664</v>
      </c>
      <c r="CD4" s="3832">
        <f>+(C4-K4)/1000</f>
        <v>5.5467631373712791</v>
      </c>
      <c r="CE4" s="3832">
        <f>+CD4</f>
        <v>5.5467631373712791</v>
      </c>
      <c r="CF4" s="3819">
        <f>+CB4</f>
        <v>46082.791666666664</v>
      </c>
      <c r="CG4" s="3832"/>
      <c r="CH4" s="4258">
        <f>+F4-N4</f>
        <v>4.19153078601463E-2</v>
      </c>
      <c r="CI4" s="4258">
        <f>+'R+P'!DH8-'ST Original'!II8</f>
        <v>4.19153078601463E-2</v>
      </c>
      <c r="CJ4" s="3819">
        <f t="shared" ref="CJ4:CJ34" si="2">+CF4</f>
        <v>46082.791666666664</v>
      </c>
      <c r="CL4" s="4230">
        <f>+G4-O4</f>
        <v>9.9993035598714641E-2</v>
      </c>
      <c r="CM4" s="4230">
        <f>+'R+P'!DJ8-'ST Original'!IK8</f>
        <v>9.9993035598714641E-2</v>
      </c>
      <c r="CN4" s="3819">
        <f t="shared" ref="CN4:CN11" si="3">+CJ4</f>
        <v>46082.791666666664</v>
      </c>
      <c r="CO4" s="3832"/>
      <c r="CP4" s="3832">
        <f t="shared" ref="CP4:CP34" si="4">+H4</f>
        <v>516.40850356498265</v>
      </c>
      <c r="CQ4" s="3832">
        <f t="shared" ref="CQ4:CQ34" si="5">+P4</f>
        <v>451.35203191185866</v>
      </c>
      <c r="CR4" s="3819">
        <f>+CN4</f>
        <v>46082.791666666664</v>
      </c>
      <c r="CS4" s="3832"/>
      <c r="CT4" s="3832">
        <f t="shared" ref="CT4:CT34" si="6">+V4</f>
        <v>65.056471653123992</v>
      </c>
      <c r="CU4" s="3832">
        <f t="shared" ref="CU4:CU34" si="7">+AB4</f>
        <v>65.056471653123992</v>
      </c>
      <c r="CW4" s="3819">
        <f t="shared" ref="CW4:CW34" si="8">+CB4</f>
        <v>46082.791666666664</v>
      </c>
      <c r="CY4" s="3832">
        <f t="shared" ref="CY4:CY34" si="9">+D4-L4</f>
        <v>-4.5086402421524809</v>
      </c>
      <c r="DA4" s="3819">
        <f>+CW4</f>
        <v>46082.791666666664</v>
      </c>
      <c r="DC4" s="3832">
        <f t="shared" ref="DC4:DC34" si="10">+E4-M4</f>
        <v>893.00553013367607</v>
      </c>
      <c r="DE4" s="3835">
        <f>+DA4</f>
        <v>46082.791666666664</v>
      </c>
      <c r="DG4" s="4229">
        <f>+('R+P'!BD8-'ST Original'!AX8)*-1</f>
        <v>-0.31875277992976958</v>
      </c>
      <c r="DI4" s="3835">
        <f>+DE4</f>
        <v>46082.791666666664</v>
      </c>
      <c r="DK4" s="4229">
        <f>+'R+P'!BE8-'ST Original'!AT8</f>
        <v>1.4621824127351317</v>
      </c>
      <c r="DM4" s="3835">
        <f>+DI4</f>
        <v>46082.791666666664</v>
      </c>
      <c r="DO4" s="4229">
        <f>+('R+P'!DC8-'ST Original'!AU8)*-1</f>
        <v>15.757588180860878</v>
      </c>
      <c r="DQ4" s="3835">
        <f>+DM4</f>
        <v>46082.791666666664</v>
      </c>
      <c r="DS4" s="4229">
        <f>+('R+P'!K8-'ST Original'!K8)*-1</f>
        <v>32.713886686983926</v>
      </c>
      <c r="DU4" s="3819">
        <f>+DQ4</f>
        <v>46082.791666666664</v>
      </c>
      <c r="DW4" s="3834">
        <f>+'R+P'!C8/1000</f>
        <v>178.58427719999997</v>
      </c>
      <c r="DX4" s="3834">
        <f>+'R+P'!D8/1000</f>
        <v>681.32142959999987</v>
      </c>
      <c r="DY4" s="3834">
        <f>+'R+P'!E8/1000</f>
        <v>98.057835933685311</v>
      </c>
    </row>
    <row r="5" spans="1:129" ht="15" thickTop="1" thickBot="1">
      <c r="A5" s="3810">
        <f>+A4+1</f>
        <v>2</v>
      </c>
      <c r="B5" s="3813">
        <f>+B4+1</f>
        <v>46083.791666666664</v>
      </c>
      <c r="C5" s="3837">
        <f>+'R+P'!E9</f>
        <v>170436.89745330811</v>
      </c>
      <c r="D5" s="3824">
        <f>+'R+P'!J9%*100</f>
        <v>86.528962190124304</v>
      </c>
      <c r="E5" s="3825">
        <f>+'R+P'!BH9</f>
        <v>8207.1218862929418</v>
      </c>
      <c r="F5" s="3838">
        <f>+'R+P'!L9</f>
        <v>0.55229968808243912</v>
      </c>
      <c r="G5" s="3839">
        <f>+'R+P'!M9</f>
        <v>92.159479170723415</v>
      </c>
      <c r="H5" s="3840">
        <f t="shared" ref="H5:H25" si="11">+C5*F5%*G5%</f>
        <v>867.5178700129436</v>
      </c>
      <c r="I5" s="3841">
        <f t="shared" si="0"/>
        <v>177.3474225888524</v>
      </c>
      <c r="J5" s="3842">
        <f>+'R+P'!AO9</f>
        <v>1044.865292601796</v>
      </c>
      <c r="K5" s="3837">
        <f>+'ST Original'!E9</f>
        <v>166863.09892828096</v>
      </c>
      <c r="L5" s="3824">
        <f>+'ST Original'!J9</f>
        <v>83.146721114266157</v>
      </c>
      <c r="M5" s="3825">
        <f>+'ST Original'!BT9</f>
        <v>8367.6909909354381</v>
      </c>
      <c r="N5" s="3838">
        <f>+'ST Original'!L9</f>
        <v>0.51534433766209709</v>
      </c>
      <c r="O5" s="3839">
        <f>+'ST Original'!M9</f>
        <v>90.540593071994593</v>
      </c>
      <c r="P5" s="3843">
        <f t="shared" ref="P5:P25" si="12">+K5*N5%*O5%</f>
        <v>778.57624419154138</v>
      </c>
      <c r="Q5" s="3823">
        <f t="shared" ref="Q5:Q25" si="13">+(C5-K5)*N5*O5/10000</f>
        <v>16.675194521640964</v>
      </c>
      <c r="R5" s="3825">
        <f t="shared" ref="R5:R25" si="14">+(D5-L5)*E5*F5%*G5%</f>
        <v>141.28961851484496</v>
      </c>
      <c r="S5" s="3825">
        <f t="shared" ref="S5:S25" si="15">+(E5-M5)*F5*G5%*L5%</f>
        <v>-67.955079185171471</v>
      </c>
      <c r="T5" s="3825">
        <f t="shared" ref="T5:T25" si="16">+(F5-N5)*G5*L5%*M5%</f>
        <v>236.95621157815592</v>
      </c>
      <c r="U5" s="3825">
        <f t="shared" ref="U5:U25" si="17">+(G5-O5)*L5*M5%*N5%</f>
        <v>58.044966351858932</v>
      </c>
      <c r="V5" s="3843">
        <f t="shared" ref="V5:V25" si="18">+H5-P5</f>
        <v>88.941625821402226</v>
      </c>
      <c r="W5" s="3837">
        <f>+Q5+W4</f>
        <v>43.737282733486595</v>
      </c>
      <c r="X5" s="3841">
        <f t="shared" ref="X5:AB20" si="19">+R5+X4</f>
        <v>-71.317980382669305</v>
      </c>
      <c r="Y5" s="3841">
        <f t="shared" si="19"/>
        <v>382.43321745836414</v>
      </c>
      <c r="Z5" s="3841">
        <f t="shared" si="19"/>
        <v>531.94566483433425</v>
      </c>
      <c r="AA5" s="3841">
        <f t="shared" si="19"/>
        <v>62.18083165336985</v>
      </c>
      <c r="AB5" s="3843">
        <f t="shared" si="19"/>
        <v>153.99809747452622</v>
      </c>
      <c r="AC5" s="3811"/>
      <c r="AD5" s="3844" t="s">
        <v>23</v>
      </c>
      <c r="AE5" s="3845">
        <f>+L35</f>
        <v>92.605995284847154</v>
      </c>
      <c r="AF5" s="3846">
        <f>+AJ5</f>
        <v>92.324230243716514</v>
      </c>
      <c r="AG5" s="3845">
        <f>+AF5</f>
        <v>92.324230243716514</v>
      </c>
      <c r="AH5" s="3845">
        <f>+AG5</f>
        <v>92.324230243716514</v>
      </c>
      <c r="AI5" s="3845">
        <f>+AH5</f>
        <v>92.324230243716514</v>
      </c>
      <c r="AJ5" s="3845">
        <f>+D35</f>
        <v>92.324230243716514</v>
      </c>
      <c r="AK5" s="3845"/>
      <c r="AL5" s="3845"/>
      <c r="CB5" s="3819">
        <f t="shared" ref="CB5:CB11" si="20">+B5</f>
        <v>46083.791666666664</v>
      </c>
      <c r="CD5" s="3832">
        <f t="shared" ref="CD5:CD34" si="21">+(C5-K5)/1000</f>
        <v>3.5737985250271449</v>
      </c>
      <c r="CE5" s="3832">
        <f>+CD5+CE4</f>
        <v>9.1205616623984245</v>
      </c>
      <c r="CF5" s="3819">
        <f t="shared" ref="CF5:CF11" si="22">+CB5</f>
        <v>46083.791666666664</v>
      </c>
      <c r="CG5" s="3832"/>
      <c r="CH5" s="4258">
        <f t="shared" ref="CH5:CH34" si="23">+F5-N5</f>
        <v>3.6955350420342037E-2</v>
      </c>
      <c r="CI5" s="4258">
        <f>+'R+P'!DH9-'ST Original'!II9</f>
        <v>3.8941310258107098E-2</v>
      </c>
      <c r="CJ5" s="3819">
        <f t="shared" si="2"/>
        <v>46083.791666666664</v>
      </c>
      <c r="CL5" s="4230">
        <f t="shared" ref="CL5:CL34" si="24">+G5-O5</f>
        <v>1.6188860987288223</v>
      </c>
      <c r="CM5" s="4230">
        <f>+'R+P'!DJ9-'ST Original'!IK9</f>
        <v>1.068627620484591</v>
      </c>
      <c r="CN5" s="3819">
        <f t="shared" si="3"/>
        <v>46083.791666666664</v>
      </c>
      <c r="CO5" s="3832"/>
      <c r="CP5" s="3832">
        <f t="shared" si="4"/>
        <v>867.5178700129436</v>
      </c>
      <c r="CQ5" s="3832">
        <f t="shared" si="5"/>
        <v>778.57624419154138</v>
      </c>
      <c r="CR5" s="3819">
        <f t="shared" ref="CR5:CR7" si="25">+CN5</f>
        <v>46083.791666666664</v>
      </c>
      <c r="CS5" s="3832"/>
      <c r="CT5" s="3832">
        <f t="shared" si="6"/>
        <v>88.941625821402226</v>
      </c>
      <c r="CU5" s="3832">
        <f t="shared" si="7"/>
        <v>153.99809747452622</v>
      </c>
      <c r="CW5" s="3819">
        <f t="shared" si="8"/>
        <v>46083.791666666664</v>
      </c>
      <c r="CY5" s="3832">
        <f t="shared" si="9"/>
        <v>3.3822410758581469</v>
      </c>
      <c r="DA5" s="3819">
        <f t="shared" ref="DA5:DA11" si="26">+CW5</f>
        <v>46083.791666666664</v>
      </c>
      <c r="DC5" s="3832">
        <f t="shared" si="10"/>
        <v>-160.56910464249631</v>
      </c>
      <c r="DE5" s="3835">
        <f t="shared" ref="DE5:DE11" si="27">+DA5</f>
        <v>46083.791666666664</v>
      </c>
      <c r="DG5" s="4229">
        <f>+('R+P'!BD9-'ST Original'!AX9)*-1</f>
        <v>-0.80348795113628579</v>
      </c>
      <c r="DI5" s="3835">
        <f t="shared" ref="DI5:DI11" si="28">+DE5</f>
        <v>46083.791666666664</v>
      </c>
      <c r="DK5" s="4229">
        <f>+'R+P'!BE9-'ST Original'!AT9</f>
        <v>0.32321675330777566</v>
      </c>
      <c r="DM5" s="3835">
        <f t="shared" ref="DM5:DM11" si="29">+DI5</f>
        <v>46083.791666666664</v>
      </c>
      <c r="DO5" s="4229">
        <f>+('R+P'!DC9-'ST Original'!AU9)*-1</f>
        <v>-2.0279653203196659</v>
      </c>
      <c r="DQ5" s="3835">
        <f t="shared" ref="DQ5:DQ11" si="30">+DM5</f>
        <v>46083.791666666664</v>
      </c>
      <c r="DS5" s="4229">
        <f>+('R+P'!K9-'ST Original'!K9)*-1</f>
        <v>-6.0201806930002135</v>
      </c>
      <c r="DU5" s="3819">
        <f t="shared" ref="DU5:DU11" si="31">+DQ5</f>
        <v>46083.791666666664</v>
      </c>
      <c r="DW5" s="3834">
        <f>+'R+P'!C9/1000</f>
        <v>131.18714559999998</v>
      </c>
      <c r="DX5" s="3834">
        <f>+'R+P'!D9/1000</f>
        <v>641.09303720000003</v>
      </c>
      <c r="DY5" s="3834">
        <f>+'R+P'!E9/1000</f>
        <v>170.43689745330809</v>
      </c>
    </row>
    <row r="6" spans="1:129" ht="15" thickTop="1" thickBot="1">
      <c r="A6" s="3810">
        <f t="shared" ref="A6:B21" si="32">+A5+1</f>
        <v>3</v>
      </c>
      <c r="B6" s="3813">
        <f t="shared" si="32"/>
        <v>46084.791666666664</v>
      </c>
      <c r="C6" s="3837">
        <f>+'R+P'!E10</f>
        <v>158186.81954193115</v>
      </c>
      <c r="D6" s="3824">
        <f>+'R+P'!J10%*100</f>
        <v>72.810000000000102</v>
      </c>
      <c r="E6" s="3825">
        <f>+'R+P'!BH10</f>
        <v>9052.4893296439895</v>
      </c>
      <c r="F6" s="3838">
        <f>+'R+P'!L10</f>
        <v>0.53249797248699349</v>
      </c>
      <c r="G6" s="3839">
        <f>+'R+P'!M10</f>
        <v>91.369201831492987</v>
      </c>
      <c r="H6" s="3840">
        <f t="shared" si="11"/>
        <v>769.64080282996485</v>
      </c>
      <c r="I6" s="3841">
        <f t="shared" si="0"/>
        <v>-96.850211736798997</v>
      </c>
      <c r="J6" s="3842">
        <f>+'R+P'!AO10</f>
        <v>672.79059109316586</v>
      </c>
      <c r="K6" s="3837">
        <f>+'ST Original'!E10</f>
        <v>144424.70628770083</v>
      </c>
      <c r="L6" s="3824">
        <f>+'ST Original'!J10</f>
        <v>71.209860387756578</v>
      </c>
      <c r="M6" s="3825">
        <f>+'ST Original'!BT10</f>
        <v>8455.053713779731</v>
      </c>
      <c r="N6" s="3838">
        <f>+'ST Original'!L10</f>
        <v>0.49680204407498407</v>
      </c>
      <c r="O6" s="3839">
        <f>+'ST Original'!M10</f>
        <v>90.859006569002403</v>
      </c>
      <c r="P6" s="3843">
        <f t="shared" si="12"/>
        <v>651.91781785159912</v>
      </c>
      <c r="Q6" s="3823">
        <f t="shared" si="13"/>
        <v>62.120720701707512</v>
      </c>
      <c r="R6" s="3825">
        <f t="shared" si="14"/>
        <v>70.476396088399738</v>
      </c>
      <c r="S6" s="3825">
        <f t="shared" si="15"/>
        <v>206.9898420905937</v>
      </c>
      <c r="T6" s="3825">
        <f t="shared" si="16"/>
        <v>196.36994492221592</v>
      </c>
      <c r="U6" s="3825">
        <f t="shared" si="17"/>
        <v>15.260764865683006</v>
      </c>
      <c r="V6" s="3843">
        <f t="shared" si="18"/>
        <v>117.72298497836573</v>
      </c>
      <c r="W6" s="3837">
        <f t="shared" ref="W6:AB21" si="33">+Q6+W5</f>
        <v>105.85800343519411</v>
      </c>
      <c r="X6" s="3841">
        <f t="shared" si="19"/>
        <v>-0.84158429426956616</v>
      </c>
      <c r="Y6" s="3841">
        <f t="shared" si="19"/>
        <v>589.42305954895778</v>
      </c>
      <c r="Z6" s="3841">
        <f t="shared" si="19"/>
        <v>728.3156097565502</v>
      </c>
      <c r="AA6" s="3841">
        <f t="shared" si="19"/>
        <v>77.441596519052851</v>
      </c>
      <c r="AB6" s="3843">
        <f t="shared" si="19"/>
        <v>271.72108245289195</v>
      </c>
      <c r="AC6" s="3811"/>
      <c r="AD6" s="3847" t="s">
        <v>22</v>
      </c>
      <c r="AE6" s="3848">
        <f>+M35</f>
        <v>8501.1547852379754</v>
      </c>
      <c r="AF6" s="3848">
        <f>+AE6</f>
        <v>8501.1547852379754</v>
      </c>
      <c r="AG6" s="3849">
        <f>+AJ6</f>
        <v>8494.5649703748313</v>
      </c>
      <c r="AH6" s="3848">
        <f>+AG6</f>
        <v>8494.5649703748313</v>
      </c>
      <c r="AI6" s="3848">
        <f>+AH6</f>
        <v>8494.5649703748313</v>
      </c>
      <c r="AJ6" s="3848">
        <f>+E35</f>
        <v>8494.5649703748313</v>
      </c>
      <c r="AK6" s="3848"/>
      <c r="AL6" s="3848"/>
      <c r="CB6" s="3819">
        <f t="shared" si="20"/>
        <v>46084.791666666664</v>
      </c>
      <c r="CD6" s="3832">
        <f t="shared" si="21"/>
        <v>13.762113254230323</v>
      </c>
      <c r="CE6" s="3832">
        <f t="shared" ref="CE6:CE34" si="34">+CD6+CE5</f>
        <v>22.882674916628748</v>
      </c>
      <c r="CF6" s="3819">
        <f t="shared" si="22"/>
        <v>46084.791666666664</v>
      </c>
      <c r="CG6" s="3832"/>
      <c r="CH6" s="4258">
        <f t="shared" si="23"/>
        <v>3.5695928412009414E-2</v>
      </c>
      <c r="CI6" s="4258">
        <f>+'R+P'!DH10-'ST Original'!II10</f>
        <v>3.740048377082672E-2</v>
      </c>
      <c r="CJ6" s="3819">
        <f t="shared" si="2"/>
        <v>46084.791666666664</v>
      </c>
      <c r="CL6" s="4230">
        <f t="shared" si="24"/>
        <v>0.51019526249058345</v>
      </c>
      <c r="CM6" s="4230">
        <f>+'R+P'!DJ10-'ST Original'!IK10</f>
        <v>0.8633233496474304</v>
      </c>
      <c r="CN6" s="3819">
        <f t="shared" si="3"/>
        <v>46084.791666666664</v>
      </c>
      <c r="CO6" s="3832"/>
      <c r="CP6" s="3832">
        <f t="shared" si="4"/>
        <v>769.64080282996485</v>
      </c>
      <c r="CQ6" s="3832">
        <f t="shared" si="5"/>
        <v>651.91781785159912</v>
      </c>
      <c r="CR6" s="3819">
        <f t="shared" si="25"/>
        <v>46084.791666666664</v>
      </c>
      <c r="CS6" s="3832"/>
      <c r="CT6" s="3832">
        <f t="shared" si="6"/>
        <v>117.72298497836573</v>
      </c>
      <c r="CU6" s="3832">
        <f t="shared" si="7"/>
        <v>271.72108245289195</v>
      </c>
      <c r="CW6" s="3819">
        <f t="shared" si="8"/>
        <v>46084.791666666664</v>
      </c>
      <c r="CY6" s="3832">
        <f t="shared" si="9"/>
        <v>1.6001396122435239</v>
      </c>
      <c r="DA6" s="3819">
        <f t="shared" si="26"/>
        <v>46084.791666666664</v>
      </c>
      <c r="DC6" s="3832">
        <f t="shared" si="10"/>
        <v>597.43561586425858</v>
      </c>
      <c r="DE6" s="3835">
        <f t="shared" si="27"/>
        <v>46084.791666666664</v>
      </c>
      <c r="DG6" s="4229">
        <f>+('R+P'!BD10-'ST Original'!AX10)*-1</f>
        <v>-0.55780285063735668</v>
      </c>
      <c r="DI6" s="3835">
        <f t="shared" si="28"/>
        <v>46084.791666666664</v>
      </c>
      <c r="DK6" s="4229">
        <f>+'R+P'!BE10-'ST Original'!AT10</f>
        <v>0.88333204470947635</v>
      </c>
      <c r="DM6" s="3835">
        <f t="shared" si="29"/>
        <v>46084.791666666664</v>
      </c>
      <c r="DO6" s="4229">
        <f>+('R+P'!DC10-'ST Original'!AU10)*-1</f>
        <v>5.7888592232696396</v>
      </c>
      <c r="DQ6" s="3835">
        <f t="shared" si="30"/>
        <v>46084.791666666664</v>
      </c>
      <c r="DS6" s="4229">
        <f>+('R+P'!K10-'ST Original'!K10)*-1</f>
        <v>5.1057106370497536</v>
      </c>
      <c r="DU6" s="3819">
        <f t="shared" si="31"/>
        <v>46084.791666666664</v>
      </c>
      <c r="DW6" s="3834">
        <f>+'R+P'!C10/1000</f>
        <v>217.13383999999999</v>
      </c>
      <c r="DX6" s="3834">
        <f>+'R+P'!D10/1000</f>
        <v>672.52956119999999</v>
      </c>
      <c r="DY6" s="3834">
        <f>+'R+P'!E10/1000</f>
        <v>158.18681954193116</v>
      </c>
    </row>
    <row r="7" spans="1:129" ht="15" thickTop="1" thickBot="1">
      <c r="A7" s="3810">
        <f t="shared" si="32"/>
        <v>4</v>
      </c>
      <c r="B7" s="3813">
        <f t="shared" si="32"/>
        <v>46085.791666666664</v>
      </c>
      <c r="C7" s="3837">
        <f>+'R+P'!E11</f>
        <v>156047.44256210327</v>
      </c>
      <c r="D7" s="3824">
        <f>+'R+P'!J11%*100</f>
        <v>71.738517041137371</v>
      </c>
      <c r="E7" s="3825">
        <f>+'R+P'!BH11</f>
        <v>9063.4390583966324</v>
      </c>
      <c r="F7" s="3838">
        <f>+'R+P'!L11</f>
        <v>0.50968564255413329</v>
      </c>
      <c r="G7" s="3839">
        <f>+'R+P'!M11</f>
        <v>89.989231510253532</v>
      </c>
      <c r="H7" s="3840">
        <f t="shared" si="11"/>
        <v>715.73062194568536</v>
      </c>
      <c r="I7" s="3841">
        <f t="shared" si="0"/>
        <v>323.35228253154071</v>
      </c>
      <c r="J7" s="3842">
        <f>+'R+P'!AO11</f>
        <v>1039.0829044772261</v>
      </c>
      <c r="K7" s="3837">
        <f>+'ST Original'!E11</f>
        <v>144860.8459614426</v>
      </c>
      <c r="L7" s="3824">
        <f>+'ST Original'!J11</f>
        <v>71.209860387756578</v>
      </c>
      <c r="M7" s="3825">
        <f>+'ST Original'!BT11</f>
        <v>8480.5866330632998</v>
      </c>
      <c r="N7" s="3838">
        <f>+'ST Original'!L11</f>
        <v>0.4882136188061143</v>
      </c>
      <c r="O7" s="3839">
        <f>+'ST Original'!M11</f>
        <v>90.808026236438835</v>
      </c>
      <c r="P7" s="3843">
        <f t="shared" si="12"/>
        <v>642.22194748010054</v>
      </c>
      <c r="Q7" s="3823">
        <f t="shared" si="13"/>
        <v>49.594338669420736</v>
      </c>
      <c r="R7" s="3825">
        <f t="shared" si="14"/>
        <v>21.976557534112949</v>
      </c>
      <c r="S7" s="3825">
        <f t="shared" si="15"/>
        <v>190.3670085255583</v>
      </c>
      <c r="T7" s="3825">
        <f t="shared" si="16"/>
        <v>116.68890143173546</v>
      </c>
      <c r="U7" s="3825">
        <f t="shared" si="17"/>
        <v>-24.140760977647215</v>
      </c>
      <c r="V7" s="3843">
        <f t="shared" si="18"/>
        <v>73.508674465584818</v>
      </c>
      <c r="W7" s="3837">
        <f t="shared" si="33"/>
        <v>155.45234210461484</v>
      </c>
      <c r="X7" s="3841">
        <f t="shared" si="19"/>
        <v>21.134973239843383</v>
      </c>
      <c r="Y7" s="3841">
        <f t="shared" si="19"/>
        <v>779.79006807451606</v>
      </c>
      <c r="Z7" s="3841">
        <f t="shared" si="19"/>
        <v>845.00451118828562</v>
      </c>
      <c r="AA7" s="3841">
        <f t="shared" si="19"/>
        <v>53.300835541405633</v>
      </c>
      <c r="AB7" s="3843">
        <f t="shared" si="19"/>
        <v>345.22975691847677</v>
      </c>
      <c r="AC7" s="3811"/>
      <c r="AD7" s="3847" t="s">
        <v>24</v>
      </c>
      <c r="AE7" s="3850">
        <f>+N35</f>
        <v>0.5354493276828427</v>
      </c>
      <c r="AF7" s="3850">
        <f>+AE7</f>
        <v>0.5354493276828427</v>
      </c>
      <c r="AG7" s="3850">
        <f>+AF7</f>
        <v>0.5354493276828427</v>
      </c>
      <c r="AH7" s="3851">
        <f>+AJ7</f>
        <v>0.5187562183850154</v>
      </c>
      <c r="AI7" s="3850">
        <f>+AJ7</f>
        <v>0.5187562183850154</v>
      </c>
      <c r="AJ7" s="3850">
        <f>+F35</f>
        <v>0.5187562183850154</v>
      </c>
      <c r="AK7" s="3850"/>
      <c r="AL7" s="3850"/>
      <c r="CB7" s="3819">
        <f t="shared" si="20"/>
        <v>46085.791666666664</v>
      </c>
      <c r="CD7" s="3832">
        <f t="shared" si="21"/>
        <v>11.186596600660677</v>
      </c>
      <c r="CE7" s="3832">
        <f t="shared" si="34"/>
        <v>34.069271517289422</v>
      </c>
      <c r="CF7" s="3819">
        <f t="shared" si="22"/>
        <v>46085.791666666664</v>
      </c>
      <c r="CG7" s="3832"/>
      <c r="CH7" s="4258">
        <f t="shared" si="23"/>
        <v>2.1472023748018987E-2</v>
      </c>
      <c r="CI7" s="4258">
        <f>+'R+P'!DH11-'ST Original'!II11</f>
        <v>3.3040356548060701E-2</v>
      </c>
      <c r="CJ7" s="3819">
        <f t="shared" si="2"/>
        <v>46085.791666666664</v>
      </c>
      <c r="CL7" s="4230">
        <f t="shared" si="24"/>
        <v>-0.81879472618530258</v>
      </c>
      <c r="CM7" s="4230">
        <f>+'R+P'!DJ11-'ST Original'!IK11</f>
        <v>0.41300093424362672</v>
      </c>
      <c r="CN7" s="3819">
        <f t="shared" si="3"/>
        <v>46085.791666666664</v>
      </c>
      <c r="CO7" s="3832"/>
      <c r="CP7" s="3832">
        <f t="shared" si="4"/>
        <v>715.73062194568536</v>
      </c>
      <c r="CQ7" s="3832">
        <f t="shared" si="5"/>
        <v>642.22194748010054</v>
      </c>
      <c r="CR7" s="3819">
        <f t="shared" si="25"/>
        <v>46085.791666666664</v>
      </c>
      <c r="CS7" s="3832"/>
      <c r="CT7" s="3832">
        <f t="shared" si="6"/>
        <v>73.508674465584818</v>
      </c>
      <c r="CU7" s="3832">
        <f t="shared" si="7"/>
        <v>345.22975691847677</v>
      </c>
      <c r="CW7" s="3819">
        <f t="shared" si="8"/>
        <v>46085.791666666664</v>
      </c>
      <c r="CY7" s="3832">
        <f t="shared" si="9"/>
        <v>0.52865665338079282</v>
      </c>
      <c r="DA7" s="3819">
        <f t="shared" si="26"/>
        <v>46085.791666666664</v>
      </c>
      <c r="DC7" s="3832">
        <f t="shared" si="10"/>
        <v>582.85242533333258</v>
      </c>
      <c r="DE7" s="3835">
        <f t="shared" si="27"/>
        <v>46085.791666666664</v>
      </c>
      <c r="DG7" s="4229">
        <f>+('R+P'!BD11-'ST Original'!AX11)*-1</f>
        <v>-0.66289858543061264</v>
      </c>
      <c r="DI7" s="3835">
        <f t="shared" si="28"/>
        <v>46085.791666666664</v>
      </c>
      <c r="DK7" s="4229">
        <f>+'R+P'!BE11-'ST Original'!AT11</f>
        <v>3.3737669622180491</v>
      </c>
      <c r="DM7" s="3835">
        <f t="shared" si="29"/>
        <v>46085.791666666664</v>
      </c>
      <c r="DO7" s="4229">
        <f>+('R+P'!DC11-'ST Original'!AU11)*-1</f>
        <v>21.160427277262329</v>
      </c>
      <c r="DQ7" s="3835">
        <f t="shared" si="30"/>
        <v>46085.791666666664</v>
      </c>
      <c r="DS7" s="4229">
        <f>+('R+P'!K11-'ST Original'!K11)*-1</f>
        <v>30.245440036799693</v>
      </c>
      <c r="DU7" s="3819">
        <f t="shared" si="31"/>
        <v>46085.791666666664</v>
      </c>
      <c r="DW7" s="3834">
        <f>+'R+P'!C11/1000</f>
        <v>132.73307600000001</v>
      </c>
      <c r="DX7" s="3834">
        <f>+'R+P'!D11/1000</f>
        <v>646.13538919999996</v>
      </c>
      <c r="DY7" s="3834">
        <f>+'R+P'!E11/1000</f>
        <v>156.04744256210327</v>
      </c>
    </row>
    <row r="8" spans="1:129" ht="15" thickTop="1" thickBot="1">
      <c r="A8" s="3810">
        <f t="shared" si="32"/>
        <v>5</v>
      </c>
      <c r="B8" s="3813">
        <f t="shared" si="32"/>
        <v>46086.791666666664</v>
      </c>
      <c r="C8" s="3837">
        <f>+'R+P'!E12</f>
        <v>164038.849609375</v>
      </c>
      <c r="D8" s="3824">
        <f>+'R+P'!J12%*100</f>
        <v>72.810000000000102</v>
      </c>
      <c r="E8" s="3825">
        <f>+'R+P'!BH12</f>
        <v>9387.3809463772595</v>
      </c>
      <c r="F8" s="3838">
        <f>+'R+P'!L12</f>
        <v>0.50356762584558978</v>
      </c>
      <c r="G8" s="3839">
        <f>+'R+P'!M12</f>
        <v>89.948819597781579</v>
      </c>
      <c r="H8" s="3840">
        <f t="shared" si="11"/>
        <v>743.01911245620272</v>
      </c>
      <c r="I8" s="3841">
        <f t="shared" si="0"/>
        <v>-294.79235258207518</v>
      </c>
      <c r="J8" s="3842">
        <f>+'R+P'!AO12</f>
        <v>448.22675987412754</v>
      </c>
      <c r="K8" s="3837">
        <f>+'ST Original'!E12</f>
        <v>150917.77176313917</v>
      </c>
      <c r="L8" s="3824">
        <f>+'ST Original'!J12</f>
        <v>71.209860387756578</v>
      </c>
      <c r="M8" s="3825">
        <f>+'ST Original'!BT12</f>
        <v>8835.1771619975043</v>
      </c>
      <c r="N8" s="3838">
        <f>+'ST Original'!L12</f>
        <v>0.49844229396827905</v>
      </c>
      <c r="O8" s="3839">
        <f>+'ST Original'!M12</f>
        <v>90.004166198440984</v>
      </c>
      <c r="P8" s="3843">
        <f t="shared" si="12"/>
        <v>677.04554295178002</v>
      </c>
      <c r="Q8" s="3823">
        <f t="shared" si="13"/>
        <v>58.863626004628514</v>
      </c>
      <c r="R8" s="3825">
        <f t="shared" si="14"/>
        <v>68.038634487890519</v>
      </c>
      <c r="S8" s="3825">
        <f t="shared" si="15"/>
        <v>178.11183709875448</v>
      </c>
      <c r="T8" s="3825">
        <f t="shared" si="16"/>
        <v>29.004999167717227</v>
      </c>
      <c r="U8" s="3825">
        <f t="shared" si="17"/>
        <v>-1.7356463318428832</v>
      </c>
      <c r="V8" s="3843">
        <f t="shared" si="18"/>
        <v>65.973569504422699</v>
      </c>
      <c r="W8" s="3837">
        <f t="shared" si="33"/>
        <v>214.31596810924336</v>
      </c>
      <c r="X8" s="3841">
        <f t="shared" si="19"/>
        <v>89.173607727733895</v>
      </c>
      <c r="Y8" s="3841">
        <f t="shared" si="19"/>
        <v>957.90190517327051</v>
      </c>
      <c r="Z8" s="3841">
        <f t="shared" si="19"/>
        <v>874.00951035600281</v>
      </c>
      <c r="AA8" s="3841">
        <f t="shared" si="19"/>
        <v>51.565189209562746</v>
      </c>
      <c r="AB8" s="3843">
        <f t="shared" si="19"/>
        <v>411.20332642289947</v>
      </c>
      <c r="AC8" s="3811"/>
      <c r="AD8" s="3847" t="s">
        <v>1778</v>
      </c>
      <c r="AE8" s="3852">
        <f>+O35</f>
        <v>90.294153352101731</v>
      </c>
      <c r="AF8" s="3852">
        <f>+AE8</f>
        <v>90.294153352101731</v>
      </c>
      <c r="AG8" s="3852">
        <f>+AF8</f>
        <v>90.294153352101731</v>
      </c>
      <c r="AH8" s="3852">
        <f>+AG8</f>
        <v>90.294153352101731</v>
      </c>
      <c r="AI8" s="3853">
        <f>+AJ8</f>
        <v>90.397219242975567</v>
      </c>
      <c r="AJ8" s="3852">
        <f>+G35</f>
        <v>90.397219242975567</v>
      </c>
      <c r="AK8" s="3852"/>
      <c r="AL8" s="3852"/>
      <c r="CB8" s="3819">
        <f t="shared" si="20"/>
        <v>46086.791666666664</v>
      </c>
      <c r="CD8" s="3832">
        <f t="shared" si="21"/>
        <v>13.121077846235828</v>
      </c>
      <c r="CE8" s="3832">
        <f t="shared" si="34"/>
        <v>47.19034936352525</v>
      </c>
      <c r="CF8" s="3819">
        <f t="shared" si="22"/>
        <v>46086.791666666664</v>
      </c>
      <c r="CG8" s="3832"/>
      <c r="CH8" s="4258">
        <f t="shared" si="23"/>
        <v>5.1253318773107348E-3</v>
      </c>
      <c r="CI8" s="4258">
        <f>+'R+P'!DH12-'ST Original'!II12</f>
        <v>2.6875703736598311E-2</v>
      </c>
      <c r="CJ8" s="3819">
        <f t="shared" si="2"/>
        <v>46086.791666666664</v>
      </c>
      <c r="CL8" s="4230">
        <f t="shared" si="24"/>
        <v>-5.5346600659404999E-2</v>
      </c>
      <c r="CM8" s="4230">
        <f>+'R+P'!DJ12-'ST Original'!IK12</f>
        <v>0.30705389954773921</v>
      </c>
      <c r="CN8" s="3819">
        <f t="shared" si="3"/>
        <v>46086.791666666664</v>
      </c>
      <c r="CO8" s="3832"/>
      <c r="CP8" s="3832">
        <f t="shared" si="4"/>
        <v>743.01911245620272</v>
      </c>
      <c r="CQ8" s="3832">
        <f t="shared" si="5"/>
        <v>677.04554295178002</v>
      </c>
      <c r="CR8" s="3819">
        <f t="shared" ref="CR8:CR11" si="35">+CN8</f>
        <v>46086.791666666664</v>
      </c>
      <c r="CS8" s="3832"/>
      <c r="CT8" s="3832">
        <f t="shared" si="6"/>
        <v>65.973569504422699</v>
      </c>
      <c r="CU8" s="3832">
        <f t="shared" si="7"/>
        <v>411.20332642289947</v>
      </c>
      <c r="CW8" s="3819">
        <f t="shared" si="8"/>
        <v>46086.791666666664</v>
      </c>
      <c r="CY8" s="3832">
        <f t="shared" si="9"/>
        <v>1.6001396122435239</v>
      </c>
      <c r="DA8" s="3819">
        <f t="shared" si="26"/>
        <v>46086.791666666664</v>
      </c>
      <c r="DC8" s="3832">
        <f t="shared" si="10"/>
        <v>552.20378437975523</v>
      </c>
      <c r="DE8" s="3835">
        <f t="shared" si="27"/>
        <v>46086.791666666664</v>
      </c>
      <c r="DG8" s="4229">
        <f>+('R+P'!BD12-'ST Original'!AX12)*-1</f>
        <v>-0.47686328637194109</v>
      </c>
      <c r="DI8" s="3835">
        <f t="shared" si="28"/>
        <v>46086.791666666664</v>
      </c>
      <c r="DK8" s="4229">
        <f>+'R+P'!BE12-'ST Original'!AT12</f>
        <v>1.1006489865788609</v>
      </c>
      <c r="DM8" s="3835">
        <f t="shared" si="29"/>
        <v>46086.791666666664</v>
      </c>
      <c r="DO8" s="4229">
        <f>+('R+P'!DC12-'ST Original'!AU12)*-1</f>
        <v>15.202018036828235</v>
      </c>
      <c r="DQ8" s="3835">
        <f t="shared" si="30"/>
        <v>46086.791666666664</v>
      </c>
      <c r="DS8" s="4229">
        <f>+('R+P'!K12-'ST Original'!K12)*-1</f>
        <v>20.705201888838957</v>
      </c>
      <c r="DU8" s="3819">
        <f t="shared" si="31"/>
        <v>46086.791666666664</v>
      </c>
      <c r="DW8" s="3834">
        <f>+'R+P'!C12/1000</f>
        <v>194.21850000000001</v>
      </c>
      <c r="DX8" s="3834">
        <f>+'R+P'!D12/1000</f>
        <v>675.77679680000006</v>
      </c>
      <c r="DY8" s="3834">
        <f>+'R+P'!E12/1000</f>
        <v>164.03884960937501</v>
      </c>
    </row>
    <row r="9" spans="1:129" ht="15" thickTop="1" thickBot="1">
      <c r="A9" s="3810">
        <f t="shared" si="32"/>
        <v>6</v>
      </c>
      <c r="B9" s="3813">
        <f t="shared" si="32"/>
        <v>46087.791666666664</v>
      </c>
      <c r="C9" s="3837">
        <f>+'R+P'!E13</f>
        <v>152878.49609375</v>
      </c>
      <c r="D9" s="3824">
        <f>+'R+P'!J13%*100</f>
        <v>72.794432120961318</v>
      </c>
      <c r="E9" s="3825">
        <f>+'R+P'!BH13</f>
        <v>8750.5831856133755</v>
      </c>
      <c r="F9" s="3838">
        <f>+'R+P'!L13</f>
        <v>0.48054678130049139</v>
      </c>
      <c r="G9" s="3839">
        <f>+'R+P'!M13</f>
        <v>90.812762789164807</v>
      </c>
      <c r="H9" s="3840">
        <f t="shared" si="11"/>
        <v>667.15840676364382</v>
      </c>
      <c r="I9" s="3841">
        <f t="shared" si="0"/>
        <v>186.68743172193501</v>
      </c>
      <c r="J9" s="3842">
        <f>+'R+P'!AO13</f>
        <v>853.84583848557884</v>
      </c>
      <c r="K9" s="3837">
        <f>+'ST Original'!E13</f>
        <v>151106.59841900799</v>
      </c>
      <c r="L9" s="3824">
        <f>+'ST Original'!J13</f>
        <v>71.209860387756578</v>
      </c>
      <c r="M9" s="3825">
        <f>+'ST Original'!BT13</f>
        <v>8846.2316384717979</v>
      </c>
      <c r="N9" s="3838">
        <f>+'ST Original'!L13</f>
        <v>0.53151821193003124</v>
      </c>
      <c r="O9" s="3839">
        <f>+'ST Original'!M13</f>
        <v>90.255537453585774</v>
      </c>
      <c r="P9" s="3843">
        <f t="shared" si="12"/>
        <v>724.89555330939629</v>
      </c>
      <c r="Q9" s="3823">
        <f t="shared" si="13"/>
        <v>8.500229366411105</v>
      </c>
      <c r="R9" s="3825">
        <f t="shared" si="14"/>
        <v>60.510600543534359</v>
      </c>
      <c r="S9" s="3825">
        <f t="shared" si="15"/>
        <v>-29.723547760896764</v>
      </c>
      <c r="T9" s="3825">
        <f t="shared" si="16"/>
        <v>-291.58968255745276</v>
      </c>
      <c r="U9" s="3825">
        <f t="shared" si="17"/>
        <v>18.657242041168704</v>
      </c>
      <c r="V9" s="3843">
        <f t="shared" si="18"/>
        <v>-57.737146545752466</v>
      </c>
      <c r="W9" s="3837">
        <f t="shared" si="33"/>
        <v>222.81619747565446</v>
      </c>
      <c r="X9" s="3841">
        <f t="shared" si="19"/>
        <v>149.68420827126826</v>
      </c>
      <c r="Y9" s="3841">
        <f t="shared" si="19"/>
        <v>928.17835741237377</v>
      </c>
      <c r="Z9" s="3841">
        <f t="shared" si="19"/>
        <v>582.41982779855005</v>
      </c>
      <c r="AA9" s="3841">
        <f t="shared" si="19"/>
        <v>70.222431250731447</v>
      </c>
      <c r="AB9" s="3843">
        <f t="shared" si="19"/>
        <v>353.466179877147</v>
      </c>
      <c r="AC9" s="3811"/>
      <c r="AD9" s="3847" t="s">
        <v>1801</v>
      </c>
      <c r="AE9" s="3848">
        <f>+AE5*24*$B$35*AE6%*AE7%*AE8%</f>
        <v>28318.351668204941</v>
      </c>
      <c r="AF9" s="3848">
        <f t="shared" ref="AF9:AJ9" si="36">+AF5*24*$B$35*AF6%*AF7%*AF8%</f>
        <v>28232.189627637264</v>
      </c>
      <c r="AG9" s="3848">
        <f t="shared" si="36"/>
        <v>28210.304965197007</v>
      </c>
      <c r="AH9" s="3848">
        <f t="shared" si="36"/>
        <v>27330.823602979275</v>
      </c>
      <c r="AI9" s="3848">
        <f>+AI5*24*$B$35*AI6%*AI7%*AI8%</f>
        <v>27362.020259444642</v>
      </c>
      <c r="AJ9" s="3848">
        <f t="shared" si="36"/>
        <v>27362.020259444642</v>
      </c>
      <c r="AK9" s="3848"/>
      <c r="AL9" s="3848"/>
      <c r="CB9" s="3819">
        <f t="shared" si="20"/>
        <v>46087.791666666664</v>
      </c>
      <c r="CD9" s="3832">
        <f t="shared" si="21"/>
        <v>1.7718976747420092</v>
      </c>
      <c r="CE9" s="3832">
        <f t="shared" si="34"/>
        <v>48.962247038267257</v>
      </c>
      <c r="CF9" s="3819">
        <f t="shared" si="22"/>
        <v>46087.791666666664</v>
      </c>
      <c r="CG9" s="3832"/>
      <c r="CH9" s="4258">
        <f t="shared" si="23"/>
        <v>-5.0971430629539849E-2</v>
      </c>
      <c r="CI9" s="4258">
        <f>+'R+P'!DH13-'ST Original'!II13</f>
        <v>1.3442514997751287E-2</v>
      </c>
      <c r="CJ9" s="3819">
        <f t="shared" si="2"/>
        <v>46087.791666666664</v>
      </c>
      <c r="CL9" s="4230">
        <f t="shared" si="24"/>
        <v>0.55722533557903375</v>
      </c>
      <c r="CM9" s="4230">
        <f>+'R+P'!DJ13-'ST Original'!IK13</f>
        <v>0.35233335389048648</v>
      </c>
      <c r="CN9" s="3819">
        <f t="shared" si="3"/>
        <v>46087.791666666664</v>
      </c>
      <c r="CO9" s="3832"/>
      <c r="CP9" s="3832">
        <f t="shared" si="4"/>
        <v>667.15840676364382</v>
      </c>
      <c r="CQ9" s="3832">
        <f t="shared" si="5"/>
        <v>724.89555330939629</v>
      </c>
      <c r="CR9" s="3819">
        <f t="shared" si="35"/>
        <v>46087.791666666664</v>
      </c>
      <c r="CS9" s="3832"/>
      <c r="CT9" s="3832">
        <f t="shared" si="6"/>
        <v>-57.737146545752466</v>
      </c>
      <c r="CU9" s="3832">
        <f t="shared" si="7"/>
        <v>353.466179877147</v>
      </c>
      <c r="CW9" s="3819">
        <f t="shared" si="8"/>
        <v>46087.791666666664</v>
      </c>
      <c r="CY9" s="3832">
        <f t="shared" si="9"/>
        <v>1.58457173320474</v>
      </c>
      <c r="DA9" s="3819">
        <f t="shared" si="26"/>
        <v>46087.791666666664</v>
      </c>
      <c r="DC9" s="3832">
        <f t="shared" si="10"/>
        <v>-95.648452858422388</v>
      </c>
      <c r="DE9" s="3835">
        <f t="shared" si="27"/>
        <v>46087.791666666664</v>
      </c>
      <c r="DG9" s="4229">
        <f>+('R+P'!BD13-'ST Original'!AX13)*-1</f>
        <v>-0.67050752271443681</v>
      </c>
      <c r="DI9" s="3835">
        <f t="shared" si="28"/>
        <v>46087.791666666664</v>
      </c>
      <c r="DK9" s="4229">
        <f>+'R+P'!BE13-'ST Original'!AT13</f>
        <v>2.6256014875695399</v>
      </c>
      <c r="DM9" s="3835">
        <f t="shared" si="29"/>
        <v>46087.791666666664</v>
      </c>
      <c r="DO9" s="4229">
        <f>+('R+P'!DC13-'ST Original'!AU13)*-1</f>
        <v>19.687614235994317</v>
      </c>
      <c r="DQ9" s="3835">
        <f t="shared" si="30"/>
        <v>46087.791666666664</v>
      </c>
      <c r="DS9" s="4229">
        <f>+('R+P'!K13-'ST Original'!K13)*-1</f>
        <v>28.351393875853105</v>
      </c>
      <c r="DU9" s="3819">
        <f t="shared" si="31"/>
        <v>46087.791666666664</v>
      </c>
      <c r="DW9" s="3834">
        <f>+'R+P'!C13/1000</f>
        <v>176.98069199999998</v>
      </c>
      <c r="DX9" s="3834">
        <f>+'R+P'!D13/1000</f>
        <v>699.37617680000005</v>
      </c>
      <c r="DY9" s="3834">
        <f>+'R+P'!E13/1000</f>
        <v>152.87849609374999</v>
      </c>
    </row>
    <row r="10" spans="1:129" ht="15" thickTop="1" thickBot="1">
      <c r="A10" s="3810">
        <f t="shared" si="32"/>
        <v>7</v>
      </c>
      <c r="B10" s="3813">
        <f t="shared" si="32"/>
        <v>46088.791666666664</v>
      </c>
      <c r="C10" s="3837">
        <f>+'R+P'!E14</f>
        <v>146198.26675415039</v>
      </c>
      <c r="D10" s="3824">
        <f>+'R+P'!J14%*100</f>
        <v>73.342620777152064</v>
      </c>
      <c r="E10" s="3825">
        <f>+'R+P'!BH14</f>
        <v>8305.6678143512345</v>
      </c>
      <c r="F10" s="3838">
        <f>+'R+P'!L14</f>
        <v>0.49060469501399878</v>
      </c>
      <c r="G10" s="3839">
        <f>+'R+P'!M14</f>
        <v>91.995220066034463</v>
      </c>
      <c r="H10" s="3840">
        <f t="shared" si="11"/>
        <v>659.840831524789</v>
      </c>
      <c r="I10" s="3841">
        <f t="shared" si="0"/>
        <v>232.12158755573239</v>
      </c>
      <c r="J10" s="3842">
        <f>+'R+P'!AO14</f>
        <v>891.96241908052139</v>
      </c>
      <c r="K10" s="3837">
        <f>+'ST Original'!E14</f>
        <v>165609.56401972804</v>
      </c>
      <c r="L10" s="3824">
        <f>+'ST Original'!J14</f>
        <v>82.012955605839991</v>
      </c>
      <c r="M10" s="3825">
        <f>+'ST Original'!BT14</f>
        <v>8419.6377551166497</v>
      </c>
      <c r="N10" s="3838">
        <f>+'ST Original'!L14</f>
        <v>0.50948477260958724</v>
      </c>
      <c r="O10" s="3839">
        <f>+'ST Original'!M14</f>
        <v>89.832031455850071</v>
      </c>
      <c r="P10" s="3843">
        <f t="shared" si="12"/>
        <v>757.96271575162632</v>
      </c>
      <c r="Q10" s="3823">
        <f t="shared" si="13"/>
        <v>-88.841726495498065</v>
      </c>
      <c r="R10" s="3825">
        <f t="shared" si="14"/>
        <v>-325.01798194661387</v>
      </c>
      <c r="S10" s="3825">
        <f t="shared" si="15"/>
        <v>-42.186136021385039</v>
      </c>
      <c r="T10" s="3825">
        <f t="shared" si="16"/>
        <v>-119.93471510092245</v>
      </c>
      <c r="U10" s="3825">
        <f t="shared" si="17"/>
        <v>76.10294553657657</v>
      </c>
      <c r="V10" s="3843">
        <f t="shared" si="18"/>
        <v>-98.121884226837324</v>
      </c>
      <c r="W10" s="3837">
        <f t="shared" si="33"/>
        <v>133.97447098015641</v>
      </c>
      <c r="X10" s="3841">
        <f t="shared" si="19"/>
        <v>-175.33377367534561</v>
      </c>
      <c r="Y10" s="3841">
        <f t="shared" si="19"/>
        <v>885.99222139098879</v>
      </c>
      <c r="Z10" s="3841">
        <f t="shared" si="19"/>
        <v>462.48511269762759</v>
      </c>
      <c r="AA10" s="3841">
        <f t="shared" si="19"/>
        <v>146.32537678730802</v>
      </c>
      <c r="AB10" s="3843">
        <f t="shared" si="19"/>
        <v>255.34429565030968</v>
      </c>
      <c r="AC10" s="3811"/>
      <c r="AD10" s="3847" t="s">
        <v>797</v>
      </c>
      <c r="AE10" s="3848">
        <f>+(AD13-AD12)</f>
        <v>2999.2627463052013</v>
      </c>
      <c r="AF10" s="3848"/>
      <c r="AG10" s="3848"/>
      <c r="AH10" s="3848"/>
      <c r="AI10" s="3848"/>
      <c r="AJ10" s="3848"/>
      <c r="AK10" s="3848"/>
      <c r="AL10" s="3848"/>
      <c r="CB10" s="3819">
        <f t="shared" si="20"/>
        <v>46088.791666666664</v>
      </c>
      <c r="CD10" s="3832">
        <f t="shared" si="21"/>
        <v>-19.411297265577655</v>
      </c>
      <c r="CE10" s="3832">
        <f t="shared" si="34"/>
        <v>29.550949772689602</v>
      </c>
      <c r="CF10" s="3819">
        <f t="shared" si="22"/>
        <v>46088.791666666664</v>
      </c>
      <c r="CG10" s="3832"/>
      <c r="CH10" s="4258">
        <f t="shared" si="23"/>
        <v>-1.8880077595588463E-2</v>
      </c>
      <c r="CI10" s="4258">
        <f>+'R+P'!DH14-'ST Original'!II14</f>
        <v>8.9284939833774724E-3</v>
      </c>
      <c r="CJ10" s="3819">
        <f t="shared" si="2"/>
        <v>46088.791666666664</v>
      </c>
      <c r="CL10" s="4230">
        <f t="shared" si="24"/>
        <v>2.1631886101843918</v>
      </c>
      <c r="CM10" s="4230">
        <f>+'R+P'!DJ14-'ST Original'!IK14</f>
        <v>0.62213121326703913</v>
      </c>
      <c r="CN10" s="3819">
        <f t="shared" si="3"/>
        <v>46088.791666666664</v>
      </c>
      <c r="CO10" s="3832"/>
      <c r="CP10" s="3832">
        <f t="shared" si="4"/>
        <v>659.840831524789</v>
      </c>
      <c r="CQ10" s="3832">
        <f t="shared" si="5"/>
        <v>757.96271575162632</v>
      </c>
      <c r="CR10" s="3819">
        <f t="shared" si="35"/>
        <v>46088.791666666664</v>
      </c>
      <c r="CS10" s="3832"/>
      <c r="CT10" s="3832">
        <f t="shared" si="6"/>
        <v>-98.121884226837324</v>
      </c>
      <c r="CU10" s="3832">
        <f t="shared" si="7"/>
        <v>255.34429565030968</v>
      </c>
      <c r="CW10" s="3819">
        <f t="shared" si="8"/>
        <v>46088.791666666664</v>
      </c>
      <c r="CY10" s="3832">
        <f t="shared" si="9"/>
        <v>-8.6703348286879276</v>
      </c>
      <c r="DA10" s="3819">
        <f t="shared" si="26"/>
        <v>46088.791666666664</v>
      </c>
      <c r="DC10" s="3832">
        <f t="shared" si="10"/>
        <v>-113.96994076541523</v>
      </c>
      <c r="DE10" s="3835">
        <f t="shared" si="27"/>
        <v>46088.791666666664</v>
      </c>
      <c r="DG10" s="4229">
        <f>+('R+P'!BD14-'ST Original'!AX14)*-1</f>
        <v>-1.1742277653118927</v>
      </c>
      <c r="DI10" s="3835">
        <f t="shared" si="28"/>
        <v>46088.791666666664</v>
      </c>
      <c r="DK10" s="4229">
        <f>+'R+P'!BE14-'ST Original'!AT14</f>
        <v>1.176191543182675</v>
      </c>
      <c r="DM10" s="3835">
        <f t="shared" si="29"/>
        <v>46088.791666666664</v>
      </c>
      <c r="DO10" s="4229">
        <f>+('R+P'!DC14-'ST Original'!AU14)*-1</f>
        <v>-9.3394475313534571</v>
      </c>
      <c r="DQ10" s="3835">
        <f t="shared" si="30"/>
        <v>46088.791666666664</v>
      </c>
      <c r="DS10" s="4229">
        <f>+('R+P'!K14-'ST Original'!K14)*-1</f>
        <v>-4.1524988788367381</v>
      </c>
      <c r="DU10" s="3819">
        <f t="shared" si="31"/>
        <v>46088.791666666664</v>
      </c>
      <c r="DW10" s="3834">
        <f>+'R+P'!C14/1000</f>
        <v>159.28360000000001</v>
      </c>
      <c r="DX10" s="3834">
        <f>+'R+P'!D14/1000</f>
        <v>711.98205680000001</v>
      </c>
      <c r="DY10" s="3834">
        <f>+'R+P'!E14/1000</f>
        <v>146.19826675415038</v>
      </c>
    </row>
    <row r="11" spans="1:129" ht="15" thickTop="1" thickBot="1">
      <c r="A11" s="3810">
        <f t="shared" si="32"/>
        <v>8</v>
      </c>
      <c r="B11" s="3813">
        <f t="shared" si="32"/>
        <v>46089.791666666664</v>
      </c>
      <c r="C11" s="3837">
        <f>+'R+P'!E15</f>
        <v>168405.05169918062</v>
      </c>
      <c r="D11" s="3824">
        <f>+'R+P'!J15%*100</f>
        <v>86.863706445214788</v>
      </c>
      <c r="E11" s="3825">
        <f>+'R+P'!BH15</f>
        <v>8078.0310227241944</v>
      </c>
      <c r="F11" s="3838">
        <f>+'R+P'!L15</f>
        <v>0.45280785718900496</v>
      </c>
      <c r="G11" s="3839">
        <f>+'R+P'!M15</f>
        <v>89.265649751578508</v>
      </c>
      <c r="H11" s="3840">
        <f t="shared" si="11"/>
        <v>680.69637798745532</v>
      </c>
      <c r="I11" s="3841">
        <f t="shared" si="0"/>
        <v>237.96603999511228</v>
      </c>
      <c r="J11" s="3842">
        <f>+'R+P'!AO15</f>
        <v>918.6624179825676</v>
      </c>
      <c r="K11" s="3837">
        <f>+'ST Original'!E15</f>
        <v>202920.17669039228</v>
      </c>
      <c r="L11" s="3824">
        <f>+'ST Original'!J15</f>
        <v>97.885672723806138</v>
      </c>
      <c r="M11" s="3825">
        <f>+'ST Original'!BT15</f>
        <v>8643.6377662236137</v>
      </c>
      <c r="N11" s="3838">
        <f>+'ST Original'!L15</f>
        <v>0.49383422810273897</v>
      </c>
      <c r="O11" s="3839">
        <f>+'ST Original'!M15</f>
        <v>89.507920876634486</v>
      </c>
      <c r="P11" s="3843">
        <f t="shared" si="12"/>
        <v>896.94928721651058</v>
      </c>
      <c r="Q11" s="3823">
        <f t="shared" si="13"/>
        <v>-152.56401440203291</v>
      </c>
      <c r="R11" s="3825">
        <f t="shared" si="14"/>
        <v>-359.88431528596874</v>
      </c>
      <c r="S11" s="3825">
        <f t="shared" si="15"/>
        <v>-223.78554635310203</v>
      </c>
      <c r="T11" s="3825">
        <f t="shared" si="16"/>
        <v>-309.85831926902023</v>
      </c>
      <c r="U11" s="3825">
        <f t="shared" si="17"/>
        <v>-10.122750490528299</v>
      </c>
      <c r="V11" s="3843">
        <f t="shared" si="18"/>
        <v>-216.25290922905526</v>
      </c>
      <c r="W11" s="3837">
        <f t="shared" si="33"/>
        <v>-18.589543421876499</v>
      </c>
      <c r="X11" s="3841">
        <f t="shared" si="19"/>
        <v>-535.21808896131438</v>
      </c>
      <c r="Y11" s="3841">
        <f t="shared" si="19"/>
        <v>662.20667503788673</v>
      </c>
      <c r="Z11" s="3841">
        <f t="shared" si="19"/>
        <v>152.62679342860736</v>
      </c>
      <c r="AA11" s="3841">
        <f t="shared" si="19"/>
        <v>136.20262629677973</v>
      </c>
      <c r="AB11" s="3843">
        <f t="shared" si="19"/>
        <v>39.091386421254413</v>
      </c>
      <c r="AC11" s="3811"/>
      <c r="AE11" s="3854">
        <f>+AE9</f>
        <v>28318.351668204941</v>
      </c>
      <c r="AF11" s="3854">
        <f>+AF9-AE9</f>
        <v>-86.16204056767674</v>
      </c>
      <c r="AG11" s="3854">
        <f>+AG9-AF9</f>
        <v>-21.884662440257671</v>
      </c>
      <c r="AH11" s="3854">
        <f>+AH9-AG9</f>
        <v>-879.48136221773166</v>
      </c>
      <c r="AI11" s="3854">
        <f>+AI9-AH9</f>
        <v>31.196656465366686</v>
      </c>
      <c r="AJ11" s="3854">
        <f>+AJ9</f>
        <v>27362.020259444642</v>
      </c>
      <c r="AK11" s="3854">
        <f>+AL11-AJ11</f>
        <v>86.724087226019037</v>
      </c>
      <c r="AL11" s="3854">
        <f>+J35</f>
        <v>27448.744346670661</v>
      </c>
      <c r="CB11" s="3819">
        <f t="shared" si="20"/>
        <v>46089.791666666664</v>
      </c>
      <c r="CD11" s="3832">
        <f t="shared" si="21"/>
        <v>-34.515124991211664</v>
      </c>
      <c r="CE11" s="3832">
        <f t="shared" si="34"/>
        <v>-4.9641752185220618</v>
      </c>
      <c r="CF11" s="3819">
        <f t="shared" si="22"/>
        <v>46089.791666666664</v>
      </c>
      <c r="CG11" s="3832"/>
      <c r="CH11" s="4258">
        <f t="shared" si="23"/>
        <v>-4.1026370913734012E-2</v>
      </c>
      <c r="CI11" s="4258">
        <f>+'R+P'!DH15-'ST Original'!II15</f>
        <v>2.4387952256121892E-3</v>
      </c>
      <c r="CJ11" s="3819">
        <f t="shared" si="2"/>
        <v>46089.791666666664</v>
      </c>
      <c r="CL11" s="4230">
        <f t="shared" si="24"/>
        <v>-0.24227112505597859</v>
      </c>
      <c r="CM11" s="4230">
        <f>+'R+P'!DJ15-'ST Original'!IK15</f>
        <v>0.52794029475698778</v>
      </c>
      <c r="CN11" s="3819">
        <f t="shared" si="3"/>
        <v>46089.791666666664</v>
      </c>
      <c r="CO11" s="3832"/>
      <c r="CP11" s="3832">
        <f t="shared" si="4"/>
        <v>680.69637798745532</v>
      </c>
      <c r="CQ11" s="3832">
        <f t="shared" si="5"/>
        <v>896.94928721651058</v>
      </c>
      <c r="CR11" s="3819">
        <f t="shared" si="35"/>
        <v>46089.791666666664</v>
      </c>
      <c r="CS11" s="3832"/>
      <c r="CT11" s="3832">
        <f t="shared" si="6"/>
        <v>-216.25290922905526</v>
      </c>
      <c r="CU11" s="3832">
        <f t="shared" si="7"/>
        <v>39.091386421254413</v>
      </c>
      <c r="CW11" s="3819">
        <f t="shared" si="8"/>
        <v>46089.791666666664</v>
      </c>
      <c r="CY11" s="3832">
        <f t="shared" si="9"/>
        <v>-11.02196627859135</v>
      </c>
      <c r="DA11" s="3819">
        <f t="shared" si="26"/>
        <v>46089.791666666664</v>
      </c>
      <c r="DC11" s="3832">
        <f t="shared" si="10"/>
        <v>-565.60674349941928</v>
      </c>
      <c r="DE11" s="3835">
        <f t="shared" si="27"/>
        <v>46089.791666666664</v>
      </c>
      <c r="DG11" s="4229">
        <f>+('R+P'!BD15-'ST Original'!AX15)*-1</f>
        <v>-0.76043289229744593</v>
      </c>
      <c r="DI11" s="3835">
        <f t="shared" si="28"/>
        <v>46089.791666666664</v>
      </c>
      <c r="DK11" s="4229">
        <f>+'R+P'!BE15-'ST Original'!AT15</f>
        <v>2.1725513927516005</v>
      </c>
      <c r="DM11" s="3835">
        <f t="shared" si="29"/>
        <v>46089.791666666664</v>
      </c>
      <c r="DO11" s="4229">
        <f>+('R+P'!DC15-'ST Original'!AU15)*-1</f>
        <v>-7.2777111514549944</v>
      </c>
      <c r="DQ11" s="3835">
        <f t="shared" si="30"/>
        <v>46089.791666666664</v>
      </c>
      <c r="DS11" s="4229">
        <f>+('R+P'!K15-'ST Original'!K15)*-1</f>
        <v>-6.2401896543953157</v>
      </c>
      <c r="DU11" s="3819">
        <f t="shared" si="31"/>
        <v>46089.791666666664</v>
      </c>
      <c r="DW11" s="3834">
        <f>+'R+P'!C15/1000</f>
        <v>184.59307999999999</v>
      </c>
      <c r="DX11" s="3834">
        <f>+'R+P'!D15/1000</f>
        <v>727.61627959999998</v>
      </c>
      <c r="DY11" s="3834">
        <f>+'R+P'!E15/1000</f>
        <v>168.40505169918063</v>
      </c>
    </row>
    <row r="12" spans="1:129" ht="15" thickTop="1" thickBot="1">
      <c r="A12" s="3810">
        <f t="shared" si="32"/>
        <v>9</v>
      </c>
      <c r="B12" s="3813">
        <f t="shared" si="32"/>
        <v>46090.791666666664</v>
      </c>
      <c r="C12" s="3837">
        <f>+'R+P'!E16</f>
        <v>178661.44506835938</v>
      </c>
      <c r="D12" s="3824">
        <f>+'R+P'!J16%*100</f>
        <v>88.758791666666639</v>
      </c>
      <c r="E12" s="3825">
        <f>+'R+P'!BH16</f>
        <v>8387.0304429166608</v>
      </c>
      <c r="F12" s="3838">
        <f>+'R+P'!L16</f>
        <v>0.49214030023699734</v>
      </c>
      <c r="G12" s="3839">
        <f>+'R+P'!M16</f>
        <v>90.683867345650697</v>
      </c>
      <c r="H12" s="3840">
        <f t="shared" si="11"/>
        <v>797.35148097685976</v>
      </c>
      <c r="I12" s="3841">
        <f t="shared" si="0"/>
        <v>-124.92654497153478</v>
      </c>
      <c r="J12" s="3842">
        <f>+'R+P'!AO16</f>
        <v>672.42493600532498</v>
      </c>
      <c r="K12" s="3837">
        <f>+'ST Original'!E16</f>
        <v>180399.7506785398</v>
      </c>
      <c r="L12" s="3824">
        <f>+'ST Original'!J16</f>
        <v>83.146721114266157</v>
      </c>
      <c r="M12" s="3825">
        <f>+'ST Original'!BT16</f>
        <v>9046.5140478340509</v>
      </c>
      <c r="N12" s="3838">
        <f>+'ST Original'!L16</f>
        <v>0.51530782874982706</v>
      </c>
      <c r="O12" s="3839">
        <f>+'ST Original'!M16</f>
        <v>89.465286058888495</v>
      </c>
      <c r="P12" s="3843">
        <f t="shared" si="12"/>
        <v>831.68185860124106</v>
      </c>
      <c r="Q12" s="3823">
        <f t="shared" si="13"/>
        <v>-8.0139647380554919</v>
      </c>
      <c r="R12" s="3825">
        <f t="shared" si="14"/>
        <v>210.06335833882881</v>
      </c>
      <c r="S12" s="3825">
        <f t="shared" si="15"/>
        <v>-244.71922780908085</v>
      </c>
      <c r="T12" s="3825">
        <f t="shared" si="16"/>
        <v>-158.0287586340655</v>
      </c>
      <c r="U12" s="3825">
        <f t="shared" si="17"/>
        <v>47.233228810577678</v>
      </c>
      <c r="V12" s="3843">
        <f t="shared" si="18"/>
        <v>-34.330377624381299</v>
      </c>
      <c r="W12" s="3837">
        <f t="shared" si="33"/>
        <v>-26.603508159931991</v>
      </c>
      <c r="X12" s="3841">
        <f t="shared" si="19"/>
        <v>-325.15473062248554</v>
      </c>
      <c r="Y12" s="3841">
        <f t="shared" si="19"/>
        <v>417.48744722880588</v>
      </c>
      <c r="Z12" s="3841">
        <f t="shared" si="19"/>
        <v>-5.40196520545814</v>
      </c>
      <c r="AA12" s="3841">
        <f t="shared" si="19"/>
        <v>183.43585510735741</v>
      </c>
      <c r="AB12" s="3843">
        <f t="shared" si="19"/>
        <v>4.7610087968731136</v>
      </c>
      <c r="AC12" s="3811"/>
      <c r="AD12" s="3848">
        <v>26821.5980382454</v>
      </c>
      <c r="AE12" s="3831" t="s">
        <v>9</v>
      </c>
      <c r="AF12" s="3831" t="s">
        <v>23</v>
      </c>
      <c r="AG12" s="3831" t="s">
        <v>22</v>
      </c>
      <c r="AH12" s="3831" t="s">
        <v>24</v>
      </c>
      <c r="AI12" s="3831" t="s">
        <v>1778</v>
      </c>
      <c r="AJ12" s="3831" t="s">
        <v>797</v>
      </c>
      <c r="AK12" s="3831" t="s">
        <v>1422</v>
      </c>
      <c r="AL12" s="3811"/>
      <c r="CB12" s="3819">
        <f t="shared" ref="CB12:CB34" si="37">+B12</f>
        <v>46090.791666666664</v>
      </c>
      <c r="CD12" s="3832">
        <f t="shared" si="21"/>
        <v>-1.7383056101804251</v>
      </c>
      <c r="CE12" s="3832">
        <f t="shared" si="34"/>
        <v>-6.7024808287024866</v>
      </c>
      <c r="CF12" s="3819">
        <f t="shared" ref="CF12:CF34" si="38">+CB12</f>
        <v>46090.791666666664</v>
      </c>
      <c r="CG12" s="3832"/>
      <c r="CH12" s="4258">
        <f t="shared" si="23"/>
        <v>-2.3167528512829716E-2</v>
      </c>
      <c r="CI12" s="4258">
        <f>+'R+P'!DH16-'ST Original'!II16</f>
        <v>-8.5080291339867387E-4</v>
      </c>
      <c r="CJ12" s="3819">
        <f t="shared" si="2"/>
        <v>46090.791666666664</v>
      </c>
      <c r="CL12" s="4230">
        <f t="shared" si="24"/>
        <v>1.2185812867622019</v>
      </c>
      <c r="CM12" s="4230">
        <f>+'R+P'!DJ16-'ST Original'!IK16</f>
        <v>0.61703656846088961</v>
      </c>
      <c r="CN12" s="3819">
        <f t="shared" ref="CN12:CN34" si="39">+CJ12</f>
        <v>46090.791666666664</v>
      </c>
      <c r="CO12" s="3832"/>
      <c r="CP12" s="3832">
        <f t="shared" si="4"/>
        <v>797.35148097685976</v>
      </c>
      <c r="CQ12" s="3832">
        <f t="shared" si="5"/>
        <v>831.68185860124106</v>
      </c>
      <c r="CR12" s="3819">
        <f t="shared" ref="CR12:CR34" si="40">+CN12</f>
        <v>46090.791666666664</v>
      </c>
      <c r="CS12" s="3832"/>
      <c r="CT12" s="3832">
        <f t="shared" si="6"/>
        <v>-34.330377624381299</v>
      </c>
      <c r="CU12" s="3832">
        <f t="shared" si="7"/>
        <v>4.7610087968731136</v>
      </c>
      <c r="CW12" s="3819">
        <f t="shared" si="8"/>
        <v>46090.791666666664</v>
      </c>
      <c r="CY12" s="3832">
        <f t="shared" si="9"/>
        <v>5.6120705524004819</v>
      </c>
      <c r="DA12" s="3819">
        <f t="shared" ref="DA12:DA34" si="41">+CW12</f>
        <v>46090.791666666664</v>
      </c>
      <c r="DC12" s="3832">
        <f t="shared" si="10"/>
        <v>-659.48360491739004</v>
      </c>
      <c r="DE12" s="3835">
        <f t="shared" ref="DE12:DE34" si="42">+DA12</f>
        <v>46090.791666666664</v>
      </c>
      <c r="DG12" s="4229">
        <f>+('R+P'!BD16-'ST Original'!AX16)*-1</f>
        <v>-0.52193287593823712</v>
      </c>
      <c r="DI12" s="3835">
        <f t="shared" ref="DI12:DI34" si="43">+DE12</f>
        <v>46090.791666666664</v>
      </c>
      <c r="DK12" s="4229">
        <f>+'R+P'!BE16-'ST Original'!AT16</f>
        <v>1.9916723421326026</v>
      </c>
      <c r="DM12" s="3835">
        <f t="shared" ref="DM12:DM34" si="44">+DI12</f>
        <v>46090.791666666664</v>
      </c>
      <c r="DO12" s="4229">
        <f>+('R+P'!DC16-'ST Original'!AU16)*-1</f>
        <v>-2.2143905592431992</v>
      </c>
      <c r="DQ12" s="3835">
        <f t="shared" ref="DQ12:DQ34" si="45">+DM12</f>
        <v>46090.791666666664</v>
      </c>
      <c r="DS12" s="4229">
        <f>+('R+P'!K16-'ST Original'!K16)*-1</f>
        <v>3.1337839510972856</v>
      </c>
      <c r="DU12" s="3819">
        <f t="shared" ref="DU12:DU34" si="46">+DQ12</f>
        <v>46090.791666666664</v>
      </c>
      <c r="DW12" s="3834">
        <f>+'R+P'!C16/1000</f>
        <v>206.345552</v>
      </c>
      <c r="DX12" s="3834">
        <f>+'R+P'!D16/1000</f>
        <v>725.80845959999999</v>
      </c>
      <c r="DY12" s="3834">
        <f>+'R+P'!E16/1000</f>
        <v>178.66144506835937</v>
      </c>
    </row>
    <row r="13" spans="1:129" ht="15" thickTop="1" thickBot="1">
      <c r="A13" s="3810">
        <f t="shared" si="32"/>
        <v>10</v>
      </c>
      <c r="B13" s="3813">
        <f t="shared" si="32"/>
        <v>46091.791666666664</v>
      </c>
      <c r="C13" s="3837">
        <f>+'R+P'!E17</f>
        <v>176859.1845703125</v>
      </c>
      <c r="D13" s="3824">
        <f>+'R+P'!J17%*100</f>
        <v>93.041991648630784</v>
      </c>
      <c r="E13" s="3825">
        <f>+'R+P'!BH17</f>
        <v>7920.2224284481244</v>
      </c>
      <c r="F13" s="3838">
        <f>+'R+P'!L17</f>
        <v>0.46573363589994649</v>
      </c>
      <c r="G13" s="3839">
        <f>+'R+P'!M17</f>
        <v>90.647679773231701</v>
      </c>
      <c r="H13" s="3840">
        <f t="shared" si="11"/>
        <v>746.65833073101442</v>
      </c>
      <c r="I13" s="3841">
        <f t="shared" si="0"/>
        <v>-222.04723771058298</v>
      </c>
      <c r="J13" s="3842">
        <f>+'R+P'!AO17</f>
        <v>524.61109302043144</v>
      </c>
      <c r="K13" s="3837">
        <f>+'ST Original'!E17</f>
        <v>167995.49863435666</v>
      </c>
      <c r="L13" s="3824">
        <f>+'ST Original'!J17</f>
        <v>92.216845181675367</v>
      </c>
      <c r="M13" s="3825">
        <f>+'ST Original'!BT17</f>
        <v>7595.8755563461636</v>
      </c>
      <c r="N13" s="3838">
        <f>+'ST Original'!L17</f>
        <v>0.55771537034815388</v>
      </c>
      <c r="O13" s="3839">
        <f>+'ST Original'!M17</f>
        <v>90.430957181968168</v>
      </c>
      <c r="P13" s="3843">
        <f t="shared" si="12"/>
        <v>847.28084171317926</v>
      </c>
      <c r="Q13" s="3823">
        <f t="shared" si="13"/>
        <v>44.703764931485281</v>
      </c>
      <c r="R13" s="3825">
        <f t="shared" si="14"/>
        <v>27.590700030020272</v>
      </c>
      <c r="S13" s="3825">
        <f t="shared" si="15"/>
        <v>126.27409695507805</v>
      </c>
      <c r="T13" s="3825">
        <f t="shared" si="16"/>
        <v>-584.04510516121138</v>
      </c>
      <c r="U13" s="3825">
        <f t="shared" si="17"/>
        <v>8.4665192455811749</v>
      </c>
      <c r="V13" s="3843">
        <f t="shared" si="18"/>
        <v>-100.62251098216484</v>
      </c>
      <c r="W13" s="3837">
        <f t="shared" si="33"/>
        <v>18.10025677155329</v>
      </c>
      <c r="X13" s="3841">
        <f t="shared" si="19"/>
        <v>-297.56403059246526</v>
      </c>
      <c r="Y13" s="3841">
        <f t="shared" si="19"/>
        <v>543.76154418388387</v>
      </c>
      <c r="Z13" s="3841">
        <f t="shared" si="19"/>
        <v>-589.44707036666955</v>
      </c>
      <c r="AA13" s="3841">
        <f t="shared" si="19"/>
        <v>191.90237435293858</v>
      </c>
      <c r="AB13" s="3843">
        <f t="shared" si="19"/>
        <v>-95.861502185291727</v>
      </c>
      <c r="AC13" s="3811"/>
      <c r="AD13" s="3848">
        <v>29820.860784550601</v>
      </c>
      <c r="AE13" s="3848">
        <f>+AD13</f>
        <v>29820.860784550601</v>
      </c>
      <c r="AF13" s="3848">
        <f>+AF11</f>
        <v>-86.16204056767674</v>
      </c>
      <c r="AG13" s="3848">
        <f>+AG11</f>
        <v>-21.884662440257671</v>
      </c>
      <c r="AH13" s="3848">
        <f>+AH11</f>
        <v>-879.48136221773166</v>
      </c>
      <c r="AI13" s="3848">
        <f>+AI11</f>
        <v>31.196656465366686</v>
      </c>
      <c r="AJ13" s="3848">
        <f>+AK11</f>
        <v>86.724087226019037</v>
      </c>
      <c r="AK13" s="3848">
        <f>+AL11</f>
        <v>27448.744346670661</v>
      </c>
      <c r="AL13" s="3811"/>
      <c r="CB13" s="3819">
        <f t="shared" si="37"/>
        <v>46091.791666666664</v>
      </c>
      <c r="CD13" s="3832">
        <f t="shared" si="21"/>
        <v>8.8636859359558446</v>
      </c>
      <c r="CE13" s="3832">
        <f t="shared" si="34"/>
        <v>2.161205107253358</v>
      </c>
      <c r="CF13" s="3819">
        <f t="shared" si="38"/>
        <v>46091.791666666664</v>
      </c>
      <c r="CG13" s="3832"/>
      <c r="CH13" s="4258">
        <f t="shared" si="23"/>
        <v>-9.1981734448207397E-2</v>
      </c>
      <c r="CI13" s="4258">
        <f>+'R+P'!DH17-'ST Original'!II17</f>
        <v>-1.0845187390148614E-2</v>
      </c>
      <c r="CJ13" s="3819">
        <f t="shared" si="2"/>
        <v>46091.791666666664</v>
      </c>
      <c r="CL13" s="4230">
        <f t="shared" si="24"/>
        <v>0.2167225912635331</v>
      </c>
      <c r="CM13" s="4230">
        <f>+'R+P'!DJ17-'ST Original'!IK17</f>
        <v>0.57334314049842305</v>
      </c>
      <c r="CN13" s="3819">
        <f t="shared" si="39"/>
        <v>46091.791666666664</v>
      </c>
      <c r="CO13" s="3832"/>
      <c r="CP13" s="3832">
        <f t="shared" si="4"/>
        <v>746.65833073101442</v>
      </c>
      <c r="CQ13" s="3832">
        <f t="shared" si="5"/>
        <v>847.28084171317926</v>
      </c>
      <c r="CR13" s="3819">
        <f t="shared" si="40"/>
        <v>46091.791666666664</v>
      </c>
      <c r="CS13" s="3832"/>
      <c r="CT13" s="3832">
        <f t="shared" si="6"/>
        <v>-100.62251098216484</v>
      </c>
      <c r="CU13" s="3832">
        <f t="shared" si="7"/>
        <v>-95.861502185291727</v>
      </c>
      <c r="CW13" s="3819">
        <f t="shared" si="8"/>
        <v>46091.791666666664</v>
      </c>
      <c r="CY13" s="3832">
        <f t="shared" si="9"/>
        <v>0.82514646695541671</v>
      </c>
      <c r="DA13" s="3819">
        <f t="shared" si="41"/>
        <v>46091.791666666664</v>
      </c>
      <c r="DC13" s="3832">
        <f t="shared" si="10"/>
        <v>324.3468721019608</v>
      </c>
      <c r="DE13" s="3835">
        <f t="shared" si="42"/>
        <v>46091.791666666664</v>
      </c>
      <c r="DG13" s="4229">
        <f>+('R+P'!BD17-'ST Original'!AX17)*-1</f>
        <v>-0.34820220166095872</v>
      </c>
      <c r="DI13" s="3835">
        <f t="shared" si="43"/>
        <v>46091.791666666664</v>
      </c>
      <c r="DK13" s="4229">
        <f>+'R+P'!BE17-'ST Original'!AT17</f>
        <v>1.5583840938571569</v>
      </c>
      <c r="DM13" s="3835">
        <f t="shared" si="44"/>
        <v>46091.791666666664</v>
      </c>
      <c r="DO13" s="4229">
        <f>+('R+P'!DC17-'ST Original'!AU17)*-1</f>
        <v>11.872786213789794</v>
      </c>
      <c r="DQ13" s="3835">
        <f t="shared" si="45"/>
        <v>46091.791666666664</v>
      </c>
      <c r="DS13" s="4229">
        <f>+('R+P'!K17-'ST Original'!K17)*-1</f>
        <v>18.005799570184379</v>
      </c>
      <c r="DU13" s="3819">
        <f t="shared" si="46"/>
        <v>46091.791666666664</v>
      </c>
      <c r="DW13" s="3834">
        <f>+'R+P'!C17/1000</f>
        <v>93.058755999999988</v>
      </c>
      <c r="DX13" s="3834">
        <f>+'R+P'!D17/1000</f>
        <v>641.42626240000004</v>
      </c>
      <c r="DY13" s="3834">
        <f>+'R+P'!E17/1000</f>
        <v>176.85918457031249</v>
      </c>
    </row>
    <row r="14" spans="1:129" ht="15" thickTop="1" thickBot="1">
      <c r="A14" s="3810">
        <f t="shared" si="32"/>
        <v>11</v>
      </c>
      <c r="B14" s="3813">
        <f t="shared" si="32"/>
        <v>46092.791666666664</v>
      </c>
      <c r="C14" s="3837">
        <f>+'R+P'!E18</f>
        <v>180799.115234375</v>
      </c>
      <c r="D14" s="3824">
        <f>+'R+P'!J18%*100</f>
        <v>99.899182686389025</v>
      </c>
      <c r="E14" s="3825">
        <f>+'R+P'!BH18</f>
        <v>7540.8989998927682</v>
      </c>
      <c r="F14" s="3838">
        <f>+'R+P'!L18</f>
        <v>0.47658156517142597</v>
      </c>
      <c r="G14" s="3839">
        <f>+'R+P'!M18</f>
        <v>90.386544993863694</v>
      </c>
      <c r="H14" s="3840">
        <f t="shared" si="11"/>
        <v>778.82041312567537</v>
      </c>
      <c r="I14" s="3841">
        <f t="shared" si="0"/>
        <v>69.268251083996574</v>
      </c>
      <c r="J14" s="3842">
        <f>+'R+P'!AO18</f>
        <v>848.08866420967195</v>
      </c>
      <c r="K14" s="3837">
        <f>+'ST Original'!E18</f>
        <v>194556.4274488097</v>
      </c>
      <c r="L14" s="3824">
        <f>+'ST Original'!J18</f>
        <v>97.885672723806138</v>
      </c>
      <c r="M14" s="3825">
        <f>+'ST Original'!BT18</f>
        <v>8287.3734459827065</v>
      </c>
      <c r="N14" s="3838">
        <f>+'ST Original'!L18</f>
        <v>0.51805503431547117</v>
      </c>
      <c r="O14" s="3839">
        <f>+'ST Original'!M18</f>
        <v>89.867717301530561</v>
      </c>
      <c r="P14" s="3843">
        <f t="shared" si="12"/>
        <v>905.78514057582606</v>
      </c>
      <c r="Q14" s="3823">
        <f t="shared" si="13"/>
        <v>-64.049125189533811</v>
      </c>
      <c r="R14" s="3825">
        <f t="shared" si="14"/>
        <v>65.406051494533614</v>
      </c>
      <c r="S14" s="3825">
        <f t="shared" si="15"/>
        <v>-314.75678466030774</v>
      </c>
      <c r="T14" s="3825">
        <f t="shared" si="16"/>
        <v>-304.09563737818291</v>
      </c>
      <c r="U14" s="3825">
        <f t="shared" si="17"/>
        <v>21.803945418457797</v>
      </c>
      <c r="V14" s="3843">
        <f t="shared" si="18"/>
        <v>-126.96472745015069</v>
      </c>
      <c r="W14" s="3837">
        <f t="shared" si="33"/>
        <v>-45.94886841798052</v>
      </c>
      <c r="X14" s="3841">
        <f t="shared" si="19"/>
        <v>-232.15797909793164</v>
      </c>
      <c r="Y14" s="3841">
        <f t="shared" si="19"/>
        <v>229.00475952357613</v>
      </c>
      <c r="Z14" s="3841">
        <f t="shared" si="19"/>
        <v>-893.54270774485246</v>
      </c>
      <c r="AA14" s="3841">
        <f t="shared" si="19"/>
        <v>213.70631977139638</v>
      </c>
      <c r="AB14" s="3843">
        <f t="shared" si="19"/>
        <v>-222.82622963544242</v>
      </c>
      <c r="AC14" s="3811"/>
      <c r="AD14" s="3811"/>
      <c r="AE14" s="3811"/>
      <c r="AF14" s="3811"/>
      <c r="AG14" s="3811"/>
      <c r="AH14" s="3811"/>
      <c r="AI14" s="3811"/>
      <c r="AJ14" s="3811"/>
      <c r="AK14" s="3811"/>
      <c r="AL14" s="3811">
        <f>+AL11*0.9644</f>
        <v>26471.569047929188</v>
      </c>
      <c r="CB14" s="3819">
        <f t="shared" si="37"/>
        <v>46092.791666666664</v>
      </c>
      <c r="CD14" s="3832">
        <f t="shared" si="21"/>
        <v>-13.7573122144347</v>
      </c>
      <c r="CE14" s="3832">
        <f t="shared" si="34"/>
        <v>-11.596107107181343</v>
      </c>
      <c r="CF14" s="3819">
        <f t="shared" si="38"/>
        <v>46092.791666666664</v>
      </c>
      <c r="CG14" s="3832"/>
      <c r="CH14" s="4258">
        <f t="shared" si="23"/>
        <v>-4.1473469144045205E-2</v>
      </c>
      <c r="CI14" s="4258">
        <f>+'R+P'!DH18-'ST Original'!II18</f>
        <v>-1.4041663894189316E-2</v>
      </c>
      <c r="CJ14" s="3819">
        <f t="shared" si="2"/>
        <v>46092.791666666664</v>
      </c>
      <c r="CL14" s="4230">
        <f t="shared" si="24"/>
        <v>0.51882769233313297</v>
      </c>
      <c r="CM14" s="4230">
        <f>+'R+P'!DJ18-'ST Original'!IK18</f>
        <v>0.57009758536996458</v>
      </c>
      <c r="CN14" s="3819">
        <f t="shared" si="39"/>
        <v>46092.791666666664</v>
      </c>
      <c r="CO14" s="3832"/>
      <c r="CP14" s="3832">
        <f t="shared" si="4"/>
        <v>778.82041312567537</v>
      </c>
      <c r="CQ14" s="3832">
        <f t="shared" si="5"/>
        <v>905.78514057582606</v>
      </c>
      <c r="CR14" s="3819">
        <f t="shared" si="40"/>
        <v>46092.791666666664</v>
      </c>
      <c r="CS14" s="3832"/>
      <c r="CT14" s="3832">
        <f t="shared" si="6"/>
        <v>-126.96472745015069</v>
      </c>
      <c r="CU14" s="3832">
        <f t="shared" si="7"/>
        <v>-222.82622963544242</v>
      </c>
      <c r="CW14" s="3819">
        <f t="shared" si="8"/>
        <v>46092.791666666664</v>
      </c>
      <c r="CY14" s="3832">
        <f t="shared" si="9"/>
        <v>2.0135099625828872</v>
      </c>
      <c r="DA14" s="3819">
        <f t="shared" si="41"/>
        <v>46092.791666666664</v>
      </c>
      <c r="DC14" s="3832">
        <f t="shared" si="10"/>
        <v>-746.47444608993828</v>
      </c>
      <c r="DE14" s="3835">
        <f t="shared" si="42"/>
        <v>46092.791666666664</v>
      </c>
      <c r="DG14" s="4229">
        <f>+('R+P'!BD18-'ST Original'!AX18)*-1</f>
        <v>-0.92342909227871139</v>
      </c>
      <c r="DI14" s="3835">
        <f t="shared" si="43"/>
        <v>46092.791666666664</v>
      </c>
      <c r="DK14" s="4229">
        <f>+'R+P'!BE18-'ST Original'!AT18</f>
        <v>-1.0330785764456394</v>
      </c>
      <c r="DM14" s="3835">
        <f t="shared" si="44"/>
        <v>46092.791666666664</v>
      </c>
      <c r="DO14" s="4229">
        <f>+('R+P'!DC18-'ST Original'!AU18)*-1</f>
        <v>-8.9756524767506107</v>
      </c>
      <c r="DQ14" s="3835">
        <f t="shared" si="45"/>
        <v>46092.791666666664</v>
      </c>
      <c r="DS14" s="4229">
        <f>+('R+P'!K18-'ST Original'!K18)*-1</f>
        <v>-4.9328731673370996</v>
      </c>
      <c r="DU14" s="3819">
        <f t="shared" si="46"/>
        <v>46092.791666666664</v>
      </c>
      <c r="DW14" s="3834">
        <f>+'R+P'!C18/1000</f>
        <v>47.366838399999999</v>
      </c>
      <c r="DX14" s="3834">
        <f>+'R+P'!D18/1000</f>
        <v>507.40132799999998</v>
      </c>
      <c r="DY14" s="3834">
        <f>+'R+P'!E18/1000</f>
        <v>180.79911523437499</v>
      </c>
    </row>
    <row r="15" spans="1:129" ht="15" thickTop="1" thickBot="1">
      <c r="A15" s="3810">
        <f t="shared" si="32"/>
        <v>12</v>
      </c>
      <c r="B15" s="3813">
        <f t="shared" si="32"/>
        <v>46093.791666666664</v>
      </c>
      <c r="C15" s="3837">
        <f>+'R+P'!E19</f>
        <v>184089.18730926514</v>
      </c>
      <c r="D15" s="3824">
        <f>+'R+P'!J19%*100</f>
        <v>96.073388568699784</v>
      </c>
      <c r="E15" s="3825">
        <f>+'R+P'!BH19</f>
        <v>7983.8786981764551</v>
      </c>
      <c r="F15" s="3838">
        <f>+'R+P'!L19</f>
        <v>0.50065835137126502</v>
      </c>
      <c r="G15" s="3839">
        <f>+'R+P'!M19</f>
        <v>89.649250320746972</v>
      </c>
      <c r="H15" s="3840">
        <f t="shared" si="11"/>
        <v>826.25938911798357</v>
      </c>
      <c r="I15" s="3841">
        <f t="shared" si="0"/>
        <v>-344.63130845211737</v>
      </c>
      <c r="J15" s="3842">
        <f>+'R+P'!AO19</f>
        <v>481.62808066586621</v>
      </c>
      <c r="K15" s="3837">
        <f>+'ST Original'!E19</f>
        <v>209569.13112126503</v>
      </c>
      <c r="L15" s="3824">
        <f>+'ST Original'!J19</f>
        <v>97.885672723806138</v>
      </c>
      <c r="M15" s="3825">
        <f>+'ST Original'!BT19</f>
        <v>8926.8582648548509</v>
      </c>
      <c r="N15" s="3838">
        <f>+'ST Original'!L19</f>
        <v>0.46221007725168212</v>
      </c>
      <c r="O15" s="3839">
        <f>+'ST Original'!M19</f>
        <v>89.424533892205758</v>
      </c>
      <c r="P15" s="3843">
        <f t="shared" si="12"/>
        <v>866.21042816827116</v>
      </c>
      <c r="Q15" s="3823">
        <f t="shared" si="13"/>
        <v>-105.31604974935344</v>
      </c>
      <c r="R15" s="3825">
        <f t="shared" si="14"/>
        <v>-64.942402418213632</v>
      </c>
      <c r="S15" s="3825">
        <f t="shared" si="15"/>
        <v>-414.29485423214999</v>
      </c>
      <c r="T15" s="3825">
        <f t="shared" si="16"/>
        <v>301.19050817827241</v>
      </c>
      <c r="U15" s="3825">
        <f t="shared" si="17"/>
        <v>9.0759480854452388</v>
      </c>
      <c r="V15" s="3843">
        <f t="shared" si="18"/>
        <v>-39.951039050287591</v>
      </c>
      <c r="W15" s="3837">
        <f t="shared" si="33"/>
        <v>-151.26491816733397</v>
      </c>
      <c r="X15" s="3841">
        <f t="shared" si="19"/>
        <v>-297.10038151614526</v>
      </c>
      <c r="Y15" s="3841">
        <f t="shared" si="19"/>
        <v>-185.29009470857386</v>
      </c>
      <c r="Z15" s="3841">
        <f t="shared" si="19"/>
        <v>-592.35219956658011</v>
      </c>
      <c r="AA15" s="3841">
        <f t="shared" si="19"/>
        <v>222.78226785684163</v>
      </c>
      <c r="AB15" s="3843">
        <f t="shared" si="19"/>
        <v>-262.77726868573001</v>
      </c>
      <c r="AC15" s="3811"/>
      <c r="AD15" s="3811"/>
      <c r="AE15" s="3811"/>
      <c r="AF15" s="3811"/>
      <c r="AG15" s="3811"/>
      <c r="AH15" s="3811"/>
      <c r="AI15" s="3811"/>
      <c r="AJ15" s="3811"/>
      <c r="AK15" s="3811"/>
      <c r="AL15" s="3811"/>
      <c r="CB15" s="3819">
        <f t="shared" si="37"/>
        <v>46093.791666666664</v>
      </c>
      <c r="CD15" s="3832">
        <f t="shared" si="21"/>
        <v>-25.479943811999895</v>
      </c>
      <c r="CE15" s="3832">
        <f t="shared" si="34"/>
        <v>-37.076050919181242</v>
      </c>
      <c r="CF15" s="3819">
        <f t="shared" si="38"/>
        <v>46093.791666666664</v>
      </c>
      <c r="CG15" s="3832"/>
      <c r="CH15" s="4258">
        <f t="shared" si="23"/>
        <v>3.8448274119582904E-2</v>
      </c>
      <c r="CI15" s="4258">
        <f>+'R+P'!DH19-'ST Original'!II19</f>
        <v>-8.4714395273038368E-3</v>
      </c>
      <c r="CJ15" s="3819">
        <f t="shared" si="2"/>
        <v>46093.791666666664</v>
      </c>
      <c r="CL15" s="4230">
        <f t="shared" si="24"/>
        <v>0.22471642854121399</v>
      </c>
      <c r="CM15" s="4230">
        <f>+'R+P'!DJ19-'ST Original'!IK19</f>
        <v>0.54548144608494908</v>
      </c>
      <c r="CN15" s="3819">
        <f t="shared" si="39"/>
        <v>46093.791666666664</v>
      </c>
      <c r="CO15" s="3832"/>
      <c r="CP15" s="3832">
        <f t="shared" si="4"/>
        <v>826.25938911798357</v>
      </c>
      <c r="CQ15" s="3832">
        <f t="shared" si="5"/>
        <v>866.21042816827116</v>
      </c>
      <c r="CR15" s="3819">
        <f t="shared" si="40"/>
        <v>46093.791666666664</v>
      </c>
      <c r="CS15" s="3832"/>
      <c r="CT15" s="3832">
        <f t="shared" si="6"/>
        <v>-39.951039050287591</v>
      </c>
      <c r="CU15" s="3832">
        <f t="shared" si="7"/>
        <v>-262.77726868573001</v>
      </c>
      <c r="CW15" s="3819">
        <f t="shared" si="8"/>
        <v>46093.791666666664</v>
      </c>
      <c r="CY15" s="3832">
        <f t="shared" si="9"/>
        <v>-1.8122841551063544</v>
      </c>
      <c r="DA15" s="3819">
        <f t="shared" si="41"/>
        <v>46093.791666666664</v>
      </c>
      <c r="DC15" s="3832">
        <f t="shared" si="10"/>
        <v>-942.97956667839571</v>
      </c>
      <c r="DE15" s="3835">
        <f t="shared" si="42"/>
        <v>46093.791666666664</v>
      </c>
      <c r="DG15" s="4229">
        <f>+('R+P'!BD19-'ST Original'!AX19)*-1</f>
        <v>-0.42320049046902941</v>
      </c>
      <c r="DI15" s="3835">
        <f t="shared" si="43"/>
        <v>46093.791666666664</v>
      </c>
      <c r="DK15" s="4229">
        <f>+'R+P'!BE19-'ST Original'!AT19</f>
        <v>-1.0610147630958906</v>
      </c>
      <c r="DM15" s="3835">
        <f t="shared" si="44"/>
        <v>46093.791666666664</v>
      </c>
      <c r="DO15" s="4229">
        <f>+('R+P'!DC19-'ST Original'!AU19)*-1</f>
        <v>-5.8563526796197749</v>
      </c>
      <c r="DQ15" s="3835">
        <f t="shared" si="45"/>
        <v>46093.791666666664</v>
      </c>
      <c r="DS15" s="4229">
        <f>+('R+P'!K19-'ST Original'!K19)*-1</f>
        <v>-7.8686404263580982</v>
      </c>
      <c r="DU15" s="3819">
        <f t="shared" si="46"/>
        <v>46093.791666666664</v>
      </c>
      <c r="DW15" s="3834">
        <f>+'R+P'!C19/1000</f>
        <v>164.0239972</v>
      </c>
      <c r="DX15" s="3834">
        <f>+'R+P'!D19/1000</f>
        <v>486.20879159999998</v>
      </c>
      <c r="DY15" s="3834">
        <f>+'R+P'!E19/1000</f>
        <v>184.08918730926513</v>
      </c>
    </row>
    <row r="16" spans="1:129" ht="15" thickTop="1" thickBot="1">
      <c r="A16" s="3810">
        <f t="shared" si="32"/>
        <v>13</v>
      </c>
      <c r="B16" s="3813">
        <f t="shared" si="32"/>
        <v>46094.791666666664</v>
      </c>
      <c r="C16" s="3837">
        <f>+'R+P'!E20</f>
        <v>198001.22031784058</v>
      </c>
      <c r="D16" s="3824">
        <f>+'R+P'!J20%*100</f>
        <v>99.841697526128087</v>
      </c>
      <c r="E16" s="3825">
        <f>+'R+P'!BH20</f>
        <v>8263.1315883002626</v>
      </c>
      <c r="F16" s="3838">
        <f>+'R+P'!L20</f>
        <v>0.46982106798898832</v>
      </c>
      <c r="G16" s="3839">
        <f>+'R+P'!M20</f>
        <v>91.021522591440998</v>
      </c>
      <c r="H16" s="3840">
        <f t="shared" si="11"/>
        <v>846.7290318334542</v>
      </c>
      <c r="I16" s="3841">
        <f t="shared" si="0"/>
        <v>-110.03653497052164</v>
      </c>
      <c r="J16" s="3842">
        <f>+'R+P'!AO20</f>
        <v>736.69249686293256</v>
      </c>
      <c r="K16" s="3837">
        <f>+'ST Original'!E20</f>
        <v>205123.10200279354</v>
      </c>
      <c r="L16" s="3824">
        <f>+'ST Original'!J20</f>
        <v>97.885672723806138</v>
      </c>
      <c r="M16" s="3825">
        <f>+'ST Original'!BT20</f>
        <v>8737.4741147671793</v>
      </c>
      <c r="N16" s="3838">
        <f>+'ST Original'!L20</f>
        <v>0.50894157569520238</v>
      </c>
      <c r="O16" s="3839">
        <f>+'ST Original'!M20</f>
        <v>89.618075972381988</v>
      </c>
      <c r="P16" s="3843">
        <f t="shared" si="12"/>
        <v>935.57395104666216</v>
      </c>
      <c r="Q16" s="3823">
        <f t="shared" si="13"/>
        <v>-32.483162168577024</v>
      </c>
      <c r="R16" s="3825">
        <f t="shared" si="14"/>
        <v>69.118707753961473</v>
      </c>
      <c r="S16" s="3825">
        <f t="shared" si="15"/>
        <v>-198.55817665998029</v>
      </c>
      <c r="T16" s="3825">
        <f t="shared" si="16"/>
        <v>-304.54649841216212</v>
      </c>
      <c r="U16" s="3825">
        <f t="shared" si="17"/>
        <v>61.08982213966322</v>
      </c>
      <c r="V16" s="3843">
        <f t="shared" si="18"/>
        <v>-88.844919213207959</v>
      </c>
      <c r="W16" s="3837">
        <f t="shared" si="33"/>
        <v>-183.748080335911</v>
      </c>
      <c r="X16" s="3841">
        <f t="shared" si="19"/>
        <v>-227.98167376218379</v>
      </c>
      <c r="Y16" s="3841">
        <f t="shared" si="19"/>
        <v>-383.84827136855415</v>
      </c>
      <c r="Z16" s="3841">
        <f t="shared" si="19"/>
        <v>-896.89869797874223</v>
      </c>
      <c r="AA16" s="3841">
        <f t="shared" si="19"/>
        <v>283.87208999650483</v>
      </c>
      <c r="AB16" s="3843">
        <f t="shared" si="19"/>
        <v>-351.62218789893797</v>
      </c>
      <c r="AC16" s="3811"/>
      <c r="AD16" s="3811"/>
      <c r="AE16" s="3855" t="str">
        <f>+AE4</f>
        <v>ST</v>
      </c>
      <c r="AF16" s="3855" t="str">
        <f t="shared" ref="AF16:AL16" si="47">+AF4</f>
        <v>CM</v>
      </c>
      <c r="AG16" s="3855" t="str">
        <f t="shared" si="47"/>
        <v>TPH</v>
      </c>
      <c r="AH16" s="3855" t="str">
        <f t="shared" si="47"/>
        <v>Ley Cu</v>
      </c>
      <c r="AI16" s="3855" t="str">
        <f t="shared" si="47"/>
        <v>Rec.Cu</v>
      </c>
      <c r="AJ16" s="3855" t="str">
        <f t="shared" si="47"/>
        <v>CuFProd.-Planta</v>
      </c>
      <c r="AK16" s="3855" t="str">
        <f t="shared" si="47"/>
        <v>Inv.</v>
      </c>
      <c r="AL16" s="3855" t="str">
        <f t="shared" si="47"/>
        <v>CuFinoFiltrado</v>
      </c>
      <c r="CB16" s="3819">
        <f t="shared" si="37"/>
        <v>46094.791666666664</v>
      </c>
      <c r="CD16" s="3832">
        <f t="shared" si="21"/>
        <v>-7.1218816849529683</v>
      </c>
      <c r="CE16" s="3832">
        <f t="shared" si="34"/>
        <v>-44.197932604134209</v>
      </c>
      <c r="CF16" s="3819">
        <f t="shared" si="38"/>
        <v>46094.791666666664</v>
      </c>
      <c r="CG16" s="3832"/>
      <c r="CH16" s="4258">
        <f t="shared" si="23"/>
        <v>-3.9120507706214058E-2</v>
      </c>
      <c r="CI16" s="4258">
        <f>+'R+P'!DH20-'ST Original'!II20</f>
        <v>-1.1317697946326255E-2</v>
      </c>
      <c r="CJ16" s="3819">
        <f t="shared" si="2"/>
        <v>46094.791666666664</v>
      </c>
      <c r="CL16" s="4230">
        <f t="shared" si="24"/>
        <v>1.4034466190590109</v>
      </c>
      <c r="CM16" s="4230">
        <f>+'R+P'!DJ20-'ST Original'!IK20</f>
        <v>0.62578667852152137</v>
      </c>
      <c r="CN16" s="3819">
        <f t="shared" si="39"/>
        <v>46094.791666666664</v>
      </c>
      <c r="CO16" s="3832"/>
      <c r="CP16" s="3832">
        <f t="shared" si="4"/>
        <v>846.7290318334542</v>
      </c>
      <c r="CQ16" s="3832">
        <f t="shared" si="5"/>
        <v>935.57395104666216</v>
      </c>
      <c r="CR16" s="3819">
        <f t="shared" si="40"/>
        <v>46094.791666666664</v>
      </c>
      <c r="CS16" s="3832"/>
      <c r="CT16" s="3832">
        <f t="shared" si="6"/>
        <v>-88.844919213207959</v>
      </c>
      <c r="CU16" s="3832">
        <f t="shared" si="7"/>
        <v>-351.62218789893797</v>
      </c>
      <c r="CW16" s="3819">
        <f t="shared" si="8"/>
        <v>46094.791666666664</v>
      </c>
      <c r="CY16" s="3832">
        <f t="shared" si="9"/>
        <v>1.9560248023219486</v>
      </c>
      <c r="DA16" s="3819">
        <f t="shared" si="41"/>
        <v>46094.791666666664</v>
      </c>
      <c r="DC16" s="3832">
        <f t="shared" si="10"/>
        <v>-474.34252646691675</v>
      </c>
      <c r="DE16" s="3835">
        <f t="shared" si="42"/>
        <v>46094.791666666664</v>
      </c>
      <c r="DG16" s="4229">
        <f>+('R+P'!BD20-'ST Original'!AX20)*-1</f>
        <v>-0.45748160952987194</v>
      </c>
      <c r="DI16" s="3835">
        <f t="shared" si="43"/>
        <v>46094.791666666664</v>
      </c>
      <c r="DK16" s="4229">
        <f>+'R+P'!BE20-'ST Original'!AT20</f>
        <v>-1.1193514134974905</v>
      </c>
      <c r="DM16" s="3835">
        <f t="shared" si="44"/>
        <v>46094.791666666664</v>
      </c>
      <c r="DO16" s="4229">
        <f>+('R+P'!DC20-'ST Original'!AU20)*-1</f>
        <v>-9.3441035260105991</v>
      </c>
      <c r="DQ16" s="3835">
        <f t="shared" si="45"/>
        <v>46094.791666666664</v>
      </c>
      <c r="DS16" s="4229">
        <f>+('R+P'!K20-'ST Original'!K20)*-1</f>
        <v>-8.0544589122157859</v>
      </c>
      <c r="DU16" s="3819">
        <f t="shared" si="46"/>
        <v>46094.791666666664</v>
      </c>
      <c r="DW16" s="3834">
        <f>+'R+P'!C20/1000</f>
        <v>207.29929919999998</v>
      </c>
      <c r="DX16" s="3834">
        <f>+'R+P'!D20/1000</f>
        <v>494.54919360000002</v>
      </c>
      <c r="DY16" s="3834">
        <f>+'R+P'!E20/1000</f>
        <v>198.00122031784056</v>
      </c>
    </row>
    <row r="17" spans="1:129" ht="15" thickTop="1" thickBot="1">
      <c r="A17" s="3810">
        <f t="shared" si="32"/>
        <v>14</v>
      </c>
      <c r="B17" s="3813">
        <f t="shared" si="32"/>
        <v>46095.791666666664</v>
      </c>
      <c r="C17" s="3837">
        <f>+'R+P'!E21</f>
        <v>188416.49098777771</v>
      </c>
      <c r="D17" s="3824">
        <f>+'R+P'!J21%*100</f>
        <v>98.697736092431285</v>
      </c>
      <c r="E17" s="3825">
        <f>+'R+P'!BH21</f>
        <v>7954.2727475922075</v>
      </c>
      <c r="F17" s="3838">
        <f>+'R+P'!L21</f>
        <v>0.44887259686871089</v>
      </c>
      <c r="G17" s="3839">
        <f>+'R+P'!M21</f>
        <v>91.060718516678335</v>
      </c>
      <c r="H17" s="3840">
        <f t="shared" si="11"/>
        <v>770.14602323581585</v>
      </c>
      <c r="I17" s="3841">
        <f t="shared" si="0"/>
        <v>-89.779864523855508</v>
      </c>
      <c r="J17" s="3842">
        <f>+'R+P'!AO21</f>
        <v>680.36615871196034</v>
      </c>
      <c r="K17" s="3837">
        <f>+'ST Original'!E21</f>
        <v>191784.90070701367</v>
      </c>
      <c r="L17" s="3824">
        <f>+'ST Original'!J21</f>
        <v>97.885672723806138</v>
      </c>
      <c r="M17" s="3825">
        <f>+'ST Original'!BT21</f>
        <v>8169.31681107233</v>
      </c>
      <c r="N17" s="3838">
        <f>+'ST Original'!L21</f>
        <v>0.48919387585138341</v>
      </c>
      <c r="O17" s="3839">
        <f>+'ST Original'!M21</f>
        <v>90.761989942980776</v>
      </c>
      <c r="P17" s="3843">
        <f t="shared" si="12"/>
        <v>851.5289797214632</v>
      </c>
      <c r="Q17" s="3823">
        <f t="shared" si="13"/>
        <v>-14.95580976881338</v>
      </c>
      <c r="R17" s="3825">
        <f t="shared" si="14"/>
        <v>26.402470424804449</v>
      </c>
      <c r="S17" s="3825">
        <f t="shared" si="15"/>
        <v>-86.040069718688542</v>
      </c>
      <c r="T17" s="3825">
        <f t="shared" si="16"/>
        <v>-293.60959275057502</v>
      </c>
      <c r="U17" s="3825">
        <f t="shared" si="17"/>
        <v>11.685912907999795</v>
      </c>
      <c r="V17" s="3843">
        <f t="shared" si="18"/>
        <v>-81.382956485647355</v>
      </c>
      <c r="W17" s="3837">
        <f t="shared" si="33"/>
        <v>-198.70389010472437</v>
      </c>
      <c r="X17" s="3841">
        <f t="shared" si="19"/>
        <v>-201.57920333737934</v>
      </c>
      <c r="Y17" s="3841">
        <f t="shared" si="19"/>
        <v>-469.88834108724268</v>
      </c>
      <c r="Z17" s="3841">
        <f t="shared" si="19"/>
        <v>-1190.5082907293172</v>
      </c>
      <c r="AA17" s="3841">
        <f t="shared" si="19"/>
        <v>295.55800290450463</v>
      </c>
      <c r="AB17" s="3843">
        <f t="shared" si="19"/>
        <v>-433.00514438458532</v>
      </c>
      <c r="AC17" s="3811"/>
      <c r="AD17" s="3811"/>
      <c r="AE17" s="3811"/>
      <c r="AF17" s="3811"/>
      <c r="AG17" s="3811"/>
      <c r="AH17" s="3811"/>
      <c r="AI17" s="3811"/>
      <c r="AJ17" s="3811"/>
      <c r="AK17" s="3811"/>
      <c r="AL17" s="3811"/>
      <c r="CB17" s="3819">
        <f t="shared" si="37"/>
        <v>46095.791666666664</v>
      </c>
      <c r="CD17" s="3832">
        <f t="shared" si="21"/>
        <v>-3.3684097192359621</v>
      </c>
      <c r="CE17" s="3832">
        <f t="shared" si="34"/>
        <v>-47.566342323370172</v>
      </c>
      <c r="CF17" s="3819">
        <f t="shared" si="38"/>
        <v>46095.791666666664</v>
      </c>
      <c r="CG17" s="3832"/>
      <c r="CH17" s="4258">
        <f t="shared" si="23"/>
        <v>-4.0321278982672515E-2</v>
      </c>
      <c r="CI17" s="4258">
        <f>+'R+P'!DH21-'ST Original'!II21</f>
        <v>-1.367611296467669E-2</v>
      </c>
      <c r="CJ17" s="3819">
        <f t="shared" si="2"/>
        <v>46095.791666666664</v>
      </c>
      <c r="CL17" s="4230">
        <f t="shared" si="24"/>
        <v>0.29872857369755934</v>
      </c>
      <c r="CM17" s="4230">
        <f>+'R+P'!DJ21-'ST Original'!IK21</f>
        <v>0.59938700804055145</v>
      </c>
      <c r="CN17" s="3819">
        <f t="shared" si="39"/>
        <v>46095.791666666664</v>
      </c>
      <c r="CO17" s="3832"/>
      <c r="CP17" s="3832">
        <f t="shared" si="4"/>
        <v>770.14602323581585</v>
      </c>
      <c r="CQ17" s="3832">
        <f t="shared" si="5"/>
        <v>851.5289797214632</v>
      </c>
      <c r="CR17" s="3819">
        <f t="shared" si="40"/>
        <v>46095.791666666664</v>
      </c>
      <c r="CS17" s="3832"/>
      <c r="CT17" s="3832">
        <f t="shared" si="6"/>
        <v>-81.382956485647355</v>
      </c>
      <c r="CU17" s="3832">
        <f t="shared" si="7"/>
        <v>-433.00514438458532</v>
      </c>
      <c r="CW17" s="3819">
        <f t="shared" si="8"/>
        <v>46095.791666666664</v>
      </c>
      <c r="CY17" s="3832">
        <f t="shared" si="9"/>
        <v>0.81206336862514661</v>
      </c>
      <c r="DA17" s="3819">
        <f t="shared" si="41"/>
        <v>46095.791666666664</v>
      </c>
      <c r="DC17" s="3832">
        <f t="shared" si="10"/>
        <v>-215.04406348012253</v>
      </c>
      <c r="DE17" s="3835">
        <f t="shared" si="42"/>
        <v>46095.791666666664</v>
      </c>
      <c r="DG17" s="4229">
        <f>+('R+P'!BD21-'ST Original'!AX21)*-1</f>
        <v>-0.53003488563920609</v>
      </c>
      <c r="DI17" s="3835">
        <f t="shared" si="43"/>
        <v>46095.791666666664</v>
      </c>
      <c r="DK17" s="4229">
        <f>+'R+P'!BE21-'ST Original'!AT21</f>
        <v>0.35179947078407281</v>
      </c>
      <c r="DM17" s="3835">
        <f t="shared" si="44"/>
        <v>46095.791666666664</v>
      </c>
      <c r="DO17" s="4229">
        <f>+('R+P'!DC21-'ST Original'!AU21)*-1</f>
        <v>6.0648293866313026</v>
      </c>
      <c r="DQ17" s="3835">
        <f t="shared" si="45"/>
        <v>46095.791666666664</v>
      </c>
      <c r="DS17" s="4229">
        <f>+('R+P'!K21-'ST Original'!K21)*-1</f>
        <v>18.016944053094221</v>
      </c>
      <c r="DU17" s="3819">
        <f t="shared" si="46"/>
        <v>46095.791666666664</v>
      </c>
      <c r="DW17" s="3834">
        <f>+'R+P'!C21/1000</f>
        <v>151.40248199999999</v>
      </c>
      <c r="DX17" s="3834">
        <f>+'R+P'!D21/1000</f>
        <v>455.0077728</v>
      </c>
      <c r="DY17" s="3834">
        <f>+'R+P'!E21/1000</f>
        <v>188.41649098777771</v>
      </c>
    </row>
    <row r="18" spans="1:129" ht="15" thickTop="1" thickBot="1">
      <c r="A18" s="3810">
        <f t="shared" si="32"/>
        <v>15</v>
      </c>
      <c r="B18" s="3813">
        <f t="shared" si="32"/>
        <v>46096.791666666664</v>
      </c>
      <c r="C18" s="3837">
        <f>+'R+P'!E22</f>
        <v>196432.52658081055</v>
      </c>
      <c r="D18" s="3824">
        <f>+'R+P'!J22%*100</f>
        <v>96.767497842506927</v>
      </c>
      <c r="E18" s="3825">
        <f>+'R+P'!BH22</f>
        <v>8458.0967680436352</v>
      </c>
      <c r="F18" s="3838">
        <f>+'R+P'!L22</f>
        <v>0.50152470580131181</v>
      </c>
      <c r="G18" s="3839">
        <f>+'R+P'!M22</f>
        <v>89.632065303415771</v>
      </c>
      <c r="H18" s="3840">
        <f t="shared" si="11"/>
        <v>883.01714911504166</v>
      </c>
      <c r="I18" s="3841">
        <f t="shared" si="0"/>
        <v>4.0648629312505591</v>
      </c>
      <c r="J18" s="3842">
        <f>+'R+P'!AO22</f>
        <v>887.08201204629222</v>
      </c>
      <c r="K18" s="3837">
        <f>+'ST Original'!E22</f>
        <v>189537.84838868357</v>
      </c>
      <c r="L18" s="3824">
        <f>+'ST Original'!J22</f>
        <v>97.885672723806138</v>
      </c>
      <c r="M18" s="3825">
        <f>+'ST Original'!BT22</f>
        <v>8073.6008177286385</v>
      </c>
      <c r="N18" s="3838">
        <f>+'ST Original'!L22</f>
        <v>0.49273891077590615</v>
      </c>
      <c r="O18" s="3839">
        <f>+'ST Original'!M22</f>
        <v>90.760266518740806</v>
      </c>
      <c r="P18" s="3843">
        <f t="shared" si="12"/>
        <v>847.63438892780334</v>
      </c>
      <c r="Q18" s="3823">
        <f t="shared" si="13"/>
        <v>30.833769539542409</v>
      </c>
      <c r="R18" s="3825">
        <f t="shared" si="14"/>
        <v>-42.514601920017469</v>
      </c>
      <c r="S18" s="3825">
        <f t="shared" si="15"/>
        <v>169.18686193841828</v>
      </c>
      <c r="T18" s="3825">
        <f t="shared" si="16"/>
        <v>62.234452481689814</v>
      </c>
      <c r="U18" s="3825">
        <f t="shared" si="17"/>
        <v>-43.932895264429796</v>
      </c>
      <c r="V18" s="3843">
        <f t="shared" si="18"/>
        <v>35.382760187238318</v>
      </c>
      <c r="W18" s="3837">
        <f t="shared" si="33"/>
        <v>-167.87012056518196</v>
      </c>
      <c r="X18" s="3841">
        <f t="shared" si="19"/>
        <v>-244.09380525739681</v>
      </c>
      <c r="Y18" s="3841">
        <f t="shared" si="19"/>
        <v>-300.70147914882443</v>
      </c>
      <c r="Z18" s="3841">
        <f t="shared" si="19"/>
        <v>-1128.2738382476273</v>
      </c>
      <c r="AA18" s="3841">
        <f t="shared" si="19"/>
        <v>251.62510764007484</v>
      </c>
      <c r="AB18" s="3843">
        <f t="shared" si="19"/>
        <v>-397.622384197347</v>
      </c>
      <c r="AC18" s="3811"/>
      <c r="AD18" s="3811"/>
      <c r="AE18" s="3856">
        <f>+AE11</f>
        <v>28318.351668204941</v>
      </c>
      <c r="AF18" s="3811">
        <f t="shared" ref="AF18:AK18" si="48">+AF11</f>
        <v>-86.16204056767674</v>
      </c>
      <c r="AG18" s="3811">
        <f t="shared" si="48"/>
        <v>-21.884662440257671</v>
      </c>
      <c r="AH18" s="3811">
        <f t="shared" si="48"/>
        <v>-879.48136221773166</v>
      </c>
      <c r="AI18" s="3811">
        <f t="shared" si="48"/>
        <v>31.196656465366686</v>
      </c>
      <c r="AJ18" s="3856" t="s">
        <v>1802</v>
      </c>
      <c r="AK18" s="3811">
        <f t="shared" si="48"/>
        <v>86.724087226019037</v>
      </c>
      <c r="AL18" s="3856" t="s">
        <v>1802</v>
      </c>
      <c r="CB18" s="3819">
        <f t="shared" si="37"/>
        <v>46096.791666666664</v>
      </c>
      <c r="CD18" s="3836">
        <f t="shared" si="21"/>
        <v>6.894678192126972</v>
      </c>
      <c r="CE18" s="3832">
        <f t="shared" si="34"/>
        <v>-40.671664131243197</v>
      </c>
      <c r="CF18" s="3819">
        <f t="shared" si="38"/>
        <v>46096.791666666664</v>
      </c>
      <c r="CG18" s="3832"/>
      <c r="CH18" s="4258">
        <f t="shared" si="23"/>
        <v>8.7857950254056627E-3</v>
      </c>
      <c r="CI18" s="4258">
        <f>+'R+P'!DH22-'ST Original'!II22</f>
        <v>-1.1979248163185241E-2</v>
      </c>
      <c r="CJ18" s="3819">
        <f t="shared" si="2"/>
        <v>46096.791666666664</v>
      </c>
      <c r="CL18" s="4230">
        <f t="shared" si="24"/>
        <v>-1.1282012153250349</v>
      </c>
      <c r="CM18" s="4230">
        <f>+'R+P'!DJ22-'ST Original'!IK22</f>
        <v>0.46718494840270353</v>
      </c>
      <c r="CN18" s="3819">
        <f t="shared" si="39"/>
        <v>46096.791666666664</v>
      </c>
      <c r="CO18" s="3832"/>
      <c r="CP18" s="3832">
        <f t="shared" si="4"/>
        <v>883.01714911504166</v>
      </c>
      <c r="CQ18" s="3832">
        <f t="shared" si="5"/>
        <v>847.63438892780334</v>
      </c>
      <c r="CR18" s="3819">
        <f t="shared" si="40"/>
        <v>46096.791666666664</v>
      </c>
      <c r="CS18" s="3832"/>
      <c r="CT18" s="3832">
        <f t="shared" si="6"/>
        <v>35.382760187238318</v>
      </c>
      <c r="CU18" s="3832">
        <f t="shared" si="7"/>
        <v>-397.622384197347</v>
      </c>
      <c r="CW18" s="3819">
        <f t="shared" si="8"/>
        <v>46096.791666666664</v>
      </c>
      <c r="CY18" s="3832">
        <f t="shared" si="9"/>
        <v>-1.1181748812992112</v>
      </c>
      <c r="DA18" s="3819">
        <f t="shared" si="41"/>
        <v>46096.791666666664</v>
      </c>
      <c r="DC18" s="3832">
        <f t="shared" si="10"/>
        <v>384.49595031499666</v>
      </c>
      <c r="DE18" s="3835">
        <f t="shared" si="42"/>
        <v>46096.791666666664</v>
      </c>
      <c r="DG18" s="4229">
        <f>+('R+P'!BD22-'ST Original'!AX22)*-1</f>
        <v>-0.11001265564107587</v>
      </c>
      <c r="DI18" s="3835">
        <f t="shared" si="43"/>
        <v>46096.791666666664</v>
      </c>
      <c r="DK18" s="4229">
        <f>+'R+P'!BE22-'ST Original'!AT22</f>
        <v>1.635782501267073</v>
      </c>
      <c r="DM18" s="3835">
        <f t="shared" si="44"/>
        <v>46096.791666666664</v>
      </c>
      <c r="DO18" s="4229">
        <f>+('R+P'!DC22-'ST Original'!AU22)*-1</f>
        <v>16.438157061282993</v>
      </c>
      <c r="DQ18" s="3835">
        <f t="shared" si="45"/>
        <v>46096.791666666664</v>
      </c>
      <c r="DS18" s="4229">
        <f>+('R+P'!K22-'ST Original'!K22)*-1</f>
        <v>34.677195875038862</v>
      </c>
      <c r="DU18" s="3819">
        <f t="shared" si="46"/>
        <v>46096.791666666664</v>
      </c>
      <c r="DW18" s="3834">
        <f>+'R+P'!C22/1000</f>
        <v>199.24912560000001</v>
      </c>
      <c r="DX18" s="3834">
        <f>+'R+P'!D22/1000</f>
        <v>424.10479999999995</v>
      </c>
      <c r="DY18" s="3834">
        <f>+'R+P'!E22/1000</f>
        <v>196.43252658081056</v>
      </c>
    </row>
    <row r="19" spans="1:129" ht="15" thickTop="1" thickBot="1">
      <c r="A19" s="3810">
        <f t="shared" si="32"/>
        <v>16</v>
      </c>
      <c r="B19" s="3813">
        <f t="shared" si="32"/>
        <v>46097.791666666664</v>
      </c>
      <c r="C19" s="3837">
        <f>+'R+P'!E23</f>
        <v>202874.56951904297</v>
      </c>
      <c r="D19" s="3824">
        <f>+'R+P'!J23%*100</f>
        <v>96.766366766644126</v>
      </c>
      <c r="E19" s="3825">
        <f>+'R+P'!BH23</f>
        <v>8735.5838043175227</v>
      </c>
      <c r="F19" s="3838">
        <f>+'R+P'!L23</f>
        <v>0.467733572529271</v>
      </c>
      <c r="G19" s="3839">
        <f>+'R+P'!M23</f>
        <v>90.447779795990385</v>
      </c>
      <c r="H19" s="3840">
        <f t="shared" si="11"/>
        <v>858.27026291851507</v>
      </c>
      <c r="I19" s="3841">
        <f t="shared" si="0"/>
        <v>-96.523673374681039</v>
      </c>
      <c r="J19" s="3842">
        <f>+'R+P'!AO23</f>
        <v>761.74658954383403</v>
      </c>
      <c r="K19" s="3837">
        <f>+'ST Original'!E23</f>
        <v>188417.71772616252</v>
      </c>
      <c r="L19" s="3824">
        <f>+'ST Original'!J23</f>
        <v>97.885672723806138</v>
      </c>
      <c r="M19" s="3825">
        <f>+'ST Original'!BT23</f>
        <v>8025.8874564671578</v>
      </c>
      <c r="N19" s="3838">
        <f>+'ST Original'!L23</f>
        <v>0.54811213262379888</v>
      </c>
      <c r="O19" s="3839">
        <f>+'ST Original'!M23</f>
        <v>91.764641420674238</v>
      </c>
      <c r="P19" s="3843">
        <f t="shared" si="12"/>
        <v>947.69049813535912</v>
      </c>
      <c r="Q19" s="3823">
        <f t="shared" si="13"/>
        <v>72.714080408169323</v>
      </c>
      <c r="R19" s="3825">
        <f t="shared" si="14"/>
        <v>-41.365397668609496</v>
      </c>
      <c r="S19" s="3825">
        <f t="shared" si="15"/>
        <v>293.89226393870183</v>
      </c>
      <c r="T19" s="3825">
        <f t="shared" si="16"/>
        <v>-571.15019332841916</v>
      </c>
      <c r="U19" s="3825">
        <f t="shared" si="17"/>
        <v>-56.705051952484439</v>
      </c>
      <c r="V19" s="3843">
        <f t="shared" si="18"/>
        <v>-89.420235216844048</v>
      </c>
      <c r="W19" s="3837">
        <f t="shared" si="33"/>
        <v>-95.15604015701264</v>
      </c>
      <c r="X19" s="3841">
        <f t="shared" si="19"/>
        <v>-285.4592029260063</v>
      </c>
      <c r="Y19" s="3841">
        <f t="shared" si="19"/>
        <v>-6.809215210122602</v>
      </c>
      <c r="Z19" s="3841">
        <f t="shared" si="19"/>
        <v>-1699.4240315760464</v>
      </c>
      <c r="AA19" s="3841">
        <f t="shared" si="19"/>
        <v>194.92005568759041</v>
      </c>
      <c r="AB19" s="3843">
        <f t="shared" si="19"/>
        <v>-487.04261941419105</v>
      </c>
      <c r="AC19" s="3811"/>
      <c r="AD19" s="3811"/>
      <c r="AE19" s="3811"/>
      <c r="AF19" s="3811"/>
      <c r="AG19" s="3811"/>
      <c r="AH19" s="3811"/>
      <c r="AI19" s="3811"/>
      <c r="AJ19" s="3811"/>
      <c r="AK19" s="3811"/>
      <c r="AL19" s="3811">
        <f>+AK13*0.9644</f>
        <v>26471.569047929188</v>
      </c>
      <c r="CB19" s="3819">
        <f t="shared" si="37"/>
        <v>46097.791666666664</v>
      </c>
      <c r="CD19" s="3836">
        <f t="shared" si="21"/>
        <v>14.45685179288045</v>
      </c>
      <c r="CE19" s="3832">
        <f t="shared" si="34"/>
        <v>-26.214812338362748</v>
      </c>
      <c r="CF19" s="3819">
        <f t="shared" si="38"/>
        <v>46097.791666666664</v>
      </c>
      <c r="CG19" s="3832"/>
      <c r="CH19" s="4259">
        <f t="shared" si="23"/>
        <v>-8.0378560094527873E-2</v>
      </c>
      <c r="CI19" s="4258">
        <f>+'R+P'!DH23-'ST Original'!II23</f>
        <v>-1.6827688963763354E-2</v>
      </c>
      <c r="CJ19" s="3819">
        <f t="shared" si="2"/>
        <v>46097.791666666664</v>
      </c>
      <c r="CL19" s="4231">
        <f t="shared" si="24"/>
        <v>-1.3168616246838525</v>
      </c>
      <c r="CM19" s="4230">
        <f>+'R+P'!DJ23-'ST Original'!IK23</f>
        <v>0.34378877545323405</v>
      </c>
      <c r="CN19" s="3819">
        <f t="shared" si="39"/>
        <v>46097.791666666664</v>
      </c>
      <c r="CO19" s="3832"/>
      <c r="CP19" s="3832">
        <f t="shared" si="4"/>
        <v>858.27026291851507</v>
      </c>
      <c r="CQ19" s="3832">
        <f t="shared" si="5"/>
        <v>947.69049813535912</v>
      </c>
      <c r="CR19" s="3819">
        <f t="shared" si="40"/>
        <v>46097.791666666664</v>
      </c>
      <c r="CS19" s="3832"/>
      <c r="CT19" s="3836">
        <f t="shared" si="6"/>
        <v>-89.420235216844048</v>
      </c>
      <c r="CU19" s="3832">
        <f t="shared" si="7"/>
        <v>-487.04261941419105</v>
      </c>
      <c r="CW19" s="3819">
        <f t="shared" si="8"/>
        <v>46097.791666666664</v>
      </c>
      <c r="CY19" s="3833">
        <f t="shared" si="9"/>
        <v>-1.1193059571620125</v>
      </c>
      <c r="DA19" s="3819">
        <f t="shared" si="41"/>
        <v>46097.791666666664</v>
      </c>
      <c r="DC19" s="3834">
        <f t="shared" si="10"/>
        <v>709.69634785036487</v>
      </c>
      <c r="DE19" s="3835">
        <f t="shared" si="42"/>
        <v>46097.791666666664</v>
      </c>
      <c r="DG19" s="4229">
        <f>+('R+P'!BD23-'ST Original'!AX23)*-1</f>
        <v>-6.0212316056063031E-4</v>
      </c>
      <c r="DI19" s="3835">
        <f t="shared" si="43"/>
        <v>46097.791666666664</v>
      </c>
      <c r="DK19" s="3833">
        <f>+'R+P'!BE23-'ST Original'!AT23</f>
        <v>2.8759010444029087</v>
      </c>
      <c r="DM19" s="3835">
        <f t="shared" si="44"/>
        <v>46097.791666666664</v>
      </c>
      <c r="DO19" s="3833">
        <f>+('R+P'!DC23-'ST Original'!AU23)*-1</f>
        <v>16.569326386859743</v>
      </c>
      <c r="DQ19" s="3835">
        <f t="shared" si="45"/>
        <v>46097.791666666664</v>
      </c>
      <c r="DS19" s="3833">
        <f>+('R+P'!K23-'ST Original'!K23)*-1</f>
        <v>32.935614463030774</v>
      </c>
      <c r="DU19" s="3819">
        <f t="shared" si="46"/>
        <v>46097.791666666664</v>
      </c>
      <c r="DW19" s="3834">
        <f>+'R+P'!C23/1000</f>
        <v>242.80195239999998</v>
      </c>
      <c r="DX19" s="3834">
        <f>+'R+P'!D23/1000</f>
        <v>495.05733759999998</v>
      </c>
      <c r="DY19" s="3834">
        <f>+'R+P'!E23/1000</f>
        <v>202.87456951904298</v>
      </c>
    </row>
    <row r="20" spans="1:129" ht="15" thickTop="1" thickBot="1">
      <c r="A20" s="3810">
        <f t="shared" si="32"/>
        <v>17</v>
      </c>
      <c r="B20" s="3813">
        <f t="shared" si="32"/>
        <v>46098.791666666664</v>
      </c>
      <c r="C20" s="3837">
        <f>+'R+P'!E24</f>
        <v>198696.43357086182</v>
      </c>
      <c r="D20" s="3824">
        <f>+'R+P'!J24%*100</f>
        <v>100</v>
      </c>
      <c r="E20" s="3825">
        <f>+'R+P'!BH24</f>
        <v>8279.0180654525757</v>
      </c>
      <c r="F20" s="3838">
        <f>+'R+P'!L24</f>
        <v>0.47046577768558123</v>
      </c>
      <c r="G20" s="3839">
        <f>+'R+P'!M24</f>
        <v>90.617228026186297</v>
      </c>
      <c r="H20" s="3840">
        <f t="shared" si="11"/>
        <v>847.08868898651599</v>
      </c>
      <c r="I20" s="3841">
        <f t="shared" si="0"/>
        <v>250.63134651496171</v>
      </c>
      <c r="J20" s="3842">
        <f>+'R+P'!AO24</f>
        <v>1097.7200355014777</v>
      </c>
      <c r="K20" s="3837">
        <f>+'ST Original'!E24</f>
        <v>187244.92486622711</v>
      </c>
      <c r="L20" s="3824">
        <f>+'ST Original'!J24</f>
        <v>93.350610690101519</v>
      </c>
      <c r="M20" s="3825">
        <f>+'ST Original'!BT24</f>
        <v>8363.4092411153415</v>
      </c>
      <c r="N20" s="3838">
        <f>+'ST Original'!L24</f>
        <v>0.54513115631698694</v>
      </c>
      <c r="O20" s="3839">
        <f>+'ST Original'!M24</f>
        <v>90.697314111280107</v>
      </c>
      <c r="P20" s="3843">
        <f t="shared" si="12"/>
        <v>925.77507894647988</v>
      </c>
      <c r="Q20" s="3823">
        <f t="shared" si="13"/>
        <v>56.618471142347445</v>
      </c>
      <c r="R20" s="3825">
        <f t="shared" si="14"/>
        <v>234.69260304511909</v>
      </c>
      <c r="S20" s="3825">
        <f t="shared" si="15"/>
        <v>-33.585592267172693</v>
      </c>
      <c r="T20" s="3825">
        <f t="shared" si="16"/>
        <v>-528.23911484181633</v>
      </c>
      <c r="U20" s="3825">
        <f t="shared" si="17"/>
        <v>-3.4084629714980847</v>
      </c>
      <c r="V20" s="3843">
        <f t="shared" si="18"/>
        <v>-78.68638995996389</v>
      </c>
      <c r="W20" s="3837">
        <f t="shared" si="33"/>
        <v>-38.537569014665195</v>
      </c>
      <c r="X20" s="3841">
        <f t="shared" si="19"/>
        <v>-50.766599880887213</v>
      </c>
      <c r="Y20" s="3841">
        <f t="shared" si="19"/>
        <v>-40.394807477295295</v>
      </c>
      <c r="Z20" s="3841">
        <f t="shared" si="19"/>
        <v>-2227.6631464178627</v>
      </c>
      <c r="AA20" s="3841">
        <f t="shared" si="19"/>
        <v>191.51159271609231</v>
      </c>
      <c r="AB20" s="3843">
        <f t="shared" si="19"/>
        <v>-565.72900937415488</v>
      </c>
      <c r="AC20" s="3811"/>
      <c r="AD20" s="3811"/>
      <c r="AE20" s="3811"/>
      <c r="AF20" s="3811"/>
      <c r="AG20" s="3811"/>
      <c r="AH20" s="3811"/>
      <c r="AI20" s="3811"/>
      <c r="AJ20" s="3811"/>
      <c r="AK20" s="3811"/>
      <c r="AL20" s="3811"/>
      <c r="CB20" s="3819">
        <f t="shared" si="37"/>
        <v>46098.791666666664</v>
      </c>
      <c r="CD20" s="3836">
        <f t="shared" si="21"/>
        <v>11.451508704634703</v>
      </c>
      <c r="CE20" s="3832">
        <f t="shared" si="34"/>
        <v>-14.763303633728045</v>
      </c>
      <c r="CF20" s="3819">
        <f t="shared" si="38"/>
        <v>46098.791666666664</v>
      </c>
      <c r="CG20" s="3832"/>
      <c r="CH20" s="4259">
        <f t="shared" si="23"/>
        <v>-7.466537863140571E-2</v>
      </c>
      <c r="CI20" s="4258">
        <f>+'R+P'!DH24-'ST Original'!II24</f>
        <v>-2.0610153777959606E-2</v>
      </c>
      <c r="CJ20" s="3819">
        <f t="shared" si="2"/>
        <v>46098.791666666664</v>
      </c>
      <c r="CL20" s="4231">
        <f t="shared" si="24"/>
        <v>-8.0086085093810766E-2</v>
      </c>
      <c r="CM20" s="4230">
        <f>+'R+P'!DJ24-'ST Original'!IK24</f>
        <v>0.31679144669050174</v>
      </c>
      <c r="CN20" s="3819">
        <f t="shared" si="39"/>
        <v>46098.791666666664</v>
      </c>
      <c r="CO20" s="3832"/>
      <c r="CP20" s="3832">
        <f t="shared" si="4"/>
        <v>847.08868898651599</v>
      </c>
      <c r="CQ20" s="3832">
        <f t="shared" si="5"/>
        <v>925.77507894647988</v>
      </c>
      <c r="CR20" s="3819">
        <f t="shared" si="40"/>
        <v>46098.791666666664</v>
      </c>
      <c r="CS20" s="3832"/>
      <c r="CT20" s="3836">
        <f t="shared" si="6"/>
        <v>-78.68638995996389</v>
      </c>
      <c r="CU20" s="3832">
        <f t="shared" si="7"/>
        <v>-565.72900937415488</v>
      </c>
      <c r="CW20" s="3819">
        <f t="shared" si="8"/>
        <v>46098.791666666664</v>
      </c>
      <c r="CY20" s="3833">
        <f t="shared" si="9"/>
        <v>6.6493893098984813</v>
      </c>
      <c r="DA20" s="3819">
        <f t="shared" si="41"/>
        <v>46098.791666666664</v>
      </c>
      <c r="DC20" s="3834">
        <f t="shared" si="10"/>
        <v>-84.391175662765818</v>
      </c>
      <c r="DE20" s="3835">
        <f t="shared" si="42"/>
        <v>46098.791666666664</v>
      </c>
      <c r="DG20" s="4229">
        <f>+('R+P'!BD24-'ST Original'!AX24)*-1</f>
        <v>-0.18304398871447169</v>
      </c>
      <c r="DI20" s="3835">
        <f t="shared" si="43"/>
        <v>46098.791666666664</v>
      </c>
      <c r="DK20" s="3833">
        <f>+'R+P'!BE24-'ST Original'!AT24</f>
        <v>0.81882517743466821</v>
      </c>
      <c r="DM20" s="3835">
        <f t="shared" si="44"/>
        <v>46098.791666666664</v>
      </c>
      <c r="DO20" s="3833">
        <f>+('R+P'!DC24-'ST Original'!AU24)*-1</f>
        <v>18.680385064276066</v>
      </c>
      <c r="DQ20" s="3835">
        <f t="shared" si="45"/>
        <v>46098.791666666664</v>
      </c>
      <c r="DS20" s="3833">
        <f>+('R+P'!K24-'ST Original'!K24)*-1</f>
        <v>30.781915283830315</v>
      </c>
      <c r="DU20" s="3819">
        <f t="shared" si="46"/>
        <v>46098.791666666664</v>
      </c>
      <c r="DW20" s="3834">
        <f>+'R+P'!C24/1000</f>
        <v>190.2940648</v>
      </c>
      <c r="DX20" s="3834">
        <f>+'R+P'!D24/1000</f>
        <v>485.33419759999998</v>
      </c>
      <c r="DY20" s="3834">
        <f>+'R+P'!E24/1000</f>
        <v>198.69643357086181</v>
      </c>
    </row>
    <row r="21" spans="1:129" ht="15" thickTop="1" thickBot="1">
      <c r="A21" s="3810">
        <f t="shared" si="32"/>
        <v>18</v>
      </c>
      <c r="B21" s="3813">
        <f t="shared" si="32"/>
        <v>46099.791666666664</v>
      </c>
      <c r="C21" s="3837">
        <f>+'R+P'!E25</f>
        <v>184400</v>
      </c>
      <c r="D21" s="3824">
        <f>+'R+P'!J25%*100</f>
        <v>97.88718333333334</v>
      </c>
      <c r="E21" s="3825">
        <f>+'R+P'!BH25</f>
        <v>7849.1719464124599</v>
      </c>
      <c r="F21" s="3838">
        <f>+'R+P'!L25</f>
        <v>0.47</v>
      </c>
      <c r="G21" s="3839">
        <f>+'R+P'!M25</f>
        <v>92</v>
      </c>
      <c r="H21" s="3840">
        <f t="shared" si="11"/>
        <v>797.34559999999988</v>
      </c>
      <c r="I21" s="3841">
        <f t="shared" si="0"/>
        <v>164.12724033203142</v>
      </c>
      <c r="J21" s="3842">
        <f>+'R+P'!AO25</f>
        <v>961.4728403320313</v>
      </c>
      <c r="K21" s="3837">
        <f>+'ST Original'!E25</f>
        <v>192365.45962490924</v>
      </c>
      <c r="L21" s="3824">
        <f>+'ST Original'!J25</f>
        <v>97.885672723806138</v>
      </c>
      <c r="M21" s="3825">
        <f>+'ST Original'!BT25</f>
        <v>8194.0464415609567</v>
      </c>
      <c r="N21" s="3838">
        <f>+'ST Original'!L25</f>
        <v>0.56886214340434216</v>
      </c>
      <c r="O21" s="3839">
        <f>+'ST Original'!M25</f>
        <v>90.926839648250052</v>
      </c>
      <c r="P21" s="3843">
        <f t="shared" si="12"/>
        <v>995.00720233852405</v>
      </c>
      <c r="Q21" s="3823">
        <f t="shared" si="13"/>
        <v>-41.201209989442013</v>
      </c>
      <c r="R21" s="3825">
        <f t="shared" si="14"/>
        <v>5.1269814682598627E-2</v>
      </c>
      <c r="S21" s="3825">
        <f t="shared" si="15"/>
        <v>-145.97076796755206</v>
      </c>
      <c r="T21" s="3825">
        <f t="shared" si="16"/>
        <v>-729.51697246872459</v>
      </c>
      <c r="U21" s="3825">
        <f t="shared" si="17"/>
        <v>48.965388366918205</v>
      </c>
      <c r="V21" s="3843">
        <f t="shared" si="18"/>
        <v>-197.66160233852418</v>
      </c>
      <c r="W21" s="3837">
        <f t="shared" si="33"/>
        <v>-79.738779004107215</v>
      </c>
      <c r="X21" s="3841">
        <f t="shared" si="33"/>
        <v>-50.715330066204615</v>
      </c>
      <c r="Y21" s="3841">
        <f t="shared" si="33"/>
        <v>-186.36557544484737</v>
      </c>
      <c r="Z21" s="3841">
        <f t="shared" si="33"/>
        <v>-2957.1801188865875</v>
      </c>
      <c r="AA21" s="3841">
        <f t="shared" si="33"/>
        <v>240.47698108301051</v>
      </c>
      <c r="AB21" s="3843">
        <f t="shared" si="33"/>
        <v>-763.39061171267906</v>
      </c>
      <c r="AC21" s="3811"/>
      <c r="AD21" s="3811"/>
      <c r="AE21" s="3811"/>
      <c r="AF21" s="3811"/>
      <c r="AG21" s="3811"/>
      <c r="AH21" s="3811"/>
      <c r="AI21" s="3811"/>
      <c r="AJ21" s="3811"/>
      <c r="AK21" s="3811"/>
      <c r="AL21" s="3811"/>
      <c r="CB21" s="3819">
        <f t="shared" si="37"/>
        <v>46099.791666666664</v>
      </c>
      <c r="CD21" s="3836">
        <f t="shared" si="21"/>
        <v>-7.9654596249092426</v>
      </c>
      <c r="CE21" s="3832">
        <f t="shared" si="34"/>
        <v>-22.728763258637287</v>
      </c>
      <c r="CF21" s="3819">
        <f t="shared" si="38"/>
        <v>46099.791666666664</v>
      </c>
      <c r="CG21" s="3832"/>
      <c r="CH21" s="4259">
        <f t="shared" si="23"/>
        <v>-9.8862143404342184E-2</v>
      </c>
      <c r="CI21" s="4258">
        <f>+'R+P'!DH25-'ST Original'!II25</f>
        <v>-2.5381936891585632E-2</v>
      </c>
      <c r="CJ21" s="3819">
        <f t="shared" si="2"/>
        <v>46099.791666666664</v>
      </c>
      <c r="CL21" s="4231">
        <f t="shared" si="24"/>
        <v>1.0731603517499479</v>
      </c>
      <c r="CM21" s="4230">
        <f>+'R+P'!DJ25-'ST Original'!IK25</f>
        <v>0.36038157250646918</v>
      </c>
      <c r="CN21" s="3819">
        <f t="shared" si="39"/>
        <v>46099.791666666664</v>
      </c>
      <c r="CO21" s="3832"/>
      <c r="CP21" s="3832">
        <f t="shared" si="4"/>
        <v>797.34559999999988</v>
      </c>
      <c r="CQ21" s="3832">
        <f t="shared" si="5"/>
        <v>995.00720233852405</v>
      </c>
      <c r="CR21" s="3819">
        <f t="shared" si="40"/>
        <v>46099.791666666664</v>
      </c>
      <c r="CS21" s="3832"/>
      <c r="CT21" s="3836">
        <f t="shared" si="6"/>
        <v>-197.66160233852418</v>
      </c>
      <c r="CU21" s="3832">
        <f t="shared" si="7"/>
        <v>-763.39061171267906</v>
      </c>
      <c r="CW21" s="3819">
        <f t="shared" si="8"/>
        <v>46099.791666666664</v>
      </c>
      <c r="CY21" s="3833">
        <f t="shared" si="9"/>
        <v>1.5106095272017228E-3</v>
      </c>
      <c r="DA21" s="3819">
        <f t="shared" si="41"/>
        <v>46099.791666666664</v>
      </c>
      <c r="DC21" s="3834">
        <f t="shared" si="10"/>
        <v>-344.87449514849686</v>
      </c>
      <c r="DE21" s="3835">
        <f t="shared" si="42"/>
        <v>46099.791666666664</v>
      </c>
      <c r="DG21" s="4229">
        <f>+('R+P'!BD25-'ST Original'!AX25)*-1</f>
        <v>0.23580570218970998</v>
      </c>
      <c r="DI21" s="3835">
        <f t="shared" si="43"/>
        <v>46099.791666666664</v>
      </c>
      <c r="DK21" s="3833">
        <f>+'R+P'!BE25-'ST Original'!AT25</f>
        <v>0.3222893821250139</v>
      </c>
      <c r="DM21" s="3835">
        <f t="shared" si="44"/>
        <v>46099.791666666664</v>
      </c>
      <c r="DO21" s="3833">
        <f>+('R+P'!DC25-'ST Original'!AU25)*-1</f>
        <v>8.0282610274815056</v>
      </c>
      <c r="DQ21" s="3835">
        <f t="shared" si="45"/>
        <v>46099.791666666664</v>
      </c>
      <c r="DS21" s="3833">
        <f>+('R+P'!K25-'ST Original'!K25)*-1</f>
        <v>0.27262737140524962</v>
      </c>
      <c r="DU21" s="3819">
        <f t="shared" si="46"/>
        <v>46099.791666666664</v>
      </c>
      <c r="DW21" s="3834">
        <f>+'R+P'!C25/1000</f>
        <v>230</v>
      </c>
      <c r="DX21" s="3834">
        <f>+'R+P'!D25/1000</f>
        <v>530.93419759999995</v>
      </c>
      <c r="DY21" s="3834">
        <f>+'R+P'!E25/1000</f>
        <v>184.4</v>
      </c>
    </row>
    <row r="22" spans="1:129" ht="15" thickTop="1" thickBot="1">
      <c r="A22" s="3810">
        <f t="shared" ref="A22:B34" si="49">+A21+1</f>
        <v>19</v>
      </c>
      <c r="B22" s="3813">
        <f t="shared" si="49"/>
        <v>46100.791666666664</v>
      </c>
      <c r="C22" s="3837">
        <f>+'R+P'!E26</f>
        <v>200651.2377070607</v>
      </c>
      <c r="D22" s="3824">
        <f>+'R+P'!J26%*100</f>
        <v>97.88718333333334</v>
      </c>
      <c r="E22" s="3825">
        <f>+'R+P'!BH26</f>
        <v>8540.9222669370865</v>
      </c>
      <c r="F22" s="3838">
        <f>+'R+P'!L26</f>
        <v>0.58705781676829161</v>
      </c>
      <c r="G22" s="3839">
        <f>+'R+P'!M26</f>
        <v>90.033346680262596</v>
      </c>
      <c r="H22" s="3840">
        <f t="shared" si="11"/>
        <v>1060.5377013385853</v>
      </c>
      <c r="I22" s="3841">
        <f t="shared" si="0"/>
        <v>-546.22396333858524</v>
      </c>
      <c r="J22" s="3842">
        <f>+'R+P'!AO26</f>
        <v>514.31373800000006</v>
      </c>
      <c r="K22" s="3837">
        <f>+'ST Original'!E26</f>
        <v>194700.83935798128</v>
      </c>
      <c r="L22" s="3824">
        <f>+'ST Original'!J26</f>
        <v>97.885672723806138</v>
      </c>
      <c r="M22" s="3825">
        <f>+'ST Original'!BT26</f>
        <v>8293.5248511922164</v>
      </c>
      <c r="N22" s="3838">
        <f>+'ST Original'!L26</f>
        <v>0.57285134895832379</v>
      </c>
      <c r="O22" s="3839">
        <f>+'ST Original'!M26</f>
        <v>90.59379882412091</v>
      </c>
      <c r="P22" s="3843">
        <f t="shared" si="12"/>
        <v>1010.4346599430335</v>
      </c>
      <c r="Q22" s="3823">
        <f t="shared" si="13"/>
        <v>30.880651322324074</v>
      </c>
      <c r="R22" s="3825">
        <f t="shared" si="14"/>
        <v>6.8193229399570787E-2</v>
      </c>
      <c r="S22" s="3825">
        <f t="shared" si="15"/>
        <v>127.99663657125524</v>
      </c>
      <c r="T22" s="3825">
        <f t="shared" si="16"/>
        <v>103.83596077003966</v>
      </c>
      <c r="U22" s="3825">
        <f t="shared" si="17"/>
        <v>-26.063861255613979</v>
      </c>
      <c r="V22" s="3843">
        <f t="shared" si="18"/>
        <v>50.103041395551827</v>
      </c>
      <c r="W22" s="3837">
        <f t="shared" ref="W22:AB25" si="50">+Q22+W21</f>
        <v>-48.858127681783145</v>
      </c>
      <c r="X22" s="3841">
        <f t="shared" si="50"/>
        <v>-50.647136836805046</v>
      </c>
      <c r="Y22" s="3841">
        <f t="shared" si="50"/>
        <v>-58.368938873592128</v>
      </c>
      <c r="Z22" s="3841">
        <f t="shared" si="50"/>
        <v>-2853.344158116548</v>
      </c>
      <c r="AA22" s="3841">
        <f t="shared" si="50"/>
        <v>214.41311982739654</v>
      </c>
      <c r="AB22" s="3843">
        <f t="shared" si="50"/>
        <v>-713.28757031712723</v>
      </c>
      <c r="AC22" s="3811"/>
      <c r="AD22" s="3811"/>
      <c r="AE22" s="3811"/>
      <c r="AF22" s="3811"/>
      <c r="AG22" s="3811"/>
      <c r="AH22" s="3811"/>
      <c r="AI22" s="3811"/>
      <c r="AJ22" s="3811"/>
      <c r="AK22" s="3811"/>
      <c r="AL22" s="3811"/>
      <c r="CB22" s="3819">
        <f t="shared" si="37"/>
        <v>46100.791666666664</v>
      </c>
      <c r="CD22" s="3836">
        <f t="shared" si="21"/>
        <v>5.9503983490794194</v>
      </c>
      <c r="CE22" s="3832">
        <f t="shared" si="34"/>
        <v>-16.778364909557865</v>
      </c>
      <c r="CF22" s="3819">
        <f t="shared" si="38"/>
        <v>46100.791666666664</v>
      </c>
      <c r="CG22" s="3832"/>
      <c r="CH22" s="4259">
        <f t="shared" si="23"/>
        <v>1.4206467809967815E-2</v>
      </c>
      <c r="CI22" s="4258">
        <f>+'R+P'!DH26-'ST Original'!II26</f>
        <v>-2.2855659020289409E-2</v>
      </c>
      <c r="CJ22" s="3819">
        <f t="shared" si="2"/>
        <v>46100.791666666664</v>
      </c>
      <c r="CL22" s="4231">
        <f t="shared" si="24"/>
        <v>-0.56045214385831343</v>
      </c>
      <c r="CM22" s="4230">
        <f>+'R+P'!DJ26-'ST Original'!IK26</f>
        <v>0.30502045548541901</v>
      </c>
      <c r="CN22" s="3819">
        <f t="shared" si="39"/>
        <v>46100.791666666664</v>
      </c>
      <c r="CO22" s="3832"/>
      <c r="CP22" s="3832">
        <f t="shared" si="4"/>
        <v>1060.5377013385853</v>
      </c>
      <c r="CQ22" s="3832">
        <f t="shared" si="5"/>
        <v>1010.4346599430335</v>
      </c>
      <c r="CR22" s="3819">
        <f t="shared" si="40"/>
        <v>46100.791666666664</v>
      </c>
      <c r="CS22" s="3832"/>
      <c r="CT22" s="3836">
        <f t="shared" si="6"/>
        <v>50.103041395551827</v>
      </c>
      <c r="CU22" s="3832">
        <f t="shared" si="7"/>
        <v>-713.28757031712723</v>
      </c>
      <c r="CW22" s="3819">
        <f t="shared" si="8"/>
        <v>46100.791666666664</v>
      </c>
      <c r="CY22" s="3833">
        <f t="shared" si="9"/>
        <v>1.5106095272017228E-3</v>
      </c>
      <c r="DA22" s="3819">
        <f t="shared" si="41"/>
        <v>46100.791666666664</v>
      </c>
      <c r="DC22" s="3834">
        <f t="shared" si="10"/>
        <v>247.39741574487016</v>
      </c>
      <c r="DE22" s="3835">
        <f t="shared" si="42"/>
        <v>46100.791666666664</v>
      </c>
      <c r="DG22" s="4229">
        <f>+('R+P'!BD26-'ST Original'!AX26)*-1</f>
        <v>7.1796408706910952E-2</v>
      </c>
      <c r="DI22" s="3835">
        <f t="shared" si="43"/>
        <v>46100.791666666664</v>
      </c>
      <c r="DK22" s="3833">
        <f>+'R+P'!BE26-'ST Original'!AT26</f>
        <v>1.2230690675939471</v>
      </c>
      <c r="DM22" s="3835">
        <f t="shared" si="44"/>
        <v>46100.791666666664</v>
      </c>
      <c r="DO22" s="3833">
        <f>+('R+P'!DC26-'ST Original'!AU26)*-1</f>
        <v>5.0658618101017794</v>
      </c>
      <c r="DQ22" s="3835">
        <f t="shared" si="45"/>
        <v>46100.791666666664</v>
      </c>
      <c r="DS22" s="3833">
        <f>+('R+P'!K26-'ST Original'!K26)*-1</f>
        <v>16.671493686451754</v>
      </c>
      <c r="DU22" s="3819">
        <f t="shared" si="46"/>
        <v>46100.791666666664</v>
      </c>
      <c r="DW22" s="3834">
        <f>+'R+P'!C26/1000</f>
        <v>216.00004453185281</v>
      </c>
      <c r="DX22" s="3834">
        <f>+'R+P'!D26/1000</f>
        <v>546.28300442479201</v>
      </c>
      <c r="DY22" s="3834">
        <f>+'R+P'!E26/1000</f>
        <v>200.65123770706072</v>
      </c>
    </row>
    <row r="23" spans="1:129" ht="15" thickTop="1" thickBot="1">
      <c r="A23" s="3810">
        <f t="shared" si="49"/>
        <v>20</v>
      </c>
      <c r="B23" s="3813">
        <f t="shared" si="49"/>
        <v>46101.791666666664</v>
      </c>
      <c r="C23" s="3837">
        <f>+'R+P'!E27</f>
        <v>204835.77361949021</v>
      </c>
      <c r="D23" s="3824">
        <f>+'R+P'!J27%*100</f>
        <v>97.88718333333334</v>
      </c>
      <c r="E23" s="3825">
        <f>+'R+P'!BH27</f>
        <v>8719.0412576778526</v>
      </c>
      <c r="F23" s="3838">
        <f>+'R+P'!L27</f>
        <v>0.54478257960254906</v>
      </c>
      <c r="G23" s="3839">
        <f>+'R+P'!M27</f>
        <v>89.850973458553213</v>
      </c>
      <c r="H23" s="3840">
        <f t="shared" si="11"/>
        <v>1002.6556488261363</v>
      </c>
      <c r="I23" s="3841">
        <f t="shared" si="0"/>
        <v>21.89018876868704</v>
      </c>
      <c r="J23" s="3842">
        <f>+'R+P'!AO27</f>
        <v>1024.5458375948233</v>
      </c>
      <c r="K23" s="3837">
        <f>+'ST Original'!E27</f>
        <v>196805.52980560993</v>
      </c>
      <c r="L23" s="3824">
        <f>+'ST Original'!J27</f>
        <v>97.885672723806138</v>
      </c>
      <c r="M23" s="3825">
        <f>+'ST Original'!BT27</f>
        <v>8383.1767632693973</v>
      </c>
      <c r="N23" s="3838">
        <f>+'ST Original'!L27</f>
        <v>0.54156117360462053</v>
      </c>
      <c r="O23" s="3839">
        <f>+'ST Original'!M27</f>
        <v>90.626900611127141</v>
      </c>
      <c r="P23" s="3843">
        <f t="shared" si="12"/>
        <v>965.92174998441624</v>
      </c>
      <c r="Q23" s="3823">
        <f t="shared" si="13"/>
        <v>39.412445194838597</v>
      </c>
      <c r="R23" s="3825">
        <f t="shared" si="14"/>
        <v>6.4471377663307738E-2</v>
      </c>
      <c r="S23" s="3825">
        <f t="shared" si="15"/>
        <v>160.92711425651063</v>
      </c>
      <c r="T23" s="3825">
        <f t="shared" si="16"/>
        <v>23.751771310250398</v>
      </c>
      <c r="U23" s="3825">
        <f t="shared" si="17"/>
        <v>-34.482299835174238</v>
      </c>
      <c r="V23" s="3843">
        <f t="shared" si="18"/>
        <v>36.73389884172002</v>
      </c>
      <c r="W23" s="3837">
        <f t="shared" si="50"/>
        <v>-9.4456824869445484</v>
      </c>
      <c r="X23" s="3841">
        <f t="shared" si="50"/>
        <v>-50.582665459141737</v>
      </c>
      <c r="Y23" s="3841">
        <f t="shared" si="50"/>
        <v>102.55817538291851</v>
      </c>
      <c r="Z23" s="3841">
        <f t="shared" si="50"/>
        <v>-2829.5923868062978</v>
      </c>
      <c r="AA23" s="3841">
        <f t="shared" si="50"/>
        <v>179.9308199922223</v>
      </c>
      <c r="AB23" s="3843">
        <f t="shared" si="50"/>
        <v>-676.55367147540721</v>
      </c>
      <c r="AC23" s="3811"/>
      <c r="AD23" s="3811"/>
      <c r="AE23" s="3811"/>
      <c r="AF23" s="3811"/>
      <c r="AG23" s="3811"/>
      <c r="AH23" s="3811"/>
      <c r="AI23" s="3811"/>
      <c r="AJ23" s="3811"/>
      <c r="AK23" s="3811"/>
      <c r="AL23" s="3811"/>
      <c r="CB23" s="3819">
        <f t="shared" si="37"/>
        <v>46101.791666666664</v>
      </c>
      <c r="CD23" s="3836">
        <f t="shared" si="21"/>
        <v>8.0302438138802827</v>
      </c>
      <c r="CE23" s="3832">
        <f t="shared" si="34"/>
        <v>-8.7481210956775826</v>
      </c>
      <c r="CF23" s="3819">
        <f t="shared" si="38"/>
        <v>46101.791666666664</v>
      </c>
      <c r="CG23" s="3832"/>
      <c r="CH23" s="4259">
        <f t="shared" si="23"/>
        <v>3.2214059979285281E-3</v>
      </c>
      <c r="CI23" s="4258">
        <f>+'R+P'!DH27-'ST Original'!II27</f>
        <v>-2.1276318262020366E-2</v>
      </c>
      <c r="CJ23" s="3819">
        <f t="shared" si="2"/>
        <v>46101.791666666664</v>
      </c>
      <c r="CL23" s="4231">
        <f t="shared" si="24"/>
        <v>-0.77592715257392797</v>
      </c>
      <c r="CM23" s="4230">
        <f>+'R+P'!DJ27-'ST Original'!IK27</f>
        <v>0.24260905328181082</v>
      </c>
      <c r="CN23" s="3819">
        <f t="shared" si="39"/>
        <v>46101.791666666664</v>
      </c>
      <c r="CO23" s="3832"/>
      <c r="CP23" s="3832">
        <f t="shared" si="4"/>
        <v>1002.6556488261363</v>
      </c>
      <c r="CQ23" s="3832">
        <f t="shared" si="5"/>
        <v>965.92174998441624</v>
      </c>
      <c r="CR23" s="3819">
        <f t="shared" si="40"/>
        <v>46101.791666666664</v>
      </c>
      <c r="CS23" s="3832"/>
      <c r="CT23" s="3836">
        <f t="shared" si="6"/>
        <v>36.73389884172002</v>
      </c>
      <c r="CU23" s="3832">
        <f t="shared" si="7"/>
        <v>-676.55367147540721</v>
      </c>
      <c r="CW23" s="3819">
        <f t="shared" si="8"/>
        <v>46101.791666666664</v>
      </c>
      <c r="CY23" s="3833">
        <f t="shared" si="9"/>
        <v>1.5106095272017228E-3</v>
      </c>
      <c r="DA23" s="3819">
        <f t="shared" si="41"/>
        <v>46101.791666666664</v>
      </c>
      <c r="DC23" s="3834">
        <f t="shared" si="10"/>
        <v>335.86449440845536</v>
      </c>
      <c r="DE23" s="3835">
        <f t="shared" si="42"/>
        <v>46101.791666666664</v>
      </c>
      <c r="DG23" s="4229">
        <f>+('R+P'!BD27-'ST Original'!AX27)*-1</f>
        <v>0.12140107041041404</v>
      </c>
      <c r="DI23" s="3835">
        <f t="shared" si="43"/>
        <v>46101.791666666664</v>
      </c>
      <c r="DK23" s="3833">
        <f>+'R+P'!BE27-'ST Original'!AT27</f>
        <v>0.69240677779712456</v>
      </c>
      <c r="DM23" s="3835">
        <f t="shared" si="44"/>
        <v>46101.791666666664</v>
      </c>
      <c r="DO23" s="3833">
        <f>+('R+P'!DC27-'ST Original'!AU27)*-1</f>
        <v>10.157478411891333</v>
      </c>
      <c r="DQ23" s="3835">
        <f t="shared" si="45"/>
        <v>46101.791666666664</v>
      </c>
      <c r="DS23" s="3833">
        <f>+('R+P'!K27-'ST Original'!K27)*-1</f>
        <v>19.91231369349741</v>
      </c>
      <c r="DU23" s="3819">
        <f t="shared" si="46"/>
        <v>46101.791666666664</v>
      </c>
      <c r="DW23" s="3834">
        <f>+'R+P'!C27/1000</f>
        <v>239.76996</v>
      </c>
      <c r="DX23" s="3834">
        <f>+'R+P'!D27/1000</f>
        <v>581.21719080530181</v>
      </c>
      <c r="DY23" s="3834">
        <f>+'R+P'!E27/1000</f>
        <v>204.8357736194902</v>
      </c>
    </row>
    <row r="24" spans="1:129" ht="15" thickTop="1" thickBot="1">
      <c r="A24" s="3810">
        <f t="shared" si="49"/>
        <v>21</v>
      </c>
      <c r="B24" s="3813">
        <f t="shared" si="49"/>
        <v>46102.791666666664</v>
      </c>
      <c r="C24" s="3837">
        <f>+'R+P'!E28</f>
        <v>202732.90510208849</v>
      </c>
      <c r="D24" s="3824">
        <f>+'R+P'!J28%*100</f>
        <v>97.88718333333334</v>
      </c>
      <c r="E24" s="3825">
        <f>+'R+P'!BH28</f>
        <v>8629.5305387310873</v>
      </c>
      <c r="F24" s="3838">
        <f>+'R+P'!L28</f>
        <v>0.55017132477022201</v>
      </c>
      <c r="G24" s="3839">
        <f>+'R+P'!M28</f>
        <v>90.224624853035252</v>
      </c>
      <c r="H24" s="3840">
        <f t="shared" si="11"/>
        <v>1006.345895659838</v>
      </c>
      <c r="I24" s="3841">
        <f t="shared" si="0"/>
        <v>-59.091416802385993</v>
      </c>
      <c r="J24" s="3842">
        <f>+'R+P'!AO28</f>
        <v>947.254478857452</v>
      </c>
      <c r="K24" s="3837">
        <f>+'ST Original'!E28</f>
        <v>193072.68402239218</v>
      </c>
      <c r="L24" s="3824">
        <f>+'ST Original'!J28</f>
        <v>97.885672723806138</v>
      </c>
      <c r="M24" s="3825">
        <f>+'ST Original'!BT28</f>
        <v>8224.1715459787647</v>
      </c>
      <c r="N24" s="3838">
        <f>+'ST Original'!L28</f>
        <v>0.53439489892154024</v>
      </c>
      <c r="O24" s="3839">
        <f>+'ST Original'!M28</f>
        <v>90.95708040849614</v>
      </c>
      <c r="P24" s="3843">
        <f t="shared" si="12"/>
        <v>938.46839119428955</v>
      </c>
      <c r="Q24" s="3823">
        <f t="shared" si="13"/>
        <v>46.955436400274699</v>
      </c>
      <c r="R24" s="3825">
        <f t="shared" si="14"/>
        <v>6.4708662814560766E-2</v>
      </c>
      <c r="S24" s="3825">
        <f t="shared" si="15"/>
        <v>196.96178794481918</v>
      </c>
      <c r="T24" s="3825">
        <f t="shared" si="16"/>
        <v>114.58954526553239</v>
      </c>
      <c r="U24" s="3825">
        <f t="shared" si="17"/>
        <v>-31.510469326461511</v>
      </c>
      <c r="V24" s="3843">
        <f t="shared" si="18"/>
        <v>67.877504465548441</v>
      </c>
      <c r="W24" s="3837">
        <f t="shared" si="50"/>
        <v>37.509753913330151</v>
      </c>
      <c r="X24" s="3841">
        <f t="shared" si="50"/>
        <v>-50.517956796327177</v>
      </c>
      <c r="Y24" s="3841">
        <f t="shared" si="50"/>
        <v>299.51996332773768</v>
      </c>
      <c r="Z24" s="3841">
        <f t="shared" si="50"/>
        <v>-2715.0028415407655</v>
      </c>
      <c r="AA24" s="3841">
        <f t="shared" si="50"/>
        <v>148.42035066576079</v>
      </c>
      <c r="AB24" s="3843">
        <f t="shared" si="50"/>
        <v>-608.67616700985877</v>
      </c>
      <c r="AC24" s="3811"/>
      <c r="AD24" s="3811"/>
      <c r="AE24" s="3811"/>
      <c r="AF24" s="3811"/>
      <c r="AG24" s="3811"/>
      <c r="AH24" s="3811"/>
      <c r="AI24" s="3811"/>
      <c r="AJ24" s="3811"/>
      <c r="AK24" s="3811"/>
      <c r="AL24" s="3811"/>
      <c r="CB24" s="3819">
        <f t="shared" si="37"/>
        <v>46102.791666666664</v>
      </c>
      <c r="CD24" s="3836">
        <f t="shared" si="21"/>
        <v>9.6602210796963188</v>
      </c>
      <c r="CE24" s="3832">
        <f t="shared" si="34"/>
        <v>0.91209998401873627</v>
      </c>
      <c r="CF24" s="3819">
        <f t="shared" si="38"/>
        <v>46102.791666666664</v>
      </c>
      <c r="CG24" s="3832"/>
      <c r="CH24" s="4259">
        <f t="shared" si="23"/>
        <v>1.5776425848681774E-2</v>
      </c>
      <c r="CI24" s="4258">
        <f>+'R+P'!DH28-'ST Original'!II28</f>
        <v>-1.9213565549208056E-2</v>
      </c>
      <c r="CJ24" s="3819">
        <f t="shared" si="2"/>
        <v>46102.791666666664</v>
      </c>
      <c r="CL24" s="4231">
        <f t="shared" si="24"/>
        <v>-0.73245555546088781</v>
      </c>
      <c r="CM24" s="4230">
        <f>+'R+P'!DJ28-'ST Original'!IK28</f>
        <v>0.1908998608479493</v>
      </c>
      <c r="CN24" s="3819">
        <f t="shared" si="39"/>
        <v>46102.791666666664</v>
      </c>
      <c r="CO24" s="3832"/>
      <c r="CP24" s="3832">
        <f t="shared" si="4"/>
        <v>1006.345895659838</v>
      </c>
      <c r="CQ24" s="3832">
        <f t="shared" si="5"/>
        <v>938.46839119428955</v>
      </c>
      <c r="CR24" s="3819">
        <f t="shared" si="40"/>
        <v>46102.791666666664</v>
      </c>
      <c r="CS24" s="3832"/>
      <c r="CT24" s="3836">
        <f t="shared" si="6"/>
        <v>67.877504465548441</v>
      </c>
      <c r="CU24" s="3832">
        <f t="shared" si="7"/>
        <v>-608.67616700985877</v>
      </c>
      <c r="CW24" s="3819">
        <f t="shared" si="8"/>
        <v>46102.791666666664</v>
      </c>
      <c r="CY24" s="3833">
        <f t="shared" si="9"/>
        <v>1.5106095272017228E-3</v>
      </c>
      <c r="DA24" s="3819">
        <f t="shared" si="41"/>
        <v>46102.791666666664</v>
      </c>
      <c r="DC24" s="3834">
        <f t="shared" si="10"/>
        <v>405.35899275232259</v>
      </c>
      <c r="DE24" s="3835">
        <f t="shared" si="42"/>
        <v>46102.791666666664</v>
      </c>
      <c r="DG24" s="4229">
        <f>+('R+P'!BD28-'ST Original'!AX28)*-1</f>
        <v>6.3292188497295676E-2</v>
      </c>
      <c r="DI24" s="3835">
        <f t="shared" si="43"/>
        <v>46102.791666666664</v>
      </c>
      <c r="DK24" s="3833">
        <f>+'R+P'!BE28-'ST Original'!AT28</f>
        <v>2.3167299179839347</v>
      </c>
      <c r="DM24" s="3835">
        <f t="shared" si="44"/>
        <v>46102.791666666664</v>
      </c>
      <c r="DO24" s="3833">
        <f>+('R+P'!DC28-'ST Original'!AU28)*-1</f>
        <v>2.4525536872158256</v>
      </c>
      <c r="DQ24" s="3835">
        <f t="shared" si="45"/>
        <v>46102.791666666664</v>
      </c>
      <c r="DS24" s="3833">
        <f>+('R+P'!K28-'ST Original'!K28)*-1</f>
        <v>16.124308387445652</v>
      </c>
      <c r="DU24" s="3819">
        <f t="shared" si="46"/>
        <v>46102.791666666664</v>
      </c>
      <c r="DW24" s="3834">
        <f>+'R+P'!C28/1000</f>
        <v>179.50796</v>
      </c>
      <c r="DX24" s="3834">
        <f>+'R+P'!D28/1000</f>
        <v>557.99224570321326</v>
      </c>
      <c r="DY24" s="3834">
        <f>+'R+P'!E28/1000</f>
        <v>202.73290510208849</v>
      </c>
    </row>
    <row r="25" spans="1:129" ht="15" thickTop="1" thickBot="1">
      <c r="A25" s="3810">
        <f t="shared" si="49"/>
        <v>22</v>
      </c>
      <c r="B25" s="3813">
        <f t="shared" si="49"/>
        <v>46103.791666666664</v>
      </c>
      <c r="C25" s="3837">
        <f>+'R+P'!E29</f>
        <v>207633.99807777914</v>
      </c>
      <c r="D25" s="3824">
        <f>+'R+P'!J29%*100</f>
        <v>97.88718333333334</v>
      </c>
      <c r="E25" s="3825">
        <f>+'R+P'!BH29</f>
        <v>8838.1505034358051</v>
      </c>
      <c r="F25" s="3838">
        <f>+'R+P'!L29</f>
        <v>0.55330404655728971</v>
      </c>
      <c r="G25" s="3839">
        <f>+'R+P'!M29</f>
        <v>89.406958992464013</v>
      </c>
      <c r="H25" s="3840">
        <f t="shared" si="11"/>
        <v>1027.1494463713373</v>
      </c>
      <c r="I25" s="3841">
        <f t="shared" si="0"/>
        <v>-15.615704611745059</v>
      </c>
      <c r="J25" s="3842">
        <f>+'R+P'!AO29</f>
        <v>1011.5337417595922</v>
      </c>
      <c r="K25" s="3837">
        <f>+'ST Original'!E29</f>
        <v>194603.23060466634</v>
      </c>
      <c r="L25" s="3824">
        <f>+'ST Original'!J29</f>
        <v>97.885672723806138</v>
      </c>
      <c r="M25" s="3825">
        <f>+'ST Original'!BT29</f>
        <v>8289.3670847235117</v>
      </c>
      <c r="N25" s="3838">
        <f>+'ST Original'!L29</f>
        <v>0.59959530689926632</v>
      </c>
      <c r="O25" s="3839">
        <f>+'ST Original'!M29</f>
        <v>90.956313421697885</v>
      </c>
      <c r="P25" s="3843">
        <f t="shared" si="12"/>
        <v>1061.3072234752763</v>
      </c>
      <c r="Q25" s="3823">
        <f t="shared" si="13"/>
        <v>71.065868761120456</v>
      </c>
      <c r="R25" s="3825">
        <f t="shared" si="14"/>
        <v>6.6046343977808675E-2</v>
      </c>
      <c r="S25" s="3825">
        <f t="shared" si="15"/>
        <v>265.73899032747738</v>
      </c>
      <c r="T25" s="3825">
        <f t="shared" si="16"/>
        <v>-335.82330451119662</v>
      </c>
      <c r="U25" s="3825">
        <f t="shared" si="17"/>
        <v>-75.378849591470896</v>
      </c>
      <c r="V25" s="3843">
        <f t="shared" si="18"/>
        <v>-34.157777103938997</v>
      </c>
      <c r="W25" s="3837">
        <f t="shared" si="50"/>
        <v>108.57562267445061</v>
      </c>
      <c r="X25" s="3841">
        <f t="shared" si="50"/>
        <v>-50.451910452349367</v>
      </c>
      <c r="Y25" s="3841">
        <f t="shared" si="50"/>
        <v>565.25895365521501</v>
      </c>
      <c r="Z25" s="3841">
        <f t="shared" si="50"/>
        <v>-3050.826146051962</v>
      </c>
      <c r="AA25" s="3841">
        <f t="shared" si="50"/>
        <v>73.041501074289897</v>
      </c>
      <c r="AB25" s="3843">
        <f t="shared" si="50"/>
        <v>-642.83394411379777</v>
      </c>
      <c r="AC25" s="3811"/>
      <c r="AD25" s="3811"/>
      <c r="AE25" s="3811"/>
      <c r="AF25" s="3811"/>
      <c r="AG25" s="3811"/>
      <c r="AH25" s="3811"/>
      <c r="AI25" s="3811"/>
      <c r="AJ25" s="3811"/>
      <c r="AK25" s="3811"/>
      <c r="AL25" s="3811"/>
      <c r="CB25" s="3819">
        <f t="shared" si="37"/>
        <v>46103.791666666664</v>
      </c>
      <c r="CD25" s="3836">
        <f t="shared" si="21"/>
        <v>13.030767473112792</v>
      </c>
      <c r="CE25" s="3832">
        <f t="shared" si="34"/>
        <v>13.942867457131529</v>
      </c>
      <c r="CF25" s="3819">
        <f t="shared" si="38"/>
        <v>46103.791666666664</v>
      </c>
      <c r="CG25" s="3832"/>
      <c r="CH25" s="4259">
        <f t="shared" si="23"/>
        <v>-4.6291260341976614E-2</v>
      </c>
      <c r="CI25" s="4258">
        <f>+'R+P'!DH29-'ST Original'!II29</f>
        <v>-2.0397986196044382E-2</v>
      </c>
      <c r="CJ25" s="3819">
        <f t="shared" si="2"/>
        <v>46103.791666666664</v>
      </c>
      <c r="CL25" s="4231">
        <f t="shared" si="24"/>
        <v>-1.5493544292338726</v>
      </c>
      <c r="CM25" s="4230">
        <f>+'R+P'!DJ29-'ST Original'!IK29</f>
        <v>0.1004885747548343</v>
      </c>
      <c r="CN25" s="3819">
        <f t="shared" si="39"/>
        <v>46103.791666666664</v>
      </c>
      <c r="CO25" s="3832"/>
      <c r="CP25" s="3832">
        <f t="shared" si="4"/>
        <v>1027.1494463713373</v>
      </c>
      <c r="CQ25" s="3832">
        <f t="shared" si="5"/>
        <v>1061.3072234752763</v>
      </c>
      <c r="CR25" s="3819">
        <f t="shared" si="40"/>
        <v>46103.791666666664</v>
      </c>
      <c r="CS25" s="3832"/>
      <c r="CT25" s="3836">
        <f t="shared" si="6"/>
        <v>-34.157777103938997</v>
      </c>
      <c r="CU25" s="3832">
        <f t="shared" si="7"/>
        <v>-642.83394411379777</v>
      </c>
      <c r="CW25" s="3819">
        <f t="shared" si="8"/>
        <v>46103.791666666664</v>
      </c>
      <c r="CY25" s="3833">
        <f t="shared" si="9"/>
        <v>1.5106095272017228E-3</v>
      </c>
      <c r="DA25" s="3819">
        <f t="shared" si="41"/>
        <v>46103.791666666664</v>
      </c>
      <c r="DC25" s="3834">
        <f t="shared" si="10"/>
        <v>548.7834187122935</v>
      </c>
      <c r="DE25" s="3835">
        <f t="shared" si="42"/>
        <v>46103.791666666664</v>
      </c>
      <c r="DG25" s="4229">
        <f>+('R+P'!BD29-'ST Original'!AX29)*-1</f>
        <v>0.18392476067419405</v>
      </c>
      <c r="DI25" s="3835">
        <f t="shared" si="43"/>
        <v>46103.791666666664</v>
      </c>
      <c r="DK25" s="3833">
        <f>+'R+P'!BE29-'ST Original'!AT29</f>
        <v>2.4791772052423795</v>
      </c>
      <c r="DM25" s="3835">
        <f t="shared" si="44"/>
        <v>46103.791666666664</v>
      </c>
      <c r="DO25" s="3833">
        <f>+('R+P'!DC29-'ST Original'!AU29)*-1</f>
        <v>13.670498940628761</v>
      </c>
      <c r="DQ25" s="3835">
        <f t="shared" si="45"/>
        <v>46103.791666666664</v>
      </c>
      <c r="DS25" s="3833">
        <f>+('R+P'!K29-'ST Original'!K29)*-1</f>
        <v>42.509633848852616</v>
      </c>
      <c r="DU25" s="3819">
        <f t="shared" si="46"/>
        <v>46103.791666666664</v>
      </c>
      <c r="DW25" s="3834">
        <f>+'R+P'!C29/1000</f>
        <v>240.392</v>
      </c>
      <c r="DX25" s="3834">
        <f>+'R+P'!D29/1000</f>
        <v>590.7502476254341</v>
      </c>
      <c r="DY25" s="3834">
        <f>+'R+P'!E29/1000</f>
        <v>207.63399807777913</v>
      </c>
    </row>
    <row r="26" spans="1:129" ht="15" thickTop="1" thickBot="1">
      <c r="A26" s="3810">
        <f t="shared" si="49"/>
        <v>23</v>
      </c>
      <c r="B26" s="3813">
        <f t="shared" ref="B26" si="51">+B25+1</f>
        <v>46104.791666666664</v>
      </c>
      <c r="C26" s="3837">
        <f>+'R+P'!E30</f>
        <v>197367.70075599366</v>
      </c>
      <c r="D26" s="3824">
        <f>+'R+P'!J30%*100</f>
        <v>94.705183333333338</v>
      </c>
      <c r="E26" s="3825">
        <f>+'R+P'!BH30</f>
        <v>8683.4256676550121</v>
      </c>
      <c r="F26" s="3838">
        <f>+'R+P'!L30</f>
        <v>0.52512631140585386</v>
      </c>
      <c r="G26" s="3839">
        <f>+'R+P'!M30</f>
        <v>89.808703657913071</v>
      </c>
      <c r="H26" s="3840">
        <f t="shared" ref="H26:H34" si="52">+C26*F26%*G26%</f>
        <v>930.80410204200825</v>
      </c>
      <c r="I26" s="3841">
        <f t="shared" ref="I26:I34" si="53">+J26-H26</f>
        <v>-51.183085932591439</v>
      </c>
      <c r="J26" s="3842">
        <f>+'R+P'!AO30</f>
        <v>879.62101610941681</v>
      </c>
      <c r="K26" s="3837">
        <f>+'ST Original'!E30</f>
        <v>191506.83501760333</v>
      </c>
      <c r="L26" s="3824">
        <f>+'ST Original'!J30</f>
        <v>97.885672723806138</v>
      </c>
      <c r="M26" s="3825">
        <f>+'ST Original'!BT30</f>
        <v>8157.472256559915</v>
      </c>
      <c r="N26" s="3838">
        <f>+'ST Original'!L30</f>
        <v>0.54611774227069232</v>
      </c>
      <c r="O26" s="3839">
        <f>+'ST Original'!M30</f>
        <v>90.781480861139713</v>
      </c>
      <c r="P26" s="3843">
        <f t="shared" ref="P26:P34" si="54">+K26*N26%*O26%</f>
        <v>949.44066281952303</v>
      </c>
      <c r="Q26" s="3823">
        <f t="shared" ref="Q26:Q34" si="55">+(C26-K26)*N26*O26/10000</f>
        <v>29.056635241463095</v>
      </c>
      <c r="R26" s="3825">
        <f t="shared" ref="R26:R34" si="56">+(D26-L26)*E26*F26%*G26%</f>
        <v>-130.24685603943402</v>
      </c>
      <c r="S26" s="3825">
        <f t="shared" ref="S26:S34" si="57">+(E26-M26)*F26*G26%*L26%</f>
        <v>242.79996103549828</v>
      </c>
      <c r="T26" s="3825">
        <f t="shared" ref="T26:T34" si="58">+(F26-N26)*G26*L26%*M26%</f>
        <v>-150.53420935222556</v>
      </c>
      <c r="U26" s="3825">
        <f t="shared" ref="U26:U34" si="59">+(G26-O26)*L26*M26%*N26%</f>
        <v>-42.420365477238434</v>
      </c>
      <c r="V26" s="3843">
        <f t="shared" ref="V26:V34" si="60">+H26-P26</f>
        <v>-18.636560777514774</v>
      </c>
      <c r="W26" s="3837">
        <f t="shared" ref="W26:W34" si="61">+Q26+W25</f>
        <v>137.6322579159137</v>
      </c>
      <c r="X26" s="3841">
        <f t="shared" ref="X26:X34" si="62">+R26+X25</f>
        <v>-180.69876649178337</v>
      </c>
      <c r="Y26" s="3841">
        <f t="shared" ref="Y26:Y34" si="63">+S26+Y25</f>
        <v>808.05891469071332</v>
      </c>
      <c r="Z26" s="3841">
        <f t="shared" ref="Z26:Z34" si="64">+T26+Z25</f>
        <v>-3201.3603554041874</v>
      </c>
      <c r="AA26" s="3841">
        <f t="shared" ref="AA26:AA34" si="65">+U26+AA25</f>
        <v>30.621135597051463</v>
      </c>
      <c r="AB26" s="3843">
        <f t="shared" ref="AB26:AB34" si="66">+V26+AB25</f>
        <v>-661.47050489131254</v>
      </c>
      <c r="AC26" s="3811"/>
      <c r="AD26" s="3811"/>
      <c r="AE26" s="3811"/>
      <c r="AF26" s="3811"/>
      <c r="AG26" s="3811"/>
      <c r="AH26" s="3811"/>
      <c r="AI26" s="3811"/>
      <c r="AJ26" s="3811"/>
      <c r="AK26" s="3811"/>
      <c r="AL26" s="3811"/>
      <c r="CB26" s="3819">
        <f t="shared" si="37"/>
        <v>46104.791666666664</v>
      </c>
      <c r="CD26" s="3836">
        <f t="shared" si="21"/>
        <v>5.8608657383903333</v>
      </c>
      <c r="CE26" s="3832">
        <f t="shared" si="34"/>
        <v>19.803733195521861</v>
      </c>
      <c r="CF26" s="3819">
        <f t="shared" si="38"/>
        <v>46104.791666666664</v>
      </c>
      <c r="CG26" s="3832"/>
      <c r="CH26" s="4259">
        <f t="shared" si="23"/>
        <v>-2.0991430864838456E-2</v>
      </c>
      <c r="CI26" s="4258">
        <f>+'R+P'!DH30-'ST Original'!II30</f>
        <v>-2.0400046400229521E-2</v>
      </c>
      <c r="CJ26" s="3819">
        <f t="shared" si="2"/>
        <v>46104.791666666664</v>
      </c>
      <c r="CL26" s="4231">
        <f t="shared" si="24"/>
        <v>-0.97277720322664152</v>
      </c>
      <c r="CM26" s="4230">
        <f>+'R+P'!DJ30-'ST Original'!IK30</f>
        <v>4.9468104977151484E-2</v>
      </c>
      <c r="CN26" s="3819">
        <f t="shared" si="39"/>
        <v>46104.791666666664</v>
      </c>
      <c r="CO26" s="3832"/>
      <c r="CP26" s="3832">
        <f t="shared" si="4"/>
        <v>930.80410204200825</v>
      </c>
      <c r="CQ26" s="3832">
        <f t="shared" si="5"/>
        <v>949.44066281952303</v>
      </c>
      <c r="CR26" s="3819">
        <f t="shared" si="40"/>
        <v>46104.791666666664</v>
      </c>
      <c r="CS26" s="3832"/>
      <c r="CT26" s="3836">
        <f t="shared" si="6"/>
        <v>-18.636560777514774</v>
      </c>
      <c r="CU26" s="3832">
        <f t="shared" si="7"/>
        <v>-661.47050489131254</v>
      </c>
      <c r="CW26" s="3819">
        <f t="shared" si="8"/>
        <v>46104.791666666664</v>
      </c>
      <c r="CY26" s="3833">
        <f t="shared" si="9"/>
        <v>-3.1804893904728004</v>
      </c>
      <c r="DA26" s="3819">
        <f t="shared" si="41"/>
        <v>46104.791666666664</v>
      </c>
      <c r="DC26" s="3834">
        <f t="shared" si="10"/>
        <v>525.95341109509718</v>
      </c>
      <c r="DE26" s="3835">
        <f t="shared" si="42"/>
        <v>46104.791666666664</v>
      </c>
      <c r="DG26" s="4229">
        <f>+('R+P'!BD30-'ST Original'!AX30)*-1</f>
        <v>0.1008066559788654</v>
      </c>
      <c r="DI26" s="3835">
        <f t="shared" si="43"/>
        <v>46104.791666666664</v>
      </c>
      <c r="DK26" s="3833">
        <f>+'R+P'!BE30-'ST Original'!AT30</f>
        <v>2.2046912162150818</v>
      </c>
      <c r="DM26" s="3835">
        <f t="shared" si="44"/>
        <v>46104.791666666664</v>
      </c>
      <c r="DO26" s="3833">
        <f>+('R+P'!DC30-'ST Original'!AU30)*-1</f>
        <v>8.9298902120658283</v>
      </c>
      <c r="DQ26" s="3835">
        <f t="shared" si="45"/>
        <v>46104.791666666664</v>
      </c>
      <c r="DS26" s="3833">
        <f>+('R+P'!K30-'ST Original'!K30)*-1</f>
        <v>29.497245355390405</v>
      </c>
      <c r="DU26" s="3819">
        <f t="shared" si="46"/>
        <v>46104.791666666664</v>
      </c>
      <c r="DW26" s="3834">
        <f>+'R+P'!C30/1000</f>
        <v>239.55208000000002</v>
      </c>
      <c r="DX26" s="3834">
        <f>+'R+P'!D30/1000</f>
        <v>632.93462686944054</v>
      </c>
      <c r="DY26" s="3834">
        <f>+'R+P'!E30/1000</f>
        <v>197.36770075599367</v>
      </c>
    </row>
    <row r="27" spans="1:129" ht="15" thickTop="1" thickBot="1">
      <c r="A27" s="3810">
        <f t="shared" si="49"/>
        <v>24</v>
      </c>
      <c r="B27" s="3813">
        <f t="shared" ref="B27" si="67">+B26+1</f>
        <v>46105.791666666664</v>
      </c>
      <c r="C27" s="3837">
        <f>+'R+P'!E31</f>
        <v>200368.38777048467</v>
      </c>
      <c r="D27" s="3824">
        <f>+'R+P'!J31%*100</f>
        <v>97.88718333333334</v>
      </c>
      <c r="E27" s="3825">
        <f>+'R+P'!BH31</f>
        <v>8528.8824741647586</v>
      </c>
      <c r="F27" s="3838">
        <f>+'R+P'!L31</f>
        <v>0.50473815027446745</v>
      </c>
      <c r="G27" s="3839">
        <f>+'R+P'!M31</f>
        <v>90.300288436071995</v>
      </c>
      <c r="H27" s="3840">
        <f t="shared" si="52"/>
        <v>913.23904889021833</v>
      </c>
      <c r="I27" s="3841">
        <f t="shared" si="53"/>
        <v>-59.967817472541014</v>
      </c>
      <c r="J27" s="3842">
        <f>+'R+P'!AO31</f>
        <v>853.27123141767731</v>
      </c>
      <c r="K27" s="3837">
        <f>+'ST Original'!E31</f>
        <v>199135.38567405319</v>
      </c>
      <c r="L27" s="3824">
        <f>+'ST Original'!J31</f>
        <v>97.885672723806138</v>
      </c>
      <c r="M27" s="3825">
        <f>+'ST Original'!BT31</f>
        <v>8482.4198770040184</v>
      </c>
      <c r="N27" s="3838">
        <f>+'ST Original'!L31</f>
        <v>0.55160275711999007</v>
      </c>
      <c r="O27" s="3839">
        <f>+'ST Original'!M31</f>
        <v>90.381180349036981</v>
      </c>
      <c r="P27" s="3843">
        <f t="shared" si="54"/>
        <v>992.77967323923201</v>
      </c>
      <c r="Q27" s="3823">
        <f t="shared" si="55"/>
        <v>6.1470713216291264</v>
      </c>
      <c r="R27" s="3825">
        <f t="shared" si="56"/>
        <v>5.8721835045573871E-2</v>
      </c>
      <c r="S27" s="3825">
        <f t="shared" si="57"/>
        <v>20.728977565359518</v>
      </c>
      <c r="T27" s="3825">
        <f t="shared" si="58"/>
        <v>-351.37674185419746</v>
      </c>
      <c r="U27" s="3825">
        <f t="shared" si="59"/>
        <v>-3.704848302143076</v>
      </c>
      <c r="V27" s="3843">
        <f t="shared" si="60"/>
        <v>-79.540624349013683</v>
      </c>
      <c r="W27" s="3837">
        <f t="shared" si="61"/>
        <v>143.77932923754281</v>
      </c>
      <c r="X27" s="3841">
        <f t="shared" si="62"/>
        <v>-180.64004465673781</v>
      </c>
      <c r="Y27" s="3841">
        <f t="shared" si="63"/>
        <v>828.78789225607284</v>
      </c>
      <c r="Z27" s="3841">
        <f t="shared" si="64"/>
        <v>-3552.7370972583849</v>
      </c>
      <c r="AA27" s="3841">
        <f t="shared" si="65"/>
        <v>26.916287294908386</v>
      </c>
      <c r="AB27" s="3843">
        <f t="shared" si="66"/>
        <v>-741.01112924032623</v>
      </c>
      <c r="AC27" s="3811"/>
      <c r="AD27" s="3811"/>
      <c r="AE27" s="3811"/>
      <c r="AF27" s="3811"/>
      <c r="AG27" s="3811"/>
      <c r="AH27" s="3811"/>
      <c r="AI27" s="3811"/>
      <c r="AJ27" s="3811"/>
      <c r="AK27" s="3811"/>
      <c r="AL27" s="3811"/>
      <c r="CB27" s="3819">
        <f t="shared" si="37"/>
        <v>46105.791666666664</v>
      </c>
      <c r="CD27" s="3836">
        <f t="shared" si="21"/>
        <v>1.2330020964314754</v>
      </c>
      <c r="CE27" s="3832">
        <f t="shared" si="34"/>
        <v>21.036735291953338</v>
      </c>
      <c r="CF27" s="3819">
        <f t="shared" si="38"/>
        <v>46105.791666666664</v>
      </c>
      <c r="CG27" s="3832"/>
      <c r="CH27" s="4259">
        <f t="shared" si="23"/>
        <v>-4.6864606845522627E-2</v>
      </c>
      <c r="CI27" s="4258">
        <f>+'R+P'!DH31-'ST Original'!II31</f>
        <v>-2.1626766209346449E-2</v>
      </c>
      <c r="CJ27" s="3819">
        <f t="shared" si="2"/>
        <v>46105.791666666664</v>
      </c>
      <c r="CL27" s="4231">
        <f t="shared" si="24"/>
        <v>-8.0891912964986545E-2</v>
      </c>
      <c r="CM27" s="4230">
        <f>+'R+P'!DJ31-'ST Original'!IK31</f>
        <v>4.3414462650005703E-2</v>
      </c>
      <c r="CN27" s="3819">
        <f t="shared" si="39"/>
        <v>46105.791666666664</v>
      </c>
      <c r="CO27" s="3832"/>
      <c r="CP27" s="3832">
        <f t="shared" si="4"/>
        <v>913.23904889021833</v>
      </c>
      <c r="CQ27" s="3832">
        <f t="shared" si="5"/>
        <v>992.77967323923201</v>
      </c>
      <c r="CR27" s="3819">
        <f t="shared" si="40"/>
        <v>46105.791666666664</v>
      </c>
      <c r="CS27" s="3832"/>
      <c r="CT27" s="3836">
        <f t="shared" si="6"/>
        <v>-79.540624349013683</v>
      </c>
      <c r="CU27" s="3832">
        <f t="shared" si="7"/>
        <v>-741.01112924032623</v>
      </c>
      <c r="CW27" s="3819">
        <f t="shared" si="8"/>
        <v>46105.791666666664</v>
      </c>
      <c r="CY27" s="3833">
        <f t="shared" si="9"/>
        <v>1.5106095272017228E-3</v>
      </c>
      <c r="DA27" s="3819">
        <f t="shared" si="41"/>
        <v>46105.791666666664</v>
      </c>
      <c r="DC27" s="3834">
        <f t="shared" si="10"/>
        <v>46.462597160740188</v>
      </c>
      <c r="DE27" s="3835">
        <f t="shared" si="42"/>
        <v>46105.791666666664</v>
      </c>
      <c r="DG27" s="4229">
        <f>+('R+P'!BD31-'ST Original'!AX31)*-1</f>
        <v>-6.1968711844384572E-3</v>
      </c>
      <c r="DI27" s="3835">
        <f t="shared" si="43"/>
        <v>46105.791666666664</v>
      </c>
      <c r="DK27" s="3833">
        <f>+'R+P'!BE31-'ST Original'!AT31</f>
        <v>0.26172723488058836</v>
      </c>
      <c r="DM27" s="3835">
        <f t="shared" si="44"/>
        <v>46105.791666666664</v>
      </c>
      <c r="DO27" s="3833">
        <f>+('R+P'!DC31-'ST Original'!AU31)*-1</f>
        <v>-3.9831104791655889</v>
      </c>
      <c r="DQ27" s="3835">
        <f t="shared" si="45"/>
        <v>46105.791666666664</v>
      </c>
      <c r="DS27" s="3833">
        <f>+('R+P'!K31-'ST Original'!K31)*-1</f>
        <v>-3.484573428553972</v>
      </c>
      <c r="DU27" s="3819">
        <f t="shared" si="46"/>
        <v>46105.791666666664</v>
      </c>
      <c r="DW27" s="3834">
        <f>+'R+P'!C31/1000</f>
        <v>179.56956</v>
      </c>
      <c r="DX27" s="3834">
        <f>+'R+P'!D31/1000</f>
        <v>612.13579909895589</v>
      </c>
      <c r="DY27" s="3834">
        <f>+'R+P'!E31/1000</f>
        <v>200.36838777048467</v>
      </c>
    </row>
    <row r="28" spans="1:129" ht="15" thickTop="1" thickBot="1">
      <c r="A28" s="3810">
        <f t="shared" si="49"/>
        <v>25</v>
      </c>
      <c r="B28" s="3813">
        <f t="shared" ref="B28" si="68">+B27+1</f>
        <v>46106.791666666664</v>
      </c>
      <c r="C28" s="3837">
        <f>+'R+P'!E32</f>
        <v>197295.19435247991</v>
      </c>
      <c r="D28" s="3824">
        <f>+'R+P'!J32%*100</f>
        <v>97.88718333333334</v>
      </c>
      <c r="E28" s="3825">
        <f>+'R+P'!BH32</f>
        <v>8398.0688973616016</v>
      </c>
      <c r="F28" s="3838">
        <f>+'R+P'!L32</f>
        <v>0.48892696357468995</v>
      </c>
      <c r="G28" s="3839">
        <f>+'R+P'!M32</f>
        <v>90.184668922599528</v>
      </c>
      <c r="H28" s="3840">
        <f t="shared" si="52"/>
        <v>869.947833449374</v>
      </c>
      <c r="I28" s="3841">
        <f t="shared" si="53"/>
        <v>29.063181895083858</v>
      </c>
      <c r="J28" s="3842">
        <f>+'R+P'!AO32</f>
        <v>899.01101534445786</v>
      </c>
      <c r="K28" s="3837">
        <f>+'ST Original'!E32</f>
        <v>201251.65792879966</v>
      </c>
      <c r="L28" s="3824">
        <f>+'ST Original'!J32</f>
        <v>97.885672723806138</v>
      </c>
      <c r="M28" s="3825">
        <f>+'ST Original'!BT32</f>
        <v>8572.565130586403</v>
      </c>
      <c r="N28" s="3838">
        <f>+'ST Original'!L32</f>
        <v>0.50905603115424403</v>
      </c>
      <c r="O28" s="3839">
        <f>+'ST Original'!M32</f>
        <v>87.707388126030864</v>
      </c>
      <c r="P28" s="3843">
        <f t="shared" si="54"/>
        <v>898.54789722597923</v>
      </c>
      <c r="Q28" s="3823">
        <f t="shared" si="55"/>
        <v>-17.664808645755475</v>
      </c>
      <c r="R28" s="3825">
        <f t="shared" si="56"/>
        <v>5.5938183147279656E-2</v>
      </c>
      <c r="S28" s="3825">
        <f t="shared" si="57"/>
        <v>-75.31507106658708</v>
      </c>
      <c r="T28" s="3825">
        <f t="shared" si="58"/>
        <v>-152.3302996757983</v>
      </c>
      <c r="U28" s="3825">
        <f t="shared" si="59"/>
        <v>105.82072839036796</v>
      </c>
      <c r="V28" s="3843">
        <f t="shared" si="60"/>
        <v>-28.600063776605225</v>
      </c>
      <c r="W28" s="3837">
        <f t="shared" si="61"/>
        <v>126.11452059178734</v>
      </c>
      <c r="X28" s="3841">
        <f t="shared" si="62"/>
        <v>-180.58410647359054</v>
      </c>
      <c r="Y28" s="3841">
        <f t="shared" si="63"/>
        <v>753.47282118948578</v>
      </c>
      <c r="Z28" s="3841">
        <f t="shared" si="64"/>
        <v>-3705.0673969341833</v>
      </c>
      <c r="AA28" s="3841">
        <f t="shared" si="65"/>
        <v>132.73701568527633</v>
      </c>
      <c r="AB28" s="3843">
        <f t="shared" si="66"/>
        <v>-769.61119301693145</v>
      </c>
      <c r="AC28" s="3811"/>
      <c r="AD28" s="3811"/>
      <c r="AE28" s="3811"/>
      <c r="AF28" s="3811"/>
      <c r="AG28" s="3811"/>
      <c r="AH28" s="3811"/>
      <c r="AI28" s="3811"/>
      <c r="AJ28" s="3811"/>
      <c r="AK28" s="3811"/>
      <c r="AL28" s="3811"/>
      <c r="CB28" s="3819">
        <f t="shared" si="37"/>
        <v>46106.791666666664</v>
      </c>
      <c r="CD28" s="3836">
        <f t="shared" si="21"/>
        <v>-3.9564635763197438</v>
      </c>
      <c r="CE28" s="3832">
        <f t="shared" si="34"/>
        <v>17.080271715633593</v>
      </c>
      <c r="CF28" s="3819">
        <f t="shared" si="38"/>
        <v>46106.791666666664</v>
      </c>
      <c r="CG28" s="3832"/>
      <c r="CH28" s="4259">
        <f t="shared" si="23"/>
        <v>-2.0129067579554072E-2</v>
      </c>
      <c r="CI28" s="4258">
        <f>+'R+P'!DH32-'ST Original'!II32</f>
        <v>-2.1543216610253157E-2</v>
      </c>
      <c r="CJ28" s="3819">
        <f t="shared" si="2"/>
        <v>46106.791666666664</v>
      </c>
      <c r="CL28" s="4231">
        <f t="shared" si="24"/>
        <v>2.4772807965686638</v>
      </c>
      <c r="CM28" s="4230">
        <f>+'R+P'!DJ32-'ST Original'!IK32</f>
        <v>0.15263390938667953</v>
      </c>
      <c r="CN28" s="3819">
        <f t="shared" si="39"/>
        <v>46106.791666666664</v>
      </c>
      <c r="CO28" s="3832"/>
      <c r="CP28" s="3832">
        <f t="shared" si="4"/>
        <v>869.947833449374</v>
      </c>
      <c r="CQ28" s="3832">
        <f t="shared" si="5"/>
        <v>898.54789722597923</v>
      </c>
      <c r="CR28" s="3819">
        <f t="shared" si="40"/>
        <v>46106.791666666664</v>
      </c>
      <c r="CS28" s="3832"/>
      <c r="CT28" s="3836">
        <f t="shared" si="6"/>
        <v>-28.600063776605225</v>
      </c>
      <c r="CU28" s="3832">
        <f t="shared" si="7"/>
        <v>-769.61119301693145</v>
      </c>
      <c r="CW28" s="3819">
        <f t="shared" si="8"/>
        <v>46106.791666666664</v>
      </c>
      <c r="CY28" s="3833">
        <f t="shared" si="9"/>
        <v>1.5106095272017228E-3</v>
      </c>
      <c r="DA28" s="3819">
        <f t="shared" si="41"/>
        <v>46106.791666666664</v>
      </c>
      <c r="DC28" s="3834">
        <f t="shared" si="10"/>
        <v>-174.49623322480147</v>
      </c>
      <c r="DE28" s="3835">
        <f t="shared" si="42"/>
        <v>46106.791666666664</v>
      </c>
      <c r="DG28" s="4229">
        <f>+('R+P'!BD32-'ST Original'!AX32)*-1</f>
        <v>-0.10420672685995758</v>
      </c>
      <c r="DI28" s="3835">
        <f t="shared" si="43"/>
        <v>46106.791666666664</v>
      </c>
      <c r="DK28" s="3833">
        <f>+'R+P'!BE32-'ST Original'!AT32</f>
        <v>-0.56904144346334817</v>
      </c>
      <c r="DM28" s="3835">
        <f t="shared" si="44"/>
        <v>46106.791666666664</v>
      </c>
      <c r="DO28" s="3833">
        <f>+('R+P'!DC32-'ST Original'!AU32)*-1</f>
        <v>-11.449648325769459</v>
      </c>
      <c r="DQ28" s="3835">
        <f t="shared" si="45"/>
        <v>46106.791666666664</v>
      </c>
      <c r="DS28" s="3833">
        <f>+('R+P'!K32-'ST Original'!K32)*-1</f>
        <v>-15.574464181098762</v>
      </c>
      <c r="DU28" s="3819">
        <f t="shared" si="46"/>
        <v>46106.791666666664</v>
      </c>
      <c r="DW28" s="3834">
        <f>+'R+P'!C32/1000</f>
        <v>240.17299640000002</v>
      </c>
      <c r="DX28" s="3834">
        <f>+'R+P'!D32/1000</f>
        <v>655.01360114647616</v>
      </c>
      <c r="DY28" s="3834">
        <f>+'R+P'!E32/1000</f>
        <v>197.29519435247991</v>
      </c>
    </row>
    <row r="29" spans="1:129" ht="15" thickTop="1" thickBot="1">
      <c r="A29" s="3810">
        <f t="shared" si="49"/>
        <v>26</v>
      </c>
      <c r="B29" s="3813">
        <f t="shared" ref="B29" si="69">+B28+1</f>
        <v>46107.791666666664</v>
      </c>
      <c r="C29" s="3837">
        <f>+'R+P'!E33</f>
        <v>194197.02884296299</v>
      </c>
      <c r="D29" s="3824">
        <f>+'R+P'!J33%*100</f>
        <v>97.88718333333334</v>
      </c>
      <c r="E29" s="3825">
        <f>+'R+P'!BH33</f>
        <v>8266.192358301716</v>
      </c>
      <c r="F29" s="3838">
        <f>+'R+P'!L33</f>
        <v>0.52363529808160525</v>
      </c>
      <c r="G29" s="3839">
        <f>+'R+P'!M33</f>
        <v>90.579694000087017</v>
      </c>
      <c r="H29" s="3840">
        <f t="shared" si="52"/>
        <v>921.09058840489934</v>
      </c>
      <c r="I29" s="3841">
        <f t="shared" si="53"/>
        <v>180.44550368566956</v>
      </c>
      <c r="J29" s="3842">
        <f>+'R+P'!AO33</f>
        <v>1101.5360920905689</v>
      </c>
      <c r="K29" s="3837">
        <f>+'ST Original'!E33</f>
        <v>209167.58830531855</v>
      </c>
      <c r="L29" s="3824">
        <f>+'ST Original'!J33</f>
        <v>97.885672723806138</v>
      </c>
      <c r="M29" s="3825">
        <f>+'ST Original'!BT33</f>
        <v>8909.7540482841814</v>
      </c>
      <c r="N29" s="3838">
        <f>+'ST Original'!L33</f>
        <v>0.53298775612561489</v>
      </c>
      <c r="O29" s="3839">
        <f>+'ST Original'!M33</f>
        <v>90.469439382451938</v>
      </c>
      <c r="P29" s="3843">
        <f t="shared" si="54"/>
        <v>1008.5873588167241</v>
      </c>
      <c r="Q29" s="3823">
        <f t="shared" si="55"/>
        <v>-72.186695608432331</v>
      </c>
      <c r="R29" s="3825">
        <f t="shared" si="56"/>
        <v>5.9226693887073467E-2</v>
      </c>
      <c r="S29" s="3825">
        <f t="shared" si="57"/>
        <v>-298.79207689156158</v>
      </c>
      <c r="T29" s="3825">
        <f t="shared" si="58"/>
        <v>-73.882479723064833</v>
      </c>
      <c r="U29" s="3825">
        <f t="shared" si="59"/>
        <v>5.1250589529589519</v>
      </c>
      <c r="V29" s="3843">
        <f t="shared" si="60"/>
        <v>-87.496770411824741</v>
      </c>
      <c r="W29" s="3837">
        <f t="shared" si="61"/>
        <v>53.927824983355009</v>
      </c>
      <c r="X29" s="3841">
        <f t="shared" si="62"/>
        <v>-180.52487977970347</v>
      </c>
      <c r="Y29" s="3841">
        <f t="shared" si="63"/>
        <v>454.68074429792421</v>
      </c>
      <c r="Z29" s="3841">
        <f t="shared" si="64"/>
        <v>-3778.9498766572483</v>
      </c>
      <c r="AA29" s="3841">
        <f t="shared" si="65"/>
        <v>137.8620746382353</v>
      </c>
      <c r="AB29" s="3843">
        <f t="shared" si="66"/>
        <v>-857.10796342875619</v>
      </c>
      <c r="AC29" s="3811"/>
      <c r="AD29" s="3811"/>
      <c r="AE29" s="3811"/>
      <c r="AF29" s="3811"/>
      <c r="AG29" s="3811"/>
      <c r="AH29" s="3811"/>
      <c r="AI29" s="3811"/>
      <c r="AJ29" s="3811"/>
      <c r="AK29" s="3811"/>
      <c r="AL29" s="3811"/>
      <c r="CB29" s="3819">
        <f t="shared" si="37"/>
        <v>46107.791666666664</v>
      </c>
      <c r="CD29" s="3836">
        <f t="shared" si="21"/>
        <v>-14.970559462355567</v>
      </c>
      <c r="CE29" s="3832">
        <f t="shared" si="34"/>
        <v>2.1097122532780261</v>
      </c>
      <c r="CF29" s="3819">
        <f t="shared" si="38"/>
        <v>46107.791666666664</v>
      </c>
      <c r="CG29" s="3832"/>
      <c r="CH29" s="4259">
        <f t="shared" si="23"/>
        <v>-9.3524580440096372E-3</v>
      </c>
      <c r="CI29" s="4258">
        <f>+'R+P'!DH33-'ST Original'!II33</f>
        <v>-2.106411290177046E-2</v>
      </c>
      <c r="CJ29" s="3819">
        <f t="shared" si="2"/>
        <v>46107.791666666664</v>
      </c>
      <c r="CL29" s="4231">
        <f t="shared" si="24"/>
        <v>0.11025461763507849</v>
      </c>
      <c r="CM29" s="4230">
        <f>+'R+P'!DJ33-'ST Original'!IK33</f>
        <v>0.15037875479902141</v>
      </c>
      <c r="CN29" s="3819">
        <f t="shared" si="39"/>
        <v>46107.791666666664</v>
      </c>
      <c r="CO29" s="3832"/>
      <c r="CP29" s="3832">
        <f t="shared" si="4"/>
        <v>921.09058840489934</v>
      </c>
      <c r="CQ29" s="3832">
        <f t="shared" si="5"/>
        <v>1008.5873588167241</v>
      </c>
      <c r="CR29" s="3819">
        <f t="shared" si="40"/>
        <v>46107.791666666664</v>
      </c>
      <c r="CS29" s="3832"/>
      <c r="CT29" s="3836">
        <f t="shared" si="6"/>
        <v>-87.496770411824741</v>
      </c>
      <c r="CU29" s="3832">
        <f t="shared" si="7"/>
        <v>-857.10796342875619</v>
      </c>
      <c r="CW29" s="3819">
        <f t="shared" si="8"/>
        <v>46107.791666666664</v>
      </c>
      <c r="CY29" s="3833">
        <f t="shared" si="9"/>
        <v>1.5106095272017228E-3</v>
      </c>
      <c r="DA29" s="3819">
        <f t="shared" si="41"/>
        <v>46107.791666666664</v>
      </c>
      <c r="DC29" s="3834">
        <f t="shared" si="10"/>
        <v>-643.5616899824654</v>
      </c>
      <c r="DE29" s="3835">
        <f t="shared" si="42"/>
        <v>46107.791666666664</v>
      </c>
      <c r="DG29" s="4229">
        <f>+('R+P'!BD33-'ST Original'!AX33)*-1</f>
        <v>-0.32375384596506018</v>
      </c>
      <c r="DI29" s="3835">
        <f t="shared" si="43"/>
        <v>46107.791666666664</v>
      </c>
      <c r="DK29" s="3833">
        <f>+'R+P'!BE33-'ST Original'!AT33</f>
        <v>-1.3315856182384849</v>
      </c>
      <c r="DM29" s="3835">
        <f t="shared" si="44"/>
        <v>46107.791666666664</v>
      </c>
      <c r="DO29" s="3833">
        <f>+('R+P'!DC33-'ST Original'!AU33)*-1</f>
        <v>-18.329911064446193</v>
      </c>
      <c r="DQ29" s="3835">
        <f t="shared" si="45"/>
        <v>46107.791666666664</v>
      </c>
      <c r="DS29" s="3833">
        <f>+('R+P'!K33-'ST Original'!K33)*-1</f>
        <v>-12.924551099269948</v>
      </c>
      <c r="DU29" s="3819">
        <f t="shared" si="46"/>
        <v>46107.791666666664</v>
      </c>
      <c r="DW29" s="3834">
        <f>+'R+P'!C33/1000</f>
        <v>222.11904000000001</v>
      </c>
      <c r="DX29" s="3834">
        <f>+'R+P'!D33/1000</f>
        <v>682.93561230351315</v>
      </c>
      <c r="DY29" s="3834">
        <f>+'R+P'!E33/1000</f>
        <v>194.19702884296299</v>
      </c>
    </row>
    <row r="30" spans="1:129" ht="15" thickTop="1" thickBot="1">
      <c r="A30" s="3810">
        <f t="shared" si="49"/>
        <v>27</v>
      </c>
      <c r="B30" s="3813">
        <f t="shared" ref="B30" si="70">+B29+1</f>
        <v>46108.791666666664</v>
      </c>
      <c r="C30" s="3837">
        <f>+'R+P'!E34</f>
        <v>203510.59671721514</v>
      </c>
      <c r="D30" s="3824">
        <f>+'R+P'!J34%*100</f>
        <v>97.88718333333334</v>
      </c>
      <c r="E30" s="3825">
        <f>+'R+P'!BH34</f>
        <v>8662.6337665424326</v>
      </c>
      <c r="F30" s="3838">
        <f>+'R+P'!L34</f>
        <v>0.52870026226391142</v>
      </c>
      <c r="G30" s="3839">
        <f>+'R+P'!M34</f>
        <v>89.465534775993731</v>
      </c>
      <c r="H30" s="3840">
        <f t="shared" si="52"/>
        <v>962.61431503893766</v>
      </c>
      <c r="I30" s="3841">
        <f t="shared" si="53"/>
        <v>161.4423457217639</v>
      </c>
      <c r="J30" s="3842">
        <f>+'R+P'!AO34</f>
        <v>1124.0566607607016</v>
      </c>
      <c r="K30" s="3837">
        <f>+'ST Original'!E34</f>
        <v>209548.87494626042</v>
      </c>
      <c r="L30" s="3824">
        <f>+'ST Original'!J34</f>
        <v>97.885672723806138</v>
      </c>
      <c r="M30" s="3825">
        <f>+'ST Original'!BT34</f>
        <v>8925.9954278411788</v>
      </c>
      <c r="N30" s="3838">
        <f>+'ST Original'!L34</f>
        <v>0.58620307725686216</v>
      </c>
      <c r="O30" s="3839">
        <f>+'ST Original'!M34</f>
        <v>90.218317494085895</v>
      </c>
      <c r="P30" s="3843">
        <f t="shared" si="54"/>
        <v>1108.2255306611319</v>
      </c>
      <c r="Q30" s="3823">
        <f t="shared" si="55"/>
        <v>-31.934192423506872</v>
      </c>
      <c r="R30" s="3825">
        <f t="shared" si="56"/>
        <v>6.1896695163129949E-2</v>
      </c>
      <c r="S30" s="3825">
        <f t="shared" si="57"/>
        <v>-121.93741136682938</v>
      </c>
      <c r="T30" s="3825">
        <f t="shared" si="58"/>
        <v>-449.49064542091111</v>
      </c>
      <c r="U30" s="3825">
        <f t="shared" si="59"/>
        <v>-38.556137831324413</v>
      </c>
      <c r="V30" s="3843">
        <f t="shared" si="60"/>
        <v>-145.61121562219421</v>
      </c>
      <c r="W30" s="3837">
        <f t="shared" si="61"/>
        <v>21.993632559848137</v>
      </c>
      <c r="X30" s="3841">
        <f t="shared" si="62"/>
        <v>-180.46298308454033</v>
      </c>
      <c r="Y30" s="3841">
        <f t="shared" si="63"/>
        <v>332.74333293109481</v>
      </c>
      <c r="Z30" s="3841">
        <f t="shared" si="64"/>
        <v>-4228.4405220781591</v>
      </c>
      <c r="AA30" s="3841">
        <f t="shared" si="65"/>
        <v>99.305936806910893</v>
      </c>
      <c r="AB30" s="3843">
        <f t="shared" si="66"/>
        <v>-1002.7191790509504</v>
      </c>
      <c r="AC30" s="3811"/>
      <c r="AD30" s="3811"/>
      <c r="AE30" s="3811"/>
      <c r="AF30" s="3811"/>
      <c r="AG30" s="3811"/>
      <c r="AH30" s="3811"/>
      <c r="AI30" s="3811"/>
      <c r="AJ30" s="3811"/>
      <c r="AK30" s="3811"/>
      <c r="AL30" s="3811"/>
      <c r="CB30" s="3819">
        <f t="shared" si="37"/>
        <v>46108.791666666664</v>
      </c>
      <c r="CD30" s="3836">
        <f t="shared" si="21"/>
        <v>-6.0382782290452743</v>
      </c>
      <c r="CE30" s="3832">
        <f t="shared" si="34"/>
        <v>-3.9285659757672482</v>
      </c>
      <c r="CF30" s="3819">
        <f t="shared" si="38"/>
        <v>46108.791666666664</v>
      </c>
      <c r="CG30" s="3832"/>
      <c r="CH30" s="4259">
        <f t="shared" si="23"/>
        <v>-5.7502814992950735E-2</v>
      </c>
      <c r="CI30" s="4258">
        <f>+'R+P'!DH34-'ST Original'!II34</f>
        <v>-2.2645850311468818E-2</v>
      </c>
      <c r="CJ30" s="3819">
        <f t="shared" si="2"/>
        <v>46108.791666666664</v>
      </c>
      <c r="CL30" s="4231">
        <f t="shared" si="24"/>
        <v>-0.75278271809216335</v>
      </c>
      <c r="CM30" s="4230">
        <f>+'R+P'!DJ34-'ST Original'!IK34</f>
        <v>0.11307919517058451</v>
      </c>
      <c r="CN30" s="3819">
        <f t="shared" si="39"/>
        <v>46108.791666666664</v>
      </c>
      <c r="CO30" s="3832"/>
      <c r="CP30" s="3832">
        <f t="shared" si="4"/>
        <v>962.61431503893766</v>
      </c>
      <c r="CQ30" s="3832">
        <f t="shared" si="5"/>
        <v>1108.2255306611319</v>
      </c>
      <c r="CR30" s="3819">
        <f t="shared" si="40"/>
        <v>46108.791666666664</v>
      </c>
      <c r="CS30" s="3832"/>
      <c r="CT30" s="3836">
        <f t="shared" si="6"/>
        <v>-145.61121562219421</v>
      </c>
      <c r="CU30" s="3832">
        <f t="shared" si="7"/>
        <v>-1002.7191790509504</v>
      </c>
      <c r="CW30" s="3819">
        <f t="shared" si="8"/>
        <v>46108.791666666664</v>
      </c>
      <c r="CY30" s="3833">
        <f t="shared" si="9"/>
        <v>1.5106095272017228E-3</v>
      </c>
      <c r="DA30" s="3819">
        <f t="shared" si="41"/>
        <v>46108.791666666664</v>
      </c>
      <c r="DC30" s="3834">
        <f t="shared" si="10"/>
        <v>-263.36166129874618</v>
      </c>
      <c r="DE30" s="3835">
        <f t="shared" si="42"/>
        <v>46108.791666666664</v>
      </c>
      <c r="DG30" s="4229">
        <f>+('R+P'!BD34-'ST Original'!AX34)*-1</f>
        <v>-4.3154406267208678E-2</v>
      </c>
      <c r="DI30" s="3835">
        <f t="shared" si="43"/>
        <v>46108.791666666664</v>
      </c>
      <c r="DK30" s="3833">
        <f>+'R+P'!BE34-'ST Original'!AT34</f>
        <v>-1.6151744132254606</v>
      </c>
      <c r="DM30" s="3835">
        <f t="shared" si="44"/>
        <v>46108.791666666664</v>
      </c>
      <c r="DO30" s="3833">
        <f>+('R+P'!DC34-'ST Original'!AU34)*-1</f>
        <v>-11.666246200261327</v>
      </c>
      <c r="DQ30" s="3835">
        <f t="shared" si="45"/>
        <v>46108.791666666664</v>
      </c>
      <c r="DS30" s="3833">
        <f>+('R+P'!K34-'ST Original'!K34)*-1</f>
        <v>-21.048492407743517</v>
      </c>
      <c r="DU30" s="3819">
        <f t="shared" si="46"/>
        <v>46108.791666666664</v>
      </c>
      <c r="DW30" s="3834">
        <f>+'R+P'!C34/1000</f>
        <v>238.00000000006926</v>
      </c>
      <c r="DX30" s="3834">
        <f>+'R+P'!D34/1000</f>
        <v>717.42501558636718</v>
      </c>
      <c r="DY30" s="3834">
        <f>+'R+P'!E34/1000</f>
        <v>203.51059671721515</v>
      </c>
    </row>
    <row r="31" spans="1:129" ht="15" thickTop="1" thickBot="1">
      <c r="A31" s="3810">
        <f t="shared" si="49"/>
        <v>28</v>
      </c>
      <c r="B31" s="3813">
        <f t="shared" ref="B31" si="71">+B30+1</f>
        <v>46109.791666666664</v>
      </c>
      <c r="C31" s="3837">
        <f>+'R+P'!E35</f>
        <v>206249.92537445974</v>
      </c>
      <c r="D31" s="3824">
        <f>+'R+P'!J35%*100</f>
        <v>97.88718333333334</v>
      </c>
      <c r="E31" s="3825">
        <f>+'R+P'!BH35</f>
        <v>8779.2360531392223</v>
      </c>
      <c r="F31" s="3838">
        <f>+'R+P'!L35</f>
        <v>0.60210373772341408</v>
      </c>
      <c r="G31" s="3839">
        <f>+'R+P'!M35</f>
        <v>88.872627606430385</v>
      </c>
      <c r="H31" s="3840">
        <f t="shared" si="52"/>
        <v>1103.6545142268089</v>
      </c>
      <c r="I31" s="3841">
        <f t="shared" si="53"/>
        <v>-424.03929052109629</v>
      </c>
      <c r="J31" s="3842">
        <f>+'R+P'!AO35</f>
        <v>679.61522370571265</v>
      </c>
      <c r="K31" s="3837">
        <f>+'ST Original'!E35</f>
        <v>215593.08832196021</v>
      </c>
      <c r="L31" s="3824">
        <f>+'ST Original'!J35</f>
        <v>97.885672723806138</v>
      </c>
      <c r="M31" s="3825">
        <f>+'ST Original'!BT35</f>
        <v>9183.4562277153309</v>
      </c>
      <c r="N31" s="3838">
        <f>+'ST Original'!L35</f>
        <v>0.58702891178295702</v>
      </c>
      <c r="O31" s="3839">
        <f>+'ST Original'!M35</f>
        <v>89.583309455896881</v>
      </c>
      <c r="P31" s="3843">
        <f t="shared" si="54"/>
        <v>1133.7607747043605</v>
      </c>
      <c r="Q31" s="3823">
        <f t="shared" si="55"/>
        <v>-49.1338184539946</v>
      </c>
      <c r="R31" s="3825">
        <f t="shared" si="56"/>
        <v>7.0965667105985064E-2</v>
      </c>
      <c r="S31" s="3825">
        <f t="shared" si="57"/>
        <v>-211.72710488474576</v>
      </c>
      <c r="T31" s="3825">
        <f t="shared" si="58"/>
        <v>120.43303116444355</v>
      </c>
      <c r="U31" s="3825">
        <f t="shared" si="59"/>
        <v>-37.502481482074721</v>
      </c>
      <c r="V31" s="3843">
        <f t="shared" si="60"/>
        <v>-30.106260477551587</v>
      </c>
      <c r="W31" s="3837">
        <f t="shared" si="61"/>
        <v>-27.140185894146462</v>
      </c>
      <c r="X31" s="3841">
        <f t="shared" si="62"/>
        <v>-180.39201741743435</v>
      </c>
      <c r="Y31" s="3841">
        <f t="shared" si="63"/>
        <v>121.01622804634906</v>
      </c>
      <c r="Z31" s="3841">
        <f t="shared" si="64"/>
        <v>-4108.0074909137156</v>
      </c>
      <c r="AA31" s="3841">
        <f t="shared" si="65"/>
        <v>61.803455324836172</v>
      </c>
      <c r="AB31" s="3843">
        <f t="shared" si="66"/>
        <v>-1032.8254395285021</v>
      </c>
      <c r="AC31" s="3811"/>
      <c r="AD31" s="3811"/>
      <c r="AE31" s="3811"/>
      <c r="AF31" s="3811"/>
      <c r="AG31" s="3811"/>
      <c r="AH31" s="3811"/>
      <c r="AI31" s="3811"/>
      <c r="AJ31" s="3811"/>
      <c r="AK31" s="3811"/>
      <c r="AL31" s="3811"/>
      <c r="CB31" s="3819">
        <f t="shared" si="37"/>
        <v>46109.791666666664</v>
      </c>
      <c r="CD31" s="3836">
        <f t="shared" si="21"/>
        <v>-9.343162947500474</v>
      </c>
      <c r="CE31" s="3832">
        <f t="shared" si="34"/>
        <v>-13.271728923267723</v>
      </c>
      <c r="CF31" s="3819">
        <f t="shared" si="38"/>
        <v>46109.791666666664</v>
      </c>
      <c r="CG31" s="3832"/>
      <c r="CH31" s="4259">
        <f t="shared" si="23"/>
        <v>1.5074825940457059E-2</v>
      </c>
      <c r="CI31" s="4258">
        <f>+'R+P'!DH35-'ST Original'!II35</f>
        <v>-2.1226335739111257E-2</v>
      </c>
      <c r="CJ31" s="3819">
        <f t="shared" si="2"/>
        <v>46109.791666666664</v>
      </c>
      <c r="CL31" s="4231">
        <f t="shared" si="24"/>
        <v>-0.71068184946649637</v>
      </c>
      <c r="CM31" s="4230">
        <f>+'R+P'!DJ35-'ST Original'!IK35</f>
        <v>8.1138276542731091E-2</v>
      </c>
      <c r="CN31" s="3819">
        <f t="shared" si="39"/>
        <v>46109.791666666664</v>
      </c>
      <c r="CO31" s="3832"/>
      <c r="CP31" s="3832">
        <f t="shared" si="4"/>
        <v>1103.6545142268089</v>
      </c>
      <c r="CQ31" s="3832">
        <f t="shared" si="5"/>
        <v>1133.7607747043605</v>
      </c>
      <c r="CR31" s="3819">
        <f t="shared" si="40"/>
        <v>46109.791666666664</v>
      </c>
      <c r="CS31" s="3832"/>
      <c r="CT31" s="3836">
        <f t="shared" si="6"/>
        <v>-30.106260477551587</v>
      </c>
      <c r="CU31" s="3832">
        <f t="shared" si="7"/>
        <v>-1032.8254395285021</v>
      </c>
      <c r="CW31" s="3819">
        <f t="shared" si="8"/>
        <v>46109.791666666664</v>
      </c>
      <c r="CY31" s="3833">
        <f t="shared" si="9"/>
        <v>1.5106095272017228E-3</v>
      </c>
      <c r="DA31" s="3819">
        <f t="shared" si="41"/>
        <v>46109.791666666664</v>
      </c>
      <c r="DC31" s="3834">
        <f t="shared" si="10"/>
        <v>-404.22017457610855</v>
      </c>
      <c r="DE31" s="3835">
        <f t="shared" si="42"/>
        <v>46109.791666666664</v>
      </c>
      <c r="DG31" s="4229">
        <f>+('R+P'!BD35-'ST Original'!AX35)*-1</f>
        <v>-0.13996157350207916</v>
      </c>
      <c r="DI31" s="3835">
        <f t="shared" si="43"/>
        <v>46109.791666666664</v>
      </c>
      <c r="DK31" s="3833">
        <f>+'R+P'!BE35-'ST Original'!AT35</f>
        <v>-1.4973031691864804</v>
      </c>
      <c r="DM31" s="3835">
        <f t="shared" si="44"/>
        <v>46109.791666666664</v>
      </c>
      <c r="DO31" s="3833">
        <f>+('R+P'!DC35-'ST Original'!AU35)*-1</f>
        <v>-15.231186588225157</v>
      </c>
      <c r="DQ31" s="3835">
        <f t="shared" si="45"/>
        <v>46109.791666666664</v>
      </c>
      <c r="DS31" s="3833">
        <f>+('R+P'!K35-'ST Original'!K35)*-1</f>
        <v>-31.265592805158825</v>
      </c>
      <c r="DU31" s="3819">
        <f t="shared" si="46"/>
        <v>46109.791666666664</v>
      </c>
      <c r="DW31" s="3834">
        <f>+'R+P'!C35/1000</f>
        <v>180.00000000042226</v>
      </c>
      <c r="DX31" s="3834">
        <f>+'R+P'!D35/1000</f>
        <v>691.17509021232979</v>
      </c>
      <c r="DY31" s="3834">
        <f>+'R+P'!E35/1000</f>
        <v>206.24992537445974</v>
      </c>
    </row>
    <row r="32" spans="1:129" ht="15" thickTop="1" thickBot="1">
      <c r="A32" s="3810">
        <f t="shared" si="49"/>
        <v>29</v>
      </c>
      <c r="B32" s="3813">
        <f t="shared" ref="B32" si="72">+B31+1</f>
        <v>46110.791666666664</v>
      </c>
      <c r="C32" s="3837">
        <f>+'R+P'!E36</f>
        <v>209169.30110130421</v>
      </c>
      <c r="D32" s="3824">
        <f>+'R+P'!J36%*100</f>
        <v>97.88718333333334</v>
      </c>
      <c r="E32" s="3825">
        <f>+'R+P'!BH36</f>
        <v>8903.5022248105088</v>
      </c>
      <c r="F32" s="3838">
        <f>+'R+P'!L36</f>
        <v>0.60253190135276002</v>
      </c>
      <c r="G32" s="3839">
        <f>+'R+P'!M36</f>
        <v>90.12517923258855</v>
      </c>
      <c r="H32" s="3840">
        <f t="shared" si="52"/>
        <v>1135.8582388728898</v>
      </c>
      <c r="I32" s="3841">
        <f t="shared" si="53"/>
        <v>213.87249165584626</v>
      </c>
      <c r="J32" s="3842">
        <f>+'R+P'!AO36</f>
        <v>1349.7307305287361</v>
      </c>
      <c r="K32" s="3837">
        <f>+'ST Original'!E36</f>
        <v>210625.92929803248</v>
      </c>
      <c r="L32" s="3824">
        <f>+'ST Original'!J36</f>
        <v>97.885672723806138</v>
      </c>
      <c r="M32" s="3825">
        <f>+'ST Original'!BT36</f>
        <v>8971.8738999728921</v>
      </c>
      <c r="N32" s="3838">
        <f>+'ST Original'!L36</f>
        <v>0.58110873305710664</v>
      </c>
      <c r="O32" s="3839">
        <f>+'ST Original'!M36</f>
        <v>89.976839205924364</v>
      </c>
      <c r="P32" s="3843">
        <f t="shared" si="54"/>
        <v>1101.2856221419909</v>
      </c>
      <c r="Q32" s="3823">
        <f t="shared" si="55"/>
        <v>-7.6161738263174232</v>
      </c>
      <c r="R32" s="3825">
        <f t="shared" si="56"/>
        <v>7.3036386496289588E-2</v>
      </c>
      <c r="S32" s="3825">
        <f t="shared" si="57"/>
        <v>-36.343063900136883</v>
      </c>
      <c r="T32" s="3825">
        <f t="shared" si="58"/>
        <v>169.56340605625033</v>
      </c>
      <c r="U32" s="3825">
        <f t="shared" si="59"/>
        <v>7.5703863798535496</v>
      </c>
      <c r="V32" s="3843">
        <f t="shared" si="60"/>
        <v>34.572616730898972</v>
      </c>
      <c r="W32" s="3837">
        <f t="shared" si="61"/>
        <v>-34.756359720463884</v>
      </c>
      <c r="X32" s="3841">
        <f t="shared" si="62"/>
        <v>-180.31898103093806</v>
      </c>
      <c r="Y32" s="3841">
        <f t="shared" si="63"/>
        <v>84.673164146212173</v>
      </c>
      <c r="Z32" s="3841">
        <f t="shared" si="64"/>
        <v>-3938.4440848574654</v>
      </c>
      <c r="AA32" s="3841">
        <f t="shared" si="65"/>
        <v>69.373841704689724</v>
      </c>
      <c r="AB32" s="3843">
        <f t="shared" si="66"/>
        <v>-998.25282279760313</v>
      </c>
      <c r="AC32" s="3811"/>
      <c r="AD32" s="3811"/>
      <c r="AE32" s="3811"/>
      <c r="AF32" s="3811"/>
      <c r="AG32" s="3811"/>
      <c r="AH32" s="3811"/>
      <c r="AI32" s="3811"/>
      <c r="AJ32" s="3811"/>
      <c r="AK32" s="3811"/>
      <c r="AL32" s="3811"/>
      <c r="CB32" s="3819">
        <f t="shared" si="37"/>
        <v>46110.791666666664</v>
      </c>
      <c r="CD32" s="3836">
        <f t="shared" si="21"/>
        <v>-1.4566281967282704</v>
      </c>
      <c r="CE32" s="3832">
        <f t="shared" si="34"/>
        <v>-14.728357119995994</v>
      </c>
      <c r="CF32" s="3819">
        <f t="shared" si="38"/>
        <v>46110.791666666664</v>
      </c>
      <c r="CG32" s="3832"/>
      <c r="CH32" s="4259">
        <f t="shared" si="23"/>
        <v>2.1423168295653383E-2</v>
      </c>
      <c r="CI32" s="4258">
        <f>+'R+P'!DH36-'ST Original'!II36</f>
        <v>-1.9560068494304805E-2</v>
      </c>
      <c r="CJ32" s="3819">
        <f t="shared" si="2"/>
        <v>46110.791666666664</v>
      </c>
      <c r="CL32" s="4231">
        <f t="shared" si="24"/>
        <v>0.14834002666418655</v>
      </c>
      <c r="CM32" s="4230">
        <f>+'R+P'!DJ36-'ST Original'!IK36</f>
        <v>8.3827105930140533E-2</v>
      </c>
      <c r="CN32" s="3819">
        <f t="shared" si="39"/>
        <v>46110.791666666664</v>
      </c>
      <c r="CO32" s="3832"/>
      <c r="CP32" s="3832">
        <f t="shared" si="4"/>
        <v>1135.8582388728898</v>
      </c>
      <c r="CQ32" s="3832">
        <f t="shared" si="5"/>
        <v>1101.2856221419909</v>
      </c>
      <c r="CR32" s="3819">
        <f t="shared" si="40"/>
        <v>46110.791666666664</v>
      </c>
      <c r="CS32" s="3832"/>
      <c r="CT32" s="3836">
        <f t="shared" si="6"/>
        <v>34.572616730898972</v>
      </c>
      <c r="CU32" s="3832">
        <f t="shared" si="7"/>
        <v>-998.25282279760313</v>
      </c>
      <c r="CW32" s="3819">
        <f t="shared" si="8"/>
        <v>46110.791666666664</v>
      </c>
      <c r="CY32" s="3833">
        <f t="shared" si="9"/>
        <v>1.5106095272017228E-3</v>
      </c>
      <c r="DA32" s="3819">
        <f t="shared" si="41"/>
        <v>46110.791666666664</v>
      </c>
      <c r="DC32" s="3834">
        <f t="shared" si="10"/>
        <v>-68.371675162383326</v>
      </c>
      <c r="DE32" s="3835">
        <f t="shared" si="42"/>
        <v>46110.791666666664</v>
      </c>
      <c r="DG32" s="4229">
        <f>+('R+P'!BD36-'ST Original'!AX36)*-1</f>
        <v>9.7023584044246824E-2</v>
      </c>
      <c r="DI32" s="3835">
        <f t="shared" si="43"/>
        <v>46110.791666666664</v>
      </c>
      <c r="DK32" s="3833">
        <f>+'R+P'!BE36-'ST Original'!AT36</f>
        <v>-1.6054446002506921</v>
      </c>
      <c r="DM32" s="3835">
        <f t="shared" si="44"/>
        <v>46110.791666666664</v>
      </c>
      <c r="DO32" s="3833">
        <f>+('R+P'!DC36-'ST Original'!AU36)*-1</f>
        <v>-1.445513108545498</v>
      </c>
      <c r="DQ32" s="3835">
        <f t="shared" si="45"/>
        <v>46110.791666666664</v>
      </c>
      <c r="DS32" s="3833">
        <f>+('R+P'!K36-'ST Original'!K36)*-1</f>
        <v>-3.2369681107145851</v>
      </c>
      <c r="DU32" s="3819">
        <f t="shared" si="46"/>
        <v>46110.791666666664</v>
      </c>
      <c r="DW32" s="3834">
        <f>+'R+P'!C36/1000</f>
        <v>237.99999999993707</v>
      </c>
      <c r="DX32" s="3834">
        <f>+'R+P'!D36/1000</f>
        <v>720.00578911096261</v>
      </c>
      <c r="DY32" s="3834">
        <f>+'R+P'!E36/1000</f>
        <v>209.1693011013042</v>
      </c>
    </row>
    <row r="33" spans="1:129" ht="15" thickTop="1" thickBot="1">
      <c r="A33" s="3810">
        <f t="shared" si="49"/>
        <v>30</v>
      </c>
      <c r="B33" s="3813">
        <f t="shared" ref="B33" si="73">+B32+1</f>
        <v>46111.791666666664</v>
      </c>
      <c r="C33" s="3837">
        <f>+'R+P'!E37</f>
        <v>200982.55747578535</v>
      </c>
      <c r="D33" s="3824">
        <f>+'R+P'!J37%*100</f>
        <v>94.705183333333338</v>
      </c>
      <c r="E33" s="3825">
        <f>+'R+P'!BH37</f>
        <v>8842.4655688409766</v>
      </c>
      <c r="F33" s="3838">
        <f>+'R+P'!L37</f>
        <v>0.58079430880381111</v>
      </c>
      <c r="G33" s="3839">
        <f>+'R+P'!M37</f>
        <v>90.917789823751221</v>
      </c>
      <c r="H33" s="3840">
        <f t="shared" si="52"/>
        <v>1061.2790470251196</v>
      </c>
      <c r="I33" s="3841">
        <f t="shared" si="53"/>
        <v>255.79939984304065</v>
      </c>
      <c r="J33" s="3842">
        <f>+'R+P'!AO37</f>
        <v>1317.0784468681602</v>
      </c>
      <c r="K33" s="3837">
        <f>+'ST Original'!E37</f>
        <v>205689.02707679011</v>
      </c>
      <c r="L33" s="3824">
        <f>+'ST Original'!J37</f>
        <v>97.885672723806138</v>
      </c>
      <c r="M33" s="3825">
        <f>+'ST Original'!BT37</f>
        <v>8761.580398441045</v>
      </c>
      <c r="N33" s="3838">
        <f>+'ST Original'!L37</f>
        <v>0.56194335962321529</v>
      </c>
      <c r="O33" s="3839">
        <f>+'ST Original'!M37</f>
        <v>90.285434666516934</v>
      </c>
      <c r="P33" s="3843">
        <f t="shared" si="54"/>
        <v>1043.5694594497559</v>
      </c>
      <c r="Q33" s="3823">
        <f t="shared" si="55"/>
        <v>-23.878414941423308</v>
      </c>
      <c r="R33" s="3825">
        <f t="shared" si="56"/>
        <v>-148.50413631858925</v>
      </c>
      <c r="S33" s="3825">
        <f t="shared" si="57"/>
        <v>41.807986904619987</v>
      </c>
      <c r="T33" s="3825">
        <f t="shared" si="58"/>
        <v>146.98860650130081</v>
      </c>
      <c r="U33" s="3825">
        <f t="shared" si="59"/>
        <v>30.475805194052469</v>
      </c>
      <c r="V33" s="3843">
        <f t="shared" si="60"/>
        <v>17.709587575363685</v>
      </c>
      <c r="W33" s="3837">
        <f t="shared" si="61"/>
        <v>-58.634774661887192</v>
      </c>
      <c r="X33" s="3841">
        <f t="shared" si="62"/>
        <v>-328.82311734952731</v>
      </c>
      <c r="Y33" s="3841">
        <f t="shared" si="63"/>
        <v>126.48115105083215</v>
      </c>
      <c r="Z33" s="3841">
        <f t="shared" si="64"/>
        <v>-3791.4554783561648</v>
      </c>
      <c r="AA33" s="3841">
        <f t="shared" si="65"/>
        <v>99.849646898742193</v>
      </c>
      <c r="AB33" s="3843">
        <f t="shared" si="66"/>
        <v>-980.54323522223945</v>
      </c>
      <c r="AC33" s="3811"/>
      <c r="AD33" s="3811"/>
      <c r="AE33" s="3811"/>
      <c r="AF33" s="3811"/>
      <c r="AG33" s="3811"/>
      <c r="AH33" s="3811"/>
      <c r="AI33" s="3811"/>
      <c r="AJ33" s="3811"/>
      <c r="AK33" s="3811"/>
      <c r="CB33" s="3819">
        <f t="shared" si="37"/>
        <v>46111.791666666664</v>
      </c>
      <c r="CD33" s="3836">
        <f t="shared" si="21"/>
        <v>-4.7064696010047626</v>
      </c>
      <c r="CE33" s="3832">
        <f t="shared" si="34"/>
        <v>-19.434826721000757</v>
      </c>
      <c r="CF33" s="3819">
        <f t="shared" si="38"/>
        <v>46111.791666666664</v>
      </c>
      <c r="CG33" s="3832"/>
      <c r="CH33" s="4259">
        <f t="shared" si="23"/>
        <v>1.8850949180595822E-2</v>
      </c>
      <c r="CI33" s="4258">
        <f>+'R+P'!DH37-'ST Original'!II37</f>
        <v>-1.8184595968956496E-2</v>
      </c>
      <c r="CJ33" s="3819">
        <f t="shared" si="2"/>
        <v>46111.791666666664</v>
      </c>
      <c r="CL33" s="4231">
        <f t="shared" si="24"/>
        <v>0.63235515723428648</v>
      </c>
      <c r="CM33" s="4230">
        <f>+'R+P'!DJ37-'ST Original'!IK37</f>
        <v>0.10375787253336455</v>
      </c>
      <c r="CN33" s="3819">
        <f t="shared" si="39"/>
        <v>46111.791666666664</v>
      </c>
      <c r="CO33" s="3832"/>
      <c r="CP33" s="3832">
        <f t="shared" si="4"/>
        <v>1061.2790470251196</v>
      </c>
      <c r="CQ33" s="3832">
        <f t="shared" si="5"/>
        <v>1043.5694594497559</v>
      </c>
      <c r="CR33" s="3819">
        <f t="shared" si="40"/>
        <v>46111.791666666664</v>
      </c>
      <c r="CS33" s="3832"/>
      <c r="CT33" s="3836">
        <f t="shared" si="6"/>
        <v>17.709587575363685</v>
      </c>
      <c r="CU33" s="3832">
        <f t="shared" si="7"/>
        <v>-980.54323522223945</v>
      </c>
      <c r="CW33" s="3819">
        <f t="shared" si="8"/>
        <v>46111.791666666664</v>
      </c>
      <c r="CY33" s="3833">
        <f t="shared" si="9"/>
        <v>-3.1804893904728004</v>
      </c>
      <c r="DA33" s="3819">
        <f t="shared" si="41"/>
        <v>46111.791666666664</v>
      </c>
      <c r="DC33" s="3834">
        <f t="shared" si="10"/>
        <v>80.885170399931667</v>
      </c>
      <c r="DE33" s="3835">
        <f t="shared" si="42"/>
        <v>46111.791666666664</v>
      </c>
      <c r="DG33" s="4229">
        <f>+('R+P'!BD37-'ST Original'!AX37)*-1</f>
        <v>0.15833094442397577</v>
      </c>
      <c r="DI33" s="3835">
        <f t="shared" si="43"/>
        <v>46111.791666666664</v>
      </c>
      <c r="DK33" s="3833">
        <f>+'R+P'!BE37-'ST Original'!AT37</f>
        <v>-1.435400116191758</v>
      </c>
      <c r="DM33" s="3835">
        <f t="shared" si="44"/>
        <v>46111.791666666664</v>
      </c>
      <c r="DO33" s="3833">
        <f>+('R+P'!DC37-'ST Original'!AU37)*-1</f>
        <v>3.8991102357228442</v>
      </c>
      <c r="DQ33" s="3835">
        <f t="shared" si="45"/>
        <v>46111.791666666664</v>
      </c>
      <c r="DS33" s="3833">
        <f>+('R+P'!K37-'ST Original'!K37)*-1</f>
        <v>-5.9516039593206074</v>
      </c>
      <c r="DU33" s="3819">
        <f t="shared" si="46"/>
        <v>46111.791666666664</v>
      </c>
      <c r="DW33" s="3834">
        <f>+'R+P'!C37/1000</f>
        <v>238.00000000004738</v>
      </c>
      <c r="DX33" s="3834">
        <f>+'R+P'!D37/1000</f>
        <v>757.02323163522465</v>
      </c>
      <c r="DY33" s="3834">
        <f>+'R+P'!E37/1000</f>
        <v>200.98255747578534</v>
      </c>
    </row>
    <row r="34" spans="1:129" ht="14.5" thickTop="1">
      <c r="A34" s="3810">
        <f t="shared" si="49"/>
        <v>31</v>
      </c>
      <c r="B34" s="3813">
        <f t="shared" ref="B34" si="74">+B33+1</f>
        <v>46112.791666666664</v>
      </c>
      <c r="C34" s="3837">
        <f>+'R+P'!E38</f>
        <v>306376.6010562717</v>
      </c>
      <c r="D34" s="3824">
        <f>+'R+P'!J38%*100</f>
        <v>97.88718333333334</v>
      </c>
      <c r="E34" s="3825">
        <f>+'R+P'!BH38</f>
        <v>8694.1526465946845</v>
      </c>
      <c r="F34" s="3838">
        <f>+'R+P'!L38</f>
        <v>0.57187199432425428</v>
      </c>
      <c r="G34" s="3839">
        <f>+'R+P'!M38</f>
        <v>91.042827998464162</v>
      </c>
      <c r="H34" s="3840">
        <f t="shared" si="52"/>
        <v>1595.1449821719496</v>
      </c>
      <c r="I34" s="3841">
        <f t="shared" si="53"/>
        <v>94.442070226920805</v>
      </c>
      <c r="J34" s="3842">
        <f>+'R+P'!AO38</f>
        <v>1689.5870523988704</v>
      </c>
      <c r="K34" s="3837">
        <f>+'ST Original'!E38</f>
        <v>309289.50925959361</v>
      </c>
      <c r="L34" s="3824">
        <f>+'ST Original'!J38</f>
        <v>98.590784338949973</v>
      </c>
      <c r="M34" s="3825">
        <f>+'ST Original'!BT38</f>
        <v>8718.2130111556362</v>
      </c>
      <c r="N34" s="3838">
        <f>+'ST Original'!L38</f>
        <v>0.56149614023378414</v>
      </c>
      <c r="O34" s="3839">
        <f>+'ST Original'!M38</f>
        <v>90.45774167981746</v>
      </c>
      <c r="P34" s="3843">
        <f t="shared" si="54"/>
        <v>1570.9331557100018</v>
      </c>
      <c r="Q34" s="3823">
        <f t="shared" si="55"/>
        <v>-14.795148038135762</v>
      </c>
      <c r="R34" s="3825">
        <f t="shared" si="56"/>
        <v>-31.849181866009534</v>
      </c>
      <c r="S34" s="3825">
        <f t="shared" si="57"/>
        <v>-12.350458860597803</v>
      </c>
      <c r="T34" s="3825">
        <f t="shared" si="58"/>
        <v>81.195767790099296</v>
      </c>
      <c r="U34" s="3825">
        <f t="shared" si="59"/>
        <v>28.237777747937223</v>
      </c>
      <c r="V34" s="3843">
        <f t="shared" si="60"/>
        <v>24.211826461947794</v>
      </c>
      <c r="W34" s="3837">
        <f t="shared" si="61"/>
        <v>-73.429922700022956</v>
      </c>
      <c r="X34" s="3841">
        <f t="shared" si="62"/>
        <v>-360.67229921553684</v>
      </c>
      <c r="Y34" s="3841">
        <f t="shared" si="63"/>
        <v>114.13069219023436</v>
      </c>
      <c r="Z34" s="3841">
        <f t="shared" si="64"/>
        <v>-3710.2597105660657</v>
      </c>
      <c r="AA34" s="3841">
        <f t="shared" si="65"/>
        <v>128.08742464667941</v>
      </c>
      <c r="AB34" s="3843">
        <f t="shared" si="66"/>
        <v>-956.33140876029165</v>
      </c>
      <c r="AC34" s="3811"/>
      <c r="AD34" s="3811"/>
      <c r="AE34" s="3811"/>
      <c r="AF34" s="3811"/>
      <c r="AG34" s="3811"/>
      <c r="AH34" s="3811"/>
      <c r="AI34" s="3811"/>
      <c r="AJ34" s="3811"/>
      <c r="AK34" s="3811"/>
      <c r="CB34" s="3819">
        <f t="shared" si="37"/>
        <v>46112.791666666664</v>
      </c>
      <c r="CD34" s="3836">
        <f t="shared" si="21"/>
        <v>-2.9129082033219165</v>
      </c>
      <c r="CE34" s="3832">
        <f t="shared" si="34"/>
        <v>-22.347734924322673</v>
      </c>
      <c r="CF34" s="3819">
        <f t="shared" si="38"/>
        <v>46112.791666666664</v>
      </c>
      <c r="CG34" s="3832"/>
      <c r="CH34" s="4259">
        <f t="shared" si="23"/>
        <v>1.0375854090470149E-2</v>
      </c>
      <c r="CI34" s="4258">
        <f>+'R+P'!DH38-'ST Original'!II38</f>
        <v>-1.6693109297827302E-2</v>
      </c>
      <c r="CJ34" s="3819">
        <f t="shared" si="2"/>
        <v>46112.791666666664</v>
      </c>
      <c r="CL34" s="4231">
        <f t="shared" si="24"/>
        <v>0.58508631864670235</v>
      </c>
      <c r="CM34" s="4230">
        <f>+'R+P'!DJ38-'ST Original'!IK38</f>
        <v>0.12897616531192568</v>
      </c>
      <c r="CN34" s="3819">
        <f t="shared" si="39"/>
        <v>46112.791666666664</v>
      </c>
      <c r="CO34" s="3832"/>
      <c r="CP34" s="3832">
        <f t="shared" si="4"/>
        <v>1595.1449821719496</v>
      </c>
      <c r="CQ34" s="3832">
        <f t="shared" si="5"/>
        <v>1570.9331557100018</v>
      </c>
      <c r="CR34" s="3819">
        <f t="shared" si="40"/>
        <v>46112.791666666664</v>
      </c>
      <c r="CS34" s="3832"/>
      <c r="CT34" s="3836">
        <f t="shared" si="6"/>
        <v>24.211826461947794</v>
      </c>
      <c r="CU34" s="3832">
        <f t="shared" si="7"/>
        <v>-956.33140876029165</v>
      </c>
      <c r="CW34" s="3819">
        <f t="shared" si="8"/>
        <v>46112.791666666664</v>
      </c>
      <c r="CY34" s="3833">
        <f t="shared" si="9"/>
        <v>-0.7036010056166333</v>
      </c>
      <c r="DA34" s="3819">
        <f t="shared" si="41"/>
        <v>46112.791666666664</v>
      </c>
      <c r="DC34" s="3834">
        <f t="shared" si="10"/>
        <v>-24.060364560951712</v>
      </c>
      <c r="DE34" s="3835">
        <f t="shared" si="42"/>
        <v>46112.791666666664</v>
      </c>
      <c r="DG34" s="4229">
        <f>+('R+P'!BD38-'ST Original'!AX38)*-1</f>
        <v>0.13061766590870505</v>
      </c>
      <c r="DI34" s="3835">
        <f t="shared" si="43"/>
        <v>46112.791666666664</v>
      </c>
      <c r="DK34" s="3833">
        <f>+'R+P'!BE38-'ST Original'!AT38</f>
        <v>0.83742502763358573</v>
      </c>
      <c r="DM34" s="3835">
        <f t="shared" si="44"/>
        <v>46112.791666666664</v>
      </c>
      <c r="DO34" s="3833">
        <f>+('R+P'!DC38-'ST Original'!AU38)*-1</f>
        <v>10.797036881368513</v>
      </c>
      <c r="DQ34" s="3835">
        <f t="shared" si="45"/>
        <v>46112.791666666664</v>
      </c>
      <c r="DS34" s="3833">
        <f>+('R+P'!K38-'ST Original'!K38)*-1</f>
        <v>1.4626171222902542</v>
      </c>
      <c r="DU34" s="3819">
        <f t="shared" si="46"/>
        <v>46112.791666666664</v>
      </c>
      <c r="DW34" s="3834">
        <f>+'R+P'!C38/1000</f>
        <v>269.99999999969492</v>
      </c>
      <c r="DX34" s="3834">
        <f>+'R+P'!D38/1000</f>
        <v>720.64663057864789</v>
      </c>
      <c r="DY34" s="3834">
        <f>+'R+P'!E38/1000</f>
        <v>306.37660105627168</v>
      </c>
    </row>
    <row r="35" spans="1:129">
      <c r="B35" s="3834">
        <f>+COUNT(C4:C34)</f>
        <v>31</v>
      </c>
      <c r="C35" s="3832">
        <f>+SUM(C4:C34)</f>
        <v>5834851.0407595057</v>
      </c>
      <c r="D35" s="3857">
        <f>+AVERAGE(D4:D34)</f>
        <v>92.324230243716514</v>
      </c>
      <c r="E35" s="3832">
        <f>+C35/(24*$B$35*D35%)</f>
        <v>8494.5649703748313</v>
      </c>
      <c r="F35" s="3858">
        <f>+SUMPRODUCT(C4:C34,F4:F34)/SUM(C4:C34)</f>
        <v>0.5187562183850154</v>
      </c>
      <c r="G35" s="3857">
        <f>+SUMPRODUCT(C4:C34,F4:F34,G4:G34)/SUMPRODUCT(C4:C34,F4:F34)</f>
        <v>90.397219242975567</v>
      </c>
      <c r="H35" s="3832">
        <f>+SUM(H4:H34)</f>
        <v>27362.020259444645</v>
      </c>
      <c r="I35" s="3832"/>
      <c r="J35" s="3832">
        <f>+SUM(J4:J34)</f>
        <v>27448.744346670661</v>
      </c>
      <c r="K35" s="3832">
        <f>+SUM(K4:K34)</f>
        <v>5857198.7756838277</v>
      </c>
      <c r="L35" s="3857">
        <f>+AVERAGE(L4:L34)</f>
        <v>92.605995284847154</v>
      </c>
      <c r="M35" s="3832">
        <f>+K35/(24*$B$35*L35%)</f>
        <v>8501.1547852379754</v>
      </c>
      <c r="N35" s="3858">
        <f>+SUMPRODUCT(K4:K34,N4:N34)/SUM(K4:K34)</f>
        <v>0.5354493276828427</v>
      </c>
      <c r="O35" s="3857">
        <f>+SUMPRODUCT(K4:K34,N4:N34,O4:O34)/SUMPRODUCT(K4:K34,N4:N34)</f>
        <v>90.294153352101731</v>
      </c>
      <c r="P35" s="3832">
        <f>+SUM(P4:P34)</f>
        <v>28318.351668204938</v>
      </c>
      <c r="Q35" s="3837">
        <f>+R35+S35</f>
        <v>-108.04670300793805</v>
      </c>
      <c r="R35" s="3841">
        <f>-P35+B35*(D35%*M35*24*N35%*O35%)</f>
        <v>-86.162040567680378</v>
      </c>
      <c r="S35" s="3841">
        <f>-B35*(D35%*M35*24*N35%*O35%)+B35*(D35%*E35*24*N35%*O35%)</f>
        <v>-21.884662440257671</v>
      </c>
      <c r="T35" s="3841">
        <f>-B35*(D35%*E35*24*N35%*O35%)+B35*(D35%*E35*24*F35%*O35%)</f>
        <v>-879.48136221772802</v>
      </c>
      <c r="U35" s="3841">
        <f>-B35*(D35%*24*E35*F35%*O35%)+B35*(D35%*24*E35*F35%*G35%)</f>
        <v>31.196656465366686</v>
      </c>
      <c r="V35" s="3843">
        <f>+H35-P35</f>
        <v>-956.33140876029211</v>
      </c>
      <c r="AC35" s="3811"/>
      <c r="AD35" s="3811"/>
      <c r="AE35" s="3811"/>
      <c r="AF35" s="3811"/>
      <c r="AG35" s="3811"/>
      <c r="AH35" s="3811"/>
      <c r="AI35" s="3811"/>
      <c r="AJ35" s="3811"/>
      <c r="AK35" s="3811"/>
      <c r="AL35" s="3811"/>
    </row>
    <row r="36" spans="1:129">
      <c r="CI36" s="3810">
        <v>4.19153078601463E-2</v>
      </c>
    </row>
    <row r="37" spans="1:129">
      <c r="CI37" s="3810">
        <v>3.8941310258107098E-2</v>
      </c>
    </row>
    <row r="38" spans="1:129">
      <c r="CI38" s="3810">
        <v>3.740048377082672E-2</v>
      </c>
    </row>
    <row r="39" spans="1:129">
      <c r="CI39" s="3810">
        <v>3.3040356548060701E-2</v>
      </c>
    </row>
    <row r="40" spans="1:129">
      <c r="CI40" s="3810">
        <v>2.6875703736598311E-2</v>
      </c>
    </row>
    <row r="41" spans="1:129">
      <c r="CI41" s="3810">
        <v>1.3442514997751287E-2</v>
      </c>
    </row>
    <row r="42" spans="1:129">
      <c r="CI42" s="3810">
        <v>8.9284939833774724E-3</v>
      </c>
    </row>
    <row r="43" spans="1:129">
      <c r="CI43" s="3810">
        <v>2.4387952256123002E-3</v>
      </c>
    </row>
    <row r="44" spans="1:129">
      <c r="CI44" s="3810">
        <v>-8.5080291339856284E-4</v>
      </c>
    </row>
    <row r="45" spans="1:129">
      <c r="CI45" s="3810">
        <v>-1.0845187390148614E-2</v>
      </c>
    </row>
    <row r="46" spans="1:129">
      <c r="CI46" s="3810">
        <v>-1.4103780849847869E-2</v>
      </c>
    </row>
    <row r="47" spans="1:129">
      <c r="CI47" s="3810">
        <v>-8.5276458484279116E-3</v>
      </c>
    </row>
    <row r="48" spans="1:129">
      <c r="CI48" s="3810">
        <v>-1.1388789746039296E-2</v>
      </c>
    </row>
    <row r="49" spans="87:87">
      <c r="CI49" s="3810">
        <v>-1.3741433791922331E-2</v>
      </c>
    </row>
    <row r="50" spans="87:87">
      <c r="CI50" s="3810">
        <v>-1.2947005543334111E-2</v>
      </c>
    </row>
    <row r="51" spans="87:87">
      <c r="CI51" s="3810">
        <v>-1.4576311659628194E-2</v>
      </c>
    </row>
    <row r="52" spans="87:87">
      <c r="CI52" s="3810">
        <v>-1.573265985711475E-2</v>
      </c>
    </row>
    <row r="53" spans="87:87">
      <c r="CI53" s="3810">
        <v>-1.4341896240368857E-2</v>
      </c>
    </row>
    <row r="54" spans="87:87">
      <c r="CI54" s="3810">
        <v>-1.2504477233574396E-2</v>
      </c>
    </row>
    <row r="55" spans="87:87">
      <c r="CI55" s="3810">
        <v>-9.386463795889366E-3</v>
      </c>
    </row>
    <row r="56" spans="87:87">
      <c r="CI56" s="3810">
        <v>-7.6299389256287986E-3</v>
      </c>
    </row>
    <row r="57" spans="87:87">
      <c r="CI57" s="3810">
        <v>-9.3832246222486093E-3</v>
      </c>
    </row>
    <row r="58" spans="87:87">
      <c r="CI58" s="3810">
        <v>-8.6424692942328463E-3</v>
      </c>
    </row>
    <row r="59" spans="87:87">
      <c r="CI59" s="3810">
        <v>-8.1528858164160445E-3</v>
      </c>
    </row>
    <row r="60" spans="87:87">
      <c r="CI60" s="3810">
        <v>-6.3522567105116501E-3</v>
      </c>
    </row>
    <row r="61" spans="87:87">
      <c r="CI61" s="3810">
        <v>-4.6243441423946541E-3</v>
      </c>
    </row>
    <row r="62" spans="87:87">
      <c r="CI62" s="3810">
        <v>-5.5475873169200662E-3</v>
      </c>
    </row>
    <row r="63" spans="87:87">
      <c r="CI63" s="3810">
        <v>-7.4159907460916719E-3</v>
      </c>
    </row>
    <row r="64" spans="87:87">
      <c r="CI64" s="3810">
        <v>-7.3946894942397146E-3</v>
      </c>
    </row>
    <row r="65" spans="87:87">
      <c r="CI65" s="3810">
        <v>-7.6068160350019065E-3</v>
      </c>
    </row>
    <row r="66" spans="87:87">
      <c r="CI66" s="3810">
        <v>-9.5493664932366773E-3</v>
      </c>
    </row>
  </sheetData>
  <mergeCells count="4">
    <mergeCell ref="C2:J2"/>
    <mergeCell ref="K2:P2"/>
    <mergeCell ref="Q2:V2"/>
    <mergeCell ref="W2:AB2"/>
  </mergeCells>
  <conditionalFormatting sqref="AF18:AI18 AK18">
    <cfRule type="cellIs" dxfId="219" priority="34" operator="greaterThan">
      <formula>0</formula>
    </cfRule>
    <cfRule type="cellIs" dxfId="218" priority="33" operator="lessThan">
      <formula>0</formula>
    </cfRule>
  </conditionalFormatting>
  <conditionalFormatting sqref="CD4:CD17 CH4:CH18 CL4:CL18">
    <cfRule type="cellIs" dxfId="217" priority="42" operator="greaterThan">
      <formula>0</formula>
    </cfRule>
    <cfRule type="cellIs" dxfId="216" priority="41" operator="lessThan">
      <formula>0</formula>
    </cfRule>
  </conditionalFormatting>
  <conditionalFormatting sqref="CD18:CD34">
    <cfRule type="cellIs" dxfId="215" priority="26" operator="greaterThan">
      <formula>0</formula>
    </cfRule>
    <cfRule type="cellIs" dxfId="214" priority="25" operator="lessThan">
      <formula>0</formula>
    </cfRule>
  </conditionalFormatting>
  <conditionalFormatting sqref="CH19:CH34">
    <cfRule type="cellIs" dxfId="213" priority="32" operator="greaterThan">
      <formula>0</formula>
    </cfRule>
    <cfRule type="cellIs" dxfId="212" priority="31" operator="lessThan">
      <formula>0</formula>
    </cfRule>
  </conditionalFormatting>
  <conditionalFormatting sqref="CL19:CL34">
    <cfRule type="cellIs" dxfId="211" priority="30" operator="greaterThan">
      <formula>0</formula>
    </cfRule>
    <cfRule type="cellIs" dxfId="210" priority="29" operator="lessThan">
      <formula>0</formula>
    </cfRule>
  </conditionalFormatting>
  <conditionalFormatting sqref="CT4:CT18">
    <cfRule type="cellIs" dxfId="209" priority="40" operator="greaterThan">
      <formula>0</formula>
    </cfRule>
    <cfRule type="cellIs" dxfId="208" priority="39" operator="lessThan">
      <formula>0</formula>
    </cfRule>
  </conditionalFormatting>
  <conditionalFormatting sqref="CT19:CT34">
    <cfRule type="cellIs" dxfId="207" priority="28" operator="greaterThan">
      <formula>0</formula>
    </cfRule>
    <cfRule type="cellIs" dxfId="206" priority="27" operator="lessThan">
      <formula>0</formula>
    </cfRule>
  </conditionalFormatting>
  <conditionalFormatting sqref="CY4:CY18">
    <cfRule type="cellIs" dxfId="205" priority="2" operator="greaterThan">
      <formula>0</formula>
    </cfRule>
    <cfRule type="cellIs" dxfId="204" priority="1" operator="lessThan">
      <formula>0</formula>
    </cfRule>
  </conditionalFormatting>
  <conditionalFormatting sqref="CY19:CY34 DC19:DC34">
    <cfRule type="cellIs" dxfId="203" priority="37" operator="greaterThan">
      <formula>0</formula>
    </cfRule>
    <cfRule type="cellIs" dxfId="202" priority="38" operator="lessThan">
      <formula>0</formula>
    </cfRule>
  </conditionalFormatting>
  <conditionalFormatting sqref="DC4:DC18">
    <cfRule type="cellIs" dxfId="201" priority="22" operator="greaterThan">
      <formula>0</formula>
    </cfRule>
    <cfRule type="cellIs" dxfId="200" priority="21" operator="lessThan">
      <formula>0</formula>
    </cfRule>
  </conditionalFormatting>
  <conditionalFormatting sqref="DG4:DG18">
    <cfRule type="cellIs" dxfId="199" priority="20" operator="greaterThan">
      <formula>0</formula>
    </cfRule>
    <cfRule type="cellIs" dxfId="198" priority="19" operator="lessThan">
      <formula>0</formula>
    </cfRule>
  </conditionalFormatting>
  <conditionalFormatting sqref="DG19:DG34">
    <cfRule type="cellIs" dxfId="197" priority="10" operator="lessThan">
      <formula>0</formula>
    </cfRule>
    <cfRule type="cellIs" dxfId="196" priority="9" operator="greaterThan">
      <formula>0</formula>
    </cfRule>
  </conditionalFormatting>
  <conditionalFormatting sqref="DK4:DK18">
    <cfRule type="cellIs" dxfId="195" priority="18" operator="greaterThan">
      <formula>0</formula>
    </cfRule>
    <cfRule type="cellIs" dxfId="194" priority="17" operator="lessThan">
      <formula>0</formula>
    </cfRule>
  </conditionalFormatting>
  <conditionalFormatting sqref="DK19:DK34">
    <cfRule type="cellIs" dxfId="193" priority="8" operator="lessThan">
      <formula>0</formula>
    </cfRule>
    <cfRule type="cellIs" dxfId="192" priority="7" operator="greaterThan">
      <formula>0</formula>
    </cfRule>
  </conditionalFormatting>
  <conditionalFormatting sqref="DO4:DO18">
    <cfRule type="cellIs" dxfId="191" priority="16" operator="greaterThan">
      <formula>0</formula>
    </cfRule>
    <cfRule type="cellIs" dxfId="190" priority="15" operator="lessThan">
      <formula>0</formula>
    </cfRule>
  </conditionalFormatting>
  <conditionalFormatting sqref="DO19:DO34">
    <cfRule type="cellIs" dxfId="189" priority="5" operator="greaterThan">
      <formula>0</formula>
    </cfRule>
    <cfRule type="cellIs" dxfId="188" priority="6" operator="lessThan">
      <formula>0</formula>
    </cfRule>
  </conditionalFormatting>
  <conditionalFormatting sqref="DS4:DS18">
    <cfRule type="cellIs" dxfId="187" priority="12" operator="greaterThan">
      <formula>0</formula>
    </cfRule>
    <cfRule type="cellIs" dxfId="186" priority="11" operator="lessThan">
      <formula>0</formula>
    </cfRule>
  </conditionalFormatting>
  <conditionalFormatting sqref="DS19:DS34">
    <cfRule type="cellIs" dxfId="185" priority="3" operator="greaterThan">
      <formula>0</formula>
    </cfRule>
    <cfRule type="cellIs" dxfId="184" priority="4" operator="lessThan">
      <formula>0</formula>
    </cfRule>
  </conditionalFormatting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4">
    <tabColor rgb="FF92D050"/>
  </sheetPr>
  <dimension ref="A1:DR145"/>
  <sheetViews>
    <sheetView showGridLines="0" zoomScale="85" zoomScaleNormal="85" workbookViewId="0">
      <pane xSplit="2" ySplit="7" topLeftCell="AN29" activePane="bottomRight" state="frozen"/>
      <selection activeCell="AT18" sqref="AT18"/>
      <selection pane="topRight" activeCell="AT18" sqref="AT18"/>
      <selection pane="bottomLeft" activeCell="AT18" sqref="AT18"/>
      <selection pane="bottomRight" activeCell="AW8" sqref="AW8:AW38"/>
    </sheetView>
  </sheetViews>
  <sheetFormatPr baseColWidth="10" defaultColWidth="11.54296875" defaultRowHeight="12.5"/>
  <cols>
    <col min="1" max="1" width="3.453125" style="347" customWidth="1"/>
    <col min="2" max="2" width="12.54296875" style="347" customWidth="1"/>
    <col min="3" max="3" width="11.54296875" style="347" customWidth="1"/>
    <col min="4" max="4" width="14.453125" style="347" customWidth="1"/>
    <col min="5" max="5" width="11.54296875" style="347" customWidth="1"/>
    <col min="6" max="6" width="12.54296875" style="347" customWidth="1"/>
    <col min="7" max="7" width="12.453125" style="347" customWidth="1"/>
    <col min="8" max="8" width="10.1796875" style="347" customWidth="1"/>
    <col min="9" max="10" width="8.453125" style="347" customWidth="1"/>
    <col min="11" max="11" width="12.54296875" style="347" customWidth="1"/>
    <col min="12" max="12" width="9.54296875" style="347" customWidth="1"/>
    <col min="13" max="13" width="9" style="347" customWidth="1"/>
    <col min="14" max="14" width="12.453125" style="347" customWidth="1"/>
    <col min="15" max="15" width="9.1796875" style="347" customWidth="1"/>
    <col min="16" max="18" width="11.453125" style="347" customWidth="1"/>
    <col min="19" max="19" width="10" style="347" customWidth="1"/>
    <col min="20" max="20" width="14.54296875" style="347" customWidth="1"/>
    <col min="21" max="23" width="10" style="347" customWidth="1"/>
    <col min="24" max="24" width="7.54296875" style="347" customWidth="1"/>
    <col min="25" max="25" width="9.54296875" style="347" customWidth="1"/>
    <col min="26" max="26" width="11.54296875" style="347" customWidth="1"/>
    <col min="27" max="28" width="14" style="347" customWidth="1"/>
    <col min="29" max="31" width="12" style="347" customWidth="1"/>
    <col min="32" max="35" width="7.54296875" style="347" customWidth="1"/>
    <col min="36" max="36" width="9" style="347" customWidth="1"/>
    <col min="37" max="37" width="7.453125" style="347" customWidth="1"/>
    <col min="38" max="38" width="8.453125" style="347" customWidth="1"/>
    <col min="39" max="39" width="10.453125" style="347" customWidth="1"/>
    <col min="40" max="40" width="9" style="347" customWidth="1"/>
    <col min="41" max="41" width="9.54296875" style="347" customWidth="1"/>
    <col min="42" max="42" width="11.36328125" style="745" customWidth="1"/>
    <col min="43" max="43" width="9" style="745" customWidth="1"/>
    <col min="44" max="44" width="12.81640625" style="745" customWidth="1"/>
    <col min="45" max="45" width="16.81640625" style="347" customWidth="1"/>
    <col min="46" max="46" width="7.1796875" style="347" customWidth="1"/>
    <col min="47" max="47" width="2.54296875" style="347" customWidth="1"/>
    <col min="48" max="48" width="12" style="347" customWidth="1"/>
    <col min="49" max="52" width="6.54296875" style="745" customWidth="1"/>
    <col min="53" max="53" width="10.54296875" style="745" customWidth="1"/>
    <col min="54" max="56" width="9.54296875" style="745" customWidth="1"/>
    <col min="57" max="59" width="10.453125" style="745" customWidth="1"/>
    <col min="60" max="61" width="10.54296875" style="745" customWidth="1"/>
    <col min="62" max="63" width="11.54296875" style="745" customWidth="1"/>
    <col min="64" max="64" width="10.54296875" style="745" customWidth="1"/>
    <col min="65" max="70" width="6.54296875" style="745" customWidth="1"/>
    <col min="71" max="73" width="11" style="745" customWidth="1"/>
    <col min="74" max="94" width="6.54296875" style="745" customWidth="1"/>
    <col min="95" max="95" width="2.54296875" style="347" customWidth="1"/>
    <col min="96" max="96" width="2" style="347" customWidth="1"/>
    <col min="97" max="97" width="30" style="347" customWidth="1"/>
    <col min="98" max="99" width="10.453125" style="347" customWidth="1"/>
    <col min="100" max="108" width="11.453125" style="347" customWidth="1"/>
    <col min="109" max="109" width="11.7265625" style="347" bestFit="1" customWidth="1"/>
    <col min="110" max="110" width="14.54296875" style="347" bestFit="1" customWidth="1"/>
    <col min="111" max="113" width="11.453125" style="347" customWidth="1"/>
    <col min="114" max="114" width="17.7265625" style="347" customWidth="1"/>
    <col min="115" max="531" width="11.453125" style="347" customWidth="1"/>
    <col min="532" max="16384" width="11.54296875" style="347"/>
  </cols>
  <sheetData>
    <row r="1" spans="1:122" ht="17.5">
      <c r="E1" s="868" t="s">
        <v>248</v>
      </c>
      <c r="F1" s="868"/>
      <c r="G1" s="868"/>
      <c r="H1" s="869"/>
      <c r="I1" s="869"/>
      <c r="J1" s="869"/>
      <c r="K1" s="870"/>
      <c r="L1" s="743" t="s">
        <v>4</v>
      </c>
      <c r="N1" s="299" t="s">
        <v>862</v>
      </c>
      <c r="Q1" s="744"/>
      <c r="R1" s="744"/>
      <c r="S1" s="744"/>
      <c r="T1" s="347">
        <f>27717-27791</f>
        <v>-74</v>
      </c>
      <c r="AW1" s="347"/>
      <c r="AX1" s="347"/>
      <c r="AY1" s="347"/>
      <c r="AZ1" s="347"/>
      <c r="BA1" s="347"/>
      <c r="BB1" s="347"/>
      <c r="BC1" s="347"/>
      <c r="BD1" s="347"/>
      <c r="BE1" s="347"/>
      <c r="BF1" s="347"/>
      <c r="BG1" s="347"/>
      <c r="BH1" s="347"/>
      <c r="BI1" s="347"/>
      <c r="BJ1" s="347"/>
      <c r="BK1" s="347"/>
      <c r="BL1" s="347"/>
      <c r="BM1" s="347"/>
      <c r="BN1" s="347"/>
      <c r="BO1" s="347"/>
      <c r="BP1" s="347"/>
      <c r="BQ1" s="347"/>
      <c r="BR1" s="347"/>
      <c r="BS1" s="347"/>
      <c r="BT1" s="347"/>
      <c r="BU1" s="347"/>
      <c r="BV1" s="347"/>
      <c r="BW1" s="347"/>
      <c r="BX1" s="347"/>
      <c r="BY1" s="347"/>
      <c r="BZ1" s="347"/>
      <c r="CA1" s="347"/>
      <c r="CB1" s="347"/>
      <c r="CC1" s="347"/>
      <c r="CD1" s="347"/>
      <c r="CE1" s="347"/>
      <c r="CF1" s="347"/>
      <c r="CG1" s="347"/>
      <c r="CH1" s="347"/>
      <c r="CI1" s="347"/>
      <c r="CJ1" s="347"/>
      <c r="CK1" s="347"/>
      <c r="CL1" s="347"/>
      <c r="CM1" s="347"/>
      <c r="CN1" s="347"/>
      <c r="CO1" s="347"/>
      <c r="CP1" s="347"/>
    </row>
    <row r="2" spans="1:122" ht="17.5">
      <c r="E2" s="868" t="s">
        <v>249</v>
      </c>
      <c r="F2" s="868"/>
      <c r="G2" s="868"/>
      <c r="H2" s="869"/>
      <c r="I2" s="869"/>
      <c r="J2" s="869"/>
      <c r="K2" s="870"/>
      <c r="L2" s="347" t="s">
        <v>5</v>
      </c>
      <c r="N2" s="746">
        <f>Factores!D2</f>
        <v>46082.791666666664</v>
      </c>
      <c r="P2" s="347">
        <v>24</v>
      </c>
      <c r="Q2" s="744"/>
      <c r="R2" s="744"/>
      <c r="S2" s="744"/>
      <c r="W2" s="745"/>
      <c r="X2" s="745"/>
      <c r="AB2" s="347" t="s">
        <v>863</v>
      </c>
      <c r="AV2" s="747"/>
      <c r="AW2" s="347"/>
      <c r="AX2" s="347"/>
      <c r="AY2" s="347"/>
      <c r="AZ2" s="347"/>
      <c r="BA2" s="347"/>
      <c r="BB2" s="347"/>
      <c r="BC2" s="347"/>
      <c r="BD2" s="347"/>
      <c r="BE2" s="347"/>
      <c r="BF2" s="347"/>
      <c r="BG2" s="347"/>
      <c r="BH2" s="347"/>
      <c r="BI2" s="347"/>
      <c r="BJ2" s="347"/>
      <c r="BK2" s="347"/>
      <c r="BL2" s="347"/>
      <c r="BM2" s="347"/>
      <c r="BN2" s="347"/>
      <c r="BO2" s="347"/>
      <c r="BP2" s="347"/>
      <c r="BQ2" s="347"/>
      <c r="BR2" s="347"/>
      <c r="BS2" s="347"/>
      <c r="BT2" s="347"/>
      <c r="BU2" s="347"/>
      <c r="BV2" s="347"/>
      <c r="BW2" s="347"/>
      <c r="BX2" s="347"/>
      <c r="BY2" s="347"/>
      <c r="BZ2" s="347"/>
      <c r="CA2" s="347"/>
      <c r="CB2" s="347"/>
      <c r="CC2" s="347"/>
      <c r="CD2" s="347"/>
      <c r="CE2" s="347"/>
      <c r="CF2" s="347"/>
      <c r="CG2" s="347"/>
      <c r="CH2" s="347"/>
      <c r="CI2" s="347"/>
      <c r="CJ2" s="347"/>
      <c r="CK2" s="347"/>
      <c r="CL2" s="347"/>
      <c r="CM2" s="347"/>
      <c r="CN2" s="347"/>
      <c r="CO2" s="347"/>
      <c r="CP2" s="347"/>
    </row>
    <row r="3" spans="1:122">
      <c r="E3" s="869"/>
      <c r="F3" s="869"/>
      <c r="G3" s="869"/>
      <c r="H3" s="869"/>
      <c r="I3" s="869"/>
      <c r="J3" s="869"/>
      <c r="K3" s="870"/>
      <c r="L3" s="347" t="s">
        <v>0</v>
      </c>
      <c r="N3" s="748">
        <f>Factores!D3</f>
        <v>46098.791666666664</v>
      </c>
      <c r="O3" s="749"/>
      <c r="Q3" s="750"/>
      <c r="R3" s="744"/>
      <c r="S3" s="744"/>
      <c r="AC3" s="745"/>
      <c r="AW3" s="347"/>
      <c r="AX3" s="347"/>
      <c r="AY3" s="347"/>
      <c r="AZ3" s="347"/>
      <c r="BA3" s="347"/>
      <c r="BB3" s="347"/>
      <c r="BC3" s="347"/>
      <c r="BD3" s="347"/>
      <c r="BE3" s="347"/>
      <c r="BF3" s="347"/>
      <c r="BG3" s="347"/>
      <c r="BH3" s="347"/>
      <c r="BI3" s="347"/>
      <c r="BJ3" s="347"/>
      <c r="BK3" s="347"/>
      <c r="BL3" s="347"/>
      <c r="BM3" s="347"/>
      <c r="BN3" s="347"/>
      <c r="BO3" s="347"/>
      <c r="BP3" s="347"/>
      <c r="BQ3" s="347"/>
      <c r="BR3" s="347"/>
      <c r="BS3" s="347"/>
      <c r="BT3" s="347"/>
      <c r="BU3" s="347"/>
      <c r="BV3" s="347"/>
      <c r="BW3" s="347"/>
      <c r="BX3" s="347"/>
      <c r="BY3" s="347"/>
      <c r="BZ3" s="347"/>
      <c r="CA3" s="347"/>
      <c r="CB3" s="347"/>
      <c r="CC3" s="347"/>
      <c r="CD3" s="347"/>
      <c r="CE3" s="347"/>
      <c r="CF3" s="347"/>
      <c r="CG3" s="347"/>
      <c r="CH3" s="347"/>
      <c r="CI3" s="347"/>
      <c r="CJ3" s="347"/>
      <c r="CK3" s="347"/>
      <c r="CL3" s="347"/>
      <c r="CM3" s="347"/>
      <c r="CN3" s="347"/>
      <c r="CO3" s="347"/>
      <c r="CP3" s="347"/>
    </row>
    <row r="4" spans="1:122" ht="33" customHeight="1">
      <c r="H4" s="1674">
        <v>0.81579000000000002</v>
      </c>
      <c r="I4" s="1674">
        <v>0.18421000000000001</v>
      </c>
      <c r="AE4" s="3166">
        <v>371.65844471550878</v>
      </c>
      <c r="AF4" s="745"/>
      <c r="AO4" s="751"/>
      <c r="AW4" s="347"/>
      <c r="AX4" s="347"/>
      <c r="AY4" s="347"/>
      <c r="AZ4" s="347"/>
      <c r="BA4" s="347"/>
      <c r="BB4" s="347"/>
      <c r="BC4" s="347"/>
      <c r="BD4" s="347"/>
      <c r="BE4" s="347"/>
      <c r="BF4" s="347"/>
      <c r="BG4" s="347"/>
      <c r="BH4" s="347"/>
      <c r="BI4" s="347"/>
      <c r="BJ4" s="347">
        <v>0</v>
      </c>
      <c r="BK4" s="347"/>
      <c r="BL4" s="347"/>
      <c r="BM4" s="347"/>
      <c r="BN4" s="347"/>
      <c r="BO4" s="347"/>
      <c r="BP4" s="347"/>
      <c r="BQ4" s="347"/>
      <c r="BR4" s="347"/>
      <c r="BS4" s="347"/>
      <c r="BT4" s="347"/>
      <c r="BU4" s="347"/>
      <c r="BV4" s="347"/>
      <c r="BW4" s="347"/>
      <c r="BX4" s="347"/>
      <c r="BY4" s="347"/>
      <c r="BZ4" s="347"/>
      <c r="CA4" s="347"/>
      <c r="CB4" s="347"/>
      <c r="CC4" s="347"/>
      <c r="CD4" s="347"/>
      <c r="CE4" s="347"/>
      <c r="CF4" s="347"/>
      <c r="CG4" s="347"/>
      <c r="CH4" s="347"/>
      <c r="CI4" s="347"/>
      <c r="CJ4" s="347"/>
      <c r="CK4" s="347"/>
      <c r="CL4" s="347"/>
      <c r="CM4" s="347"/>
      <c r="CN4" s="347"/>
      <c r="CO4" s="347"/>
      <c r="CP4" s="347"/>
    </row>
    <row r="5" spans="1:122" ht="42" customHeight="1">
      <c r="A5" s="1614" t="s">
        <v>250</v>
      </c>
      <c r="B5" s="1570"/>
      <c r="C5" s="4703" t="s">
        <v>251</v>
      </c>
      <c r="D5" s="4705"/>
      <c r="E5" s="4703" t="s">
        <v>252</v>
      </c>
      <c r="F5" s="4704"/>
      <c r="G5" s="4705"/>
      <c r="H5" s="4604" t="s">
        <v>23</v>
      </c>
      <c r="I5" s="4615"/>
      <c r="J5" s="4605"/>
      <c r="K5" s="4604" t="s">
        <v>253</v>
      </c>
      <c r="L5" s="4615"/>
      <c r="M5" s="4615"/>
      <c r="N5" s="4615"/>
      <c r="O5" s="4615"/>
      <c r="P5" s="4615"/>
      <c r="Q5" s="4615"/>
      <c r="R5" s="4605"/>
      <c r="S5" s="4703" t="s">
        <v>254</v>
      </c>
      <c r="T5" s="4704"/>
      <c r="U5" s="4704"/>
      <c r="V5" s="4704"/>
      <c r="W5" s="4704"/>
      <c r="X5" s="4704"/>
      <c r="Y5" s="4704"/>
      <c r="Z5" s="4704"/>
      <c r="AA5" s="4704"/>
      <c r="AB5" s="4704"/>
      <c r="AC5" s="4704"/>
      <c r="AD5" s="4704"/>
      <c r="AE5" s="4705"/>
      <c r="AF5" s="4616" t="s">
        <v>255</v>
      </c>
      <c r="AG5" s="4617"/>
      <c r="AH5" s="4687" t="s">
        <v>256</v>
      </c>
      <c r="AI5" s="4689"/>
      <c r="AJ5" s="4687" t="s">
        <v>366</v>
      </c>
      <c r="AK5" s="4688"/>
      <c r="AL5" s="4689"/>
      <c r="AM5" s="4616" t="s">
        <v>367</v>
      </c>
      <c r="AN5" s="4620"/>
      <c r="AO5" s="4617"/>
      <c r="AP5" s="4683" t="s">
        <v>864</v>
      </c>
      <c r="AQ5" s="4684"/>
      <c r="AR5" s="4684"/>
      <c r="AU5" s="1557" t="s">
        <v>250</v>
      </c>
      <c r="AV5" s="1565"/>
      <c r="AW5" s="753" t="s">
        <v>580</v>
      </c>
      <c r="AX5" s="753"/>
      <c r="AY5" s="753"/>
      <c r="AZ5" s="753"/>
      <c r="BA5" s="4604" t="s">
        <v>372</v>
      </c>
      <c r="BB5" s="4605"/>
      <c r="BC5" s="754" t="s">
        <v>865</v>
      </c>
      <c r="BD5" s="754" t="s">
        <v>83</v>
      </c>
      <c r="BE5" s="754" t="s">
        <v>86</v>
      </c>
      <c r="BF5" s="4604" t="s">
        <v>373</v>
      </c>
      <c r="BG5" s="4615"/>
      <c r="BH5" s="4615"/>
      <c r="BI5" s="4615"/>
      <c r="BJ5" s="4615"/>
      <c r="BK5" s="4605"/>
      <c r="BL5" s="4604" t="s">
        <v>23</v>
      </c>
      <c r="BM5" s="4615"/>
      <c r="BN5" s="4615"/>
      <c r="BO5" s="4605"/>
      <c r="BP5" s="4608" t="s">
        <v>794</v>
      </c>
      <c r="BQ5" s="4695"/>
      <c r="BR5" s="4609"/>
      <c r="BS5" s="4697" t="s">
        <v>374</v>
      </c>
      <c r="BT5" s="4698"/>
      <c r="BU5" s="4698"/>
      <c r="BV5" s="4698"/>
      <c r="BW5" s="4698"/>
      <c r="BX5" s="4698"/>
      <c r="BY5" s="4698"/>
      <c r="BZ5" s="4698"/>
      <c r="CA5" s="4698"/>
      <c r="CB5" s="4698"/>
      <c r="CC5" s="4698"/>
      <c r="CD5" s="4698"/>
      <c r="CE5" s="4698"/>
      <c r="CF5" s="4698"/>
      <c r="CG5" s="4698"/>
      <c r="CH5" s="4698"/>
      <c r="CI5" s="4698"/>
      <c r="CJ5" s="4698"/>
      <c r="CK5" s="4698"/>
      <c r="CL5" s="4698"/>
      <c r="CM5" s="4698"/>
      <c r="CN5" s="4698"/>
      <c r="CO5" s="4698"/>
      <c r="CP5" s="4699"/>
      <c r="CS5" s="757" t="s">
        <v>257</v>
      </c>
      <c r="CT5" s="758">
        <f>N2</f>
        <v>46082.791666666664</v>
      </c>
    </row>
    <row r="6" spans="1:122" ht="23.25" customHeight="1">
      <c r="A6" s="759"/>
      <c r="B6" s="760" t="s">
        <v>258</v>
      </c>
      <c r="C6" s="753" t="s">
        <v>259</v>
      </c>
      <c r="D6" s="753" t="s">
        <v>260</v>
      </c>
      <c r="E6" s="1668" t="s">
        <v>261</v>
      </c>
      <c r="F6" s="7" t="s">
        <v>262</v>
      </c>
      <c r="G6" s="1669" t="s">
        <v>263</v>
      </c>
      <c r="H6" s="1671" t="s">
        <v>264</v>
      </c>
      <c r="I6" s="1673" t="s">
        <v>265</v>
      </c>
      <c r="J6" s="1672" t="s">
        <v>266</v>
      </c>
      <c r="K6" s="753"/>
      <c r="L6" s="753" t="s">
        <v>267</v>
      </c>
      <c r="M6" s="753" t="s">
        <v>268</v>
      </c>
      <c r="N6" s="753" t="s">
        <v>269</v>
      </c>
      <c r="O6" s="753" t="s">
        <v>270</v>
      </c>
      <c r="P6" s="753"/>
      <c r="Q6" s="762" t="s">
        <v>271</v>
      </c>
      <c r="R6" s="756"/>
      <c r="S6" s="761" t="s">
        <v>267</v>
      </c>
      <c r="T6" s="761" t="s">
        <v>272</v>
      </c>
      <c r="U6" s="761" t="s">
        <v>273</v>
      </c>
      <c r="V6" s="763" t="s">
        <v>274</v>
      </c>
      <c r="W6" s="761" t="s">
        <v>269</v>
      </c>
      <c r="X6" s="4700" t="s">
        <v>275</v>
      </c>
      <c r="Y6" s="4701"/>
      <c r="Z6" s="4702"/>
      <c r="AA6" s="1402" t="s">
        <v>866</v>
      </c>
      <c r="AB6" s="1403"/>
      <c r="AC6" s="1402" t="s">
        <v>850</v>
      </c>
      <c r="AD6" s="1404"/>
      <c r="AE6" s="1403"/>
      <c r="AF6" s="4618"/>
      <c r="AG6" s="4619"/>
      <c r="AH6" s="764"/>
      <c r="AI6" s="765"/>
      <c r="AJ6" s="764"/>
      <c r="AK6" s="766"/>
      <c r="AL6" s="766"/>
      <c r="AM6" s="4618"/>
      <c r="AN6" s="4621"/>
      <c r="AO6" s="4619"/>
      <c r="AP6" s="1473" t="s">
        <v>867</v>
      </c>
      <c r="AQ6" s="1473"/>
      <c r="AR6" s="1473" t="s">
        <v>868</v>
      </c>
      <c r="AU6" s="767"/>
      <c r="AV6" s="760" t="s">
        <v>258</v>
      </c>
      <c r="AW6" s="753"/>
      <c r="AX6" s="753"/>
      <c r="AY6" s="753"/>
      <c r="AZ6" s="753"/>
      <c r="BA6" s="753" t="s">
        <v>389</v>
      </c>
      <c r="BB6" s="753" t="s">
        <v>107</v>
      </c>
      <c r="BC6" s="760"/>
      <c r="BD6" s="760"/>
      <c r="BE6" s="768"/>
      <c r="BF6" s="4679" t="s">
        <v>391</v>
      </c>
      <c r="BG6" s="4679" t="s">
        <v>392</v>
      </c>
      <c r="BH6" s="4681" t="s">
        <v>393</v>
      </c>
      <c r="BI6" s="769" t="s">
        <v>394</v>
      </c>
      <c r="BJ6" s="1572" t="s">
        <v>395</v>
      </c>
      <c r="BK6" s="770" t="s">
        <v>396</v>
      </c>
      <c r="BL6" s="1571" t="s">
        <v>344</v>
      </c>
      <c r="BM6" s="1572" t="s">
        <v>397</v>
      </c>
      <c r="BN6" s="1572" t="s">
        <v>398</v>
      </c>
      <c r="BO6" s="1572" t="s">
        <v>399</v>
      </c>
      <c r="BP6" s="4610"/>
      <c r="BQ6" s="4696"/>
      <c r="BR6" s="4611"/>
      <c r="BS6" s="4604" t="s">
        <v>401</v>
      </c>
      <c r="BT6" s="4615"/>
      <c r="BU6" s="4605"/>
      <c r="BV6" s="4604" t="s">
        <v>795</v>
      </c>
      <c r="BW6" s="4615"/>
      <c r="BX6" s="4615"/>
      <c r="BY6" s="4615"/>
      <c r="BZ6" s="4615"/>
      <c r="CA6" s="4615"/>
      <c r="CB6" s="4615"/>
      <c r="CC6" s="4615"/>
      <c r="CD6" s="4605"/>
      <c r="CE6" s="4604" t="s">
        <v>403</v>
      </c>
      <c r="CF6" s="4615"/>
      <c r="CG6" s="4605"/>
      <c r="CH6" s="4604" t="s">
        <v>404</v>
      </c>
      <c r="CI6" s="4615"/>
      <c r="CJ6" s="4605"/>
      <c r="CK6" s="4604" t="s">
        <v>405</v>
      </c>
      <c r="CL6" s="4615"/>
      <c r="CM6" s="4605"/>
      <c r="CN6" s="4604" t="s">
        <v>869</v>
      </c>
      <c r="CO6" s="4615"/>
      <c r="CP6" s="4605"/>
      <c r="CS6" s="771"/>
      <c r="CT6" s="772" t="s">
        <v>288</v>
      </c>
      <c r="CU6" s="772" t="s">
        <v>287</v>
      </c>
      <c r="CW6" s="1569" t="s">
        <v>278</v>
      </c>
      <c r="CX6" s="347" t="s">
        <v>870</v>
      </c>
    </row>
    <row r="7" spans="1:122" ht="30" customHeight="1">
      <c r="A7" s="773"/>
      <c r="B7" s="2031">
        <f>+'ST Original'!B8</f>
        <v>46082.791666666664</v>
      </c>
      <c r="C7" s="753" t="s">
        <v>291</v>
      </c>
      <c r="D7" s="753" t="s">
        <v>292</v>
      </c>
      <c r="E7" s="7" t="s">
        <v>291</v>
      </c>
      <c r="F7" s="7" t="s">
        <v>291</v>
      </c>
      <c r="G7" s="7" t="s">
        <v>291</v>
      </c>
      <c r="H7" s="1670" t="s">
        <v>48</v>
      </c>
      <c r="I7" s="1670" t="s">
        <v>48</v>
      </c>
      <c r="J7" s="1670" t="s">
        <v>48</v>
      </c>
      <c r="K7" s="753" t="s">
        <v>278</v>
      </c>
      <c r="L7" s="753" t="s">
        <v>293</v>
      </c>
      <c r="M7" s="753" t="s">
        <v>293</v>
      </c>
      <c r="N7" s="753" t="s">
        <v>293</v>
      </c>
      <c r="O7" s="753" t="s">
        <v>291</v>
      </c>
      <c r="P7" s="762" t="s">
        <v>192</v>
      </c>
      <c r="Q7" s="753" t="s">
        <v>294</v>
      </c>
      <c r="R7" s="753" t="s">
        <v>192</v>
      </c>
      <c r="S7" s="1570" t="s">
        <v>295</v>
      </c>
      <c r="T7" s="1570" t="s">
        <v>296</v>
      </c>
      <c r="U7" s="1570" t="s">
        <v>296</v>
      </c>
      <c r="V7" s="1570" t="s">
        <v>296</v>
      </c>
      <c r="W7" s="1570" t="s">
        <v>296</v>
      </c>
      <c r="X7" s="1405" t="s">
        <v>291</v>
      </c>
      <c r="Y7" s="1405" t="s">
        <v>192</v>
      </c>
      <c r="Z7" s="1405" t="s">
        <v>418</v>
      </c>
      <c r="AA7" s="1615" t="s">
        <v>28</v>
      </c>
      <c r="AB7" s="1615" t="s">
        <v>192</v>
      </c>
      <c r="AC7" s="1615" t="s">
        <v>28</v>
      </c>
      <c r="AD7" s="1615" t="s">
        <v>192</v>
      </c>
      <c r="AE7" s="1405" t="s">
        <v>419</v>
      </c>
      <c r="AF7" s="760" t="s">
        <v>291</v>
      </c>
      <c r="AG7" s="760" t="s">
        <v>192</v>
      </c>
      <c r="AH7" s="753" t="s">
        <v>28</v>
      </c>
      <c r="AI7" s="753" t="s">
        <v>192</v>
      </c>
      <c r="AJ7" s="753" t="s">
        <v>420</v>
      </c>
      <c r="AK7" s="753" t="s">
        <v>421</v>
      </c>
      <c r="AL7" s="753" t="s">
        <v>422</v>
      </c>
      <c r="AM7" s="761" t="s">
        <v>420</v>
      </c>
      <c r="AN7" s="761" t="s">
        <v>421</v>
      </c>
      <c r="AO7" s="761" t="s">
        <v>422</v>
      </c>
      <c r="AP7" s="3167">
        <v>2796.8864867989355</v>
      </c>
      <c r="AQ7" s="774" t="s">
        <v>302</v>
      </c>
      <c r="AR7" s="774">
        <v>7707.877193009519</v>
      </c>
      <c r="AS7" s="1731" t="s">
        <v>1336</v>
      </c>
      <c r="AU7" s="775"/>
      <c r="AV7" s="761"/>
      <c r="AW7" s="1570"/>
      <c r="AX7" s="1570"/>
      <c r="AY7" s="1570"/>
      <c r="AZ7" s="1570"/>
      <c r="BA7" s="1570" t="s">
        <v>424</v>
      </c>
      <c r="BB7" s="1570" t="s">
        <v>424</v>
      </c>
      <c r="BC7" s="760"/>
      <c r="BD7" s="760"/>
      <c r="BE7" s="768"/>
      <c r="BF7" s="4680"/>
      <c r="BG7" s="4680"/>
      <c r="BH7" s="4682"/>
      <c r="BI7" s="769"/>
      <c r="BJ7" s="752"/>
      <c r="BK7" s="770"/>
      <c r="BL7" s="776"/>
      <c r="BM7" s="777"/>
      <c r="BN7" s="777"/>
      <c r="BO7" s="752"/>
      <c r="BP7" s="762" t="s">
        <v>425</v>
      </c>
      <c r="BQ7" s="755" t="s">
        <v>426</v>
      </c>
      <c r="BR7" s="1568" t="s">
        <v>427</v>
      </c>
      <c r="BS7" s="753" t="s">
        <v>425</v>
      </c>
      <c r="BT7" s="753" t="s">
        <v>426</v>
      </c>
      <c r="BU7" s="762" t="s">
        <v>427</v>
      </c>
      <c r="BV7" s="1566" t="s">
        <v>346</v>
      </c>
      <c r="BW7" s="1567" t="s">
        <v>347</v>
      </c>
      <c r="BX7" s="1567" t="s">
        <v>348</v>
      </c>
      <c r="BY7" s="1567" t="s">
        <v>430</v>
      </c>
      <c r="BZ7" s="1567" t="s">
        <v>431</v>
      </c>
      <c r="CA7" s="1567" t="s">
        <v>432</v>
      </c>
      <c r="CB7" s="1567" t="s">
        <v>433</v>
      </c>
      <c r="CC7" s="1567" t="s">
        <v>434</v>
      </c>
      <c r="CD7" s="1568" t="s">
        <v>435</v>
      </c>
      <c r="CE7" s="1567" t="s">
        <v>346</v>
      </c>
      <c r="CF7" s="1567" t="s">
        <v>347</v>
      </c>
      <c r="CG7" s="1566" t="s">
        <v>348</v>
      </c>
      <c r="CH7" s="1570" t="s">
        <v>346</v>
      </c>
      <c r="CI7" s="1566" t="s">
        <v>347</v>
      </c>
      <c r="CJ7" s="1570" t="s">
        <v>348</v>
      </c>
      <c r="CK7" s="1568" t="s">
        <v>346</v>
      </c>
      <c r="CL7" s="1566" t="s">
        <v>347</v>
      </c>
      <c r="CM7" s="1566" t="s">
        <v>348</v>
      </c>
      <c r="CN7" s="1566" t="s">
        <v>346</v>
      </c>
      <c r="CO7" s="1567" t="s">
        <v>347</v>
      </c>
      <c r="CP7" s="756" t="s">
        <v>348</v>
      </c>
      <c r="CS7" s="778" t="s">
        <v>304</v>
      </c>
      <c r="CT7" s="779">
        <f>Factores!$D$9</f>
        <v>2.899</v>
      </c>
      <c r="CU7" s="779">
        <f>Factores!$F$9</f>
        <v>2.899</v>
      </c>
      <c r="CW7" s="768"/>
      <c r="DA7" s="347" t="s">
        <v>873</v>
      </c>
      <c r="DB7" s="347" t="s">
        <v>874</v>
      </c>
      <c r="DE7" s="771" t="s">
        <v>120</v>
      </c>
      <c r="DF7" s="771" t="s">
        <v>1880</v>
      </c>
      <c r="DG7" s="771" t="s">
        <v>1878</v>
      </c>
      <c r="DH7" s="4238" t="s">
        <v>1877</v>
      </c>
      <c r="DI7" s="771" t="s">
        <v>25</v>
      </c>
      <c r="DJ7" s="4238" t="s">
        <v>1879</v>
      </c>
      <c r="DK7" s="771"/>
      <c r="DL7" s="771"/>
      <c r="DM7" s="771"/>
      <c r="DN7" s="771"/>
      <c r="DO7" s="771"/>
      <c r="DP7" s="771"/>
      <c r="DQ7" s="771"/>
      <c r="DR7" s="771"/>
    </row>
    <row r="8" spans="1:122" s="744" customFormat="1" ht="15" customHeight="1">
      <c r="A8" s="2431" t="s">
        <v>326</v>
      </c>
      <c r="B8" s="2065">
        <f>+B7</f>
        <v>46082.791666666664</v>
      </c>
      <c r="C8" s="780">
        <f>IF($N$3&gt;=$B8,Real!C9,'Proy. Mes'!C9)</f>
        <v>178584.27719999998</v>
      </c>
      <c r="D8" s="2432">
        <f>IF($N$3&gt;=$B8,Real!D9,'Proy. Mes'!D9)</f>
        <v>681321.42959999992</v>
      </c>
      <c r="E8" s="2432">
        <f>IF($N$3&gt;=$B8,Real!E9,'Proy. Mes'!E9)</f>
        <v>98057.835933685317</v>
      </c>
      <c r="F8" s="2432">
        <f>IF($N$3&gt;=$B8,Real!F9,'Proy. Mes'!F9)</f>
        <v>22673.609375</v>
      </c>
      <c r="G8" s="2432">
        <f>IF($N$3&gt;=$B8,Real!G9,'Proy. Mes'!G9)</f>
        <v>75384.226558685317</v>
      </c>
      <c r="H8" s="2067">
        <f>IF($N$3&gt;=$B8,Real!H9,'Proy. Mes'!H9)</f>
        <v>89.286065673591693</v>
      </c>
      <c r="I8" s="2067">
        <f>IF($N$3&gt;=$B8,Real!I9,'Proy. Mes'!I9)</f>
        <v>100</v>
      </c>
      <c r="J8" s="2067">
        <f>+SUMPRODUCT(H8:I8,$H$4:$I$4)</f>
        <v>91.259679515859375</v>
      </c>
      <c r="K8" s="781">
        <f>CW8</f>
        <v>62.156635284423828</v>
      </c>
      <c r="L8" s="2066">
        <f>IF(ISNUMBER(IF($N$3&gt;=$B8,Real!K9,'Proy. Mes'!K9)),IF($N$3&gt;=$B8,Real!K9,'Proy. Mes'!K9),0)</f>
        <v>0.57768797734094401</v>
      </c>
      <c r="M8" s="781">
        <f>IF(ISNUMBER(IF($N$3&gt;=$B8,Real!L9,'Proy. Mes'!L9)),IF($N$3&gt;=$B8,Real!L9,'Proy. Mes'!L9),0)</f>
        <v>91.162820073210312</v>
      </c>
      <c r="N8" s="781">
        <f>IF(ISNUMBER(IF($N$3&gt;=$B8,Real!M9,'Proy. Mes'!M9)),IF($N$3&gt;=$B8,Real!M9,'Proy. Mes'!M9),0)</f>
        <v>24.56</v>
      </c>
      <c r="O8" s="780">
        <f>IF(ISNUMBER(IF($N$3&gt;=$B8,Real!N9,'Proy. Mes'!N9)),IF($N$3&gt;=$B8,Real!N9,'Proy. Mes'!N9),0)</f>
        <v>2102.6404868281052</v>
      </c>
      <c r="P8" s="539">
        <f>+O8</f>
        <v>2102.6404868281052</v>
      </c>
      <c r="Q8" s="1573">
        <f>+O8*N8/100</f>
        <v>516.40850356498265</v>
      </c>
      <c r="R8" s="976">
        <f>+Q8</f>
        <v>516.40850356498265</v>
      </c>
      <c r="S8" s="780">
        <f>IF(ISNUMBER(IF($N$3&gt;=$B8,Real!R9,'Proy. Mes'!R9)),IF($N$3&gt;=$B8,Real!R9,'Proy. Mes'!R9),0)</f>
        <v>249.16097142540599</v>
      </c>
      <c r="T8" s="781">
        <f>IF(ISNUMBER(IF($N$3&gt;=$B8,Real!S9,'Proy. Mes'!S9)),IF($N$3&gt;=$B8,Real!S9,'Proy. Mes'!S9),0)</f>
        <v>93.716144970833057</v>
      </c>
      <c r="U8" s="781">
        <f>IF(ISNUMBER(IF($N$3&gt;=$B8,Real!T9,'Proy. Mes'!T9)),IF($N$3&gt;=$B8,Real!T9,'Proy. Mes'!T9),0)</f>
        <v>84.8</v>
      </c>
      <c r="V8" s="781">
        <f>IF(ISNUMBER(IF($N$3&gt;=$B8,Real!U9,'Proy. Mes'!U9)),IF($N$3&gt;=$B8,Real!U9,'Proy. Mes'!U9),0)</f>
        <v>79.471290935266438</v>
      </c>
      <c r="W8" s="781">
        <f>IF(ISNUMBER(IF($N$3&gt;=$B8,Real!V9,'Proy. Mes'!V9)),IF($N$3&gt;=$B8,Real!V9,'Proy. Mes'!V9),0)</f>
        <v>49.645088747180047</v>
      </c>
      <c r="X8" s="780">
        <f>IF(ISNUMBER(IF($N$3&gt;=$B8,Real!W9,'Proy. Mes'!W9)),IF($N$3&gt;=$B8,Real!W9,'Proy. Mes'!W9),0)</f>
        <v>39.110763693637921</v>
      </c>
      <c r="Y8" s="539">
        <f>+X8</f>
        <v>39.110763693637921</v>
      </c>
      <c r="Z8" s="539">
        <f>AC8/(W8/100)</f>
        <v>46.826417500000098</v>
      </c>
      <c r="AA8" s="780">
        <f>IF(ISNUMBER(IF($N$3&gt;=$B8,Real!Y9,'Proy. Mes'!Z9)),IF($N$3&gt;=$B8,Real!Y9,'Proy. Mes'!Z9),0)</f>
        <v>19.41657334540642</v>
      </c>
      <c r="AB8" s="782">
        <f>+AA8</f>
        <v>19.41657334540642</v>
      </c>
      <c r="AC8" s="1573">
        <f>IF(ISNUMBER(IF($N$3&gt;=$B8,Real!AA9,'Proy. Mes'!AB9)),IF($N$3&gt;=$B8,Real!AA9,'Proy. Mes'!AB9),0)</f>
        <v>23.247016525000099</v>
      </c>
      <c r="AD8" s="1556">
        <f>+AC8</f>
        <v>23.247016525000099</v>
      </c>
      <c r="AE8" s="976">
        <f>+AE4+AA8-AC8</f>
        <v>367.82800153591512</v>
      </c>
      <c r="AF8" s="780">
        <f t="shared" ref="AF8:AF35" si="0">IF(ISNUMBER(Q8*AA8),+Q8+AA8*$CU$7,+Q8*$CU$8)</f>
        <v>572.69714969331585</v>
      </c>
      <c r="AG8" s="539">
        <f>+AF8</f>
        <v>572.69714969331585</v>
      </c>
      <c r="AH8" s="2433">
        <f t="shared" ref="AH8:AH35" si="1">IF(ISNUMBER(Q8*AC8),+Q8*$CT$8+AC8*$CT$7*$CT$9,+Q8*$CT$8)</f>
        <v>563.84111583095864</v>
      </c>
      <c r="AI8" s="2434">
        <f>+AH8</f>
        <v>563.84111583095864</v>
      </c>
      <c r="AJ8" s="2435">
        <f>IF(ISNUMBER(IF($N$3&gt;=$B8,Real!AL9,'Proy. Mes'!AF9)),IF($N$3&gt;=$B8,Real!AL9,'Proy. Mes'!AF9),0)</f>
        <v>4047.765380859375</v>
      </c>
      <c r="AK8" s="2436">
        <f>IF(ISNUMBER(IF($N$3&gt;=$B8,Real!AM9,'Proy. Mes'!AG9)),IF($N$3&gt;=$B8,Real!AM9,'Proy. Mes'!AG9),0)</f>
        <v>28.905000000000001</v>
      </c>
      <c r="AL8" s="2437">
        <f>AJ8*AK8/100</f>
        <v>1170.0065833374024</v>
      </c>
      <c r="AM8" s="2435">
        <f>IF(ISNUMBER(IF($N$3&gt;=$B8,Real!AO9,'Proy. Mes'!AI9)),IF($N$3&gt;=$B8,Real!AO9,'Proy. Mes'!AI9),0)</f>
        <v>1935.9126368102898</v>
      </c>
      <c r="AN8" s="2436">
        <f>IF(ISNUMBER(IF($N$3&gt;=$B8,Real!AP9,'Proy. Mes'!AJ9)),IF($N$3&gt;=$B8,Real!AP9,'Proy. Mes'!AJ9),0)</f>
        <v>27.703726942107984</v>
      </c>
      <c r="AO8" s="2437">
        <f>AM8*AN8/100</f>
        <v>536.31995073968528</v>
      </c>
      <c r="AP8" s="783">
        <f t="shared" ref="AP8:AP21" si="2">+AP7+Q8-AO8</f>
        <v>2776.975039624233</v>
      </c>
      <c r="AQ8" s="783">
        <f t="shared" ref="AQ8:AQ13" si="3">AO8*0.9644</f>
        <v>517.22696049335252</v>
      </c>
      <c r="AR8" s="783">
        <f>AR7-AM8+O8</f>
        <v>7874.6050430273344</v>
      </c>
      <c r="AS8" s="2910"/>
      <c r="AT8" s="784"/>
      <c r="AU8" s="2911" t="s">
        <v>326</v>
      </c>
      <c r="AV8" s="2438">
        <f t="shared" ref="AV8:AV38" si="4">B8</f>
        <v>46082.791666666664</v>
      </c>
      <c r="AW8" s="2069">
        <f>IF(ISNUMBER(IF($N$3&gt;=$B8,Real!AC9,'Proy. Mes'!BC9)),IF($N$3&gt;=$B8,Real!AC9,'Proy. Mes'!BC9),0)</f>
        <v>80.621353149414063</v>
      </c>
      <c r="AX8" s="783"/>
      <c r="AY8" s="783"/>
      <c r="AZ8" s="783"/>
      <c r="BA8" s="2432">
        <f>IF($N$3&gt;=$B8,Real!AE9,'Proy. Mes'!AW9)</f>
        <v>17.034815264907841</v>
      </c>
      <c r="BB8" s="782">
        <f>IF($N$3&gt;=$B8,Real!AF9,'Proy. Mes'!AX9)</f>
        <v>342.5</v>
      </c>
      <c r="BC8" s="2078">
        <f>'Plan mina PS'!AG6</f>
        <v>1.5327568611972764</v>
      </c>
      <c r="BD8" s="3099">
        <f>IF($N$3&gt;=$B8,Real!AS9,'Proy. Mes'!AY9)</f>
        <v>4.680816650390625</v>
      </c>
      <c r="BE8" s="2440">
        <f>IF($N$3&gt;=$B8,Real!AU9,'Proy. Mes'!BB9)</f>
        <v>38.137563387552895</v>
      </c>
      <c r="BF8" s="780">
        <f>IF($N$3&gt;=$B8,Real!AI9,'Proy. Mes'!AO9)</f>
        <v>7035.8334556435575</v>
      </c>
      <c r="BG8" s="780">
        <f>IF($N$3&gt;=$B8,Real!AJ9,'Proy. Mes'!AP9)</f>
        <v>1889.4674479166667</v>
      </c>
      <c r="BH8" s="780">
        <f>IF($N$3&gt;=$B8,Real!AK9,'Proy. Mes'!AQ9)</f>
        <v>8954.10368648845</v>
      </c>
      <c r="BI8" s="780"/>
      <c r="BJ8" s="539"/>
      <c r="BK8" s="539"/>
      <c r="BL8" s="781">
        <f>IF($N$3&gt;=$B8,Real!H9,'Proy. Mes'!AR9)</f>
        <v>89.286065673591693</v>
      </c>
      <c r="BM8" s="539"/>
      <c r="BN8" s="539"/>
      <c r="BO8" s="539"/>
      <c r="BP8" s="2441"/>
      <c r="BQ8" s="2442"/>
      <c r="BR8" s="2443"/>
      <c r="BS8" s="2444"/>
      <c r="BT8" s="785"/>
      <c r="BU8" s="785"/>
      <c r="BV8" s="2445"/>
      <c r="BW8" s="785"/>
      <c r="BX8" s="785"/>
      <c r="BY8" s="785"/>
      <c r="BZ8" s="785"/>
      <c r="CA8" s="2446"/>
      <c r="CB8" s="2446"/>
      <c r="CC8" s="2446"/>
      <c r="CD8" s="2443"/>
      <c r="CE8" s="2446"/>
      <c r="CF8" s="2446"/>
      <c r="CG8" s="2446"/>
      <c r="CH8" s="2444"/>
      <c r="CI8" s="2446"/>
      <c r="CJ8" s="2443"/>
      <c r="CK8" s="2446"/>
      <c r="CL8" s="2446"/>
      <c r="CM8" s="2443"/>
      <c r="CN8" s="2444"/>
      <c r="CO8" s="2446"/>
      <c r="CP8" s="2447"/>
      <c r="CQ8" s="786"/>
      <c r="CS8" s="744" t="s">
        <v>444</v>
      </c>
      <c r="CT8" s="744">
        <f>Factores!$D$7</f>
        <v>0.96199999999999997</v>
      </c>
      <c r="CU8" s="744">
        <f>Factores!$F$7</f>
        <v>0.96199999999999997</v>
      </c>
      <c r="CV8" s="2448"/>
      <c r="CW8" s="2449">
        <f>IF(ISNUMBER(IF($N$3&gt;=$B8,Real!AD9,'Proy. Mes'!BD9*100)),IF($N$3&gt;=$B8,Real!AD9,'Proy. Mes'!BD9*100),0)</f>
        <v>62.156635284423828</v>
      </c>
      <c r="CX8" s="783">
        <f>+AO8</f>
        <v>536.31995073968528</v>
      </c>
      <c r="DA8" s="744">
        <f t="shared" ref="DA8:DA35" si="5">24*H8/100</f>
        <v>21.428655761662007</v>
      </c>
      <c r="DB8" s="744">
        <v>1</v>
      </c>
      <c r="DC8" s="2449">
        <f>IF(ISNUMBER(IF($N$3&gt;=$B8,Real!AC9,'Proy. Mes'!BC9*100)),IF($N$3&gt;=$B8,Real!AC9,'Proy. Mes'!BC9*100),0)</f>
        <v>80.621353149414063</v>
      </c>
      <c r="DE8" s="4239">
        <f>+E8</f>
        <v>98057.835933685317</v>
      </c>
      <c r="DF8" s="4239">
        <f>+DE8</f>
        <v>98057.835933685317</v>
      </c>
      <c r="DG8" s="4234">
        <f>+L8</f>
        <v>0.57768797734094401</v>
      </c>
      <c r="DH8" s="342">
        <f>SUMPRODUCT(DG$8:DG8,DE$8:DE8)/DF8</f>
        <v>0.57768797734094401</v>
      </c>
      <c r="DI8" s="4240">
        <f t="shared" ref="DI8:DI39" si="6">+M8</f>
        <v>91.162820073210312</v>
      </c>
      <c r="DJ8" s="348" cm="1">
        <f t="array" ref="DJ8">SUMPRODUCT(DI$8:DI8,DE$8:DE8/DF8)</f>
        <v>91.162820073210312</v>
      </c>
      <c r="DK8" s="866"/>
      <c r="DL8" s="866"/>
      <c r="DM8" s="866"/>
      <c r="DN8" s="866"/>
      <c r="DO8" s="866"/>
      <c r="DP8" s="866"/>
      <c r="DQ8" s="866"/>
      <c r="DR8" s="866"/>
    </row>
    <row r="9" spans="1:122" s="744" customFormat="1" ht="17.25" customHeight="1">
      <c r="A9" s="2450"/>
      <c r="B9" s="2065">
        <f t="shared" ref="B9:B38" si="7">B8+1</f>
        <v>46083.791666666664</v>
      </c>
      <c r="C9" s="780">
        <f>IF($N$3&gt;=$B9,Real!C10,'Proy. Mes'!C10)</f>
        <v>131187.14559999999</v>
      </c>
      <c r="D9" s="2432">
        <f>IF($N$3&gt;=$B9,Real!D10,D8+C9-E9)</f>
        <v>641093.03720000002</v>
      </c>
      <c r="E9" s="2432">
        <f>IF($N$3&gt;=$B9,Real!E10,'Proy. Mes'!E10)</f>
        <v>170436.89745330811</v>
      </c>
      <c r="F9" s="2432">
        <f>IF($N$3&gt;=$B9,Real!F10,'Proy. Mes'!F10)</f>
        <v>44562.3125</v>
      </c>
      <c r="G9" s="2432">
        <f>IF($N$3&gt;=$B9,Real!G10,'Proy. Mes'!G10)</f>
        <v>125874.58495330811</v>
      </c>
      <c r="H9" s="2067">
        <f>IF($N$3&gt;=$B9,Real!H10,'Proy. Mes'!H10)</f>
        <v>83.487125596200372</v>
      </c>
      <c r="I9" s="2067">
        <f>IF($N$3&gt;=$B9,Real!I10,'Proy. Mes'!I10)</f>
        <v>100</v>
      </c>
      <c r="J9" s="2067">
        <f t="shared" ref="J9:J35" si="8">+SUMPRODUCT(H9:I9,$H$4:$I$4)</f>
        <v>86.528962190124304</v>
      </c>
      <c r="K9" s="781">
        <f t="shared" ref="K9:K35" si="9">CW9</f>
        <v>87.753082275390625</v>
      </c>
      <c r="L9" s="2066">
        <f>IF(ISNUMBER(IF($N$3&gt;=$B9,Real!K10,'Proy. Mes'!K10)),IF($N$3&gt;=$B9,Real!K10,'Proy. Mes'!K10),0)</f>
        <v>0.55229968808243912</v>
      </c>
      <c r="M9" s="781">
        <f>IF(ISNUMBER(IF($N$3&gt;=$B9,Real!L10,'Proy. Mes'!L10)),IF($N$3&gt;=$B9,Real!L10,'Proy. Mes'!L10),0)</f>
        <v>92.159479170723415</v>
      </c>
      <c r="N9" s="781">
        <f>IF(ISNUMBER(IF($N$3&gt;=$B9,Real!M10,'Proy. Mes'!M10)),IF($N$3&gt;=$B9,Real!M10,'Proy. Mes'!M10),0)</f>
        <v>30.560018202104374</v>
      </c>
      <c r="O9" s="780">
        <f>IF(ISNUMBER(IF($N$3&gt;=$B9,Real!N10,'Proy. Mes'!N10)),IF($N$3&gt;=$B9,Real!N10,'Proy. Mes'!N10),0)</f>
        <v>2838.7347948412084</v>
      </c>
      <c r="P9" s="539">
        <f>+P8+O9</f>
        <v>4941.3752816693141</v>
      </c>
      <c r="Q9" s="780">
        <f t="shared" ref="Q9:Q34" si="10">+O9*N9/100</f>
        <v>867.5178700129436</v>
      </c>
      <c r="R9" s="782">
        <f>+R8+Q9</f>
        <v>1383.9263735779264</v>
      </c>
      <c r="S9" s="780">
        <f>IF(ISNUMBER(IF($N$3&gt;=$B9,Real!R10,'Proy. Mes'!R10)),IF($N$3&gt;=$B9,Real!R10,'Proy. Mes'!R10),0)</f>
        <v>259.27553862179718</v>
      </c>
      <c r="T9" s="781">
        <f>IF(ISNUMBER(IF($N$3&gt;=$B9,Real!S10,'Proy. Mes'!S10)),IF($N$3&gt;=$B9,Real!S10,'Proy. Mes'!S10),0)</f>
        <v>91.151954632776594</v>
      </c>
      <c r="U9" s="781">
        <f>IF(ISNUMBER(IF($N$3&gt;=$B9,Real!T10,'Proy. Mes'!T10)),IF($N$3&gt;=$B9,Real!T10,'Proy. Mes'!T10),0)</f>
        <v>88.9</v>
      </c>
      <c r="V9" s="781">
        <f>IF(ISNUMBER(IF($N$3&gt;=$B9,Real!U10,'Proy. Mes'!U10)),IF($N$3&gt;=$B9,Real!U10,'Proy. Mes'!U10),0)</f>
        <v>81.03408766853839</v>
      </c>
      <c r="W9" s="781">
        <f>IF(ISNUMBER(IF($N$3&gt;=$B9,Real!V10,'Proy. Mes'!V10)),IF($N$3&gt;=$B9,Real!V10,'Proy. Mes'!V10),0)</f>
        <v>50.175218421570399</v>
      </c>
      <c r="X9" s="780">
        <f>IF(ISNUMBER(IF($N$3&gt;=$B9,Real!W10,'Proy. Mes'!W10)),IF($N$3&gt;=$B9,Real!W10,'Proy. Mes'!W10),0)</f>
        <v>71.36801871929363</v>
      </c>
      <c r="Y9" s="539">
        <f>IF(ISNUMBER(X9),+Y8+X9,Y8)</f>
        <v>110.47878241293155</v>
      </c>
      <c r="Z9" s="539">
        <f t="shared" ref="Z9:Z35" si="11">AC9/(W9/100)</f>
        <v>48.376059999999903</v>
      </c>
      <c r="AA9" s="780">
        <f>IF(ISNUMBER(IF($N$3&gt;=$B9,Real!Y10,'Proy. Mes'!Z10)),IF($N$3&gt;=$B9,Real!Y10,'Proy. Mes'!Z10),0)</f>
        <v>35.809059275552826</v>
      </c>
      <c r="AB9" s="782">
        <f>IF(ISNUMBER(AA9),+AB8+AA9,AB8)</f>
        <v>55.225632620959246</v>
      </c>
      <c r="AC9" s="780">
        <f>IF(ISNUMBER(IF($N$3&gt;=$B9,Real!AA10,'Proy. Mes'!AB10)),IF($N$3&gt;=$B9,Real!AA10,'Proy. Mes'!AB10),0)</f>
        <v>24.272793768749899</v>
      </c>
      <c r="AD9" s="539">
        <f>IF(ISNUMBER(AC9),+AD8+AC9,AD8)</f>
        <v>47.519810293749998</v>
      </c>
      <c r="AE9" s="782">
        <f>+AE8+AA9-AC9</f>
        <v>379.36426704271804</v>
      </c>
      <c r="AF9" s="780">
        <f t="shared" si="0"/>
        <v>971.32833285277127</v>
      </c>
      <c r="AG9" s="539">
        <f>IF(ISNUMBER(AF9),+AG8+AF9,AG8)</f>
        <v>1544.025482546087</v>
      </c>
      <c r="AH9" s="2072">
        <f t="shared" si="1"/>
        <v>904.56718594237964</v>
      </c>
      <c r="AI9" s="2451">
        <f>IF(ISNUMBER(AH9),+AI8+AH9,AI8)</f>
        <v>1468.4083017733383</v>
      </c>
      <c r="AJ9" s="2439">
        <f>IF(ISNUMBER(IF($N$3&gt;=$B9,Real!AL10,'Proy. Mes'!AF10)),IF($N$3&gt;=$B9,Real!AL10,'Proy. Mes'!AF10),0)</f>
        <v>1492.4541015625</v>
      </c>
      <c r="AK9" s="2452">
        <f>IF(ISNUMBER(IF($N$3&gt;=$B9,Real!AM10,'Proy. Mes'!AG10)),IF($N$3&gt;=$B9,Real!AM10,'Proy. Mes'!AG10),0)</f>
        <v>27.09</v>
      </c>
      <c r="AL9" s="2453">
        <f t="shared" ref="AL9:AL35" si="12">AJ9*AK9/100</f>
        <v>404.30581611328125</v>
      </c>
      <c r="AM9" s="2439">
        <f>IF(ISNUMBER(IF($N$3&gt;=$B9,Real!AO10,'Proy. Mes'!AI10)),IF($N$3&gt;=$B9,Real!AO10,'Proy. Mes'!AI10),0)</f>
        <v>3701.3238304092597</v>
      </c>
      <c r="AN9" s="2452">
        <f>IF(ISNUMBER(IF($N$3&gt;=$B9,Real!AP10,'Proy. Mes'!AJ10)),IF($N$3&gt;=$B9,Real!AP10,'Proy. Mes'!AJ10),0)</f>
        <v>28.229502212624933</v>
      </c>
      <c r="AO9" s="2453">
        <f>AM9*AN9/100</f>
        <v>1044.865292601796</v>
      </c>
      <c r="AP9" s="783">
        <f t="shared" si="2"/>
        <v>2599.6276170353804</v>
      </c>
      <c r="AQ9" s="783">
        <f t="shared" si="3"/>
        <v>1007.6680881851721</v>
      </c>
      <c r="AR9" s="783">
        <f>AR8-AM9+O9</f>
        <v>7012.0160074592823</v>
      </c>
      <c r="AS9" s="2910"/>
      <c r="AT9" s="784"/>
      <c r="AU9" s="2454"/>
      <c r="AV9" s="2438">
        <f t="shared" si="4"/>
        <v>46083.791666666664</v>
      </c>
      <c r="AW9" s="2069">
        <f>IF(ISNUMBER(IF($N$3&gt;=$B9,Real!AC10,'Proy. Mes'!BC10)),IF($N$3&gt;=$B9,Real!AC10,'Proy. Mes'!BC10),0)</f>
        <v>92.158538818359375</v>
      </c>
      <c r="AX9" s="783"/>
      <c r="AY9" s="783"/>
      <c r="AZ9" s="783"/>
      <c r="BA9" s="2432">
        <f>IF($N$3&gt;=$B9,Real!AE10,'Proy. Mes'!AW10)</f>
        <v>17.92604013467345</v>
      </c>
      <c r="BB9" s="782">
        <f>IF($N$3&gt;=$B9,Real!AF10,'Proy. Mes'!AX10)</f>
        <v>474.75</v>
      </c>
      <c r="BC9" s="2078">
        <f>'Plan mina PS'!AG7</f>
        <v>1.8046348474364655</v>
      </c>
      <c r="BD9" s="3099">
        <f>IF($N$3&gt;=$B9,Real!AS10,'Proy. Mes'!AY10)</f>
        <v>5.0939540863037109</v>
      </c>
      <c r="BE9" s="2440">
        <f>IF($N$3&gt;=$B9,Real!AU10,'Proy. Mes'!BB10)</f>
        <v>37.389012972513832</v>
      </c>
      <c r="BF9" s="780">
        <f>IF($N$3&gt;=$B9,Real!AI10,'Proy. Mes'!AO10)</f>
        <v>6282.1355216153261</v>
      </c>
      <c r="BG9" s="780">
        <f>IF($N$3&gt;=$B9,Real!AJ10,'Proy. Mes'!AP10)</f>
        <v>1856.7630208333333</v>
      </c>
      <c r="BH9" s="780">
        <f>IF($N$3&gt;=$B9,Real!AK10,'Proy. Mes'!AQ10)</f>
        <v>8207.1218862929418</v>
      </c>
      <c r="BI9" s="780"/>
      <c r="BJ9" s="539"/>
      <c r="BK9" s="539"/>
      <c r="BL9" s="781">
        <f>IF($N$3&gt;=$B9,Real!H10,'Proy. Mes'!AR10)</f>
        <v>83.487125596200372</v>
      </c>
      <c r="BM9" s="539"/>
      <c r="BN9" s="539"/>
      <c r="BO9" s="539"/>
      <c r="BP9" s="2441"/>
      <c r="BQ9" s="2442"/>
      <c r="BR9" s="2443"/>
      <c r="BS9" s="2444"/>
      <c r="BT9" s="785"/>
      <c r="BU9" s="785"/>
      <c r="BV9" s="2445"/>
      <c r="BW9" s="785"/>
      <c r="BX9" s="785"/>
      <c r="BY9" s="785"/>
      <c r="BZ9" s="785"/>
      <c r="CA9" s="2446"/>
      <c r="CB9" s="2446"/>
      <c r="CC9" s="2446"/>
      <c r="CD9" s="2443"/>
      <c r="CE9" s="2446"/>
      <c r="CF9" s="2446"/>
      <c r="CG9" s="2446"/>
      <c r="CH9" s="2444"/>
      <c r="CI9" s="2446"/>
      <c r="CJ9" s="2443"/>
      <c r="CK9" s="2446"/>
      <c r="CL9" s="2446"/>
      <c r="CM9" s="2443"/>
      <c r="CN9" s="2444"/>
      <c r="CO9" s="2446"/>
      <c r="CP9" s="2447"/>
      <c r="CQ9" s="786"/>
      <c r="CS9" s="744" t="s">
        <v>445</v>
      </c>
      <c r="CT9" s="744">
        <f>Factores!$D$8</f>
        <v>0.995</v>
      </c>
      <c r="CU9" s="744">
        <f>Factores!$F$8</f>
        <v>0.995</v>
      </c>
      <c r="CV9" s="2448"/>
      <c r="CW9" s="2449">
        <f>IF(ISNUMBER(IF($N$3&gt;=$B9,Real!AD10,'Proy. Mes'!BD10*100)),IF($N$3&gt;=$B9,Real!AD10,'Proy. Mes'!BD10*100),0)</f>
        <v>87.753082275390625</v>
      </c>
      <c r="CX9" s="783">
        <f t="shared" ref="CX9:CX39" si="13">+CX8+AO9</f>
        <v>1581.1852433414813</v>
      </c>
      <c r="DA9" s="744">
        <f t="shared" si="5"/>
        <v>20.03691014308809</v>
      </c>
      <c r="DB9" s="744">
        <v>1</v>
      </c>
      <c r="DC9" s="2449">
        <f>IF(ISNUMBER(IF($N$3&gt;=$B9,Real!AC10,'Proy. Mes'!BC10*100)),IF($N$3&gt;=$B9,Real!AC10,'Proy. Mes'!BC10*100),0)</f>
        <v>92.158538818359375</v>
      </c>
      <c r="DE9" s="4239">
        <f t="shared" ref="DE9:DE39" si="14">+E9</f>
        <v>170436.89745330811</v>
      </c>
      <c r="DF9" s="4239">
        <f>+DE9+DF8</f>
        <v>268494.73338699341</v>
      </c>
      <c r="DG9" s="4234">
        <f t="shared" ref="DG9:DG39" si="15">+L9</f>
        <v>0.55229968808243912</v>
      </c>
      <c r="DH9" s="342">
        <f>SUMPRODUCT(DG$8:DG9,DE$8:DE9)/DF9</f>
        <v>0.56157182787953219</v>
      </c>
      <c r="DI9" s="4240">
        <f t="shared" si="6"/>
        <v>92.159479170723415</v>
      </c>
      <c r="DJ9" s="348" cm="1">
        <f t="array" ref="DJ9">SUMPRODUCT(DI$8:DI9,DE$8:DE9/DF9)</f>
        <v>91.795486056099122</v>
      </c>
      <c r="DK9" s="866"/>
      <c r="DL9" s="866"/>
      <c r="DM9" s="866"/>
      <c r="DN9" s="866"/>
      <c r="DO9" s="866"/>
      <c r="DP9" s="866"/>
      <c r="DQ9" s="866"/>
      <c r="DR9" s="866"/>
    </row>
    <row r="10" spans="1:122" s="744" customFormat="1" ht="17.25" customHeight="1">
      <c r="A10" s="2450"/>
      <c r="B10" s="2065">
        <f t="shared" si="7"/>
        <v>46084.791666666664</v>
      </c>
      <c r="C10" s="780">
        <f>IF($N$3&gt;=$B10,Real!C11,'Proy. Mes'!C11)</f>
        <v>217133.84</v>
      </c>
      <c r="D10" s="2432">
        <f>IF($N$3&gt;=$B10,Real!D11,D9+C10-E10)</f>
        <v>672529.5612</v>
      </c>
      <c r="E10" s="2432">
        <f>IF($N$3&gt;=$B10,Real!E11,'Proy. Mes'!E11)</f>
        <v>158186.81954193115</v>
      </c>
      <c r="F10" s="2432">
        <f>IF($N$3&gt;=$B10,Real!F11,'Proy. Mes'!F11)</f>
        <v>48085.234375</v>
      </c>
      <c r="G10" s="2432">
        <f>IF($N$3&gt;=$B10,Real!G11,'Proy. Mes'!G11)</f>
        <v>110101.58516693115</v>
      </c>
      <c r="H10" s="2067">
        <f>IF($N$3&gt;=$B10,Real!H11,'Proy. Mes'!H11)</f>
        <v>66.670344083649098</v>
      </c>
      <c r="I10" s="2067">
        <f>IF($N$3&gt;=$B10,Real!I11,'Proy. Mes'!I11)</f>
        <v>100</v>
      </c>
      <c r="J10" s="2067">
        <f t="shared" si="8"/>
        <v>72.810000000000102</v>
      </c>
      <c r="K10" s="781">
        <f t="shared" si="9"/>
        <v>87.695640563964844</v>
      </c>
      <c r="L10" s="2066">
        <f>IF(ISNUMBER(IF($N$3&gt;=$B10,Real!K11,'Proy. Mes'!K11)),IF($N$3&gt;=$B10,Real!K11,'Proy. Mes'!K11),0)</f>
        <v>0.53249797248699349</v>
      </c>
      <c r="M10" s="781">
        <f>IF(ISNUMBER(IF($N$3&gt;=$B10,Real!L11,'Proy. Mes'!L11)),IF($N$3&gt;=$B10,Real!L11,'Proy. Mes'!L11),0)</f>
        <v>91.369201831492987</v>
      </c>
      <c r="N10" s="781">
        <f>IF(ISNUMBER(IF($N$3&gt;=$B10,Real!M11,'Proy. Mes'!M11)),IF($N$3&gt;=$B10,Real!M11,'Proy. Mes'!M11),0)</f>
        <v>29.31537385710142</v>
      </c>
      <c r="O10" s="780">
        <f>IF(ISNUMBER(IF($N$3&gt;=$B10,Real!N11,'Proy. Mes'!N11)),IF($N$3&gt;=$B10,Real!N11,'Proy. Mes'!N11),0)</f>
        <v>2625.3828676434409</v>
      </c>
      <c r="P10" s="539">
        <f t="shared" ref="P10:P35" si="16">+P9+O10</f>
        <v>7566.7581493127545</v>
      </c>
      <c r="Q10" s="780">
        <f t="shared" si="10"/>
        <v>769.64080282996485</v>
      </c>
      <c r="R10" s="782">
        <f t="shared" ref="R10:R35" si="17">+R9+Q10</f>
        <v>2153.5671764078911</v>
      </c>
      <c r="S10" s="780">
        <f>IF(ISNUMBER(IF($N$3&gt;=$B10,Real!R11,'Proy. Mes'!R11)),IF($N$3&gt;=$B10,Real!R11,'Proy. Mes'!R11),0)</f>
        <v>269.88477488477827</v>
      </c>
      <c r="T10" s="781">
        <f>IF(ISNUMBER(IF($N$3&gt;=$B10,Real!S11,'Proy. Mes'!S11)),IF($N$3&gt;=$B10,Real!S11,'Proy. Mes'!S11),0)</f>
        <v>88.881512615796723</v>
      </c>
      <c r="U10" s="781">
        <f>IF(ISNUMBER(IF($N$3&gt;=$B10,Real!T11,'Proy. Mes'!T11)),IF($N$3&gt;=$B10,Real!T11,'Proy. Mes'!T11),0)</f>
        <v>90.6</v>
      </c>
      <c r="V10" s="781">
        <f>IF(ISNUMBER(IF($N$3&gt;=$B10,Real!U11,'Proy. Mes'!U11)),IF($N$3&gt;=$B10,Real!U11,'Proy. Mes'!U11),0)</f>
        <v>80.526650429911825</v>
      </c>
      <c r="W10" s="781">
        <f>IF(ISNUMBER(IF($N$3&gt;=$B10,Real!V11,'Proy. Mes'!V11)),IF($N$3&gt;=$B10,Real!V11,'Proy. Mes'!V11),0)</f>
        <v>52.127496689047312</v>
      </c>
      <c r="X10" s="780">
        <f>IF(ISNUMBER(IF($N$3&gt;=$B10,Real!W11,'Proy. Mes'!W11)),IF($N$3&gt;=$B10,Real!W11,'Proy. Mes'!W11),0)</f>
        <v>65.951009080781958</v>
      </c>
      <c r="Y10" s="539">
        <f t="shared" ref="Y10:Y35" si="18">IF(ISNUMBER(X10),+Y9+X10,Y9)</f>
        <v>176.42979149371351</v>
      </c>
      <c r="Z10" s="539">
        <f t="shared" si="11"/>
        <v>116.03205262231501</v>
      </c>
      <c r="AA10" s="780">
        <f>IF(ISNUMBER(IF($N$3&gt;=$B10,Real!Y11,'Proy. Mes'!Z11)),IF($N$3&gt;=$B10,Real!Y11,'Proy. Mes'!Z11),0)</f>
        <v>34.378610074977907</v>
      </c>
      <c r="AB10" s="782">
        <f t="shared" ref="AB10:AB35" si="19">IF(ISNUMBER(AA10),+AB9+AA10,AB9)</f>
        <v>89.60424269593716</v>
      </c>
      <c r="AC10" s="780">
        <f>IF(ISNUMBER(IF($N$3&gt;=$B10,Real!AA11,'Proy. Mes'!AB11)),IF($N$3&gt;=$B10,Real!AA11,'Proy. Mes'!AB11),0)</f>
        <v>60.48460438893089</v>
      </c>
      <c r="AD10" s="539">
        <f t="shared" ref="AD10:AD35" si="20">IF(ISNUMBER(AC10),+AD9+AC10,AD9)</f>
        <v>108.00441468268089</v>
      </c>
      <c r="AE10" s="782">
        <f t="shared" ref="AE10:AE35" si="21">+AE9+AA10-AC10</f>
        <v>353.25827272876506</v>
      </c>
      <c r="AF10" s="780">
        <f t="shared" si="0"/>
        <v>869.30439343732587</v>
      </c>
      <c r="AG10" s="539">
        <f t="shared" ref="AG10:AG35" si="22">IF(ISNUMBER(AF10),+AG9+AF10,AG9)</f>
        <v>2413.3298759834129</v>
      </c>
      <c r="AH10" s="2072">
        <f t="shared" si="1"/>
        <v>914.86259610531931</v>
      </c>
      <c r="AI10" s="2451">
        <f t="shared" ref="AI10:AI35" si="23">IF(ISNUMBER(AH10),+AI9+AH10,AI9)</f>
        <v>2383.2708978786577</v>
      </c>
      <c r="AJ10" s="2439">
        <f>IF(ISNUMBER(IF($N$3&gt;=$B10,Real!AL11,'Proy. Mes'!AF11)),IF($N$3&gt;=$B10,Real!AL11,'Proy. Mes'!AF11),0)</f>
        <v>3793.09423828125</v>
      </c>
      <c r="AK10" s="2452">
        <f>IF(ISNUMBER(IF($N$3&gt;=$B10,Real!AM11,'Proy. Mes'!AG11)),IF($N$3&gt;=$B10,Real!AM11,'Proy. Mes'!AG11),0)</f>
        <v>30.48</v>
      </c>
      <c r="AL10" s="2453">
        <f t="shared" si="12"/>
        <v>1156.135123828125</v>
      </c>
      <c r="AM10" s="2439">
        <f>IF(ISNUMBER(IF($N$3&gt;=$B10,Real!AO11,'Proy. Mes'!AI11)),IF($N$3&gt;=$B10,Real!AO11,'Proy. Mes'!AI11),0)</f>
        <v>2382.0728229587339</v>
      </c>
      <c r="AN10" s="2452">
        <f>IF(ISNUMBER(IF($N$3&gt;=$B10,Real!AP11,'Proy. Mes'!AJ11)),IF($N$3&gt;=$B10,Real!AP11,'Proy. Mes'!AJ11),0)</f>
        <v>28.243913645658555</v>
      </c>
      <c r="AO10" s="2453">
        <f>AM10*AN10/100</f>
        <v>672.79059109316586</v>
      </c>
      <c r="AP10" s="783">
        <f t="shared" si="2"/>
        <v>2696.4778287721792</v>
      </c>
      <c r="AQ10" s="783">
        <f t="shared" si="3"/>
        <v>648.83924605024913</v>
      </c>
      <c r="AR10" s="783">
        <f>AR9-AM10+O10</f>
        <v>7255.3260521439897</v>
      </c>
      <c r="AS10" s="2910"/>
      <c r="AT10" s="784"/>
      <c r="AU10" s="2454"/>
      <c r="AV10" s="2438">
        <f t="shared" si="4"/>
        <v>46084.791666666664</v>
      </c>
      <c r="AW10" s="2069">
        <f>IF(ISNUMBER(IF($N$3&gt;=$B10,Real!AC11,'Proy. Mes'!BC11)),IF($N$3&gt;=$B10,Real!AC11,'Proy. Mes'!BC11),0)</f>
        <v>90.481964111328125</v>
      </c>
      <c r="AX10" s="783"/>
      <c r="AY10" s="783"/>
      <c r="AZ10" s="783"/>
      <c r="BA10" s="2432">
        <f>IF($N$3&gt;=$B10,Real!AE11,'Proy. Mes'!AW11)</f>
        <v>15.503640437725355</v>
      </c>
      <c r="BB10" s="782">
        <f>IF($N$3&gt;=$B10,Real!AF11,'Proy. Mes'!AX11)</f>
        <v>670.75</v>
      </c>
      <c r="BC10" s="2078">
        <f>'Plan mina PS'!AG8</f>
        <v>1.5139604902392227</v>
      </c>
      <c r="BD10" s="3099">
        <f>IF($N$3&gt;=$B10,Real!AS11,'Proy. Mes'!AY11)</f>
        <v>4.9400463104248047</v>
      </c>
      <c r="BE10" s="2440">
        <f>IF($N$3&gt;=$B10,Real!AU11,'Proy. Mes'!BB11)</f>
        <v>37.039354642232261</v>
      </c>
      <c r="BF10" s="780">
        <f>IF($N$3&gt;=$B10,Real!AI11,'Proy. Mes'!AO11)</f>
        <v>6880.9695100212211</v>
      </c>
      <c r="BG10" s="780">
        <f>IF($N$3&gt;=$B10,Real!AJ11,'Proy. Mes'!AP11)</f>
        <v>2003.5514322916667</v>
      </c>
      <c r="BH10" s="780">
        <f>IF($N$3&gt;=$B10,Real!AK11,'Proy. Mes'!AQ11)</f>
        <v>9052.4893296439895</v>
      </c>
      <c r="BI10" s="780"/>
      <c r="BJ10" s="539"/>
      <c r="BK10" s="539"/>
      <c r="BL10" s="781">
        <f>IF($N$3&gt;=$B10,Real!H11,'Proy. Mes'!AR11)</f>
        <v>66.670344083649098</v>
      </c>
      <c r="BM10" s="539"/>
      <c r="BN10" s="539"/>
      <c r="BO10" s="539"/>
      <c r="BP10" s="2441"/>
      <c r="BQ10" s="2442"/>
      <c r="BR10" s="2443"/>
      <c r="BS10" s="2444"/>
      <c r="BT10" s="785"/>
      <c r="BU10" s="785"/>
      <c r="BV10" s="2445"/>
      <c r="BW10" s="785"/>
      <c r="BX10" s="785"/>
      <c r="BY10" s="785"/>
      <c r="BZ10" s="785"/>
      <c r="CA10" s="2446"/>
      <c r="CB10" s="2446"/>
      <c r="CC10" s="2446"/>
      <c r="CD10" s="2443"/>
      <c r="CE10" s="2446"/>
      <c r="CF10" s="2446"/>
      <c r="CG10" s="2446"/>
      <c r="CH10" s="2444"/>
      <c r="CI10" s="2446"/>
      <c r="CJ10" s="2443"/>
      <c r="CK10" s="2446"/>
      <c r="CL10" s="2446"/>
      <c r="CM10" s="2443"/>
      <c r="CN10" s="2444"/>
      <c r="CO10" s="2446"/>
      <c r="CP10" s="2447"/>
      <c r="CQ10" s="786"/>
      <c r="CV10" s="2448"/>
      <c r="CW10" s="2449">
        <f>IF(ISNUMBER(IF($N$3&gt;=$B10,Real!AD11,'Proy. Mes'!BD11*100)),IF($N$3&gt;=$B10,Real!AD11,'Proy. Mes'!BD11*100),0)</f>
        <v>87.695640563964844</v>
      </c>
      <c r="CX10" s="783">
        <f t="shared" si="13"/>
        <v>2253.9758344346474</v>
      </c>
      <c r="DA10" s="744">
        <f t="shared" si="5"/>
        <v>16.000882580075782</v>
      </c>
      <c r="DB10" s="744">
        <v>1</v>
      </c>
      <c r="DC10" s="2449">
        <f>IF(ISNUMBER(IF($N$3&gt;=$B10,Real!AC11,'Proy. Mes'!BC11*100)),IF($N$3&gt;=$B10,Real!AC11,'Proy. Mes'!BC11*100),0)</f>
        <v>90.481964111328125</v>
      </c>
      <c r="DE10" s="4239">
        <f t="shared" si="14"/>
        <v>158186.81954193115</v>
      </c>
      <c r="DF10" s="4239">
        <f t="shared" ref="DF10:DF38" si="24">+DE10+DF9</f>
        <v>426681.55292892456</v>
      </c>
      <c r="DG10" s="4234">
        <f t="shared" si="15"/>
        <v>0.53249797248699349</v>
      </c>
      <c r="DH10" s="342">
        <f>SUMPRODUCT(DG$8:DG10,DE$8:DE10)/DF10</f>
        <v>0.55079306164321962</v>
      </c>
      <c r="DI10" s="4240">
        <f t="shared" si="6"/>
        <v>91.369201831492987</v>
      </c>
      <c r="DJ10" s="348" cm="1">
        <f t="array" ref="DJ10">SUMPRODUCT(DI$8:DI10,DE$8:DE10/DF10)</f>
        <v>91.637446541035814</v>
      </c>
      <c r="DK10" s="866"/>
      <c r="DL10" s="866"/>
      <c r="DM10" s="866"/>
      <c r="DN10" s="866"/>
      <c r="DO10" s="866"/>
      <c r="DP10" s="866"/>
      <c r="DQ10" s="866"/>
      <c r="DR10" s="866"/>
    </row>
    <row r="11" spans="1:122" s="744" customFormat="1" ht="17.25" customHeight="1">
      <c r="A11" s="2450"/>
      <c r="B11" s="2065">
        <f>B10+1</f>
        <v>46085.791666666664</v>
      </c>
      <c r="C11" s="780">
        <f>IF($N$3&gt;=$B11,Real!C12,'Proy. Mes'!C12)</f>
        <v>132733.076</v>
      </c>
      <c r="D11" s="2432">
        <f>IF($N$3&gt;=$B11,Real!D12,D10+C11-E11)</f>
        <v>646135.38919999998</v>
      </c>
      <c r="E11" s="2432">
        <f>IF($N$3&gt;=$B11,Real!E12,'Proy. Mes'!E12)</f>
        <v>156047.44256210327</v>
      </c>
      <c r="F11" s="2432">
        <f>IF($N$3&gt;=$B11,Real!F12,'Proy. Mes'!F12)</f>
        <v>46182.26953125</v>
      </c>
      <c r="G11" s="2432">
        <f>IF($N$3&gt;=$B11,Real!G12,'Proy. Mes'!G12)</f>
        <v>109865.17303085327</v>
      </c>
      <c r="H11" s="2067">
        <f>IF($N$3&gt;=$B11,Real!H12,'Proy. Mes'!H12)</f>
        <v>66.501623076937662</v>
      </c>
      <c r="I11" s="2067">
        <f>IF($N$3&gt;=$B11,Real!I12,'Proy. Mes'!I12)</f>
        <v>94.930557250976563</v>
      </c>
      <c r="J11" s="2067">
        <f t="shared" si="8"/>
        <v>71.738517041137371</v>
      </c>
      <c r="K11" s="781">
        <f>CW11</f>
        <v>60.027790069580078</v>
      </c>
      <c r="L11" s="2066">
        <f>IF(ISNUMBER(IF($N$3&gt;=$B11,Real!K12,'Proy. Mes'!K12)),IF($N$3&gt;=$B11,Real!K12,'Proy. Mes'!K12),0)</f>
        <v>0.50968564255413329</v>
      </c>
      <c r="M11" s="781">
        <f>IF(ISNUMBER(IF($N$3&gt;=$B11,Real!L12,'Proy. Mes'!L12)),IF($N$3&gt;=$B11,Real!L12,'Proy. Mes'!L12),0)</f>
        <v>89.989231510253532</v>
      </c>
      <c r="N11" s="781">
        <f>IF(ISNUMBER(IF($N$3&gt;=$B11,Real!M12,'Proy. Mes'!M12)),IF($N$3&gt;=$B11,Real!M12,'Proy. Mes'!M12),0)</f>
        <v>26.130492122859852</v>
      </c>
      <c r="O11" s="780">
        <f>IF(ISNUMBER(IF($N$3&gt;=$B11,Real!N12,'Proy. Mes'!N12)),IF($N$3&gt;=$B11,Real!N12,'Proy. Mes'!N12),0)</f>
        <v>2739.0629253382481</v>
      </c>
      <c r="P11" s="539">
        <f t="shared" si="16"/>
        <v>10305.821074651003</v>
      </c>
      <c r="Q11" s="780">
        <f t="shared" si="10"/>
        <v>715.73062194568558</v>
      </c>
      <c r="R11" s="782">
        <f t="shared" si="17"/>
        <v>2869.2977983535766</v>
      </c>
      <c r="S11" s="780">
        <f>IF(ISNUMBER(IF($N$3&gt;=$B11,Real!R12,'Proy. Mes'!R12)),IF($N$3&gt;=$B11,Real!R12,'Proy. Mes'!R12),0)</f>
        <v>231.36382293887166</v>
      </c>
      <c r="T11" s="781">
        <f>IF(ISNUMBER(IF($N$3&gt;=$B11,Real!S12,'Proy. Mes'!S12)),IF($N$3&gt;=$B11,Real!S12,'Proy. Mes'!S12),0)</f>
        <v>86.43393509511337</v>
      </c>
      <c r="U11" s="781">
        <f>IF(ISNUMBER(IF($N$3&gt;=$B11,Real!T12,'Proy. Mes'!T12)),IF($N$3&gt;=$B11,Real!T12,'Proy. Mes'!T12),0)</f>
        <v>91.9</v>
      </c>
      <c r="V11" s="781">
        <f>IF(ISNUMBER(IF($N$3&gt;=$B11,Real!U12,'Proy. Mes'!U12)),IF($N$3&gt;=$B11,Real!U12,'Proy. Mes'!U12),0)</f>
        <v>79.432786352409195</v>
      </c>
      <c r="W11" s="781">
        <f>IF(ISNUMBER(IF($N$3&gt;=$B11,Real!V12,'Proy. Mes'!V12)),IF($N$3&gt;=$B11,Real!V12,'Proy. Mes'!V12),0)</f>
        <v>53.301272417593424</v>
      </c>
      <c r="X11" s="780">
        <f>IF(ISNUMBER(IF($N$3&gt;=$B11,Real!W12,'Proy. Mes'!W12)),IF($N$3&gt;=$B11,Real!W12,'Proy. Mes'!W12),0)</f>
        <v>53.8039707044625</v>
      </c>
      <c r="Y11" s="539">
        <f t="shared" si="18"/>
        <v>230.23376219817601</v>
      </c>
      <c r="Z11" s="539">
        <f t="shared" si="11"/>
        <v>99.81</v>
      </c>
      <c r="AA11" s="780">
        <f>IF(ISNUMBER(IF($N$3&gt;=$B11,Real!Y12,'Proy. Mes'!Z12)),IF($N$3&gt;=$B11,Real!Y12,'Proy. Mes'!Z12),0)</f>
        <v>28.678200996667716</v>
      </c>
      <c r="AB11" s="782">
        <f t="shared" si="19"/>
        <v>118.28244369260487</v>
      </c>
      <c r="AC11" s="780">
        <f>IF(ISNUMBER(IF($N$3&gt;=$B11,Real!AA12,'Proy. Mes'!AB12)),IF($N$3&gt;=$B11,Real!AA12,'Proy. Mes'!AB12),0)</f>
        <v>53.2</v>
      </c>
      <c r="AD11" s="539">
        <f t="shared" si="20"/>
        <v>161.20441468268089</v>
      </c>
      <c r="AE11" s="782">
        <f t="shared" si="21"/>
        <v>328.7364737254328</v>
      </c>
      <c r="AF11" s="780">
        <f t="shared" si="0"/>
        <v>798.86872663502527</v>
      </c>
      <c r="AG11" s="539">
        <f t="shared" si="22"/>
        <v>3212.1986026184381</v>
      </c>
      <c r="AH11" s="2072">
        <f t="shared" si="1"/>
        <v>841.98852431174942</v>
      </c>
      <c r="AI11" s="2451">
        <f t="shared" si="23"/>
        <v>3225.2594221904073</v>
      </c>
      <c r="AJ11" s="2439">
        <f>IF(ISNUMBER(IF($N$3&gt;=$B11,Real!AL12,'Proy. Mes'!AF12)),IF($N$3&gt;=$B11,Real!AL12,'Proy. Mes'!AF12),0)</f>
        <v>1417.927978515625</v>
      </c>
      <c r="AK11" s="2452">
        <f>IF(ISNUMBER(IF($N$3&gt;=$B11,Real!AM12,'Proy. Mes'!AG12)),IF($N$3&gt;=$B11,Real!AM12,'Proy. Mes'!AG12),0)</f>
        <v>28.574999999999999</v>
      </c>
      <c r="AL11" s="2453">
        <f t="shared" si="12"/>
        <v>405.17291986083984</v>
      </c>
      <c r="AM11" s="2439">
        <f>IF(ISNUMBER(IF($N$3&gt;=$B11,Real!AO12,'Proy. Mes'!AI12)),IF($N$3&gt;=$B11,Real!AO12,'Proy. Mes'!AI12),0)</f>
        <v>3548.5994519746951</v>
      </c>
      <c r="AN11" s="2452">
        <f>IF(ISNUMBER(IF($N$3&gt;=$B11,Real!AP12,'Proy. Mes'!AJ12)),IF($N$3&gt;=$B11,Real!AP12,'Proy. Mes'!AJ12),0)</f>
        <v>29.281493122561514</v>
      </c>
      <c r="AO11" s="2453">
        <f t="shared" ref="AO11:AO33" si="25">AM11*AN11/100</f>
        <v>1039.0829044772261</v>
      </c>
      <c r="AP11" s="783">
        <f>+AP10+Q11-AO11</f>
        <v>2373.1255462406389</v>
      </c>
      <c r="AQ11" s="783">
        <f t="shared" si="3"/>
        <v>1002.0915530778368</v>
      </c>
      <c r="AR11" s="783">
        <f>AR10-AM11+O11</f>
        <v>6445.7895255075427</v>
      </c>
      <c r="AS11" s="2910"/>
      <c r="AT11" s="784"/>
      <c r="AU11" s="2454"/>
      <c r="AV11" s="2438">
        <f t="shared" si="4"/>
        <v>46085.791666666664</v>
      </c>
      <c r="AW11" s="2069">
        <f>IF(ISNUMBER(IF($N$3&gt;=$B11,Real!AC12,'Proy. Mes'!BC12)),IF($N$3&gt;=$B11,Real!AC12,'Proy. Mes'!BC12),0)</f>
        <v>72.676597595214844</v>
      </c>
      <c r="AX11" s="783"/>
      <c r="AY11" s="783"/>
      <c r="AZ11" s="783"/>
      <c r="BA11" s="2432">
        <f>IF($N$3&gt;=$B11,Real!AE12,'Proy. Mes'!AW12)</f>
        <v>29.562249012118791</v>
      </c>
      <c r="BB11" s="782">
        <f>IF($N$3&gt;=$B11,Real!AF12,'Proy. Mes'!AX12)</f>
        <v>1534.1666666666667</v>
      </c>
      <c r="BC11" s="2078">
        <f>'Plan mina PS'!AG9</f>
        <v>0.9054532334833435</v>
      </c>
      <c r="BD11" s="3099">
        <f>IF($N$3&gt;=$B11,Real!AS12,'Proy. Mes'!AY12)</f>
        <v>5.0126819610595703</v>
      </c>
      <c r="BE11" s="2440">
        <f>IF($N$3&gt;=$B11,Real!AU12,'Proy. Mes'!BB12)</f>
        <v>38.602929433186851</v>
      </c>
      <c r="BF11" s="780">
        <f>IF($N$3&gt;=$B11,Real!AI12,'Proy. Mes'!AO12)</f>
        <v>6883.6147617872839</v>
      </c>
      <c r="BG11" s="780">
        <f>IF($N$3&gt;=$B11,Real!AJ12,'Proy. Mes'!AP12)</f>
        <v>2027.0198408099568</v>
      </c>
      <c r="BH11" s="780">
        <f>IF($N$3&gt;=$B11,Real!AK12,'Proy. Mes'!AQ12)</f>
        <v>9063.4390583966324</v>
      </c>
      <c r="BI11" s="780"/>
      <c r="BJ11" s="539"/>
      <c r="BK11" s="539"/>
      <c r="BL11" s="781">
        <f>IF($N$3&gt;=$B11,Real!H12,'Proy. Mes'!AR12)</f>
        <v>66.501623076937662</v>
      </c>
      <c r="BM11" s="539"/>
      <c r="BN11" s="539"/>
      <c r="BO11" s="539"/>
      <c r="BP11" s="2441"/>
      <c r="BQ11" s="2442"/>
      <c r="BR11" s="2443"/>
      <c r="BS11" s="2444"/>
      <c r="BT11" s="785"/>
      <c r="BU11" s="785"/>
      <c r="BV11" s="2445"/>
      <c r="BW11" s="785"/>
      <c r="BX11" s="785"/>
      <c r="BY11" s="785"/>
      <c r="BZ11" s="785"/>
      <c r="CA11" s="2446"/>
      <c r="CB11" s="2446"/>
      <c r="CC11" s="2446"/>
      <c r="CD11" s="2443"/>
      <c r="CE11" s="2446"/>
      <c r="CF11" s="2446"/>
      <c r="CG11" s="2446"/>
      <c r="CH11" s="2444"/>
      <c r="CI11" s="2446"/>
      <c r="CJ11" s="2443"/>
      <c r="CK11" s="2446"/>
      <c r="CL11" s="2446"/>
      <c r="CM11" s="2443"/>
      <c r="CN11" s="2444"/>
      <c r="CO11" s="2446"/>
      <c r="CP11" s="2447"/>
      <c r="CQ11" s="786"/>
      <c r="CV11" s="2448"/>
      <c r="CW11" s="2449">
        <f>IF(ISNUMBER(IF($N$3&gt;=$B11,Real!AD12,'Proy. Mes'!BD12*100)),IF($N$3&gt;=$B11,Real!AD12,'Proy. Mes'!BD12*100),0)</f>
        <v>60.027790069580078</v>
      </c>
      <c r="CX11" s="783">
        <f t="shared" si="13"/>
        <v>3293.0587389118737</v>
      </c>
      <c r="DA11" s="744">
        <f t="shared" si="5"/>
        <v>15.960389538465037</v>
      </c>
      <c r="DB11" s="744">
        <v>1</v>
      </c>
      <c r="DC11" s="2449">
        <f>IF(ISNUMBER(IF($N$3&gt;=$B11,Real!AC12,'Proy. Mes'!BC12*100)),IF($N$3&gt;=$B11,Real!AC12,'Proy. Mes'!BC12*100),0)</f>
        <v>72.676597595214844</v>
      </c>
      <c r="DE11" s="4239">
        <f t="shared" si="14"/>
        <v>156047.44256210327</v>
      </c>
      <c r="DF11" s="4239">
        <f t="shared" si="24"/>
        <v>582728.99549102783</v>
      </c>
      <c r="DG11" s="4234">
        <f t="shared" si="15"/>
        <v>0.50968564255413329</v>
      </c>
      <c r="DH11" s="342">
        <f>SUMPRODUCT(DG$8:DG11,DE$8:DE11)/DF11</f>
        <v>0.53978501558953862</v>
      </c>
      <c r="DI11" s="4240">
        <f t="shared" si="6"/>
        <v>89.989231510253532</v>
      </c>
      <c r="DJ11" s="348" cm="1">
        <f t="array" ref="DJ11">SUMPRODUCT(DI$8:DI11,DE$8:DE11/DF11)</f>
        <v>91.196075436566815</v>
      </c>
      <c r="DK11" s="866"/>
      <c r="DL11" s="866"/>
      <c r="DM11" s="866"/>
      <c r="DN11" s="866"/>
      <c r="DO11" s="866"/>
      <c r="DP11" s="866"/>
      <c r="DQ11" s="866"/>
      <c r="DR11" s="866"/>
    </row>
    <row r="12" spans="1:122" s="744" customFormat="1" ht="17.25" customHeight="1">
      <c r="A12" s="2450"/>
      <c r="B12" s="2065">
        <f t="shared" si="7"/>
        <v>46086.791666666664</v>
      </c>
      <c r="C12" s="780">
        <f>IF($N$3&gt;=$B12,Real!C13,'Proy. Mes'!C13)</f>
        <v>194218.5</v>
      </c>
      <c r="D12" s="2432">
        <f>IF($N$3&gt;=$B12,Real!D13,D11+C12-E12)</f>
        <v>675776.79680000001</v>
      </c>
      <c r="E12" s="2432">
        <f>IF($N$3&gt;=$B12,Real!E13,'Proy. Mes'!E13)</f>
        <v>164038.849609375</v>
      </c>
      <c r="F12" s="2432">
        <f>IF($N$3&gt;=$B12,Real!F13,'Proy. Mes'!F13)</f>
        <v>49533.0703125</v>
      </c>
      <c r="G12" s="2432">
        <f>IF($N$3&gt;=$B12,Real!G13,'Proy. Mes'!G13)</f>
        <v>114505.779296875</v>
      </c>
      <c r="H12" s="2067">
        <f>IF($N$3&gt;=$B12,Real!H13,'Proy. Mes'!H13)</f>
        <v>66.670344083649098</v>
      </c>
      <c r="I12" s="2067">
        <f>IF($N$3&gt;=$B12,Real!I13,'Proy. Mes'!I13)</f>
        <v>100</v>
      </c>
      <c r="J12" s="2067">
        <f t="shared" si="8"/>
        <v>72.810000000000102</v>
      </c>
      <c r="K12" s="781">
        <f t="shared" si="9"/>
        <v>57.888607025146484</v>
      </c>
      <c r="L12" s="2066">
        <f>IF(ISNUMBER(IF($N$3&gt;=$B12,Real!K13,'Proy. Mes'!K13)),IF($N$3&gt;=$B12,Real!K13,'Proy. Mes'!K13),0)</f>
        <v>0.50356762584558978</v>
      </c>
      <c r="M12" s="781">
        <f>IF(ISNUMBER(IF($N$3&gt;=$B12,Real!L13,'Proy. Mes'!L13)),IF($N$3&gt;=$B12,Real!L13,'Proy. Mes'!L13),0)</f>
        <v>89.948819597781579</v>
      </c>
      <c r="N12" s="781">
        <f>IF(ISNUMBER(IF($N$3&gt;=$B12,Real!M13,'Proy. Mes'!M13)),IF($N$3&gt;=$B12,Real!M13,'Proy. Mes'!M13),0)</f>
        <v>23.372671716380356</v>
      </c>
      <c r="O12" s="780">
        <f>IF(ISNUMBER(IF($N$3&gt;=$B12,Real!N13,'Proy. Mes'!N13)),IF($N$3&gt;=$B12,Real!N13,'Proy. Mes'!N13),0)</f>
        <v>3179.0080375598218</v>
      </c>
      <c r="P12" s="539">
        <f t="shared" si="16"/>
        <v>13484.829112210824</v>
      </c>
      <c r="Q12" s="780">
        <f t="shared" si="10"/>
        <v>743.01911245620272</v>
      </c>
      <c r="R12" s="782">
        <f t="shared" si="17"/>
        <v>3612.3169108097791</v>
      </c>
      <c r="S12" s="780">
        <f>IF(ISNUMBER(IF($N$3&gt;=$B12,Real!R13,'Proy. Mes'!R13)),IF($N$3&gt;=$B12,Real!R13,'Proy. Mes'!R13),0)</f>
        <v>223.67231341819254</v>
      </c>
      <c r="T12" s="781">
        <f>IF(ISNUMBER(IF($N$3&gt;=$B12,Real!S13,'Proy. Mes'!S13)),IF($N$3&gt;=$B12,Real!S13,'Proy. Mes'!S13),0)</f>
        <v>85.970100015671889</v>
      </c>
      <c r="U12" s="781">
        <f>IF(ISNUMBER(IF($N$3&gt;=$B12,Real!T13,'Proy. Mes'!T13)),IF($N$3&gt;=$B12,Real!T13,'Proy. Mes'!T13),0)</f>
        <v>80.8</v>
      </c>
      <c r="V12" s="781">
        <f>IF(ISNUMBER(IF($N$3&gt;=$B12,Real!U13,'Proy. Mes'!U13)),IF($N$3&gt;=$B12,Real!U13,'Proy. Mes'!U13),0)</f>
        <v>69.46384081266288</v>
      </c>
      <c r="W12" s="781">
        <f>IF(ISNUMBER(IF($N$3&gt;=$B12,Real!V13,'Proy. Mes'!V13)),IF($N$3&gt;=$B12,Real!V13,'Proy. Mes'!V13),0)</f>
        <v>51.0091743119266</v>
      </c>
      <c r="X12" s="780">
        <f>IF(ISNUMBER(IF($N$3&gt;=$B12,Real!W13,'Proy. Mes'!W13)),IF($N$3&gt;=$B12,Real!W13,'Proy. Mes'!W13),0)</f>
        <v>49.965408649951463</v>
      </c>
      <c r="Y12" s="539">
        <f t="shared" si="18"/>
        <v>280.19917084812749</v>
      </c>
      <c r="Z12" s="539">
        <f t="shared" si="11"/>
        <v>92.65</v>
      </c>
      <c r="AA12" s="780">
        <f>IF(ISNUMBER(IF($N$3&gt;=$B12,Real!Y13,'Proy. Mes'!Z13)),IF($N$3&gt;=$B12,Real!Y13,'Proy. Mes'!Z13),0)</f>
        <v>25.486942393920195</v>
      </c>
      <c r="AB12" s="782">
        <f t="shared" si="19"/>
        <v>143.76938608652506</v>
      </c>
      <c r="AC12" s="780">
        <f>IF(ISNUMBER(IF($N$3&gt;=$B12,Real!AA13,'Proy. Mes'!AB13)),IF($N$3&gt;=$B12,Real!AA13,'Proy. Mes'!AB13),0)</f>
        <v>47.26</v>
      </c>
      <c r="AD12" s="539">
        <f t="shared" si="20"/>
        <v>208.46441468268088</v>
      </c>
      <c r="AE12" s="782">
        <f t="shared" si="21"/>
        <v>306.96341611935298</v>
      </c>
      <c r="AF12" s="780">
        <f t="shared" si="0"/>
        <v>816.90575845617741</v>
      </c>
      <c r="AG12" s="539">
        <f t="shared" si="22"/>
        <v>4029.1043610746156</v>
      </c>
      <c r="AH12" s="2072">
        <f t="shared" si="1"/>
        <v>851.1060924828671</v>
      </c>
      <c r="AI12" s="2451">
        <f t="shared" si="23"/>
        <v>4076.3655146732744</v>
      </c>
      <c r="AJ12" s="2439">
        <f>IF(ISNUMBER(IF($N$3&gt;=$B12,Real!AL13,'Proy. Mes'!AF13)),IF($N$3&gt;=$B12,Real!AL13,'Proy. Mes'!AF13),0)</f>
        <v>3852.89111328125</v>
      </c>
      <c r="AK12" s="2452">
        <f>IF(ISNUMBER(IF($N$3&gt;=$B12,Real!AM13,'Proy. Mes'!AG13)),IF($N$3&gt;=$B12,Real!AM13,'Proy. Mes'!AG13),0)</f>
        <v>25.155000000000001</v>
      </c>
      <c r="AL12" s="2453">
        <f t="shared" si="12"/>
        <v>969.19475954589836</v>
      </c>
      <c r="AM12" s="2439">
        <f>IF(ISNUMBER(IF($N$3&gt;=$B12,Real!AO13,'Proy. Mes'!AI13)),IF($N$3&gt;=$B12,Real!AO13,'Proy. Mes'!AI13),0)</f>
        <v>1591.4503938331845</v>
      </c>
      <c r="AN12" s="2452">
        <f>IF(ISNUMBER(IF($N$3&gt;=$B12,Real!AP13,'Proy. Mes'!AJ13)),IF($N$3&gt;=$B12,Real!AP13,'Proy. Mes'!AJ13),0)</f>
        <v>28.164670517597706</v>
      </c>
      <c r="AO12" s="2453">
        <f t="shared" si="25"/>
        <v>448.22675987412754</v>
      </c>
      <c r="AP12" s="783">
        <f>+AP11+Q12-AO12</f>
        <v>2667.9178988227141</v>
      </c>
      <c r="AQ12" s="783">
        <f t="shared" si="3"/>
        <v>432.26988722260859</v>
      </c>
      <c r="AR12" s="783">
        <f t="shared" ref="AR12:AR35" si="26">AR11-AM12+O12</f>
        <v>8033.34716923418</v>
      </c>
      <c r="AS12" s="2910"/>
      <c r="AT12" s="784"/>
      <c r="AU12" s="2454"/>
      <c r="AV12" s="2438">
        <f t="shared" si="4"/>
        <v>46086.791666666664</v>
      </c>
      <c r="AW12" s="2069">
        <f>IF(ISNUMBER(IF($N$3&gt;=$B12,Real!AC13,'Proy. Mes'!BC13)),IF($N$3&gt;=$B12,Real!AC13,'Proy. Mes'!BC13),0)</f>
        <v>71.630889892578125</v>
      </c>
      <c r="AX12" s="783"/>
      <c r="AY12" s="783"/>
      <c r="AZ12" s="783"/>
      <c r="BA12" s="2432">
        <f>IF($N$3&gt;=$B12,Real!AE13,'Proy. Mes'!AW13)</f>
        <v>27.704608070403381</v>
      </c>
      <c r="BB12" s="782">
        <f>IF($N$3&gt;=$B12,Real!AF13,'Proy. Mes'!AX13)</f>
        <v>1680.5</v>
      </c>
      <c r="BC12" s="2078">
        <f>'Plan mina PS'!AG10</f>
        <v>0.97025742530642634</v>
      </c>
      <c r="BD12" s="3099">
        <f>IF($N$3&gt;=$B12,Real!AS13,'Proy. Mes'!AY13)</f>
        <v>4.7600526809692383</v>
      </c>
      <c r="BE12" s="2440">
        <f>IF($N$3&gt;=$B12,Real!AU13,'Proy. Mes'!BB13)</f>
        <v>38.006473541259766</v>
      </c>
      <c r="BF12" s="780">
        <f>IF($N$3&gt;=$B12,Real!AI13,'Proy. Mes'!AO13)</f>
        <v>7156.2164601755794</v>
      </c>
      <c r="BG12" s="780">
        <f>IF($N$3&gt;=$B12,Real!AJ13,'Proy. Mes'!AP13)</f>
        <v>2063.8779296875</v>
      </c>
      <c r="BH12" s="780">
        <f>IF($N$3&gt;=$B12,Real!AK13,'Proy. Mes'!AQ13)</f>
        <v>9387.3809463772595</v>
      </c>
      <c r="BI12" s="780"/>
      <c r="BJ12" s="539"/>
      <c r="BK12" s="539"/>
      <c r="BL12" s="781">
        <f>IF($N$3&gt;=$B12,Real!H13,'Proy. Mes'!AR13)</f>
        <v>66.670344083649098</v>
      </c>
      <c r="BM12" s="539"/>
      <c r="BN12" s="539"/>
      <c r="BO12" s="539"/>
      <c r="BP12" s="2441"/>
      <c r="BQ12" s="2442"/>
      <c r="BR12" s="2443"/>
      <c r="BS12" s="2444"/>
      <c r="BT12" s="785"/>
      <c r="BU12" s="785"/>
      <c r="BV12" s="2445"/>
      <c r="BW12" s="785"/>
      <c r="BX12" s="785"/>
      <c r="BY12" s="785"/>
      <c r="BZ12" s="785"/>
      <c r="CA12" s="2446"/>
      <c r="CB12" s="2446"/>
      <c r="CC12" s="2446"/>
      <c r="CD12" s="2443"/>
      <c r="CE12" s="2446"/>
      <c r="CF12" s="2446"/>
      <c r="CG12" s="2446"/>
      <c r="CH12" s="2444"/>
      <c r="CI12" s="2446"/>
      <c r="CJ12" s="2443"/>
      <c r="CK12" s="2446"/>
      <c r="CL12" s="2446"/>
      <c r="CM12" s="2443"/>
      <c r="CN12" s="2444"/>
      <c r="CO12" s="2446"/>
      <c r="CP12" s="2447"/>
      <c r="CQ12" s="786"/>
      <c r="CV12" s="2448"/>
      <c r="CW12" s="2449">
        <f>IF(ISNUMBER(IF($N$3&gt;=$B12,Real!AD13,'Proy. Mes'!BD13*100)),IF($N$3&gt;=$B12,Real!AD13,'Proy. Mes'!BD13*100),0)</f>
        <v>57.888607025146484</v>
      </c>
      <c r="CX12" s="783">
        <f t="shared" si="13"/>
        <v>3741.285498786001</v>
      </c>
      <c r="DA12" s="744">
        <f t="shared" si="5"/>
        <v>16.000882580075782</v>
      </c>
      <c r="DB12" s="744">
        <v>1</v>
      </c>
      <c r="DC12" s="2449">
        <f>IF(ISNUMBER(IF($N$3&gt;=$B12,Real!AC13,'Proy. Mes'!BC13*100)),IF($N$3&gt;=$B12,Real!AC13,'Proy. Mes'!BC13*100),0)</f>
        <v>71.630889892578125</v>
      </c>
      <c r="DE12" s="4239">
        <f t="shared" si="14"/>
        <v>164038.849609375</v>
      </c>
      <c r="DF12" s="4239">
        <f t="shared" si="24"/>
        <v>746767.84510040283</v>
      </c>
      <c r="DG12" s="4234">
        <f t="shared" si="15"/>
        <v>0.50356762584558978</v>
      </c>
      <c r="DH12" s="342">
        <f>SUMPRODUCT(DG$8:DG12,DE$8:DE12)/DF12</f>
        <v>0.53182931826214097</v>
      </c>
      <c r="DI12" s="4240">
        <f t="shared" si="6"/>
        <v>89.948819597781579</v>
      </c>
      <c r="DJ12" s="348" cm="1">
        <f t="array" ref="DJ12">SUMPRODUCT(DI$8:DI12,DE$8:DE12/DF12)</f>
        <v>90.922096830892656</v>
      </c>
      <c r="DK12" s="866"/>
      <c r="DL12" s="866"/>
      <c r="DM12" s="866"/>
      <c r="DN12" s="866"/>
      <c r="DO12" s="866"/>
      <c r="DP12" s="866"/>
      <c r="DQ12" s="866"/>
      <c r="DR12" s="866"/>
    </row>
    <row r="13" spans="1:122" s="744" customFormat="1" ht="17.25" customHeight="1">
      <c r="A13" s="2450"/>
      <c r="B13" s="2065">
        <f t="shared" si="7"/>
        <v>46087.791666666664</v>
      </c>
      <c r="C13" s="780">
        <f>IF($N$3&gt;=$B13,Real!C14,'Proy. Mes'!C14)</f>
        <v>176980.69199999998</v>
      </c>
      <c r="D13" s="2432">
        <f>IF($N$3&gt;=$B13,Real!D14,D12+C13-E13)</f>
        <v>699376.17680000002</v>
      </c>
      <c r="E13" s="2432">
        <f>IF($N$3&gt;=$B13,Real!E14,'Proy. Mes'!E14)</f>
        <v>152878.49609375</v>
      </c>
      <c r="F13" s="2432">
        <f>IF($N$3&gt;=$B13,Real!F14,'Proy. Mes'!F14)</f>
        <v>47342.2734375</v>
      </c>
      <c r="G13" s="2432">
        <f>IF($N$3&gt;=$B13,Real!G14,'Proy. Mes'!G14)</f>
        <v>105536.22265625</v>
      </c>
      <c r="H13" s="2067">
        <f>IF($N$3&gt;=$B13,Real!H14,'Proy. Mes'!H14)</f>
        <v>66.651260889397165</v>
      </c>
      <c r="I13" s="2067">
        <f>IF($N$3&gt;=$B13,Real!I14,'Proy. Mes'!I14)</f>
        <v>100</v>
      </c>
      <c r="J13" s="2067">
        <f t="shared" si="8"/>
        <v>72.794432120961318</v>
      </c>
      <c r="K13" s="781">
        <f t="shared" si="9"/>
        <v>47.643745422363281</v>
      </c>
      <c r="L13" s="2066">
        <f>IF(ISNUMBER(IF($N$3&gt;=$B13,Real!K14,'Proy. Mes'!K14)),IF($N$3&gt;=$B13,Real!K14,'Proy. Mes'!K14),0)</f>
        <v>0.48054678130049139</v>
      </c>
      <c r="M13" s="781">
        <f>IF(ISNUMBER(IF($N$3&gt;=$B13,Real!L14,'Proy. Mes'!L14)),IF($N$3&gt;=$B13,Real!L14,'Proy. Mes'!L14),0)</f>
        <v>90.812762789164807</v>
      </c>
      <c r="N13" s="781">
        <f>IF(ISNUMBER(IF($N$3&gt;=$B13,Real!M14,'Proy. Mes'!M14)),IF($N$3&gt;=$B13,Real!M14,'Proy. Mes'!M14),0)</f>
        <v>22.58546180713488</v>
      </c>
      <c r="O13" s="780">
        <f>IF(ISNUMBER(IF($N$3&gt;=$B13,Real!N14,'Proy. Mes'!N14)),IF($N$3&gt;=$B13,Real!N14,'Proy. Mes'!N14),0)</f>
        <v>2953.9285601540573</v>
      </c>
      <c r="P13" s="539">
        <f t="shared" si="16"/>
        <v>16438.757672364882</v>
      </c>
      <c r="Q13" s="780">
        <f t="shared" si="10"/>
        <v>667.15840676364382</v>
      </c>
      <c r="R13" s="782">
        <f t="shared" si="17"/>
        <v>4279.4753175734231</v>
      </c>
      <c r="S13" s="780">
        <f>IF(ISNUMBER(IF($N$3&gt;=$B13,Real!R14,'Proy. Mes'!R14)),IF($N$3&gt;=$B13,Real!R14,'Proy. Mes'!R14),0)</f>
        <v>220.37776975596302</v>
      </c>
      <c r="T13" s="781">
        <f>IF(ISNUMBER(IF($N$3&gt;=$B13,Real!S14,'Proy. Mes'!S14)),IF($N$3&gt;=$B13,Real!S14,'Proy. Mes'!S14),0)</f>
        <v>89.303099454427908</v>
      </c>
      <c r="U13" s="781">
        <f>IF(ISNUMBER(IF($N$3&gt;=$B13,Real!T14,'Proy. Mes'!T14)),IF($N$3&gt;=$B13,Real!T14,'Proy. Mes'!T14),0)</f>
        <v>94.8</v>
      </c>
      <c r="V13" s="781">
        <f>IF(ISNUMBER(IF($N$3&gt;=$B13,Real!U14,'Proy. Mes'!U14)),IF($N$3&gt;=$B13,Real!U14,'Proy. Mes'!U14),0)</f>
        <v>84.659338282797648</v>
      </c>
      <c r="W13" s="781">
        <f>IF(ISNUMBER(IF($N$3&gt;=$B13,Real!V14,'Proy. Mes'!V14)),IF($N$3&gt;=$B13,Real!V14,'Proy. Mes'!V14),0)</f>
        <v>52.409793814433002</v>
      </c>
      <c r="X13" s="780">
        <f>IF(ISNUMBER(IF($N$3&gt;=$B13,Real!W14,'Proy. Mes'!W14)),IF($N$3&gt;=$B13,Real!W14,'Proy. Mes'!W14),0)</f>
        <v>54.422263895420684</v>
      </c>
      <c r="Y13" s="539">
        <f t="shared" si="18"/>
        <v>334.62143474354821</v>
      </c>
      <c r="Z13" s="539">
        <f t="shared" si="11"/>
        <v>77.59999999999998</v>
      </c>
      <c r="AA13" s="780">
        <f>IF(ISNUMBER(IF($N$3&gt;=$B13,Real!Y14,'Proy. Mes'!Z14)),IF($N$3&gt;=$B13,Real!Y14,'Proy. Mes'!Z14),0)</f>
        <v>28.522596296736598</v>
      </c>
      <c r="AB13" s="782">
        <f t="shared" si="19"/>
        <v>172.29198238326165</v>
      </c>
      <c r="AC13" s="780">
        <f>IF(ISNUMBER(IF($N$3&gt;=$B13,Real!AA14,'Proy. Mes'!AB14)),IF($N$3&gt;=$B13,Real!AA14,'Proy. Mes'!AB14),0)</f>
        <v>40.67</v>
      </c>
      <c r="AD13" s="539">
        <f t="shared" si="20"/>
        <v>249.13441468268087</v>
      </c>
      <c r="AE13" s="782">
        <f t="shared" si="21"/>
        <v>294.81601241608956</v>
      </c>
      <c r="AF13" s="780">
        <f t="shared" si="0"/>
        <v>749.84541342788327</v>
      </c>
      <c r="AG13" s="539">
        <f t="shared" si="22"/>
        <v>4778.9497745024992</v>
      </c>
      <c r="AH13" s="2072">
        <f t="shared" si="1"/>
        <v>759.11920565662535</v>
      </c>
      <c r="AI13" s="2451">
        <f t="shared" si="23"/>
        <v>4835.4847203298996</v>
      </c>
      <c r="AJ13" s="2439">
        <f>IF(ISNUMBER(IF($N$3&gt;=$B13,Real!AL14,'Proy. Mes'!AF14)),IF($N$3&gt;=$B13,Real!AL14,'Proy. Mes'!AF14),0)</f>
        <v>3855.560791015625</v>
      </c>
      <c r="AK13" s="2452">
        <f>IF(ISNUMBER(IF($N$3&gt;=$B13,Real!AM14,'Proy. Mes'!AG14)),IF($N$3&gt;=$B13,Real!AM14,'Proy. Mes'!AG14),0)</f>
        <v>20.274999999999999</v>
      </c>
      <c r="AL13" s="2453">
        <f t="shared" si="12"/>
        <v>781.71495037841783</v>
      </c>
      <c r="AM13" s="2439">
        <f>IF(ISNUMBER(IF($N$3&gt;=$B13,Real!AO14,'Proy. Mes'!AI14)),IF($N$3&gt;=$B13,Real!AO14,'Proy. Mes'!AI14),0)</f>
        <v>3312.5036460227739</v>
      </c>
      <c r="AN13" s="2452">
        <f>IF(ISNUMBER(IF($N$3&gt;=$B13,Real!AP14,'Proy. Mes'!AJ14)),IF($N$3&gt;=$B13,Real!AP14,'Proy. Mes'!AJ14),0)</f>
        <v>25.776449771180374</v>
      </c>
      <c r="AO13" s="2453">
        <f t="shared" ref="AO13:AO19" si="27">AM13*AN13/100</f>
        <v>853.84583848557884</v>
      </c>
      <c r="AP13" s="783">
        <f>+AP12+Q13-AO13</f>
        <v>2481.2304671007792</v>
      </c>
      <c r="AQ13" s="783">
        <f t="shared" si="3"/>
        <v>823.44892663549228</v>
      </c>
      <c r="AR13" s="783">
        <f t="shared" si="26"/>
        <v>7674.7720833654639</v>
      </c>
      <c r="AS13" s="2910"/>
      <c r="AT13" s="784"/>
      <c r="AU13" s="2454"/>
      <c r="AV13" s="2438">
        <f t="shared" si="4"/>
        <v>46087.791666666664</v>
      </c>
      <c r="AW13" s="2069">
        <f>IF(ISNUMBER(IF($N$3&gt;=$B13,Real!AC14,'Proy. Mes'!BC14)),IF($N$3&gt;=$B13,Real!AC14,'Proy. Mes'!BC14),0)</f>
        <v>61.548969268798828</v>
      </c>
      <c r="AX13" s="783"/>
      <c r="AY13" s="783"/>
      <c r="AZ13" s="783"/>
      <c r="BA13" s="2432">
        <f>IF($N$3&gt;=$B13,Real!AE14,'Proy. Mes'!AW14)</f>
        <v>19.997306590670725</v>
      </c>
      <c r="BB13" s="782">
        <f>IF($N$3&gt;=$B13,Real!AF14,'Proy. Mes'!AX14)</f>
        <v>1334.9166666666667</v>
      </c>
      <c r="BC13" s="2078">
        <f>'Plan mina PS'!AG11</f>
        <v>1.1376830983323096</v>
      </c>
      <c r="BD13" s="3099">
        <f>IF($N$3&gt;=$B13,Real!AS14,'Proy. Mes'!AY14)</f>
        <v>4.8626461029052734</v>
      </c>
      <c r="BE13" s="2440">
        <f>IF($N$3&gt;=$B13,Real!AU14,'Proy. Mes'!BB14)</f>
        <v>39.112162907918297</v>
      </c>
      <c r="BF13" s="780">
        <f>IF($N$3&gt;=$B13,Real!AI14,'Proy. Mes'!AO14)</f>
        <v>6597.5385191499199</v>
      </c>
      <c r="BG13" s="780">
        <f>IF($N$3&gt;=$B13,Real!AJ14,'Proy. Mes'!AP14)</f>
        <v>1972.5947265625</v>
      </c>
      <c r="BH13" s="780">
        <f>IF($N$3&gt;=$B13,Real!AK14,'Proy. Mes'!AQ14)</f>
        <v>8750.5831856133755</v>
      </c>
      <c r="BI13" s="780"/>
      <c r="BJ13" s="539"/>
      <c r="BK13" s="539"/>
      <c r="BL13" s="781">
        <f>IF($N$3&gt;=$B13,Real!H14,'Proy. Mes'!AR14)</f>
        <v>66.651260889397165</v>
      </c>
      <c r="BM13" s="539"/>
      <c r="BN13" s="539"/>
      <c r="BO13" s="539"/>
      <c r="BP13" s="2441"/>
      <c r="BQ13" s="2442"/>
      <c r="BR13" s="2443"/>
      <c r="BS13" s="2444"/>
      <c r="BT13" s="785"/>
      <c r="BU13" s="785"/>
      <c r="BV13" s="2445"/>
      <c r="BW13" s="785"/>
      <c r="BX13" s="785"/>
      <c r="BY13" s="785"/>
      <c r="BZ13" s="785"/>
      <c r="CA13" s="2446"/>
      <c r="CB13" s="2446"/>
      <c r="CC13" s="2446"/>
      <c r="CD13" s="2443"/>
      <c r="CE13" s="2446"/>
      <c r="CF13" s="2446"/>
      <c r="CG13" s="2446"/>
      <c r="CH13" s="2444"/>
      <c r="CI13" s="2446"/>
      <c r="CJ13" s="2443"/>
      <c r="CK13" s="2446"/>
      <c r="CL13" s="2446"/>
      <c r="CM13" s="2443"/>
      <c r="CN13" s="2444"/>
      <c r="CO13" s="2446"/>
      <c r="CP13" s="2447"/>
      <c r="CQ13" s="786"/>
      <c r="CV13" s="2448"/>
      <c r="CW13" s="2449">
        <f>IF(ISNUMBER(IF($N$3&gt;=$B13,Real!AD14,'Proy. Mes'!BD14*100)),IF($N$3&gt;=$B13,Real!AD14,'Proy. Mes'!BD14*100),0)</f>
        <v>47.643745422363281</v>
      </c>
      <c r="CX13" s="783">
        <f t="shared" si="13"/>
        <v>4595.1313372715795</v>
      </c>
      <c r="DA13" s="744">
        <f t="shared" si="5"/>
        <v>15.996302613455319</v>
      </c>
      <c r="DB13" s="744">
        <v>1</v>
      </c>
      <c r="DC13" s="2449">
        <f>IF(ISNUMBER(IF($N$3&gt;=$B13,Real!AC14,'Proy. Mes'!BC14*100)),IF($N$3&gt;=$B13,Real!AC14,'Proy. Mes'!BC14*100),0)</f>
        <v>61.548969268798828</v>
      </c>
      <c r="DE13" s="4239">
        <f t="shared" si="14"/>
        <v>152878.49609375</v>
      </c>
      <c r="DF13" s="4239">
        <f t="shared" si="24"/>
        <v>899646.34119415283</v>
      </c>
      <c r="DG13" s="4234">
        <f t="shared" si="15"/>
        <v>0.48054678130049139</v>
      </c>
      <c r="DH13" s="342">
        <f>SUMPRODUCT(DG$8:DG13,DE$8:DE13)/DF13</f>
        <v>0.52311478593140015</v>
      </c>
      <c r="DI13" s="4240">
        <f t="shared" si="6"/>
        <v>90.812762789164807</v>
      </c>
      <c r="DJ13" s="348" cm="1">
        <f t="array" ref="DJ13">SUMPRODUCT(DI$8:DI13,DE$8:DE13/DF13)</f>
        <v>90.903517503543839</v>
      </c>
      <c r="DK13" s="866"/>
      <c r="DL13" s="866"/>
      <c r="DM13" s="866"/>
      <c r="DN13" s="866"/>
      <c r="DO13" s="866"/>
      <c r="DP13" s="866"/>
      <c r="DQ13" s="866"/>
      <c r="DR13" s="866"/>
    </row>
    <row r="14" spans="1:122" s="744" customFormat="1" ht="17.25" customHeight="1">
      <c r="A14" s="2912"/>
      <c r="B14" s="2079">
        <f t="shared" si="7"/>
        <v>46088.791666666664</v>
      </c>
      <c r="C14" s="787">
        <f>IF($N$3&gt;=$B14,Real!C15,'Proy. Mes'!C15)</f>
        <v>159283.6</v>
      </c>
      <c r="D14" s="2555">
        <f>IF($N$3&gt;=$B14,Real!D15,D13+C14-E14)</f>
        <v>711982.05680000002</v>
      </c>
      <c r="E14" s="2555">
        <f>IF($N$3&gt;=$B14,Real!E15,'Proy. Mes'!E15)</f>
        <v>146198.26675415039</v>
      </c>
      <c r="F14" s="2555">
        <f>IF($N$3&gt;=$B14,Real!F15,'Proy. Mes'!F15)</f>
        <v>45987.48828125</v>
      </c>
      <c r="G14" s="2555">
        <f>IF($N$3&gt;=$B14,Real!G15,'Proy. Mes'!G15)</f>
        <v>100210.77847290039</v>
      </c>
      <c r="H14" s="2080">
        <f>IF($N$3&gt;=$B14,Real!H15,'Proy. Mes'!H15)</f>
        <v>67.323233647325978</v>
      </c>
      <c r="I14" s="2080">
        <f>IF($N$3&gt;=$B14,Real!I15,'Proy. Mes'!I15)</f>
        <v>100</v>
      </c>
      <c r="J14" s="2067">
        <f t="shared" si="8"/>
        <v>73.342620777152064</v>
      </c>
      <c r="K14" s="2082">
        <f t="shared" si="9"/>
        <v>69.931587219238281</v>
      </c>
      <c r="L14" s="2081">
        <f>IF(ISNUMBER(IF($N$3&gt;=$B14,Real!K15,'Proy. Mes'!K15)),IF($N$3&gt;=$B14,Real!K15,'Proy. Mes'!K15),0)</f>
        <v>0.49060469501399878</v>
      </c>
      <c r="M14" s="825">
        <f>IF(ISNUMBER(IF($N$3&gt;=$B14,Real!L15,'Proy. Mes'!L15)),IF($N$3&gt;=$B14,Real!L15,'Proy. Mes'!L15),0)</f>
        <v>91.995220066034463</v>
      </c>
      <c r="N14" s="2082">
        <f>IF(ISNUMBER(IF($N$3&gt;=$B14,Real!M15,'Proy. Mes'!M15)),IF($N$3&gt;=$B14,Real!M15,'Proy. Mes'!M15),0)</f>
        <v>26.337203181109299</v>
      </c>
      <c r="O14" s="787">
        <f>IF(ISNUMBER(IF($N$3&gt;=$B14,Real!N15,'Proy. Mes'!N15)),IF($N$3&gt;=$B14,Real!N15,'Proy. Mes'!N15),0)</f>
        <v>2505.3564988938097</v>
      </c>
      <c r="P14" s="788">
        <f t="shared" si="16"/>
        <v>18944.11417125869</v>
      </c>
      <c r="Q14" s="787">
        <f t="shared" si="10"/>
        <v>659.840831524789</v>
      </c>
      <c r="R14" s="789">
        <f t="shared" si="17"/>
        <v>4939.316149098212</v>
      </c>
      <c r="S14" s="787">
        <f>IF(ISNUMBER(IF($N$3&gt;=$B14,Real!R15,'Proy. Mes'!R15)),IF($N$3&gt;=$B14,Real!R15,'Proy. Mes'!R15),0)</f>
        <v>254.95096306564102</v>
      </c>
      <c r="T14" s="2082">
        <f>IF(ISNUMBER(IF($N$3&gt;=$B14,Real!S15,'Proy. Mes'!S15)),IF($N$3&gt;=$B14,Real!S15,'Proy. Mes'!S15),0)</f>
        <v>89.787635580070429</v>
      </c>
      <c r="U14" s="2082">
        <f>IF(ISNUMBER(IF($N$3&gt;=$B14,Real!T15,'Proy. Mes'!T15)),IF($N$3&gt;=$B14,Real!T15,'Proy. Mes'!T15),0)</f>
        <v>91.9</v>
      </c>
      <c r="V14" s="2082">
        <f>IF(ISNUMBER(IF($N$3&gt;=$B14,Real!U15,'Proy. Mes'!U15)),IF($N$3&gt;=$B14,Real!U15,'Proy. Mes'!U15),0)</f>
        <v>82.51483709808474</v>
      </c>
      <c r="W14" s="2082">
        <f>IF(ISNUMBER(IF($N$3&gt;=$B14,Real!V15,'Proy. Mes'!V15)),IF($N$3&gt;=$B14,Real!V15,'Proy. Mes'!V15),0)</f>
        <v>52.620057463401281</v>
      </c>
      <c r="X14" s="787">
        <f>IF(ISNUMBER(IF($N$3&gt;=$B14,Real!W15,'Proy. Mes'!W15)),IF($N$3&gt;=$B14,Real!W15,'Proy. Mes'!W15),0)</f>
        <v>58.449339701594546</v>
      </c>
      <c r="Y14" s="788">
        <f t="shared" si="18"/>
        <v>393.07077444514277</v>
      </c>
      <c r="Z14" s="789">
        <f t="shared" si="11"/>
        <v>73.09</v>
      </c>
      <c r="AA14" s="787">
        <f>IF(ISNUMBER(IF($N$3&gt;=$B14,Real!Y15,'Proy. Mes'!Z15)),IF($N$3&gt;=$B14,Real!Y15,'Proy. Mes'!Z15),0)</f>
        <v>30.75607613795767</v>
      </c>
      <c r="AB14" s="789">
        <f t="shared" si="19"/>
        <v>203.04805852121933</v>
      </c>
      <c r="AC14" s="787">
        <f>IF(ISNUMBER(IF($N$3&gt;=$B14,Real!AA15,'Proy. Mes'!AB15)),IF($N$3&gt;=$B14,Real!AA15,'Proy. Mes'!AB15),0)</f>
        <v>38.46</v>
      </c>
      <c r="AD14" s="788">
        <f t="shared" si="20"/>
        <v>287.59441468268085</v>
      </c>
      <c r="AE14" s="789">
        <f t="shared" si="21"/>
        <v>287.11208855404726</v>
      </c>
      <c r="AF14" s="787">
        <f t="shared" si="0"/>
        <v>749.00269624872828</v>
      </c>
      <c r="AG14" s="788">
        <f t="shared" si="22"/>
        <v>5527.9524707512273</v>
      </c>
      <c r="AH14" s="2556">
        <f t="shared" si="1"/>
        <v>745.70494222684692</v>
      </c>
      <c r="AI14" s="2557">
        <f t="shared" si="23"/>
        <v>5581.189662556746</v>
      </c>
      <c r="AJ14" s="2558">
        <f>IF(ISNUMBER(IF($N$3&gt;=$B14,Real!AL15,'Proy. Mes'!AF15)),IF($N$3&gt;=$B14,Real!AL15,'Proy. Mes'!AF15),0)</f>
        <v>3973.20654296875</v>
      </c>
      <c r="AK14" s="2559">
        <f>IF(ISNUMBER(IF($N$3&gt;=$B14,Real!AM15,'Proy. Mes'!AG15)),IF($N$3&gt;=$B14,Real!AM15,'Proy. Mes'!AG15),0)</f>
        <v>25.195</v>
      </c>
      <c r="AL14" s="2560">
        <f t="shared" si="12"/>
        <v>1001.0493885009766</v>
      </c>
      <c r="AM14" s="2558">
        <f>IF(ISNUMBER(IF($N$3&gt;=$B14,Real!AO15,'Proy. Mes'!AI15)),IF($N$3&gt;=$B14,Real!AO15,'Proy. Mes'!AI15),0)</f>
        <v>4163.1529862503085</v>
      </c>
      <c r="AN14" s="2559">
        <f>IF(ISNUMBER(IF($N$3&gt;=$B14,Real!AP15,'Proy. Mes'!AJ15)),IF($N$3&gt;=$B14,Real!AP15,'Proy. Mes'!AJ15),0)</f>
        <v>21.425165542232428</v>
      </c>
      <c r="AO14" s="2560">
        <f t="shared" si="27"/>
        <v>891.96241908052139</v>
      </c>
      <c r="AP14" s="783">
        <f>+AP13+Q14-AO14</f>
        <v>2249.1088795450469</v>
      </c>
      <c r="AQ14" s="783">
        <f>AO14*0.96</f>
        <v>856.28392231730049</v>
      </c>
      <c r="AR14" s="783">
        <f t="shared" si="26"/>
        <v>6016.9755960089651</v>
      </c>
      <c r="AS14" s="2455">
        <f>+'Plan mina PS'!Q49*1000</f>
        <v>161740.54948292999</v>
      </c>
      <c r="AT14" s="784"/>
      <c r="AU14" s="2561"/>
      <c r="AV14" s="2562">
        <f t="shared" si="4"/>
        <v>46088.791666666664</v>
      </c>
      <c r="AW14" s="2069">
        <f>IF(ISNUMBER(IF($N$3&gt;=$B14,Real!AC15,'Proy. Mes'!BC15)),IF($N$3&gt;=$B14,Real!AC15,'Proy. Mes'!BC15),0)</f>
        <v>75.483802795410156</v>
      </c>
      <c r="AX14" s="2563"/>
      <c r="AY14" s="2563"/>
      <c r="AZ14" s="2563"/>
      <c r="BA14" s="2555">
        <f>IF($N$3&gt;=$B14,Real!AE15,'Proy. Mes'!AW15)</f>
        <v>10.436780522061136</v>
      </c>
      <c r="BB14" s="789">
        <f>IF($N$3&gt;=$B14,Real!AF15,'Proy. Mes'!AX15)</f>
        <v>857</v>
      </c>
      <c r="BC14" s="2085">
        <f>'Plan mina PS'!AG12</f>
        <v>1.0858615302393324</v>
      </c>
      <c r="BD14" s="3099">
        <f>IF($N$3&gt;=$B14,Real!AS15,'Proy. Mes'!AY15)</f>
        <v>5.0858817100524902</v>
      </c>
      <c r="BE14" s="2440">
        <f>IF($N$3&gt;=$B14,Real!AU15,'Proy. Mes'!BB15)</f>
        <v>36.839482307434082</v>
      </c>
      <c r="BF14" s="780">
        <f>IF($N$3&gt;=$B14,Real!AI15,'Proy. Mes'!AO15)</f>
        <v>6202.0923191400543</v>
      </c>
      <c r="BG14" s="780">
        <f>IF($N$3&gt;=$B14,Real!AJ15,'Proy. Mes'!AP15)</f>
        <v>1916.1453450520833</v>
      </c>
      <c r="BH14" s="787">
        <f>IF($N$3&gt;=$B14,Real!AK15,'Proy. Mes'!AQ15)</f>
        <v>8305.6678143512345</v>
      </c>
      <c r="BI14" s="787"/>
      <c r="BJ14" s="788"/>
      <c r="BK14" s="788"/>
      <c r="BL14" s="2082">
        <f>IF($N$3&gt;=$B14,Real!H15,'Proy. Mes'!AR15)</f>
        <v>67.323233647325978</v>
      </c>
      <c r="BM14" s="788"/>
      <c r="BN14" s="788"/>
      <c r="BO14" s="788"/>
      <c r="BP14" s="2564"/>
      <c r="BQ14" s="2565"/>
      <c r="BR14" s="2566"/>
      <c r="BS14" s="2567"/>
      <c r="BT14" s="2568"/>
      <c r="BU14" s="2568"/>
      <c r="BV14" s="2569"/>
      <c r="BW14" s="2568"/>
      <c r="BX14" s="2568"/>
      <c r="BY14" s="2568"/>
      <c r="BZ14" s="2568"/>
      <c r="CA14" s="2570"/>
      <c r="CB14" s="2570"/>
      <c r="CC14" s="2570"/>
      <c r="CD14" s="2566"/>
      <c r="CE14" s="2570"/>
      <c r="CF14" s="2570"/>
      <c r="CG14" s="2570"/>
      <c r="CH14" s="2567"/>
      <c r="CI14" s="2570"/>
      <c r="CJ14" s="2566"/>
      <c r="CK14" s="2570"/>
      <c r="CL14" s="2570"/>
      <c r="CM14" s="2566"/>
      <c r="CN14" s="2567"/>
      <c r="CO14" s="2570"/>
      <c r="CP14" s="2571"/>
      <c r="CQ14" s="786"/>
      <c r="CV14" s="2448"/>
      <c r="CW14" s="2449">
        <f>IF(ISNUMBER(IF($N$3&gt;=$B14,Real!AD15,'Proy. Mes'!BD15*100)),IF($N$3&gt;=$B14,Real!AD15,'Proy. Mes'!BD15*100),0)</f>
        <v>69.931587219238281</v>
      </c>
      <c r="CX14" s="783">
        <f t="shared" si="13"/>
        <v>5487.0937563521011</v>
      </c>
      <c r="DA14" s="744">
        <f t="shared" si="5"/>
        <v>16.157576075358232</v>
      </c>
      <c r="DB14" s="744">
        <v>1</v>
      </c>
      <c r="DC14" s="2449">
        <f>IF(ISNUMBER(IF($N$3&gt;=$B14,Real!AC15,'Proy. Mes'!BC15*100)),IF($N$3&gt;=$B14,Real!AC15,'Proy. Mes'!BC15*100),0)</f>
        <v>75.483802795410156</v>
      </c>
      <c r="DE14" s="4239">
        <f t="shared" si="14"/>
        <v>146198.26675415039</v>
      </c>
      <c r="DF14" s="4239">
        <f t="shared" si="24"/>
        <v>1045844.6079483032</v>
      </c>
      <c r="DG14" s="4234">
        <f t="shared" si="15"/>
        <v>0.49060469501399878</v>
      </c>
      <c r="DH14" s="342">
        <f>SUMPRODUCT(DG$8:DG14,DE$8:DE14)/DF14</f>
        <v>0.51857021123261393</v>
      </c>
      <c r="DI14" s="4240">
        <f t="shared" si="6"/>
        <v>91.995220066034463</v>
      </c>
      <c r="DJ14" s="348" cm="1">
        <f t="array" ref="DJ14">SUMPRODUCT(DI$8:DI14,DE$8:DE14/DF14)</f>
        <v>91.056126238373295</v>
      </c>
      <c r="DK14" s="866"/>
      <c r="DL14" s="866"/>
      <c r="DM14" s="866"/>
      <c r="DN14" s="866"/>
      <c r="DO14" s="866"/>
      <c r="DP14" s="866"/>
      <c r="DQ14" s="866"/>
      <c r="DR14" s="866"/>
    </row>
    <row r="15" spans="1:122" s="744" customFormat="1" ht="19.5" customHeight="1">
      <c r="A15" s="2431" t="s">
        <v>327</v>
      </c>
      <c r="B15" s="2065">
        <f t="shared" si="7"/>
        <v>46089.791666666664</v>
      </c>
      <c r="C15" s="780">
        <f>IF($N$3&gt;=$B15,Real!C16,'Proy. Mes'!C16)</f>
        <v>184593.08</v>
      </c>
      <c r="D15" s="2555">
        <f>IF($N$3&gt;=$B15,Real!D16,D14+C15-E15)</f>
        <v>727616.27960000001</v>
      </c>
      <c r="E15" s="2432">
        <f>IF($N$3&gt;=$B15,Real!E16,'Proy. Mes'!E16)</f>
        <v>168405.05169918062</v>
      </c>
      <c r="F15" s="2432">
        <f>IF($N$3&gt;=$B15,Real!F16,'Proy. Mes'!F16)</f>
        <v>47425.68359375</v>
      </c>
      <c r="G15" s="2432">
        <f>IF($N$3&gt;=$B15,Real!G16,'Proy. Mes'!G16)</f>
        <v>120979.36810543062</v>
      </c>
      <c r="H15" s="2067">
        <f>IF($N$3&gt;=$B15,Real!H16,'Proy. Mes'!H16)</f>
        <v>84.2110752066218</v>
      </c>
      <c r="I15" s="2067">
        <f>IF($N$3&gt;=$B15,Real!I16,'Proy. Mes'!I16)</f>
        <v>98.611114501953125</v>
      </c>
      <c r="J15" s="2067">
        <f t="shared" si="8"/>
        <v>86.863706445214788</v>
      </c>
      <c r="K15" s="781">
        <f t="shared" si="9"/>
        <v>65.60400390625</v>
      </c>
      <c r="L15" s="2066">
        <f>IF(ISNUMBER(IF($N$3&gt;=$B15,Real!K16,'Proy. Mes'!K16)),IF($N$3&gt;=$B15,Real!K16,'Proy. Mes'!K16),0)</f>
        <v>0.45280785718900496</v>
      </c>
      <c r="M15" s="781">
        <f>IF(ISNUMBER(IF($N$3&gt;=$B15,Real!L16,'Proy. Mes'!L16)),IF($N$3&gt;=$B15,Real!L16,'Proy. Mes'!L16),0)</f>
        <v>89.265649751578508</v>
      </c>
      <c r="N15" s="781">
        <f>IF(ISNUMBER(IF($N$3&gt;=$B15,Real!M16,'Proy. Mes'!M16)),IF($N$3&gt;=$B15,Real!M16,'Proy. Mes'!M16),0)</f>
        <v>24.684469784139811</v>
      </c>
      <c r="O15" s="780">
        <f>IF(ISNUMBER(IF($N$3&gt;=$B15,Real!N16,'Proy. Mes'!N16)),IF($N$3&gt;=$B15,Real!N16,'Proy. Mes'!N16),0)</f>
        <v>2757.5896259469755</v>
      </c>
      <c r="P15" s="539">
        <f t="shared" si="16"/>
        <v>21701.703797205664</v>
      </c>
      <c r="Q15" s="1573">
        <f t="shared" si="10"/>
        <v>680.69637798745521</v>
      </c>
      <c r="R15" s="976">
        <f t="shared" si="17"/>
        <v>5620.012527085667</v>
      </c>
      <c r="S15" s="780">
        <f>IF(ISNUMBER(IF($N$3&gt;=$B15,Real!R16,'Proy. Mes'!R16)),IF($N$3&gt;=$B15,Real!R16,'Proy. Mes'!R16),0)</f>
        <v>216.85481365052408</v>
      </c>
      <c r="T15" s="781">
        <f>IF(ISNUMBER(IF($N$3&gt;=$B15,Real!S16,'Proy. Mes'!S16)),IF($N$3&gt;=$B15,Real!S16,'Proy. Mes'!S16),0)</f>
        <v>90.239534700287507</v>
      </c>
      <c r="U15" s="781">
        <f>IF(ISNUMBER(IF($N$3&gt;=$B15,Real!T16,'Proy. Mes'!T16)),IF($N$3&gt;=$B15,Real!T16,'Proy. Mes'!T16),0)</f>
        <v>93.529300057313378</v>
      </c>
      <c r="V15" s="781">
        <f>IF(ISNUMBER(IF($N$3&gt;=$B15,Real!U16,'Proy. Mes'!U16)),IF($N$3&gt;=$B15,Real!U16,'Proy. Mes'!U16),0)</f>
        <v>84.400405180155317</v>
      </c>
      <c r="W15" s="781">
        <f>IF(ISNUMBER(IF($N$3&gt;=$B15,Real!V16,'Proy. Mes'!V16)),IF($N$3&gt;=$B15,Real!V16,'Proy. Mes'!V16),0)</f>
        <v>51.078897864335502</v>
      </c>
      <c r="X15" s="780">
        <f>IF(ISNUMBER(IF($N$3&gt;=$B15,Real!W16,'Proy. Mes'!W16)),IF($N$3&gt;=$B15,Real!W16,'Proy. Mes'!W16),0)</f>
        <v>60.343041392976247</v>
      </c>
      <c r="Y15" s="539">
        <f t="shared" si="18"/>
        <v>453.41381583811904</v>
      </c>
      <c r="Z15" s="539">
        <f t="shared" si="11"/>
        <v>90.37</v>
      </c>
      <c r="AA15" s="780">
        <f>IF(ISNUMBER(IF($N$3&gt;=$B15,Real!Y16,'Proy. Mes'!Z16)),IF($N$3&gt;=$B15,Real!Y16,'Proy. Mes'!Z16),0)</f>
        <v>30.822560481352035</v>
      </c>
      <c r="AB15" s="782">
        <f t="shared" si="19"/>
        <v>233.87061900257137</v>
      </c>
      <c r="AC15" s="1573">
        <f>IF(ISNUMBER(IF($N$3&gt;=$B15,Real!AA16,'Proy. Mes'!AB16)),IF($N$3&gt;=$B15,Real!AA16,'Proy. Mes'!AB16),0)</f>
        <v>46.16</v>
      </c>
      <c r="AD15" s="1556">
        <f t="shared" si="20"/>
        <v>333.75441468268082</v>
      </c>
      <c r="AE15" s="976">
        <f t="shared" si="21"/>
        <v>271.77464903539931</v>
      </c>
      <c r="AF15" s="780">
        <f t="shared" si="0"/>
        <v>770.05098082289476</v>
      </c>
      <c r="AG15" s="539">
        <f t="shared" si="22"/>
        <v>6298.0034515741218</v>
      </c>
      <c r="AH15" s="2433">
        <f t="shared" si="1"/>
        <v>787.97866642393194</v>
      </c>
      <c r="AI15" s="2434">
        <f t="shared" si="23"/>
        <v>6369.1683289806779</v>
      </c>
      <c r="AJ15" s="2435">
        <f>IF(ISNUMBER(IF($N$3&gt;=$B15,Real!AL16,'Proy. Mes'!AF16)),IF($N$3&gt;=$B15,Real!AL16,'Proy. Mes'!AF16),0)</f>
        <v>1622.51611328125</v>
      </c>
      <c r="AK15" s="2436">
        <f>IF(ISNUMBER(IF($N$3&gt;=$B15,Real!AM16,'Proy. Mes'!AG16)),IF($N$3&gt;=$B15,Real!AM16,'Proy. Mes'!AG16),0)</f>
        <v>23</v>
      </c>
      <c r="AL15" s="2437">
        <f t="shared" si="12"/>
        <v>373.1787060546875</v>
      </c>
      <c r="AM15" s="2435">
        <f>IF(ISNUMBER(IF($N$3&gt;=$B15,Real!AO16,'Proy. Mes'!AI16)),IF($N$3&gt;=$B15,Real!AO16,'Proy. Mes'!AI16),0)</f>
        <v>3526.0765367960466</v>
      </c>
      <c r="AN15" s="2436">
        <f>IF(ISNUMBER(IF($N$3&gt;=$B15,Real!AP16,'Proy. Mes'!AJ16)),IF($N$3&gt;=$B15,Real!AP16,'Proy. Mes'!AJ16),0)</f>
        <v>26.053388472880567</v>
      </c>
      <c r="AO15" s="2437">
        <f t="shared" si="27"/>
        <v>918.6624179825676</v>
      </c>
      <c r="AP15" s="783">
        <f>+AP14+Q15-AO15</f>
        <v>2011.1428395499343</v>
      </c>
      <c r="AQ15" s="783">
        <f t="shared" ref="AQ15:AQ35" si="28">AO15*0.96</f>
        <v>881.91592126326486</v>
      </c>
      <c r="AR15" s="783">
        <f t="shared" si="26"/>
        <v>5248.488685159894</v>
      </c>
      <c r="AS15" s="2455">
        <f>+'Plan mina PS'!Q50*1000</f>
        <v>198878.75266150903</v>
      </c>
      <c r="AT15" s="784"/>
      <c r="AU15" s="2911" t="s">
        <v>327</v>
      </c>
      <c r="AV15" s="2438">
        <f t="shared" si="4"/>
        <v>46089.791666666664</v>
      </c>
      <c r="AW15" s="2069">
        <f>IF(ISNUMBER(IF($N$3&gt;=$B15,Real!AC16,'Proy. Mes'!BC16)),IF($N$3&gt;=$B15,Real!AC16,'Proy. Mes'!BC16),0)</f>
        <v>74.989967346191406</v>
      </c>
      <c r="AX15" s="783"/>
      <c r="AY15" s="783"/>
      <c r="AZ15" s="783"/>
      <c r="BA15" s="2432">
        <f>IF($N$3&gt;=$B15,Real!AE16,'Proy. Mes'!AW16)</f>
        <v>15.06626195211736</v>
      </c>
      <c r="BB15" s="782">
        <f>IF($N$3&gt;=$B15,Real!AF16,'Proy. Mes'!AX16)</f>
        <v>1167.8333333333333</v>
      </c>
      <c r="BC15" s="2078">
        <f>'Plan mina PS'!AG13</f>
        <v>0.81336285442788747</v>
      </c>
      <c r="BD15" s="3099">
        <f>IF($N$3&gt;=$B15,Real!AS16,'Proy. Mes'!AY16)</f>
        <v>4.7262206077575684</v>
      </c>
      <c r="BE15" s="2440">
        <f>IF($N$3&gt;=$B15,Real!AU16,'Proy. Mes'!BB16)</f>
        <v>38.836497624715172</v>
      </c>
      <c r="BF15" s="780">
        <f>IF($N$3&gt;=$B15,Real!AI16,'Proy. Mes'!AO16)</f>
        <v>5985.9193010239187</v>
      </c>
      <c r="BG15" s="780">
        <f>IF($N$3&gt;=$B15,Real!AJ16,'Proy. Mes'!AP16)</f>
        <v>2003.9020547733944</v>
      </c>
      <c r="BH15" s="780">
        <f>IF($N$3&gt;=$B15,Real!AK16,'Proy. Mes'!AQ16)</f>
        <v>8078.0310227241944</v>
      </c>
      <c r="BI15" s="780"/>
      <c r="BJ15" s="539"/>
      <c r="BK15" s="539"/>
      <c r="BL15" s="781">
        <f>IF($N$3&gt;=$B15,Real!H16,'Proy. Mes'!AR16)</f>
        <v>84.2110752066218</v>
      </c>
      <c r="BM15" s="539"/>
      <c r="BN15" s="539"/>
      <c r="BO15" s="539"/>
      <c r="BP15" s="2441"/>
      <c r="BQ15" s="2442"/>
      <c r="BR15" s="2443"/>
      <c r="BS15" s="2444"/>
      <c r="BT15" s="785"/>
      <c r="BU15" s="785"/>
      <c r="BV15" s="2445"/>
      <c r="BW15" s="785"/>
      <c r="BX15" s="785"/>
      <c r="BY15" s="785"/>
      <c r="BZ15" s="785"/>
      <c r="CA15" s="2446"/>
      <c r="CB15" s="2446"/>
      <c r="CC15" s="2446"/>
      <c r="CD15" s="2443"/>
      <c r="CE15" s="2446"/>
      <c r="CF15" s="2446"/>
      <c r="CG15" s="2446"/>
      <c r="CH15" s="2444"/>
      <c r="CI15" s="2446"/>
      <c r="CJ15" s="2443"/>
      <c r="CK15" s="2446"/>
      <c r="CL15" s="2446"/>
      <c r="CM15" s="2443"/>
      <c r="CN15" s="2444"/>
      <c r="CO15" s="2446"/>
      <c r="CP15" s="2447"/>
      <c r="CQ15" s="786"/>
      <c r="CV15" s="2448"/>
      <c r="CW15" s="2449">
        <f>IF(ISNUMBER(IF($N$3&gt;=$B15,Real!AD16,'Proy. Mes'!BD16)),IF($N$3&gt;=$B15,Real!AD16,'Proy. Mes'!BD16),0)</f>
        <v>65.60400390625</v>
      </c>
      <c r="CX15" s="783">
        <f t="shared" si="13"/>
        <v>6405.7561743346687</v>
      </c>
      <c r="DA15" s="744">
        <f t="shared" si="5"/>
        <v>20.210658049589235</v>
      </c>
      <c r="DB15" s="744">
        <v>1</v>
      </c>
      <c r="DC15" s="2449">
        <f>IF(ISNUMBER(IF($N$3&gt;=$B15,Real!AC16,'Proy. Mes'!BC16*100)),IF($N$3&gt;=$B15,Real!AC16,'Proy. Mes'!BC16*100),0)</f>
        <v>74.989967346191406</v>
      </c>
      <c r="DE15" s="4239">
        <f t="shared" si="14"/>
        <v>168405.05169918062</v>
      </c>
      <c r="DF15" s="4239">
        <f t="shared" si="24"/>
        <v>1214249.6596474838</v>
      </c>
      <c r="DG15" s="4234">
        <f t="shared" si="15"/>
        <v>0.45280785718900496</v>
      </c>
      <c r="DH15" s="342">
        <f>SUMPRODUCT(DG$8:DG15,DE$8:DE15)/DF15</f>
        <v>0.50944958884282543</v>
      </c>
      <c r="DI15" s="4240">
        <f t="shared" si="6"/>
        <v>89.265649751578508</v>
      </c>
      <c r="DJ15" s="348" cm="1">
        <f t="array" ref="DJ15">SUMPRODUCT(DI$8:DI15,DE$8:DE15/DF15)</f>
        <v>90.807803924317724</v>
      </c>
      <c r="DK15" s="866"/>
      <c r="DL15" s="866"/>
      <c r="DM15" s="866"/>
      <c r="DN15" s="866"/>
      <c r="DO15" s="866"/>
      <c r="DP15" s="866"/>
      <c r="DQ15" s="866"/>
      <c r="DR15" s="866"/>
    </row>
    <row r="16" spans="1:122" s="744" customFormat="1" ht="17.25" customHeight="1">
      <c r="A16" s="2450"/>
      <c r="B16" s="2065">
        <f t="shared" si="7"/>
        <v>46090.791666666664</v>
      </c>
      <c r="C16" s="780">
        <f>IF($N$3&gt;=$B16,Real!C17,'Proy. Mes'!C17)</f>
        <v>206345.552</v>
      </c>
      <c r="D16" s="2432">
        <f>IF($N$3&gt;=$B16,Real!D17,D15+C16-E16)</f>
        <v>725808.45959999994</v>
      </c>
      <c r="E16" s="2432">
        <f>IF($N$3&gt;=$B16,Real!E17,'Proy. Mes'!E17)</f>
        <v>178661.44506835938</v>
      </c>
      <c r="F16" s="2432">
        <f>IF($N$3&gt;=$B16,Real!F17,'Proy. Mes'!F17)</f>
        <v>49677.7109375</v>
      </c>
      <c r="G16" s="2432">
        <f>IF($N$3&gt;=$B16,Real!G17,'Proy. Mes'!G17)</f>
        <v>128983.73413085938</v>
      </c>
      <c r="H16" s="2067">
        <f>IF($N$3&gt;=$B16,Real!H17,'Proy. Mes'!H17)</f>
        <v>86.220463191098972</v>
      </c>
      <c r="I16" s="2067">
        <f>IF($N$3&gt;=$B16,Real!I17,'Proy. Mes'!I17)</f>
        <v>100</v>
      </c>
      <c r="J16" s="2067">
        <f t="shared" si="8"/>
        <v>88.758791666666639</v>
      </c>
      <c r="K16" s="781">
        <f t="shared" si="9"/>
        <v>51.043968200683594</v>
      </c>
      <c r="L16" s="2066">
        <f>IF(ISNUMBER(IF($N$3&gt;=$B16,Real!K17,'Proy. Mes'!K17)),IF($N$3&gt;=$B16,Real!K17,'Proy. Mes'!K17),0)</f>
        <v>0.49214030023699734</v>
      </c>
      <c r="M16" s="781">
        <f>IF(ISNUMBER(IF($N$3&gt;=$B16,Real!L17,'Proy. Mes'!L17)),IF($N$3&gt;=$B16,Real!L17,'Proy. Mes'!L17),0)</f>
        <v>90.683867345650697</v>
      </c>
      <c r="N16" s="781">
        <f>IF(ISNUMBER(IF($N$3&gt;=$B16,Real!M17,'Proy. Mes'!M17)),IF($N$3&gt;=$B16,Real!M17,'Proy. Mes'!M17),0)</f>
        <v>23.722167919491373</v>
      </c>
      <c r="O16" s="780">
        <f>IF(ISNUMBER(IF($N$3&gt;=$B16,Real!N17,'Proy. Mes'!N17)),IF($N$3&gt;=$B16,Real!N17,'Proy. Mes'!N17),0)</f>
        <v>3361.2083165540448</v>
      </c>
      <c r="P16" s="539">
        <f t="shared" si="16"/>
        <v>25062.91211375971</v>
      </c>
      <c r="Q16" s="780">
        <f t="shared" si="10"/>
        <v>797.35148097685965</v>
      </c>
      <c r="R16" s="782">
        <f t="shared" si="17"/>
        <v>6417.3640080625264</v>
      </c>
      <c r="S16" s="780">
        <f>IF(ISNUMBER(IF($N$3&gt;=$B16,Real!R17,'Proy. Mes'!R17)),IF($N$3&gt;=$B16,Real!R17,'Proy. Mes'!R17),0)</f>
        <v>147.58360105483416</v>
      </c>
      <c r="T16" s="781">
        <f>IF(ISNUMBER(IF($N$3&gt;=$B16,Real!S17,'Proy. Mes'!S17)),IF($N$3&gt;=$B16,Real!S17,'Proy. Mes'!S17),0)</f>
        <v>88.333190120234391</v>
      </c>
      <c r="U16" s="781">
        <f>IF(ISNUMBER(IF($N$3&gt;=$B16,Real!T17,'Proy. Mes'!T17)),IF($N$3&gt;=$B16,Real!T17,'Proy. Mes'!T17),0)</f>
        <v>93.4</v>
      </c>
      <c r="V16" s="781">
        <f>IF(ISNUMBER(IF($N$3&gt;=$B16,Real!U17,'Proy. Mes'!U17)),IF($N$3&gt;=$B16,Real!U17,'Proy. Mes'!U17),0)</f>
        <v>82.503199572298925</v>
      </c>
      <c r="W16" s="781">
        <f>IF(ISNUMBER(IF($N$3&gt;=$B16,Real!V17,'Proy. Mes'!V17)),IF($N$3&gt;=$B16,Real!V17,'Proy. Mes'!V17),0)</f>
        <v>50.262116187011877</v>
      </c>
      <c r="X16" s="780">
        <f>IF(ISNUMBER(IF($N$3&gt;=$B16,Real!W17,'Proy. Mes'!W17)),IF($N$3&gt;=$B16,Real!W17,'Proy. Mes'!W17),0)</f>
        <v>43.28116746689934</v>
      </c>
      <c r="Y16" s="539">
        <f t="shared" si="18"/>
        <v>496.69498330501835</v>
      </c>
      <c r="Z16" s="539">
        <f t="shared" si="11"/>
        <v>93.47</v>
      </c>
      <c r="AA16" s="780">
        <f>IF(ISNUMBER(IF($N$3&gt;=$B16,Real!Y17,'Proy. Mes'!Z17)),IF($N$3&gt;=$B16,Real!Y17,'Proy. Mes'!Z17),0)</f>
        <v>21.75403067930813</v>
      </c>
      <c r="AB16" s="782">
        <f t="shared" si="19"/>
        <v>255.6246496818795</v>
      </c>
      <c r="AC16" s="780">
        <f>IF(ISNUMBER(IF($N$3&gt;=$B16,Real!AA17,'Proy. Mes'!AB17)),IF($N$3&gt;=$B16,Real!AA17,'Proy. Mes'!AB17),0)</f>
        <v>46.98</v>
      </c>
      <c r="AD16" s="539">
        <f t="shared" si="20"/>
        <v>380.73441468268084</v>
      </c>
      <c r="AE16" s="782">
        <f t="shared" si="21"/>
        <v>246.54867971470745</v>
      </c>
      <c r="AF16" s="780">
        <f t="shared" si="0"/>
        <v>860.41641591617395</v>
      </c>
      <c r="AG16" s="539">
        <f t="shared" si="22"/>
        <v>7158.4198674902955</v>
      </c>
      <c r="AH16" s="2072">
        <f t="shared" si="1"/>
        <v>902.56616959973894</v>
      </c>
      <c r="AI16" s="2451">
        <f t="shared" si="23"/>
        <v>7271.7344985804166</v>
      </c>
      <c r="AJ16" s="2439">
        <f>IF(ISNUMBER(IF($N$3&gt;=$B16,Real!AL17,'Proy. Mes'!AF17)),IF($N$3&gt;=$B16,Real!AL17,'Proy. Mes'!AF17),0)</f>
        <v>3388.8486328125</v>
      </c>
      <c r="AK16" s="2452">
        <f>IF(ISNUMBER(IF($N$3&gt;=$B16,Real!AM17,'Proy. Mes'!AG17)),IF($N$3&gt;=$B16,Real!AM17,'Proy. Mes'!AG17),0)</f>
        <v>23.15</v>
      </c>
      <c r="AL16" s="2453">
        <f t="shared" si="12"/>
        <v>784.51845849609367</v>
      </c>
      <c r="AM16" s="2439">
        <f>IF(ISNUMBER(IF($N$3&gt;=$B16,Real!AO17,'Proy. Mes'!AI17)),IF($N$3&gt;=$B16,Real!AO17,'Proy. Mes'!AI17),0)</f>
        <v>2773.9461710604287</v>
      </c>
      <c r="AN16" s="2452">
        <f>IF(ISNUMBER(IF($N$3&gt;=$B16,Real!AP17,'Proy. Mes'!AJ17)),IF($N$3&gt;=$B16,Real!AP17,'Proy. Mes'!AJ17),0)</f>
        <v>24.240734842676101</v>
      </c>
      <c r="AO16" s="2453">
        <f t="shared" si="27"/>
        <v>672.42493600532498</v>
      </c>
      <c r="AP16" s="783">
        <f t="shared" si="2"/>
        <v>2136.0693845214687</v>
      </c>
      <c r="AQ16" s="783">
        <f t="shared" si="28"/>
        <v>645.52793856511198</v>
      </c>
      <c r="AR16" s="783">
        <f t="shared" si="26"/>
        <v>5835.7508306535101</v>
      </c>
      <c r="AS16" s="2455">
        <f>+'Plan mina PS'!Q51*1000</f>
        <v>186443.97225169241</v>
      </c>
      <c r="AT16" s="784"/>
      <c r="AU16" s="2454"/>
      <c r="AV16" s="2438">
        <f t="shared" si="4"/>
        <v>46090.791666666664</v>
      </c>
      <c r="AW16" s="2069">
        <f>IF(ISNUMBER(IF($N$3&gt;=$B16,Real!AC17,'Proy. Mes'!BC17)),IF($N$3&gt;=$B16,Real!AC17,'Proy. Mes'!BC17),0)</f>
        <v>66.209373474121094</v>
      </c>
      <c r="AX16" s="783"/>
      <c r="AY16" s="783"/>
      <c r="AZ16" s="783"/>
      <c r="BA16" s="2432">
        <f>IF($N$3&gt;=$B16,Real!AE17,'Proy. Mes'!AW17)</f>
        <v>10.905295760365252</v>
      </c>
      <c r="BB16" s="782">
        <f>IF($N$3&gt;=$B16,Real!AF17,'Proy. Mes'!AX17)</f>
        <v>1089.1666666666667</v>
      </c>
      <c r="BC16" s="2078">
        <f>'Plan mina PS'!AG14</f>
        <v>0.83852146380093429</v>
      </c>
      <c r="BD16" s="3099">
        <f>IF($N$3&gt;=$B16,Real!AS17,'Proy. Mes'!AY17)</f>
        <v>4.4285073280334473</v>
      </c>
      <c r="BE16" s="2440">
        <f>IF($N$3&gt;=$B16,Real!AU17,'Proy. Mes'!BB17)</f>
        <v>38.75600210825602</v>
      </c>
      <c r="BF16" s="780">
        <f>IF($N$3&gt;=$B16,Real!AI17,'Proy. Mes'!AO17)</f>
        <v>6233.232873663449</v>
      </c>
      <c r="BG16" s="780">
        <f>IF($N$3&gt;=$B16,Real!AJ17,'Proy. Mes'!AP17)</f>
        <v>2069.9046223958335</v>
      </c>
      <c r="BH16" s="780">
        <f>IF($N$3&gt;=$B16,Real!AK17,'Proy. Mes'!AQ17)</f>
        <v>8387.0304429166608</v>
      </c>
      <c r="BI16" s="780"/>
      <c r="BJ16" s="539"/>
      <c r="BK16" s="539"/>
      <c r="BL16" s="781">
        <f>IF($N$3&gt;=$B16,Real!H17,'Proy. Mes'!AR17)</f>
        <v>86.220463191098972</v>
      </c>
      <c r="BM16" s="539"/>
      <c r="BN16" s="539"/>
      <c r="BO16" s="539"/>
      <c r="BP16" s="2441"/>
      <c r="BQ16" s="2442"/>
      <c r="BR16" s="2443"/>
      <c r="BS16" s="2444"/>
      <c r="BT16" s="785"/>
      <c r="BU16" s="785"/>
      <c r="BV16" s="2445"/>
      <c r="BW16" s="785"/>
      <c r="BX16" s="785"/>
      <c r="BY16" s="785"/>
      <c r="BZ16" s="785"/>
      <c r="CA16" s="2446"/>
      <c r="CB16" s="2446"/>
      <c r="CC16" s="2446"/>
      <c r="CD16" s="2443"/>
      <c r="CE16" s="2446"/>
      <c r="CF16" s="2446"/>
      <c r="CG16" s="2446"/>
      <c r="CH16" s="2444"/>
      <c r="CI16" s="2446"/>
      <c r="CJ16" s="2443"/>
      <c r="CK16" s="2446"/>
      <c r="CL16" s="2446"/>
      <c r="CM16" s="2443"/>
      <c r="CN16" s="2444"/>
      <c r="CO16" s="2446"/>
      <c r="CP16" s="2447"/>
      <c r="CQ16" s="786"/>
      <c r="CV16" s="2448"/>
      <c r="CW16" s="2449">
        <f>IF(ISNUMBER(IF($N$3&gt;=$B16,Real!AD17,'Proy. Mes'!BD17)),IF($N$3&gt;=$B16,Real!AD17,'Proy. Mes'!BD17),0)</f>
        <v>51.043968200683594</v>
      </c>
      <c r="CX16" s="783">
        <f t="shared" si="13"/>
        <v>7078.1811103399941</v>
      </c>
      <c r="DA16" s="744">
        <f t="shared" si="5"/>
        <v>20.692911165863752</v>
      </c>
      <c r="DB16" s="744">
        <v>1</v>
      </c>
      <c r="DC16" s="2449">
        <f>IF(ISNUMBER(IF($N$3&gt;=$B16,Real!AC17,'Proy. Mes'!BC17*100)),IF($N$3&gt;=$B16,Real!AC17,'Proy. Mes'!BC17*100),0)</f>
        <v>66.209373474121094</v>
      </c>
      <c r="DE16" s="4239">
        <f t="shared" si="14"/>
        <v>178661.44506835938</v>
      </c>
      <c r="DF16" s="4239">
        <f t="shared" si="24"/>
        <v>1392911.1047158432</v>
      </c>
      <c r="DG16" s="4234">
        <f t="shared" si="15"/>
        <v>0.49214030023699734</v>
      </c>
      <c r="DH16" s="342">
        <f>SUMPRODUCT(DG$8:DG16,DE$8:DE16)/DF16</f>
        <v>0.50722941664019705</v>
      </c>
      <c r="DI16" s="4240">
        <f t="shared" si="6"/>
        <v>90.683867345650697</v>
      </c>
      <c r="DJ16" s="348" cm="1">
        <f t="array" ref="DJ16">SUMPRODUCT(DI$8:DI16,DE$8:DE16/DF16)</f>
        <v>90.79190722555029</v>
      </c>
      <c r="DK16" s="866"/>
      <c r="DL16" s="866"/>
      <c r="DM16" s="866"/>
      <c r="DN16" s="866"/>
      <c r="DO16" s="866"/>
      <c r="DP16" s="866"/>
      <c r="DQ16" s="866"/>
      <c r="DR16" s="866"/>
    </row>
    <row r="17" spans="1:122" s="744" customFormat="1" ht="17.25" customHeight="1">
      <c r="A17" s="2450"/>
      <c r="B17" s="2065">
        <f t="shared" si="7"/>
        <v>46091.791666666664</v>
      </c>
      <c r="C17" s="780">
        <f>IF($N$3&gt;=$B17,Real!C18,'Proy. Mes'!C18)</f>
        <v>93058.755999999994</v>
      </c>
      <c r="D17" s="2432">
        <f>IF($N$3&gt;=$B17,Real!D18,D16+C17-E17)</f>
        <v>641426.26240000001</v>
      </c>
      <c r="E17" s="2432">
        <f>IF($N$3&gt;=$B17,Real!E18,'Proy. Mes'!E18)</f>
        <v>176859.1845703125</v>
      </c>
      <c r="F17" s="2432">
        <f>IF($N$3&gt;=$B17,Real!F18,'Proy. Mes'!F18)</f>
        <v>47381.328125</v>
      </c>
      <c r="G17" s="2432">
        <f>IF($N$3&gt;=$B17,Real!G18,'Proy. Mes'!G18)</f>
        <v>129477.8564453125</v>
      </c>
      <c r="H17" s="2067">
        <f>IF($N$3&gt;=$B17,Real!H18,'Proy. Mes'!H18)</f>
        <v>91.470833975202908</v>
      </c>
      <c r="I17" s="2067">
        <f>IF($N$3&gt;=$B17,Real!I18,'Proy. Mes'!I18)</f>
        <v>100</v>
      </c>
      <c r="J17" s="2067">
        <f t="shared" si="8"/>
        <v>93.041991648630784</v>
      </c>
      <c r="K17" s="781">
        <f t="shared" si="9"/>
        <v>54.683158874511719</v>
      </c>
      <c r="L17" s="2066">
        <f>IF(ISNUMBER(IF($N$3&gt;=$B17,Real!K18,'Proy. Mes'!K18)),IF($N$3&gt;=$B17,Real!K18,'Proy. Mes'!K18),0)</f>
        <v>0.46573363589994649</v>
      </c>
      <c r="M17" s="781">
        <f>IF(ISNUMBER(IF($N$3&gt;=$B17,Real!L18,'Proy. Mes'!L18)),IF($N$3&gt;=$B17,Real!L18,'Proy. Mes'!L18),0)</f>
        <v>90.647679773231701</v>
      </c>
      <c r="N17" s="781">
        <f>IF(ISNUMBER(IF($N$3&gt;=$B17,Real!M18,'Proy. Mes'!M18)),IF($N$3&gt;=$B17,Real!M18,'Proy. Mes'!M18),0)</f>
        <v>24.576180043199944</v>
      </c>
      <c r="O17" s="780">
        <f>IF(ISNUMBER(IF($N$3&gt;=$B17,Real!N18,'Proy. Mes'!N18)),IF($N$3&gt;=$B17,Real!N18,'Proy. Mes'!N18),0)</f>
        <v>3038.1382681057039</v>
      </c>
      <c r="P17" s="539">
        <f t="shared" si="16"/>
        <v>28101.050381865414</v>
      </c>
      <c r="Q17" s="780">
        <f t="shared" si="10"/>
        <v>746.65833073101442</v>
      </c>
      <c r="R17" s="782">
        <f t="shared" si="17"/>
        <v>7164.0223387935412</v>
      </c>
      <c r="S17" s="780">
        <f>IF(ISNUMBER(IF($N$3&gt;=$B17,Real!R18,'Proy. Mes'!R18)),IF($N$3&gt;=$B17,Real!R18,'Proy. Mes'!R18),0)</f>
        <v>143.07290563254753</v>
      </c>
      <c r="T17" s="781">
        <f>IF(ISNUMBER(IF($N$3&gt;=$B17,Real!S18,'Proy. Mes'!S18)),IF($N$3&gt;=$B17,Real!S18,'Proy. Mes'!S18),0)</f>
        <v>88.629088659903886</v>
      </c>
      <c r="U17" s="781">
        <f>IF(ISNUMBER(IF($N$3&gt;=$B17,Real!T18,'Proy. Mes'!T18)),IF($N$3&gt;=$B17,Real!T18,'Proy. Mes'!T18),0)</f>
        <v>92.941093161156758</v>
      </c>
      <c r="V17" s="781">
        <f>IF(ISNUMBER(IF($N$3&gt;=$B17,Real!U18,'Proy. Mes'!U18)),IF($N$3&gt;=$B17,Real!U18,'Proy. Mes'!U18),0)</f>
        <v>82.372843859285496</v>
      </c>
      <c r="W17" s="781">
        <f>IF(ISNUMBER(IF($N$3&gt;=$B17,Real!V18,'Proy. Mes'!V18)),IF($N$3&gt;=$B17,Real!V18,'Proy. Mes'!V18),0)</f>
        <v>49.53147877013177</v>
      </c>
      <c r="X17" s="780">
        <f>IF(ISNUMBER(IF($N$3&gt;=$B17,Real!W18,'Proy. Mes'!W18)),IF($N$3&gt;=$B17,Real!W18,'Proy. Mes'!W18),0)</f>
        <v>42.081167595184887</v>
      </c>
      <c r="Y17" s="539">
        <f t="shared" si="18"/>
        <v>538.77615090020322</v>
      </c>
      <c r="Z17" s="539">
        <f t="shared" si="11"/>
        <v>68.3</v>
      </c>
      <c r="AA17" s="780">
        <f>IF(ISNUMBER(IF($N$3&gt;=$B17,Real!Y18,'Proy. Mes'!Z18)),IF($N$3&gt;=$B17,Real!Y18,'Proy. Mes'!Z18),0)</f>
        <v>20.843424593632573</v>
      </c>
      <c r="AB17" s="782">
        <f t="shared" si="19"/>
        <v>276.46807427551209</v>
      </c>
      <c r="AC17" s="780">
        <f>IF(ISNUMBER(IF($N$3&gt;=$B17,Real!AA18,'Proy. Mes'!AB18)),IF($N$3&gt;=$B17,Real!AA18,'Proy. Mes'!AB18),0)</f>
        <v>33.83</v>
      </c>
      <c r="AD17" s="539">
        <f t="shared" si="20"/>
        <v>414.56441468268082</v>
      </c>
      <c r="AE17" s="782">
        <f t="shared" si="21"/>
        <v>233.56210430834005</v>
      </c>
      <c r="AF17" s="780">
        <f>IF(ISNUMBER(Q17*AA17),+Q17+AA17*$CU$7,+Q17*$CU$8)</f>
        <v>807.08341862795521</v>
      </c>
      <c r="AG17" s="539">
        <f t="shared" si="22"/>
        <v>7965.5032861182508</v>
      </c>
      <c r="AH17" s="2072">
        <f t="shared" si="1"/>
        <v>815.86811831323587</v>
      </c>
      <c r="AI17" s="2451">
        <f t="shared" si="23"/>
        <v>8087.6026168936523</v>
      </c>
      <c r="AJ17" s="2439">
        <f>IF(ISNUMBER(IF($N$3&gt;=$B17,Real!AL18,'Proy. Mes'!AF18)),IF($N$3&gt;=$B17,Real!AL18,'Proy. Mes'!AF18),0)</f>
        <v>3502.358154296875</v>
      </c>
      <c r="AK17" s="2452">
        <f>IF(ISNUMBER(IF($N$3&gt;=$B17,Real!AM18,'Proy. Mes'!AG18)),IF($N$3&gt;=$B17,Real!AM18,'Proy. Mes'!AG18),0)</f>
        <v>23.835000000000001</v>
      </c>
      <c r="AL17" s="2453">
        <f t="shared" si="12"/>
        <v>834.78706607666015</v>
      </c>
      <c r="AM17" s="2439">
        <f>IF(ISNUMBER(IF($N$3&gt;=$B17,Real!AO18,'Proy. Mes'!AI18)),IF($N$3&gt;=$B17,Real!AO18,'Proy. Mes'!AI18),0)</f>
        <v>2291.124008847567</v>
      </c>
      <c r="AN17" s="2452">
        <f>IF(ISNUMBER(IF($N$3&gt;=$B17,Real!AP18,'Proy. Mes'!AJ18)),IF($N$3&gt;=$B17,Real!AP18,'Proy. Mes'!AJ18),0)</f>
        <v>22.897542472365355</v>
      </c>
      <c r="AO17" s="2453">
        <f t="shared" si="27"/>
        <v>524.61109302043144</v>
      </c>
      <c r="AP17" s="783">
        <f>+AP16+Q17-AO17</f>
        <v>2358.1166222320517</v>
      </c>
      <c r="AQ17" s="783">
        <f t="shared" si="28"/>
        <v>503.62664929961414</v>
      </c>
      <c r="AR17" s="783">
        <f t="shared" si="26"/>
        <v>6582.765089911647</v>
      </c>
      <c r="AS17" s="2455">
        <f>+'Plan mina PS'!Q52*1000</f>
        <v>195741.57674533353</v>
      </c>
      <c r="AT17" s="784"/>
      <c r="AU17" s="2454"/>
      <c r="AV17" s="2438">
        <f t="shared" si="4"/>
        <v>46091.791666666664</v>
      </c>
      <c r="AW17" s="2069">
        <f>IF(ISNUMBER(IF($N$3&gt;=$B17,Real!AC18,'Proy. Mes'!BC18)),IF($N$3&gt;=$B17,Real!AC18,'Proy. Mes'!BC18),0)</f>
        <v>63.325965881347656</v>
      </c>
      <c r="AX17" s="783"/>
      <c r="AY17" s="783"/>
      <c r="AZ17" s="783"/>
      <c r="BA17" s="2432">
        <f>IF($N$3&gt;=$B17,Real!AE18,'Proy. Mes'!AW18)</f>
        <v>6.6719571850409691</v>
      </c>
      <c r="BB17" s="782">
        <f>IF($N$3&gt;=$B17,Real!AF18,'Proy. Mes'!AX18)</f>
        <v>720.41666666666663</v>
      </c>
      <c r="BC17" s="2078">
        <f>'Plan mina PS'!AG15</f>
        <v>0.97008468293675776</v>
      </c>
      <c r="BD17" s="3099">
        <f>IF($N$3&gt;=$B17,Real!AS18,'Proy. Mes'!AY18)</f>
        <v>4.6536588668823242</v>
      </c>
      <c r="BE17" s="2440">
        <f>IF($N$3&gt;=$B17,Real!AU18,'Proy. Mes'!BB18)</f>
        <v>37.69762134552002</v>
      </c>
      <c r="BF17" s="780">
        <f>IF($N$3&gt;=$B17,Real!AI18,'Proy. Mes'!AO18)</f>
        <v>5897.9572512522154</v>
      </c>
      <c r="BG17" s="780">
        <f>IF($N$3&gt;=$B17,Real!AJ18,'Proy. Mes'!AP18)</f>
        <v>1974.2220052083333</v>
      </c>
      <c r="BH17" s="780">
        <f>IF($N$3&gt;=$B17,Real!AK18,'Proy. Mes'!AQ18)</f>
        <v>7920.2224284481244</v>
      </c>
      <c r="BI17" s="780"/>
      <c r="BJ17" s="539"/>
      <c r="BK17" s="539"/>
      <c r="BL17" s="781">
        <f>IF($N$3&gt;=$B17,Real!H18,'Proy. Mes'!AR18)</f>
        <v>91.470833975202908</v>
      </c>
      <c r="BM17" s="539"/>
      <c r="BN17" s="539"/>
      <c r="BO17" s="539"/>
      <c r="BP17" s="2441"/>
      <c r="BQ17" s="2442"/>
      <c r="BR17" s="2443"/>
      <c r="BS17" s="2444"/>
      <c r="BT17" s="785"/>
      <c r="BU17" s="785"/>
      <c r="BV17" s="2445"/>
      <c r="BW17" s="785"/>
      <c r="BX17" s="785"/>
      <c r="BY17" s="785"/>
      <c r="BZ17" s="785"/>
      <c r="CA17" s="2446"/>
      <c r="CB17" s="2446"/>
      <c r="CC17" s="2446"/>
      <c r="CD17" s="2443"/>
      <c r="CE17" s="2446"/>
      <c r="CF17" s="2446"/>
      <c r="CG17" s="2446"/>
      <c r="CH17" s="2444"/>
      <c r="CI17" s="2446"/>
      <c r="CJ17" s="2443"/>
      <c r="CK17" s="2446"/>
      <c r="CL17" s="2446"/>
      <c r="CM17" s="2443"/>
      <c r="CN17" s="2444"/>
      <c r="CO17" s="2446"/>
      <c r="CP17" s="2447"/>
      <c r="CQ17" s="786"/>
      <c r="CV17" s="2448"/>
      <c r="CW17" s="2449">
        <f>IF(ISNUMBER(IF($N$3&gt;=$B17,Real!AD18,'Proy. Mes'!BD18)),IF($N$3&gt;=$B17,Real!AD18,'Proy. Mes'!BD18),0)</f>
        <v>54.683158874511719</v>
      </c>
      <c r="CX17" s="783">
        <f t="shared" si="13"/>
        <v>7602.7922033604254</v>
      </c>
      <c r="DA17" s="744">
        <f t="shared" si="5"/>
        <v>21.953000154048695</v>
      </c>
      <c r="DB17" s="744">
        <v>1</v>
      </c>
      <c r="DC17" s="2449">
        <f>IF(ISNUMBER(IF($N$3&gt;=$B17,Real!AC18,'Proy. Mes'!BC18*100)),IF($N$3&gt;=$B17,Real!AC18,'Proy. Mes'!BC18*100),0)</f>
        <v>63.325965881347656</v>
      </c>
      <c r="DE17" s="4239">
        <f t="shared" si="14"/>
        <v>176859.1845703125</v>
      </c>
      <c r="DF17" s="4239">
        <f t="shared" si="24"/>
        <v>1569770.2892861557</v>
      </c>
      <c r="DG17" s="4234">
        <f t="shared" si="15"/>
        <v>0.46573363589994649</v>
      </c>
      <c r="DH17" s="342">
        <f>SUMPRODUCT(DG$8:DG17,DE$8:DE17)/DF17</f>
        <v>0.50255426767418721</v>
      </c>
      <c r="DI17" s="4240">
        <f t="shared" si="6"/>
        <v>90.647679773231701</v>
      </c>
      <c r="DJ17" s="348" cm="1">
        <f t="array" ref="DJ17">SUMPRODUCT(DI$8:DI17,DE$8:DE17/DF17)</f>
        <v>90.775657746385221</v>
      </c>
      <c r="DK17" s="866"/>
      <c r="DL17" s="866"/>
      <c r="DM17" s="866"/>
      <c r="DN17" s="866"/>
      <c r="DO17" s="866"/>
      <c r="DP17" s="866"/>
      <c r="DQ17" s="866"/>
      <c r="DR17" s="866"/>
    </row>
    <row r="18" spans="1:122" s="744" customFormat="1" ht="13">
      <c r="A18" s="2450"/>
      <c r="B18" s="2065">
        <f t="shared" si="7"/>
        <v>46092.791666666664</v>
      </c>
      <c r="C18" s="780">
        <f>IF($N$3&gt;=$B18,Real!C19,'Proy. Mes'!C19)</f>
        <v>47366.838400000001</v>
      </c>
      <c r="D18" s="2432">
        <f>IF($N$3&gt;=$B18,Real!D19,D17+C18-E18)</f>
        <v>507401.32799999998</v>
      </c>
      <c r="E18" s="2432">
        <f>IF($N$3&gt;=$B18,Real!E19,'Proy. Mes'!E19)</f>
        <v>180799.115234375</v>
      </c>
      <c r="F18" s="2432">
        <f>IF($N$3&gt;=$B18,Real!F19,'Proy. Mes'!F19)</f>
        <v>46612.328125</v>
      </c>
      <c r="G18" s="2432">
        <f>IF($N$3&gt;=$B18,Real!G19,'Proy. Mes'!G19)</f>
        <v>134186.787109375</v>
      </c>
      <c r="H18" s="2067">
        <f>IF($N$3&gt;=$B18,Real!H19,'Proy. Mes'!H19)</f>
        <v>99.876417566271982</v>
      </c>
      <c r="I18" s="2067">
        <f>IF($N$3&gt;=$B18,Real!I19,'Proy. Mes'!I19)</f>
        <v>100</v>
      </c>
      <c r="J18" s="2067">
        <f t="shared" si="8"/>
        <v>99.899182686389025</v>
      </c>
      <c r="K18" s="781">
        <f t="shared" si="9"/>
        <v>56.82244873046875</v>
      </c>
      <c r="L18" s="2066">
        <f>IF(ISNUMBER(IF($N$3&gt;=$B18,Real!K19,'Proy. Mes'!K19)),IF($N$3&gt;=$B18,Real!K19,'Proy. Mes'!K19),0)</f>
        <v>0.47658156517142597</v>
      </c>
      <c r="M18" s="781">
        <f>IF(ISNUMBER(IF($N$3&gt;=$B18,Real!L19,'Proy. Mes'!L19)),IF($N$3&gt;=$B18,Real!L19,'Proy. Mes'!L19),0)</f>
        <v>90.386544993863694</v>
      </c>
      <c r="N18" s="781">
        <f>IF(ISNUMBER(IF($N$3&gt;=$B18,Real!M19,'Proy. Mes'!M19)),IF($N$3&gt;=$B18,Real!M19,'Proy. Mes'!M19),0)</f>
        <v>26.432665827081919</v>
      </c>
      <c r="O18" s="780">
        <f>IF(ISNUMBER(IF($N$3&gt;=$B18,Real!N19,'Proy. Mes'!N19)),IF($N$3&gt;=$B18,Real!N19,'Proy. Mes'!N19),0)</f>
        <v>2946.4315790945502</v>
      </c>
      <c r="P18" s="539">
        <f t="shared" si="16"/>
        <v>31047.481960959965</v>
      </c>
      <c r="Q18" s="780">
        <f t="shared" si="10"/>
        <v>778.82041312567537</v>
      </c>
      <c r="R18" s="782">
        <f t="shared" si="17"/>
        <v>7942.8427519192164</v>
      </c>
      <c r="S18" s="780">
        <f>IF(ISNUMBER(IF($N$3&gt;=$B18,Real!R19,'Proy. Mes'!R19)),IF($N$3&gt;=$B18,Real!R19,'Proy. Mes'!R19),0)</f>
        <v>192.29128018995152</v>
      </c>
      <c r="T18" s="781">
        <f>IF(ISNUMBER(IF($N$3&gt;=$B18,Real!S19,'Proy. Mes'!S19)),IF($N$3&gt;=$B18,Real!S19,'Proy. Mes'!S19),0)</f>
        <v>90.065450522715977</v>
      </c>
      <c r="U18" s="781">
        <f>IF(ISNUMBER(IF($N$3&gt;=$B18,Real!T19,'Proy. Mes'!T19)),IF($N$3&gt;=$B18,Real!T19,'Proy. Mes'!T19),0)</f>
        <v>94.120160423021716</v>
      </c>
      <c r="V18" s="781">
        <f>IF(ISNUMBER(IF($N$3&gt;=$B18,Real!U19,'Proy. Mes'!U19)),IF($N$3&gt;=$B18,Real!U19,'Proy. Mes'!U19),0)</f>
        <v>84.769746517697527</v>
      </c>
      <c r="W18" s="781">
        <f>IF(ISNUMBER(IF($N$3&gt;=$B18,Real!V19,'Proy. Mes'!V19)),IF($N$3&gt;=$B18,Real!V19,'Proy. Mes'!V19),0)</f>
        <v>48.743532889874345</v>
      </c>
      <c r="X18" s="780">
        <f>IF(ISNUMBER(IF($N$3&gt;=$B18,Real!W19,'Proy. Mes'!W19)),IF($N$3&gt;=$B18,Real!W19,'Proy. Mes'!W19),0)</f>
        <v>60.461619088680386</v>
      </c>
      <c r="Y18" s="539">
        <f t="shared" si="18"/>
        <v>599.23776998888366</v>
      </c>
      <c r="Z18" s="539">
        <f t="shared" si="11"/>
        <v>54.120000000000005</v>
      </c>
      <c r="AA18" s="780">
        <f>IF(ISNUMBER(IF($N$3&gt;=$B18,Real!Y19,'Proy. Mes'!Z19)),IF($N$3&gt;=$B18,Real!Y19,'Proy. Mes'!Z19),0)</f>
        <v>29.471129186241466</v>
      </c>
      <c r="AB18" s="782">
        <f t="shared" si="19"/>
        <v>305.93920346175355</v>
      </c>
      <c r="AC18" s="780">
        <f>IF(ISNUMBER(IF($N$3&gt;=$B18,Real!AA19,'Proy. Mes'!AB19)),IF($N$3&gt;=$B18,Real!AA19,'Proy. Mes'!AB19),0)</f>
        <v>26.38</v>
      </c>
      <c r="AD18" s="539">
        <f t="shared" si="20"/>
        <v>440.94441468268082</v>
      </c>
      <c r="AE18" s="782">
        <f t="shared" si="21"/>
        <v>236.65323349458151</v>
      </c>
      <c r="AF18" s="780">
        <f t="shared" si="0"/>
        <v>864.25721663658942</v>
      </c>
      <c r="AG18" s="539">
        <f t="shared" si="22"/>
        <v>8829.7605027548398</v>
      </c>
      <c r="AH18" s="2072">
        <f t="shared" si="1"/>
        <v>825.31847932689959</v>
      </c>
      <c r="AI18" s="2451">
        <f t="shared" si="23"/>
        <v>8912.9210962205525</v>
      </c>
      <c r="AJ18" s="2439">
        <f>IF(ISNUMBER(IF($N$3&gt;=$B18,Real!AL19,'Proy. Mes'!AF19)),IF($N$3&gt;=$B18,Real!AL19,'Proy. Mes'!AF19),0)</f>
        <v>3650.838623046875</v>
      </c>
      <c r="AK18" s="2452">
        <f>IF(ISNUMBER(IF($N$3&gt;=$B18,Real!AM19,'Proy. Mes'!AG19)),IF($N$3&gt;=$B18,Real!AM19,'Proy. Mes'!AG19),0)</f>
        <v>26.055</v>
      </c>
      <c r="AL18" s="2453">
        <f t="shared" si="12"/>
        <v>951.22600323486336</v>
      </c>
      <c r="AM18" s="2439">
        <f>IF(ISNUMBER(IF($N$3&gt;=$B18,Real!AO19,'Proy. Mes'!AI19)),IF($N$3&gt;=$B18,Real!AO19,'Proy. Mes'!AI19),0)</f>
        <v>3548.4114762561267</v>
      </c>
      <c r="AN18" s="2452">
        <f>IF(ISNUMBER(IF($N$3&gt;=$B18,Real!AP19,'Proy. Mes'!AJ19)),IF($N$3&gt;=$B18,Real!AP19,'Proy. Mes'!AJ19),0)</f>
        <v>23.900516326378163</v>
      </c>
      <c r="AO18" s="2453">
        <f t="shared" si="27"/>
        <v>848.08866420967195</v>
      </c>
      <c r="AP18" s="783">
        <f t="shared" si="2"/>
        <v>2288.8483711480549</v>
      </c>
      <c r="AQ18" s="783">
        <f t="shared" si="28"/>
        <v>814.16511764128506</v>
      </c>
      <c r="AR18" s="783">
        <f t="shared" si="26"/>
        <v>5980.7851927500706</v>
      </c>
      <c r="AS18" s="2455">
        <f>+'Plan mina PS'!Q53*1000</f>
        <v>198336.79397590674</v>
      </c>
      <c r="AT18" s="784"/>
      <c r="AU18" s="2454"/>
      <c r="AV18" s="2438">
        <f t="shared" si="4"/>
        <v>46092.791666666664</v>
      </c>
      <c r="AW18" s="2069">
        <f>IF(ISNUMBER(IF($N$3&gt;=$B18,Real!AC19,'Proy. Mes'!BC19)),IF($N$3&gt;=$B18,Real!AC19,'Proy. Mes'!BC19),0)</f>
        <v>76.92333984375</v>
      </c>
      <c r="AX18" s="783"/>
      <c r="AY18" s="783"/>
      <c r="AZ18" s="783"/>
      <c r="BA18" s="2432">
        <f>IF($N$3&gt;=$B18,Real!AE19,'Proy. Mes'!AW19)</f>
        <v>8.9223053203658296</v>
      </c>
      <c r="BB18" s="782">
        <f>IF($N$3&gt;=$B18,Real!AF19,'Proy. Mes'!AX19)</f>
        <v>1109.1666666666667</v>
      </c>
      <c r="BC18" s="2078">
        <f>'Plan mina PS'!AG16</f>
        <v>1.155647807230705</v>
      </c>
      <c r="BD18" s="3099">
        <f>IF($N$3&gt;=$B18,Real!AS19,'Proy. Mes'!AY19)</f>
        <v>4.911552906036377</v>
      </c>
      <c r="BE18" s="2440">
        <f>IF($N$3&gt;=$B18,Real!AU19,'Proy. Mes'!BB19)</f>
        <v>36.961177508036293</v>
      </c>
      <c r="BF18" s="780">
        <f>IF($N$3&gt;=$B18,Real!AI19,'Proy. Mes'!AO19)</f>
        <v>5598.0343166066841</v>
      </c>
      <c r="BG18" s="780">
        <f>IF($N$3&gt;=$B18,Real!AJ19,'Proy. Mes'!AP19)</f>
        <v>1942.1803385416667</v>
      </c>
      <c r="BH18" s="780">
        <f>IF($N$3&gt;=$B18,Real!AK19,'Proy. Mes'!AQ19)</f>
        <v>7540.8989998927682</v>
      </c>
      <c r="BI18" s="780"/>
      <c r="BJ18" s="539"/>
      <c r="BK18" s="539"/>
      <c r="BL18" s="781">
        <f>IF($N$3&gt;=$B18,Real!H19,'Proy. Mes'!AR19)</f>
        <v>99.876417566271982</v>
      </c>
      <c r="BM18" s="539"/>
      <c r="BN18" s="539"/>
      <c r="BO18" s="539"/>
      <c r="BP18" s="2441"/>
      <c r="BQ18" s="2442"/>
      <c r="BR18" s="2443"/>
      <c r="BS18" s="2444"/>
      <c r="BT18" s="785"/>
      <c r="BU18" s="785"/>
      <c r="BV18" s="2445"/>
      <c r="BW18" s="785"/>
      <c r="BX18" s="785"/>
      <c r="BY18" s="785"/>
      <c r="BZ18" s="785"/>
      <c r="CA18" s="2446"/>
      <c r="CB18" s="2446"/>
      <c r="CC18" s="2446"/>
      <c r="CD18" s="2443"/>
      <c r="CE18" s="2446"/>
      <c r="CF18" s="2446"/>
      <c r="CG18" s="2446"/>
      <c r="CH18" s="2444"/>
      <c r="CI18" s="2446"/>
      <c r="CJ18" s="2443"/>
      <c r="CK18" s="2446"/>
      <c r="CL18" s="2446"/>
      <c r="CM18" s="2443"/>
      <c r="CN18" s="2444"/>
      <c r="CO18" s="2446"/>
      <c r="CP18" s="2447"/>
      <c r="CQ18" s="786"/>
      <c r="CV18" s="2448"/>
      <c r="CW18" s="2449">
        <f>IF(ISNUMBER(IF($N$3&gt;=$B18,Real!AD19,'Proy. Mes'!BD19)),IF($N$3&gt;=$B18,Real!AD19,'Proy. Mes'!BD19),0)</f>
        <v>56.82244873046875</v>
      </c>
      <c r="CX18" s="783">
        <f t="shared" si="13"/>
        <v>8450.8808675700966</v>
      </c>
      <c r="DA18" s="744">
        <f t="shared" si="5"/>
        <v>23.970340215905274</v>
      </c>
      <c r="DB18" s="744">
        <v>1</v>
      </c>
      <c r="DC18" s="2449">
        <f>IF(ISNUMBER(IF($N$3&gt;=$B18,Real!AC19,'Proy. Mes'!BC19*100)),IF($N$3&gt;=$B18,Real!AC19,'Proy. Mes'!BC19*100),0)</f>
        <v>76.92333984375</v>
      </c>
      <c r="DE18" s="4239">
        <f t="shared" si="14"/>
        <v>180799.115234375</v>
      </c>
      <c r="DF18" s="4239">
        <f t="shared" si="24"/>
        <v>1750569.4045205307</v>
      </c>
      <c r="DG18" s="4234">
        <f t="shared" si="15"/>
        <v>0.47658156517142597</v>
      </c>
      <c r="DH18" s="342">
        <f>SUMPRODUCT(DG$8:DG18,DE$8:DE18)/DF18</f>
        <v>0.49987180240281964</v>
      </c>
      <c r="DI18" s="4240">
        <f t="shared" si="6"/>
        <v>90.386544993863694</v>
      </c>
      <c r="DJ18" s="348" cm="1">
        <f t="array" ref="DJ18">SUMPRODUCT(DI$8:DI18,DE$8:DE18/DF18)</f>
        <v>90.73547011303539</v>
      </c>
      <c r="DK18" s="866"/>
      <c r="DL18" s="866"/>
      <c r="DM18" s="866"/>
      <c r="DN18" s="866"/>
      <c r="DO18" s="866"/>
      <c r="DP18" s="866"/>
      <c r="DQ18" s="866"/>
      <c r="DR18" s="866"/>
    </row>
    <row r="19" spans="1:122" s="744" customFormat="1" ht="17.25" customHeight="1">
      <c r="A19" s="2450"/>
      <c r="B19" s="2065">
        <f t="shared" si="7"/>
        <v>46093.791666666664</v>
      </c>
      <c r="C19" s="780">
        <f>IF($N$3&gt;=$B19,Real!C20,'Proy. Mes'!C20)</f>
        <v>164023.99719999998</v>
      </c>
      <c r="D19" s="2432">
        <f>IF($N$3&gt;=$B19,Real!D20,D18+C19-E19)</f>
        <v>486208.7916</v>
      </c>
      <c r="E19" s="2432">
        <f>IF($N$3&gt;=$B19,Real!E20,'Proy. Mes'!E20)</f>
        <v>184089.18730926514</v>
      </c>
      <c r="F19" s="2432">
        <f>IF($N$3&gt;=$B19,Real!F20,'Proy. Mes'!F20)</f>
        <v>47369.75390625</v>
      </c>
      <c r="G19" s="2432">
        <f>IF($N$3&gt;=$B19,Real!G20,'Proy. Mes'!G20)</f>
        <v>136719.43340301514</v>
      </c>
      <c r="H19" s="2067">
        <f>IF($N$3&gt;=$B19,Real!H20,'Proy. Mes'!H20)</f>
        <v>95.202418045694827</v>
      </c>
      <c r="I19" s="2067">
        <f>IF($N$3&gt;=$B19,Real!I20,'Proy. Mes'!I20)</f>
        <v>99.930557250976563</v>
      </c>
      <c r="J19" s="2067">
        <f t="shared" si="8"/>
        <v>96.073388568699784</v>
      </c>
      <c r="K19" s="781">
        <f t="shared" si="9"/>
        <v>43.550209045410156</v>
      </c>
      <c r="L19" s="2066">
        <f>IF(ISNUMBER(IF($N$3&gt;=$B19,Real!K20,'Proy. Mes'!K20)),IF($N$3&gt;=$B19,Real!K20,'Proy. Mes'!K20),0)</f>
        <v>0.50065835137126502</v>
      </c>
      <c r="M19" s="781">
        <f>IF(ISNUMBER(IF($N$3&gt;=$B19,Real!L20,'Proy. Mes'!L20)),IF($N$3&gt;=$B19,Real!L20,'Proy. Mes'!L20),0)</f>
        <v>89.649250320746972</v>
      </c>
      <c r="N19" s="781">
        <f>IF(ISNUMBER(IF($N$3&gt;=$B19,Real!M20,'Proy. Mes'!M20)),IF($N$3&gt;=$B19,Real!M20,'Proy. Mes'!M20),0)</f>
        <v>26.275214523599825</v>
      </c>
      <c r="O19" s="780">
        <f>IF(ISNUMBER(IF($N$3&gt;=$B19,Real!N20,'Proy. Mes'!N20)),IF($N$3&gt;=$B19,Real!N20,'Proy. Mes'!N20),0)</f>
        <v>3144.6342269664647</v>
      </c>
      <c r="P19" s="539">
        <f t="shared" si="16"/>
        <v>34192.116187926433</v>
      </c>
      <c r="Q19" s="780">
        <f t="shared" si="10"/>
        <v>826.25938911798369</v>
      </c>
      <c r="R19" s="782">
        <f t="shared" si="17"/>
        <v>8769.1021410371995</v>
      </c>
      <c r="S19" s="780">
        <f>IF(ISNUMBER(IF($N$3&gt;=$B19,Real!R20,'Proy. Mes'!R20)),IF($N$3&gt;=$B19,Real!R20,'Proy. Mes'!R20),0)</f>
        <v>209.98560786847108</v>
      </c>
      <c r="T19" s="781">
        <f>IF(ISNUMBER(IF($N$3&gt;=$B19,Real!S20,'Proy. Mes'!S20)),IF($N$3&gt;=$B19,Real!S20,'Proy. Mes'!S20),0)</f>
        <v>88.766497764321159</v>
      </c>
      <c r="U19" s="781">
        <f>IF(ISNUMBER(IF($N$3&gt;=$B19,Real!T20,'Proy. Mes'!T20)),IF($N$3&gt;=$B19,Real!T20,'Proy. Mes'!T20),0)</f>
        <v>93.4</v>
      </c>
      <c r="V19" s="781">
        <f>IF(ISNUMBER(IF($N$3&gt;=$B19,Real!U20,'Proy. Mes'!U20)),IF($N$3&gt;=$B19,Real!U20,'Proy. Mes'!U20),0)</f>
        <v>82.907908911875964</v>
      </c>
      <c r="W19" s="781">
        <f>IF(ISNUMBER(IF($N$3&gt;=$B19,Real!V20,'Proy. Mes'!V20)),IF($N$3&gt;=$B19,Real!V20,'Proy. Mes'!V20),0)</f>
        <v>48.161876771353974</v>
      </c>
      <c r="X19" s="780">
        <f>IF(ISNUMBER(IF($N$3&gt;=$B19,Real!W20,'Proy. Mes'!W20)),IF($N$3&gt;=$B19,Real!W20,'Proy. Mes'!W20),0)</f>
        <v>66.544224727452089</v>
      </c>
      <c r="Y19" s="539">
        <f t="shared" si="18"/>
        <v>665.7819947163357</v>
      </c>
      <c r="Z19" s="539">
        <f t="shared" si="11"/>
        <v>54.676061026855962</v>
      </c>
      <c r="AA19" s="780">
        <f>IF(ISNUMBER(IF($N$3&gt;=$B19,Real!Y20,'Proy. Mes'!Z20)),IF($N$3&gt;=$B19,Real!Y20,'Proy. Mes'!Z20),0)</f>
        <v>32.04894751168834</v>
      </c>
      <c r="AB19" s="782">
        <f t="shared" si="19"/>
        <v>337.98815097344186</v>
      </c>
      <c r="AC19" s="780">
        <f>IF(ISNUMBER(IF($N$3&gt;=$B19,Real!AA20,'Proy. Mes'!AB20)),IF($N$3&gt;=$B19,Real!AA20,'Proy. Mes'!AB20),0)</f>
        <v>26.333017135184665</v>
      </c>
      <c r="AD19" s="539">
        <f t="shared" si="20"/>
        <v>467.27743181786548</v>
      </c>
      <c r="AE19" s="782">
        <f t="shared" si="21"/>
        <v>242.36916387108516</v>
      </c>
      <c r="AF19" s="780">
        <f t="shared" si="0"/>
        <v>919.1692879543682</v>
      </c>
      <c r="AG19" s="539">
        <f t="shared" si="22"/>
        <v>9748.9297907092077</v>
      </c>
      <c r="AH19" s="2072">
        <f t="shared" si="1"/>
        <v>870.81925192302606</v>
      </c>
      <c r="AI19" s="2451">
        <f t="shared" si="23"/>
        <v>9783.7403481435795</v>
      </c>
      <c r="AJ19" s="2439">
        <f>IF(ISNUMBER(IF($N$3&gt;=$B19,Real!AL20,'Proy. Mes'!AF20)),IF($N$3&gt;=$B19,Real!AL20,'Proy. Mes'!AF20),0)</f>
        <v>2260.442138671875</v>
      </c>
      <c r="AK19" s="2452">
        <f>IF(ISNUMBER(IF($N$3&gt;=$B19,Real!AM20,'Proy. Mes'!AG20)),IF($N$3&gt;=$B19,Real!AM20,'Proy. Mes'!AG20),0)</f>
        <v>26.28</v>
      </c>
      <c r="AL19" s="2453">
        <f t="shared" si="12"/>
        <v>594.0441940429688</v>
      </c>
      <c r="AM19" s="2439">
        <f>IF(ISNUMBER(IF($N$3&gt;=$B19,Real!AO20,'Proy. Mes'!AI20)),IF($N$3&gt;=$B19,Real!AO20,'Proy. Mes'!AI20),0)</f>
        <v>1861.0586181049425</v>
      </c>
      <c r="AN19" s="2452">
        <f>IF(ISNUMBER(IF($N$3&gt;=$B19,Real!AP20,'Proy. Mes'!AJ20)),IF($N$3&gt;=$B19,Real!AP20,'Proy. Mes'!AJ20),0)</f>
        <v>25.879253666727216</v>
      </c>
      <c r="AO19" s="2453">
        <f t="shared" si="27"/>
        <v>481.62808066586621</v>
      </c>
      <c r="AP19" s="783">
        <f t="shared" si="2"/>
        <v>2633.4796796001724</v>
      </c>
      <c r="AQ19" s="783">
        <f t="shared" si="28"/>
        <v>462.36295743923154</v>
      </c>
      <c r="AR19" s="783">
        <f t="shared" si="26"/>
        <v>7264.3608016115932</v>
      </c>
      <c r="AS19" s="2455">
        <f>+'Plan mina PS'!Q54*1000</f>
        <v>213536.50605878059</v>
      </c>
      <c r="AT19" s="784"/>
      <c r="AU19" s="2454"/>
      <c r="AV19" s="2438">
        <f t="shared" si="4"/>
        <v>46093.791666666664</v>
      </c>
      <c r="AW19" s="2069">
        <f>IF(ISNUMBER(IF($N$3&gt;=$B19,Real!AC20,'Proy. Mes'!BC20)),IF($N$3&gt;=$B19,Real!AC20,'Proy. Mes'!BC20),0)</f>
        <v>67.635406494140625</v>
      </c>
      <c r="AX19" s="783"/>
      <c r="AY19" s="783"/>
      <c r="AZ19" s="783"/>
      <c r="BA19" s="2432">
        <f>IF($N$3&gt;=$B19,Real!AE20,'Proy. Mes'!AW20)</f>
        <v>21.273388437093605</v>
      </c>
      <c r="BB19" s="782">
        <f>IF($N$3&gt;=$B19,Real!AF20,'Proy. Mes'!AX20)</f>
        <v>992.08333333333337</v>
      </c>
      <c r="BC19" s="2078">
        <f>'Plan mina PS'!AG17</f>
        <v>1.0829014899727001</v>
      </c>
      <c r="BD19" s="3099">
        <f>IF($N$3&gt;=$B19,Real!AS20,'Proy. Mes'!AY20)</f>
        <v>4.3060340881347656</v>
      </c>
      <c r="BE19" s="2440">
        <f>IF($N$3&gt;=$B19,Real!AU20,'Proy. Mes'!BB20)</f>
        <v>37.888394037882485</v>
      </c>
      <c r="BF19" s="780">
        <f>IF($N$3&gt;=$B19,Real!AI20,'Proy. Mes'!AO20)</f>
        <v>5983.7167746356126</v>
      </c>
      <c r="BG19" s="780">
        <f>IF($N$3&gt;=$B19,Real!AJ20,'Proy. Mes'!AP20)</f>
        <v>1975.1113176890262</v>
      </c>
      <c r="BH19" s="780">
        <f>IF($N$3&gt;=$B19,Real!AK20,'Proy. Mes'!AQ20)</f>
        <v>7983.8786981764551</v>
      </c>
      <c r="BI19" s="780"/>
      <c r="BJ19" s="539"/>
      <c r="BK19" s="539"/>
      <c r="BL19" s="781">
        <f>IF($N$3&gt;=$B19,Real!H20,'Proy. Mes'!AR20)</f>
        <v>95.202418045694827</v>
      </c>
      <c r="BM19" s="539"/>
      <c r="BN19" s="539"/>
      <c r="BO19" s="539"/>
      <c r="BP19" s="2441"/>
      <c r="BQ19" s="2442"/>
      <c r="BR19" s="2443"/>
      <c r="BS19" s="2444"/>
      <c r="BT19" s="785"/>
      <c r="BU19" s="785"/>
      <c r="BV19" s="2445"/>
      <c r="BW19" s="785"/>
      <c r="BX19" s="785"/>
      <c r="BY19" s="785"/>
      <c r="BZ19" s="785"/>
      <c r="CA19" s="2446"/>
      <c r="CB19" s="2446"/>
      <c r="CC19" s="2446"/>
      <c r="CD19" s="2443"/>
      <c r="CE19" s="2446"/>
      <c r="CF19" s="2446"/>
      <c r="CG19" s="2446"/>
      <c r="CH19" s="2444"/>
      <c r="CI19" s="2446"/>
      <c r="CJ19" s="2443"/>
      <c r="CK19" s="2446"/>
      <c r="CL19" s="2446"/>
      <c r="CM19" s="2443"/>
      <c r="CN19" s="2444"/>
      <c r="CO19" s="2446"/>
      <c r="CP19" s="2447"/>
      <c r="CQ19" s="786"/>
      <c r="CV19" s="2448"/>
      <c r="CW19" s="2449">
        <f>IF(ISNUMBER(IF($N$3&gt;=$B19,Real!AD20,'Proy. Mes'!BD20)),IF($N$3&gt;=$B19,Real!AD20,'Proy. Mes'!BD20),0)</f>
        <v>43.550209045410156</v>
      </c>
      <c r="CX19" s="783">
        <f t="shared" si="13"/>
        <v>8932.5089482359635</v>
      </c>
      <c r="DA19" s="744">
        <f t="shared" si="5"/>
        <v>22.848580330966762</v>
      </c>
      <c r="DB19" s="744">
        <v>1</v>
      </c>
      <c r="DC19" s="2449">
        <f>IF(ISNUMBER(IF($N$3&gt;=$B19,Real!AC20,'Proy. Mes'!BC20*100)),IF($N$3&gt;=$B19,Real!AC20,'Proy. Mes'!BC20*100),0)</f>
        <v>67.635406494140625</v>
      </c>
      <c r="DE19" s="4239">
        <f t="shared" si="14"/>
        <v>184089.18730926514</v>
      </c>
      <c r="DF19" s="4239">
        <f t="shared" si="24"/>
        <v>1934658.5918297959</v>
      </c>
      <c r="DG19" s="4234">
        <f t="shared" si="15"/>
        <v>0.50065835137126502</v>
      </c>
      <c r="DH19" s="342">
        <f>SUMPRODUCT(DG$8:DG19,DE$8:DE19)/DF19</f>
        <v>0.49994664514819681</v>
      </c>
      <c r="DI19" s="4240">
        <f t="shared" si="6"/>
        <v>89.649250320746972</v>
      </c>
      <c r="DJ19" s="348" cm="1">
        <f t="array" ref="DJ19">SUMPRODUCT(DI$8:DI19,DE$8:DE19/DF19)</f>
        <v>90.632112693981668</v>
      </c>
      <c r="DK19" s="866"/>
      <c r="DL19" s="866"/>
      <c r="DM19" s="866"/>
      <c r="DN19" s="866"/>
      <c r="DO19" s="866"/>
      <c r="DP19" s="866"/>
      <c r="DQ19" s="866"/>
      <c r="DR19" s="866"/>
    </row>
    <row r="20" spans="1:122" s="744" customFormat="1" ht="17.25" customHeight="1">
      <c r="A20" s="2450"/>
      <c r="B20" s="2065">
        <f t="shared" si="7"/>
        <v>46094.791666666664</v>
      </c>
      <c r="C20" s="780">
        <f>IF($N$3&gt;=$B20,Real!C21,'Proy. Mes'!C21)</f>
        <v>207299.29919999998</v>
      </c>
      <c r="D20" s="2432">
        <f>IF($N$3&gt;=$B20,Real!D21,D19+C20-E20)</f>
        <v>494549.1936</v>
      </c>
      <c r="E20" s="2432">
        <f>IF($N$3&gt;=$B20,Real!E21,'Proy. Mes'!E21)</f>
        <v>198001.22031784058</v>
      </c>
      <c r="F20" s="2432">
        <f>IF($N$3&gt;=$B20,Real!F21,'Proy. Mes'!F21)</f>
        <v>49809.8125</v>
      </c>
      <c r="G20" s="2432">
        <f>IF($N$3&gt;=$B20,Real!G21,'Proy. Mes'!G21)</f>
        <v>148191.40781784058</v>
      </c>
      <c r="H20" s="2067">
        <f>IF($N$3&gt;=$B20,Real!H21,'Proy. Mes'!H21)</f>
        <v>99.805951931413816</v>
      </c>
      <c r="I20" s="2067">
        <f>IF($N$3&gt;=$B20,Real!I21,'Proy. Mes'!I21)</f>
        <v>100</v>
      </c>
      <c r="J20" s="2067">
        <f t="shared" si="8"/>
        <v>99.841697526128087</v>
      </c>
      <c r="K20" s="781">
        <f t="shared" si="9"/>
        <v>57.050479888916016</v>
      </c>
      <c r="L20" s="2066">
        <f>IF(ISNUMBER(IF($N$3&gt;=$B20,Real!K21,'Proy. Mes'!K21)),IF($N$3&gt;=$B20,Real!K21,'Proy. Mes'!K21),0)</f>
        <v>0.46982106798898832</v>
      </c>
      <c r="M20" s="781">
        <f>IF(ISNUMBER(IF($N$3&gt;=$B20,Real!L21,'Proy. Mes'!L21)),IF($N$3&gt;=$B20,Real!L21,'Proy. Mes'!L21),0)</f>
        <v>91.021522591440998</v>
      </c>
      <c r="N20" s="781">
        <f>IF(ISNUMBER(IF($N$3&gt;=$B20,Real!M21,'Proy. Mes'!M21)),IF($N$3&gt;=$B20,Real!M21,'Proy. Mes'!M21),0)</f>
        <v>25.452571036761611</v>
      </c>
      <c r="O20" s="780">
        <f>IF(ISNUMBER(IF($N$3&gt;=$B20,Real!N21,'Proy. Mes'!N21)),IF($N$3&gt;=$B20,Real!N21,'Proy. Mes'!N21),0)</f>
        <v>3326.6935218862882</v>
      </c>
      <c r="P20" s="539">
        <f t="shared" si="16"/>
        <v>37518.809709812718</v>
      </c>
      <c r="Q20" s="780">
        <f t="shared" si="10"/>
        <v>846.7290318334542</v>
      </c>
      <c r="R20" s="782">
        <f t="shared" si="17"/>
        <v>9615.831172870654</v>
      </c>
      <c r="S20" s="780">
        <f>IF(ISNUMBER(IF($N$3&gt;=$B20,Real!R21,'Proy. Mes'!R21)),IF($N$3&gt;=$B20,Real!R21,'Proy. Mes'!R21),0)</f>
        <v>169.1222634558317</v>
      </c>
      <c r="T20" s="781">
        <f>IF(ISNUMBER(IF($N$3&gt;=$B20,Real!S21,'Proy. Mes'!S21)),IF($N$3&gt;=$B20,Real!S21,'Proy. Mes'!S21),0)</f>
        <v>88.048377209512722</v>
      </c>
      <c r="U20" s="781">
        <f>IF(ISNUMBER(IF($N$3&gt;=$B20,Real!T21,'Proy. Mes'!T21)),IF($N$3&gt;=$B20,Real!T21,'Proy. Mes'!T21),0)</f>
        <v>93.4</v>
      </c>
      <c r="V20" s="781">
        <f>IF(ISNUMBER(IF($N$3&gt;=$B20,Real!U21,'Proy. Mes'!U21)),IF($N$3&gt;=$B20,Real!U21,'Proy. Mes'!U21),0)</f>
        <v>82.237184313684878</v>
      </c>
      <c r="W20" s="781">
        <f>IF(ISNUMBER(IF($N$3&gt;=$B20,Real!V21,'Proy. Mes'!V21)),IF($N$3&gt;=$B20,Real!V21,'Proy. Mes'!V21),0)</f>
        <v>48.25854477840155</v>
      </c>
      <c r="X20" s="780">
        <f>IF(ISNUMBER(IF($N$3&gt;=$B20,Real!W21,'Proy. Mes'!W21)),IF($N$3&gt;=$B20,Real!W21,'Proy. Mes'!W21),0)</f>
        <v>57.064058971636747</v>
      </c>
      <c r="Y20" s="539">
        <f t="shared" si="18"/>
        <v>722.84605368797247</v>
      </c>
      <c r="Z20" s="539">
        <f t="shared" si="11"/>
        <v>31.370011631562029</v>
      </c>
      <c r="AA20" s="780">
        <f>IF(ISNUMBER(IF($N$3&gt;=$B20,Real!Y21,'Proy. Mes'!Z21)),IF($N$3&gt;=$B20,Real!Y21,'Proy. Mes'!Z21),0)</f>
        <v>27.538284451200784</v>
      </c>
      <c r="AB20" s="782">
        <f t="shared" si="19"/>
        <v>365.52643542464267</v>
      </c>
      <c r="AC20" s="780">
        <f>IF(ISNUMBER(IF($N$3&gt;=$B20,Real!AA21,'Proy. Mes'!AB21)),IF($N$3&gt;=$B20,Real!AA21,'Proy. Mes'!AB21),0)</f>
        <v>15.138711110207137</v>
      </c>
      <c r="AD20" s="539">
        <f t="shared" si="20"/>
        <v>482.41614292807259</v>
      </c>
      <c r="AE20" s="782">
        <f t="shared" si="21"/>
        <v>254.76873721207883</v>
      </c>
      <c r="AF20" s="780">
        <f t="shared" si="0"/>
        <v>926.56251845748523</v>
      </c>
      <c r="AG20" s="539">
        <f t="shared" si="22"/>
        <v>10675.492309166693</v>
      </c>
      <c r="AH20" s="2072">
        <f t="shared" si="1"/>
        <v>858.22101651473099</v>
      </c>
      <c r="AI20" s="2451">
        <f t="shared" si="23"/>
        <v>10641.961364658311</v>
      </c>
      <c r="AJ20" s="2439">
        <f>IF(ISNUMBER(IF($N$3&gt;=$B20,Real!AL21,'Proy. Mes'!AF21)),IF($N$3&gt;=$B20,Real!AL21,'Proy. Mes'!AF21),0)</f>
        <v>2580.423828125</v>
      </c>
      <c r="AK20" s="2452">
        <f>IF(ISNUMBER(IF($N$3&gt;=$B20,Real!AM21,'Proy. Mes'!AG21)),IF($N$3&gt;=$B20,Real!AM21,'Proy. Mes'!AG21),0)</f>
        <v>25.17</v>
      </c>
      <c r="AL20" s="2453">
        <f t="shared" si="12"/>
        <v>649.49267753906258</v>
      </c>
      <c r="AM20" s="2439">
        <f>IF(ISNUMBER(IF($N$3&gt;=$B20,Real!AO21,'Proy. Mes'!AI21)),IF($N$3&gt;=$B20,Real!AO21,'Proy. Mes'!AI21),0)</f>
        <v>2926.8109366210256</v>
      </c>
      <c r="AN20" s="2452">
        <f>IF(ISNUMBER(IF($N$3&gt;=$B20,Real!AP21,'Proy. Mes'!AJ21)),IF($N$3&gt;=$B20,Real!AP21,'Proy. Mes'!AJ21),0)</f>
        <v>25.170484626978908</v>
      </c>
      <c r="AO20" s="2453">
        <f t="shared" si="25"/>
        <v>736.69249686293256</v>
      </c>
      <c r="AP20" s="783">
        <f t="shared" si="2"/>
        <v>2743.5162145706936</v>
      </c>
      <c r="AQ20" s="783">
        <f t="shared" si="28"/>
        <v>707.22479698841528</v>
      </c>
      <c r="AR20" s="783">
        <f t="shared" si="26"/>
        <v>7664.2433868768558</v>
      </c>
      <c r="AS20" s="2455">
        <f>+'Plan mina PS'!Q55*1000</f>
        <v>195280.46042277932</v>
      </c>
      <c r="AT20" s="784"/>
      <c r="AU20" s="2454"/>
      <c r="AV20" s="2438">
        <f t="shared" si="4"/>
        <v>46094.791666666664</v>
      </c>
      <c r="AW20" s="2069">
        <f>IF(ISNUMBER(IF($N$3&gt;=$B20,Real!AC21,'Proy. Mes'!BC21)),IF($N$3&gt;=$B20,Real!AC21,'Proy. Mes'!BC21),0)</f>
        <v>77.12432861328125</v>
      </c>
      <c r="AX20" s="783"/>
      <c r="AY20" s="783"/>
      <c r="AZ20" s="783"/>
      <c r="BA20" s="2432">
        <f>IF($N$3&gt;=$B20,Real!AE21,'Proy. Mes'!AW21)</f>
        <v>22.070081928928818</v>
      </c>
      <c r="BB20" s="782">
        <f>IF($N$3&gt;=$B20,Real!AF21,'Proy. Mes'!AX21)</f>
        <v>620.91666666666663</v>
      </c>
      <c r="BC20" s="2078">
        <f>'Plan mina PS'!AG18</f>
        <v>1.4442344811928749</v>
      </c>
      <c r="BD20" s="3099">
        <f>IF($N$3&gt;=$B20,Real!AS21,'Proy. Mes'!AY21)</f>
        <v>4.4469394683837891</v>
      </c>
      <c r="BE20" s="2440">
        <f>IF($N$3&gt;=$B20,Real!AU21,'Proy. Mes'!BB21)</f>
        <v>37.351792335510254</v>
      </c>
      <c r="BF20" s="780">
        <f>IF($N$3&gt;=$B20,Real!AI21,'Proy. Mes'!AO21)</f>
        <v>6186.6470615431917</v>
      </c>
      <c r="BG20" s="780">
        <f>IF($N$3&gt;=$B20,Real!AJ21,'Proy. Mes'!AP21)</f>
        <v>2075.4088541666665</v>
      </c>
      <c r="BH20" s="780">
        <f>IF($N$3&gt;=$B20,Real!AK21,'Proy. Mes'!AQ21)</f>
        <v>8263.1315883002626</v>
      </c>
      <c r="BI20" s="780"/>
      <c r="BJ20" s="539"/>
      <c r="BK20" s="539"/>
      <c r="BL20" s="781">
        <f>IF($N$3&gt;=$B20,Real!H21,'Proy. Mes'!AR21)</f>
        <v>99.805951931413816</v>
      </c>
      <c r="BM20" s="539"/>
      <c r="BN20" s="539"/>
      <c r="BO20" s="539"/>
      <c r="BP20" s="2441"/>
      <c r="BQ20" s="2442"/>
      <c r="BR20" s="2443"/>
      <c r="BS20" s="2444"/>
      <c r="BT20" s="785"/>
      <c r="BU20" s="785"/>
      <c r="BV20" s="2445"/>
      <c r="BW20" s="785"/>
      <c r="BX20" s="785"/>
      <c r="BY20" s="785"/>
      <c r="BZ20" s="785"/>
      <c r="CA20" s="2446"/>
      <c r="CB20" s="2446"/>
      <c r="CC20" s="2446"/>
      <c r="CD20" s="2443"/>
      <c r="CE20" s="2446"/>
      <c r="CF20" s="2446"/>
      <c r="CG20" s="2446"/>
      <c r="CH20" s="2444"/>
      <c r="CI20" s="2446"/>
      <c r="CJ20" s="2443"/>
      <c r="CK20" s="2446"/>
      <c r="CL20" s="2446"/>
      <c r="CM20" s="2443"/>
      <c r="CN20" s="2444"/>
      <c r="CO20" s="2446"/>
      <c r="CP20" s="2447"/>
      <c r="CQ20" s="786"/>
      <c r="CV20" s="2448"/>
      <c r="CW20" s="2449">
        <f>IF(ISNUMBER(IF($N$3&gt;=$B20,Real!AD21,'Proy. Mes'!BD21)),IF($N$3&gt;=$B20,Real!AD21,'Proy. Mes'!BD21),0)</f>
        <v>57.050479888916016</v>
      </c>
      <c r="CX20" s="783">
        <f t="shared" si="13"/>
        <v>9669.2014450988954</v>
      </c>
      <c r="DA20" s="744">
        <f t="shared" si="5"/>
        <v>23.953428463539318</v>
      </c>
      <c r="DB20" s="744">
        <v>1</v>
      </c>
      <c r="DC20" s="2449">
        <f>IF(ISNUMBER(IF($N$3&gt;=$B20,Real!AC21,'Proy. Mes'!BC21*100)),IF($N$3&gt;=$B20,Real!AC21,'Proy. Mes'!BC21*100),0)</f>
        <v>77.12432861328125</v>
      </c>
      <c r="DE20" s="4239">
        <f t="shared" si="14"/>
        <v>198001.22031784058</v>
      </c>
      <c r="DF20" s="4239">
        <f t="shared" si="24"/>
        <v>2132659.8121476364</v>
      </c>
      <c r="DG20" s="4234">
        <f t="shared" si="15"/>
        <v>0.46982106798898832</v>
      </c>
      <c r="DH20" s="342">
        <f>SUMPRODUCT(DG$8:DG20,DE$8:DE20)/DF20</f>
        <v>0.49714971475811459</v>
      </c>
      <c r="DI20" s="4240">
        <f t="shared" si="6"/>
        <v>91.021522591440998</v>
      </c>
      <c r="DJ20" s="348" cm="1">
        <f t="array" ref="DJ20">SUMPRODUCT(DI$8:DI20,DE$8:DE20/DF20)</f>
        <v>90.668266437050107</v>
      </c>
      <c r="DK20" s="866"/>
      <c r="DL20" s="866"/>
      <c r="DM20" s="866"/>
      <c r="DN20" s="866"/>
      <c r="DO20" s="866"/>
      <c r="DP20" s="866"/>
      <c r="DQ20" s="866"/>
      <c r="DR20" s="866"/>
    </row>
    <row r="21" spans="1:122" s="744" customFormat="1" ht="17.25" customHeight="1">
      <c r="A21" s="2450"/>
      <c r="B21" s="2065">
        <f t="shared" si="7"/>
        <v>46095.791666666664</v>
      </c>
      <c r="C21" s="780">
        <f>IF($N$3&gt;=$B21,Real!C22,'Proy. Mes'!C22)</f>
        <v>151402.48199999999</v>
      </c>
      <c r="D21" s="2432">
        <f>IF($N$3&gt;=$B21,Real!D22,D20+C21-E21)</f>
        <v>455007.77279999998</v>
      </c>
      <c r="E21" s="2432">
        <f>IF($N$3&gt;=$B21,Real!E22,'Proy. Mes'!E22)</f>
        <v>188416.49098777771</v>
      </c>
      <c r="F21" s="2432">
        <f>IF($N$3&gt;=$B21,Real!F22,'Proy. Mes'!F22)</f>
        <v>46778.01953125</v>
      </c>
      <c r="G21" s="2432">
        <f>IF($N$3&gt;=$B21,Real!G22,'Proy. Mes'!G22)</f>
        <v>141638.47145652771</v>
      </c>
      <c r="H21" s="2067">
        <f>IF($N$3&gt;=$B21,Real!H22,'Proy. Mes'!H22)</f>
        <v>98.842743710058812</v>
      </c>
      <c r="I21" s="2067">
        <f>IF($N$3&gt;=$B21,Real!I22,'Proy. Mes'!I22)</f>
        <v>98.055557250976563</v>
      </c>
      <c r="J21" s="2067">
        <f t="shared" si="8"/>
        <v>98.697736092431285</v>
      </c>
      <c r="K21" s="781">
        <f t="shared" si="9"/>
        <v>69.448814392089844</v>
      </c>
      <c r="L21" s="2066">
        <f>IF(ISNUMBER(IF($N$3&gt;=$B21,Real!K22,'Proy. Mes'!K22)),IF($N$3&gt;=$B21,Real!K22,'Proy. Mes'!K22),0)</f>
        <v>0.44887259686871089</v>
      </c>
      <c r="M21" s="781">
        <f>IF(ISNUMBER(IF($N$3&gt;=$B21,Real!L22,'Proy. Mes'!L22)),IF($N$3&gt;=$B21,Real!L22,'Proy. Mes'!L22),0)</f>
        <v>91.060718516678335</v>
      </c>
      <c r="N21" s="781">
        <f>IF(ISNUMBER(IF($N$3&gt;=$B21,Real!M22,'Proy. Mes'!M22)),IF($N$3&gt;=$B21,Real!M22,'Proy. Mes'!M22),0)</f>
        <v>26.857676001075948</v>
      </c>
      <c r="O21" s="780">
        <f>IF(ISNUMBER(IF($N$3&gt;=$B21,Real!N22,'Proy. Mes'!N22)),IF($N$3&gt;=$B21,Real!N22,'Proy. Mes'!N22),0)</f>
        <v>2867.5080569330084</v>
      </c>
      <c r="P21" s="539">
        <f t="shared" si="16"/>
        <v>40386.317766745728</v>
      </c>
      <c r="Q21" s="780">
        <f>+O21*N21/100</f>
        <v>770.14602323581585</v>
      </c>
      <c r="R21" s="782">
        <f t="shared" si="17"/>
        <v>10385.977196106469</v>
      </c>
      <c r="S21" s="780">
        <f>IF(ISNUMBER(IF($N$3&gt;=$B21,Real!R22,'Proy. Mes'!R22)),IF($N$3&gt;=$B21,Real!R22,'Proy. Mes'!R22),0)</f>
        <v>265.11258551932724</v>
      </c>
      <c r="T21" s="781">
        <f>IF(ISNUMBER(IF($N$3&gt;=$B21,Real!S22,'Proy. Mes'!S22)),IF($N$3&gt;=$B21,Real!S22,'Proy. Mes'!S22),0)</f>
        <v>92.366651892299217</v>
      </c>
      <c r="U21" s="781">
        <f>IF(ISNUMBER(IF($N$3&gt;=$B21,Real!T22,'Proy. Mes'!T22)),IF($N$3&gt;=$B21,Real!T22,'Proy. Mes'!T22),0)</f>
        <v>91</v>
      </c>
      <c r="V21" s="781">
        <f>IF(ISNUMBER(IF($N$3&gt;=$B21,Real!U22,'Proy. Mes'!U22)),IF($N$3&gt;=$B21,Real!U22,'Proy. Mes'!U22),0)</f>
        <v>84.053653221992278</v>
      </c>
      <c r="W21" s="781">
        <f>IF(ISNUMBER(IF($N$3&gt;=$B21,Real!V22,'Proy. Mes'!V22)),IF($N$3&gt;=$B21,Real!V22,'Proy. Mes'!V22),0)</f>
        <v>48.270430461397723</v>
      </c>
      <c r="X21" s="780">
        <f>IF(ISNUMBER(IF($N$3&gt;=$B21,Real!W22,'Proy. Mes'!W22)),IF($N$3&gt;=$B21,Real!W22,'Proy. Mes'!W22),0)</f>
        <v>86.981056559552201</v>
      </c>
      <c r="Y21" s="539">
        <f t="shared" si="18"/>
        <v>809.82711024752462</v>
      </c>
      <c r="Z21" s="539">
        <f t="shared" si="11"/>
        <v>74.863275000000144</v>
      </c>
      <c r="AA21" s="780">
        <f>IF(ISNUMBER(IF($N$3&gt;=$B21,Real!Y22,'Proy. Mes'!Z22)),IF($N$3&gt;=$B21,Real!Y22,'Proy. Mes'!Z22),0)</f>
        <v>41.986130421167665</v>
      </c>
      <c r="AB21" s="782">
        <f t="shared" si="19"/>
        <v>407.51256584581034</v>
      </c>
      <c r="AC21" s="780">
        <f>IF(ISNUMBER(IF($N$3&gt;=$B21,Real!AA22,'Proy. Mes'!AB22)),IF($N$3&gt;=$B21,Real!AA22,'Proy. Mes'!AB22),0)</f>
        <v>36.136825100000017</v>
      </c>
      <c r="AD21" s="539">
        <f t="shared" si="20"/>
        <v>518.55296802807266</v>
      </c>
      <c r="AE21" s="782">
        <f t="shared" si="21"/>
        <v>260.61804253324647</v>
      </c>
      <c r="AF21" s="780">
        <f t="shared" si="0"/>
        <v>891.86381532678092</v>
      </c>
      <c r="AG21" s="539">
        <f t="shared" si="22"/>
        <v>11567.356124493474</v>
      </c>
      <c r="AH21" s="2072">
        <f t="shared" si="1"/>
        <v>845.11732703793029</v>
      </c>
      <c r="AI21" s="2451">
        <f t="shared" si="23"/>
        <v>11487.078691696241</v>
      </c>
      <c r="AJ21" s="2439">
        <f>IF(ISNUMBER(IF($N$3&gt;=$B21,Real!AL22,'Proy. Mes'!AF22)),IF($N$3&gt;=$B21,Real!AL22,'Proy. Mes'!AF22),0)</f>
        <v>3728.71875</v>
      </c>
      <c r="AK21" s="2452">
        <f>IF(ISNUMBER(IF($N$3&gt;=$B21,Real!AM22,'Proy. Mes'!AG22)),IF($N$3&gt;=$B21,Real!AM22,'Proy. Mes'!AG22),0)</f>
        <v>25.92</v>
      </c>
      <c r="AL21" s="2453">
        <f t="shared" si="12"/>
        <v>966.48389999999995</v>
      </c>
      <c r="AM21" s="2439">
        <f>IF(ISNUMBER(IF($N$3&gt;=$B21,Real!AO22,'Proy. Mes'!AI22)),IF($N$3&gt;=$B21,Real!AO22,'Proy. Mes'!AI22),0)</f>
        <v>2665.0686157279829</v>
      </c>
      <c r="AN21" s="2452">
        <f>IF(ISNUMBER(IF($N$3&gt;=$B21,Real!AP22,'Proy. Mes'!AJ22)),IF($N$3&gt;=$B21,Real!AP22,'Proy. Mes'!AJ22),0)</f>
        <v>25.52902971040816</v>
      </c>
      <c r="AO21" s="2453">
        <f t="shared" si="25"/>
        <v>680.36615871196034</v>
      </c>
      <c r="AP21" s="783">
        <f t="shared" si="2"/>
        <v>2833.296079094549</v>
      </c>
      <c r="AQ21" s="783">
        <f t="shared" si="28"/>
        <v>653.15151236348186</v>
      </c>
      <c r="AR21" s="783">
        <f t="shared" si="26"/>
        <v>7866.6828280818818</v>
      </c>
      <c r="AS21" s="2455">
        <f>+'Plan mina PS'!Q56*1000</f>
        <v>198111.46599937516</v>
      </c>
      <c r="AT21" s="784"/>
      <c r="AU21" s="2454"/>
      <c r="AV21" s="2438">
        <f t="shared" si="4"/>
        <v>46095.791666666664</v>
      </c>
      <c r="AW21" s="2069">
        <f>IF(ISNUMBER(IF($N$3&gt;=$B21,Real!AC22,'Proy. Mes'!BC22)),IF($N$3&gt;=$B21,Real!AC22,'Proy. Mes'!BC22),0)</f>
        <v>85.574386596679688</v>
      </c>
      <c r="AX21" s="783"/>
      <c r="AY21" s="783"/>
      <c r="AZ21" s="783"/>
      <c r="BA21" s="2432">
        <f>IF($N$3&gt;=$B21,Real!AE22,'Proy. Mes'!AW22)</f>
        <v>21.400749721323734</v>
      </c>
      <c r="BB21" s="782">
        <f>IF($N$3&gt;=$B21,Real!AF22,'Proy. Mes'!AX22)</f>
        <v>549.16666666666663</v>
      </c>
      <c r="BC21" s="2078">
        <f>'Plan mina PS'!AG19</f>
        <v>1.4731368744178415</v>
      </c>
      <c r="BD21" s="3099">
        <f>IF($N$3&gt;=$B21,Real!AS22,'Proy. Mes'!AY22)</f>
        <v>4.8530058860778809</v>
      </c>
      <c r="BE21" s="2440">
        <f>IF($N$3&gt;=$B21,Real!AU22,'Proy. Mes'!BB22)</f>
        <v>37.591156005859375</v>
      </c>
      <c r="BF21" s="780">
        <f>IF($N$3&gt;=$B21,Real!AI22,'Proy. Mes'!AO22)</f>
        <v>5970.6992702133375</v>
      </c>
      <c r="BG21" s="780">
        <f>IF($N$3&gt;=$B21,Real!AJ22,'Proy. Mes'!AP22)</f>
        <v>1987.7345066192106</v>
      </c>
      <c r="BH21" s="780">
        <f>IF($N$3&gt;=$B21,Real!AK22,'Proy. Mes'!AQ22)</f>
        <v>7954.2727475922075</v>
      </c>
      <c r="BI21" s="780"/>
      <c r="BJ21" s="539"/>
      <c r="BK21" s="539"/>
      <c r="BL21" s="781">
        <f>IF($N$3&gt;=$B21,Real!H22,'Proy. Mes'!AR22)</f>
        <v>98.842743710058812</v>
      </c>
      <c r="BM21" s="539"/>
      <c r="BN21" s="539"/>
      <c r="BO21" s="539"/>
      <c r="BP21" s="2441"/>
      <c r="BQ21" s="2442"/>
      <c r="BR21" s="2443"/>
      <c r="BS21" s="2444"/>
      <c r="BT21" s="785"/>
      <c r="BU21" s="785"/>
      <c r="BV21" s="2445"/>
      <c r="BW21" s="785"/>
      <c r="BX21" s="785"/>
      <c r="BY21" s="785"/>
      <c r="BZ21" s="785"/>
      <c r="CA21" s="2446"/>
      <c r="CB21" s="2446"/>
      <c r="CC21" s="2446"/>
      <c r="CD21" s="2443"/>
      <c r="CE21" s="2446"/>
      <c r="CF21" s="2446"/>
      <c r="CG21" s="2446"/>
      <c r="CH21" s="2444"/>
      <c r="CI21" s="2446"/>
      <c r="CJ21" s="2443"/>
      <c r="CK21" s="2446"/>
      <c r="CL21" s="2446"/>
      <c r="CM21" s="2443"/>
      <c r="CN21" s="2444"/>
      <c r="CO21" s="2446"/>
      <c r="CP21" s="2447"/>
      <c r="CQ21" s="786"/>
      <c r="CV21" s="2448"/>
      <c r="CW21" s="2449">
        <f>IF(ISNUMBER(IF($N$3&gt;=$B21,Real!AD22,'Proy. Mes'!BD22)),IF($N$3&gt;=$B21,Real!AD22,'Proy. Mes'!BD22),0)</f>
        <v>69.448814392089844</v>
      </c>
      <c r="CX21" s="783">
        <f t="shared" si="13"/>
        <v>10349.567603810856</v>
      </c>
      <c r="DA21" s="744">
        <f t="shared" si="5"/>
        <v>23.722258490414116</v>
      </c>
      <c r="DB21" s="744">
        <v>1</v>
      </c>
      <c r="DC21" s="2449">
        <f>IF(ISNUMBER(IF($N$3&gt;=$B21,Real!AC22,'Proy. Mes'!BC22*100)),IF($N$3&gt;=$B21,Real!AC22,'Proy. Mes'!BC22*100),0)</f>
        <v>85.574386596679688</v>
      </c>
      <c r="DE21" s="4239">
        <f t="shared" si="14"/>
        <v>188416.49098777771</v>
      </c>
      <c r="DF21" s="4239">
        <f t="shared" si="24"/>
        <v>2321076.3031354141</v>
      </c>
      <c r="DG21" s="4234">
        <f t="shared" si="15"/>
        <v>0.44887259686871089</v>
      </c>
      <c r="DH21" s="342">
        <f>SUMPRODUCT(DG$8:DG21,DE$8:DE21)/DF21</f>
        <v>0.4932307547758697</v>
      </c>
      <c r="DI21" s="4240">
        <f t="shared" si="6"/>
        <v>91.060718516678335</v>
      </c>
      <c r="DJ21" s="348" cm="1">
        <f t="array" ref="DJ21">SUMPRODUCT(DI$8:DI21,DE$8:DE21/DF21)</f>
        <v>90.700124262501419</v>
      </c>
      <c r="DK21" s="866"/>
      <c r="DL21" s="866"/>
      <c r="DM21" s="866"/>
      <c r="DN21" s="866"/>
      <c r="DO21" s="866"/>
      <c r="DP21" s="866"/>
      <c r="DQ21" s="866"/>
      <c r="DR21" s="866"/>
    </row>
    <row r="22" spans="1:122" s="744" customFormat="1" ht="17.25" customHeight="1">
      <c r="A22" s="2450" t="s">
        <v>328</v>
      </c>
      <c r="B22" s="2065">
        <f t="shared" si="7"/>
        <v>46096.791666666664</v>
      </c>
      <c r="C22" s="780">
        <f>IF($N$3&gt;=$B22,Real!C23,'Proy. Mes'!C23)</f>
        <v>199249.1256</v>
      </c>
      <c r="D22" s="4241">
        <f>+'Plan mina PS'!L57*1000</f>
        <v>424104.79999999993</v>
      </c>
      <c r="E22" s="2432">
        <f>IF($N$3&gt;=$B22,Real!E23,'Proy. Mes'!E23)</f>
        <v>196432.52658081055</v>
      </c>
      <c r="F22" s="2432">
        <f>IF($N$3&gt;=$B22,Real!F23,'Proy. Mes'!F23)</f>
        <v>48349.4453125</v>
      </c>
      <c r="G22" s="2432">
        <f>IF($N$3&gt;=$B22,Real!G23,'Proy. Mes'!G23)</f>
        <v>148083.08126831055</v>
      </c>
      <c r="H22" s="2067">
        <f>IF($N$3&gt;=$B22,Real!H23,'Proy. Mes'!H23)</f>
        <v>96.037580556891996</v>
      </c>
      <c r="I22" s="2067">
        <f>IF($N$3&gt;=$B22,Real!I23,'Proy. Mes'!I23)</f>
        <v>100</v>
      </c>
      <c r="J22" s="2067">
        <f t="shared" si="8"/>
        <v>96.767497842506927</v>
      </c>
      <c r="K22" s="781">
        <f t="shared" si="9"/>
        <v>56.61859130859375</v>
      </c>
      <c r="L22" s="2066">
        <f>IF(ISNUMBER(IF($N$3&gt;=$B22,Real!K23,'Proy. Mes'!K23)),IF($N$3&gt;=$B22,Real!K23,'Proy. Mes'!K23),0)</f>
        <v>0.50152470580131181</v>
      </c>
      <c r="M22" s="781">
        <f>IF(ISNUMBER(IF($N$3&gt;=$B22,Real!L23,'Proy. Mes'!L23)),IF($N$3&gt;=$B22,Real!L23,'Proy. Mes'!L23),0)</f>
        <v>89.632065303415771</v>
      </c>
      <c r="N22" s="781">
        <f>IF(ISNUMBER(IF($N$3&gt;=$B22,Real!M23,'Proy. Mes'!M23)),IF($N$3&gt;=$B22,Real!M23,'Proy. Mes'!M23),0)</f>
        <v>27.739082253931837</v>
      </c>
      <c r="O22" s="780">
        <f>IF(ISNUMBER(IF($N$3&gt;=$B22,Real!N23,'Proy. Mes'!N23)),IF($N$3&gt;=$B22,Real!N23,'Proy. Mes'!N23),0)</f>
        <v>3183.296192107724</v>
      </c>
      <c r="P22" s="539">
        <f t="shared" si="16"/>
        <v>43569.61395885345</v>
      </c>
      <c r="Q22" s="780">
        <f>+O22*N22/100</f>
        <v>883.01714911504155</v>
      </c>
      <c r="R22" s="782">
        <f t="shared" si="17"/>
        <v>11268.99434522151</v>
      </c>
      <c r="S22" s="780">
        <f>IF(ISNUMBER(IF($N$3&gt;=$B22,Real!R23,'Proy. Mes'!R23)),IF($N$3&gt;=$B22,Real!R23,'Proy. Mes'!R23),0)</f>
        <v>248.15478246911778</v>
      </c>
      <c r="T22" s="781">
        <f>IF(ISNUMBER(IF($N$3&gt;=$B22,Real!S23,'Proy. Mes'!S23)),IF($N$3&gt;=$B22,Real!S23,'Proy. Mes'!S23),0)</f>
        <v>89.485051903885761</v>
      </c>
      <c r="U22" s="781">
        <f>IF(ISNUMBER(IF($N$3&gt;=$B22,Real!T23,'Proy. Mes'!T23)),IF($N$3&gt;=$B22,Real!T23,'Proy. Mes'!T23),0)</f>
        <v>91.8</v>
      </c>
      <c r="V22" s="781">
        <f>IF(ISNUMBER(IF($N$3&gt;=$B22,Real!U23,'Proy. Mes'!U23)),IF($N$3&gt;=$B22,Real!U23,'Proy. Mes'!U23),0)</f>
        <v>82.147277647767126</v>
      </c>
      <c r="W22" s="781">
        <f>IF(ISNUMBER(IF($N$3&gt;=$B22,Real!V23,'Proy. Mes'!V23)),IF($N$3&gt;=$B22,Real!V23,'Proy. Mes'!V23),0)</f>
        <v>48.391985391848749</v>
      </c>
      <c r="X22" s="780">
        <f>IF(ISNUMBER(IF($N$3&gt;=$B22,Real!W23,'Proy. Mes'!W23)),IF($N$3&gt;=$B22,Real!W23,'Proy. Mes'!W23),0)</f>
        <v>82.747672562173008</v>
      </c>
      <c r="Y22" s="539">
        <f t="shared" si="18"/>
        <v>892.57478280969758</v>
      </c>
      <c r="Z22" s="539">
        <f t="shared" si="11"/>
        <v>80.503000000000014</v>
      </c>
      <c r="AA22" s="780">
        <f>IF(ISNUMBER(IF($N$3&gt;=$B22,Real!Y23,'Proy. Mes'!Z23)),IF($N$3&gt;=$B22,Real!Y23,'Proy. Mes'!Z23),0)</f>
        <v>40.0432416183816</v>
      </c>
      <c r="AB22" s="782">
        <f t="shared" si="19"/>
        <v>447.55580746419196</v>
      </c>
      <c r="AC22" s="780">
        <f>IF(ISNUMBER(IF($N$3&gt;=$B22,Real!AA23,'Proy. Mes'!AB23)),IF($N$3&gt;=$B22,Real!AA23,'Proy. Mes'!AB23),0)</f>
        <v>38.957000000000001</v>
      </c>
      <c r="AD22" s="539">
        <f t="shared" si="20"/>
        <v>557.50996802807265</v>
      </c>
      <c r="AE22" s="782">
        <f t="shared" si="21"/>
        <v>261.70428415162809</v>
      </c>
      <c r="AF22" s="780">
        <f t="shared" si="0"/>
        <v>999.10250656672974</v>
      </c>
      <c r="AG22" s="539">
        <f t="shared" si="22"/>
        <v>12566.458631060203</v>
      </c>
      <c r="AH22" s="2072">
        <f t="shared" si="1"/>
        <v>961.83415873366994</v>
      </c>
      <c r="AI22" s="2451">
        <f t="shared" si="23"/>
        <v>12448.912850429911</v>
      </c>
      <c r="AJ22" s="2439">
        <f>IF(ISNUMBER(IF($N$3&gt;=$B22,Real!AL23,'Proy. Mes'!AF23)),IF($N$3&gt;=$B22,Real!AL23,'Proy. Mes'!AF23),0)</f>
        <v>3696.66064453125</v>
      </c>
      <c r="AK22" s="2452">
        <f>IF(ISNUMBER(IF($N$3&gt;=$B22,Real!AM23,'Proy. Mes'!AG23)),IF($N$3&gt;=$B22,Real!AM23,'Proy. Mes'!AG23),0)</f>
        <v>27.47</v>
      </c>
      <c r="AL22" s="2453">
        <f t="shared" si="12"/>
        <v>1015.4726790527343</v>
      </c>
      <c r="AM22" s="2439">
        <f>IF(ISNUMBER(IF($N$3&gt;=$B22,Real!AO23,'Proy. Mes'!AI23)),IF($N$3&gt;=$B22,Real!AO23,'Proy. Mes'!AI23),0)</f>
        <v>3466.0088072953054</v>
      </c>
      <c r="AN22" s="2452">
        <f>IF(ISNUMBER(IF($N$3&gt;=$B22,Real!AP23,'Proy. Mes'!AJ23)),IF($N$3&gt;=$B22,Real!AP23,'Proy. Mes'!AJ23),0)</f>
        <v>25.593761048129746</v>
      </c>
      <c r="AO22" s="2453">
        <f>AM22*AN22/100</f>
        <v>887.08201204629222</v>
      </c>
      <c r="AP22" s="4456">
        <v>2719.0688165903798</v>
      </c>
      <c r="AQ22" s="783">
        <f t="shared" si="28"/>
        <v>851.59873156444053</v>
      </c>
      <c r="AR22" s="783">
        <f t="shared" si="26"/>
        <v>7583.9702128943009</v>
      </c>
      <c r="AS22" s="2455">
        <f>+'Plan mina PS'!Q57*1000</f>
        <v>205911.863247047</v>
      </c>
      <c r="AT22" s="784"/>
      <c r="AU22" s="2454" t="s">
        <v>328</v>
      </c>
      <c r="AV22" s="2438">
        <f t="shared" si="4"/>
        <v>46096.791666666664</v>
      </c>
      <c r="AW22" s="2069">
        <f>IF(ISNUMBER(IF($N$3&gt;=$B22,Real!AC23,'Proy. Mes'!BC23)),IF($N$3&gt;=$B22,Real!AC23,'Proy. Mes'!BC23),0)</f>
        <v>78.537673950195313</v>
      </c>
      <c r="AX22" s="783"/>
      <c r="AY22" s="783"/>
      <c r="AZ22" s="783"/>
      <c r="BA22" s="2432">
        <f>IF($N$3&gt;=$B22,Real!AE23,'Proy. Mes'!AW23)</f>
        <v>19.068582309827722</v>
      </c>
      <c r="BB22" s="782">
        <f>IF($N$3&gt;=$B22,Real!AF23,'Proy. Mes'!AX23)</f>
        <v>473.16666666666669</v>
      </c>
      <c r="BC22" s="2078">
        <f>'Plan mina PS'!AG20</f>
        <v>1.2346846427715699</v>
      </c>
      <c r="BD22" s="3099">
        <f>IF($N$3&gt;=$B22,Real!AS23,'Proy. Mes'!AY23)</f>
        <v>4.4734606742858887</v>
      </c>
      <c r="BE22" s="2440">
        <f>IF($N$3&gt;=$B22,Real!AU23,'Proy. Mes'!BB23)</f>
        <v>38.568299611409508</v>
      </c>
      <c r="BF22" s="780">
        <f>IF($N$3&gt;=$B22,Real!AI23,'Proy. Mes'!AO23)</f>
        <v>6424.7020285194149</v>
      </c>
      <c r="BG22" s="780">
        <f>IF($N$3&gt;=$B22,Real!AJ23,'Proy. Mes'!AP23)</f>
        <v>2014.5602213541667</v>
      </c>
      <c r="BH22" s="780">
        <f>IF($N$3&gt;=$B22,Real!AK23,'Proy. Mes'!AQ23)</f>
        <v>8458.0967680436352</v>
      </c>
      <c r="BI22" s="780"/>
      <c r="BJ22" s="539"/>
      <c r="BK22" s="539"/>
      <c r="BL22" s="781">
        <f>IF($N$3&gt;=$B22,Real!H23,'Proy. Mes'!AR23)</f>
        <v>96.037580556891996</v>
      </c>
      <c r="BM22" s="539"/>
      <c r="BN22" s="539"/>
      <c r="BO22" s="539"/>
      <c r="BP22" s="2441"/>
      <c r="BQ22" s="2442"/>
      <c r="BR22" s="2443"/>
      <c r="BS22" s="2444"/>
      <c r="BT22" s="785"/>
      <c r="BU22" s="785"/>
      <c r="BV22" s="2445"/>
      <c r="BW22" s="785"/>
      <c r="BX22" s="785"/>
      <c r="BY22" s="785"/>
      <c r="BZ22" s="785"/>
      <c r="CA22" s="2446"/>
      <c r="CB22" s="2446"/>
      <c r="CC22" s="2446"/>
      <c r="CD22" s="2443"/>
      <c r="CE22" s="2446"/>
      <c r="CF22" s="2446"/>
      <c r="CG22" s="2446"/>
      <c r="CH22" s="2444"/>
      <c r="CI22" s="2446"/>
      <c r="CJ22" s="2443"/>
      <c r="CK22" s="2446"/>
      <c r="CL22" s="2446"/>
      <c r="CM22" s="2443"/>
      <c r="CN22" s="2444"/>
      <c r="CO22" s="2446"/>
      <c r="CP22" s="2447"/>
      <c r="CQ22" s="786"/>
      <c r="CV22" s="2448"/>
      <c r="CW22" s="2449">
        <f>IF(ISNUMBER(IF($N$3&gt;=$B22,Real!AD23,'Proy. Mes'!BD23)),IF($N$3&gt;=$B22,Real!AD23,'Proy. Mes'!BD23),0)</f>
        <v>56.61859130859375</v>
      </c>
      <c r="CX22" s="783">
        <f t="shared" si="13"/>
        <v>11236.649615857148</v>
      </c>
      <c r="DA22" s="744">
        <f t="shared" si="5"/>
        <v>23.049019333654076</v>
      </c>
      <c r="DB22" s="744">
        <v>1</v>
      </c>
      <c r="DC22" s="2449">
        <f>IF(ISNUMBER(IF($N$3&gt;=$B22,Real!AC23,'Proy. Mes'!BC23)),IF($N$3&gt;=$B22,Real!AC23,'Proy. Mes'!BC23),0)</f>
        <v>78.537673950195313</v>
      </c>
      <c r="DE22" s="4239">
        <f t="shared" si="14"/>
        <v>196432.52658081055</v>
      </c>
      <c r="DF22" s="4239">
        <f t="shared" si="24"/>
        <v>2517508.8297162247</v>
      </c>
      <c r="DG22" s="4234">
        <f t="shared" si="15"/>
        <v>0.50152470580131181</v>
      </c>
      <c r="DH22" s="342">
        <f>SUMPRODUCT(DG$8:DG22,DE$8:DE22)/DF22</f>
        <v>0.49387790315367647</v>
      </c>
      <c r="DI22" s="4240">
        <f t="shared" si="6"/>
        <v>89.632065303415771</v>
      </c>
      <c r="DJ22" s="348" cm="1">
        <f t="array" ref="DJ22">SUMPRODUCT(DI$8:DI22,DE$8:DE22/DF22)</f>
        <v>90.616787307574398</v>
      </c>
      <c r="DK22" s="866"/>
      <c r="DL22" s="866"/>
      <c r="DM22" s="866"/>
      <c r="DN22" s="866"/>
      <c r="DO22" s="866"/>
      <c r="DP22" s="866"/>
      <c r="DQ22" s="866"/>
      <c r="DR22" s="866"/>
    </row>
    <row r="23" spans="1:122" s="744" customFormat="1" ht="17.25" customHeight="1">
      <c r="A23" s="2450"/>
      <c r="B23" s="2065">
        <f t="shared" si="7"/>
        <v>46097.791666666664</v>
      </c>
      <c r="C23" s="780">
        <f>IF($N$3&gt;=$B23,Real!C24,'Proy. Mes'!C24)</f>
        <v>242801.95239999998</v>
      </c>
      <c r="D23" s="2432">
        <f>IF($N$3&gt;=$B23,Real!D24,D22+C23-E23)</f>
        <v>495057.33759999997</v>
      </c>
      <c r="E23" s="2432">
        <f>IF($N$3&gt;=$B23,Real!E24,'Proy. Mes'!E24)</f>
        <v>202874.56951904297</v>
      </c>
      <c r="F23" s="2432">
        <f>IF($N$3&gt;=$B23,Real!F24,'Proy. Mes'!F24)</f>
        <v>48400.546875</v>
      </c>
      <c r="G23" s="2432">
        <f>IF($N$3&gt;=$B23,Real!G24,'Proy. Mes'!G24)</f>
        <v>154474.02264404297</v>
      </c>
      <c r="H23" s="2067">
        <f>IF($N$3&gt;=$B23,Real!H24,'Proy. Mes'!H24)</f>
        <v>96.036194077696607</v>
      </c>
      <c r="I23" s="2067">
        <f>IF($N$3&gt;=$B23,Real!I24,'Proy. Mes'!I24)</f>
        <v>100</v>
      </c>
      <c r="J23" s="2067">
        <f t="shared" si="8"/>
        <v>96.766366766644126</v>
      </c>
      <c r="K23" s="781">
        <f t="shared" si="9"/>
        <v>64.830177307128906</v>
      </c>
      <c r="L23" s="2066">
        <f>IF(ISNUMBER(IF($N$3&gt;=$B23,Real!K24,'Proy. Mes'!K24)),IF($N$3&gt;=$B23,Real!K24,'Proy. Mes'!K24),0)</f>
        <v>0.467733572529271</v>
      </c>
      <c r="M23" s="781">
        <f>IF(ISNUMBER(IF($N$3&gt;=$B23,Real!L24,'Proy. Mes'!L24)),IF($N$3&gt;=$B23,Real!L24,'Proy. Mes'!L24),0)</f>
        <v>90.447779795990385</v>
      </c>
      <c r="N23" s="781">
        <f>IF(ISNUMBER(IF($N$3&gt;=$B23,Real!M24,'Proy. Mes'!M24)),IF($N$3&gt;=$B23,Real!M24,'Proy. Mes'!M24),0)</f>
        <v>25.476195229938828</v>
      </c>
      <c r="O23" s="780">
        <f>IF(ISNUMBER(IF($N$3&gt;=$B23,Real!N24,'Proy. Mes'!N24)),IF($N$3&gt;=$B23,Real!N24,'Proy. Mes'!N24),0)</f>
        <v>3368.9106837660856</v>
      </c>
      <c r="P23" s="539">
        <f t="shared" si="16"/>
        <v>46938.524642619537</v>
      </c>
      <c r="Q23" s="780">
        <f>+O23*N23/100</f>
        <v>858.27026291851507</v>
      </c>
      <c r="R23" s="782">
        <f t="shared" si="17"/>
        <v>12127.264608140025</v>
      </c>
      <c r="S23" s="780">
        <f>IF(ISNUMBER(IF($N$3&gt;=$B23,Real!R24,'Proy. Mes'!R24)),IF($N$3&gt;=$B23,Real!R24,'Proy. Mes'!R24),0)</f>
        <v>162.5607758546133</v>
      </c>
      <c r="T23" s="781">
        <f>IF(ISNUMBER(IF($N$3&gt;=$B23,Real!S24,'Proy. Mes'!S24)),IF($N$3&gt;=$B23,Real!S24,'Proy. Mes'!S24),0)</f>
        <v>87.920187059157087</v>
      </c>
      <c r="U23" s="781">
        <f>IF(ISNUMBER(IF($N$3&gt;=$B23,Real!T24,'Proy. Mes'!T24)),IF($N$3&gt;=$B23,Real!T24,'Proy. Mes'!T24),0)</f>
        <v>89.5</v>
      </c>
      <c r="V23" s="781">
        <f>IF(ISNUMBER(IF($N$3&gt;=$B23,Real!U24,'Proy. Mes'!U24)),IF($N$3&gt;=$B23,Real!U24,'Proy. Mes'!U24),0)</f>
        <v>78.688567417945592</v>
      </c>
      <c r="W23" s="781">
        <f>IF(ISNUMBER(IF($N$3&gt;=$B23,Real!V24,'Proy. Mes'!V24)),IF($N$3&gt;=$B23,Real!V24,'Proy. Mes'!V24),0)</f>
        <v>3.3742705090273684</v>
      </c>
      <c r="X23" s="780">
        <f>IF(ISNUMBER(IF($N$3&gt;=$B23,Real!W24,'Proy. Mes'!W24)),IF($N$3&gt;=$B23,Real!W24,'Proy. Mes'!W24),0)</f>
        <v>769.08637435690844</v>
      </c>
      <c r="Y23" s="539">
        <f t="shared" si="18"/>
        <v>1661.661157166606</v>
      </c>
      <c r="Z23" s="539">
        <f t="shared" si="11"/>
        <v>71.225774999999913</v>
      </c>
      <c r="AA23" s="780">
        <f>IF(ISNUMBER(IF($N$3&gt;=$B23,Real!Y24,'Proy. Mes'!Z24)),IF($N$3&gt;=$B23,Real!Y24,'Proy. Mes'!Z24),0)</f>
        <v>25.951054718872989</v>
      </c>
      <c r="AB23" s="782">
        <f t="shared" si="19"/>
        <v>473.50686218306492</v>
      </c>
      <c r="AC23" s="780">
        <f>IF(ISNUMBER(IF($N$3&gt;=$B23,Real!AA24,'Proy. Mes'!AB24)),IF($N$3&gt;=$B23,Real!AA24,'Proy. Mes'!AB24),0)</f>
        <v>2.4033503206511853</v>
      </c>
      <c r="AD23" s="539">
        <f t="shared" si="20"/>
        <v>559.91331834872381</v>
      </c>
      <c r="AE23" s="782">
        <f t="shared" si="21"/>
        <v>285.2519885498499</v>
      </c>
      <c r="AF23" s="780">
        <f t="shared" si="0"/>
        <v>933.50237054852789</v>
      </c>
      <c r="AG23" s="539">
        <f t="shared" si="22"/>
        <v>13499.96100160873</v>
      </c>
      <c r="AH23" s="2072">
        <f t="shared" si="1"/>
        <v>832.58846894428143</v>
      </c>
      <c r="AI23" s="2451">
        <f t="shared" si="23"/>
        <v>13281.501319374192</v>
      </c>
      <c r="AJ23" s="2439">
        <v>3679</v>
      </c>
      <c r="AK23" s="2452">
        <f>IF(ISNUMBER(IF($N$3&gt;=$B23,Real!AM24,'Proy. Mes'!AG24)),IF($N$3&gt;=$B23,Real!AM24,'Proy. Mes'!AG24),0)</f>
        <v>26.8</v>
      </c>
      <c r="AL23" s="2453">
        <f t="shared" si="12"/>
        <v>985.97199999999998</v>
      </c>
      <c r="AM23" s="2439">
        <f>IF(ISNUMBER(IF($N$3&gt;=$B23,Real!AO24,'Proy. Mes'!AI24)),IF($N$3&gt;=$B23,Real!AO24,'Proy. Mes'!AI24),0)</f>
        <v>2817.7501734203638</v>
      </c>
      <c r="AN23" s="2452">
        <f>IF(ISNUMBER(IF($N$3&gt;=$B23,Real!AP24,'Proy. Mes'!AJ24)),IF($N$3&gt;=$B23,Real!AP24,'Proy. Mes'!AJ24),0)</f>
        <v>27.033858314670162</v>
      </c>
      <c r="AO23" s="2453">
        <f t="shared" si="25"/>
        <v>761.74658954383403</v>
      </c>
      <c r="AP23" s="783">
        <f t="shared" ref="AP23:AP34" si="29">+AP22+Q23-AO23</f>
        <v>2815.5924899650608</v>
      </c>
      <c r="AQ23" s="783">
        <f t="shared" si="28"/>
        <v>731.2767259620806</v>
      </c>
      <c r="AR23" s="783">
        <f t="shared" si="26"/>
        <v>8135.1307232400231</v>
      </c>
      <c r="AS23" s="2455">
        <f>+'Plan mina PS'!Q58*1000</f>
        <v>200605.23592060988</v>
      </c>
      <c r="AT23" s="784"/>
      <c r="AU23" s="2454"/>
      <c r="AV23" s="2438">
        <f t="shared" si="4"/>
        <v>46097.791666666664</v>
      </c>
      <c r="AW23" s="2069">
        <f>IF(ISNUMBER(IF($N$3&gt;=$B23,Real!AC24,'Proy. Mes'!BC24)),IF($N$3&gt;=$B23,Real!AC24,'Proy. Mes'!BC24),0)</f>
        <v>76.773506164550781</v>
      </c>
      <c r="AX23" s="783"/>
      <c r="AY23" s="783"/>
      <c r="AZ23" s="783"/>
      <c r="BA23" s="2432">
        <f>IF($N$3&gt;=$B23,Real!AE24,'Proy. Mes'!AW24)</f>
        <v>23.478859918414088</v>
      </c>
      <c r="BB23" s="782">
        <f>IF($N$3&gt;=$B23,Real!AF24,'Proy. Mes'!AX24)</f>
        <v>586.25</v>
      </c>
      <c r="BC23" s="2078">
        <f>'Plan mina PS'!AG21</f>
        <v>1.298686382949463</v>
      </c>
      <c r="BD23" s="3099">
        <f>IF($N$3&gt;=$B23,Real!AS24,'Proy. Mes'!AY24)</f>
        <v>4.3253636360168457</v>
      </c>
      <c r="BE23" s="2440">
        <f>IF($N$3&gt;=$B23,Real!AU24,'Proy. Mes'!BB24)</f>
        <v>38.450010617574058</v>
      </c>
      <c r="BF23" s="780">
        <f>IF($N$3&gt;=$B23,Real!AI24,'Proy. Mes'!AO24)</f>
        <v>6702.074849989549</v>
      </c>
      <c r="BG23" s="780">
        <f>IF($N$3&gt;=$B23,Real!AJ24,'Proy. Mes'!AP24)</f>
        <v>2016.689453125</v>
      </c>
      <c r="BH23" s="780">
        <f>IF($N$3&gt;=$B23,Real!AK24,'Proy. Mes'!AQ24)</f>
        <v>8735.5838043175227</v>
      </c>
      <c r="BI23" s="780"/>
      <c r="BJ23" s="539"/>
      <c r="BK23" s="539"/>
      <c r="BL23" s="781">
        <f>IF($N$3&gt;=$B23,Real!H24,'Proy. Mes'!AR24)</f>
        <v>96.036194077696607</v>
      </c>
      <c r="BM23" s="539"/>
      <c r="BN23" s="539"/>
      <c r="BO23" s="539"/>
      <c r="BP23" s="2441"/>
      <c r="BQ23" s="2442"/>
      <c r="BR23" s="2443"/>
      <c r="BS23" s="2444"/>
      <c r="BT23" s="785"/>
      <c r="BU23" s="785"/>
      <c r="BV23" s="2445"/>
      <c r="BW23" s="785"/>
      <c r="BX23" s="785"/>
      <c r="BY23" s="785"/>
      <c r="BZ23" s="785"/>
      <c r="CA23" s="2446"/>
      <c r="CB23" s="2446"/>
      <c r="CC23" s="2446"/>
      <c r="CD23" s="2443"/>
      <c r="CE23" s="2446"/>
      <c r="CF23" s="2446"/>
      <c r="CG23" s="2446"/>
      <c r="CH23" s="2444"/>
      <c r="CI23" s="2446"/>
      <c r="CJ23" s="2443"/>
      <c r="CK23" s="2446"/>
      <c r="CL23" s="2446"/>
      <c r="CM23" s="2443"/>
      <c r="CN23" s="2444"/>
      <c r="CO23" s="2446"/>
      <c r="CP23" s="2447"/>
      <c r="CQ23" s="786"/>
      <c r="CV23" s="2448"/>
      <c r="CW23" s="2449">
        <f>IF(ISNUMBER(IF($N$3&gt;=$B23,Real!AD24,'Proy. Mes'!BD24)),IF($N$3&gt;=$B23,Real!AD24,'Proy. Mes'!BD24),0)</f>
        <v>64.830177307128906</v>
      </c>
      <c r="CX23" s="783">
        <f t="shared" si="13"/>
        <v>11998.396205400983</v>
      </c>
      <c r="DA23" s="744">
        <f t="shared" si="5"/>
        <v>23.048686578647185</v>
      </c>
      <c r="DB23" s="744">
        <v>1</v>
      </c>
      <c r="DC23" s="2449">
        <f>IF(ISNUMBER(IF($N$3&gt;=$B23,Real!AC24,'Proy. Mes'!BC24)),IF($N$3&gt;=$B23,Real!AC24,'Proy. Mes'!BC24),0)</f>
        <v>76.773506164550781</v>
      </c>
      <c r="DE23" s="4239">
        <f t="shared" si="14"/>
        <v>202874.56951904297</v>
      </c>
      <c r="DF23" s="4239">
        <f t="shared" si="24"/>
        <v>2720383.3992352677</v>
      </c>
      <c r="DG23" s="4234">
        <f t="shared" si="15"/>
        <v>0.467733572529271</v>
      </c>
      <c r="DH23" s="342">
        <f>SUMPRODUCT(DG$8:DG23,DE$8:DE23)/DF23</f>
        <v>0.49192817069233269</v>
      </c>
      <c r="DI23" s="4240">
        <f t="shared" si="6"/>
        <v>90.447779795990385</v>
      </c>
      <c r="DJ23" s="348" cm="1">
        <f t="array" ref="DJ23">SUMPRODUCT(DI$8:DI23,DE$8:DE23/DF23)</f>
        <v>90.604183449541821</v>
      </c>
      <c r="DK23" s="866"/>
      <c r="DL23" s="866"/>
      <c r="DM23" s="866"/>
      <c r="DN23" s="866"/>
      <c r="DO23" s="866"/>
      <c r="DP23" s="866"/>
      <c r="DQ23" s="866"/>
      <c r="DR23" s="866"/>
    </row>
    <row r="24" spans="1:122" s="744" customFormat="1" ht="17.25" customHeight="1">
      <c r="A24" s="2450"/>
      <c r="B24" s="2065">
        <f t="shared" si="7"/>
        <v>46098.791666666664</v>
      </c>
      <c r="C24" s="780">
        <f>IF($N$3&gt;=$B24,Real!C25,'Proy. Mes'!C25)</f>
        <v>190294.06479999999</v>
      </c>
      <c r="D24" s="2432">
        <f>IF($N$3&gt;=$B24,Real!D25,D23+C24-E24)</f>
        <v>485334.19759999996</v>
      </c>
      <c r="E24" s="2432">
        <f>IF($N$3&gt;=$B24,Real!E25,'Proy. Mes'!E25)</f>
        <v>198696.43357086182</v>
      </c>
      <c r="F24" s="2432">
        <f>IF($N$3&gt;=$B24,Real!F25,'Proy. Mes'!F25)</f>
        <v>49281.3984375</v>
      </c>
      <c r="G24" s="2432">
        <f>IF($N$3&gt;=$B24,Real!G25,'Proy. Mes'!G25)</f>
        <v>149415.03513336182</v>
      </c>
      <c r="H24" s="2067">
        <f>IF($N$3&gt;=$B24,Real!H25,'Proy. Mes'!H25)</f>
        <v>99.999999999999986</v>
      </c>
      <c r="I24" s="2067">
        <f>IF($N$3&gt;=$B24,Real!I25,'Proy. Mes'!I25)</f>
        <v>100</v>
      </c>
      <c r="J24" s="2067">
        <f t="shared" si="8"/>
        <v>100</v>
      </c>
      <c r="K24" s="781">
        <f t="shared" si="9"/>
        <v>67.192497253417969</v>
      </c>
      <c r="L24" s="2066">
        <f>IF(ISNUMBER(IF($N$3&gt;=$B24,Real!K25,'Proy. Mes'!K25)),IF($N$3&gt;=$B24,Real!K25,'Proy. Mes'!K25),0)</f>
        <v>0.47046577768558123</v>
      </c>
      <c r="M24" s="781">
        <f>IF(ISNUMBER(IF($N$3&gt;=$B24,Real!L25,'Proy. Mes'!L25)),IF($N$3&gt;=$B24,Real!L25,'Proy. Mes'!L25),0)</f>
        <v>90.617228026186297</v>
      </c>
      <c r="N24" s="781">
        <f>IF(ISNUMBER(IF($N$3&gt;=$B24,Real!M25,'Proy. Mes'!M25)),IF($N$3&gt;=$B24,Real!M25,'Proy. Mes'!M25),0)</f>
        <v>27.374828607405782</v>
      </c>
      <c r="O24" s="780">
        <f>IF(ISNUMBER(IF($N$3&gt;=$B24,Real!N25,'Proy. Mes'!N25)),IF($N$3&gt;=$B24,Real!N25,'Proy. Mes'!N25),0)</f>
        <v>3094.4072787997325</v>
      </c>
      <c r="P24" s="539">
        <f t="shared" si="16"/>
        <v>50032.931921419273</v>
      </c>
      <c r="Q24" s="780">
        <f>+O24*N24/100</f>
        <v>847.08868898651588</v>
      </c>
      <c r="R24" s="782">
        <f t="shared" si="17"/>
        <v>12974.353297126541</v>
      </c>
      <c r="S24" s="780">
        <f>IF(ISNUMBER(IF($N$3&gt;=$B24,Real!R25,'Proy. Mes'!R25)),IF($N$3&gt;=$B24,Real!R25,'Proy. Mes'!R25),0)</f>
        <v>142.93735238620241</v>
      </c>
      <c r="T24" s="781">
        <f>IF(ISNUMBER(IF($N$3&gt;=$B24,Real!S25,'Proy. Mes'!S25)),IF($N$3&gt;=$B24,Real!S25,'Proy. Mes'!S25),0)</f>
        <v>88.276168638074765</v>
      </c>
      <c r="U24" s="781">
        <f>IF(ISNUMBER(IF($N$3&gt;=$B24,Real!T25,'Proy. Mes'!T25)),IF($N$3&gt;=$B24,Real!T25,'Proy. Mes'!T25),0)</f>
        <v>87.1</v>
      </c>
      <c r="V24" s="781">
        <f>IF(ISNUMBER(IF($N$3&gt;=$B24,Real!U25,'Proy. Mes'!U25)),IF($N$3&gt;=$B24,Real!U25,'Proy. Mes'!U25),0)</f>
        <v>76.888542883763108</v>
      </c>
      <c r="W24" s="781">
        <f>IF(ISNUMBER(IF($N$3&gt;=$B24,Real!V25,'Proy. Mes'!V25)),IF($N$3&gt;=$B24,Real!V25,'Proy. Mes'!V25),0)</f>
        <v>54.799848811839958</v>
      </c>
      <c r="X24" s="780">
        <f>IF(ISNUMBER(IF($N$3&gt;=$B24,Real!W25,'Proy. Mes'!W25)),IF($N$3&gt;=$B24,Real!W25,'Proy. Mes'!W25),0)</f>
        <v>39.849059495096064</v>
      </c>
      <c r="Y24" s="539">
        <f t="shared" si="18"/>
        <v>1701.5102166617021</v>
      </c>
      <c r="Z24" s="539">
        <f t="shared" si="11"/>
        <v>15.56922948309686</v>
      </c>
      <c r="AA24" s="780">
        <f>IF(ISNUMBER(IF($N$3&gt;=$B24,Real!Y25,'Proy. Mes'!Z25)),IF($N$3&gt;=$B24,Real!Y25,'Proy. Mes'!Z25),0)</f>
        <v>21.837224356252797</v>
      </c>
      <c r="AB24" s="782">
        <f t="shared" si="19"/>
        <v>495.34408653931774</v>
      </c>
      <c r="AC24" s="780">
        <f>IF(ISNUMBER(IF($N$3&gt;=$B24,Real!AA25,'Proy. Mes'!AB25)),IF($N$3&gt;=$B24,Real!AA25,'Proy. Mes'!AB25),0)</f>
        <v>8.5319142179054914</v>
      </c>
      <c r="AD24" s="539">
        <f>IF(ISNUMBER(AC24),+AD23+AC24,AD23)</f>
        <v>568.44523256662933</v>
      </c>
      <c r="AE24" s="782">
        <f t="shared" si="21"/>
        <v>298.55729868819725</v>
      </c>
      <c r="AF24" s="780">
        <f t="shared" si="0"/>
        <v>910.39480239529269</v>
      </c>
      <c r="AG24" s="539">
        <f t="shared" si="22"/>
        <v>14410.355804004023</v>
      </c>
      <c r="AH24" s="2072">
        <f t="shared" si="1"/>
        <v>839.50966802614766</v>
      </c>
      <c r="AI24" s="2451">
        <f t="shared" si="23"/>
        <v>14121.010987400339</v>
      </c>
      <c r="AJ24" s="2439">
        <f>IF(ISNUMBER(IF($N$3&gt;=$B24,Real!AL25,'Proy. Mes'!AF25)),IF($N$3&gt;=$B24,Real!AL25,'Proy. Mes'!AF25),0)</f>
        <v>3726.638916015625</v>
      </c>
      <c r="AK24" s="2452">
        <f>IF(ISNUMBER(IF($N$3&gt;=$B24,Real!AM25,'Proy. Mes'!AG25)),IF($N$3&gt;=$B24,Real!AM25,'Proy. Mes'!AG25),0)</f>
        <v>25.8</v>
      </c>
      <c r="AL24" s="2453">
        <f t="shared" si="12"/>
        <v>961.4728403320313</v>
      </c>
      <c r="AM24" s="2439">
        <f>IF(ISNUMBER(IF($N$3&gt;=$B24,Real!AO25,'Proy. Mes'!AI25)),IF($N$3&gt;=$B24,Real!AO25,'Proy. Mes'!AI25),0)</f>
        <v>4229.7663880051159</v>
      </c>
      <c r="AN24" s="2452">
        <f>IF(ISNUMBER(IF($N$3&gt;=$B24,Real!AP25,'Proy. Mes'!AJ25)),IF($N$3&gt;=$B24,Real!AP25,'Proy. Mes'!AJ25),0)</f>
        <v>25.952261538945066</v>
      </c>
      <c r="AO24" s="2453">
        <f t="shared" si="25"/>
        <v>1097.7200355014777</v>
      </c>
      <c r="AP24" s="783">
        <f t="shared" si="29"/>
        <v>2564.9611434500994</v>
      </c>
      <c r="AQ24" s="783">
        <f t="shared" si="28"/>
        <v>1053.8112340814187</v>
      </c>
      <c r="AR24" s="783">
        <f t="shared" si="26"/>
        <v>6999.7716140346402</v>
      </c>
      <c r="AS24" s="2455">
        <f>+'Plan mina PS'!Q59*1000</f>
        <v>200130.16201606972</v>
      </c>
      <c r="AT24" s="784"/>
      <c r="AU24" s="2454"/>
      <c r="AV24" s="2438">
        <f t="shared" si="4"/>
        <v>46098.791666666664</v>
      </c>
      <c r="AW24" s="2069">
        <f>IF(ISNUMBER(IF($N$3&gt;=$B24,Real!AC25,'Proy. Mes'!BC25)),IF($N$3&gt;=$B24,Real!AC25,'Proy. Mes'!BC25),0)</f>
        <v>75.00286865234375</v>
      </c>
      <c r="AX24" s="783"/>
      <c r="AY24" s="783"/>
      <c r="AZ24" s="783"/>
      <c r="BA24" s="2432">
        <f>IF($N$3&gt;=$B24,Real!AE25,'Proy. Mes'!AW25)</f>
        <v>19.184468234775274</v>
      </c>
      <c r="BB24" s="782">
        <f>IF($N$3&gt;=$B24,Real!AF25,'Proy. Mes'!AX25)</f>
        <v>761.25</v>
      </c>
      <c r="BC24" s="2078">
        <f>'Plan mina PS'!AG22</f>
        <v>1.2026677886938946</v>
      </c>
      <c r="BD24" s="3099">
        <f>IF($N$3&gt;=$B24,Real!AS25,'Proy. Mes'!AY25)</f>
        <v>4.4823174476623535</v>
      </c>
      <c r="BE24" s="2440">
        <f>IF($N$3&gt;=$B24,Real!AU25,'Proy. Mes'!BB25)</f>
        <v>37.843695958455406</v>
      </c>
      <c r="BF24" s="780">
        <f>IF($N$3&gt;=$B24,Real!AI25,'Proy. Mes'!AO25)</f>
        <v>6225.6264638900766</v>
      </c>
      <c r="BG24" s="780">
        <f>IF($N$3&gt;=$B24,Real!AJ25,'Proy. Mes'!AP25)</f>
        <v>2053.3916015625</v>
      </c>
      <c r="BH24" s="780">
        <f>IF($N$3&gt;=$B24,Real!AK25,'Proy. Mes'!AQ25)</f>
        <v>8279.0180654525757</v>
      </c>
      <c r="BI24" s="780"/>
      <c r="BJ24" s="539"/>
      <c r="BK24" s="539"/>
      <c r="BL24" s="781">
        <f>IF($N$3&gt;=$B24,Real!H25,'Proy. Mes'!AR25)</f>
        <v>99.999999999999986</v>
      </c>
      <c r="BM24" s="539"/>
      <c r="BN24" s="539"/>
      <c r="BO24" s="539"/>
      <c r="BP24" s="2441"/>
      <c r="BQ24" s="2442"/>
      <c r="BR24" s="2443"/>
      <c r="BS24" s="2444"/>
      <c r="BT24" s="785"/>
      <c r="BU24" s="785"/>
      <c r="BV24" s="2445"/>
      <c r="BW24" s="785"/>
      <c r="BX24" s="785"/>
      <c r="BY24" s="785"/>
      <c r="BZ24" s="785"/>
      <c r="CA24" s="2446"/>
      <c r="CB24" s="2446"/>
      <c r="CC24" s="2446"/>
      <c r="CD24" s="2443"/>
      <c r="CE24" s="2446"/>
      <c r="CF24" s="2446"/>
      <c r="CG24" s="2446"/>
      <c r="CH24" s="2444"/>
      <c r="CI24" s="2446"/>
      <c r="CJ24" s="2443"/>
      <c r="CK24" s="2446"/>
      <c r="CL24" s="2446"/>
      <c r="CM24" s="2443"/>
      <c r="CN24" s="2444"/>
      <c r="CO24" s="2446"/>
      <c r="CP24" s="2447"/>
      <c r="CQ24" s="786"/>
      <c r="CV24" s="2448"/>
      <c r="CW24" s="2449">
        <f>IF(ISNUMBER(IF($N$3&gt;=$B24,Real!AD25,'Proy. Mes'!BD25)),IF($N$3&gt;=$B24,Real!AD25,'Proy. Mes'!BD25),0)</f>
        <v>67.192497253417969</v>
      </c>
      <c r="CX24" s="783">
        <f t="shared" si="13"/>
        <v>13096.11624090246</v>
      </c>
      <c r="DA24" s="744">
        <f t="shared" si="5"/>
        <v>23.999999999999996</v>
      </c>
      <c r="DB24" s="744">
        <v>1</v>
      </c>
      <c r="DC24" s="2449">
        <f>IF(ISNUMBER(IF($N$3&gt;=$B24,Real!AC25,'Proy. Mes'!BC25)),IF($N$3&gt;=$B24,Real!AC25,'Proy. Mes'!BC25),0)</f>
        <v>75.00286865234375</v>
      </c>
      <c r="DE24" s="4239">
        <f t="shared" si="14"/>
        <v>198696.43357086182</v>
      </c>
      <c r="DF24" s="4239">
        <f t="shared" si="24"/>
        <v>2919079.8328061295</v>
      </c>
      <c r="DG24" s="4234">
        <f t="shared" si="15"/>
        <v>0.47046577768558123</v>
      </c>
      <c r="DH24" s="342">
        <f>SUMPRODUCT(DG$8:DG24,DE$8:DE24)/DF24</f>
        <v>0.49046726479369607</v>
      </c>
      <c r="DI24" s="4240">
        <f t="shared" si="6"/>
        <v>90.617228026186297</v>
      </c>
      <c r="DJ24" s="348" cm="1">
        <f t="array" ref="DJ24">SUMPRODUCT(DI$8:DI24,DE$8:DE24/DF24)</f>
        <v>90.605071370052784</v>
      </c>
      <c r="DK24" s="866"/>
      <c r="DL24" s="866"/>
      <c r="DM24" s="866"/>
      <c r="DN24" s="866"/>
      <c r="DO24" s="866"/>
      <c r="DP24" s="866"/>
      <c r="DQ24" s="866"/>
      <c r="DR24" s="866"/>
    </row>
    <row r="25" spans="1:122" s="744" customFormat="1" ht="17.25" customHeight="1">
      <c r="A25" s="2450"/>
      <c r="B25" s="2065">
        <f t="shared" si="7"/>
        <v>46099.791666666664</v>
      </c>
      <c r="C25" s="780">
        <f>IF($N$3&gt;=$B25,Real!C26,'Proy. Mes'!C26)</f>
        <v>230000</v>
      </c>
      <c r="D25" s="2432">
        <f>IF($N$3&gt;=$B25,Real!D26,D24+C25-E25)</f>
        <v>530934.19759999996</v>
      </c>
      <c r="E25" s="2432">
        <f>IF($N$3&gt;=$B25,Real!E26,'Proy. Mes'!E26)</f>
        <v>184400</v>
      </c>
      <c r="F25" s="2432">
        <f>IF($N$3&gt;=$B25,Real!F26,'Proy. Mes'!F26)</f>
        <v>41794.192114313977</v>
      </c>
      <c r="G25" s="2432">
        <f>IF($N$3&gt;=$B25,Real!G26,'Proy. Mes'!G26)</f>
        <v>142605.80788568602</v>
      </c>
      <c r="H25" s="2067">
        <f>IF($N$3&gt;=$B25,Real!H26,'Proy. Mes'!H26)</f>
        <v>98.057573027372243</v>
      </c>
      <c r="I25" s="2067">
        <f>IF($N$3&gt;=$B25,Real!I26,'Proy. Mes'!I26)</f>
        <v>97.132597759803119</v>
      </c>
      <c r="J25" s="2067">
        <f t="shared" si="8"/>
        <v>97.88718333333334</v>
      </c>
      <c r="K25" s="781">
        <f t="shared" si="9"/>
        <v>87.318256075506994</v>
      </c>
      <c r="L25" s="2066">
        <f>IF(ISNUMBER(IF($N$3&gt;=$B25,Real!K26,'Proy. Mes'!K26)),IF($N$3&gt;=$B25,Real!K26,'Proy. Mes'!K26),0)</f>
        <v>0.47</v>
      </c>
      <c r="M25" s="781">
        <f>IF(ISNUMBER(IF($N$3&gt;=$B25,Real!L26,'Proy. Mes'!L26)),IF($N$3&gt;=$B25,Real!L26,'Proy. Mes'!L26),0)</f>
        <v>92</v>
      </c>
      <c r="N25" s="781">
        <f>IF(ISNUMBER(IF($N$3&gt;=$B25,Real!M26,'Proy. Mes'!M26)),IF($N$3&gt;=$B25,Real!M26,'Proy. Mes'!M26),0)</f>
        <v>27.8</v>
      </c>
      <c r="O25" s="780">
        <f>IF(ISNUMBER(IF($N$3&gt;=$B25,Real!N26,'Proy. Mes'!N26)),IF($N$3&gt;=$B25,Real!N26,'Proy. Mes'!N26),0)</f>
        <v>2868.1496402877697</v>
      </c>
      <c r="P25" s="539">
        <f t="shared" si="16"/>
        <v>52901.08156170704</v>
      </c>
      <c r="Q25" s="780">
        <f t="shared" si="10"/>
        <v>797.34559999999999</v>
      </c>
      <c r="R25" s="782">
        <f t="shared" si="17"/>
        <v>13771.698897126542</v>
      </c>
      <c r="S25" s="780">
        <f>IF(ISNUMBER(IF($N$3&gt;=$B25,Real!R26,'Proy. Mes'!R26)),IF($N$3&gt;=$B25,Real!R26,'Proy. Mes'!R26),0)</f>
        <v>157</v>
      </c>
      <c r="T25" s="781">
        <f>IF(ISNUMBER(IF($N$3&gt;=$B25,Real!S26,'Proy. Mes'!S26)),IF($N$3&gt;=$B25,Real!S26,'Proy. Mes'!S26),0)</f>
        <v>91.189714667292776</v>
      </c>
      <c r="U25" s="781">
        <f>IF(ISNUMBER(IF($N$3&gt;=$B25,Real!T26,'Proy. Mes'!T26)),IF($N$3&gt;=$B25,Real!T26,'Proy. Mes'!T26),0)</f>
        <v>86.019465403084553</v>
      </c>
      <c r="V25" s="781">
        <f>IF(ISNUMBER(IF($N$3&gt;=$B25,Real!U26,'Proy. Mes'!U26)),IF($N$3&gt;=$B25,Real!U26,'Proy. Mes'!U26),0)</f>
        <v>78.440905059403434</v>
      </c>
      <c r="W25" s="781">
        <f>IF(ISNUMBER(IF($N$3&gt;=$B25,Real!V26,'Proy. Mes'!V26)),IF($N$3&gt;=$B25,Real!V26,'Proy. Mes'!V26),0)</f>
        <v>50</v>
      </c>
      <c r="X25" s="780">
        <f>IF(ISNUMBER(IF($N$3&gt;=$B25,Real!W26,'Proy. Mes'!W26)),IF($N$3&gt;=$B25,Real!W26,'Proy. Mes'!W26),0)</f>
        <v>45.418539083875537</v>
      </c>
      <c r="Y25" s="539">
        <f t="shared" si="18"/>
        <v>1746.9287557455775</v>
      </c>
      <c r="Z25" s="539">
        <f t="shared" si="11"/>
        <v>66.557457704687607</v>
      </c>
      <c r="AA25" s="780">
        <f>IF(ISNUMBER(IF($N$3&gt;=$B25,Real!Y26,'Proy. Mes'!Z26)),IF($N$3&gt;=$B25,Real!Y26,'Proy. Mes'!Z26),0)</f>
        <v>22.709269541937768</v>
      </c>
      <c r="AB25" s="782">
        <f t="shared" si="19"/>
        <v>518.05335608125552</v>
      </c>
      <c r="AC25" s="780">
        <f>IF(ISNUMBER(IF($N$3&gt;=$B25,Real!AA26,'Proy. Mes'!AB26)),IF($N$3&gt;=$B25,Real!AA26,'Proy. Mes'!AB26),0)</f>
        <v>33.278728852343804</v>
      </c>
      <c r="AD25" s="539">
        <f t="shared" si="20"/>
        <v>601.72396141897309</v>
      </c>
      <c r="AE25" s="782">
        <f t="shared" si="21"/>
        <v>287.9878393777912</v>
      </c>
      <c r="AF25" s="780">
        <f t="shared" si="0"/>
        <v>863.17977240207756</v>
      </c>
      <c r="AG25" s="539">
        <f t="shared" si="22"/>
        <v>15273.535576406101</v>
      </c>
      <c r="AH25" s="2072">
        <f t="shared" si="1"/>
        <v>863.03912696822988</v>
      </c>
      <c r="AI25" s="2451">
        <f t="shared" si="23"/>
        <v>14984.050114368569</v>
      </c>
      <c r="AJ25" s="2439">
        <f>IF(ISNUMBER(IF($N$3&gt;=$B25,Real!AL26,'Proy. Mes'!AF26)),IF($N$3&gt;=$B25,Real!AL26,'Proy. Mes'!AF26),0)</f>
        <v>1830.2980000000002</v>
      </c>
      <c r="AK25" s="2452">
        <f>IF(ISNUMBER(IF($N$3&gt;=$B25,Real!AM26,'Proy. Mes'!AG26)),IF($N$3&gt;=$B25,Real!AM26,'Proy. Mes'!AG26),0)</f>
        <v>28.1</v>
      </c>
      <c r="AL25" s="2453">
        <f t="shared" si="12"/>
        <v>514.31373800000006</v>
      </c>
      <c r="AM25" s="2439">
        <f>IF(ISNUMBER(IF($N$3&gt;=$B25,Real!AO26,'Proy. Mes'!AI26)),IF($N$3&gt;=$B25,Real!AO26,'Proy. Mes'!AI26),0)</f>
        <v>3726.638916015625</v>
      </c>
      <c r="AN25" s="2452">
        <f>IF(ISNUMBER(IF($N$3&gt;=$B25,Real!AP26,'Proy. Mes'!AJ26)),IF($N$3&gt;=$B25,Real!AP26,'Proy. Mes'!AJ26),0)</f>
        <v>25.8</v>
      </c>
      <c r="AO25" s="2453">
        <f t="shared" si="25"/>
        <v>961.4728403320313</v>
      </c>
      <c r="AP25" s="783">
        <f t="shared" si="29"/>
        <v>2400.8339031180681</v>
      </c>
      <c r="AQ25" s="783">
        <f t="shared" si="28"/>
        <v>923.01392671874999</v>
      </c>
      <c r="AR25" s="783">
        <f t="shared" si="26"/>
        <v>6141.2823383067844</v>
      </c>
      <c r="AS25" s="2455">
        <f>+'Plan mina PS'!Q60*1000</f>
        <v>206235.93224494954</v>
      </c>
      <c r="AT25" s="784"/>
      <c r="AU25" s="2454"/>
      <c r="AV25" s="2438">
        <f t="shared" si="4"/>
        <v>46099.791666666664</v>
      </c>
      <c r="AW25" s="2069">
        <f>IF(ISNUMBER(IF($N$3&gt;=$B25,Real!AC26,'Proy. Mes'!BC26)),IF($N$3&gt;=$B25,Real!AC26,'Proy. Mes'!BC26),0)</f>
        <v>85.618786550868066</v>
      </c>
      <c r="AX25" s="783"/>
      <c r="AY25" s="783"/>
      <c r="AZ25" s="783"/>
      <c r="BA25" s="2432">
        <f>IF($N$3&gt;=$B25,Real!AE26,'Proy. Mes'!AW26)</f>
        <v>11.652615443859117</v>
      </c>
      <c r="BB25" s="782">
        <f>IF($N$3&gt;=$B25,Real!AF26,'Proy. Mes'!AX26)</f>
        <v>524.36769497366026</v>
      </c>
      <c r="BC25" s="2078">
        <f>'Plan mina PS'!AG23</f>
        <v>1.3366192498601805</v>
      </c>
      <c r="BD25" s="3099">
        <f>IF($N$3&gt;=$B25,Real!AS26,'Proy. Mes'!AY26)</f>
        <v>4.1139595809525318</v>
      </c>
      <c r="BE25" s="2440">
        <f>IF($N$3&gt;=$B25,Real!AU26,'Proy. Mes'!BB26)</f>
        <v>37.263653959079413</v>
      </c>
      <c r="BF25" s="780">
        <f>IF($N$3&gt;=$B25,Real!AI26,'Proy. Mes'!AO26)</f>
        <v>6059.612203786578</v>
      </c>
      <c r="BG25" s="780">
        <f>IF($N$3&gt;=$B25,Real!AJ26,'Proy. Mes'!AP26)</f>
        <v>1792.8323874710695</v>
      </c>
      <c r="BH25" s="780">
        <f>IF($N$3&gt;=$B25,Real!AK26,'Proy. Mes'!AQ26)</f>
        <v>7849.1719464124599</v>
      </c>
      <c r="BI25" s="780"/>
      <c r="BJ25" s="539"/>
      <c r="BK25" s="539"/>
      <c r="BL25" s="781">
        <f>IF($N$3&gt;=$B25,Real!H26,'Proy. Mes'!AR26)</f>
        <v>98.057573027372243</v>
      </c>
      <c r="BM25" s="539"/>
      <c r="BN25" s="539"/>
      <c r="BO25" s="539"/>
      <c r="BP25" s="2441"/>
      <c r="BQ25" s="2442"/>
      <c r="BR25" s="2443"/>
      <c r="BS25" s="2444"/>
      <c r="BT25" s="785"/>
      <c r="BU25" s="785"/>
      <c r="BV25" s="2445"/>
      <c r="BW25" s="785"/>
      <c r="BX25" s="785"/>
      <c r="BY25" s="785"/>
      <c r="BZ25" s="785"/>
      <c r="CA25" s="2446"/>
      <c r="CB25" s="2446"/>
      <c r="CC25" s="2446"/>
      <c r="CD25" s="2443"/>
      <c r="CE25" s="2446"/>
      <c r="CF25" s="2446"/>
      <c r="CG25" s="2446"/>
      <c r="CH25" s="2444"/>
      <c r="CI25" s="2446"/>
      <c r="CJ25" s="2443"/>
      <c r="CK25" s="2446"/>
      <c r="CL25" s="2446"/>
      <c r="CM25" s="2443"/>
      <c r="CN25" s="2444"/>
      <c r="CO25" s="2446"/>
      <c r="CP25" s="2447"/>
      <c r="CQ25" s="786"/>
      <c r="CV25" s="2448"/>
      <c r="CW25" s="2449">
        <f>IF(ISNUMBER(IF($N$3&gt;=$B25,Real!AD26,'Proy. Mes'!BD26)),IF($N$3&gt;=$B25,Real!AD26,'Proy. Mes'!BD26),0)</f>
        <v>87.318256075506994</v>
      </c>
      <c r="CX25" s="783">
        <f t="shared" si="13"/>
        <v>14057.589081234491</v>
      </c>
      <c r="DA25" s="744">
        <f t="shared" si="5"/>
        <v>23.533817526569337</v>
      </c>
      <c r="DB25" s="744">
        <v>1</v>
      </c>
      <c r="DC25" s="2449">
        <f>IF(ISNUMBER(IF($N$3&gt;=$B25,Real!AC26,'Proy. Mes'!BC26)),IF($N$3&gt;=$B25,Real!AC26,'Proy. Mes'!BC26),0)</f>
        <v>85.618786550868066</v>
      </c>
      <c r="DE25" s="4239">
        <f t="shared" si="14"/>
        <v>184400</v>
      </c>
      <c r="DF25" s="4239">
        <f t="shared" si="24"/>
        <v>3103479.8328061295</v>
      </c>
      <c r="DG25" s="4234">
        <f t="shared" si="15"/>
        <v>0.47</v>
      </c>
      <c r="DH25" s="342">
        <f>SUMPRODUCT(DG$8:DG25,DE$8:DE25)/DF25</f>
        <v>0.48925115776826555</v>
      </c>
      <c r="DI25" s="4240">
        <f t="shared" si="6"/>
        <v>92</v>
      </c>
      <c r="DJ25" s="348" cm="1">
        <f t="array" ref="DJ25">SUMPRODUCT(DI$8:DI25,DE$8:DE25/DF25)</f>
        <v>90.687954086622497</v>
      </c>
      <c r="DK25" s="866"/>
      <c r="DL25" s="866"/>
      <c r="DM25" s="866"/>
      <c r="DN25" s="866"/>
      <c r="DO25" s="866"/>
      <c r="DP25" s="866"/>
      <c r="DQ25" s="866"/>
      <c r="DR25" s="866"/>
    </row>
    <row r="26" spans="1:122" s="744" customFormat="1" ht="17.25" customHeight="1">
      <c r="A26" s="2450"/>
      <c r="B26" s="2065">
        <f t="shared" si="7"/>
        <v>46100.791666666664</v>
      </c>
      <c r="C26" s="780">
        <f>IF($N$3&gt;=$B26,Real!C27,'Proy. Mes'!C27)</f>
        <v>216000.04453185282</v>
      </c>
      <c r="D26" s="2432">
        <f>IF($N$3&gt;=$B26,Real!D27,D25+C26-E26)</f>
        <v>546283.00442479202</v>
      </c>
      <c r="E26" s="2432">
        <f>IF($N$3&gt;=$B26,Real!E27,'Proy. Mes'!E27)</f>
        <v>200651.2377070607</v>
      </c>
      <c r="F26" s="2432">
        <f>IF($N$3&gt;=$B26,Real!F27,'Proy. Mes'!F27)</f>
        <v>41635.171938195374</v>
      </c>
      <c r="G26" s="2432">
        <f>IF($N$3&gt;=$B26,Real!G27,'Proy. Mes'!G27)</f>
        <v>159016.06576886534</v>
      </c>
      <c r="H26" s="2067">
        <f>IF($N$3&gt;=$B26,Real!H27,'Proy. Mes'!H27)</f>
        <v>98.057573027372243</v>
      </c>
      <c r="I26" s="2067">
        <f>IF($N$3&gt;=$B26,Real!I27,'Proy. Mes'!I27)</f>
        <v>97.132597759803119</v>
      </c>
      <c r="J26" s="2067">
        <f t="shared" si="8"/>
        <v>97.88718333333334</v>
      </c>
      <c r="K26" s="781">
        <f t="shared" si="9"/>
        <v>73.907206541408925</v>
      </c>
      <c r="L26" s="2066">
        <f>IF(ISNUMBER(IF($N$3&gt;=$B26,Real!K27,'Proy. Mes'!K27)),IF($N$3&gt;=$B26,Real!K27,'Proy. Mes'!K27),0)</f>
        <v>0.58705781676829161</v>
      </c>
      <c r="M26" s="781">
        <f>IF(ISNUMBER(IF($N$3&gt;=$B26,Real!L27,'Proy. Mes'!L27)),IF($N$3&gt;=$B26,Real!L27,'Proy. Mes'!L27),0)</f>
        <v>90.033346680262596</v>
      </c>
      <c r="N26" s="781">
        <f>IF(ISNUMBER(IF($N$3&gt;=$B26,Real!M27,'Proy. Mes'!M27)),IF($N$3&gt;=$B26,Real!M27,'Proy. Mes'!M27),0)</f>
        <v>27.54155477405439</v>
      </c>
      <c r="O26" s="780">
        <f>IF(ISNUMBER(IF($N$3&gt;=$B26,Real!N27,'Proy. Mes'!N27)),IF($N$3&gt;=$B26,Real!N27,'Proy. Mes'!N27),0)</f>
        <v>3850.6820331641861</v>
      </c>
      <c r="P26" s="539">
        <f t="shared" si="16"/>
        <v>56751.763594871227</v>
      </c>
      <c r="Q26" s="780">
        <f t="shared" si="10"/>
        <v>1060.5377013385855</v>
      </c>
      <c r="R26" s="782">
        <f t="shared" si="17"/>
        <v>14832.236598465128</v>
      </c>
      <c r="S26" s="780">
        <f>IF(ISNUMBER(IF($N$3&gt;=$B26,Real!R27,'Proy. Mes'!R27)),IF($N$3&gt;=$B26,Real!R27,'Proy. Mes'!R27),0)</f>
        <v>214.41086958903563</v>
      </c>
      <c r="T26" s="781">
        <f>IF(ISNUMBER(IF($N$3&gt;=$B26,Real!S27,'Proy. Mes'!S27)),IF($N$3&gt;=$B26,Real!S27,'Proy. Mes'!S27),0)</f>
        <v>92.282447172667077</v>
      </c>
      <c r="U26" s="781">
        <f>IF(ISNUMBER(IF($N$3&gt;=$B26,Real!T27,'Proy. Mes'!T27)),IF($N$3&gt;=$B26,Real!T27,'Proy. Mes'!T27),0)</f>
        <v>86.875968793340007</v>
      </c>
      <c r="V26" s="781">
        <f>IF(ISNUMBER(IF($N$3&gt;=$B26,Real!U27,'Proy. Mes'!U27)),IF($N$3&gt;=$B26,Real!U27,'Proy. Mes'!U27),0)</f>
        <v>80.171270007456727</v>
      </c>
      <c r="W26" s="781">
        <f>IF(ISNUMBER(IF($N$3&gt;=$B26,Real!V27,'Proy. Mes'!V27)),IF($N$3&gt;=$B26,Real!V27,'Proy. Mes'!V27),0)</f>
        <v>50</v>
      </c>
      <c r="X26" s="780">
        <f>IF(ISNUMBER(IF($N$3&gt;=$B26,Real!W27,'Proy. Mes'!W27)),IF($N$3&gt;=$B26,Real!W27,'Proy. Mes'!W27),0)</f>
        <v>68.982257079344095</v>
      </c>
      <c r="Y26" s="539">
        <f t="shared" si="18"/>
        <v>1815.9110128249217</v>
      </c>
      <c r="Z26" s="539">
        <f t="shared" si="11"/>
        <v>89.746370974248421</v>
      </c>
      <c r="AA26" s="780">
        <f>IF(ISNUMBER(IF($N$3&gt;=$B26,Real!Y27,'Proy. Mes'!Z27)),IF($N$3&gt;=$B26,Real!Y27,'Proy. Mes'!Z27),0)</f>
        <v>34.491128539672047</v>
      </c>
      <c r="AB26" s="782">
        <f t="shared" si="19"/>
        <v>552.54448462092751</v>
      </c>
      <c r="AC26" s="780">
        <f>IF(ISNUMBER(IF($N$3&gt;=$B26,Real!AA27,'Proy. Mes'!AB27)),IF($N$3&gt;=$B26,Real!AA27,'Proy. Mes'!AB27),0)</f>
        <v>44.873185487124211</v>
      </c>
      <c r="AD26" s="539">
        <f t="shared" si="20"/>
        <v>646.59714690609735</v>
      </c>
      <c r="AE26" s="782">
        <f t="shared" si="21"/>
        <v>277.60578243033905</v>
      </c>
      <c r="AF26" s="780">
        <f t="shared" si="0"/>
        <v>1160.5274829750947</v>
      </c>
      <c r="AG26" s="539">
        <f t="shared" si="22"/>
        <v>16434.063059381195</v>
      </c>
      <c r="AH26" s="2072">
        <f t="shared" si="1"/>
        <v>1149.6741965912565</v>
      </c>
      <c r="AI26" s="2451">
        <f t="shared" si="23"/>
        <v>16133.724310959826</v>
      </c>
      <c r="AJ26" s="2439">
        <f>IF(ISNUMBER(IF($N$3&gt;=$B26,Real!AL27,'Proy. Mes'!AF27)),IF($N$3&gt;=$B26,Real!AL27,'Proy. Mes'!AF27),0)</f>
        <v>3720</v>
      </c>
      <c r="AK26" s="2452">
        <f>IF(ISNUMBER(IF($N$3&gt;=$B26,Real!AM27,'Proy. Mes'!AG27)),IF($N$3&gt;=$B26,Real!AM27,'Proy. Mes'!AG27),0)</f>
        <v>27.54155477405439</v>
      </c>
      <c r="AL26" s="2453">
        <f t="shared" si="12"/>
        <v>1024.5458375948233</v>
      </c>
      <c r="AM26" s="2439">
        <f>IF(ISNUMBER(IF($N$3&gt;=$B26,Real!AO27,'Proy. Mes'!AI27)),IF($N$3&gt;=$B26,Real!AO27,'Proy. Mes'!AI27),0)</f>
        <v>1830.2980000000002</v>
      </c>
      <c r="AN26" s="2452">
        <f>IF(ISNUMBER(IF($N$3&gt;=$B26,Real!AP27,'Proy. Mes'!AJ27)),IF($N$3&gt;=$B26,Real!AP27,'Proy. Mes'!AJ27),0)</f>
        <v>28.1</v>
      </c>
      <c r="AO26" s="2453">
        <f>AM26*AN26/100</f>
        <v>514.31373800000006</v>
      </c>
      <c r="AP26" s="783">
        <f t="shared" si="29"/>
        <v>2947.0578664566538</v>
      </c>
      <c r="AQ26" s="783">
        <f t="shared" si="28"/>
        <v>493.74118848000006</v>
      </c>
      <c r="AR26" s="783">
        <f t="shared" si="26"/>
        <v>8161.6663714709703</v>
      </c>
      <c r="AS26" s="2455">
        <f>+'Plan mina PS'!Q61*1000</f>
        <v>205451.2377070607</v>
      </c>
      <c r="AT26" s="784"/>
      <c r="AU26" s="2454"/>
      <c r="AV26" s="2438">
        <f t="shared" si="4"/>
        <v>46100.791666666664</v>
      </c>
      <c r="AW26" s="2069">
        <f>IF(ISNUMBER(IF($N$3&gt;=$B26,Real!AC27,'Proy. Mes'!BC27)),IF($N$3&gt;=$B26,Real!AC27,'Proy. Mes'!BC27),0)</f>
        <v>89.991302808620048</v>
      </c>
      <c r="AX26" s="783"/>
      <c r="AY26" s="783"/>
      <c r="AZ26" s="783"/>
      <c r="BA26" s="2432">
        <f>IF($N$3&gt;=$B26,Real!AE27,'Proy. Mes'!AW27)</f>
        <v>32.497090062531356</v>
      </c>
      <c r="BB26" s="782">
        <f>IF($N$3&gt;=$B26,Real!AF27,'Proy. Mes'!AX27)</f>
        <v>1462.3690528139109</v>
      </c>
      <c r="BC26" s="2078">
        <f>'Plan mina PS'!AG24</f>
        <v>1.221444524506845</v>
      </c>
      <c r="BD26" s="3099">
        <f>IF($N$3&gt;=$B26,Real!AS27,'Proy. Mes'!AY27)</f>
        <v>4.2956646711888258</v>
      </c>
      <c r="BE26" s="2440">
        <f>IF($N$3&gt;=$B26,Real!AU27,'Proy. Mes'!BB27)</f>
        <v>38.975140830054585</v>
      </c>
      <c r="BF26" s="780">
        <f>IF($N$3&gt;=$B26,Real!AI27,'Proy. Mes'!AO27)</f>
        <v>6756.9175969575908</v>
      </c>
      <c r="BG26" s="780">
        <f>IF($N$3&gt;=$B26,Real!AJ27,'Proy. Mes'!AP27)</f>
        <v>1786.0109487116601</v>
      </c>
      <c r="BH26" s="780">
        <f>IF($N$3&gt;=$B26,Real!AK27,'Proy. Mes'!AQ27)</f>
        <v>8540.9222669370865</v>
      </c>
      <c r="BI26" s="780"/>
      <c r="BJ26" s="539"/>
      <c r="BK26" s="539"/>
      <c r="BL26" s="781">
        <f>IF($N$3&gt;=$B26,Real!H27,'Proy. Mes'!AR27)</f>
        <v>98.057573027372243</v>
      </c>
      <c r="BM26" s="539"/>
      <c r="BN26" s="539"/>
      <c r="BO26" s="539"/>
      <c r="BP26" s="2441"/>
      <c r="BQ26" s="2442"/>
      <c r="BR26" s="2443"/>
      <c r="BS26" s="2444"/>
      <c r="BT26" s="785"/>
      <c r="BU26" s="785"/>
      <c r="BV26" s="2445"/>
      <c r="BW26" s="785"/>
      <c r="BX26" s="785"/>
      <c r="BY26" s="785"/>
      <c r="BZ26" s="785"/>
      <c r="CA26" s="2446"/>
      <c r="CB26" s="2446"/>
      <c r="CC26" s="2446"/>
      <c r="CD26" s="2443"/>
      <c r="CE26" s="2446"/>
      <c r="CF26" s="2446"/>
      <c r="CG26" s="2446"/>
      <c r="CH26" s="2444"/>
      <c r="CI26" s="2446"/>
      <c r="CJ26" s="2443"/>
      <c r="CK26" s="2446"/>
      <c r="CL26" s="2446"/>
      <c r="CM26" s="2443"/>
      <c r="CN26" s="2444"/>
      <c r="CO26" s="2446"/>
      <c r="CP26" s="2447"/>
      <c r="CQ26" s="786"/>
      <c r="CV26" s="2448"/>
      <c r="CW26" s="2449">
        <f>IF(ISNUMBER(IF($N$3&gt;=$B26,Real!AD27,'Proy. Mes'!BD27)),IF($N$3&gt;=$B26,Real!AD27,'Proy. Mes'!BD27),0)</f>
        <v>73.907206541408925</v>
      </c>
      <c r="CX26" s="783">
        <f t="shared" si="13"/>
        <v>14571.902819234492</v>
      </c>
      <c r="DA26" s="744">
        <f t="shared" si="5"/>
        <v>23.533817526569337</v>
      </c>
      <c r="DB26" s="744">
        <v>1</v>
      </c>
      <c r="DC26" s="2449">
        <f>IF(ISNUMBER(IF($N$3&gt;=$B26,Real!AC27,'Proy. Mes'!BC27)),IF($N$3&gt;=$B26,Real!AC27,'Proy. Mes'!BC27),0)</f>
        <v>89.991302808620048</v>
      </c>
      <c r="DE26" s="4239">
        <f t="shared" si="14"/>
        <v>200651.2377070607</v>
      </c>
      <c r="DF26" s="4239">
        <f t="shared" si="24"/>
        <v>3304131.0705131902</v>
      </c>
      <c r="DG26" s="4234">
        <f t="shared" si="15"/>
        <v>0.58705781676829161</v>
      </c>
      <c r="DH26" s="342">
        <f>SUMPRODUCT(DG$8:DG26,DE$8:DE26)/DF26</f>
        <v>0.49519070034860857</v>
      </c>
      <c r="DI26" s="4240">
        <f t="shared" si="6"/>
        <v>90.033346680262596</v>
      </c>
      <c r="DJ26" s="348" cm="1">
        <f t="array" ref="DJ26">SUMPRODUCT(DI$8:DI26,DE$8:DE26/DF26)</f>
        <v>90.64820149100953</v>
      </c>
      <c r="DK26" s="866"/>
      <c r="DL26" s="866"/>
      <c r="DM26" s="866"/>
      <c r="DN26" s="866"/>
      <c r="DO26" s="866"/>
      <c r="DP26" s="866"/>
      <c r="DQ26" s="866"/>
      <c r="DR26" s="866"/>
    </row>
    <row r="27" spans="1:122" s="744" customFormat="1" ht="17.25" customHeight="1">
      <c r="A27" s="2450"/>
      <c r="B27" s="2065">
        <f t="shared" si="7"/>
        <v>46101.791666666664</v>
      </c>
      <c r="C27" s="780">
        <f>IF($N$3&gt;=$B27,Real!C28,'Proy. Mes'!C28)</f>
        <v>239769.96</v>
      </c>
      <c r="D27" s="2432">
        <f>IF($N$3&gt;=$B27,Real!D28,D26+C27-E27)</f>
        <v>581217.19080530177</v>
      </c>
      <c r="E27" s="2432">
        <f>IF($N$3&gt;=$B27,Real!E28,'Proy. Mes'!E28)</f>
        <v>204835.77361949021</v>
      </c>
      <c r="F27" s="2432">
        <f>IF($N$3&gt;=$B27,Real!F28,'Proy. Mes'!F28)</f>
        <v>41996.8122980837</v>
      </c>
      <c r="G27" s="2432">
        <f>IF($N$3&gt;=$B27,Real!G28,'Proy. Mes'!G28)</f>
        <v>162838.9613214065</v>
      </c>
      <c r="H27" s="2067">
        <f>IF($N$3&gt;=$B27,Real!H28,'Proy. Mes'!H28)</f>
        <v>98.057573027372243</v>
      </c>
      <c r="I27" s="2067">
        <f>IF($N$3&gt;=$B27,Real!I28,'Proy. Mes'!I28)</f>
        <v>97.132597759803119</v>
      </c>
      <c r="J27" s="2067">
        <f t="shared" si="8"/>
        <v>97.88718333333334</v>
      </c>
      <c r="K27" s="781">
        <f t="shared" si="9"/>
        <v>74.08057289578727</v>
      </c>
      <c r="L27" s="2066">
        <f>IF(ISNUMBER(IF($N$3&gt;=$B27,Real!K28,'Proy. Mes'!K28)),IF($N$3&gt;=$B27,Real!K28,'Proy. Mes'!K28),0)</f>
        <v>0.54478257960254906</v>
      </c>
      <c r="M27" s="781">
        <f>IF(ISNUMBER(IF($N$3&gt;=$B27,Real!L28,'Proy. Mes'!L28)),IF($N$3&gt;=$B27,Real!L28,'Proy. Mes'!L28),0)</f>
        <v>89.850973458553213</v>
      </c>
      <c r="N27" s="781">
        <f>IF(ISNUMBER(IF($N$3&gt;=$B27,Real!M28,'Proy. Mes'!M28)),IF($N$3&gt;=$B27,Real!M28,'Proy. Mes'!M28),0)</f>
        <v>25.463830076813228</v>
      </c>
      <c r="O27" s="780">
        <f>IF(ISNUMBER(IF($N$3&gt;=$B27,Real!N28,'Proy. Mes'!N28)),IF($N$3&gt;=$B27,Real!N28,'Proy. Mes'!N28),0)</f>
        <v>3937.5680948292656</v>
      </c>
      <c r="P27" s="539">
        <f t="shared" si="16"/>
        <v>60689.331689700492</v>
      </c>
      <c r="Q27" s="780">
        <f t="shared" si="10"/>
        <v>1002.6556488261361</v>
      </c>
      <c r="R27" s="782">
        <f t="shared" si="17"/>
        <v>15834.892247291264</v>
      </c>
      <c r="S27" s="780">
        <f>IF(ISNUMBER(IF($N$3&gt;=$B27,Real!R28,'Proy. Mes'!R28)),IF($N$3&gt;=$B27,Real!R28,'Proy. Mes'!R28),0)</f>
        <v>161.9711458432908</v>
      </c>
      <c r="T27" s="781">
        <f>IF(ISNUMBER(IF($N$3&gt;=$B27,Real!S28,'Proy. Mes'!S28)),IF($N$3&gt;=$B27,Real!S28,'Proy. Mes'!S28),0)</f>
        <v>89.799014460221244</v>
      </c>
      <c r="U27" s="781">
        <f>IF(ISNUMBER(IF($N$3&gt;=$B27,Real!T28,'Proy. Mes'!T28)),IF($N$3&gt;=$B27,Real!T28,'Proy. Mes'!T28),0)</f>
        <v>86.105136546513563</v>
      </c>
      <c r="V27" s="781">
        <f>IF(ISNUMBER(IF($N$3&gt;=$B27,Real!U28,'Proy. Mes'!U28)),IF($N$3&gt;=$B27,Real!U28,'Proy. Mes'!U28),0)</f>
        <v>77.321564018396955</v>
      </c>
      <c r="W27" s="781">
        <f>IF(ISNUMBER(IF($N$3&gt;=$B27,Real!V28,'Proy. Mes'!V28)),IF($N$3&gt;=$B27,Real!V28,'Proy. Mes'!V28),0)</f>
        <v>50</v>
      </c>
      <c r="X27" s="780">
        <f>IF(ISNUMBER(IF($N$3&gt;=$B27,Real!W28,'Proy. Mes'!W28)),IF($N$3&gt;=$B27,Real!W28,'Proy. Mes'!W28),0)</f>
        <v>51.306700550481601</v>
      </c>
      <c r="Y27" s="539">
        <f t="shared" si="18"/>
        <v>1867.2177133754033</v>
      </c>
      <c r="Z27" s="539">
        <f t="shared" si="11"/>
        <v>89.336462648887021</v>
      </c>
      <c r="AA27" s="780">
        <f>IF(ISNUMBER(IF($N$3&gt;=$B27,Real!Y28,'Proy. Mes'!Z28)),IF($N$3&gt;=$B27,Real!Y28,'Proy. Mes'!Z28),0)</f>
        <v>25.653350275240797</v>
      </c>
      <c r="AB27" s="782">
        <f t="shared" si="19"/>
        <v>578.19783489616827</v>
      </c>
      <c r="AC27" s="780">
        <f>IF(ISNUMBER(IF($N$3&gt;=$B27,Real!AA28,'Proy. Mes'!AB28)),IF($N$3&gt;=$B27,Real!AA28,'Proy. Mes'!AB28),0)</f>
        <v>44.668231324443511</v>
      </c>
      <c r="AD27" s="539">
        <f t="shared" si="20"/>
        <v>691.26537823054082</v>
      </c>
      <c r="AE27" s="782">
        <f t="shared" si="21"/>
        <v>258.59090138113635</v>
      </c>
      <c r="AF27" s="780">
        <f t="shared" si="0"/>
        <v>1077.0247112740592</v>
      </c>
      <c r="AG27" s="539">
        <f t="shared" si="22"/>
        <v>17511.087770655253</v>
      </c>
      <c r="AH27" s="2072">
        <f t="shared" si="1"/>
        <v>1093.4004707672568</v>
      </c>
      <c r="AI27" s="2451">
        <f t="shared" si="23"/>
        <v>17227.124781727081</v>
      </c>
      <c r="AJ27" s="2439">
        <f>IF(ISNUMBER(IF($N$3&gt;=$B27,Real!AL28,'Proy. Mes'!AF28)),IF($N$3&gt;=$B27,Real!AL28,'Proy. Mes'!AF28),0)</f>
        <v>3720</v>
      </c>
      <c r="AK27" s="2452">
        <f>IF(ISNUMBER(IF($N$3&gt;=$B27,Real!AM28,'Proy. Mes'!AG28)),IF($N$3&gt;=$B27,Real!AM28,'Proy. Mes'!AG28),0)</f>
        <v>25.463830076813228</v>
      </c>
      <c r="AL27" s="2453">
        <f t="shared" si="12"/>
        <v>947.254478857452</v>
      </c>
      <c r="AM27" s="2439">
        <f>IF(ISNUMBER(IF($N$3&gt;=$B27,Real!AO28,'Proy. Mes'!AI28)),IF($N$3&gt;=$B27,Real!AO28,'Proy. Mes'!AI28),0)</f>
        <v>3720</v>
      </c>
      <c r="AN27" s="2452">
        <f>IF(ISNUMBER(IF($N$3&gt;=$B27,Real!AP28,'Proy. Mes'!AJ28)),IF($N$3&gt;=$B27,Real!AP28,'Proy. Mes'!AJ28),0)</f>
        <v>27.54155477405439</v>
      </c>
      <c r="AO27" s="2453">
        <f t="shared" si="25"/>
        <v>1024.5458375948233</v>
      </c>
      <c r="AP27" s="783">
        <f t="shared" si="29"/>
        <v>2925.1676776879667</v>
      </c>
      <c r="AQ27" s="783">
        <f t="shared" si="28"/>
        <v>983.56400409103037</v>
      </c>
      <c r="AR27" s="783">
        <f t="shared" si="26"/>
        <v>8379.2344663002368</v>
      </c>
      <c r="AS27" s="2455">
        <f>+'Plan mina PS'!Q62*1000</f>
        <v>207235.77361949021</v>
      </c>
      <c r="AT27" s="784"/>
      <c r="AU27" s="2454"/>
      <c r="AV27" s="2438">
        <f t="shared" si="4"/>
        <v>46101.791666666664</v>
      </c>
      <c r="AW27" s="2069">
        <f>IF(ISNUMBER(IF($N$3&gt;=$B27,Real!AC28,'Proy. Mes'!BC28)),IF($N$3&gt;=$B27,Real!AC28,'Proy. Mes'!BC28),0)</f>
        <v>84.725226719810948</v>
      </c>
      <c r="AX27" s="783"/>
      <c r="AY27" s="783"/>
      <c r="AZ27" s="783"/>
      <c r="BA27" s="2432">
        <f>IF($N$3&gt;=$B27,Real!AE28,'Proy. Mes'!AW28)</f>
        <v>33.838682543884985</v>
      </c>
      <c r="BB27" s="782">
        <f>IF($N$3&gt;=$B27,Real!AF28,'Proy. Mes'!AX28)</f>
        <v>1522.7407144748242</v>
      </c>
      <c r="BC27" s="2078">
        <f>'Plan mina PS'!AG25</f>
        <v>1.1499630072090765</v>
      </c>
      <c r="BD27" s="3099">
        <f>IF($N$3&gt;=$B27,Real!AS28,'Proy. Mes'!AY28)</f>
        <v>4.1969345058076382</v>
      </c>
      <c r="BE27" s="2440">
        <f>IF($N$3&gt;=$B27,Real!AU28,'Proy. Mes'!BB28)</f>
        <v>38.523613807334328</v>
      </c>
      <c r="BF27" s="780">
        <f>IF($N$3&gt;=$B27,Real!AI28,'Proy. Mes'!AO28)</f>
        <v>6919.3602413872586</v>
      </c>
      <c r="BG27" s="780">
        <f>IF($N$3&gt;=$B27,Real!AJ28,'Proy. Mes'!AP28)</f>
        <v>1801.5241221222411</v>
      </c>
      <c r="BH27" s="780">
        <f>IF($N$3&gt;=$B27,Real!AK28,'Proy. Mes'!AQ28)</f>
        <v>8719.0412576778526</v>
      </c>
      <c r="BI27" s="780"/>
      <c r="BJ27" s="539"/>
      <c r="BK27" s="539"/>
      <c r="BL27" s="781">
        <f>IF($N$3&gt;=$B27,Real!H28,'Proy. Mes'!AR28)</f>
        <v>98.057573027372243</v>
      </c>
      <c r="BM27" s="539"/>
      <c r="BN27" s="539"/>
      <c r="BO27" s="539"/>
      <c r="BP27" s="2441"/>
      <c r="BQ27" s="2442"/>
      <c r="BR27" s="2443"/>
      <c r="BS27" s="2444"/>
      <c r="BT27" s="785"/>
      <c r="BU27" s="785"/>
      <c r="BV27" s="2445"/>
      <c r="BW27" s="785"/>
      <c r="BX27" s="785"/>
      <c r="BY27" s="785"/>
      <c r="BZ27" s="785"/>
      <c r="CA27" s="2446"/>
      <c r="CB27" s="2446"/>
      <c r="CC27" s="2446"/>
      <c r="CD27" s="2443"/>
      <c r="CE27" s="2446"/>
      <c r="CF27" s="2446"/>
      <c r="CG27" s="2446"/>
      <c r="CH27" s="2444"/>
      <c r="CI27" s="2446"/>
      <c r="CJ27" s="2443"/>
      <c r="CK27" s="2446"/>
      <c r="CL27" s="2446"/>
      <c r="CM27" s="2443"/>
      <c r="CN27" s="2444"/>
      <c r="CO27" s="2446"/>
      <c r="CP27" s="2447"/>
      <c r="CQ27" s="786"/>
      <c r="CV27" s="2448"/>
      <c r="CW27" s="2449">
        <f>IF(ISNUMBER(IF($N$3&gt;=$B27,Real!AD28,'Proy. Mes'!BD28)),IF($N$3&gt;=$B27,Real!AD28,'Proy. Mes'!BD28),0)</f>
        <v>74.08057289578727</v>
      </c>
      <c r="CX27" s="783">
        <f t="shared" si="13"/>
        <v>15596.448656829316</v>
      </c>
      <c r="DA27" s="744">
        <f t="shared" si="5"/>
        <v>23.533817526569337</v>
      </c>
      <c r="DB27" s="744">
        <v>1</v>
      </c>
      <c r="DC27" s="2449">
        <f>IF(ISNUMBER(IF($N$3&gt;=$B27,Real!AC28,'Proy. Mes'!BC28)),IF($N$3&gt;=$B27,Real!AC28,'Proy. Mes'!BC28),0)</f>
        <v>84.725226719810948</v>
      </c>
      <c r="DE27" s="4239">
        <f t="shared" si="14"/>
        <v>204835.77361949021</v>
      </c>
      <c r="DF27" s="4239">
        <f t="shared" si="24"/>
        <v>3508966.8441326804</v>
      </c>
      <c r="DG27" s="4234">
        <f t="shared" si="15"/>
        <v>0.54478257960254906</v>
      </c>
      <c r="DH27" s="342">
        <f>SUMPRODUCT(DG$8:DG27,DE$8:DE27)/DF27</f>
        <v>0.49808562395531375</v>
      </c>
      <c r="DI27" s="4240">
        <f t="shared" si="6"/>
        <v>89.850973458553213</v>
      </c>
      <c r="DJ27" s="348" cm="1">
        <f t="array" ref="DJ27">SUMPRODUCT(DI$8:DI27,DE$8:DE27/DF27)</f>
        <v>90.601663342308484</v>
      </c>
      <c r="DK27" s="866"/>
      <c r="DL27" s="866"/>
      <c r="DM27" s="866"/>
      <c r="DN27" s="866"/>
      <c r="DO27" s="866"/>
      <c r="DP27" s="866"/>
      <c r="DQ27" s="866"/>
      <c r="DR27" s="866"/>
    </row>
    <row r="28" spans="1:122" s="744" customFormat="1" ht="17.25" customHeight="1">
      <c r="A28" s="2450"/>
      <c r="B28" s="2065">
        <f t="shared" si="7"/>
        <v>46102.791666666664</v>
      </c>
      <c r="C28" s="780">
        <f>IF($N$3&gt;=$B28,Real!C29,'Proy. Mes'!C29)</f>
        <v>179507.96</v>
      </c>
      <c r="D28" s="2432">
        <f>IF($N$3&gt;=$B28,Real!D29,D27+C28-E28)</f>
        <v>557992.24570321327</v>
      </c>
      <c r="E28" s="2432">
        <f>IF($N$3&gt;=$B28,Real!E29,'Proy. Mes'!E29)</f>
        <v>202732.90510208849</v>
      </c>
      <c r="F28" s="2432">
        <f>IF($N$3&gt;=$B28,Real!F29,'Proy. Mes'!F29)</f>
        <v>41570.661094213741</v>
      </c>
      <c r="G28" s="2432">
        <f>IF($N$3&gt;=$B28,Real!G29,'Proy. Mes'!G29)</f>
        <v>161162.24400787475</v>
      </c>
      <c r="H28" s="2067">
        <f>IF($N$3&gt;=$B28,Real!H29,'Proy. Mes'!H29)</f>
        <v>98.057573027372243</v>
      </c>
      <c r="I28" s="2067">
        <f>IF($N$3&gt;=$B28,Real!I29,'Proy. Mes'!I29)</f>
        <v>97.132597759803119</v>
      </c>
      <c r="J28" s="2067">
        <f t="shared" si="8"/>
        <v>97.88718333333334</v>
      </c>
      <c r="K28" s="781">
        <f t="shared" si="9"/>
        <v>78.744402937491117</v>
      </c>
      <c r="L28" s="2066">
        <f>IF(ISNUMBER(IF($N$3&gt;=$B28,Real!K29,'Proy. Mes'!K29)),IF($N$3&gt;=$B28,Real!K29,'Proy. Mes'!K29),0)</f>
        <v>0.55017132477022201</v>
      </c>
      <c r="M28" s="781">
        <f>IF(ISNUMBER(IF($N$3&gt;=$B28,Real!L29,'Proy. Mes'!L29)),IF($N$3&gt;=$B28,Real!L29,'Proy. Mes'!L29),0)</f>
        <v>90.224624853035252</v>
      </c>
      <c r="N28" s="781">
        <f>IF(ISNUMBER(IF($N$3&gt;=$B28,Real!M29,'Proy. Mes'!M29)),IF($N$3&gt;=$B28,Real!M29,'Proy. Mes'!M29),0)</f>
        <v>27.191767251601942</v>
      </c>
      <c r="O28" s="780">
        <f>IF(ISNUMBER(IF($N$3&gt;=$B28,Real!N29,'Proy. Mes'!N29)),IF($N$3&gt;=$B28,Real!N29,'Proy. Mes'!N29),0)</f>
        <v>3700.9212617490002</v>
      </c>
      <c r="P28" s="539">
        <f t="shared" si="16"/>
        <v>64390.252951449489</v>
      </c>
      <c r="Q28" s="780">
        <f t="shared" si="10"/>
        <v>1006.345895659838</v>
      </c>
      <c r="R28" s="782">
        <f t="shared" si="17"/>
        <v>16841.238142951101</v>
      </c>
      <c r="S28" s="780">
        <f>IF(ISNUMBER(IF($N$3&gt;=$B28,Real!R29,'Proy. Mes'!R29)),IF($N$3&gt;=$B28,Real!R29,'Proy. Mes'!R29),0)</f>
        <v>171.3053604976626</v>
      </c>
      <c r="T28" s="781">
        <f>IF(ISNUMBER(IF($N$3&gt;=$B28,Real!S29,'Proy. Mes'!S29)),IF($N$3&gt;=$B28,Real!S29,'Proy. Mes'!S29),0)</f>
        <v>89.995470663076418</v>
      </c>
      <c r="U28" s="781">
        <f>IF(ISNUMBER(IF($N$3&gt;=$B28,Real!T29,'Proy. Mes'!T29)),IF($N$3&gt;=$B28,Real!T29,'Proy. Mes'!T29),0)</f>
        <v>88.926930362403226</v>
      </c>
      <c r="V28" s="781">
        <f>IF(ISNUMBER(IF($N$3&gt;=$B28,Real!U29,'Proy. Mes'!U29)),IF($N$3&gt;=$B28,Real!U29,'Proy. Mes'!U29),0)</f>
        <v>80.030209525870987</v>
      </c>
      <c r="W28" s="781">
        <f>IF(ISNUMBER(IF($N$3&gt;=$B28,Real!V29,'Proy. Mes'!V29)),IF($N$3&gt;=$B28,Real!V29,'Proy. Mes'!V29),0)</f>
        <v>50</v>
      </c>
      <c r="X28" s="780">
        <f>IF(ISNUMBER(IF($N$3&gt;=$B28,Real!W29,'Proy. Mes'!W29)),IF($N$3&gt;=$B28,Real!W29,'Proy. Mes'!W29),0)</f>
        <v>55.587756502696173</v>
      </c>
      <c r="Y28" s="539">
        <f t="shared" si="18"/>
        <v>1922.8054698780995</v>
      </c>
      <c r="Z28" s="539">
        <f t="shared" si="11"/>
        <v>88.456714722770485</v>
      </c>
      <c r="AA28" s="780">
        <f>IF(ISNUMBER(IF($N$3&gt;=$B28,Real!Y29,'Proy. Mes'!Z29)),IF($N$3&gt;=$B28,Real!Y29,'Proy. Mes'!Z29),0)</f>
        <v>27.793878251348087</v>
      </c>
      <c r="AB28" s="782">
        <f t="shared" si="19"/>
        <v>605.99171314751641</v>
      </c>
      <c r="AC28" s="780">
        <f>IF(ISNUMBER(IF($N$3&gt;=$B28,Real!AA29,'Proy. Mes'!AB29)),IF($N$3&gt;=$B28,Real!AA29,'Proy. Mes'!AB29),0)</f>
        <v>44.228357361385243</v>
      </c>
      <c r="AD28" s="539">
        <f t="shared" si="20"/>
        <v>735.49373559192611</v>
      </c>
      <c r="AE28" s="782">
        <f t="shared" si="21"/>
        <v>242.15642227109919</v>
      </c>
      <c r="AF28" s="780">
        <f t="shared" si="0"/>
        <v>1086.920348710496</v>
      </c>
      <c r="AG28" s="539">
        <f t="shared" si="22"/>
        <v>18598.00811936575</v>
      </c>
      <c r="AH28" s="2072">
        <f t="shared" si="1"/>
        <v>1095.6816695754667</v>
      </c>
      <c r="AI28" s="2451">
        <f t="shared" si="23"/>
        <v>18322.806451302549</v>
      </c>
      <c r="AJ28" s="2439">
        <f>IF(ISNUMBER(IF($N$3&gt;=$B28,Real!AL29,'Proy. Mes'!AF29)),IF($N$3&gt;=$B28,Real!AL29,'Proy. Mes'!AF29),0)</f>
        <v>3720</v>
      </c>
      <c r="AK28" s="2452">
        <f>IF(ISNUMBER(IF($N$3&gt;=$B28,Real!AM29,'Proy. Mes'!AG29)),IF($N$3&gt;=$B28,Real!AM29,'Proy. Mes'!AG29),0)</f>
        <v>27.191767251601942</v>
      </c>
      <c r="AL28" s="2453">
        <f t="shared" si="12"/>
        <v>1011.5337417595922</v>
      </c>
      <c r="AM28" s="2439">
        <f>IF(ISNUMBER(IF($N$3&gt;=$B28,Real!AO29,'Proy. Mes'!AI29)),IF($N$3&gt;=$B28,Real!AO29,'Proy. Mes'!AI29),0)</f>
        <v>3720</v>
      </c>
      <c r="AN28" s="2452">
        <f>IF(ISNUMBER(IF($N$3&gt;=$B28,Real!AP29,'Proy. Mes'!AJ29)),IF($N$3&gt;=$B28,Real!AP29,'Proy. Mes'!AJ29),0)</f>
        <v>25.463830076813228</v>
      </c>
      <c r="AO28" s="2453">
        <f t="shared" si="25"/>
        <v>947.254478857452</v>
      </c>
      <c r="AP28" s="783">
        <f t="shared" si="29"/>
        <v>2984.2590944903527</v>
      </c>
      <c r="AQ28" s="783">
        <f t="shared" si="28"/>
        <v>909.36429970315385</v>
      </c>
      <c r="AR28" s="783">
        <f t="shared" si="26"/>
        <v>8360.155728049238</v>
      </c>
      <c r="AS28" s="2455">
        <f>+'Plan mina PS'!Q63*1000</f>
        <v>205132.90510208852</v>
      </c>
      <c r="AT28" s="784"/>
      <c r="AU28" s="2454"/>
      <c r="AV28" s="2438">
        <f t="shared" si="4"/>
        <v>46102.791666666664</v>
      </c>
      <c r="AW28" s="2069">
        <f>IF(ISNUMBER(IF($N$3&gt;=$B28,Real!AC29,'Proy. Mes'!BC29)),IF($N$3&gt;=$B28,Real!AC29,'Proy. Mes'!BC29),0)</f>
        <v>89.785191129797255</v>
      </c>
      <c r="AX28" s="783"/>
      <c r="AY28" s="783"/>
      <c r="AZ28" s="783"/>
      <c r="BA28" s="2432">
        <f>IF($N$3&gt;=$B28,Real!AE29,'Proy. Mes'!AW29)</f>
        <v>29.038000097600129</v>
      </c>
      <c r="BB28" s="782">
        <f>IF($N$3&gt;=$B28,Real!AF29,'Proy. Mes'!AX29)</f>
        <v>1306.7100043920059</v>
      </c>
      <c r="BC28" s="2078">
        <f>'Plan mina PS'!AG26</f>
        <v>1.3002739296909176</v>
      </c>
      <c r="BD28" s="3099">
        <f>IF($N$3&gt;=$B28,Real!AS29,'Proy. Mes'!AY29)</f>
        <v>4.2551669079758971</v>
      </c>
      <c r="BE28" s="2440">
        <f>IF($N$3&gt;=$B28,Real!AU29,'Proy. Mes'!BB29)</f>
        <v>38.468991267239623</v>
      </c>
      <c r="BF28" s="780">
        <f>IF($N$3&gt;=$B28,Real!AI29,'Proy. Mes'!AO29)</f>
        <v>6848.1130962252482</v>
      </c>
      <c r="BG28" s="780">
        <f>IF($N$3&gt;=$B28,Real!AJ29,'Proy. Mes'!AP29)</f>
        <v>1783.2436472139541</v>
      </c>
      <c r="BH28" s="780">
        <f>IF($N$3&gt;=$B28,Real!AK29,'Proy. Mes'!AQ29)</f>
        <v>8629.5305387310873</v>
      </c>
      <c r="BI28" s="780"/>
      <c r="BJ28" s="539"/>
      <c r="BK28" s="539"/>
      <c r="BL28" s="781">
        <f>IF($N$3&gt;=$B28,Real!H29,'Proy. Mes'!AR29)</f>
        <v>98.057573027372243</v>
      </c>
      <c r="BM28" s="539"/>
      <c r="BN28" s="539"/>
      <c r="BO28" s="539"/>
      <c r="BP28" s="2441"/>
      <c r="BQ28" s="2442"/>
      <c r="BR28" s="2443"/>
      <c r="BS28" s="2444"/>
      <c r="BT28" s="785"/>
      <c r="BU28" s="785"/>
      <c r="BV28" s="2445"/>
      <c r="BW28" s="785"/>
      <c r="BX28" s="785"/>
      <c r="BY28" s="785"/>
      <c r="BZ28" s="785"/>
      <c r="CA28" s="2446"/>
      <c r="CB28" s="2446"/>
      <c r="CC28" s="2446"/>
      <c r="CD28" s="2443"/>
      <c r="CE28" s="2446"/>
      <c r="CF28" s="2446"/>
      <c r="CG28" s="2446"/>
      <c r="CH28" s="2444"/>
      <c r="CI28" s="2446"/>
      <c r="CJ28" s="2443"/>
      <c r="CK28" s="2446"/>
      <c r="CL28" s="2446"/>
      <c r="CM28" s="2443"/>
      <c r="CN28" s="2444"/>
      <c r="CO28" s="2446"/>
      <c r="CP28" s="2447"/>
      <c r="CQ28" s="786"/>
      <c r="CV28" s="2448"/>
      <c r="CW28" s="2449">
        <f>IF(ISNUMBER(IF($N$3&gt;=$B28,Real!AD29,'Proy. Mes'!BD29)),IF($N$3&gt;=$B28,Real!AD29,'Proy. Mes'!BD29),0)</f>
        <v>78.744402937491117</v>
      </c>
      <c r="CX28" s="783">
        <f t="shared" si="13"/>
        <v>16543.703135686766</v>
      </c>
      <c r="DA28" s="744">
        <f t="shared" si="5"/>
        <v>23.533817526569337</v>
      </c>
      <c r="DB28" s="744">
        <v>1</v>
      </c>
      <c r="DC28" s="2449">
        <f>IF(ISNUMBER(IF($N$3&gt;=$B28,Real!AC29,'Proy. Mes'!BC29)),IF($N$3&gt;=$B28,Real!AC29,'Proy. Mes'!BC29),0)</f>
        <v>89.785191129797255</v>
      </c>
      <c r="DE28" s="4239">
        <f t="shared" si="14"/>
        <v>202732.90510208849</v>
      </c>
      <c r="DF28" s="4239">
        <f t="shared" si="24"/>
        <v>3711699.749234769</v>
      </c>
      <c r="DG28" s="4234">
        <f t="shared" si="15"/>
        <v>0.55017132477022201</v>
      </c>
      <c r="DH28" s="342">
        <f>SUMPRODUCT(DG$8:DG28,DE$8:DE28)/DF28</f>
        <v>0.50093054303656803</v>
      </c>
      <c r="DI28" s="4240">
        <f t="shared" si="6"/>
        <v>90.224624853035252</v>
      </c>
      <c r="DJ28" s="348" cm="1">
        <f t="array" ref="DJ28">SUMPRODUCT(DI$8:DI28,DE$8:DE28/DF28)</f>
        <v>90.581069513758266</v>
      </c>
      <c r="DK28" s="866"/>
      <c r="DL28" s="866"/>
      <c r="DM28" s="866"/>
      <c r="DN28" s="866"/>
      <c r="DO28" s="866"/>
      <c r="DP28" s="866"/>
      <c r="DQ28" s="866"/>
      <c r="DR28" s="866"/>
    </row>
    <row r="29" spans="1:122" s="744" customFormat="1" ht="17.25" customHeight="1">
      <c r="A29" s="2431" t="s">
        <v>329</v>
      </c>
      <c r="B29" s="2070">
        <f t="shared" si="7"/>
        <v>46103.791666666664</v>
      </c>
      <c r="C29" s="1573">
        <f>IF($N$3&gt;=$B29,Real!C30,'Proy. Mes'!C30)</f>
        <v>240392</v>
      </c>
      <c r="D29" s="2456">
        <f>IF($N$3&gt;=$B29,Real!D30,D28+C29-E29)</f>
        <v>590750.24762543407</v>
      </c>
      <c r="E29" s="2456">
        <f>IF($N$3&gt;=$B29,Real!E30,'Proy. Mes'!E30)</f>
        <v>207633.99807777914</v>
      </c>
      <c r="F29" s="2456">
        <f>IF($N$3&gt;=$B29,Real!F30,'Proy. Mes'!F30)</f>
        <v>42241.024113783184</v>
      </c>
      <c r="G29" s="2456">
        <f>IF($N$3&gt;=$B29,Real!G30,'Proy. Mes'!G30)</f>
        <v>165392.97396399596</v>
      </c>
      <c r="H29" s="2069">
        <f>IF($N$3&gt;=$B29,Real!H30,'Proy. Mes'!H30)</f>
        <v>98.057573027372243</v>
      </c>
      <c r="I29" s="2069">
        <f>IF($N$3&gt;=$B29,Real!I30,'Proy. Mes'!I30)</f>
        <v>97.132597759803119</v>
      </c>
      <c r="J29" s="2067">
        <f t="shared" si="8"/>
        <v>97.88718333333334</v>
      </c>
      <c r="K29" s="2064">
        <f t="shared" si="9"/>
        <v>52.980890029738006</v>
      </c>
      <c r="L29" s="2071">
        <f>IF(ISNUMBER(IF($N$3&gt;=$B29,Real!K30,'Proy. Mes'!K30)),IF($N$3&gt;=$B29,Real!K30,'Proy. Mes'!K30),0)</f>
        <v>0.55330404655728971</v>
      </c>
      <c r="M29" s="2064">
        <f>IF(ISNUMBER(IF($N$3&gt;=$B29,Real!L30,'Proy. Mes'!L30)),IF($N$3&gt;=$B29,Real!L30,'Proy. Mes'!L30),0)</f>
        <v>89.406958992464013</v>
      </c>
      <c r="N29" s="2064">
        <f>IF(ISNUMBER(IF($N$3&gt;=$B29,Real!M30,'Proy. Mes'!M30)),IF($N$3&gt;=$B29,Real!M30,'Proy. Mes'!M30),0)</f>
        <v>23.645726239500451</v>
      </c>
      <c r="O29" s="1573">
        <f>IF(ISNUMBER(IF($N$3&gt;=$B29,Real!N30,'Proy. Mes'!N30)),IF($N$3&gt;=$B29,Real!N30,'Proy. Mes'!N30),0)</f>
        <v>4343.9116057068795</v>
      </c>
      <c r="P29" s="1556">
        <f t="shared" si="16"/>
        <v>68734.164557156371</v>
      </c>
      <c r="Q29" s="1573">
        <f t="shared" si="10"/>
        <v>1027.149446371337</v>
      </c>
      <c r="R29" s="976">
        <f t="shared" si="17"/>
        <v>17868.387589322439</v>
      </c>
      <c r="S29" s="1573">
        <f>IF(ISNUMBER(IF($N$3&gt;=$B29,Real!R30,'Proy. Mes'!R30)),IF($N$3&gt;=$B29,Real!R30,'Proy. Mes'!R30),0)</f>
        <v>147.0968321741156</v>
      </c>
      <c r="T29" s="2064">
        <f>IF(ISNUMBER(IF($N$3&gt;=$B29,Real!S30,'Proy. Mes'!S30)),IF($N$3&gt;=$B29,Real!S30,'Proy. Mes'!S30),0)</f>
        <v>89.4612626965435</v>
      </c>
      <c r="U29" s="2064">
        <f>IF(ISNUMBER(IF($N$3&gt;=$B29,Real!T30,'Proy. Mes'!T30)),IF($N$3&gt;=$B29,Real!T30,'Proy. Mes'!T30),0)</f>
        <v>88.495258391500073</v>
      </c>
      <c r="V29" s="2064">
        <f>IF(ISNUMBER(IF($N$3&gt;=$B29,Real!U30,'Proy. Mes'!U30)),IF($N$3&gt;=$B29,Real!U30,'Proy. Mes'!U30),0)</f>
        <v>79.168975583604833</v>
      </c>
      <c r="W29" s="2064">
        <f>IF(ISNUMBER(IF($N$3&gt;=$B29,Real!V30,'Proy. Mes'!V30)),IF($N$3&gt;=$B29,Real!V30,'Proy. Mes'!V30),0)</f>
        <v>50</v>
      </c>
      <c r="X29" s="1573">
        <f>IF(ISNUMBER(IF($N$3&gt;=$B29,Real!W30,'Proy. Mes'!W30)),IF($N$3&gt;=$B29,Real!W30,'Proy. Mes'!W30),0)</f>
        <v>48.360057393570472</v>
      </c>
      <c r="Y29" s="1556">
        <f t="shared" si="18"/>
        <v>1971.16552727167</v>
      </c>
      <c r="Z29" s="1556">
        <f t="shared" si="11"/>
        <v>50</v>
      </c>
      <c r="AA29" s="1573">
        <f>IF(ISNUMBER(IF($N$3&gt;=$B29,Real!Y30,'Proy. Mes'!Z30)),IF($N$3&gt;=$B29,Real!Y30,'Proy. Mes'!Z30),0)</f>
        <v>24.180028696785236</v>
      </c>
      <c r="AB29" s="976">
        <f t="shared" si="19"/>
        <v>630.17174184430166</v>
      </c>
      <c r="AC29" s="1573">
        <f>IF(ISNUMBER(IF($N$3&gt;=$B29,Real!AA30,'Proy. Mes'!AB30)),IF($N$3&gt;=$B29,Real!AA30,'Proy. Mes'!AB30),0)</f>
        <v>25</v>
      </c>
      <c r="AD29" s="1556">
        <f t="shared" si="20"/>
        <v>760.49373559192611</v>
      </c>
      <c r="AE29" s="976">
        <f t="shared" si="21"/>
        <v>241.33645096788445</v>
      </c>
      <c r="AF29" s="1573">
        <f t="shared" si="0"/>
        <v>1097.2473495633174</v>
      </c>
      <c r="AG29" s="1556">
        <f t="shared" si="22"/>
        <v>19695.255468929066</v>
      </c>
      <c r="AH29" s="2433">
        <f t="shared" si="1"/>
        <v>1060.2303924092262</v>
      </c>
      <c r="AI29" s="2434">
        <f t="shared" si="23"/>
        <v>19383.036843711776</v>
      </c>
      <c r="AJ29" s="2435">
        <f>IF(ISNUMBER(IF($N$3&gt;=$B29,Real!AL30,'Proy. Mes'!AF30)),IF($N$3&gt;=$B29,Real!AL30,'Proy. Mes'!AF30),0)</f>
        <v>3720</v>
      </c>
      <c r="AK29" s="2436">
        <f>IF(ISNUMBER(IF($N$3&gt;=$B29,Real!AM30,'Proy. Mes'!AG30)),IF($N$3&gt;=$B29,Real!AM30,'Proy. Mes'!AG30),0)</f>
        <v>23.645726239500451</v>
      </c>
      <c r="AL29" s="2437">
        <f t="shared" si="12"/>
        <v>879.62101610941681</v>
      </c>
      <c r="AM29" s="2435">
        <f>IF(ISNUMBER(IF($N$3&gt;=$B29,Real!AO30,'Proy. Mes'!AI30)),IF($N$3&gt;=$B29,Real!AO30,'Proy. Mes'!AI30),0)</f>
        <v>3720</v>
      </c>
      <c r="AN29" s="2436">
        <f>IF(ISNUMBER(IF($N$3&gt;=$B29,Real!AP30,'Proy. Mes'!AJ30)),IF($N$3&gt;=$B29,Real!AP30,'Proy. Mes'!AJ30),0)</f>
        <v>27.191767251601942</v>
      </c>
      <c r="AO29" s="2437">
        <f t="shared" si="25"/>
        <v>1011.5337417595922</v>
      </c>
      <c r="AP29" s="783">
        <f t="shared" si="29"/>
        <v>2999.8747991020973</v>
      </c>
      <c r="AQ29" s="783">
        <f t="shared" si="28"/>
        <v>971.07239208920851</v>
      </c>
      <c r="AR29" s="783">
        <f t="shared" si="26"/>
        <v>8984.0673337561166</v>
      </c>
      <c r="AS29" s="2455">
        <f>+'Plan mina PS'!Q64*1000</f>
        <v>210033.99807777911</v>
      </c>
      <c r="AT29" s="784"/>
      <c r="AU29" s="2068" t="s">
        <v>329</v>
      </c>
      <c r="AV29" s="2438">
        <f t="shared" si="4"/>
        <v>46103.791666666664</v>
      </c>
      <c r="AW29" s="2069">
        <f>IF(ISNUMBER(IF($N$3&gt;=$B29,Real!AC30,'Proy. Mes'!BC30)),IF($N$3&gt;=$B29,Real!AC30,'Proy. Mes'!BC30),0)</f>
        <v>81.114557259309791</v>
      </c>
      <c r="AX29" s="783"/>
      <c r="AY29" s="783"/>
      <c r="AZ29" s="783"/>
      <c r="BA29" s="2432">
        <f>IF($N$3&gt;=$B29,Real!AE30,'Proy. Mes'!AW30)</f>
        <v>27.923885320642949</v>
      </c>
      <c r="BB29" s="782">
        <f>IF($N$3&gt;=$B29,Real!AF30,'Proy. Mes'!AX30)</f>
        <v>1256.5748394289326</v>
      </c>
      <c r="BC29" s="2078">
        <f>'Plan mina PS'!AG27</f>
        <v>0.9123145242770142</v>
      </c>
      <c r="BD29" s="3099">
        <f>IF($N$3&gt;=$B29,Real!AS30,'Proy. Mes'!AY30)</f>
        <v>4.165449051016898</v>
      </c>
      <c r="BE29" s="2440">
        <f>IF($N$3&gt;=$B29,Real!AU30,'Proy. Mes'!BB30)</f>
        <v>39.31624955139938</v>
      </c>
      <c r="BF29" s="780">
        <f>IF($N$3&gt;=$B29,Real!AI30,'Proy. Mes'!AO30)</f>
        <v>7027.8854579062527</v>
      </c>
      <c r="BG29" s="780">
        <f>IF($N$3&gt;=$B29,Real!AJ30,'Proy. Mes'!AP30)</f>
        <v>1812</v>
      </c>
      <c r="BH29" s="780">
        <f>IF($N$3&gt;=$B29,Real!AK30,'Proy. Mes'!AQ30)</f>
        <v>8838.1505034358051</v>
      </c>
      <c r="BI29" s="780"/>
      <c r="BJ29" s="539"/>
      <c r="BK29" s="539"/>
      <c r="BL29" s="781">
        <f>IF($N$3&gt;=$B29,Real!H30,'Proy. Mes'!AR30)</f>
        <v>98.057573027372243</v>
      </c>
      <c r="BM29" s="539"/>
      <c r="BN29" s="539"/>
      <c r="BO29" s="539"/>
      <c r="BP29" s="2441"/>
      <c r="BQ29" s="2442"/>
      <c r="BR29" s="2443"/>
      <c r="BS29" s="2444"/>
      <c r="BT29" s="785"/>
      <c r="BU29" s="785"/>
      <c r="BV29" s="2445"/>
      <c r="BW29" s="785"/>
      <c r="BX29" s="785"/>
      <c r="BY29" s="785"/>
      <c r="BZ29" s="785"/>
      <c r="CA29" s="2446"/>
      <c r="CB29" s="2446"/>
      <c r="CC29" s="2446"/>
      <c r="CD29" s="2443"/>
      <c r="CE29" s="2446"/>
      <c r="CF29" s="2446"/>
      <c r="CG29" s="2446"/>
      <c r="CH29" s="2444"/>
      <c r="CI29" s="2446"/>
      <c r="CJ29" s="2443"/>
      <c r="CK29" s="2446"/>
      <c r="CL29" s="2446"/>
      <c r="CM29" s="2443"/>
      <c r="CN29" s="2444"/>
      <c r="CO29" s="2446"/>
      <c r="CP29" s="2447"/>
      <c r="CW29" s="2449">
        <f>IF(ISNUMBER(IF($N$3&gt;=$B29,Real!AD30,'Proy. Mes'!BD30)),IF($N$3&gt;=$B29,Real!AD30,'Proy. Mes'!BD30),0)</f>
        <v>52.980890029738006</v>
      </c>
      <c r="CX29" s="783">
        <f t="shared" si="13"/>
        <v>17555.236877446358</v>
      </c>
      <c r="DA29" s="744">
        <f t="shared" si="5"/>
        <v>23.533817526569337</v>
      </c>
      <c r="DB29" s="744">
        <v>1</v>
      </c>
      <c r="DC29" s="2449">
        <f>IF(ISNUMBER(IF($N$3&gt;=$B29,Real!AC30,'Proy. Mes'!BC30)),IF($N$3&gt;=$B29,Real!AC30,'Proy. Mes'!BC30),0)</f>
        <v>81.114557259309791</v>
      </c>
      <c r="DE29" s="4239">
        <f t="shared" si="14"/>
        <v>207633.99807777914</v>
      </c>
      <c r="DF29" s="4239">
        <f t="shared" si="24"/>
        <v>3919333.7473125481</v>
      </c>
      <c r="DG29" s="4234">
        <f t="shared" si="15"/>
        <v>0.55330404655728971</v>
      </c>
      <c r="DH29" s="342">
        <f>SUMPRODUCT(DG$8:DG29,DE$8:DE29)/DF29</f>
        <v>0.50370512683842072</v>
      </c>
      <c r="DI29" s="4240">
        <f t="shared" si="6"/>
        <v>89.406958992464013</v>
      </c>
      <c r="DJ29" s="348" cm="1">
        <f t="array" ref="DJ29">SUMPRODUCT(DI$8:DI29,DE$8:DE29/DF29)</f>
        <v>90.51886882419241</v>
      </c>
      <c r="DK29" s="866"/>
      <c r="DL29" s="866"/>
      <c r="DM29" s="866"/>
      <c r="DN29" s="866"/>
      <c r="DO29" s="866"/>
      <c r="DP29" s="866"/>
      <c r="DQ29" s="866"/>
      <c r="DR29" s="866"/>
    </row>
    <row r="30" spans="1:122" s="744" customFormat="1" ht="17.149999999999999" customHeight="1">
      <c r="A30" s="2450"/>
      <c r="B30" s="2065">
        <f t="shared" si="7"/>
        <v>46104.791666666664</v>
      </c>
      <c r="C30" s="780">
        <f>IF($N$3&gt;=$B30,Real!C31,'Proy. Mes'!C31)</f>
        <v>239552.08000000002</v>
      </c>
      <c r="D30" s="2432">
        <f>IF($N$3&gt;=$B30,Real!D31,D29+C30-E30)</f>
        <v>632934.62686944054</v>
      </c>
      <c r="E30" s="2432">
        <f>IF($N$3&gt;=$B30,Real!E31,'Proy. Mes'!E31)</f>
        <v>197367.70075599366</v>
      </c>
      <c r="F30" s="2432">
        <f>IF($N$3&gt;=$B30,Real!F31,'Proy. Mes'!F31)</f>
        <v>41305.635125511217</v>
      </c>
      <c r="G30" s="2432">
        <f>IF($N$3&gt;=$B30,Real!G31,'Proy. Mes'!G31)</f>
        <v>156062.06563048245</v>
      </c>
      <c r="H30" s="2067">
        <f>IF($N$3&gt;=$B30,Real!H31,'Proy. Mes'!H31)</f>
        <v>94.157059414800372</v>
      </c>
      <c r="I30" s="2067">
        <f>IF($N$3&gt;=$B30,Real!I31,'Proy. Mes'!I31)</f>
        <v>97.132597759803119</v>
      </c>
      <c r="J30" s="2067">
        <f t="shared" si="8"/>
        <v>94.705183333333338</v>
      </c>
      <c r="K30" s="781">
        <f t="shared" si="9"/>
        <v>56.633229817916828</v>
      </c>
      <c r="L30" s="2066">
        <f>IF(ISNUMBER(IF($N$3&gt;=$B30,Real!K31,'Proy. Mes'!K31)),IF($N$3&gt;=$B30,Real!K31,'Proy. Mes'!K31),0)</f>
        <v>0.52512631140585386</v>
      </c>
      <c r="M30" s="781">
        <f>IF(ISNUMBER(IF($N$3&gt;=$B30,Real!L31,'Proy. Mes'!L31)),IF($N$3&gt;=$B30,Real!L31,'Proy. Mes'!L31),0)</f>
        <v>89.808703657913071</v>
      </c>
      <c r="N30" s="781">
        <f>IF(ISNUMBER(IF($N$3&gt;=$B30,Real!M31,'Proy. Mes'!M31)),IF($N$3&gt;=$B30,Real!M31,'Proy. Mes'!M31),0)</f>
        <v>22.937398694023585</v>
      </c>
      <c r="O30" s="780">
        <f>IF(ISNUMBER(IF($N$3&gt;=$B30,Real!N31,'Proy. Mes'!N31)),IF($N$3&gt;=$B30,Real!N31,'Proy. Mes'!N31),0)</f>
        <v>4058.0194574746279</v>
      </c>
      <c r="P30" s="539">
        <f t="shared" si="16"/>
        <v>72792.184014630999</v>
      </c>
      <c r="Q30" s="780">
        <f t="shared" si="10"/>
        <v>930.80410204200825</v>
      </c>
      <c r="R30" s="782">
        <f t="shared" si="17"/>
        <v>18799.191691364449</v>
      </c>
      <c r="S30" s="780">
        <f>IF(ISNUMBER(IF($N$3&gt;=$B30,Real!R31,'Proy. Mes'!R31)),IF($N$3&gt;=$B30,Real!R31,'Proy. Mes'!R31),0)</f>
        <v>120.76178708195729</v>
      </c>
      <c r="T30" s="781">
        <f>IF(ISNUMBER(IF($N$3&gt;=$B30,Real!S31,'Proy. Mes'!S31)),IF($N$3&gt;=$B30,Real!S31,'Proy. Mes'!S31),0)</f>
        <v>88.769570727130684</v>
      </c>
      <c r="U30" s="781">
        <f>IF(ISNUMBER(IF($N$3&gt;=$B30,Real!T31,'Proy. Mes'!T31)),IF($N$3&gt;=$B30,Real!T31,'Proy. Mes'!T31),0)</f>
        <v>87.936329932173336</v>
      </c>
      <c r="V30" s="781">
        <f>IF(ISNUMBER(IF($N$3&gt;=$B30,Real!U31,'Proy. Mes'!U31)),IF($N$3&gt;=$B30,Real!U31,'Proy. Mes'!U31),0)</f>
        <v>78.060702593983592</v>
      </c>
      <c r="W30" s="781">
        <f>IF(ISNUMBER(IF($N$3&gt;=$B30,Real!V31,'Proy. Mes'!V31)),IF($N$3&gt;=$B30,Real!V31,'Proy. Mes'!V31),0)</f>
        <v>50</v>
      </c>
      <c r="X30" s="780">
        <f>IF(ISNUMBER(IF($N$3&gt;=$B30,Real!W31,'Proy. Mes'!W31)),IF($N$3&gt;=$B30,Real!W31,'Proy. Mes'!W31),0)</f>
        <v>37.210719249358242</v>
      </c>
      <c r="Y30" s="539">
        <f t="shared" si="18"/>
        <v>2008.3762465210282</v>
      </c>
      <c r="Z30" s="539">
        <f t="shared" si="11"/>
        <v>50</v>
      </c>
      <c r="AA30" s="780">
        <f>IF(ISNUMBER(IF($N$3&gt;=$B30,Real!Y31,'Proy. Mes'!Z31)),IF($N$3&gt;=$B30,Real!Y31,'Proy. Mes'!Z31),0)</f>
        <v>18.605359624679121</v>
      </c>
      <c r="AB30" s="782">
        <f t="shared" si="19"/>
        <v>648.77710146898073</v>
      </c>
      <c r="AC30" s="780">
        <f>IF(ISNUMBER(IF($N$3&gt;=$B30,Real!AA31,'Proy. Mes'!AB31)),IF($N$3&gt;=$B30,Real!AA31,'Proy. Mes'!AB31),0)</f>
        <v>25</v>
      </c>
      <c r="AD30" s="539">
        <f t="shared" si="20"/>
        <v>785.49373559192611</v>
      </c>
      <c r="AE30" s="782">
        <f t="shared" si="21"/>
        <v>234.94181059256357</v>
      </c>
      <c r="AF30" s="780">
        <f t="shared" si="0"/>
        <v>984.74103959395302</v>
      </c>
      <c r="AG30" s="539">
        <f t="shared" si="22"/>
        <v>20679.996508523018</v>
      </c>
      <c r="AH30" s="2072">
        <f t="shared" si="1"/>
        <v>967.54617116441193</v>
      </c>
      <c r="AI30" s="2451">
        <f t="shared" si="23"/>
        <v>20350.583014876189</v>
      </c>
      <c r="AJ30" s="2439">
        <f>IF(ISNUMBER(IF($N$3&gt;=$B30,Real!AL31,'Proy. Mes'!AF31)),IF($N$3&gt;=$B30,Real!AL31,'Proy. Mes'!AF31),0)</f>
        <v>3720</v>
      </c>
      <c r="AK30" s="2452">
        <f>IF(ISNUMBER(IF($N$3&gt;=$B30,Real!AM31,'Proy. Mes'!AG31)),IF($N$3&gt;=$B30,Real!AM31,'Proy. Mes'!AG31),0)</f>
        <v>22.937398694023585</v>
      </c>
      <c r="AL30" s="2453">
        <f t="shared" si="12"/>
        <v>853.27123141767731</v>
      </c>
      <c r="AM30" s="2439">
        <f>IF(ISNUMBER(IF($N$3&gt;=$B30,Real!AO31,'Proy. Mes'!AI31)),IF($N$3&gt;=$B30,Real!AO31,'Proy. Mes'!AI31),0)</f>
        <v>3720</v>
      </c>
      <c r="AN30" s="2452">
        <f>IF(ISNUMBER(IF($N$3&gt;=$B30,Real!AP31,'Proy. Mes'!AJ31)),IF($N$3&gt;=$B30,Real!AP31,'Proy. Mes'!AJ31),0)</f>
        <v>23.645726239500451</v>
      </c>
      <c r="AO30" s="2453">
        <f t="shared" si="25"/>
        <v>879.62101610941681</v>
      </c>
      <c r="AP30" s="783">
        <f t="shared" si="29"/>
        <v>3051.0578850346888</v>
      </c>
      <c r="AQ30" s="783">
        <f t="shared" si="28"/>
        <v>844.43617546504015</v>
      </c>
      <c r="AR30" s="783">
        <f t="shared" si="26"/>
        <v>9322.086791230744</v>
      </c>
      <c r="AS30" s="2455">
        <f>+'Plan mina PS'!Q65*1000</f>
        <v>198567.70075599363</v>
      </c>
      <c r="AT30" s="784"/>
      <c r="AU30" s="2076"/>
      <c r="AV30" s="2438">
        <f t="shared" si="4"/>
        <v>46104.791666666664</v>
      </c>
      <c r="AW30" s="2069">
        <f>IF(ISNUMBER(IF($N$3&gt;=$B30,Real!AC31,'Proy. Mes'!BC31)),IF($N$3&gt;=$B30,Real!AC31,'Proy. Mes'!BC31),0)</f>
        <v>84.076870053142514</v>
      </c>
      <c r="AX30" s="783"/>
      <c r="AY30" s="783"/>
      <c r="AZ30" s="783"/>
      <c r="BA30" s="2432">
        <f>IF($N$3&gt;=$B30,Real!AE31,'Proy. Mes'!AW31)</f>
        <v>24.100598082888698</v>
      </c>
      <c r="BB30" s="782">
        <f>IF($N$3&gt;=$B30,Real!AF31,'Proy. Mes'!AX31)</f>
        <v>1084.5269137299915</v>
      </c>
      <c r="BC30" s="2078">
        <f>'Plan mina PS'!AG28</f>
        <v>0.78303007613208775</v>
      </c>
      <c r="BD30" s="3099">
        <f>IF($N$3&gt;=$B30,Real!AS31,'Proy. Mes'!AY31)</f>
        <v>4.2767305199496732</v>
      </c>
      <c r="BE30" s="2440">
        <f>IF($N$3&gt;=$B30,Real!AU31,'Proy. Mes'!BB31)</f>
        <v>38.559717584585364</v>
      </c>
      <c r="BF30" s="780">
        <f>IF($N$3&gt;=$B30,Real!AI31,'Proy. Mes'!AO31)</f>
        <v>6906.105722025809</v>
      </c>
      <c r="BG30" s="780">
        <f>IF($N$3&gt;=$B30,Real!AJ31,'Proy. Mes'!AP31)</f>
        <v>1771.8749111247103</v>
      </c>
      <c r="BH30" s="780">
        <f>IF($N$3&gt;=$B30,Real!AK31,'Proy. Mes'!AQ31)</f>
        <v>8683.4256676550121</v>
      </c>
      <c r="BI30" s="780"/>
      <c r="BJ30" s="539"/>
      <c r="BK30" s="539"/>
      <c r="BL30" s="781">
        <f>IF($N$3&gt;=$B30,Real!H31,'Proy. Mes'!AR31)</f>
        <v>94.157059414800372</v>
      </c>
      <c r="BM30" s="539"/>
      <c r="BN30" s="539"/>
      <c r="BO30" s="539"/>
      <c r="BP30" s="2441"/>
      <c r="BQ30" s="2442"/>
      <c r="BR30" s="2443"/>
      <c r="BS30" s="2444"/>
      <c r="BT30" s="785"/>
      <c r="BU30" s="785"/>
      <c r="BV30" s="2445"/>
      <c r="BW30" s="785"/>
      <c r="BX30" s="785"/>
      <c r="BY30" s="785"/>
      <c r="BZ30" s="785"/>
      <c r="CA30" s="2446"/>
      <c r="CB30" s="2446"/>
      <c r="CC30" s="2446"/>
      <c r="CD30" s="2443"/>
      <c r="CE30" s="2446"/>
      <c r="CF30" s="2446"/>
      <c r="CG30" s="2446"/>
      <c r="CH30" s="2444"/>
      <c r="CI30" s="2446"/>
      <c r="CJ30" s="2443"/>
      <c r="CK30" s="2446"/>
      <c r="CL30" s="2446"/>
      <c r="CM30" s="2443"/>
      <c r="CN30" s="2444"/>
      <c r="CO30" s="2446"/>
      <c r="CP30" s="2447"/>
      <c r="CW30" s="2449">
        <f>IF(ISNUMBER(IF($N$3&gt;=$B30,Real!AD31,'Proy. Mes'!BD31)),IF($N$3&gt;=$B30,Real!AD31,'Proy. Mes'!BD31),0)</f>
        <v>56.633229817916828</v>
      </c>
      <c r="CX30" s="783">
        <f t="shared" si="13"/>
        <v>18434.857893555774</v>
      </c>
      <c r="DA30" s="744">
        <f t="shared" si="5"/>
        <v>22.597694259552089</v>
      </c>
      <c r="DB30" s="744">
        <v>1</v>
      </c>
      <c r="DC30" s="2449">
        <f>IF(ISNUMBER(IF($N$3&gt;=$B30,Real!AC31,'Proy. Mes'!BC31)),IF($N$3&gt;=$B30,Real!AC31,'Proy. Mes'!BC31),0)</f>
        <v>84.076870053142514</v>
      </c>
      <c r="DE30" s="4239">
        <f t="shared" si="14"/>
        <v>197367.70075599366</v>
      </c>
      <c r="DF30" s="4239">
        <f t="shared" si="24"/>
        <v>4116701.4480685419</v>
      </c>
      <c r="DG30" s="4234">
        <f t="shared" si="15"/>
        <v>0.52512631140585386</v>
      </c>
      <c r="DH30" s="342">
        <f>SUMPRODUCT(DG$8:DG30,DE$8:DE30)/DF30</f>
        <v>0.50473212624531905</v>
      </c>
      <c r="DI30" s="4240">
        <f t="shared" si="6"/>
        <v>89.808703657913071</v>
      </c>
      <c r="DJ30" s="348" cm="1">
        <f t="array" ref="DJ30">SUMPRODUCT(DI$8:DI30,DE$8:DE30/DF30)</f>
        <v>90.484821257762434</v>
      </c>
      <c r="DK30" s="866"/>
      <c r="DL30" s="866"/>
      <c r="DM30" s="866"/>
      <c r="DN30" s="866"/>
      <c r="DO30" s="866"/>
      <c r="DP30" s="866"/>
      <c r="DQ30" s="866"/>
      <c r="DR30" s="866"/>
    </row>
    <row r="31" spans="1:122" s="744" customFormat="1" ht="17.25" customHeight="1">
      <c r="A31" s="2450"/>
      <c r="B31" s="2065">
        <f t="shared" si="7"/>
        <v>46105.791666666664</v>
      </c>
      <c r="C31" s="780">
        <f>IF($N$3&gt;=$B31,Real!C32,'Proy. Mes'!C32)</f>
        <v>179569.56</v>
      </c>
      <c r="D31" s="2432">
        <f>IF($N$3&gt;=$B31,Real!D32,D30+C31-E31)</f>
        <v>612135.79909895593</v>
      </c>
      <c r="E31" s="2432">
        <f>IF($N$3&gt;=$B31,Real!E32,'Proy. Mes'!E32)</f>
        <v>200368.38777048467</v>
      </c>
      <c r="F31" s="2432">
        <f>IF($N$3&gt;=$B31,Real!F32,'Proy. Mes'!F32)</f>
        <v>40605.120557599002</v>
      </c>
      <c r="G31" s="2432">
        <f>IF($N$3&gt;=$B31,Real!G32,'Proy. Mes'!G32)</f>
        <v>159763.26721288566</v>
      </c>
      <c r="H31" s="2067">
        <f>IF($N$3&gt;=$B31,Real!H32,'Proy. Mes'!H32)</f>
        <v>98.057573027372243</v>
      </c>
      <c r="I31" s="2067">
        <f>IF($N$3&gt;=$B31,Real!I32,'Proy. Mes'!I32)</f>
        <v>97.132597759803119</v>
      </c>
      <c r="J31" s="2067">
        <f t="shared" si="8"/>
        <v>97.88718333333334</v>
      </c>
      <c r="K31" s="781">
        <f t="shared" si="9"/>
        <v>68.075881012349754</v>
      </c>
      <c r="L31" s="2066">
        <f>IF(ISNUMBER(IF($N$3&gt;=$B31,Real!K32,'Proy. Mes'!K32)),IF($N$3&gt;=$B31,Real!K32,'Proy. Mes'!K32),0)</f>
        <v>0.50473815027446745</v>
      </c>
      <c r="M31" s="781">
        <f>IF(ISNUMBER(IF($N$3&gt;=$B31,Real!L32,'Proy. Mes'!L32)),IF($N$3&gt;=$B31,Real!L32,'Proy. Mes'!L32),0)</f>
        <v>90.300288436071995</v>
      </c>
      <c r="N31" s="781">
        <f>IF(ISNUMBER(IF($N$3&gt;=$B31,Real!M32,'Proy. Mes'!M32)),IF($N$3&gt;=$B31,Real!M32,'Proy. Mes'!M32),0)</f>
        <v>24.166962778076822</v>
      </c>
      <c r="O31" s="780">
        <f>IF(ISNUMBER(IF($N$3&gt;=$B31,Real!N32,'Proy. Mes'!N32)),IF($N$3&gt;=$B31,Real!N32,'Proy. Mes'!N32),0)</f>
        <v>3778.8739001934809</v>
      </c>
      <c r="P31" s="539">
        <f t="shared" si="16"/>
        <v>76571.057914824487</v>
      </c>
      <c r="Q31" s="780">
        <f>+O31*N31/100</f>
        <v>913.23904889021844</v>
      </c>
      <c r="R31" s="782">
        <f t="shared" si="17"/>
        <v>19712.430740254669</v>
      </c>
      <c r="S31" s="780">
        <f>IF(ISNUMBER(IF($N$3&gt;=$B31,Real!R32,'Proy. Mes'!R32)),IF($N$3&gt;=$B31,Real!R32,'Proy. Mes'!R32),0)</f>
        <v>118.87148244947528</v>
      </c>
      <c r="T31" s="781">
        <f>IF(ISNUMBER(IF($N$3&gt;=$B31,Real!S32,'Proy. Mes'!S32)),IF($N$3&gt;=$B31,Real!S32,'Proy. Mes'!S32),0)</f>
        <v>88.714251925800397</v>
      </c>
      <c r="U31" s="781">
        <f>IF(ISNUMBER(IF($N$3&gt;=$B31,Real!T32,'Proy. Mes'!T32)),IF($N$3&gt;=$B31,Real!T32,'Proy. Mes'!T32),0)</f>
        <v>87.891629033844865</v>
      </c>
      <c r="V31" s="781">
        <f>IF(ISNUMBER(IF($N$3&gt;=$B31,Real!U32,'Proy. Mes'!U32)),IF($N$3&gt;=$B31,Real!U32,'Proy. Mes'!U32),0)</f>
        <v>77.97240120277506</v>
      </c>
      <c r="W31" s="781">
        <f>IF(ISNUMBER(IF($N$3&gt;=$B31,Real!V32,'Proy. Mes'!V32)),IF($N$3&gt;=$B31,Real!V32,'Proy. Mes'!V32),0)</f>
        <v>50</v>
      </c>
      <c r="X31" s="780">
        <f>IF(ISNUMBER(IF($N$3&gt;=$B31,Real!W32,'Proy. Mes'!W32)),IF($N$3&gt;=$B31,Real!W32,'Proy. Mes'!W32),0)</f>
        <v>37.143069161622357</v>
      </c>
      <c r="Y31" s="539">
        <f t="shared" si="18"/>
        <v>2045.5193156826506</v>
      </c>
      <c r="Z31" s="539">
        <f t="shared" si="11"/>
        <v>50</v>
      </c>
      <c r="AA31" s="780">
        <f>IF(ISNUMBER(IF($N$3&gt;=$B31,Real!Y32,'Proy. Mes'!Z32)),IF($N$3&gt;=$B31,Real!Y32,'Proy. Mes'!Z32),0)</f>
        <v>18.571534580811178</v>
      </c>
      <c r="AB31" s="782">
        <f t="shared" si="19"/>
        <v>667.34863604979193</v>
      </c>
      <c r="AC31" s="780">
        <f>IF(ISNUMBER(IF($N$3&gt;=$B31,Real!AA32,'Proy. Mes'!AB32)),IF($N$3&gt;=$B31,Real!AA32,'Proy. Mes'!AB32),0)</f>
        <v>25</v>
      </c>
      <c r="AD31" s="539">
        <f t="shared" si="20"/>
        <v>810.49373559192611</v>
      </c>
      <c r="AE31" s="782">
        <f t="shared" si="21"/>
        <v>228.51334517337474</v>
      </c>
      <c r="AF31" s="780">
        <f t="shared" si="0"/>
        <v>967.07792763999009</v>
      </c>
      <c r="AG31" s="539">
        <f t="shared" si="22"/>
        <v>21647.07443616301</v>
      </c>
      <c r="AH31" s="2072">
        <f t="shared" si="1"/>
        <v>950.64859003239008</v>
      </c>
      <c r="AI31" s="2451">
        <f t="shared" si="23"/>
        <v>21301.231604908578</v>
      </c>
      <c r="AJ31" s="2439">
        <f>IF(ISNUMBER(IF($N$3&gt;=$B31,Real!AL32,'Proy. Mes'!AF32)),IF($N$3&gt;=$B31,Real!AL32,'Proy. Mes'!AF32),0)</f>
        <v>3720</v>
      </c>
      <c r="AK31" s="2452">
        <f>IF(ISNUMBER(IF($N$3&gt;=$B31,Real!AM32,'Proy. Mes'!AG32)),IF($N$3&gt;=$B31,Real!AM32,'Proy. Mes'!AG32),0)</f>
        <v>24.166962778076822</v>
      </c>
      <c r="AL31" s="2453">
        <f t="shared" si="12"/>
        <v>899.01101534445786</v>
      </c>
      <c r="AM31" s="2439">
        <f>IF(ISNUMBER(IF($N$3&gt;=$B31,Real!AO32,'Proy. Mes'!AI32)),IF($N$3&gt;=$B31,Real!AO32,'Proy. Mes'!AI32),0)</f>
        <v>3720</v>
      </c>
      <c r="AN31" s="2452">
        <f>IF(ISNUMBER(IF($N$3&gt;=$B31,Real!AP32,'Proy. Mes'!AJ32)),IF($N$3&gt;=$B31,Real!AP32,'Proy. Mes'!AJ32),0)</f>
        <v>22.937398694023585</v>
      </c>
      <c r="AO31" s="2453">
        <f t="shared" si="25"/>
        <v>853.27123141767731</v>
      </c>
      <c r="AP31" s="783">
        <f t="shared" si="29"/>
        <v>3111.0257025072297</v>
      </c>
      <c r="AQ31" s="783">
        <f t="shared" si="28"/>
        <v>819.14038216097015</v>
      </c>
      <c r="AR31" s="783">
        <f t="shared" si="26"/>
        <v>9380.9606914242249</v>
      </c>
      <c r="AS31" s="2455">
        <f>+'Plan mina PS'!Q66*1000</f>
        <v>200368.38777048467</v>
      </c>
      <c r="AT31" s="784"/>
      <c r="AU31" s="2076"/>
      <c r="AV31" s="2438">
        <f t="shared" si="4"/>
        <v>46105.791666666664</v>
      </c>
      <c r="AW31" s="2069">
        <f>IF(ISNUMBER(IF($N$3&gt;=$B31,Real!AC32,'Proy. Mes'!BC32)),IF($N$3&gt;=$B31,Real!AC32,'Proy. Mes'!BC32),0)</f>
        <v>87.543521444280415</v>
      </c>
      <c r="AX31" s="783"/>
      <c r="AY31" s="783"/>
      <c r="AZ31" s="783"/>
      <c r="BA31" s="2432">
        <f>IF($N$3&gt;=$B31,Real!AE32,'Proy. Mes'!AW32)</f>
        <v>27.104588550531616</v>
      </c>
      <c r="BB31" s="782">
        <f>IF($N$3&gt;=$B31,Real!AF32,'Proy. Mes'!AX32)</f>
        <v>1219.7064847739227</v>
      </c>
      <c r="BC31" s="2078">
        <f>'Plan mina PS'!AG29</f>
        <v>0.89548940544265954</v>
      </c>
      <c r="BD31" s="3099">
        <f>IF($N$3&gt;=$B31,Real!AS32,'Proy. Mes'!AY32)</f>
        <v>4.2962545068139528</v>
      </c>
      <c r="BE31" s="2440">
        <f>IF($N$3&gt;=$B31,Real!AU32,'Proy. Mes'!BB32)</f>
        <v>37.635390704304228</v>
      </c>
      <c r="BF31" s="780">
        <f>IF($N$3&gt;=$B31,Real!AI32,'Proy. Mes'!AO32)</f>
        <v>6788.6677132817595</v>
      </c>
      <c r="BG31" s="780">
        <f>IF($N$3&gt;=$B31,Real!AJ32,'Proy. Mes'!AP32)</f>
        <v>1741.8251567996788</v>
      </c>
      <c r="BH31" s="780">
        <f>IF($N$3&gt;=$B31,Real!AK32,'Proy. Mes'!AQ32)</f>
        <v>8528.8824741647586</v>
      </c>
      <c r="BI31" s="780"/>
      <c r="BJ31" s="539"/>
      <c r="BK31" s="539"/>
      <c r="BL31" s="781">
        <f>IF($N$3&gt;=$B31,Real!H32,'Proy. Mes'!AR32)</f>
        <v>98.057573027372243</v>
      </c>
      <c r="BM31" s="539"/>
      <c r="BN31" s="539"/>
      <c r="BO31" s="539"/>
      <c r="BP31" s="2441"/>
      <c r="BQ31" s="2442"/>
      <c r="BR31" s="2443"/>
      <c r="BS31" s="2444"/>
      <c r="BT31" s="785"/>
      <c r="BU31" s="785"/>
      <c r="BV31" s="2445"/>
      <c r="BW31" s="785"/>
      <c r="BX31" s="785"/>
      <c r="BY31" s="785"/>
      <c r="BZ31" s="785"/>
      <c r="CA31" s="2446"/>
      <c r="CB31" s="2446"/>
      <c r="CC31" s="2446"/>
      <c r="CD31" s="2443"/>
      <c r="CE31" s="2446"/>
      <c r="CF31" s="2446"/>
      <c r="CG31" s="2446"/>
      <c r="CH31" s="2444"/>
      <c r="CI31" s="2446"/>
      <c r="CJ31" s="2443"/>
      <c r="CK31" s="2446"/>
      <c r="CL31" s="2446"/>
      <c r="CM31" s="2443"/>
      <c r="CN31" s="2444"/>
      <c r="CO31" s="2446"/>
      <c r="CP31" s="2447"/>
      <c r="CW31" s="2449">
        <f>IF(ISNUMBER(IF($N$3&gt;=$B31,Real!AD32,'Proy. Mes'!BD32)),IF($N$3&gt;=$B31,Real!AD32,'Proy. Mes'!BD32),0)</f>
        <v>68.075881012349754</v>
      </c>
      <c r="CX31" s="783">
        <f t="shared" si="13"/>
        <v>19288.129124973453</v>
      </c>
      <c r="DA31" s="744">
        <f t="shared" si="5"/>
        <v>23.533817526569337</v>
      </c>
      <c r="DB31" s="744">
        <v>1</v>
      </c>
      <c r="DC31" s="2449">
        <f>IF(ISNUMBER(IF($N$3&gt;=$B31,Real!AC32,'Proy. Mes'!BC32)),IF($N$3&gt;=$B31,Real!AC32,'Proy. Mes'!BC32),0)</f>
        <v>87.543521444280415</v>
      </c>
      <c r="DE31" s="4239">
        <f t="shared" si="14"/>
        <v>200368.38777048467</v>
      </c>
      <c r="DF31" s="4239">
        <f t="shared" si="24"/>
        <v>4317069.8358390266</v>
      </c>
      <c r="DG31" s="4234">
        <f t="shared" si="15"/>
        <v>0.50473815027446745</v>
      </c>
      <c r="DH31" s="342">
        <f>SUMPRODUCT(DG$8:DG31,DE$8:DE31)/DF31</f>
        <v>0.50473240583889856</v>
      </c>
      <c r="DI31" s="4240">
        <f t="shared" si="6"/>
        <v>90.300288436071995</v>
      </c>
      <c r="DJ31" s="348" cm="1">
        <f t="array" ref="DJ31">SUMPRODUCT(DI$8:DI31,DE$8:DE31/DF31)</f>
        <v>90.476256526271172</v>
      </c>
      <c r="DK31" s="866"/>
      <c r="DL31" s="866"/>
      <c r="DM31" s="866"/>
      <c r="DN31" s="866"/>
      <c r="DO31" s="866"/>
      <c r="DP31" s="866"/>
      <c r="DQ31" s="866"/>
      <c r="DR31" s="866"/>
    </row>
    <row r="32" spans="1:122" s="744" customFormat="1" ht="17.25" customHeight="1">
      <c r="A32" s="2450"/>
      <c r="B32" s="2065">
        <f t="shared" si="7"/>
        <v>46106.791666666664</v>
      </c>
      <c r="C32" s="780">
        <f>IF($N$3&gt;=$B32,Real!C33,'Proy. Mes'!C33)</f>
        <v>240172.9964</v>
      </c>
      <c r="D32" s="2432">
        <f>IF($N$3&gt;=$B32,Real!D33,D31+C32-E32)</f>
        <v>655013.60114647611</v>
      </c>
      <c r="E32" s="2432">
        <f>IF($N$3&gt;=$B32,Real!E33,'Proy. Mes'!E33)</f>
        <v>197295.19435247991</v>
      </c>
      <c r="F32" s="2432">
        <f>IF($N$3&gt;=$B32,Real!F33,'Proy. Mes'!F33)</f>
        <v>39982.330752164009</v>
      </c>
      <c r="G32" s="2432">
        <f>IF($N$3&gt;=$B32,Real!G33,'Proy. Mes'!G33)</f>
        <v>157312.8636003159</v>
      </c>
      <c r="H32" s="2067">
        <f>IF($N$3&gt;=$B32,Real!H33,'Proy. Mes'!H33)</f>
        <v>98.057573027372243</v>
      </c>
      <c r="I32" s="2067">
        <f>IF($N$3&gt;=$B32,Real!I33,'Proy. Mes'!I33)</f>
        <v>97.132597759803119</v>
      </c>
      <c r="J32" s="2067">
        <f t="shared" si="8"/>
        <v>97.88718333333334</v>
      </c>
      <c r="K32" s="781">
        <f t="shared" si="9"/>
        <v>71.768111414542958</v>
      </c>
      <c r="L32" s="2066">
        <f>IF(ISNUMBER(IF($N$3&gt;=$B32,Real!K33,'Proy. Mes'!K33)),IF($N$3&gt;=$B32,Real!K33,'Proy. Mes'!K33),0)</f>
        <v>0.48892696357468995</v>
      </c>
      <c r="M32" s="781">
        <f>IF(ISNUMBER(IF($N$3&gt;=$B32,Real!L33,'Proy. Mes'!L33)),IF($N$3&gt;=$B32,Real!L33,'Proy. Mes'!L33),0)</f>
        <v>90.184668922599528</v>
      </c>
      <c r="N32" s="781">
        <f>IF(ISNUMBER(IF($N$3&gt;=$B32,Real!M33,'Proy. Mes'!M33)),IF($N$3&gt;=$B32,Real!M33,'Proy. Mes'!M33),0)</f>
        <v>25.229869264557234</v>
      </c>
      <c r="O32" s="780">
        <f>IF(ISNUMBER(IF($N$3&gt;=$B32,Real!N33,'Proy. Mes'!N33)),IF($N$3&gt;=$B32,Real!N33,'Proy. Mes'!N33),0)</f>
        <v>3448.0869652046572</v>
      </c>
      <c r="P32" s="539">
        <f t="shared" si="16"/>
        <v>80019.14488002914</v>
      </c>
      <c r="Q32" s="780">
        <f t="shared" si="10"/>
        <v>869.94783344937412</v>
      </c>
      <c r="R32" s="782">
        <f t="shared" si="17"/>
        <v>20582.378573704042</v>
      </c>
      <c r="S32" s="780">
        <f>IF(ISNUMBER(IF($N$3&gt;=$B32,Real!R33,'Proy. Mes'!R33)),IF($N$3&gt;=$B32,Real!R33,'Proy. Mes'!R33),0)</f>
        <v>175.58163669109402</v>
      </c>
      <c r="T32" s="781">
        <f>IF(ISNUMBER(IF($N$3&gt;=$B32,Real!S33,'Proy. Mes'!S33)),IF($N$3&gt;=$B32,Real!S33,'Proy. Mes'!S33),0)</f>
        <v>90.08192340961898</v>
      </c>
      <c r="U32" s="781">
        <f>IF(ISNUMBER(IF($N$3&gt;=$B32,Real!T33,'Proy. Mes'!T33)),IF($N$3&gt;=$B32,Real!T33,'Proy. Mes'!T33),0)</f>
        <v>88.996789349591722</v>
      </c>
      <c r="V32" s="781">
        <f>IF(ISNUMBER(IF($N$3&gt;=$B32,Real!U33,'Proy. Mes'!U33)),IF($N$3&gt;=$B32,Real!U33,'Proy. Mes'!U33),0)</f>
        <v>80.170019618919156</v>
      </c>
      <c r="W32" s="781">
        <f>IF(ISNUMBER(IF($N$3&gt;=$B32,Real!V33,'Proy. Mes'!V33)),IF($N$3&gt;=$B32,Real!V33,'Proy. Mes'!V33),0)</f>
        <v>50</v>
      </c>
      <c r="X32" s="780">
        <f>IF(ISNUMBER(IF($N$3&gt;=$B32,Real!W33,'Proy. Mes'!W33)),IF($N$3&gt;=$B32,Real!W33,'Proy. Mes'!W33),0)</f>
        <v>55.544055414316496</v>
      </c>
      <c r="Y32" s="539">
        <f t="shared" si="18"/>
        <v>2101.0633710969669</v>
      </c>
      <c r="Z32" s="539">
        <f t="shared" si="11"/>
        <v>50</v>
      </c>
      <c r="AA32" s="780">
        <f>IF(ISNUMBER(IF($N$3&gt;=$B32,Real!Y33,'Proy. Mes'!Z33)),IF($N$3&gt;=$B32,Real!Y33,'Proy. Mes'!Z33),0)</f>
        <v>27.772027707158248</v>
      </c>
      <c r="AB32" s="782">
        <f t="shared" si="19"/>
        <v>695.12066375695019</v>
      </c>
      <c r="AC32" s="780">
        <f>IF(ISNUMBER(IF($N$3&gt;=$B32,Real!AA33,'Proy. Mes'!AB33)),IF($N$3&gt;=$B32,Real!AA33,'Proy. Mes'!AB33),0)</f>
        <v>25</v>
      </c>
      <c r="AD32" s="539">
        <f t="shared" si="20"/>
        <v>835.49373559192611</v>
      </c>
      <c r="AE32" s="782">
        <f t="shared" si="21"/>
        <v>231.28537288053298</v>
      </c>
      <c r="AF32" s="780">
        <f t="shared" si="0"/>
        <v>950.45894177242587</v>
      </c>
      <c r="AG32" s="539">
        <f t="shared" si="22"/>
        <v>22597.533377935437</v>
      </c>
      <c r="AH32" s="2072">
        <f t="shared" si="1"/>
        <v>909.0024407782978</v>
      </c>
      <c r="AI32" s="2451">
        <f t="shared" si="23"/>
        <v>22210.234045686877</v>
      </c>
      <c r="AJ32" s="2439">
        <f>IF(ISNUMBER(IF($N$3&gt;=$B32,Real!AL33,'Proy. Mes'!AF33)),IF($N$3&gt;=$B32,Real!AL33,'Proy. Mes'!AF33),0)</f>
        <v>4366</v>
      </c>
      <c r="AK32" s="2452">
        <f>IF(ISNUMBER(IF($N$3&gt;=$B32,Real!AM33,'Proy. Mes'!AG33)),IF($N$3&gt;=$B32,Real!AM33,'Proy. Mes'!AG33),0)</f>
        <v>25.229869264557234</v>
      </c>
      <c r="AL32" s="2453">
        <f t="shared" si="12"/>
        <v>1101.5360920905689</v>
      </c>
      <c r="AM32" s="2439">
        <f>IF(ISNUMBER(IF($N$3&gt;=$B32,Real!AO33,'Proy. Mes'!AI33)),IF($N$3&gt;=$B32,Real!AO33,'Proy. Mes'!AI33),0)</f>
        <v>3720</v>
      </c>
      <c r="AN32" s="2452">
        <f>IF(ISNUMBER(IF($N$3&gt;=$B32,Real!AP33,'Proy. Mes'!AJ33)),IF($N$3&gt;=$B32,Real!AP33,'Proy. Mes'!AJ33),0)</f>
        <v>24.166962778076822</v>
      </c>
      <c r="AO32" s="2453">
        <f t="shared" si="25"/>
        <v>899.01101534445786</v>
      </c>
      <c r="AP32" s="783">
        <f t="shared" si="29"/>
        <v>3081.9625206121459</v>
      </c>
      <c r="AQ32" s="783">
        <f t="shared" si="28"/>
        <v>863.0505747306795</v>
      </c>
      <c r="AR32" s="783">
        <f t="shared" si="26"/>
        <v>9109.0476566288817</v>
      </c>
      <c r="AS32" s="2455">
        <f>+'Plan mina PS'!Q67*1000</f>
        <v>197295.19435247991</v>
      </c>
      <c r="AT32" s="784"/>
      <c r="AU32" s="2076"/>
      <c r="AV32" s="2438">
        <f t="shared" si="4"/>
        <v>46106.791666666664</v>
      </c>
      <c r="AW32" s="2069">
        <f>IF(ISNUMBER(IF($N$3&gt;=$B32,Real!AC33,'Proy. Mes'!BC33)),IF($N$3&gt;=$B32,Real!AC33,'Proy. Mes'!BC33),0)</f>
        <v>86.154996684978286</v>
      </c>
      <c r="AX32" s="783"/>
      <c r="AY32" s="783"/>
      <c r="AZ32" s="783"/>
      <c r="BA32" s="2432">
        <f>IF($N$3&gt;=$B32,Real!AE33,'Proy. Mes'!AW33)</f>
        <v>25.698208431056358</v>
      </c>
      <c r="BB32" s="782">
        <f>IF($N$3&gt;=$B32,Real!AF33,'Proy. Mes'!AX33)</f>
        <v>1156.4193793975362</v>
      </c>
      <c r="BC32" s="2078">
        <f>'Plan mina PS'!AG30</f>
        <v>0.96581817638268475</v>
      </c>
      <c r="BD32" s="3099">
        <f>IF($N$3&gt;=$B32,Real!AS33,'Proy. Mes'!AY33)</f>
        <v>4.2745707218298765</v>
      </c>
      <c r="BE32" s="2440">
        <f>IF($N$3&gt;=$B32,Real!AU33,'Proy. Mes'!BB33)</f>
        <v>36.531048012461845</v>
      </c>
      <c r="BF32" s="780">
        <f>IF($N$3&gt;=$B32,Real!AI33,'Proy. Mes'!AO33)</f>
        <v>6684.5450561818952</v>
      </c>
      <c r="BG32" s="780">
        <f>IF($N$3&gt;=$B32,Real!AJ33,'Proy. Mes'!AP33)</f>
        <v>1715.1095373012399</v>
      </c>
      <c r="BH32" s="780">
        <f>IF($N$3&gt;=$B32,Real!AK33,'Proy. Mes'!AQ33)</f>
        <v>8398.0688973616016</v>
      </c>
      <c r="BI32" s="780"/>
      <c r="BJ32" s="539"/>
      <c r="BK32" s="539"/>
      <c r="BL32" s="781">
        <f>IF($N$3&gt;=$B32,Real!H33,'Proy. Mes'!AR33)</f>
        <v>98.057573027372243</v>
      </c>
      <c r="BM32" s="539"/>
      <c r="BN32" s="539"/>
      <c r="BO32" s="539"/>
      <c r="BP32" s="2441"/>
      <c r="BQ32" s="2442"/>
      <c r="BR32" s="2443"/>
      <c r="BS32" s="2444"/>
      <c r="BT32" s="785"/>
      <c r="BU32" s="785"/>
      <c r="BV32" s="2445"/>
      <c r="BW32" s="785"/>
      <c r="BX32" s="785"/>
      <c r="BY32" s="785"/>
      <c r="BZ32" s="785"/>
      <c r="CA32" s="2446"/>
      <c r="CB32" s="2446"/>
      <c r="CC32" s="2446"/>
      <c r="CD32" s="2443"/>
      <c r="CE32" s="2446"/>
      <c r="CF32" s="2446"/>
      <c r="CG32" s="2446"/>
      <c r="CH32" s="2444"/>
      <c r="CI32" s="2446"/>
      <c r="CJ32" s="2443"/>
      <c r="CK32" s="2446"/>
      <c r="CL32" s="2446"/>
      <c r="CM32" s="2443"/>
      <c r="CN32" s="2444"/>
      <c r="CO32" s="2446"/>
      <c r="CP32" s="2447"/>
      <c r="CW32" s="2449">
        <f>IF(ISNUMBER(IF($N$3&gt;=$B32,Real!AD33,'Proy. Mes'!BD33)),IF($N$3&gt;=$B32,Real!AD33,'Proy. Mes'!BD33),0)</f>
        <v>71.768111414542958</v>
      </c>
      <c r="CX32" s="783">
        <f t="shared" si="13"/>
        <v>20187.140140317912</v>
      </c>
      <c r="DA32" s="744">
        <f t="shared" si="5"/>
        <v>23.533817526569337</v>
      </c>
      <c r="DB32" s="744">
        <v>1</v>
      </c>
      <c r="DC32" s="2449">
        <f>IF(ISNUMBER(IF($N$3&gt;=$B32,Real!AC33,'Proy. Mes'!BC33)),IF($N$3&gt;=$B32,Real!AC33,'Proy. Mes'!BC33),0)</f>
        <v>86.154996684978286</v>
      </c>
      <c r="DE32" s="4239">
        <f t="shared" si="14"/>
        <v>197295.19435247991</v>
      </c>
      <c r="DF32" s="4239">
        <f t="shared" si="24"/>
        <v>4514365.0301915063</v>
      </c>
      <c r="DG32" s="4234">
        <f t="shared" si="15"/>
        <v>0.48892696357468995</v>
      </c>
      <c r="DH32" s="342">
        <f>SUMPRODUCT(DG$8:DG32,DE$8:DE32)/DF32</f>
        <v>0.50404164694313169</v>
      </c>
      <c r="DI32" s="4240">
        <f t="shared" si="6"/>
        <v>90.184668922599528</v>
      </c>
      <c r="DJ32" s="348" cm="1">
        <f t="array" ref="DJ32">SUMPRODUCT(DI$8:DI32,DE$8:DE32/DF32)</f>
        <v>90.46351302135912</v>
      </c>
      <c r="DK32" s="866"/>
      <c r="DL32" s="866"/>
      <c r="DM32" s="866"/>
      <c r="DN32" s="866"/>
      <c r="DO32" s="866"/>
      <c r="DP32" s="866"/>
      <c r="DQ32" s="866"/>
      <c r="DR32" s="866"/>
    </row>
    <row r="33" spans="1:122" s="744" customFormat="1" ht="17.25" customHeight="1">
      <c r="A33" s="2450"/>
      <c r="B33" s="2065">
        <f t="shared" si="7"/>
        <v>46107.791666666664</v>
      </c>
      <c r="C33" s="780">
        <f>IF($N$3&gt;=$B33,Real!C34,'Proy. Mes'!C34)</f>
        <v>222119.04000000001</v>
      </c>
      <c r="D33" s="2432">
        <f>IF($N$3&gt;=$B33,Real!D34,D32+C33-E33)</f>
        <v>682935.6123035131</v>
      </c>
      <c r="E33" s="2432">
        <f>IF($N$3&gt;=$B33,Real!E34,'Proy. Mes'!E34)</f>
        <v>194197.02884296299</v>
      </c>
      <c r="F33" s="2432">
        <f>IF($N$3&gt;=$B33,Real!F34,'Proy. Mes'!F34)</f>
        <v>39354.480294209381</v>
      </c>
      <c r="G33" s="2432">
        <f>IF($N$3&gt;=$B33,Real!G34,'Proy. Mes'!G34)</f>
        <v>154842.54854875361</v>
      </c>
      <c r="H33" s="2067">
        <f>IF($N$3&gt;=$B33,Real!H34,'Proy. Mes'!H34)</f>
        <v>98.057573027372243</v>
      </c>
      <c r="I33" s="2067">
        <f>IF($N$3&gt;=$B33,Real!I34,'Proy. Mes'!I34)</f>
        <v>97.132597759803119</v>
      </c>
      <c r="J33" s="2067">
        <f t="shared" si="8"/>
        <v>97.88718333333334</v>
      </c>
      <c r="K33" s="781">
        <f t="shared" si="9"/>
        <v>77.357636697871555</v>
      </c>
      <c r="L33" s="2066">
        <f>IF(ISNUMBER(IF($N$3&gt;=$B33,Real!K34,'Proy. Mes'!K34)),IF($N$3&gt;=$B33,Real!K34,'Proy. Mes'!K34),0)</f>
        <v>0.52363529808160525</v>
      </c>
      <c r="M33" s="781">
        <f>IF(ISNUMBER(IF($N$3&gt;=$B33,Real!L34,'Proy. Mes'!L34)),IF($N$3&gt;=$B33,Real!L34,'Proy. Mes'!L34),0)</f>
        <v>90.579694000087017</v>
      </c>
      <c r="N33" s="781">
        <f>IF(ISNUMBER(IF($N$3&gt;=$B33,Real!M34,'Proy. Mes'!M34)),IF($N$3&gt;=$B33,Real!M34,'Proy. Mes'!M34),0)</f>
        <v>25.74568622905867</v>
      </c>
      <c r="O33" s="780">
        <f>IF(ISNUMBER(IF($N$3&gt;=$B33,Real!N34,'Proy. Mes'!N34)),IF($N$3&gt;=$B33,Real!N34,'Proy. Mes'!N34),0)</f>
        <v>3577.6501749069007</v>
      </c>
      <c r="P33" s="539">
        <f t="shared" si="16"/>
        <v>83596.795054936039</v>
      </c>
      <c r="Q33" s="780">
        <f t="shared" si="10"/>
        <v>921.09058840489934</v>
      </c>
      <c r="R33" s="782">
        <f t="shared" si="17"/>
        <v>21503.469162108941</v>
      </c>
      <c r="S33" s="780">
        <f>IF(ISNUMBER(IF($N$3&gt;=$B33,Real!R34,'Proy. Mes'!R34)),IF($N$3&gt;=$B33,Real!R34,'Proy. Mes'!R34),0)</f>
        <v>141.52554810249495</v>
      </c>
      <c r="T33" s="781">
        <f>IF(ISNUMBER(IF($N$3&gt;=$B33,Real!S34,'Proy. Mes'!S34)),IF($N$3&gt;=$B33,Real!S34,'Proy. Mes'!S34),0)</f>
        <v>89.325881510206258</v>
      </c>
      <c r="U33" s="781">
        <f>IF(ISNUMBER(IF($N$3&gt;=$B33,Real!T34,'Proy. Mes'!T34)),IF($N$3&gt;=$B33,Real!T34,'Proy. Mes'!T34),0)</f>
        <v>88.385862300107632</v>
      </c>
      <c r="V33" s="781">
        <f>IF(ISNUMBER(IF($N$3&gt;=$B33,Real!U34,'Proy. Mes'!U34)),IF($N$3&gt;=$B33,Real!U34,'Proy. Mes'!U34),0)</f>
        <v>78.951450629968207</v>
      </c>
      <c r="W33" s="781">
        <f>IF(ISNUMBER(IF($N$3&gt;=$B33,Real!V34,'Proy. Mes'!V34)),IF($N$3&gt;=$B33,Real!V34,'Proy. Mes'!V34),0)</f>
        <v>50</v>
      </c>
      <c r="X33" s="780">
        <f>IF(ISNUMBER(IF($N$3&gt;=$B33,Real!W34,'Proy. Mes'!W34)),IF($N$3&gt;=$B33,Real!W34,'Proy. Mes'!W34),0)</f>
        <v>43.397782232784145</v>
      </c>
      <c r="Y33" s="539">
        <f t="shared" si="18"/>
        <v>2144.4611533297511</v>
      </c>
      <c r="Z33" s="539">
        <f t="shared" si="11"/>
        <v>50</v>
      </c>
      <c r="AA33" s="780">
        <f>IF(ISNUMBER(IF($N$3&gt;=$B33,Real!Y34,'Proy. Mes'!Z34)),IF($N$3&gt;=$B33,Real!Y34,'Proy. Mes'!Z34),0)</f>
        <v>21.698891116392073</v>
      </c>
      <c r="AB33" s="782">
        <f t="shared" si="19"/>
        <v>716.81955487334221</v>
      </c>
      <c r="AC33" s="780">
        <f>IF(ISNUMBER(IF($N$3&gt;=$B33,Real!AA34,'Proy. Mes'!AB34)),IF($N$3&gt;=$B33,Real!AA34,'Proy. Mes'!AB34),0)</f>
        <v>25</v>
      </c>
      <c r="AD33" s="539">
        <f t="shared" si="20"/>
        <v>860.49373559192611</v>
      </c>
      <c r="AE33" s="782">
        <f t="shared" si="21"/>
        <v>227.98426399692505</v>
      </c>
      <c r="AF33" s="780">
        <f t="shared" si="0"/>
        <v>983.99567375131994</v>
      </c>
      <c r="AG33" s="539">
        <f t="shared" si="22"/>
        <v>23581.529051686757</v>
      </c>
      <c r="AH33" s="2072">
        <f t="shared" si="1"/>
        <v>958.20177104551306</v>
      </c>
      <c r="AI33" s="2451">
        <f t="shared" si="23"/>
        <v>23168.435816732392</v>
      </c>
      <c r="AJ33" s="2439">
        <f>IF(ISNUMBER(IF($N$3&gt;=$B33,Real!AL34,'Proy. Mes'!AF34)),IF($N$3&gt;=$B33,Real!AL34,'Proy. Mes'!AF34),0)</f>
        <v>4366</v>
      </c>
      <c r="AK33" s="2452">
        <f>IF(ISNUMBER(IF($N$3&gt;=$B33,Real!AM34,'Proy. Mes'!AG34)),IF($N$3&gt;=$B33,Real!AM34,'Proy. Mes'!AG34),0)</f>
        <v>25.74568622905867</v>
      </c>
      <c r="AL33" s="2453">
        <f t="shared" si="12"/>
        <v>1124.0566607607016</v>
      </c>
      <c r="AM33" s="2439">
        <f>IF(ISNUMBER(IF($N$3&gt;=$B33,Real!AO34,'Proy. Mes'!AI34)),IF($N$3&gt;=$B33,Real!AO34,'Proy. Mes'!AI34),0)</f>
        <v>4366</v>
      </c>
      <c r="AN33" s="2452">
        <f>IF(ISNUMBER(IF($N$3&gt;=$B33,Real!AP34,'Proy. Mes'!AJ34)),IF($N$3&gt;=$B33,Real!AP34,'Proy. Mes'!AJ34),0)</f>
        <v>25.229869264557234</v>
      </c>
      <c r="AO33" s="2453">
        <f t="shared" si="25"/>
        <v>1101.5360920905689</v>
      </c>
      <c r="AP33" s="783">
        <f t="shared" si="29"/>
        <v>2901.5170169264766</v>
      </c>
      <c r="AQ33" s="783">
        <f t="shared" si="28"/>
        <v>1057.474648406946</v>
      </c>
      <c r="AR33" s="783">
        <f t="shared" si="26"/>
        <v>8320.6978315357828</v>
      </c>
      <c r="AS33" s="2455">
        <f>+'Plan mina PS'!Q68*1000</f>
        <v>194197.02884296302</v>
      </c>
      <c r="AT33" s="784"/>
      <c r="AU33" s="2076"/>
      <c r="AV33" s="2438">
        <f t="shared" si="4"/>
        <v>46107.791666666664</v>
      </c>
      <c r="AW33" s="2069">
        <f>IF(ISNUMBER(IF($N$3&gt;=$B33,Real!AC34,'Proy. Mes'!BC34)),IF($N$3&gt;=$B33,Real!AC34,'Proy. Mes'!BC34),0)</f>
        <v>87.950575463139046</v>
      </c>
      <c r="AX33" s="783"/>
      <c r="AY33" s="783"/>
      <c r="AZ33" s="783"/>
      <c r="BA33" s="2432">
        <f>IF($N$3&gt;=$B33,Real!AE34,'Proy. Mes'!AW34)</f>
        <v>29.118180773696842</v>
      </c>
      <c r="BB33" s="782">
        <f>IF($N$3&gt;=$B33,Real!AF34,'Proy. Mes'!AX34)</f>
        <v>1310.318134816358</v>
      </c>
      <c r="BC33" s="2078">
        <f>'Plan mina PS'!AG31</f>
        <v>1.2156872316754115</v>
      </c>
      <c r="BD33" s="3099">
        <f>IF($N$3&gt;=$B33,Real!AS34,'Proy. Mes'!AY34)</f>
        <v>4.2965275272066039</v>
      </c>
      <c r="BE33" s="2440">
        <f>IF($N$3&gt;=$B33,Real!AU34,'Proy. Mes'!BB34)</f>
        <v>35.81651261035524</v>
      </c>
      <c r="BF33" s="780">
        <f>IF($N$3&gt;=$B33,Real!AI34,'Proy. Mes'!AO34)</f>
        <v>6579.5763213485698</v>
      </c>
      <c r="BG33" s="780">
        <f>IF($N$3&gt;=$B33,Real!AJ34,'Proy. Mes'!AP34)</f>
        <v>1688.1768325744486</v>
      </c>
      <c r="BH33" s="780">
        <f>IF($N$3&gt;=$B33,Real!AK34,'Proy. Mes'!AQ34)</f>
        <v>8266.192358301716</v>
      </c>
      <c r="BI33" s="780"/>
      <c r="BJ33" s="539"/>
      <c r="BK33" s="539"/>
      <c r="BL33" s="781">
        <f>IF($N$3&gt;=$B33,Real!H34,'Proy. Mes'!AR34)</f>
        <v>98.057573027372243</v>
      </c>
      <c r="BM33" s="539"/>
      <c r="BN33" s="539"/>
      <c r="BO33" s="539"/>
      <c r="BP33" s="2441"/>
      <c r="BQ33" s="2442"/>
      <c r="BR33" s="2443"/>
      <c r="BS33" s="2444"/>
      <c r="BT33" s="785"/>
      <c r="BU33" s="785"/>
      <c r="BV33" s="2445"/>
      <c r="BW33" s="785"/>
      <c r="BX33" s="785"/>
      <c r="BY33" s="785"/>
      <c r="BZ33" s="785"/>
      <c r="CA33" s="2446"/>
      <c r="CB33" s="2446"/>
      <c r="CC33" s="2446"/>
      <c r="CD33" s="2443"/>
      <c r="CE33" s="2446"/>
      <c r="CF33" s="2446"/>
      <c r="CG33" s="2446"/>
      <c r="CH33" s="2444"/>
      <c r="CI33" s="2446"/>
      <c r="CJ33" s="2443"/>
      <c r="CK33" s="2446"/>
      <c r="CL33" s="2446"/>
      <c r="CM33" s="2443"/>
      <c r="CN33" s="2444"/>
      <c r="CO33" s="2446"/>
      <c r="CP33" s="2447"/>
      <c r="CW33" s="2449">
        <f>IF(ISNUMBER(IF($N$3&gt;=$B33,Real!AD34,'Proy. Mes'!BD34)),IF($N$3&gt;=$B33,Real!AD34,'Proy. Mes'!BD34),0)</f>
        <v>77.357636697871555</v>
      </c>
      <c r="CX33" s="783">
        <f t="shared" si="13"/>
        <v>21288.676232408481</v>
      </c>
      <c r="DA33" s="744">
        <f t="shared" si="5"/>
        <v>23.533817526569337</v>
      </c>
      <c r="DB33" s="744">
        <v>1</v>
      </c>
      <c r="DC33" s="2449">
        <f>IF(ISNUMBER(IF($N$3&gt;=$B33,Real!AC34,'Proy. Mes'!BC34)),IF($N$3&gt;=$B33,Real!AC34,'Proy. Mes'!BC34),0)</f>
        <v>87.950575463139046</v>
      </c>
      <c r="DE33" s="4239">
        <f t="shared" si="14"/>
        <v>194197.02884296299</v>
      </c>
      <c r="DF33" s="4239">
        <f t="shared" si="24"/>
        <v>4708562.0590344695</v>
      </c>
      <c r="DG33" s="4234">
        <f t="shared" si="15"/>
        <v>0.52363529808160525</v>
      </c>
      <c r="DH33" s="342">
        <f>SUMPRODUCT(DG$8:DG33,DE$8:DE33)/DF33</f>
        <v>0.50484975540333055</v>
      </c>
      <c r="DI33" s="4240">
        <f t="shared" si="6"/>
        <v>90.579694000087017</v>
      </c>
      <c r="DJ33" s="348" cm="1">
        <f t="array" ref="DJ33">SUMPRODUCT(DI$8:DI33,DE$8:DE33/DF33)</f>
        <v>90.468304717973496</v>
      </c>
      <c r="DK33" s="866"/>
      <c r="DL33" s="866"/>
      <c r="DM33" s="866"/>
      <c r="DN33" s="866"/>
      <c r="DO33" s="866"/>
      <c r="DP33" s="866"/>
      <c r="DQ33" s="866"/>
      <c r="DR33" s="866"/>
    </row>
    <row r="34" spans="1:122" s="744" customFormat="1" ht="17.25" customHeight="1">
      <c r="A34" s="2450"/>
      <c r="B34" s="2065">
        <f t="shared" si="7"/>
        <v>46108.791666666664</v>
      </c>
      <c r="C34" s="780">
        <f>IF($N$3&gt;=$B34,Real!C35,'Proy. Mes'!C35)</f>
        <v>238000.00000006927</v>
      </c>
      <c r="D34" s="2432">
        <f>IF($N$3&gt;=$B34,Real!D35,D33+C34-E34)</f>
        <v>717425.01558636723</v>
      </c>
      <c r="E34" s="2432">
        <f>IF($N$3&gt;=$B34,Real!E35,'Proy. Mes'!E35)</f>
        <v>203510.59671721514</v>
      </c>
      <c r="F34" s="2432">
        <f>IF($N$3&gt;=$B34,Real!F35,'Proy. Mes'!F35)</f>
        <v>41241.896520708047</v>
      </c>
      <c r="G34" s="2432">
        <f>IF($N$3&gt;=$B34,Real!G35,'Proy. Mes'!G35)</f>
        <v>162268.7001965071</v>
      </c>
      <c r="H34" s="2067">
        <f>IF($N$3&gt;=$B34,Real!H35,'Proy. Mes'!H35)</f>
        <v>98.057573027372243</v>
      </c>
      <c r="I34" s="2067">
        <f>IF($N$3&gt;=$B34,Real!I35,'Proy. Mes'!I35)</f>
        <v>97.132597759803119</v>
      </c>
      <c r="J34" s="2067">
        <f t="shared" si="8"/>
        <v>97.88718333333334</v>
      </c>
      <c r="K34" s="781">
        <f t="shared" si="9"/>
        <v>81.987487473131353</v>
      </c>
      <c r="L34" s="2066">
        <f>IF(ISNUMBER(IF($N$3&gt;=$B34,Real!K35,'Proy. Mes'!K35)),IF($N$3&gt;=$B34,Real!K35,'Proy. Mes'!K35),0)</f>
        <v>0.52870026226391142</v>
      </c>
      <c r="M34" s="781">
        <f>IF(ISNUMBER(IF($N$3&gt;=$B34,Real!L35,'Proy. Mes'!L35)),IF($N$3&gt;=$B34,Real!L35,'Proy. Mes'!L35),0)</f>
        <v>89.465534775993731</v>
      </c>
      <c r="N34" s="781">
        <f>IF(ISNUMBER(IF($N$3&gt;=$B34,Real!M35,'Proy. Mes'!M35)),IF($N$3&gt;=$B34,Real!M35,'Proy. Mes'!M35),0)</f>
        <v>26.411054113784456</v>
      </c>
      <c r="O34" s="780">
        <f>IF(ISNUMBER(IF($N$3&gt;=$B34,Real!N35,'Proy. Mes'!N35)),IF($N$3&gt;=$B34,Real!N35,'Proy. Mes'!N35),0)</f>
        <v>3644.7402322216662</v>
      </c>
      <c r="P34" s="539">
        <f t="shared" si="16"/>
        <v>87241.535287157705</v>
      </c>
      <c r="Q34" s="780">
        <f t="shared" si="10"/>
        <v>962.61431503893755</v>
      </c>
      <c r="R34" s="782">
        <f t="shared" si="17"/>
        <v>22466.083477147877</v>
      </c>
      <c r="S34" s="780">
        <f>IF(ISNUMBER(IF($N$3&gt;=$B34,Real!R35,'Proy. Mes'!R35)),IF($N$3&gt;=$B34,Real!R35,'Proy. Mes'!R35),0)</f>
        <v>224.77150560630986</v>
      </c>
      <c r="T34" s="781">
        <f>IF(ISNUMBER(IF($N$3&gt;=$B34,Real!S35,'Proy. Mes'!S35)),IF($N$3&gt;=$B34,Real!S35,'Proy. Mes'!S35),0)</f>
        <v>90.947910275918204</v>
      </c>
      <c r="U34" s="781">
        <f>IF(ISNUMBER(IF($N$3&gt;=$B34,Real!T35,'Proy. Mes'!T35)),IF($N$3&gt;=$B34,Real!T35,'Proy. Mes'!T35),0)</f>
        <v>89.696558504622843</v>
      </c>
      <c r="V34" s="781">
        <f>IF(ISNUMBER(IF($N$3&gt;=$B34,Real!U35,'Proy. Mes'!U35)),IF($N$3&gt;=$B34,Real!U35,'Proy. Mes'!U35),0)</f>
        <v>81.577145549370869</v>
      </c>
      <c r="W34" s="781">
        <f>IF(ISNUMBER(IF($N$3&gt;=$B34,Real!V35,'Proy. Mes'!V35)),IF($N$3&gt;=$B34,Real!V35,'Proy. Mes'!V35),0)</f>
        <v>50</v>
      </c>
      <c r="X34" s="780">
        <f>IF(ISNUMBER(IF($N$3&gt;=$B34,Real!W35,'Proy. Mes'!W35)),IF($N$3&gt;=$B34,Real!W35,'Proy. Mes'!W35),0)</f>
        <v>74.632292635064886</v>
      </c>
      <c r="Y34" s="539">
        <f t="shared" si="18"/>
        <v>2219.0934459648161</v>
      </c>
      <c r="Z34" s="539">
        <f t="shared" si="11"/>
        <v>50</v>
      </c>
      <c r="AA34" s="780">
        <f>IF(ISNUMBER(IF($N$3&gt;=$B34,Real!Y35,'Proy. Mes'!Z35)),IF($N$3&gt;=$B34,Real!Y35,'Proy. Mes'!Z35),0)</f>
        <v>37.316146317532443</v>
      </c>
      <c r="AB34" s="782">
        <f t="shared" si="19"/>
        <v>754.13570119087467</v>
      </c>
      <c r="AC34" s="780">
        <f>IF(ISNUMBER(IF($N$3&gt;=$B34,Real!AA35,'Proy. Mes'!AB35)),IF($N$3&gt;=$B34,Real!AA35,'Proy. Mes'!AB35),0)</f>
        <v>25</v>
      </c>
      <c r="AD34" s="539">
        <f t="shared" si="20"/>
        <v>885.49373559192611</v>
      </c>
      <c r="AE34" s="782">
        <f t="shared" si="21"/>
        <v>240.30041031445751</v>
      </c>
      <c r="AF34" s="780">
        <f t="shared" si="0"/>
        <v>1070.7938232134641</v>
      </c>
      <c r="AG34" s="539">
        <f t="shared" si="22"/>
        <v>24652.322874900223</v>
      </c>
      <c r="AH34" s="2072">
        <f t="shared" si="1"/>
        <v>998.14759606745781</v>
      </c>
      <c r="AI34" s="2451">
        <f t="shared" si="23"/>
        <v>24166.58341279985</v>
      </c>
      <c r="AJ34" s="2439">
        <f>IF(ISNUMBER(IF($N$3&gt;=$B34,Real!AL35,'Proy. Mes'!AF35)),IF($N$3&gt;=$B34,Real!AL35,'Proy. Mes'!AF35),0)</f>
        <v>2573.2226391941244</v>
      </c>
      <c r="AK34" s="2452">
        <f>IF(ISNUMBER(IF($N$3&gt;=$B34,Real!AM35,'Proy. Mes'!AG35)),IF($N$3&gt;=$B34,Real!AM35,'Proy. Mes'!AG35),0)</f>
        <v>26.411054113784456</v>
      </c>
      <c r="AL34" s="2453">
        <f t="shared" si="12"/>
        <v>679.61522370571265</v>
      </c>
      <c r="AM34" s="2439">
        <f>IF(ISNUMBER(IF($N$3&gt;=$B34,Real!AO35,'Proy. Mes'!AI35)),IF($N$3&gt;=$B34,Real!AO35,'Proy. Mes'!AI35),0)</f>
        <v>4366</v>
      </c>
      <c r="AN34" s="2452">
        <f>IF(ISNUMBER(IF($N$3&gt;=$B34,Real!AP35,'Proy. Mes'!AJ35)),IF($N$3&gt;=$B34,Real!AP35,'Proy. Mes'!AJ35),0)</f>
        <v>25.74568622905867</v>
      </c>
      <c r="AO34" s="2453">
        <f>AM34*AN34/100</f>
        <v>1124.0566607607016</v>
      </c>
      <c r="AP34" s="783">
        <f t="shared" si="29"/>
        <v>2740.0746712047126</v>
      </c>
      <c r="AQ34" s="783">
        <f t="shared" si="28"/>
        <v>1079.0943943302734</v>
      </c>
      <c r="AR34" s="783">
        <f t="shared" si="26"/>
        <v>7599.4380637574486</v>
      </c>
      <c r="AS34" s="2455">
        <f>+'Plan mina PS'!Q69*1000</f>
        <v>203510.59671721514</v>
      </c>
      <c r="AT34" s="784"/>
      <c r="AU34" s="2076"/>
      <c r="AV34" s="2438">
        <f t="shared" si="4"/>
        <v>46108.791666666664</v>
      </c>
      <c r="AW34" s="2069">
        <f>IF(ISNUMBER(IF($N$3&gt;=$B34,Real!AC35,'Proy. Mes'!BC35)),IF($N$3&gt;=$B34,Real!AC35,'Proy. Mes'!BC35),0)</f>
        <v>90.245413987786748</v>
      </c>
      <c r="AX34" s="783"/>
      <c r="AY34" s="783"/>
      <c r="AZ34" s="783"/>
      <c r="BA34" s="2432">
        <f>IF($N$3&gt;=$B34,Real!AE35,'Proy. Mes'!AW35)</f>
        <v>19.13910662669452</v>
      </c>
      <c r="BB34" s="782">
        <f>IF($N$3&gt;=$B34,Real!AF35,'Proy. Mes'!AX35)</f>
        <v>861.25979820125337</v>
      </c>
      <c r="BC34" s="2078">
        <f>'Plan mina PS'!AG32</f>
        <v>1.6671864521444564</v>
      </c>
      <c r="BD34" s="3099">
        <f>IF($N$3&gt;=$B34,Real!AS35,'Proy. Mes'!AY35)</f>
        <v>4.2065701973429119</v>
      </c>
      <c r="BE34" s="2440">
        <f>IF($N$3&gt;=$B34,Real!AU35,'Proy. Mes'!BB35)</f>
        <v>37.442607675496227</v>
      </c>
      <c r="BF34" s="780">
        <f>IF($N$3&gt;=$B34,Real!AI35,'Proy. Mes'!AO35)</f>
        <v>6895.128680814666</v>
      </c>
      <c r="BG34" s="780">
        <f>IF($N$3&gt;=$B34,Real!AJ35,'Proy. Mes'!AP35)</f>
        <v>1769.1407361295153</v>
      </c>
      <c r="BH34" s="780">
        <f>IF($N$3&gt;=$B34,Real!AK35,'Proy. Mes'!AQ35)</f>
        <v>8662.6337665424326</v>
      </c>
      <c r="BI34" s="780"/>
      <c r="BJ34" s="539"/>
      <c r="BK34" s="539"/>
      <c r="BL34" s="781">
        <f>IF($N$3&gt;=$B34,Real!H35,'Proy. Mes'!AR35)</f>
        <v>98.057573027372243</v>
      </c>
      <c r="BM34" s="539"/>
      <c r="BN34" s="539"/>
      <c r="BO34" s="539"/>
      <c r="BP34" s="2441"/>
      <c r="BQ34" s="2442"/>
      <c r="BR34" s="2443"/>
      <c r="BS34" s="2444"/>
      <c r="BT34" s="785"/>
      <c r="BU34" s="785"/>
      <c r="BV34" s="2445"/>
      <c r="BW34" s="785"/>
      <c r="BX34" s="785"/>
      <c r="BY34" s="785"/>
      <c r="BZ34" s="785"/>
      <c r="CA34" s="2446"/>
      <c r="CB34" s="2446"/>
      <c r="CC34" s="2446"/>
      <c r="CD34" s="2443"/>
      <c r="CE34" s="2446"/>
      <c r="CF34" s="2446"/>
      <c r="CG34" s="2446"/>
      <c r="CH34" s="2444"/>
      <c r="CI34" s="2446"/>
      <c r="CJ34" s="2443"/>
      <c r="CK34" s="2446"/>
      <c r="CL34" s="2446"/>
      <c r="CM34" s="2443"/>
      <c r="CN34" s="2444"/>
      <c r="CO34" s="2446"/>
      <c r="CP34" s="2447"/>
      <c r="CW34" s="2449">
        <f>IF(ISNUMBER(IF($N$3&gt;=$B34,Real!AD35,'Proy. Mes'!BD35)),IF($N$3&gt;=$B34,Real!AD35,'Proy. Mes'!BD35),0)</f>
        <v>81.987487473131353</v>
      </c>
      <c r="CX34" s="783">
        <f t="shared" si="13"/>
        <v>22412.732893169181</v>
      </c>
      <c r="DA34" s="744">
        <f t="shared" si="5"/>
        <v>23.533817526569337</v>
      </c>
      <c r="DB34" s="744">
        <v>1</v>
      </c>
      <c r="DC34" s="2449">
        <f>IF(ISNUMBER(IF($N$3&gt;=$B34,Real!AC35,'Proy. Mes'!BC35)),IF($N$3&gt;=$B34,Real!AC35,'Proy. Mes'!BC35),0)</f>
        <v>90.245413987786748</v>
      </c>
      <c r="DE34" s="4239">
        <f t="shared" si="14"/>
        <v>203510.59671721514</v>
      </c>
      <c r="DF34" s="4239">
        <f t="shared" si="24"/>
        <v>4912072.6557516847</v>
      </c>
      <c r="DG34" s="4234">
        <f t="shared" si="15"/>
        <v>0.52870026226391142</v>
      </c>
      <c r="DH34" s="342">
        <f>SUMPRODUCT(DG$8:DG34,DE$8:DE34)/DF34</f>
        <v>0.50583789854032613</v>
      </c>
      <c r="DI34" s="4240">
        <f t="shared" si="6"/>
        <v>89.465534775993731</v>
      </c>
      <c r="DJ34" s="348" cm="1">
        <f t="array" ref="DJ34">SUMPRODUCT(DI$8:DI34,DE$8:DE34/DF34)</f>
        <v>90.426759259759777</v>
      </c>
      <c r="DK34" s="866"/>
      <c r="DL34" s="866"/>
      <c r="DM34" s="866"/>
      <c r="DN34" s="866"/>
      <c r="DO34" s="866"/>
      <c r="DP34" s="866"/>
      <c r="DQ34" s="866"/>
      <c r="DR34" s="866"/>
    </row>
    <row r="35" spans="1:122" s="744" customFormat="1" ht="17.25" customHeight="1">
      <c r="A35" s="2450"/>
      <c r="B35" s="2065">
        <f t="shared" si="7"/>
        <v>46109.791666666664</v>
      </c>
      <c r="C35" s="780">
        <f>IF($N$3&gt;=$B35,Real!C36,'Proy. Mes'!C36)</f>
        <v>180000.00000042227</v>
      </c>
      <c r="D35" s="2432">
        <f>IF($N$3&gt;=$B35,Real!D36,D34+C35-E35)</f>
        <v>691175.09021232976</v>
      </c>
      <c r="E35" s="2432">
        <f>IF($N$3&gt;=$B35,Real!E36,'Proy. Mes'!E36)</f>
        <v>206249.92537445974</v>
      </c>
      <c r="F35" s="2432">
        <f>IF($N$3&gt;=$B35,Real!F36,'Proy. Mes'!F36)</f>
        <v>42202.332513784633</v>
      </c>
      <c r="G35" s="2432">
        <f>IF($N$3&gt;=$B35,Real!G36,'Proy. Mes'!G36)</f>
        <v>164047.5928606751</v>
      </c>
      <c r="H35" s="2067">
        <f>IF($N$3&gt;=$B35,Real!H36,'Proy. Mes'!H36)</f>
        <v>98.057573027372243</v>
      </c>
      <c r="I35" s="2067">
        <f>IF($N$3&gt;=$B35,Real!I36,'Proy. Mes'!I36)</f>
        <v>97.132597759803119</v>
      </c>
      <c r="J35" s="781">
        <f t="shared" si="8"/>
        <v>97.88718333333334</v>
      </c>
      <c r="K35" s="781">
        <f t="shared" si="9"/>
        <v>75.419030333058217</v>
      </c>
      <c r="L35" s="2066">
        <f>IF(ISNUMBER(IF($N$3&gt;=$B35,Real!K36,'Proy. Mes'!K36)),IF($N$3&gt;=$B35,Real!K36,'Proy. Mes'!K36),0)</f>
        <v>0.60210373772341408</v>
      </c>
      <c r="M35" s="781">
        <f>IF(ISNUMBER(IF($N$3&gt;=$B35,Real!L36,'Proy. Mes'!L36)),IF($N$3&gt;=$B35,Real!L36,'Proy. Mes'!L36),0)</f>
        <v>88.872627606430385</v>
      </c>
      <c r="N35" s="781">
        <f>IF(ISNUMBER(IF($N$3&gt;=$B35,Real!M36,'Proy. Mes'!M36)),IF($N$3&gt;=$B35,Real!M36,'Proy. Mes'!M36),0)</f>
        <v>30.914583841702612</v>
      </c>
      <c r="O35" s="780">
        <f>IF(ISNUMBER(IF($N$3&gt;=$B35,Real!N36,'Proy. Mes'!N36)),IF($N$3&gt;=$B35,Real!N36,'Proy. Mes'!N36),0)</f>
        <v>3570.0125218506764</v>
      </c>
      <c r="P35" s="539">
        <f t="shared" si="16"/>
        <v>90811.547809008378</v>
      </c>
      <c r="Q35" s="780">
        <f>+O35*N35/100</f>
        <v>1103.6545142268092</v>
      </c>
      <c r="R35" s="782">
        <f t="shared" si="17"/>
        <v>23569.737991374684</v>
      </c>
      <c r="S35" s="780">
        <f>IF(ISNUMBER(IF($N$3&gt;=$B35,Real!R36,'Proy. Mes'!R36)),IF($N$3&gt;=$B35,Real!R36,'Proy. Mes'!R36),0)</f>
        <v>251.23051736718298</v>
      </c>
      <c r="T35" s="781">
        <f>IF(ISNUMBER(IF($N$3&gt;=$B35,Real!S36,'Proy. Mes'!S36)),IF($N$3&gt;=$B35,Real!S36,'Proy. Mes'!S36),0)</f>
        <v>91.338114334178627</v>
      </c>
      <c r="U35" s="781">
        <f>IF(ISNUMBER(IF($N$3&gt;=$B35,Real!T36,'Proy. Mes'!T36)),IF($N$3&gt;=$B35,Real!T36,'Proy. Mes'!T36),0)</f>
        <v>90.011866709359808</v>
      </c>
      <c r="V35" s="781">
        <f>IF(ISNUMBER(IF($N$3&gt;=$B35,Real!U36,'Proy. Mes'!U36)),IF($N$3&gt;=$B35,Real!U36,'Proy. Mes'!U36),0)</f>
        <v>82.215141729323534</v>
      </c>
      <c r="W35" s="781">
        <f>IF(ISNUMBER(IF($N$3&gt;=$B35,Real!V36,'Proy. Mes'!V36)),IF($N$3&gt;=$B35,Real!V36,'Proy. Mes'!V36),0)</f>
        <v>50</v>
      </c>
      <c r="X35" s="780">
        <f>IF(ISNUMBER(IF($N$3&gt;=$B35,Real!W36,'Proy. Mes'!W36)),IF($N$3&gt;=$B35,Real!W36,'Proy. Mes'!W36),0)</f>
        <v>85.201648614566253</v>
      </c>
      <c r="Y35" s="539">
        <f t="shared" si="18"/>
        <v>2304.2950945793823</v>
      </c>
      <c r="Z35" s="539">
        <f t="shared" si="11"/>
        <v>50</v>
      </c>
      <c r="AA35" s="780">
        <f>IF(ISNUMBER(IF($N$3&gt;=$B35,Real!Y36,'Proy. Mes'!Z36)),IF($N$3&gt;=$B35,Real!Y36,'Proy. Mes'!Z36),0)</f>
        <v>42.600824307283126</v>
      </c>
      <c r="AB35" s="782">
        <f t="shared" si="19"/>
        <v>796.73652549815779</v>
      </c>
      <c r="AC35" s="780">
        <f>IF(ISNUMBER(IF($N$3&gt;=$B35,Real!AA36,'Proy. Mes'!AB36)),IF($N$3&gt;=$B35,Real!AA36,'Proy. Mes'!AB36),0)</f>
        <v>25</v>
      </c>
      <c r="AD35" s="539">
        <f t="shared" si="20"/>
        <v>910.49373559192611</v>
      </c>
      <c r="AE35" s="782">
        <f t="shared" si="21"/>
        <v>257.90123462174063</v>
      </c>
      <c r="AF35" s="780">
        <f t="shared" si="0"/>
        <v>1227.1543038936229</v>
      </c>
      <c r="AG35" s="539">
        <f t="shared" si="22"/>
        <v>25879.477178793844</v>
      </c>
      <c r="AH35" s="2072">
        <f t="shared" si="1"/>
        <v>1133.8282676861904</v>
      </c>
      <c r="AI35" s="2451">
        <f t="shared" si="23"/>
        <v>25300.411680486039</v>
      </c>
      <c r="AJ35" s="2439">
        <f>IF(ISNUMBER(IF($N$3&gt;=$B35,Real!AL36,'Proy. Mes'!AF36)),IF($N$3&gt;=$B35,Real!AL36,'Proy. Mes'!AF36),0)</f>
        <v>4366</v>
      </c>
      <c r="AK35" s="2452">
        <f>IF(ISNUMBER(IF($N$3&gt;=$B35,Real!AM36,'Proy. Mes'!AG36)),IF($N$3&gt;=$B35,Real!AM36,'Proy. Mes'!AG36),0)</f>
        <v>30.914583841702612</v>
      </c>
      <c r="AL35" s="2453">
        <f t="shared" si="12"/>
        <v>1349.7307305287361</v>
      </c>
      <c r="AM35" s="2439">
        <f>IF(ISNUMBER(IF($N$3&gt;=$B35,Real!AO36,'Proy. Mes'!AI36)),IF($N$3&gt;=$B35,Real!AO36,'Proy. Mes'!AI36),0)</f>
        <v>2573.2226391941244</v>
      </c>
      <c r="AN35" s="2452">
        <f>IF(ISNUMBER(IF($N$3&gt;=$B35,Real!AP36,'Proy. Mes'!AJ36)),IF($N$3&gt;=$B35,Real!AP36,'Proy. Mes'!AJ36),0)</f>
        <v>26.411054113784456</v>
      </c>
      <c r="AO35" s="2453">
        <f>AM35*AN35/100</f>
        <v>679.61522370571265</v>
      </c>
      <c r="AP35" s="783">
        <f t="shared" ref="AP35" si="30">+AP34+Q35-AO35</f>
        <v>3164.1139617258091</v>
      </c>
      <c r="AQ35" s="783">
        <f t="shared" si="28"/>
        <v>652.43061475748414</v>
      </c>
      <c r="AR35" s="783">
        <f t="shared" si="26"/>
        <v>8596.2279464140011</v>
      </c>
      <c r="AS35" s="2455">
        <f>+'Plan mina PS'!Q70*1000</f>
        <v>208249.92537445974</v>
      </c>
      <c r="AT35" s="784"/>
      <c r="AU35" s="2076"/>
      <c r="AV35" s="2438">
        <f t="shared" si="4"/>
        <v>46109.791666666664</v>
      </c>
      <c r="AW35" s="2069">
        <f>IF(ISNUMBER(IF($N$3&gt;=$B35,Real!AC36,'Proy. Mes'!BC36)),IF($N$3&gt;=$B35,Real!AC36,'Proy. Mes'!BC36),0)</f>
        <v>85.281757195963152</v>
      </c>
      <c r="AX35" s="783"/>
      <c r="AY35" s="783"/>
      <c r="AZ35" s="783"/>
      <c r="BA35" s="2432">
        <f>IF($N$3&gt;=$B35,Real!AE36,'Proy. Mes'!AW36)</f>
        <v>18.29986106432866</v>
      </c>
      <c r="BB35" s="782">
        <f>IF($N$3&gt;=$B35,Real!AF36,'Proy. Mes'!AX36)</f>
        <v>823.49374789478964</v>
      </c>
      <c r="BC35" s="2078">
        <f>'Plan mina PS'!AG33</f>
        <v>1.7272347742418133</v>
      </c>
      <c r="BD35" s="3099">
        <f>IF($N$3&gt;=$B35,Real!AS36,'Proy. Mes'!AY36)</f>
        <v>4.1782513779298185</v>
      </c>
      <c r="BE35" s="2440">
        <f>IF($N$3&gt;=$B35,Real!AU36,'Proy. Mes'!BB36)</f>
        <v>38.576705583348371</v>
      </c>
      <c r="BF35" s="780">
        <f>IF($N$3&gt;=$B35,Real!AI36,'Proy. Mes'!AO36)</f>
        <v>6970.717465428962</v>
      </c>
      <c r="BG35" s="780">
        <f>IF($N$3&gt;=$B35,Real!AJ36,'Proy. Mes'!AP36)</f>
        <v>1810.3402585361443</v>
      </c>
      <c r="BH35" s="780">
        <f>IF($N$3&gt;=$B35,Real!AK36,'Proy. Mes'!AQ36)</f>
        <v>8779.2360531392223</v>
      </c>
      <c r="BI35" s="780"/>
      <c r="BJ35" s="539"/>
      <c r="BK35" s="539"/>
      <c r="BL35" s="781">
        <f>IF($N$3&gt;=$B35,Real!H36,'Proy. Mes'!AR36)</f>
        <v>98.057573027372243</v>
      </c>
      <c r="BM35" s="539"/>
      <c r="BN35" s="539"/>
      <c r="BO35" s="539"/>
      <c r="BP35" s="2441"/>
      <c r="BQ35" s="2442"/>
      <c r="BR35" s="2443"/>
      <c r="BS35" s="2444"/>
      <c r="BT35" s="785"/>
      <c r="BU35" s="785"/>
      <c r="BV35" s="2445"/>
      <c r="BW35" s="785"/>
      <c r="BX35" s="785"/>
      <c r="BY35" s="785"/>
      <c r="BZ35" s="785"/>
      <c r="CA35" s="2446"/>
      <c r="CB35" s="2446"/>
      <c r="CC35" s="2446"/>
      <c r="CD35" s="2443"/>
      <c r="CE35" s="2446"/>
      <c r="CF35" s="2446"/>
      <c r="CG35" s="2446"/>
      <c r="CH35" s="2444"/>
      <c r="CI35" s="2446"/>
      <c r="CJ35" s="2443"/>
      <c r="CK35" s="2446"/>
      <c r="CL35" s="2446"/>
      <c r="CM35" s="2443"/>
      <c r="CN35" s="2444"/>
      <c r="CO35" s="2446"/>
      <c r="CP35" s="2447"/>
      <c r="CW35" s="2449">
        <f>IF(ISNUMBER(IF($N$3&gt;=$B35,Real!AD36,'Proy. Mes'!BD36)),IF($N$3&gt;=$B35,Real!AD36,'Proy. Mes'!BD36),0)</f>
        <v>75.419030333058217</v>
      </c>
      <c r="CX35" s="783">
        <f t="shared" si="13"/>
        <v>23092.348116874895</v>
      </c>
      <c r="DA35" s="744">
        <f t="shared" si="5"/>
        <v>23.533817526569337</v>
      </c>
      <c r="DB35" s="744">
        <v>1</v>
      </c>
      <c r="DC35" s="2449">
        <f>IF(ISNUMBER(IF($N$3&gt;=$B35,Real!AC36,'Proy. Mes'!BC36)),IF($N$3&gt;=$B35,Real!AC36,'Proy. Mes'!BC36),0)</f>
        <v>85.281757195963152</v>
      </c>
      <c r="DE35" s="4239">
        <f t="shared" si="14"/>
        <v>206249.92537445974</v>
      </c>
      <c r="DF35" s="4239">
        <f t="shared" si="24"/>
        <v>5118322.5811261442</v>
      </c>
      <c r="DG35" s="4234">
        <f t="shared" si="15"/>
        <v>0.60210373772341408</v>
      </c>
      <c r="DH35" s="342">
        <f>SUMPRODUCT(DG$8:DG35,DE$8:DE35)/DF35</f>
        <v>0.50971706438673769</v>
      </c>
      <c r="DI35" s="4240">
        <f t="shared" si="6"/>
        <v>88.872627606430385</v>
      </c>
      <c r="DJ35" s="348" cm="1">
        <f t="array" ref="DJ35">SUMPRODUCT(DI$8:DI35,DE$8:DE35/DF35)</f>
        <v>90.364133363786891</v>
      </c>
      <c r="DK35" s="866"/>
      <c r="DL35" s="866"/>
      <c r="DM35" s="866"/>
      <c r="DN35" s="866"/>
      <c r="DO35" s="866"/>
      <c r="DP35" s="866"/>
      <c r="DQ35" s="866"/>
      <c r="DR35" s="866"/>
    </row>
    <row r="36" spans="1:122" s="744" customFormat="1" ht="17.25" customHeight="1">
      <c r="A36" s="2450"/>
      <c r="B36" s="2065">
        <f t="shared" si="7"/>
        <v>46110.791666666664</v>
      </c>
      <c r="C36" s="780">
        <f>IF($N$3&gt;=$B36,Real!C37,'Proy. Mes'!C37)</f>
        <v>237999.99999993708</v>
      </c>
      <c r="D36" s="2432">
        <f>IF($N$3&gt;=$B36,Real!D37,D35+C36-E36)</f>
        <v>720005.78911096265</v>
      </c>
      <c r="E36" s="2432">
        <f>IF($N$3&gt;=$B36,Real!E37,'Proy. Mes'!E37)</f>
        <v>209169.30110130421</v>
      </c>
      <c r="F36" s="2432">
        <f>IF($N$3&gt;=$B36,Real!F37,'Proy. Mes'!F37)</f>
        <v>42241.024113783184</v>
      </c>
      <c r="G36" s="2432">
        <f>IF($N$3&gt;=$B36,Real!G37,'Proy. Mes'!G37)</f>
        <v>166928.27698752104</v>
      </c>
      <c r="H36" s="2067">
        <f>IF($N$3&gt;=$B36,Real!H37,'Proy. Mes'!H37)</f>
        <v>98.057573027372243</v>
      </c>
      <c r="I36" s="2067">
        <f>IF($N$3&gt;=$B36,Real!I37,'Proy. Mes'!I37)</f>
        <v>97.132597759803119</v>
      </c>
      <c r="J36" s="781">
        <f t="shared" ref="J36:J38" si="31">+SUMPRODUCT(H36:I36,$H$4:$I$4)</f>
        <v>97.88718333333334</v>
      </c>
      <c r="K36" s="781">
        <f t="shared" ref="K36:K38" si="32">CW36</f>
        <v>74.078349562304226</v>
      </c>
      <c r="L36" s="2066">
        <f>IF(ISNUMBER(IF($N$3&gt;=$B36,Real!K37,'Proy. Mes'!K37)),IF($N$3&gt;=$B36,Real!K37,'Proy. Mes'!K37),0)</f>
        <v>0.60253190135276002</v>
      </c>
      <c r="M36" s="781">
        <f>IF(ISNUMBER(IF($N$3&gt;=$B36,Real!L37,'Proy. Mes'!L37)),IF($N$3&gt;=$B36,Real!L37,'Proy. Mes'!L37),0)</f>
        <v>90.12517923258855</v>
      </c>
      <c r="N36" s="781">
        <f>IF(ISNUMBER(IF($N$3&gt;=$B36,Real!M37,'Proy. Mes'!M37)),IF($N$3&gt;=$B36,Real!M37,'Proy. Mes'!M37),0)</f>
        <v>30.166707440864869</v>
      </c>
      <c r="O36" s="780">
        <f>IF(ISNUMBER(IF($N$3&gt;=$B36,Real!N37,'Proy. Mes'!N37)),IF($N$3&gt;=$B36,Real!N37,'Proy. Mes'!N37),0)</f>
        <v>3765.2708407090422</v>
      </c>
      <c r="P36" s="539">
        <f t="shared" ref="P36:P38" si="33">+P35+O36</f>
        <v>94576.818649717417</v>
      </c>
      <c r="Q36" s="780">
        <f t="shared" ref="Q36:Q38" si="34">+O36*N36/100</f>
        <v>1135.8582388728898</v>
      </c>
      <c r="R36" s="782">
        <f t="shared" ref="R36:R38" si="35">+R35+Q36</f>
        <v>24705.596230247575</v>
      </c>
      <c r="S36" s="780">
        <f>IF(ISNUMBER(IF($N$3&gt;=$B36,Real!R37,'Proy. Mes'!R37)),IF($N$3&gt;=$B36,Real!R37,'Proy. Mes'!R37),0)</f>
        <v>214.05128990479867</v>
      </c>
      <c r="T36" s="781">
        <f>IF(ISNUMBER(IF($N$3&gt;=$B36,Real!S37,'Proy. Mes'!S37)),IF($N$3&gt;=$B36,Real!S37,'Proy. Mes'!S37),0)</f>
        <v>90.776561964300811</v>
      </c>
      <c r="U36" s="781">
        <f>IF(ISNUMBER(IF($N$3&gt;=$B36,Real!T37,'Proy. Mes'!T37)),IF($N$3&gt;=$B36,Real!T37,'Proy. Mes'!T37),0)</f>
        <v>89.558098825957131</v>
      </c>
      <c r="V36" s="781">
        <f>IF(ISNUMBER(IF($N$3&gt;=$B36,Real!U37,'Proy. Mes'!U37)),IF($N$3&gt;=$B36,Real!U37,'Proy. Mes'!U37),0)</f>
        <v>81.29776307479473</v>
      </c>
      <c r="W36" s="781">
        <f>IF(ISNUMBER(IF($N$3&gt;=$B36,Real!V37,'Proy. Mes'!V37)),IF($N$3&gt;=$B36,Real!V37,'Proy. Mes'!V37),0)</f>
        <v>50</v>
      </c>
      <c r="X36" s="780">
        <f>IF(ISNUMBER(IF($N$3&gt;=$B36,Real!W37,'Proy. Mes'!W37)),IF($N$3&gt;=$B36,Real!W37,'Proy. Mes'!W37),0)</f>
        <v>72.798827785993694</v>
      </c>
      <c r="Y36" s="539">
        <f t="shared" ref="Y36:Y38" si="36">IF(ISNUMBER(X36),+Y35+X36,Y35)</f>
        <v>2377.0939223653759</v>
      </c>
      <c r="Z36" s="539">
        <f t="shared" ref="Z36:Z38" si="37">AC36/(W36/100)</f>
        <v>50</v>
      </c>
      <c r="AA36" s="780">
        <f>IF(ISNUMBER(IF($N$3&gt;=$B36,Real!Y37,'Proy. Mes'!Z37)),IF($N$3&gt;=$B36,Real!Y37,'Proy. Mes'!Z37),0)</f>
        <v>36.399413892996847</v>
      </c>
      <c r="AB36" s="782">
        <f t="shared" ref="AB36:AB38" si="38">IF(ISNUMBER(AA36),+AB35+AA36,AB35)</f>
        <v>833.13593939115458</v>
      </c>
      <c r="AC36" s="780">
        <f>IF(ISNUMBER(IF($N$3&gt;=$B36,Real!AA37,'Proy. Mes'!AB37)),IF($N$3&gt;=$B36,Real!AA37,'Proy. Mes'!AB37),0)</f>
        <v>25</v>
      </c>
      <c r="AD36" s="539">
        <f t="shared" ref="AD36:AD38" si="39">IF(ISNUMBER(AC36),+AD35+AC36,AD35)</f>
        <v>935.49373559192611</v>
      </c>
      <c r="AE36" s="782">
        <f t="shared" ref="AE36:AE38" si="40">+AE35+AA36-AC36</f>
        <v>269.30064851473747</v>
      </c>
      <c r="AF36" s="780">
        <f t="shared" ref="AF36:AF38" si="41">IF(ISNUMBER(Q36*AA36),+Q36+AA36*$CU$7,+Q36*$CU$8)</f>
        <v>1241.3801397486877</v>
      </c>
      <c r="AG36" s="539">
        <f t="shared" ref="AG36:AG38" si="42">IF(ISNUMBER(AF36),+AG35+AF36,AG35)</f>
        <v>27120.857318542534</v>
      </c>
      <c r="AH36" s="2072">
        <f t="shared" ref="AH36:AH38" si="43">IF(ISNUMBER(Q36*AC36),+Q36*$CT$8+AC36*$CT$7*$CT$9,+Q36*$CT$8)</f>
        <v>1164.8082507957199</v>
      </c>
      <c r="AI36" s="2451">
        <f t="shared" ref="AI36:AI38" si="44">IF(ISNUMBER(AH36),+AI35+AH36,AI35)</f>
        <v>26465.219931281757</v>
      </c>
      <c r="AJ36" s="2439">
        <f>IF(ISNUMBER(IF($N$3&gt;=$B36,Real!AL37,'Proy. Mes'!AF37)),IF($N$3&gt;=$B36,Real!AL37,'Proy. Mes'!AF37),0)</f>
        <v>4366</v>
      </c>
      <c r="AK36" s="2452">
        <f>IF(ISNUMBER(IF($N$3&gt;=$B36,Real!AM37,'Proy. Mes'!AG37)),IF($N$3&gt;=$B36,Real!AM37,'Proy. Mes'!AG37),0)</f>
        <v>30.166707440864869</v>
      </c>
      <c r="AL36" s="2453">
        <f t="shared" ref="AL36:AL38" si="45">AJ36*AK36/100</f>
        <v>1317.0784468681602</v>
      </c>
      <c r="AM36" s="2439">
        <f>IF(ISNUMBER(IF($N$3&gt;=$B36,Real!AO37,'Proy. Mes'!AI37)),IF($N$3&gt;=$B36,Real!AO37,'Proy. Mes'!AI37),0)</f>
        <v>4366</v>
      </c>
      <c r="AN36" s="2452">
        <f>IF(ISNUMBER(IF($N$3&gt;=$B36,Real!AP37,'Proy. Mes'!AJ37)),IF($N$3&gt;=$B36,Real!AP37,'Proy. Mes'!AJ37),0)</f>
        <v>30.914583841702612</v>
      </c>
      <c r="AO36" s="2453">
        <f t="shared" ref="AO36:AO38" si="46">AM36*AN36/100</f>
        <v>1349.7307305287361</v>
      </c>
      <c r="AP36" s="783">
        <f t="shared" ref="AP36:AP37" si="47">+AP35+Q36-AO36</f>
        <v>2950.2414700699628</v>
      </c>
      <c r="AQ36" s="783">
        <f t="shared" ref="AQ36:AQ38" si="48">AO36*0.96</f>
        <v>1295.7415013075865</v>
      </c>
      <c r="AR36" s="783">
        <f t="shared" ref="AR36:AR38" si="49">AR35-AM36+O36</f>
        <v>7995.4987871230433</v>
      </c>
      <c r="AS36" s="2455">
        <f>+'Plan mina PS'!Q71*1000</f>
        <v>209169.30110130418</v>
      </c>
      <c r="AT36" s="784"/>
      <c r="AU36" s="2076"/>
      <c r="AV36" s="2438">
        <f t="shared" si="4"/>
        <v>46110.791666666664</v>
      </c>
      <c r="AW36" s="2069">
        <f>IF(ISNUMBER(IF($N$3&gt;=$B36,Real!AC37,'Proy. Mes'!BC37)),IF($N$3&gt;=$B36,Real!AC37,'Proy. Mes'!BC37),0)</f>
        <v>79.837457058144906</v>
      </c>
      <c r="AX36" s="783"/>
      <c r="AY36" s="783"/>
      <c r="AZ36" s="783"/>
      <c r="BA36" s="2432">
        <f>IF($N$3&gt;=$B36,Real!AE37,'Proy. Mes'!AW37)</f>
        <v>19.387743880966898</v>
      </c>
      <c r="BB36" s="782">
        <f>IF($N$3&gt;=$B36,Real!AF37,'Proy. Mes'!AX37)</f>
        <v>872.44847464351039</v>
      </c>
      <c r="BC36" s="2078">
        <f>'Plan mina PS'!AG34</f>
        <v>1.4021036733061003</v>
      </c>
      <c r="BD36" s="3099">
        <f>IF($N$3&gt;=$B36,Real!AS37,'Proy. Mes'!AY37)</f>
        <v>4.0684535764789951</v>
      </c>
      <c r="BE36" s="2440">
        <f>IF($N$3&gt;=$B36,Real!AU37,'Proy. Mes'!BB37)</f>
        <v>37.856345607601831</v>
      </c>
      <c r="BF36" s="780">
        <f>IF($N$3&gt;=$B36,Real!AI37,'Proy. Mes'!AO37)</f>
        <v>7093.1236208941218</v>
      </c>
      <c r="BG36" s="780">
        <f>IF($N$3&gt;=$B36,Real!AJ37,'Proy. Mes'!AP37)</f>
        <v>1812</v>
      </c>
      <c r="BH36" s="780">
        <f>IF($N$3&gt;=$B36,Real!AK37,'Proy. Mes'!AQ37)</f>
        <v>8903.5022248105088</v>
      </c>
      <c r="BI36" s="780"/>
      <c r="BJ36" s="539"/>
      <c r="BK36" s="539"/>
      <c r="BL36" s="781">
        <f>IF($N$3&gt;=$B36,Real!H37,'Proy. Mes'!AR37)</f>
        <v>98.057573027372243</v>
      </c>
      <c r="BM36" s="539"/>
      <c r="BN36" s="539"/>
      <c r="BO36" s="539"/>
      <c r="BP36" s="2441"/>
      <c r="BQ36" s="2442"/>
      <c r="BR36" s="2443"/>
      <c r="BS36" s="2444"/>
      <c r="BT36" s="785"/>
      <c r="BU36" s="785"/>
      <c r="BV36" s="2445"/>
      <c r="BW36" s="785"/>
      <c r="BX36" s="785"/>
      <c r="BY36" s="785"/>
      <c r="BZ36" s="785"/>
      <c r="CA36" s="2446"/>
      <c r="CB36" s="2446"/>
      <c r="CC36" s="2446"/>
      <c r="CD36" s="2443"/>
      <c r="CE36" s="2446"/>
      <c r="CF36" s="2446"/>
      <c r="CG36" s="2446"/>
      <c r="CH36" s="2444"/>
      <c r="CI36" s="2446"/>
      <c r="CJ36" s="2443"/>
      <c r="CK36" s="2446"/>
      <c r="CL36" s="2446"/>
      <c r="CM36" s="2443"/>
      <c r="CN36" s="2444"/>
      <c r="CO36" s="2446"/>
      <c r="CP36" s="2447"/>
      <c r="CW36" s="2449">
        <f>IF(ISNUMBER(IF($N$3&gt;=$B36,Real!AD37,'Proy. Mes'!BD37)),IF($N$3&gt;=$B36,Real!AD37,'Proy. Mes'!BD37),0)</f>
        <v>74.078349562304226</v>
      </c>
      <c r="CX36" s="783">
        <f t="shared" ref="CX36:CX38" si="50">+CX35+AO36</f>
        <v>24442.078847403631</v>
      </c>
      <c r="DA36" s="744">
        <f t="shared" ref="DA36:DA38" si="51">24*H36/100</f>
        <v>23.533817526569337</v>
      </c>
      <c r="DB36" s="744">
        <v>2</v>
      </c>
      <c r="DC36" s="2449">
        <f>IF(ISNUMBER(IF($N$3&gt;=$B36,Real!AC37,'Proy. Mes'!BC37)),IF($N$3&gt;=$B36,Real!AC37,'Proy. Mes'!BC37),0)</f>
        <v>79.837457058144906</v>
      </c>
      <c r="DE36" s="4239">
        <f t="shared" si="14"/>
        <v>209169.30110130421</v>
      </c>
      <c r="DF36" s="4239">
        <f t="shared" si="24"/>
        <v>5327491.8822274487</v>
      </c>
      <c r="DG36" s="4234">
        <f t="shared" si="15"/>
        <v>0.60253190135276002</v>
      </c>
      <c r="DH36" s="342">
        <f>SUMPRODUCT(DG$8:DG36,DE$8:DE36)/DF36</f>
        <v>0.51336118342233483</v>
      </c>
      <c r="DI36" s="4240">
        <f t="shared" si="6"/>
        <v>90.12517923258855</v>
      </c>
      <c r="DJ36" s="348" cm="1">
        <f t="array" ref="DJ36">SUMPRODUCT(DI$8:DI36,DE$8:DE36/DF36)</f>
        <v>90.354751487714069</v>
      </c>
      <c r="DK36" s="866"/>
      <c r="DL36" s="866"/>
      <c r="DM36" s="866"/>
      <c r="DN36" s="866"/>
      <c r="DO36" s="866"/>
      <c r="DP36" s="866"/>
      <c r="DQ36" s="866"/>
      <c r="DR36" s="866"/>
    </row>
    <row r="37" spans="1:122" s="744" customFormat="1" ht="13">
      <c r="B37" s="2065">
        <f t="shared" si="7"/>
        <v>46111.791666666664</v>
      </c>
      <c r="C37" s="780">
        <f>IF($N$3&gt;=$B37,Real!C38,'Proy. Mes'!C38)</f>
        <v>238000.00000004738</v>
      </c>
      <c r="D37" s="2432">
        <f>IF($N$3&gt;=$B37,Real!D38,D36+C37-E37)</f>
        <v>757023.23163522466</v>
      </c>
      <c r="E37" s="2432">
        <f>IF($N$3&gt;=$B37,Real!E38,'Proy. Mes'!E38)</f>
        <v>200982.55747578535</v>
      </c>
      <c r="F37" s="2432">
        <f>IF($N$3&gt;=$B37,Real!F38,'Proy. Mes'!F38)</f>
        <v>41807.968537079883</v>
      </c>
      <c r="G37" s="2432">
        <f>IF($N$3&gt;=$B37,Real!G38,'Proy. Mes'!G38)</f>
        <v>159174.58893870545</v>
      </c>
      <c r="H37" s="2067">
        <f>IF($N$3&gt;=$B37,Real!H38,'Proy. Mes'!H38)</f>
        <v>94.157059414800372</v>
      </c>
      <c r="I37" s="2067">
        <f>IF($N$3&gt;=$B37,Real!I38,'Proy. Mes'!I38)</f>
        <v>97.132597759803119</v>
      </c>
      <c r="J37" s="781">
        <f t="shared" si="31"/>
        <v>94.705183333333338</v>
      </c>
      <c r="K37" s="781">
        <f t="shared" si="32"/>
        <v>76.792985410910248</v>
      </c>
      <c r="L37" s="2066">
        <f>IF(ISNUMBER(IF($N$3&gt;=$B37,Real!K38,'Proy. Mes'!K38)),IF($N$3&gt;=$B37,Real!K38,'Proy. Mes'!K38),0)</f>
        <v>0.58079430880381111</v>
      </c>
      <c r="M37" s="781">
        <f>IF(ISNUMBER(IF($N$3&gt;=$B37,Real!L38,'Proy. Mes'!L38)),IF($N$3&gt;=$B37,Real!L38,'Proy. Mes'!L38),0)</f>
        <v>90.917789823751221</v>
      </c>
      <c r="N37" s="781">
        <f>IF(ISNUMBER(IF($N$3&gt;=$B37,Real!M38,'Proy. Mes'!M38)),IF($N$3&gt;=$B37,Real!M38,'Proy. Mes'!M38),0)</f>
        <v>29.819750307075012</v>
      </c>
      <c r="O37" s="780">
        <f>IF(ISNUMBER(IF($N$3&gt;=$B37,Real!N38,'Proy. Mes'!N38)),IF($N$3&gt;=$B37,Real!N38,'Proy. Mes'!N38),0)</f>
        <v>3558.9803271200471</v>
      </c>
      <c r="P37" s="539">
        <f t="shared" si="33"/>
        <v>98135.798976837468</v>
      </c>
      <c r="Q37" s="780">
        <f t="shared" si="34"/>
        <v>1061.2790470251196</v>
      </c>
      <c r="R37" s="782">
        <f t="shared" si="35"/>
        <v>25766.875277272695</v>
      </c>
      <c r="S37" s="780">
        <f>IF(ISNUMBER(IF($N$3&gt;=$B37,Real!R38,'Proy. Mes'!R38)),IF($N$3&gt;=$B37,Real!R38,'Proy. Mes'!R38),0)</f>
        <v>176.62984698962811</v>
      </c>
      <c r="T37" s="781">
        <f>IF(ISNUMBER(IF($N$3&gt;=$B37,Real!S38,'Proy. Mes'!S38)),IF($N$3&gt;=$B37,Real!S38,'Proy. Mes'!S38),0)</f>
        <v>90.102793544699793</v>
      </c>
      <c r="U37" s="781">
        <f>IF(ISNUMBER(IF($N$3&gt;=$B37,Real!T38,'Proy. Mes'!T38)),IF($N$3&gt;=$B37,Real!T38,'Proy. Mes'!T38),0)</f>
        <v>89.013653666314326</v>
      </c>
      <c r="V37" s="781">
        <f>IF(ISNUMBER(IF($N$3&gt;=$B37,Real!U38,'Proy. Mes'!U38)),IF($N$3&gt;=$B37,Real!U38,'Proy. Mes'!U38),0)</f>
        <v>80.203788589553298</v>
      </c>
      <c r="W37" s="781">
        <f>IF(ISNUMBER(IF($N$3&gt;=$B37,Real!V38,'Proy. Mes'!V38)),IF($N$3&gt;=$B37,Real!V38,'Proy. Mes'!V38),0)</f>
        <v>50</v>
      </c>
      <c r="X37" s="780">
        <f>IF(ISNUMBER(IF($N$3&gt;=$B37,Real!W38,'Proy. Mes'!W38)),IF($N$3&gt;=$B37,Real!W38,'Proy. Mes'!W38),0)</f>
        <v>56.943917334838709</v>
      </c>
      <c r="Y37" s="539">
        <f t="shared" si="36"/>
        <v>2434.0378397002146</v>
      </c>
      <c r="Z37" s="539">
        <f t="shared" si="37"/>
        <v>50</v>
      </c>
      <c r="AA37" s="780">
        <f>IF(ISNUMBER(IF($N$3&gt;=$B37,Real!Y38,'Proy. Mes'!Z38)),IF($N$3&gt;=$B37,Real!Y38,'Proy. Mes'!Z38),0)</f>
        <v>28.471958667419354</v>
      </c>
      <c r="AB37" s="782">
        <f t="shared" si="38"/>
        <v>861.60789805857394</v>
      </c>
      <c r="AC37" s="780">
        <f>IF(ISNUMBER(IF($N$3&gt;=$B37,Real!AA38,'Proy. Mes'!AB38)),IF($N$3&gt;=$B37,Real!AA38,'Proy. Mes'!AB38),0)</f>
        <v>25</v>
      </c>
      <c r="AD37" s="539">
        <f t="shared" si="39"/>
        <v>960.49373559192611</v>
      </c>
      <c r="AE37" s="782">
        <f t="shared" si="40"/>
        <v>272.77260718215683</v>
      </c>
      <c r="AF37" s="780">
        <f t="shared" si="41"/>
        <v>1143.8192552019682</v>
      </c>
      <c r="AG37" s="539">
        <f t="shared" si="42"/>
        <v>28264.676573744502</v>
      </c>
      <c r="AH37" s="2072">
        <f t="shared" si="43"/>
        <v>1093.063068238165</v>
      </c>
      <c r="AI37" s="2451">
        <f t="shared" si="44"/>
        <v>27558.282999519921</v>
      </c>
      <c r="AJ37" s="2439">
        <f>IF(ISNUMBER(IF($N$3&gt;=$B37,Real!AL38,'Proy. Mes'!AF38)),IF($N$3&gt;=$B37,Real!AL38,'Proy. Mes'!AF38),0)</f>
        <v>4366</v>
      </c>
      <c r="AK37" s="2452">
        <f>IF(ISNUMBER(IF($N$3&gt;=$B37,Real!AM38,'Proy. Mes'!AG38)),IF($N$3&gt;=$B37,Real!AM38,'Proy. Mes'!AG38),0)</f>
        <v>29.819750307075012</v>
      </c>
      <c r="AL37" s="2453">
        <f t="shared" si="45"/>
        <v>1301.930298406895</v>
      </c>
      <c r="AM37" s="2439">
        <f>IF(ISNUMBER(IF($N$3&gt;=$B37,Real!AO38,'Proy. Mes'!AI38)),IF($N$3&gt;=$B37,Real!AO38,'Proy. Mes'!AI38),0)</f>
        <v>4366</v>
      </c>
      <c r="AN37" s="2452">
        <f>IF(ISNUMBER(IF($N$3&gt;=$B37,Real!AP38,'Proy. Mes'!AJ38)),IF($N$3&gt;=$B37,Real!AP38,'Proy. Mes'!AJ38),0)</f>
        <v>30.166707440864869</v>
      </c>
      <c r="AO37" s="2453">
        <f>AM37*AN37/100</f>
        <v>1317.0784468681602</v>
      </c>
      <c r="AP37" s="783">
        <f t="shared" si="47"/>
        <v>2694.4420702269217</v>
      </c>
      <c r="AQ37" s="783">
        <f t="shared" si="48"/>
        <v>1264.3953089934337</v>
      </c>
      <c r="AR37" s="783">
        <f t="shared" si="49"/>
        <v>7188.4791142430904</v>
      </c>
      <c r="AS37" s="2455">
        <f>+'Plan mina PS'!Q72*1000</f>
        <v>200982.55747578532</v>
      </c>
      <c r="AT37" s="784"/>
      <c r="AU37" s="2076"/>
      <c r="AV37" s="2438">
        <f t="shared" si="4"/>
        <v>46111.791666666664</v>
      </c>
      <c r="AW37" s="2069">
        <f>IF(ISNUMBER(IF($N$3&gt;=$B37,Real!AC38,'Proy. Mes'!BC38)),IF($N$3&gt;=$B37,Real!AC38,'Proy. Mes'!BC38),0)</f>
        <v>83.226583739130831</v>
      </c>
      <c r="AX37" s="783"/>
      <c r="AY37" s="783"/>
      <c r="AZ37" s="783"/>
      <c r="BA37" s="2432">
        <f>IF($N$3&gt;=$B37,Real!AE38,'Proy. Mes'!AW38)</f>
        <v>16.388313236015385</v>
      </c>
      <c r="BB37" s="782">
        <f>IF($N$3&gt;=$B37,Real!AF38,'Proy. Mes'!AX38)</f>
        <v>737.47409562069231</v>
      </c>
      <c r="BC37" s="2078">
        <f>'Plan mina PS'!AG35</f>
        <v>1.2628868967614186</v>
      </c>
      <c r="BD37" s="3099">
        <f>IF($N$3&gt;=$B37,Real!AS38,'Proy. Mes'!AY38)</f>
        <v>4.1344082201220784</v>
      </c>
      <c r="BE37" s="2440">
        <f>IF($N$3&gt;=$B37,Real!AU38,'Proy. Mes'!BB38)</f>
        <v>37.61583478206861</v>
      </c>
      <c r="BF37" s="780">
        <f>IF($N$3&gt;=$B37,Real!AI38,'Proy. Mes'!AO38)</f>
        <v>7043.8420446998507</v>
      </c>
      <c r="BG37" s="780">
        <f>IF($N$3&gt;=$B37,Real!AJ38,'Proy. Mes'!AP38)</f>
        <v>1793.4233503697101</v>
      </c>
      <c r="BH37" s="780">
        <f>IF($N$3&gt;=$B37,Real!AK38,'Proy. Mes'!AQ38)</f>
        <v>8842.4655688409766</v>
      </c>
      <c r="BI37" s="780"/>
      <c r="BJ37" s="539"/>
      <c r="BK37" s="539"/>
      <c r="BL37" s="781">
        <f>IF($N$3&gt;=$B37,Real!H38,'Proy. Mes'!AR38)</f>
        <v>94.157059414800372</v>
      </c>
      <c r="BM37" s="539"/>
      <c r="BN37" s="539"/>
      <c r="BO37" s="539"/>
      <c r="BP37" s="2441"/>
      <c r="BQ37" s="2442"/>
      <c r="BR37" s="2443"/>
      <c r="BS37" s="2444"/>
      <c r="BT37" s="785"/>
      <c r="BU37" s="785"/>
      <c r="BV37" s="2445"/>
      <c r="BW37" s="785"/>
      <c r="BX37" s="785"/>
      <c r="BY37" s="785"/>
      <c r="BZ37" s="785"/>
      <c r="CA37" s="2446"/>
      <c r="CB37" s="2446"/>
      <c r="CC37" s="2446"/>
      <c r="CD37" s="2443"/>
      <c r="CE37" s="2446"/>
      <c r="CF37" s="2446"/>
      <c r="CG37" s="2446"/>
      <c r="CH37" s="2444"/>
      <c r="CI37" s="2446"/>
      <c r="CJ37" s="2443"/>
      <c r="CK37" s="2446"/>
      <c r="CL37" s="2446"/>
      <c r="CM37" s="2443"/>
      <c r="CN37" s="2444"/>
      <c r="CO37" s="2446"/>
      <c r="CP37" s="2447"/>
      <c r="CW37" s="2449">
        <f>IF(ISNUMBER(IF($N$3&gt;=$B37,Real!AD38,'Proy. Mes'!BD38)),IF($N$3&gt;=$B37,Real!AD38,'Proy. Mes'!BD38),0)</f>
        <v>76.792985410910248</v>
      </c>
      <c r="CX37" s="783">
        <f t="shared" si="50"/>
        <v>25759.15729427179</v>
      </c>
      <c r="DA37" s="744">
        <f t="shared" si="51"/>
        <v>22.597694259552089</v>
      </c>
      <c r="DB37" s="744">
        <v>3</v>
      </c>
      <c r="DC37" s="2449">
        <f>IF(ISNUMBER(IF($N$3&gt;=$B37,Real!AC38,'Proy. Mes'!BC38)),IF($N$3&gt;=$B37,Real!AC38,'Proy. Mes'!BC38),0)</f>
        <v>83.226583739130831</v>
      </c>
      <c r="DE37" s="4239">
        <f t="shared" si="14"/>
        <v>200982.55747578535</v>
      </c>
      <c r="DF37" s="4239">
        <f t="shared" si="24"/>
        <v>5528474.4397032345</v>
      </c>
      <c r="DG37" s="4234">
        <f t="shared" si="15"/>
        <v>0.58079430880381111</v>
      </c>
      <c r="DH37" s="342">
        <f>SUMPRODUCT(DG$8:DG37,DE$8:DE37)/DF37</f>
        <v>0.51581265211330374</v>
      </c>
      <c r="DI37" s="4240">
        <f t="shared" si="6"/>
        <v>90.917789823751221</v>
      </c>
      <c r="DJ37" s="348" cm="1">
        <f t="array" ref="DJ37">SUMPRODUCT(DI$8:DI37,DE$8:DE37/DF37)</f>
        <v>90.375220223884924</v>
      </c>
      <c r="DK37" s="866"/>
      <c r="DL37" s="866"/>
      <c r="DM37" s="866"/>
      <c r="DN37" s="866"/>
      <c r="DO37" s="866"/>
      <c r="DP37" s="866"/>
      <c r="DQ37" s="866"/>
      <c r="DR37" s="866"/>
    </row>
    <row r="38" spans="1:122" s="744" customFormat="1" ht="13">
      <c r="B38" s="2065">
        <f t="shared" si="7"/>
        <v>46112.791666666664</v>
      </c>
      <c r="C38" s="780">
        <f>IF($N$3&gt;=$B38,Real!C39,'Proy. Mes'!C39)</f>
        <v>269999.99999969493</v>
      </c>
      <c r="D38" s="2432">
        <f>IF($N$3&gt;=$B38,Real!D39,D37+C38-E38)</f>
        <v>720646.63057864783</v>
      </c>
      <c r="E38" s="2432">
        <f>IF($N$3&gt;=$B38,Real!E39,'Proy. Mes'!E39)</f>
        <v>306376.6010562717</v>
      </c>
      <c r="F38" s="2432">
        <f>IF($N$3&gt;=$B38,Real!F39,'Proy. Mes'!F39)</f>
        <v>42241.024113783184</v>
      </c>
      <c r="G38" s="2432">
        <f>IF($N$3&gt;=$B38,Real!G39,'Proy. Mes'!G39)</f>
        <v>264135.57694248849</v>
      </c>
      <c r="H38" s="2067">
        <f>IF($N$3&gt;=$B38,Real!H39,'Proy. Mes'!H39)</f>
        <v>98.057573027372243</v>
      </c>
      <c r="I38" s="2067">
        <f>IF($N$3&gt;=$B38,Real!I39,'Proy. Mes'!I39)</f>
        <v>97.132597759803119</v>
      </c>
      <c r="J38" s="781">
        <f t="shared" si="31"/>
        <v>97.88718333333334</v>
      </c>
      <c r="K38" s="781">
        <f t="shared" si="32"/>
        <v>69.378764329299386</v>
      </c>
      <c r="L38" s="2066">
        <f>IF(ISNUMBER(IF($N$3&gt;=$B38,Real!K39,'Proy. Mes'!K39)),IF($N$3&gt;=$B38,Real!K39,'Proy. Mes'!K39),0)</f>
        <v>0.57187199432425428</v>
      </c>
      <c r="M38" s="781">
        <f>IF(ISNUMBER(IF($N$3&gt;=$B38,Real!L39,'Proy. Mes'!L39)),IF($N$3&gt;=$B38,Real!L39,'Proy. Mes'!L39),0)</f>
        <v>91.042827998464162</v>
      </c>
      <c r="N38" s="781">
        <f>IF(ISNUMBER(IF($N$3&gt;=$B38,Real!M39,'Proy. Mes'!M39)),IF($N$3&gt;=$B38,Real!M39,'Proy. Mes'!M39),0)</f>
        <v>29.094089095777246</v>
      </c>
      <c r="O38" s="780">
        <f>IF(ISNUMBER(IF($N$3&gt;=$B38,Real!N39,'Proy. Mes'!N39)),IF($N$3&gt;=$B38,Real!N39,'Proy. Mes'!N39),0)</f>
        <v>5482.7115463926684</v>
      </c>
      <c r="P38" s="539">
        <f t="shared" si="33"/>
        <v>103618.51052323014</v>
      </c>
      <c r="Q38" s="780">
        <f t="shared" si="34"/>
        <v>1595.1449821719493</v>
      </c>
      <c r="R38" s="782">
        <f t="shared" si="35"/>
        <v>27362.020259444645</v>
      </c>
      <c r="S38" s="780">
        <f>IF(ISNUMBER(IF($N$3&gt;=$B38,Real!R39,'Proy. Mes'!R39)),IF($N$3&gt;=$B38,Real!R39,'Proy. Mes'!R39),0)</f>
        <v>186.55741600567592</v>
      </c>
      <c r="T38" s="781">
        <f>IF(ISNUMBER(IF($N$3&gt;=$B38,Real!S39,'Proy. Mes'!S39)),IF($N$3&gt;=$B38,Real!S39,'Proy. Mes'!S39),0)</f>
        <v>90.294527739166298</v>
      </c>
      <c r="U38" s="781">
        <f>IF(ISNUMBER(IF($N$3&gt;=$B38,Real!T39,'Proy. Mes'!T39)),IF($N$3&gt;=$B38,Real!T39,'Proy. Mes'!T39),0)</f>
        <v>89.168586356951735</v>
      </c>
      <c r="V38" s="781">
        <f>IF(ISNUMBER(IF($N$3&gt;=$B38,Real!U39,'Proy. Mes'!U39)),IF($N$3&gt;=$B38,Real!U39,'Proy. Mes'!U39),0)</f>
        <v>80.514353942700239</v>
      </c>
      <c r="W38" s="781">
        <f>IF(ISNUMBER(IF($N$3&gt;=$B38,Real!V39,'Proy. Mes'!V39)),IF($N$3&gt;=$B38,Real!V39,'Proy. Mes'!V39),0)</f>
        <v>50</v>
      </c>
      <c r="X38" s="780">
        <f>IF(ISNUMBER(IF($N$3&gt;=$B38,Real!W39,'Proy. Mes'!W39)),IF($N$3&gt;=$B38,Real!W39,'Proy. Mes'!W39),0)</f>
        <v>92.038900014831199</v>
      </c>
      <c r="Y38" s="539">
        <f t="shared" si="36"/>
        <v>2526.0767397150457</v>
      </c>
      <c r="Z38" s="539">
        <f t="shared" si="37"/>
        <v>80</v>
      </c>
      <c r="AA38" s="780">
        <f>IF(ISNUMBER(IF($N$3&gt;=$B38,Real!Y39,'Proy. Mes'!Z39)),IF($N$3&gt;=$B38,Real!Y39,'Proy. Mes'!Z39),0)</f>
        <v>46.0194500074156</v>
      </c>
      <c r="AB38" s="782">
        <f t="shared" si="38"/>
        <v>907.62734806598951</v>
      </c>
      <c r="AC38" s="780">
        <f>IF(ISNUMBER(IF($N$3&gt;=$B38,Real!AA39,'Proy. Mes'!AB39)),IF($N$3&gt;=$B38,Real!AA39,'Proy. Mes'!AB39),0)</f>
        <v>40</v>
      </c>
      <c r="AD38" s="539">
        <f t="shared" si="39"/>
        <v>1000.4937355919261</v>
      </c>
      <c r="AE38" s="782">
        <f t="shared" si="40"/>
        <v>278.79205718957246</v>
      </c>
      <c r="AF38" s="780">
        <f t="shared" si="41"/>
        <v>1728.5553677434471</v>
      </c>
      <c r="AG38" s="539">
        <f t="shared" si="42"/>
        <v>29993.231941487949</v>
      </c>
      <c r="AH38" s="2072">
        <f t="shared" si="43"/>
        <v>1649.9096728494153</v>
      </c>
      <c r="AI38" s="2451">
        <f t="shared" si="44"/>
        <v>29208.192672369336</v>
      </c>
      <c r="AJ38" s="2439">
        <f>IF(ISNUMBER(IF($N$3&gt;=$B38,Real!AL39,'Proy. Mes'!AF39)),IF($N$3&gt;=$B38,Real!AL39,'Proy. Mes'!AF39),0)</f>
        <v>4366</v>
      </c>
      <c r="AK38" s="2452">
        <f>IF(ISNUMBER(IF($N$3&gt;=$B38,Real!AM39,'Proy. Mes'!AG39)),IF($N$3&gt;=$B38,Real!AM39,'Proy. Mes'!AG39),0)</f>
        <v>29.094089095777246</v>
      </c>
      <c r="AL38" s="2453">
        <f t="shared" si="45"/>
        <v>1270.2479299216345</v>
      </c>
      <c r="AM38" s="2439">
        <f>IF(ISNUMBER(IF($N$3&gt;=$B38,Real!AO39,'Proy. Mes'!AI39)),IF($N$3&gt;=$B38,Real!AO39,'Proy. Mes'!AI39),0)</f>
        <v>5666</v>
      </c>
      <c r="AN38" s="2452">
        <f>IF(ISNUMBER(IF($N$3&gt;=$B38,Real!AP39,'Proy. Mes'!AJ39)),IF($N$3&gt;=$B38,Real!AP39,'Proy. Mes'!AJ39),0)</f>
        <v>29.819750307075012</v>
      </c>
      <c r="AO38" s="2453">
        <f t="shared" si="46"/>
        <v>1689.5870523988704</v>
      </c>
      <c r="AP38" s="783">
        <f>+AP37+Q38-AO38</f>
        <v>2600</v>
      </c>
      <c r="AQ38" s="3702">
        <f t="shared" si="48"/>
        <v>1622.0035703029155</v>
      </c>
      <c r="AR38" s="783">
        <f t="shared" si="49"/>
        <v>7005.1906606357588</v>
      </c>
      <c r="AS38" s="2455">
        <f>+'Plan mina PS'!Q73*1000</f>
        <v>211294.20762501497</v>
      </c>
      <c r="AT38" s="784"/>
      <c r="AU38" s="2076"/>
      <c r="AV38" s="2438">
        <f t="shared" si="4"/>
        <v>46112.791666666664</v>
      </c>
      <c r="AW38" s="2069">
        <f>IF(ISNUMBER(IF($N$3&gt;=$B38,Real!AC39,'Proy. Mes'!BC39)),IF($N$3&gt;=$B38,Real!AC39,'Proy. Mes'!BC39),0)</f>
        <v>78.829288563837736</v>
      </c>
      <c r="AX38" s="783"/>
      <c r="AY38" s="783"/>
      <c r="AZ38" s="783"/>
      <c r="BA38" s="2432">
        <f>IF($N$3&gt;=$B38,Real!AE39,'Proy. Mes'!AW39)</f>
        <v>15.945762577034797</v>
      </c>
      <c r="BB38" s="782">
        <f>IF($N$3&gt;=$B38,Real!AF39,'Proy. Mes'!AX39)</f>
        <v>717.55931596656592</v>
      </c>
      <c r="BC38" s="2078">
        <f>'Plan mina PS'!AG36</f>
        <v>1.198143512834341</v>
      </c>
      <c r="BD38" s="3099">
        <f>IF($N$3&gt;=$B38,Real!AS39,'Proy. Mes'!AY39)</f>
        <v>4.0941923461957765</v>
      </c>
      <c r="BE38" s="2440">
        <f>IF($N$3&gt;=$B38,Real!AU39,'Proy. Mes'!BB39)</f>
        <v>38.842467620264443</v>
      </c>
      <c r="BF38" s="780">
        <f>IF($N$3&gt;=$B38,Real!AI39,'Proy. Mes'!AO39)</f>
        <v>11223.660447111195</v>
      </c>
      <c r="BG38" s="780">
        <f>IF($N$3&gt;=$B38,Real!AJ39,'Proy. Mes'!AP39)</f>
        <v>1812</v>
      </c>
      <c r="BH38" s="780">
        <f>IF($N$3&gt;=$B38,Real!AK39,'Proy. Mes'!AQ39)</f>
        <v>8694.1526465946845</v>
      </c>
      <c r="BI38" s="780"/>
      <c r="BJ38" s="539"/>
      <c r="BK38" s="539"/>
      <c r="BL38" s="781">
        <f>IF($N$3&gt;=$B38,Real!H39,'Proy. Mes'!AR39)</f>
        <v>98.057573027372243</v>
      </c>
      <c r="BM38" s="539"/>
      <c r="BN38" s="539"/>
      <c r="BO38" s="539"/>
      <c r="BP38" s="2441"/>
      <c r="BQ38" s="2442"/>
      <c r="BR38" s="2443"/>
      <c r="BS38" s="2444"/>
      <c r="BT38" s="785"/>
      <c r="BU38" s="785"/>
      <c r="BV38" s="2445"/>
      <c r="BW38" s="785"/>
      <c r="BX38" s="785"/>
      <c r="BY38" s="785"/>
      <c r="BZ38" s="785"/>
      <c r="CA38" s="2446"/>
      <c r="CB38" s="2446"/>
      <c r="CC38" s="2446"/>
      <c r="CD38" s="2443"/>
      <c r="CE38" s="2446"/>
      <c r="CF38" s="2446"/>
      <c r="CG38" s="2446"/>
      <c r="CH38" s="2444"/>
      <c r="CI38" s="2446"/>
      <c r="CJ38" s="2443"/>
      <c r="CK38" s="2446"/>
      <c r="CL38" s="2446"/>
      <c r="CM38" s="2443"/>
      <c r="CN38" s="2444"/>
      <c r="CO38" s="2446"/>
      <c r="CP38" s="2447"/>
      <c r="CW38" s="2449">
        <f>IF(ISNUMBER(IF($N$3&gt;=$B38,Real!AD39,'Proy. Mes'!BD39)),IF($N$3&gt;=$B38,Real!AD39,'Proy. Mes'!BD39),0)</f>
        <v>69.378764329299386</v>
      </c>
      <c r="CX38" s="783">
        <f t="shared" si="50"/>
        <v>27448.744346670661</v>
      </c>
      <c r="DA38" s="744">
        <f t="shared" si="51"/>
        <v>23.533817526569337</v>
      </c>
      <c r="DB38" s="744">
        <v>4</v>
      </c>
      <c r="DC38" s="2449">
        <f>IF(ISNUMBER(IF($N$3&gt;=$B38,Real!AC39,'Proy. Mes'!BC39)),IF($N$3&gt;=$B38,Real!AC39,'Proy. Mes'!BC39),0)</f>
        <v>78.829288563837736</v>
      </c>
      <c r="DE38" s="4239">
        <f t="shared" si="14"/>
        <v>306376.6010562717</v>
      </c>
      <c r="DF38" s="4239">
        <f t="shared" si="24"/>
        <v>5834851.0407595057</v>
      </c>
      <c r="DG38" s="4234">
        <f t="shared" si="15"/>
        <v>0.57187199432425428</v>
      </c>
      <c r="DH38" s="342">
        <f>SUMPRODUCT(DG$8:DG38,DE$8:DE38)/DF38</f>
        <v>0.5187562183850154</v>
      </c>
      <c r="DI38" s="4240">
        <f t="shared" si="6"/>
        <v>91.042827998464162</v>
      </c>
      <c r="DJ38" s="348" cm="1">
        <f t="array" ref="DJ38">SUMPRODUCT(DI$8:DI38,DE$8:DE38/DF38)</f>
        <v>90.410275000671092</v>
      </c>
      <c r="DK38" s="866"/>
      <c r="DL38" s="866"/>
      <c r="DM38" s="866"/>
      <c r="DN38" s="866"/>
      <c r="DO38" s="866"/>
      <c r="DP38" s="866"/>
      <c r="DQ38" s="866"/>
      <c r="DR38" s="866"/>
    </row>
    <row r="39" spans="1:122" s="744" customFormat="1" ht="17.25" customHeight="1">
      <c r="A39" s="796" t="s">
        <v>330</v>
      </c>
      <c r="B39" s="797"/>
      <c r="C39" s="798">
        <f>AVERAGE(C8:C38)</f>
        <v>194439.99739780714</v>
      </c>
      <c r="D39" s="799">
        <f>+SUM(C8:C38)</f>
        <v>6027639.9193320209</v>
      </c>
      <c r="E39" s="800">
        <f>+SUM(E8:E38)</f>
        <v>5834851.0407595057</v>
      </c>
      <c r="F39" s="800">
        <f>+SUM(F8:F38)</f>
        <v>1365671.9592434624</v>
      </c>
      <c r="G39" s="800">
        <f>+SUM(G8:G38)</f>
        <v>4469179.0815160433</v>
      </c>
      <c r="H39" s="801">
        <f>(72*SUM(H8:H38)/100)/(72*28)*100</f>
        <v>100.68923823106321</v>
      </c>
      <c r="I39" s="801">
        <f>(24*SUM(I8:I38)/100)/(24*28)*100</f>
        <v>108.97800553186161</v>
      </c>
      <c r="J39" s="3123">
        <f>(24*SUM(J8:J38)/100)/(24*31)*100</f>
        <v>92.324230243716514</v>
      </c>
      <c r="K39" s="800">
        <f>SUMPRODUCT(K8:K38,$E8:$E38)/SUM($E8:$E38)</f>
        <v>67.341177908595625</v>
      </c>
      <c r="L39" s="802">
        <f>SUMPRODUCT(L8:L38,E8:E38)/SUM(E8:E38)</f>
        <v>0.5187562183850154</v>
      </c>
      <c r="M39" s="803">
        <f>R39*100/(E39*L39/100)</f>
        <v>90.397219242975567</v>
      </c>
      <c r="N39" s="803">
        <f>E39*L39%*M39%/P39*100</f>
        <v>26.406498338258178</v>
      </c>
      <c r="O39" s="804">
        <f>+SUM(O8:O38)</f>
        <v>103618.51052323014</v>
      </c>
      <c r="P39" s="804">
        <f>SUM(O8:O38)</f>
        <v>103618.51052323014</v>
      </c>
      <c r="Q39" s="2111">
        <f>+SUM(Q8:Q38)</f>
        <v>27362.020259444645</v>
      </c>
      <c r="R39" s="799">
        <f>+SUM(Q8:Q38)</f>
        <v>27362.020259444645</v>
      </c>
      <c r="S39" s="804">
        <f>+SUMPRODUCT(S8:S38,E8:E38)/E39</f>
        <v>192.88224256745204</v>
      </c>
      <c r="T39" s="803">
        <f>SUMPRODUCT(E8:E38,S8:S38,T8:T38)/SUMPRODUCT(E8:E38,S8:S38)</f>
        <v>89.806766154820934</v>
      </c>
      <c r="U39" s="803">
        <f>SUMPRODUCT(E8:E38,S8:S38,T8:T38,U8:U38)/SUMPRODUCT(E8:E38,S8:S38,T8:T38)</f>
        <v>89.800032742192343</v>
      </c>
      <c r="V39" s="803">
        <f>SUMPRODUCT(E8:E38,S8:S38,V8:V38)/SUMPRODUCT(E8:E38,S8:S38)</f>
        <v>80.64650541173333</v>
      </c>
      <c r="W39" s="803">
        <f>SUMPRODUCT(W8:W38,E8:E38)/SUMIF(W8:W38,"&lt;&gt;0",E8:E38)</f>
        <v>48.603537799049718</v>
      </c>
      <c r="X39" s="804">
        <f>SUM(X8:X38)</f>
        <v>2526.0767397150457</v>
      </c>
      <c r="Y39" s="804">
        <f>+SUM(X8:X38)</f>
        <v>2526.0767397150457</v>
      </c>
      <c r="Z39" s="804">
        <f>SUM(Z8:Z38)</f>
        <v>2052.9488883144236</v>
      </c>
      <c r="AA39" s="798">
        <f>SUM(AA8:AA38)</f>
        <v>907.62734806598951</v>
      </c>
      <c r="AB39" s="799">
        <f>+SUM(AA8:AA38)</f>
        <v>907.62734806598951</v>
      </c>
      <c r="AC39" s="804">
        <f>SUM(AC8:AC38)</f>
        <v>1000.4937355919261</v>
      </c>
      <c r="AD39" s="799">
        <f>+SUM(AC8:AC38)</f>
        <v>1000.4937355919261</v>
      </c>
      <c r="AE39" s="804">
        <f>+AE38</f>
        <v>278.79205718957246</v>
      </c>
      <c r="AF39" s="798">
        <f>SUM(AF8:AF38)</f>
        <v>29993.231941487949</v>
      </c>
      <c r="AG39" s="799">
        <f>+SUM(AF8:AF38)</f>
        <v>29993.231941487949</v>
      </c>
      <c r="AH39" s="798">
        <f>SUM(AH8:AH38)</f>
        <v>29208.192672369336</v>
      </c>
      <c r="AI39" s="799">
        <f>+SUM(AH8:AH38)</f>
        <v>29208.192672369336</v>
      </c>
      <c r="AJ39" s="805">
        <f>SUM(AJ8:AJ38)</f>
        <v>107188.86658645976</v>
      </c>
      <c r="AK39" s="806">
        <f>AL39/AJ39*100</f>
        <v>26.381447447203428</v>
      </c>
      <c r="AL39" s="807">
        <f>SUM(AL8:AL38)</f>
        <v>28277.974507759875</v>
      </c>
      <c r="AM39" s="805">
        <f>SUM(AM8:AM38)</f>
        <v>104321.19705560392</v>
      </c>
      <c r="AN39" s="808">
        <f>AO39/AM39*100</f>
        <v>26.311761292424869</v>
      </c>
      <c r="AO39" s="2110">
        <f>SUM(AO8:AO38)</f>
        <v>27448.744346670661</v>
      </c>
      <c r="AP39" s="539"/>
      <c r="AQ39" s="539"/>
      <c r="AR39" s="539"/>
      <c r="AU39" s="796" t="s">
        <v>330</v>
      </c>
      <c r="AV39" s="797"/>
      <c r="AW39" s="801">
        <f>SUMPRODUCT(AW8:AW38,E8:E38)/SUM(E8:E38)</f>
        <v>80.339422141886743</v>
      </c>
      <c r="AX39" s="804"/>
      <c r="AY39" s="804"/>
      <c r="AZ39" s="804"/>
      <c r="BA39" s="804">
        <f>SUMPRODUCT(BA8:BA38,E8:E38)/SUM(E8:E38)</f>
        <v>20.726944183805845</v>
      </c>
      <c r="BB39" s="799">
        <f>SUMPRODUCT(O8:O38,BB8:BB38)/SUM(O8:O38)</f>
        <v>978.90255714948728</v>
      </c>
      <c r="BC39" s="804"/>
      <c r="BD39" s="2987">
        <f>SUMPRODUCT(BD8:BD37,$E8:$E37)/SUM($E8:$E37)</f>
        <v>4.4644232416284408</v>
      </c>
      <c r="BE39" s="809">
        <f>SUMPRODUCT(BE8:BE38,$E8:$E38)/SUM($E8:$E38)</f>
        <v>37.974110352002597</v>
      </c>
      <c r="BF39" s="810">
        <f>+SUMPRODUCT(BF8:BF38,H8:H38)/SUM(H8:H38)</f>
        <v>6716.4506721652806</v>
      </c>
      <c r="BG39" s="810">
        <f>+SUMPRODUCT(BG8:BG38,I8:I38)/SUM(I8:I38)</f>
        <v>1895.7866033689991</v>
      </c>
      <c r="BH39" s="810">
        <f>+E39/(24*31*J39/100)</f>
        <v>8494.5649703748313</v>
      </c>
      <c r="BI39" s="798"/>
      <c r="BJ39" s="804"/>
      <c r="BK39" s="804"/>
      <c r="BL39" s="811">
        <f>SUM(BL8:BL38)/COUNT($AV8:$AV38)</f>
        <v>90.945118402250642</v>
      </c>
      <c r="BM39" s="812">
        <f>SUM(BM8:BM38)/COUNT($AV8:$AV38)</f>
        <v>0</v>
      </c>
      <c r="BN39" s="812">
        <f>SUM(BN8:BN38)/COUNT($AV8:$AV38)</f>
        <v>0</v>
      </c>
      <c r="BO39" s="812">
        <f>SUM(BO8:BO38)/COUNT($AV8:$AV38)</f>
        <v>0</v>
      </c>
      <c r="BP39" s="813"/>
      <c r="BQ39" s="803"/>
      <c r="BR39" s="814"/>
      <c r="BS39" s="813"/>
      <c r="BT39" s="803"/>
      <c r="BU39" s="803"/>
      <c r="BV39" s="813"/>
      <c r="BW39" s="803"/>
      <c r="BX39" s="803"/>
      <c r="BY39" s="803"/>
      <c r="BZ39" s="803"/>
      <c r="CA39" s="815"/>
      <c r="CB39" s="815"/>
      <c r="CC39" s="815"/>
      <c r="CD39" s="816"/>
      <c r="CE39" s="815"/>
      <c r="CF39" s="815"/>
      <c r="CG39" s="815"/>
      <c r="CH39" s="817"/>
      <c r="CI39" s="815"/>
      <c r="CJ39" s="816"/>
      <c r="CK39" s="815"/>
      <c r="CL39" s="815"/>
      <c r="CM39" s="816"/>
      <c r="CN39" s="817"/>
      <c r="CO39" s="815"/>
      <c r="CP39" s="816"/>
      <c r="CW39" s="3168">
        <f>IF(ISNUMBER(IF($N$3&gt;=$B39,Real!AD40,'Proy. Mes'!BD40)),IF($N$3&gt;=$B39,Real!AD40,'Proy. Mes'!BD40),0)</f>
        <v>62.153207792152699</v>
      </c>
      <c r="CX39" s="745">
        <f t="shared" si="13"/>
        <v>54897.488693341322</v>
      </c>
      <c r="DA39" s="744">
        <f>+SUM(DA8:DA38)</f>
        <v>676.63168091274508</v>
      </c>
      <c r="DB39" s="744">
        <f>+SUM(DB8:DB38)</f>
        <v>37</v>
      </c>
      <c r="DC39" s="3168">
        <f>IF(ISNUMBER(IF($N$3&gt;=$B39,Real!AJ40,'Proy. Mes'!BJ40)),IF($N$3&gt;=$B39,Real!AJ40,'Proy. Mes'!BJ40),0)</f>
        <v>1990.6212919319823</v>
      </c>
      <c r="DE39" s="4239">
        <f t="shared" si="14"/>
        <v>5834851.0407595057</v>
      </c>
      <c r="DF39" s="4239"/>
      <c r="DG39" s="4234">
        <f t="shared" si="15"/>
        <v>0.5187562183850154</v>
      </c>
      <c r="DH39" s="866"/>
      <c r="DI39" s="4240">
        <f t="shared" si="6"/>
        <v>90.397219242975567</v>
      </c>
      <c r="DK39" s="866"/>
      <c r="DL39" s="866"/>
      <c r="DM39" s="866"/>
      <c r="DN39" s="866"/>
      <c r="DO39" s="866"/>
      <c r="DP39" s="866"/>
      <c r="DQ39" s="866"/>
      <c r="DR39" s="866"/>
    </row>
    <row r="40" spans="1:122" s="744" customFormat="1" ht="13.5" customHeight="1">
      <c r="A40" s="1576" t="s">
        <v>331</v>
      </c>
      <c r="B40" s="1577"/>
      <c r="C40" s="1573">
        <f>AVERAGE(C8:C14)</f>
        <v>170017.30439999999</v>
      </c>
      <c r="D40" s="976">
        <f>SUM(C8:C14)</f>
        <v>1190121.1307999999</v>
      </c>
      <c r="E40" s="1573">
        <f>AVERAGE(E8:E14)</f>
        <v>149406.37256404333</v>
      </c>
      <c r="F40" s="1573">
        <f>AVERAGE(F8:F14)</f>
        <v>43480.893973214283</v>
      </c>
      <c r="G40" s="1556"/>
      <c r="H40" s="1574">
        <v>96.940838443664916</v>
      </c>
      <c r="I40" s="1574">
        <v>83.589106780546771</v>
      </c>
      <c r="J40" s="3100">
        <v>95.683280734104173</v>
      </c>
      <c r="K40" s="1578"/>
      <c r="L40" s="1575">
        <f>SUMPRODUCT(E8:E14,L8:L14)/SUM(E8:E14)</f>
        <v>0.51857021123261393</v>
      </c>
      <c r="M40" s="975">
        <f>R40*100/(F40*L40/100)</f>
        <v>2190.5884555918656</v>
      </c>
      <c r="N40" s="975">
        <f>M40*F40*L40/(100*P40)</f>
        <v>26.0730911165641</v>
      </c>
      <c r="O40" s="1556">
        <f>AVERAGE(O8:O14)</f>
        <v>2706.3020244655272</v>
      </c>
      <c r="P40" s="1556">
        <f>+SUM(O8:O14)</f>
        <v>18944.11417125869</v>
      </c>
      <c r="Q40" s="1556">
        <f>AVERAGE(Q8:Q14)</f>
        <v>705.61659272831605</v>
      </c>
      <c r="R40" s="976">
        <f>+SUM(Q8:Q14)</f>
        <v>4939.316149098212</v>
      </c>
      <c r="S40" s="1573">
        <f>SUMPRODUCT(E8:E14,S8:S14)/SUM(E8:E14)</f>
        <v>243.892456931461</v>
      </c>
      <c r="T40" s="1556">
        <f>+F39*M39*L39/10000</f>
        <v>6404.1984200698716</v>
      </c>
      <c r="U40" s="1556"/>
      <c r="V40" s="975">
        <f>+AD40*100000000/(F40*S40)</f>
        <v>2711.9620883383423</v>
      </c>
      <c r="W40" s="1556"/>
      <c r="X40" s="1556">
        <f>AVERAGE(X8:X14)</f>
        <v>56.152967777877542</v>
      </c>
      <c r="Y40" s="1556">
        <f>+SUM(X8:X14)</f>
        <v>393.07077444514277</v>
      </c>
      <c r="Z40" s="1556"/>
      <c r="AA40" s="1556"/>
      <c r="AB40" s="1556">
        <f>+AC39/W39*100</f>
        <v>2058.4792401912096</v>
      </c>
      <c r="AC40" s="1556">
        <f>AVERAGE(AC8:AC14)</f>
        <v>41.08491638324012</v>
      </c>
      <c r="AD40" s="976">
        <f>+SUM(AC8:AC14)</f>
        <v>287.59441468268085</v>
      </c>
      <c r="AE40" s="1556"/>
      <c r="AF40" s="1556">
        <f>AVERAGE(AF8:AF14)</f>
        <v>789.70749582160386</v>
      </c>
      <c r="AG40" s="976">
        <f>+SUM(AF8:AF14)</f>
        <v>5527.9524707512273</v>
      </c>
      <c r="AP40" s="539"/>
      <c r="AQ40" s="539"/>
      <c r="AR40" s="539"/>
      <c r="AW40" s="783"/>
      <c r="AX40" s="783"/>
      <c r="AY40" s="783"/>
      <c r="AZ40" s="783"/>
      <c r="BA40" s="783"/>
    </row>
    <row r="41" spans="1:122" s="744" customFormat="1" ht="14.15" customHeight="1">
      <c r="A41" s="820" t="s">
        <v>332</v>
      </c>
      <c r="B41" s="821"/>
      <c r="C41" s="780">
        <f>AVERAGE(C15:C21)</f>
        <v>150584.28640000001</v>
      </c>
      <c r="D41" s="782">
        <f>SUM(C15:C21)</f>
        <v>1054090.0048</v>
      </c>
      <c r="E41" s="780">
        <f>AVERAGE(E15:E21)</f>
        <v>182175.95645530155</v>
      </c>
      <c r="F41" s="780">
        <f>AVERAGE(F15:F21)</f>
        <v>47864.948102678572</v>
      </c>
      <c r="G41" s="539"/>
      <c r="H41" s="822">
        <f>+SUM(H15:H21)/COUNT(B15:B21)</f>
        <v>93.661414803766164</v>
      </c>
      <c r="I41" s="822"/>
      <c r="J41" s="2954">
        <f>SUMPRODUCT(H39:I39,H4:I4)</f>
        <v>102.21611205554329</v>
      </c>
      <c r="K41" s="822"/>
      <c r="L41" s="818">
        <f>SUMPRODUCT(E15:E21,L15:L21)/SUM(E15:E21)</f>
        <v>0.47244932815069618</v>
      </c>
      <c r="M41" s="819">
        <f>R41*100/(F41*L41/100)</f>
        <v>2408.5602868637525</v>
      </c>
      <c r="N41" s="819">
        <f>M41*F41*L41/(100*P41)</f>
        <v>25.40159187815296</v>
      </c>
      <c r="O41" s="539">
        <f>AVERAGE(O15:O21)</f>
        <v>3063.1719422124338</v>
      </c>
      <c r="P41" s="539">
        <f>+SUM(O15:O21)</f>
        <v>21442.203595487037</v>
      </c>
      <c r="Q41" s="539">
        <f>AVERAGE(Q15:Q21)</f>
        <v>778.09443528689394</v>
      </c>
      <c r="R41" s="782">
        <f>+SUM(Q15:Q21)</f>
        <v>5446.6610470082578</v>
      </c>
      <c r="S41" s="780">
        <f>SUMPRODUCT(E15:E21,S15:S21)/SUM(E15:E21)</f>
        <v>192.16184379529545</v>
      </c>
      <c r="T41" s="539"/>
      <c r="U41" s="539"/>
      <c r="V41" s="819">
        <f>+AD41*100000000/(F41*S41)</f>
        <v>2511.0149654657735</v>
      </c>
      <c r="W41" s="539"/>
      <c r="X41" s="539">
        <f>AVERAGE(X15:X21)</f>
        <v>59.536619400340271</v>
      </c>
      <c r="Y41" s="539">
        <f>+SUM(X15:X21)</f>
        <v>416.7563358023819</v>
      </c>
      <c r="Z41" s="539"/>
      <c r="AA41" s="539"/>
      <c r="AB41" s="539"/>
      <c r="AC41" s="539">
        <f>AVERAGE(AC15:AC21)</f>
        <v>32.994079049341686</v>
      </c>
      <c r="AD41" s="782">
        <f>+SUM(AC15:AC21)</f>
        <v>230.95855334539181</v>
      </c>
      <c r="AE41" s="539"/>
      <c r="AF41" s="539">
        <f>AVERAGE(AF15:AF21)</f>
        <v>862.77195053460684</v>
      </c>
      <c r="AG41" s="782">
        <f>+SUM(AF15:AF21)</f>
        <v>6039.403653742248</v>
      </c>
      <c r="AN41" s="744">
        <f>+AO39*0.966</f>
        <v>26515.487038883857</v>
      </c>
      <c r="AO41" s="783"/>
      <c r="AP41" s="783">
        <f>+AO39*0.9644</f>
        <v>26471.569047929188</v>
      </c>
      <c r="AQ41" s="783"/>
      <c r="AR41" s="783"/>
      <c r="AW41" s="783"/>
      <c r="AX41" s="783"/>
      <c r="AY41" s="783"/>
      <c r="AZ41" s="783"/>
      <c r="BA41" s="783"/>
      <c r="BI41" s="810" t="e">
        <f>+H41/(24*(COUNT(F11:F40)-BK7)*K41/100)</f>
        <v>#DIV/0!</v>
      </c>
      <c r="BJ41" s="744">
        <v>7463.0395598980413</v>
      </c>
      <c r="DH41" s="750">
        <f>+L39</f>
        <v>0.5187562183850154</v>
      </c>
      <c r="DJ41" s="750">
        <f>+M39</f>
        <v>90.397219242975567</v>
      </c>
    </row>
    <row r="42" spans="1:122" s="744" customFormat="1" ht="14.15" customHeight="1">
      <c r="A42" s="820" t="s">
        <v>333</v>
      </c>
      <c r="B42" s="821"/>
      <c r="C42" s="780">
        <f>AVERAGE(C22:C28)</f>
        <v>213946.15819026469</v>
      </c>
      <c r="D42" s="782">
        <f>SUM(C22:C28)</f>
        <v>1497623.1073318529</v>
      </c>
      <c r="E42" s="780">
        <f>AVERAGE(E22:E28)</f>
        <v>198660.49229990784</v>
      </c>
      <c r="F42" s="780">
        <f>AVERAGE(F22:F28)</f>
        <v>44718.31829568668</v>
      </c>
      <c r="G42" s="539"/>
      <c r="H42" s="822">
        <f>+SUM(H22:H28)/COUNT(B22:B28)</f>
        <v>97.757723820582513</v>
      </c>
      <c r="I42" s="822"/>
      <c r="J42" s="2954">
        <f>4*24</f>
        <v>96</v>
      </c>
      <c r="K42" s="2955">
        <f>+J39-J40</f>
        <v>-3.3590504903876592</v>
      </c>
      <c r="L42" s="818">
        <f>SUMPRODUCT(E22:E28,L22:L28)/SUM(E22:E28)</f>
        <v>0.51378218603251813</v>
      </c>
      <c r="M42" s="819">
        <f>R42*100/(F42*L42/100)</f>
        <v>2809.6310758421751</v>
      </c>
      <c r="N42" s="819">
        <f>M42*F42*L42/(100*P42)</f>
        <v>26.892511153580241</v>
      </c>
      <c r="O42" s="539">
        <f>AVERAGE(O22:O28)</f>
        <v>3429.1335978148236</v>
      </c>
      <c r="P42" s="539">
        <f>+SUM(O22:O28)</f>
        <v>24003.935184703765</v>
      </c>
      <c r="Q42" s="539">
        <f>AVERAGE(Q22:Q28)</f>
        <v>922.18013526351876</v>
      </c>
      <c r="R42" s="782">
        <f>+SUM(Q22:Q28)</f>
        <v>6455.2609468446317</v>
      </c>
      <c r="S42" s="780">
        <f>SUMPRODUCT(E22:E28,S22:S28)/SUM(E22:E28)</f>
        <v>179.77949810004074</v>
      </c>
      <c r="T42" s="539"/>
      <c r="U42" s="539"/>
      <c r="V42" s="819">
        <f>+AD42*100000000/(F42*S42)</f>
        <v>2698.4572731398844</v>
      </c>
      <c r="W42" s="539"/>
      <c r="X42" s="539">
        <f>AVERAGE(X22:X28)</f>
        <v>158.99690851865356</v>
      </c>
      <c r="Y42" s="539">
        <f>+SUM(X22:X28)</f>
        <v>1112.9783596305749</v>
      </c>
      <c r="Z42" s="539"/>
      <c r="AA42" s="539"/>
      <c r="AB42" s="539"/>
      <c r="AC42" s="539">
        <f>AVERAGE(AC22:AC28)</f>
        <v>30.991538223407638</v>
      </c>
      <c r="AD42" s="782">
        <f>+SUM(AC22:AC28)</f>
        <v>216.94076756385346</v>
      </c>
      <c r="AE42" s="539"/>
      <c r="AF42" s="539">
        <f>AVERAGE(AF22:AF28)</f>
        <v>1004.3788564103254</v>
      </c>
      <c r="AG42" s="782">
        <f>+SUM(AF22:AF28)</f>
        <v>7030.651994872278</v>
      </c>
      <c r="AO42" s="783"/>
      <c r="AP42" s="783"/>
      <c r="AQ42" s="783"/>
      <c r="AR42" s="783"/>
      <c r="AW42" s="783"/>
      <c r="AX42" s="783"/>
      <c r="AY42" s="783"/>
      <c r="AZ42" s="783"/>
      <c r="BA42" s="783"/>
    </row>
    <row r="43" spans="1:122" s="744" customFormat="1" ht="14.15" customHeight="1">
      <c r="A43" s="823" t="s">
        <v>334</v>
      </c>
      <c r="B43" s="824"/>
      <c r="C43" s="787">
        <f>AVERAGE(C29:C38)</f>
        <v>228580.56764001711</v>
      </c>
      <c r="D43" s="789">
        <f>SUM(C29:C38)</f>
        <v>2285805.6764001711</v>
      </c>
      <c r="E43" s="787">
        <f>AVERAGE(E29:E38)</f>
        <v>212315.12915247362</v>
      </c>
      <c r="F43" s="787">
        <f>AVERAGE(F29:F38)</f>
        <v>41322.283664240575</v>
      </c>
      <c r="G43" s="788"/>
      <c r="H43" s="825">
        <f>+SUM(H29:H38)/COUNT(B29:B38)</f>
        <v>97.277470304857871</v>
      </c>
      <c r="I43" s="825"/>
      <c r="J43" s="825"/>
      <c r="K43" s="825"/>
      <c r="L43" s="826">
        <f>SUMPRODUCT(E29:E38,L29:L38)/SUM(E29:E38)</f>
        <v>0.54991911995726173</v>
      </c>
      <c r="M43" s="827">
        <f>R43*100/(F43*L43/100)</f>
        <v>4629.8283728534889</v>
      </c>
      <c r="N43" s="827">
        <f>M43*F43*L43/(100*P43)</f>
        <v>26.81939695445919</v>
      </c>
      <c r="O43" s="788">
        <f>AVERAGE(O29:O38)</f>
        <v>3922.8257571780646</v>
      </c>
      <c r="P43" s="788">
        <f>+SUM(O29:O38)</f>
        <v>39228.257571780647</v>
      </c>
      <c r="Q43" s="788">
        <f>AVERAGE(Q29:Q38)</f>
        <v>1052.0782116493542</v>
      </c>
      <c r="R43" s="789">
        <f>+SUM(Q29:Q38)</f>
        <v>10520.782116493543</v>
      </c>
      <c r="S43" s="787">
        <f>SUMPRODUCT(E29:E38,S29:S38)/SUM(E29:E38)</f>
        <v>176.76982572396855</v>
      </c>
      <c r="T43" s="788"/>
      <c r="U43" s="788"/>
      <c r="V43" s="827">
        <f>+AD43*100000000/(F43*S43)</f>
        <v>3627.8842779758229</v>
      </c>
      <c r="W43" s="788"/>
      <c r="X43" s="788">
        <f>AVERAGE(X29:X38)</f>
        <v>60.32712698369464</v>
      </c>
      <c r="Y43" s="788">
        <f>+SUM(X29:X38)</f>
        <v>603.27126983694643</v>
      </c>
      <c r="Z43" s="788"/>
      <c r="AA43" s="788"/>
      <c r="AB43" s="788"/>
      <c r="AC43" s="788">
        <f>AVERAGE(AC29:AC38)</f>
        <v>26.5</v>
      </c>
      <c r="AD43" s="789">
        <f>+SUM(AC29:AC38)</f>
        <v>265</v>
      </c>
      <c r="AE43" s="788"/>
      <c r="AF43" s="788">
        <f>AVERAGE(AF29:AF38)</f>
        <v>1139.5223822122196</v>
      </c>
      <c r="AG43" s="789">
        <f>+SUM(AF29:AF38)</f>
        <v>11395.223822122196</v>
      </c>
      <c r="AP43" s="783"/>
      <c r="AQ43" s="783"/>
      <c r="AR43" s="783"/>
      <c r="AW43" s="783"/>
      <c r="AX43" s="783"/>
      <c r="AY43" s="783"/>
      <c r="AZ43" s="783"/>
      <c r="BA43" s="783"/>
    </row>
    <row r="44" spans="1:122" s="744" customFormat="1" ht="14.15" customHeight="1" thickBot="1">
      <c r="C44" s="539"/>
      <c r="D44" s="539"/>
      <c r="E44" s="539"/>
      <c r="F44" s="539"/>
      <c r="G44" s="539">
        <f>72*SUM(H8:H37)/100</f>
        <v>1959.2935901585265</v>
      </c>
      <c r="H44" s="539"/>
      <c r="I44" s="539"/>
      <c r="J44" s="977">
        <f>+'ST Original'!CB39</f>
        <v>92.650688634835248</v>
      </c>
      <c r="K44" s="977"/>
      <c r="L44" s="977"/>
      <c r="M44" s="539"/>
      <c r="N44" s="539"/>
      <c r="O44" s="539"/>
      <c r="P44" s="539"/>
      <c r="Q44" s="539"/>
      <c r="R44" s="539"/>
      <c r="S44" s="539"/>
      <c r="T44" s="539"/>
      <c r="U44" s="539"/>
      <c r="V44" s="539"/>
      <c r="W44" s="539"/>
      <c r="X44" s="539"/>
      <c r="Y44" s="539"/>
      <c r="Z44" s="539"/>
      <c r="AA44" s="539"/>
      <c r="AB44" s="539"/>
      <c r="AC44" s="539"/>
      <c r="AD44" s="539"/>
      <c r="AE44" s="539"/>
      <c r="AF44" s="539"/>
      <c r="AG44" s="539"/>
      <c r="AP44" s="783"/>
      <c r="AQ44" s="783"/>
      <c r="AR44" s="783"/>
      <c r="AW44" s="783"/>
      <c r="AX44" s="783"/>
      <c r="AY44" s="783"/>
      <c r="AZ44" s="783"/>
      <c r="BA44" s="783"/>
      <c r="BB44" s="783"/>
      <c r="BC44" s="783"/>
      <c r="BD44" s="783"/>
      <c r="BN44" s="783"/>
      <c r="BO44" s="783"/>
      <c r="BP44" s="783"/>
      <c r="BQ44" s="783"/>
      <c r="BR44" s="783"/>
      <c r="BS44" s="783"/>
      <c r="BT44" s="783"/>
      <c r="BU44" s="783"/>
      <c r="BV44" s="783"/>
      <c r="BW44" s="783"/>
      <c r="BX44" s="783"/>
      <c r="BY44" s="783"/>
      <c r="BZ44" s="783"/>
      <c r="CA44" s="783"/>
      <c r="CB44" s="783"/>
      <c r="CC44" s="783"/>
      <c r="CD44" s="783"/>
      <c r="CE44" s="783"/>
      <c r="CF44" s="783"/>
      <c r="CG44" s="783"/>
      <c r="CH44" s="783"/>
      <c r="CI44" s="783"/>
      <c r="CJ44" s="783"/>
      <c r="CK44" s="783"/>
      <c r="CL44" s="783"/>
      <c r="CM44" s="783"/>
      <c r="CN44" s="783"/>
      <c r="CO44" s="783"/>
      <c r="CP44" s="783"/>
    </row>
    <row r="45" spans="1:122" s="744" customFormat="1" ht="14.15" customHeight="1">
      <c r="A45" s="4690" t="s">
        <v>288</v>
      </c>
      <c r="B45" s="4691"/>
      <c r="C45" s="828"/>
      <c r="D45" s="829"/>
      <c r="E45" s="828" t="e">
        <f>'ST Original'!#REF!</f>
        <v>#REF!</v>
      </c>
      <c r="F45" s="828" t="e">
        <f>'ST Original'!#REF!</f>
        <v>#REF!</v>
      </c>
      <c r="G45" s="828"/>
      <c r="H45" s="830" t="e">
        <f>'ST Original'!#REF!</f>
        <v>#REF!</v>
      </c>
      <c r="I45" s="830"/>
      <c r="J45" s="830"/>
      <c r="K45" s="830"/>
      <c r="L45" s="831" t="e">
        <f>'ST Original'!#REF!</f>
        <v>#REF!</v>
      </c>
      <c r="M45" s="832" t="e">
        <f>'ST Original'!#REF!</f>
        <v>#REF!</v>
      </c>
      <c r="N45" s="832" t="e">
        <f>'ST Original'!#REF!</f>
        <v>#REF!</v>
      </c>
      <c r="O45" s="829"/>
      <c r="P45" s="829" t="e">
        <f>'ST Original'!#REF!</f>
        <v>#REF!</v>
      </c>
      <c r="Q45" s="829"/>
      <c r="R45" s="829" t="e">
        <f>'ST Original'!#REF!</f>
        <v>#REF!</v>
      </c>
      <c r="S45" s="828" t="e">
        <f>'ST Original'!#REF!</f>
        <v>#REF!</v>
      </c>
      <c r="T45" s="829"/>
      <c r="U45" s="829"/>
      <c r="V45" s="832" t="e">
        <f>'ST Original'!#REF!</f>
        <v>#REF!</v>
      </c>
      <c r="W45" s="829" t="e">
        <f>'ST Original'!#REF!</f>
        <v>#REF!</v>
      </c>
      <c r="X45" s="829"/>
      <c r="Y45" s="829" t="e">
        <f>'ST Original'!#REF!</f>
        <v>#REF!</v>
      </c>
      <c r="Z45" s="829"/>
      <c r="AA45" s="829"/>
      <c r="AB45" s="829"/>
      <c r="AC45" s="829"/>
      <c r="AD45" s="829" t="e">
        <f>'ST Original'!#REF!</f>
        <v>#REF!</v>
      </c>
      <c r="AE45" s="829"/>
      <c r="AF45" s="833"/>
      <c r="AG45" s="834" t="e">
        <f>+R45*$CT$8+AD45*$CT$7*$CT$9</f>
        <v>#REF!</v>
      </c>
      <c r="AH45" s="835"/>
      <c r="AI45" s="835"/>
      <c r="AJ45" s="835"/>
      <c r="AK45" s="835"/>
      <c r="AL45" s="835"/>
      <c r="AM45" s="835"/>
      <c r="AN45" s="835"/>
      <c r="AO45" s="835"/>
      <c r="AP45" s="836"/>
      <c r="AQ45" s="836"/>
      <c r="AR45" s="836"/>
      <c r="AS45" s="835"/>
      <c r="AT45" s="835"/>
      <c r="AU45" s="838"/>
      <c r="AV45" s="838"/>
      <c r="AW45" s="836"/>
      <c r="AX45" s="836"/>
      <c r="AY45" s="836"/>
      <c r="AZ45" s="836"/>
      <c r="BA45" s="837" t="e">
        <f>'ST Original'!#REF!</f>
        <v>#REF!</v>
      </c>
      <c r="BB45" s="839" t="e">
        <f>'ST Original'!#REF!</f>
        <v>#REF!</v>
      </c>
      <c r="BC45" s="840"/>
      <c r="BD45" s="836"/>
      <c r="BE45" s="836"/>
      <c r="BF45" s="836"/>
      <c r="BG45" s="836"/>
      <c r="BH45" s="836"/>
      <c r="BI45" s="836"/>
      <c r="BJ45" s="836"/>
      <c r="BK45" s="836"/>
      <c r="BL45" s="836"/>
      <c r="BM45" s="836"/>
      <c r="BN45" s="836"/>
      <c r="BO45" s="836"/>
      <c r="BP45" s="836"/>
      <c r="BQ45" s="836"/>
      <c r="BR45" s="836"/>
      <c r="BS45" s="836"/>
      <c r="BT45" s="836"/>
      <c r="BU45" s="836"/>
      <c r="BV45" s="836"/>
      <c r="BW45" s="836"/>
      <c r="BX45" s="836"/>
      <c r="BY45" s="836"/>
      <c r="BZ45" s="836"/>
      <c r="CA45" s="836"/>
      <c r="CB45" s="836"/>
      <c r="CC45" s="836"/>
      <c r="CD45" s="836"/>
      <c r="CE45" s="836"/>
      <c r="CF45" s="836"/>
      <c r="CG45" s="836"/>
      <c r="CH45" s="836"/>
      <c r="CI45" s="836"/>
      <c r="CJ45" s="836"/>
      <c r="CK45" s="836"/>
      <c r="CL45" s="836"/>
      <c r="CM45" s="836"/>
      <c r="CN45" s="836"/>
      <c r="CO45" s="836"/>
      <c r="CP45" s="836"/>
      <c r="CQ45" s="835"/>
      <c r="CR45" s="835"/>
      <c r="CS45" s="835"/>
      <c r="CT45" s="835"/>
      <c r="CU45" s="835"/>
      <c r="CV45" s="835"/>
      <c r="CW45" s="835"/>
      <c r="CX45" s="835"/>
      <c r="CY45" s="835"/>
      <c r="CZ45" s="835"/>
      <c r="DA45" s="835"/>
      <c r="DB45" s="835"/>
      <c r="DC45" s="835"/>
    </row>
    <row r="46" spans="1:122" s="744" customFormat="1" ht="14.15" customHeight="1">
      <c r="A46" s="4692" t="s">
        <v>446</v>
      </c>
      <c r="B46" s="4686"/>
      <c r="C46" s="780"/>
      <c r="D46" s="539"/>
      <c r="E46" s="780" t="e">
        <f>'ST Original'!#REF!</f>
        <v>#REF!</v>
      </c>
      <c r="F46" s="780" t="e">
        <f>'ST Original'!#REF!</f>
        <v>#REF!</v>
      </c>
      <c r="G46" s="780"/>
      <c r="H46" s="822" t="e">
        <f>'ST Original'!#REF!</f>
        <v>#REF!</v>
      </c>
      <c r="I46" s="822"/>
      <c r="J46" s="822"/>
      <c r="K46" s="822"/>
      <c r="L46" s="818" t="e">
        <f>'ST Original'!#REF!</f>
        <v>#REF!</v>
      </c>
      <c r="M46" s="819" t="e">
        <f>'ST Original'!#REF!</f>
        <v>#REF!</v>
      </c>
      <c r="N46" s="819" t="e">
        <f>'ST Original'!#REF!</f>
        <v>#REF!</v>
      </c>
      <c r="O46" s="539"/>
      <c r="P46" s="539" t="e">
        <f>'ST Original'!#REF!</f>
        <v>#REF!</v>
      </c>
      <c r="Q46" s="539"/>
      <c r="R46" s="539" t="e">
        <f>'ST Original'!#REF!</f>
        <v>#REF!</v>
      </c>
      <c r="S46" s="780" t="e">
        <f>'ST Original'!#REF!</f>
        <v>#REF!</v>
      </c>
      <c r="T46" s="539"/>
      <c r="U46" s="539"/>
      <c r="V46" s="819" t="e">
        <f>'ST Original'!#REF!</f>
        <v>#REF!</v>
      </c>
      <c r="W46" s="539" t="e">
        <f>'ST Original'!#REF!</f>
        <v>#REF!</v>
      </c>
      <c r="X46" s="539"/>
      <c r="Y46" s="539" t="e">
        <f>'ST Original'!#REF!</f>
        <v>#REF!</v>
      </c>
      <c r="Z46" s="539"/>
      <c r="AA46" s="539"/>
      <c r="AB46" s="539"/>
      <c r="AC46" s="539"/>
      <c r="AD46" s="539" t="e">
        <f>'ST Original'!#REF!</f>
        <v>#REF!</v>
      </c>
      <c r="AE46" s="539"/>
      <c r="AF46" s="786"/>
      <c r="AG46" s="782" t="e">
        <f>+R46*$CU$8+AD46*$CU$7*$CU$9</f>
        <v>#REF!</v>
      </c>
      <c r="AP46" s="783"/>
      <c r="AQ46" s="783"/>
      <c r="AR46" s="783"/>
      <c r="AU46" s="841"/>
      <c r="AV46" s="841"/>
      <c r="AW46" s="783"/>
      <c r="AX46" s="783"/>
      <c r="AY46" s="783"/>
      <c r="AZ46" s="783"/>
      <c r="BA46" s="784" t="e">
        <f>'ST Original'!#REF!</f>
        <v>#REF!</v>
      </c>
      <c r="BB46" s="842" t="e">
        <f>'ST Original'!#REF!</f>
        <v>#REF!</v>
      </c>
      <c r="BC46" s="843"/>
      <c r="BD46" s="783"/>
      <c r="BE46" s="783"/>
      <c r="BF46" s="783"/>
      <c r="BG46" s="783"/>
      <c r="BH46" s="783"/>
      <c r="BI46" s="783"/>
      <c r="BJ46" s="783"/>
      <c r="BK46" s="783"/>
      <c r="BL46" s="783"/>
      <c r="BM46" s="783"/>
      <c r="BN46" s="783"/>
      <c r="BO46" s="783"/>
      <c r="BP46" s="783"/>
      <c r="BQ46" s="783"/>
      <c r="BR46" s="783"/>
      <c r="BS46" s="783"/>
      <c r="BT46" s="783"/>
      <c r="BU46" s="783"/>
      <c r="BV46" s="783"/>
      <c r="BW46" s="783"/>
      <c r="BX46" s="783"/>
      <c r="BY46" s="783"/>
      <c r="BZ46" s="783"/>
      <c r="CA46" s="783"/>
      <c r="CB46" s="783"/>
      <c r="CC46" s="783"/>
      <c r="CD46" s="783"/>
      <c r="CE46" s="783"/>
      <c r="CF46" s="783"/>
      <c r="CG46" s="783"/>
      <c r="CH46" s="783"/>
      <c r="CI46" s="783"/>
      <c r="CJ46" s="783"/>
      <c r="CK46" s="783"/>
      <c r="CL46" s="783"/>
      <c r="CM46" s="783"/>
      <c r="CN46" s="783"/>
      <c r="CO46" s="783"/>
      <c r="CP46" s="783"/>
    </row>
    <row r="47" spans="1:122" s="857" customFormat="1" ht="14.15" customHeight="1" thickBot="1">
      <c r="A47" s="4693" t="s">
        <v>875</v>
      </c>
      <c r="B47" s="4694"/>
      <c r="C47" s="844">
        <f>C39</f>
        <v>194439.99739780714</v>
      </c>
      <c r="D47" s="845">
        <f>D39/1000</f>
        <v>6027.6399193320212</v>
      </c>
      <c r="E47" s="844">
        <f>+E39/1000</f>
        <v>5834.8510407595058</v>
      </c>
      <c r="F47" s="844">
        <f>+F39/1000</f>
        <v>1365.6719592434624</v>
      </c>
      <c r="G47" s="844"/>
      <c r="H47" s="846">
        <f>+H39</f>
        <v>100.68923823106321</v>
      </c>
      <c r="I47" s="846"/>
      <c r="J47" s="3010">
        <f>+J39</f>
        <v>92.324230243716514</v>
      </c>
      <c r="K47" s="846"/>
      <c r="L47" s="847">
        <f>+L39</f>
        <v>0.5187562183850154</v>
      </c>
      <c r="M47" s="848">
        <f>+M39</f>
        <v>90.397219242975567</v>
      </c>
      <c r="N47" s="848">
        <f>+N39</f>
        <v>26.406498338258178</v>
      </c>
      <c r="O47" s="845"/>
      <c r="P47" s="845">
        <f>+P39</f>
        <v>103618.51052323014</v>
      </c>
      <c r="Q47" s="845"/>
      <c r="R47" s="845">
        <f>+R39</f>
        <v>27362.020259444645</v>
      </c>
      <c r="S47" s="844">
        <f>+S39</f>
        <v>192.88224256745204</v>
      </c>
      <c r="T47" s="848">
        <f>T39</f>
        <v>89.806766154820934</v>
      </c>
      <c r="U47" s="848">
        <f>U39</f>
        <v>89.800032742192343</v>
      </c>
      <c r="V47" s="848">
        <f>+V39</f>
        <v>80.64650541173333</v>
      </c>
      <c r="W47" s="848">
        <f>W39</f>
        <v>48.603537799049718</v>
      </c>
      <c r="X47" s="845"/>
      <c r="Y47" s="845">
        <f>+Y39</f>
        <v>2526.0767397150457</v>
      </c>
      <c r="Z47" s="845"/>
      <c r="AA47" s="845"/>
      <c r="AB47" s="845">
        <f>+AB39</f>
        <v>907.62734806598951</v>
      </c>
      <c r="AC47" s="845"/>
      <c r="AD47" s="845">
        <f>+AD39</f>
        <v>1000.4937355919261</v>
      </c>
      <c r="AE47" s="845"/>
      <c r="AF47" s="849"/>
      <c r="AG47" s="850">
        <f>+R47*$CU$8+AD47*$CU$7*$CU$9</f>
        <v>29208.192672369336</v>
      </c>
      <c r="AH47" s="851"/>
      <c r="AI47" s="851"/>
      <c r="AJ47" s="851"/>
      <c r="AK47" s="851"/>
      <c r="AL47" s="851"/>
      <c r="AM47" s="851"/>
      <c r="AN47" s="851"/>
      <c r="AO47" s="851"/>
      <c r="AP47" s="852"/>
      <c r="AQ47" s="852"/>
      <c r="AR47" s="852"/>
      <c r="AS47" s="851"/>
      <c r="AT47" s="851"/>
      <c r="AU47" s="853"/>
      <c r="AV47" s="853"/>
      <c r="AW47" s="852"/>
      <c r="AX47" s="852"/>
      <c r="AY47" s="852"/>
      <c r="AZ47" s="852"/>
      <c r="BA47" s="854">
        <f>BA39</f>
        <v>20.726944183805845</v>
      </c>
      <c r="BB47" s="855">
        <f>BB39</f>
        <v>978.90255714948728</v>
      </c>
      <c r="BC47" s="856"/>
      <c r="BD47" s="852"/>
      <c r="BE47" s="852"/>
      <c r="BF47" s="852"/>
      <c r="BG47" s="852"/>
      <c r="BH47" s="852"/>
      <c r="BI47" s="852"/>
      <c r="BJ47" s="852"/>
      <c r="BK47" s="852"/>
      <c r="BL47" s="852"/>
      <c r="BM47" s="852"/>
      <c r="BN47" s="852"/>
      <c r="BO47" s="852"/>
      <c r="BP47" s="852"/>
      <c r="BQ47" s="852"/>
      <c r="BR47" s="852"/>
      <c r="BS47" s="852"/>
      <c r="BT47" s="852"/>
      <c r="BU47" s="852"/>
      <c r="BV47" s="852"/>
      <c r="BW47" s="852"/>
      <c r="BX47" s="852"/>
      <c r="BY47" s="852"/>
      <c r="BZ47" s="852"/>
      <c r="CA47" s="852"/>
      <c r="CB47" s="852"/>
      <c r="CC47" s="852"/>
      <c r="CD47" s="852"/>
      <c r="CE47" s="852"/>
      <c r="CF47" s="852"/>
      <c r="CG47" s="852"/>
      <c r="CH47" s="852"/>
      <c r="CI47" s="852"/>
      <c r="CJ47" s="852"/>
      <c r="CK47" s="852"/>
      <c r="CL47" s="852"/>
      <c r="CM47" s="852"/>
      <c r="CN47" s="852"/>
      <c r="CO47" s="852"/>
      <c r="CP47" s="852"/>
      <c r="CQ47" s="851"/>
      <c r="CR47" s="851"/>
      <c r="CS47" s="851"/>
      <c r="CT47" s="851"/>
      <c r="CU47" s="851"/>
      <c r="CV47" s="851"/>
      <c r="CW47" s="851"/>
      <c r="CX47" s="851"/>
      <c r="CY47" s="851"/>
      <c r="CZ47" s="851"/>
      <c r="DA47" s="851"/>
      <c r="DB47" s="851"/>
      <c r="DC47" s="851"/>
    </row>
    <row r="48" spans="1:122" s="744" customFormat="1" ht="14.15" customHeight="1">
      <c r="C48" s="539"/>
      <c r="D48" s="539"/>
      <c r="E48" s="539"/>
      <c r="F48" s="539"/>
      <c r="G48" s="539"/>
      <c r="H48" s="539"/>
      <c r="I48" s="539"/>
      <c r="J48" s="539"/>
      <c r="K48" s="539"/>
      <c r="L48" s="539"/>
      <c r="M48" s="819"/>
      <c r="N48" s="819"/>
      <c r="O48" s="539"/>
      <c r="P48" s="539"/>
      <c r="Q48" s="539"/>
      <c r="R48" s="539"/>
      <c r="S48" s="539"/>
      <c r="T48" s="539"/>
      <c r="U48" s="539"/>
      <c r="V48" s="539"/>
      <c r="W48" s="539"/>
      <c r="X48" s="539"/>
      <c r="Y48" s="539"/>
      <c r="Z48" s="539"/>
      <c r="AA48" s="539"/>
      <c r="AB48" s="539"/>
      <c r="AC48" s="539"/>
      <c r="AD48" s="539"/>
      <c r="AE48" s="539"/>
      <c r="AF48" s="539"/>
      <c r="AG48" s="539"/>
      <c r="AP48" s="783"/>
      <c r="AQ48" s="783"/>
      <c r="AR48" s="783"/>
    </row>
    <row r="49" spans="1:44" s="744" customFormat="1" ht="14.15" customHeight="1">
      <c r="A49" s="4685" t="s">
        <v>876</v>
      </c>
      <c r="B49" s="4686"/>
      <c r="C49" s="1573"/>
      <c r="D49" s="1556"/>
      <c r="E49" s="1573" t="e">
        <f t="shared" ref="E49:N49" si="52">+E47-E46</f>
        <v>#REF!</v>
      </c>
      <c r="F49" s="1573" t="e">
        <f t="shared" si="52"/>
        <v>#REF!</v>
      </c>
      <c r="G49" s="1573"/>
      <c r="H49" s="1573" t="e">
        <f t="shared" si="52"/>
        <v>#REF!</v>
      </c>
      <c r="I49" s="1573"/>
      <c r="J49" s="1573"/>
      <c r="K49" s="1573"/>
      <c r="L49" s="1573" t="e">
        <f t="shared" si="52"/>
        <v>#REF!</v>
      </c>
      <c r="M49" s="1556" t="e">
        <f t="shared" si="52"/>
        <v>#REF!</v>
      </c>
      <c r="N49" s="1556" t="e">
        <f t="shared" si="52"/>
        <v>#REF!</v>
      </c>
      <c r="O49" s="1556"/>
      <c r="P49" s="1556" t="e">
        <f>+P47-P46</f>
        <v>#REF!</v>
      </c>
      <c r="Q49" s="1556"/>
      <c r="R49" s="1556" t="e">
        <f>+R47-R46</f>
        <v>#REF!</v>
      </c>
      <c r="S49" s="1573" t="e">
        <f>+S47-S46</f>
        <v>#REF!</v>
      </c>
      <c r="T49" s="1556"/>
      <c r="U49" s="1556"/>
      <c r="V49" s="1556" t="e">
        <f>+V47-V46</f>
        <v>#REF!</v>
      </c>
      <c r="W49" s="1556"/>
      <c r="X49" s="1556"/>
      <c r="Y49" s="1556" t="e">
        <f>+Y47-Y46</f>
        <v>#REF!</v>
      </c>
      <c r="Z49" s="1556"/>
      <c r="AA49" s="1556"/>
      <c r="AB49" s="1556"/>
      <c r="AC49" s="1556"/>
      <c r="AD49" s="1556" t="e">
        <f>+AD47-AD46</f>
        <v>#REF!</v>
      </c>
      <c r="AE49" s="1556"/>
      <c r="AF49" s="1556" t="e">
        <f>+AG47-AG46</f>
        <v>#REF!</v>
      </c>
      <c r="AG49" s="976"/>
      <c r="AP49" s="783"/>
      <c r="AQ49" s="783"/>
      <c r="AR49" s="783"/>
    </row>
    <row r="50" spans="1:44" s="744" customFormat="1" ht="14.15" customHeight="1">
      <c r="A50" s="4685" t="s">
        <v>877</v>
      </c>
      <c r="B50" s="4686"/>
      <c r="C50" s="780"/>
      <c r="D50" s="539"/>
      <c r="E50" s="858" t="e">
        <f t="shared" ref="E50:N50" si="53">+E49/E45</f>
        <v>#REF!</v>
      </c>
      <c r="F50" s="858" t="e">
        <f t="shared" si="53"/>
        <v>#REF!</v>
      </c>
      <c r="G50" s="858"/>
      <c r="H50" s="858" t="e">
        <f t="shared" si="53"/>
        <v>#REF!</v>
      </c>
      <c r="I50" s="858"/>
      <c r="J50" s="858"/>
      <c r="K50" s="858"/>
      <c r="L50" s="858" t="e">
        <f t="shared" si="53"/>
        <v>#REF!</v>
      </c>
      <c r="M50" s="859" t="e">
        <f t="shared" si="53"/>
        <v>#REF!</v>
      </c>
      <c r="N50" s="859" t="e">
        <f t="shared" si="53"/>
        <v>#REF!</v>
      </c>
      <c r="O50" s="859"/>
      <c r="P50" s="859" t="e">
        <f>+P49/P45</f>
        <v>#REF!</v>
      </c>
      <c r="Q50" s="859"/>
      <c r="R50" s="859" t="e">
        <f>+R49/R45</f>
        <v>#REF!</v>
      </c>
      <c r="S50" s="858" t="e">
        <f>+S49/S45</f>
        <v>#REF!</v>
      </c>
      <c r="T50" s="539"/>
      <c r="U50" s="539"/>
      <c r="V50" s="859" t="e">
        <f>+V49/V45</f>
        <v>#REF!</v>
      </c>
      <c r="W50" s="539"/>
      <c r="X50" s="859"/>
      <c r="Y50" s="859" t="e">
        <f>+Y49/Y45</f>
        <v>#REF!</v>
      </c>
      <c r="Z50" s="859"/>
      <c r="AA50" s="859"/>
      <c r="AB50" s="859"/>
      <c r="AC50" s="859"/>
      <c r="AD50" s="859" t="e">
        <f>+AD49/AD45</f>
        <v>#REF!</v>
      </c>
      <c r="AE50" s="859"/>
      <c r="AF50" s="859" t="e">
        <f>+AF49/AG45</f>
        <v>#REF!</v>
      </c>
      <c r="AG50" s="782"/>
      <c r="AP50" s="783"/>
      <c r="AQ50" s="783"/>
      <c r="AR50" s="783"/>
    </row>
    <row r="51" spans="1:44" s="744" customFormat="1" ht="14.15" customHeight="1">
      <c r="A51" s="4685" t="s">
        <v>878</v>
      </c>
      <c r="B51" s="4686"/>
      <c r="C51" s="741"/>
      <c r="D51" s="860"/>
      <c r="E51" s="861" t="e">
        <f t="shared" ref="E51:N51" si="54">+E47/E46</f>
        <v>#REF!</v>
      </c>
      <c r="F51" s="861" t="e">
        <f t="shared" si="54"/>
        <v>#REF!</v>
      </c>
      <c r="G51" s="861"/>
      <c r="H51" s="861" t="e">
        <f>+H47/H46</f>
        <v>#REF!</v>
      </c>
      <c r="I51" s="861"/>
      <c r="J51" s="861"/>
      <c r="K51" s="861"/>
      <c r="L51" s="861" t="e">
        <f t="shared" si="54"/>
        <v>#REF!</v>
      </c>
      <c r="M51" s="862" t="e">
        <f t="shared" si="54"/>
        <v>#REF!</v>
      </c>
      <c r="N51" s="862" t="e">
        <f t="shared" si="54"/>
        <v>#REF!</v>
      </c>
      <c r="O51" s="862"/>
      <c r="P51" s="862" t="e">
        <f>+P47/P46</f>
        <v>#REF!</v>
      </c>
      <c r="Q51" s="862"/>
      <c r="R51" s="862" t="e">
        <f>+R47/R46</f>
        <v>#REF!</v>
      </c>
      <c r="S51" s="861" t="e">
        <f>+S47/S46</f>
        <v>#REF!</v>
      </c>
      <c r="T51" s="860"/>
      <c r="U51" s="860"/>
      <c r="V51" s="862" t="e">
        <f>+V47/V46</f>
        <v>#REF!</v>
      </c>
      <c r="W51" s="860"/>
      <c r="X51" s="862"/>
      <c r="Y51" s="862" t="e">
        <f>+Y47/Y46</f>
        <v>#REF!</v>
      </c>
      <c r="Z51" s="862"/>
      <c r="AA51" s="862"/>
      <c r="AB51" s="862"/>
      <c r="AC51" s="862"/>
      <c r="AD51" s="862" t="e">
        <f>+AD47/AD46</f>
        <v>#REF!</v>
      </c>
      <c r="AE51" s="862"/>
      <c r="AF51" s="862" t="e">
        <f>+AG47/AG46</f>
        <v>#REF!</v>
      </c>
      <c r="AG51" s="742"/>
      <c r="AP51" s="783"/>
      <c r="AQ51" s="783"/>
      <c r="AR51" s="783"/>
    </row>
    <row r="52" spans="1:44" s="744" customFormat="1" ht="14.15" customHeight="1">
      <c r="C52" s="539"/>
      <c r="D52" s="539"/>
      <c r="E52" s="539"/>
      <c r="F52" s="539"/>
      <c r="G52" s="539"/>
      <c r="H52" s="539"/>
      <c r="I52" s="539"/>
      <c r="J52" s="539"/>
      <c r="K52" s="539"/>
      <c r="L52" s="539"/>
      <c r="M52" s="819"/>
      <c r="N52" s="819"/>
      <c r="O52" s="539"/>
      <c r="P52" s="539"/>
      <c r="Q52" s="539"/>
      <c r="R52" s="539"/>
      <c r="S52" s="539"/>
      <c r="T52" s="539"/>
      <c r="U52" s="539"/>
      <c r="V52" s="539"/>
      <c r="W52" s="539"/>
      <c r="X52" s="539"/>
      <c r="Y52" s="539"/>
      <c r="Z52" s="539"/>
      <c r="AA52" s="539"/>
      <c r="AB52" s="539"/>
      <c r="AC52" s="539"/>
      <c r="AD52" s="539"/>
      <c r="AE52" s="539"/>
      <c r="AF52" s="539"/>
      <c r="AG52" s="539"/>
      <c r="AP52" s="783"/>
      <c r="AQ52" s="783"/>
      <c r="AR52" s="783"/>
    </row>
    <row r="53" spans="1:44" s="744" customFormat="1" ht="14.15" customHeight="1">
      <c r="A53" s="863" t="s">
        <v>879</v>
      </c>
      <c r="B53" s="863"/>
      <c r="C53" s="1573"/>
      <c r="D53" s="1556"/>
      <c r="E53" s="1573" t="e">
        <f>+E47-E45</f>
        <v>#REF!</v>
      </c>
      <c r="F53" s="1573" t="e">
        <f>+F47-F45</f>
        <v>#REF!</v>
      </c>
      <c r="G53" s="1573"/>
      <c r="H53" s="1574" t="e">
        <f>+H47-H45</f>
        <v>#REF!</v>
      </c>
      <c r="I53" s="1574"/>
      <c r="J53" s="1574"/>
      <c r="K53" s="1574"/>
      <c r="L53" s="1575" t="e">
        <f>+L47-L45</f>
        <v>#REF!</v>
      </c>
      <c r="M53" s="975" t="e">
        <f>+M47-M45</f>
        <v>#REF!</v>
      </c>
      <c r="N53" s="975" t="e">
        <f>+N47-N45</f>
        <v>#REF!</v>
      </c>
      <c r="O53" s="1556"/>
      <c r="P53" s="1556" t="e">
        <f>+P47-P45</f>
        <v>#REF!</v>
      </c>
      <c r="Q53" s="1556"/>
      <c r="R53" s="1556" t="e">
        <f>+R47-R45</f>
        <v>#REF!</v>
      </c>
      <c r="S53" s="1573" t="e">
        <f>+S47-S45</f>
        <v>#REF!</v>
      </c>
      <c r="T53" s="1556"/>
      <c r="U53" s="1556"/>
      <c r="V53" s="1556" t="e">
        <f>+V47-V45</f>
        <v>#REF!</v>
      </c>
      <c r="W53" s="1556"/>
      <c r="X53" s="1556"/>
      <c r="Y53" s="1556" t="e">
        <f>+Y47-Y45</f>
        <v>#REF!</v>
      </c>
      <c r="Z53" s="1556"/>
      <c r="AA53" s="1556"/>
      <c r="AB53" s="1556"/>
      <c r="AC53" s="1556"/>
      <c r="AD53" s="1556" t="e">
        <f>+AD47-AD45</f>
        <v>#REF!</v>
      </c>
      <c r="AE53" s="1556"/>
      <c r="AF53" s="1556" t="e">
        <f>+AG47-AG45</f>
        <v>#REF!</v>
      </c>
      <c r="AG53" s="976"/>
      <c r="AP53" s="783"/>
      <c r="AQ53" s="783"/>
      <c r="AR53" s="783"/>
    </row>
    <row r="54" spans="1:44" s="744" customFormat="1" ht="14.15" customHeight="1">
      <c r="A54" s="863" t="s">
        <v>880</v>
      </c>
      <c r="B54" s="863"/>
      <c r="C54" s="780"/>
      <c r="D54" s="539"/>
      <c r="E54" s="858" t="e">
        <f t="shared" ref="E54:N54" si="55">+E53/E45</f>
        <v>#REF!</v>
      </c>
      <c r="F54" s="858" t="e">
        <f t="shared" si="55"/>
        <v>#REF!</v>
      </c>
      <c r="G54" s="858"/>
      <c r="H54" s="864" t="e">
        <f t="shared" si="55"/>
        <v>#REF!</v>
      </c>
      <c r="I54" s="864"/>
      <c r="J54" s="864"/>
      <c r="K54" s="864"/>
      <c r="L54" s="859" t="e">
        <f t="shared" si="55"/>
        <v>#REF!</v>
      </c>
      <c r="M54" s="859" t="e">
        <f t="shared" si="55"/>
        <v>#REF!</v>
      </c>
      <c r="N54" s="859" t="e">
        <f t="shared" si="55"/>
        <v>#REF!</v>
      </c>
      <c r="O54" s="859"/>
      <c r="P54" s="859" t="e">
        <f>+P53/P45</f>
        <v>#REF!</v>
      </c>
      <c r="Q54" s="859"/>
      <c r="R54" s="859" t="e">
        <f>+R53/R45</f>
        <v>#REF!</v>
      </c>
      <c r="S54" s="858" t="e">
        <f>+S53/S45</f>
        <v>#REF!</v>
      </c>
      <c r="T54" s="539"/>
      <c r="U54" s="539"/>
      <c r="V54" s="859" t="e">
        <f>+V53/V45</f>
        <v>#REF!</v>
      </c>
      <c r="W54" s="539"/>
      <c r="X54" s="859"/>
      <c r="Y54" s="859" t="e">
        <f>+Y53/Y45</f>
        <v>#REF!</v>
      </c>
      <c r="Z54" s="859"/>
      <c r="AA54" s="859"/>
      <c r="AB54" s="859"/>
      <c r="AC54" s="859"/>
      <c r="AD54" s="859" t="e">
        <f>+AD53/AD45</f>
        <v>#REF!</v>
      </c>
      <c r="AE54" s="859"/>
      <c r="AF54" s="859" t="e">
        <f>+AF53/AG45</f>
        <v>#REF!</v>
      </c>
      <c r="AG54" s="782"/>
      <c r="AP54" s="783"/>
      <c r="AQ54" s="783"/>
      <c r="AR54" s="783"/>
    </row>
    <row r="55" spans="1:44" s="744" customFormat="1" ht="14.15" customHeight="1">
      <c r="A55" s="865" t="s">
        <v>881</v>
      </c>
      <c r="B55" s="866"/>
      <c r="C55" s="741"/>
      <c r="D55" s="860"/>
      <c r="E55" s="861" t="e">
        <f t="shared" ref="E55:N55" si="56">+E47/E45</f>
        <v>#REF!</v>
      </c>
      <c r="F55" s="861" t="e">
        <f t="shared" si="56"/>
        <v>#REF!</v>
      </c>
      <c r="G55" s="861"/>
      <c r="H55" s="867" t="e">
        <f t="shared" si="56"/>
        <v>#REF!</v>
      </c>
      <c r="I55" s="867"/>
      <c r="J55" s="867"/>
      <c r="K55" s="867"/>
      <c r="L55" s="862" t="e">
        <f t="shared" si="56"/>
        <v>#REF!</v>
      </c>
      <c r="M55" s="862" t="e">
        <f t="shared" si="56"/>
        <v>#REF!</v>
      </c>
      <c r="N55" s="862" t="e">
        <f t="shared" si="56"/>
        <v>#REF!</v>
      </c>
      <c r="O55" s="862"/>
      <c r="P55" s="862" t="e">
        <f>+P47/P45</f>
        <v>#REF!</v>
      </c>
      <c r="Q55" s="862"/>
      <c r="R55" s="862" t="e">
        <f>+R47/R45</f>
        <v>#REF!</v>
      </c>
      <c r="S55" s="861" t="e">
        <f>+S47/S45</f>
        <v>#REF!</v>
      </c>
      <c r="T55" s="860"/>
      <c r="U55" s="860"/>
      <c r="V55" s="862" t="e">
        <f>+V47/V45</f>
        <v>#REF!</v>
      </c>
      <c r="W55" s="860"/>
      <c r="X55" s="862"/>
      <c r="Y55" s="862" t="e">
        <f>+Y47/Y45</f>
        <v>#REF!</v>
      </c>
      <c r="Z55" s="862"/>
      <c r="AA55" s="862"/>
      <c r="AB55" s="862"/>
      <c r="AC55" s="862"/>
      <c r="AD55" s="862" t="e">
        <f>+AD47/AD45</f>
        <v>#REF!</v>
      </c>
      <c r="AE55" s="862"/>
      <c r="AF55" s="862" t="e">
        <f>+AG47/AG45</f>
        <v>#REF!</v>
      </c>
      <c r="AG55" s="742"/>
      <c r="AP55" s="783"/>
      <c r="AQ55" s="783"/>
      <c r="AR55" s="783"/>
    </row>
    <row r="58" spans="1:44">
      <c r="B58" s="347" t="s">
        <v>1117</v>
      </c>
      <c r="C58" s="347" t="str">
        <f>+C6</f>
        <v>Transp.</v>
      </c>
      <c r="D58" s="347" t="str">
        <f>+D6</f>
        <v>Acopio Pta</v>
      </c>
      <c r="E58" s="347" t="str">
        <f>+E6</f>
        <v>Molido Total L1L2L3L4</v>
      </c>
      <c r="F58" s="347" t="str">
        <f>+AS7</f>
        <v>POTENCIAL MINERAL</v>
      </c>
    </row>
    <row r="59" spans="1:44">
      <c r="B59" s="2173">
        <f>+B8</f>
        <v>46082.791666666664</v>
      </c>
      <c r="C59" s="745">
        <f t="shared" ref="C59:E88" si="57">+C8/1000</f>
        <v>178.58427719999997</v>
      </c>
      <c r="D59" s="745">
        <f t="shared" si="57"/>
        <v>681.32142959999987</v>
      </c>
      <c r="E59" s="745">
        <f t="shared" si="57"/>
        <v>98.057835933685311</v>
      </c>
      <c r="F59" s="747"/>
    </row>
    <row r="60" spans="1:44">
      <c r="B60" s="2173">
        <f t="shared" ref="B60:B88" si="58">+B9</f>
        <v>46083.791666666664</v>
      </c>
      <c r="C60" s="745">
        <f t="shared" si="57"/>
        <v>131.18714559999998</v>
      </c>
      <c r="D60" s="745">
        <f t="shared" si="57"/>
        <v>641.09303720000003</v>
      </c>
      <c r="E60" s="745">
        <f t="shared" si="57"/>
        <v>170.43689745330809</v>
      </c>
      <c r="F60" s="747"/>
    </row>
    <row r="61" spans="1:44">
      <c r="B61" s="2173">
        <f t="shared" si="58"/>
        <v>46084.791666666664</v>
      </c>
      <c r="C61" s="745">
        <f t="shared" si="57"/>
        <v>217.13383999999999</v>
      </c>
      <c r="D61" s="745">
        <f t="shared" si="57"/>
        <v>672.52956119999999</v>
      </c>
      <c r="E61" s="745">
        <f t="shared" si="57"/>
        <v>158.18681954193116</v>
      </c>
      <c r="F61" s="747"/>
    </row>
    <row r="62" spans="1:44">
      <c r="B62" s="2173">
        <f t="shared" si="58"/>
        <v>46085.791666666664</v>
      </c>
      <c r="C62" s="745">
        <f t="shared" si="57"/>
        <v>132.73307600000001</v>
      </c>
      <c r="D62" s="745">
        <f t="shared" si="57"/>
        <v>646.13538919999996</v>
      </c>
      <c r="E62" s="745">
        <f t="shared" si="57"/>
        <v>156.04744256210327</v>
      </c>
      <c r="F62" s="747"/>
    </row>
    <row r="63" spans="1:44">
      <c r="B63" s="2173">
        <f t="shared" si="58"/>
        <v>46086.791666666664</v>
      </c>
      <c r="C63" s="745">
        <f t="shared" si="57"/>
        <v>194.21850000000001</v>
      </c>
      <c r="D63" s="745">
        <f t="shared" si="57"/>
        <v>675.77679680000006</v>
      </c>
      <c r="E63" s="745">
        <f t="shared" si="57"/>
        <v>164.03884960937501</v>
      </c>
      <c r="F63" s="747"/>
    </row>
    <row r="64" spans="1:44">
      <c r="B64" s="2173">
        <f t="shared" si="58"/>
        <v>46087.791666666664</v>
      </c>
      <c r="C64" s="745">
        <f t="shared" si="57"/>
        <v>176.98069199999998</v>
      </c>
      <c r="D64" s="745">
        <f t="shared" si="57"/>
        <v>699.37617680000005</v>
      </c>
      <c r="E64" s="745">
        <f t="shared" si="57"/>
        <v>152.87849609374999</v>
      </c>
      <c r="F64" s="747"/>
    </row>
    <row r="65" spans="2:6">
      <c r="B65" s="2173">
        <f t="shared" si="58"/>
        <v>46088.791666666664</v>
      </c>
      <c r="C65" s="745">
        <f t="shared" si="57"/>
        <v>159.28360000000001</v>
      </c>
      <c r="D65" s="745">
        <f t="shared" si="57"/>
        <v>711.98205680000001</v>
      </c>
      <c r="E65" s="745">
        <f t="shared" si="57"/>
        <v>146.19826675415038</v>
      </c>
      <c r="F65" s="747">
        <f t="shared" ref="F65:F88" si="59">+AS14/1000</f>
        <v>161.74054948292999</v>
      </c>
    </row>
    <row r="66" spans="2:6">
      <c r="B66" s="2173">
        <f t="shared" si="58"/>
        <v>46089.791666666664</v>
      </c>
      <c r="C66" s="745">
        <f t="shared" si="57"/>
        <v>184.59307999999999</v>
      </c>
      <c r="D66" s="745">
        <f t="shared" si="57"/>
        <v>727.61627959999998</v>
      </c>
      <c r="E66" s="745">
        <f t="shared" si="57"/>
        <v>168.40505169918063</v>
      </c>
      <c r="F66" s="747">
        <f t="shared" si="59"/>
        <v>198.87875266150903</v>
      </c>
    </row>
    <row r="67" spans="2:6">
      <c r="B67" s="2173">
        <f t="shared" si="58"/>
        <v>46090.791666666664</v>
      </c>
      <c r="C67" s="745">
        <f t="shared" si="57"/>
        <v>206.345552</v>
      </c>
      <c r="D67" s="745">
        <f t="shared" si="57"/>
        <v>725.80845959999999</v>
      </c>
      <c r="E67" s="745">
        <f t="shared" si="57"/>
        <v>178.66144506835937</v>
      </c>
      <c r="F67" s="747">
        <f t="shared" si="59"/>
        <v>186.4439722516924</v>
      </c>
    </row>
    <row r="68" spans="2:6">
      <c r="B68" s="2173">
        <f t="shared" si="58"/>
        <v>46091.791666666664</v>
      </c>
      <c r="C68" s="745">
        <f t="shared" si="57"/>
        <v>93.058755999999988</v>
      </c>
      <c r="D68" s="745">
        <f t="shared" si="57"/>
        <v>641.42626240000004</v>
      </c>
      <c r="E68" s="745">
        <f t="shared" si="57"/>
        <v>176.85918457031249</v>
      </c>
      <c r="F68" s="747">
        <f t="shared" si="59"/>
        <v>195.74157674533353</v>
      </c>
    </row>
    <row r="69" spans="2:6">
      <c r="B69" s="2173">
        <f t="shared" si="58"/>
        <v>46092.791666666664</v>
      </c>
      <c r="C69" s="745">
        <f t="shared" si="57"/>
        <v>47.366838399999999</v>
      </c>
      <c r="D69" s="745">
        <f t="shared" si="57"/>
        <v>507.40132799999998</v>
      </c>
      <c r="E69" s="745">
        <f t="shared" si="57"/>
        <v>180.79911523437499</v>
      </c>
      <c r="F69" s="747">
        <f t="shared" si="59"/>
        <v>198.33679397590674</v>
      </c>
    </row>
    <row r="70" spans="2:6">
      <c r="B70" s="2173">
        <f t="shared" si="58"/>
        <v>46093.791666666664</v>
      </c>
      <c r="C70" s="745">
        <f t="shared" si="57"/>
        <v>164.0239972</v>
      </c>
      <c r="D70" s="745">
        <f t="shared" si="57"/>
        <v>486.20879159999998</v>
      </c>
      <c r="E70" s="745">
        <f t="shared" si="57"/>
        <v>184.08918730926513</v>
      </c>
      <c r="F70" s="747">
        <f t="shared" si="59"/>
        <v>213.53650605878059</v>
      </c>
    </row>
    <row r="71" spans="2:6">
      <c r="B71" s="2173">
        <f t="shared" si="58"/>
        <v>46094.791666666664</v>
      </c>
      <c r="C71" s="745">
        <f t="shared" si="57"/>
        <v>207.29929919999998</v>
      </c>
      <c r="D71" s="745">
        <f t="shared" si="57"/>
        <v>494.54919360000002</v>
      </c>
      <c r="E71" s="745">
        <f t="shared" si="57"/>
        <v>198.00122031784056</v>
      </c>
      <c r="F71" s="747">
        <f t="shared" si="59"/>
        <v>195.28046042277933</v>
      </c>
    </row>
    <row r="72" spans="2:6">
      <c r="B72" s="2173">
        <f t="shared" si="58"/>
        <v>46095.791666666664</v>
      </c>
      <c r="C72" s="745">
        <f t="shared" si="57"/>
        <v>151.40248199999999</v>
      </c>
      <c r="D72" s="745">
        <f t="shared" si="57"/>
        <v>455.0077728</v>
      </c>
      <c r="E72" s="745">
        <f t="shared" si="57"/>
        <v>188.41649098777771</v>
      </c>
      <c r="F72" s="747">
        <f t="shared" si="59"/>
        <v>198.11146599937516</v>
      </c>
    </row>
    <row r="73" spans="2:6">
      <c r="B73" s="2173">
        <f t="shared" si="58"/>
        <v>46096.791666666664</v>
      </c>
      <c r="C73" s="745">
        <f t="shared" si="57"/>
        <v>199.24912560000001</v>
      </c>
      <c r="D73" s="745">
        <f t="shared" si="57"/>
        <v>424.10479999999995</v>
      </c>
      <c r="E73" s="745">
        <f t="shared" si="57"/>
        <v>196.43252658081056</v>
      </c>
      <c r="F73" s="747">
        <f t="shared" si="59"/>
        <v>205.91186324704699</v>
      </c>
    </row>
    <row r="74" spans="2:6">
      <c r="B74" s="2173">
        <f t="shared" si="58"/>
        <v>46097.791666666664</v>
      </c>
      <c r="C74" s="745">
        <f t="shared" si="57"/>
        <v>242.80195239999998</v>
      </c>
      <c r="D74" s="745">
        <f t="shared" si="57"/>
        <v>495.05733759999998</v>
      </c>
      <c r="E74" s="745">
        <f t="shared" si="57"/>
        <v>202.87456951904298</v>
      </c>
      <c r="F74" s="747">
        <f t="shared" si="59"/>
        <v>200.60523592060989</v>
      </c>
    </row>
    <row r="75" spans="2:6">
      <c r="B75" s="2173">
        <f t="shared" si="58"/>
        <v>46098.791666666664</v>
      </c>
      <c r="C75" s="745">
        <f t="shared" si="57"/>
        <v>190.2940648</v>
      </c>
      <c r="D75" s="745">
        <f t="shared" si="57"/>
        <v>485.33419759999998</v>
      </c>
      <c r="E75" s="745">
        <f t="shared" si="57"/>
        <v>198.69643357086181</v>
      </c>
      <c r="F75" s="747">
        <f t="shared" si="59"/>
        <v>200.13016201606973</v>
      </c>
    </row>
    <row r="76" spans="2:6">
      <c r="B76" s="2173">
        <f t="shared" si="58"/>
        <v>46099.791666666664</v>
      </c>
      <c r="C76" s="745">
        <f t="shared" si="57"/>
        <v>230</v>
      </c>
      <c r="D76" s="745">
        <f t="shared" si="57"/>
        <v>530.93419759999995</v>
      </c>
      <c r="E76" s="745">
        <f t="shared" si="57"/>
        <v>184.4</v>
      </c>
      <c r="F76" s="747">
        <f t="shared" si="59"/>
        <v>206.23593224494954</v>
      </c>
    </row>
    <row r="77" spans="2:6">
      <c r="B77" s="2173">
        <f t="shared" si="58"/>
        <v>46100.791666666664</v>
      </c>
      <c r="C77" s="745">
        <f t="shared" si="57"/>
        <v>216.00004453185281</v>
      </c>
      <c r="D77" s="745">
        <f t="shared" si="57"/>
        <v>546.28300442479201</v>
      </c>
      <c r="E77" s="745">
        <f t="shared" si="57"/>
        <v>200.65123770706072</v>
      </c>
      <c r="F77" s="747">
        <f t="shared" si="59"/>
        <v>205.4512377070607</v>
      </c>
    </row>
    <row r="78" spans="2:6">
      <c r="B78" s="2173">
        <f t="shared" si="58"/>
        <v>46101.791666666664</v>
      </c>
      <c r="C78" s="745">
        <f t="shared" si="57"/>
        <v>239.76996</v>
      </c>
      <c r="D78" s="745">
        <f t="shared" si="57"/>
        <v>581.21719080530181</v>
      </c>
      <c r="E78" s="745">
        <f t="shared" si="57"/>
        <v>204.8357736194902</v>
      </c>
      <c r="F78" s="747">
        <f t="shared" si="59"/>
        <v>207.2357736194902</v>
      </c>
    </row>
    <row r="79" spans="2:6">
      <c r="B79" s="2173">
        <f t="shared" si="58"/>
        <v>46102.791666666664</v>
      </c>
      <c r="C79" s="745">
        <f t="shared" si="57"/>
        <v>179.50796</v>
      </c>
      <c r="D79" s="745">
        <f t="shared" si="57"/>
        <v>557.99224570321326</v>
      </c>
      <c r="E79" s="745">
        <f t="shared" si="57"/>
        <v>202.73290510208849</v>
      </c>
      <c r="F79" s="747">
        <f t="shared" si="59"/>
        <v>205.13290510208853</v>
      </c>
    </row>
    <row r="80" spans="2:6">
      <c r="B80" s="2173">
        <f t="shared" si="58"/>
        <v>46103.791666666664</v>
      </c>
      <c r="C80" s="745">
        <f t="shared" si="57"/>
        <v>240.392</v>
      </c>
      <c r="D80" s="745">
        <f t="shared" si="57"/>
        <v>590.7502476254341</v>
      </c>
      <c r="E80" s="745">
        <f t="shared" si="57"/>
        <v>207.63399807777913</v>
      </c>
      <c r="F80" s="747">
        <f t="shared" si="59"/>
        <v>210.0339980777791</v>
      </c>
    </row>
    <row r="81" spans="2:19">
      <c r="B81" s="2173">
        <f t="shared" si="58"/>
        <v>46104.791666666664</v>
      </c>
      <c r="C81" s="745">
        <f t="shared" si="57"/>
        <v>239.55208000000002</v>
      </c>
      <c r="D81" s="745">
        <f t="shared" si="57"/>
        <v>632.93462686944054</v>
      </c>
      <c r="E81" s="745">
        <f t="shared" si="57"/>
        <v>197.36770075599367</v>
      </c>
      <c r="F81" s="747">
        <f t="shared" si="59"/>
        <v>198.56770075599363</v>
      </c>
    </row>
    <row r="82" spans="2:19">
      <c r="B82" s="2173">
        <f t="shared" si="58"/>
        <v>46105.791666666664</v>
      </c>
      <c r="C82" s="745">
        <f t="shared" si="57"/>
        <v>179.56956</v>
      </c>
      <c r="D82" s="745">
        <f t="shared" si="57"/>
        <v>612.13579909895589</v>
      </c>
      <c r="E82" s="745">
        <f t="shared" si="57"/>
        <v>200.36838777048467</v>
      </c>
      <c r="F82" s="747">
        <f t="shared" si="59"/>
        <v>200.36838777048467</v>
      </c>
    </row>
    <row r="83" spans="2:19">
      <c r="B83" s="2173">
        <f t="shared" si="58"/>
        <v>46106.791666666664</v>
      </c>
      <c r="C83" s="745">
        <f t="shared" si="57"/>
        <v>240.17299640000002</v>
      </c>
      <c r="D83" s="745">
        <f t="shared" si="57"/>
        <v>655.01360114647616</v>
      </c>
      <c r="E83" s="745">
        <f t="shared" si="57"/>
        <v>197.29519435247991</v>
      </c>
      <c r="F83" s="747">
        <f t="shared" si="59"/>
        <v>197.29519435247991</v>
      </c>
    </row>
    <row r="84" spans="2:19">
      <c r="B84" s="2173">
        <f t="shared" si="58"/>
        <v>46107.791666666664</v>
      </c>
      <c r="C84" s="745">
        <f t="shared" si="57"/>
        <v>222.11904000000001</v>
      </c>
      <c r="D84" s="745">
        <f t="shared" si="57"/>
        <v>682.93561230351315</v>
      </c>
      <c r="E84" s="745">
        <f t="shared" si="57"/>
        <v>194.19702884296299</v>
      </c>
      <c r="F84" s="747">
        <f t="shared" si="59"/>
        <v>194.19702884296302</v>
      </c>
    </row>
    <row r="85" spans="2:19">
      <c r="B85" s="2173">
        <f t="shared" si="58"/>
        <v>46108.791666666664</v>
      </c>
      <c r="C85" s="745">
        <f t="shared" si="57"/>
        <v>238.00000000006926</v>
      </c>
      <c r="D85" s="745">
        <f t="shared" si="57"/>
        <v>717.42501558636718</v>
      </c>
      <c r="E85" s="745">
        <f t="shared" si="57"/>
        <v>203.51059671721515</v>
      </c>
      <c r="F85" s="747">
        <f t="shared" si="59"/>
        <v>203.51059671721515</v>
      </c>
    </row>
    <row r="86" spans="2:19">
      <c r="B86" s="2173">
        <f t="shared" si="58"/>
        <v>46109.791666666664</v>
      </c>
      <c r="C86" s="745">
        <f t="shared" si="57"/>
        <v>180.00000000042226</v>
      </c>
      <c r="D86" s="745">
        <f t="shared" si="57"/>
        <v>691.17509021232979</v>
      </c>
      <c r="E86" s="745">
        <f t="shared" si="57"/>
        <v>206.24992537445974</v>
      </c>
      <c r="F86" s="747">
        <f t="shared" si="59"/>
        <v>208.24992537445974</v>
      </c>
    </row>
    <row r="87" spans="2:19">
      <c r="B87" s="2173">
        <f t="shared" si="58"/>
        <v>46110.791666666664</v>
      </c>
      <c r="C87" s="745">
        <f t="shared" si="57"/>
        <v>237.99999999993707</v>
      </c>
      <c r="D87" s="745">
        <f t="shared" si="57"/>
        <v>720.00578911096261</v>
      </c>
      <c r="E87" s="745">
        <f t="shared" si="57"/>
        <v>209.1693011013042</v>
      </c>
      <c r="F87" s="747">
        <f t="shared" si="59"/>
        <v>209.16930110130417</v>
      </c>
    </row>
    <row r="88" spans="2:19">
      <c r="B88" s="2173">
        <f t="shared" si="58"/>
        <v>46111.791666666664</v>
      </c>
      <c r="C88" s="745">
        <f t="shared" si="57"/>
        <v>238.00000000004738</v>
      </c>
      <c r="D88" s="745">
        <f t="shared" si="57"/>
        <v>757.02323163522465</v>
      </c>
      <c r="E88" s="745">
        <f t="shared" si="57"/>
        <v>200.98255747578534</v>
      </c>
      <c r="F88" s="747">
        <f t="shared" si="59"/>
        <v>200.98255747578531</v>
      </c>
    </row>
    <row r="89" spans="2:19">
      <c r="B89" s="2173"/>
      <c r="C89" s="745"/>
      <c r="D89" s="745"/>
      <c r="E89" s="745"/>
      <c r="F89" s="747"/>
    </row>
    <row r="90" spans="2:19">
      <c r="B90" s="2173"/>
      <c r="C90" s="745"/>
      <c r="D90" s="745"/>
      <c r="E90" s="745"/>
      <c r="F90" s="747"/>
    </row>
    <row r="91" spans="2:19">
      <c r="B91" s="2173"/>
      <c r="C91" s="745"/>
      <c r="D91" s="745"/>
      <c r="E91" s="745"/>
      <c r="F91" s="747"/>
    </row>
    <row r="92" spans="2:19">
      <c r="B92" s="2173"/>
      <c r="C92" s="745"/>
      <c r="D92" s="745"/>
      <c r="E92" s="745"/>
      <c r="F92" s="747"/>
    </row>
    <row r="93" spans="2:19">
      <c r="B93" s="2173"/>
      <c r="C93" s="745"/>
      <c r="D93" s="745"/>
      <c r="E93" s="745"/>
      <c r="F93" s="747"/>
    </row>
    <row r="94" spans="2:19">
      <c r="B94" s="2173"/>
      <c r="C94" s="745"/>
      <c r="D94" s="745"/>
      <c r="E94" s="745"/>
      <c r="F94" s="747"/>
      <c r="S94" s="347" t="s">
        <v>1337</v>
      </c>
    </row>
    <row r="95" spans="2:19">
      <c r="B95" s="2173"/>
      <c r="C95" s="745"/>
      <c r="D95" s="745"/>
      <c r="E95" s="745"/>
      <c r="F95" s="747"/>
    </row>
    <row r="96" spans="2:19">
      <c r="B96" s="2173"/>
      <c r="C96" s="745"/>
      <c r="D96" s="745"/>
      <c r="E96" s="745"/>
      <c r="F96" s="747"/>
    </row>
    <row r="97" spans="1:107">
      <c r="B97" s="2173"/>
      <c r="C97" s="745"/>
      <c r="D97" s="745"/>
      <c r="E97" s="745"/>
      <c r="F97" s="747"/>
    </row>
    <row r="98" spans="1:107" ht="23">
      <c r="B98" s="4603" t="s">
        <v>1421</v>
      </c>
      <c r="C98" s="4603"/>
      <c r="D98" s="4603"/>
      <c r="E98" s="4603"/>
      <c r="F98" s="4603"/>
      <c r="G98" s="4603"/>
      <c r="AC98" s="2634"/>
      <c r="AD98" s="2634"/>
      <c r="AE98" s="2634"/>
      <c r="AF98" s="2634"/>
      <c r="AG98" s="2634"/>
      <c r="AH98" s="2634"/>
      <c r="AI98" s="2634"/>
      <c r="AJ98" s="2634"/>
      <c r="AK98" s="2634"/>
      <c r="AL98" s="2634"/>
      <c r="AM98" s="2634"/>
      <c r="AN98" s="2634"/>
      <c r="AO98" s="2634"/>
      <c r="AP98" s="2633"/>
      <c r="AQ98" s="2633"/>
      <c r="AR98" s="2633"/>
      <c r="AS98" s="2634"/>
      <c r="AT98" s="2634"/>
      <c r="AU98" s="2634"/>
      <c r="AV98" s="2634"/>
      <c r="AW98" s="2633"/>
      <c r="AX98" s="2633"/>
      <c r="AY98" s="2633"/>
      <c r="AZ98" s="2633"/>
      <c r="BA98" s="2633"/>
      <c r="BB98" s="2633"/>
      <c r="BC98" s="2633"/>
      <c r="BD98" s="2633"/>
      <c r="BE98" s="2633"/>
      <c r="BF98" s="2633"/>
      <c r="BG98" s="2633"/>
      <c r="BH98" s="2633"/>
      <c r="BI98" s="2633"/>
      <c r="BJ98" s="2633"/>
      <c r="BK98" s="2633"/>
      <c r="BL98" s="2633"/>
      <c r="BM98" s="2633"/>
      <c r="BN98" s="2633"/>
      <c r="BO98" s="2633"/>
      <c r="BP98" s="2633"/>
      <c r="BQ98" s="2633"/>
      <c r="BR98" s="2633"/>
      <c r="BS98" s="2633"/>
      <c r="BT98" s="2633"/>
      <c r="BU98" s="2633"/>
      <c r="BV98" s="2633"/>
      <c r="BW98" s="2633"/>
      <c r="BX98" s="2633"/>
      <c r="BY98" s="2633"/>
      <c r="BZ98" s="2633"/>
      <c r="CA98" s="2633"/>
      <c r="CB98" s="2633"/>
      <c r="CC98" s="2633"/>
      <c r="CD98" s="2633"/>
      <c r="CE98" s="2633"/>
      <c r="CF98" s="2633"/>
      <c r="CG98" s="2633"/>
      <c r="CH98" s="2633"/>
      <c r="CI98" s="2633"/>
      <c r="CJ98" s="2633"/>
      <c r="CK98" s="2633"/>
      <c r="CL98" s="2633"/>
      <c r="CM98" s="2633"/>
      <c r="CN98" s="2633"/>
      <c r="CO98" s="2633"/>
      <c r="CP98" s="2633"/>
      <c r="CQ98" s="2634"/>
      <c r="CR98" s="2634"/>
      <c r="CS98" s="2634"/>
      <c r="CT98" s="2634"/>
      <c r="CU98" s="2634"/>
      <c r="CV98" s="2634"/>
      <c r="CW98" s="2634"/>
      <c r="CX98" s="2634"/>
      <c r="CY98" s="2634"/>
      <c r="CZ98" s="2634"/>
      <c r="DA98" s="2634"/>
      <c r="DB98" s="2634"/>
      <c r="DC98" s="2634"/>
    </row>
    <row r="99" spans="1:107" s="744" customFormat="1" ht="17.25" customHeight="1">
      <c r="A99" s="2450"/>
      <c r="B99" s="2070"/>
      <c r="C99" s="1573"/>
      <c r="D99" s="2456"/>
      <c r="E99" s="2456"/>
      <c r="F99" s="2456"/>
      <c r="G99" s="2456"/>
      <c r="H99" s="2064"/>
      <c r="I99" s="2064"/>
      <c r="J99" s="2064"/>
      <c r="K99" s="2064"/>
      <c r="L99" s="2071"/>
      <c r="M99" s="2064"/>
      <c r="N99" s="2064"/>
      <c r="O99" s="1573"/>
      <c r="P99" s="1556"/>
      <c r="Q99" s="1573"/>
      <c r="R99" s="976"/>
      <c r="S99" s="1573"/>
      <c r="T99" s="2064"/>
      <c r="U99" s="2064"/>
      <c r="V99" s="2064"/>
      <c r="W99" s="2064"/>
      <c r="X99" s="1573"/>
      <c r="Y99" s="1556"/>
      <c r="Z99" s="1556"/>
      <c r="AA99" s="1573"/>
      <c r="AB99" s="976"/>
      <c r="AC99" s="780"/>
      <c r="AD99" s="539"/>
      <c r="AE99" s="782"/>
      <c r="AF99" s="780"/>
      <c r="AG99" s="539"/>
      <c r="AH99" s="2072"/>
      <c r="AI99" s="2451"/>
      <c r="AJ99" s="2439"/>
      <c r="AK99" s="2452"/>
      <c r="AL99" s="2453"/>
      <c r="AM99" s="2439"/>
      <c r="AN99" s="2452"/>
      <c r="AO99" s="2453"/>
      <c r="AP99" s="783"/>
      <c r="AQ99" s="783"/>
      <c r="AR99" s="783"/>
      <c r="AS99" s="2632"/>
      <c r="AT99" s="784"/>
      <c r="AU99" s="2454"/>
      <c r="AV99" s="2438"/>
      <c r="AW99" s="2439"/>
      <c r="AX99" s="783"/>
      <c r="AY99" s="783"/>
      <c r="AZ99" s="783"/>
      <c r="BA99" s="2432"/>
      <c r="BB99" s="782"/>
      <c r="BC99" s="2078"/>
      <c r="BD99" s="2078"/>
      <c r="BE99" s="2449"/>
      <c r="BF99" s="780"/>
      <c r="BG99" s="780"/>
      <c r="BH99" s="780"/>
      <c r="BI99" s="780"/>
      <c r="BJ99" s="539"/>
      <c r="BK99" s="539"/>
      <c r="BL99" s="781"/>
      <c r="BM99" s="539"/>
      <c r="BN99" s="539"/>
      <c r="BO99" s="539"/>
      <c r="BP99" s="2441"/>
      <c r="BQ99" s="2442"/>
      <c r="BR99" s="2443"/>
      <c r="BS99" s="2444"/>
      <c r="BT99" s="785"/>
      <c r="BU99" s="785"/>
      <c r="BV99" s="2445"/>
      <c r="BW99" s="785"/>
      <c r="BX99" s="785"/>
      <c r="BY99" s="785"/>
      <c r="BZ99" s="785"/>
      <c r="CA99" s="2446"/>
      <c r="CB99" s="2446"/>
      <c r="CC99" s="2446"/>
      <c r="CD99" s="2443"/>
      <c r="CE99" s="2446"/>
      <c r="CF99" s="2446"/>
      <c r="CG99" s="2446"/>
      <c r="CH99" s="2444"/>
      <c r="CI99" s="2446"/>
      <c r="CJ99" s="2443"/>
      <c r="CK99" s="2446"/>
      <c r="CL99" s="2446"/>
      <c r="CM99" s="2443"/>
      <c r="CN99" s="2444"/>
      <c r="CO99" s="2446"/>
      <c r="CP99" s="2447"/>
      <c r="CQ99" s="786"/>
      <c r="CV99" s="2448"/>
      <c r="CW99" s="2449"/>
      <c r="CX99" s="783"/>
    </row>
    <row r="100" spans="1:107" s="744" customFormat="1" ht="17.25" customHeight="1">
      <c r="A100" s="2450"/>
      <c r="B100" s="794">
        <f t="shared" ref="B100:B130" si="60">B8</f>
        <v>46082.791666666664</v>
      </c>
      <c r="C100" s="780" t="str">
        <f>IF($B100&lt;=Factores!$D$3,"",C8)</f>
        <v/>
      </c>
      <c r="D100" s="2432" t="str">
        <f>IF($B100&lt;=Factores!$D$3,"",D8)</f>
        <v/>
      </c>
      <c r="E100" s="2432" t="str">
        <f>IF($B100&lt;=Factores!$D$3,"",E8)</f>
        <v/>
      </c>
      <c r="F100" s="2432" t="str">
        <f>IF($B100&lt;=Factores!$D$3,"",F8)</f>
        <v/>
      </c>
      <c r="G100" s="2432" t="str">
        <f>IF($B100&lt;=Factores!$D$3,"",G8)</f>
        <v/>
      </c>
      <c r="H100" s="781" t="str">
        <f>IF($B100&lt;=Factores!$D$3,"",H8)</f>
        <v/>
      </c>
      <c r="I100" s="781" t="str">
        <f>IF($B100&lt;=Factores!$D$3,"",I8)</f>
        <v/>
      </c>
      <c r="J100" s="781" t="str">
        <f>IF($B100&lt;=Factores!$D$3,"",J8)</f>
        <v/>
      </c>
      <c r="K100" s="781" t="str">
        <f>IF($B100&lt;=Factores!$D$3,"",K8)</f>
        <v/>
      </c>
      <c r="L100" s="2066" t="str">
        <f>IF($B100&lt;=Factores!$D$3,"",L8)</f>
        <v/>
      </c>
      <c r="M100" s="781" t="str">
        <f>IF($B100&lt;=Factores!$D$3,"",M8)</f>
        <v/>
      </c>
      <c r="N100" s="781" t="str">
        <f>IF($B100&lt;=Factores!$D$3,"",N8)</f>
        <v/>
      </c>
      <c r="O100" s="780" t="str">
        <f>IF($B100&lt;=Factores!$D$3,"",O8)</f>
        <v/>
      </c>
      <c r="P100" s="539" t="str">
        <f>IF($B100&lt;=Factores!$D$3,"",P8)</f>
        <v/>
      </c>
      <c r="Q100" s="780" t="str">
        <f>IF($B100&lt;=Factores!$D$3,"",Q8)</f>
        <v/>
      </c>
      <c r="R100" s="782" t="str">
        <f>IF($B100&lt;=Factores!$D$3,"",R8)</f>
        <v/>
      </c>
      <c r="S100" s="780" t="str">
        <f>IF($B100&lt;=Factores!$D$3,"",S8)</f>
        <v/>
      </c>
      <c r="T100" s="781" t="str">
        <f>IF($B100&lt;=Factores!$D$3,"",T8)</f>
        <v/>
      </c>
      <c r="U100" s="781" t="str">
        <f>IF($B100&lt;=Factores!$D$3,"",U8)</f>
        <v/>
      </c>
      <c r="V100" s="781" t="str">
        <f>IF($B100&lt;=Factores!$D$3,"",V8)</f>
        <v/>
      </c>
      <c r="W100" s="781" t="str">
        <f>IF($B100&lt;=Factores!$D$3,"",W8)</f>
        <v/>
      </c>
      <c r="X100" s="780" t="str">
        <f>IF($B100&lt;=Factores!$D$3,"",X8)</f>
        <v/>
      </c>
      <c r="Y100" s="539" t="str">
        <f>IF($B100&lt;=Factores!$D$3,"",Y8)</f>
        <v/>
      </c>
      <c r="Z100" s="539" t="str">
        <f>IF($B100&lt;=Factores!$D$3,"",Z8)</f>
        <v/>
      </c>
      <c r="AA100" s="780" t="str">
        <f>IF($B100&lt;=Factores!$D$3,"",AA8)</f>
        <v/>
      </c>
      <c r="AB100" s="782" t="str">
        <f>IF($B100&lt;=Factores!$D$3,"",AB8)</f>
        <v/>
      </c>
      <c r="AC100" s="780" t="str">
        <f>IF($B100&lt;=Factores!$D$3,"",AC8)</f>
        <v/>
      </c>
      <c r="AD100" s="539" t="str">
        <f>IF($B100&lt;=Factores!$D$3,"",AD8)</f>
        <v/>
      </c>
      <c r="AE100" s="782" t="str">
        <f>IF($B100&lt;=Factores!$D$3,"",AE8)</f>
        <v/>
      </c>
      <c r="AF100" s="780" t="str">
        <f>IF($B100&lt;=Factores!$D$3,"",AF8)</f>
        <v/>
      </c>
      <c r="AG100" s="539" t="str">
        <f>IF($B100&lt;=Factores!$D$3,"",AG8)</f>
        <v/>
      </c>
      <c r="AH100" s="2072" t="str">
        <f>IF($B100&lt;=Factores!$D$3,"",AH8)</f>
        <v/>
      </c>
      <c r="AI100" s="2451" t="str">
        <f>IF($B100&lt;=Factores!$D$3,"",AI8)</f>
        <v/>
      </c>
      <c r="AJ100" s="2439" t="str">
        <f>IF($B100&lt;=Factores!$D$3,"",AJ8)</f>
        <v/>
      </c>
      <c r="AK100" s="2452" t="str">
        <f>IF($B100&lt;=Factores!$D$3,"",AK8)</f>
        <v/>
      </c>
      <c r="AL100" s="2453" t="str">
        <f>IF($B100&lt;=Factores!$D$3,"",AL8)</f>
        <v/>
      </c>
      <c r="AM100" s="2439" t="str">
        <f>IF($B100&lt;=Factores!$D$3,"",AM8)</f>
        <v/>
      </c>
      <c r="AN100" s="2452" t="str">
        <f>IF($B100&lt;=Factores!$D$3,"",AN8)</f>
        <v/>
      </c>
      <c r="AO100" s="2453" t="str">
        <f>IF($B100&lt;=Factores!$D$3,"",AO8)</f>
        <v/>
      </c>
      <c r="AP100" s="783" t="str">
        <f>IF($B100&lt;=Factores!$D$3,"",AP8)</f>
        <v/>
      </c>
      <c r="AQ100" s="783" t="str">
        <f>IF($B100&lt;=Factores!$D$3,"",AQ8)</f>
        <v/>
      </c>
      <c r="AR100" s="783" t="str">
        <f>IF($B100&lt;=Factores!$D$3,"",AR8)</f>
        <v/>
      </c>
      <c r="AS100" s="2632" t="str">
        <f>IF($B100&lt;=Factores!$D$3,"",AS8)</f>
        <v/>
      </c>
      <c r="AT100" s="784" t="str">
        <f>IF($B100&lt;=Factores!$D$3,"",AT8)</f>
        <v/>
      </c>
      <c r="AU100" s="2454" t="str">
        <f>IF($B100&lt;=Factores!$D$3,"",AU8)</f>
        <v/>
      </c>
      <c r="AV100" s="2438" t="str">
        <f>IF($B100&lt;=Factores!$D$3,"",AV8)</f>
        <v/>
      </c>
      <c r="AW100" s="2439" t="str">
        <f>IF($B100&lt;=Factores!$D$3,"",AW8)</f>
        <v/>
      </c>
      <c r="AX100" s="783" t="str">
        <f>IF($B100&lt;=Factores!$D$3,"",AX8)</f>
        <v/>
      </c>
      <c r="AY100" s="783" t="str">
        <f>IF($B100&lt;=Factores!$D$3,"",AY8)</f>
        <v/>
      </c>
      <c r="AZ100" s="783" t="str">
        <f>IF($B100&lt;=Factores!$D$3,"",AZ8)</f>
        <v/>
      </c>
      <c r="BA100" s="2432" t="str">
        <f>IF($B100&lt;=Factores!$D$3,"",BA8)</f>
        <v/>
      </c>
      <c r="BB100" s="782" t="str">
        <f>IF($B100&lt;=Factores!$D$3,"",BB8)</f>
        <v/>
      </c>
      <c r="BC100" s="2078" t="str">
        <f>IF($B100&lt;=Factores!$D$3,"",BC8)</f>
        <v/>
      </c>
      <c r="BD100" s="2078" t="str">
        <f>IF($B100&lt;=Factores!$D$3,"",BD8)</f>
        <v/>
      </c>
      <c r="BE100" s="2449" t="str">
        <f>IF($B100&lt;=Factores!$D$3,"",BE8)</f>
        <v/>
      </c>
      <c r="BF100" s="780" t="str">
        <f>IF($B100&lt;=Factores!$D$3,"",BF8)</f>
        <v/>
      </c>
      <c r="BG100" s="780" t="str">
        <f>IF($B100&lt;=Factores!$D$3,"",BG8)</f>
        <v/>
      </c>
      <c r="BH100" s="780" t="str">
        <f>IF($B100&lt;=Factores!$D$3,"",BH8)</f>
        <v/>
      </c>
      <c r="BI100" s="780" t="str">
        <f>IF($B100&lt;=Factores!$D$3,"",BI8)</f>
        <v/>
      </c>
      <c r="BJ100" s="539" t="str">
        <f>IF($B100&lt;=Factores!$D$3,"",BJ8)</f>
        <v/>
      </c>
      <c r="BK100" s="539" t="str">
        <f>IF($B100&lt;=Factores!$D$3,"",BK8)</f>
        <v/>
      </c>
      <c r="BL100" s="781" t="str">
        <f>IF($B100&lt;=Factores!$D$3,"",BL8)</f>
        <v/>
      </c>
      <c r="BM100" s="539" t="str">
        <f>IF($B100&lt;=Factores!$D$3,"",BM8)</f>
        <v/>
      </c>
      <c r="BN100" s="539" t="str">
        <f>IF($B100&lt;=Factores!$D$3,"",BN8)</f>
        <v/>
      </c>
      <c r="BO100" s="539" t="str">
        <f>IF($B100&lt;=Factores!$D$3,"",BO8)</f>
        <v/>
      </c>
      <c r="BP100" s="2441" t="str">
        <f>IF($B100&lt;=Factores!$D$3,"",BP8)</f>
        <v/>
      </c>
      <c r="BQ100" s="2442" t="str">
        <f>IF($B100&lt;=Factores!$D$3,"",BQ8)</f>
        <v/>
      </c>
      <c r="BR100" s="2443" t="str">
        <f>IF($B100&lt;=Factores!$D$3,"",BR8)</f>
        <v/>
      </c>
      <c r="BS100" s="2444" t="str">
        <f>IF($B100&lt;=Factores!$D$3,"",BS8)</f>
        <v/>
      </c>
      <c r="BT100" s="785" t="str">
        <f>IF($B100&lt;=Factores!$D$3,"",BT8)</f>
        <v/>
      </c>
      <c r="BU100" s="785" t="str">
        <f>IF($B100&lt;=Factores!$D$3,"",BU8)</f>
        <v/>
      </c>
      <c r="BV100" s="2445" t="str">
        <f>IF($B100&lt;=Factores!$D$3,"",BV8)</f>
        <v/>
      </c>
      <c r="BW100" s="785" t="str">
        <f>IF($B100&lt;=Factores!$D$3,"",BW8)</f>
        <v/>
      </c>
      <c r="BX100" s="785" t="str">
        <f>IF($B100&lt;=Factores!$D$3,"",BX8)</f>
        <v/>
      </c>
      <c r="BY100" s="785" t="str">
        <f>IF($B100&lt;=Factores!$D$3,"",BY8)</f>
        <v/>
      </c>
      <c r="BZ100" s="785" t="str">
        <f>IF($B100&lt;=Factores!$D$3,"",BZ8)</f>
        <v/>
      </c>
      <c r="CA100" s="2446" t="str">
        <f>IF($B100&lt;=Factores!$D$3,"",CA8)</f>
        <v/>
      </c>
      <c r="CB100" s="2446" t="str">
        <f>IF($B100&lt;=Factores!$D$3,"",CB8)</f>
        <v/>
      </c>
      <c r="CC100" s="2446" t="str">
        <f>IF($B100&lt;=Factores!$D$3,"",CC8)</f>
        <v/>
      </c>
      <c r="CD100" s="2443" t="str">
        <f>IF($B100&lt;=Factores!$D$3,"",CD8)</f>
        <v/>
      </c>
      <c r="CE100" s="2446" t="str">
        <f>IF($B100&lt;=Factores!$D$3,"",CE8)</f>
        <v/>
      </c>
      <c r="CF100" s="2446" t="str">
        <f>IF($B100&lt;=Factores!$D$3,"",CF8)</f>
        <v/>
      </c>
      <c r="CG100" s="2446" t="str">
        <f>IF($B100&lt;=Factores!$D$3,"",CG8)</f>
        <v/>
      </c>
      <c r="CH100" s="2444" t="str">
        <f>IF($B100&lt;=Factores!$D$3,"",CH8)</f>
        <v/>
      </c>
      <c r="CI100" s="2446" t="str">
        <f>IF($B100&lt;=Factores!$D$3,"",CI8)</f>
        <v/>
      </c>
      <c r="CJ100" s="2443" t="str">
        <f>IF($B100&lt;=Factores!$D$3,"",CJ8)</f>
        <v/>
      </c>
      <c r="CK100" s="2446" t="str">
        <f>IF($B100&lt;=Factores!$D$3,"",CK8)</f>
        <v/>
      </c>
      <c r="CL100" s="2446" t="str">
        <f>IF($B100&lt;=Factores!$D$3,"",CL8)</f>
        <v/>
      </c>
      <c r="CM100" s="2443" t="str">
        <f>IF($B100&lt;=Factores!$D$3,"",CM8)</f>
        <v/>
      </c>
      <c r="CN100" s="2444" t="str">
        <f>IF($B100&lt;=Factores!$D$3,"",CN8)</f>
        <v/>
      </c>
      <c r="CO100" s="2446" t="str">
        <f>IF($B100&lt;=Factores!$D$3,"",CO8)</f>
        <v/>
      </c>
      <c r="CP100" s="2447" t="str">
        <f>IF($B100&lt;=Factores!$D$3,"",CP8)</f>
        <v/>
      </c>
      <c r="CQ100" s="744" t="str">
        <f>IF($B100&lt;=Factores!$D$3,"",CQ8)</f>
        <v/>
      </c>
      <c r="CR100" s="744" t="str">
        <f>IF($B100&lt;=Factores!$D$3,"",CR8)</f>
        <v/>
      </c>
      <c r="CS100" s="744" t="str">
        <f>IF($B100&lt;=Factores!$D$3,"",CS8)</f>
        <v/>
      </c>
      <c r="CT100" s="744" t="str">
        <f>IF($B100&lt;=Factores!$D$3,"",CT8)</f>
        <v/>
      </c>
      <c r="CU100" s="744" t="str">
        <f>IF($B100&lt;=Factores!$D$3,"",CU8)</f>
        <v/>
      </c>
      <c r="CV100" s="744" t="str">
        <f>IF($B100&lt;=Factores!$D$3,"",CV8)</f>
        <v/>
      </c>
      <c r="CW100" s="2449" t="str">
        <f>IF($B100&lt;=Factores!$D$3,"",CW8)</f>
        <v/>
      </c>
      <c r="CX100" s="783" t="str">
        <f>IF($B100&lt;=Factores!$D$3,"",CX8)</f>
        <v/>
      </c>
      <c r="CY100" s="744" t="str">
        <f>IF($B100&lt;=Factores!$D$3,"",CY8)</f>
        <v/>
      </c>
      <c r="CZ100" s="744" t="str">
        <f>IF($B100&lt;=Factores!$D$3,"",CZ8)</f>
        <v/>
      </c>
      <c r="DA100" s="744" t="str">
        <f>IF($B100&lt;=Factores!$D$3,"",DA8)</f>
        <v/>
      </c>
      <c r="DB100" s="744" t="str">
        <f>IF($B100&lt;=Factores!$D$3,"",DB8)</f>
        <v/>
      </c>
      <c r="DC100" s="744" t="str">
        <f>IF($B100&lt;=Factores!$D$3,"",DC8)</f>
        <v/>
      </c>
    </row>
    <row r="101" spans="1:107" s="744" customFormat="1" ht="17.25" customHeight="1">
      <c r="A101" s="2450"/>
      <c r="B101" s="794">
        <f t="shared" si="60"/>
        <v>46083.791666666664</v>
      </c>
      <c r="C101" s="780" t="str">
        <f>IF($B101&lt;=Factores!$D$3,"",C9)</f>
        <v/>
      </c>
      <c r="D101" s="2432" t="str">
        <f>IF($B101&lt;=Factores!$D$3,"",D9)</f>
        <v/>
      </c>
      <c r="E101" s="2432" t="str">
        <f>IF($B101&lt;=Factores!$D$3,"",E9)</f>
        <v/>
      </c>
      <c r="F101" s="2432" t="str">
        <f>IF($B101&lt;=Factores!$D$3,"",F9)</f>
        <v/>
      </c>
      <c r="G101" s="2432" t="str">
        <f>IF($B101&lt;=Factores!$D$3,"",G9)</f>
        <v/>
      </c>
      <c r="H101" s="781" t="str">
        <f>IF($B101&lt;=Factores!$D$3,"",H9)</f>
        <v/>
      </c>
      <c r="I101" s="781" t="str">
        <f>IF($B101&lt;=Factores!$D$3,"",I9)</f>
        <v/>
      </c>
      <c r="J101" s="781" t="str">
        <f>IF($B101&lt;=Factores!$D$3,"",J9)</f>
        <v/>
      </c>
      <c r="K101" s="781" t="str">
        <f>IF($B101&lt;=Factores!$D$3,"",K9)</f>
        <v/>
      </c>
      <c r="L101" s="2066" t="str">
        <f>IF($B101&lt;=Factores!$D$3,"",L9)</f>
        <v/>
      </c>
      <c r="M101" s="781" t="str">
        <f>IF($B101&lt;=Factores!$D$3,"",M9)</f>
        <v/>
      </c>
      <c r="N101" s="781" t="str">
        <f>IF($B101&lt;=Factores!$D$3,"",N9)</f>
        <v/>
      </c>
      <c r="O101" s="780" t="str">
        <f>IF($B101&lt;=Factores!$D$3,"",O9)</f>
        <v/>
      </c>
      <c r="P101" s="539" t="str">
        <f>IF($B101&lt;=Factores!$D$3,"",P9)</f>
        <v/>
      </c>
      <c r="Q101" s="780" t="str">
        <f>IF($B101&lt;=Factores!$D$3,"",Q9)</f>
        <v/>
      </c>
      <c r="R101" s="782" t="str">
        <f>IF($B101&lt;=Factores!$D$3,"",R9)</f>
        <v/>
      </c>
      <c r="S101" s="780" t="str">
        <f>IF($B101&lt;=Factores!$D$3,"",S9)</f>
        <v/>
      </c>
      <c r="T101" s="781" t="str">
        <f>IF($B101&lt;=Factores!$D$3,"",T9)</f>
        <v/>
      </c>
      <c r="U101" s="781" t="str">
        <f>IF($B101&lt;=Factores!$D$3,"",U9)</f>
        <v/>
      </c>
      <c r="V101" s="781" t="str">
        <f>IF($B101&lt;=Factores!$D$3,"",V9)</f>
        <v/>
      </c>
      <c r="W101" s="781" t="str">
        <f>IF($B101&lt;=Factores!$D$3,"",W9)</f>
        <v/>
      </c>
      <c r="X101" s="780" t="str">
        <f>IF($B101&lt;=Factores!$D$3,"",X9)</f>
        <v/>
      </c>
      <c r="Y101" s="539" t="str">
        <f>IF($B101&lt;=Factores!$D$3,"",Y9)</f>
        <v/>
      </c>
      <c r="Z101" s="539" t="str">
        <f>IF($B101&lt;=Factores!$D$3,"",Z9)</f>
        <v/>
      </c>
      <c r="AA101" s="780" t="str">
        <f>IF($B101&lt;=Factores!$D$3,"",AA9)</f>
        <v/>
      </c>
      <c r="AB101" s="782" t="str">
        <f>IF($B101&lt;=Factores!$D$3,"",AB9)</f>
        <v/>
      </c>
      <c r="AC101" s="780" t="str">
        <f>IF($B101&lt;=Factores!$D$3,"",AC9)</f>
        <v/>
      </c>
      <c r="AD101" s="539" t="str">
        <f>IF($B101&lt;=Factores!$D$3,"",AD9)</f>
        <v/>
      </c>
      <c r="AE101" s="782" t="str">
        <f>IF($B101&lt;=Factores!$D$3,"",AE9)</f>
        <v/>
      </c>
      <c r="AF101" s="780" t="str">
        <f>IF($B101&lt;=Factores!$D$3,"",AF9)</f>
        <v/>
      </c>
      <c r="AG101" s="539" t="str">
        <f>IF($B101&lt;=Factores!$D$3,"",AG9)</f>
        <v/>
      </c>
      <c r="AH101" s="2072" t="str">
        <f>IF($B101&lt;=Factores!$D$3,"",AH9)</f>
        <v/>
      </c>
      <c r="AI101" s="2451" t="str">
        <f>IF($B101&lt;=Factores!$D$3,"",AI9)</f>
        <v/>
      </c>
      <c r="AJ101" s="2439" t="str">
        <f>IF($B101&lt;=Factores!$D$3,"",AJ9)</f>
        <v/>
      </c>
      <c r="AK101" s="2452" t="str">
        <f>IF($B101&lt;=Factores!$D$3,"",AK9)</f>
        <v/>
      </c>
      <c r="AL101" s="2453" t="str">
        <f>IF($B101&lt;=Factores!$D$3,"",AL9)</f>
        <v/>
      </c>
      <c r="AM101" s="2439" t="str">
        <f>IF($B101&lt;=Factores!$D$3,"",AM9)</f>
        <v/>
      </c>
      <c r="AN101" s="2452" t="str">
        <f>IF($B101&lt;=Factores!$D$3,"",AN9)</f>
        <v/>
      </c>
      <c r="AO101" s="2453" t="str">
        <f>IF($B101&lt;=Factores!$D$3,"",AO9)</f>
        <v/>
      </c>
      <c r="AP101" s="783" t="str">
        <f>IF($B101&lt;=Factores!$D$3,"",AP9)</f>
        <v/>
      </c>
      <c r="AQ101" s="783" t="str">
        <f>IF($B101&lt;=Factores!$D$3,"",AQ9)</f>
        <v/>
      </c>
      <c r="AR101" s="783" t="str">
        <f>IF($B101&lt;=Factores!$D$3,"",AR9)</f>
        <v/>
      </c>
      <c r="AS101" s="2632" t="str">
        <f>IF($B101&lt;=Factores!$D$3,"",AS9)</f>
        <v/>
      </c>
      <c r="AT101" s="784" t="str">
        <f>IF($B101&lt;=Factores!$D$3,"",AT9)</f>
        <v/>
      </c>
      <c r="AU101" s="2454" t="str">
        <f>IF($B101&lt;=Factores!$D$3,"",AU9)</f>
        <v/>
      </c>
      <c r="AV101" s="2438" t="str">
        <f>IF($B101&lt;=Factores!$D$3,"",AV9)</f>
        <v/>
      </c>
      <c r="AW101" s="2439" t="str">
        <f>IF($B101&lt;=Factores!$D$3,"",AW9)</f>
        <v/>
      </c>
      <c r="AX101" s="783" t="str">
        <f>IF($B101&lt;=Factores!$D$3,"",AX9)</f>
        <v/>
      </c>
      <c r="AY101" s="783" t="str">
        <f>IF($B101&lt;=Factores!$D$3,"",AY9)</f>
        <v/>
      </c>
      <c r="AZ101" s="783" t="str">
        <f>IF($B101&lt;=Factores!$D$3,"",AZ9)</f>
        <v/>
      </c>
      <c r="BA101" s="2432" t="str">
        <f>IF($B101&lt;=Factores!$D$3,"",BA9)</f>
        <v/>
      </c>
      <c r="BB101" s="782" t="str">
        <f>IF($B101&lt;=Factores!$D$3,"",BB9)</f>
        <v/>
      </c>
      <c r="BC101" s="2078" t="str">
        <f>IF($B101&lt;=Factores!$D$3,"",BC9)</f>
        <v/>
      </c>
      <c r="BD101" s="2078" t="str">
        <f>IF($B101&lt;=Factores!$D$3,"",BD9)</f>
        <v/>
      </c>
      <c r="BE101" s="2449" t="str">
        <f>IF($B101&lt;=Factores!$D$3,"",BE9)</f>
        <v/>
      </c>
      <c r="BF101" s="780" t="str">
        <f>IF($B101&lt;=Factores!$D$3,"",BF9)</f>
        <v/>
      </c>
      <c r="BG101" s="780" t="str">
        <f>IF($B101&lt;=Factores!$D$3,"",BG9)</f>
        <v/>
      </c>
      <c r="BH101" s="780" t="str">
        <f>IF($B101&lt;=Factores!$D$3,"",BH9)</f>
        <v/>
      </c>
      <c r="BI101" s="780" t="str">
        <f>IF($B101&lt;=Factores!$D$3,"",BI9)</f>
        <v/>
      </c>
      <c r="BJ101" s="539" t="str">
        <f>IF($B101&lt;=Factores!$D$3,"",BJ9)</f>
        <v/>
      </c>
      <c r="BK101" s="539" t="str">
        <f>IF($B101&lt;=Factores!$D$3,"",BK9)</f>
        <v/>
      </c>
      <c r="BL101" s="781" t="str">
        <f>IF($B101&lt;=Factores!$D$3,"",BL9)</f>
        <v/>
      </c>
      <c r="BM101" s="539" t="str">
        <f>IF($B101&lt;=Factores!$D$3,"",BM9)</f>
        <v/>
      </c>
      <c r="BN101" s="539" t="str">
        <f>IF($B101&lt;=Factores!$D$3,"",BN9)</f>
        <v/>
      </c>
      <c r="BO101" s="539" t="str">
        <f>IF($B101&lt;=Factores!$D$3,"",BO9)</f>
        <v/>
      </c>
      <c r="BP101" s="2441" t="str">
        <f>IF($B101&lt;=Factores!$D$3,"",BP9)</f>
        <v/>
      </c>
      <c r="BQ101" s="2442" t="str">
        <f>IF($B101&lt;=Factores!$D$3,"",BQ9)</f>
        <v/>
      </c>
      <c r="BR101" s="2443" t="str">
        <f>IF($B101&lt;=Factores!$D$3,"",BR9)</f>
        <v/>
      </c>
      <c r="BS101" s="2444" t="str">
        <f>IF($B101&lt;=Factores!$D$3,"",BS9)</f>
        <v/>
      </c>
      <c r="BT101" s="785" t="str">
        <f>IF($B101&lt;=Factores!$D$3,"",BT9)</f>
        <v/>
      </c>
      <c r="BU101" s="785" t="str">
        <f>IF($B101&lt;=Factores!$D$3,"",BU9)</f>
        <v/>
      </c>
      <c r="BV101" s="2445" t="str">
        <f>IF($B101&lt;=Factores!$D$3,"",BV9)</f>
        <v/>
      </c>
      <c r="BW101" s="785" t="str">
        <f>IF($B101&lt;=Factores!$D$3,"",BW9)</f>
        <v/>
      </c>
      <c r="BX101" s="785" t="str">
        <f>IF($B101&lt;=Factores!$D$3,"",BX9)</f>
        <v/>
      </c>
      <c r="BY101" s="785" t="str">
        <f>IF($B101&lt;=Factores!$D$3,"",BY9)</f>
        <v/>
      </c>
      <c r="BZ101" s="785" t="str">
        <f>IF($B101&lt;=Factores!$D$3,"",BZ9)</f>
        <v/>
      </c>
      <c r="CA101" s="2446" t="str">
        <f>IF($B101&lt;=Factores!$D$3,"",CA9)</f>
        <v/>
      </c>
      <c r="CB101" s="2446" t="str">
        <f>IF($B101&lt;=Factores!$D$3,"",CB9)</f>
        <v/>
      </c>
      <c r="CC101" s="2446" t="str">
        <f>IF($B101&lt;=Factores!$D$3,"",CC9)</f>
        <v/>
      </c>
      <c r="CD101" s="2443" t="str">
        <f>IF($B101&lt;=Factores!$D$3,"",CD9)</f>
        <v/>
      </c>
      <c r="CE101" s="2446" t="str">
        <f>IF($B101&lt;=Factores!$D$3,"",CE9)</f>
        <v/>
      </c>
      <c r="CF101" s="2446" t="str">
        <f>IF($B101&lt;=Factores!$D$3,"",CF9)</f>
        <v/>
      </c>
      <c r="CG101" s="2446" t="str">
        <f>IF($B101&lt;=Factores!$D$3,"",CG9)</f>
        <v/>
      </c>
      <c r="CH101" s="2444" t="str">
        <f>IF($B101&lt;=Factores!$D$3,"",CH9)</f>
        <v/>
      </c>
      <c r="CI101" s="2446" t="str">
        <f>IF($B101&lt;=Factores!$D$3,"",CI9)</f>
        <v/>
      </c>
      <c r="CJ101" s="2443" t="str">
        <f>IF($B101&lt;=Factores!$D$3,"",CJ9)</f>
        <v/>
      </c>
      <c r="CK101" s="2446" t="str">
        <f>IF($B101&lt;=Factores!$D$3,"",CK9)</f>
        <v/>
      </c>
      <c r="CL101" s="2446" t="str">
        <f>IF($B101&lt;=Factores!$D$3,"",CL9)</f>
        <v/>
      </c>
      <c r="CM101" s="2443" t="str">
        <f>IF($B101&lt;=Factores!$D$3,"",CM9)</f>
        <v/>
      </c>
      <c r="CN101" s="2444" t="str">
        <f>IF($B101&lt;=Factores!$D$3,"",CN9)</f>
        <v/>
      </c>
      <c r="CO101" s="2446" t="str">
        <f>IF($B101&lt;=Factores!$D$3,"",CO9)</f>
        <v/>
      </c>
      <c r="CP101" s="2447" t="str">
        <f>IF($B101&lt;=Factores!$D$3,"",CP9)</f>
        <v/>
      </c>
      <c r="CQ101" s="744" t="str">
        <f>IF($B101&lt;=Factores!$D$3,"",CQ9)</f>
        <v/>
      </c>
      <c r="CR101" s="744" t="str">
        <f>IF($B101&lt;=Factores!$D$3,"",CR9)</f>
        <v/>
      </c>
      <c r="CS101" s="744" t="str">
        <f>IF($B101&lt;=Factores!$D$3,"",CS9)</f>
        <v/>
      </c>
      <c r="CT101" s="744" t="str">
        <f>IF($B101&lt;=Factores!$D$3,"",CT9)</f>
        <v/>
      </c>
      <c r="CU101" s="744" t="str">
        <f>IF($B101&lt;=Factores!$D$3,"",CU9)</f>
        <v/>
      </c>
      <c r="CV101" s="744" t="str">
        <f>IF($B101&lt;=Factores!$D$3,"",CV9)</f>
        <v/>
      </c>
      <c r="CW101" s="2449" t="str">
        <f>IF($B101&lt;=Factores!$D$3,"",CW9)</f>
        <v/>
      </c>
      <c r="CX101" s="783" t="str">
        <f>IF($B101&lt;=Factores!$D$3,"",CX9)</f>
        <v/>
      </c>
      <c r="CY101" s="744" t="str">
        <f>IF($B101&lt;=Factores!$D$3,"",CY9)</f>
        <v/>
      </c>
      <c r="CZ101" s="744" t="str">
        <f>IF($B101&lt;=Factores!$D$3,"",CZ9)</f>
        <v/>
      </c>
      <c r="DA101" s="744" t="str">
        <f>IF($B101&lt;=Factores!$D$3,"",DA9)</f>
        <v/>
      </c>
      <c r="DB101" s="744" t="str">
        <f>IF($B101&lt;=Factores!$D$3,"",DB9)</f>
        <v/>
      </c>
      <c r="DC101" s="744" t="str">
        <f>IF($B101&lt;=Factores!$D$3,"",DC9)</f>
        <v/>
      </c>
    </row>
    <row r="102" spans="1:107" s="744" customFormat="1" ht="17.25" customHeight="1">
      <c r="A102" s="2450"/>
      <c r="B102" s="794">
        <f t="shared" si="60"/>
        <v>46084.791666666664</v>
      </c>
      <c r="C102" s="780" t="str">
        <f>IF($B102&lt;=Factores!$D$3,"",C10)</f>
        <v/>
      </c>
      <c r="D102" s="2432" t="str">
        <f>IF($B102&lt;=Factores!$D$3,"",D10)</f>
        <v/>
      </c>
      <c r="E102" s="2432" t="str">
        <f>IF($B102&lt;=Factores!$D$3,"",E10)</f>
        <v/>
      </c>
      <c r="F102" s="2432" t="str">
        <f>IF($B102&lt;=Factores!$D$3,"",F10)</f>
        <v/>
      </c>
      <c r="G102" s="2432" t="str">
        <f>IF($B102&lt;=Factores!$D$3,"",G10)</f>
        <v/>
      </c>
      <c r="H102" s="781" t="str">
        <f>IF($B102&lt;=Factores!$D$3,"",H10)</f>
        <v/>
      </c>
      <c r="I102" s="781" t="str">
        <f>IF($B102&lt;=Factores!$D$3,"",I10)</f>
        <v/>
      </c>
      <c r="J102" s="781" t="str">
        <f>IF($B102&lt;=Factores!$D$3,"",J10)</f>
        <v/>
      </c>
      <c r="K102" s="781" t="str">
        <f>IF($B102&lt;=Factores!$D$3,"",K10)</f>
        <v/>
      </c>
      <c r="L102" s="2066" t="str">
        <f>IF($B102&lt;=Factores!$D$3,"",L10)</f>
        <v/>
      </c>
      <c r="M102" s="781" t="str">
        <f>IF($B102&lt;=Factores!$D$3,"",M10)</f>
        <v/>
      </c>
      <c r="N102" s="781" t="str">
        <f>IF($B102&lt;=Factores!$D$3,"",N10)</f>
        <v/>
      </c>
      <c r="O102" s="780" t="str">
        <f>IF($B102&lt;=Factores!$D$3,"",O10)</f>
        <v/>
      </c>
      <c r="P102" s="539" t="str">
        <f>IF($B102&lt;=Factores!$D$3,"",P10)</f>
        <v/>
      </c>
      <c r="Q102" s="780" t="str">
        <f>IF($B102&lt;=Factores!$D$3,"",Q10)</f>
        <v/>
      </c>
      <c r="R102" s="782" t="str">
        <f>IF($B102&lt;=Factores!$D$3,"",R10)</f>
        <v/>
      </c>
      <c r="S102" s="780" t="str">
        <f>IF($B102&lt;=Factores!$D$3,"",S10)</f>
        <v/>
      </c>
      <c r="T102" s="781" t="str">
        <f>IF($B102&lt;=Factores!$D$3,"",T10)</f>
        <v/>
      </c>
      <c r="U102" s="781" t="str">
        <f>IF($B102&lt;=Factores!$D$3,"",U10)</f>
        <v/>
      </c>
      <c r="V102" s="781" t="str">
        <f>IF($B102&lt;=Factores!$D$3,"",V10)</f>
        <v/>
      </c>
      <c r="W102" s="781" t="str">
        <f>IF($B102&lt;=Factores!$D$3,"",W10)</f>
        <v/>
      </c>
      <c r="X102" s="780" t="str">
        <f>IF($B102&lt;=Factores!$D$3,"",X10)</f>
        <v/>
      </c>
      <c r="Y102" s="539" t="str">
        <f>IF($B102&lt;=Factores!$D$3,"",Y10)</f>
        <v/>
      </c>
      <c r="Z102" s="539" t="str">
        <f>IF($B102&lt;=Factores!$D$3,"",Z10)</f>
        <v/>
      </c>
      <c r="AA102" s="780" t="str">
        <f>IF($B102&lt;=Factores!$D$3,"",AA10)</f>
        <v/>
      </c>
      <c r="AB102" s="782" t="str">
        <f>IF($B102&lt;=Factores!$D$3,"",AB10)</f>
        <v/>
      </c>
      <c r="AC102" s="780" t="str">
        <f>IF($B102&lt;=Factores!$D$3,"",AC10)</f>
        <v/>
      </c>
      <c r="AD102" s="539" t="str">
        <f>IF($B102&lt;=Factores!$D$3,"",AD10)</f>
        <v/>
      </c>
      <c r="AE102" s="782" t="str">
        <f>IF($B102&lt;=Factores!$D$3,"",AE10)</f>
        <v/>
      </c>
      <c r="AF102" s="780" t="str">
        <f>IF($B102&lt;=Factores!$D$3,"",AF10)</f>
        <v/>
      </c>
      <c r="AG102" s="539" t="str">
        <f>IF($B102&lt;=Factores!$D$3,"",AG10)</f>
        <v/>
      </c>
      <c r="AH102" s="2072" t="str">
        <f>IF($B102&lt;=Factores!$D$3,"",AH10)</f>
        <v/>
      </c>
      <c r="AI102" s="2451" t="str">
        <f>IF($B102&lt;=Factores!$D$3,"",AI10)</f>
        <v/>
      </c>
      <c r="AJ102" s="2439" t="str">
        <f>IF($B102&lt;=Factores!$D$3,"",AJ10)</f>
        <v/>
      </c>
      <c r="AK102" s="2452" t="str">
        <f>IF($B102&lt;=Factores!$D$3,"",AK10)</f>
        <v/>
      </c>
      <c r="AL102" s="2453" t="str">
        <f>IF($B102&lt;=Factores!$D$3,"",AL10)</f>
        <v/>
      </c>
      <c r="AM102" s="2439" t="str">
        <f>IF($B102&lt;=Factores!$D$3,"",AM10)</f>
        <v/>
      </c>
      <c r="AN102" s="2452" t="str">
        <f>IF($B102&lt;=Factores!$D$3,"",AN10)</f>
        <v/>
      </c>
      <c r="AO102" s="2453" t="str">
        <f>IF($B102&lt;=Factores!$D$3,"",AO10)</f>
        <v/>
      </c>
      <c r="AP102" s="783" t="str">
        <f>IF($B102&lt;=Factores!$D$3,"",AP10)</f>
        <v/>
      </c>
      <c r="AQ102" s="783" t="str">
        <f>IF($B102&lt;=Factores!$D$3,"",AQ10)</f>
        <v/>
      </c>
      <c r="AR102" s="783" t="str">
        <f>IF($B102&lt;=Factores!$D$3,"",AR10)</f>
        <v/>
      </c>
      <c r="AS102" s="2632" t="str">
        <f>IF($B102&lt;=Factores!$D$3,"",AS10)</f>
        <v/>
      </c>
      <c r="AT102" s="784"/>
      <c r="AU102" s="2454"/>
      <c r="AV102" s="2438" t="str">
        <f>IF($B102&lt;=Factores!$D$3,"",AV10)</f>
        <v/>
      </c>
      <c r="AW102" s="2439" t="str">
        <f>IF($B102&lt;=Factores!$D$3,"",AW10)</f>
        <v/>
      </c>
      <c r="AX102" s="783" t="str">
        <f>IF($B102&lt;=Factores!$D$3,"",AX10)</f>
        <v/>
      </c>
      <c r="AY102" s="783" t="str">
        <f>IF($B102&lt;=Factores!$D$3,"",AY10)</f>
        <v/>
      </c>
      <c r="AZ102" s="783" t="str">
        <f>IF($B102&lt;=Factores!$D$3,"",AZ10)</f>
        <v/>
      </c>
      <c r="BA102" s="2432" t="str">
        <f>IF($B102&lt;=Factores!$D$3,"",BA10)</f>
        <v/>
      </c>
      <c r="BB102" s="782" t="str">
        <f>IF($B102&lt;=Factores!$D$3,"",BB10)</f>
        <v/>
      </c>
      <c r="BC102" s="2078" t="str">
        <f>IF($B102&lt;=Factores!$D$3,"",BC10)</f>
        <v/>
      </c>
      <c r="BD102" s="2078" t="str">
        <f>IF($B102&lt;=Factores!$D$3,"",BD10)</f>
        <v/>
      </c>
      <c r="BE102" s="2449" t="str">
        <f>IF($B102&lt;=Factores!$D$3,"",BE10)</f>
        <v/>
      </c>
      <c r="BF102" s="780" t="str">
        <f>IF($B102&lt;=Factores!$D$3,"",BF10)</f>
        <v/>
      </c>
      <c r="BG102" s="780" t="str">
        <f>IF($B102&lt;=Factores!$D$3,"",BG10)</f>
        <v/>
      </c>
      <c r="BH102" s="780" t="str">
        <f>IF($B102&lt;=Factores!$D$3,"",BH10)</f>
        <v/>
      </c>
      <c r="BI102" s="780" t="str">
        <f>IF($B102&lt;=Factores!$D$3,"",BI10)</f>
        <v/>
      </c>
      <c r="BJ102" s="539" t="str">
        <f>IF($B102&lt;=Factores!$D$3,"",BJ10)</f>
        <v/>
      </c>
      <c r="BK102" s="539" t="str">
        <f>IF($B102&lt;=Factores!$D$3,"",BK10)</f>
        <v/>
      </c>
      <c r="BL102" s="781" t="str">
        <f>IF($B102&lt;=Factores!$D$3,"",BL10)</f>
        <v/>
      </c>
      <c r="BM102" s="539" t="str">
        <f>IF($B102&lt;=Factores!$D$3,"",BM10)</f>
        <v/>
      </c>
      <c r="BN102" s="539" t="str">
        <f>IF($B102&lt;=Factores!$D$3,"",BN10)</f>
        <v/>
      </c>
      <c r="BO102" s="539" t="str">
        <f>IF($B102&lt;=Factores!$D$3,"",BO10)</f>
        <v/>
      </c>
      <c r="BP102" s="2441" t="str">
        <f>IF($B102&lt;=Factores!$D$3,"",BP10)</f>
        <v/>
      </c>
      <c r="BQ102" s="2442" t="str">
        <f>IF($B102&lt;=Factores!$D$3,"",BQ10)</f>
        <v/>
      </c>
      <c r="BR102" s="2443" t="str">
        <f>IF($B102&lt;=Factores!$D$3,"",BR10)</f>
        <v/>
      </c>
      <c r="BS102" s="2444" t="str">
        <f>IF($B102&lt;=Factores!$D$3,"",BS10)</f>
        <v/>
      </c>
      <c r="BT102" s="785" t="str">
        <f>IF($B102&lt;=Factores!$D$3,"",BT10)</f>
        <v/>
      </c>
      <c r="BU102" s="785" t="str">
        <f>IF($B102&lt;=Factores!$D$3,"",BU10)</f>
        <v/>
      </c>
      <c r="BV102" s="2445" t="str">
        <f>IF($B102&lt;=Factores!$D$3,"",BV10)</f>
        <v/>
      </c>
      <c r="BW102" s="785" t="str">
        <f>IF($B102&lt;=Factores!$D$3,"",BW10)</f>
        <v/>
      </c>
      <c r="BX102" s="785" t="str">
        <f>IF($B102&lt;=Factores!$D$3,"",BX10)</f>
        <v/>
      </c>
      <c r="BY102" s="785" t="str">
        <f>IF($B102&lt;=Factores!$D$3,"",BY10)</f>
        <v/>
      </c>
      <c r="BZ102" s="785" t="str">
        <f>IF($B102&lt;=Factores!$D$3,"",BZ10)</f>
        <v/>
      </c>
      <c r="CA102" s="2446" t="str">
        <f>IF($B102&lt;=Factores!$D$3,"",CA10)</f>
        <v/>
      </c>
      <c r="CB102" s="2446" t="str">
        <f>IF($B102&lt;=Factores!$D$3,"",CB10)</f>
        <v/>
      </c>
      <c r="CC102" s="2446" t="str">
        <f>IF($B102&lt;=Factores!$D$3,"",CC10)</f>
        <v/>
      </c>
      <c r="CD102" s="2443" t="str">
        <f>IF($B102&lt;=Factores!$D$3,"",CD10)</f>
        <v/>
      </c>
      <c r="CE102" s="2446" t="str">
        <f>IF($B102&lt;=Factores!$D$3,"",CE10)</f>
        <v/>
      </c>
      <c r="CF102" s="2446" t="str">
        <f>IF($B102&lt;=Factores!$D$3,"",CF10)</f>
        <v/>
      </c>
      <c r="CG102" s="2446" t="str">
        <f>IF($B102&lt;=Factores!$D$3,"",CG10)</f>
        <v/>
      </c>
      <c r="CH102" s="2444" t="str">
        <f>IF($B102&lt;=Factores!$D$3,"",CH10)</f>
        <v/>
      </c>
      <c r="CI102" s="2446" t="str">
        <f>IF($B102&lt;=Factores!$D$3,"",CI10)</f>
        <v/>
      </c>
      <c r="CJ102" s="2443" t="str">
        <f>IF($B102&lt;=Factores!$D$3,"",CJ10)</f>
        <v/>
      </c>
      <c r="CK102" s="2446" t="str">
        <f>IF($B102&lt;=Factores!$D$3,"",CK10)</f>
        <v/>
      </c>
      <c r="CL102" s="2446" t="str">
        <f>IF($B102&lt;=Factores!$D$3,"",CL10)</f>
        <v/>
      </c>
      <c r="CM102" s="2443" t="str">
        <f>IF($B102&lt;=Factores!$D$3,"",CM10)</f>
        <v/>
      </c>
      <c r="CN102" s="2444" t="str">
        <f>IF($B102&lt;=Factores!$D$3,"",CN10)</f>
        <v/>
      </c>
      <c r="CO102" s="2446" t="str">
        <f>IF($B102&lt;=Factores!$D$3,"",CO10)</f>
        <v/>
      </c>
      <c r="CP102" s="2447" t="str">
        <f>IF($B102&lt;=Factores!$D$3,"",CP10)</f>
        <v/>
      </c>
      <c r="CQ102" s="744" t="str">
        <f>IF($B102&lt;=Factores!$D$3,"",CQ10)</f>
        <v/>
      </c>
      <c r="CR102" s="744" t="str">
        <f>IF($B102&lt;=Factores!$D$3,"",CR10)</f>
        <v/>
      </c>
      <c r="CS102" s="744" t="str">
        <f>IF($B102&lt;=Factores!$D$3,"",CS10)</f>
        <v/>
      </c>
      <c r="CT102" s="744" t="str">
        <f>IF($B102&lt;=Factores!$D$3,"",CT10)</f>
        <v/>
      </c>
      <c r="CU102" s="744" t="str">
        <f>IF($B102&lt;=Factores!$D$3,"",CU10)</f>
        <v/>
      </c>
      <c r="CV102" s="744" t="str">
        <f>IF($B102&lt;=Factores!$D$3,"",CV10)</f>
        <v/>
      </c>
      <c r="CW102" s="2449" t="str">
        <f>IF($B102&lt;=Factores!$D$3,"",CW10)</f>
        <v/>
      </c>
      <c r="CX102" s="783" t="str">
        <f>IF($B102&lt;=Factores!$D$3,"",CX10)</f>
        <v/>
      </c>
      <c r="CY102" s="744" t="str">
        <f>IF($B102&lt;=Factores!$D$3,"",CY10)</f>
        <v/>
      </c>
      <c r="CZ102" s="744" t="str">
        <f>IF($B102&lt;=Factores!$D$3,"",CZ10)</f>
        <v/>
      </c>
      <c r="DA102" s="744" t="str">
        <f>IF($B102&lt;=Factores!$D$3,"",DA10)</f>
        <v/>
      </c>
      <c r="DB102" s="744" t="str">
        <f>IF($B102&lt;=Factores!$D$3,"",DB10)</f>
        <v/>
      </c>
      <c r="DC102" s="744" t="str">
        <f>IF($B102&lt;=Factores!$D$3,"",DC10)</f>
        <v/>
      </c>
    </row>
    <row r="103" spans="1:107" s="744" customFormat="1" ht="17.25" customHeight="1">
      <c r="A103" s="2450"/>
      <c r="B103" s="794">
        <f t="shared" si="60"/>
        <v>46085.791666666664</v>
      </c>
      <c r="C103" s="780" t="str">
        <f>IF($B103&lt;=Factores!$D$3,"",C11)</f>
        <v/>
      </c>
      <c r="D103" s="2432" t="str">
        <f>IF($B103&lt;=Factores!$D$3,"",D11)</f>
        <v/>
      </c>
      <c r="E103" s="2432" t="str">
        <f>IF($B103&lt;=Factores!$D$3,"",E11)</f>
        <v/>
      </c>
      <c r="F103" s="2432" t="str">
        <f>IF($B103&lt;=Factores!$D$3,"",F11)</f>
        <v/>
      </c>
      <c r="G103" s="2432" t="str">
        <f>IF($B103&lt;=Factores!$D$3,"",G11)</f>
        <v/>
      </c>
      <c r="H103" s="781" t="str">
        <f>IF($B103&lt;=Factores!$D$3,"",H11)</f>
        <v/>
      </c>
      <c r="I103" s="781" t="str">
        <f>IF($B103&lt;=Factores!$D$3,"",I11)</f>
        <v/>
      </c>
      <c r="J103" s="781" t="str">
        <f>IF($B103&lt;=Factores!$D$3,"",J11)</f>
        <v/>
      </c>
      <c r="K103" s="781" t="str">
        <f>IF($B103&lt;=Factores!$D$3,"",K11)</f>
        <v/>
      </c>
      <c r="L103" s="2066" t="str">
        <f>IF($B103&lt;=Factores!$D$3,"",L11)</f>
        <v/>
      </c>
      <c r="M103" s="781" t="str">
        <f>IF($B103&lt;=Factores!$D$3,"",M11)</f>
        <v/>
      </c>
      <c r="N103" s="781" t="str">
        <f>IF($B103&lt;=Factores!$D$3,"",N11)</f>
        <v/>
      </c>
      <c r="O103" s="780" t="str">
        <f>IF($B103&lt;=Factores!$D$3,"",O11)</f>
        <v/>
      </c>
      <c r="P103" s="539" t="str">
        <f>IF($B103&lt;=Factores!$D$3,"",P11)</f>
        <v/>
      </c>
      <c r="Q103" s="780" t="str">
        <f>IF($B103&lt;=Factores!$D$3,"",Q11)</f>
        <v/>
      </c>
      <c r="R103" s="782" t="str">
        <f>IF($B103&lt;=Factores!$D$3,"",R11)</f>
        <v/>
      </c>
      <c r="S103" s="780" t="str">
        <f>IF($B103&lt;=Factores!$D$3,"",S11)</f>
        <v/>
      </c>
      <c r="T103" s="781" t="str">
        <f>IF($B103&lt;=Factores!$D$3,"",T11)</f>
        <v/>
      </c>
      <c r="U103" s="781" t="str">
        <f>IF($B103&lt;=Factores!$D$3,"",U11)</f>
        <v/>
      </c>
      <c r="V103" s="781" t="str">
        <f>IF($B103&lt;=Factores!$D$3,"",V11)</f>
        <v/>
      </c>
      <c r="W103" s="781" t="str">
        <f>IF($B103&lt;=Factores!$D$3,"",W11)</f>
        <v/>
      </c>
      <c r="X103" s="780" t="str">
        <f>IF($B103&lt;=Factores!$D$3,"",X11)</f>
        <v/>
      </c>
      <c r="Y103" s="539" t="str">
        <f>IF($B103&lt;=Factores!$D$3,"",Y11)</f>
        <v/>
      </c>
      <c r="Z103" s="539" t="str">
        <f>IF($B103&lt;=Factores!$D$3,"",Z11)</f>
        <v/>
      </c>
      <c r="AA103" s="780" t="str">
        <f>IF($B103&lt;=Factores!$D$3,"",AA11)</f>
        <v/>
      </c>
      <c r="AB103" s="782" t="str">
        <f>IF($B103&lt;=Factores!$D$3,"",AB11)</f>
        <v/>
      </c>
      <c r="AC103" s="780" t="str">
        <f>IF($B103&lt;=Factores!$D$3,"",AC11)</f>
        <v/>
      </c>
      <c r="AD103" s="539" t="str">
        <f>IF($B103&lt;=Factores!$D$3,"",AD11)</f>
        <v/>
      </c>
      <c r="AE103" s="782" t="str">
        <f>IF($B103&lt;=Factores!$D$3,"",AE11)</f>
        <v/>
      </c>
      <c r="AF103" s="780" t="str">
        <f>IF($B103&lt;=Factores!$D$3,"",AF11)</f>
        <v/>
      </c>
      <c r="AG103" s="539" t="str">
        <f>IF($B103&lt;=Factores!$D$3,"",AG11)</f>
        <v/>
      </c>
      <c r="AH103" s="2072" t="str">
        <f>IF($B103&lt;=Factores!$D$3,"",AH11)</f>
        <v/>
      </c>
      <c r="AI103" s="2451" t="str">
        <f>IF($B103&lt;=Factores!$D$3,"",AI11)</f>
        <v/>
      </c>
      <c r="AJ103" s="2439" t="str">
        <f>IF($B103&lt;=Factores!$D$3,"",AJ11)</f>
        <v/>
      </c>
      <c r="AK103" s="2452" t="str">
        <f>IF($B103&lt;=Factores!$D$3,"",AK11)</f>
        <v/>
      </c>
      <c r="AL103" s="2453" t="str">
        <f>IF($B103&lt;=Factores!$D$3,"",AL11)</f>
        <v/>
      </c>
      <c r="AM103" s="2439" t="str">
        <f>IF($B103&lt;=Factores!$D$3,"",AM11)</f>
        <v/>
      </c>
      <c r="AN103" s="2452" t="str">
        <f>IF($B103&lt;=Factores!$D$3,"",AN11)</f>
        <v/>
      </c>
      <c r="AO103" s="2453" t="str">
        <f>IF($B103&lt;=Factores!$D$3,"",AO11)</f>
        <v/>
      </c>
      <c r="AP103" s="783" t="str">
        <f>IF($B103&lt;=Factores!$D$3,"",AP11)</f>
        <v/>
      </c>
      <c r="AQ103" s="783" t="str">
        <f>IF($B103&lt;=Factores!$D$3,"",AQ11)</f>
        <v/>
      </c>
      <c r="AR103" s="783" t="str">
        <f>IF($B103&lt;=Factores!$D$3,"",AR11)</f>
        <v/>
      </c>
      <c r="AS103" s="2632" t="str">
        <f>IF($B103&lt;=Factores!$D$3,"",AS11)</f>
        <v/>
      </c>
      <c r="AT103" s="784"/>
      <c r="AU103" s="2454"/>
      <c r="AV103" s="2438" t="str">
        <f>IF($B103&lt;=Factores!$D$3,"",AV11)</f>
        <v/>
      </c>
      <c r="AW103" s="2439" t="str">
        <f>IF($B103&lt;=Factores!$D$3,"",AW11)</f>
        <v/>
      </c>
      <c r="AX103" s="783" t="str">
        <f>IF($B103&lt;=Factores!$D$3,"",AX11)</f>
        <v/>
      </c>
      <c r="AY103" s="783" t="str">
        <f>IF($B103&lt;=Factores!$D$3,"",AY11)</f>
        <v/>
      </c>
      <c r="AZ103" s="783" t="str">
        <f>IF($B103&lt;=Factores!$D$3,"",AZ11)</f>
        <v/>
      </c>
      <c r="BA103" s="2432" t="str">
        <f>IF($B103&lt;=Factores!$D$3,"",BA11)</f>
        <v/>
      </c>
      <c r="BB103" s="782" t="str">
        <f>IF($B103&lt;=Factores!$D$3,"",BB11)</f>
        <v/>
      </c>
      <c r="BC103" s="2078" t="str">
        <f>IF($B103&lt;=Factores!$D$3,"",BC11)</f>
        <v/>
      </c>
      <c r="BD103" s="2078" t="str">
        <f>IF($B103&lt;=Factores!$D$3,"",BD11)</f>
        <v/>
      </c>
      <c r="BE103" s="2449" t="str">
        <f>IF($B103&lt;=Factores!$D$3,"",BE11)</f>
        <v/>
      </c>
      <c r="BF103" s="780" t="str">
        <f>IF($B103&lt;=Factores!$D$3,"",BF11)</f>
        <v/>
      </c>
      <c r="BG103" s="780" t="str">
        <f>IF($B103&lt;=Factores!$D$3,"",BG11)</f>
        <v/>
      </c>
      <c r="BH103" s="780" t="str">
        <f>IF($B103&lt;=Factores!$D$3,"",BH11)</f>
        <v/>
      </c>
      <c r="BI103" s="780" t="str">
        <f>IF($B103&lt;=Factores!$D$3,"",BI11)</f>
        <v/>
      </c>
      <c r="BJ103" s="539" t="str">
        <f>IF($B103&lt;=Factores!$D$3,"",BJ11)</f>
        <v/>
      </c>
      <c r="BK103" s="539" t="str">
        <f>IF($B103&lt;=Factores!$D$3,"",BK11)</f>
        <v/>
      </c>
      <c r="BL103" s="781" t="str">
        <f>IF($B103&lt;=Factores!$D$3,"",BL11)</f>
        <v/>
      </c>
      <c r="BM103" s="539" t="str">
        <f>IF($B103&lt;=Factores!$D$3,"",BM11)</f>
        <v/>
      </c>
      <c r="BN103" s="539" t="str">
        <f>IF($B103&lt;=Factores!$D$3,"",BN11)</f>
        <v/>
      </c>
      <c r="BO103" s="539" t="str">
        <f>IF($B103&lt;=Factores!$D$3,"",BO11)</f>
        <v/>
      </c>
      <c r="BP103" s="2441" t="str">
        <f>IF($B103&lt;=Factores!$D$3,"",BP11)</f>
        <v/>
      </c>
      <c r="BQ103" s="2442" t="str">
        <f>IF($B103&lt;=Factores!$D$3,"",BQ11)</f>
        <v/>
      </c>
      <c r="BR103" s="2443" t="str">
        <f>IF($B103&lt;=Factores!$D$3,"",BR11)</f>
        <v/>
      </c>
      <c r="BS103" s="2444" t="str">
        <f>IF($B103&lt;=Factores!$D$3,"",BS11)</f>
        <v/>
      </c>
      <c r="BT103" s="785" t="str">
        <f>IF($B103&lt;=Factores!$D$3,"",BT11)</f>
        <v/>
      </c>
      <c r="BU103" s="785" t="str">
        <f>IF($B103&lt;=Factores!$D$3,"",BU11)</f>
        <v/>
      </c>
      <c r="BV103" s="2445" t="str">
        <f>IF($B103&lt;=Factores!$D$3,"",BV11)</f>
        <v/>
      </c>
      <c r="BW103" s="785" t="str">
        <f>IF($B103&lt;=Factores!$D$3,"",BW11)</f>
        <v/>
      </c>
      <c r="BX103" s="785" t="str">
        <f>IF($B103&lt;=Factores!$D$3,"",BX11)</f>
        <v/>
      </c>
      <c r="BY103" s="785" t="str">
        <f>IF($B103&lt;=Factores!$D$3,"",BY11)</f>
        <v/>
      </c>
      <c r="BZ103" s="785" t="str">
        <f>IF($B103&lt;=Factores!$D$3,"",BZ11)</f>
        <v/>
      </c>
      <c r="CA103" s="2446" t="str">
        <f>IF($B103&lt;=Factores!$D$3,"",CA11)</f>
        <v/>
      </c>
      <c r="CB103" s="2446" t="str">
        <f>IF($B103&lt;=Factores!$D$3,"",CB11)</f>
        <v/>
      </c>
      <c r="CC103" s="2446" t="str">
        <f>IF($B103&lt;=Factores!$D$3,"",CC11)</f>
        <v/>
      </c>
      <c r="CD103" s="2443" t="str">
        <f>IF($B103&lt;=Factores!$D$3,"",CD11)</f>
        <v/>
      </c>
      <c r="CE103" s="2446" t="str">
        <f>IF($B103&lt;=Factores!$D$3,"",CE11)</f>
        <v/>
      </c>
      <c r="CF103" s="2446" t="str">
        <f>IF($B103&lt;=Factores!$D$3,"",CF11)</f>
        <v/>
      </c>
      <c r="CG103" s="2446" t="str">
        <f>IF($B103&lt;=Factores!$D$3,"",CG11)</f>
        <v/>
      </c>
      <c r="CH103" s="2444" t="str">
        <f>IF($B103&lt;=Factores!$D$3,"",CH11)</f>
        <v/>
      </c>
      <c r="CI103" s="2446" t="str">
        <f>IF($B103&lt;=Factores!$D$3,"",CI11)</f>
        <v/>
      </c>
      <c r="CJ103" s="2443" t="str">
        <f>IF($B103&lt;=Factores!$D$3,"",CJ11)</f>
        <v/>
      </c>
      <c r="CK103" s="2446" t="str">
        <f>IF($B103&lt;=Factores!$D$3,"",CK11)</f>
        <v/>
      </c>
      <c r="CL103" s="2446" t="str">
        <f>IF($B103&lt;=Factores!$D$3,"",CL11)</f>
        <v/>
      </c>
      <c r="CM103" s="2443" t="str">
        <f>IF($B103&lt;=Factores!$D$3,"",CM11)</f>
        <v/>
      </c>
      <c r="CN103" s="2444" t="str">
        <f>IF($B103&lt;=Factores!$D$3,"",CN11)</f>
        <v/>
      </c>
      <c r="CO103" s="2446" t="str">
        <f>IF($B103&lt;=Factores!$D$3,"",CO11)</f>
        <v/>
      </c>
      <c r="CP103" s="2447" t="str">
        <f>IF($B103&lt;=Factores!$D$3,"",CP11)</f>
        <v/>
      </c>
      <c r="CQ103" s="744" t="str">
        <f>IF($B103&lt;=Factores!$D$3,"",CQ11)</f>
        <v/>
      </c>
      <c r="CR103" s="744" t="str">
        <f>IF($B103&lt;=Factores!$D$3,"",CR11)</f>
        <v/>
      </c>
      <c r="CS103" s="744" t="str">
        <f>IF($B103&lt;=Factores!$D$3,"",CS11)</f>
        <v/>
      </c>
      <c r="CT103" s="744" t="str">
        <f>IF($B103&lt;=Factores!$D$3,"",CT11)</f>
        <v/>
      </c>
      <c r="CU103" s="744" t="str">
        <f>IF($B103&lt;=Factores!$D$3,"",CU11)</f>
        <v/>
      </c>
      <c r="CV103" s="744" t="str">
        <f>IF($B103&lt;=Factores!$D$3,"",CV11)</f>
        <v/>
      </c>
      <c r="CW103" s="2449" t="str">
        <f>IF($B103&lt;=Factores!$D$3,"",CW11)</f>
        <v/>
      </c>
      <c r="CX103" s="783" t="str">
        <f>IF($B103&lt;=Factores!$D$3,"",CX11)</f>
        <v/>
      </c>
      <c r="CY103" s="744" t="str">
        <f>IF($B103&lt;=Factores!$D$3,"",CY11)</f>
        <v/>
      </c>
      <c r="CZ103" s="744" t="str">
        <f>IF($B103&lt;=Factores!$D$3,"",CZ11)</f>
        <v/>
      </c>
      <c r="DA103" s="744" t="str">
        <f>IF($B103&lt;=Factores!$D$3,"",DA11)</f>
        <v/>
      </c>
      <c r="DB103" s="744" t="str">
        <f>IF($B103&lt;=Factores!$D$3,"",DB11)</f>
        <v/>
      </c>
      <c r="DC103" s="744" t="str">
        <f>IF($B103&lt;=Factores!$D$3,"",DC11)</f>
        <v/>
      </c>
    </row>
    <row r="104" spans="1:107" s="744" customFormat="1" ht="17.25" customHeight="1">
      <c r="A104" s="2450"/>
      <c r="B104" s="794">
        <f t="shared" si="60"/>
        <v>46086.791666666664</v>
      </c>
      <c r="C104" s="780" t="str">
        <f>IF($B104&lt;=Factores!$D$3,"",C12)</f>
        <v/>
      </c>
      <c r="D104" s="2432" t="str">
        <f>IF($B104&lt;=Factores!$D$3,"",D12)</f>
        <v/>
      </c>
      <c r="E104" s="2432" t="str">
        <f>IF($B104&lt;=Factores!$D$3,"",E12)</f>
        <v/>
      </c>
      <c r="F104" s="2432" t="str">
        <f>IF($B104&lt;=Factores!$D$3,"",F12)</f>
        <v/>
      </c>
      <c r="G104" s="2432" t="str">
        <f>IF($B104&lt;=Factores!$D$3,"",G12)</f>
        <v/>
      </c>
      <c r="H104" s="781" t="str">
        <f>IF($B104&lt;=Factores!$D$3,"",H12)</f>
        <v/>
      </c>
      <c r="I104" s="781" t="str">
        <f>IF($B104&lt;=Factores!$D$3,"",I12)</f>
        <v/>
      </c>
      <c r="J104" s="781" t="str">
        <f>IF($B104&lt;=Factores!$D$3,"",J12)</f>
        <v/>
      </c>
      <c r="K104" s="781" t="str">
        <f>IF($B104&lt;=Factores!$D$3,"",K12)</f>
        <v/>
      </c>
      <c r="L104" s="2066" t="str">
        <f>IF($B104&lt;=Factores!$D$3,"",L12)</f>
        <v/>
      </c>
      <c r="M104" s="781" t="str">
        <f>IF($B104&lt;=Factores!$D$3,"",M12)</f>
        <v/>
      </c>
      <c r="N104" s="781" t="str">
        <f>IF($B104&lt;=Factores!$D$3,"",N12)</f>
        <v/>
      </c>
      <c r="O104" s="780" t="str">
        <f>IF($B104&lt;=Factores!$D$3,"",O12)</f>
        <v/>
      </c>
      <c r="P104" s="539" t="str">
        <f>IF($B104&lt;=Factores!$D$3,"",P12)</f>
        <v/>
      </c>
      <c r="Q104" s="780" t="str">
        <f>IF($B104&lt;=Factores!$D$3,"",Q12)</f>
        <v/>
      </c>
      <c r="R104" s="782" t="str">
        <f>IF($B104&lt;=Factores!$D$3,"",R12)</f>
        <v/>
      </c>
      <c r="S104" s="780" t="str">
        <f>IF($B104&lt;=Factores!$D$3,"",S12)</f>
        <v/>
      </c>
      <c r="T104" s="781" t="str">
        <f>IF($B104&lt;=Factores!$D$3,"",T12)</f>
        <v/>
      </c>
      <c r="U104" s="781" t="str">
        <f>IF($B104&lt;=Factores!$D$3,"",U12)</f>
        <v/>
      </c>
      <c r="V104" s="781" t="str">
        <f>IF($B104&lt;=Factores!$D$3,"",V12)</f>
        <v/>
      </c>
      <c r="W104" s="781" t="str">
        <f>IF($B104&lt;=Factores!$D$3,"",W12)</f>
        <v/>
      </c>
      <c r="X104" s="780" t="str">
        <f>IF($B104&lt;=Factores!$D$3,"",X12)</f>
        <v/>
      </c>
      <c r="Y104" s="539" t="str">
        <f>IF($B104&lt;=Factores!$D$3,"",Y12)</f>
        <v/>
      </c>
      <c r="Z104" s="539" t="str">
        <f>IF($B104&lt;=Factores!$D$3,"",Z12)</f>
        <v/>
      </c>
      <c r="AA104" s="780" t="str">
        <f>IF($B104&lt;=Factores!$D$3,"",AA12)</f>
        <v/>
      </c>
      <c r="AB104" s="782" t="str">
        <f>IF($B104&lt;=Factores!$D$3,"",AB12)</f>
        <v/>
      </c>
      <c r="AC104" s="780" t="str">
        <f>IF($B104&lt;=Factores!$D$3,"",AC12)</f>
        <v/>
      </c>
      <c r="AD104" s="539" t="str">
        <f>IF($B104&lt;=Factores!$D$3,"",AD12)</f>
        <v/>
      </c>
      <c r="AE104" s="782" t="str">
        <f>IF($B104&lt;=Factores!$D$3,"",AE12)</f>
        <v/>
      </c>
      <c r="AF104" s="780" t="str">
        <f>IF($B104&lt;=Factores!$D$3,"",AF12)</f>
        <v/>
      </c>
      <c r="AG104" s="539" t="str">
        <f>IF($B104&lt;=Factores!$D$3,"",AG12)</f>
        <v/>
      </c>
      <c r="AH104" s="2072" t="str">
        <f>IF($B104&lt;=Factores!$D$3,"",AH12)</f>
        <v/>
      </c>
      <c r="AI104" s="2451" t="str">
        <f>IF($B104&lt;=Factores!$D$3,"",AI12)</f>
        <v/>
      </c>
      <c r="AJ104" s="2439" t="str">
        <f>IF($B104&lt;=Factores!$D$3,"",AJ12)</f>
        <v/>
      </c>
      <c r="AK104" s="2452" t="str">
        <f>IF($B104&lt;=Factores!$D$3,"",AK12)</f>
        <v/>
      </c>
      <c r="AL104" s="2453" t="str">
        <f>IF($B104&lt;=Factores!$D$3,"",AL12)</f>
        <v/>
      </c>
      <c r="AM104" s="2439" t="str">
        <f>IF($B104&lt;=Factores!$D$3,"",AM12)</f>
        <v/>
      </c>
      <c r="AN104" s="2452" t="str">
        <f>IF($B104&lt;=Factores!$D$3,"",AN12)</f>
        <v/>
      </c>
      <c r="AO104" s="2453" t="str">
        <f>IF($B104&lt;=Factores!$D$3,"",AO12)</f>
        <v/>
      </c>
      <c r="AP104" s="783" t="str">
        <f>IF($B104&lt;=Factores!$D$3,"",AP12)</f>
        <v/>
      </c>
      <c r="AQ104" s="783" t="str">
        <f>IF($B104&lt;=Factores!$D$3,"",AQ12)</f>
        <v/>
      </c>
      <c r="AR104" s="783" t="str">
        <f>IF($B104&lt;=Factores!$D$3,"",AR12)</f>
        <v/>
      </c>
      <c r="AS104" s="2632" t="str">
        <f>IF($B104&lt;=Factores!$D$3,"",AS12)</f>
        <v/>
      </c>
      <c r="AT104" s="784"/>
      <c r="AU104" s="2454"/>
      <c r="AV104" s="2438" t="str">
        <f>IF($B104&lt;=Factores!$D$3,"",AV12)</f>
        <v/>
      </c>
      <c r="AW104" s="2439" t="str">
        <f>IF($B104&lt;=Factores!$D$3,"",AW12)</f>
        <v/>
      </c>
      <c r="AX104" s="783" t="str">
        <f>IF($B104&lt;=Factores!$D$3,"",AX12)</f>
        <v/>
      </c>
      <c r="AY104" s="783" t="str">
        <f>IF($B104&lt;=Factores!$D$3,"",AY12)</f>
        <v/>
      </c>
      <c r="AZ104" s="783" t="str">
        <f>IF($B104&lt;=Factores!$D$3,"",AZ12)</f>
        <v/>
      </c>
      <c r="BA104" s="2432" t="str">
        <f>IF($B104&lt;=Factores!$D$3,"",BA12)</f>
        <v/>
      </c>
      <c r="BB104" s="782" t="str">
        <f>IF($B104&lt;=Factores!$D$3,"",BB12)</f>
        <v/>
      </c>
      <c r="BC104" s="2078" t="str">
        <f>IF($B104&lt;=Factores!$D$3,"",BC12)</f>
        <v/>
      </c>
      <c r="BD104" s="2078" t="str">
        <f>IF($B104&lt;=Factores!$D$3,"",BD12)</f>
        <v/>
      </c>
      <c r="BE104" s="2449" t="str">
        <f>IF($B104&lt;=Factores!$D$3,"",BE12)</f>
        <v/>
      </c>
      <c r="BF104" s="780" t="str">
        <f>IF($B104&lt;=Factores!$D$3,"",BF12)</f>
        <v/>
      </c>
      <c r="BG104" s="780" t="str">
        <f>IF($B104&lt;=Factores!$D$3,"",BG12)</f>
        <v/>
      </c>
      <c r="BH104" s="780" t="str">
        <f>IF($B104&lt;=Factores!$D$3,"",BH12)</f>
        <v/>
      </c>
      <c r="BI104" s="780" t="str">
        <f>IF($B104&lt;=Factores!$D$3,"",BI12)</f>
        <v/>
      </c>
      <c r="BJ104" s="539" t="str">
        <f>IF($B104&lt;=Factores!$D$3,"",BJ12)</f>
        <v/>
      </c>
      <c r="BK104" s="539" t="str">
        <f>IF($B104&lt;=Factores!$D$3,"",BK12)</f>
        <v/>
      </c>
      <c r="BL104" s="781" t="str">
        <f>IF($B104&lt;=Factores!$D$3,"",BL12)</f>
        <v/>
      </c>
      <c r="BM104" s="539" t="str">
        <f>IF($B104&lt;=Factores!$D$3,"",BM12)</f>
        <v/>
      </c>
      <c r="BN104" s="539" t="str">
        <f>IF($B104&lt;=Factores!$D$3,"",BN12)</f>
        <v/>
      </c>
      <c r="BO104" s="539" t="str">
        <f>IF($B104&lt;=Factores!$D$3,"",BO12)</f>
        <v/>
      </c>
      <c r="BP104" s="2441" t="str">
        <f>IF($B104&lt;=Factores!$D$3,"",BP12)</f>
        <v/>
      </c>
      <c r="BQ104" s="2442" t="str">
        <f>IF($B104&lt;=Factores!$D$3,"",BQ12)</f>
        <v/>
      </c>
      <c r="BR104" s="2443" t="str">
        <f>IF($B104&lt;=Factores!$D$3,"",BR12)</f>
        <v/>
      </c>
      <c r="BS104" s="2444" t="str">
        <f>IF($B104&lt;=Factores!$D$3,"",BS12)</f>
        <v/>
      </c>
      <c r="BT104" s="785" t="str">
        <f>IF($B104&lt;=Factores!$D$3,"",BT12)</f>
        <v/>
      </c>
      <c r="BU104" s="785" t="str">
        <f>IF($B104&lt;=Factores!$D$3,"",BU12)</f>
        <v/>
      </c>
      <c r="BV104" s="2445" t="str">
        <f>IF($B104&lt;=Factores!$D$3,"",BV12)</f>
        <v/>
      </c>
      <c r="BW104" s="785" t="str">
        <f>IF($B104&lt;=Factores!$D$3,"",BW12)</f>
        <v/>
      </c>
      <c r="BX104" s="785" t="str">
        <f>IF($B104&lt;=Factores!$D$3,"",BX12)</f>
        <v/>
      </c>
      <c r="BY104" s="785" t="str">
        <f>IF($B104&lt;=Factores!$D$3,"",BY12)</f>
        <v/>
      </c>
      <c r="BZ104" s="785" t="str">
        <f>IF($B104&lt;=Factores!$D$3,"",BZ12)</f>
        <v/>
      </c>
      <c r="CA104" s="2446" t="str">
        <f>IF($B104&lt;=Factores!$D$3,"",CA12)</f>
        <v/>
      </c>
      <c r="CB104" s="2446" t="str">
        <f>IF($B104&lt;=Factores!$D$3,"",CB12)</f>
        <v/>
      </c>
      <c r="CC104" s="2446" t="str">
        <f>IF($B104&lt;=Factores!$D$3,"",CC12)</f>
        <v/>
      </c>
      <c r="CD104" s="2443" t="str">
        <f>IF($B104&lt;=Factores!$D$3,"",CD12)</f>
        <v/>
      </c>
      <c r="CE104" s="2446" t="str">
        <f>IF($B104&lt;=Factores!$D$3,"",CE12)</f>
        <v/>
      </c>
      <c r="CF104" s="2446" t="str">
        <f>IF($B104&lt;=Factores!$D$3,"",CF12)</f>
        <v/>
      </c>
      <c r="CG104" s="2446" t="str">
        <f>IF($B104&lt;=Factores!$D$3,"",CG12)</f>
        <v/>
      </c>
      <c r="CH104" s="2444" t="str">
        <f>IF($B104&lt;=Factores!$D$3,"",CH12)</f>
        <v/>
      </c>
      <c r="CI104" s="2446" t="str">
        <f>IF($B104&lt;=Factores!$D$3,"",CI12)</f>
        <v/>
      </c>
      <c r="CJ104" s="2443" t="str">
        <f>IF($B104&lt;=Factores!$D$3,"",CJ12)</f>
        <v/>
      </c>
      <c r="CK104" s="2446" t="str">
        <f>IF($B104&lt;=Factores!$D$3,"",CK12)</f>
        <v/>
      </c>
      <c r="CL104" s="2446" t="str">
        <f>IF($B104&lt;=Factores!$D$3,"",CL12)</f>
        <v/>
      </c>
      <c r="CM104" s="2443" t="str">
        <f>IF($B104&lt;=Factores!$D$3,"",CM12)</f>
        <v/>
      </c>
      <c r="CN104" s="2444" t="str">
        <f>IF($B104&lt;=Factores!$D$3,"",CN12)</f>
        <v/>
      </c>
      <c r="CO104" s="2446" t="str">
        <f>IF($B104&lt;=Factores!$D$3,"",CO12)</f>
        <v/>
      </c>
      <c r="CP104" s="2447" t="str">
        <f>IF($B104&lt;=Factores!$D$3,"",CP12)</f>
        <v/>
      </c>
      <c r="CQ104" s="744" t="str">
        <f>IF($B104&lt;=Factores!$D$3,"",CQ12)</f>
        <v/>
      </c>
      <c r="CR104" s="744" t="str">
        <f>IF($B104&lt;=Factores!$D$3,"",CR12)</f>
        <v/>
      </c>
      <c r="CS104" s="744" t="str">
        <f>IF($B104&lt;=Factores!$D$3,"",CS12)</f>
        <v/>
      </c>
      <c r="CT104" s="744" t="str">
        <f>IF($B104&lt;=Factores!$D$3,"",CT12)</f>
        <v/>
      </c>
      <c r="CU104" s="744" t="str">
        <f>IF($B104&lt;=Factores!$D$3,"",CU12)</f>
        <v/>
      </c>
      <c r="CV104" s="744" t="str">
        <f>IF($B104&lt;=Factores!$D$3,"",CV12)</f>
        <v/>
      </c>
      <c r="CW104" s="2449" t="str">
        <f>IF($B104&lt;=Factores!$D$3,"",CW12)</f>
        <v/>
      </c>
      <c r="CX104" s="783" t="str">
        <f>IF($B104&lt;=Factores!$D$3,"",CX12)</f>
        <v/>
      </c>
      <c r="CY104" s="744" t="str">
        <f>IF($B104&lt;=Factores!$D$3,"",CY12)</f>
        <v/>
      </c>
      <c r="CZ104" s="744" t="str">
        <f>IF($B104&lt;=Factores!$D$3,"",CZ12)</f>
        <v/>
      </c>
      <c r="DA104" s="744" t="str">
        <f>IF($B104&lt;=Factores!$D$3,"",DA12)</f>
        <v/>
      </c>
      <c r="DB104" s="744" t="str">
        <f>IF($B104&lt;=Factores!$D$3,"",DB12)</f>
        <v/>
      </c>
      <c r="DC104" s="744" t="str">
        <f>IF($B104&lt;=Factores!$D$3,"",DC12)</f>
        <v/>
      </c>
    </row>
    <row r="105" spans="1:107" s="744" customFormat="1" ht="17.25" customHeight="1">
      <c r="A105" s="2450"/>
      <c r="B105" s="2639">
        <f t="shared" si="60"/>
        <v>46087.791666666664</v>
      </c>
      <c r="C105" s="787" t="str">
        <f>IF($B105&lt;=Factores!$D$3,"",C13)</f>
        <v/>
      </c>
      <c r="D105" s="2555" t="str">
        <f>IF($B105&lt;=Factores!$D$3,"",D13)</f>
        <v/>
      </c>
      <c r="E105" s="2555" t="str">
        <f>IF($B105&lt;=Factores!$D$3,"",E13)</f>
        <v/>
      </c>
      <c r="F105" s="2555" t="str">
        <f>IF($B105&lt;=Factores!$D$3,"",F13)</f>
        <v/>
      </c>
      <c r="G105" s="2555" t="str">
        <f>IF($B105&lt;=Factores!$D$3,"",G13)</f>
        <v/>
      </c>
      <c r="H105" s="2082" t="str">
        <f>IF($B105&lt;=Factores!$D$3,"",H13)</f>
        <v/>
      </c>
      <c r="I105" s="2082" t="str">
        <f>IF($B105&lt;=Factores!$D$3,"",I13)</f>
        <v/>
      </c>
      <c r="J105" s="2082" t="str">
        <f>IF($B105&lt;=Factores!$D$3,"",J13)</f>
        <v/>
      </c>
      <c r="K105" s="2082" t="str">
        <f>IF($B105&lt;=Factores!$D$3,"",K13)</f>
        <v/>
      </c>
      <c r="L105" s="2081" t="str">
        <f>IF($B105&lt;=Factores!$D$3,"",L13)</f>
        <v/>
      </c>
      <c r="M105" s="2082" t="str">
        <f>IF($B105&lt;=Factores!$D$3,"",M13)</f>
        <v/>
      </c>
      <c r="N105" s="2082" t="str">
        <f>IF($B105&lt;=Factores!$D$3,"",N13)</f>
        <v/>
      </c>
      <c r="O105" s="787" t="str">
        <f>IF($B105&lt;=Factores!$D$3,"",O13)</f>
        <v/>
      </c>
      <c r="P105" s="788" t="str">
        <f>IF($B105&lt;=Factores!$D$3,"",P13)</f>
        <v/>
      </c>
      <c r="Q105" s="787" t="str">
        <f>IF($B105&lt;=Factores!$D$3,"",Q13)</f>
        <v/>
      </c>
      <c r="R105" s="789" t="str">
        <f>IF($B105&lt;=Factores!$D$3,"",R13)</f>
        <v/>
      </c>
      <c r="S105" s="787" t="str">
        <f>IF($B105&lt;=Factores!$D$3,"",S13)</f>
        <v/>
      </c>
      <c r="T105" s="2082" t="str">
        <f>IF($B105&lt;=Factores!$D$3,"",T13)</f>
        <v/>
      </c>
      <c r="U105" s="2082" t="str">
        <f>IF($B105&lt;=Factores!$D$3,"",U13)</f>
        <v/>
      </c>
      <c r="V105" s="2082" t="str">
        <f>IF($B105&lt;=Factores!$D$3,"",V13)</f>
        <v/>
      </c>
      <c r="W105" s="2082" t="str">
        <f>IF($B105&lt;=Factores!$D$3,"",W13)</f>
        <v/>
      </c>
      <c r="X105" s="787" t="str">
        <f>IF($B105&lt;=Factores!$D$3,"",X13)</f>
        <v/>
      </c>
      <c r="Y105" s="788" t="str">
        <f>IF($B105&lt;=Factores!$D$3,"",Y13)</f>
        <v/>
      </c>
      <c r="Z105" s="788" t="str">
        <f>IF($B105&lt;=Factores!$D$3,"",Z13)</f>
        <v/>
      </c>
      <c r="AA105" s="787" t="str">
        <f>IF($B105&lt;=Factores!$D$3,"",AA13)</f>
        <v/>
      </c>
      <c r="AB105" s="789" t="str">
        <f>IF($B105&lt;=Factores!$D$3,"",AB13)</f>
        <v/>
      </c>
      <c r="AC105" s="787" t="str">
        <f>IF($B105&lt;=Factores!$D$3,"",AC13)</f>
        <v/>
      </c>
      <c r="AD105" s="788" t="str">
        <f>IF($B105&lt;=Factores!$D$3,"",AD13)</f>
        <v/>
      </c>
      <c r="AE105" s="789" t="str">
        <f>IF($B105&lt;=Factores!$D$3,"",AE13)</f>
        <v/>
      </c>
      <c r="AF105" s="787" t="str">
        <f>IF($B105&lt;=Factores!$D$3,"",AF13)</f>
        <v/>
      </c>
      <c r="AG105" s="788" t="str">
        <f>IF($B105&lt;=Factores!$D$3,"",AG13)</f>
        <v/>
      </c>
      <c r="AH105" s="2556" t="str">
        <f>IF($B105&lt;=Factores!$D$3,"",AH13)</f>
        <v/>
      </c>
      <c r="AI105" s="2557" t="str">
        <f>IF($B105&lt;=Factores!$D$3,"",AI13)</f>
        <v/>
      </c>
      <c r="AJ105" s="2558" t="str">
        <f>IF($B105&lt;=Factores!$D$3,"",AJ13)</f>
        <v/>
      </c>
      <c r="AK105" s="2559" t="str">
        <f>IF($B105&lt;=Factores!$D$3,"",AK13)</f>
        <v/>
      </c>
      <c r="AL105" s="2560" t="str">
        <f>IF($B105&lt;=Factores!$D$3,"",AL13)</f>
        <v/>
      </c>
      <c r="AM105" s="2558" t="str">
        <f>IF($B105&lt;=Factores!$D$3,"",AM13)</f>
        <v/>
      </c>
      <c r="AN105" s="2559" t="str">
        <f>IF($B105&lt;=Factores!$D$3,"",AN13)</f>
        <v/>
      </c>
      <c r="AO105" s="2560" t="str">
        <f>IF($B105&lt;=Factores!$D$3,"",AO13)</f>
        <v/>
      </c>
      <c r="AP105" s="2563" t="str">
        <f>IF($B105&lt;=Factores!$D$3,"",AP13)</f>
        <v/>
      </c>
      <c r="AQ105" s="2563" t="str">
        <f>IF($B105&lt;=Factores!$D$3,"",AQ13)</f>
        <v/>
      </c>
      <c r="AR105" s="2563" t="str">
        <f>IF($B105&lt;=Factores!$D$3,"",AR13)</f>
        <v/>
      </c>
      <c r="AS105" s="2635" t="str">
        <f>IF($B105&lt;=Factores!$D$3,"",AS13)</f>
        <v/>
      </c>
      <c r="AT105" s="2636"/>
      <c r="AU105" s="2561"/>
      <c r="AV105" s="2562" t="str">
        <f>IF($B105&lt;=Factores!$D$3,"",AV13)</f>
        <v/>
      </c>
      <c r="AW105" s="2558" t="str">
        <f>IF($B105&lt;=Factores!$D$3,"",AW13)</f>
        <v/>
      </c>
      <c r="AX105" s="2563" t="str">
        <f>IF($B105&lt;=Factores!$D$3,"",AX13)</f>
        <v/>
      </c>
      <c r="AY105" s="2563" t="str">
        <f>IF($B105&lt;=Factores!$D$3,"",AY13)</f>
        <v/>
      </c>
      <c r="AZ105" s="2563" t="str">
        <f>IF($B105&lt;=Factores!$D$3,"",AZ13)</f>
        <v/>
      </c>
      <c r="BA105" s="2555" t="str">
        <f>IF($B105&lt;=Factores!$D$3,"",BA13)</f>
        <v/>
      </c>
      <c r="BB105" s="789" t="str">
        <f>IF($B105&lt;=Factores!$D$3,"",BB13)</f>
        <v/>
      </c>
      <c r="BC105" s="2085" t="str">
        <f>IF($B105&lt;=Factores!$D$3,"",BC13)</f>
        <v/>
      </c>
      <c r="BD105" s="2085" t="str">
        <f>IF($B105&lt;=Factores!$D$3,"",BD13)</f>
        <v/>
      </c>
      <c r="BE105" s="2637" t="str">
        <f>IF($B105&lt;=Factores!$D$3,"",BE13)</f>
        <v/>
      </c>
      <c r="BF105" s="787" t="str">
        <f>IF($B105&lt;=Factores!$D$3,"",BF13)</f>
        <v/>
      </c>
      <c r="BG105" s="787" t="str">
        <f>IF($B105&lt;=Factores!$D$3,"",BG13)</f>
        <v/>
      </c>
      <c r="BH105" s="787" t="str">
        <f>IF($B105&lt;=Factores!$D$3,"",BH13)</f>
        <v/>
      </c>
      <c r="BI105" s="787" t="str">
        <f>IF($B105&lt;=Factores!$D$3,"",BI13)</f>
        <v/>
      </c>
      <c r="BJ105" s="788" t="str">
        <f>IF($B105&lt;=Factores!$D$3,"",BJ13)</f>
        <v/>
      </c>
      <c r="BK105" s="788" t="str">
        <f>IF($B105&lt;=Factores!$D$3,"",BK13)</f>
        <v/>
      </c>
      <c r="BL105" s="2082" t="str">
        <f>IF($B105&lt;=Factores!$D$3,"",BL13)</f>
        <v/>
      </c>
      <c r="BM105" s="788" t="str">
        <f>IF($B105&lt;=Factores!$D$3,"",BM13)</f>
        <v/>
      </c>
      <c r="BN105" s="788" t="str">
        <f>IF($B105&lt;=Factores!$D$3,"",BN13)</f>
        <v/>
      </c>
      <c r="BO105" s="788" t="str">
        <f>IF($B105&lt;=Factores!$D$3,"",BO13)</f>
        <v/>
      </c>
      <c r="BP105" s="2564" t="str">
        <f>IF($B105&lt;=Factores!$D$3,"",BP13)</f>
        <v/>
      </c>
      <c r="BQ105" s="2565" t="str">
        <f>IF($B105&lt;=Factores!$D$3,"",BQ13)</f>
        <v/>
      </c>
      <c r="BR105" s="2566" t="str">
        <f>IF($B105&lt;=Factores!$D$3,"",BR13)</f>
        <v/>
      </c>
      <c r="BS105" s="2567" t="str">
        <f>IF($B105&lt;=Factores!$D$3,"",BS13)</f>
        <v/>
      </c>
      <c r="BT105" s="2568" t="str">
        <f>IF($B105&lt;=Factores!$D$3,"",BT13)</f>
        <v/>
      </c>
      <c r="BU105" s="2568" t="str">
        <f>IF($B105&lt;=Factores!$D$3,"",BU13)</f>
        <v/>
      </c>
      <c r="BV105" s="2569" t="str">
        <f>IF($B105&lt;=Factores!$D$3,"",BV13)</f>
        <v/>
      </c>
      <c r="BW105" s="2568" t="str">
        <f>IF($B105&lt;=Factores!$D$3,"",BW13)</f>
        <v/>
      </c>
      <c r="BX105" s="2568" t="str">
        <f>IF($B105&lt;=Factores!$D$3,"",BX13)</f>
        <v/>
      </c>
      <c r="BY105" s="2568" t="str">
        <f>IF($B105&lt;=Factores!$D$3,"",BY13)</f>
        <v/>
      </c>
      <c r="BZ105" s="2568" t="str">
        <f>IF($B105&lt;=Factores!$D$3,"",BZ13)</f>
        <v/>
      </c>
      <c r="CA105" s="2570" t="str">
        <f>IF($B105&lt;=Factores!$D$3,"",CA13)</f>
        <v/>
      </c>
      <c r="CB105" s="2570" t="str">
        <f>IF($B105&lt;=Factores!$D$3,"",CB13)</f>
        <v/>
      </c>
      <c r="CC105" s="2570" t="str">
        <f>IF($B105&lt;=Factores!$D$3,"",CC13)</f>
        <v/>
      </c>
      <c r="CD105" s="2566" t="str">
        <f>IF($B105&lt;=Factores!$D$3,"",CD13)</f>
        <v/>
      </c>
      <c r="CE105" s="2570" t="str">
        <f>IF($B105&lt;=Factores!$D$3,"",CE13)</f>
        <v/>
      </c>
      <c r="CF105" s="2570" t="str">
        <f>IF($B105&lt;=Factores!$D$3,"",CF13)</f>
        <v/>
      </c>
      <c r="CG105" s="2570" t="str">
        <f>IF($B105&lt;=Factores!$D$3,"",CG13)</f>
        <v/>
      </c>
      <c r="CH105" s="2567" t="str">
        <f>IF($B105&lt;=Factores!$D$3,"",CH13)</f>
        <v/>
      </c>
      <c r="CI105" s="2570" t="str">
        <f>IF($B105&lt;=Factores!$D$3,"",CI13)</f>
        <v/>
      </c>
      <c r="CJ105" s="2566" t="str">
        <f>IF($B105&lt;=Factores!$D$3,"",CJ13)</f>
        <v/>
      </c>
      <c r="CK105" s="2570" t="str">
        <f>IF($B105&lt;=Factores!$D$3,"",CK13)</f>
        <v/>
      </c>
      <c r="CL105" s="2570" t="str">
        <f>IF($B105&lt;=Factores!$D$3,"",CL13)</f>
        <v/>
      </c>
      <c r="CM105" s="2566" t="str">
        <f>IF($B105&lt;=Factores!$D$3,"",CM13)</f>
        <v/>
      </c>
      <c r="CN105" s="2567" t="str">
        <f>IF($B105&lt;=Factores!$D$3,"",CN13)</f>
        <v/>
      </c>
      <c r="CO105" s="2570" t="str">
        <f>IF($B105&lt;=Factores!$D$3,"",CO13)</f>
        <v/>
      </c>
      <c r="CP105" s="2571" t="str">
        <f>IF($B105&lt;=Factores!$D$3,"",CP13)</f>
        <v/>
      </c>
      <c r="CQ105" s="2638" t="str">
        <f>IF($B105&lt;=Factores!$D$3,"",CQ13)</f>
        <v/>
      </c>
      <c r="CR105" s="2638" t="str">
        <f>IF($B105&lt;=Factores!$D$3,"",CR13)</f>
        <v/>
      </c>
      <c r="CS105" s="2638" t="str">
        <f>IF($B105&lt;=Factores!$D$3,"",CS13)</f>
        <v/>
      </c>
      <c r="CT105" s="2638" t="str">
        <f>IF($B105&lt;=Factores!$D$3,"",CT13)</f>
        <v/>
      </c>
      <c r="CU105" s="2638" t="str">
        <f>IF($B105&lt;=Factores!$D$3,"",CU13)</f>
        <v/>
      </c>
      <c r="CV105" s="2638" t="str">
        <f>IF($B105&lt;=Factores!$D$3,"",CV13)</f>
        <v/>
      </c>
      <c r="CW105" s="2637" t="str">
        <f>IF($B105&lt;=Factores!$D$3,"",CW13)</f>
        <v/>
      </c>
      <c r="CX105" s="2563" t="str">
        <f>IF($B105&lt;=Factores!$D$3,"",CX13)</f>
        <v/>
      </c>
      <c r="CY105" s="2638" t="str">
        <f>IF($B105&lt;=Factores!$D$3,"",CY13)</f>
        <v/>
      </c>
      <c r="CZ105" s="2638" t="str">
        <f>IF($B105&lt;=Factores!$D$3,"",CZ13)</f>
        <v/>
      </c>
      <c r="DA105" s="2638" t="str">
        <f>IF($B105&lt;=Factores!$D$3,"",DA13)</f>
        <v/>
      </c>
      <c r="DB105" s="2638" t="str">
        <f>IF($B105&lt;=Factores!$D$3,"",DB13)</f>
        <v/>
      </c>
      <c r="DC105" s="2638" t="str">
        <f>IF($B105&lt;=Factores!$D$3,"",DC13)</f>
        <v/>
      </c>
    </row>
    <row r="106" spans="1:107" s="744" customFormat="1" ht="17.149999999999999" customHeight="1">
      <c r="A106" s="2450"/>
      <c r="B106" s="2640">
        <f t="shared" si="60"/>
        <v>46088.791666666664</v>
      </c>
      <c r="C106" s="780" t="str">
        <f>IF($B106&lt;=Factores!$D$3,"",C14)</f>
        <v/>
      </c>
      <c r="D106" s="2432" t="str">
        <f>IF($B106&lt;=Factores!$D$3,"",D14)</f>
        <v/>
      </c>
      <c r="E106" s="2432" t="str">
        <f>IF($B106&lt;=Factores!$D$3,"",E14)</f>
        <v/>
      </c>
      <c r="F106" s="2432" t="str">
        <f>IF($B106&lt;=Factores!$D$3,"",F14)</f>
        <v/>
      </c>
      <c r="G106" s="2432" t="str">
        <f>IF($B106&lt;=Factores!$D$3,"",G14)</f>
        <v/>
      </c>
      <c r="H106" s="781" t="str">
        <f>IF($B106&lt;=Factores!$D$3,"",H14)</f>
        <v/>
      </c>
      <c r="I106" s="781" t="str">
        <f>IF($B106&lt;=Factores!$D$3,"",I14)</f>
        <v/>
      </c>
      <c r="J106" s="781" t="str">
        <f>IF($B106&lt;=Factores!$D$3,"",J14)</f>
        <v/>
      </c>
      <c r="K106" s="781" t="str">
        <f>IF($B106&lt;=Factores!$D$3,"",K14)</f>
        <v/>
      </c>
      <c r="L106" s="2066" t="str">
        <f>IF($B106&lt;=Factores!$D$3,"",L14)</f>
        <v/>
      </c>
      <c r="M106" s="781" t="str">
        <f>IF($B106&lt;=Factores!$D$3,"",M14)</f>
        <v/>
      </c>
      <c r="N106" s="781" t="str">
        <f>IF($B106&lt;=Factores!$D$3,"",N14)</f>
        <v/>
      </c>
      <c r="O106" s="780" t="str">
        <f>IF($B106&lt;=Factores!$D$3,"",O14)</f>
        <v/>
      </c>
      <c r="P106" s="539" t="str">
        <f>IF($B106&lt;=Factores!$D$3,"",P14)</f>
        <v/>
      </c>
      <c r="Q106" s="780" t="str">
        <f>IF($B106&lt;=Factores!$D$3,"",Q14)</f>
        <v/>
      </c>
      <c r="R106" s="782" t="str">
        <f>IF($B106&lt;=Factores!$D$3,"",R14)</f>
        <v/>
      </c>
      <c r="S106" s="780" t="str">
        <f>IF($B106&lt;=Factores!$D$3,"",S14)</f>
        <v/>
      </c>
      <c r="T106" s="781" t="str">
        <f>IF($B106&lt;=Factores!$D$3,"",T14)</f>
        <v/>
      </c>
      <c r="U106" s="781" t="str">
        <f>IF($B106&lt;=Factores!$D$3,"",U14)</f>
        <v/>
      </c>
      <c r="V106" s="781" t="str">
        <f>IF($B106&lt;=Factores!$D$3,"",V14)</f>
        <v/>
      </c>
      <c r="W106" s="781" t="str">
        <f>IF($B106&lt;=Factores!$D$3,"",W14)</f>
        <v/>
      </c>
      <c r="X106" s="780" t="str">
        <f>IF($B106&lt;=Factores!$D$3,"",X14)</f>
        <v/>
      </c>
      <c r="Y106" s="539" t="str">
        <f>IF($B106&lt;=Factores!$D$3,"",Y14)</f>
        <v/>
      </c>
      <c r="Z106" s="539" t="str">
        <f>IF($B106&lt;=Factores!$D$3,"",Z14)</f>
        <v/>
      </c>
      <c r="AA106" s="780" t="str">
        <f>IF($B106&lt;=Factores!$D$3,"",AA14)</f>
        <v/>
      </c>
      <c r="AB106" s="782" t="str">
        <f>IF($B106&lt;=Factores!$D$3,"",AB14)</f>
        <v/>
      </c>
      <c r="AC106" s="780" t="str">
        <f>IF($B106&lt;=Factores!$D$3,"",AC14)</f>
        <v/>
      </c>
      <c r="AD106" s="539" t="str">
        <f>IF($B106&lt;=Factores!$D$3,"",AD14)</f>
        <v/>
      </c>
      <c r="AE106" s="782" t="str">
        <f>IF($B106&lt;=Factores!$D$3,"",AE14)</f>
        <v/>
      </c>
      <c r="AF106" s="780" t="str">
        <f>IF($B106&lt;=Factores!$D$3,"",AF14)</f>
        <v/>
      </c>
      <c r="AG106" s="539" t="str">
        <f>IF($B106&lt;=Factores!$D$3,"",AG14)</f>
        <v/>
      </c>
      <c r="AH106" s="2072" t="str">
        <f>IF($B106&lt;=Factores!$D$3,"",AH14)</f>
        <v/>
      </c>
      <c r="AI106" s="2451" t="str">
        <f>IF($B106&lt;=Factores!$D$3,"",AI14)</f>
        <v/>
      </c>
      <c r="AJ106" s="2439" t="str">
        <f>IF($B106&lt;=Factores!$D$3,"",AJ14)</f>
        <v/>
      </c>
      <c r="AK106" s="2452" t="str">
        <f>IF($B106&lt;=Factores!$D$3,"",AK14)</f>
        <v/>
      </c>
      <c r="AL106" s="2453" t="str">
        <f>IF($B106&lt;=Factores!$D$3,"",AL14)</f>
        <v/>
      </c>
      <c r="AM106" s="2439" t="str">
        <f>IF($B106&lt;=Factores!$D$3,"",AM14)</f>
        <v/>
      </c>
      <c r="AN106" s="2452" t="str">
        <f>IF($B106&lt;=Factores!$D$3,"",AN14)</f>
        <v/>
      </c>
      <c r="AO106" s="2453" t="str">
        <f>IF($B106&lt;=Factores!$D$3,"",AO14)</f>
        <v/>
      </c>
      <c r="AP106" s="783" t="str">
        <f>IF($B106&lt;=Factores!$D$3,"",AP14)</f>
        <v/>
      </c>
      <c r="AQ106" s="783" t="str">
        <f>IF($B106&lt;=Factores!$D$3,"",AQ14)</f>
        <v/>
      </c>
      <c r="AR106" s="783" t="str">
        <f>IF($B106&lt;=Factores!$D$3,"",AR14)</f>
        <v/>
      </c>
      <c r="AS106" s="2632" t="str">
        <f>IF($B106&lt;=Factores!$D$3,"",AS14)</f>
        <v/>
      </c>
      <c r="AT106" s="784"/>
      <c r="AU106" s="2076"/>
      <c r="AV106" s="2438" t="str">
        <f>IF($B106&lt;=Factores!$D$3,"",AV14)</f>
        <v/>
      </c>
      <c r="AW106" s="2439" t="str">
        <f>IF($B106&lt;=Factores!$D$3,"",AW14)</f>
        <v/>
      </c>
      <c r="AX106" s="783" t="str">
        <f>IF($B106&lt;=Factores!$D$3,"",AX14)</f>
        <v/>
      </c>
      <c r="AY106" s="783" t="str">
        <f>IF($B106&lt;=Factores!$D$3,"",AY14)</f>
        <v/>
      </c>
      <c r="AZ106" s="783" t="str">
        <f>IF($B106&lt;=Factores!$D$3,"",AZ14)</f>
        <v/>
      </c>
      <c r="BA106" s="2432" t="str">
        <f>IF($B106&lt;=Factores!$D$3,"",BA14)</f>
        <v/>
      </c>
      <c r="BB106" s="782" t="str">
        <f>IF($B106&lt;=Factores!$D$3,"",BB14)</f>
        <v/>
      </c>
      <c r="BC106" s="2078" t="str">
        <f>IF($B106&lt;=Factores!$D$3,"",BC14)</f>
        <v/>
      </c>
      <c r="BD106" s="2078" t="str">
        <f>IF($B106&lt;=Factores!$D$3,"",BD14)</f>
        <v/>
      </c>
      <c r="BE106" s="2449" t="str">
        <f>IF($B106&lt;=Factores!$D$3,"",BE14)</f>
        <v/>
      </c>
      <c r="BF106" s="780" t="str">
        <f>IF($B106&lt;=Factores!$D$3,"",BF14)</f>
        <v/>
      </c>
      <c r="BG106" s="780" t="str">
        <f>IF($B106&lt;=Factores!$D$3,"",BG14)</f>
        <v/>
      </c>
      <c r="BH106" s="780" t="str">
        <f>IF($B106&lt;=Factores!$D$3,"",BH14)</f>
        <v/>
      </c>
      <c r="BI106" s="780" t="str">
        <f>IF($B106&lt;=Factores!$D$3,"",BI14)</f>
        <v/>
      </c>
      <c r="BJ106" s="539" t="str">
        <f>IF($B106&lt;=Factores!$D$3,"",BJ14)</f>
        <v/>
      </c>
      <c r="BK106" s="539" t="str">
        <f>IF($B106&lt;=Factores!$D$3,"",BK14)</f>
        <v/>
      </c>
      <c r="BL106" s="781" t="str">
        <f>IF($B106&lt;=Factores!$D$3,"",BL14)</f>
        <v/>
      </c>
      <c r="BM106" s="539" t="str">
        <f>IF($B106&lt;=Factores!$D$3,"",BM14)</f>
        <v/>
      </c>
      <c r="BN106" s="539" t="str">
        <f>IF($B106&lt;=Factores!$D$3,"",BN14)</f>
        <v/>
      </c>
      <c r="BO106" s="539" t="str">
        <f>IF($B106&lt;=Factores!$D$3,"",BO14)</f>
        <v/>
      </c>
      <c r="BP106" s="2441" t="str">
        <f>IF($B106&lt;=Factores!$D$3,"",BP14)</f>
        <v/>
      </c>
      <c r="BQ106" s="2442" t="str">
        <f>IF($B106&lt;=Factores!$D$3,"",BQ14)</f>
        <v/>
      </c>
      <c r="BR106" s="2443" t="str">
        <f>IF($B106&lt;=Factores!$D$3,"",BR14)</f>
        <v/>
      </c>
      <c r="BS106" s="2444" t="str">
        <f>IF($B106&lt;=Factores!$D$3,"",BS14)</f>
        <v/>
      </c>
      <c r="BT106" s="785" t="str">
        <f>IF($B106&lt;=Factores!$D$3,"",BT14)</f>
        <v/>
      </c>
      <c r="BU106" s="785" t="str">
        <f>IF($B106&lt;=Factores!$D$3,"",BU14)</f>
        <v/>
      </c>
      <c r="BV106" s="2445" t="str">
        <f>IF($B106&lt;=Factores!$D$3,"",BV14)</f>
        <v/>
      </c>
      <c r="BW106" s="785" t="str">
        <f>IF($B106&lt;=Factores!$D$3,"",BW14)</f>
        <v/>
      </c>
      <c r="BX106" s="785" t="str">
        <f>IF($B106&lt;=Factores!$D$3,"",BX14)</f>
        <v/>
      </c>
      <c r="BY106" s="785" t="str">
        <f>IF($B106&lt;=Factores!$D$3,"",BY14)</f>
        <v/>
      </c>
      <c r="BZ106" s="785" t="str">
        <f>IF($B106&lt;=Factores!$D$3,"",BZ14)</f>
        <v/>
      </c>
      <c r="CA106" s="2446" t="str">
        <f>IF($B106&lt;=Factores!$D$3,"",CA14)</f>
        <v/>
      </c>
      <c r="CB106" s="2446" t="str">
        <f>IF($B106&lt;=Factores!$D$3,"",CB14)</f>
        <v/>
      </c>
      <c r="CC106" s="2446" t="str">
        <f>IF($B106&lt;=Factores!$D$3,"",CC14)</f>
        <v/>
      </c>
      <c r="CD106" s="2443" t="str">
        <f>IF($B106&lt;=Factores!$D$3,"",CD14)</f>
        <v/>
      </c>
      <c r="CE106" s="2446" t="str">
        <f>IF($B106&lt;=Factores!$D$3,"",CE14)</f>
        <v/>
      </c>
      <c r="CF106" s="2446" t="str">
        <f>IF($B106&lt;=Factores!$D$3,"",CF14)</f>
        <v/>
      </c>
      <c r="CG106" s="2446" t="str">
        <f>IF($B106&lt;=Factores!$D$3,"",CG14)</f>
        <v/>
      </c>
      <c r="CH106" s="2444" t="str">
        <f>IF($B106&lt;=Factores!$D$3,"",CH14)</f>
        <v/>
      </c>
      <c r="CI106" s="2446" t="str">
        <f>IF($B106&lt;=Factores!$D$3,"",CI14)</f>
        <v/>
      </c>
      <c r="CJ106" s="2443" t="str">
        <f>IF($B106&lt;=Factores!$D$3,"",CJ14)</f>
        <v/>
      </c>
      <c r="CK106" s="2446" t="str">
        <f>IF($B106&lt;=Factores!$D$3,"",CK14)</f>
        <v/>
      </c>
      <c r="CL106" s="2446" t="str">
        <f>IF($B106&lt;=Factores!$D$3,"",CL14)</f>
        <v/>
      </c>
      <c r="CM106" s="2443" t="str">
        <f>IF($B106&lt;=Factores!$D$3,"",CM14)</f>
        <v/>
      </c>
      <c r="CN106" s="2444" t="str">
        <f>IF($B106&lt;=Factores!$D$3,"",CN14)</f>
        <v/>
      </c>
      <c r="CO106" s="2446" t="str">
        <f>IF($B106&lt;=Factores!$D$3,"",CO14)</f>
        <v/>
      </c>
      <c r="CP106" s="2447" t="str">
        <f>IF($B106&lt;=Factores!$D$3,"",CP14)</f>
        <v/>
      </c>
      <c r="CQ106" s="744" t="str">
        <f>IF($B106&lt;=Factores!$D$3,"",CQ14)</f>
        <v/>
      </c>
      <c r="CR106" s="744" t="str">
        <f>IF($B106&lt;=Factores!$D$3,"",CR14)</f>
        <v/>
      </c>
      <c r="CS106" s="744" t="str">
        <f>IF($B106&lt;=Factores!$D$3,"",CS14)</f>
        <v/>
      </c>
      <c r="CT106" s="744" t="str">
        <f>IF($B106&lt;=Factores!$D$3,"",CT14)</f>
        <v/>
      </c>
      <c r="CU106" s="744" t="str">
        <f>IF($B106&lt;=Factores!$D$3,"",CU14)</f>
        <v/>
      </c>
      <c r="CV106" s="744" t="str">
        <f>IF($B106&lt;=Factores!$D$3,"",CV14)</f>
        <v/>
      </c>
      <c r="CW106" s="2449" t="str">
        <f>IF($B106&lt;=Factores!$D$3,"",CW14)</f>
        <v/>
      </c>
      <c r="CX106" s="783" t="str">
        <f>IF($B106&lt;=Factores!$D$3,"",CX14)</f>
        <v/>
      </c>
      <c r="CY106" s="744" t="str">
        <f>IF($B106&lt;=Factores!$D$3,"",CY14)</f>
        <v/>
      </c>
      <c r="CZ106" s="744" t="str">
        <f>IF($B106&lt;=Factores!$D$3,"",CZ14)</f>
        <v/>
      </c>
      <c r="DA106" s="744" t="str">
        <f>IF($B106&lt;=Factores!$D$3,"",DA14)</f>
        <v/>
      </c>
      <c r="DB106" s="744" t="str">
        <f>IF($B106&lt;=Factores!$D$3,"",DB14)</f>
        <v/>
      </c>
      <c r="DC106" s="744" t="str">
        <f>IF($B106&lt;=Factores!$D$3,"",DC14)</f>
        <v/>
      </c>
    </row>
    <row r="107" spans="1:107" s="744" customFormat="1" ht="17.149999999999999" customHeight="1">
      <c r="A107" s="2450"/>
      <c r="B107" s="2640">
        <f t="shared" si="60"/>
        <v>46089.791666666664</v>
      </c>
      <c r="C107" s="780" t="str">
        <f>IF($B107&lt;=Factores!$D$3,"",C15)</f>
        <v/>
      </c>
      <c r="D107" s="2432" t="str">
        <f>IF($B107&lt;=Factores!$D$3,"",D15)</f>
        <v/>
      </c>
      <c r="E107" s="2432" t="str">
        <f>IF($B107&lt;=Factores!$D$3,"",E15)</f>
        <v/>
      </c>
      <c r="F107" s="2432" t="str">
        <f>IF($B107&lt;=Factores!$D$3,"",F15)</f>
        <v/>
      </c>
      <c r="G107" s="2432" t="str">
        <f>IF($B107&lt;=Factores!$D$3,"",G15)</f>
        <v/>
      </c>
      <c r="H107" s="781" t="str">
        <f>IF($B107&lt;=Factores!$D$3,"",H15)</f>
        <v/>
      </c>
      <c r="I107" s="781" t="str">
        <f>IF($B107&lt;=Factores!$D$3,"",I15)</f>
        <v/>
      </c>
      <c r="J107" s="781" t="str">
        <f>IF($B107&lt;=Factores!$D$3,"",J15)</f>
        <v/>
      </c>
      <c r="K107" s="781" t="str">
        <f>IF($B107&lt;=Factores!$D$3,"",K15)</f>
        <v/>
      </c>
      <c r="L107" s="2066" t="str">
        <f>IF($B107&lt;=Factores!$D$3,"",L15)</f>
        <v/>
      </c>
      <c r="M107" s="781" t="str">
        <f>IF($B107&lt;=Factores!$D$3,"",M15)</f>
        <v/>
      </c>
      <c r="N107" s="781" t="str">
        <f>IF($B107&lt;=Factores!$D$3,"",N15)</f>
        <v/>
      </c>
      <c r="O107" s="780" t="str">
        <f>IF($B107&lt;=Factores!$D$3,"",O15)</f>
        <v/>
      </c>
      <c r="P107" s="539" t="str">
        <f>IF($B107&lt;=Factores!$D$3,"",P15)</f>
        <v/>
      </c>
      <c r="Q107" s="780" t="str">
        <f>IF($B107&lt;=Factores!$D$3,"",Q15)</f>
        <v/>
      </c>
      <c r="R107" s="782" t="str">
        <f>IF($B107&lt;=Factores!$D$3,"",R15)</f>
        <v/>
      </c>
      <c r="S107" s="780" t="str">
        <f>IF($B107&lt;=Factores!$D$3,"",S15)</f>
        <v/>
      </c>
      <c r="T107" s="781" t="str">
        <f>IF($B107&lt;=Factores!$D$3,"",T15)</f>
        <v/>
      </c>
      <c r="U107" s="781" t="str">
        <f>IF($B107&lt;=Factores!$D$3,"",U15)</f>
        <v/>
      </c>
      <c r="V107" s="781" t="str">
        <f>IF($B107&lt;=Factores!$D$3,"",V15)</f>
        <v/>
      </c>
      <c r="W107" s="781" t="str">
        <f>IF($B107&lt;=Factores!$D$3,"",W15)</f>
        <v/>
      </c>
      <c r="X107" s="780" t="str">
        <f>IF($B107&lt;=Factores!$D$3,"",X15)</f>
        <v/>
      </c>
      <c r="Y107" s="539" t="str">
        <f>IF($B107&lt;=Factores!$D$3,"",Y15)</f>
        <v/>
      </c>
      <c r="Z107" s="539" t="str">
        <f>IF($B107&lt;=Factores!$D$3,"",Z15)</f>
        <v/>
      </c>
      <c r="AA107" s="780" t="str">
        <f>IF($B107&lt;=Factores!$D$3,"",AA15)</f>
        <v/>
      </c>
      <c r="AB107" s="782" t="str">
        <f>IF($B107&lt;=Factores!$D$3,"",AB15)</f>
        <v/>
      </c>
      <c r="AC107" s="780" t="str">
        <f>IF($B107&lt;=Factores!$D$3,"",AC15)</f>
        <v/>
      </c>
      <c r="AD107" s="539" t="str">
        <f>IF($B107&lt;=Factores!$D$3,"",AD15)</f>
        <v/>
      </c>
      <c r="AE107" s="782" t="str">
        <f>IF($B107&lt;=Factores!$D$3,"",AE15)</f>
        <v/>
      </c>
      <c r="AF107" s="780" t="str">
        <f>IF($B107&lt;=Factores!$D$3,"",AF15)</f>
        <v/>
      </c>
      <c r="AG107" s="539" t="str">
        <f>IF($B107&lt;=Factores!$D$3,"",AG15)</f>
        <v/>
      </c>
      <c r="AH107" s="2072" t="str">
        <f>IF($B107&lt;=Factores!$D$3,"",AH15)</f>
        <v/>
      </c>
      <c r="AI107" s="2451" t="str">
        <f>IF($B107&lt;=Factores!$D$3,"",AI15)</f>
        <v/>
      </c>
      <c r="AJ107" s="2439" t="str">
        <f>IF($B107&lt;=Factores!$D$3,"",AJ15)</f>
        <v/>
      </c>
      <c r="AK107" s="2452" t="str">
        <f>IF($B107&lt;=Factores!$D$3,"",AK15)</f>
        <v/>
      </c>
      <c r="AL107" s="2453" t="str">
        <f>IF($B107&lt;=Factores!$D$3,"",AL15)</f>
        <v/>
      </c>
      <c r="AM107" s="2439" t="str">
        <f>IF($B107&lt;=Factores!$D$3,"",AM15)</f>
        <v/>
      </c>
      <c r="AN107" s="2452" t="str">
        <f>IF($B107&lt;=Factores!$D$3,"",AN15)</f>
        <v/>
      </c>
      <c r="AO107" s="2453" t="str">
        <f>IF($B107&lt;=Factores!$D$3,"",AO15)</f>
        <v/>
      </c>
      <c r="AP107" s="783" t="str">
        <f>IF($B107&lt;=Factores!$D$3,"",AP15)</f>
        <v/>
      </c>
      <c r="AQ107" s="783" t="str">
        <f>IF($B107&lt;=Factores!$D$3,"",AQ15)</f>
        <v/>
      </c>
      <c r="AR107" s="783" t="str">
        <f>IF($B107&lt;=Factores!$D$3,"",AR15)</f>
        <v/>
      </c>
      <c r="AS107" s="2632" t="str">
        <f>IF($B107&lt;=Factores!$D$3,"",AS15)</f>
        <v/>
      </c>
      <c r="AT107" s="784"/>
      <c r="AU107" s="2076"/>
      <c r="AV107" s="2438" t="str">
        <f>IF($B107&lt;=Factores!$D$3,"",AV15)</f>
        <v/>
      </c>
      <c r="AW107" s="2439" t="str">
        <f>IF($B107&lt;=Factores!$D$3,"",AW15)</f>
        <v/>
      </c>
      <c r="AX107" s="783" t="str">
        <f>IF($B107&lt;=Factores!$D$3,"",AX15)</f>
        <v/>
      </c>
      <c r="AY107" s="783" t="str">
        <f>IF($B107&lt;=Factores!$D$3,"",AY15)</f>
        <v/>
      </c>
      <c r="AZ107" s="783" t="str">
        <f>IF($B107&lt;=Factores!$D$3,"",AZ15)</f>
        <v/>
      </c>
      <c r="BA107" s="2432" t="str">
        <f>IF($B107&lt;=Factores!$D$3,"",BA15)</f>
        <v/>
      </c>
      <c r="BB107" s="782" t="str">
        <f>IF($B107&lt;=Factores!$D$3,"",BB15)</f>
        <v/>
      </c>
      <c r="BC107" s="2078" t="str">
        <f>IF($B107&lt;=Factores!$D$3,"",BC15)</f>
        <v/>
      </c>
      <c r="BD107" s="2078" t="str">
        <f>IF($B107&lt;=Factores!$D$3,"",BD15)</f>
        <v/>
      </c>
      <c r="BE107" s="2449" t="str">
        <f>IF($B107&lt;=Factores!$D$3,"",BE15)</f>
        <v/>
      </c>
      <c r="BF107" s="780" t="str">
        <f>IF($B107&lt;=Factores!$D$3,"",BF15)</f>
        <v/>
      </c>
      <c r="BG107" s="780" t="str">
        <f>IF($B107&lt;=Factores!$D$3,"",BG15)</f>
        <v/>
      </c>
      <c r="BH107" s="780" t="str">
        <f>IF($B107&lt;=Factores!$D$3,"",BH15)</f>
        <v/>
      </c>
      <c r="BI107" s="780" t="str">
        <f>IF($B107&lt;=Factores!$D$3,"",BI15)</f>
        <v/>
      </c>
      <c r="BJ107" s="539" t="str">
        <f>IF($B107&lt;=Factores!$D$3,"",BJ15)</f>
        <v/>
      </c>
      <c r="BK107" s="539" t="str">
        <f>IF($B107&lt;=Factores!$D$3,"",BK15)</f>
        <v/>
      </c>
      <c r="BL107" s="781" t="str">
        <f>IF($B107&lt;=Factores!$D$3,"",BL15)</f>
        <v/>
      </c>
      <c r="BM107" s="539" t="str">
        <f>IF($B107&lt;=Factores!$D$3,"",BM15)</f>
        <v/>
      </c>
      <c r="BN107" s="539" t="str">
        <f>IF($B107&lt;=Factores!$D$3,"",BN15)</f>
        <v/>
      </c>
      <c r="BO107" s="539" t="str">
        <f>IF($B107&lt;=Factores!$D$3,"",BO15)</f>
        <v/>
      </c>
      <c r="BP107" s="2441" t="str">
        <f>IF($B107&lt;=Factores!$D$3,"",BP15)</f>
        <v/>
      </c>
      <c r="BQ107" s="2442" t="str">
        <f>IF($B107&lt;=Factores!$D$3,"",BQ15)</f>
        <v/>
      </c>
      <c r="BR107" s="2443" t="str">
        <f>IF($B107&lt;=Factores!$D$3,"",BR15)</f>
        <v/>
      </c>
      <c r="BS107" s="2444" t="str">
        <f>IF($B107&lt;=Factores!$D$3,"",BS15)</f>
        <v/>
      </c>
      <c r="BT107" s="785" t="str">
        <f>IF($B107&lt;=Factores!$D$3,"",BT15)</f>
        <v/>
      </c>
      <c r="BU107" s="785" t="str">
        <f>IF($B107&lt;=Factores!$D$3,"",BU15)</f>
        <v/>
      </c>
      <c r="BV107" s="2445" t="str">
        <f>IF($B107&lt;=Factores!$D$3,"",BV15)</f>
        <v/>
      </c>
      <c r="BW107" s="785" t="str">
        <f>IF($B107&lt;=Factores!$D$3,"",BW15)</f>
        <v/>
      </c>
      <c r="BX107" s="785" t="str">
        <f>IF($B107&lt;=Factores!$D$3,"",BX15)</f>
        <v/>
      </c>
      <c r="BY107" s="785" t="str">
        <f>IF($B107&lt;=Factores!$D$3,"",BY15)</f>
        <v/>
      </c>
      <c r="BZ107" s="785" t="str">
        <f>IF($B107&lt;=Factores!$D$3,"",BZ15)</f>
        <v/>
      </c>
      <c r="CA107" s="2446" t="str">
        <f>IF($B107&lt;=Factores!$D$3,"",CA15)</f>
        <v/>
      </c>
      <c r="CB107" s="2446" t="str">
        <f>IF($B107&lt;=Factores!$D$3,"",CB15)</f>
        <v/>
      </c>
      <c r="CC107" s="2446" t="str">
        <f>IF($B107&lt;=Factores!$D$3,"",CC15)</f>
        <v/>
      </c>
      <c r="CD107" s="2443" t="str">
        <f>IF($B107&lt;=Factores!$D$3,"",CD15)</f>
        <v/>
      </c>
      <c r="CE107" s="2446" t="str">
        <f>IF($B107&lt;=Factores!$D$3,"",CE15)</f>
        <v/>
      </c>
      <c r="CF107" s="2446" t="str">
        <f>IF($B107&lt;=Factores!$D$3,"",CF15)</f>
        <v/>
      </c>
      <c r="CG107" s="2446" t="str">
        <f>IF($B107&lt;=Factores!$D$3,"",CG15)</f>
        <v/>
      </c>
      <c r="CH107" s="2444" t="str">
        <f>IF($B107&lt;=Factores!$D$3,"",CH15)</f>
        <v/>
      </c>
      <c r="CI107" s="2446" t="str">
        <f>IF($B107&lt;=Factores!$D$3,"",CI15)</f>
        <v/>
      </c>
      <c r="CJ107" s="2443" t="str">
        <f>IF($B107&lt;=Factores!$D$3,"",CJ15)</f>
        <v/>
      </c>
      <c r="CK107" s="2446" t="str">
        <f>IF($B107&lt;=Factores!$D$3,"",CK15)</f>
        <v/>
      </c>
      <c r="CL107" s="2446" t="str">
        <f>IF($B107&lt;=Factores!$D$3,"",CL15)</f>
        <v/>
      </c>
      <c r="CM107" s="2443" t="str">
        <f>IF($B107&lt;=Factores!$D$3,"",CM15)</f>
        <v/>
      </c>
      <c r="CN107" s="2444" t="str">
        <f>IF($B107&lt;=Factores!$D$3,"",CN15)</f>
        <v/>
      </c>
      <c r="CO107" s="2446" t="str">
        <f>IF($B107&lt;=Factores!$D$3,"",CO15)</f>
        <v/>
      </c>
      <c r="CP107" s="2447" t="str">
        <f>IF($B107&lt;=Factores!$D$3,"",CP15)</f>
        <v/>
      </c>
      <c r="CQ107" s="744" t="str">
        <f>IF($B107&lt;=Factores!$D$3,"",CQ15)</f>
        <v/>
      </c>
      <c r="CR107" s="744" t="str">
        <f>IF($B107&lt;=Factores!$D$3,"",CR15)</f>
        <v/>
      </c>
      <c r="CS107" s="744" t="str">
        <f>IF($B107&lt;=Factores!$D$3,"",CS15)</f>
        <v/>
      </c>
      <c r="CT107" s="744" t="str">
        <f>IF($B107&lt;=Factores!$D$3,"",CT15)</f>
        <v/>
      </c>
      <c r="CU107" s="744" t="str">
        <f>IF($B107&lt;=Factores!$D$3,"",CU15)</f>
        <v/>
      </c>
      <c r="CV107" s="744" t="str">
        <f>IF($B107&lt;=Factores!$D$3,"",CV15)</f>
        <v/>
      </c>
      <c r="CW107" s="2449" t="str">
        <f>IF($B107&lt;=Factores!$D$3,"",CW15)</f>
        <v/>
      </c>
      <c r="CX107" s="783" t="str">
        <f>IF($B107&lt;=Factores!$D$3,"",CX15)</f>
        <v/>
      </c>
      <c r="CY107" s="744" t="str">
        <f>IF($B107&lt;=Factores!$D$3,"",CY15)</f>
        <v/>
      </c>
      <c r="CZ107" s="744" t="str">
        <f>IF($B107&lt;=Factores!$D$3,"",CZ15)</f>
        <v/>
      </c>
      <c r="DA107" s="744" t="str">
        <f>IF($B107&lt;=Factores!$D$3,"",DA15)</f>
        <v/>
      </c>
      <c r="DB107" s="744" t="str">
        <f>IF($B107&lt;=Factores!$D$3,"",DB15)</f>
        <v/>
      </c>
      <c r="DC107" s="744" t="str">
        <f>IF($B107&lt;=Factores!$D$3,"",DC15)</f>
        <v/>
      </c>
    </row>
    <row r="108" spans="1:107" s="744" customFormat="1" ht="17.149999999999999" customHeight="1">
      <c r="A108" s="2450"/>
      <c r="B108" s="794">
        <f t="shared" si="60"/>
        <v>46090.791666666664</v>
      </c>
      <c r="C108" s="780" t="str">
        <f>IF($B108&lt;=Factores!$D$3,"",C16)</f>
        <v/>
      </c>
      <c r="D108" s="2432" t="str">
        <f>IF($B108&lt;=Factores!$D$3,"",D16)</f>
        <v/>
      </c>
      <c r="E108" s="2432" t="str">
        <f>IF($B108&lt;=Factores!$D$3,"",E16)</f>
        <v/>
      </c>
      <c r="F108" s="2432" t="str">
        <f>IF($B108&lt;=Factores!$D$3,"",F16)</f>
        <v/>
      </c>
      <c r="G108" s="2432" t="str">
        <f>IF($B108&lt;=Factores!$D$3,"",G16)</f>
        <v/>
      </c>
      <c r="H108" s="781" t="str">
        <f>IF($B108&lt;=Factores!$D$3,"",H16)</f>
        <v/>
      </c>
      <c r="I108" s="781" t="str">
        <f>IF($B108&lt;=Factores!$D$3,"",I16)</f>
        <v/>
      </c>
      <c r="J108" s="781" t="str">
        <f>IF($B108&lt;=Factores!$D$3,"",J16)</f>
        <v/>
      </c>
      <c r="K108" s="781" t="str">
        <f>IF($B108&lt;=Factores!$D$3,"",K16)</f>
        <v/>
      </c>
      <c r="L108" s="2066" t="str">
        <f>IF($B108&lt;=Factores!$D$3,"",L16)</f>
        <v/>
      </c>
      <c r="M108" s="781" t="str">
        <f>IF($B108&lt;=Factores!$D$3,"",M16)</f>
        <v/>
      </c>
      <c r="N108" s="781" t="str">
        <f>IF($B108&lt;=Factores!$D$3,"",N16)</f>
        <v/>
      </c>
      <c r="O108" s="780" t="str">
        <f>IF($B108&lt;=Factores!$D$3,"",O16)</f>
        <v/>
      </c>
      <c r="P108" s="539" t="str">
        <f>IF($B108&lt;=Factores!$D$3,"",P16)</f>
        <v/>
      </c>
      <c r="Q108" s="780" t="str">
        <f>IF($B108&lt;=Factores!$D$3,"",Q16)</f>
        <v/>
      </c>
      <c r="R108" s="782" t="str">
        <f>IF($B108&lt;=Factores!$D$3,"",R16)</f>
        <v/>
      </c>
      <c r="S108" s="780" t="str">
        <f>IF($B108&lt;=Factores!$D$3,"",S16)</f>
        <v/>
      </c>
      <c r="T108" s="781" t="str">
        <f>IF($B108&lt;=Factores!$D$3,"",T16)</f>
        <v/>
      </c>
      <c r="U108" s="781" t="str">
        <f>IF($B108&lt;=Factores!$D$3,"",U16)</f>
        <v/>
      </c>
      <c r="V108" s="781" t="str">
        <f>IF($B108&lt;=Factores!$D$3,"",V16)</f>
        <v/>
      </c>
      <c r="W108" s="781" t="str">
        <f>IF($B108&lt;=Factores!$D$3,"",W16)</f>
        <v/>
      </c>
      <c r="X108" s="780" t="str">
        <f>IF($B108&lt;=Factores!$D$3,"",X16)</f>
        <v/>
      </c>
      <c r="Y108" s="539" t="str">
        <f>IF($B108&lt;=Factores!$D$3,"",Y16)</f>
        <v/>
      </c>
      <c r="Z108" s="539" t="str">
        <f>IF($B108&lt;=Factores!$D$3,"",Z16)</f>
        <v/>
      </c>
      <c r="AA108" s="780" t="str">
        <f>IF($B108&lt;=Factores!$D$3,"",AA16)</f>
        <v/>
      </c>
      <c r="AB108" s="782" t="str">
        <f>IF($B108&lt;=Factores!$D$3,"",AB16)</f>
        <v/>
      </c>
      <c r="AC108" s="780" t="str">
        <f>IF($B108&lt;=Factores!$D$3,"",AC16)</f>
        <v/>
      </c>
      <c r="AD108" s="539" t="str">
        <f>IF($B108&lt;=Factores!$D$3,"",AD16)</f>
        <v/>
      </c>
      <c r="AE108" s="782" t="str">
        <f>IF($B108&lt;=Factores!$D$3,"",AE16)</f>
        <v/>
      </c>
      <c r="AF108" s="780" t="str">
        <f>IF($B108&lt;=Factores!$D$3,"",AF16)</f>
        <v/>
      </c>
      <c r="AG108" s="539" t="str">
        <f>IF($B108&lt;=Factores!$D$3,"",AG16)</f>
        <v/>
      </c>
      <c r="AH108" s="2072" t="str">
        <f>IF($B108&lt;=Factores!$D$3,"",AH16)</f>
        <v/>
      </c>
      <c r="AI108" s="2451" t="str">
        <f>IF($B108&lt;=Factores!$D$3,"",AI16)</f>
        <v/>
      </c>
      <c r="AJ108" s="2439" t="str">
        <f>IF($B108&lt;=Factores!$D$3,"",AJ16)</f>
        <v/>
      </c>
      <c r="AK108" s="2452" t="str">
        <f>IF($B108&lt;=Factores!$D$3,"",AK16)</f>
        <v/>
      </c>
      <c r="AL108" s="2453" t="str">
        <f>IF($B108&lt;=Factores!$D$3,"",AL16)</f>
        <v/>
      </c>
      <c r="AM108" s="2439" t="str">
        <f>IF($B108&lt;=Factores!$D$3,"",AM16)</f>
        <v/>
      </c>
      <c r="AN108" s="2452" t="str">
        <f>IF($B108&lt;=Factores!$D$3,"",AN16)</f>
        <v/>
      </c>
      <c r="AO108" s="2453" t="str">
        <f>IF($B108&lt;=Factores!$D$3,"",AO16)</f>
        <v/>
      </c>
      <c r="AP108" s="783" t="str">
        <f>IF($B108&lt;=Factores!$D$3,"",AP16)</f>
        <v/>
      </c>
      <c r="AQ108" s="783" t="str">
        <f>IF($B108&lt;=Factores!$D$3,"",AQ16)</f>
        <v/>
      </c>
      <c r="AR108" s="783" t="str">
        <f>IF($B108&lt;=Factores!$D$3,"",AR16)</f>
        <v/>
      </c>
      <c r="AS108" s="2632" t="str">
        <f>IF($B108&lt;=Factores!$D$3,"",AS16)</f>
        <v/>
      </c>
      <c r="AT108" s="784"/>
      <c r="AU108" s="2076"/>
      <c r="AV108" s="2438" t="str">
        <f>IF($B108&lt;=Factores!$D$3,"",AV16)</f>
        <v/>
      </c>
      <c r="AW108" s="2439" t="str">
        <f>IF($B108&lt;=Factores!$D$3,"",AW16)</f>
        <v/>
      </c>
      <c r="AX108" s="783" t="str">
        <f>IF($B108&lt;=Factores!$D$3,"",AX16)</f>
        <v/>
      </c>
      <c r="AY108" s="783" t="str">
        <f>IF($B108&lt;=Factores!$D$3,"",AY16)</f>
        <v/>
      </c>
      <c r="AZ108" s="783" t="str">
        <f>IF($B108&lt;=Factores!$D$3,"",AZ16)</f>
        <v/>
      </c>
      <c r="BA108" s="2432" t="str">
        <f>IF($B108&lt;=Factores!$D$3,"",BA16)</f>
        <v/>
      </c>
      <c r="BB108" s="782" t="str">
        <f>IF($B108&lt;=Factores!$D$3,"",BB16)</f>
        <v/>
      </c>
      <c r="BC108" s="2078" t="str">
        <f>IF($B108&lt;=Factores!$D$3,"",BC16)</f>
        <v/>
      </c>
      <c r="BD108" s="2078" t="str">
        <f>IF($B108&lt;=Factores!$D$3,"",BD16)</f>
        <v/>
      </c>
      <c r="BE108" s="2449" t="str">
        <f>IF($B108&lt;=Factores!$D$3,"",BE16)</f>
        <v/>
      </c>
      <c r="BF108" s="780" t="str">
        <f>IF($B108&lt;=Factores!$D$3,"",BF16)</f>
        <v/>
      </c>
      <c r="BG108" s="780" t="str">
        <f>IF($B108&lt;=Factores!$D$3,"",BG16)</f>
        <v/>
      </c>
      <c r="BH108" s="780" t="str">
        <f>IF($B108&lt;=Factores!$D$3,"",BH16)</f>
        <v/>
      </c>
      <c r="BI108" s="780" t="str">
        <f>IF($B108&lt;=Factores!$D$3,"",BI16)</f>
        <v/>
      </c>
      <c r="BJ108" s="539" t="str">
        <f>IF($B108&lt;=Factores!$D$3,"",BJ16)</f>
        <v/>
      </c>
      <c r="BK108" s="539" t="str">
        <f>IF($B108&lt;=Factores!$D$3,"",BK16)</f>
        <v/>
      </c>
      <c r="BL108" s="781" t="str">
        <f>IF($B108&lt;=Factores!$D$3,"",BL16)</f>
        <v/>
      </c>
      <c r="BM108" s="539" t="str">
        <f>IF($B108&lt;=Factores!$D$3,"",BM16)</f>
        <v/>
      </c>
      <c r="BN108" s="539" t="str">
        <f>IF($B108&lt;=Factores!$D$3,"",BN16)</f>
        <v/>
      </c>
      <c r="BO108" s="539" t="str">
        <f>IF($B108&lt;=Factores!$D$3,"",BO16)</f>
        <v/>
      </c>
      <c r="BP108" s="2441" t="str">
        <f>IF($B108&lt;=Factores!$D$3,"",BP16)</f>
        <v/>
      </c>
      <c r="BQ108" s="2442" t="str">
        <f>IF($B108&lt;=Factores!$D$3,"",BQ16)</f>
        <v/>
      </c>
      <c r="BR108" s="2443" t="str">
        <f>IF($B108&lt;=Factores!$D$3,"",BR16)</f>
        <v/>
      </c>
      <c r="BS108" s="2444" t="str">
        <f>IF($B108&lt;=Factores!$D$3,"",BS16)</f>
        <v/>
      </c>
      <c r="BT108" s="785" t="str">
        <f>IF($B108&lt;=Factores!$D$3,"",BT16)</f>
        <v/>
      </c>
      <c r="BU108" s="785" t="str">
        <f>IF($B108&lt;=Factores!$D$3,"",BU16)</f>
        <v/>
      </c>
      <c r="BV108" s="2445" t="str">
        <f>IF($B108&lt;=Factores!$D$3,"",BV16)</f>
        <v/>
      </c>
      <c r="BW108" s="785" t="str">
        <f>IF($B108&lt;=Factores!$D$3,"",BW16)</f>
        <v/>
      </c>
      <c r="BX108" s="785" t="str">
        <f>IF($B108&lt;=Factores!$D$3,"",BX16)</f>
        <v/>
      </c>
      <c r="BY108" s="785" t="str">
        <f>IF($B108&lt;=Factores!$D$3,"",BY16)</f>
        <v/>
      </c>
      <c r="BZ108" s="785" t="str">
        <f>IF($B108&lt;=Factores!$D$3,"",BZ16)</f>
        <v/>
      </c>
      <c r="CA108" s="2446" t="str">
        <f>IF($B108&lt;=Factores!$D$3,"",CA16)</f>
        <v/>
      </c>
      <c r="CB108" s="2446" t="str">
        <f>IF($B108&lt;=Factores!$D$3,"",CB16)</f>
        <v/>
      </c>
      <c r="CC108" s="2446" t="str">
        <f>IF($B108&lt;=Factores!$D$3,"",CC16)</f>
        <v/>
      </c>
      <c r="CD108" s="2443" t="str">
        <f>IF($B108&lt;=Factores!$D$3,"",CD16)</f>
        <v/>
      </c>
      <c r="CE108" s="2446" t="str">
        <f>IF($B108&lt;=Factores!$D$3,"",CE16)</f>
        <v/>
      </c>
      <c r="CF108" s="2446" t="str">
        <f>IF($B108&lt;=Factores!$D$3,"",CF16)</f>
        <v/>
      </c>
      <c r="CG108" s="2446" t="str">
        <f>IF($B108&lt;=Factores!$D$3,"",CG16)</f>
        <v/>
      </c>
      <c r="CH108" s="2444" t="str">
        <f>IF($B108&lt;=Factores!$D$3,"",CH16)</f>
        <v/>
      </c>
      <c r="CI108" s="2446" t="str">
        <f>IF($B108&lt;=Factores!$D$3,"",CI16)</f>
        <v/>
      </c>
      <c r="CJ108" s="2443" t="str">
        <f>IF($B108&lt;=Factores!$D$3,"",CJ16)</f>
        <v/>
      </c>
      <c r="CK108" s="2446" t="str">
        <f>IF($B108&lt;=Factores!$D$3,"",CK16)</f>
        <v/>
      </c>
      <c r="CL108" s="2446" t="str">
        <f>IF($B108&lt;=Factores!$D$3,"",CL16)</f>
        <v/>
      </c>
      <c r="CM108" s="2443" t="str">
        <f>IF($B108&lt;=Factores!$D$3,"",CM16)</f>
        <v/>
      </c>
      <c r="CN108" s="2444" t="str">
        <f>IF($B108&lt;=Factores!$D$3,"",CN16)</f>
        <v/>
      </c>
      <c r="CO108" s="2446" t="str">
        <f>IF($B108&lt;=Factores!$D$3,"",CO16)</f>
        <v/>
      </c>
      <c r="CP108" s="2447" t="str">
        <f>IF($B108&lt;=Factores!$D$3,"",CP16)</f>
        <v/>
      </c>
      <c r="CQ108" s="744" t="str">
        <f>IF($B108&lt;=Factores!$D$3,"",CQ16)</f>
        <v/>
      </c>
      <c r="CR108" s="744" t="str">
        <f>IF($B108&lt;=Factores!$D$3,"",CR16)</f>
        <v/>
      </c>
      <c r="CS108" s="744" t="str">
        <f>IF($B108&lt;=Factores!$D$3,"",CS16)</f>
        <v/>
      </c>
      <c r="CT108" s="744" t="str">
        <f>IF($B108&lt;=Factores!$D$3,"",CT16)</f>
        <v/>
      </c>
      <c r="CU108" s="744" t="str">
        <f>IF($B108&lt;=Factores!$D$3,"",CU16)</f>
        <v/>
      </c>
      <c r="CV108" s="744" t="str">
        <f>IF($B108&lt;=Factores!$D$3,"",CV16)</f>
        <v/>
      </c>
      <c r="CW108" s="2449" t="str">
        <f>IF($B108&lt;=Factores!$D$3,"",CW16)</f>
        <v/>
      </c>
      <c r="CX108" s="783" t="str">
        <f>IF($B108&lt;=Factores!$D$3,"",CX16)</f>
        <v/>
      </c>
      <c r="CY108" s="744" t="str">
        <f>IF($B108&lt;=Factores!$D$3,"",CY16)</f>
        <v/>
      </c>
      <c r="CZ108" s="744" t="str">
        <f>IF($B108&lt;=Factores!$D$3,"",CZ16)</f>
        <v/>
      </c>
      <c r="DA108" s="744" t="str">
        <f>IF($B108&lt;=Factores!$D$3,"",DA16)</f>
        <v/>
      </c>
      <c r="DB108" s="744" t="str">
        <f>IF($B108&lt;=Factores!$D$3,"",DB16)</f>
        <v/>
      </c>
      <c r="DC108" s="744" t="str">
        <f>IF($B108&lt;=Factores!$D$3,"",DC16)</f>
        <v/>
      </c>
    </row>
    <row r="109" spans="1:107" s="744" customFormat="1" ht="17.149999999999999" customHeight="1">
      <c r="A109" s="2450"/>
      <c r="B109" s="794">
        <f t="shared" si="60"/>
        <v>46091.791666666664</v>
      </c>
      <c r="C109" s="780" t="str">
        <f>IF($B109&lt;=Factores!$D$3,"",C17)</f>
        <v/>
      </c>
      <c r="D109" s="2432" t="str">
        <f>IF($B109&lt;=Factores!$D$3,"",D17)</f>
        <v/>
      </c>
      <c r="E109" s="2432" t="str">
        <f>IF($B109&lt;=Factores!$D$3,"",E17)</f>
        <v/>
      </c>
      <c r="F109" s="2432" t="str">
        <f>IF($B109&lt;=Factores!$D$3,"",F17)</f>
        <v/>
      </c>
      <c r="G109" s="2432" t="str">
        <f>IF($B109&lt;=Factores!$D$3,"",G17)</f>
        <v/>
      </c>
      <c r="H109" s="781" t="str">
        <f>IF($B109&lt;=Factores!$D$3,"",H17)</f>
        <v/>
      </c>
      <c r="I109" s="781" t="str">
        <f>IF($B109&lt;=Factores!$D$3,"",I17)</f>
        <v/>
      </c>
      <c r="J109" s="781" t="str">
        <f>IF($B109&lt;=Factores!$D$3,"",J17)</f>
        <v/>
      </c>
      <c r="K109" s="781" t="str">
        <f>IF($B109&lt;=Factores!$D$3,"",K17)</f>
        <v/>
      </c>
      <c r="L109" s="2066" t="str">
        <f>IF($B109&lt;=Factores!$D$3,"",L17)</f>
        <v/>
      </c>
      <c r="M109" s="781" t="str">
        <f>IF($B109&lt;=Factores!$D$3,"",M17)</f>
        <v/>
      </c>
      <c r="N109" s="781" t="str">
        <f>IF($B109&lt;=Factores!$D$3,"",N17)</f>
        <v/>
      </c>
      <c r="O109" s="780" t="str">
        <f>IF($B109&lt;=Factores!$D$3,"",O17)</f>
        <v/>
      </c>
      <c r="P109" s="539" t="str">
        <f>IF($B109&lt;=Factores!$D$3,"",P17)</f>
        <v/>
      </c>
      <c r="Q109" s="780" t="str">
        <f>IF($B109&lt;=Factores!$D$3,"",Q17)</f>
        <v/>
      </c>
      <c r="R109" s="782" t="str">
        <f>IF($B109&lt;=Factores!$D$3,"",R17)</f>
        <v/>
      </c>
      <c r="S109" s="780" t="str">
        <f>IF($B109&lt;=Factores!$D$3,"",S17)</f>
        <v/>
      </c>
      <c r="T109" s="781" t="str">
        <f>IF($B109&lt;=Factores!$D$3,"",T17)</f>
        <v/>
      </c>
      <c r="U109" s="781" t="str">
        <f>IF($B109&lt;=Factores!$D$3,"",U17)</f>
        <v/>
      </c>
      <c r="V109" s="781" t="str">
        <f>IF($B109&lt;=Factores!$D$3,"",V17)</f>
        <v/>
      </c>
      <c r="W109" s="781" t="str">
        <f>IF($B109&lt;=Factores!$D$3,"",W17)</f>
        <v/>
      </c>
      <c r="X109" s="780" t="str">
        <f>IF($B109&lt;=Factores!$D$3,"",X17)</f>
        <v/>
      </c>
      <c r="Y109" s="539" t="str">
        <f>IF($B109&lt;=Factores!$D$3,"",Y17)</f>
        <v/>
      </c>
      <c r="Z109" s="539" t="str">
        <f>IF($B109&lt;=Factores!$D$3,"",Z17)</f>
        <v/>
      </c>
      <c r="AA109" s="780" t="str">
        <f>IF($B109&lt;=Factores!$D$3,"",AA17)</f>
        <v/>
      </c>
      <c r="AB109" s="782" t="str">
        <f>IF($B109&lt;=Factores!$D$3,"",AB17)</f>
        <v/>
      </c>
      <c r="AC109" s="780" t="str">
        <f>IF($B109&lt;=Factores!$D$3,"",AC17)</f>
        <v/>
      </c>
      <c r="AD109" s="539" t="str">
        <f>IF($B109&lt;=Factores!$D$3,"",AD17)</f>
        <v/>
      </c>
      <c r="AE109" s="782" t="str">
        <f>IF($B109&lt;=Factores!$D$3,"",AE17)</f>
        <v/>
      </c>
      <c r="AF109" s="780" t="str">
        <f>IF($B109&lt;=Factores!$D$3,"",AF17)</f>
        <v/>
      </c>
      <c r="AG109" s="539" t="str">
        <f>IF($B109&lt;=Factores!$D$3,"",AG17)</f>
        <v/>
      </c>
      <c r="AH109" s="2072" t="str">
        <f>IF($B109&lt;=Factores!$D$3,"",AH17)</f>
        <v/>
      </c>
      <c r="AI109" s="2451" t="str">
        <f>IF($B109&lt;=Factores!$D$3,"",AI17)</f>
        <v/>
      </c>
      <c r="AJ109" s="2439" t="str">
        <f>IF($B109&lt;=Factores!$D$3,"",AJ17)</f>
        <v/>
      </c>
      <c r="AK109" s="2452" t="str">
        <f>IF($B109&lt;=Factores!$D$3,"",AK17)</f>
        <v/>
      </c>
      <c r="AL109" s="2453" t="str">
        <f>IF($B109&lt;=Factores!$D$3,"",AL17)</f>
        <v/>
      </c>
      <c r="AM109" s="2439" t="str">
        <f>IF($B109&lt;=Factores!$D$3,"",AM17)</f>
        <v/>
      </c>
      <c r="AN109" s="2452" t="str">
        <f>IF($B109&lt;=Factores!$D$3,"",AN17)</f>
        <v/>
      </c>
      <c r="AO109" s="2453" t="str">
        <f>IF($B109&lt;=Factores!$D$3,"",AO17)</f>
        <v/>
      </c>
      <c r="AP109" s="783" t="str">
        <f>IF($B109&lt;=Factores!$D$3,"",AP17)</f>
        <v/>
      </c>
      <c r="AQ109" s="783" t="str">
        <f>IF($B109&lt;=Factores!$D$3,"",AQ17)</f>
        <v/>
      </c>
      <c r="AR109" s="783" t="str">
        <f>IF($B109&lt;=Factores!$D$3,"",AR17)</f>
        <v/>
      </c>
      <c r="AS109" s="2632" t="str">
        <f>IF($B109&lt;=Factores!$D$3,"",AS17)</f>
        <v/>
      </c>
      <c r="AT109" s="784"/>
      <c r="AU109" s="2076"/>
      <c r="AV109" s="2438" t="str">
        <f>IF($B109&lt;=Factores!$D$3,"",AV17)</f>
        <v/>
      </c>
      <c r="AW109" s="2439" t="str">
        <f>IF($B109&lt;=Factores!$D$3,"",AW17)</f>
        <v/>
      </c>
      <c r="AX109" s="783" t="str">
        <f>IF($B109&lt;=Factores!$D$3,"",AX17)</f>
        <v/>
      </c>
      <c r="AY109" s="783" t="str">
        <f>IF($B109&lt;=Factores!$D$3,"",AY17)</f>
        <v/>
      </c>
      <c r="AZ109" s="783" t="str">
        <f>IF($B109&lt;=Factores!$D$3,"",AZ17)</f>
        <v/>
      </c>
      <c r="BA109" s="2432" t="str">
        <f>IF($B109&lt;=Factores!$D$3,"",BA17)</f>
        <v/>
      </c>
      <c r="BB109" s="782" t="str">
        <f>IF($B109&lt;=Factores!$D$3,"",BB17)</f>
        <v/>
      </c>
      <c r="BC109" s="2078" t="str">
        <f>IF($B109&lt;=Factores!$D$3,"",BC17)</f>
        <v/>
      </c>
      <c r="BD109" s="2078" t="str">
        <f>IF($B109&lt;=Factores!$D$3,"",BD17)</f>
        <v/>
      </c>
      <c r="BE109" s="2449" t="str">
        <f>IF($B109&lt;=Factores!$D$3,"",BE17)</f>
        <v/>
      </c>
      <c r="BF109" s="780" t="str">
        <f>IF($B109&lt;=Factores!$D$3,"",BF17)</f>
        <v/>
      </c>
      <c r="BG109" s="780" t="str">
        <f>IF($B109&lt;=Factores!$D$3,"",BG17)</f>
        <v/>
      </c>
      <c r="BH109" s="780" t="str">
        <f>IF($B109&lt;=Factores!$D$3,"",BH17)</f>
        <v/>
      </c>
      <c r="BI109" s="780" t="str">
        <f>IF($B109&lt;=Factores!$D$3,"",BI17)</f>
        <v/>
      </c>
      <c r="BJ109" s="539" t="str">
        <f>IF($B109&lt;=Factores!$D$3,"",BJ17)</f>
        <v/>
      </c>
      <c r="BK109" s="539" t="str">
        <f>IF($B109&lt;=Factores!$D$3,"",BK17)</f>
        <v/>
      </c>
      <c r="BL109" s="781" t="str">
        <f>IF($B109&lt;=Factores!$D$3,"",BL17)</f>
        <v/>
      </c>
      <c r="BM109" s="539" t="str">
        <f>IF($B109&lt;=Factores!$D$3,"",BM17)</f>
        <v/>
      </c>
      <c r="BN109" s="539" t="str">
        <f>IF($B109&lt;=Factores!$D$3,"",BN17)</f>
        <v/>
      </c>
      <c r="BO109" s="539" t="str">
        <f>IF($B109&lt;=Factores!$D$3,"",BO17)</f>
        <v/>
      </c>
      <c r="BP109" s="2441" t="str">
        <f>IF($B109&lt;=Factores!$D$3,"",BP17)</f>
        <v/>
      </c>
      <c r="BQ109" s="2442" t="str">
        <f>IF($B109&lt;=Factores!$D$3,"",BQ17)</f>
        <v/>
      </c>
      <c r="BR109" s="2443" t="str">
        <f>IF($B109&lt;=Factores!$D$3,"",BR17)</f>
        <v/>
      </c>
      <c r="BS109" s="2444" t="str">
        <f>IF($B109&lt;=Factores!$D$3,"",BS17)</f>
        <v/>
      </c>
      <c r="BT109" s="785" t="str">
        <f>IF($B109&lt;=Factores!$D$3,"",BT17)</f>
        <v/>
      </c>
      <c r="BU109" s="785" t="str">
        <f>IF($B109&lt;=Factores!$D$3,"",BU17)</f>
        <v/>
      </c>
      <c r="BV109" s="2445" t="str">
        <f>IF($B109&lt;=Factores!$D$3,"",BV17)</f>
        <v/>
      </c>
      <c r="BW109" s="785" t="str">
        <f>IF($B109&lt;=Factores!$D$3,"",BW17)</f>
        <v/>
      </c>
      <c r="BX109" s="785" t="str">
        <f>IF($B109&lt;=Factores!$D$3,"",BX17)</f>
        <v/>
      </c>
      <c r="BY109" s="785" t="str">
        <f>IF($B109&lt;=Factores!$D$3,"",BY17)</f>
        <v/>
      </c>
      <c r="BZ109" s="785" t="str">
        <f>IF($B109&lt;=Factores!$D$3,"",BZ17)</f>
        <v/>
      </c>
      <c r="CA109" s="2446" t="str">
        <f>IF($B109&lt;=Factores!$D$3,"",CA17)</f>
        <v/>
      </c>
      <c r="CB109" s="2446" t="str">
        <f>IF($B109&lt;=Factores!$D$3,"",CB17)</f>
        <v/>
      </c>
      <c r="CC109" s="2446" t="str">
        <f>IF($B109&lt;=Factores!$D$3,"",CC17)</f>
        <v/>
      </c>
      <c r="CD109" s="2443" t="str">
        <f>IF($B109&lt;=Factores!$D$3,"",CD17)</f>
        <v/>
      </c>
      <c r="CE109" s="2446" t="str">
        <f>IF($B109&lt;=Factores!$D$3,"",CE17)</f>
        <v/>
      </c>
      <c r="CF109" s="2446" t="str">
        <f>IF($B109&lt;=Factores!$D$3,"",CF17)</f>
        <v/>
      </c>
      <c r="CG109" s="2446" t="str">
        <f>IF($B109&lt;=Factores!$D$3,"",CG17)</f>
        <v/>
      </c>
      <c r="CH109" s="2444" t="str">
        <f>IF($B109&lt;=Factores!$D$3,"",CH17)</f>
        <v/>
      </c>
      <c r="CI109" s="2446" t="str">
        <f>IF($B109&lt;=Factores!$D$3,"",CI17)</f>
        <v/>
      </c>
      <c r="CJ109" s="2443" t="str">
        <f>IF($B109&lt;=Factores!$D$3,"",CJ17)</f>
        <v/>
      </c>
      <c r="CK109" s="2446" t="str">
        <f>IF($B109&lt;=Factores!$D$3,"",CK17)</f>
        <v/>
      </c>
      <c r="CL109" s="2446" t="str">
        <f>IF($B109&lt;=Factores!$D$3,"",CL17)</f>
        <v/>
      </c>
      <c r="CM109" s="2443" t="str">
        <f>IF($B109&lt;=Factores!$D$3,"",CM17)</f>
        <v/>
      </c>
      <c r="CN109" s="2444" t="str">
        <f>IF($B109&lt;=Factores!$D$3,"",CN17)</f>
        <v/>
      </c>
      <c r="CO109" s="2446" t="str">
        <f>IF($B109&lt;=Factores!$D$3,"",CO17)</f>
        <v/>
      </c>
      <c r="CP109" s="2447" t="str">
        <f>IF($B109&lt;=Factores!$D$3,"",CP17)</f>
        <v/>
      </c>
      <c r="CQ109" s="744" t="str">
        <f>IF($B109&lt;=Factores!$D$3,"",CQ17)</f>
        <v/>
      </c>
      <c r="CR109" s="744" t="str">
        <f>IF($B109&lt;=Factores!$D$3,"",CR17)</f>
        <v/>
      </c>
      <c r="CS109" s="744" t="str">
        <f>IF($B109&lt;=Factores!$D$3,"",CS17)</f>
        <v/>
      </c>
      <c r="CT109" s="744" t="str">
        <f>IF($B109&lt;=Factores!$D$3,"",CT17)</f>
        <v/>
      </c>
      <c r="CU109" s="744" t="str">
        <f>IF($B109&lt;=Factores!$D$3,"",CU17)</f>
        <v/>
      </c>
      <c r="CV109" s="744" t="str">
        <f>IF($B109&lt;=Factores!$D$3,"",CV17)</f>
        <v/>
      </c>
      <c r="CW109" s="2449" t="str">
        <f>IF($B109&lt;=Factores!$D$3,"",CW17)</f>
        <v/>
      </c>
      <c r="CX109" s="783" t="str">
        <f>IF($B109&lt;=Factores!$D$3,"",CX17)</f>
        <v/>
      </c>
      <c r="CY109" s="744" t="str">
        <f>IF($B109&lt;=Factores!$D$3,"",CY17)</f>
        <v/>
      </c>
      <c r="CZ109" s="744" t="str">
        <f>IF($B109&lt;=Factores!$D$3,"",CZ17)</f>
        <v/>
      </c>
      <c r="DA109" s="744" t="str">
        <f>IF($B109&lt;=Factores!$D$3,"",DA17)</f>
        <v/>
      </c>
      <c r="DB109" s="744" t="str">
        <f>IF($B109&lt;=Factores!$D$3,"",DB17)</f>
        <v/>
      </c>
      <c r="DC109" s="744" t="str">
        <f>IF($B109&lt;=Factores!$D$3,"",DC17)</f>
        <v/>
      </c>
    </row>
    <row r="110" spans="1:107" s="744" customFormat="1" ht="17.149999999999999" customHeight="1">
      <c r="A110" s="2450"/>
      <c r="B110" s="794">
        <f t="shared" si="60"/>
        <v>46092.791666666664</v>
      </c>
      <c r="C110" s="780" t="str">
        <f>IF($B110&lt;=Factores!$D$3,"",C18)</f>
        <v/>
      </c>
      <c r="D110" s="2432" t="str">
        <f>IF($B110&lt;=Factores!$D$3,"",D18)</f>
        <v/>
      </c>
      <c r="E110" s="2432" t="str">
        <f>IF($B110&lt;=Factores!$D$3,"",E18)</f>
        <v/>
      </c>
      <c r="F110" s="2432" t="str">
        <f>IF($B110&lt;=Factores!$D$3,"",F18)</f>
        <v/>
      </c>
      <c r="G110" s="2432" t="str">
        <f>IF($B110&lt;=Factores!$D$3,"",G18)</f>
        <v/>
      </c>
      <c r="H110" s="781" t="str">
        <f>IF($B110&lt;=Factores!$D$3,"",H18)</f>
        <v/>
      </c>
      <c r="I110" s="781" t="str">
        <f>IF($B110&lt;=Factores!$D$3,"",I18)</f>
        <v/>
      </c>
      <c r="J110" s="781" t="str">
        <f>IF($B110&lt;=Factores!$D$3,"",J18)</f>
        <v/>
      </c>
      <c r="K110" s="781" t="str">
        <f>IF($B110&lt;=Factores!$D$3,"",K18)</f>
        <v/>
      </c>
      <c r="L110" s="2066" t="str">
        <f>IF($B110&lt;=Factores!$D$3,"",L18)</f>
        <v/>
      </c>
      <c r="M110" s="781" t="str">
        <f>IF($B110&lt;=Factores!$D$3,"",M18)</f>
        <v/>
      </c>
      <c r="N110" s="781" t="str">
        <f>IF($B110&lt;=Factores!$D$3,"",N18)</f>
        <v/>
      </c>
      <c r="O110" s="780" t="str">
        <f>IF($B110&lt;=Factores!$D$3,"",O18)</f>
        <v/>
      </c>
      <c r="P110" s="539" t="str">
        <f>IF($B110&lt;=Factores!$D$3,"",P18)</f>
        <v/>
      </c>
      <c r="Q110" s="780" t="str">
        <f>IF($B110&lt;=Factores!$D$3,"",Q18)</f>
        <v/>
      </c>
      <c r="R110" s="782" t="str">
        <f>IF($B110&lt;=Factores!$D$3,"",R18)</f>
        <v/>
      </c>
      <c r="S110" s="780" t="str">
        <f>IF($B110&lt;=Factores!$D$3,"",S18)</f>
        <v/>
      </c>
      <c r="T110" s="781" t="str">
        <f>IF($B110&lt;=Factores!$D$3,"",T18)</f>
        <v/>
      </c>
      <c r="U110" s="781" t="str">
        <f>IF($B110&lt;=Factores!$D$3,"",U18)</f>
        <v/>
      </c>
      <c r="V110" s="781" t="str">
        <f>IF($B110&lt;=Factores!$D$3,"",V18)</f>
        <v/>
      </c>
      <c r="W110" s="781" t="str">
        <f>IF($B110&lt;=Factores!$D$3,"",W18)</f>
        <v/>
      </c>
      <c r="X110" s="780" t="str">
        <f>IF($B110&lt;=Factores!$D$3,"",X18)</f>
        <v/>
      </c>
      <c r="Y110" s="539" t="str">
        <f>IF($B110&lt;=Factores!$D$3,"",Y18)</f>
        <v/>
      </c>
      <c r="Z110" s="539" t="str">
        <f>IF($B110&lt;=Factores!$D$3,"",Z18)</f>
        <v/>
      </c>
      <c r="AA110" s="780" t="str">
        <f>IF($B110&lt;=Factores!$D$3,"",AA18)</f>
        <v/>
      </c>
      <c r="AB110" s="782" t="str">
        <f>IF($B110&lt;=Factores!$D$3,"",AB18)</f>
        <v/>
      </c>
      <c r="AC110" s="780" t="str">
        <f>IF($B110&lt;=Factores!$D$3,"",AC18)</f>
        <v/>
      </c>
      <c r="AD110" s="539" t="str">
        <f>IF($B110&lt;=Factores!$D$3,"",AD18)</f>
        <v/>
      </c>
      <c r="AE110" s="782" t="str">
        <f>IF($B110&lt;=Factores!$D$3,"",AE18)</f>
        <v/>
      </c>
      <c r="AF110" s="780" t="str">
        <f>IF($B110&lt;=Factores!$D$3,"",AF18)</f>
        <v/>
      </c>
      <c r="AG110" s="539" t="str">
        <f>IF($B110&lt;=Factores!$D$3,"",AG18)</f>
        <v/>
      </c>
      <c r="AH110" s="2072" t="str">
        <f>IF($B110&lt;=Factores!$D$3,"",AH18)</f>
        <v/>
      </c>
      <c r="AI110" s="2451" t="str">
        <f>IF($B110&lt;=Factores!$D$3,"",AI18)</f>
        <v/>
      </c>
      <c r="AJ110" s="2439" t="str">
        <f>IF($B110&lt;=Factores!$D$3,"",AJ18)</f>
        <v/>
      </c>
      <c r="AK110" s="2452" t="str">
        <f>IF($B110&lt;=Factores!$D$3,"",AK18)</f>
        <v/>
      </c>
      <c r="AL110" s="2453" t="str">
        <f>IF($B110&lt;=Factores!$D$3,"",AL18)</f>
        <v/>
      </c>
      <c r="AM110" s="2439" t="str">
        <f>IF($B110&lt;=Factores!$D$3,"",AM18)</f>
        <v/>
      </c>
      <c r="AN110" s="2452" t="str">
        <f>IF($B110&lt;=Factores!$D$3,"",AN18)</f>
        <v/>
      </c>
      <c r="AO110" s="2453" t="str">
        <f>IF($B110&lt;=Factores!$D$3,"",AO18)</f>
        <v/>
      </c>
      <c r="AP110" s="783" t="str">
        <f>IF($B110&lt;=Factores!$D$3,"",AP18)</f>
        <v/>
      </c>
      <c r="AQ110" s="783" t="str">
        <f>IF($B110&lt;=Factores!$D$3,"",AQ18)</f>
        <v/>
      </c>
      <c r="AR110" s="783" t="str">
        <f>IF($B110&lt;=Factores!$D$3,"",AR18)</f>
        <v/>
      </c>
      <c r="AS110" s="2632" t="str">
        <f>IF($B110&lt;=Factores!$D$3,"",AS18)</f>
        <v/>
      </c>
      <c r="AT110" s="784"/>
      <c r="AU110" s="2076"/>
      <c r="AV110" s="2438" t="str">
        <f>IF($B110&lt;=Factores!$D$3,"",AV18)</f>
        <v/>
      </c>
      <c r="AW110" s="2439" t="str">
        <f>IF($B110&lt;=Factores!$D$3,"",AW18)</f>
        <v/>
      </c>
      <c r="AX110" s="783" t="str">
        <f>IF($B110&lt;=Factores!$D$3,"",AX18)</f>
        <v/>
      </c>
      <c r="AY110" s="783" t="str">
        <f>IF($B110&lt;=Factores!$D$3,"",AY18)</f>
        <v/>
      </c>
      <c r="AZ110" s="783" t="str">
        <f>IF($B110&lt;=Factores!$D$3,"",AZ18)</f>
        <v/>
      </c>
      <c r="BA110" s="2432" t="str">
        <f>IF($B110&lt;=Factores!$D$3,"",BA18)</f>
        <v/>
      </c>
      <c r="BB110" s="782" t="str">
        <f>IF($B110&lt;=Factores!$D$3,"",BB18)</f>
        <v/>
      </c>
      <c r="BC110" s="2078" t="str">
        <f>IF($B110&lt;=Factores!$D$3,"",BC18)</f>
        <v/>
      </c>
      <c r="BD110" s="2078" t="str">
        <f>IF($B110&lt;=Factores!$D$3,"",BD18)</f>
        <v/>
      </c>
      <c r="BE110" s="2449" t="str">
        <f>IF($B110&lt;=Factores!$D$3,"",BE18)</f>
        <v/>
      </c>
      <c r="BF110" s="780" t="str">
        <f>IF($B110&lt;=Factores!$D$3,"",BF18)</f>
        <v/>
      </c>
      <c r="BG110" s="780" t="str">
        <f>IF($B110&lt;=Factores!$D$3,"",BG18)</f>
        <v/>
      </c>
      <c r="BH110" s="780" t="str">
        <f>IF($B110&lt;=Factores!$D$3,"",BH18)</f>
        <v/>
      </c>
      <c r="BI110" s="780" t="str">
        <f>IF($B110&lt;=Factores!$D$3,"",BI18)</f>
        <v/>
      </c>
      <c r="BJ110" s="539" t="str">
        <f>IF($B110&lt;=Factores!$D$3,"",BJ18)</f>
        <v/>
      </c>
      <c r="BK110" s="539" t="str">
        <f>IF($B110&lt;=Factores!$D$3,"",BK18)</f>
        <v/>
      </c>
      <c r="BL110" s="781" t="str">
        <f>IF($B110&lt;=Factores!$D$3,"",BL18)</f>
        <v/>
      </c>
      <c r="BM110" s="539" t="str">
        <f>IF($B110&lt;=Factores!$D$3,"",BM18)</f>
        <v/>
      </c>
      <c r="BN110" s="539" t="str">
        <f>IF($B110&lt;=Factores!$D$3,"",BN18)</f>
        <v/>
      </c>
      <c r="BO110" s="539" t="str">
        <f>IF($B110&lt;=Factores!$D$3,"",BO18)</f>
        <v/>
      </c>
      <c r="BP110" s="2441" t="str">
        <f>IF($B110&lt;=Factores!$D$3,"",BP18)</f>
        <v/>
      </c>
      <c r="BQ110" s="2442" t="str">
        <f>IF($B110&lt;=Factores!$D$3,"",BQ18)</f>
        <v/>
      </c>
      <c r="BR110" s="2443" t="str">
        <f>IF($B110&lt;=Factores!$D$3,"",BR18)</f>
        <v/>
      </c>
      <c r="BS110" s="2444" t="str">
        <f>IF($B110&lt;=Factores!$D$3,"",BS18)</f>
        <v/>
      </c>
      <c r="BT110" s="785" t="str">
        <f>IF($B110&lt;=Factores!$D$3,"",BT18)</f>
        <v/>
      </c>
      <c r="BU110" s="785" t="str">
        <f>IF($B110&lt;=Factores!$D$3,"",BU18)</f>
        <v/>
      </c>
      <c r="BV110" s="2445" t="str">
        <f>IF($B110&lt;=Factores!$D$3,"",BV18)</f>
        <v/>
      </c>
      <c r="BW110" s="785" t="str">
        <f>IF($B110&lt;=Factores!$D$3,"",BW18)</f>
        <v/>
      </c>
      <c r="BX110" s="785" t="str">
        <f>IF($B110&lt;=Factores!$D$3,"",BX18)</f>
        <v/>
      </c>
      <c r="BY110" s="785" t="str">
        <f>IF($B110&lt;=Factores!$D$3,"",BY18)</f>
        <v/>
      </c>
      <c r="BZ110" s="785" t="str">
        <f>IF($B110&lt;=Factores!$D$3,"",BZ18)</f>
        <v/>
      </c>
      <c r="CA110" s="2446" t="str">
        <f>IF($B110&lt;=Factores!$D$3,"",CA18)</f>
        <v/>
      </c>
      <c r="CB110" s="2446" t="str">
        <f>IF($B110&lt;=Factores!$D$3,"",CB18)</f>
        <v/>
      </c>
      <c r="CC110" s="2446" t="str">
        <f>IF($B110&lt;=Factores!$D$3,"",CC18)</f>
        <v/>
      </c>
      <c r="CD110" s="2443" t="str">
        <f>IF($B110&lt;=Factores!$D$3,"",CD18)</f>
        <v/>
      </c>
      <c r="CE110" s="2446" t="str">
        <f>IF($B110&lt;=Factores!$D$3,"",CE18)</f>
        <v/>
      </c>
      <c r="CF110" s="2446" t="str">
        <f>IF($B110&lt;=Factores!$D$3,"",CF18)</f>
        <v/>
      </c>
      <c r="CG110" s="2446" t="str">
        <f>IF($B110&lt;=Factores!$D$3,"",CG18)</f>
        <v/>
      </c>
      <c r="CH110" s="2444" t="str">
        <f>IF($B110&lt;=Factores!$D$3,"",CH18)</f>
        <v/>
      </c>
      <c r="CI110" s="2446" t="str">
        <f>IF($B110&lt;=Factores!$D$3,"",CI18)</f>
        <v/>
      </c>
      <c r="CJ110" s="2443" t="str">
        <f>IF($B110&lt;=Factores!$D$3,"",CJ18)</f>
        <v/>
      </c>
      <c r="CK110" s="2446" t="str">
        <f>IF($B110&lt;=Factores!$D$3,"",CK18)</f>
        <v/>
      </c>
      <c r="CL110" s="2446" t="str">
        <f>IF($B110&lt;=Factores!$D$3,"",CL18)</f>
        <v/>
      </c>
      <c r="CM110" s="2443" t="str">
        <f>IF($B110&lt;=Factores!$D$3,"",CM18)</f>
        <v/>
      </c>
      <c r="CN110" s="2444" t="str">
        <f>IF($B110&lt;=Factores!$D$3,"",CN18)</f>
        <v/>
      </c>
      <c r="CO110" s="2446" t="str">
        <f>IF($B110&lt;=Factores!$D$3,"",CO18)</f>
        <v/>
      </c>
      <c r="CP110" s="2447" t="str">
        <f>IF($B110&lt;=Factores!$D$3,"",CP18)</f>
        <v/>
      </c>
      <c r="CQ110" s="744" t="str">
        <f>IF($B110&lt;=Factores!$D$3,"",CQ18)</f>
        <v/>
      </c>
      <c r="CR110" s="744" t="str">
        <f>IF($B110&lt;=Factores!$D$3,"",CR18)</f>
        <v/>
      </c>
      <c r="CS110" s="744" t="str">
        <f>IF($B110&lt;=Factores!$D$3,"",CS18)</f>
        <v/>
      </c>
      <c r="CT110" s="744" t="str">
        <f>IF($B110&lt;=Factores!$D$3,"",CT18)</f>
        <v/>
      </c>
      <c r="CU110" s="744" t="str">
        <f>IF($B110&lt;=Factores!$D$3,"",CU18)</f>
        <v/>
      </c>
      <c r="CV110" s="744" t="str">
        <f>IF($B110&lt;=Factores!$D$3,"",CV18)</f>
        <v/>
      </c>
      <c r="CW110" s="2449" t="str">
        <f>IF($B110&lt;=Factores!$D$3,"",CW18)</f>
        <v/>
      </c>
      <c r="CX110" s="783" t="str">
        <f>IF($B110&lt;=Factores!$D$3,"",CX18)</f>
        <v/>
      </c>
      <c r="CY110" s="744" t="str">
        <f>IF($B110&lt;=Factores!$D$3,"",CY18)</f>
        <v/>
      </c>
      <c r="CZ110" s="744" t="str">
        <f>IF($B110&lt;=Factores!$D$3,"",CZ18)</f>
        <v/>
      </c>
      <c r="DA110" s="744" t="str">
        <f>IF($B110&lt;=Factores!$D$3,"",DA18)</f>
        <v/>
      </c>
      <c r="DB110" s="744" t="str">
        <f>IF($B110&lt;=Factores!$D$3,"",DB18)</f>
        <v/>
      </c>
      <c r="DC110" s="744" t="str">
        <f>IF($B110&lt;=Factores!$D$3,"",DC18)</f>
        <v/>
      </c>
    </row>
    <row r="111" spans="1:107" s="744" customFormat="1" ht="17.149999999999999" customHeight="1">
      <c r="A111" s="2450"/>
      <c r="B111" s="794">
        <f t="shared" si="60"/>
        <v>46093.791666666664</v>
      </c>
      <c r="C111" s="780" t="str">
        <f>IF($B111&lt;=Factores!$D$3,"",C19)</f>
        <v/>
      </c>
      <c r="D111" s="2432" t="str">
        <f>IF($B111&lt;=Factores!$D$3,"",D19)</f>
        <v/>
      </c>
      <c r="E111" s="2432" t="str">
        <f>IF($B111&lt;=Factores!$D$3,"",E19)</f>
        <v/>
      </c>
      <c r="F111" s="2432" t="str">
        <f>IF($B111&lt;=Factores!$D$3,"",F19)</f>
        <v/>
      </c>
      <c r="G111" s="2432" t="str">
        <f>IF($B111&lt;=Factores!$D$3,"",G19)</f>
        <v/>
      </c>
      <c r="H111" s="781" t="str">
        <f>IF($B111&lt;=Factores!$D$3,"",H19)</f>
        <v/>
      </c>
      <c r="I111" s="781" t="str">
        <f>IF($B111&lt;=Factores!$D$3,"",I19)</f>
        <v/>
      </c>
      <c r="J111" s="781" t="str">
        <f>IF($B111&lt;=Factores!$D$3,"",J19)</f>
        <v/>
      </c>
      <c r="K111" s="781" t="str">
        <f>IF($B111&lt;=Factores!$D$3,"",K19)</f>
        <v/>
      </c>
      <c r="L111" s="2066" t="str">
        <f>IF($B111&lt;=Factores!$D$3,"",L19)</f>
        <v/>
      </c>
      <c r="M111" s="781" t="str">
        <f>IF($B111&lt;=Factores!$D$3,"",M19)</f>
        <v/>
      </c>
      <c r="N111" s="781" t="str">
        <f>IF($B111&lt;=Factores!$D$3,"",N19)</f>
        <v/>
      </c>
      <c r="O111" s="780" t="str">
        <f>IF($B111&lt;=Factores!$D$3,"",O19)</f>
        <v/>
      </c>
      <c r="P111" s="539" t="str">
        <f>IF($B111&lt;=Factores!$D$3,"",P19)</f>
        <v/>
      </c>
      <c r="Q111" s="780" t="str">
        <f>IF($B111&lt;=Factores!$D$3,"",Q19)</f>
        <v/>
      </c>
      <c r="R111" s="782" t="str">
        <f>IF($B111&lt;=Factores!$D$3,"",R19)</f>
        <v/>
      </c>
      <c r="S111" s="780" t="str">
        <f>IF($B111&lt;=Factores!$D$3,"",S19)</f>
        <v/>
      </c>
      <c r="T111" s="781" t="str">
        <f>IF($B111&lt;=Factores!$D$3,"",T19)</f>
        <v/>
      </c>
      <c r="U111" s="781" t="str">
        <f>IF($B111&lt;=Factores!$D$3,"",U19)</f>
        <v/>
      </c>
      <c r="V111" s="781" t="str">
        <f>IF($B111&lt;=Factores!$D$3,"",V19)</f>
        <v/>
      </c>
      <c r="W111" s="781" t="str">
        <f>IF($B111&lt;=Factores!$D$3,"",W19)</f>
        <v/>
      </c>
      <c r="X111" s="780" t="str">
        <f>IF($B111&lt;=Factores!$D$3,"",X19)</f>
        <v/>
      </c>
      <c r="Y111" s="539" t="str">
        <f>IF($B111&lt;=Factores!$D$3,"",Y19)</f>
        <v/>
      </c>
      <c r="Z111" s="539" t="str">
        <f>IF($B111&lt;=Factores!$D$3,"",Z19)</f>
        <v/>
      </c>
      <c r="AA111" s="780" t="str">
        <f>IF($B111&lt;=Factores!$D$3,"",AA19)</f>
        <v/>
      </c>
      <c r="AB111" s="782" t="str">
        <f>IF($B111&lt;=Factores!$D$3,"",AB19)</f>
        <v/>
      </c>
      <c r="AC111" s="780" t="str">
        <f>IF($B111&lt;=Factores!$D$3,"",AC19)</f>
        <v/>
      </c>
      <c r="AD111" s="539" t="str">
        <f>IF($B111&lt;=Factores!$D$3,"",AD19)</f>
        <v/>
      </c>
      <c r="AE111" s="782" t="str">
        <f>IF($B111&lt;=Factores!$D$3,"",AE19)</f>
        <v/>
      </c>
      <c r="AF111" s="780" t="str">
        <f>IF($B111&lt;=Factores!$D$3,"",AF19)</f>
        <v/>
      </c>
      <c r="AG111" s="539" t="str">
        <f>IF($B111&lt;=Factores!$D$3,"",AG19)</f>
        <v/>
      </c>
      <c r="AH111" s="2072" t="str">
        <f>IF($B111&lt;=Factores!$D$3,"",AH19)</f>
        <v/>
      </c>
      <c r="AI111" s="2451" t="str">
        <f>IF($B111&lt;=Factores!$D$3,"",AI19)</f>
        <v/>
      </c>
      <c r="AJ111" s="2439" t="str">
        <f>IF($B111&lt;=Factores!$D$3,"",AJ19)</f>
        <v/>
      </c>
      <c r="AK111" s="2452" t="str">
        <f>IF($B111&lt;=Factores!$D$3,"",AK19)</f>
        <v/>
      </c>
      <c r="AL111" s="2453" t="str">
        <f>IF($B111&lt;=Factores!$D$3,"",AL19)</f>
        <v/>
      </c>
      <c r="AM111" s="2439" t="str">
        <f>IF($B111&lt;=Factores!$D$3,"",AM19)</f>
        <v/>
      </c>
      <c r="AN111" s="2452" t="str">
        <f>IF($B111&lt;=Factores!$D$3,"",AN19)</f>
        <v/>
      </c>
      <c r="AO111" s="2453" t="str">
        <f>IF($B111&lt;=Factores!$D$3,"",AO19)</f>
        <v/>
      </c>
      <c r="AP111" s="783" t="str">
        <f>IF($B111&lt;=Factores!$D$3,"",AP19)</f>
        <v/>
      </c>
      <c r="AQ111" s="783" t="str">
        <f>IF($B111&lt;=Factores!$D$3,"",AQ19)</f>
        <v/>
      </c>
      <c r="AR111" s="783" t="str">
        <f>IF($B111&lt;=Factores!$D$3,"",AR19)</f>
        <v/>
      </c>
      <c r="AS111" s="2632" t="str">
        <f>IF($B111&lt;=Factores!$D$3,"",AS19)</f>
        <v/>
      </c>
      <c r="AT111" s="784"/>
      <c r="AU111" s="2076"/>
      <c r="AV111" s="2438" t="str">
        <f>IF($B111&lt;=Factores!$D$3,"",AV19)</f>
        <v/>
      </c>
      <c r="AW111" s="2439" t="str">
        <f>IF($B111&lt;=Factores!$D$3,"",AW19)</f>
        <v/>
      </c>
      <c r="AX111" s="783" t="str">
        <f>IF($B111&lt;=Factores!$D$3,"",AX19)</f>
        <v/>
      </c>
      <c r="AY111" s="783" t="str">
        <f>IF($B111&lt;=Factores!$D$3,"",AY19)</f>
        <v/>
      </c>
      <c r="AZ111" s="783" t="str">
        <f>IF($B111&lt;=Factores!$D$3,"",AZ19)</f>
        <v/>
      </c>
      <c r="BA111" s="2432" t="str">
        <f>IF($B111&lt;=Factores!$D$3,"",BA19)</f>
        <v/>
      </c>
      <c r="BB111" s="782" t="str">
        <f>IF($B111&lt;=Factores!$D$3,"",BB19)</f>
        <v/>
      </c>
      <c r="BC111" s="2078" t="str">
        <f>IF($B111&lt;=Factores!$D$3,"",BC19)</f>
        <v/>
      </c>
      <c r="BD111" s="2078" t="str">
        <f>IF($B111&lt;=Factores!$D$3,"",BD19)</f>
        <v/>
      </c>
      <c r="BE111" s="2449" t="str">
        <f>IF($B111&lt;=Factores!$D$3,"",BE19)</f>
        <v/>
      </c>
      <c r="BF111" s="780" t="str">
        <f>IF($B111&lt;=Factores!$D$3,"",BF19)</f>
        <v/>
      </c>
      <c r="BG111" s="780" t="str">
        <f>IF($B111&lt;=Factores!$D$3,"",BG19)</f>
        <v/>
      </c>
      <c r="BH111" s="780" t="str">
        <f>IF($B111&lt;=Factores!$D$3,"",BH19)</f>
        <v/>
      </c>
      <c r="BI111" s="780" t="str">
        <f>IF($B111&lt;=Factores!$D$3,"",BI19)</f>
        <v/>
      </c>
      <c r="BJ111" s="539" t="str">
        <f>IF($B111&lt;=Factores!$D$3,"",BJ19)</f>
        <v/>
      </c>
      <c r="BK111" s="539" t="str">
        <f>IF($B111&lt;=Factores!$D$3,"",BK19)</f>
        <v/>
      </c>
      <c r="BL111" s="781" t="str">
        <f>IF($B111&lt;=Factores!$D$3,"",BL19)</f>
        <v/>
      </c>
      <c r="BM111" s="539" t="str">
        <f>IF($B111&lt;=Factores!$D$3,"",BM19)</f>
        <v/>
      </c>
      <c r="BN111" s="539" t="str">
        <f>IF($B111&lt;=Factores!$D$3,"",BN19)</f>
        <v/>
      </c>
      <c r="BO111" s="539" t="str">
        <f>IF($B111&lt;=Factores!$D$3,"",BO19)</f>
        <v/>
      </c>
      <c r="BP111" s="2441" t="str">
        <f>IF($B111&lt;=Factores!$D$3,"",BP19)</f>
        <v/>
      </c>
      <c r="BQ111" s="2442" t="str">
        <f>IF($B111&lt;=Factores!$D$3,"",BQ19)</f>
        <v/>
      </c>
      <c r="BR111" s="2443" t="str">
        <f>IF($B111&lt;=Factores!$D$3,"",BR19)</f>
        <v/>
      </c>
      <c r="BS111" s="2444" t="str">
        <f>IF($B111&lt;=Factores!$D$3,"",BS19)</f>
        <v/>
      </c>
      <c r="BT111" s="785" t="str">
        <f>IF($B111&lt;=Factores!$D$3,"",BT19)</f>
        <v/>
      </c>
      <c r="BU111" s="785" t="str">
        <f>IF($B111&lt;=Factores!$D$3,"",BU19)</f>
        <v/>
      </c>
      <c r="BV111" s="2445" t="str">
        <f>IF($B111&lt;=Factores!$D$3,"",BV19)</f>
        <v/>
      </c>
      <c r="BW111" s="785" t="str">
        <f>IF($B111&lt;=Factores!$D$3,"",BW19)</f>
        <v/>
      </c>
      <c r="BX111" s="785" t="str">
        <f>IF($B111&lt;=Factores!$D$3,"",BX19)</f>
        <v/>
      </c>
      <c r="BY111" s="785" t="str">
        <f>IF($B111&lt;=Factores!$D$3,"",BY19)</f>
        <v/>
      </c>
      <c r="BZ111" s="785" t="str">
        <f>IF($B111&lt;=Factores!$D$3,"",BZ19)</f>
        <v/>
      </c>
      <c r="CA111" s="2446" t="str">
        <f>IF($B111&lt;=Factores!$D$3,"",CA19)</f>
        <v/>
      </c>
      <c r="CB111" s="2446" t="str">
        <f>IF($B111&lt;=Factores!$D$3,"",CB19)</f>
        <v/>
      </c>
      <c r="CC111" s="2446" t="str">
        <f>IF($B111&lt;=Factores!$D$3,"",CC19)</f>
        <v/>
      </c>
      <c r="CD111" s="2443" t="str">
        <f>IF($B111&lt;=Factores!$D$3,"",CD19)</f>
        <v/>
      </c>
      <c r="CE111" s="2446" t="str">
        <f>IF($B111&lt;=Factores!$D$3,"",CE19)</f>
        <v/>
      </c>
      <c r="CF111" s="2446" t="str">
        <f>IF($B111&lt;=Factores!$D$3,"",CF19)</f>
        <v/>
      </c>
      <c r="CG111" s="2446" t="str">
        <f>IF($B111&lt;=Factores!$D$3,"",CG19)</f>
        <v/>
      </c>
      <c r="CH111" s="2444" t="str">
        <f>IF($B111&lt;=Factores!$D$3,"",CH19)</f>
        <v/>
      </c>
      <c r="CI111" s="2446" t="str">
        <f>IF($B111&lt;=Factores!$D$3,"",CI19)</f>
        <v/>
      </c>
      <c r="CJ111" s="2443" t="str">
        <f>IF($B111&lt;=Factores!$D$3,"",CJ19)</f>
        <v/>
      </c>
      <c r="CK111" s="2446" t="str">
        <f>IF($B111&lt;=Factores!$D$3,"",CK19)</f>
        <v/>
      </c>
      <c r="CL111" s="2446" t="str">
        <f>IF($B111&lt;=Factores!$D$3,"",CL19)</f>
        <v/>
      </c>
      <c r="CM111" s="2443" t="str">
        <f>IF($B111&lt;=Factores!$D$3,"",CM19)</f>
        <v/>
      </c>
      <c r="CN111" s="2444" t="str">
        <f>IF($B111&lt;=Factores!$D$3,"",CN19)</f>
        <v/>
      </c>
      <c r="CO111" s="2446" t="str">
        <f>IF($B111&lt;=Factores!$D$3,"",CO19)</f>
        <v/>
      </c>
      <c r="CP111" s="2447" t="str">
        <f>IF($B111&lt;=Factores!$D$3,"",CP19)</f>
        <v/>
      </c>
      <c r="CQ111" s="744" t="str">
        <f>IF($B111&lt;=Factores!$D$3,"",CQ19)</f>
        <v/>
      </c>
      <c r="CR111" s="744" t="str">
        <f>IF($B111&lt;=Factores!$D$3,"",CR19)</f>
        <v/>
      </c>
      <c r="CS111" s="744" t="str">
        <f>IF($B111&lt;=Factores!$D$3,"",CS19)</f>
        <v/>
      </c>
      <c r="CT111" s="744" t="str">
        <f>IF($B111&lt;=Factores!$D$3,"",CT19)</f>
        <v/>
      </c>
      <c r="CU111" s="744" t="str">
        <f>IF($B111&lt;=Factores!$D$3,"",CU19)</f>
        <v/>
      </c>
      <c r="CV111" s="744" t="str">
        <f>IF($B111&lt;=Factores!$D$3,"",CV19)</f>
        <v/>
      </c>
      <c r="CW111" s="2449" t="str">
        <f>IF($B111&lt;=Factores!$D$3,"",CW19)</f>
        <v/>
      </c>
      <c r="CX111" s="783" t="str">
        <f>IF($B111&lt;=Factores!$D$3,"",CX19)</f>
        <v/>
      </c>
      <c r="CY111" s="744" t="str">
        <f>IF($B111&lt;=Factores!$D$3,"",CY19)</f>
        <v/>
      </c>
      <c r="CZ111" s="744" t="str">
        <f>IF($B111&lt;=Factores!$D$3,"",CZ19)</f>
        <v/>
      </c>
      <c r="DA111" s="744" t="str">
        <f>IF($B111&lt;=Factores!$D$3,"",DA19)</f>
        <v/>
      </c>
      <c r="DB111" s="744" t="str">
        <f>IF($B111&lt;=Factores!$D$3,"",DB19)</f>
        <v/>
      </c>
      <c r="DC111" s="744" t="str">
        <f>IF($B111&lt;=Factores!$D$3,"",DC19)</f>
        <v/>
      </c>
    </row>
    <row r="112" spans="1:107" s="744" customFormat="1" ht="17.149999999999999" customHeight="1">
      <c r="A112" s="2450"/>
      <c r="B112" s="794">
        <f t="shared" si="60"/>
        <v>46094.791666666664</v>
      </c>
      <c r="C112" s="780" t="str">
        <f>IF($B112&lt;=Factores!$D$3,"",C20)</f>
        <v/>
      </c>
      <c r="D112" s="2432" t="str">
        <f>IF($B112&lt;=Factores!$D$3,"",D20)</f>
        <v/>
      </c>
      <c r="E112" s="2432" t="str">
        <f>IF($B112&lt;=Factores!$D$3,"",E20)</f>
        <v/>
      </c>
      <c r="F112" s="2432" t="str">
        <f>IF($B112&lt;=Factores!$D$3,"",F20)</f>
        <v/>
      </c>
      <c r="G112" s="2432" t="str">
        <f>IF($B112&lt;=Factores!$D$3,"",G20)</f>
        <v/>
      </c>
      <c r="H112" s="781" t="str">
        <f>IF($B112&lt;=Factores!$D$3,"",H20)</f>
        <v/>
      </c>
      <c r="I112" s="781" t="str">
        <f>IF($B112&lt;=Factores!$D$3,"",I20)</f>
        <v/>
      </c>
      <c r="J112" s="781" t="str">
        <f>IF($B112&lt;=Factores!$D$3,"",J20)</f>
        <v/>
      </c>
      <c r="K112" s="781" t="str">
        <f>IF($B112&lt;=Factores!$D$3,"",K20)</f>
        <v/>
      </c>
      <c r="L112" s="2066" t="str">
        <f>IF($B112&lt;=Factores!$D$3,"",L20)</f>
        <v/>
      </c>
      <c r="M112" s="781" t="str">
        <f>IF($B112&lt;=Factores!$D$3,"",M20)</f>
        <v/>
      </c>
      <c r="N112" s="781" t="str">
        <f>IF($B112&lt;=Factores!$D$3,"",N20)</f>
        <v/>
      </c>
      <c r="O112" s="780" t="str">
        <f>IF($B112&lt;=Factores!$D$3,"",O20)</f>
        <v/>
      </c>
      <c r="P112" s="539" t="str">
        <f>IF($B112&lt;=Factores!$D$3,"",P20)</f>
        <v/>
      </c>
      <c r="Q112" s="780" t="str">
        <f>IF($B112&lt;=Factores!$D$3,"",Q20)</f>
        <v/>
      </c>
      <c r="R112" s="782" t="str">
        <f>IF($B112&lt;=Factores!$D$3,"",R20)</f>
        <v/>
      </c>
      <c r="S112" s="780" t="str">
        <f>IF($B112&lt;=Factores!$D$3,"",S20)</f>
        <v/>
      </c>
      <c r="T112" s="781" t="str">
        <f>IF($B112&lt;=Factores!$D$3,"",T20)</f>
        <v/>
      </c>
      <c r="U112" s="781" t="str">
        <f>IF($B112&lt;=Factores!$D$3,"",U20)</f>
        <v/>
      </c>
      <c r="V112" s="781" t="str">
        <f>IF($B112&lt;=Factores!$D$3,"",V20)</f>
        <v/>
      </c>
      <c r="W112" s="781" t="str">
        <f>IF($B112&lt;=Factores!$D$3,"",W20)</f>
        <v/>
      </c>
      <c r="X112" s="780" t="str">
        <f>IF($B112&lt;=Factores!$D$3,"",X20)</f>
        <v/>
      </c>
      <c r="Y112" s="539" t="str">
        <f>IF($B112&lt;=Factores!$D$3,"",Y20)</f>
        <v/>
      </c>
      <c r="Z112" s="539" t="str">
        <f>IF($B112&lt;=Factores!$D$3,"",Z20)</f>
        <v/>
      </c>
      <c r="AA112" s="780" t="str">
        <f>IF($B112&lt;=Factores!$D$3,"",AA20)</f>
        <v/>
      </c>
      <c r="AB112" s="782" t="str">
        <f>IF($B112&lt;=Factores!$D$3,"",AB20)</f>
        <v/>
      </c>
      <c r="AC112" s="780" t="str">
        <f>IF($B112&lt;=Factores!$D$3,"",AC20)</f>
        <v/>
      </c>
      <c r="AD112" s="539" t="str">
        <f>IF($B112&lt;=Factores!$D$3,"",AD20)</f>
        <v/>
      </c>
      <c r="AE112" s="782" t="str">
        <f>IF($B112&lt;=Factores!$D$3,"",AE20)</f>
        <v/>
      </c>
      <c r="AF112" s="780" t="str">
        <f>IF($B112&lt;=Factores!$D$3,"",AF20)</f>
        <v/>
      </c>
      <c r="AG112" s="539" t="str">
        <f>IF($B112&lt;=Factores!$D$3,"",AG20)</f>
        <v/>
      </c>
      <c r="AH112" s="2072" t="str">
        <f>IF($B112&lt;=Factores!$D$3,"",AH20)</f>
        <v/>
      </c>
      <c r="AI112" s="2451" t="str">
        <f>IF($B112&lt;=Factores!$D$3,"",AI20)</f>
        <v/>
      </c>
      <c r="AJ112" s="2439" t="str">
        <f>IF($B112&lt;=Factores!$D$3,"",AJ20)</f>
        <v/>
      </c>
      <c r="AK112" s="2452" t="str">
        <f>IF($B112&lt;=Factores!$D$3,"",AK20)</f>
        <v/>
      </c>
      <c r="AL112" s="2453" t="str">
        <f>IF($B112&lt;=Factores!$D$3,"",AL20)</f>
        <v/>
      </c>
      <c r="AM112" s="2439" t="str">
        <f>IF($B112&lt;=Factores!$D$3,"",AM20)</f>
        <v/>
      </c>
      <c r="AN112" s="2452" t="str">
        <f>IF($B112&lt;=Factores!$D$3,"",AN20)</f>
        <v/>
      </c>
      <c r="AO112" s="2453" t="str">
        <f>IF($B112&lt;=Factores!$D$3,"",AO20)</f>
        <v/>
      </c>
      <c r="AP112" s="783" t="str">
        <f>IF($B112&lt;=Factores!$D$3,"",AP20)</f>
        <v/>
      </c>
      <c r="AQ112" s="783" t="str">
        <f>IF($B112&lt;=Factores!$D$3,"",AQ20)</f>
        <v/>
      </c>
      <c r="AR112" s="783" t="str">
        <f>IF($B112&lt;=Factores!$D$3,"",AR20)</f>
        <v/>
      </c>
      <c r="AS112" s="2632" t="str">
        <f>IF($B112&lt;=Factores!$D$3,"",AS20)</f>
        <v/>
      </c>
      <c r="AT112" s="784"/>
      <c r="AU112" s="2076"/>
      <c r="AV112" s="2438" t="str">
        <f>IF($B112&lt;=Factores!$D$3,"",AV20)</f>
        <v/>
      </c>
      <c r="AW112" s="2439" t="str">
        <f>IF($B112&lt;=Factores!$D$3,"",AW20)</f>
        <v/>
      </c>
      <c r="AX112" s="783" t="str">
        <f>IF($B112&lt;=Factores!$D$3,"",AX20)</f>
        <v/>
      </c>
      <c r="AY112" s="783" t="str">
        <f>IF($B112&lt;=Factores!$D$3,"",AY20)</f>
        <v/>
      </c>
      <c r="AZ112" s="783" t="str">
        <f>IF($B112&lt;=Factores!$D$3,"",AZ20)</f>
        <v/>
      </c>
      <c r="BA112" s="2432" t="str">
        <f>IF($B112&lt;=Factores!$D$3,"",BA20)</f>
        <v/>
      </c>
      <c r="BB112" s="782" t="str">
        <f>IF($B112&lt;=Factores!$D$3,"",BB20)</f>
        <v/>
      </c>
      <c r="BC112" s="2078" t="str">
        <f>IF($B112&lt;=Factores!$D$3,"",BC20)</f>
        <v/>
      </c>
      <c r="BD112" s="2078" t="str">
        <f>IF($B112&lt;=Factores!$D$3,"",BD20)</f>
        <v/>
      </c>
      <c r="BE112" s="2449" t="str">
        <f>IF($B112&lt;=Factores!$D$3,"",BE20)</f>
        <v/>
      </c>
      <c r="BF112" s="780" t="str">
        <f>IF($B112&lt;=Factores!$D$3,"",BF20)</f>
        <v/>
      </c>
      <c r="BG112" s="780" t="str">
        <f>IF($B112&lt;=Factores!$D$3,"",BG20)</f>
        <v/>
      </c>
      <c r="BH112" s="780" t="str">
        <f>IF($B112&lt;=Factores!$D$3,"",BH20)</f>
        <v/>
      </c>
      <c r="BI112" s="780" t="str">
        <f>IF($B112&lt;=Factores!$D$3,"",BI20)</f>
        <v/>
      </c>
      <c r="BJ112" s="539" t="str">
        <f>IF($B112&lt;=Factores!$D$3,"",BJ20)</f>
        <v/>
      </c>
      <c r="BK112" s="539" t="str">
        <f>IF($B112&lt;=Factores!$D$3,"",BK20)</f>
        <v/>
      </c>
      <c r="BL112" s="781" t="str">
        <f>IF($B112&lt;=Factores!$D$3,"",BL20)</f>
        <v/>
      </c>
      <c r="BM112" s="539" t="str">
        <f>IF($B112&lt;=Factores!$D$3,"",BM20)</f>
        <v/>
      </c>
      <c r="BN112" s="539" t="str">
        <f>IF($B112&lt;=Factores!$D$3,"",BN20)</f>
        <v/>
      </c>
      <c r="BO112" s="539" t="str">
        <f>IF($B112&lt;=Factores!$D$3,"",BO20)</f>
        <v/>
      </c>
      <c r="BP112" s="2441" t="str">
        <f>IF($B112&lt;=Factores!$D$3,"",BP20)</f>
        <v/>
      </c>
      <c r="BQ112" s="2442" t="str">
        <f>IF($B112&lt;=Factores!$D$3,"",BQ20)</f>
        <v/>
      </c>
      <c r="BR112" s="2443" t="str">
        <f>IF($B112&lt;=Factores!$D$3,"",BR20)</f>
        <v/>
      </c>
      <c r="BS112" s="2444" t="str">
        <f>IF($B112&lt;=Factores!$D$3,"",BS20)</f>
        <v/>
      </c>
      <c r="BT112" s="785" t="str">
        <f>IF($B112&lt;=Factores!$D$3,"",BT20)</f>
        <v/>
      </c>
      <c r="BU112" s="785" t="str">
        <f>IF($B112&lt;=Factores!$D$3,"",BU20)</f>
        <v/>
      </c>
      <c r="BV112" s="2445" t="str">
        <f>IF($B112&lt;=Factores!$D$3,"",BV20)</f>
        <v/>
      </c>
      <c r="BW112" s="785" t="str">
        <f>IF($B112&lt;=Factores!$D$3,"",BW20)</f>
        <v/>
      </c>
      <c r="BX112" s="785" t="str">
        <f>IF($B112&lt;=Factores!$D$3,"",BX20)</f>
        <v/>
      </c>
      <c r="BY112" s="785" t="str">
        <f>IF($B112&lt;=Factores!$D$3,"",BY20)</f>
        <v/>
      </c>
      <c r="BZ112" s="785" t="str">
        <f>IF($B112&lt;=Factores!$D$3,"",BZ20)</f>
        <v/>
      </c>
      <c r="CA112" s="2446" t="str">
        <f>IF($B112&lt;=Factores!$D$3,"",CA20)</f>
        <v/>
      </c>
      <c r="CB112" s="2446" t="str">
        <f>IF($B112&lt;=Factores!$D$3,"",CB20)</f>
        <v/>
      </c>
      <c r="CC112" s="2446" t="str">
        <f>IF($B112&lt;=Factores!$D$3,"",CC20)</f>
        <v/>
      </c>
      <c r="CD112" s="2443" t="str">
        <f>IF($B112&lt;=Factores!$D$3,"",CD20)</f>
        <v/>
      </c>
      <c r="CE112" s="2446" t="str">
        <f>IF($B112&lt;=Factores!$D$3,"",CE20)</f>
        <v/>
      </c>
      <c r="CF112" s="2446" t="str">
        <f>IF($B112&lt;=Factores!$D$3,"",CF20)</f>
        <v/>
      </c>
      <c r="CG112" s="2446" t="str">
        <f>IF($B112&lt;=Factores!$D$3,"",CG20)</f>
        <v/>
      </c>
      <c r="CH112" s="2444" t="str">
        <f>IF($B112&lt;=Factores!$D$3,"",CH20)</f>
        <v/>
      </c>
      <c r="CI112" s="2446" t="str">
        <f>IF($B112&lt;=Factores!$D$3,"",CI20)</f>
        <v/>
      </c>
      <c r="CJ112" s="2443" t="str">
        <f>IF($B112&lt;=Factores!$D$3,"",CJ20)</f>
        <v/>
      </c>
      <c r="CK112" s="2446" t="str">
        <f>IF($B112&lt;=Factores!$D$3,"",CK20)</f>
        <v/>
      </c>
      <c r="CL112" s="2446" t="str">
        <f>IF($B112&lt;=Factores!$D$3,"",CL20)</f>
        <v/>
      </c>
      <c r="CM112" s="2443" t="str">
        <f>IF($B112&lt;=Factores!$D$3,"",CM20)</f>
        <v/>
      </c>
      <c r="CN112" s="2444" t="str">
        <f>IF($B112&lt;=Factores!$D$3,"",CN20)</f>
        <v/>
      </c>
      <c r="CO112" s="2446" t="str">
        <f>IF($B112&lt;=Factores!$D$3,"",CO20)</f>
        <v/>
      </c>
      <c r="CP112" s="2447" t="str">
        <f>IF($B112&lt;=Factores!$D$3,"",CP20)</f>
        <v/>
      </c>
      <c r="CQ112" s="744" t="str">
        <f>IF($B112&lt;=Factores!$D$3,"",CQ20)</f>
        <v/>
      </c>
      <c r="CR112" s="744" t="str">
        <f>IF($B112&lt;=Factores!$D$3,"",CR20)</f>
        <v/>
      </c>
      <c r="CS112" s="744" t="str">
        <f>IF($B112&lt;=Factores!$D$3,"",CS20)</f>
        <v/>
      </c>
      <c r="CT112" s="744" t="str">
        <f>IF($B112&lt;=Factores!$D$3,"",CT20)</f>
        <v/>
      </c>
      <c r="CU112" s="744" t="str">
        <f>IF($B112&lt;=Factores!$D$3,"",CU20)</f>
        <v/>
      </c>
      <c r="CV112" s="744" t="str">
        <f>IF($B112&lt;=Factores!$D$3,"",CV20)</f>
        <v/>
      </c>
      <c r="CW112" s="2449" t="str">
        <f>IF($B112&lt;=Factores!$D$3,"",CW20)</f>
        <v/>
      </c>
      <c r="CX112" s="783" t="str">
        <f>IF($B112&lt;=Factores!$D$3,"",CX20)</f>
        <v/>
      </c>
      <c r="CY112" s="744" t="str">
        <f>IF($B112&lt;=Factores!$D$3,"",CY20)</f>
        <v/>
      </c>
      <c r="CZ112" s="744" t="str">
        <f>IF($B112&lt;=Factores!$D$3,"",CZ20)</f>
        <v/>
      </c>
      <c r="DA112" s="744" t="str">
        <f>IF($B112&lt;=Factores!$D$3,"",DA20)</f>
        <v/>
      </c>
      <c r="DB112" s="744" t="str">
        <f>IF($B112&lt;=Factores!$D$3,"",DB20)</f>
        <v/>
      </c>
      <c r="DC112" s="744" t="str">
        <f>IF($B112&lt;=Factores!$D$3,"",DC20)</f>
        <v/>
      </c>
    </row>
    <row r="113" spans="1:107" s="744" customFormat="1" ht="17.149999999999999" customHeight="1">
      <c r="A113" s="2450"/>
      <c r="B113" s="794">
        <f t="shared" si="60"/>
        <v>46095.791666666664</v>
      </c>
      <c r="C113" s="780" t="str">
        <f>IF($B113&lt;=Factores!$D$3,"",C21)</f>
        <v/>
      </c>
      <c r="D113" s="2432" t="str">
        <f>IF($B113&lt;=Factores!$D$3,"",D21)</f>
        <v/>
      </c>
      <c r="E113" s="2432" t="str">
        <f>IF($B113&lt;=Factores!$D$3,"",E21)</f>
        <v/>
      </c>
      <c r="F113" s="2432" t="str">
        <f>IF($B113&lt;=Factores!$D$3,"",F21)</f>
        <v/>
      </c>
      <c r="G113" s="2432" t="str">
        <f>IF($B113&lt;=Factores!$D$3,"",G21)</f>
        <v/>
      </c>
      <c r="H113" s="781" t="str">
        <f>IF($B113&lt;=Factores!$D$3,"",H21)</f>
        <v/>
      </c>
      <c r="I113" s="781" t="str">
        <f>IF($B113&lt;=Factores!$D$3,"",I21)</f>
        <v/>
      </c>
      <c r="J113" s="781" t="str">
        <f>IF($B113&lt;=Factores!$D$3,"",J21)</f>
        <v/>
      </c>
      <c r="K113" s="781" t="str">
        <f>IF($B113&lt;=Factores!$D$3,"",K21)</f>
        <v/>
      </c>
      <c r="L113" s="2066" t="str">
        <f>IF($B113&lt;=Factores!$D$3,"",L21)</f>
        <v/>
      </c>
      <c r="M113" s="781" t="str">
        <f>IF($B113&lt;=Factores!$D$3,"",M21)</f>
        <v/>
      </c>
      <c r="N113" s="781" t="str">
        <f>IF($B113&lt;=Factores!$D$3,"",N21)</f>
        <v/>
      </c>
      <c r="O113" s="780" t="str">
        <f>IF($B113&lt;=Factores!$D$3,"",O21)</f>
        <v/>
      </c>
      <c r="P113" s="539" t="str">
        <f>IF($B113&lt;=Factores!$D$3,"",P21)</f>
        <v/>
      </c>
      <c r="Q113" s="780" t="str">
        <f>IF($B113&lt;=Factores!$D$3,"",Q21)</f>
        <v/>
      </c>
      <c r="R113" s="782" t="str">
        <f>IF($B113&lt;=Factores!$D$3,"",R21)</f>
        <v/>
      </c>
      <c r="S113" s="780" t="str">
        <f>IF($B113&lt;=Factores!$D$3,"",S21)</f>
        <v/>
      </c>
      <c r="T113" s="781" t="str">
        <f>IF($B113&lt;=Factores!$D$3,"",T21)</f>
        <v/>
      </c>
      <c r="U113" s="781" t="str">
        <f>IF($B113&lt;=Factores!$D$3,"",U21)</f>
        <v/>
      </c>
      <c r="V113" s="781" t="str">
        <f>IF($B113&lt;=Factores!$D$3,"",V21)</f>
        <v/>
      </c>
      <c r="W113" s="781" t="str">
        <f>IF($B113&lt;=Factores!$D$3,"",W21)</f>
        <v/>
      </c>
      <c r="X113" s="780" t="str">
        <f>IF($B113&lt;=Factores!$D$3,"",X21)</f>
        <v/>
      </c>
      <c r="Y113" s="539" t="str">
        <f>IF($B113&lt;=Factores!$D$3,"",Y21)</f>
        <v/>
      </c>
      <c r="Z113" s="539" t="str">
        <f>IF($B113&lt;=Factores!$D$3,"",Z21)</f>
        <v/>
      </c>
      <c r="AA113" s="780" t="str">
        <f>IF($B113&lt;=Factores!$D$3,"",AA21)</f>
        <v/>
      </c>
      <c r="AB113" s="782" t="str">
        <f>IF($B113&lt;=Factores!$D$3,"",AB21)</f>
        <v/>
      </c>
      <c r="AC113" s="780" t="str">
        <f>IF($B113&lt;=Factores!$D$3,"",AC21)</f>
        <v/>
      </c>
      <c r="AD113" s="539" t="str">
        <f>IF($B113&lt;=Factores!$D$3,"",AD21)</f>
        <v/>
      </c>
      <c r="AE113" s="782" t="str">
        <f>IF($B113&lt;=Factores!$D$3,"",AE21)</f>
        <v/>
      </c>
      <c r="AF113" s="780" t="str">
        <f>IF($B113&lt;=Factores!$D$3,"",AF21)</f>
        <v/>
      </c>
      <c r="AG113" s="539" t="str">
        <f>IF($B113&lt;=Factores!$D$3,"",AG21)</f>
        <v/>
      </c>
      <c r="AH113" s="2072" t="str">
        <f>IF($B113&lt;=Factores!$D$3,"",AH21)</f>
        <v/>
      </c>
      <c r="AI113" s="2451" t="str">
        <f>IF($B113&lt;=Factores!$D$3,"",AI21)</f>
        <v/>
      </c>
      <c r="AJ113" s="2439" t="str">
        <f>IF($B113&lt;=Factores!$D$3,"",AJ21)</f>
        <v/>
      </c>
      <c r="AK113" s="2452" t="str">
        <f>IF($B113&lt;=Factores!$D$3,"",AK21)</f>
        <v/>
      </c>
      <c r="AL113" s="2453" t="str">
        <f>IF($B113&lt;=Factores!$D$3,"",AL21)</f>
        <v/>
      </c>
      <c r="AM113" s="2439" t="str">
        <f>IF($B113&lt;=Factores!$D$3,"",AM21)</f>
        <v/>
      </c>
      <c r="AN113" s="2452" t="str">
        <f>IF($B113&lt;=Factores!$D$3,"",AN21)</f>
        <v/>
      </c>
      <c r="AO113" s="2453" t="str">
        <f>IF($B113&lt;=Factores!$D$3,"",AO21)</f>
        <v/>
      </c>
      <c r="AP113" s="783" t="str">
        <f>IF($B113&lt;=Factores!$D$3,"",AP21)</f>
        <v/>
      </c>
      <c r="AQ113" s="783" t="str">
        <f>IF($B113&lt;=Factores!$D$3,"",AQ21)</f>
        <v/>
      </c>
      <c r="AR113" s="783" t="str">
        <f>IF($B113&lt;=Factores!$D$3,"",AR21)</f>
        <v/>
      </c>
      <c r="AS113" s="2632" t="str">
        <f>IF($B113&lt;=Factores!$D$3,"",AS21)</f>
        <v/>
      </c>
      <c r="AT113" s="784"/>
      <c r="AU113" s="2076"/>
      <c r="AV113" s="2438" t="str">
        <f>IF($B113&lt;=Factores!$D$3,"",AV21)</f>
        <v/>
      </c>
      <c r="AW113" s="2439" t="str">
        <f>IF($B113&lt;=Factores!$D$3,"",AW21)</f>
        <v/>
      </c>
      <c r="AX113" s="783" t="str">
        <f>IF($B113&lt;=Factores!$D$3,"",AX21)</f>
        <v/>
      </c>
      <c r="AY113" s="783" t="str">
        <f>IF($B113&lt;=Factores!$D$3,"",AY21)</f>
        <v/>
      </c>
      <c r="AZ113" s="783" t="str">
        <f>IF($B113&lt;=Factores!$D$3,"",AZ21)</f>
        <v/>
      </c>
      <c r="BA113" s="2432" t="str">
        <f>IF($B113&lt;=Factores!$D$3,"",BA21)</f>
        <v/>
      </c>
      <c r="BB113" s="782" t="str">
        <f>IF($B113&lt;=Factores!$D$3,"",BB21)</f>
        <v/>
      </c>
      <c r="BC113" s="2078" t="str">
        <f>IF($B113&lt;=Factores!$D$3,"",BC21)</f>
        <v/>
      </c>
      <c r="BD113" s="2078" t="str">
        <f>IF($B113&lt;=Factores!$D$3,"",BD21)</f>
        <v/>
      </c>
      <c r="BE113" s="2449" t="str">
        <f>IF($B113&lt;=Factores!$D$3,"",BE21)</f>
        <v/>
      </c>
      <c r="BF113" s="780" t="str">
        <f>IF($B113&lt;=Factores!$D$3,"",BF21)</f>
        <v/>
      </c>
      <c r="BG113" s="780" t="str">
        <f>IF($B113&lt;=Factores!$D$3,"",BG21)</f>
        <v/>
      </c>
      <c r="BH113" s="780" t="str">
        <f>IF($B113&lt;=Factores!$D$3,"",BH21)</f>
        <v/>
      </c>
      <c r="BI113" s="780" t="str">
        <f>IF($B113&lt;=Factores!$D$3,"",BI21)</f>
        <v/>
      </c>
      <c r="BJ113" s="539" t="str">
        <f>IF($B113&lt;=Factores!$D$3,"",BJ21)</f>
        <v/>
      </c>
      <c r="BK113" s="539" t="str">
        <f>IF($B113&lt;=Factores!$D$3,"",BK21)</f>
        <v/>
      </c>
      <c r="BL113" s="781" t="str">
        <f>IF($B113&lt;=Factores!$D$3,"",BL21)</f>
        <v/>
      </c>
      <c r="BM113" s="539" t="str">
        <f>IF($B113&lt;=Factores!$D$3,"",BM21)</f>
        <v/>
      </c>
      <c r="BN113" s="539" t="str">
        <f>IF($B113&lt;=Factores!$D$3,"",BN21)</f>
        <v/>
      </c>
      <c r="BO113" s="539" t="str">
        <f>IF($B113&lt;=Factores!$D$3,"",BO21)</f>
        <v/>
      </c>
      <c r="BP113" s="2441" t="str">
        <f>IF($B113&lt;=Factores!$D$3,"",BP21)</f>
        <v/>
      </c>
      <c r="BQ113" s="2442" t="str">
        <f>IF($B113&lt;=Factores!$D$3,"",BQ21)</f>
        <v/>
      </c>
      <c r="BR113" s="2443" t="str">
        <f>IF($B113&lt;=Factores!$D$3,"",BR21)</f>
        <v/>
      </c>
      <c r="BS113" s="2444" t="str">
        <f>IF($B113&lt;=Factores!$D$3,"",BS21)</f>
        <v/>
      </c>
      <c r="BT113" s="785" t="str">
        <f>IF($B113&lt;=Factores!$D$3,"",BT21)</f>
        <v/>
      </c>
      <c r="BU113" s="785" t="str">
        <f>IF($B113&lt;=Factores!$D$3,"",BU21)</f>
        <v/>
      </c>
      <c r="BV113" s="2445" t="str">
        <f>IF($B113&lt;=Factores!$D$3,"",BV21)</f>
        <v/>
      </c>
      <c r="BW113" s="785" t="str">
        <f>IF($B113&lt;=Factores!$D$3,"",BW21)</f>
        <v/>
      </c>
      <c r="BX113" s="785" t="str">
        <f>IF($B113&lt;=Factores!$D$3,"",BX21)</f>
        <v/>
      </c>
      <c r="BY113" s="785" t="str">
        <f>IF($B113&lt;=Factores!$D$3,"",BY21)</f>
        <v/>
      </c>
      <c r="BZ113" s="785" t="str">
        <f>IF($B113&lt;=Factores!$D$3,"",BZ21)</f>
        <v/>
      </c>
      <c r="CA113" s="2446" t="str">
        <f>IF($B113&lt;=Factores!$D$3,"",CA21)</f>
        <v/>
      </c>
      <c r="CB113" s="2446" t="str">
        <f>IF($B113&lt;=Factores!$D$3,"",CB21)</f>
        <v/>
      </c>
      <c r="CC113" s="2446" t="str">
        <f>IF($B113&lt;=Factores!$D$3,"",CC21)</f>
        <v/>
      </c>
      <c r="CD113" s="2443" t="str">
        <f>IF($B113&lt;=Factores!$D$3,"",CD21)</f>
        <v/>
      </c>
      <c r="CE113" s="2446" t="str">
        <f>IF($B113&lt;=Factores!$D$3,"",CE21)</f>
        <v/>
      </c>
      <c r="CF113" s="2446" t="str">
        <f>IF($B113&lt;=Factores!$D$3,"",CF21)</f>
        <v/>
      </c>
      <c r="CG113" s="2446" t="str">
        <f>IF($B113&lt;=Factores!$D$3,"",CG21)</f>
        <v/>
      </c>
      <c r="CH113" s="2444" t="str">
        <f>IF($B113&lt;=Factores!$D$3,"",CH21)</f>
        <v/>
      </c>
      <c r="CI113" s="2446" t="str">
        <f>IF($B113&lt;=Factores!$D$3,"",CI21)</f>
        <v/>
      </c>
      <c r="CJ113" s="2443" t="str">
        <f>IF($B113&lt;=Factores!$D$3,"",CJ21)</f>
        <v/>
      </c>
      <c r="CK113" s="2446" t="str">
        <f>IF($B113&lt;=Factores!$D$3,"",CK21)</f>
        <v/>
      </c>
      <c r="CL113" s="2446" t="str">
        <f>IF($B113&lt;=Factores!$D$3,"",CL21)</f>
        <v/>
      </c>
      <c r="CM113" s="2443" t="str">
        <f>IF($B113&lt;=Factores!$D$3,"",CM21)</f>
        <v/>
      </c>
      <c r="CN113" s="2444" t="str">
        <f>IF($B113&lt;=Factores!$D$3,"",CN21)</f>
        <v/>
      </c>
      <c r="CO113" s="2446" t="str">
        <f>IF($B113&lt;=Factores!$D$3,"",CO21)</f>
        <v/>
      </c>
      <c r="CP113" s="2447" t="str">
        <f>IF($B113&lt;=Factores!$D$3,"",CP21)</f>
        <v/>
      </c>
      <c r="CQ113" s="744" t="str">
        <f>IF($B113&lt;=Factores!$D$3,"",CQ21)</f>
        <v/>
      </c>
      <c r="CR113" s="744" t="str">
        <f>IF($B113&lt;=Factores!$D$3,"",CR21)</f>
        <v/>
      </c>
      <c r="CS113" s="744" t="str">
        <f>IF($B113&lt;=Factores!$D$3,"",CS21)</f>
        <v/>
      </c>
      <c r="CT113" s="744" t="str">
        <f>IF($B113&lt;=Factores!$D$3,"",CT21)</f>
        <v/>
      </c>
      <c r="CU113" s="744" t="str">
        <f>IF($B113&lt;=Factores!$D$3,"",CU21)</f>
        <v/>
      </c>
      <c r="CV113" s="744" t="str">
        <f>IF($B113&lt;=Factores!$D$3,"",CV21)</f>
        <v/>
      </c>
      <c r="CW113" s="2449" t="str">
        <f>IF($B113&lt;=Factores!$D$3,"",CW21)</f>
        <v/>
      </c>
      <c r="CX113" s="783" t="str">
        <f>IF($B113&lt;=Factores!$D$3,"",CX21)</f>
        <v/>
      </c>
      <c r="CY113" s="744" t="str">
        <f>IF($B113&lt;=Factores!$D$3,"",CY21)</f>
        <v/>
      </c>
      <c r="CZ113" s="744" t="str">
        <f>IF($B113&lt;=Factores!$D$3,"",CZ21)</f>
        <v/>
      </c>
      <c r="DA113" s="744" t="str">
        <f>IF($B113&lt;=Factores!$D$3,"",DA21)</f>
        <v/>
      </c>
      <c r="DB113" s="744" t="str">
        <f>IF($B113&lt;=Factores!$D$3,"",DB21)</f>
        <v/>
      </c>
      <c r="DC113" s="744" t="str">
        <f>IF($B113&lt;=Factores!$D$3,"",DC21)</f>
        <v/>
      </c>
    </row>
    <row r="114" spans="1:107" s="744" customFormat="1" ht="17.149999999999999" customHeight="1">
      <c r="A114" s="2450"/>
      <c r="B114" s="794">
        <f t="shared" si="60"/>
        <v>46096.791666666664</v>
      </c>
      <c r="C114" s="780" t="str">
        <f>IF($B114&lt;=Factores!$D$3,"",C22)</f>
        <v/>
      </c>
      <c r="D114" s="2432" t="str">
        <f>IF($B114&lt;=Factores!$D$3,"",D22)</f>
        <v/>
      </c>
      <c r="E114" s="2432" t="str">
        <f>IF($B114&lt;=Factores!$D$3,"",E22)</f>
        <v/>
      </c>
      <c r="F114" s="2432" t="str">
        <f>IF($B114&lt;=Factores!$D$3,"",F22)</f>
        <v/>
      </c>
      <c r="G114" s="2432" t="str">
        <f>IF($B114&lt;=Factores!$D$3,"",G22)</f>
        <v/>
      </c>
      <c r="H114" s="781" t="str">
        <f>IF($B114&lt;=Factores!$D$3,"",H22)</f>
        <v/>
      </c>
      <c r="I114" s="781" t="str">
        <f>IF($B114&lt;=Factores!$D$3,"",I22)</f>
        <v/>
      </c>
      <c r="J114" s="781" t="str">
        <f>IF($B114&lt;=Factores!$D$3,"",J22)</f>
        <v/>
      </c>
      <c r="K114" s="781" t="str">
        <f>IF($B114&lt;=Factores!$D$3,"",K22)</f>
        <v/>
      </c>
      <c r="L114" s="2066" t="str">
        <f>IF($B114&lt;=Factores!$D$3,"",L22)</f>
        <v/>
      </c>
      <c r="M114" s="781" t="str">
        <f>IF($B114&lt;=Factores!$D$3,"",M22)</f>
        <v/>
      </c>
      <c r="N114" s="781" t="str">
        <f>IF($B114&lt;=Factores!$D$3,"",N22)</f>
        <v/>
      </c>
      <c r="O114" s="780" t="str">
        <f>IF($B114&lt;=Factores!$D$3,"",O22)</f>
        <v/>
      </c>
      <c r="P114" s="539" t="str">
        <f>IF($B114&lt;=Factores!$D$3,"",P22)</f>
        <v/>
      </c>
      <c r="Q114" s="780" t="str">
        <f>IF($B114&lt;=Factores!$D$3,"",Q22)</f>
        <v/>
      </c>
      <c r="R114" s="782" t="str">
        <f>IF($B114&lt;=Factores!$D$3,"",R22)</f>
        <v/>
      </c>
      <c r="S114" s="780" t="str">
        <f>IF($B114&lt;=Factores!$D$3,"",S22)</f>
        <v/>
      </c>
      <c r="T114" s="781" t="str">
        <f>IF($B114&lt;=Factores!$D$3,"",T22)</f>
        <v/>
      </c>
      <c r="U114" s="781" t="str">
        <f>IF($B114&lt;=Factores!$D$3,"",U22)</f>
        <v/>
      </c>
      <c r="V114" s="781" t="str">
        <f>IF($B114&lt;=Factores!$D$3,"",V22)</f>
        <v/>
      </c>
      <c r="W114" s="781" t="str">
        <f>IF($B114&lt;=Factores!$D$3,"",W22)</f>
        <v/>
      </c>
      <c r="X114" s="780" t="str">
        <f>IF($B114&lt;=Factores!$D$3,"",X22)</f>
        <v/>
      </c>
      <c r="Y114" s="539" t="str">
        <f>IF($B114&lt;=Factores!$D$3,"",Y22)</f>
        <v/>
      </c>
      <c r="Z114" s="539" t="str">
        <f>IF($B114&lt;=Factores!$D$3,"",Z22)</f>
        <v/>
      </c>
      <c r="AA114" s="780" t="str">
        <f>IF($B114&lt;=Factores!$D$3,"",AA22)</f>
        <v/>
      </c>
      <c r="AB114" s="782" t="str">
        <f>IF($B114&lt;=Factores!$D$3,"",AB22)</f>
        <v/>
      </c>
      <c r="AC114" s="780" t="str">
        <f>IF($B114&lt;=Factores!$D$3,"",AC22)</f>
        <v/>
      </c>
      <c r="AD114" s="539" t="str">
        <f>IF($B114&lt;=Factores!$D$3,"",AD22)</f>
        <v/>
      </c>
      <c r="AE114" s="782" t="str">
        <f>IF($B114&lt;=Factores!$D$3,"",AE22)</f>
        <v/>
      </c>
      <c r="AF114" s="780" t="str">
        <f>IF($B114&lt;=Factores!$D$3,"",AF22)</f>
        <v/>
      </c>
      <c r="AG114" s="539" t="str">
        <f>IF($B114&lt;=Factores!$D$3,"",AG22)</f>
        <v/>
      </c>
      <c r="AH114" s="2072" t="str">
        <f>IF($B114&lt;=Factores!$D$3,"",AH22)</f>
        <v/>
      </c>
      <c r="AI114" s="2451" t="str">
        <f>IF($B114&lt;=Factores!$D$3,"",AI22)</f>
        <v/>
      </c>
      <c r="AJ114" s="2439" t="str">
        <f>IF($B114&lt;=Factores!$D$3,"",AJ22)</f>
        <v/>
      </c>
      <c r="AK114" s="2452" t="str">
        <f>IF($B114&lt;=Factores!$D$3,"",AK22)</f>
        <v/>
      </c>
      <c r="AL114" s="2453" t="str">
        <f>IF($B114&lt;=Factores!$D$3,"",AL22)</f>
        <v/>
      </c>
      <c r="AM114" s="2439" t="str">
        <f>IF($B114&lt;=Factores!$D$3,"",AM22)</f>
        <v/>
      </c>
      <c r="AN114" s="2452" t="str">
        <f>IF($B114&lt;=Factores!$D$3,"",AN22)</f>
        <v/>
      </c>
      <c r="AO114" s="2453" t="str">
        <f>IF($B114&lt;=Factores!$D$3,"",AO22)</f>
        <v/>
      </c>
      <c r="AP114" s="783" t="str">
        <f>IF($B114&lt;=Factores!$D$3,"",AP22)</f>
        <v/>
      </c>
      <c r="AQ114" s="783" t="str">
        <f>IF($B114&lt;=Factores!$D$3,"",AQ22)</f>
        <v/>
      </c>
      <c r="AR114" s="783" t="str">
        <f>IF($B114&lt;=Factores!$D$3,"",AR22)</f>
        <v/>
      </c>
      <c r="AS114" s="2632" t="str">
        <f>IF($B114&lt;=Factores!$D$3,"",AS22)</f>
        <v/>
      </c>
      <c r="AT114" s="784"/>
      <c r="AU114" s="2076"/>
      <c r="AV114" s="2438" t="str">
        <f>IF($B114&lt;=Factores!$D$3,"",AV22)</f>
        <v/>
      </c>
      <c r="AW114" s="2439" t="str">
        <f>IF($B114&lt;=Factores!$D$3,"",AW22)</f>
        <v/>
      </c>
      <c r="AX114" s="783" t="str">
        <f>IF($B114&lt;=Factores!$D$3,"",AX22)</f>
        <v/>
      </c>
      <c r="AY114" s="783" t="str">
        <f>IF($B114&lt;=Factores!$D$3,"",AY22)</f>
        <v/>
      </c>
      <c r="AZ114" s="783" t="str">
        <f>IF($B114&lt;=Factores!$D$3,"",AZ22)</f>
        <v/>
      </c>
      <c r="BA114" s="2432" t="str">
        <f>IF($B114&lt;=Factores!$D$3,"",BA22)</f>
        <v/>
      </c>
      <c r="BB114" s="782" t="str">
        <f>IF($B114&lt;=Factores!$D$3,"",BB22)</f>
        <v/>
      </c>
      <c r="BC114" s="2078" t="str">
        <f>IF($B114&lt;=Factores!$D$3,"",BC22)</f>
        <v/>
      </c>
      <c r="BD114" s="2078" t="str">
        <f>IF($B114&lt;=Factores!$D$3,"",BD22)</f>
        <v/>
      </c>
      <c r="BE114" s="2449" t="str">
        <f>IF($B114&lt;=Factores!$D$3,"",BE22)</f>
        <v/>
      </c>
      <c r="BF114" s="780" t="str">
        <f>IF($B114&lt;=Factores!$D$3,"",BF22)</f>
        <v/>
      </c>
      <c r="BG114" s="780" t="str">
        <f>IF($B114&lt;=Factores!$D$3,"",BG22)</f>
        <v/>
      </c>
      <c r="BH114" s="780" t="str">
        <f>IF($B114&lt;=Factores!$D$3,"",BH22)</f>
        <v/>
      </c>
      <c r="BI114" s="780" t="str">
        <f>IF($B114&lt;=Factores!$D$3,"",BI22)</f>
        <v/>
      </c>
      <c r="BJ114" s="539" t="str">
        <f>IF($B114&lt;=Factores!$D$3,"",BJ22)</f>
        <v/>
      </c>
      <c r="BK114" s="539" t="str">
        <f>IF($B114&lt;=Factores!$D$3,"",BK22)</f>
        <v/>
      </c>
      <c r="BL114" s="781" t="str">
        <f>IF($B114&lt;=Factores!$D$3,"",BL22)</f>
        <v/>
      </c>
      <c r="BM114" s="539" t="str">
        <f>IF($B114&lt;=Factores!$D$3,"",BM22)</f>
        <v/>
      </c>
      <c r="BN114" s="539" t="str">
        <f>IF($B114&lt;=Factores!$D$3,"",BN22)</f>
        <v/>
      </c>
      <c r="BO114" s="539" t="str">
        <f>IF($B114&lt;=Factores!$D$3,"",BO22)</f>
        <v/>
      </c>
      <c r="BP114" s="2441" t="str">
        <f>IF($B114&lt;=Factores!$D$3,"",BP22)</f>
        <v/>
      </c>
      <c r="BQ114" s="2442" t="str">
        <f>IF($B114&lt;=Factores!$D$3,"",BQ22)</f>
        <v/>
      </c>
      <c r="BR114" s="2443" t="str">
        <f>IF($B114&lt;=Factores!$D$3,"",BR22)</f>
        <v/>
      </c>
      <c r="BS114" s="2444" t="str">
        <f>IF($B114&lt;=Factores!$D$3,"",BS22)</f>
        <v/>
      </c>
      <c r="BT114" s="785" t="str">
        <f>IF($B114&lt;=Factores!$D$3,"",BT22)</f>
        <v/>
      </c>
      <c r="BU114" s="785" t="str">
        <f>IF($B114&lt;=Factores!$D$3,"",BU22)</f>
        <v/>
      </c>
      <c r="BV114" s="2445" t="str">
        <f>IF($B114&lt;=Factores!$D$3,"",BV22)</f>
        <v/>
      </c>
      <c r="BW114" s="785" t="str">
        <f>IF($B114&lt;=Factores!$D$3,"",BW22)</f>
        <v/>
      </c>
      <c r="BX114" s="785" t="str">
        <f>IF($B114&lt;=Factores!$D$3,"",BX22)</f>
        <v/>
      </c>
      <c r="BY114" s="785" t="str">
        <f>IF($B114&lt;=Factores!$D$3,"",BY22)</f>
        <v/>
      </c>
      <c r="BZ114" s="785" t="str">
        <f>IF($B114&lt;=Factores!$D$3,"",BZ22)</f>
        <v/>
      </c>
      <c r="CA114" s="2446" t="str">
        <f>IF($B114&lt;=Factores!$D$3,"",CA22)</f>
        <v/>
      </c>
      <c r="CB114" s="2446" t="str">
        <f>IF($B114&lt;=Factores!$D$3,"",CB22)</f>
        <v/>
      </c>
      <c r="CC114" s="2446" t="str">
        <f>IF($B114&lt;=Factores!$D$3,"",CC22)</f>
        <v/>
      </c>
      <c r="CD114" s="2443" t="str">
        <f>IF($B114&lt;=Factores!$D$3,"",CD22)</f>
        <v/>
      </c>
      <c r="CE114" s="2446" t="str">
        <f>IF($B114&lt;=Factores!$D$3,"",CE22)</f>
        <v/>
      </c>
      <c r="CF114" s="2446" t="str">
        <f>IF($B114&lt;=Factores!$D$3,"",CF22)</f>
        <v/>
      </c>
      <c r="CG114" s="2446" t="str">
        <f>IF($B114&lt;=Factores!$D$3,"",CG22)</f>
        <v/>
      </c>
      <c r="CH114" s="2444" t="str">
        <f>IF($B114&lt;=Factores!$D$3,"",CH22)</f>
        <v/>
      </c>
      <c r="CI114" s="2446" t="str">
        <f>IF($B114&lt;=Factores!$D$3,"",CI22)</f>
        <v/>
      </c>
      <c r="CJ114" s="2443" t="str">
        <f>IF($B114&lt;=Factores!$D$3,"",CJ22)</f>
        <v/>
      </c>
      <c r="CK114" s="2446" t="str">
        <f>IF($B114&lt;=Factores!$D$3,"",CK22)</f>
        <v/>
      </c>
      <c r="CL114" s="2446" t="str">
        <f>IF($B114&lt;=Factores!$D$3,"",CL22)</f>
        <v/>
      </c>
      <c r="CM114" s="2443" t="str">
        <f>IF($B114&lt;=Factores!$D$3,"",CM22)</f>
        <v/>
      </c>
      <c r="CN114" s="2444" t="str">
        <f>IF($B114&lt;=Factores!$D$3,"",CN22)</f>
        <v/>
      </c>
      <c r="CO114" s="2446" t="str">
        <f>IF($B114&lt;=Factores!$D$3,"",CO22)</f>
        <v/>
      </c>
      <c r="CP114" s="2447" t="str">
        <f>IF($B114&lt;=Factores!$D$3,"",CP22)</f>
        <v/>
      </c>
      <c r="CQ114" s="744" t="str">
        <f>IF($B114&lt;=Factores!$D$3,"",CQ22)</f>
        <v/>
      </c>
      <c r="CR114" s="744" t="str">
        <f>IF($B114&lt;=Factores!$D$3,"",CR22)</f>
        <v/>
      </c>
      <c r="CS114" s="744" t="str">
        <f>IF($B114&lt;=Factores!$D$3,"",CS22)</f>
        <v/>
      </c>
      <c r="CT114" s="744" t="str">
        <f>IF($B114&lt;=Factores!$D$3,"",CT22)</f>
        <v/>
      </c>
      <c r="CU114" s="744" t="str">
        <f>IF($B114&lt;=Factores!$D$3,"",CU22)</f>
        <v/>
      </c>
      <c r="CV114" s="744" t="str">
        <f>IF($B114&lt;=Factores!$D$3,"",CV22)</f>
        <v/>
      </c>
      <c r="CW114" s="2449" t="str">
        <f>IF($B114&lt;=Factores!$D$3,"",CW22)</f>
        <v/>
      </c>
      <c r="CX114" s="783" t="str">
        <f>IF($B114&lt;=Factores!$D$3,"",CX22)</f>
        <v/>
      </c>
      <c r="CY114" s="744" t="str">
        <f>IF($B114&lt;=Factores!$D$3,"",CY22)</f>
        <v/>
      </c>
      <c r="CZ114" s="744" t="str">
        <f>IF($B114&lt;=Factores!$D$3,"",CZ22)</f>
        <v/>
      </c>
      <c r="DA114" s="744" t="str">
        <f>IF($B114&lt;=Factores!$D$3,"",DA22)</f>
        <v/>
      </c>
      <c r="DB114" s="744" t="str">
        <f>IF($B114&lt;=Factores!$D$3,"",DB22)</f>
        <v/>
      </c>
      <c r="DC114" s="744" t="str">
        <f>IF($B114&lt;=Factores!$D$3,"",DC22)</f>
        <v/>
      </c>
    </row>
    <row r="115" spans="1:107" s="744" customFormat="1" ht="17.149999999999999" customHeight="1">
      <c r="A115" s="2450"/>
      <c r="B115" s="794">
        <f t="shared" si="60"/>
        <v>46097.791666666664</v>
      </c>
      <c r="C115" s="780" t="str">
        <f>IF($B115&lt;=Factores!$D$3,"",C23)</f>
        <v/>
      </c>
      <c r="D115" s="2432" t="str">
        <f>IF($B115&lt;=Factores!$D$3,"",D23)</f>
        <v/>
      </c>
      <c r="E115" s="2432" t="str">
        <f>IF($B115&lt;=Factores!$D$3,"",E23)</f>
        <v/>
      </c>
      <c r="F115" s="2432" t="str">
        <f>IF($B115&lt;=Factores!$D$3,"",F23)</f>
        <v/>
      </c>
      <c r="G115" s="2432" t="str">
        <f>IF($B115&lt;=Factores!$D$3,"",G23)</f>
        <v/>
      </c>
      <c r="H115" s="781" t="str">
        <f>IF($B115&lt;=Factores!$D$3,"",H23)</f>
        <v/>
      </c>
      <c r="I115" s="781" t="str">
        <f>IF($B115&lt;=Factores!$D$3,"",I23)</f>
        <v/>
      </c>
      <c r="J115" s="781" t="str">
        <f>IF($B115&lt;=Factores!$D$3,"",J23)</f>
        <v/>
      </c>
      <c r="K115" s="781" t="str">
        <f>IF($B115&lt;=Factores!$D$3,"",K23)</f>
        <v/>
      </c>
      <c r="L115" s="2066" t="str">
        <f>IF($B115&lt;=Factores!$D$3,"",L23)</f>
        <v/>
      </c>
      <c r="M115" s="781" t="str">
        <f>IF($B115&lt;=Factores!$D$3,"",M23)</f>
        <v/>
      </c>
      <c r="N115" s="781" t="str">
        <f>IF($B115&lt;=Factores!$D$3,"",N23)</f>
        <v/>
      </c>
      <c r="O115" s="780" t="str">
        <f>IF($B115&lt;=Factores!$D$3,"",O23)</f>
        <v/>
      </c>
      <c r="P115" s="539" t="str">
        <f>IF($B115&lt;=Factores!$D$3,"",P23)</f>
        <v/>
      </c>
      <c r="Q115" s="780" t="str">
        <f>IF($B115&lt;=Factores!$D$3,"",Q23)</f>
        <v/>
      </c>
      <c r="R115" s="782" t="str">
        <f>IF($B115&lt;=Factores!$D$3,"",R23)</f>
        <v/>
      </c>
      <c r="S115" s="780" t="str">
        <f>IF($B115&lt;=Factores!$D$3,"",S23)</f>
        <v/>
      </c>
      <c r="T115" s="781" t="str">
        <f>IF($B115&lt;=Factores!$D$3,"",T23)</f>
        <v/>
      </c>
      <c r="U115" s="781" t="str">
        <f>IF($B115&lt;=Factores!$D$3,"",U23)</f>
        <v/>
      </c>
      <c r="V115" s="781" t="str">
        <f>IF($B115&lt;=Factores!$D$3,"",V23)</f>
        <v/>
      </c>
      <c r="W115" s="781" t="str">
        <f>IF($B115&lt;=Factores!$D$3,"",W23)</f>
        <v/>
      </c>
      <c r="X115" s="780" t="str">
        <f>IF($B115&lt;=Factores!$D$3,"",X23)</f>
        <v/>
      </c>
      <c r="Y115" s="539" t="str">
        <f>IF($B115&lt;=Factores!$D$3,"",Y23)</f>
        <v/>
      </c>
      <c r="Z115" s="539" t="str">
        <f>IF($B115&lt;=Factores!$D$3,"",Z23)</f>
        <v/>
      </c>
      <c r="AA115" s="780" t="str">
        <f>IF($B115&lt;=Factores!$D$3,"",AA23)</f>
        <v/>
      </c>
      <c r="AB115" s="782" t="str">
        <f>IF($B115&lt;=Factores!$D$3,"",AB23)</f>
        <v/>
      </c>
      <c r="AC115" s="780" t="str">
        <f>IF($B115&lt;=Factores!$D$3,"",AC23)</f>
        <v/>
      </c>
      <c r="AD115" s="539" t="str">
        <f>IF($B115&lt;=Factores!$D$3,"",AD23)</f>
        <v/>
      </c>
      <c r="AE115" s="782" t="str">
        <f>IF($B115&lt;=Factores!$D$3,"",AE23)</f>
        <v/>
      </c>
      <c r="AF115" s="780" t="str">
        <f>IF($B115&lt;=Factores!$D$3,"",AF23)</f>
        <v/>
      </c>
      <c r="AG115" s="539" t="str">
        <f>IF($B115&lt;=Factores!$D$3,"",AG23)</f>
        <v/>
      </c>
      <c r="AH115" s="2072" t="str">
        <f>IF($B115&lt;=Factores!$D$3,"",AH23)</f>
        <v/>
      </c>
      <c r="AI115" s="2451" t="str">
        <f>IF($B115&lt;=Factores!$D$3,"",AI23)</f>
        <v/>
      </c>
      <c r="AJ115" s="2439" t="str">
        <f>IF($B115&lt;=Factores!$D$3,"",AJ23)</f>
        <v/>
      </c>
      <c r="AK115" s="2452" t="str">
        <f>IF($B115&lt;=Factores!$D$3,"",AK23)</f>
        <v/>
      </c>
      <c r="AL115" s="2453" t="str">
        <f>IF($B115&lt;=Factores!$D$3,"",AL23)</f>
        <v/>
      </c>
      <c r="AM115" s="2439" t="str">
        <f>IF($B115&lt;=Factores!$D$3,"",AM23)</f>
        <v/>
      </c>
      <c r="AN115" s="2452" t="str">
        <f>IF($B115&lt;=Factores!$D$3,"",AN23)</f>
        <v/>
      </c>
      <c r="AO115" s="2453" t="str">
        <f>IF($B115&lt;=Factores!$D$3,"",AO23)</f>
        <v/>
      </c>
      <c r="AP115" s="783" t="str">
        <f>IF($B115&lt;=Factores!$D$3,"",AP23)</f>
        <v/>
      </c>
      <c r="AQ115" s="783" t="str">
        <f>IF($B115&lt;=Factores!$D$3,"",AQ23)</f>
        <v/>
      </c>
      <c r="AR115" s="783" t="str">
        <f>IF($B115&lt;=Factores!$D$3,"",AR23)</f>
        <v/>
      </c>
      <c r="AS115" s="2632" t="str">
        <f>IF($B115&lt;=Factores!$D$3,"",AS23)</f>
        <v/>
      </c>
      <c r="AT115" s="784"/>
      <c r="AU115" s="2076"/>
      <c r="AV115" s="2438" t="str">
        <f>IF($B115&lt;=Factores!$D$3,"",AV23)</f>
        <v/>
      </c>
      <c r="AW115" s="2439" t="str">
        <f>IF($B115&lt;=Factores!$D$3,"",AW23)</f>
        <v/>
      </c>
      <c r="AX115" s="783" t="str">
        <f>IF($B115&lt;=Factores!$D$3,"",AX23)</f>
        <v/>
      </c>
      <c r="AY115" s="783" t="str">
        <f>IF($B115&lt;=Factores!$D$3,"",AY23)</f>
        <v/>
      </c>
      <c r="AZ115" s="783" t="str">
        <f>IF($B115&lt;=Factores!$D$3,"",AZ23)</f>
        <v/>
      </c>
      <c r="BA115" s="2432" t="str">
        <f>IF($B115&lt;=Factores!$D$3,"",BA23)</f>
        <v/>
      </c>
      <c r="BB115" s="782" t="str">
        <f>IF($B115&lt;=Factores!$D$3,"",BB23)</f>
        <v/>
      </c>
      <c r="BC115" s="2078" t="str">
        <f>IF($B115&lt;=Factores!$D$3,"",BC23)</f>
        <v/>
      </c>
      <c r="BD115" s="2078" t="str">
        <f>IF($B115&lt;=Factores!$D$3,"",BD23)</f>
        <v/>
      </c>
      <c r="BE115" s="2449" t="str">
        <f>IF($B115&lt;=Factores!$D$3,"",BE23)</f>
        <v/>
      </c>
      <c r="BF115" s="780" t="str">
        <f>IF($B115&lt;=Factores!$D$3,"",BF23)</f>
        <v/>
      </c>
      <c r="BG115" s="780" t="str">
        <f>IF($B115&lt;=Factores!$D$3,"",BG23)</f>
        <v/>
      </c>
      <c r="BH115" s="780" t="str">
        <f>IF($B115&lt;=Factores!$D$3,"",BH23)</f>
        <v/>
      </c>
      <c r="BI115" s="780" t="str">
        <f>IF($B115&lt;=Factores!$D$3,"",BI23)</f>
        <v/>
      </c>
      <c r="BJ115" s="539" t="str">
        <f>IF($B115&lt;=Factores!$D$3,"",BJ23)</f>
        <v/>
      </c>
      <c r="BK115" s="539" t="str">
        <f>IF($B115&lt;=Factores!$D$3,"",BK23)</f>
        <v/>
      </c>
      <c r="BL115" s="781" t="str">
        <f>IF($B115&lt;=Factores!$D$3,"",BL23)</f>
        <v/>
      </c>
      <c r="BM115" s="539" t="str">
        <f>IF($B115&lt;=Factores!$D$3,"",BM23)</f>
        <v/>
      </c>
      <c r="BN115" s="539" t="str">
        <f>IF($B115&lt;=Factores!$D$3,"",BN23)</f>
        <v/>
      </c>
      <c r="BO115" s="539" t="str">
        <f>IF($B115&lt;=Factores!$D$3,"",BO23)</f>
        <v/>
      </c>
      <c r="BP115" s="2441" t="str">
        <f>IF($B115&lt;=Factores!$D$3,"",BP23)</f>
        <v/>
      </c>
      <c r="BQ115" s="2442" t="str">
        <f>IF($B115&lt;=Factores!$D$3,"",BQ23)</f>
        <v/>
      </c>
      <c r="BR115" s="2443" t="str">
        <f>IF($B115&lt;=Factores!$D$3,"",BR23)</f>
        <v/>
      </c>
      <c r="BS115" s="2444" t="str">
        <f>IF($B115&lt;=Factores!$D$3,"",BS23)</f>
        <v/>
      </c>
      <c r="BT115" s="785" t="str">
        <f>IF($B115&lt;=Factores!$D$3,"",BT23)</f>
        <v/>
      </c>
      <c r="BU115" s="785" t="str">
        <f>IF($B115&lt;=Factores!$D$3,"",BU23)</f>
        <v/>
      </c>
      <c r="BV115" s="2445" t="str">
        <f>IF($B115&lt;=Factores!$D$3,"",BV23)</f>
        <v/>
      </c>
      <c r="BW115" s="785" t="str">
        <f>IF($B115&lt;=Factores!$D$3,"",BW23)</f>
        <v/>
      </c>
      <c r="BX115" s="785" t="str">
        <f>IF($B115&lt;=Factores!$D$3,"",BX23)</f>
        <v/>
      </c>
      <c r="BY115" s="785" t="str">
        <f>IF($B115&lt;=Factores!$D$3,"",BY23)</f>
        <v/>
      </c>
      <c r="BZ115" s="785" t="str">
        <f>IF($B115&lt;=Factores!$D$3,"",BZ23)</f>
        <v/>
      </c>
      <c r="CA115" s="2446" t="str">
        <f>IF($B115&lt;=Factores!$D$3,"",CA23)</f>
        <v/>
      </c>
      <c r="CB115" s="2446" t="str">
        <f>IF($B115&lt;=Factores!$D$3,"",CB23)</f>
        <v/>
      </c>
      <c r="CC115" s="2446" t="str">
        <f>IF($B115&lt;=Factores!$D$3,"",CC23)</f>
        <v/>
      </c>
      <c r="CD115" s="2443" t="str">
        <f>IF($B115&lt;=Factores!$D$3,"",CD23)</f>
        <v/>
      </c>
      <c r="CE115" s="2446" t="str">
        <f>IF($B115&lt;=Factores!$D$3,"",CE23)</f>
        <v/>
      </c>
      <c r="CF115" s="2446" t="str">
        <f>IF($B115&lt;=Factores!$D$3,"",CF23)</f>
        <v/>
      </c>
      <c r="CG115" s="2446" t="str">
        <f>IF($B115&lt;=Factores!$D$3,"",CG23)</f>
        <v/>
      </c>
      <c r="CH115" s="2444" t="str">
        <f>IF($B115&lt;=Factores!$D$3,"",CH23)</f>
        <v/>
      </c>
      <c r="CI115" s="2446" t="str">
        <f>IF($B115&lt;=Factores!$D$3,"",CI23)</f>
        <v/>
      </c>
      <c r="CJ115" s="2443" t="str">
        <f>IF($B115&lt;=Factores!$D$3,"",CJ23)</f>
        <v/>
      </c>
      <c r="CK115" s="2446" t="str">
        <f>IF($B115&lt;=Factores!$D$3,"",CK23)</f>
        <v/>
      </c>
      <c r="CL115" s="2446" t="str">
        <f>IF($B115&lt;=Factores!$D$3,"",CL23)</f>
        <v/>
      </c>
      <c r="CM115" s="2443" t="str">
        <f>IF($B115&lt;=Factores!$D$3,"",CM23)</f>
        <v/>
      </c>
      <c r="CN115" s="2444" t="str">
        <f>IF($B115&lt;=Factores!$D$3,"",CN23)</f>
        <v/>
      </c>
      <c r="CO115" s="2446" t="str">
        <f>IF($B115&lt;=Factores!$D$3,"",CO23)</f>
        <v/>
      </c>
      <c r="CP115" s="2447" t="str">
        <f>IF($B115&lt;=Factores!$D$3,"",CP23)</f>
        <v/>
      </c>
      <c r="CQ115" s="744" t="str">
        <f>IF($B115&lt;=Factores!$D$3,"",CQ23)</f>
        <v/>
      </c>
      <c r="CR115" s="744" t="str">
        <f>IF($B115&lt;=Factores!$D$3,"",CR23)</f>
        <v/>
      </c>
      <c r="CS115" s="744" t="str">
        <f>IF($B115&lt;=Factores!$D$3,"",CS23)</f>
        <v/>
      </c>
      <c r="CT115" s="744" t="str">
        <f>IF($B115&lt;=Factores!$D$3,"",CT23)</f>
        <v/>
      </c>
      <c r="CU115" s="744" t="str">
        <f>IF($B115&lt;=Factores!$D$3,"",CU23)</f>
        <v/>
      </c>
      <c r="CV115" s="744" t="str">
        <f>IF($B115&lt;=Factores!$D$3,"",CV23)</f>
        <v/>
      </c>
      <c r="CW115" s="2449" t="str">
        <f>IF($B115&lt;=Factores!$D$3,"",CW23)</f>
        <v/>
      </c>
      <c r="CX115" s="783" t="str">
        <f>IF($B115&lt;=Factores!$D$3,"",CX23)</f>
        <v/>
      </c>
      <c r="CY115" s="744" t="str">
        <f>IF($B115&lt;=Factores!$D$3,"",CY23)</f>
        <v/>
      </c>
      <c r="CZ115" s="744" t="str">
        <f>IF($B115&lt;=Factores!$D$3,"",CZ23)</f>
        <v/>
      </c>
      <c r="DA115" s="744" t="str">
        <f>IF($B115&lt;=Factores!$D$3,"",DA23)</f>
        <v/>
      </c>
      <c r="DB115" s="744" t="str">
        <f>IF($B115&lt;=Factores!$D$3,"",DB23)</f>
        <v/>
      </c>
      <c r="DC115" s="744" t="str">
        <f>IF($B115&lt;=Factores!$D$3,"",DC23)</f>
        <v/>
      </c>
    </row>
    <row r="116" spans="1:107" s="744" customFormat="1" ht="17.149999999999999" customHeight="1">
      <c r="A116" s="2450"/>
      <c r="B116" s="794">
        <f t="shared" si="60"/>
        <v>46098.791666666664</v>
      </c>
      <c r="C116" s="780" t="str">
        <f>IF($B116&lt;=Factores!$D$3,"",C24)</f>
        <v/>
      </c>
      <c r="D116" s="2432" t="str">
        <f>IF($B116&lt;=Factores!$D$3,"",D24)</f>
        <v/>
      </c>
      <c r="E116" s="2432" t="str">
        <f>IF($B116&lt;=Factores!$D$3,"",E24)</f>
        <v/>
      </c>
      <c r="F116" s="2432" t="str">
        <f>IF($B116&lt;=Factores!$D$3,"",F24)</f>
        <v/>
      </c>
      <c r="G116" s="2432" t="str">
        <f>IF($B116&lt;=Factores!$D$3,"",G24)</f>
        <v/>
      </c>
      <c r="H116" s="781" t="str">
        <f>IF($B116&lt;=Factores!$D$3,"",H24)</f>
        <v/>
      </c>
      <c r="I116" s="781" t="str">
        <f>IF($B116&lt;=Factores!$D$3,"",I24)</f>
        <v/>
      </c>
      <c r="J116" s="781" t="str">
        <f>IF($B116&lt;=Factores!$D$3,"",J24)</f>
        <v/>
      </c>
      <c r="K116" s="781" t="str">
        <f>IF($B116&lt;=Factores!$D$3,"",K24)</f>
        <v/>
      </c>
      <c r="L116" s="2066" t="str">
        <f>IF($B116&lt;=Factores!$D$3,"",L24)</f>
        <v/>
      </c>
      <c r="M116" s="781" t="str">
        <f>IF($B116&lt;=Factores!$D$3,"",M24)</f>
        <v/>
      </c>
      <c r="N116" s="781" t="str">
        <f>IF($B116&lt;=Factores!$D$3,"",N24)</f>
        <v/>
      </c>
      <c r="O116" s="780" t="str">
        <f>IF($B116&lt;=Factores!$D$3,"",O24)</f>
        <v/>
      </c>
      <c r="P116" s="539" t="str">
        <f>IF($B116&lt;=Factores!$D$3,"",P24)</f>
        <v/>
      </c>
      <c r="Q116" s="780" t="str">
        <f>IF($B116&lt;=Factores!$D$3,"",Q24)</f>
        <v/>
      </c>
      <c r="R116" s="782" t="str">
        <f>IF($B116&lt;=Factores!$D$3,"",R24)</f>
        <v/>
      </c>
      <c r="S116" s="780" t="str">
        <f>IF($B116&lt;=Factores!$D$3,"",S24)</f>
        <v/>
      </c>
      <c r="T116" s="781" t="str">
        <f>IF($B116&lt;=Factores!$D$3,"",T24)</f>
        <v/>
      </c>
      <c r="U116" s="781" t="str">
        <f>IF($B116&lt;=Factores!$D$3,"",U24)</f>
        <v/>
      </c>
      <c r="V116" s="781" t="str">
        <f>IF($B116&lt;=Factores!$D$3,"",V24)</f>
        <v/>
      </c>
      <c r="W116" s="781" t="str">
        <f>IF($B116&lt;=Factores!$D$3,"",W24)</f>
        <v/>
      </c>
      <c r="X116" s="780" t="str">
        <f>IF($B116&lt;=Factores!$D$3,"",X24)</f>
        <v/>
      </c>
      <c r="Y116" s="539" t="str">
        <f>IF($B116&lt;=Factores!$D$3,"",Y24)</f>
        <v/>
      </c>
      <c r="Z116" s="539" t="str">
        <f>IF($B116&lt;=Factores!$D$3,"",Z24)</f>
        <v/>
      </c>
      <c r="AA116" s="780" t="str">
        <f>IF($B116&lt;=Factores!$D$3,"",AA24)</f>
        <v/>
      </c>
      <c r="AB116" s="782" t="str">
        <f>IF($B116&lt;=Factores!$D$3,"",AB24)</f>
        <v/>
      </c>
      <c r="AC116" s="780" t="str">
        <f>IF($B116&lt;=Factores!$D$3,"",AC24)</f>
        <v/>
      </c>
      <c r="AD116" s="539" t="str">
        <f>IF($B116&lt;=Factores!$D$3,"",AD24)</f>
        <v/>
      </c>
      <c r="AE116" s="782" t="str">
        <f>IF($B116&lt;=Factores!$D$3,"",AE24)</f>
        <v/>
      </c>
      <c r="AF116" s="780" t="str">
        <f>IF($B116&lt;=Factores!$D$3,"",AF24)</f>
        <v/>
      </c>
      <c r="AG116" s="539" t="str">
        <f>IF($B116&lt;=Factores!$D$3,"",AG24)</f>
        <v/>
      </c>
      <c r="AH116" s="2072" t="str">
        <f>IF($B116&lt;=Factores!$D$3,"",AH24)</f>
        <v/>
      </c>
      <c r="AI116" s="2451" t="str">
        <f>IF($B116&lt;=Factores!$D$3,"",AI24)</f>
        <v/>
      </c>
      <c r="AJ116" s="2439" t="str">
        <f>IF($B116&lt;=Factores!$D$3,"",AJ24)</f>
        <v/>
      </c>
      <c r="AK116" s="2452" t="str">
        <f>IF($B116&lt;=Factores!$D$3,"",AK24)</f>
        <v/>
      </c>
      <c r="AL116" s="2453" t="str">
        <f>IF($B116&lt;=Factores!$D$3,"",AL24)</f>
        <v/>
      </c>
      <c r="AM116" s="2439" t="str">
        <f>IF($B116&lt;=Factores!$D$3,"",AM24)</f>
        <v/>
      </c>
      <c r="AN116" s="2452" t="str">
        <f>IF($B116&lt;=Factores!$D$3,"",AN24)</f>
        <v/>
      </c>
      <c r="AO116" s="2453" t="str">
        <f>IF($B116&lt;=Factores!$D$3,"",AO24)</f>
        <v/>
      </c>
      <c r="AP116" s="783" t="str">
        <f>IF($B116&lt;=Factores!$D$3,"",AP24)</f>
        <v/>
      </c>
      <c r="AQ116" s="783" t="str">
        <f>IF($B116&lt;=Factores!$D$3,"",AQ24)</f>
        <v/>
      </c>
      <c r="AR116" s="783" t="str">
        <f>IF($B116&lt;=Factores!$D$3,"",AR24)</f>
        <v/>
      </c>
      <c r="AS116" s="2632" t="str">
        <f>IF($B116&lt;=Factores!$D$3,"",AS24)</f>
        <v/>
      </c>
      <c r="AT116" s="784"/>
      <c r="AU116" s="2076"/>
      <c r="AV116" s="2438" t="str">
        <f>IF($B116&lt;=Factores!$D$3,"",AV24)</f>
        <v/>
      </c>
      <c r="AW116" s="2439" t="str">
        <f>IF($B116&lt;=Factores!$D$3,"",AW24)</f>
        <v/>
      </c>
      <c r="AX116" s="783" t="str">
        <f>IF($B116&lt;=Factores!$D$3,"",AX24)</f>
        <v/>
      </c>
      <c r="AY116" s="783" t="str">
        <f>IF($B116&lt;=Factores!$D$3,"",AY24)</f>
        <v/>
      </c>
      <c r="AZ116" s="783" t="str">
        <f>IF($B116&lt;=Factores!$D$3,"",AZ24)</f>
        <v/>
      </c>
      <c r="BA116" s="2432" t="str">
        <f>IF($B116&lt;=Factores!$D$3,"",BA24)</f>
        <v/>
      </c>
      <c r="BB116" s="782" t="str">
        <f>IF($B116&lt;=Factores!$D$3,"",BB24)</f>
        <v/>
      </c>
      <c r="BC116" s="2078" t="str">
        <f>IF($B116&lt;=Factores!$D$3,"",BC24)</f>
        <v/>
      </c>
      <c r="BD116" s="2078" t="str">
        <f>IF($B116&lt;=Factores!$D$3,"",BD24)</f>
        <v/>
      </c>
      <c r="BE116" s="2449" t="str">
        <f>IF($B116&lt;=Factores!$D$3,"",BE24)</f>
        <v/>
      </c>
      <c r="BF116" s="780" t="str">
        <f>IF($B116&lt;=Factores!$D$3,"",BF24)</f>
        <v/>
      </c>
      <c r="BG116" s="780" t="str">
        <f>IF($B116&lt;=Factores!$D$3,"",BG24)</f>
        <v/>
      </c>
      <c r="BH116" s="780" t="str">
        <f>IF($B116&lt;=Factores!$D$3,"",BH24)</f>
        <v/>
      </c>
      <c r="BI116" s="780" t="str">
        <f>IF($B116&lt;=Factores!$D$3,"",BI24)</f>
        <v/>
      </c>
      <c r="BJ116" s="539" t="str">
        <f>IF($B116&lt;=Factores!$D$3,"",BJ24)</f>
        <v/>
      </c>
      <c r="BK116" s="539" t="str">
        <f>IF($B116&lt;=Factores!$D$3,"",BK24)</f>
        <v/>
      </c>
      <c r="BL116" s="781" t="str">
        <f>IF($B116&lt;=Factores!$D$3,"",BL24)</f>
        <v/>
      </c>
      <c r="BM116" s="539" t="str">
        <f>IF($B116&lt;=Factores!$D$3,"",BM24)</f>
        <v/>
      </c>
      <c r="BN116" s="539" t="str">
        <f>IF($B116&lt;=Factores!$D$3,"",BN24)</f>
        <v/>
      </c>
      <c r="BO116" s="539" t="str">
        <f>IF($B116&lt;=Factores!$D$3,"",BO24)</f>
        <v/>
      </c>
      <c r="BP116" s="2441" t="str">
        <f>IF($B116&lt;=Factores!$D$3,"",BP24)</f>
        <v/>
      </c>
      <c r="BQ116" s="2442" t="str">
        <f>IF($B116&lt;=Factores!$D$3,"",BQ24)</f>
        <v/>
      </c>
      <c r="BR116" s="2443" t="str">
        <f>IF($B116&lt;=Factores!$D$3,"",BR24)</f>
        <v/>
      </c>
      <c r="BS116" s="2444" t="str">
        <f>IF($B116&lt;=Factores!$D$3,"",BS24)</f>
        <v/>
      </c>
      <c r="BT116" s="785" t="str">
        <f>IF($B116&lt;=Factores!$D$3,"",BT24)</f>
        <v/>
      </c>
      <c r="BU116" s="785" t="str">
        <f>IF($B116&lt;=Factores!$D$3,"",BU24)</f>
        <v/>
      </c>
      <c r="BV116" s="2445" t="str">
        <f>IF($B116&lt;=Factores!$D$3,"",BV24)</f>
        <v/>
      </c>
      <c r="BW116" s="785" t="str">
        <f>IF($B116&lt;=Factores!$D$3,"",BW24)</f>
        <v/>
      </c>
      <c r="BX116" s="785" t="str">
        <f>IF($B116&lt;=Factores!$D$3,"",BX24)</f>
        <v/>
      </c>
      <c r="BY116" s="785" t="str">
        <f>IF($B116&lt;=Factores!$D$3,"",BY24)</f>
        <v/>
      </c>
      <c r="BZ116" s="785" t="str">
        <f>IF($B116&lt;=Factores!$D$3,"",BZ24)</f>
        <v/>
      </c>
      <c r="CA116" s="2446" t="str">
        <f>IF($B116&lt;=Factores!$D$3,"",CA24)</f>
        <v/>
      </c>
      <c r="CB116" s="2446" t="str">
        <f>IF($B116&lt;=Factores!$D$3,"",CB24)</f>
        <v/>
      </c>
      <c r="CC116" s="2446" t="str">
        <f>IF($B116&lt;=Factores!$D$3,"",CC24)</f>
        <v/>
      </c>
      <c r="CD116" s="2443" t="str">
        <f>IF($B116&lt;=Factores!$D$3,"",CD24)</f>
        <v/>
      </c>
      <c r="CE116" s="2446" t="str">
        <f>IF($B116&lt;=Factores!$D$3,"",CE24)</f>
        <v/>
      </c>
      <c r="CF116" s="2446" t="str">
        <f>IF($B116&lt;=Factores!$D$3,"",CF24)</f>
        <v/>
      </c>
      <c r="CG116" s="2446" t="str">
        <f>IF($B116&lt;=Factores!$D$3,"",CG24)</f>
        <v/>
      </c>
      <c r="CH116" s="2444" t="str">
        <f>IF($B116&lt;=Factores!$D$3,"",CH24)</f>
        <v/>
      </c>
      <c r="CI116" s="2446" t="str">
        <f>IF($B116&lt;=Factores!$D$3,"",CI24)</f>
        <v/>
      </c>
      <c r="CJ116" s="2443" t="str">
        <f>IF($B116&lt;=Factores!$D$3,"",CJ24)</f>
        <v/>
      </c>
      <c r="CK116" s="2446" t="str">
        <f>IF($B116&lt;=Factores!$D$3,"",CK24)</f>
        <v/>
      </c>
      <c r="CL116" s="2446" t="str">
        <f>IF($B116&lt;=Factores!$D$3,"",CL24)</f>
        <v/>
      </c>
      <c r="CM116" s="2443" t="str">
        <f>IF($B116&lt;=Factores!$D$3,"",CM24)</f>
        <v/>
      </c>
      <c r="CN116" s="2444" t="str">
        <f>IF($B116&lt;=Factores!$D$3,"",CN24)</f>
        <v/>
      </c>
      <c r="CO116" s="2446" t="str">
        <f>IF($B116&lt;=Factores!$D$3,"",CO24)</f>
        <v/>
      </c>
      <c r="CP116" s="2447" t="str">
        <f>IF($B116&lt;=Factores!$D$3,"",CP24)</f>
        <v/>
      </c>
      <c r="CQ116" s="744" t="str">
        <f>IF($B116&lt;=Factores!$D$3,"",CQ24)</f>
        <v/>
      </c>
      <c r="CR116" s="744" t="str">
        <f>IF($B116&lt;=Factores!$D$3,"",CR24)</f>
        <v/>
      </c>
      <c r="CS116" s="744" t="str">
        <f>IF($B116&lt;=Factores!$D$3,"",CS24)</f>
        <v/>
      </c>
      <c r="CT116" s="744" t="str">
        <f>IF($B116&lt;=Factores!$D$3,"",CT24)</f>
        <v/>
      </c>
      <c r="CU116" s="744" t="str">
        <f>IF($B116&lt;=Factores!$D$3,"",CU24)</f>
        <v/>
      </c>
      <c r="CV116" s="744" t="str">
        <f>IF($B116&lt;=Factores!$D$3,"",CV24)</f>
        <v/>
      </c>
      <c r="CW116" s="2449" t="str">
        <f>IF($B116&lt;=Factores!$D$3,"",CW24)</f>
        <v/>
      </c>
      <c r="CX116" s="783" t="str">
        <f>IF($B116&lt;=Factores!$D$3,"",CX24)</f>
        <v/>
      </c>
      <c r="CY116" s="744" t="str">
        <f>IF($B116&lt;=Factores!$D$3,"",CY24)</f>
        <v/>
      </c>
      <c r="CZ116" s="744" t="str">
        <f>IF($B116&lt;=Factores!$D$3,"",CZ24)</f>
        <v/>
      </c>
      <c r="DA116" s="744" t="str">
        <f>IF($B116&lt;=Factores!$D$3,"",DA24)</f>
        <v/>
      </c>
      <c r="DB116" s="744" t="str">
        <f>IF($B116&lt;=Factores!$D$3,"",DB24)</f>
        <v/>
      </c>
      <c r="DC116" s="744" t="str">
        <f>IF($B116&lt;=Factores!$D$3,"",DC24)</f>
        <v/>
      </c>
    </row>
    <row r="117" spans="1:107" s="744" customFormat="1" ht="17.149999999999999" customHeight="1">
      <c r="A117" s="2450"/>
      <c r="B117" s="794">
        <f t="shared" si="60"/>
        <v>46099.791666666664</v>
      </c>
      <c r="C117" s="780">
        <f>IF($B117&lt;=Factores!$D$3,"",C25)</f>
        <v>230000</v>
      </c>
      <c r="D117" s="2432">
        <f>IF($B117&lt;=Factores!$D$3,"",D25)</f>
        <v>530934.19759999996</v>
      </c>
      <c r="E117" s="2432">
        <f>IF($B117&lt;=Factores!$D$3,"",E25)</f>
        <v>184400</v>
      </c>
      <c r="F117" s="2432">
        <f>IF($B117&lt;=Factores!$D$3,"",F25)</f>
        <v>41794.192114313977</v>
      </c>
      <c r="G117" s="2432">
        <f>IF($B117&lt;=Factores!$D$3,"",G25)</f>
        <v>142605.80788568602</v>
      </c>
      <c r="H117" s="781">
        <f>IF($B117&lt;=Factores!$D$3,"",H25)</f>
        <v>98.057573027372243</v>
      </c>
      <c r="I117" s="781">
        <f>IF($B117&lt;=Factores!$D$3,"",I25)</f>
        <v>97.132597759803119</v>
      </c>
      <c r="J117" s="781">
        <f>IF($B117&lt;=Factores!$D$3,"",J25)</f>
        <v>97.88718333333334</v>
      </c>
      <c r="K117" s="781">
        <f>IF($B117&lt;=Factores!$D$3,"",K25)</f>
        <v>87.318256075506994</v>
      </c>
      <c r="L117" s="2066">
        <f>IF($B117&lt;=Factores!$D$3,"",L25)</f>
        <v>0.47</v>
      </c>
      <c r="M117" s="781">
        <f>IF($B117&lt;=Factores!$D$3,"",M25)</f>
        <v>92</v>
      </c>
      <c r="N117" s="781">
        <f>IF($B117&lt;=Factores!$D$3,"",N25)</f>
        <v>27.8</v>
      </c>
      <c r="O117" s="780">
        <f>IF($B117&lt;=Factores!$D$3,"",O25)</f>
        <v>2868.1496402877697</v>
      </c>
      <c r="P117" s="539">
        <f>IF($B117&lt;=Factores!$D$3,"",P25)</f>
        <v>52901.08156170704</v>
      </c>
      <c r="Q117" s="780">
        <f>IF($B117&lt;=Factores!$D$3,"",Q25)</f>
        <v>797.34559999999999</v>
      </c>
      <c r="R117" s="782">
        <f>IF($B117&lt;=Factores!$D$3,"",R25)</f>
        <v>13771.698897126542</v>
      </c>
      <c r="S117" s="780">
        <f>IF($B117&lt;=Factores!$D$3,"",S25)</f>
        <v>157</v>
      </c>
      <c r="T117" s="781">
        <f>IF($B117&lt;=Factores!$D$3,"",T25)</f>
        <v>91.189714667292776</v>
      </c>
      <c r="U117" s="781">
        <f>IF($B117&lt;=Factores!$D$3,"",U25)</f>
        <v>86.019465403084553</v>
      </c>
      <c r="V117" s="781">
        <f>IF($B117&lt;=Factores!$D$3,"",V25)</f>
        <v>78.440905059403434</v>
      </c>
      <c r="W117" s="781">
        <f>IF($B117&lt;=Factores!$D$3,"",W25)</f>
        <v>50</v>
      </c>
      <c r="X117" s="780">
        <f>IF($B117&lt;=Factores!$D$3,"",X25)</f>
        <v>45.418539083875537</v>
      </c>
      <c r="Y117" s="539">
        <f>IF($B117&lt;=Factores!$D$3,"",Y25)</f>
        <v>1746.9287557455775</v>
      </c>
      <c r="Z117" s="539">
        <f>IF($B117&lt;=Factores!$D$3,"",Z25)</f>
        <v>66.557457704687607</v>
      </c>
      <c r="AA117" s="780">
        <f>IF($B117&lt;=Factores!$D$3,"",AA25)</f>
        <v>22.709269541937768</v>
      </c>
      <c r="AB117" s="782">
        <f>IF($B117&lt;=Factores!$D$3,"",AB25)</f>
        <v>518.05335608125552</v>
      </c>
      <c r="AC117" s="780">
        <f>IF($B117&lt;=Factores!$D$3,"",AC25)</f>
        <v>33.278728852343804</v>
      </c>
      <c r="AD117" s="539">
        <f>IF($B117&lt;=Factores!$D$3,"",AD25)</f>
        <v>601.72396141897309</v>
      </c>
      <c r="AE117" s="782">
        <f>IF($B117&lt;=Factores!$D$3,"",AE25)</f>
        <v>287.9878393777912</v>
      </c>
      <c r="AF117" s="780">
        <f>IF($B117&lt;=Factores!$D$3,"",AF25)</f>
        <v>863.17977240207756</v>
      </c>
      <c r="AG117" s="539">
        <f>IF($B117&lt;=Factores!$D$3,"",AG25)</f>
        <v>15273.535576406101</v>
      </c>
      <c r="AH117" s="2072">
        <f>IF($B117&lt;=Factores!$D$3,"",AH25)</f>
        <v>863.03912696822988</v>
      </c>
      <c r="AI117" s="2451">
        <f>IF($B117&lt;=Factores!$D$3,"",AI25)</f>
        <v>14984.050114368569</v>
      </c>
      <c r="AJ117" s="2439">
        <f>IF($B117&lt;=Factores!$D$3,"",AJ25)</f>
        <v>1830.2980000000002</v>
      </c>
      <c r="AK117" s="2452">
        <f>IF($B117&lt;=Factores!$D$3,"",AK25)</f>
        <v>28.1</v>
      </c>
      <c r="AL117" s="2453">
        <f>IF($B117&lt;=Factores!$D$3,"",AL25)</f>
        <v>514.31373800000006</v>
      </c>
      <c r="AM117" s="2439">
        <f>IF($B117&lt;=Factores!$D$3,"",AM25)</f>
        <v>3726.638916015625</v>
      </c>
      <c r="AN117" s="2452">
        <f>IF($B117&lt;=Factores!$D$3,"",AN25)</f>
        <v>25.8</v>
      </c>
      <c r="AO117" s="2453">
        <f>IF($B117&lt;=Factores!$D$3,"",AO25)</f>
        <v>961.4728403320313</v>
      </c>
      <c r="AP117" s="783">
        <f>IF($B117&lt;=Factores!$D$3,"",AP25)</f>
        <v>2400.8339031180681</v>
      </c>
      <c r="AQ117" s="783">
        <f>IF($B117&lt;=Factores!$D$3,"",AQ25)</f>
        <v>923.01392671874999</v>
      </c>
      <c r="AR117" s="783">
        <f>IF($B117&lt;=Factores!$D$3,"",AR25)</f>
        <v>6141.2823383067844</v>
      </c>
      <c r="AS117" s="2632">
        <f>IF($B117&lt;=Factores!$D$3,"",AS25)</f>
        <v>206235.93224494954</v>
      </c>
      <c r="AT117" s="784"/>
      <c r="AU117" s="2076"/>
      <c r="AV117" s="2438">
        <f>IF($B117&lt;=Factores!$D$3,"",AV25)</f>
        <v>46099.791666666664</v>
      </c>
      <c r="AW117" s="2439">
        <f>IF($B117&lt;=Factores!$D$3,"",AW25)</f>
        <v>85.618786550868066</v>
      </c>
      <c r="AX117" s="783">
        <f>IF($B117&lt;=Factores!$D$3,"",AX25)</f>
        <v>0</v>
      </c>
      <c r="AY117" s="783">
        <f>IF($B117&lt;=Factores!$D$3,"",AY25)</f>
        <v>0</v>
      </c>
      <c r="AZ117" s="783">
        <f>IF($B117&lt;=Factores!$D$3,"",AZ25)</f>
        <v>0</v>
      </c>
      <c r="BA117" s="2432">
        <f>IF($B117&lt;=Factores!$D$3,"",BA25)</f>
        <v>11.652615443859117</v>
      </c>
      <c r="BB117" s="782">
        <f>IF($B117&lt;=Factores!$D$3,"",BB25)</f>
        <v>524.36769497366026</v>
      </c>
      <c r="BC117" s="2078">
        <f>IF($B117&lt;=Factores!$D$3,"",BC25)</f>
        <v>1.3366192498601805</v>
      </c>
      <c r="BD117" s="2078">
        <f>IF($B117&lt;=Factores!$D$3,"",BD25)</f>
        <v>4.1139595809525318</v>
      </c>
      <c r="BE117" s="2449">
        <f>IF($B117&lt;=Factores!$D$3,"",BE25)</f>
        <v>37.263653959079413</v>
      </c>
      <c r="BF117" s="780">
        <f>IF($B117&lt;=Factores!$D$3,"",BF25)</f>
        <v>6059.612203786578</v>
      </c>
      <c r="BG117" s="780">
        <f>IF($B117&lt;=Factores!$D$3,"",BG25)</f>
        <v>1792.8323874710695</v>
      </c>
      <c r="BH117" s="780">
        <f>IF($B117&lt;=Factores!$D$3,"",BH25)</f>
        <v>7849.1719464124599</v>
      </c>
      <c r="BI117" s="780">
        <f>IF($B117&lt;=Factores!$D$3,"",BI25)</f>
        <v>0</v>
      </c>
      <c r="BJ117" s="539">
        <f>IF($B117&lt;=Factores!$D$3,"",BJ25)</f>
        <v>0</v>
      </c>
      <c r="BK117" s="539">
        <f>IF($B117&lt;=Factores!$D$3,"",BK25)</f>
        <v>0</v>
      </c>
      <c r="BL117" s="781">
        <f>IF($B117&lt;=Factores!$D$3,"",BL25)</f>
        <v>98.057573027372243</v>
      </c>
      <c r="BM117" s="539">
        <f>IF($B117&lt;=Factores!$D$3,"",BM25)</f>
        <v>0</v>
      </c>
      <c r="BN117" s="539">
        <f>IF($B117&lt;=Factores!$D$3,"",BN25)</f>
        <v>0</v>
      </c>
      <c r="BO117" s="539">
        <f>IF($B117&lt;=Factores!$D$3,"",BO25)</f>
        <v>0</v>
      </c>
      <c r="BP117" s="2441">
        <f>IF($B117&lt;=Factores!$D$3,"",BP25)</f>
        <v>0</v>
      </c>
      <c r="BQ117" s="2442">
        <f>IF($B117&lt;=Factores!$D$3,"",BQ25)</f>
        <v>0</v>
      </c>
      <c r="BR117" s="2443">
        <f>IF($B117&lt;=Factores!$D$3,"",BR25)</f>
        <v>0</v>
      </c>
      <c r="BS117" s="2444">
        <f>IF($B117&lt;=Factores!$D$3,"",BS25)</f>
        <v>0</v>
      </c>
      <c r="BT117" s="785">
        <f>IF($B117&lt;=Factores!$D$3,"",BT25)</f>
        <v>0</v>
      </c>
      <c r="BU117" s="785">
        <f>IF($B117&lt;=Factores!$D$3,"",BU25)</f>
        <v>0</v>
      </c>
      <c r="BV117" s="2445">
        <f>IF($B117&lt;=Factores!$D$3,"",BV25)</f>
        <v>0</v>
      </c>
      <c r="BW117" s="785">
        <f>IF($B117&lt;=Factores!$D$3,"",BW25)</f>
        <v>0</v>
      </c>
      <c r="BX117" s="785">
        <f>IF($B117&lt;=Factores!$D$3,"",BX25)</f>
        <v>0</v>
      </c>
      <c r="BY117" s="785">
        <f>IF($B117&lt;=Factores!$D$3,"",BY25)</f>
        <v>0</v>
      </c>
      <c r="BZ117" s="785">
        <f>IF($B117&lt;=Factores!$D$3,"",BZ25)</f>
        <v>0</v>
      </c>
      <c r="CA117" s="2446">
        <f>IF($B117&lt;=Factores!$D$3,"",CA25)</f>
        <v>0</v>
      </c>
      <c r="CB117" s="2446">
        <f>IF($B117&lt;=Factores!$D$3,"",CB25)</f>
        <v>0</v>
      </c>
      <c r="CC117" s="2446">
        <f>IF($B117&lt;=Factores!$D$3,"",CC25)</f>
        <v>0</v>
      </c>
      <c r="CD117" s="2443">
        <f>IF($B117&lt;=Factores!$D$3,"",CD25)</f>
        <v>0</v>
      </c>
      <c r="CE117" s="2446">
        <f>IF($B117&lt;=Factores!$D$3,"",CE25)</f>
        <v>0</v>
      </c>
      <c r="CF117" s="2446">
        <f>IF($B117&lt;=Factores!$D$3,"",CF25)</f>
        <v>0</v>
      </c>
      <c r="CG117" s="2446">
        <f>IF($B117&lt;=Factores!$D$3,"",CG25)</f>
        <v>0</v>
      </c>
      <c r="CH117" s="2444">
        <f>IF($B117&lt;=Factores!$D$3,"",CH25)</f>
        <v>0</v>
      </c>
      <c r="CI117" s="2446">
        <f>IF($B117&lt;=Factores!$D$3,"",CI25)</f>
        <v>0</v>
      </c>
      <c r="CJ117" s="2443">
        <f>IF($B117&lt;=Factores!$D$3,"",CJ25)</f>
        <v>0</v>
      </c>
      <c r="CK117" s="2446">
        <f>IF($B117&lt;=Factores!$D$3,"",CK25)</f>
        <v>0</v>
      </c>
      <c r="CL117" s="2446">
        <f>IF($B117&lt;=Factores!$D$3,"",CL25)</f>
        <v>0</v>
      </c>
      <c r="CM117" s="2443">
        <f>IF($B117&lt;=Factores!$D$3,"",CM25)</f>
        <v>0</v>
      </c>
      <c r="CN117" s="2444">
        <f>IF($B117&lt;=Factores!$D$3,"",CN25)</f>
        <v>0</v>
      </c>
      <c r="CO117" s="2446">
        <f>IF($B117&lt;=Factores!$D$3,"",CO25)</f>
        <v>0</v>
      </c>
      <c r="CP117" s="2447">
        <f>IF($B117&lt;=Factores!$D$3,"",CP25)</f>
        <v>0</v>
      </c>
      <c r="CQ117" s="744">
        <f>IF($B117&lt;=Factores!$D$3,"",CQ25)</f>
        <v>0</v>
      </c>
      <c r="CR117" s="744">
        <f>IF($B117&lt;=Factores!$D$3,"",CR25)</f>
        <v>0</v>
      </c>
      <c r="CS117" s="744">
        <f>IF($B117&lt;=Factores!$D$3,"",CS25)</f>
        <v>0</v>
      </c>
      <c r="CT117" s="744">
        <f>IF($B117&lt;=Factores!$D$3,"",CT25)</f>
        <v>0</v>
      </c>
      <c r="CU117" s="744">
        <f>IF($B117&lt;=Factores!$D$3,"",CU25)</f>
        <v>0</v>
      </c>
      <c r="CV117" s="744">
        <f>IF($B117&lt;=Factores!$D$3,"",CV25)</f>
        <v>0</v>
      </c>
      <c r="CW117" s="2449">
        <f>IF($B117&lt;=Factores!$D$3,"",CW25)</f>
        <v>87.318256075506994</v>
      </c>
      <c r="CX117" s="783">
        <f>IF($B117&lt;=Factores!$D$3,"",CX25)</f>
        <v>14057.589081234491</v>
      </c>
      <c r="CY117" s="744">
        <f>IF($B117&lt;=Factores!$D$3,"",CY25)</f>
        <v>0</v>
      </c>
      <c r="CZ117" s="744">
        <f>IF($B117&lt;=Factores!$D$3,"",CZ25)</f>
        <v>0</v>
      </c>
      <c r="DA117" s="744">
        <f>IF($B117&lt;=Factores!$D$3,"",DA25)</f>
        <v>23.533817526569337</v>
      </c>
      <c r="DB117" s="744">
        <f>IF($B117&lt;=Factores!$D$3,"",DB25)</f>
        <v>1</v>
      </c>
      <c r="DC117" s="744">
        <f>IF($B117&lt;=Factores!$D$3,"",DC25)</f>
        <v>85.618786550868066</v>
      </c>
    </row>
    <row r="118" spans="1:107" s="744" customFormat="1" ht="17.149999999999999" customHeight="1">
      <c r="A118" s="2450"/>
      <c r="B118" s="794">
        <f t="shared" si="60"/>
        <v>46100.791666666664</v>
      </c>
      <c r="C118" s="780">
        <f>IF($B118&lt;=Factores!$D$3,"",C26)</f>
        <v>216000.04453185282</v>
      </c>
      <c r="D118" s="2432">
        <f>IF($B118&lt;=Factores!$D$3,"",D26)</f>
        <v>546283.00442479202</v>
      </c>
      <c r="E118" s="2432">
        <f>IF($B118&lt;=Factores!$D$3,"",E26)</f>
        <v>200651.2377070607</v>
      </c>
      <c r="F118" s="2432">
        <f>IF($B118&lt;=Factores!$D$3,"",F26)</f>
        <v>41635.171938195374</v>
      </c>
      <c r="G118" s="2432">
        <f>IF($B118&lt;=Factores!$D$3,"",G26)</f>
        <v>159016.06576886534</v>
      </c>
      <c r="H118" s="781">
        <f>IF($B118&lt;=Factores!$D$3,"",H26)</f>
        <v>98.057573027372243</v>
      </c>
      <c r="I118" s="781">
        <f>IF($B118&lt;=Factores!$D$3,"",I26)</f>
        <v>97.132597759803119</v>
      </c>
      <c r="J118" s="781">
        <f>IF($B118&lt;=Factores!$D$3,"",J26)</f>
        <v>97.88718333333334</v>
      </c>
      <c r="K118" s="781">
        <f>IF($B118&lt;=Factores!$D$3,"",K26)</f>
        <v>73.907206541408925</v>
      </c>
      <c r="L118" s="2066">
        <f>IF($B118&lt;=Factores!$D$3,"",L26)</f>
        <v>0.58705781676829161</v>
      </c>
      <c r="M118" s="781">
        <f>IF($B118&lt;=Factores!$D$3,"",M26)</f>
        <v>90.033346680262596</v>
      </c>
      <c r="N118" s="781">
        <f>IF($B118&lt;=Factores!$D$3,"",N26)</f>
        <v>27.54155477405439</v>
      </c>
      <c r="O118" s="780">
        <f>IF($B118&lt;=Factores!$D$3,"",O26)</f>
        <v>3850.6820331641861</v>
      </c>
      <c r="P118" s="539">
        <f>IF($B118&lt;=Factores!$D$3,"",P26)</f>
        <v>56751.763594871227</v>
      </c>
      <c r="Q118" s="780">
        <f>IF($B118&lt;=Factores!$D$3,"",Q26)</f>
        <v>1060.5377013385855</v>
      </c>
      <c r="R118" s="782">
        <f>IF($B118&lt;=Factores!$D$3,"",R26)</f>
        <v>14832.236598465128</v>
      </c>
      <c r="S118" s="780">
        <f>IF($B118&lt;=Factores!$D$3,"",S26)</f>
        <v>214.41086958903563</v>
      </c>
      <c r="T118" s="781">
        <f>IF($B118&lt;=Factores!$D$3,"",T26)</f>
        <v>92.282447172667077</v>
      </c>
      <c r="U118" s="781">
        <f>IF($B118&lt;=Factores!$D$3,"",U26)</f>
        <v>86.875968793340007</v>
      </c>
      <c r="V118" s="781">
        <f>IF($B118&lt;=Factores!$D$3,"",V26)</f>
        <v>80.171270007456727</v>
      </c>
      <c r="W118" s="781">
        <f>IF($B118&lt;=Factores!$D$3,"",W26)</f>
        <v>50</v>
      </c>
      <c r="X118" s="780">
        <f>IF($B118&lt;=Factores!$D$3,"",X26)</f>
        <v>68.982257079344095</v>
      </c>
      <c r="Y118" s="539">
        <f>IF($B118&lt;=Factores!$D$3,"",Y26)</f>
        <v>1815.9110128249217</v>
      </c>
      <c r="Z118" s="539">
        <f>IF($B118&lt;=Factores!$D$3,"",Z26)</f>
        <v>89.746370974248421</v>
      </c>
      <c r="AA118" s="780">
        <f>IF($B118&lt;=Factores!$D$3,"",AA26)</f>
        <v>34.491128539672047</v>
      </c>
      <c r="AB118" s="782">
        <f>IF($B118&lt;=Factores!$D$3,"",AB26)</f>
        <v>552.54448462092751</v>
      </c>
      <c r="AC118" s="780">
        <f>IF($B118&lt;=Factores!$D$3,"",AC26)</f>
        <v>44.873185487124211</v>
      </c>
      <c r="AD118" s="539">
        <f>IF($B118&lt;=Factores!$D$3,"",AD26)</f>
        <v>646.59714690609735</v>
      </c>
      <c r="AE118" s="782">
        <f>IF($B118&lt;=Factores!$D$3,"",AE26)</f>
        <v>277.60578243033905</v>
      </c>
      <c r="AF118" s="780">
        <f>IF($B118&lt;=Factores!$D$3,"",AF26)</f>
        <v>1160.5274829750947</v>
      </c>
      <c r="AG118" s="539">
        <f>IF($B118&lt;=Factores!$D$3,"",AG26)</f>
        <v>16434.063059381195</v>
      </c>
      <c r="AH118" s="2072">
        <f>IF($B118&lt;=Factores!$D$3,"",AH26)</f>
        <v>1149.6741965912565</v>
      </c>
      <c r="AI118" s="2451">
        <f>IF($B118&lt;=Factores!$D$3,"",AI26)</f>
        <v>16133.724310959826</v>
      </c>
      <c r="AJ118" s="2439">
        <f>IF($B118&lt;=Factores!$D$3,"",AJ26)</f>
        <v>3720</v>
      </c>
      <c r="AK118" s="2452">
        <f>IF($B118&lt;=Factores!$D$3,"",AK26)</f>
        <v>27.54155477405439</v>
      </c>
      <c r="AL118" s="2453">
        <f>IF($B118&lt;=Factores!$D$3,"",AL26)</f>
        <v>1024.5458375948233</v>
      </c>
      <c r="AM118" s="2439">
        <f>IF($B118&lt;=Factores!$D$3,"",AM26)</f>
        <v>1830.2980000000002</v>
      </c>
      <c r="AN118" s="2452">
        <f>IF($B118&lt;=Factores!$D$3,"",AN26)</f>
        <v>28.1</v>
      </c>
      <c r="AO118" s="2453">
        <f>IF($B118&lt;=Factores!$D$3,"",AO26)</f>
        <v>514.31373800000006</v>
      </c>
      <c r="AP118" s="783">
        <f>IF($B118&lt;=Factores!$D$3,"",AP26)</f>
        <v>2947.0578664566538</v>
      </c>
      <c r="AQ118" s="783">
        <f>IF($B118&lt;=Factores!$D$3,"",AQ26)</f>
        <v>493.74118848000006</v>
      </c>
      <c r="AR118" s="783">
        <f>IF($B118&lt;=Factores!$D$3,"",AR26)</f>
        <v>8161.6663714709703</v>
      </c>
      <c r="AS118" s="2632">
        <f>IF($B118&lt;=Factores!$D$3,"",AS26)</f>
        <v>205451.2377070607</v>
      </c>
      <c r="AT118" s="784"/>
      <c r="AU118" s="2076"/>
      <c r="AV118" s="2438">
        <f>IF($B118&lt;=Factores!$D$3,"",AV26)</f>
        <v>46100.791666666664</v>
      </c>
      <c r="AW118" s="2439">
        <f>IF($B118&lt;=Factores!$D$3,"",AW26)</f>
        <v>89.991302808620048</v>
      </c>
      <c r="AX118" s="783">
        <f>IF($B118&lt;=Factores!$D$3,"",AX26)</f>
        <v>0</v>
      </c>
      <c r="AY118" s="783">
        <f>IF($B118&lt;=Factores!$D$3,"",AY26)</f>
        <v>0</v>
      </c>
      <c r="AZ118" s="783">
        <f>IF($B118&lt;=Factores!$D$3,"",AZ26)</f>
        <v>0</v>
      </c>
      <c r="BA118" s="2432">
        <f>IF($B118&lt;=Factores!$D$3,"",BA26)</f>
        <v>32.497090062531356</v>
      </c>
      <c r="BB118" s="782">
        <f>IF($B118&lt;=Factores!$D$3,"",BB26)</f>
        <v>1462.3690528139109</v>
      </c>
      <c r="BC118" s="2078">
        <f>IF($B118&lt;=Factores!$D$3,"",BC26)</f>
        <v>1.221444524506845</v>
      </c>
      <c r="BD118" s="2078">
        <f>IF($B118&lt;=Factores!$D$3,"",BD26)</f>
        <v>4.2956646711888258</v>
      </c>
      <c r="BE118" s="2449">
        <f>IF($B118&lt;=Factores!$D$3,"",BE26)</f>
        <v>38.975140830054585</v>
      </c>
      <c r="BF118" s="780">
        <f>IF($B118&lt;=Factores!$D$3,"",BF26)</f>
        <v>6756.9175969575908</v>
      </c>
      <c r="BG118" s="780">
        <f>IF($B118&lt;=Factores!$D$3,"",BG26)</f>
        <v>1786.0109487116601</v>
      </c>
      <c r="BH118" s="780">
        <f>IF($B118&lt;=Factores!$D$3,"",BH26)</f>
        <v>8540.9222669370865</v>
      </c>
      <c r="BI118" s="780">
        <f>IF($B118&lt;=Factores!$D$3,"",BI26)</f>
        <v>0</v>
      </c>
      <c r="BJ118" s="539">
        <f>IF($B118&lt;=Factores!$D$3,"",BJ26)</f>
        <v>0</v>
      </c>
      <c r="BK118" s="539">
        <f>IF($B118&lt;=Factores!$D$3,"",BK26)</f>
        <v>0</v>
      </c>
      <c r="BL118" s="781">
        <f>IF($B118&lt;=Factores!$D$3,"",BL26)</f>
        <v>98.057573027372243</v>
      </c>
      <c r="BM118" s="539">
        <f>IF($B118&lt;=Factores!$D$3,"",BM26)</f>
        <v>0</v>
      </c>
      <c r="BN118" s="539">
        <f>IF($B118&lt;=Factores!$D$3,"",BN26)</f>
        <v>0</v>
      </c>
      <c r="BO118" s="539">
        <f>IF($B118&lt;=Factores!$D$3,"",BO26)</f>
        <v>0</v>
      </c>
      <c r="BP118" s="2441">
        <f>IF($B118&lt;=Factores!$D$3,"",BP26)</f>
        <v>0</v>
      </c>
      <c r="BQ118" s="2442">
        <f>IF($B118&lt;=Factores!$D$3,"",BQ26)</f>
        <v>0</v>
      </c>
      <c r="BR118" s="2443">
        <f>IF($B118&lt;=Factores!$D$3,"",BR26)</f>
        <v>0</v>
      </c>
      <c r="BS118" s="2444">
        <f>IF($B118&lt;=Factores!$D$3,"",BS26)</f>
        <v>0</v>
      </c>
      <c r="BT118" s="785">
        <f>IF($B118&lt;=Factores!$D$3,"",BT26)</f>
        <v>0</v>
      </c>
      <c r="BU118" s="785">
        <f>IF($B118&lt;=Factores!$D$3,"",BU26)</f>
        <v>0</v>
      </c>
      <c r="BV118" s="2445">
        <f>IF($B118&lt;=Factores!$D$3,"",BV26)</f>
        <v>0</v>
      </c>
      <c r="BW118" s="785">
        <f>IF($B118&lt;=Factores!$D$3,"",BW26)</f>
        <v>0</v>
      </c>
      <c r="BX118" s="785">
        <f>IF($B118&lt;=Factores!$D$3,"",BX26)</f>
        <v>0</v>
      </c>
      <c r="BY118" s="785">
        <f>IF($B118&lt;=Factores!$D$3,"",BY26)</f>
        <v>0</v>
      </c>
      <c r="BZ118" s="785">
        <f>IF($B118&lt;=Factores!$D$3,"",BZ26)</f>
        <v>0</v>
      </c>
      <c r="CA118" s="2446">
        <f>IF($B118&lt;=Factores!$D$3,"",CA26)</f>
        <v>0</v>
      </c>
      <c r="CB118" s="2446">
        <f>IF($B118&lt;=Factores!$D$3,"",CB26)</f>
        <v>0</v>
      </c>
      <c r="CC118" s="2446">
        <f>IF($B118&lt;=Factores!$D$3,"",CC26)</f>
        <v>0</v>
      </c>
      <c r="CD118" s="2443">
        <f>IF($B118&lt;=Factores!$D$3,"",CD26)</f>
        <v>0</v>
      </c>
      <c r="CE118" s="2446">
        <f>IF($B118&lt;=Factores!$D$3,"",CE26)</f>
        <v>0</v>
      </c>
      <c r="CF118" s="2446">
        <f>IF($B118&lt;=Factores!$D$3,"",CF26)</f>
        <v>0</v>
      </c>
      <c r="CG118" s="2446">
        <f>IF($B118&lt;=Factores!$D$3,"",CG26)</f>
        <v>0</v>
      </c>
      <c r="CH118" s="2444">
        <f>IF($B118&lt;=Factores!$D$3,"",CH26)</f>
        <v>0</v>
      </c>
      <c r="CI118" s="2446">
        <f>IF($B118&lt;=Factores!$D$3,"",CI26)</f>
        <v>0</v>
      </c>
      <c r="CJ118" s="2443">
        <f>IF($B118&lt;=Factores!$D$3,"",CJ26)</f>
        <v>0</v>
      </c>
      <c r="CK118" s="2446">
        <f>IF($B118&lt;=Factores!$D$3,"",CK26)</f>
        <v>0</v>
      </c>
      <c r="CL118" s="2446">
        <f>IF($B118&lt;=Factores!$D$3,"",CL26)</f>
        <v>0</v>
      </c>
      <c r="CM118" s="2443">
        <f>IF($B118&lt;=Factores!$D$3,"",CM26)</f>
        <v>0</v>
      </c>
      <c r="CN118" s="2444">
        <f>IF($B118&lt;=Factores!$D$3,"",CN26)</f>
        <v>0</v>
      </c>
      <c r="CO118" s="2446">
        <f>IF($B118&lt;=Factores!$D$3,"",CO26)</f>
        <v>0</v>
      </c>
      <c r="CP118" s="2447">
        <f>IF($B118&lt;=Factores!$D$3,"",CP26)</f>
        <v>0</v>
      </c>
      <c r="CQ118" s="744">
        <f>IF($B118&lt;=Factores!$D$3,"",CQ26)</f>
        <v>0</v>
      </c>
      <c r="CR118" s="744">
        <f>IF($B118&lt;=Factores!$D$3,"",CR26)</f>
        <v>0</v>
      </c>
      <c r="CS118" s="744">
        <f>IF($B118&lt;=Factores!$D$3,"",CS26)</f>
        <v>0</v>
      </c>
      <c r="CT118" s="744">
        <f>IF($B118&lt;=Factores!$D$3,"",CT26)</f>
        <v>0</v>
      </c>
      <c r="CU118" s="744">
        <f>IF($B118&lt;=Factores!$D$3,"",CU26)</f>
        <v>0</v>
      </c>
      <c r="CV118" s="744">
        <f>IF($B118&lt;=Factores!$D$3,"",CV26)</f>
        <v>0</v>
      </c>
      <c r="CW118" s="2449">
        <f>IF($B118&lt;=Factores!$D$3,"",CW26)</f>
        <v>73.907206541408925</v>
      </c>
      <c r="CX118" s="783">
        <f>IF($B118&lt;=Factores!$D$3,"",CX26)</f>
        <v>14571.902819234492</v>
      </c>
      <c r="CY118" s="744">
        <f>IF($B118&lt;=Factores!$D$3,"",CY26)</f>
        <v>0</v>
      </c>
      <c r="CZ118" s="744">
        <f>IF($B118&lt;=Factores!$D$3,"",CZ26)</f>
        <v>0</v>
      </c>
      <c r="DA118" s="744">
        <f>IF($B118&lt;=Factores!$D$3,"",DA26)</f>
        <v>23.533817526569337</v>
      </c>
      <c r="DB118" s="744">
        <f>IF($B118&lt;=Factores!$D$3,"",DB26)</f>
        <v>1</v>
      </c>
      <c r="DC118" s="744">
        <f>IF($B118&lt;=Factores!$D$3,"",DC26)</f>
        <v>89.991302808620048</v>
      </c>
    </row>
    <row r="119" spans="1:107" s="744" customFormat="1" ht="17.149999999999999" customHeight="1">
      <c r="A119" s="2450"/>
      <c r="B119" s="794">
        <f t="shared" si="60"/>
        <v>46101.791666666664</v>
      </c>
      <c r="C119" s="780">
        <f>IF($B119&lt;=Factores!$D$3,"",C27)</f>
        <v>239769.96</v>
      </c>
      <c r="D119" s="2432">
        <f>IF($B119&lt;=Factores!$D$3,"",D27)</f>
        <v>581217.19080530177</v>
      </c>
      <c r="E119" s="2432">
        <f>IF($B119&lt;=Factores!$D$3,"",E27)</f>
        <v>204835.77361949021</v>
      </c>
      <c r="F119" s="2432">
        <f>IF($B119&lt;=Factores!$D$3,"",F27)</f>
        <v>41996.8122980837</v>
      </c>
      <c r="G119" s="2432">
        <f>IF($B119&lt;=Factores!$D$3,"",G27)</f>
        <v>162838.9613214065</v>
      </c>
      <c r="H119" s="781">
        <f>IF($B119&lt;=Factores!$D$3,"",H27)</f>
        <v>98.057573027372243</v>
      </c>
      <c r="I119" s="781">
        <f>IF($B119&lt;=Factores!$D$3,"",I27)</f>
        <v>97.132597759803119</v>
      </c>
      <c r="J119" s="781">
        <f>IF($B119&lt;=Factores!$D$3,"",J27)</f>
        <v>97.88718333333334</v>
      </c>
      <c r="K119" s="781">
        <f>IF($B119&lt;=Factores!$D$3,"",K27)</f>
        <v>74.08057289578727</v>
      </c>
      <c r="L119" s="2066">
        <f>IF($B119&lt;=Factores!$D$3,"",L27)</f>
        <v>0.54478257960254906</v>
      </c>
      <c r="M119" s="781">
        <f>IF($B119&lt;=Factores!$D$3,"",M27)</f>
        <v>89.850973458553213</v>
      </c>
      <c r="N119" s="781">
        <f>IF($B119&lt;=Factores!$D$3,"",N27)</f>
        <v>25.463830076813228</v>
      </c>
      <c r="O119" s="780">
        <f>IF($B119&lt;=Factores!$D$3,"",O27)</f>
        <v>3937.5680948292656</v>
      </c>
      <c r="P119" s="539">
        <f>IF($B119&lt;=Factores!$D$3,"",P27)</f>
        <v>60689.331689700492</v>
      </c>
      <c r="Q119" s="780">
        <f>IF($B119&lt;=Factores!$D$3,"",Q27)</f>
        <v>1002.6556488261361</v>
      </c>
      <c r="R119" s="782">
        <f>IF($B119&lt;=Factores!$D$3,"",R27)</f>
        <v>15834.892247291264</v>
      </c>
      <c r="S119" s="780">
        <f>IF($B119&lt;=Factores!$D$3,"",S27)</f>
        <v>161.9711458432908</v>
      </c>
      <c r="T119" s="781">
        <f>IF($B119&lt;=Factores!$D$3,"",T27)</f>
        <v>89.799014460221244</v>
      </c>
      <c r="U119" s="781">
        <f>IF($B119&lt;=Factores!$D$3,"",U27)</f>
        <v>86.105136546513563</v>
      </c>
      <c r="V119" s="781">
        <f>IF($B119&lt;=Factores!$D$3,"",V27)</f>
        <v>77.321564018396955</v>
      </c>
      <c r="W119" s="781">
        <f>IF($B119&lt;=Factores!$D$3,"",W27)</f>
        <v>50</v>
      </c>
      <c r="X119" s="780">
        <f>IF($B119&lt;=Factores!$D$3,"",X27)</f>
        <v>51.306700550481601</v>
      </c>
      <c r="Y119" s="539">
        <f>IF($B119&lt;=Factores!$D$3,"",Y27)</f>
        <v>1867.2177133754033</v>
      </c>
      <c r="Z119" s="539">
        <f>IF($B119&lt;=Factores!$D$3,"",Z27)</f>
        <v>89.336462648887021</v>
      </c>
      <c r="AA119" s="780">
        <f>IF($B119&lt;=Factores!$D$3,"",AA27)</f>
        <v>25.653350275240797</v>
      </c>
      <c r="AB119" s="782">
        <f>IF($B119&lt;=Factores!$D$3,"",AB27)</f>
        <v>578.19783489616827</v>
      </c>
      <c r="AC119" s="780">
        <f>IF($B119&lt;=Factores!$D$3,"",AC27)</f>
        <v>44.668231324443511</v>
      </c>
      <c r="AD119" s="539">
        <f>IF($B119&lt;=Factores!$D$3,"",AD27)</f>
        <v>691.26537823054082</v>
      </c>
      <c r="AE119" s="782">
        <f>IF($B119&lt;=Factores!$D$3,"",AE27)</f>
        <v>258.59090138113635</v>
      </c>
      <c r="AF119" s="780">
        <f>IF($B119&lt;=Factores!$D$3,"",AF27)</f>
        <v>1077.0247112740592</v>
      </c>
      <c r="AG119" s="539">
        <f>IF($B119&lt;=Factores!$D$3,"",AG27)</f>
        <v>17511.087770655253</v>
      </c>
      <c r="AH119" s="2072">
        <f>IF($B119&lt;=Factores!$D$3,"",AH27)</f>
        <v>1093.4004707672568</v>
      </c>
      <c r="AI119" s="2451">
        <f>IF($B119&lt;=Factores!$D$3,"",AI27)</f>
        <v>17227.124781727081</v>
      </c>
      <c r="AJ119" s="2439">
        <f>IF($B119&lt;=Factores!$D$3,"",AJ27)</f>
        <v>3720</v>
      </c>
      <c r="AK119" s="2452">
        <f>IF($B119&lt;=Factores!$D$3,"",AK27)</f>
        <v>25.463830076813228</v>
      </c>
      <c r="AL119" s="2453">
        <f>IF($B119&lt;=Factores!$D$3,"",AL27)</f>
        <v>947.254478857452</v>
      </c>
      <c r="AM119" s="2439">
        <f>IF($B119&lt;=Factores!$D$3,"",AM27)</f>
        <v>3720</v>
      </c>
      <c r="AN119" s="2452">
        <f>IF($B119&lt;=Factores!$D$3,"",AN27)</f>
        <v>27.54155477405439</v>
      </c>
      <c r="AO119" s="2453">
        <f>IF($B119&lt;=Factores!$D$3,"",AO27)</f>
        <v>1024.5458375948233</v>
      </c>
      <c r="AP119" s="783">
        <f>IF($B119&lt;=Factores!$D$3,"",AP27)</f>
        <v>2925.1676776879667</v>
      </c>
      <c r="AQ119" s="783">
        <f>IF($B119&lt;=Factores!$D$3,"",AQ27)</f>
        <v>983.56400409103037</v>
      </c>
      <c r="AR119" s="783">
        <f>IF($B119&lt;=Factores!$D$3,"",AR27)</f>
        <v>8379.2344663002368</v>
      </c>
      <c r="AS119" s="2632">
        <f>IF($B119&lt;=Factores!$D$3,"",AS27)</f>
        <v>207235.77361949021</v>
      </c>
      <c r="AT119" s="784"/>
      <c r="AU119" s="2076"/>
      <c r="AV119" s="2438">
        <f>IF($B119&lt;=Factores!$D$3,"",AV27)</f>
        <v>46101.791666666664</v>
      </c>
      <c r="AW119" s="2439">
        <f>IF($B119&lt;=Factores!$D$3,"",AW27)</f>
        <v>84.725226719810948</v>
      </c>
      <c r="AX119" s="783">
        <f>IF($B119&lt;=Factores!$D$3,"",AX27)</f>
        <v>0</v>
      </c>
      <c r="AY119" s="783">
        <f>IF($B119&lt;=Factores!$D$3,"",AY27)</f>
        <v>0</v>
      </c>
      <c r="AZ119" s="783">
        <f>IF($B119&lt;=Factores!$D$3,"",AZ27)</f>
        <v>0</v>
      </c>
      <c r="BA119" s="2432">
        <f>IF($B119&lt;=Factores!$D$3,"",BA27)</f>
        <v>33.838682543884985</v>
      </c>
      <c r="BB119" s="782">
        <f>IF($B119&lt;=Factores!$D$3,"",BB27)</f>
        <v>1522.7407144748242</v>
      </c>
      <c r="BC119" s="2078">
        <f>IF($B119&lt;=Factores!$D$3,"",BC27)</f>
        <v>1.1499630072090765</v>
      </c>
      <c r="BD119" s="2078">
        <f>IF($B119&lt;=Factores!$D$3,"",BD27)</f>
        <v>4.1969345058076382</v>
      </c>
      <c r="BE119" s="2449">
        <f>IF($B119&lt;=Factores!$D$3,"",BE27)</f>
        <v>38.523613807334328</v>
      </c>
      <c r="BF119" s="780">
        <f>IF($B119&lt;=Factores!$D$3,"",BF27)</f>
        <v>6919.3602413872586</v>
      </c>
      <c r="BG119" s="780">
        <f>IF($B119&lt;=Factores!$D$3,"",BG27)</f>
        <v>1801.5241221222411</v>
      </c>
      <c r="BH119" s="780">
        <f>IF($B119&lt;=Factores!$D$3,"",BH27)</f>
        <v>8719.0412576778526</v>
      </c>
      <c r="BI119" s="780">
        <f>IF($B119&lt;=Factores!$D$3,"",BI27)</f>
        <v>0</v>
      </c>
      <c r="BJ119" s="539">
        <f>IF($B119&lt;=Factores!$D$3,"",BJ27)</f>
        <v>0</v>
      </c>
      <c r="BK119" s="539">
        <f>IF($B119&lt;=Factores!$D$3,"",BK27)</f>
        <v>0</v>
      </c>
      <c r="BL119" s="781">
        <f>IF($B119&lt;=Factores!$D$3,"",BL27)</f>
        <v>98.057573027372243</v>
      </c>
      <c r="BM119" s="539">
        <f>IF($B119&lt;=Factores!$D$3,"",BM27)</f>
        <v>0</v>
      </c>
      <c r="BN119" s="539">
        <f>IF($B119&lt;=Factores!$D$3,"",BN27)</f>
        <v>0</v>
      </c>
      <c r="BO119" s="539">
        <f>IF($B119&lt;=Factores!$D$3,"",BO27)</f>
        <v>0</v>
      </c>
      <c r="BP119" s="2441">
        <f>IF($B119&lt;=Factores!$D$3,"",BP27)</f>
        <v>0</v>
      </c>
      <c r="BQ119" s="2442">
        <f>IF($B119&lt;=Factores!$D$3,"",BQ27)</f>
        <v>0</v>
      </c>
      <c r="BR119" s="2443">
        <f>IF($B119&lt;=Factores!$D$3,"",BR27)</f>
        <v>0</v>
      </c>
      <c r="BS119" s="2444">
        <f>IF($B119&lt;=Factores!$D$3,"",BS27)</f>
        <v>0</v>
      </c>
      <c r="BT119" s="785">
        <f>IF($B119&lt;=Factores!$D$3,"",BT27)</f>
        <v>0</v>
      </c>
      <c r="BU119" s="785">
        <f>IF($B119&lt;=Factores!$D$3,"",BU27)</f>
        <v>0</v>
      </c>
      <c r="BV119" s="2445">
        <f>IF($B119&lt;=Factores!$D$3,"",BV27)</f>
        <v>0</v>
      </c>
      <c r="BW119" s="785">
        <f>IF($B119&lt;=Factores!$D$3,"",BW27)</f>
        <v>0</v>
      </c>
      <c r="BX119" s="785">
        <f>IF($B119&lt;=Factores!$D$3,"",BX27)</f>
        <v>0</v>
      </c>
      <c r="BY119" s="785">
        <f>IF($B119&lt;=Factores!$D$3,"",BY27)</f>
        <v>0</v>
      </c>
      <c r="BZ119" s="785">
        <f>IF($B119&lt;=Factores!$D$3,"",BZ27)</f>
        <v>0</v>
      </c>
      <c r="CA119" s="2446">
        <f>IF($B119&lt;=Factores!$D$3,"",CA27)</f>
        <v>0</v>
      </c>
      <c r="CB119" s="2446">
        <f>IF($B119&lt;=Factores!$D$3,"",CB27)</f>
        <v>0</v>
      </c>
      <c r="CC119" s="2446">
        <f>IF($B119&lt;=Factores!$D$3,"",CC27)</f>
        <v>0</v>
      </c>
      <c r="CD119" s="2443">
        <f>IF($B119&lt;=Factores!$D$3,"",CD27)</f>
        <v>0</v>
      </c>
      <c r="CE119" s="2446">
        <f>IF($B119&lt;=Factores!$D$3,"",CE27)</f>
        <v>0</v>
      </c>
      <c r="CF119" s="2446">
        <f>IF($B119&lt;=Factores!$D$3,"",CF27)</f>
        <v>0</v>
      </c>
      <c r="CG119" s="2446">
        <f>IF($B119&lt;=Factores!$D$3,"",CG27)</f>
        <v>0</v>
      </c>
      <c r="CH119" s="2444">
        <f>IF($B119&lt;=Factores!$D$3,"",CH27)</f>
        <v>0</v>
      </c>
      <c r="CI119" s="2446">
        <f>IF($B119&lt;=Factores!$D$3,"",CI27)</f>
        <v>0</v>
      </c>
      <c r="CJ119" s="2443">
        <f>IF($B119&lt;=Factores!$D$3,"",CJ27)</f>
        <v>0</v>
      </c>
      <c r="CK119" s="2446">
        <f>IF($B119&lt;=Factores!$D$3,"",CK27)</f>
        <v>0</v>
      </c>
      <c r="CL119" s="2446">
        <f>IF($B119&lt;=Factores!$D$3,"",CL27)</f>
        <v>0</v>
      </c>
      <c r="CM119" s="2443">
        <f>IF($B119&lt;=Factores!$D$3,"",CM27)</f>
        <v>0</v>
      </c>
      <c r="CN119" s="2444">
        <f>IF($B119&lt;=Factores!$D$3,"",CN27)</f>
        <v>0</v>
      </c>
      <c r="CO119" s="2446">
        <f>IF($B119&lt;=Factores!$D$3,"",CO27)</f>
        <v>0</v>
      </c>
      <c r="CP119" s="2447">
        <f>IF($B119&lt;=Factores!$D$3,"",CP27)</f>
        <v>0</v>
      </c>
      <c r="CQ119" s="744">
        <f>IF($B119&lt;=Factores!$D$3,"",CQ27)</f>
        <v>0</v>
      </c>
      <c r="CR119" s="744">
        <f>IF($B119&lt;=Factores!$D$3,"",CR27)</f>
        <v>0</v>
      </c>
      <c r="CS119" s="744">
        <f>IF($B119&lt;=Factores!$D$3,"",CS27)</f>
        <v>0</v>
      </c>
      <c r="CT119" s="744">
        <f>IF($B119&lt;=Factores!$D$3,"",CT27)</f>
        <v>0</v>
      </c>
      <c r="CU119" s="744">
        <f>IF($B119&lt;=Factores!$D$3,"",CU27)</f>
        <v>0</v>
      </c>
      <c r="CV119" s="744">
        <f>IF($B119&lt;=Factores!$D$3,"",CV27)</f>
        <v>0</v>
      </c>
      <c r="CW119" s="2449">
        <f>IF($B119&lt;=Factores!$D$3,"",CW27)</f>
        <v>74.08057289578727</v>
      </c>
      <c r="CX119" s="783">
        <f>IF($B119&lt;=Factores!$D$3,"",CX27)</f>
        <v>15596.448656829316</v>
      </c>
      <c r="CY119" s="744">
        <f>IF($B119&lt;=Factores!$D$3,"",CY27)</f>
        <v>0</v>
      </c>
      <c r="CZ119" s="744">
        <f>IF($B119&lt;=Factores!$D$3,"",CZ27)</f>
        <v>0</v>
      </c>
      <c r="DA119" s="744">
        <f>IF($B119&lt;=Factores!$D$3,"",DA27)</f>
        <v>23.533817526569337</v>
      </c>
      <c r="DB119" s="744">
        <f>IF($B119&lt;=Factores!$D$3,"",DB27)</f>
        <v>1</v>
      </c>
      <c r="DC119" s="744">
        <f>IF($B119&lt;=Factores!$D$3,"",DC27)</f>
        <v>84.725226719810948</v>
      </c>
    </row>
    <row r="120" spans="1:107" s="744" customFormat="1" ht="17.149999999999999" customHeight="1">
      <c r="A120" s="2450"/>
      <c r="B120" s="794">
        <f t="shared" si="60"/>
        <v>46102.791666666664</v>
      </c>
      <c r="C120" s="780">
        <f>IF($B120&lt;=Factores!$D$3,"",C28)</f>
        <v>179507.96</v>
      </c>
      <c r="D120" s="2432">
        <f>IF($B120&lt;=Factores!$D$3,"",D28)</f>
        <v>557992.24570321327</v>
      </c>
      <c r="E120" s="2432">
        <f>IF($B120&lt;=Factores!$D$3,"",E28)</f>
        <v>202732.90510208849</v>
      </c>
      <c r="F120" s="2432">
        <f>IF($B120&lt;=Factores!$D$3,"",F28)</f>
        <v>41570.661094213741</v>
      </c>
      <c r="G120" s="2432">
        <f>IF($B120&lt;=Factores!$D$3,"",G28)</f>
        <v>161162.24400787475</v>
      </c>
      <c r="H120" s="781">
        <f>IF($B120&lt;=Factores!$D$3,"",H28)</f>
        <v>98.057573027372243</v>
      </c>
      <c r="I120" s="781">
        <f>IF($B120&lt;=Factores!$D$3,"",I28)</f>
        <v>97.132597759803119</v>
      </c>
      <c r="J120" s="781">
        <f>IF($B120&lt;=Factores!$D$3,"",J28)</f>
        <v>97.88718333333334</v>
      </c>
      <c r="K120" s="781">
        <f>IF($B120&lt;=Factores!$D$3,"",K28)</f>
        <v>78.744402937491117</v>
      </c>
      <c r="L120" s="2066">
        <f>IF($B120&lt;=Factores!$D$3,"",L28)</f>
        <v>0.55017132477022201</v>
      </c>
      <c r="M120" s="781">
        <f>IF($B120&lt;=Factores!$D$3,"",M28)</f>
        <v>90.224624853035252</v>
      </c>
      <c r="N120" s="781">
        <f>IF($B120&lt;=Factores!$D$3,"",N28)</f>
        <v>27.191767251601942</v>
      </c>
      <c r="O120" s="780">
        <f>IF($B120&lt;=Factores!$D$3,"",O28)</f>
        <v>3700.9212617490002</v>
      </c>
      <c r="P120" s="539">
        <f>IF($B120&lt;=Factores!$D$3,"",P28)</f>
        <v>64390.252951449489</v>
      </c>
      <c r="Q120" s="780">
        <f>IF($B120&lt;=Factores!$D$3,"",Q28)</f>
        <v>1006.345895659838</v>
      </c>
      <c r="R120" s="782">
        <f>IF($B120&lt;=Factores!$D$3,"",R28)</f>
        <v>16841.238142951101</v>
      </c>
      <c r="S120" s="780">
        <f>IF($B120&lt;=Factores!$D$3,"",S28)</f>
        <v>171.3053604976626</v>
      </c>
      <c r="T120" s="781">
        <f>IF($B120&lt;=Factores!$D$3,"",T28)</f>
        <v>89.995470663076418</v>
      </c>
      <c r="U120" s="781">
        <f>IF($B120&lt;=Factores!$D$3,"",U28)</f>
        <v>88.926930362403226</v>
      </c>
      <c r="V120" s="781">
        <f>IF($B120&lt;=Factores!$D$3,"",V28)</f>
        <v>80.030209525870987</v>
      </c>
      <c r="W120" s="781">
        <f>IF($B120&lt;=Factores!$D$3,"",W28)</f>
        <v>50</v>
      </c>
      <c r="X120" s="780">
        <f>IF($B120&lt;=Factores!$D$3,"",X28)</f>
        <v>55.587756502696173</v>
      </c>
      <c r="Y120" s="539">
        <f>IF($B120&lt;=Factores!$D$3,"",Y28)</f>
        <v>1922.8054698780995</v>
      </c>
      <c r="Z120" s="539">
        <f>IF($B120&lt;=Factores!$D$3,"",Z28)</f>
        <v>88.456714722770485</v>
      </c>
      <c r="AA120" s="780">
        <f>IF($B120&lt;=Factores!$D$3,"",AA28)</f>
        <v>27.793878251348087</v>
      </c>
      <c r="AB120" s="782">
        <f>IF($B120&lt;=Factores!$D$3,"",AB28)</f>
        <v>605.99171314751641</v>
      </c>
      <c r="AC120" s="780">
        <f>IF($B120&lt;=Factores!$D$3,"",AC28)</f>
        <v>44.228357361385243</v>
      </c>
      <c r="AD120" s="539">
        <f>IF($B120&lt;=Factores!$D$3,"",AD28)</f>
        <v>735.49373559192611</v>
      </c>
      <c r="AE120" s="782">
        <f>IF($B120&lt;=Factores!$D$3,"",AE28)</f>
        <v>242.15642227109919</v>
      </c>
      <c r="AF120" s="780">
        <f>IF($B120&lt;=Factores!$D$3,"",AF28)</f>
        <v>1086.920348710496</v>
      </c>
      <c r="AG120" s="539">
        <f>IF($B120&lt;=Factores!$D$3,"",AG28)</f>
        <v>18598.00811936575</v>
      </c>
      <c r="AH120" s="2072">
        <f>IF($B120&lt;=Factores!$D$3,"",AH28)</f>
        <v>1095.6816695754667</v>
      </c>
      <c r="AI120" s="2451">
        <f>IF($B120&lt;=Factores!$D$3,"",AI28)</f>
        <v>18322.806451302549</v>
      </c>
      <c r="AJ120" s="2439">
        <f>IF($B120&lt;=Factores!$D$3,"",AJ28)</f>
        <v>3720</v>
      </c>
      <c r="AK120" s="2452">
        <f>IF($B120&lt;=Factores!$D$3,"",AK28)</f>
        <v>27.191767251601942</v>
      </c>
      <c r="AL120" s="2453">
        <f>IF($B120&lt;=Factores!$D$3,"",AL28)</f>
        <v>1011.5337417595922</v>
      </c>
      <c r="AM120" s="2439">
        <f>IF($B120&lt;=Factores!$D$3,"",AM28)</f>
        <v>3720</v>
      </c>
      <c r="AN120" s="2452">
        <f>IF($B120&lt;=Factores!$D$3,"",AN28)</f>
        <v>25.463830076813228</v>
      </c>
      <c r="AO120" s="2453">
        <f>IF($B120&lt;=Factores!$D$3,"",AO28)</f>
        <v>947.254478857452</v>
      </c>
      <c r="AP120" s="783">
        <f>IF($B120&lt;=Factores!$D$3,"",AP28)</f>
        <v>2984.2590944903527</v>
      </c>
      <c r="AQ120" s="783">
        <f>IF($B120&lt;=Factores!$D$3,"",AQ28)</f>
        <v>909.36429970315385</v>
      </c>
      <c r="AR120" s="783">
        <f>IF($B120&lt;=Factores!$D$3,"",AR28)</f>
        <v>8360.155728049238</v>
      </c>
      <c r="AS120" s="2632">
        <f>IF($B120&lt;=Factores!$D$3,"",AS28)</f>
        <v>205132.90510208852</v>
      </c>
      <c r="AT120" s="784"/>
      <c r="AU120" s="2076"/>
      <c r="AV120" s="2438">
        <f>IF($B120&lt;=Factores!$D$3,"",AV28)</f>
        <v>46102.791666666664</v>
      </c>
      <c r="AW120" s="2439">
        <f>IF($B120&lt;=Factores!$D$3,"",AW28)</f>
        <v>89.785191129797255</v>
      </c>
      <c r="AX120" s="783">
        <f>IF($B120&lt;=Factores!$D$3,"",AX28)</f>
        <v>0</v>
      </c>
      <c r="AY120" s="783">
        <f>IF($B120&lt;=Factores!$D$3,"",AY28)</f>
        <v>0</v>
      </c>
      <c r="AZ120" s="783">
        <f>IF($B120&lt;=Factores!$D$3,"",AZ28)</f>
        <v>0</v>
      </c>
      <c r="BA120" s="2432">
        <f>IF($B120&lt;=Factores!$D$3,"",BA28)</f>
        <v>29.038000097600129</v>
      </c>
      <c r="BB120" s="782">
        <f>IF($B120&lt;=Factores!$D$3,"",BB28)</f>
        <v>1306.7100043920059</v>
      </c>
      <c r="BC120" s="2078">
        <f>IF($B120&lt;=Factores!$D$3,"",BC28)</f>
        <v>1.3002739296909176</v>
      </c>
      <c r="BD120" s="2078">
        <f>IF($B120&lt;=Factores!$D$3,"",BD28)</f>
        <v>4.2551669079758971</v>
      </c>
      <c r="BE120" s="2449">
        <f>IF($B120&lt;=Factores!$D$3,"",BE28)</f>
        <v>38.468991267239623</v>
      </c>
      <c r="BF120" s="780">
        <f>IF($B120&lt;=Factores!$D$3,"",BF28)</f>
        <v>6848.1130962252482</v>
      </c>
      <c r="BG120" s="780">
        <f>IF($B120&lt;=Factores!$D$3,"",BG28)</f>
        <v>1783.2436472139541</v>
      </c>
      <c r="BH120" s="780">
        <f>IF($B120&lt;=Factores!$D$3,"",BH28)</f>
        <v>8629.5305387310873</v>
      </c>
      <c r="BI120" s="780">
        <f>IF($B120&lt;=Factores!$D$3,"",BI28)</f>
        <v>0</v>
      </c>
      <c r="BJ120" s="539">
        <f>IF($B120&lt;=Factores!$D$3,"",BJ28)</f>
        <v>0</v>
      </c>
      <c r="BK120" s="539">
        <f>IF($B120&lt;=Factores!$D$3,"",BK28)</f>
        <v>0</v>
      </c>
      <c r="BL120" s="781">
        <f>IF($B120&lt;=Factores!$D$3,"",BL28)</f>
        <v>98.057573027372243</v>
      </c>
      <c r="BM120" s="539">
        <f>IF($B120&lt;=Factores!$D$3,"",BM28)</f>
        <v>0</v>
      </c>
      <c r="BN120" s="539">
        <f>IF($B120&lt;=Factores!$D$3,"",BN28)</f>
        <v>0</v>
      </c>
      <c r="BO120" s="539">
        <f>IF($B120&lt;=Factores!$D$3,"",BO28)</f>
        <v>0</v>
      </c>
      <c r="BP120" s="2441">
        <f>IF($B120&lt;=Factores!$D$3,"",BP28)</f>
        <v>0</v>
      </c>
      <c r="BQ120" s="2442">
        <f>IF($B120&lt;=Factores!$D$3,"",BQ28)</f>
        <v>0</v>
      </c>
      <c r="BR120" s="2443">
        <f>IF($B120&lt;=Factores!$D$3,"",BR28)</f>
        <v>0</v>
      </c>
      <c r="BS120" s="2444">
        <f>IF($B120&lt;=Factores!$D$3,"",BS28)</f>
        <v>0</v>
      </c>
      <c r="BT120" s="785">
        <f>IF($B120&lt;=Factores!$D$3,"",BT28)</f>
        <v>0</v>
      </c>
      <c r="BU120" s="785">
        <f>IF($B120&lt;=Factores!$D$3,"",BU28)</f>
        <v>0</v>
      </c>
      <c r="BV120" s="2445">
        <f>IF($B120&lt;=Factores!$D$3,"",BV28)</f>
        <v>0</v>
      </c>
      <c r="BW120" s="785">
        <f>IF($B120&lt;=Factores!$D$3,"",BW28)</f>
        <v>0</v>
      </c>
      <c r="BX120" s="785">
        <f>IF($B120&lt;=Factores!$D$3,"",BX28)</f>
        <v>0</v>
      </c>
      <c r="BY120" s="785">
        <f>IF($B120&lt;=Factores!$D$3,"",BY28)</f>
        <v>0</v>
      </c>
      <c r="BZ120" s="785">
        <f>IF($B120&lt;=Factores!$D$3,"",BZ28)</f>
        <v>0</v>
      </c>
      <c r="CA120" s="2446">
        <f>IF($B120&lt;=Factores!$D$3,"",CA28)</f>
        <v>0</v>
      </c>
      <c r="CB120" s="2446">
        <f>IF($B120&lt;=Factores!$D$3,"",CB28)</f>
        <v>0</v>
      </c>
      <c r="CC120" s="2446">
        <f>IF($B120&lt;=Factores!$D$3,"",CC28)</f>
        <v>0</v>
      </c>
      <c r="CD120" s="2443">
        <f>IF($B120&lt;=Factores!$D$3,"",CD28)</f>
        <v>0</v>
      </c>
      <c r="CE120" s="2446">
        <f>IF($B120&lt;=Factores!$D$3,"",CE28)</f>
        <v>0</v>
      </c>
      <c r="CF120" s="2446">
        <f>IF($B120&lt;=Factores!$D$3,"",CF28)</f>
        <v>0</v>
      </c>
      <c r="CG120" s="2446">
        <f>IF($B120&lt;=Factores!$D$3,"",CG28)</f>
        <v>0</v>
      </c>
      <c r="CH120" s="2444">
        <f>IF($B120&lt;=Factores!$D$3,"",CH28)</f>
        <v>0</v>
      </c>
      <c r="CI120" s="2446">
        <f>IF($B120&lt;=Factores!$D$3,"",CI28)</f>
        <v>0</v>
      </c>
      <c r="CJ120" s="2443">
        <f>IF($B120&lt;=Factores!$D$3,"",CJ28)</f>
        <v>0</v>
      </c>
      <c r="CK120" s="2446">
        <f>IF($B120&lt;=Factores!$D$3,"",CK28)</f>
        <v>0</v>
      </c>
      <c r="CL120" s="2446">
        <f>IF($B120&lt;=Factores!$D$3,"",CL28)</f>
        <v>0</v>
      </c>
      <c r="CM120" s="2443">
        <f>IF($B120&lt;=Factores!$D$3,"",CM28)</f>
        <v>0</v>
      </c>
      <c r="CN120" s="2444">
        <f>IF($B120&lt;=Factores!$D$3,"",CN28)</f>
        <v>0</v>
      </c>
      <c r="CO120" s="2446">
        <f>IF($B120&lt;=Factores!$D$3,"",CO28)</f>
        <v>0</v>
      </c>
      <c r="CP120" s="2447">
        <f>IF($B120&lt;=Factores!$D$3,"",CP28)</f>
        <v>0</v>
      </c>
      <c r="CQ120" s="744">
        <f>IF($B120&lt;=Factores!$D$3,"",CQ28)</f>
        <v>0</v>
      </c>
      <c r="CR120" s="744">
        <f>IF($B120&lt;=Factores!$D$3,"",CR28)</f>
        <v>0</v>
      </c>
      <c r="CS120" s="744">
        <f>IF($B120&lt;=Factores!$D$3,"",CS28)</f>
        <v>0</v>
      </c>
      <c r="CT120" s="744">
        <f>IF($B120&lt;=Factores!$D$3,"",CT28)</f>
        <v>0</v>
      </c>
      <c r="CU120" s="744">
        <f>IF($B120&lt;=Factores!$D$3,"",CU28)</f>
        <v>0</v>
      </c>
      <c r="CV120" s="744">
        <f>IF($B120&lt;=Factores!$D$3,"",CV28)</f>
        <v>0</v>
      </c>
      <c r="CW120" s="2449">
        <f>IF($B120&lt;=Factores!$D$3,"",CW28)</f>
        <v>78.744402937491117</v>
      </c>
      <c r="CX120" s="783">
        <f>IF($B120&lt;=Factores!$D$3,"",CX28)</f>
        <v>16543.703135686766</v>
      </c>
      <c r="CY120" s="744">
        <f>IF($B120&lt;=Factores!$D$3,"",CY28)</f>
        <v>0</v>
      </c>
      <c r="CZ120" s="744">
        <f>IF($B120&lt;=Factores!$D$3,"",CZ28)</f>
        <v>0</v>
      </c>
      <c r="DA120" s="744">
        <f>IF($B120&lt;=Factores!$D$3,"",DA28)</f>
        <v>23.533817526569337</v>
      </c>
      <c r="DB120" s="744">
        <f>IF($B120&lt;=Factores!$D$3,"",DB28)</f>
        <v>1</v>
      </c>
      <c r="DC120" s="744">
        <f>IF($B120&lt;=Factores!$D$3,"",DC28)</f>
        <v>89.785191129797255</v>
      </c>
    </row>
    <row r="121" spans="1:107" s="744" customFormat="1" ht="17.149999999999999" customHeight="1">
      <c r="A121" s="2450"/>
      <c r="B121" s="794">
        <f t="shared" si="60"/>
        <v>46103.791666666664</v>
      </c>
      <c r="C121" s="780">
        <f>IF($B121&lt;=Factores!$D$3,"",C29)</f>
        <v>240392</v>
      </c>
      <c r="D121" s="2432">
        <f>IF($B121&lt;=Factores!$D$3,"",D29)</f>
        <v>590750.24762543407</v>
      </c>
      <c r="E121" s="2432">
        <f>IF($B121&lt;=Factores!$D$3,"",E29)</f>
        <v>207633.99807777914</v>
      </c>
      <c r="F121" s="2432">
        <f>IF($B121&lt;=Factores!$D$3,"",F29)</f>
        <v>42241.024113783184</v>
      </c>
      <c r="G121" s="2432">
        <f>IF($B121&lt;=Factores!$D$3,"",G29)</f>
        <v>165392.97396399596</v>
      </c>
      <c r="H121" s="781">
        <f>IF($B121&lt;=Factores!$D$3,"",H29)</f>
        <v>98.057573027372243</v>
      </c>
      <c r="I121" s="781">
        <f>IF($B121&lt;=Factores!$D$3,"",I29)</f>
        <v>97.132597759803119</v>
      </c>
      <c r="J121" s="781">
        <f>IF($B121&lt;=Factores!$D$3,"",J29)</f>
        <v>97.88718333333334</v>
      </c>
      <c r="K121" s="781">
        <f>IF($B121&lt;=Factores!$D$3,"",K29)</f>
        <v>52.980890029738006</v>
      </c>
      <c r="L121" s="2066">
        <f>IF($B121&lt;=Factores!$D$3,"",L29)</f>
        <v>0.55330404655728971</v>
      </c>
      <c r="M121" s="781">
        <f>IF($B121&lt;=Factores!$D$3,"",M29)</f>
        <v>89.406958992464013</v>
      </c>
      <c r="N121" s="781">
        <f>IF($B121&lt;=Factores!$D$3,"",N29)</f>
        <v>23.645726239500451</v>
      </c>
      <c r="O121" s="780">
        <f>IF($B121&lt;=Factores!$D$3,"",O29)</f>
        <v>4343.9116057068795</v>
      </c>
      <c r="P121" s="539">
        <f>IF($B121&lt;=Factores!$D$3,"",P29)</f>
        <v>68734.164557156371</v>
      </c>
      <c r="Q121" s="780">
        <f>IF($B121&lt;=Factores!$D$3,"",Q29)</f>
        <v>1027.149446371337</v>
      </c>
      <c r="R121" s="782">
        <f>IF($B121&lt;=Factores!$D$3,"",R29)</f>
        <v>17868.387589322439</v>
      </c>
      <c r="S121" s="780">
        <f>IF($B121&lt;=Factores!$D$3,"",S29)</f>
        <v>147.0968321741156</v>
      </c>
      <c r="T121" s="781">
        <f>IF($B121&lt;=Factores!$D$3,"",T29)</f>
        <v>89.4612626965435</v>
      </c>
      <c r="U121" s="781">
        <f>IF($B121&lt;=Factores!$D$3,"",U29)</f>
        <v>88.495258391500073</v>
      </c>
      <c r="V121" s="781">
        <f>IF($B121&lt;=Factores!$D$3,"",V29)</f>
        <v>79.168975583604833</v>
      </c>
      <c r="W121" s="781">
        <f>IF($B121&lt;=Factores!$D$3,"",W29)</f>
        <v>50</v>
      </c>
      <c r="X121" s="780">
        <f>IF($B121&lt;=Factores!$D$3,"",X29)</f>
        <v>48.360057393570472</v>
      </c>
      <c r="Y121" s="539">
        <f>IF($B121&lt;=Factores!$D$3,"",Y29)</f>
        <v>1971.16552727167</v>
      </c>
      <c r="Z121" s="539">
        <f>IF($B121&lt;=Factores!$D$3,"",Z29)</f>
        <v>50</v>
      </c>
      <c r="AA121" s="780">
        <f>IF($B121&lt;=Factores!$D$3,"",AA29)</f>
        <v>24.180028696785236</v>
      </c>
      <c r="AB121" s="782">
        <f>IF($B121&lt;=Factores!$D$3,"",AB29)</f>
        <v>630.17174184430166</v>
      </c>
      <c r="AC121" s="780">
        <f>IF($B121&lt;=Factores!$D$3,"",AC29)</f>
        <v>25</v>
      </c>
      <c r="AD121" s="539">
        <f>IF($B121&lt;=Factores!$D$3,"",AD29)</f>
        <v>760.49373559192611</v>
      </c>
      <c r="AE121" s="782">
        <f>IF($B121&lt;=Factores!$D$3,"",AE29)</f>
        <v>241.33645096788445</v>
      </c>
      <c r="AF121" s="780">
        <f>IF($B121&lt;=Factores!$D$3,"",AF29)</f>
        <v>1097.2473495633174</v>
      </c>
      <c r="AG121" s="539">
        <f>IF($B121&lt;=Factores!$D$3,"",AG29)</f>
        <v>19695.255468929066</v>
      </c>
      <c r="AH121" s="2072">
        <f>IF($B121&lt;=Factores!$D$3,"",AH29)</f>
        <v>1060.2303924092262</v>
      </c>
      <c r="AI121" s="2451">
        <f>IF($B121&lt;=Factores!$D$3,"",AI29)</f>
        <v>19383.036843711776</v>
      </c>
      <c r="AJ121" s="2439">
        <f>IF($B121&lt;=Factores!$D$3,"",AJ29)</f>
        <v>3720</v>
      </c>
      <c r="AK121" s="2452">
        <f>IF($B121&lt;=Factores!$D$3,"",AK29)</f>
        <v>23.645726239500451</v>
      </c>
      <c r="AL121" s="2453">
        <f>IF($B121&lt;=Factores!$D$3,"",AL29)</f>
        <v>879.62101610941681</v>
      </c>
      <c r="AM121" s="2439">
        <f>IF($B121&lt;=Factores!$D$3,"",AM29)</f>
        <v>3720</v>
      </c>
      <c r="AN121" s="2452">
        <f>IF($B121&lt;=Factores!$D$3,"",AN29)</f>
        <v>27.191767251601942</v>
      </c>
      <c r="AO121" s="2453">
        <f>IF($B121&lt;=Factores!$D$3,"",AO29)</f>
        <v>1011.5337417595922</v>
      </c>
      <c r="AP121" s="783">
        <f>IF($B121&lt;=Factores!$D$3,"",AP29)</f>
        <v>2999.8747991020973</v>
      </c>
      <c r="AQ121" s="783">
        <f>IF($B121&lt;=Factores!$D$3,"",AQ29)</f>
        <v>971.07239208920851</v>
      </c>
      <c r="AR121" s="783">
        <f>IF($B121&lt;=Factores!$D$3,"",AR29)</f>
        <v>8984.0673337561166</v>
      </c>
      <c r="AS121" s="2632">
        <f>IF($B121&lt;=Factores!$D$3,"",AS29)</f>
        <v>210033.99807777911</v>
      </c>
      <c r="AT121" s="784"/>
      <c r="AU121" s="2076"/>
      <c r="AV121" s="2438">
        <f>IF($B121&lt;=Factores!$D$3,"",AV29)</f>
        <v>46103.791666666664</v>
      </c>
      <c r="AW121" s="2439">
        <f>IF($B121&lt;=Factores!$D$3,"",AW29)</f>
        <v>81.114557259309791</v>
      </c>
      <c r="AX121" s="783">
        <f>IF($B121&lt;=Factores!$D$3,"",AX29)</f>
        <v>0</v>
      </c>
      <c r="AY121" s="783">
        <f>IF($B121&lt;=Factores!$D$3,"",AY29)</f>
        <v>0</v>
      </c>
      <c r="AZ121" s="783">
        <f>IF($B121&lt;=Factores!$D$3,"",AZ29)</f>
        <v>0</v>
      </c>
      <c r="BA121" s="2432">
        <f>IF($B121&lt;=Factores!$D$3,"",BA29)</f>
        <v>27.923885320642949</v>
      </c>
      <c r="BB121" s="782">
        <f>IF($B121&lt;=Factores!$D$3,"",BB29)</f>
        <v>1256.5748394289326</v>
      </c>
      <c r="BC121" s="2078">
        <f>IF($B121&lt;=Factores!$D$3,"",BC29)</f>
        <v>0.9123145242770142</v>
      </c>
      <c r="BD121" s="2078">
        <f>IF($B121&lt;=Factores!$D$3,"",BD29)</f>
        <v>4.165449051016898</v>
      </c>
      <c r="BE121" s="2449">
        <f>IF($B121&lt;=Factores!$D$3,"",BE29)</f>
        <v>39.31624955139938</v>
      </c>
      <c r="BF121" s="780">
        <f>IF($B121&lt;=Factores!$D$3,"",BF29)</f>
        <v>7027.8854579062527</v>
      </c>
      <c r="BG121" s="780">
        <f>IF($B121&lt;=Factores!$D$3,"",BG29)</f>
        <v>1812</v>
      </c>
      <c r="BH121" s="780">
        <f>IF($B121&lt;=Factores!$D$3,"",BH29)</f>
        <v>8838.1505034358051</v>
      </c>
      <c r="BI121" s="780">
        <f>IF($B121&lt;=Factores!$D$3,"",BI29)</f>
        <v>0</v>
      </c>
      <c r="BJ121" s="539">
        <f>IF($B121&lt;=Factores!$D$3,"",BJ29)</f>
        <v>0</v>
      </c>
      <c r="BK121" s="539">
        <f>IF($B121&lt;=Factores!$D$3,"",BK29)</f>
        <v>0</v>
      </c>
      <c r="BL121" s="781">
        <f>IF($B121&lt;=Factores!$D$3,"",BL29)</f>
        <v>98.057573027372243</v>
      </c>
      <c r="BM121" s="539">
        <f>IF($B121&lt;=Factores!$D$3,"",BM29)</f>
        <v>0</v>
      </c>
      <c r="BN121" s="539">
        <f>IF($B121&lt;=Factores!$D$3,"",BN29)</f>
        <v>0</v>
      </c>
      <c r="BO121" s="539">
        <f>IF($B121&lt;=Factores!$D$3,"",BO29)</f>
        <v>0</v>
      </c>
      <c r="BP121" s="2441">
        <f>IF($B121&lt;=Factores!$D$3,"",BP29)</f>
        <v>0</v>
      </c>
      <c r="BQ121" s="2442">
        <f>IF($B121&lt;=Factores!$D$3,"",BQ29)</f>
        <v>0</v>
      </c>
      <c r="BR121" s="2443">
        <f>IF($B121&lt;=Factores!$D$3,"",BR29)</f>
        <v>0</v>
      </c>
      <c r="BS121" s="2444">
        <f>IF($B121&lt;=Factores!$D$3,"",BS29)</f>
        <v>0</v>
      </c>
      <c r="BT121" s="785">
        <f>IF($B121&lt;=Factores!$D$3,"",BT29)</f>
        <v>0</v>
      </c>
      <c r="BU121" s="785">
        <f>IF($B121&lt;=Factores!$D$3,"",BU29)</f>
        <v>0</v>
      </c>
      <c r="BV121" s="2445">
        <f>IF($B121&lt;=Factores!$D$3,"",BV29)</f>
        <v>0</v>
      </c>
      <c r="BW121" s="785">
        <f>IF($B121&lt;=Factores!$D$3,"",BW29)</f>
        <v>0</v>
      </c>
      <c r="BX121" s="785">
        <f>IF($B121&lt;=Factores!$D$3,"",BX29)</f>
        <v>0</v>
      </c>
      <c r="BY121" s="785">
        <f>IF($B121&lt;=Factores!$D$3,"",BY29)</f>
        <v>0</v>
      </c>
      <c r="BZ121" s="785">
        <f>IF($B121&lt;=Factores!$D$3,"",BZ29)</f>
        <v>0</v>
      </c>
      <c r="CA121" s="2446">
        <f>IF($B121&lt;=Factores!$D$3,"",CA29)</f>
        <v>0</v>
      </c>
      <c r="CB121" s="2446">
        <f>IF($B121&lt;=Factores!$D$3,"",CB29)</f>
        <v>0</v>
      </c>
      <c r="CC121" s="2446">
        <f>IF($B121&lt;=Factores!$D$3,"",CC29)</f>
        <v>0</v>
      </c>
      <c r="CD121" s="2443">
        <f>IF($B121&lt;=Factores!$D$3,"",CD29)</f>
        <v>0</v>
      </c>
      <c r="CE121" s="2446">
        <f>IF($B121&lt;=Factores!$D$3,"",CE29)</f>
        <v>0</v>
      </c>
      <c r="CF121" s="2446">
        <f>IF($B121&lt;=Factores!$D$3,"",CF29)</f>
        <v>0</v>
      </c>
      <c r="CG121" s="2446">
        <f>IF($B121&lt;=Factores!$D$3,"",CG29)</f>
        <v>0</v>
      </c>
      <c r="CH121" s="2444">
        <f>IF($B121&lt;=Factores!$D$3,"",CH29)</f>
        <v>0</v>
      </c>
      <c r="CI121" s="2446">
        <f>IF($B121&lt;=Factores!$D$3,"",CI29)</f>
        <v>0</v>
      </c>
      <c r="CJ121" s="2443">
        <f>IF($B121&lt;=Factores!$D$3,"",CJ29)</f>
        <v>0</v>
      </c>
      <c r="CK121" s="2446">
        <f>IF($B121&lt;=Factores!$D$3,"",CK29)</f>
        <v>0</v>
      </c>
      <c r="CL121" s="2446">
        <f>IF($B121&lt;=Factores!$D$3,"",CL29)</f>
        <v>0</v>
      </c>
      <c r="CM121" s="2443">
        <f>IF($B121&lt;=Factores!$D$3,"",CM29)</f>
        <v>0</v>
      </c>
      <c r="CN121" s="2444">
        <f>IF($B121&lt;=Factores!$D$3,"",CN29)</f>
        <v>0</v>
      </c>
      <c r="CO121" s="2446">
        <f>IF($B121&lt;=Factores!$D$3,"",CO29)</f>
        <v>0</v>
      </c>
      <c r="CP121" s="2447">
        <f>IF($B121&lt;=Factores!$D$3,"",CP29)</f>
        <v>0</v>
      </c>
      <c r="CQ121" s="744">
        <f>IF($B121&lt;=Factores!$D$3,"",CQ29)</f>
        <v>0</v>
      </c>
      <c r="CR121" s="744">
        <f>IF($B121&lt;=Factores!$D$3,"",CR29)</f>
        <v>0</v>
      </c>
      <c r="CS121" s="744">
        <f>IF($B121&lt;=Factores!$D$3,"",CS29)</f>
        <v>0</v>
      </c>
      <c r="CT121" s="744">
        <f>IF($B121&lt;=Factores!$D$3,"",CT29)</f>
        <v>0</v>
      </c>
      <c r="CU121" s="744">
        <f>IF($B121&lt;=Factores!$D$3,"",CU29)</f>
        <v>0</v>
      </c>
      <c r="CV121" s="744">
        <f>IF($B121&lt;=Factores!$D$3,"",CV29)</f>
        <v>0</v>
      </c>
      <c r="CW121" s="2449">
        <f>IF($B121&lt;=Factores!$D$3,"",CW29)</f>
        <v>52.980890029738006</v>
      </c>
      <c r="CX121" s="783">
        <f>IF($B121&lt;=Factores!$D$3,"",CX29)</f>
        <v>17555.236877446358</v>
      </c>
      <c r="CY121" s="744">
        <f>IF($B121&lt;=Factores!$D$3,"",CY29)</f>
        <v>0</v>
      </c>
      <c r="CZ121" s="744">
        <f>IF($B121&lt;=Factores!$D$3,"",CZ29)</f>
        <v>0</v>
      </c>
      <c r="DA121" s="744">
        <f>IF($B121&lt;=Factores!$D$3,"",DA29)</f>
        <v>23.533817526569337</v>
      </c>
      <c r="DB121" s="744">
        <f>IF($B121&lt;=Factores!$D$3,"",DB29)</f>
        <v>1</v>
      </c>
      <c r="DC121" s="744">
        <f>IF($B121&lt;=Factores!$D$3,"",DC29)</f>
        <v>81.114557259309791</v>
      </c>
    </row>
    <row r="122" spans="1:107" s="744" customFormat="1" ht="17.149999999999999" customHeight="1">
      <c r="A122" s="2450"/>
      <c r="B122" s="794">
        <f t="shared" si="60"/>
        <v>46104.791666666664</v>
      </c>
      <c r="C122" s="780">
        <f>IF($B122&lt;=Factores!$D$3,"",C30)</f>
        <v>239552.08000000002</v>
      </c>
      <c r="D122" s="2432">
        <f>IF($B122&lt;=Factores!$D$3,"",D30)</f>
        <v>632934.62686944054</v>
      </c>
      <c r="E122" s="2432">
        <f>IF($B122&lt;=Factores!$D$3,"",E30)</f>
        <v>197367.70075599366</v>
      </c>
      <c r="F122" s="2432">
        <f>IF($B122&lt;=Factores!$D$3,"",F30)</f>
        <v>41305.635125511217</v>
      </c>
      <c r="G122" s="2432">
        <f>IF($B122&lt;=Factores!$D$3,"",G30)</f>
        <v>156062.06563048245</v>
      </c>
      <c r="H122" s="781">
        <f>IF($B122&lt;=Factores!$D$3,"",H30)</f>
        <v>94.157059414800372</v>
      </c>
      <c r="I122" s="781">
        <f>IF($B122&lt;=Factores!$D$3,"",I30)</f>
        <v>97.132597759803119</v>
      </c>
      <c r="J122" s="781">
        <f>IF($B122&lt;=Factores!$D$3,"",J30)</f>
        <v>94.705183333333338</v>
      </c>
      <c r="K122" s="781">
        <f>IF($B122&lt;=Factores!$D$3,"",K30)</f>
        <v>56.633229817916828</v>
      </c>
      <c r="L122" s="2066">
        <f>IF($B122&lt;=Factores!$D$3,"",L30)</f>
        <v>0.52512631140585386</v>
      </c>
      <c r="M122" s="781">
        <f>IF($B122&lt;=Factores!$D$3,"",M30)</f>
        <v>89.808703657913071</v>
      </c>
      <c r="N122" s="781">
        <f>IF($B122&lt;=Factores!$D$3,"",N30)</f>
        <v>22.937398694023585</v>
      </c>
      <c r="O122" s="780">
        <f>IF($B122&lt;=Factores!$D$3,"",O30)</f>
        <v>4058.0194574746279</v>
      </c>
      <c r="P122" s="539">
        <f>IF($B122&lt;=Factores!$D$3,"",P30)</f>
        <v>72792.184014630999</v>
      </c>
      <c r="Q122" s="780">
        <f>IF($B122&lt;=Factores!$D$3,"",Q30)</f>
        <v>930.80410204200825</v>
      </c>
      <c r="R122" s="782">
        <f>IF($B122&lt;=Factores!$D$3,"",R30)</f>
        <v>18799.191691364449</v>
      </c>
      <c r="S122" s="780">
        <f>IF($B122&lt;=Factores!$D$3,"",S30)</f>
        <v>120.76178708195729</v>
      </c>
      <c r="T122" s="781">
        <f>IF($B122&lt;=Factores!$D$3,"",T30)</f>
        <v>88.769570727130684</v>
      </c>
      <c r="U122" s="781">
        <f>IF($B122&lt;=Factores!$D$3,"",U30)</f>
        <v>87.936329932173336</v>
      </c>
      <c r="V122" s="781">
        <f>IF($B122&lt;=Factores!$D$3,"",V30)</f>
        <v>78.060702593983592</v>
      </c>
      <c r="W122" s="781">
        <f>IF($B122&lt;=Factores!$D$3,"",W30)</f>
        <v>50</v>
      </c>
      <c r="X122" s="780">
        <f>IF($B122&lt;=Factores!$D$3,"",X30)</f>
        <v>37.210719249358242</v>
      </c>
      <c r="Y122" s="539">
        <f>IF($B122&lt;=Factores!$D$3,"",Y30)</f>
        <v>2008.3762465210282</v>
      </c>
      <c r="Z122" s="539">
        <f>IF($B122&lt;=Factores!$D$3,"",Z30)</f>
        <v>50</v>
      </c>
      <c r="AA122" s="780">
        <f>IF($B122&lt;=Factores!$D$3,"",AA30)</f>
        <v>18.605359624679121</v>
      </c>
      <c r="AB122" s="782">
        <f>IF($B122&lt;=Factores!$D$3,"",AB30)</f>
        <v>648.77710146898073</v>
      </c>
      <c r="AC122" s="780">
        <f>IF($B122&lt;=Factores!$D$3,"",AC30)</f>
        <v>25</v>
      </c>
      <c r="AD122" s="539">
        <f>IF($B122&lt;=Factores!$D$3,"",AD30)</f>
        <v>785.49373559192611</v>
      </c>
      <c r="AE122" s="782">
        <f>IF($B122&lt;=Factores!$D$3,"",AE30)</f>
        <v>234.94181059256357</v>
      </c>
      <c r="AF122" s="780">
        <f>IF($B122&lt;=Factores!$D$3,"",AF30)</f>
        <v>984.74103959395302</v>
      </c>
      <c r="AG122" s="539">
        <f>IF($B122&lt;=Factores!$D$3,"",AG30)</f>
        <v>20679.996508523018</v>
      </c>
      <c r="AH122" s="2072">
        <f>IF($B122&lt;=Factores!$D$3,"",AH30)</f>
        <v>967.54617116441193</v>
      </c>
      <c r="AI122" s="2451">
        <f>IF($B122&lt;=Factores!$D$3,"",AI30)</f>
        <v>20350.583014876189</v>
      </c>
      <c r="AJ122" s="2439">
        <f>IF($B122&lt;=Factores!$D$3,"",AJ30)</f>
        <v>3720</v>
      </c>
      <c r="AK122" s="2452">
        <f>IF($B122&lt;=Factores!$D$3,"",AK30)</f>
        <v>22.937398694023585</v>
      </c>
      <c r="AL122" s="2453">
        <f>IF($B122&lt;=Factores!$D$3,"",AL30)</f>
        <v>853.27123141767731</v>
      </c>
      <c r="AM122" s="2439">
        <f>IF($B122&lt;=Factores!$D$3,"",AM30)</f>
        <v>3720</v>
      </c>
      <c r="AN122" s="2452">
        <f>IF($B122&lt;=Factores!$D$3,"",AN30)</f>
        <v>23.645726239500451</v>
      </c>
      <c r="AO122" s="2453">
        <f>IF($B122&lt;=Factores!$D$3,"",AO30)</f>
        <v>879.62101610941681</v>
      </c>
      <c r="AP122" s="783">
        <f>IF($B122&lt;=Factores!$D$3,"",AP30)</f>
        <v>3051.0578850346888</v>
      </c>
      <c r="AQ122" s="783">
        <f>IF($B122&lt;=Factores!$D$3,"",AQ30)</f>
        <v>844.43617546504015</v>
      </c>
      <c r="AR122" s="783">
        <f>IF($B122&lt;=Factores!$D$3,"",AR30)</f>
        <v>9322.086791230744</v>
      </c>
      <c r="AS122" s="2632">
        <f>IF($B122&lt;=Factores!$D$3,"",AS30)</f>
        <v>198567.70075599363</v>
      </c>
      <c r="AT122" s="784"/>
      <c r="AU122" s="2076"/>
      <c r="AV122" s="2438">
        <f>IF($B122&lt;=Factores!$D$3,"",AV30)</f>
        <v>46104.791666666664</v>
      </c>
      <c r="AW122" s="2439">
        <f>IF($B122&lt;=Factores!$D$3,"",AW30)</f>
        <v>84.076870053142514</v>
      </c>
      <c r="AX122" s="783">
        <f>IF($B122&lt;=Factores!$D$3,"",AX30)</f>
        <v>0</v>
      </c>
      <c r="AY122" s="783">
        <f>IF($B122&lt;=Factores!$D$3,"",AY30)</f>
        <v>0</v>
      </c>
      <c r="AZ122" s="783">
        <f>IF($B122&lt;=Factores!$D$3,"",AZ30)</f>
        <v>0</v>
      </c>
      <c r="BA122" s="2432">
        <f>IF($B122&lt;=Factores!$D$3,"",BA30)</f>
        <v>24.100598082888698</v>
      </c>
      <c r="BB122" s="782">
        <f>IF($B122&lt;=Factores!$D$3,"",BB30)</f>
        <v>1084.5269137299915</v>
      </c>
      <c r="BC122" s="2078">
        <f>IF($B122&lt;=Factores!$D$3,"",BC30)</f>
        <v>0.78303007613208775</v>
      </c>
      <c r="BD122" s="2078">
        <f>IF($B122&lt;=Factores!$D$3,"",BD30)</f>
        <v>4.2767305199496732</v>
      </c>
      <c r="BE122" s="2449">
        <f>IF($B122&lt;=Factores!$D$3,"",BE30)</f>
        <v>38.559717584585364</v>
      </c>
      <c r="BF122" s="780">
        <f>IF($B122&lt;=Factores!$D$3,"",BF30)</f>
        <v>6906.105722025809</v>
      </c>
      <c r="BG122" s="780">
        <f>IF($B122&lt;=Factores!$D$3,"",BG30)</f>
        <v>1771.8749111247103</v>
      </c>
      <c r="BH122" s="780">
        <f>IF($B122&lt;=Factores!$D$3,"",BH30)</f>
        <v>8683.4256676550121</v>
      </c>
      <c r="BI122" s="780">
        <f>IF($B122&lt;=Factores!$D$3,"",BI30)</f>
        <v>0</v>
      </c>
      <c r="BJ122" s="539">
        <f>IF($B122&lt;=Factores!$D$3,"",BJ30)</f>
        <v>0</v>
      </c>
      <c r="BK122" s="539">
        <f>IF($B122&lt;=Factores!$D$3,"",BK30)</f>
        <v>0</v>
      </c>
      <c r="BL122" s="781">
        <f>IF($B122&lt;=Factores!$D$3,"",BL30)</f>
        <v>94.157059414800372</v>
      </c>
      <c r="BM122" s="539">
        <f>IF($B122&lt;=Factores!$D$3,"",BM30)</f>
        <v>0</v>
      </c>
      <c r="BN122" s="539">
        <f>IF($B122&lt;=Factores!$D$3,"",BN30)</f>
        <v>0</v>
      </c>
      <c r="BO122" s="539">
        <f>IF($B122&lt;=Factores!$D$3,"",BO30)</f>
        <v>0</v>
      </c>
      <c r="BP122" s="2441">
        <f>IF($B122&lt;=Factores!$D$3,"",BP30)</f>
        <v>0</v>
      </c>
      <c r="BQ122" s="2442">
        <f>IF($B122&lt;=Factores!$D$3,"",BQ30)</f>
        <v>0</v>
      </c>
      <c r="BR122" s="2443">
        <f>IF($B122&lt;=Factores!$D$3,"",BR30)</f>
        <v>0</v>
      </c>
      <c r="BS122" s="2444">
        <f>IF($B122&lt;=Factores!$D$3,"",BS30)</f>
        <v>0</v>
      </c>
      <c r="BT122" s="785">
        <f>IF($B122&lt;=Factores!$D$3,"",BT30)</f>
        <v>0</v>
      </c>
      <c r="BU122" s="785">
        <f>IF($B122&lt;=Factores!$D$3,"",BU30)</f>
        <v>0</v>
      </c>
      <c r="BV122" s="2445">
        <f>IF($B122&lt;=Factores!$D$3,"",BV30)</f>
        <v>0</v>
      </c>
      <c r="BW122" s="785">
        <f>IF($B122&lt;=Factores!$D$3,"",BW30)</f>
        <v>0</v>
      </c>
      <c r="BX122" s="785">
        <f>IF($B122&lt;=Factores!$D$3,"",BX30)</f>
        <v>0</v>
      </c>
      <c r="BY122" s="785">
        <f>IF($B122&lt;=Factores!$D$3,"",BY30)</f>
        <v>0</v>
      </c>
      <c r="BZ122" s="785">
        <f>IF($B122&lt;=Factores!$D$3,"",BZ30)</f>
        <v>0</v>
      </c>
      <c r="CA122" s="2446">
        <f>IF($B122&lt;=Factores!$D$3,"",CA30)</f>
        <v>0</v>
      </c>
      <c r="CB122" s="2446">
        <f>IF($B122&lt;=Factores!$D$3,"",CB30)</f>
        <v>0</v>
      </c>
      <c r="CC122" s="2446">
        <f>IF($B122&lt;=Factores!$D$3,"",CC30)</f>
        <v>0</v>
      </c>
      <c r="CD122" s="2443">
        <f>IF($B122&lt;=Factores!$D$3,"",CD30)</f>
        <v>0</v>
      </c>
      <c r="CE122" s="2446">
        <f>IF($B122&lt;=Factores!$D$3,"",CE30)</f>
        <v>0</v>
      </c>
      <c r="CF122" s="2446">
        <f>IF($B122&lt;=Factores!$D$3,"",CF30)</f>
        <v>0</v>
      </c>
      <c r="CG122" s="2446">
        <f>IF($B122&lt;=Factores!$D$3,"",CG30)</f>
        <v>0</v>
      </c>
      <c r="CH122" s="2444">
        <f>IF($B122&lt;=Factores!$D$3,"",CH30)</f>
        <v>0</v>
      </c>
      <c r="CI122" s="2446">
        <f>IF($B122&lt;=Factores!$D$3,"",CI30)</f>
        <v>0</v>
      </c>
      <c r="CJ122" s="2443">
        <f>IF($B122&lt;=Factores!$D$3,"",CJ30)</f>
        <v>0</v>
      </c>
      <c r="CK122" s="2446">
        <f>IF($B122&lt;=Factores!$D$3,"",CK30)</f>
        <v>0</v>
      </c>
      <c r="CL122" s="2446">
        <f>IF($B122&lt;=Factores!$D$3,"",CL30)</f>
        <v>0</v>
      </c>
      <c r="CM122" s="2443">
        <f>IF($B122&lt;=Factores!$D$3,"",CM30)</f>
        <v>0</v>
      </c>
      <c r="CN122" s="2444">
        <f>IF($B122&lt;=Factores!$D$3,"",CN30)</f>
        <v>0</v>
      </c>
      <c r="CO122" s="2446">
        <f>IF($B122&lt;=Factores!$D$3,"",CO30)</f>
        <v>0</v>
      </c>
      <c r="CP122" s="2447">
        <f>IF($B122&lt;=Factores!$D$3,"",CP30)</f>
        <v>0</v>
      </c>
      <c r="CQ122" s="744">
        <f>IF($B122&lt;=Factores!$D$3,"",CQ30)</f>
        <v>0</v>
      </c>
      <c r="CR122" s="744">
        <f>IF($B122&lt;=Factores!$D$3,"",CR30)</f>
        <v>0</v>
      </c>
      <c r="CS122" s="744">
        <f>IF($B122&lt;=Factores!$D$3,"",CS30)</f>
        <v>0</v>
      </c>
      <c r="CT122" s="744">
        <f>IF($B122&lt;=Factores!$D$3,"",CT30)</f>
        <v>0</v>
      </c>
      <c r="CU122" s="744">
        <f>IF($B122&lt;=Factores!$D$3,"",CU30)</f>
        <v>0</v>
      </c>
      <c r="CV122" s="744">
        <f>IF($B122&lt;=Factores!$D$3,"",CV30)</f>
        <v>0</v>
      </c>
      <c r="CW122" s="2449">
        <f>IF($B122&lt;=Factores!$D$3,"",CW30)</f>
        <v>56.633229817916828</v>
      </c>
      <c r="CX122" s="783">
        <f>IF($B122&lt;=Factores!$D$3,"",CX30)</f>
        <v>18434.857893555774</v>
      </c>
      <c r="CY122" s="744">
        <f>IF($B122&lt;=Factores!$D$3,"",CY30)</f>
        <v>0</v>
      </c>
      <c r="CZ122" s="744">
        <f>IF($B122&lt;=Factores!$D$3,"",CZ30)</f>
        <v>0</v>
      </c>
      <c r="DA122" s="744">
        <f>IF($B122&lt;=Factores!$D$3,"",DA30)</f>
        <v>22.597694259552089</v>
      </c>
      <c r="DB122" s="744">
        <f>IF($B122&lt;=Factores!$D$3,"",DB30)</f>
        <v>1</v>
      </c>
      <c r="DC122" s="744">
        <f>IF($B122&lt;=Factores!$D$3,"",DC30)</f>
        <v>84.076870053142514</v>
      </c>
    </row>
    <row r="123" spans="1:107" s="744" customFormat="1" ht="17.25" customHeight="1">
      <c r="A123" s="2450"/>
      <c r="B123" s="794">
        <f t="shared" si="60"/>
        <v>46105.791666666664</v>
      </c>
      <c r="C123" s="780">
        <f>IF($B123&lt;=Factores!$D$3,"",C31)</f>
        <v>179569.56</v>
      </c>
      <c r="D123" s="2432">
        <f>IF($B123&lt;=Factores!$D$3,"",D31)</f>
        <v>612135.79909895593</v>
      </c>
      <c r="E123" s="2432">
        <f>IF($B123&lt;=Factores!$D$3,"",E31)</f>
        <v>200368.38777048467</v>
      </c>
      <c r="F123" s="2432">
        <f>IF($B123&lt;=Factores!$D$3,"",F31)</f>
        <v>40605.120557599002</v>
      </c>
      <c r="G123" s="2432">
        <f>IF($B123&lt;=Factores!$D$3,"",G31)</f>
        <v>159763.26721288566</v>
      </c>
      <c r="H123" s="781">
        <f>IF($B123&lt;=Factores!$D$3,"",H31)</f>
        <v>98.057573027372243</v>
      </c>
      <c r="I123" s="781">
        <f>IF($B123&lt;=Factores!$D$3,"",I31)</f>
        <v>97.132597759803119</v>
      </c>
      <c r="J123" s="2067">
        <f>IF($B123&lt;=Factores!$D$3,"",J31)</f>
        <v>97.88718333333334</v>
      </c>
      <c r="K123" s="781">
        <f>IF($B123&lt;=Factores!$D$3,"",K31)</f>
        <v>68.075881012349754</v>
      </c>
      <c r="L123" s="2066">
        <f>IF($B123&lt;=Factores!$D$3,"",L31)</f>
        <v>0.50473815027446745</v>
      </c>
      <c r="M123" s="781">
        <f>IF($B123&lt;=Factores!$D$3,"",M31)</f>
        <v>90.300288436071995</v>
      </c>
      <c r="N123" s="781">
        <f>IF($B123&lt;=Factores!$D$3,"",N31)</f>
        <v>24.166962778076822</v>
      </c>
      <c r="O123" s="780">
        <f>IF($B123&lt;=Factores!$D$3,"",O31)</f>
        <v>3778.8739001934809</v>
      </c>
      <c r="P123" s="539">
        <f>IF($B123&lt;=Factores!$D$3,"",P31)</f>
        <v>76571.057914824487</v>
      </c>
      <c r="Q123" s="780">
        <f>IF($B123&lt;=Factores!$D$3,"",Q31)</f>
        <v>913.23904889021844</v>
      </c>
      <c r="R123" s="782">
        <f>IF($B123&lt;=Factores!$D$3,"",R31)</f>
        <v>19712.430740254669</v>
      </c>
      <c r="S123" s="780">
        <f>IF($B123&lt;=Factores!$D$3,"",S31)</f>
        <v>118.87148244947528</v>
      </c>
      <c r="T123" s="781">
        <f>IF($B123&lt;=Factores!$D$3,"",T31)</f>
        <v>88.714251925800397</v>
      </c>
      <c r="U123" s="781">
        <f>IF($B123&lt;=Factores!$D$3,"",U31)</f>
        <v>87.891629033844865</v>
      </c>
      <c r="V123" s="781">
        <f>IF($B123&lt;=Factores!$D$3,"",V31)</f>
        <v>77.97240120277506</v>
      </c>
      <c r="W123" s="781">
        <f>IF($B123&lt;=Factores!$D$3,"",W31)</f>
        <v>50</v>
      </c>
      <c r="X123" s="780">
        <f>IF($B123&lt;=Factores!$D$3,"",X31)</f>
        <v>37.143069161622357</v>
      </c>
      <c r="Y123" s="539">
        <f>IF($B123&lt;=Factores!$D$3,"",Y31)</f>
        <v>2045.5193156826506</v>
      </c>
      <c r="Z123" s="539">
        <f>IF($B123&lt;=Factores!$D$3,"",Z31)</f>
        <v>50</v>
      </c>
      <c r="AA123" s="780">
        <f>IF($B123&lt;=Factores!$D$3,"",AA31)</f>
        <v>18.571534580811178</v>
      </c>
      <c r="AB123" s="782">
        <f>IF($B123&lt;=Factores!$D$3,"",AB31)</f>
        <v>667.34863604979193</v>
      </c>
      <c r="AC123" s="780">
        <f>IF($B123&lt;=Factores!$D$3,"",AC31)</f>
        <v>25</v>
      </c>
      <c r="AD123" s="539">
        <f>IF($B123&lt;=Factores!$D$3,"",AD31)</f>
        <v>810.49373559192611</v>
      </c>
      <c r="AE123" s="782">
        <f>IF($B123&lt;=Factores!$D$3,"",AE31)</f>
        <v>228.51334517337474</v>
      </c>
      <c r="AF123" s="780">
        <f>IF($B123&lt;=Factores!$D$3,"",AF31)</f>
        <v>967.07792763999009</v>
      </c>
      <c r="AG123" s="539">
        <f>IF($B123&lt;=Factores!$D$3,"",AG31)</f>
        <v>21647.07443616301</v>
      </c>
      <c r="AH123" s="2072">
        <f>IF($B123&lt;=Factores!$D$3,"",AH31)</f>
        <v>950.64859003239008</v>
      </c>
      <c r="AI123" s="2451">
        <f>IF($B123&lt;=Factores!$D$3,"",AI31)</f>
        <v>21301.231604908578</v>
      </c>
      <c r="AJ123" s="2439">
        <f>IF($B123&lt;=Factores!$D$3,"",AJ31)</f>
        <v>3720</v>
      </c>
      <c r="AK123" s="2452">
        <f>IF($B123&lt;=Factores!$D$3,"",AK31)</f>
        <v>24.166962778076822</v>
      </c>
      <c r="AL123" s="2453">
        <f>IF($B123&lt;=Factores!$D$3,"",AL31)</f>
        <v>899.01101534445786</v>
      </c>
      <c r="AM123" s="2439">
        <f>IF($B123&lt;=Factores!$D$3,"",AM31)</f>
        <v>3720</v>
      </c>
      <c r="AN123" s="2452">
        <f>IF($B123&lt;=Factores!$D$3,"",AN31)</f>
        <v>22.937398694023585</v>
      </c>
      <c r="AO123" s="2453">
        <f>IF($B123&lt;=Factores!$D$3,"",AO31)</f>
        <v>853.27123141767731</v>
      </c>
      <c r="AP123" s="783">
        <f>IF($B123&lt;=Factores!$D$3,"",AP31)</f>
        <v>3111.0257025072297</v>
      </c>
      <c r="AQ123" s="783">
        <f>IF($B123&lt;=Factores!$D$3,"",AQ31)</f>
        <v>819.14038216097015</v>
      </c>
      <c r="AR123" s="783">
        <f>IF($B123&lt;=Factores!$D$3,"",AR31)</f>
        <v>9380.9606914242249</v>
      </c>
      <c r="AS123" s="2632">
        <f>IF($B123&lt;=Factores!$D$3,"",AS31)</f>
        <v>200368.38777048467</v>
      </c>
      <c r="AT123" s="784"/>
      <c r="AU123" s="2076"/>
      <c r="AV123" s="2438">
        <f>IF($B123&lt;=Factores!$D$3,"",AV31)</f>
        <v>46105.791666666664</v>
      </c>
      <c r="AW123" s="2439">
        <f>IF($B123&lt;=Factores!$D$3,"",AW31)</f>
        <v>87.543521444280415</v>
      </c>
      <c r="AX123" s="783">
        <f>IF($B123&lt;=Factores!$D$3,"",AX31)</f>
        <v>0</v>
      </c>
      <c r="AY123" s="783">
        <f>IF($B123&lt;=Factores!$D$3,"",AY31)</f>
        <v>0</v>
      </c>
      <c r="AZ123" s="783">
        <f>IF($B123&lt;=Factores!$D$3,"",AZ31)</f>
        <v>0</v>
      </c>
      <c r="BA123" s="2432">
        <f>IF($B123&lt;=Factores!$D$3,"",BA31)</f>
        <v>27.104588550531616</v>
      </c>
      <c r="BB123" s="782">
        <f>IF($B123&lt;=Factores!$D$3,"",BB31)</f>
        <v>1219.7064847739227</v>
      </c>
      <c r="BC123" s="2078">
        <f>IF($B123&lt;=Factores!$D$3,"",BC31)</f>
        <v>0.89548940544265954</v>
      </c>
      <c r="BD123" s="2078">
        <f>IF($B123&lt;=Factores!$D$3,"",BD31)</f>
        <v>4.2962545068139528</v>
      </c>
      <c r="BE123" s="2449">
        <f>IF($B123&lt;=Factores!$D$3,"",BE31)</f>
        <v>37.635390704304228</v>
      </c>
      <c r="BF123" s="780">
        <f>IF($B123&lt;=Factores!$D$3,"",BF31)</f>
        <v>6788.6677132817595</v>
      </c>
      <c r="BG123" s="780">
        <f>IF($B123&lt;=Factores!$D$3,"",BG31)</f>
        <v>1741.8251567996788</v>
      </c>
      <c r="BH123" s="780">
        <f>IF($B123&lt;=Factores!$D$3,"",BH31)</f>
        <v>8528.8824741647586</v>
      </c>
      <c r="BI123" s="780">
        <f>IF($B123&lt;=Factores!$D$3,"",BI31)</f>
        <v>0</v>
      </c>
      <c r="BJ123" s="539">
        <f>IF($B123&lt;=Factores!$D$3,"",BJ31)</f>
        <v>0</v>
      </c>
      <c r="BK123" s="539">
        <f>IF($B123&lt;=Factores!$D$3,"",BK31)</f>
        <v>0</v>
      </c>
      <c r="BL123" s="781">
        <f>IF($B123&lt;=Factores!$D$3,"",BL31)</f>
        <v>98.057573027372243</v>
      </c>
      <c r="BM123" s="539">
        <f>IF($B123&lt;=Factores!$D$3,"",BM31)</f>
        <v>0</v>
      </c>
      <c r="BN123" s="539">
        <f>IF($B123&lt;=Factores!$D$3,"",BN31)</f>
        <v>0</v>
      </c>
      <c r="BO123" s="539">
        <f>IF($B123&lt;=Factores!$D$3,"",BO31)</f>
        <v>0</v>
      </c>
      <c r="BP123" s="2441">
        <f>IF($B123&lt;=Factores!$D$3,"",BP31)</f>
        <v>0</v>
      </c>
      <c r="BQ123" s="2442">
        <f>IF($B123&lt;=Factores!$D$3,"",BQ31)</f>
        <v>0</v>
      </c>
      <c r="BR123" s="2443">
        <f>IF($B123&lt;=Factores!$D$3,"",BR31)</f>
        <v>0</v>
      </c>
      <c r="BS123" s="2444">
        <f>IF($B123&lt;=Factores!$D$3,"",BS31)</f>
        <v>0</v>
      </c>
      <c r="BT123" s="785">
        <f>IF($B123&lt;=Factores!$D$3,"",BT31)</f>
        <v>0</v>
      </c>
      <c r="BU123" s="785">
        <f>IF($B123&lt;=Factores!$D$3,"",BU31)</f>
        <v>0</v>
      </c>
      <c r="BV123" s="2445">
        <f>IF($B123&lt;=Factores!$D$3,"",BV31)</f>
        <v>0</v>
      </c>
      <c r="BW123" s="785">
        <f>IF($B123&lt;=Factores!$D$3,"",BW31)</f>
        <v>0</v>
      </c>
      <c r="BX123" s="785">
        <f>IF($B123&lt;=Factores!$D$3,"",BX31)</f>
        <v>0</v>
      </c>
      <c r="BY123" s="785">
        <f>IF($B123&lt;=Factores!$D$3,"",BY31)</f>
        <v>0</v>
      </c>
      <c r="BZ123" s="785">
        <f>IF($B123&lt;=Factores!$D$3,"",BZ31)</f>
        <v>0</v>
      </c>
      <c r="CA123" s="2446">
        <f>IF($B123&lt;=Factores!$D$3,"",CA31)</f>
        <v>0</v>
      </c>
      <c r="CB123" s="2446">
        <f>IF($B123&lt;=Factores!$D$3,"",CB31)</f>
        <v>0</v>
      </c>
      <c r="CC123" s="2446">
        <f>IF($B123&lt;=Factores!$D$3,"",CC31)</f>
        <v>0</v>
      </c>
      <c r="CD123" s="2443">
        <f>IF($B123&lt;=Factores!$D$3,"",CD31)</f>
        <v>0</v>
      </c>
      <c r="CE123" s="2446">
        <f>IF($B123&lt;=Factores!$D$3,"",CE31)</f>
        <v>0</v>
      </c>
      <c r="CF123" s="2446">
        <f>IF($B123&lt;=Factores!$D$3,"",CF31)</f>
        <v>0</v>
      </c>
      <c r="CG123" s="2446">
        <f>IF($B123&lt;=Factores!$D$3,"",CG31)</f>
        <v>0</v>
      </c>
      <c r="CH123" s="2444">
        <f>IF($B123&lt;=Factores!$D$3,"",CH31)</f>
        <v>0</v>
      </c>
      <c r="CI123" s="2446">
        <f>IF($B123&lt;=Factores!$D$3,"",CI31)</f>
        <v>0</v>
      </c>
      <c r="CJ123" s="2443">
        <f>IF($B123&lt;=Factores!$D$3,"",CJ31)</f>
        <v>0</v>
      </c>
      <c r="CK123" s="2446">
        <f>IF($B123&lt;=Factores!$D$3,"",CK31)</f>
        <v>0</v>
      </c>
      <c r="CL123" s="2446">
        <f>IF($B123&lt;=Factores!$D$3,"",CL31)</f>
        <v>0</v>
      </c>
      <c r="CM123" s="2443">
        <f>IF($B123&lt;=Factores!$D$3,"",CM31)</f>
        <v>0</v>
      </c>
      <c r="CN123" s="2444">
        <f>IF($B123&lt;=Factores!$D$3,"",CN31)</f>
        <v>0</v>
      </c>
      <c r="CO123" s="2446">
        <f>IF($B123&lt;=Factores!$D$3,"",CO31)</f>
        <v>0</v>
      </c>
      <c r="CP123" s="2447">
        <f>IF($B123&lt;=Factores!$D$3,"",CP31)</f>
        <v>0</v>
      </c>
      <c r="CQ123" s="744">
        <f>IF($B123&lt;=Factores!$D$3,"",CQ31)</f>
        <v>0</v>
      </c>
      <c r="CR123" s="744">
        <f>IF($B123&lt;=Factores!$D$3,"",CR31)</f>
        <v>0</v>
      </c>
      <c r="CS123" s="744">
        <f>IF($B123&lt;=Factores!$D$3,"",CS31)</f>
        <v>0</v>
      </c>
      <c r="CT123" s="744">
        <f>IF($B123&lt;=Factores!$D$3,"",CT31)</f>
        <v>0</v>
      </c>
      <c r="CU123" s="744">
        <f>IF($B123&lt;=Factores!$D$3,"",CU31)</f>
        <v>0</v>
      </c>
      <c r="CV123" s="744">
        <f>IF($B123&lt;=Factores!$D$3,"",CV31)</f>
        <v>0</v>
      </c>
      <c r="CW123" s="2449">
        <f>IF($B123&lt;=Factores!$D$3,"",CW31)</f>
        <v>68.075881012349754</v>
      </c>
      <c r="CX123" s="783">
        <f>IF($B123&lt;=Factores!$D$3,"",CX31)</f>
        <v>19288.129124973453</v>
      </c>
      <c r="CY123" s="744">
        <f>IF($B123&lt;=Factores!$D$3,"",CY31)</f>
        <v>0</v>
      </c>
      <c r="CZ123" s="744">
        <f>IF($B123&lt;=Factores!$D$3,"",CZ31)</f>
        <v>0</v>
      </c>
      <c r="DA123" s="744">
        <f>IF($B123&lt;=Factores!$D$3,"",DA31)</f>
        <v>23.533817526569337</v>
      </c>
      <c r="DB123" s="744">
        <f>IF($B123&lt;=Factores!$D$3,"",DB31)</f>
        <v>1</v>
      </c>
      <c r="DC123" s="744">
        <f>IF($B123&lt;=Factores!$D$3,"",DC31)</f>
        <v>87.543521444280415</v>
      </c>
    </row>
    <row r="124" spans="1:107" s="744" customFormat="1" ht="17.25" customHeight="1">
      <c r="A124" s="2450"/>
      <c r="B124" s="794">
        <f t="shared" si="60"/>
        <v>46106.791666666664</v>
      </c>
      <c r="C124" s="780">
        <f>IF($B124&lt;=Factores!$D$3,"",C32)</f>
        <v>240172.9964</v>
      </c>
      <c r="D124" s="2432">
        <f>IF($B124&lt;=Factores!$D$3,"",D32)</f>
        <v>655013.60114647611</v>
      </c>
      <c r="E124" s="2432">
        <f>IF($B124&lt;=Factores!$D$3,"",E32)</f>
        <v>197295.19435247991</v>
      </c>
      <c r="F124" s="2432">
        <f>IF($B124&lt;=Factores!$D$3,"",F32)</f>
        <v>39982.330752164009</v>
      </c>
      <c r="G124" s="2432">
        <f>IF($B124&lt;=Factores!$D$3,"",G32)</f>
        <v>157312.8636003159</v>
      </c>
      <c r="H124" s="781">
        <f>IF($B124&lt;=Factores!$D$3,"",H32)</f>
        <v>98.057573027372243</v>
      </c>
      <c r="I124" s="781">
        <f>IF($B124&lt;=Factores!$D$3,"",I32)</f>
        <v>97.132597759803119</v>
      </c>
      <c r="J124" s="2067">
        <f>IF($B124&lt;=Factores!$D$3,"",J32)</f>
        <v>97.88718333333334</v>
      </c>
      <c r="K124" s="781">
        <f>IF($B124&lt;=Factores!$D$3,"",K32)</f>
        <v>71.768111414542958</v>
      </c>
      <c r="L124" s="2066">
        <f>IF($B124&lt;=Factores!$D$3,"",L32)</f>
        <v>0.48892696357468995</v>
      </c>
      <c r="M124" s="781">
        <f>IF($B124&lt;=Factores!$D$3,"",M32)</f>
        <v>90.184668922599528</v>
      </c>
      <c r="N124" s="781">
        <f>IF($B124&lt;=Factores!$D$3,"",N32)</f>
        <v>25.229869264557234</v>
      </c>
      <c r="O124" s="780">
        <f>IF($B124&lt;=Factores!$D$3,"",O32)</f>
        <v>3448.0869652046572</v>
      </c>
      <c r="P124" s="539">
        <f>IF($B124&lt;=Factores!$D$3,"",P32)</f>
        <v>80019.14488002914</v>
      </c>
      <c r="Q124" s="780">
        <f>IF($B124&lt;=Factores!$D$3,"",Q32)</f>
        <v>869.94783344937412</v>
      </c>
      <c r="R124" s="782">
        <f>IF($B124&lt;=Factores!$D$3,"",R32)</f>
        <v>20582.378573704042</v>
      </c>
      <c r="S124" s="780">
        <f>IF($B124&lt;=Factores!$D$3,"",S32)</f>
        <v>175.58163669109402</v>
      </c>
      <c r="T124" s="781">
        <f>IF($B124&lt;=Factores!$D$3,"",T32)</f>
        <v>90.08192340961898</v>
      </c>
      <c r="U124" s="781">
        <f>IF($B124&lt;=Factores!$D$3,"",U32)</f>
        <v>88.996789349591722</v>
      </c>
      <c r="V124" s="781">
        <f>IF($B124&lt;=Factores!$D$3,"",V32)</f>
        <v>80.170019618919156</v>
      </c>
      <c r="W124" s="781">
        <f>IF($B124&lt;=Factores!$D$3,"",W32)</f>
        <v>50</v>
      </c>
      <c r="X124" s="780">
        <f>IF($B124&lt;=Factores!$D$3,"",X32)</f>
        <v>55.544055414316496</v>
      </c>
      <c r="Y124" s="539">
        <f>IF($B124&lt;=Factores!$D$3,"",Y32)</f>
        <v>2101.0633710969669</v>
      </c>
      <c r="Z124" s="539">
        <f>IF($B124&lt;=Factores!$D$3,"",Z32)</f>
        <v>50</v>
      </c>
      <c r="AA124" s="780">
        <f>IF($B124&lt;=Factores!$D$3,"",AA32)</f>
        <v>27.772027707158248</v>
      </c>
      <c r="AB124" s="782">
        <f>IF($B124&lt;=Factores!$D$3,"",AB32)</f>
        <v>695.12066375695019</v>
      </c>
      <c r="AC124" s="780">
        <f>IF($B124&lt;=Factores!$D$3,"",AC32)</f>
        <v>25</v>
      </c>
      <c r="AD124" s="539">
        <f>IF($B124&lt;=Factores!$D$3,"",AD32)</f>
        <v>835.49373559192611</v>
      </c>
      <c r="AE124" s="782">
        <f>IF($B124&lt;=Factores!$D$3,"",AE32)</f>
        <v>231.28537288053298</v>
      </c>
      <c r="AF124" s="780">
        <f>IF($B124&lt;=Factores!$D$3,"",AF32)</f>
        <v>950.45894177242587</v>
      </c>
      <c r="AG124" s="539">
        <f>IF($B124&lt;=Factores!$D$3,"",AG32)</f>
        <v>22597.533377935437</v>
      </c>
      <c r="AH124" s="2072">
        <f>IF($B124&lt;=Factores!$D$3,"",AH32)</f>
        <v>909.0024407782978</v>
      </c>
      <c r="AI124" s="2451">
        <f>IF($B124&lt;=Factores!$D$3,"",AI32)</f>
        <v>22210.234045686877</v>
      </c>
      <c r="AJ124" s="2439">
        <f>IF($B124&lt;=Factores!$D$3,"",AJ32)</f>
        <v>4366</v>
      </c>
      <c r="AK124" s="2452">
        <f>IF($B124&lt;=Factores!$D$3,"",AK32)</f>
        <v>25.229869264557234</v>
      </c>
      <c r="AL124" s="2453">
        <f>IF($B124&lt;=Factores!$D$3,"",AL32)</f>
        <v>1101.5360920905689</v>
      </c>
      <c r="AM124" s="2439">
        <f>IF($B124&lt;=Factores!$D$3,"",AM32)</f>
        <v>3720</v>
      </c>
      <c r="AN124" s="2452">
        <f>IF($B124&lt;=Factores!$D$3,"",AN32)</f>
        <v>24.166962778076822</v>
      </c>
      <c r="AO124" s="2453">
        <f>IF($B124&lt;=Factores!$D$3,"",AO32)</f>
        <v>899.01101534445786</v>
      </c>
      <c r="AP124" s="783">
        <f>IF($B124&lt;=Factores!$D$3,"",AP32)</f>
        <v>3081.9625206121459</v>
      </c>
      <c r="AQ124" s="783">
        <f>IF($B124&lt;=Factores!$D$3,"",AQ32)</f>
        <v>863.0505747306795</v>
      </c>
      <c r="AR124" s="783">
        <f>IF($B124&lt;=Factores!$D$3,"",AR32)</f>
        <v>9109.0476566288817</v>
      </c>
      <c r="AS124" s="2632">
        <f>IF($B124&lt;=Factores!$D$3,"",AS32)</f>
        <v>197295.19435247991</v>
      </c>
      <c r="AT124" s="784"/>
      <c r="AU124" s="2076"/>
      <c r="AV124" s="2438">
        <f>IF($B124&lt;=Factores!$D$3,"",AV32)</f>
        <v>46106.791666666664</v>
      </c>
      <c r="AW124" s="2439">
        <f>IF($B124&lt;=Factores!$D$3,"",AW32)</f>
        <v>86.154996684978286</v>
      </c>
      <c r="AX124" s="783">
        <f>IF($B124&lt;=Factores!$D$3,"",AX32)</f>
        <v>0</v>
      </c>
      <c r="AY124" s="783">
        <f>IF($B124&lt;=Factores!$D$3,"",AY32)</f>
        <v>0</v>
      </c>
      <c r="AZ124" s="783">
        <f>IF($B124&lt;=Factores!$D$3,"",AZ32)</f>
        <v>0</v>
      </c>
      <c r="BA124" s="2432">
        <f>IF($B124&lt;=Factores!$D$3,"",BA32)</f>
        <v>25.698208431056358</v>
      </c>
      <c r="BB124" s="782">
        <f>IF($B124&lt;=Factores!$D$3,"",BB32)</f>
        <v>1156.4193793975362</v>
      </c>
      <c r="BC124" s="2078">
        <f>IF($B124&lt;=Factores!$D$3,"",BC32)</f>
        <v>0.96581817638268475</v>
      </c>
      <c r="BD124" s="2078">
        <f>IF($B124&lt;=Factores!$D$3,"",BD32)</f>
        <v>4.2745707218298765</v>
      </c>
      <c r="BE124" s="2449">
        <f>IF($B124&lt;=Factores!$D$3,"",BE32)</f>
        <v>36.531048012461845</v>
      </c>
      <c r="BF124" s="780">
        <f>IF($B124&lt;=Factores!$D$3,"",BF32)</f>
        <v>6684.5450561818952</v>
      </c>
      <c r="BG124" s="780">
        <f>IF($B124&lt;=Factores!$D$3,"",BG32)</f>
        <v>1715.1095373012399</v>
      </c>
      <c r="BH124" s="780">
        <f>IF($B124&lt;=Factores!$D$3,"",BH32)</f>
        <v>8398.0688973616016</v>
      </c>
      <c r="BI124" s="780">
        <f>IF($B124&lt;=Factores!$D$3,"",BI32)</f>
        <v>0</v>
      </c>
      <c r="BJ124" s="539">
        <f>IF($B124&lt;=Factores!$D$3,"",BJ32)</f>
        <v>0</v>
      </c>
      <c r="BK124" s="539">
        <f>IF($B124&lt;=Factores!$D$3,"",BK32)</f>
        <v>0</v>
      </c>
      <c r="BL124" s="781">
        <f>IF($B124&lt;=Factores!$D$3,"",BL32)</f>
        <v>98.057573027372243</v>
      </c>
      <c r="BM124" s="539">
        <f>IF($B124&lt;=Factores!$D$3,"",BM32)</f>
        <v>0</v>
      </c>
      <c r="BN124" s="539">
        <f>IF($B124&lt;=Factores!$D$3,"",BN32)</f>
        <v>0</v>
      </c>
      <c r="BO124" s="539">
        <f>IF($B124&lt;=Factores!$D$3,"",BO32)</f>
        <v>0</v>
      </c>
      <c r="BP124" s="2441">
        <f>IF($B124&lt;=Factores!$D$3,"",BP32)</f>
        <v>0</v>
      </c>
      <c r="BQ124" s="2442">
        <f>IF($B124&lt;=Factores!$D$3,"",BQ32)</f>
        <v>0</v>
      </c>
      <c r="BR124" s="2443">
        <f>IF($B124&lt;=Factores!$D$3,"",BR32)</f>
        <v>0</v>
      </c>
      <c r="BS124" s="2444">
        <f>IF($B124&lt;=Factores!$D$3,"",BS32)</f>
        <v>0</v>
      </c>
      <c r="BT124" s="785">
        <f>IF($B124&lt;=Factores!$D$3,"",BT32)</f>
        <v>0</v>
      </c>
      <c r="BU124" s="785">
        <f>IF($B124&lt;=Factores!$D$3,"",BU32)</f>
        <v>0</v>
      </c>
      <c r="BV124" s="2445">
        <f>IF($B124&lt;=Factores!$D$3,"",BV32)</f>
        <v>0</v>
      </c>
      <c r="BW124" s="785">
        <f>IF($B124&lt;=Factores!$D$3,"",BW32)</f>
        <v>0</v>
      </c>
      <c r="BX124" s="785">
        <f>IF($B124&lt;=Factores!$D$3,"",BX32)</f>
        <v>0</v>
      </c>
      <c r="BY124" s="785">
        <f>IF($B124&lt;=Factores!$D$3,"",BY32)</f>
        <v>0</v>
      </c>
      <c r="BZ124" s="785">
        <f>IF($B124&lt;=Factores!$D$3,"",BZ32)</f>
        <v>0</v>
      </c>
      <c r="CA124" s="2446">
        <f>IF($B124&lt;=Factores!$D$3,"",CA32)</f>
        <v>0</v>
      </c>
      <c r="CB124" s="2446">
        <f>IF($B124&lt;=Factores!$D$3,"",CB32)</f>
        <v>0</v>
      </c>
      <c r="CC124" s="2446">
        <f>IF($B124&lt;=Factores!$D$3,"",CC32)</f>
        <v>0</v>
      </c>
      <c r="CD124" s="2443">
        <f>IF($B124&lt;=Factores!$D$3,"",CD32)</f>
        <v>0</v>
      </c>
      <c r="CE124" s="2446">
        <f>IF($B124&lt;=Factores!$D$3,"",CE32)</f>
        <v>0</v>
      </c>
      <c r="CF124" s="2446">
        <f>IF($B124&lt;=Factores!$D$3,"",CF32)</f>
        <v>0</v>
      </c>
      <c r="CG124" s="2446">
        <f>IF($B124&lt;=Factores!$D$3,"",CG32)</f>
        <v>0</v>
      </c>
      <c r="CH124" s="2444">
        <f>IF($B124&lt;=Factores!$D$3,"",CH32)</f>
        <v>0</v>
      </c>
      <c r="CI124" s="2446">
        <f>IF($B124&lt;=Factores!$D$3,"",CI32)</f>
        <v>0</v>
      </c>
      <c r="CJ124" s="2443">
        <f>IF($B124&lt;=Factores!$D$3,"",CJ32)</f>
        <v>0</v>
      </c>
      <c r="CK124" s="2446">
        <f>IF($B124&lt;=Factores!$D$3,"",CK32)</f>
        <v>0</v>
      </c>
      <c r="CL124" s="2446">
        <f>IF($B124&lt;=Factores!$D$3,"",CL32)</f>
        <v>0</v>
      </c>
      <c r="CM124" s="2443">
        <f>IF($B124&lt;=Factores!$D$3,"",CM32)</f>
        <v>0</v>
      </c>
      <c r="CN124" s="2444">
        <f>IF($B124&lt;=Factores!$D$3,"",CN32)</f>
        <v>0</v>
      </c>
      <c r="CO124" s="2446">
        <f>IF($B124&lt;=Factores!$D$3,"",CO32)</f>
        <v>0</v>
      </c>
      <c r="CP124" s="2447">
        <f>IF($B124&lt;=Factores!$D$3,"",CP32)</f>
        <v>0</v>
      </c>
      <c r="CQ124" s="744">
        <f>IF($B124&lt;=Factores!$D$3,"",CQ32)</f>
        <v>0</v>
      </c>
      <c r="CR124" s="744">
        <f>IF($B124&lt;=Factores!$D$3,"",CR32)</f>
        <v>0</v>
      </c>
      <c r="CS124" s="744">
        <f>IF($B124&lt;=Factores!$D$3,"",CS32)</f>
        <v>0</v>
      </c>
      <c r="CT124" s="744">
        <f>IF($B124&lt;=Factores!$D$3,"",CT32)</f>
        <v>0</v>
      </c>
      <c r="CU124" s="744">
        <f>IF($B124&lt;=Factores!$D$3,"",CU32)</f>
        <v>0</v>
      </c>
      <c r="CV124" s="744">
        <f>IF($B124&lt;=Factores!$D$3,"",CV32)</f>
        <v>0</v>
      </c>
      <c r="CW124" s="2449">
        <f>IF($B124&lt;=Factores!$D$3,"",CW32)</f>
        <v>71.768111414542958</v>
      </c>
      <c r="CX124" s="783">
        <f>IF($B124&lt;=Factores!$D$3,"",CX32)</f>
        <v>20187.140140317912</v>
      </c>
      <c r="CY124" s="744">
        <f>IF($B124&lt;=Factores!$D$3,"",CY32)</f>
        <v>0</v>
      </c>
      <c r="CZ124" s="744">
        <f>IF($B124&lt;=Factores!$D$3,"",CZ32)</f>
        <v>0</v>
      </c>
      <c r="DA124" s="744">
        <f>IF($B124&lt;=Factores!$D$3,"",DA32)</f>
        <v>23.533817526569337</v>
      </c>
      <c r="DB124" s="744">
        <f>IF($B124&lt;=Factores!$D$3,"",DB32)</f>
        <v>1</v>
      </c>
      <c r="DC124" s="744">
        <f>IF($B124&lt;=Factores!$D$3,"",DC32)</f>
        <v>86.154996684978286</v>
      </c>
    </row>
    <row r="125" spans="1:107" s="744" customFormat="1" ht="17.25" customHeight="1">
      <c r="A125" s="2450"/>
      <c r="B125" s="794">
        <f t="shared" si="60"/>
        <v>46107.791666666664</v>
      </c>
      <c r="C125" s="780">
        <f>IF($B125&lt;=Factores!$D$3,"",C33)</f>
        <v>222119.04000000001</v>
      </c>
      <c r="D125" s="2432">
        <f>IF($B125&lt;=Factores!$D$3,"",D33)</f>
        <v>682935.6123035131</v>
      </c>
      <c r="E125" s="2432">
        <f>IF($B125&lt;=Factores!$D$3,"",E33)</f>
        <v>194197.02884296299</v>
      </c>
      <c r="F125" s="2432">
        <f>IF($B125&lt;=Factores!$D$3,"",F33)</f>
        <v>39354.480294209381</v>
      </c>
      <c r="G125" s="2432">
        <f>IF($B125&lt;=Factores!$D$3,"",G33)</f>
        <v>154842.54854875361</v>
      </c>
      <c r="H125" s="781">
        <f>IF($B125&lt;=Factores!$D$3,"",H33)</f>
        <v>98.057573027372243</v>
      </c>
      <c r="I125" s="781">
        <f>IF($B125&lt;=Factores!$D$3,"",I33)</f>
        <v>97.132597759803119</v>
      </c>
      <c r="J125" s="2067">
        <f>IF($B125&lt;=Factores!$D$3,"",J33)</f>
        <v>97.88718333333334</v>
      </c>
      <c r="K125" s="781">
        <f>IF($B125&lt;=Factores!$D$3,"",K33)</f>
        <v>77.357636697871555</v>
      </c>
      <c r="L125" s="2066">
        <f>IF($B125&lt;=Factores!$D$3,"",L33)</f>
        <v>0.52363529808160525</v>
      </c>
      <c r="M125" s="781">
        <f>IF($B125&lt;=Factores!$D$3,"",M33)</f>
        <v>90.579694000087017</v>
      </c>
      <c r="N125" s="781">
        <f>IF($B125&lt;=Factores!$D$3,"",N33)</f>
        <v>25.74568622905867</v>
      </c>
      <c r="O125" s="780">
        <f>IF($B125&lt;=Factores!$D$3,"",O33)</f>
        <v>3577.6501749069007</v>
      </c>
      <c r="P125" s="539">
        <f>IF($B125&lt;=Factores!$D$3,"",P33)</f>
        <v>83596.795054936039</v>
      </c>
      <c r="Q125" s="780">
        <f>IF($B125&lt;=Factores!$D$3,"",Q33)</f>
        <v>921.09058840489934</v>
      </c>
      <c r="R125" s="782">
        <f>IF($B125&lt;=Factores!$D$3,"",R33)</f>
        <v>21503.469162108941</v>
      </c>
      <c r="S125" s="780">
        <f>IF($B125&lt;=Factores!$D$3,"",S33)</f>
        <v>141.52554810249495</v>
      </c>
      <c r="T125" s="781">
        <f>IF($B125&lt;=Factores!$D$3,"",T33)</f>
        <v>89.325881510206258</v>
      </c>
      <c r="U125" s="781">
        <f>IF($B125&lt;=Factores!$D$3,"",U33)</f>
        <v>88.385862300107632</v>
      </c>
      <c r="V125" s="781">
        <f>IF($B125&lt;=Factores!$D$3,"",V33)</f>
        <v>78.951450629968207</v>
      </c>
      <c r="W125" s="781">
        <f>IF($B125&lt;=Factores!$D$3,"",W33)</f>
        <v>50</v>
      </c>
      <c r="X125" s="780">
        <f>IF($B125&lt;=Factores!$D$3,"",X33)</f>
        <v>43.397782232784145</v>
      </c>
      <c r="Y125" s="539">
        <f>IF($B125&lt;=Factores!$D$3,"",Y33)</f>
        <v>2144.4611533297511</v>
      </c>
      <c r="Z125" s="539">
        <f>IF($B125&lt;=Factores!$D$3,"",Z33)</f>
        <v>50</v>
      </c>
      <c r="AA125" s="780">
        <f>IF($B125&lt;=Factores!$D$3,"",AA33)</f>
        <v>21.698891116392073</v>
      </c>
      <c r="AB125" s="782">
        <f>IF($B125&lt;=Factores!$D$3,"",AB33)</f>
        <v>716.81955487334221</v>
      </c>
      <c r="AC125" s="780">
        <f>IF($B125&lt;=Factores!$D$3,"",AC33)</f>
        <v>25</v>
      </c>
      <c r="AD125" s="539">
        <f>IF($B125&lt;=Factores!$D$3,"",AD33)</f>
        <v>860.49373559192611</v>
      </c>
      <c r="AE125" s="782">
        <f>IF($B125&lt;=Factores!$D$3,"",AE33)</f>
        <v>227.98426399692505</v>
      </c>
      <c r="AF125" s="780">
        <f>IF($B125&lt;=Factores!$D$3,"",AF33)</f>
        <v>983.99567375131994</v>
      </c>
      <c r="AG125" s="539">
        <f>IF($B125&lt;=Factores!$D$3,"",AG33)</f>
        <v>23581.529051686757</v>
      </c>
      <c r="AH125" s="2072">
        <f>IF($B125&lt;=Factores!$D$3,"",AH33)</f>
        <v>958.20177104551306</v>
      </c>
      <c r="AI125" s="2451">
        <f>IF($B125&lt;=Factores!$D$3,"",AI33)</f>
        <v>23168.435816732392</v>
      </c>
      <c r="AJ125" s="2439">
        <f>IF($B125&lt;=Factores!$D$3,"",AJ33)</f>
        <v>4366</v>
      </c>
      <c r="AK125" s="2452">
        <f>IF($B125&lt;=Factores!$D$3,"",AK33)</f>
        <v>25.74568622905867</v>
      </c>
      <c r="AL125" s="2453">
        <f>IF($B125&lt;=Factores!$D$3,"",AL33)</f>
        <v>1124.0566607607016</v>
      </c>
      <c r="AM125" s="2439">
        <f>IF($B125&lt;=Factores!$D$3,"",AM33)</f>
        <v>4366</v>
      </c>
      <c r="AN125" s="2452">
        <f>IF($B125&lt;=Factores!$D$3,"",AN33)</f>
        <v>25.229869264557234</v>
      </c>
      <c r="AO125" s="2453">
        <f>IF($B125&lt;=Factores!$D$3,"",AO33)</f>
        <v>1101.5360920905689</v>
      </c>
      <c r="AP125" s="783">
        <f>IF($B125&lt;=Factores!$D$3,"",AP33)</f>
        <v>2901.5170169264766</v>
      </c>
      <c r="AQ125" s="783">
        <f>IF($B125&lt;=Factores!$D$3,"",AQ33)</f>
        <v>1057.474648406946</v>
      </c>
      <c r="AR125" s="783">
        <f>IF($B125&lt;=Factores!$D$3,"",AR33)</f>
        <v>8320.6978315357828</v>
      </c>
      <c r="AS125" s="2632">
        <f>IF($B125&lt;=Factores!$D$3,"",AS33)</f>
        <v>194197.02884296302</v>
      </c>
      <c r="AT125" s="784"/>
      <c r="AU125" s="2076"/>
      <c r="AV125" s="2438">
        <f>IF($B125&lt;=Factores!$D$3,"",AV33)</f>
        <v>46107.791666666664</v>
      </c>
      <c r="AW125" s="2439">
        <f>IF($B125&lt;=Factores!$D$3,"",AW33)</f>
        <v>87.950575463139046</v>
      </c>
      <c r="AX125" s="783">
        <f>IF($B125&lt;=Factores!$D$3,"",AX33)</f>
        <v>0</v>
      </c>
      <c r="AY125" s="783">
        <f>IF($B125&lt;=Factores!$D$3,"",AY33)</f>
        <v>0</v>
      </c>
      <c r="AZ125" s="783">
        <f>IF($B125&lt;=Factores!$D$3,"",AZ33)</f>
        <v>0</v>
      </c>
      <c r="BA125" s="2432">
        <f>IF($B125&lt;=Factores!$D$3,"",BA33)</f>
        <v>29.118180773696842</v>
      </c>
      <c r="BB125" s="782">
        <f>IF($B125&lt;=Factores!$D$3,"",BB33)</f>
        <v>1310.318134816358</v>
      </c>
      <c r="BC125" s="2078">
        <f>IF($B125&lt;=Factores!$D$3,"",BC33)</f>
        <v>1.2156872316754115</v>
      </c>
      <c r="BD125" s="2078">
        <f>IF($B125&lt;=Factores!$D$3,"",BD33)</f>
        <v>4.2965275272066039</v>
      </c>
      <c r="BE125" s="2449">
        <f>IF($B125&lt;=Factores!$D$3,"",BE33)</f>
        <v>35.81651261035524</v>
      </c>
      <c r="BF125" s="780">
        <f>IF($B125&lt;=Factores!$D$3,"",BF33)</f>
        <v>6579.5763213485698</v>
      </c>
      <c r="BG125" s="780">
        <f>IF($B125&lt;=Factores!$D$3,"",BG33)</f>
        <v>1688.1768325744486</v>
      </c>
      <c r="BH125" s="780">
        <f>IF($B125&lt;=Factores!$D$3,"",BH33)</f>
        <v>8266.192358301716</v>
      </c>
      <c r="BI125" s="780">
        <f>IF($B125&lt;=Factores!$D$3,"",BI33)</f>
        <v>0</v>
      </c>
      <c r="BJ125" s="539">
        <f>IF($B125&lt;=Factores!$D$3,"",BJ33)</f>
        <v>0</v>
      </c>
      <c r="BK125" s="539">
        <f>IF($B125&lt;=Factores!$D$3,"",BK33)</f>
        <v>0</v>
      </c>
      <c r="BL125" s="781">
        <f>IF($B125&lt;=Factores!$D$3,"",BL33)</f>
        <v>98.057573027372243</v>
      </c>
      <c r="BM125" s="539">
        <f>IF($B125&lt;=Factores!$D$3,"",BM33)</f>
        <v>0</v>
      </c>
      <c r="BN125" s="539">
        <f>IF($B125&lt;=Factores!$D$3,"",BN33)</f>
        <v>0</v>
      </c>
      <c r="BO125" s="539">
        <f>IF($B125&lt;=Factores!$D$3,"",BO33)</f>
        <v>0</v>
      </c>
      <c r="BP125" s="2441">
        <f>IF($B125&lt;=Factores!$D$3,"",BP33)</f>
        <v>0</v>
      </c>
      <c r="BQ125" s="2442">
        <f>IF($B125&lt;=Factores!$D$3,"",BQ33)</f>
        <v>0</v>
      </c>
      <c r="BR125" s="2443">
        <f>IF($B125&lt;=Factores!$D$3,"",BR33)</f>
        <v>0</v>
      </c>
      <c r="BS125" s="2444">
        <f>IF($B125&lt;=Factores!$D$3,"",BS33)</f>
        <v>0</v>
      </c>
      <c r="BT125" s="785">
        <f>IF($B125&lt;=Factores!$D$3,"",BT33)</f>
        <v>0</v>
      </c>
      <c r="BU125" s="785">
        <f>IF($B125&lt;=Factores!$D$3,"",BU33)</f>
        <v>0</v>
      </c>
      <c r="BV125" s="2445">
        <f>IF($B125&lt;=Factores!$D$3,"",BV33)</f>
        <v>0</v>
      </c>
      <c r="BW125" s="785">
        <f>IF($B125&lt;=Factores!$D$3,"",BW33)</f>
        <v>0</v>
      </c>
      <c r="BX125" s="785">
        <f>IF($B125&lt;=Factores!$D$3,"",BX33)</f>
        <v>0</v>
      </c>
      <c r="BY125" s="785">
        <f>IF($B125&lt;=Factores!$D$3,"",BY33)</f>
        <v>0</v>
      </c>
      <c r="BZ125" s="785">
        <f>IF($B125&lt;=Factores!$D$3,"",BZ33)</f>
        <v>0</v>
      </c>
      <c r="CA125" s="2446">
        <f>IF($B125&lt;=Factores!$D$3,"",CA33)</f>
        <v>0</v>
      </c>
      <c r="CB125" s="2446">
        <f>IF($B125&lt;=Factores!$D$3,"",CB33)</f>
        <v>0</v>
      </c>
      <c r="CC125" s="2446">
        <f>IF($B125&lt;=Factores!$D$3,"",CC33)</f>
        <v>0</v>
      </c>
      <c r="CD125" s="2443">
        <f>IF($B125&lt;=Factores!$D$3,"",CD33)</f>
        <v>0</v>
      </c>
      <c r="CE125" s="2446">
        <f>IF($B125&lt;=Factores!$D$3,"",CE33)</f>
        <v>0</v>
      </c>
      <c r="CF125" s="2446">
        <f>IF($B125&lt;=Factores!$D$3,"",CF33)</f>
        <v>0</v>
      </c>
      <c r="CG125" s="2446">
        <f>IF($B125&lt;=Factores!$D$3,"",CG33)</f>
        <v>0</v>
      </c>
      <c r="CH125" s="2444">
        <f>IF($B125&lt;=Factores!$D$3,"",CH33)</f>
        <v>0</v>
      </c>
      <c r="CI125" s="2446">
        <f>IF($B125&lt;=Factores!$D$3,"",CI33)</f>
        <v>0</v>
      </c>
      <c r="CJ125" s="2443">
        <f>IF($B125&lt;=Factores!$D$3,"",CJ33)</f>
        <v>0</v>
      </c>
      <c r="CK125" s="2446">
        <f>IF($B125&lt;=Factores!$D$3,"",CK33)</f>
        <v>0</v>
      </c>
      <c r="CL125" s="2446">
        <f>IF($B125&lt;=Factores!$D$3,"",CL33)</f>
        <v>0</v>
      </c>
      <c r="CM125" s="2443">
        <f>IF($B125&lt;=Factores!$D$3,"",CM33)</f>
        <v>0</v>
      </c>
      <c r="CN125" s="2444">
        <f>IF($B125&lt;=Factores!$D$3,"",CN33)</f>
        <v>0</v>
      </c>
      <c r="CO125" s="2446">
        <f>IF($B125&lt;=Factores!$D$3,"",CO33)</f>
        <v>0</v>
      </c>
      <c r="CP125" s="2447">
        <f>IF($B125&lt;=Factores!$D$3,"",CP33)</f>
        <v>0</v>
      </c>
      <c r="CQ125" s="744">
        <f>IF($B125&lt;=Factores!$D$3,"",CQ33)</f>
        <v>0</v>
      </c>
      <c r="CR125" s="744">
        <f>IF($B125&lt;=Factores!$D$3,"",CR33)</f>
        <v>0</v>
      </c>
      <c r="CS125" s="744">
        <f>IF($B125&lt;=Factores!$D$3,"",CS33)</f>
        <v>0</v>
      </c>
      <c r="CT125" s="744">
        <f>IF($B125&lt;=Factores!$D$3,"",CT33)</f>
        <v>0</v>
      </c>
      <c r="CU125" s="744">
        <f>IF($B125&lt;=Factores!$D$3,"",CU33)</f>
        <v>0</v>
      </c>
      <c r="CV125" s="744">
        <f>IF($B125&lt;=Factores!$D$3,"",CV33)</f>
        <v>0</v>
      </c>
      <c r="CW125" s="2449">
        <f>IF($B125&lt;=Factores!$D$3,"",CW33)</f>
        <v>77.357636697871555</v>
      </c>
      <c r="CX125" s="783">
        <f>IF($B125&lt;=Factores!$D$3,"",CX33)</f>
        <v>21288.676232408481</v>
      </c>
      <c r="CY125" s="744">
        <f>IF($B125&lt;=Factores!$D$3,"",CY33)</f>
        <v>0</v>
      </c>
      <c r="CZ125" s="744">
        <f>IF($B125&lt;=Factores!$D$3,"",CZ33)</f>
        <v>0</v>
      </c>
      <c r="DA125" s="744">
        <f>IF($B125&lt;=Factores!$D$3,"",DA33)</f>
        <v>23.533817526569337</v>
      </c>
      <c r="DB125" s="744">
        <f>IF($B125&lt;=Factores!$D$3,"",DB33)</f>
        <v>1</v>
      </c>
      <c r="DC125" s="744">
        <f>IF($B125&lt;=Factores!$D$3,"",DC33)</f>
        <v>87.950575463139046</v>
      </c>
    </row>
    <row r="126" spans="1:107" s="744" customFormat="1" ht="15.65" customHeight="1">
      <c r="A126" s="2450"/>
      <c r="B126" s="794">
        <f t="shared" si="60"/>
        <v>46108.791666666664</v>
      </c>
      <c r="C126" s="780">
        <f>IF($B126&lt;=Factores!$D$3,"",C34)</f>
        <v>238000.00000006927</v>
      </c>
      <c r="D126" s="2432">
        <f>IF($B126&lt;=Factores!$D$3,"",D34)</f>
        <v>717425.01558636723</v>
      </c>
      <c r="E126" s="2432">
        <f>IF($B126&lt;=Factores!$D$3,"",E34)</f>
        <v>203510.59671721514</v>
      </c>
      <c r="F126" s="2432">
        <f>IF($B126&lt;=Factores!$D$3,"",F34)</f>
        <v>41241.896520708047</v>
      </c>
      <c r="G126" s="2432">
        <f>IF($B126&lt;=Factores!$D$3,"",G34)</f>
        <v>162268.7001965071</v>
      </c>
      <c r="H126" s="781">
        <f>IF($B126&lt;=Factores!$D$3,"",H34)</f>
        <v>98.057573027372243</v>
      </c>
      <c r="I126" s="781">
        <f>IF($B126&lt;=Factores!$D$3,"",I34)</f>
        <v>97.132597759803119</v>
      </c>
      <c r="J126" s="2067">
        <f>IF($B126&lt;=Factores!$D$3,"",J34)</f>
        <v>97.88718333333334</v>
      </c>
      <c r="K126" s="781">
        <f>IF($B126&lt;=Factores!$D$3,"",K34)</f>
        <v>81.987487473131353</v>
      </c>
      <c r="L126" s="2066">
        <f>IF($B126&lt;=Factores!$D$3,"",L34)</f>
        <v>0.52870026226391142</v>
      </c>
      <c r="M126" s="781">
        <f>IF($B126&lt;=Factores!$D$3,"",M34)</f>
        <v>89.465534775993731</v>
      </c>
      <c r="N126" s="781">
        <f>IF($B126&lt;=Factores!$D$3,"",N34)</f>
        <v>26.411054113784456</v>
      </c>
      <c r="O126" s="780">
        <f>IF($B126&lt;=Factores!$D$3,"",O34)</f>
        <v>3644.7402322216662</v>
      </c>
      <c r="P126" s="539">
        <f>IF($B126&lt;=Factores!$D$3,"",P34)</f>
        <v>87241.535287157705</v>
      </c>
      <c r="Q126" s="780">
        <f>IF($B126&lt;=Factores!$D$3,"",Q34)</f>
        <v>962.61431503893755</v>
      </c>
      <c r="R126" s="782">
        <f>IF($B126&lt;=Factores!$D$3,"",R34)</f>
        <v>22466.083477147877</v>
      </c>
      <c r="S126" s="780">
        <f>IF($B126&lt;=Factores!$D$3,"",S34)</f>
        <v>224.77150560630986</v>
      </c>
      <c r="T126" s="781">
        <f>IF($B126&lt;=Factores!$D$3,"",T34)</f>
        <v>90.947910275918204</v>
      </c>
      <c r="U126" s="781">
        <f>IF($B126&lt;=Factores!$D$3,"",U34)</f>
        <v>89.696558504622843</v>
      </c>
      <c r="V126" s="781">
        <f>IF($B126&lt;=Factores!$D$3,"",V34)</f>
        <v>81.577145549370869</v>
      </c>
      <c r="W126" s="781">
        <f>IF($B126&lt;=Factores!$D$3,"",W34)</f>
        <v>50</v>
      </c>
      <c r="X126" s="780">
        <f>IF($B126&lt;=Factores!$D$3,"",X34)</f>
        <v>74.632292635064886</v>
      </c>
      <c r="Y126" s="539">
        <f>IF($B126&lt;=Factores!$D$3,"",Y34)</f>
        <v>2219.0934459648161</v>
      </c>
      <c r="Z126" s="539">
        <f>IF($B126&lt;=Factores!$D$3,"",Z34)</f>
        <v>50</v>
      </c>
      <c r="AA126" s="780">
        <f>IF($B126&lt;=Factores!$D$3,"",AA34)</f>
        <v>37.316146317532443</v>
      </c>
      <c r="AB126" s="782">
        <f>IF($B126&lt;=Factores!$D$3,"",AB34)</f>
        <v>754.13570119087467</v>
      </c>
      <c r="AC126" s="780">
        <f>IF($B126&lt;=Factores!$D$3,"",AC34)</f>
        <v>25</v>
      </c>
      <c r="AD126" s="539">
        <f>IF($B126&lt;=Factores!$D$3,"",AD34)</f>
        <v>885.49373559192611</v>
      </c>
      <c r="AE126" s="782">
        <f>IF($B126&lt;=Factores!$D$3,"",AE34)</f>
        <v>240.30041031445751</v>
      </c>
      <c r="AF126" s="780">
        <f>IF($B126&lt;=Factores!$D$3,"",AF34)</f>
        <v>1070.7938232134641</v>
      </c>
      <c r="AG126" s="539">
        <f>IF($B126&lt;=Factores!$D$3,"",AG34)</f>
        <v>24652.322874900223</v>
      </c>
      <c r="AH126" s="2072">
        <f>IF($B126&lt;=Factores!$D$3,"",AH34)</f>
        <v>998.14759606745781</v>
      </c>
      <c r="AI126" s="2451">
        <f>IF($B126&lt;=Factores!$D$3,"",AI34)</f>
        <v>24166.58341279985</v>
      </c>
      <c r="AJ126" s="2439">
        <f>IF($B126&lt;=Factores!$D$3,"",AJ34)</f>
        <v>2573.2226391941244</v>
      </c>
      <c r="AK126" s="2452">
        <f>IF($B126&lt;=Factores!$D$3,"",AK34)</f>
        <v>26.411054113784456</v>
      </c>
      <c r="AL126" s="2453">
        <f>IF($B126&lt;=Factores!$D$3,"",AL34)</f>
        <v>679.61522370571265</v>
      </c>
      <c r="AM126" s="2439">
        <f>IF($B126&lt;=Factores!$D$3,"",AM34)</f>
        <v>4366</v>
      </c>
      <c r="AN126" s="2452">
        <f>IF($B126&lt;=Factores!$D$3,"",AN34)</f>
        <v>25.74568622905867</v>
      </c>
      <c r="AO126" s="2453">
        <f>IF($B126&lt;=Factores!$D$3,"",AO34)</f>
        <v>1124.0566607607016</v>
      </c>
      <c r="AP126" s="783">
        <f>IF($B126&lt;=Factores!$D$3,"",AP34)</f>
        <v>2740.0746712047126</v>
      </c>
      <c r="AQ126" s="783">
        <f>IF($B126&lt;=Factores!$D$3,"",AQ34)</f>
        <v>1079.0943943302734</v>
      </c>
      <c r="AR126" s="783">
        <f>IF($B126&lt;=Factores!$D$3,"",AR34)</f>
        <v>7599.4380637574486</v>
      </c>
      <c r="AS126" s="2632">
        <f>IF($B126&lt;=Factores!$D$3,"",AS34)</f>
        <v>203510.59671721514</v>
      </c>
      <c r="AT126" s="784"/>
      <c r="AU126" s="2076"/>
      <c r="AV126" s="2438">
        <f>IF($B126&lt;=Factores!$D$3,"",AV34)</f>
        <v>46108.791666666664</v>
      </c>
      <c r="AW126" s="2439">
        <f>IF($B126&lt;=Factores!$D$3,"",AW34)</f>
        <v>90.245413987786748</v>
      </c>
      <c r="AX126" s="783">
        <f>IF($B126&lt;=Factores!$D$3,"",AX34)</f>
        <v>0</v>
      </c>
      <c r="AY126" s="783">
        <f>IF($B126&lt;=Factores!$D$3,"",AY34)</f>
        <v>0</v>
      </c>
      <c r="AZ126" s="783">
        <f>IF($B126&lt;=Factores!$D$3,"",AZ34)</f>
        <v>0</v>
      </c>
      <c r="BA126" s="2432">
        <f>IF($B126&lt;=Factores!$D$3,"",BA34)</f>
        <v>19.13910662669452</v>
      </c>
      <c r="BB126" s="782">
        <f>IF($B126&lt;=Factores!$D$3,"",BB34)</f>
        <v>861.25979820125337</v>
      </c>
      <c r="BC126" s="2078">
        <f>IF($B126&lt;=Factores!$D$3,"",BC34)</f>
        <v>1.6671864521444564</v>
      </c>
      <c r="BD126" s="2078">
        <f>IF($B126&lt;=Factores!$D$3,"",BD34)</f>
        <v>4.2065701973429119</v>
      </c>
      <c r="BE126" s="2449">
        <f>IF($B126&lt;=Factores!$D$3,"",BE34)</f>
        <v>37.442607675496227</v>
      </c>
      <c r="BF126" s="780">
        <f>IF($B126&lt;=Factores!$D$3,"",BF34)</f>
        <v>6895.128680814666</v>
      </c>
      <c r="BG126" s="780">
        <f>IF($B126&lt;=Factores!$D$3,"",BG34)</f>
        <v>1769.1407361295153</v>
      </c>
      <c r="BH126" s="780">
        <f>IF($B126&lt;=Factores!$D$3,"",BH34)</f>
        <v>8662.6337665424326</v>
      </c>
      <c r="BI126" s="780">
        <f>IF($B126&lt;=Factores!$D$3,"",BI34)</f>
        <v>0</v>
      </c>
      <c r="BJ126" s="539">
        <f>IF($B126&lt;=Factores!$D$3,"",BJ34)</f>
        <v>0</v>
      </c>
      <c r="BK126" s="539">
        <f>IF($B126&lt;=Factores!$D$3,"",BK34)</f>
        <v>0</v>
      </c>
      <c r="BL126" s="781">
        <f>IF($B126&lt;=Factores!$D$3,"",BL34)</f>
        <v>98.057573027372243</v>
      </c>
      <c r="BM126" s="539">
        <f>IF($B126&lt;=Factores!$D$3,"",BM34)</f>
        <v>0</v>
      </c>
      <c r="BN126" s="539">
        <f>IF($B126&lt;=Factores!$D$3,"",BN34)</f>
        <v>0</v>
      </c>
      <c r="BO126" s="539">
        <f>IF($B126&lt;=Factores!$D$3,"",BO34)</f>
        <v>0</v>
      </c>
      <c r="BP126" s="2441">
        <f>IF($B126&lt;=Factores!$D$3,"",BP34)</f>
        <v>0</v>
      </c>
      <c r="BQ126" s="2442">
        <f>IF($B126&lt;=Factores!$D$3,"",BQ34)</f>
        <v>0</v>
      </c>
      <c r="BR126" s="2443">
        <f>IF($B126&lt;=Factores!$D$3,"",BR34)</f>
        <v>0</v>
      </c>
      <c r="BS126" s="2444">
        <f>IF($B126&lt;=Factores!$D$3,"",BS34)</f>
        <v>0</v>
      </c>
      <c r="BT126" s="785">
        <f>IF($B126&lt;=Factores!$D$3,"",BT34)</f>
        <v>0</v>
      </c>
      <c r="BU126" s="785">
        <f>IF($B126&lt;=Factores!$D$3,"",BU34)</f>
        <v>0</v>
      </c>
      <c r="BV126" s="2445">
        <f>IF($B126&lt;=Factores!$D$3,"",BV34)</f>
        <v>0</v>
      </c>
      <c r="BW126" s="785">
        <f>IF($B126&lt;=Factores!$D$3,"",BW34)</f>
        <v>0</v>
      </c>
      <c r="BX126" s="785">
        <f>IF($B126&lt;=Factores!$D$3,"",BX34)</f>
        <v>0</v>
      </c>
      <c r="BY126" s="785">
        <f>IF($B126&lt;=Factores!$D$3,"",BY34)</f>
        <v>0</v>
      </c>
      <c r="BZ126" s="785">
        <f>IF($B126&lt;=Factores!$D$3,"",BZ34)</f>
        <v>0</v>
      </c>
      <c r="CA126" s="2446">
        <f>IF($B126&lt;=Factores!$D$3,"",CA34)</f>
        <v>0</v>
      </c>
      <c r="CB126" s="2446">
        <f>IF($B126&lt;=Factores!$D$3,"",CB34)</f>
        <v>0</v>
      </c>
      <c r="CC126" s="2446">
        <f>IF($B126&lt;=Factores!$D$3,"",CC34)</f>
        <v>0</v>
      </c>
      <c r="CD126" s="2443">
        <f>IF($B126&lt;=Factores!$D$3,"",CD34)</f>
        <v>0</v>
      </c>
      <c r="CE126" s="2446">
        <f>IF($B126&lt;=Factores!$D$3,"",CE34)</f>
        <v>0</v>
      </c>
      <c r="CF126" s="2446">
        <f>IF($B126&lt;=Factores!$D$3,"",CF34)</f>
        <v>0</v>
      </c>
      <c r="CG126" s="2446">
        <f>IF($B126&lt;=Factores!$D$3,"",CG34)</f>
        <v>0</v>
      </c>
      <c r="CH126" s="2444">
        <f>IF($B126&lt;=Factores!$D$3,"",CH34)</f>
        <v>0</v>
      </c>
      <c r="CI126" s="2446">
        <f>IF($B126&lt;=Factores!$D$3,"",CI34)</f>
        <v>0</v>
      </c>
      <c r="CJ126" s="2443">
        <f>IF($B126&lt;=Factores!$D$3,"",CJ34)</f>
        <v>0</v>
      </c>
      <c r="CK126" s="2446">
        <f>IF($B126&lt;=Factores!$D$3,"",CK34)</f>
        <v>0</v>
      </c>
      <c r="CL126" s="2446">
        <f>IF($B126&lt;=Factores!$D$3,"",CL34)</f>
        <v>0</v>
      </c>
      <c r="CM126" s="2443">
        <f>IF($B126&lt;=Factores!$D$3,"",CM34)</f>
        <v>0</v>
      </c>
      <c r="CN126" s="2444">
        <f>IF($B126&lt;=Factores!$D$3,"",CN34)</f>
        <v>0</v>
      </c>
      <c r="CO126" s="2446">
        <f>IF($B126&lt;=Factores!$D$3,"",CO34)</f>
        <v>0</v>
      </c>
      <c r="CP126" s="2447">
        <f>IF($B126&lt;=Factores!$D$3,"",CP34)</f>
        <v>0</v>
      </c>
      <c r="CQ126" s="744">
        <f>IF($B126&lt;=Factores!$D$3,"",CQ34)</f>
        <v>0</v>
      </c>
      <c r="CR126" s="744">
        <f>IF($B126&lt;=Factores!$D$3,"",CR34)</f>
        <v>0</v>
      </c>
      <c r="CS126" s="744">
        <f>IF($B126&lt;=Factores!$D$3,"",CS34)</f>
        <v>0</v>
      </c>
      <c r="CT126" s="744">
        <f>IF($B126&lt;=Factores!$D$3,"",CT34)</f>
        <v>0</v>
      </c>
      <c r="CU126" s="744">
        <f>IF($B126&lt;=Factores!$D$3,"",CU34)</f>
        <v>0</v>
      </c>
      <c r="CV126" s="744">
        <f>IF($B126&lt;=Factores!$D$3,"",CV34)</f>
        <v>0</v>
      </c>
      <c r="CW126" s="2449">
        <f>IF($B126&lt;=Factores!$D$3,"",CW34)</f>
        <v>81.987487473131353</v>
      </c>
      <c r="CX126" s="783">
        <f>IF($B126&lt;=Factores!$D$3,"",CX34)</f>
        <v>22412.732893169181</v>
      </c>
      <c r="CY126" s="744">
        <f>IF($B126&lt;=Factores!$D$3,"",CY34)</f>
        <v>0</v>
      </c>
      <c r="CZ126" s="744">
        <f>IF($B126&lt;=Factores!$D$3,"",CZ34)</f>
        <v>0</v>
      </c>
      <c r="DA126" s="744">
        <f>IF($B126&lt;=Factores!$D$3,"",DA34)</f>
        <v>23.533817526569337</v>
      </c>
      <c r="DB126" s="744">
        <f>IF($B126&lt;=Factores!$D$3,"",DB34)</f>
        <v>1</v>
      </c>
      <c r="DC126" s="744">
        <f>IF($B126&lt;=Factores!$D$3,"",DC34)</f>
        <v>90.245413987786748</v>
      </c>
    </row>
    <row r="127" spans="1:107" s="744" customFormat="1" ht="15.65" customHeight="1">
      <c r="A127" s="2450"/>
      <c r="B127" s="794">
        <f t="shared" si="60"/>
        <v>46109.791666666664</v>
      </c>
      <c r="C127" s="780">
        <f>IF($B127&lt;=Factores!$D$3,"",C35)</f>
        <v>180000.00000042227</v>
      </c>
      <c r="D127" s="2432">
        <f>IF($B127&lt;=Factores!$D$3,"",D35)</f>
        <v>691175.09021232976</v>
      </c>
      <c r="E127" s="2432">
        <f>IF($B127&lt;=Factores!$D$3,"",E35)</f>
        <v>206249.92537445974</v>
      </c>
      <c r="F127" s="2432">
        <f>IF($B127&lt;=Factores!$D$3,"",F35)</f>
        <v>42202.332513784633</v>
      </c>
      <c r="G127" s="2432">
        <f>IF($B127&lt;=Factores!$D$3,"",G35)</f>
        <v>164047.5928606751</v>
      </c>
      <c r="H127" s="781">
        <f>IF($B127&lt;=Factores!$D$3,"",H35)</f>
        <v>98.057573027372243</v>
      </c>
      <c r="I127" s="781">
        <f>IF($B127&lt;=Factores!$D$3,"",I35)</f>
        <v>97.132597759803119</v>
      </c>
      <c r="J127" s="2067">
        <f>IF($B127&lt;=Factores!$D$3,"",J35)</f>
        <v>97.88718333333334</v>
      </c>
      <c r="K127" s="781">
        <f>IF($B127&lt;=Factores!$D$3,"",K35)</f>
        <v>75.419030333058217</v>
      </c>
      <c r="L127" s="2066">
        <f>IF($B127&lt;=Factores!$D$3,"",L35)</f>
        <v>0.60210373772341408</v>
      </c>
      <c r="M127" s="781">
        <f>IF($B127&lt;=Factores!$D$3,"",M35)</f>
        <v>88.872627606430385</v>
      </c>
      <c r="N127" s="781">
        <f>IF($B127&lt;=Factores!$D$3,"",N35)</f>
        <v>30.914583841702612</v>
      </c>
      <c r="O127" s="780">
        <f>IF($B127&lt;=Factores!$D$3,"",O35)</f>
        <v>3570.0125218506764</v>
      </c>
      <c r="P127" s="539">
        <f>IF($B127&lt;=Factores!$D$3,"",P35)</f>
        <v>90811.547809008378</v>
      </c>
      <c r="Q127" s="780">
        <f>IF($B127&lt;=Factores!$D$3,"",Q35)</f>
        <v>1103.6545142268092</v>
      </c>
      <c r="R127" s="782">
        <f>IF($B127&lt;=Factores!$D$3,"",R35)</f>
        <v>23569.737991374684</v>
      </c>
      <c r="S127" s="780">
        <f>IF($B127&lt;=Factores!$D$3,"",S35)</f>
        <v>251.23051736718298</v>
      </c>
      <c r="T127" s="781">
        <f>IF($B127&lt;=Factores!$D$3,"",T35)</f>
        <v>91.338114334178627</v>
      </c>
      <c r="U127" s="781">
        <f>IF($B127&lt;=Factores!$D$3,"",U35)</f>
        <v>90.011866709359808</v>
      </c>
      <c r="V127" s="781">
        <f>IF($B127&lt;=Factores!$D$3,"",V35)</f>
        <v>82.215141729323534</v>
      </c>
      <c r="W127" s="781">
        <f>IF($B127&lt;=Factores!$D$3,"",W35)</f>
        <v>50</v>
      </c>
      <c r="X127" s="780">
        <f>IF($B127&lt;=Factores!$D$3,"",X35)</f>
        <v>85.201648614566253</v>
      </c>
      <c r="Y127" s="539">
        <f>IF($B127&lt;=Factores!$D$3,"",Y35)</f>
        <v>2304.2950945793823</v>
      </c>
      <c r="Z127" s="539">
        <f>IF($B127&lt;=Factores!$D$3,"",Z35)</f>
        <v>50</v>
      </c>
      <c r="AA127" s="780">
        <f>IF($B127&lt;=Factores!$D$3,"",AA35)</f>
        <v>42.600824307283126</v>
      </c>
      <c r="AB127" s="782">
        <f>IF($B127&lt;=Factores!$D$3,"",AB35)</f>
        <v>796.73652549815779</v>
      </c>
      <c r="AC127" s="780">
        <f>IF($B127&lt;=Factores!$D$3,"",AC35)</f>
        <v>25</v>
      </c>
      <c r="AD127" s="539">
        <f>IF($B127&lt;=Factores!$D$3,"",AD35)</f>
        <v>910.49373559192611</v>
      </c>
      <c r="AE127" s="782">
        <f>IF($B127&lt;=Factores!$D$3,"",AE35)</f>
        <v>257.90123462174063</v>
      </c>
      <c r="AF127" s="780">
        <f>IF($B127&lt;=Factores!$D$3,"",AF35)</f>
        <v>1227.1543038936229</v>
      </c>
      <c r="AG127" s="539">
        <f>IF($B127&lt;=Factores!$D$3,"",AG35)</f>
        <v>25879.477178793844</v>
      </c>
      <c r="AH127" s="2072">
        <f>IF($B127&lt;=Factores!$D$3,"",AH35)</f>
        <v>1133.8282676861904</v>
      </c>
      <c r="AI127" s="2451">
        <f>IF($B127&lt;=Factores!$D$3,"",AI35)</f>
        <v>25300.411680486039</v>
      </c>
      <c r="AJ127" s="2439">
        <f>IF($B127&lt;=Factores!$D$3,"",AJ35)</f>
        <v>4366</v>
      </c>
      <c r="AK127" s="2452">
        <f>IF($B127&lt;=Factores!$D$3,"",AK35)</f>
        <v>30.914583841702612</v>
      </c>
      <c r="AL127" s="2453">
        <f>IF($B127&lt;=Factores!$D$3,"",AL35)</f>
        <v>1349.7307305287361</v>
      </c>
      <c r="AM127" s="2439">
        <f>IF($B127&lt;=Factores!$D$3,"",AM35)</f>
        <v>2573.2226391941244</v>
      </c>
      <c r="AN127" s="2452">
        <f>IF($B127&lt;=Factores!$D$3,"",AN35)</f>
        <v>26.411054113784456</v>
      </c>
      <c r="AO127" s="2453">
        <f>IF($B127&lt;=Factores!$D$3,"",AO35)</f>
        <v>679.61522370571265</v>
      </c>
      <c r="AP127" s="783">
        <f>IF($B127&lt;=Factores!$D$3,"",AP35)</f>
        <v>3164.1139617258091</v>
      </c>
      <c r="AQ127" s="783">
        <f>IF($B127&lt;=Factores!$D$3,"",AQ35)</f>
        <v>652.43061475748414</v>
      </c>
      <c r="AR127" s="783">
        <f>IF($B127&lt;=Factores!$D$3,"",AR35)</f>
        <v>8596.2279464140011</v>
      </c>
      <c r="AS127" s="2632">
        <f>IF($B127&lt;=Factores!$D$3,"",AS35)</f>
        <v>208249.92537445974</v>
      </c>
      <c r="AT127" s="784"/>
      <c r="AU127" s="2076"/>
      <c r="AV127" s="2438">
        <f>IF($B127&lt;=Factores!$D$3,"",AV35)</f>
        <v>46109.791666666664</v>
      </c>
      <c r="AW127" s="2439">
        <f>IF($B127&lt;=Factores!$D$3,"",AW35)</f>
        <v>85.281757195963152</v>
      </c>
      <c r="AX127" s="783">
        <f>IF($B127&lt;=Factores!$D$3,"",AX35)</f>
        <v>0</v>
      </c>
      <c r="AY127" s="783">
        <f>IF($B127&lt;=Factores!$D$3,"",AY35)</f>
        <v>0</v>
      </c>
      <c r="AZ127" s="783">
        <f>IF($B127&lt;=Factores!$D$3,"",AZ35)</f>
        <v>0</v>
      </c>
      <c r="BA127" s="2432">
        <f>IF($B127&lt;=Factores!$D$3,"",BA35)</f>
        <v>18.29986106432866</v>
      </c>
      <c r="BB127" s="782">
        <f>IF($B127&lt;=Factores!$D$3,"",BB35)</f>
        <v>823.49374789478964</v>
      </c>
      <c r="BC127" s="2078">
        <f>IF($B127&lt;=Factores!$D$3,"",BC35)</f>
        <v>1.7272347742418133</v>
      </c>
      <c r="BD127" s="2078">
        <f>IF($B127&lt;=Factores!$D$3,"",BD35)</f>
        <v>4.1782513779298185</v>
      </c>
      <c r="BE127" s="2449">
        <f>IF($B127&lt;=Factores!$D$3,"",BE35)</f>
        <v>38.576705583348371</v>
      </c>
      <c r="BF127" s="780">
        <f>IF($B127&lt;=Factores!$D$3,"",BF35)</f>
        <v>6970.717465428962</v>
      </c>
      <c r="BG127" s="780">
        <f>IF($B127&lt;=Factores!$D$3,"",BG35)</f>
        <v>1810.3402585361443</v>
      </c>
      <c r="BH127" s="780">
        <f>IF($B127&lt;=Factores!$D$3,"",BH35)</f>
        <v>8779.2360531392223</v>
      </c>
      <c r="BI127" s="780">
        <f>IF($B127&lt;=Factores!$D$3,"",BI35)</f>
        <v>0</v>
      </c>
      <c r="BJ127" s="539">
        <f>IF($B127&lt;=Factores!$D$3,"",BJ35)</f>
        <v>0</v>
      </c>
      <c r="BK127" s="539">
        <f>IF($B127&lt;=Factores!$D$3,"",BK35)</f>
        <v>0</v>
      </c>
      <c r="BL127" s="781">
        <f>IF($B127&lt;=Factores!$D$3,"",BL35)</f>
        <v>98.057573027372243</v>
      </c>
      <c r="BM127" s="539">
        <f>IF($B127&lt;=Factores!$D$3,"",BM35)</f>
        <v>0</v>
      </c>
      <c r="BN127" s="539">
        <f>IF($B127&lt;=Factores!$D$3,"",BN35)</f>
        <v>0</v>
      </c>
      <c r="BO127" s="539">
        <f>IF($B127&lt;=Factores!$D$3,"",BO35)</f>
        <v>0</v>
      </c>
      <c r="BP127" s="2441">
        <f>IF($B127&lt;=Factores!$D$3,"",BP35)</f>
        <v>0</v>
      </c>
      <c r="BQ127" s="2442">
        <f>IF($B127&lt;=Factores!$D$3,"",BQ35)</f>
        <v>0</v>
      </c>
      <c r="BR127" s="2443">
        <f>IF($B127&lt;=Factores!$D$3,"",BR35)</f>
        <v>0</v>
      </c>
      <c r="BS127" s="2444">
        <f>IF($B127&lt;=Factores!$D$3,"",BS35)</f>
        <v>0</v>
      </c>
      <c r="BT127" s="785">
        <f>IF($B127&lt;=Factores!$D$3,"",BT35)</f>
        <v>0</v>
      </c>
      <c r="BU127" s="785">
        <f>IF($B127&lt;=Factores!$D$3,"",BU35)</f>
        <v>0</v>
      </c>
      <c r="BV127" s="2445">
        <f>IF($B127&lt;=Factores!$D$3,"",BV35)</f>
        <v>0</v>
      </c>
      <c r="BW127" s="785">
        <f>IF($B127&lt;=Factores!$D$3,"",BW35)</f>
        <v>0</v>
      </c>
      <c r="BX127" s="785">
        <f>IF($B127&lt;=Factores!$D$3,"",BX35)</f>
        <v>0</v>
      </c>
      <c r="BY127" s="785">
        <f>IF($B127&lt;=Factores!$D$3,"",BY35)</f>
        <v>0</v>
      </c>
      <c r="BZ127" s="785">
        <f>IF($B127&lt;=Factores!$D$3,"",BZ35)</f>
        <v>0</v>
      </c>
      <c r="CA127" s="2446">
        <f>IF($B127&lt;=Factores!$D$3,"",CA35)</f>
        <v>0</v>
      </c>
      <c r="CB127" s="2446">
        <f>IF($B127&lt;=Factores!$D$3,"",CB35)</f>
        <v>0</v>
      </c>
      <c r="CC127" s="2446">
        <f>IF($B127&lt;=Factores!$D$3,"",CC35)</f>
        <v>0</v>
      </c>
      <c r="CD127" s="2443">
        <f>IF($B127&lt;=Factores!$D$3,"",CD35)</f>
        <v>0</v>
      </c>
      <c r="CE127" s="2446">
        <f>IF($B127&lt;=Factores!$D$3,"",CE35)</f>
        <v>0</v>
      </c>
      <c r="CF127" s="2446">
        <f>IF($B127&lt;=Factores!$D$3,"",CF35)</f>
        <v>0</v>
      </c>
      <c r="CG127" s="2446">
        <f>IF($B127&lt;=Factores!$D$3,"",CG35)</f>
        <v>0</v>
      </c>
      <c r="CH127" s="2444">
        <f>IF($B127&lt;=Factores!$D$3,"",CH35)</f>
        <v>0</v>
      </c>
      <c r="CI127" s="2446">
        <f>IF($B127&lt;=Factores!$D$3,"",CI35)</f>
        <v>0</v>
      </c>
      <c r="CJ127" s="2443">
        <f>IF($B127&lt;=Factores!$D$3,"",CJ35)</f>
        <v>0</v>
      </c>
      <c r="CK127" s="2446">
        <f>IF($B127&lt;=Factores!$D$3,"",CK35)</f>
        <v>0</v>
      </c>
      <c r="CL127" s="2446">
        <f>IF($B127&lt;=Factores!$D$3,"",CL35)</f>
        <v>0</v>
      </c>
      <c r="CM127" s="2443">
        <f>IF($B127&lt;=Factores!$D$3,"",CM35)</f>
        <v>0</v>
      </c>
      <c r="CN127" s="2444">
        <f>IF($B127&lt;=Factores!$D$3,"",CN35)</f>
        <v>0</v>
      </c>
      <c r="CO127" s="2446">
        <f>IF($B127&lt;=Factores!$D$3,"",CO35)</f>
        <v>0</v>
      </c>
      <c r="CP127" s="2447">
        <f>IF($B127&lt;=Factores!$D$3,"",CP35)</f>
        <v>0</v>
      </c>
      <c r="CQ127" s="744">
        <f>IF($B127&lt;=Factores!$D$3,"",CQ35)</f>
        <v>0</v>
      </c>
      <c r="CR127" s="744">
        <f>IF($B127&lt;=Factores!$D$3,"",CR35)</f>
        <v>0</v>
      </c>
      <c r="CS127" s="744">
        <f>IF($B127&lt;=Factores!$D$3,"",CS35)</f>
        <v>0</v>
      </c>
      <c r="CT127" s="744">
        <f>IF($B127&lt;=Factores!$D$3,"",CT35)</f>
        <v>0</v>
      </c>
      <c r="CU127" s="744">
        <f>IF($B127&lt;=Factores!$D$3,"",CU35)</f>
        <v>0</v>
      </c>
      <c r="CV127" s="744">
        <f>IF($B127&lt;=Factores!$D$3,"",CV35)</f>
        <v>0</v>
      </c>
      <c r="CW127" s="2449">
        <f>IF($B127&lt;=Factores!$D$3,"",CW35)</f>
        <v>75.419030333058217</v>
      </c>
      <c r="CX127" s="783">
        <f>IF($B127&lt;=Factores!$D$3,"",CX35)</f>
        <v>23092.348116874895</v>
      </c>
      <c r="CY127" s="744">
        <f>IF($B127&lt;=Factores!$D$3,"",CY35)</f>
        <v>0</v>
      </c>
      <c r="CZ127" s="744">
        <f>IF($B127&lt;=Factores!$D$3,"",CZ35)</f>
        <v>0</v>
      </c>
      <c r="DA127" s="744">
        <f>IF($B127&lt;=Factores!$D$3,"",DA35)</f>
        <v>23.533817526569337</v>
      </c>
      <c r="DB127" s="744">
        <f>IF($B127&lt;=Factores!$D$3,"",DB35)</f>
        <v>1</v>
      </c>
      <c r="DC127" s="744">
        <f>IF($B127&lt;=Factores!$D$3,"",DC35)</f>
        <v>85.281757195963152</v>
      </c>
    </row>
    <row r="128" spans="1:107" s="744" customFormat="1" ht="15.65" customHeight="1">
      <c r="A128" s="2450"/>
      <c r="B128" s="794">
        <f t="shared" si="60"/>
        <v>46110.791666666664</v>
      </c>
      <c r="C128" s="780">
        <f>IF($B128&lt;=Factores!$D$3,"",C36)</f>
        <v>237999.99999993708</v>
      </c>
      <c r="D128" s="2432">
        <f>IF($B128&lt;=Factores!$D$3,"",D36)</f>
        <v>720005.78911096265</v>
      </c>
      <c r="E128" s="2432">
        <f>IF($B128&lt;=Factores!$D$3,"",E36)</f>
        <v>209169.30110130421</v>
      </c>
      <c r="F128" s="2432">
        <f>IF($B128&lt;=Factores!$D$3,"",F36)</f>
        <v>42241.024113783184</v>
      </c>
      <c r="G128" s="2432">
        <f>IF($B128&lt;=Factores!$D$3,"",G36)</f>
        <v>166928.27698752104</v>
      </c>
      <c r="H128" s="781">
        <f>IF($B128&lt;=Factores!$D$3,"",H36)</f>
        <v>98.057573027372243</v>
      </c>
      <c r="I128" s="781">
        <f>IF($B128&lt;=Factores!$D$3,"",I36)</f>
        <v>97.132597759803119</v>
      </c>
      <c r="J128" s="2067">
        <f>IF($B128&lt;=Factores!$D$3,"",J36)</f>
        <v>97.88718333333334</v>
      </c>
      <c r="K128" s="781">
        <f>IF($B128&lt;=Factores!$D$3,"",K36)</f>
        <v>74.078349562304226</v>
      </c>
      <c r="L128" s="2066">
        <f>IF($B128&lt;=Factores!$D$3,"",L36)</f>
        <v>0.60253190135276002</v>
      </c>
      <c r="M128" s="781">
        <f>IF($B128&lt;=Factores!$D$3,"",M36)</f>
        <v>90.12517923258855</v>
      </c>
      <c r="N128" s="781">
        <f>IF($B128&lt;=Factores!$D$3,"",N36)</f>
        <v>30.166707440864869</v>
      </c>
      <c r="O128" s="780">
        <f>IF($B128&lt;=Factores!$D$3,"",O36)</f>
        <v>3765.2708407090422</v>
      </c>
      <c r="P128" s="539">
        <f>IF($B128&lt;=Factores!$D$3,"",P36)</f>
        <v>94576.818649717417</v>
      </c>
      <c r="Q128" s="780">
        <f>IF($B128&lt;=Factores!$D$3,"",Q36)</f>
        <v>1135.8582388728898</v>
      </c>
      <c r="R128" s="782">
        <f>IF($B128&lt;=Factores!$D$3,"",R36)</f>
        <v>24705.596230247575</v>
      </c>
      <c r="S128" s="780">
        <f>IF($B128&lt;=Factores!$D$3,"",S36)</f>
        <v>214.05128990479867</v>
      </c>
      <c r="T128" s="781">
        <f>IF($B128&lt;=Factores!$D$3,"",T36)</f>
        <v>90.776561964300811</v>
      </c>
      <c r="U128" s="781">
        <f>IF($B128&lt;=Factores!$D$3,"",U36)</f>
        <v>89.558098825957131</v>
      </c>
      <c r="V128" s="781">
        <f>IF($B128&lt;=Factores!$D$3,"",V36)</f>
        <v>81.29776307479473</v>
      </c>
      <c r="W128" s="781">
        <f>IF($B128&lt;=Factores!$D$3,"",W36)</f>
        <v>50</v>
      </c>
      <c r="X128" s="780">
        <f>IF($B128&lt;=Factores!$D$3,"",X36)</f>
        <v>72.798827785993694</v>
      </c>
      <c r="Y128" s="539">
        <f>IF($B128&lt;=Factores!$D$3,"",Y36)</f>
        <v>2377.0939223653759</v>
      </c>
      <c r="Z128" s="539">
        <f>IF($B128&lt;=Factores!$D$3,"",Z36)</f>
        <v>50</v>
      </c>
      <c r="AA128" s="780">
        <f>IF($B128&lt;=Factores!$D$3,"",AA36)</f>
        <v>36.399413892996847</v>
      </c>
      <c r="AB128" s="782">
        <f>IF($B128&lt;=Factores!$D$3,"",AB36)</f>
        <v>833.13593939115458</v>
      </c>
      <c r="AC128" s="780">
        <f>IF($B128&lt;=Factores!$D$3,"",AC36)</f>
        <v>25</v>
      </c>
      <c r="AD128" s="539">
        <f>IF($B128&lt;=Factores!$D$3,"",AD36)</f>
        <v>935.49373559192611</v>
      </c>
      <c r="AE128" s="782">
        <f>IF($B128&lt;=Factores!$D$3,"",AE36)</f>
        <v>269.30064851473747</v>
      </c>
      <c r="AF128" s="780">
        <f>IF($B128&lt;=Factores!$D$3,"",AF36)</f>
        <v>1241.3801397486877</v>
      </c>
      <c r="AG128" s="539">
        <f>IF($B128&lt;=Factores!$D$3,"",AG36)</f>
        <v>27120.857318542534</v>
      </c>
      <c r="AH128" s="2072">
        <f>IF($B128&lt;=Factores!$D$3,"",AH36)</f>
        <v>1164.8082507957199</v>
      </c>
      <c r="AI128" s="2451">
        <f>IF($B128&lt;=Factores!$D$3,"",AI36)</f>
        <v>26465.219931281757</v>
      </c>
      <c r="AJ128" s="2439">
        <f>IF($B128&lt;=Factores!$D$3,"",AJ36)</f>
        <v>4366</v>
      </c>
      <c r="AK128" s="2452">
        <f>IF($B128&lt;=Factores!$D$3,"",AK36)</f>
        <v>30.166707440864869</v>
      </c>
      <c r="AL128" s="2453">
        <f>IF($B128&lt;=Factores!$D$3,"",AL36)</f>
        <v>1317.0784468681602</v>
      </c>
      <c r="AM128" s="2439">
        <f>IF($B128&lt;=Factores!$D$3,"",AM36)</f>
        <v>4366</v>
      </c>
      <c r="AN128" s="2452">
        <f>IF($B128&lt;=Factores!$D$3,"",AN36)</f>
        <v>30.914583841702612</v>
      </c>
      <c r="AO128" s="2453">
        <f>IF($B128&lt;=Factores!$D$3,"",AO36)</f>
        <v>1349.7307305287361</v>
      </c>
      <c r="AP128" s="783">
        <f>IF($B128&lt;=Factores!$D$3,"",AP36)</f>
        <v>2950.2414700699628</v>
      </c>
      <c r="AQ128" s="783">
        <f>IF($B128&lt;=Factores!$D$3,"",AQ36)</f>
        <v>1295.7415013075865</v>
      </c>
      <c r="AR128" s="783">
        <f>IF($B128&lt;=Factores!$D$3,"",AR36)</f>
        <v>7995.4987871230433</v>
      </c>
      <c r="AS128" s="2632">
        <f>IF($B128&lt;=Factores!$D$3,"",AS36)</f>
        <v>209169.30110130418</v>
      </c>
      <c r="AT128" s="784"/>
      <c r="AU128" s="2076"/>
      <c r="AV128" s="2438">
        <f>IF($B128&lt;=Factores!$D$3,"",AV36)</f>
        <v>46110.791666666664</v>
      </c>
      <c r="AW128" s="2439">
        <f>IF($B128&lt;=Factores!$D$3,"",AW36)</f>
        <v>79.837457058144906</v>
      </c>
      <c r="AX128" s="783">
        <f>IF($B128&lt;=Factores!$D$3,"",AX36)</f>
        <v>0</v>
      </c>
      <c r="AY128" s="783">
        <f>IF($B128&lt;=Factores!$D$3,"",AY36)</f>
        <v>0</v>
      </c>
      <c r="AZ128" s="783">
        <f>IF($B128&lt;=Factores!$D$3,"",AZ36)</f>
        <v>0</v>
      </c>
      <c r="BA128" s="2432">
        <f>IF($B128&lt;=Factores!$D$3,"",BA36)</f>
        <v>19.387743880966898</v>
      </c>
      <c r="BB128" s="782">
        <f>IF($B128&lt;=Factores!$D$3,"",BB36)</f>
        <v>872.44847464351039</v>
      </c>
      <c r="BC128" s="2078">
        <f>IF($B128&lt;=Factores!$D$3,"",BC36)</f>
        <v>1.4021036733061003</v>
      </c>
      <c r="BD128" s="2078">
        <f>IF($B128&lt;=Factores!$D$3,"",BD36)</f>
        <v>4.0684535764789951</v>
      </c>
      <c r="BE128" s="2449">
        <f>IF($B128&lt;=Factores!$D$3,"",BE36)</f>
        <v>37.856345607601831</v>
      </c>
      <c r="BF128" s="780">
        <f>IF($B128&lt;=Factores!$D$3,"",BF36)</f>
        <v>7093.1236208941218</v>
      </c>
      <c r="BG128" s="780">
        <f>IF($B128&lt;=Factores!$D$3,"",BG36)</f>
        <v>1812</v>
      </c>
      <c r="BH128" s="780">
        <f>IF($B128&lt;=Factores!$D$3,"",BH36)</f>
        <v>8903.5022248105088</v>
      </c>
      <c r="BI128" s="780">
        <f>IF($B128&lt;=Factores!$D$3,"",BI36)</f>
        <v>0</v>
      </c>
      <c r="BJ128" s="539">
        <f>IF($B128&lt;=Factores!$D$3,"",BJ36)</f>
        <v>0</v>
      </c>
      <c r="BK128" s="539">
        <f>IF($B128&lt;=Factores!$D$3,"",BK36)</f>
        <v>0</v>
      </c>
      <c r="BL128" s="781">
        <f>IF($B128&lt;=Factores!$D$3,"",BL36)</f>
        <v>98.057573027372243</v>
      </c>
      <c r="BM128" s="539">
        <f>IF($B128&lt;=Factores!$D$3,"",BM36)</f>
        <v>0</v>
      </c>
      <c r="BN128" s="539">
        <f>IF($B128&lt;=Factores!$D$3,"",BN36)</f>
        <v>0</v>
      </c>
      <c r="BO128" s="539">
        <f>IF($B128&lt;=Factores!$D$3,"",BO36)</f>
        <v>0</v>
      </c>
      <c r="BP128" s="2441">
        <f>IF($B128&lt;=Factores!$D$3,"",BP36)</f>
        <v>0</v>
      </c>
      <c r="BQ128" s="2442">
        <f>IF($B128&lt;=Factores!$D$3,"",BQ36)</f>
        <v>0</v>
      </c>
      <c r="BR128" s="2443">
        <f>IF($B128&lt;=Factores!$D$3,"",BR36)</f>
        <v>0</v>
      </c>
      <c r="BS128" s="2444">
        <f>IF($B128&lt;=Factores!$D$3,"",BS36)</f>
        <v>0</v>
      </c>
      <c r="BT128" s="785">
        <f>IF($B128&lt;=Factores!$D$3,"",BT36)</f>
        <v>0</v>
      </c>
      <c r="BU128" s="785">
        <f>IF($B128&lt;=Factores!$D$3,"",BU36)</f>
        <v>0</v>
      </c>
      <c r="BV128" s="2445">
        <f>IF($B128&lt;=Factores!$D$3,"",BV36)</f>
        <v>0</v>
      </c>
      <c r="BW128" s="785">
        <f>IF($B128&lt;=Factores!$D$3,"",BW36)</f>
        <v>0</v>
      </c>
      <c r="BX128" s="785">
        <f>IF($B128&lt;=Factores!$D$3,"",BX36)</f>
        <v>0</v>
      </c>
      <c r="BY128" s="785">
        <f>IF($B128&lt;=Factores!$D$3,"",BY36)</f>
        <v>0</v>
      </c>
      <c r="BZ128" s="785">
        <f>IF($B128&lt;=Factores!$D$3,"",BZ36)</f>
        <v>0</v>
      </c>
      <c r="CA128" s="2446">
        <f>IF($B128&lt;=Factores!$D$3,"",CA36)</f>
        <v>0</v>
      </c>
      <c r="CB128" s="2446">
        <f>IF($B128&lt;=Factores!$D$3,"",CB36)</f>
        <v>0</v>
      </c>
      <c r="CC128" s="2446">
        <f>IF($B128&lt;=Factores!$D$3,"",CC36)</f>
        <v>0</v>
      </c>
      <c r="CD128" s="2443">
        <f>IF($B128&lt;=Factores!$D$3,"",CD36)</f>
        <v>0</v>
      </c>
      <c r="CE128" s="2446">
        <f>IF($B128&lt;=Factores!$D$3,"",CE36)</f>
        <v>0</v>
      </c>
      <c r="CF128" s="2446">
        <f>IF($B128&lt;=Factores!$D$3,"",CF36)</f>
        <v>0</v>
      </c>
      <c r="CG128" s="2446">
        <f>IF($B128&lt;=Factores!$D$3,"",CG36)</f>
        <v>0</v>
      </c>
      <c r="CH128" s="2444">
        <f>IF($B128&lt;=Factores!$D$3,"",CH36)</f>
        <v>0</v>
      </c>
      <c r="CI128" s="2446">
        <f>IF($B128&lt;=Factores!$D$3,"",CI36)</f>
        <v>0</v>
      </c>
      <c r="CJ128" s="2443">
        <f>IF($B128&lt;=Factores!$D$3,"",CJ36)</f>
        <v>0</v>
      </c>
      <c r="CK128" s="2446">
        <f>IF($B128&lt;=Factores!$D$3,"",CK36)</f>
        <v>0</v>
      </c>
      <c r="CL128" s="2446">
        <f>IF($B128&lt;=Factores!$D$3,"",CL36)</f>
        <v>0</v>
      </c>
      <c r="CM128" s="2443">
        <f>IF($B128&lt;=Factores!$D$3,"",CM36)</f>
        <v>0</v>
      </c>
      <c r="CN128" s="2444">
        <f>IF($B128&lt;=Factores!$D$3,"",CN36)</f>
        <v>0</v>
      </c>
      <c r="CO128" s="2446">
        <f>IF($B128&lt;=Factores!$D$3,"",CO36)</f>
        <v>0</v>
      </c>
      <c r="CP128" s="2447">
        <f>IF($B128&lt;=Factores!$D$3,"",CP36)</f>
        <v>0</v>
      </c>
      <c r="CQ128" s="744">
        <f>IF($B128&lt;=Factores!$D$3,"",CQ36)</f>
        <v>0</v>
      </c>
      <c r="CR128" s="744">
        <f>IF($B128&lt;=Factores!$D$3,"",CR36)</f>
        <v>0</v>
      </c>
      <c r="CS128" s="744">
        <f>IF($B128&lt;=Factores!$D$3,"",CS36)</f>
        <v>0</v>
      </c>
      <c r="CT128" s="744">
        <f>IF($B128&lt;=Factores!$D$3,"",CT36)</f>
        <v>0</v>
      </c>
      <c r="CU128" s="744">
        <f>IF($B128&lt;=Factores!$D$3,"",CU36)</f>
        <v>0</v>
      </c>
      <c r="CV128" s="744">
        <f>IF($B128&lt;=Factores!$D$3,"",CV36)</f>
        <v>0</v>
      </c>
      <c r="CW128" s="2449">
        <f>IF($B128&lt;=Factores!$D$3,"",CW36)</f>
        <v>74.078349562304226</v>
      </c>
      <c r="CX128" s="783">
        <f>IF($B128&lt;=Factores!$D$3,"",CX36)</f>
        <v>24442.078847403631</v>
      </c>
      <c r="CY128" s="744">
        <f>IF($B128&lt;=Factores!$D$3,"",CY36)</f>
        <v>0</v>
      </c>
      <c r="CZ128" s="744">
        <f>IF($B128&lt;=Factores!$D$3,"",CZ36)</f>
        <v>0</v>
      </c>
      <c r="DA128" s="744">
        <f>IF($B128&lt;=Factores!$D$3,"",DA36)</f>
        <v>23.533817526569337</v>
      </c>
      <c r="DB128" s="744">
        <f>IF($B128&lt;=Factores!$D$3,"",DB36)</f>
        <v>2</v>
      </c>
      <c r="DC128" s="744">
        <f>IF($B128&lt;=Factores!$D$3,"",DC36)</f>
        <v>79.837457058144906</v>
      </c>
    </row>
    <row r="129" spans="1:107" s="744" customFormat="1" ht="15.65" customHeight="1">
      <c r="A129" s="2450"/>
      <c r="B129" s="794">
        <f t="shared" si="60"/>
        <v>46111.791666666664</v>
      </c>
      <c r="C129" s="780">
        <f>IF($B129&lt;=Factores!$D$3,"",C37)</f>
        <v>238000.00000004738</v>
      </c>
      <c r="D129" s="2432">
        <f>IF($B129&lt;=Factores!$D$3,"",D37)</f>
        <v>757023.23163522466</v>
      </c>
      <c r="E129" s="2432">
        <f>IF($B129&lt;=Factores!$D$3,"",E37)</f>
        <v>200982.55747578535</v>
      </c>
      <c r="F129" s="2432">
        <f>IF($B129&lt;=Factores!$D$3,"",F37)</f>
        <v>41807.968537079883</v>
      </c>
      <c r="G129" s="2432">
        <f>IF($B129&lt;=Factores!$D$3,"",G37)</f>
        <v>159174.58893870545</v>
      </c>
      <c r="H129" s="781">
        <f>IF($B129&lt;=Factores!$D$3,"",H37)</f>
        <v>94.157059414800372</v>
      </c>
      <c r="I129" s="781">
        <f>IF($B129&lt;=Factores!$D$3,"",I37)</f>
        <v>97.132597759803119</v>
      </c>
      <c r="J129" s="2067">
        <f>IF($B129&lt;=Factores!$D$3,"",J37)</f>
        <v>94.705183333333338</v>
      </c>
      <c r="K129" s="781">
        <f>IF($B129&lt;=Factores!$D$3,"",K37)</f>
        <v>76.792985410910248</v>
      </c>
      <c r="L129" s="2066">
        <f>IF($B129&lt;=Factores!$D$3,"",L37)</f>
        <v>0.58079430880381111</v>
      </c>
      <c r="M129" s="781">
        <f>IF($B129&lt;=Factores!$D$3,"",M37)</f>
        <v>90.917789823751221</v>
      </c>
      <c r="N129" s="781">
        <f>IF($B129&lt;=Factores!$D$3,"",N37)</f>
        <v>29.819750307075012</v>
      </c>
      <c r="O129" s="780">
        <f>IF($B129&lt;=Factores!$D$3,"",O37)</f>
        <v>3558.9803271200471</v>
      </c>
      <c r="P129" s="539">
        <f>IF($B129&lt;=Factores!$D$3,"",P37)</f>
        <v>98135.798976837468</v>
      </c>
      <c r="Q129" s="780">
        <f>IF($B129&lt;=Factores!$D$3,"",Q37)</f>
        <v>1061.2790470251196</v>
      </c>
      <c r="R129" s="782">
        <f>IF($B129&lt;=Factores!$D$3,"",R37)</f>
        <v>25766.875277272695</v>
      </c>
      <c r="S129" s="780">
        <f>IF($B129&lt;=Factores!$D$3,"",S37)</f>
        <v>176.62984698962811</v>
      </c>
      <c r="T129" s="781">
        <f>IF($B129&lt;=Factores!$D$3,"",T37)</f>
        <v>90.102793544699793</v>
      </c>
      <c r="U129" s="781">
        <f>IF($B129&lt;=Factores!$D$3,"",U37)</f>
        <v>89.013653666314326</v>
      </c>
      <c r="V129" s="781">
        <f>IF($B129&lt;=Factores!$D$3,"",V37)</f>
        <v>80.203788589553298</v>
      </c>
      <c r="W129" s="781">
        <f>IF($B129&lt;=Factores!$D$3,"",W37)</f>
        <v>50</v>
      </c>
      <c r="X129" s="780">
        <f>IF($B129&lt;=Factores!$D$3,"",X37)</f>
        <v>56.943917334838709</v>
      </c>
      <c r="Y129" s="539">
        <f>IF($B129&lt;=Factores!$D$3,"",Y37)</f>
        <v>2434.0378397002146</v>
      </c>
      <c r="Z129" s="539">
        <f>IF($B129&lt;=Factores!$D$3,"",Z37)</f>
        <v>50</v>
      </c>
      <c r="AA129" s="780">
        <f>IF($B129&lt;=Factores!$D$3,"",AA37)</f>
        <v>28.471958667419354</v>
      </c>
      <c r="AB129" s="782">
        <f>IF($B129&lt;=Factores!$D$3,"",AB37)</f>
        <v>861.60789805857394</v>
      </c>
      <c r="AC129" s="780">
        <f>IF($B129&lt;=Factores!$D$3,"",AC37)</f>
        <v>25</v>
      </c>
      <c r="AD129" s="539">
        <f>IF($B129&lt;=Factores!$D$3,"",AD37)</f>
        <v>960.49373559192611</v>
      </c>
      <c r="AE129" s="782">
        <f>IF($B129&lt;=Factores!$D$3,"",AE37)</f>
        <v>272.77260718215683</v>
      </c>
      <c r="AF129" s="780">
        <f>IF($B129&lt;=Factores!$D$3,"",AF37)</f>
        <v>1143.8192552019682</v>
      </c>
      <c r="AG129" s="539">
        <f>IF($B129&lt;=Factores!$D$3,"",AG37)</f>
        <v>28264.676573744502</v>
      </c>
      <c r="AH129" s="2072">
        <f>IF($B129&lt;=Factores!$D$3,"",AH37)</f>
        <v>1093.063068238165</v>
      </c>
      <c r="AI129" s="2451">
        <f>IF($B129&lt;=Factores!$D$3,"",AI37)</f>
        <v>27558.282999519921</v>
      </c>
      <c r="AJ129" s="2439">
        <f>IF($B129&lt;=Factores!$D$3,"",AJ37)</f>
        <v>4366</v>
      </c>
      <c r="AK129" s="2452">
        <f>IF($B129&lt;=Factores!$D$3,"",AK37)</f>
        <v>29.819750307075012</v>
      </c>
      <c r="AL129" s="2453">
        <f>IF($B129&lt;=Factores!$D$3,"",AL37)</f>
        <v>1301.930298406895</v>
      </c>
      <c r="AM129" s="2439">
        <f>IF($B129&lt;=Factores!$D$3,"",AM37)</f>
        <v>4366</v>
      </c>
      <c r="AN129" s="2452">
        <f>IF($B129&lt;=Factores!$D$3,"",AN37)</f>
        <v>30.166707440864869</v>
      </c>
      <c r="AO129" s="2453">
        <f>IF($B129&lt;=Factores!$D$3,"",AO37)</f>
        <v>1317.0784468681602</v>
      </c>
      <c r="AP129" s="783">
        <f>IF($B129&lt;=Factores!$D$3,"",AP37)</f>
        <v>2694.4420702269217</v>
      </c>
      <c r="AQ129" s="783">
        <f>IF($B129&lt;=Factores!$D$3,"",AQ37)</f>
        <v>1264.3953089934337</v>
      </c>
      <c r="AR129" s="783">
        <f>IF($B129&lt;=Factores!$D$3,"",AR37)</f>
        <v>7188.4791142430904</v>
      </c>
      <c r="AS129" s="2632">
        <f>IF($B129&lt;=Factores!$D$3,"",AS37)</f>
        <v>200982.55747578532</v>
      </c>
      <c r="AT129" s="784"/>
      <c r="AU129" s="2076"/>
      <c r="AV129" s="2438">
        <f>IF($B129&lt;=Factores!$D$3,"",AV37)</f>
        <v>46111.791666666664</v>
      </c>
      <c r="AW129" s="2439">
        <f>IF($B129&lt;=Factores!$D$3,"",AW37)</f>
        <v>83.226583739130831</v>
      </c>
      <c r="AX129" s="783">
        <f>IF($B129&lt;=Factores!$D$3,"",AX37)</f>
        <v>0</v>
      </c>
      <c r="AY129" s="783">
        <f>IF($B129&lt;=Factores!$D$3,"",AY37)</f>
        <v>0</v>
      </c>
      <c r="AZ129" s="783">
        <f>IF($B129&lt;=Factores!$D$3,"",AZ37)</f>
        <v>0</v>
      </c>
      <c r="BA129" s="2432">
        <f>IF($B129&lt;=Factores!$D$3,"",BA37)</f>
        <v>16.388313236015385</v>
      </c>
      <c r="BB129" s="782">
        <f>IF($B129&lt;=Factores!$D$3,"",BB37)</f>
        <v>737.47409562069231</v>
      </c>
      <c r="BC129" s="2078">
        <f>IF($B129&lt;=Factores!$D$3,"",BC37)</f>
        <v>1.2628868967614186</v>
      </c>
      <c r="BD129" s="2078">
        <f>IF($B129&lt;=Factores!$D$3,"",BD37)</f>
        <v>4.1344082201220784</v>
      </c>
      <c r="BE129" s="2449">
        <f>IF($B129&lt;=Factores!$D$3,"",BE37)</f>
        <v>37.61583478206861</v>
      </c>
      <c r="BF129" s="780">
        <f>IF($B129&lt;=Factores!$D$3,"",BF37)</f>
        <v>7043.8420446998507</v>
      </c>
      <c r="BG129" s="780">
        <f>IF($B129&lt;=Factores!$D$3,"",BG37)</f>
        <v>1793.4233503697101</v>
      </c>
      <c r="BH129" s="780">
        <f>IF($B129&lt;=Factores!$D$3,"",BH37)</f>
        <v>8842.4655688409766</v>
      </c>
      <c r="BI129" s="780">
        <f>IF($B129&lt;=Factores!$D$3,"",BI37)</f>
        <v>0</v>
      </c>
      <c r="BJ129" s="539">
        <f>IF($B129&lt;=Factores!$D$3,"",BJ37)</f>
        <v>0</v>
      </c>
      <c r="BK129" s="539">
        <f>IF($B129&lt;=Factores!$D$3,"",BK37)</f>
        <v>0</v>
      </c>
      <c r="BL129" s="781">
        <f>IF($B129&lt;=Factores!$D$3,"",BL37)</f>
        <v>94.157059414800372</v>
      </c>
      <c r="BM129" s="539">
        <f>IF($B129&lt;=Factores!$D$3,"",BM37)</f>
        <v>0</v>
      </c>
      <c r="BN129" s="539">
        <f>IF($B129&lt;=Factores!$D$3,"",BN37)</f>
        <v>0</v>
      </c>
      <c r="BO129" s="539">
        <f>IF($B129&lt;=Factores!$D$3,"",BO37)</f>
        <v>0</v>
      </c>
      <c r="BP129" s="2441">
        <f>IF($B129&lt;=Factores!$D$3,"",BP37)</f>
        <v>0</v>
      </c>
      <c r="BQ129" s="2442">
        <f>IF($B129&lt;=Factores!$D$3,"",BQ37)</f>
        <v>0</v>
      </c>
      <c r="BR129" s="2443">
        <f>IF($B129&lt;=Factores!$D$3,"",BR37)</f>
        <v>0</v>
      </c>
      <c r="BS129" s="2444">
        <f>IF($B129&lt;=Factores!$D$3,"",BS37)</f>
        <v>0</v>
      </c>
      <c r="BT129" s="785">
        <f>IF($B129&lt;=Factores!$D$3,"",BT37)</f>
        <v>0</v>
      </c>
      <c r="BU129" s="785">
        <f>IF($B129&lt;=Factores!$D$3,"",BU37)</f>
        <v>0</v>
      </c>
      <c r="BV129" s="2445">
        <f>IF($B129&lt;=Factores!$D$3,"",BV37)</f>
        <v>0</v>
      </c>
      <c r="BW129" s="785">
        <f>IF($B129&lt;=Factores!$D$3,"",BW37)</f>
        <v>0</v>
      </c>
      <c r="BX129" s="785">
        <f>IF($B129&lt;=Factores!$D$3,"",BX37)</f>
        <v>0</v>
      </c>
      <c r="BY129" s="785">
        <f>IF($B129&lt;=Factores!$D$3,"",BY37)</f>
        <v>0</v>
      </c>
      <c r="BZ129" s="785">
        <f>IF($B129&lt;=Factores!$D$3,"",BZ37)</f>
        <v>0</v>
      </c>
      <c r="CA129" s="2446">
        <f>IF($B129&lt;=Factores!$D$3,"",CA37)</f>
        <v>0</v>
      </c>
      <c r="CB129" s="2446">
        <f>IF($B129&lt;=Factores!$D$3,"",CB37)</f>
        <v>0</v>
      </c>
      <c r="CC129" s="2446">
        <f>IF($B129&lt;=Factores!$D$3,"",CC37)</f>
        <v>0</v>
      </c>
      <c r="CD129" s="2443">
        <f>IF($B129&lt;=Factores!$D$3,"",CD37)</f>
        <v>0</v>
      </c>
      <c r="CE129" s="2446">
        <f>IF($B129&lt;=Factores!$D$3,"",CE37)</f>
        <v>0</v>
      </c>
      <c r="CF129" s="2446">
        <f>IF($B129&lt;=Factores!$D$3,"",CF37)</f>
        <v>0</v>
      </c>
      <c r="CG129" s="2446">
        <f>IF($B129&lt;=Factores!$D$3,"",CG37)</f>
        <v>0</v>
      </c>
      <c r="CH129" s="2444">
        <f>IF($B129&lt;=Factores!$D$3,"",CH37)</f>
        <v>0</v>
      </c>
      <c r="CI129" s="2446">
        <f>IF($B129&lt;=Factores!$D$3,"",CI37)</f>
        <v>0</v>
      </c>
      <c r="CJ129" s="2443">
        <f>IF($B129&lt;=Factores!$D$3,"",CJ37)</f>
        <v>0</v>
      </c>
      <c r="CK129" s="2446">
        <f>IF($B129&lt;=Factores!$D$3,"",CK37)</f>
        <v>0</v>
      </c>
      <c r="CL129" s="2446">
        <f>IF($B129&lt;=Factores!$D$3,"",CL37)</f>
        <v>0</v>
      </c>
      <c r="CM129" s="2443">
        <f>IF($B129&lt;=Factores!$D$3,"",CM37)</f>
        <v>0</v>
      </c>
      <c r="CN129" s="2444">
        <f>IF($B129&lt;=Factores!$D$3,"",CN37)</f>
        <v>0</v>
      </c>
      <c r="CO129" s="2446">
        <f>IF($B129&lt;=Factores!$D$3,"",CO37)</f>
        <v>0</v>
      </c>
      <c r="CP129" s="2447">
        <f>IF($B129&lt;=Factores!$D$3,"",CP37)</f>
        <v>0</v>
      </c>
      <c r="CQ129" s="744">
        <f>IF($B129&lt;=Factores!$D$3,"",CQ37)</f>
        <v>0</v>
      </c>
      <c r="CR129" s="744">
        <f>IF($B129&lt;=Factores!$D$3,"",CR37)</f>
        <v>0</v>
      </c>
      <c r="CS129" s="744">
        <f>IF($B129&lt;=Factores!$D$3,"",CS37)</f>
        <v>0</v>
      </c>
      <c r="CT129" s="744">
        <f>IF($B129&lt;=Factores!$D$3,"",CT37)</f>
        <v>0</v>
      </c>
      <c r="CU129" s="744">
        <f>IF($B129&lt;=Factores!$D$3,"",CU37)</f>
        <v>0</v>
      </c>
      <c r="CV129" s="744">
        <f>IF($B129&lt;=Factores!$D$3,"",CV37)</f>
        <v>0</v>
      </c>
      <c r="CW129" s="2449">
        <f>IF($B129&lt;=Factores!$D$3,"",CW37)</f>
        <v>76.792985410910248</v>
      </c>
      <c r="CX129" s="783">
        <f>IF($B129&lt;=Factores!$D$3,"",CX37)</f>
        <v>25759.15729427179</v>
      </c>
      <c r="CY129" s="744">
        <f>IF($B129&lt;=Factores!$D$3,"",CY37)</f>
        <v>0</v>
      </c>
      <c r="CZ129" s="744">
        <f>IF($B129&lt;=Factores!$D$3,"",CZ37)</f>
        <v>0</v>
      </c>
      <c r="DA129" s="744">
        <f>IF($B129&lt;=Factores!$D$3,"",DA37)</f>
        <v>22.597694259552089</v>
      </c>
      <c r="DB129" s="744">
        <f>IF($B129&lt;=Factores!$D$3,"",DB37)</f>
        <v>3</v>
      </c>
      <c r="DC129" s="744">
        <f>IF($B129&lt;=Factores!$D$3,"",DC37)</f>
        <v>83.226583739130831</v>
      </c>
    </row>
    <row r="130" spans="1:107" s="744" customFormat="1" ht="15.65" customHeight="1">
      <c r="A130" s="2450"/>
      <c r="B130" s="794">
        <f t="shared" si="60"/>
        <v>46112.791666666664</v>
      </c>
      <c r="C130" s="780">
        <f>IF($B130&lt;=Factores!$D$3,"",C38)</f>
        <v>269999.99999969493</v>
      </c>
      <c r="D130" s="2432">
        <f>IF($B130&lt;=Factores!$D$3,"",D38)</f>
        <v>720646.63057864783</v>
      </c>
      <c r="E130" s="2432">
        <f>IF($B130&lt;=Factores!$D$3,"",E38)</f>
        <v>306376.6010562717</v>
      </c>
      <c r="F130" s="2432">
        <f>IF($B130&lt;=Factores!$D$3,"",F38)</f>
        <v>42241.024113783184</v>
      </c>
      <c r="G130" s="2432">
        <f>IF($B130&lt;=Factores!$D$3,"",G38)</f>
        <v>264135.57694248849</v>
      </c>
      <c r="H130" s="781">
        <f>IF($B130&lt;=Factores!$D$3,"",H38)</f>
        <v>98.057573027372243</v>
      </c>
      <c r="I130" s="781">
        <f>IF($B130&lt;=Factores!$D$3,"",I38)</f>
        <v>97.132597759803119</v>
      </c>
      <c r="J130" s="2067">
        <f>IF($B130&lt;=Factores!$D$3,"",J38)</f>
        <v>97.88718333333334</v>
      </c>
      <c r="K130" s="781">
        <f>IF($B130&lt;=Factores!$D$3,"",K38)</f>
        <v>69.378764329299386</v>
      </c>
      <c r="L130" s="2066">
        <f>IF($B130&lt;=Factores!$D$3,"",L38)</f>
        <v>0.57187199432425428</v>
      </c>
      <c r="M130" s="781">
        <f>IF($B130&lt;=Factores!$D$3,"",M38)</f>
        <v>91.042827998464162</v>
      </c>
      <c r="N130" s="781">
        <f>IF($B130&lt;=Factores!$D$3,"",N38)</f>
        <v>29.094089095777246</v>
      </c>
      <c r="O130" s="780">
        <f>IF($B130&lt;=Factores!$D$3,"",O38)</f>
        <v>5482.7115463926684</v>
      </c>
      <c r="P130" s="539">
        <f>IF($B130&lt;=Factores!$D$3,"",P38)</f>
        <v>103618.51052323014</v>
      </c>
      <c r="Q130" s="780">
        <f>IF($B130&lt;=Factores!$D$3,"",Q38)</f>
        <v>1595.1449821719493</v>
      </c>
      <c r="R130" s="782">
        <f>IF($B130&lt;=Factores!$D$3,"",R38)</f>
        <v>27362.020259444645</v>
      </c>
      <c r="S130" s="780">
        <f>IF($B130&lt;=Factores!$D$3,"",S38)</f>
        <v>186.55741600567592</v>
      </c>
      <c r="T130" s="781">
        <f>IF($B130&lt;=Factores!$D$3,"",T38)</f>
        <v>90.294527739166298</v>
      </c>
      <c r="U130" s="781">
        <f>IF($B130&lt;=Factores!$D$3,"",U38)</f>
        <v>89.168586356951735</v>
      </c>
      <c r="V130" s="781">
        <f>IF($B130&lt;=Factores!$D$3,"",V38)</f>
        <v>80.514353942700239</v>
      </c>
      <c r="W130" s="781">
        <f>IF($B130&lt;=Factores!$D$3,"",W38)</f>
        <v>50</v>
      </c>
      <c r="X130" s="780">
        <f>IF($B130&lt;=Factores!$D$3,"",X38)</f>
        <v>92.038900014831199</v>
      </c>
      <c r="Y130" s="539">
        <f>IF($B130&lt;=Factores!$D$3,"",Y38)</f>
        <v>2526.0767397150457</v>
      </c>
      <c r="Z130" s="539">
        <f>IF($B130&lt;=Factores!$D$3,"",Z38)</f>
        <v>80</v>
      </c>
      <c r="AA130" s="780">
        <f>IF($B130&lt;=Factores!$D$3,"",AA38)</f>
        <v>46.0194500074156</v>
      </c>
      <c r="AB130" s="782">
        <f>IF($B130&lt;=Factores!$D$3,"",AB38)</f>
        <v>907.62734806598951</v>
      </c>
      <c r="AC130" s="780">
        <f>IF($B130&lt;=Factores!$D$3,"",AC38)</f>
        <v>40</v>
      </c>
      <c r="AD130" s="539">
        <f>IF($B130&lt;=Factores!$D$3,"",AD38)</f>
        <v>1000.4937355919261</v>
      </c>
      <c r="AE130" s="782">
        <f>IF($B130&lt;=Factores!$D$3,"",AE38)</f>
        <v>278.79205718957246</v>
      </c>
      <c r="AF130" s="780">
        <f>IF($B130&lt;=Factores!$D$3,"",AF38)</f>
        <v>1728.5553677434471</v>
      </c>
      <c r="AG130" s="539">
        <f>IF($B130&lt;=Factores!$D$3,"",AG38)</f>
        <v>29993.231941487949</v>
      </c>
      <c r="AH130" s="2072">
        <f>IF($B130&lt;=Factores!$D$3,"",AH38)</f>
        <v>1649.9096728494153</v>
      </c>
      <c r="AI130" s="2451">
        <f>IF($B130&lt;=Factores!$D$3,"",AI38)</f>
        <v>29208.192672369336</v>
      </c>
      <c r="AJ130" s="2439">
        <f>IF($B130&lt;=Factores!$D$3,"",AJ38)</f>
        <v>4366</v>
      </c>
      <c r="AK130" s="2452">
        <f>IF($B130&lt;=Factores!$D$3,"",AK38)</f>
        <v>29.094089095777246</v>
      </c>
      <c r="AL130" s="2453">
        <f>IF($B130&lt;=Factores!$D$3,"",AL38)</f>
        <v>1270.2479299216345</v>
      </c>
      <c r="AM130" s="2439">
        <f>IF($B130&lt;=Factores!$D$3,"",AM38)</f>
        <v>5666</v>
      </c>
      <c r="AN130" s="2452">
        <f>IF($B130&lt;=Factores!$D$3,"",AN38)</f>
        <v>29.819750307075012</v>
      </c>
      <c r="AO130" s="2453">
        <f>IF($B130&lt;=Factores!$D$3,"",AO38)</f>
        <v>1689.5870523988704</v>
      </c>
      <c r="AP130" s="783">
        <f>IF($B130&lt;=Factores!$D$3,"",AP38)</f>
        <v>2600</v>
      </c>
      <c r="AQ130" s="783">
        <f>IF($B130&lt;=Factores!$D$3,"",AQ38)</f>
        <v>1622.0035703029155</v>
      </c>
      <c r="AR130" s="783">
        <f>IF($B130&lt;=Factores!$D$3,"",AR38)</f>
        <v>7005.1906606357588</v>
      </c>
      <c r="AS130" s="2632">
        <f>IF($B130&lt;=Factores!$D$3,"",AS38)</f>
        <v>211294.20762501497</v>
      </c>
      <c r="AT130" s="784"/>
      <c r="AU130" s="2076"/>
      <c r="AV130" s="2438">
        <f>IF($B130&lt;=Factores!$D$3,"",AV38)</f>
        <v>46112.791666666664</v>
      </c>
      <c r="AW130" s="2439">
        <f>IF($B130&lt;=Factores!$D$3,"",AW38)</f>
        <v>78.829288563837736</v>
      </c>
      <c r="AX130" s="783">
        <f>IF($B130&lt;=Factores!$D$3,"",AX38)</f>
        <v>0</v>
      </c>
      <c r="AY130" s="783">
        <f>IF($B130&lt;=Factores!$D$3,"",AY38)</f>
        <v>0</v>
      </c>
      <c r="AZ130" s="783">
        <f>IF($B130&lt;=Factores!$D$3,"",AZ38)</f>
        <v>0</v>
      </c>
      <c r="BA130" s="2432">
        <f>IF($B130&lt;=Factores!$D$3,"",BA38)</f>
        <v>15.945762577034797</v>
      </c>
      <c r="BB130" s="782">
        <f>IF($B130&lt;=Factores!$D$3,"",BB38)</f>
        <v>717.55931596656592</v>
      </c>
      <c r="BC130" s="2078">
        <f>IF($B130&lt;=Factores!$D$3,"",BC38)</f>
        <v>1.198143512834341</v>
      </c>
      <c r="BD130" s="2078">
        <f>IF($B130&lt;=Factores!$D$3,"",BD38)</f>
        <v>4.0941923461957765</v>
      </c>
      <c r="BE130" s="2449">
        <f>IF($B130&lt;=Factores!$D$3,"",BE38)</f>
        <v>38.842467620264443</v>
      </c>
      <c r="BF130" s="780">
        <f>IF($B130&lt;=Factores!$D$3,"",BF38)</f>
        <v>11223.660447111195</v>
      </c>
      <c r="BG130" s="780">
        <f>IF($B130&lt;=Factores!$D$3,"",BG38)</f>
        <v>1812</v>
      </c>
      <c r="BH130" s="780">
        <f>IF($B130&lt;=Factores!$D$3,"",BH38)</f>
        <v>8694.1526465946845</v>
      </c>
      <c r="BI130" s="780">
        <f>IF($B130&lt;=Factores!$D$3,"",BI38)</f>
        <v>0</v>
      </c>
      <c r="BJ130" s="539">
        <f>IF($B130&lt;=Factores!$D$3,"",BJ38)</f>
        <v>0</v>
      </c>
      <c r="BK130" s="539">
        <f>IF($B130&lt;=Factores!$D$3,"",BK38)</f>
        <v>0</v>
      </c>
      <c r="BL130" s="781">
        <f>IF($B130&lt;=Factores!$D$3,"",BL38)</f>
        <v>98.057573027372243</v>
      </c>
      <c r="BM130" s="539">
        <f>IF($B130&lt;=Factores!$D$3,"",BM38)</f>
        <v>0</v>
      </c>
      <c r="BN130" s="539">
        <f>IF($B130&lt;=Factores!$D$3,"",BN38)</f>
        <v>0</v>
      </c>
      <c r="BO130" s="539">
        <f>IF($B130&lt;=Factores!$D$3,"",BO38)</f>
        <v>0</v>
      </c>
      <c r="BP130" s="2441">
        <f>IF($B130&lt;=Factores!$D$3,"",BP38)</f>
        <v>0</v>
      </c>
      <c r="BQ130" s="2442">
        <f>IF($B130&lt;=Factores!$D$3,"",BQ38)</f>
        <v>0</v>
      </c>
      <c r="BR130" s="2443">
        <f>IF($B130&lt;=Factores!$D$3,"",BR38)</f>
        <v>0</v>
      </c>
      <c r="BS130" s="2444">
        <f>IF($B130&lt;=Factores!$D$3,"",BS38)</f>
        <v>0</v>
      </c>
      <c r="BT130" s="785">
        <f>IF($B130&lt;=Factores!$D$3,"",BT38)</f>
        <v>0</v>
      </c>
      <c r="BU130" s="785">
        <f>IF($B130&lt;=Factores!$D$3,"",BU38)</f>
        <v>0</v>
      </c>
      <c r="BV130" s="2445">
        <f>IF($B130&lt;=Factores!$D$3,"",BV38)</f>
        <v>0</v>
      </c>
      <c r="BW130" s="785">
        <f>IF($B130&lt;=Factores!$D$3,"",BW38)</f>
        <v>0</v>
      </c>
      <c r="BX130" s="785">
        <f>IF($B130&lt;=Factores!$D$3,"",BX38)</f>
        <v>0</v>
      </c>
      <c r="BY130" s="785">
        <f>IF($B130&lt;=Factores!$D$3,"",BY38)</f>
        <v>0</v>
      </c>
      <c r="BZ130" s="785">
        <f>IF($B130&lt;=Factores!$D$3,"",BZ38)</f>
        <v>0</v>
      </c>
      <c r="CA130" s="2446">
        <f>IF($B130&lt;=Factores!$D$3,"",CA38)</f>
        <v>0</v>
      </c>
      <c r="CB130" s="2446">
        <f>IF($B130&lt;=Factores!$D$3,"",CB38)</f>
        <v>0</v>
      </c>
      <c r="CC130" s="2446">
        <f>IF($B130&lt;=Factores!$D$3,"",CC38)</f>
        <v>0</v>
      </c>
      <c r="CD130" s="2443">
        <f>IF($B130&lt;=Factores!$D$3,"",CD38)</f>
        <v>0</v>
      </c>
      <c r="CE130" s="2446">
        <f>IF($B130&lt;=Factores!$D$3,"",CE38)</f>
        <v>0</v>
      </c>
      <c r="CF130" s="2446">
        <f>IF($B130&lt;=Factores!$D$3,"",CF38)</f>
        <v>0</v>
      </c>
      <c r="CG130" s="2446">
        <f>IF($B130&lt;=Factores!$D$3,"",CG38)</f>
        <v>0</v>
      </c>
      <c r="CH130" s="2444">
        <f>IF($B130&lt;=Factores!$D$3,"",CH38)</f>
        <v>0</v>
      </c>
      <c r="CI130" s="2446">
        <f>IF($B130&lt;=Factores!$D$3,"",CI38)</f>
        <v>0</v>
      </c>
      <c r="CJ130" s="2443">
        <f>IF($B130&lt;=Factores!$D$3,"",CJ38)</f>
        <v>0</v>
      </c>
      <c r="CK130" s="2446">
        <f>IF($B130&lt;=Factores!$D$3,"",CK38)</f>
        <v>0</v>
      </c>
      <c r="CL130" s="2446">
        <f>IF($B130&lt;=Factores!$D$3,"",CL38)</f>
        <v>0</v>
      </c>
      <c r="CM130" s="2443">
        <f>IF($B130&lt;=Factores!$D$3,"",CM38)</f>
        <v>0</v>
      </c>
      <c r="CN130" s="2444">
        <f>IF($B130&lt;=Factores!$D$3,"",CN38)</f>
        <v>0</v>
      </c>
      <c r="CO130" s="2446">
        <f>IF($B130&lt;=Factores!$D$3,"",CO38)</f>
        <v>0</v>
      </c>
      <c r="CP130" s="2447">
        <f>IF($B130&lt;=Factores!$D$3,"",CP38)</f>
        <v>0</v>
      </c>
      <c r="CQ130" s="744">
        <f>IF($B130&lt;=Factores!$D$3,"",CQ38)</f>
        <v>0</v>
      </c>
      <c r="CR130" s="744">
        <f>IF($B130&lt;=Factores!$D$3,"",CR38)</f>
        <v>0</v>
      </c>
      <c r="CS130" s="744">
        <f>IF($B130&lt;=Factores!$D$3,"",CS38)</f>
        <v>0</v>
      </c>
      <c r="CT130" s="744">
        <f>IF($B130&lt;=Factores!$D$3,"",CT38)</f>
        <v>0</v>
      </c>
      <c r="CU130" s="744">
        <f>IF($B130&lt;=Factores!$D$3,"",CU38)</f>
        <v>0</v>
      </c>
      <c r="CV130" s="744">
        <f>IF($B130&lt;=Factores!$D$3,"",CV38)</f>
        <v>0</v>
      </c>
      <c r="CW130" s="2449">
        <f>IF($B130&lt;=Factores!$D$3,"",CW38)</f>
        <v>69.378764329299386</v>
      </c>
      <c r="CX130" s="783">
        <f>IF($B130&lt;=Factores!$D$3,"",CX38)</f>
        <v>27448.744346670661</v>
      </c>
      <c r="CY130" s="744">
        <f>IF($B130&lt;=Factores!$D$3,"",CY38)</f>
        <v>0</v>
      </c>
      <c r="CZ130" s="744">
        <f>IF($B130&lt;=Factores!$D$3,"",CZ38)</f>
        <v>0</v>
      </c>
      <c r="DA130" s="744">
        <f>IF($B130&lt;=Factores!$D$3,"",DA38)</f>
        <v>23.533817526569337</v>
      </c>
      <c r="DB130" s="744">
        <f>IF($B130&lt;=Factores!$D$3,"",DB38)</f>
        <v>4</v>
      </c>
      <c r="DC130" s="744">
        <f>IF($B130&lt;=Factores!$D$3,"",DC38)</f>
        <v>78.829288563837736</v>
      </c>
    </row>
    <row r="132" spans="1:107">
      <c r="B132" s="2173" t="s">
        <v>1420</v>
      </c>
      <c r="C132" s="791">
        <f>SUM(C99:C130)</f>
        <v>3151083.6409320245</v>
      </c>
      <c r="D132" s="745"/>
      <c r="E132" s="791">
        <f>SUM(E99:E130)</f>
        <v>2915771.2079533758</v>
      </c>
      <c r="F132" s="791">
        <f>SUM(F99:F130)</f>
        <v>580219.67408721254</v>
      </c>
      <c r="G132" s="791">
        <f>SUM(G99:G130)</f>
        <v>2335551.5338661633</v>
      </c>
      <c r="H132" s="790">
        <f>AVERAGE(H99:H130)</f>
        <v>97.500356797004812</v>
      </c>
      <c r="I132" s="790">
        <f>AVERAGE(I99:I130)</f>
        <v>97.132597759803119</v>
      </c>
      <c r="J132" s="3108">
        <f>(24*H4*30*H132/100+24*I4*30*I132/100)/(24*30-4.185)*100</f>
        <v>98.002249982786836</v>
      </c>
      <c r="L132" s="2641">
        <f>SUMPRODUCT($E$99:$E$130,L99:L130)/$E$132</f>
        <v>0.54707727241503024</v>
      </c>
      <c r="M132" s="2642">
        <f>Q132/(E132*L132/100)*100</f>
        <v>90.196204025003624</v>
      </c>
      <c r="N132" s="2642">
        <f>Q132/O132*100</f>
        <v>26.849886364447851</v>
      </c>
      <c r="O132" s="974">
        <f>SUM(O99:O130)</f>
        <v>53585.57860181087</v>
      </c>
      <c r="Q132" s="974">
        <f>SUM(Q99:Q130)</f>
        <v>14387.666962318102</v>
      </c>
      <c r="S132" s="974">
        <f>SUMPRODUCT($E$99:$E$130,S99:S130)/$E$132</f>
        <v>176.69027223403086</v>
      </c>
      <c r="T132" s="2642">
        <f>SUMPRODUCT($E$99:$E$130,T99:T130)/$E$132</f>
        <v>90.223068808896571</v>
      </c>
      <c r="V132" s="965">
        <f>AA132/(E132*S132/10000)*10000</f>
        <v>80.025725486082209</v>
      </c>
      <c r="W132" s="2642">
        <f>AA132/X132*100</f>
        <v>50</v>
      </c>
      <c r="X132" s="974">
        <f>SUM(X99:X130)</f>
        <v>824.56652305334387</v>
      </c>
      <c r="Z132" s="974">
        <f>SUM(Z99:Z130)</f>
        <v>864.09700605059356</v>
      </c>
      <c r="AA132" s="974">
        <f>SUM(AA99:AA130)</f>
        <v>412.28326152667194</v>
      </c>
      <c r="AC132" s="974">
        <f>SUM(AC99:AC130)</f>
        <v>432.04850302529678</v>
      </c>
      <c r="AF132" s="974">
        <f>SUM(AF99:AF130)</f>
        <v>15582.876137483923</v>
      </c>
      <c r="AH132" s="974">
        <f>SUM(AH99:AH130)</f>
        <v>15087.181684969</v>
      </c>
      <c r="AJ132" s="974">
        <f>SUM(AJ99:AJ130)</f>
        <v>52919.520639194125</v>
      </c>
      <c r="AK132" s="962">
        <f>AL132/AJ132*100</f>
        <v>26.972554303135858</v>
      </c>
      <c r="AL132" s="974">
        <f>SUM(AL99:AL130)</f>
        <v>14273.746441365825</v>
      </c>
      <c r="AM132" s="974">
        <f>SUM(AM99:AM130)</f>
        <v>53580.15955520975</v>
      </c>
      <c r="AN132" s="962">
        <f>AO132/AM132*100</f>
        <v>26.787206728974088</v>
      </c>
      <c r="AO132" s="974">
        <f>SUM(AO99:AO130)</f>
        <v>14352.628105768199</v>
      </c>
      <c r="AW132" s="965">
        <f>SUMPRODUCT($E$99:$E$130,AW99:AW130)/$E$132</f>
        <v>85.051371677453574</v>
      </c>
      <c r="AX132" s="974"/>
      <c r="AY132" s="974"/>
      <c r="AZ132" s="974"/>
      <c r="BA132" s="965">
        <f>SUMPRODUCT($E$99:$E$130,BA99:BA130)/$E$132</f>
        <v>23.356370438941536</v>
      </c>
      <c r="BB132" s="974">
        <f>SUMPRODUCT($O$99:$O$130,BB99:BB130)/$O$132</f>
        <v>1064.3476519063004</v>
      </c>
      <c r="BC132" s="965">
        <f>SUMPRODUCT($E$99:$E$130,BC99:BC130)/$E$132</f>
        <v>1.2176756675506384</v>
      </c>
      <c r="BD132" s="965">
        <f>SUMPRODUCT($E$99:$E$130,BD99:BD130)/$E$132</f>
        <v>4.1994293556689692</v>
      </c>
      <c r="BE132" s="965">
        <f>SUMPRODUCT($E$99:$E$130,BE99:BE130)/$E$132</f>
        <v>38.005298095869115</v>
      </c>
      <c r="BH132" s="745">
        <f>AVERAGE(BH99:BH130)</f>
        <v>8595.3840121860867</v>
      </c>
    </row>
    <row r="133" spans="1:107">
      <c r="B133" s="347" t="s">
        <v>174</v>
      </c>
      <c r="C133" s="745">
        <f>'ST Original'!C117</f>
        <v>2845000.0510804611</v>
      </c>
      <c r="E133" s="791">
        <f>'ST Original'!E117</f>
        <v>2923355.6392439706</v>
      </c>
      <c r="J133" s="792">
        <f>'ST Original'!J117</f>
        <v>97.936037839173565</v>
      </c>
      <c r="L133" s="2641">
        <f>'ST Original'!L117</f>
        <v>0.55990867067481775</v>
      </c>
      <c r="M133" s="2642">
        <f>'ST Original'!M117</f>
        <v>90.286898116100303</v>
      </c>
      <c r="Q133" s="791">
        <f>'ST Original'!S117</f>
        <v>14778.269361704241</v>
      </c>
      <c r="AO133" s="745">
        <f>AO132*0.9644</f>
        <v>13841.674545202852</v>
      </c>
      <c r="AP133" s="745" t="s">
        <v>1422</v>
      </c>
    </row>
    <row r="134" spans="1:107">
      <c r="Q134" s="747">
        <f>Q132-Q133</f>
        <v>-390.60239938613813</v>
      </c>
      <c r="S134" s="966">
        <f>+'ST Original'!W39</f>
        <v>171.18629045307489</v>
      </c>
      <c r="T134" s="966">
        <f>+'ST Original'!X39</f>
        <v>91.633786719447059</v>
      </c>
      <c r="U134" s="966">
        <f>+'ST Original'!Y39</f>
        <v>87.936294783268124</v>
      </c>
      <c r="V134" s="966">
        <f>+'ST Original'!Z39</f>
        <v>80.57935681068416</v>
      </c>
      <c r="W134" s="966">
        <f>+'ST Original'!AA39</f>
        <v>50</v>
      </c>
      <c r="X134" s="966">
        <f>+'ST Original'!AB39</f>
        <v>1615.8935079268579</v>
      </c>
      <c r="Y134" s="966">
        <f>+'ST Original'!AC39</f>
        <v>1615.8935079268579</v>
      </c>
      <c r="Z134" s="966">
        <f>+'ST Original'!AD39</f>
        <v>1762.3895148678746</v>
      </c>
      <c r="AA134" s="966">
        <f>+'ST Original'!AE39</f>
        <v>807.94675396342893</v>
      </c>
      <c r="AB134" s="966">
        <f>+'ST Original'!AF39</f>
        <v>807.94675396342893</v>
      </c>
      <c r="AC134" s="966">
        <f>+'ST Original'!AG39</f>
        <v>881.1947574339373</v>
      </c>
    </row>
    <row r="136" spans="1:107">
      <c r="C136" s="1905"/>
      <c r="D136" s="2626" t="s">
        <v>36</v>
      </c>
      <c r="E136" s="2626" t="s">
        <v>1345</v>
      </c>
      <c r="F136" s="2626" t="s">
        <v>24</v>
      </c>
      <c r="G136" s="2626" t="s">
        <v>25</v>
      </c>
      <c r="H136" s="2626" t="s">
        <v>28</v>
      </c>
      <c r="I136" s="2626" t="s">
        <v>1321</v>
      </c>
    </row>
    <row r="137" spans="1:107">
      <c r="C137" s="2657" t="s">
        <v>174</v>
      </c>
      <c r="D137" s="2620">
        <f>E133/(COUNT(E100:E130)*24*J133/100)</f>
        <v>8883.8219352136348</v>
      </c>
      <c r="E137" s="2621">
        <f>J133</f>
        <v>97.936037839173565</v>
      </c>
      <c r="F137" s="2622">
        <f>L133</f>
        <v>0.55990867067481775</v>
      </c>
      <c r="G137" s="2621">
        <f>M133</f>
        <v>90.286898116100303</v>
      </c>
      <c r="H137" s="2337">
        <f t="shared" ref="H137:H142" si="61">D137*E137*24*COUNT($E$100:$E$130)/100*F137/100*G137/100</f>
        <v>14778.269361704244</v>
      </c>
      <c r="I137" s="2337">
        <f>H137</f>
        <v>14778.269361704244</v>
      </c>
    </row>
    <row r="138" spans="1:107">
      <c r="C138" s="2657" t="s">
        <v>36</v>
      </c>
      <c r="D138" s="2339">
        <f>E132/(COUNT(E100:E130)*24*J132/100)</f>
        <v>8854.7870088548225</v>
      </c>
      <c r="E138" s="2621">
        <f>E137</f>
        <v>97.936037839173565</v>
      </c>
      <c r="F138" s="2622">
        <f>F137</f>
        <v>0.55990867067481775</v>
      </c>
      <c r="G138" s="2621">
        <f>G137</f>
        <v>90.286898116100303</v>
      </c>
      <c r="H138" s="2337">
        <f t="shared" si="61"/>
        <v>14729.969658518279</v>
      </c>
      <c r="I138" s="2337">
        <f>H138-H137</f>
        <v>-48.299703185964972</v>
      </c>
    </row>
    <row r="139" spans="1:107">
      <c r="C139" s="2657" t="s">
        <v>1345</v>
      </c>
      <c r="D139" s="2337">
        <f>D138</f>
        <v>8854.7870088548225</v>
      </c>
      <c r="E139" s="2624">
        <f>J132</f>
        <v>98.002249982786836</v>
      </c>
      <c r="F139" s="2622">
        <f>F137</f>
        <v>0.55990867067481775</v>
      </c>
      <c r="G139" s="2621">
        <f>G137</f>
        <v>90.286898116100303</v>
      </c>
      <c r="H139" s="2337">
        <f t="shared" si="61"/>
        <v>14739.92822829471</v>
      </c>
      <c r="I139" s="2337">
        <f>H139-H138</f>
        <v>9.9585697764305223</v>
      </c>
    </row>
    <row r="140" spans="1:107">
      <c r="C140" s="2657" t="s">
        <v>1167</v>
      </c>
      <c r="D140" s="2337">
        <f>D138</f>
        <v>8854.7870088548225</v>
      </c>
      <c r="E140" s="2340">
        <f>E139</f>
        <v>98.002249982786836</v>
      </c>
      <c r="F140" s="2625">
        <f>L132</f>
        <v>0.54707727241503024</v>
      </c>
      <c r="G140" s="2621">
        <f>G137</f>
        <v>90.286898116100303</v>
      </c>
      <c r="H140" s="2337">
        <f t="shared" si="61"/>
        <v>14402.13404984417</v>
      </c>
      <c r="I140" s="2337">
        <f>H140-H139</f>
        <v>-337.79417845054013</v>
      </c>
    </row>
    <row r="141" spans="1:107">
      <c r="C141" s="2658" t="s">
        <v>51</v>
      </c>
      <c r="D141" s="2346">
        <f>D138</f>
        <v>8854.7870088548225</v>
      </c>
      <c r="E141" s="2344">
        <f>E139</f>
        <v>98.002249982786836</v>
      </c>
      <c r="F141" s="2627">
        <f>F140</f>
        <v>0.54707727241503024</v>
      </c>
      <c r="G141" s="2628">
        <f>M132</f>
        <v>90.196204025003624</v>
      </c>
      <c r="H141" s="2346">
        <f t="shared" si="61"/>
        <v>14387.666962318099</v>
      </c>
      <c r="I141" s="2346">
        <f>H141-H140</f>
        <v>-14.467087526070827</v>
      </c>
    </row>
    <row r="142" spans="1:107">
      <c r="C142" s="2657" t="s">
        <v>1420</v>
      </c>
      <c r="D142" s="2337">
        <f>D138</f>
        <v>8854.7870088548225</v>
      </c>
      <c r="E142" s="2340">
        <f>E139</f>
        <v>98.002249982786836</v>
      </c>
      <c r="F142" s="2625">
        <f>F140</f>
        <v>0.54707727241503024</v>
      </c>
      <c r="G142" s="2624">
        <f>G141</f>
        <v>90.196204025003624</v>
      </c>
      <c r="H142" s="2337">
        <f t="shared" si="61"/>
        <v>14387.666962318099</v>
      </c>
      <c r="I142" s="2337">
        <f>+SUM(I137:I141)</f>
        <v>14387.666962318099</v>
      </c>
    </row>
    <row r="145" spans="9:9">
      <c r="I145" s="747">
        <f>SUM(I138:I141)</f>
        <v>-390.60239938614541</v>
      </c>
    </row>
  </sheetData>
  <mergeCells count="32">
    <mergeCell ref="X6:Z6"/>
    <mergeCell ref="K5:R5"/>
    <mergeCell ref="S5:AE5"/>
    <mergeCell ref="C5:D5"/>
    <mergeCell ref="AF5:AG6"/>
    <mergeCell ref="E5:G5"/>
    <mergeCell ref="H5:J5"/>
    <mergeCell ref="BL5:BO5"/>
    <mergeCell ref="BP5:BR6"/>
    <mergeCell ref="BS6:BU6"/>
    <mergeCell ref="BS5:CP5"/>
    <mergeCell ref="BV6:CD6"/>
    <mergeCell ref="CE6:CG6"/>
    <mergeCell ref="CH6:CJ6"/>
    <mergeCell ref="CK6:CM6"/>
    <mergeCell ref="CN6:CP6"/>
    <mergeCell ref="B98:G98"/>
    <mergeCell ref="AM5:AO6"/>
    <mergeCell ref="BF6:BF7"/>
    <mergeCell ref="BG6:BG7"/>
    <mergeCell ref="BH6:BH7"/>
    <mergeCell ref="BF5:BK5"/>
    <mergeCell ref="AP5:AR5"/>
    <mergeCell ref="BA5:BB5"/>
    <mergeCell ref="A50:B50"/>
    <mergeCell ref="A51:B51"/>
    <mergeCell ref="AJ5:AL5"/>
    <mergeCell ref="AH5:AI5"/>
    <mergeCell ref="A45:B45"/>
    <mergeCell ref="A46:B46"/>
    <mergeCell ref="A47:B47"/>
    <mergeCell ref="A49:B49"/>
  </mergeCells>
  <phoneticPr fontId="51" type="noConversion"/>
  <printOptions horizontalCentered="1" verticalCentered="1" headings="1" gridLines="1"/>
  <pageMargins left="0.19685039370078741" right="0.19685039370078741" top="0.23622047244094491" bottom="0.19685039370078741" header="0" footer="0"/>
  <pageSetup paperSize="17" scale="53" orientation="landscape" horizontalDpi="300" verticalDpi="300" r:id="rId1"/>
  <headerFooter alignWithMargins="0"/>
  <ignoredErrors>
    <ignoredError sqref="E139" formula="1"/>
  </ignoredErrors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>
    <tabColor rgb="FFFFC000"/>
    <pageSetUpPr fitToPage="1"/>
  </sheetPr>
  <dimension ref="A1:BB132"/>
  <sheetViews>
    <sheetView topLeftCell="A3" zoomScale="115" zoomScaleNormal="115" workbookViewId="0">
      <selection activeCell="L26" sqref="L26"/>
    </sheetView>
  </sheetViews>
  <sheetFormatPr baseColWidth="10" defaultColWidth="11.453125" defaultRowHeight="12.5"/>
  <cols>
    <col min="1" max="1" width="9" style="254" customWidth="1"/>
    <col min="2" max="2" width="12.1796875" customWidth="1"/>
    <col min="3" max="3" width="8.1796875" customWidth="1"/>
    <col min="4" max="4" width="11.81640625" style="298" customWidth="1"/>
    <col min="5" max="5" width="9.81640625" style="331" customWidth="1"/>
    <col min="6" max="6" width="13.1796875" style="332" customWidth="1"/>
    <col min="7" max="7" width="10.453125" style="236" customWidth="1"/>
    <col min="8" max="8" width="9" style="252" customWidth="1"/>
    <col min="9" max="9" width="11.1796875" style="236" customWidth="1"/>
    <col min="10" max="10" width="9" style="236" customWidth="1"/>
    <col min="11" max="11" width="8.453125" style="376" customWidth="1"/>
    <col min="12" max="12" width="10.453125" style="352" customWidth="1"/>
    <col min="13" max="13" width="12" style="344" customWidth="1"/>
    <col min="14" max="14" width="12.54296875" style="297" customWidth="1"/>
    <col min="15" max="15" width="89.1796875" style="297" customWidth="1"/>
    <col min="16" max="16" width="9.54296875" style="350" customWidth="1"/>
    <col min="17" max="17" width="17.453125" style="321" customWidth="1"/>
    <col min="18" max="20" width="8.453125" customWidth="1"/>
    <col min="21" max="21" width="11.54296875" customWidth="1"/>
    <col min="22" max="22" width="13.1796875" customWidth="1"/>
    <col min="23" max="23" width="11.1796875" customWidth="1"/>
    <col min="24" max="24" width="11" customWidth="1"/>
    <col min="25" max="25" width="10.81640625" customWidth="1"/>
    <col min="26" max="26" width="15.453125" customWidth="1"/>
    <col min="27" max="27" width="14.81640625" style="331" customWidth="1"/>
    <col min="28" max="28" width="12.54296875" style="331" customWidth="1"/>
    <col min="29" max="29" width="13.1796875" style="331" customWidth="1"/>
    <col min="30" max="30" width="16.54296875" style="331" customWidth="1"/>
    <col min="31" max="31" width="15" customWidth="1"/>
    <col min="32" max="32" width="16" customWidth="1"/>
    <col min="33" max="33" width="15" customWidth="1"/>
    <col min="34" max="34" width="15.54296875" customWidth="1"/>
    <col min="35" max="35" width="12.54296875" customWidth="1"/>
    <col min="36" max="36" width="14.54296875" customWidth="1"/>
    <col min="37" max="37" width="8" bestFit="1" customWidth="1"/>
    <col min="38" max="39" width="15.54296875" customWidth="1"/>
    <col min="40" max="40" width="12.54296875" customWidth="1"/>
    <col min="41" max="41" width="12" bestFit="1" customWidth="1"/>
    <col min="43" max="43" width="13" bestFit="1" customWidth="1"/>
    <col min="44" max="44" width="19.1796875" customWidth="1"/>
    <col min="46" max="46" width="17.453125" customWidth="1"/>
    <col min="47" max="47" width="25.1796875" customWidth="1"/>
    <col min="48" max="48" width="31.81640625" customWidth="1"/>
    <col min="49" max="49" width="8" customWidth="1"/>
    <col min="50" max="50" width="15.54296875" customWidth="1"/>
    <col min="51" max="51" width="13.453125" customWidth="1"/>
    <col min="54" max="54" width="11.453125" style="254"/>
  </cols>
  <sheetData>
    <row r="1" spans="1:54" ht="13">
      <c r="A1" s="1283"/>
      <c r="B1" s="1283"/>
      <c r="C1" s="1283"/>
      <c r="D1" s="4035">
        <f>'TP sin BM'!H5</f>
        <v>-0.95633140876029188</v>
      </c>
      <c r="E1" s="1283"/>
      <c r="F1" s="1283"/>
      <c r="G1" s="1283">
        <f>0.55*1.01</f>
        <v>0.5555000000000001</v>
      </c>
      <c r="H1" s="1283"/>
      <c r="I1" s="1283"/>
      <c r="J1" s="1283"/>
      <c r="K1" s="1283"/>
      <c r="L1" s="1283"/>
      <c r="M1" s="1283"/>
      <c r="N1" s="1283"/>
      <c r="O1" s="355"/>
      <c r="P1" s="355"/>
      <c r="Q1" s="355"/>
      <c r="R1" s="355"/>
      <c r="S1" s="355"/>
      <c r="T1" s="355"/>
      <c r="U1" s="355"/>
      <c r="V1" s="355"/>
      <c r="W1" s="355"/>
      <c r="X1" s="355"/>
      <c r="Y1" s="355"/>
      <c r="Z1" s="355"/>
      <c r="AA1" s="355"/>
      <c r="AB1" s="355"/>
      <c r="AC1" s="355"/>
      <c r="AD1" s="355"/>
      <c r="AE1" s="355"/>
      <c r="AF1" s="355"/>
      <c r="AG1" s="355"/>
      <c r="AH1" s="355"/>
      <c r="AI1" s="355"/>
      <c r="BB1"/>
    </row>
    <row r="2" spans="1:54">
      <c r="A2" s="1283"/>
      <c r="B2" s="355"/>
      <c r="C2" s="4032">
        <v>0.3</v>
      </c>
      <c r="D2" s="355"/>
      <c r="E2" s="355"/>
      <c r="F2" s="355"/>
      <c r="G2" s="355">
        <v>0.44400000000000001</v>
      </c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5"/>
      <c r="V2" s="355"/>
      <c r="W2" s="355"/>
      <c r="X2" s="355"/>
      <c r="Y2" s="355"/>
      <c r="Z2" s="355"/>
      <c r="AA2" s="355"/>
      <c r="AB2" s="355"/>
      <c r="AC2" s="355"/>
      <c r="AD2" s="355"/>
      <c r="AE2" s="355"/>
      <c r="AF2" s="355"/>
      <c r="AG2" s="355"/>
      <c r="AH2" s="355"/>
      <c r="AI2" s="355"/>
      <c r="BB2"/>
    </row>
    <row r="3" spans="1:54" ht="13">
      <c r="A3" s="1283"/>
      <c r="B3" s="4706" t="s">
        <v>785</v>
      </c>
      <c r="C3" s="4706"/>
      <c r="D3" s="724">
        <v>1</v>
      </c>
      <c r="E3" s="1283"/>
      <c r="F3" s="1263">
        <v>3.624299302279534</v>
      </c>
      <c r="G3" s="1263">
        <v>0.44409999999999999</v>
      </c>
      <c r="H3" s="1263"/>
      <c r="I3" s="1263">
        <v>0.15454545454545454</v>
      </c>
      <c r="J3" s="1263"/>
      <c r="K3" s="1263"/>
      <c r="L3" s="1263"/>
      <c r="M3" s="1264"/>
      <c r="N3" s="1264"/>
      <c r="O3" s="1264"/>
      <c r="P3" s="1264"/>
      <c r="Q3" s="1264"/>
      <c r="R3" s="1264"/>
      <c r="S3" s="1264"/>
      <c r="T3" s="1264"/>
      <c r="U3" s="1264"/>
      <c r="V3" s="1264"/>
      <c r="W3" s="1264"/>
      <c r="X3" s="1264"/>
      <c r="Y3" s="355"/>
      <c r="Z3" s="355"/>
      <c r="AA3" s="355"/>
      <c r="AB3" s="355"/>
      <c r="AC3" s="355"/>
      <c r="AD3" s="355"/>
      <c r="AE3" s="355"/>
      <c r="AF3" s="355"/>
      <c r="AG3" s="355"/>
      <c r="AH3" s="1265"/>
      <c r="AK3" s="360"/>
      <c r="BB3"/>
    </row>
    <row r="4" spans="1:54">
      <c r="A4" s="2428"/>
      <c r="B4" s="2427">
        <v>0.6</v>
      </c>
      <c r="C4" s="2427">
        <v>0</v>
      </c>
      <c r="D4" s="2427">
        <v>1</v>
      </c>
      <c r="E4" s="2427">
        <f>+'Plan mina ST'!E4</f>
        <v>1</v>
      </c>
      <c r="F4" s="357"/>
      <c r="G4" s="357"/>
      <c r="H4" s="357"/>
      <c r="I4" s="357"/>
      <c r="J4" s="357"/>
      <c r="K4" s="357"/>
      <c r="L4" s="357"/>
      <c r="M4" s="356"/>
      <c r="N4" s="356"/>
      <c r="O4" s="356"/>
      <c r="P4" s="356"/>
      <c r="Q4" s="356"/>
      <c r="R4" s="356"/>
      <c r="S4" s="356"/>
      <c r="T4" s="361"/>
      <c r="U4" s="361"/>
      <c r="V4" s="361"/>
      <c r="W4" s="361"/>
      <c r="X4" s="361"/>
      <c r="Y4" s="355"/>
      <c r="Z4" s="355"/>
      <c r="AA4" s="355"/>
      <c r="AB4" s="355"/>
      <c r="AC4" s="355"/>
      <c r="AD4" s="355"/>
      <c r="AE4" s="355"/>
      <c r="AF4" s="355"/>
      <c r="AG4" s="355"/>
      <c r="BB4"/>
    </row>
    <row r="5" spans="1:54" s="3013" customFormat="1" ht="39">
      <c r="A5" s="3012" t="s">
        <v>258</v>
      </c>
      <c r="B5" s="2278" t="s">
        <v>451</v>
      </c>
      <c r="C5" s="2278" t="s">
        <v>452</v>
      </c>
      <c r="D5" s="2278" t="s">
        <v>453</v>
      </c>
      <c r="E5" s="2278" t="s">
        <v>454</v>
      </c>
      <c r="F5" s="2278" t="s">
        <v>100</v>
      </c>
      <c r="G5" s="2278" t="s">
        <v>455</v>
      </c>
      <c r="H5" s="2278" t="s">
        <v>456</v>
      </c>
      <c r="I5" s="2278" t="s">
        <v>457</v>
      </c>
      <c r="J5" s="2278" t="s">
        <v>458</v>
      </c>
      <c r="K5" s="2278" t="s">
        <v>378</v>
      </c>
      <c r="L5" s="2278" t="s">
        <v>459</v>
      </c>
      <c r="M5" s="2278" t="s">
        <v>460</v>
      </c>
      <c r="N5" s="2278" t="s">
        <v>461</v>
      </c>
      <c r="O5" s="2278" t="s">
        <v>1487</v>
      </c>
      <c r="P5" s="2278" t="s">
        <v>462</v>
      </c>
      <c r="Q5" s="2278" t="s">
        <v>463</v>
      </c>
      <c r="R5" s="2278" t="s">
        <v>464</v>
      </c>
      <c r="S5" s="2278" t="s">
        <v>465</v>
      </c>
      <c r="T5" s="2278" t="s">
        <v>466</v>
      </c>
      <c r="U5" s="2278" t="s">
        <v>467</v>
      </c>
      <c r="V5" s="2278" t="s">
        <v>468</v>
      </c>
      <c r="W5" s="2278" t="s">
        <v>88</v>
      </c>
      <c r="X5" s="2278" t="s">
        <v>470</v>
      </c>
      <c r="Y5" s="2278" t="s">
        <v>471</v>
      </c>
      <c r="Z5" s="2429" t="s">
        <v>472</v>
      </c>
      <c r="AA5" s="2429" t="s">
        <v>473</v>
      </c>
      <c r="AB5" s="2429" t="s">
        <v>474</v>
      </c>
      <c r="AC5" s="2429" t="s">
        <v>475</v>
      </c>
      <c r="AD5" s="2429" t="s">
        <v>476</v>
      </c>
      <c r="AE5" s="2429" t="s">
        <v>477</v>
      </c>
      <c r="AF5" s="2429" t="s">
        <v>478</v>
      </c>
      <c r="AG5" s="2277" t="s">
        <v>390</v>
      </c>
      <c r="AH5" s="2277" t="s">
        <v>83</v>
      </c>
      <c r="AI5" s="2277" t="s">
        <v>1349</v>
      </c>
      <c r="AJ5" s="2277" t="s">
        <v>1350</v>
      </c>
      <c r="AK5" s="2277" t="s">
        <v>278</v>
      </c>
    </row>
    <row r="6" spans="1:54" s="4037" customFormat="1">
      <c r="A6" s="4037">
        <v>1</v>
      </c>
      <c r="B6" s="4038">
        <f>+'Recalculos PS'!BG9+$B$4</f>
        <v>28.769870170268696</v>
      </c>
      <c r="C6" s="4038">
        <f>+'Recalculos PS'!BR9+$C$4-0.41</f>
        <v>90.425753499517953</v>
      </c>
      <c r="D6" s="4038">
        <v>0.5402396005121517</v>
      </c>
      <c r="E6" s="4038">
        <f>+'MCP PS'!F2</f>
        <v>237.82598766083188</v>
      </c>
      <c r="F6" s="4039">
        <f>+'MCP PS'!C2</f>
        <v>175999.99999961516</v>
      </c>
      <c r="G6" s="4038">
        <f>+'MCP PS'!D2</f>
        <v>0.64588993602904221</v>
      </c>
      <c r="H6" s="4038">
        <f>+'MCP PS'!E2</f>
        <v>0.5402396005121517</v>
      </c>
      <c r="I6" s="4038">
        <f>+'MCP PS'!F2</f>
        <v>237.82598766083188</v>
      </c>
      <c r="J6" s="4038">
        <f>+'MCP PS'!G2</f>
        <v>4.2696775125446985E-2</v>
      </c>
      <c r="K6" s="4038">
        <f>+'MCP PS'!H2</f>
        <v>1.3211798014117742</v>
      </c>
      <c r="L6" s="4038">
        <f>+'MCP PS'!J2</f>
        <v>28.42220571539336</v>
      </c>
      <c r="M6" s="4038">
        <f>+'MCP PS'!K2</f>
        <v>90.639747757318489</v>
      </c>
      <c r="N6" s="4038">
        <f>+'MCP PS'!M2</f>
        <v>12.711316855639501</v>
      </c>
      <c r="O6" s="4038">
        <f>+D6/'MCP PS'!I2</f>
        <v>0.4402928634659411</v>
      </c>
      <c r="P6" s="4038">
        <f>+'MCP PS'!N2</f>
        <v>310.94812194949702</v>
      </c>
      <c r="Q6" s="4038">
        <f>+'MCP PS'!O2</f>
        <v>0.80080381425642033</v>
      </c>
      <c r="R6" s="4038">
        <f>+'MCP PS'!P2</f>
        <v>0.73007537158182756</v>
      </c>
      <c r="S6" s="4038">
        <f>+'MCP PS'!Q2</f>
        <v>0.25841943697262099</v>
      </c>
      <c r="T6" s="4038">
        <f>+'MCP PS'!S2</f>
        <v>11.689255545491712</v>
      </c>
      <c r="U6" s="4038">
        <f>+'MCP PS'!R2</f>
        <v>4.0311656046179346E-2</v>
      </c>
      <c r="V6" s="4038">
        <f>+'Recalculos PS'!AK9</f>
        <v>201.1824488463391</v>
      </c>
      <c r="W6" s="4038">
        <f>+'MCP PS'!U2</f>
        <v>37.466534886953944</v>
      </c>
      <c r="X6" s="4038">
        <f>+'MCP PS'!V2</f>
        <v>83.89207746852604</v>
      </c>
      <c r="Y6" s="4038">
        <f>+'MCP PS'!W2</f>
        <v>85.109268500446959</v>
      </c>
      <c r="Z6" s="4038">
        <f>+'MCP PS'!X2</f>
        <v>41179.264213016169</v>
      </c>
      <c r="AA6" s="4038">
        <f>+'MCP PS'!Y2</f>
        <v>0</v>
      </c>
      <c r="AB6" s="4038">
        <f>+'MCP PS'!Z2</f>
        <v>0</v>
      </c>
      <c r="AC6" s="4038">
        <f>+'MCP PS'!AA2</f>
        <v>134666.33757135115</v>
      </c>
      <c r="AD6" s="4038">
        <f>+'MCP PS'!AB2</f>
        <v>126.81139716554399</v>
      </c>
      <c r="AE6" s="4038">
        <f>+'MCP PS'!AC2</f>
        <v>0</v>
      </c>
      <c r="AF6" s="4038">
        <f>+'MCP PS'!AD2</f>
        <v>27.70108933321789</v>
      </c>
      <c r="AG6" s="4038">
        <f>+'MCP PS'!AT2</f>
        <v>1.5327568611972764</v>
      </c>
      <c r="AH6" s="4038">
        <f>+'Recalculos PS'!P9</f>
        <v>106.98764169530153</v>
      </c>
      <c r="AI6" s="4038">
        <f>AH6</f>
        <v>106.98764169530153</v>
      </c>
      <c r="AJ6" s="4038">
        <f>+AI6/25.4</f>
        <v>4.2121118777677768</v>
      </c>
      <c r="AK6" s="4040">
        <f>+'MCP PS'!AU2*100</f>
        <v>76.586966734049156</v>
      </c>
      <c r="AL6" s="4040">
        <v>3.9842219280947639</v>
      </c>
      <c r="AM6" s="4041">
        <f>+AJ6-AL6</f>
        <v>0.2278899496730129</v>
      </c>
    </row>
    <row r="7" spans="1:54" s="4037" customFormat="1">
      <c r="A7" s="4037">
        <f>A6+1</f>
        <v>2</v>
      </c>
      <c r="B7" s="4038">
        <f>+'Recalculos PS'!BG10+$B$4</f>
        <v>30.664988607836669</v>
      </c>
      <c r="C7" s="4038">
        <f>+'Recalculos PS'!BR10+$C$4-0.41</f>
        <v>90.560279451590247</v>
      </c>
      <c r="D7" s="4038">
        <v>0.50525922546271274</v>
      </c>
      <c r="E7" s="4038">
        <f>+'MCP PS'!F3</f>
        <v>216.87675571380703</v>
      </c>
      <c r="F7" s="4039">
        <f>+'MCP PS'!C3</f>
        <v>177448.69792783732</v>
      </c>
      <c r="G7" s="4038">
        <f>+'MCP PS'!D3</f>
        <v>0.61231970957140747</v>
      </c>
      <c r="H7" s="4038">
        <f>+'MCP PS'!E3</f>
        <v>0.50525922546271274</v>
      </c>
      <c r="I7" s="4038">
        <f>+'MCP PS'!F3</f>
        <v>216.87675571380703</v>
      </c>
      <c r="J7" s="4038">
        <f>+'MCP PS'!G3</f>
        <v>5.0464443456633978E-2</v>
      </c>
      <c r="K7" s="4038">
        <f>+'MCP PS'!H3</f>
        <v>1.5235193249047208</v>
      </c>
      <c r="L7" s="4038">
        <f>+'MCP PS'!J3</f>
        <v>29.612652067259535</v>
      </c>
      <c r="M7" s="4038">
        <f>+'MCP PS'!K3</f>
        <v>90.921379947819716</v>
      </c>
      <c r="N7" s="4038">
        <f>+'MCP PS'!M3</f>
        <v>12.504321296146307</v>
      </c>
      <c r="O7" s="4038">
        <f>+D7/'MCP PS'!I3</f>
        <v>0.47762205202628616</v>
      </c>
      <c r="P7" s="4038">
        <f>+'MCP PS'!N3</f>
        <v>433.61706277484717</v>
      </c>
      <c r="Q7" s="4038">
        <f>+'MCP PS'!O3</f>
        <v>0.92132574981317727</v>
      </c>
      <c r="R7" s="4038">
        <f>+'MCP PS'!P3</f>
        <v>0.19449884744364027</v>
      </c>
      <c r="S7" s="4038">
        <f>+'MCP PS'!Q3</f>
        <v>0.25804666727207926</v>
      </c>
      <c r="T7" s="4038">
        <f>+'MCP PS'!S3</f>
        <v>21.708945894834152</v>
      </c>
      <c r="U7" s="4038">
        <f>+'MCP PS'!R3</f>
        <v>2.7109911642035613E-2</v>
      </c>
      <c r="V7" s="4038">
        <f>+'Recalculos PS'!AK10</f>
        <v>191.86664871803802</v>
      </c>
      <c r="W7" s="4038">
        <f>+'MCP PS'!U3</f>
        <v>36.853444067872815</v>
      </c>
      <c r="X7" s="4038">
        <f>+'MCP PS'!V3</f>
        <v>89.706247369988162</v>
      </c>
      <c r="Y7" s="4038">
        <f>+'MCP PS'!W3</f>
        <v>93.700300122899733</v>
      </c>
      <c r="Z7" s="4038">
        <f>+'MCP PS'!X3</f>
        <v>11682.398394260301</v>
      </c>
      <c r="AA7" s="4038">
        <f>+'MCP PS'!Y3</f>
        <v>29.280967488884901</v>
      </c>
      <c r="AB7" s="4038">
        <f>+'MCP PS'!Z3</f>
        <v>2355.0042778378502</v>
      </c>
      <c r="AC7" s="4038">
        <f>+'MCP PS'!AA3</f>
        <v>160529.16990586248</v>
      </c>
      <c r="AD7" s="4038">
        <f>+'MCP PS'!AB3</f>
        <v>0.84095990559024902</v>
      </c>
      <c r="AE7" s="4038">
        <f>+'MCP PS'!AC3</f>
        <v>8.9418913983399406</v>
      </c>
      <c r="AF7" s="4038">
        <f>+'MCP PS'!AD3</f>
        <v>2842.9151005645376</v>
      </c>
      <c r="AG7" s="4038">
        <f>+'MCP PS'!AT3</f>
        <v>1.8046348474364655</v>
      </c>
      <c r="AH7" s="4038">
        <f>+'Recalculos PS'!P10</f>
        <v>108.83095719041582</v>
      </c>
      <c r="AI7" s="4038">
        <f t="shared" ref="AI7:AI10" si="0">AH7</f>
        <v>108.83095719041582</v>
      </c>
      <c r="AJ7" s="4038">
        <f t="shared" ref="AJ7:AJ10" si="1">+AI7/25.4</f>
        <v>4.2846833539533788</v>
      </c>
      <c r="AK7" s="4040">
        <f>+'MCP PS'!AU3*100</f>
        <v>91.797851073169397</v>
      </c>
      <c r="AL7" s="4040">
        <v>4.9842219280947599</v>
      </c>
      <c r="AM7" s="4041">
        <f t="shared" ref="AM7:AM10" si="2">+AJ7-AL7</f>
        <v>-0.6995385741413811</v>
      </c>
    </row>
    <row r="8" spans="1:54" s="4037" customFormat="1">
      <c r="A8" s="4037">
        <f t="shared" ref="A8:A10" si="3">A7+1</f>
        <v>3</v>
      </c>
      <c r="B8" s="4038">
        <f>+'Recalculos PS'!BG11+$B$4</f>
        <v>27.579659896669874</v>
      </c>
      <c r="C8" s="4038">
        <f>+'Recalculos PS'!BR11+$C$4-0.41</f>
        <v>89.704831699357015</v>
      </c>
      <c r="D8" s="4038">
        <v>0.47734976123853823</v>
      </c>
      <c r="E8" s="4038">
        <f>+'MCP PS'!F4</f>
        <v>187.24630186246699</v>
      </c>
      <c r="F8" s="4039">
        <f>+'MCP PS'!C4</f>
        <v>160000.00000014508</v>
      </c>
      <c r="G8" s="4038">
        <f>+'MCP PS'!D4</f>
        <v>0.56093646743347891</v>
      </c>
      <c r="H8" s="4038">
        <f>+'MCP PS'!E4</f>
        <v>0.47734976123853823</v>
      </c>
      <c r="I8" s="4038">
        <f>+'MCP PS'!F4</f>
        <v>187.24630186246699</v>
      </c>
      <c r="J8" s="4038">
        <f>+'MCP PS'!G4</f>
        <v>4.4948232116537562E-2</v>
      </c>
      <c r="K8" s="4038">
        <f>+'MCP PS'!H4</f>
        <v>1.3956317262972397</v>
      </c>
      <c r="L8" s="4038">
        <f>+'MCP PS'!J4</f>
        <v>25.386283690476535</v>
      </c>
      <c r="M8" s="4038">
        <f>+'MCP PS'!K4</f>
        <v>89.951844710069778</v>
      </c>
      <c r="N8" s="4038">
        <f>+'MCP PS'!M4</f>
        <v>12.684240696422266</v>
      </c>
      <c r="O8" s="4038">
        <f>+D8/'MCP PS'!I4</f>
        <v>0.3811674272037977</v>
      </c>
      <c r="P8" s="4038">
        <f>+'MCP PS'!N4</f>
        <v>933.94938200618003</v>
      </c>
      <c r="Q8" s="4038">
        <f>+'MCP PS'!O4</f>
        <v>0.94998141245410339</v>
      </c>
      <c r="R8" s="4038">
        <f>+'MCP PS'!P4</f>
        <v>0.6057963819712967</v>
      </c>
      <c r="S8" s="4038">
        <f>+'MCP PS'!Q4</f>
        <v>0.17207565588005599</v>
      </c>
      <c r="T8" s="4038">
        <f>+'MCP PS'!S4</f>
        <v>20.378920654793824</v>
      </c>
      <c r="U8" s="4038">
        <f>+'MCP PS'!R4</f>
        <v>4.6618417617889471E-2</v>
      </c>
      <c r="V8" s="4038">
        <f>+'Recalculos PS'!AK11</f>
        <v>215.22438293821796</v>
      </c>
      <c r="W8" s="4038">
        <f>+'MCP PS'!U4</f>
        <v>36.997724760760981</v>
      </c>
      <c r="X8" s="4038">
        <f>+'MCP PS'!V4</f>
        <v>89.996121068560413</v>
      </c>
      <c r="Y8" s="4038">
        <f>+'MCP PS'!W4</f>
        <v>84.564353375128817</v>
      </c>
      <c r="Z8" s="4038">
        <f>+'MCP PS'!X4</f>
        <v>27818.322929982649</v>
      </c>
      <c r="AA8" s="4038">
        <f>+'MCP PS'!Y4</f>
        <v>3.6738441451302899</v>
      </c>
      <c r="AB8" s="4038">
        <f>+'MCP PS'!Z4</f>
        <v>519.78276073030281</v>
      </c>
      <c r="AC8" s="4038">
        <f>+'MCP PS'!AA4</f>
        <v>123401.36687714251</v>
      </c>
      <c r="AD8" s="4038">
        <f>+'MCP PS'!AB4</f>
        <v>6272.1562863479985</v>
      </c>
      <c r="AE8" s="4038">
        <f>+'MCP PS'!AC4</f>
        <v>1.12192725095755</v>
      </c>
      <c r="AF8" s="4038">
        <f>+'MCP PS'!AD4</f>
        <v>1984.1292313789156</v>
      </c>
      <c r="AG8" s="4038">
        <f>+'MCP PS'!AT4</f>
        <v>1.5139604902392227</v>
      </c>
      <c r="AH8" s="4038">
        <f>+'Recalculos PS'!P11</f>
        <v>105.75073664175582</v>
      </c>
      <c r="AI8" s="4038">
        <f t="shared" si="0"/>
        <v>105.75073664175582</v>
      </c>
      <c r="AJ8" s="4038">
        <f t="shared" si="1"/>
        <v>4.1634148284155836</v>
      </c>
      <c r="AK8" s="4040">
        <f>+'MCP PS'!AU4*100</f>
        <v>81.371235732002631</v>
      </c>
      <c r="AL8" s="4040">
        <v>5.9842219280947599</v>
      </c>
      <c r="AM8" s="4041">
        <f t="shared" si="2"/>
        <v>-1.8208070996791763</v>
      </c>
    </row>
    <row r="9" spans="1:54" s="4037" customFormat="1">
      <c r="A9" s="4037">
        <f t="shared" si="3"/>
        <v>4</v>
      </c>
      <c r="B9" s="4038">
        <v>26.5</v>
      </c>
      <c r="C9" s="4038">
        <v>90</v>
      </c>
      <c r="D9" s="4038">
        <v>0.53</v>
      </c>
      <c r="E9" s="4038">
        <v>180</v>
      </c>
      <c r="F9" s="4039">
        <f>+'MCP PS'!C5</f>
        <v>160000.08614615616</v>
      </c>
      <c r="G9" s="4038">
        <f>+'MCP PS'!D5</f>
        <v>0.52455638519651082</v>
      </c>
      <c r="H9" s="4038">
        <f>+'MCP PS'!E5</f>
        <v>0.45402936971783442</v>
      </c>
      <c r="I9" s="4038">
        <f>+'MCP PS'!F5</f>
        <v>161.50032478880058</v>
      </c>
      <c r="J9" s="4038">
        <f>+'MCP PS'!G5</f>
        <v>2.6230804673720371E-2</v>
      </c>
      <c r="K9" s="4038">
        <f>+'MCP PS'!H5</f>
        <v>1.09893198706815</v>
      </c>
      <c r="L9" s="4038">
        <f>+'MCP PS'!J5</f>
        <v>21.802979208577046</v>
      </c>
      <c r="M9" s="4038">
        <f>+'MCP PS'!K5</f>
        <v>89.114207070850398</v>
      </c>
      <c r="N9" s="4038">
        <f>+'MCP PS'!M5</f>
        <v>13.307432610543025</v>
      </c>
      <c r="O9" s="4038">
        <f>+D9/'MCP PS'!I5</f>
        <v>0.28779384458021617</v>
      </c>
      <c r="P9" s="4038">
        <f>+'MCP PS'!N5</f>
        <v>1186.4877719218264</v>
      </c>
      <c r="Q9" s="4038">
        <f>+'MCP PS'!O5</f>
        <v>1.098731660804124</v>
      </c>
      <c r="R9" s="4038">
        <f>+'MCP PS'!P5</f>
        <v>1.8444538580398513</v>
      </c>
      <c r="S9" s="4038">
        <f>+'MCP PS'!Q5</f>
        <v>6.3243306195928911E-2</v>
      </c>
      <c r="T9" s="4038">
        <f>+'MCP PS'!S5</f>
        <v>18.545528377228674</v>
      </c>
      <c r="U9" s="4038">
        <f>+'MCP PS'!R5</f>
        <v>5.4108849873804467E-2</v>
      </c>
      <c r="V9" s="4038">
        <f>+'Recalculos PS'!AK12</f>
        <v>266.12845792653945</v>
      </c>
      <c r="W9" s="4038">
        <f>+'MCP PS'!U5</f>
        <v>36.799861600090814</v>
      </c>
      <c r="X9" s="4038">
        <f>+'MCP PS'!V5</f>
        <v>84.908629891185527</v>
      </c>
      <c r="Y9" s="4038">
        <f>+'MCP PS'!W5</f>
        <v>69.879320526273034</v>
      </c>
      <c r="Z9" s="4038">
        <f>+'MCP PS'!X5</f>
        <v>32476.589360263824</v>
      </c>
      <c r="AA9" s="4038">
        <f>+'MCP PS'!Y5</f>
        <v>0</v>
      </c>
      <c r="AB9" s="4038">
        <f>+'MCP PS'!Z5</f>
        <v>0.4979428149833538</v>
      </c>
      <c r="AC9" s="4038">
        <f>+'MCP PS'!AA5</f>
        <v>68600.099615258805</v>
      </c>
      <c r="AD9" s="4038">
        <f>+'MCP PS'!AB5</f>
        <v>48146.347528883511</v>
      </c>
      <c r="AE9" s="4038">
        <f>+'MCP PS'!AC5</f>
        <v>0</v>
      </c>
      <c r="AF9" s="4038">
        <f>+'MCP PS'!AD5</f>
        <v>10776.687705631988</v>
      </c>
      <c r="AG9" s="4038">
        <f>+'MCP PS'!AT5</f>
        <v>0.9054532334833435</v>
      </c>
      <c r="AH9" s="4038">
        <f>+'Recalculos PS'!P12</f>
        <v>96.785984241235255</v>
      </c>
      <c r="AI9" s="4038">
        <f t="shared" si="0"/>
        <v>96.785984241235255</v>
      </c>
      <c r="AJ9" s="4038">
        <f t="shared" si="1"/>
        <v>3.810471820521073</v>
      </c>
      <c r="AK9" s="4040">
        <f>+'MCP PS'!AU5*100</f>
        <v>72.966739368289993</v>
      </c>
      <c r="AL9" s="4040">
        <v>6.9842219280947599</v>
      </c>
      <c r="AM9" s="4041">
        <f t="shared" si="2"/>
        <v>-3.1737501075736869</v>
      </c>
    </row>
    <row r="10" spans="1:54" s="4037" customFormat="1">
      <c r="A10" s="4037">
        <f t="shared" si="3"/>
        <v>5</v>
      </c>
      <c r="B10" s="4038">
        <f>+'Recalculos PS'!BG13+$B$4</f>
        <v>23.023035474032955</v>
      </c>
      <c r="C10" s="4038">
        <f>+'Recalculos PS'!BR13+$C$4-0.41</f>
        <v>89.038552363703445</v>
      </c>
      <c r="D10" s="4038">
        <v>0.53949857316180105</v>
      </c>
      <c r="E10" s="4038">
        <f>+'MCP PS'!F6</f>
        <v>182.59798658188026</v>
      </c>
      <c r="F10" s="4039">
        <f>+'MCP PS'!C6</f>
        <v>160000.00000013874</v>
      </c>
      <c r="G10" s="4038">
        <f>+'MCP PS'!D6</f>
        <v>0.62312408217502391</v>
      </c>
      <c r="H10" s="4038">
        <f>+'MCP PS'!E6</f>
        <v>0.53949857316180105</v>
      </c>
      <c r="I10" s="4038">
        <f>+'MCP PS'!F6</f>
        <v>182.59798658188026</v>
      </c>
      <c r="J10" s="4038">
        <f>+'MCP PS'!G6</f>
        <v>2.4180741799716882E-2</v>
      </c>
      <c r="K10" s="4038">
        <f>+'MCP PS'!H6</f>
        <v>1.0128291456945235</v>
      </c>
      <c r="L10" s="4038">
        <f>+'MCP PS'!J6</f>
        <v>22.423816975843355</v>
      </c>
      <c r="M10" s="4038">
        <f>+'MCP PS'!K6</f>
        <v>89.383553248211911</v>
      </c>
      <c r="N10" s="4038">
        <f>+'MCP PS'!M6</f>
        <v>12.860486701230794</v>
      </c>
      <c r="O10" s="4038">
        <f>+D10/'MCP PS'!I6</f>
        <v>0.32769397493558799</v>
      </c>
      <c r="P10" s="4038">
        <f>+'MCP PS'!N6</f>
        <v>1625.7444051766979</v>
      </c>
      <c r="Q10" s="4038">
        <f>+'MCP PS'!O6</f>
        <v>1.2436579405229597</v>
      </c>
      <c r="R10" s="4038">
        <f>+'MCP PS'!P6</f>
        <v>1.6373603595807771</v>
      </c>
      <c r="S10" s="4038">
        <f>+'MCP PS'!Q6</f>
        <v>6.5939686054030194E-2</v>
      </c>
      <c r="T10" s="4038">
        <f>+'MCP PS'!S6</f>
        <v>47.782294098914612</v>
      </c>
      <c r="U10" s="4038">
        <f>+'MCP PS'!R6</f>
        <v>8.7189296344224065E-2</v>
      </c>
      <c r="V10" s="4038">
        <f>+'Recalculos PS'!AK13</f>
        <v>234.9161894251211</v>
      </c>
      <c r="W10" s="4038">
        <f>+'MCP PS'!U6</f>
        <v>38.205717500354154</v>
      </c>
      <c r="X10" s="4038">
        <f>+'MCP PS'!V6</f>
        <v>79.931777087947495</v>
      </c>
      <c r="Y10" s="4038">
        <f>+'MCP PS'!W6</f>
        <v>72.184276360504938</v>
      </c>
      <c r="Z10" s="4038">
        <f>+'MCP PS'!X6</f>
        <v>53436.304981522386</v>
      </c>
      <c r="AA10" s="4038">
        <f>+'MCP PS'!Y6</f>
        <v>7.7743179374490001</v>
      </c>
      <c r="AB10" s="4038">
        <f>+'MCP PS'!Z6</f>
        <v>625.27141587496601</v>
      </c>
      <c r="AC10" s="4038">
        <f>+'MCP PS'!AA6</f>
        <v>73229.109132511308</v>
      </c>
      <c r="AD10" s="4038">
        <f>+'MCP PS'!AB6</f>
        <v>26864.288146560852</v>
      </c>
      <c r="AE10" s="4038">
        <f>+'MCP PS'!AC6</f>
        <v>1109.2731235318713</v>
      </c>
      <c r="AF10" s="4038">
        <f>+'MCP PS'!AD6</f>
        <v>4728.0751082906399</v>
      </c>
      <c r="AG10" s="4038">
        <f>+'MCP PS'!AT6</f>
        <v>0.97025742530642634</v>
      </c>
      <c r="AH10" s="4038">
        <f>+'Recalculos PS'!P13</f>
        <v>99.940100407925186</v>
      </c>
      <c r="AI10" s="4038">
        <f t="shared" si="0"/>
        <v>99.940100407925186</v>
      </c>
      <c r="AJ10" s="4038">
        <f t="shared" si="1"/>
        <v>3.9346496223592595</v>
      </c>
      <c r="AK10" s="4040">
        <f>+'MCP PS'!AU6*100</f>
        <v>63.642425361107968</v>
      </c>
      <c r="AL10" s="4040">
        <v>7.9842219280947599</v>
      </c>
      <c r="AM10" s="4041">
        <f t="shared" si="2"/>
        <v>-4.0495723057355004</v>
      </c>
    </row>
    <row r="11" spans="1:54" s="4037" customFormat="1">
      <c r="A11" s="4037">
        <f t="shared" ref="A11:A36" si="4">A10+1</f>
        <v>6</v>
      </c>
      <c r="B11" s="4038">
        <f>+'Recalculos PS'!BG14+$B$4</f>
        <v>25.731883156146978</v>
      </c>
      <c r="C11" s="4038">
        <f>+'Recalculos PS'!BR14+$C$2</f>
        <v>89.553364073891785</v>
      </c>
      <c r="D11" s="4038">
        <v>0.46499804900157721</v>
      </c>
      <c r="E11" s="4038">
        <f>+'MCP PS'!F7</f>
        <v>186.22483931190774</v>
      </c>
      <c r="F11" s="4039">
        <f>+'MCP PS'!C7</f>
        <v>216011.11992350855</v>
      </c>
      <c r="G11" s="4038">
        <f>+'MCP PS'!D7</f>
        <v>0.54932640044888481</v>
      </c>
      <c r="H11" s="4038">
        <f>+'MCP PS'!E7</f>
        <v>0.46499804900157721</v>
      </c>
      <c r="I11" s="4038">
        <f>+'MCP PS'!F7</f>
        <v>186.22483931190774</v>
      </c>
      <c r="J11" s="4038">
        <f>+'MCP PS'!G7</f>
        <v>2.5353126798569638E-2</v>
      </c>
      <c r="K11" s="4038">
        <f>+'MCP PS'!H7</f>
        <v>1.0187607746862337</v>
      </c>
      <c r="L11" s="4038">
        <f>+'MCP PS'!J7</f>
        <v>24.596056371952894</v>
      </c>
      <c r="M11" s="4038">
        <f>+'MCP PS'!K7</f>
        <v>88.908427728229555</v>
      </c>
      <c r="N11" s="4038">
        <f>+'MCP PS'!M7</f>
        <v>12.553276846888162</v>
      </c>
      <c r="O11" s="4038">
        <f>+D11/'MCP PS'!I7</f>
        <v>0.3456445433149265</v>
      </c>
      <c r="P11" s="4038">
        <f>+'MCP PS'!N7</f>
        <v>1289.3416506710651</v>
      </c>
      <c r="Q11" s="4038">
        <f>+'MCP PS'!O7</f>
        <v>0.90053261654545524</v>
      </c>
      <c r="R11" s="4038">
        <f>+'MCP PS'!P7</f>
        <v>0.99486953302580616</v>
      </c>
      <c r="S11" s="4038">
        <f>+'MCP PS'!Q7</f>
        <v>0.12428855093917245</v>
      </c>
      <c r="T11" s="4038">
        <f>+'MCP PS'!S7</f>
        <v>24.001167774350122</v>
      </c>
      <c r="U11" s="4038">
        <f>+'MCP PS'!R7</f>
        <v>8.6033251310741105E-2</v>
      </c>
      <c r="V11" s="4038">
        <f>+'Recalculos PS'!AJ14</f>
        <v>186.70199999609127</v>
      </c>
      <c r="W11" s="4038">
        <f>+'MCP PS'!U7</f>
        <v>36.383420761043055</v>
      </c>
      <c r="X11" s="4038">
        <f>+'MCP PS'!V7</f>
        <v>82.150036091646712</v>
      </c>
      <c r="Y11" s="4038">
        <f>+'MCP PS'!W7</f>
        <v>74.626329751274895</v>
      </c>
      <c r="Z11" s="4038">
        <f>+'MCP PS'!X7</f>
        <v>61892.383768620122</v>
      </c>
      <c r="AA11" s="4038">
        <f>+'MCP PS'!Y7</f>
        <v>31.7024486073025</v>
      </c>
      <c r="AB11" s="4038">
        <f>+'MCP PS'!Z7</f>
        <v>2773.8878185922949</v>
      </c>
      <c r="AC11" s="4038">
        <f>+'MCP PS'!AA7</f>
        <v>130715.50871861541</v>
      </c>
      <c r="AD11" s="4038">
        <f>+'MCP PS'!AB7</f>
        <v>2658.4112625200473</v>
      </c>
      <c r="AE11" s="4038">
        <f>+'MCP PS'!AC7</f>
        <v>9.6813690536544605</v>
      </c>
      <c r="AF11" s="4038">
        <f>+'MCP PS'!AD7</f>
        <v>17929.181023559278</v>
      </c>
      <c r="AG11" s="4038">
        <f>+'MCP PS'!AT7</f>
        <v>1.1376830983323096</v>
      </c>
      <c r="AH11" s="4038">
        <f>+'Recalculos PS'!P14</f>
        <v>106.48031993684724</v>
      </c>
      <c r="AI11" s="4038">
        <f t="shared" ref="AI11:AI17" si="5">AH11</f>
        <v>106.48031993684724</v>
      </c>
      <c r="AJ11" s="4038">
        <f t="shared" ref="AJ11:AJ17" si="6">+AI11/25.4</f>
        <v>4.1921385801908366</v>
      </c>
      <c r="AK11" s="4040">
        <f>+'MCP PS'!AU7*100</f>
        <v>63.032735698873907</v>
      </c>
      <c r="AL11" s="4040">
        <v>8.9842219280947599</v>
      </c>
      <c r="AM11" s="4041">
        <f t="shared" ref="AM11:AM17" si="7">+AJ11-AL11</f>
        <v>-4.7920833479039233</v>
      </c>
    </row>
    <row r="12" spans="1:54" s="4037" customFormat="1">
      <c r="A12" s="4037">
        <f t="shared" si="4"/>
        <v>7</v>
      </c>
      <c r="B12" s="4038">
        <f>+'Recalculos PS'!BG15+$B$4</f>
        <v>24.809294293892169</v>
      </c>
      <c r="C12" s="4038">
        <f>+'Recalculos PS'!BR15+$C$2</f>
        <v>89.596932191451572</v>
      </c>
      <c r="D12" s="4038">
        <v>0.47437848358843598</v>
      </c>
      <c r="E12" s="4038">
        <f>+'MCP PS'!F8</f>
        <v>153.81335609767186</v>
      </c>
      <c r="F12" s="4039">
        <f>+'MCP PS'!C8</f>
        <v>156999.99999967057</v>
      </c>
      <c r="G12" s="4038">
        <f>+'MCP PS'!D8</f>
        <v>0.53428900577891492</v>
      </c>
      <c r="H12" s="4038">
        <f>+'MCP PS'!E8</f>
        <v>0.47437848358843598</v>
      </c>
      <c r="I12" s="4038">
        <f>+'MCP PS'!F8</f>
        <v>153.81335609767186</v>
      </c>
      <c r="J12" s="4038">
        <f>+'MCP PS'!G8</f>
        <v>2.7685422585974444E-2</v>
      </c>
      <c r="K12" s="4038">
        <f>+'MCP PS'!H8</f>
        <v>1.106662109190264</v>
      </c>
      <c r="L12" s="4038">
        <f>+'MCP PS'!J8</f>
        <v>22.950656900301119</v>
      </c>
      <c r="M12" s="4038">
        <f>+'MCP PS'!K8</f>
        <v>89.398739701918942</v>
      </c>
      <c r="N12" s="4038">
        <f>+'MCP PS'!M8</f>
        <v>12.601097756169784</v>
      </c>
      <c r="O12" s="4038">
        <f>+D12/'MCP PS'!I8</f>
        <v>0.32965529825061363</v>
      </c>
      <c r="P12" s="4038">
        <f>+'MCP PS'!N8</f>
        <v>1417.6705819934687</v>
      </c>
      <c r="Q12" s="4038">
        <f>+'MCP PS'!O8</f>
        <v>0.96617849374801212</v>
      </c>
      <c r="R12" s="4038">
        <f>+'MCP PS'!P8</f>
        <v>1.1856110213853495</v>
      </c>
      <c r="S12" s="4038">
        <f>+'MCP PS'!Q8</f>
        <v>0.13479085487807588</v>
      </c>
      <c r="T12" s="4038">
        <f>+'MCP PS'!S8</f>
        <v>30.729817794939436</v>
      </c>
      <c r="U12" s="4038">
        <f>+'MCP PS'!R8</f>
        <v>9.8419342350261563E-2</v>
      </c>
      <c r="V12" s="4038">
        <f>+'Recalculos PS'!AJ15</f>
        <v>193.80334095679643</v>
      </c>
      <c r="W12" s="4038">
        <f>+'MCP PS'!U8</f>
        <v>37.552779551636824</v>
      </c>
      <c r="X12" s="4038">
        <f>+'MCP PS'!V8</f>
        <v>78.045945239032577</v>
      </c>
      <c r="Y12" s="4038">
        <f>+'MCP PS'!W8</f>
        <v>76.284312365945041</v>
      </c>
      <c r="Z12" s="4038">
        <f>+'MCP PS'!X8</f>
        <v>44558.372882589101</v>
      </c>
      <c r="AA12" s="4038">
        <f>+'MCP PS'!Y8</f>
        <v>0.56074766355140204</v>
      </c>
      <c r="AB12" s="4038">
        <f>+'MCP PS'!Z8</f>
        <v>973.08411214953298</v>
      </c>
      <c r="AC12" s="4038">
        <f>+'MCP PS'!AA8</f>
        <v>92968.710731265528</v>
      </c>
      <c r="AD12" s="4038">
        <f>+'MCP PS'!AB8</f>
        <v>11447.869823702218</v>
      </c>
      <c r="AE12" s="4038">
        <f>+'MCP PS'!AC8</f>
        <v>17.009345794392502</v>
      </c>
      <c r="AF12" s="4038">
        <f>+'MCP PS'!AD8</f>
        <v>7034.5745676741408</v>
      </c>
      <c r="AG12" s="4038">
        <f>+'MCP PS'!AT8</f>
        <v>1.0858615302393324</v>
      </c>
      <c r="AH12" s="4038">
        <f>+'Recalculos PS'!P15</f>
        <v>99.356010196411177</v>
      </c>
      <c r="AI12" s="4038">
        <f t="shared" si="5"/>
        <v>99.356010196411177</v>
      </c>
      <c r="AJ12" s="4038">
        <f t="shared" si="6"/>
        <v>3.9116539447405976</v>
      </c>
      <c r="AK12" s="4040">
        <f>+'MCP PS'!AU8*100</f>
        <v>67.13793100657621</v>
      </c>
      <c r="AL12" s="4040">
        <v>9.9842219280947599</v>
      </c>
      <c r="AM12" s="4041">
        <f t="shared" si="7"/>
        <v>-6.0725679833541619</v>
      </c>
    </row>
    <row r="13" spans="1:54" s="4037" customFormat="1">
      <c r="A13" s="4037">
        <f t="shared" si="4"/>
        <v>8</v>
      </c>
      <c r="B13" s="4038">
        <f>+'Recalculos PS'!BG16+$B$4</f>
        <v>21.779398885424484</v>
      </c>
      <c r="C13" s="4038">
        <f>+'Recalculos PS'!BR16+$C$2</f>
        <v>89.305591314828987</v>
      </c>
      <c r="D13" s="4038">
        <v>0.42999477375940809</v>
      </c>
      <c r="E13" s="4038">
        <f>+'MCP PS'!F9</f>
        <v>116.79231453065985</v>
      </c>
      <c r="F13" s="4039">
        <f>+'MCP PS'!C9</f>
        <v>206541.95271136353</v>
      </c>
      <c r="G13" s="4038">
        <f>+'MCP PS'!D9</f>
        <v>0.47582197423699435</v>
      </c>
      <c r="H13" s="4038">
        <f>+'MCP PS'!E9</f>
        <v>0.42999477375940809</v>
      </c>
      <c r="I13" s="4038">
        <f>+'MCP PS'!F9</f>
        <v>116.79231453065985</v>
      </c>
      <c r="J13" s="4038">
        <f>+'MCP PS'!G9</f>
        <v>2.7722156265878359E-2</v>
      </c>
      <c r="K13" s="4038">
        <f>+'MCP PS'!H9</f>
        <v>1.0849844009915068</v>
      </c>
      <c r="L13" s="4038">
        <f>+'MCP PS'!J9</f>
        <v>21.04223044418675</v>
      </c>
      <c r="M13" s="4038">
        <f>+'MCP PS'!K9</f>
        <v>88.6954454768305</v>
      </c>
      <c r="N13" s="4038">
        <f>+'MCP PS'!M9</f>
        <v>12.843887709329477</v>
      </c>
      <c r="O13" s="4038">
        <f>+D13/'MCP PS'!I9</f>
        <v>0.24492443180498832</v>
      </c>
      <c r="P13" s="4038">
        <f>+'MCP PS'!N9</f>
        <v>1325.9980650313541</v>
      </c>
      <c r="Q13" s="4038">
        <f>+'MCP PS'!O9</f>
        <v>0.91922679936710849</v>
      </c>
      <c r="R13" s="4038">
        <f>+'MCP PS'!P9</f>
        <v>1.7446463324043409</v>
      </c>
      <c r="S13" s="4038">
        <f>+'MCP PS'!Q9</f>
        <v>0.11359318025075454</v>
      </c>
      <c r="T13" s="4038">
        <f>+'MCP PS'!S9</f>
        <v>25.470941533399895</v>
      </c>
      <c r="U13" s="4038">
        <f>+'MCP PS'!R9</f>
        <v>9.3742051500748685E-2</v>
      </c>
      <c r="V13" s="4038">
        <f>+'Recalculos PS'!AJ16</f>
        <v>196.79163474901824</v>
      </c>
      <c r="W13" s="4038">
        <f>+'MCP PS'!U9</f>
        <v>38.496662562943023</v>
      </c>
      <c r="X13" s="4038">
        <f>+'MCP PS'!V9</f>
        <v>76.154647108900789</v>
      </c>
      <c r="Y13" s="4038">
        <f>+'MCP PS'!W9</f>
        <v>68.016529339533591</v>
      </c>
      <c r="Z13" s="4038">
        <f>+'MCP PS'!X9</f>
        <v>52538.402485517807</v>
      </c>
      <c r="AA13" s="4038">
        <f>+'MCP PS'!Y9</f>
        <v>0.56074766355140204</v>
      </c>
      <c r="AB13" s="4038">
        <f>+'MCP PS'!Z9</f>
        <v>994.38297135642301</v>
      </c>
      <c r="AC13" s="4038">
        <f>+'MCP PS'!AA9</f>
        <v>91195.500498849156</v>
      </c>
      <c r="AD13" s="4038">
        <f>+'MCP PS'!AB9</f>
        <v>24681.136405977017</v>
      </c>
      <c r="AE13" s="4038">
        <f>+'MCP PS'!AC9</f>
        <v>17.009345794392502</v>
      </c>
      <c r="AF13" s="4038">
        <f>+'MCP PS'!AD9</f>
        <v>37114.949298745021</v>
      </c>
      <c r="AG13" s="4038">
        <f>+'MCP PS'!AT9</f>
        <v>0.81336285442788747</v>
      </c>
      <c r="AH13" s="4038">
        <f>+'Recalculos PS'!P16</f>
        <v>100.73100797268711</v>
      </c>
      <c r="AI13" s="4038">
        <f t="shared" si="5"/>
        <v>100.73100797268711</v>
      </c>
      <c r="AJ13" s="4038">
        <f t="shared" si="6"/>
        <v>3.9657877154601224</v>
      </c>
      <c r="AK13" s="4040">
        <f>+'MCP PS'!AU9*100</f>
        <v>56.592878051495298</v>
      </c>
      <c r="AL13" s="4040">
        <v>10.984221928094801</v>
      </c>
      <c r="AM13" s="4041">
        <f t="shared" si="7"/>
        <v>-7.0184342126346788</v>
      </c>
    </row>
    <row r="14" spans="1:54" s="4037" customFormat="1">
      <c r="A14" s="4037">
        <f t="shared" si="4"/>
        <v>9</v>
      </c>
      <c r="B14" s="4038">
        <v>25.11</v>
      </c>
      <c r="C14" s="4038">
        <v>89.9</v>
      </c>
      <c r="D14" s="4038">
        <v>0.47</v>
      </c>
      <c r="E14" s="4038">
        <v>143</v>
      </c>
      <c r="F14" s="4039">
        <f>+'MCP PS'!C10</f>
        <v>203486.98163751865</v>
      </c>
      <c r="G14" s="4038">
        <f>+'MCP PS'!D10</f>
        <v>0.49626214915987915</v>
      </c>
      <c r="H14" s="4038">
        <f>+'MCP PS'!E10</f>
        <v>0.45865425452497832</v>
      </c>
      <c r="I14" s="4038">
        <f>+'MCP PS'!F10</f>
        <v>98.576904177468023</v>
      </c>
      <c r="J14" s="4038">
        <f>+'MCP PS'!G10</f>
        <v>2.7177236334386425E-2</v>
      </c>
      <c r="K14" s="4038">
        <f>+'MCP PS'!H10</f>
        <v>1.1236693455115272</v>
      </c>
      <c r="L14" s="4038">
        <f>+'MCP PS'!J10</f>
        <v>21.328887214764627</v>
      </c>
      <c r="M14" s="4038">
        <f>+'MCP PS'!K10</f>
        <v>88.274364687614792</v>
      </c>
      <c r="N14" s="4038">
        <f>+'MCP PS'!M10</f>
        <v>12.924763274287537</v>
      </c>
      <c r="O14" s="4038">
        <f>+D14/'MCP PS'!I10</f>
        <v>0.23633306594606132</v>
      </c>
      <c r="P14" s="4038">
        <f>+'MCP PS'!N10</f>
        <v>1171.2530608085763</v>
      </c>
      <c r="Q14" s="4038">
        <f>+'MCP PS'!O10</f>
        <v>0.95366581433394515</v>
      </c>
      <c r="R14" s="4038">
        <f>+'MCP PS'!P10</f>
        <v>1.7272307477178965</v>
      </c>
      <c r="S14" s="4038">
        <f>+'MCP PS'!Q10</f>
        <v>0.11293713639344156</v>
      </c>
      <c r="T14" s="4038">
        <f>+'MCP PS'!S10</f>
        <v>28.534054278239346</v>
      </c>
      <c r="U14" s="4038">
        <f>+'MCP PS'!R10</f>
        <v>9.0688471046864005E-2</v>
      </c>
      <c r="V14" s="4038">
        <f>+'Recalculos PS'!AJ17</f>
        <v>199.20303368682784</v>
      </c>
      <c r="W14" s="4038">
        <f>+'MCP PS'!U10</f>
        <v>38.229840369062039</v>
      </c>
      <c r="X14" s="4038">
        <f>+'MCP PS'!V10</f>
        <v>77.908216439539601</v>
      </c>
      <c r="Y14" s="4038">
        <f>+'MCP PS'!W10</f>
        <v>69.935549550123326</v>
      </c>
      <c r="Z14" s="4038">
        <f>+'MCP PS'!X10</f>
        <v>41276.138150628052</v>
      </c>
      <c r="AA14" s="4038">
        <f>+'MCP PS'!Y10</f>
        <v>0.56074766355140204</v>
      </c>
      <c r="AB14" s="4038">
        <f>+'MCP PS'!Z10</f>
        <v>1219.2566574187076</v>
      </c>
      <c r="AC14" s="4038">
        <f>+'MCP PS'!AA10</f>
        <v>96142.402782704477</v>
      </c>
      <c r="AD14" s="4038">
        <f>+'MCP PS'!AB10</f>
        <v>57440.026369365565</v>
      </c>
      <c r="AE14" s="4038">
        <f>+'MCP PS'!AC10</f>
        <v>17.009345794392502</v>
      </c>
      <c r="AF14" s="4038">
        <f>+'MCP PS'!AD10</f>
        <v>7391.6110859473065</v>
      </c>
      <c r="AG14" s="4038">
        <f>+'MCP PS'!AT10</f>
        <v>0.83852146380093429</v>
      </c>
      <c r="AH14" s="4038">
        <f>+'Recalculos PS'!P17</f>
        <v>99.226991083218337</v>
      </c>
      <c r="AI14" s="4038">
        <f t="shared" si="5"/>
        <v>99.226991083218337</v>
      </c>
      <c r="AJ14" s="4038">
        <f t="shared" si="6"/>
        <v>3.9065744520952101</v>
      </c>
      <c r="AK14" s="4040">
        <f>+'MCP PS'!AU10*100</f>
        <v>76.082841284695704</v>
      </c>
      <c r="AL14" s="4040">
        <v>11.984221928094801</v>
      </c>
      <c r="AM14" s="4041">
        <f t="shared" si="7"/>
        <v>-8.0776474759995907</v>
      </c>
    </row>
    <row r="15" spans="1:54" s="4037" customFormat="1">
      <c r="A15" s="4037">
        <f t="shared" si="4"/>
        <v>10</v>
      </c>
      <c r="B15" s="4038">
        <f>+'Recalculos PS'!BG18+$B$4</f>
        <v>24.147726997740527</v>
      </c>
      <c r="C15" s="4038">
        <f>+'Recalculos PS'!BR18+$C$2</f>
        <v>88.943895423511705</v>
      </c>
      <c r="D15" s="4038">
        <v>0.55693689229657306</v>
      </c>
      <c r="E15" s="4038">
        <f>+'MCP PS'!F11</f>
        <v>161.99226859070069</v>
      </c>
      <c r="F15" s="4039">
        <f>+'MCP PS'!C11</f>
        <v>84000.000000096639</v>
      </c>
      <c r="G15" s="4038">
        <f>+'MCP PS'!D11</f>
        <v>0.54524349987360321</v>
      </c>
      <c r="H15" s="4038">
        <f>+'MCP PS'!E11</f>
        <v>0.55693689229657306</v>
      </c>
      <c r="I15" s="4038">
        <f>+'MCP PS'!F11</f>
        <v>161.99226859070069</v>
      </c>
      <c r="J15" s="4038">
        <f>+'MCP PS'!G11</f>
        <v>2.5061747625248158E-2</v>
      </c>
      <c r="K15" s="4038">
        <f>+'MCP PS'!H11</f>
        <v>1.0669857398897391</v>
      </c>
      <c r="L15" s="4038">
        <f>+'MCP PS'!J11</f>
        <v>22.432669002234359</v>
      </c>
      <c r="M15" s="4038">
        <f>+'MCP PS'!K11</f>
        <v>88.391741018083948</v>
      </c>
      <c r="N15" s="4038">
        <f>+'MCP PS'!M11</f>
        <v>12.845202668560646</v>
      </c>
      <c r="O15" s="4038">
        <f>+D15/'MCP PS'!I11</f>
        <v>0.28054370481348589</v>
      </c>
      <c r="P15" s="4038">
        <f>+'MCP PS'!N11</f>
        <v>1271.8148979824434</v>
      </c>
      <c r="Q15" s="4038">
        <f>+'MCP PS'!O11</f>
        <v>0.95864045744673243</v>
      </c>
      <c r="R15" s="4038">
        <f>+'MCP PS'!P11</f>
        <v>1.6741647403373547</v>
      </c>
      <c r="S15" s="4038">
        <f>+'MCP PS'!Q11</f>
        <v>7.4373685072734924E-2</v>
      </c>
      <c r="T15" s="4038">
        <f>+'MCP PS'!S11</f>
        <v>16.960424092980919</v>
      </c>
      <c r="U15" s="4038">
        <f>+'MCP PS'!R11</f>
        <v>8.7363339886726704E-2</v>
      </c>
      <c r="V15" s="4038">
        <f>+'Recalculos PS'!AJ18</f>
        <v>191.82869133920639</v>
      </c>
      <c r="W15" s="4038">
        <f>+'MCP PS'!U11</f>
        <v>37.616068853445114</v>
      </c>
      <c r="X15" s="4038">
        <f>+'MCP PS'!V11</f>
        <v>78.697372514722574</v>
      </c>
      <c r="Y15" s="4038">
        <f>+'MCP PS'!W11</f>
        <v>70.71716209230739</v>
      </c>
      <c r="Z15" s="4038">
        <f>+'MCP PS'!X11</f>
        <v>18789.647909226554</v>
      </c>
      <c r="AA15" s="4038">
        <f>+'MCP PS'!Y11</f>
        <v>0</v>
      </c>
      <c r="AB15" s="4038">
        <f>+'MCP PS'!Z11</f>
        <v>2994.425931113029</v>
      </c>
      <c r="AC15" s="4038">
        <f>+'MCP PS'!AA11</f>
        <v>40866.632613414607</v>
      </c>
      <c r="AD15" s="4038">
        <f>+'MCP PS'!AB11</f>
        <v>16577.182315524195</v>
      </c>
      <c r="AE15" s="4038">
        <f>+'MCP PS'!AC11</f>
        <v>0</v>
      </c>
      <c r="AF15" s="4038">
        <f>+'MCP PS'!AD11</f>
        <v>4772.5003800786271</v>
      </c>
      <c r="AG15" s="4038">
        <f>+'MCP PS'!AT11</f>
        <v>0.97008468293675776</v>
      </c>
      <c r="AH15" s="4038">
        <f>+'Recalculos PS'!P18</f>
        <v>109.35859929662269</v>
      </c>
      <c r="AI15" s="4038">
        <f t="shared" si="5"/>
        <v>109.35859929662269</v>
      </c>
      <c r="AJ15" s="4038">
        <f t="shared" si="6"/>
        <v>4.3054566652213655</v>
      </c>
      <c r="AK15" s="4040">
        <f>+'MCP PS'!AU11*100</f>
        <v>71.94995341341756</v>
      </c>
      <c r="AL15" s="4040">
        <v>12.984221928094801</v>
      </c>
      <c r="AM15" s="4041">
        <f t="shared" si="7"/>
        <v>-8.6787652628734353</v>
      </c>
    </row>
    <row r="16" spans="1:54" s="4037" customFormat="1">
      <c r="A16" s="4037">
        <f t="shared" si="4"/>
        <v>11</v>
      </c>
      <c r="B16" s="4038">
        <v>26.24</v>
      </c>
      <c r="C16" s="4038">
        <v>90.386457815506716</v>
      </c>
      <c r="D16" s="4038">
        <v>0.47597611449782201</v>
      </c>
      <c r="E16" s="4038">
        <f>+'MCP PS'!F12</f>
        <v>224.53003921483835</v>
      </c>
      <c r="F16" s="4039">
        <f>+'MCP PS'!C12</f>
        <v>83000.00000027362</v>
      </c>
      <c r="G16" s="4038">
        <f>+'MCP PS'!D12</f>
        <v>0.67738167988634146</v>
      </c>
      <c r="H16" s="4038">
        <f>+'MCP PS'!E12</f>
        <v>0.58228827415834328</v>
      </c>
      <c r="I16" s="4038">
        <f>+'MCP PS'!F12</f>
        <v>224.53003921483835</v>
      </c>
      <c r="J16" s="4038">
        <f>+'MCP PS'!G12</f>
        <v>4.323310973940455E-2</v>
      </c>
      <c r="K16" s="4038">
        <f>+'MCP PS'!H12</f>
        <v>1.4080469161234808</v>
      </c>
      <c r="L16" s="4038">
        <f>+'MCP PS'!J12</f>
        <v>29.4054378965224</v>
      </c>
      <c r="M16" s="4038">
        <f>+'MCP PS'!K12</f>
        <v>89.116966991569697</v>
      </c>
      <c r="N16" s="4038">
        <f>+'MCP PS'!M12</f>
        <v>12.169611115156455</v>
      </c>
      <c r="O16" s="4038">
        <f>+D16/'MCP PS'!I12</f>
        <v>0.39809471344947583</v>
      </c>
      <c r="P16" s="4038">
        <f>+'MCP PS'!N12</f>
        <v>1042.376961948084</v>
      </c>
      <c r="Q16" s="4038">
        <f>+'MCP PS'!O12</f>
        <v>0.70847094331945193</v>
      </c>
      <c r="R16" s="4038">
        <f>+'MCP PS'!P12</f>
        <v>0.87799854659809529</v>
      </c>
      <c r="S16" s="4038">
        <f>+'MCP PS'!Q12</f>
        <v>0.273776677640022</v>
      </c>
      <c r="T16" s="4038">
        <f>+'MCP PS'!S12</f>
        <v>37.915247537030346</v>
      </c>
      <c r="U16" s="4038">
        <f>+'MCP PS'!R12</f>
        <v>0.15891872403305285</v>
      </c>
      <c r="V16" s="4038">
        <f>+'Recalculos PS'!AJ19</f>
        <v>189.07948158562573</v>
      </c>
      <c r="W16" s="4038">
        <f>+'MCP PS'!U12</f>
        <v>39.150910417226292</v>
      </c>
      <c r="X16" s="4038">
        <f>+'MCP PS'!V12</f>
        <v>76.370427491631403</v>
      </c>
      <c r="Y16" s="4038">
        <f>+'MCP PS'!W12</f>
        <v>78.175957616856962</v>
      </c>
      <c r="Z16" s="4038">
        <f>+'MCP PS'!X12</f>
        <v>31768.460194610532</v>
      </c>
      <c r="AA16" s="4038">
        <f>+'MCP PS'!Y12</f>
        <v>0</v>
      </c>
      <c r="AB16" s="4038">
        <f>+'MCP PS'!Z12</f>
        <v>0</v>
      </c>
      <c r="AC16" s="4038">
        <f>+'MCP PS'!AA12</f>
        <v>51229.721755135281</v>
      </c>
      <c r="AD16" s="4038">
        <f>+'MCP PS'!AB12</f>
        <v>0</v>
      </c>
      <c r="AE16" s="4038">
        <f>+'MCP PS'!AC12</f>
        <v>0</v>
      </c>
      <c r="AF16" s="4038">
        <f>+'MCP PS'!AD12</f>
        <v>1.9694617903141201</v>
      </c>
      <c r="AG16" s="4038">
        <f>+'MCP PS'!AT12</f>
        <v>1.155647807230705</v>
      </c>
      <c r="AH16" s="4038">
        <f>+'Recalculos PS'!P19</f>
        <v>109.40221245900028</v>
      </c>
      <c r="AI16" s="4038">
        <f t="shared" si="5"/>
        <v>109.40221245900028</v>
      </c>
      <c r="AJ16" s="4038">
        <f t="shared" si="6"/>
        <v>4.3071737188582793</v>
      </c>
      <c r="AK16" s="4040">
        <f>+'MCP PS'!AU12*100</f>
        <v>61.722443735222996</v>
      </c>
      <c r="AL16" s="4040">
        <v>13.984221928094801</v>
      </c>
      <c r="AM16" s="4041">
        <f t="shared" si="7"/>
        <v>-9.6770482092365206</v>
      </c>
    </row>
    <row r="17" spans="1:39" s="4037" customFormat="1">
      <c r="A17" s="4037">
        <f t="shared" si="4"/>
        <v>12</v>
      </c>
      <c r="B17" s="4038">
        <f>+'Recalculos PS'!BG20+$B$4</f>
        <v>28.228913238434245</v>
      </c>
      <c r="C17" s="4038">
        <v>90.5</v>
      </c>
      <c r="D17" s="4038">
        <v>0.52</v>
      </c>
      <c r="E17" s="4038">
        <f>+'MCP PS'!F13</f>
        <v>189.99041688101147</v>
      </c>
      <c r="F17" s="4039">
        <f>+'MCP PS'!C13</f>
        <v>204049.50835965283</v>
      </c>
      <c r="G17" s="4038">
        <f>+'MCP PS'!D13</f>
        <v>0.60689380438156471</v>
      </c>
      <c r="H17" s="4038">
        <f>+'MCP PS'!E13</f>
        <v>0.53189867521201617</v>
      </c>
      <c r="I17" s="4038">
        <f>+'MCP PS'!F13</f>
        <v>189.99041688101147</v>
      </c>
      <c r="J17" s="4038">
        <f>+'MCP PS'!G13</f>
        <v>3.5066238669912923E-2</v>
      </c>
      <c r="K17" s="4038">
        <f>+'MCP PS'!H13</f>
        <v>1.2472425396527844</v>
      </c>
      <c r="L17" s="4038">
        <f>+'MCP PS'!J13</f>
        <v>27.114449433261079</v>
      </c>
      <c r="M17" s="4038">
        <f>+'MCP PS'!K13</f>
        <v>89.200255766732582</v>
      </c>
      <c r="N17" s="4038">
        <f>+'MCP PS'!M13</f>
        <v>12.472034310232406</v>
      </c>
      <c r="O17" s="4038">
        <f>+D17/'MCP PS'!I13</f>
        <v>0.40407321129966967</v>
      </c>
      <c r="P17" s="4038">
        <f>+'MCP PS'!N13</f>
        <v>1153.6827591044723</v>
      </c>
      <c r="Q17" s="4038">
        <f>+'MCP PS'!O13</f>
        <v>0.74327477704907996</v>
      </c>
      <c r="R17" s="4038">
        <f>+'MCP PS'!P13</f>
        <v>0.94280056874249729</v>
      </c>
      <c r="S17" s="4038">
        <f>+'MCP PS'!Q13</f>
        <v>0.17684244226265214</v>
      </c>
      <c r="T17" s="4038">
        <f>+'MCP PS'!S13</f>
        <v>26.761256060835382</v>
      </c>
      <c r="U17" s="4038">
        <f>+'MCP PS'!R13</f>
        <v>0.13924984499905191</v>
      </c>
      <c r="V17" s="4038">
        <f>+'Recalculos PS'!AJ20</f>
        <v>194.22678790212424</v>
      </c>
      <c r="W17" s="4038">
        <f>+'MCP PS'!U13</f>
        <v>37.506814464923046</v>
      </c>
      <c r="X17" s="4038">
        <f>+'MCP PS'!V13</f>
        <v>78.782677697191403</v>
      </c>
      <c r="Y17" s="4038">
        <f>+'MCP PS'!W13</f>
        <v>77.618100653245762</v>
      </c>
      <c r="Z17" s="4038">
        <f>+'MCP PS'!X13</f>
        <v>64476.378137446263</v>
      </c>
      <c r="AA17" s="4038">
        <f>+'MCP PS'!Y13</f>
        <v>0.56074766355140204</v>
      </c>
      <c r="AB17" s="4038">
        <f>+'MCP PS'!Z13</f>
        <v>973.08411214953298</v>
      </c>
      <c r="AC17" s="4038">
        <f>+'MCP PS'!AA13</f>
        <v>122144.60038516011</v>
      </c>
      <c r="AD17" s="4038">
        <f>+'MCP PS'!AB13</f>
        <v>335.84668059669792</v>
      </c>
      <c r="AE17" s="4038">
        <f>+'MCP PS'!AC13</f>
        <v>17.009345794392502</v>
      </c>
      <c r="AF17" s="4038">
        <f>+'MCP PS'!AD13</f>
        <v>16101.943540289307</v>
      </c>
      <c r="AG17" s="4038">
        <f>+'MCP PS'!AT13</f>
        <v>1.0829014899727001</v>
      </c>
      <c r="AH17" s="4038">
        <f>+'Recalculos PS'!P20</f>
        <v>98.6239733807097</v>
      </c>
      <c r="AI17" s="4038">
        <f t="shared" si="5"/>
        <v>98.6239733807097</v>
      </c>
      <c r="AJ17" s="4038">
        <f t="shared" si="6"/>
        <v>3.8828335976657362</v>
      </c>
      <c r="AK17" s="4040">
        <f>+'MCP PS'!AU13*100</f>
        <v>60.510115019781495</v>
      </c>
      <c r="AL17" s="4040">
        <v>14.984221928094801</v>
      </c>
      <c r="AM17" s="4041">
        <f t="shared" si="7"/>
        <v>-11.101388330429064</v>
      </c>
    </row>
    <row r="18" spans="1:39" s="4037" customFormat="1">
      <c r="A18" s="4037">
        <f t="shared" si="4"/>
        <v>13</v>
      </c>
      <c r="B18" s="4038">
        <f>+'Recalculos PS'!BG21+$B$4</f>
        <v>29.605870561803197</v>
      </c>
      <c r="C18" s="4038">
        <f>+'Recalculos PS'!BR21+$C$2</f>
        <v>90.766552690521692</v>
      </c>
      <c r="D18" s="4038">
        <f>+'MCP PS'!E14</f>
        <v>0.446063956179379</v>
      </c>
      <c r="E18" s="4038">
        <f>+'MCP PS'!F14</f>
        <v>243.1868053388686</v>
      </c>
      <c r="F18" s="4039">
        <f>+'MCP PS'!C14</f>
        <v>225152.2586617237</v>
      </c>
      <c r="G18" s="4038">
        <f>+'MCP PS'!D14</f>
        <v>0.55409809905591767</v>
      </c>
      <c r="H18" s="4038">
        <f>+'MCP PS'!E14</f>
        <v>0.446063956179379</v>
      </c>
      <c r="I18" s="4038">
        <f>+'MCP PS'!F14</f>
        <v>243.1868053388686</v>
      </c>
      <c r="J18" s="4038">
        <f>+'MCP PS'!G14</f>
        <v>3.5991986526734535E-2</v>
      </c>
      <c r="K18" s="4038">
        <f>+'MCP PS'!H14</f>
        <v>1.2839065171203508</v>
      </c>
      <c r="L18" s="4038">
        <f>+'MCP PS'!J14</f>
        <v>27.298520408216522</v>
      </c>
      <c r="M18" s="4038">
        <f>+'MCP PS'!K14</f>
        <v>89.932681062276572</v>
      </c>
      <c r="N18" s="4038">
        <f>+'MCP PS'!M14</f>
        <v>12.515641052011633</v>
      </c>
      <c r="O18" s="4038">
        <f>+D18/'MCP PS'!I14</f>
        <v>0.42289362739282876</v>
      </c>
      <c r="P18" s="4038">
        <f>+'MCP PS'!N14</f>
        <v>389.0444097006523</v>
      </c>
      <c r="Q18" s="4038">
        <f>+'MCP PS'!O14</f>
        <v>0.73755561675588099</v>
      </c>
      <c r="R18" s="4038">
        <f>+'MCP PS'!P14</f>
        <v>0.46517646626253251</v>
      </c>
      <c r="S18" s="4038">
        <f>+'MCP PS'!Q14</f>
        <v>0.22898734738039722</v>
      </c>
      <c r="T18" s="4038">
        <f>+'MCP PS'!S14</f>
        <v>15.685821590193346</v>
      </c>
      <c r="U18" s="4038">
        <f>+'MCP PS'!R14</f>
        <v>8.4341844637126351E-2</v>
      </c>
      <c r="V18" s="4038">
        <f>+'Recalculos PS'!AJ21</f>
        <v>183.3107573973866</v>
      </c>
      <c r="W18" s="4038">
        <f>+'MCP PS'!U14</f>
        <v>37.157252079141109</v>
      </c>
      <c r="X18" s="4038">
        <f>+'MCP PS'!V14</f>
        <v>76.829789399129282</v>
      </c>
      <c r="Y18" s="4038">
        <f>+'MCP PS'!W14</f>
        <v>89.601171984859292</v>
      </c>
      <c r="Z18" s="4038">
        <f>+'MCP PS'!X14</f>
        <v>44765.143850807413</v>
      </c>
      <c r="AA18" s="4038">
        <f>+'MCP PS'!Y14</f>
        <v>0.56074766355140204</v>
      </c>
      <c r="AB18" s="4038">
        <f>+'MCP PS'!Z14</f>
        <v>1133.2202664683025</v>
      </c>
      <c r="AC18" s="4038">
        <f>+'MCP PS'!AA14</f>
        <v>177362.47067465811</v>
      </c>
      <c r="AD18" s="4038">
        <f>+'MCP PS'!AB14</f>
        <v>26.3551401869159</v>
      </c>
      <c r="AE18" s="4038">
        <f>+'MCP PS'!AC14</f>
        <v>17.009345794392502</v>
      </c>
      <c r="AF18" s="4038">
        <f>+'MCP PS'!AD14</f>
        <v>1847.8009790197791</v>
      </c>
      <c r="AG18" s="4038">
        <f>+'MCP PS'!AT14</f>
        <v>1.4442344811928749</v>
      </c>
      <c r="AH18" s="4038">
        <f>+'Recalculos PS'!P21</f>
        <v>108.79262933884122</v>
      </c>
      <c r="AI18" s="4038">
        <f t="shared" ref="AI18:AI36" si="8">AH18</f>
        <v>108.79262933884122</v>
      </c>
      <c r="AJ18" s="4038">
        <f t="shared" ref="AJ18:AJ36" si="9">+AI18/25.4</f>
        <v>4.2831743834189462</v>
      </c>
      <c r="AK18" s="4040">
        <f>+'MCP PS'!AU14*100</f>
        <v>79.296924108032371</v>
      </c>
      <c r="AL18" s="4040">
        <v>15.984221928094801</v>
      </c>
      <c r="AM18" s="4041">
        <f t="shared" ref="AM18:AM36" si="10">+AJ18-AL18</f>
        <v>-11.701047544675856</v>
      </c>
    </row>
    <row r="19" spans="1:39" s="4037" customFormat="1">
      <c r="A19" s="4037">
        <f t="shared" si="4"/>
        <v>14</v>
      </c>
      <c r="B19" s="4038">
        <f>+'Recalculos PS'!BG22+$B$4</f>
        <v>30.334338421893662</v>
      </c>
      <c r="C19" s="4038">
        <f>+'Recalculos PS'!BR22+$C$2</f>
        <v>90.976700823012095</v>
      </c>
      <c r="D19" s="4038">
        <f>+'MCP PS'!E15</f>
        <v>0.50041368235040529</v>
      </c>
      <c r="E19" s="4038">
        <f>+'MCP PS'!F15</f>
        <v>243.36878613921388</v>
      </c>
      <c r="F19" s="4039">
        <f>+'MCP PS'!C15</f>
        <v>175999.99999968239</v>
      </c>
      <c r="G19" s="4038">
        <f>+'MCP PS'!D15</f>
        <v>0.61034312837869475</v>
      </c>
      <c r="H19" s="4038">
        <f>+'MCP PS'!E15</f>
        <v>0.50041368235040529</v>
      </c>
      <c r="I19" s="4038">
        <f>+'MCP PS'!F15</f>
        <v>243.36878613921388</v>
      </c>
      <c r="J19" s="4038">
        <f>+'MCP PS'!G15</f>
        <v>4.3504106506726085E-2</v>
      </c>
      <c r="K19" s="4038">
        <f>+'MCP PS'!H15</f>
        <v>1.3205964351615505</v>
      </c>
      <c r="L19" s="4038">
        <f>+'MCP PS'!J15</f>
        <v>28.257155036550824</v>
      </c>
      <c r="M19" s="4038">
        <f>+'MCP PS'!K15</f>
        <v>89.66987237841812</v>
      </c>
      <c r="N19" s="4038">
        <f>+'MCP PS'!M15</f>
        <v>12.694261883624915</v>
      </c>
      <c r="O19" s="4038">
        <f>+D19/'MCP PS'!I15</f>
        <v>0.46811667132662577</v>
      </c>
      <c r="P19" s="4038">
        <f>+'MCP PS'!N15</f>
        <v>339.59960011037691</v>
      </c>
      <c r="Q19" s="4038">
        <f>+'MCP PS'!O15</f>
        <v>0.74974017643515267</v>
      </c>
      <c r="R19" s="4038">
        <f>+'MCP PS'!P15</f>
        <v>0.46359292871394653</v>
      </c>
      <c r="S19" s="4038">
        <f>+'MCP PS'!Q15</f>
        <v>0.23898985385571092</v>
      </c>
      <c r="T19" s="4038">
        <f>+'MCP PS'!S15</f>
        <v>15.818806641556488</v>
      </c>
      <c r="U19" s="4038">
        <f>+'MCP PS'!R15</f>
        <v>8.7998614587530041E-2</v>
      </c>
      <c r="V19" s="4038">
        <f>+'Recalculos PS'!AJ22</f>
        <v>187.13092538287614</v>
      </c>
      <c r="W19" s="4038">
        <f>+'MCP PS'!U15</f>
        <v>38.120688222082215</v>
      </c>
      <c r="X19" s="4038">
        <f>+'MCP PS'!V15</f>
        <v>80.372228838127754</v>
      </c>
      <c r="Y19" s="4038">
        <f>+'MCP PS'!W15</f>
        <v>91.115987110162962</v>
      </c>
      <c r="Z19" s="4038">
        <f>+'MCP PS'!X15</f>
        <v>33551.33819724842</v>
      </c>
      <c r="AA19" s="4038">
        <f>+'MCP PS'!Y15</f>
        <v>0.420560747663551</v>
      </c>
      <c r="AB19" s="4038">
        <f>+'MCP PS'!Z15</f>
        <v>729.81308411215002</v>
      </c>
      <c r="AC19" s="4038">
        <f>+'MCP PS'!AA15</f>
        <v>141480.98210991497</v>
      </c>
      <c r="AD19" s="4038">
        <f>+'MCP PS'!AB15</f>
        <v>19.766355140186899</v>
      </c>
      <c r="AE19" s="4038">
        <f>+'MCP PS'!AC15</f>
        <v>12.757009345794399</v>
      </c>
      <c r="AF19" s="4038">
        <f>+'MCP PS'!AD15</f>
        <v>205.37383177570101</v>
      </c>
      <c r="AG19" s="4038">
        <f>+'MCP PS'!AT15</f>
        <v>1.4731368744178415</v>
      </c>
      <c r="AH19" s="4038">
        <f>+'Recalculos PS'!P22</f>
        <v>109.13548469023023</v>
      </c>
      <c r="AI19" s="4038">
        <f t="shared" si="8"/>
        <v>109.13548469023023</v>
      </c>
      <c r="AJ19" s="4038">
        <f t="shared" si="9"/>
        <v>4.2966726255996157</v>
      </c>
      <c r="AK19" s="4040">
        <f>+'MCP PS'!AU15*100</f>
        <v>80.819860193806818</v>
      </c>
      <c r="AL19" s="4040">
        <v>16.984221928094801</v>
      </c>
      <c r="AM19" s="4041">
        <f t="shared" si="10"/>
        <v>-12.687549302495185</v>
      </c>
    </row>
    <row r="20" spans="1:39" s="4037" customFormat="1">
      <c r="A20" s="4037">
        <f t="shared" si="4"/>
        <v>15</v>
      </c>
      <c r="B20" s="4038">
        <v>26</v>
      </c>
      <c r="C20" s="4038">
        <v>90</v>
      </c>
      <c r="D20" s="4260">
        <v>0.49</v>
      </c>
      <c r="E20" s="4038">
        <f>+'MCP PS'!F16</f>
        <v>131.51460559940301</v>
      </c>
      <c r="F20" s="4039">
        <f>+'MCP PS'!C16</f>
        <v>227905.15785900154</v>
      </c>
      <c r="G20" s="4038">
        <f>+'MCP PS'!D16</f>
        <v>0.54754766370757513</v>
      </c>
      <c r="H20" s="4038">
        <f>+'MCP PS'!E16</f>
        <v>0.48474102855907147</v>
      </c>
      <c r="I20" s="4038">
        <f>+'MCP PS'!F16</f>
        <v>131.51460559940301</v>
      </c>
      <c r="J20" s="4038">
        <f>+'MCP PS'!G16</f>
        <v>5.4515360217680914E-2</v>
      </c>
      <c r="K20" s="4038">
        <f>+'MCP PS'!H16</f>
        <v>1.4552867623364012</v>
      </c>
      <c r="L20" s="4038">
        <f>+'MCP PS'!J16</f>
        <v>27.232943966180745</v>
      </c>
      <c r="M20" s="4038">
        <f>+'MCP PS'!K16</f>
        <v>89.602658899497328</v>
      </c>
      <c r="N20" s="4038">
        <f>+'MCP PS'!M16</f>
        <v>12.709282947170372</v>
      </c>
      <c r="O20" s="4038">
        <f>+D20/'MCP PS'!I16</f>
        <v>0.41500812275172333</v>
      </c>
      <c r="P20" s="4038">
        <f>+'MCP PS'!N16</f>
        <v>458.3408150571197</v>
      </c>
      <c r="Q20" s="4038">
        <f>+'MCP PS'!O16</f>
        <v>0.79490611157898039</v>
      </c>
      <c r="R20" s="4038">
        <f>+'MCP PS'!P16</f>
        <v>0.68164131671989303</v>
      </c>
      <c r="S20" s="4038">
        <f>+'MCP PS'!Q16</f>
        <v>0.2002612966910482</v>
      </c>
      <c r="T20" s="4038">
        <f>+'MCP PS'!S16</f>
        <v>22.041839820121375</v>
      </c>
      <c r="U20" s="4038">
        <f>+'MCP PS'!R16</f>
        <v>0.10186665813758956</v>
      </c>
      <c r="V20" s="4038">
        <f>+'Recalculos PS'!AJ23</f>
        <v>189.33540605349759</v>
      </c>
      <c r="W20" s="4038">
        <f>+'MCP PS'!U16</f>
        <v>38.696424510724626</v>
      </c>
      <c r="X20" s="4038">
        <f>+'MCP PS'!V16</f>
        <v>80.630137123982422</v>
      </c>
      <c r="Y20" s="4038">
        <f>+'MCP PS'!W16</f>
        <v>86.687772850935204</v>
      </c>
      <c r="Z20" s="4038">
        <f>+'MCP PS'!X16</f>
        <v>65302.724329648387</v>
      </c>
      <c r="AA20" s="4038">
        <f>+'MCP PS'!Y16</f>
        <v>17.435568687376602</v>
      </c>
      <c r="AB20" s="4038">
        <f>+'MCP PS'!Z16</f>
        <v>2369.8731487700629</v>
      </c>
      <c r="AC20" s="4038">
        <f>+'MCP PS'!AA16</f>
        <v>158736.90571525684</v>
      </c>
      <c r="AD20" s="4038">
        <f>+'MCP PS'!AB16</f>
        <v>26.839791109069868</v>
      </c>
      <c r="AE20" s="4038">
        <f>+'MCP PS'!AC16</f>
        <v>22.162618718818521</v>
      </c>
      <c r="AF20" s="4038">
        <f>+'MCP PS'!AD16</f>
        <v>1429.508841515935</v>
      </c>
      <c r="AG20" s="4038">
        <f>+'MCP PS'!AT16</f>
        <v>1.2346846427715699</v>
      </c>
      <c r="AH20" s="4038">
        <f>+'Recalculos PS'!P23</f>
        <v>107.89566421956292</v>
      </c>
      <c r="AI20" s="4038">
        <f t="shared" si="8"/>
        <v>107.89566421956292</v>
      </c>
      <c r="AJ20" s="4038">
        <f t="shared" si="9"/>
        <v>4.2478607960457841</v>
      </c>
      <c r="AK20" s="4040">
        <f>+'MCP PS'!AU16*100</f>
        <v>70.711683842647346</v>
      </c>
      <c r="AL20" s="4040">
        <v>17.984221928094801</v>
      </c>
      <c r="AM20" s="4041">
        <f t="shared" si="10"/>
        <v>-13.736361132049016</v>
      </c>
    </row>
    <row r="21" spans="1:39" s="4037" customFormat="1">
      <c r="A21" s="4037">
        <f t="shared" si="4"/>
        <v>16</v>
      </c>
      <c r="B21" s="4038">
        <v>27</v>
      </c>
      <c r="C21" s="4038">
        <f>+'Recalculos PS'!BR24+$C$2</f>
        <v>91.100106262090762</v>
      </c>
      <c r="D21" s="4260">
        <v>0.51</v>
      </c>
      <c r="E21" s="4038">
        <f>+'MCP PS'!F17</f>
        <v>142.22973282070376</v>
      </c>
      <c r="F21" s="4039">
        <f>+'MCP PS'!C17</f>
        <v>217798.28347475035</v>
      </c>
      <c r="G21" s="4038">
        <f>+'MCP PS'!D17</f>
        <v>0.53987613442977211</v>
      </c>
      <c r="H21" s="4038">
        <f>+'MCP PS'!E17</f>
        <v>0.47743651463937253</v>
      </c>
      <c r="I21" s="4038">
        <f>+'MCP PS'!F17</f>
        <v>142.22973282070376</v>
      </c>
      <c r="J21" s="4038">
        <f>+'MCP PS'!G17</f>
        <v>6.4020605153275026E-2</v>
      </c>
      <c r="K21" s="4038">
        <f>+'MCP PS'!H17</f>
        <v>1.6264310506024897</v>
      </c>
      <c r="L21" s="4038">
        <f>+'MCP PS'!J17</f>
        <v>27.774173074472081</v>
      </c>
      <c r="M21" s="4038">
        <f>+'MCP PS'!K17</f>
        <v>90.131235656786743</v>
      </c>
      <c r="N21" s="4038">
        <f>+'MCP PS'!M17</f>
        <v>12.624531846119941</v>
      </c>
      <c r="O21" s="4038">
        <f>+D21/'MCP PS'!I17</f>
        <v>0.45997878978730361</v>
      </c>
      <c r="P21" s="4038">
        <f>+'MCP PS'!N17</f>
        <v>334.01606490669047</v>
      </c>
      <c r="Q21" s="4038">
        <f>+'MCP PS'!O17</f>
        <v>0.85415648610162809</v>
      </c>
      <c r="R21" s="4038">
        <f>+'MCP PS'!P17</f>
        <v>0.58980733904373006</v>
      </c>
      <c r="S21" s="4038">
        <f>+'MCP PS'!Q17</f>
        <v>0.22551498967881506</v>
      </c>
      <c r="T21" s="4038">
        <f>+'MCP PS'!S17</f>
        <v>18.016519501980184</v>
      </c>
      <c r="U21" s="4038">
        <f>+'MCP PS'!R17</f>
        <v>7.4714306156330276E-2</v>
      </c>
      <c r="V21" s="4038">
        <f>+'Recalculos PS'!AJ24</f>
        <v>188.12976459168951</v>
      </c>
      <c r="W21" s="4038">
        <f>+'MCP PS'!U17</f>
        <v>38.914802490746702</v>
      </c>
      <c r="X21" s="4038">
        <f>+'MCP PS'!V17</f>
        <v>78.645042614233247</v>
      </c>
      <c r="Y21" s="4038">
        <f>+'MCP PS'!W17</f>
        <v>89.777080623681684</v>
      </c>
      <c r="Z21" s="4038">
        <f>+'MCP PS'!X17</f>
        <v>51283.214534120591</v>
      </c>
      <c r="AA21" s="4038">
        <f>+'MCP PS'!Y17</f>
        <v>0.56074766355140204</v>
      </c>
      <c r="AB21" s="4038">
        <f>+'MCP PS'!Z17</f>
        <v>973.08411214953298</v>
      </c>
      <c r="AC21" s="4038">
        <f>+'MCP PS'!AA17</f>
        <v>165224.62774638753</v>
      </c>
      <c r="AD21" s="4038">
        <f>+'MCP PS'!AB17</f>
        <v>26.3551401869159</v>
      </c>
      <c r="AE21" s="4038">
        <f>+'MCP PS'!AC17</f>
        <v>17.009345794392502</v>
      </c>
      <c r="AF21" s="4038">
        <f>+'MCP PS'!AD17</f>
        <v>273.831775700935</v>
      </c>
      <c r="AG21" s="4038">
        <f>+'MCP PS'!AT17</f>
        <v>1.298686382949463</v>
      </c>
      <c r="AH21" s="4038">
        <f>+'Recalculos PS'!P24</f>
        <v>108.77201149659408</v>
      </c>
      <c r="AI21" s="4038">
        <f t="shared" si="8"/>
        <v>108.77201149659408</v>
      </c>
      <c r="AJ21" s="4038">
        <f t="shared" si="9"/>
        <v>4.2823626573462237</v>
      </c>
      <c r="AK21" s="4040">
        <f>+'MCP PS'!AU17*100</f>
        <v>76.327861008084128</v>
      </c>
      <c r="AL21" s="4040">
        <v>18.984221928094801</v>
      </c>
      <c r="AM21" s="4041">
        <f t="shared" si="10"/>
        <v>-14.701859270748578</v>
      </c>
    </row>
    <row r="22" spans="1:39" s="4037" customFormat="1">
      <c r="A22" s="4037">
        <f t="shared" si="4"/>
        <v>17</v>
      </c>
      <c r="B22" s="4038">
        <f>+'Recalculos PS'!BG25+$B$4</f>
        <v>27.710024057947489</v>
      </c>
      <c r="C22" s="4038">
        <f>+'Recalculos PS'!BR25+$C$2</f>
        <v>91.497324698413536</v>
      </c>
      <c r="D22" s="4312">
        <v>0.5</v>
      </c>
      <c r="E22" s="4038">
        <f>+'MCP PS'!F18</f>
        <v>141.02324160466765</v>
      </c>
      <c r="F22" s="4039">
        <f>+'MCP PS'!C18</f>
        <v>175999.99999932194</v>
      </c>
      <c r="G22" s="4038">
        <f>+'MCP PS'!D18</f>
        <v>0.5825990746316464</v>
      </c>
      <c r="H22" s="4038">
        <f>+'MCP PS'!E18</f>
        <v>0.51166783187005194</v>
      </c>
      <c r="I22" s="4038">
        <f>+'MCP PS'!F18</f>
        <v>141.02324160466765</v>
      </c>
      <c r="J22" s="4038">
        <f>+'MCP PS'!G18</f>
        <v>5.4366978445845343E-2</v>
      </c>
      <c r="K22" s="4038">
        <f>+'MCP PS'!H18</f>
        <v>1.5673805132197096</v>
      </c>
      <c r="L22" s="4038">
        <f>+'MCP PS'!J18</f>
        <v>27.791260571432403</v>
      </c>
      <c r="M22" s="4038">
        <f>+'MCP PS'!K18</f>
        <v>90.620204316578963</v>
      </c>
      <c r="N22" s="4038">
        <f>+'MCP PS'!M18</f>
        <v>12.678965368724709</v>
      </c>
      <c r="O22" s="4038">
        <f>+D22/'MCP PS'!I18</f>
        <v>0.41169641304384874</v>
      </c>
      <c r="P22" s="4038">
        <f>+'MCP PS'!N18</f>
        <v>733.85123906580134</v>
      </c>
      <c r="Q22" s="4038">
        <f>+'MCP PS'!O18</f>
        <v>0.90114257317554214</v>
      </c>
      <c r="R22" s="4038">
        <f>+'MCP PS'!P18</f>
        <v>0.78194925627014022</v>
      </c>
      <c r="S22" s="4038">
        <f>+'MCP PS'!Q18</f>
        <v>0.21263101283428049</v>
      </c>
      <c r="T22" s="4038">
        <f>+'MCP PS'!S18</f>
        <v>18.590741609846372</v>
      </c>
      <c r="U22" s="4038">
        <f>+'MCP PS'!R18</f>
        <v>7.8215406535147317E-2</v>
      </c>
      <c r="V22" s="4038">
        <f>+'Recalculos PS'!AJ25</f>
        <v>189.73855364078642</v>
      </c>
      <c r="W22" s="4038">
        <f>+'MCP PS'!U18</f>
        <v>38.205757706742325</v>
      </c>
      <c r="X22" s="4038">
        <f>+'MCP PS'!V18</f>
        <v>79.72590039560356</v>
      </c>
      <c r="Y22" s="4038">
        <f>+'MCP PS'!W18</f>
        <v>84.150162451379387</v>
      </c>
      <c r="Z22" s="4038">
        <f>+'MCP PS'!X18</f>
        <v>36340.090258328535</v>
      </c>
      <c r="AA22" s="4038">
        <f>+'MCP PS'!Y18</f>
        <v>22.920322112763852</v>
      </c>
      <c r="AB22" s="4038">
        <f>+'MCP PS'!Z18</f>
        <v>18855.8477701593</v>
      </c>
      <c r="AC22" s="4038">
        <f>+'MCP PS'!AA18</f>
        <v>118994.96125356038</v>
      </c>
      <c r="AD22" s="4038">
        <f>+'MCP PS'!AB18</f>
        <v>20.412556369725525</v>
      </c>
      <c r="AE22" s="4038">
        <f>+'MCP PS'!AC18</f>
        <v>19.628039911695758</v>
      </c>
      <c r="AF22" s="4038">
        <f>+'MCP PS'!AD18</f>
        <v>1746.2765861957009</v>
      </c>
      <c r="AG22" s="4038">
        <f>+'MCP PS'!AT18</f>
        <v>1.2026677886938946</v>
      </c>
      <c r="AH22" s="4038">
        <f>+'Recalculos PS'!P25</f>
        <v>105.63829457455502</v>
      </c>
      <c r="AI22" s="4038">
        <f t="shared" si="8"/>
        <v>105.63829457455502</v>
      </c>
      <c r="AJ22" s="4038">
        <f t="shared" si="9"/>
        <v>4.1589879753761823</v>
      </c>
      <c r="AK22" s="4040">
        <f>+'MCP PS'!AU18*100</f>
        <v>78.347012756679717</v>
      </c>
      <c r="AL22" s="4040">
        <v>19.984221928094801</v>
      </c>
      <c r="AM22" s="4041">
        <f t="shared" si="10"/>
        <v>-15.825233952718619</v>
      </c>
    </row>
    <row r="23" spans="1:39" s="3687" customFormat="1">
      <c r="A23" s="3687">
        <f t="shared" si="4"/>
        <v>18</v>
      </c>
      <c r="B23" s="4408">
        <v>27.8</v>
      </c>
      <c r="C23" s="4408">
        <v>92</v>
      </c>
      <c r="D23" s="4409">
        <v>0.47</v>
      </c>
      <c r="E23" s="4408">
        <v>157</v>
      </c>
      <c r="F23" s="4068">
        <f>+'MCP PS'!C19</f>
        <v>231642.20157185348</v>
      </c>
      <c r="G23" s="4067">
        <f>+'MCP PS'!D19</f>
        <v>0.67115094363833128</v>
      </c>
      <c r="H23" s="4067">
        <f>+'MCP PS'!E19</f>
        <v>0.57183821306553273</v>
      </c>
      <c r="I23" s="4067">
        <f>+'MCP PS'!F19</f>
        <v>217.39725267626287</v>
      </c>
      <c r="J23" s="4067">
        <f>+'MCP PS'!G19</f>
        <v>4.1500071223895652E-2</v>
      </c>
      <c r="K23" s="4067">
        <f>+'MCP PS'!H19</f>
        <v>1.4322310821423727</v>
      </c>
      <c r="L23" s="4067">
        <f>+'MCP PS'!J19</f>
        <v>27.379195980473291</v>
      </c>
      <c r="M23" s="4067">
        <f>+'MCP PS'!K19</f>
        <v>90.14902884580826</v>
      </c>
      <c r="N23" s="4067">
        <f>+'MCP PS'!M19</f>
        <v>12.757273887738359</v>
      </c>
      <c r="O23" s="4067">
        <f>+D23/'MCP PS'!I19</f>
        <v>0.3390617055211918</v>
      </c>
      <c r="P23" s="4067">
        <f>+'MCP PS'!N19</f>
        <v>488.64906322555817</v>
      </c>
      <c r="Q23" s="4067">
        <f>+'MCP PS'!O19</f>
        <v>1.0482546721432395</v>
      </c>
      <c r="R23" s="4067">
        <f>+'MCP PS'!P19</f>
        <v>0.86710415764133308</v>
      </c>
      <c r="S23" s="4067">
        <f>+'MCP PS'!Q19</f>
        <v>0.25478782051825782</v>
      </c>
      <c r="T23" s="4067">
        <f>+'MCP PS'!S19</f>
        <v>11.652615443859117</v>
      </c>
      <c r="U23" s="4067">
        <f>+'MCP PS'!R19</f>
        <v>3.6264451054205622E-2</v>
      </c>
      <c r="V23" s="4067">
        <f>+'Recalculos PS'!AJ26</f>
        <v>189.06914511131208</v>
      </c>
      <c r="W23" s="4067">
        <f>+'MCP PS'!U19</f>
        <v>37.263653959079413</v>
      </c>
      <c r="X23" s="4067">
        <f>+'MCP PS'!V19</f>
        <v>77.03330119694634</v>
      </c>
      <c r="Y23" s="4067">
        <f>+'MCP PS'!W19</f>
        <v>85.618786550868066</v>
      </c>
      <c r="Z23" s="4067">
        <f>+'MCP PS'!X19</f>
        <v>18923.420171385118</v>
      </c>
      <c r="AA23" s="4067">
        <f>+'MCP PS'!Y19</f>
        <v>0.420560747663551</v>
      </c>
      <c r="AB23" s="4067">
        <f>+'MCP PS'!Z19</f>
        <v>33608.796591981001</v>
      </c>
      <c r="AC23" s="4067">
        <f>+'MCP PS'!AA19</f>
        <v>157637.42032065699</v>
      </c>
      <c r="AD23" s="4067">
        <f>+'MCP PS'!AB19</f>
        <v>1425.3205939688849</v>
      </c>
      <c r="AE23" s="4067">
        <f>+'MCP PS'!AC19</f>
        <v>9594.6473728954443</v>
      </c>
      <c r="AF23" s="4067">
        <f>+'MCP PS'!AD19</f>
        <v>10452.467001359872</v>
      </c>
      <c r="AG23" s="4067">
        <f>+'MCP PS'!AT19</f>
        <v>1.3366192498601805</v>
      </c>
      <c r="AH23" s="4067">
        <f>+'Recalculos PS'!P26</f>
        <v>104.49457335619431</v>
      </c>
      <c r="AI23" s="4067">
        <f t="shared" si="8"/>
        <v>104.49457335619431</v>
      </c>
      <c r="AJ23" s="4067">
        <f t="shared" si="9"/>
        <v>4.1139595809525318</v>
      </c>
      <c r="AK23" s="4069">
        <f>+'MCP PS'!AU19*100</f>
        <v>87.318256075506994</v>
      </c>
      <c r="AL23" s="4069">
        <v>20.984221928094801</v>
      </c>
      <c r="AM23" s="4070">
        <f t="shared" si="10"/>
        <v>-16.870262347142269</v>
      </c>
    </row>
    <row r="24" spans="1:39" s="3687" customFormat="1">
      <c r="A24" s="3687">
        <f t="shared" si="4"/>
        <v>19</v>
      </c>
      <c r="B24" s="4067">
        <f>+'Recalculos PS'!BG27+$B$4</f>
        <v>27.54155477405439</v>
      </c>
      <c r="C24" s="4067">
        <f>+'Recalculos PS'!BR27+$C$2</f>
        <v>90.033346680262596</v>
      </c>
      <c r="D24" s="4312">
        <f>+'MCP PS'!E20</f>
        <v>0.58705781676829161</v>
      </c>
      <c r="E24" s="4067">
        <f>+'MCP PS'!F20</f>
        <v>214.41086958903563</v>
      </c>
      <c r="F24" s="4068">
        <f>+'MCP PS'!C20</f>
        <v>216000.04453185282</v>
      </c>
      <c r="G24" s="4067">
        <f>+'MCP PS'!D20</f>
        <v>0.68619472129379666</v>
      </c>
      <c r="H24" s="4067">
        <f>+'MCP PS'!E20</f>
        <v>0.58705781676829161</v>
      </c>
      <c r="I24" s="4067">
        <f>+'MCP PS'!F20</f>
        <v>214.41086958903563</v>
      </c>
      <c r="J24" s="4067">
        <f>+'MCP PS'!G20</f>
        <v>3.5062981243415184E-2</v>
      </c>
      <c r="K24" s="4067">
        <f>+'MCP PS'!H20</f>
        <v>1.2098720111126069</v>
      </c>
      <c r="L24" s="4067">
        <f>+'MCP PS'!J20</f>
        <v>28.299721429696955</v>
      </c>
      <c r="M24" s="4067">
        <f>+'MCP PS'!K20</f>
        <v>88.85576847456008</v>
      </c>
      <c r="N24" s="4067">
        <f>+'MCP PS'!M20</f>
        <v>12.670322401229186</v>
      </c>
      <c r="O24" s="4067">
        <f>+D24/'MCP PS'!I20</f>
        <v>0.43582138672563153</v>
      </c>
      <c r="P24" s="4067">
        <f>+'MCP PS'!N20</f>
        <v>1296.2925837809833</v>
      </c>
      <c r="Q24" s="4067">
        <f>+'MCP PS'!O20</f>
        <v>0.95610883750248865</v>
      </c>
      <c r="R24" s="4067">
        <f>+'MCP PS'!P20</f>
        <v>1.0345042121014174</v>
      </c>
      <c r="S24" s="4067">
        <f>+'MCP PS'!Q20</f>
        <v>0.21887493777639896</v>
      </c>
      <c r="T24" s="4067">
        <f>+'MCP PS'!S20</f>
        <v>32.497090062531356</v>
      </c>
      <c r="U24" s="4067">
        <f>+'MCP PS'!R20</f>
        <v>0.12110201964891978</v>
      </c>
      <c r="V24" s="4067">
        <f>+'Recalculos PS'!AJ27</f>
        <v>188.45284526934773</v>
      </c>
      <c r="W24" s="4067">
        <f>+'MCP PS'!U20</f>
        <v>38.975140830054585</v>
      </c>
      <c r="X24" s="4067">
        <f>+'MCP PS'!V20</f>
        <v>72.058769144901675</v>
      </c>
      <c r="Y24" s="4067">
        <f>+'MCP PS'!W20</f>
        <v>89.991302808620048</v>
      </c>
      <c r="Z24" s="4067">
        <f>+'MCP PS'!X20</f>
        <v>56036.010724181055</v>
      </c>
      <c r="AA24" s="4067">
        <f>+'MCP PS'!Y20</f>
        <v>0</v>
      </c>
      <c r="AB24" s="4067">
        <f>+'MCP PS'!Z20</f>
        <v>18633.814003757547</v>
      </c>
      <c r="AC24" s="4067">
        <f>+'MCP PS'!AA20</f>
        <v>133483.86663081331</v>
      </c>
      <c r="AD24" s="4067">
        <f>+'MCP PS'!AB20</f>
        <v>688.21797343323203</v>
      </c>
      <c r="AE24" s="4067">
        <f>+'MCP PS'!AC20</f>
        <v>6833.8791785083413</v>
      </c>
      <c r="AF24" s="4067">
        <f>+'MCP PS'!AD20</f>
        <v>324.497871486397</v>
      </c>
      <c r="AG24" s="4067">
        <f>+'MCP PS'!AT20</f>
        <v>1.221444524506845</v>
      </c>
      <c r="AH24" s="4067">
        <f>+'Recalculos PS'!P27</f>
        <v>109.10988264819618</v>
      </c>
      <c r="AI24" s="4067">
        <f t="shared" si="8"/>
        <v>109.10988264819618</v>
      </c>
      <c r="AJ24" s="4067">
        <f t="shared" si="9"/>
        <v>4.2956646711888258</v>
      </c>
      <c r="AK24" s="4069">
        <f>+'MCP PS'!AU20*100</f>
        <v>73.907206541408925</v>
      </c>
      <c r="AL24" s="4069">
        <v>21.984221928094801</v>
      </c>
      <c r="AM24" s="4070">
        <f t="shared" si="10"/>
        <v>-17.688557256905973</v>
      </c>
    </row>
    <row r="25" spans="1:39" s="4335" customFormat="1">
      <c r="A25" s="4335">
        <f t="shared" si="4"/>
        <v>20</v>
      </c>
      <c r="B25" s="4336">
        <f>+'Recalculos PS'!BG28+$B$4</f>
        <v>25.463830076813228</v>
      </c>
      <c r="C25" s="4336">
        <f>+'Recalculos PS'!BR28+$C$2</f>
        <v>89.850973458553213</v>
      </c>
      <c r="D25" s="4337">
        <f>+'MCP PS'!E21</f>
        <v>0.54478257960254906</v>
      </c>
      <c r="E25" s="4336">
        <f>+'MCP PS'!F21</f>
        <v>161.9711458432908</v>
      </c>
      <c r="F25" s="4338">
        <f>+'MCP PS'!C21</f>
        <v>239769.96</v>
      </c>
      <c r="G25" s="4336">
        <f>+'MCP PS'!D21</f>
        <v>0.61853711932887689</v>
      </c>
      <c r="H25" s="4336">
        <f>+'MCP PS'!E21</f>
        <v>0.54478257960254906</v>
      </c>
      <c r="I25" s="4336">
        <f>+'MCP PS'!F21</f>
        <v>161.9711458432908</v>
      </c>
      <c r="J25" s="4336">
        <f>+'MCP PS'!G21</f>
        <v>3.8097763039206416E-2</v>
      </c>
      <c r="K25" s="4336">
        <f>+'MCP PS'!H21</f>
        <v>1.2924056471461232</v>
      </c>
      <c r="L25" s="4336">
        <f>+'MCP PS'!J21</f>
        <v>25.328598172417298</v>
      </c>
      <c r="M25" s="4336">
        <f>+'MCP PS'!K21</f>
        <v>88.638441428910198</v>
      </c>
      <c r="N25" s="4336">
        <f>+'MCP PS'!M21</f>
        <v>12.63634471007127</v>
      </c>
      <c r="O25" s="4336">
        <f>+D25/'MCP PS'!I21</f>
        <v>0.32470502439705318</v>
      </c>
      <c r="P25" s="4336">
        <f>+'MCP PS'!N21</f>
        <v>1332.4495128909393</v>
      </c>
      <c r="Q25" s="4336">
        <f>+'MCP PS'!O21</f>
        <v>0.99004023956962739</v>
      </c>
      <c r="R25" s="4336">
        <f>+'MCP PS'!P21</f>
        <v>1.3209614263604998</v>
      </c>
      <c r="S25" s="4336">
        <f>+'MCP PS'!Q21</f>
        <v>0.17295864736349789</v>
      </c>
      <c r="T25" s="4336">
        <f>+'MCP PS'!S21</f>
        <v>33.838682543884985</v>
      </c>
      <c r="U25" s="4336">
        <f>+'MCP PS'!R21</f>
        <v>0.11378628498749385</v>
      </c>
      <c r="V25" s="4336">
        <f>+'Recalculos PS'!AJ28</f>
        <v>182.36834771802469</v>
      </c>
      <c r="W25" s="4336">
        <f>+'MCP PS'!U21</f>
        <v>38.523613807334328</v>
      </c>
      <c r="X25" s="4336">
        <f>+'MCP PS'!V21</f>
        <v>73.522789128379557</v>
      </c>
      <c r="Y25" s="4336">
        <f>+'MCP PS'!W21</f>
        <v>84.725226719810948</v>
      </c>
      <c r="Z25" s="4336">
        <f>+'MCP PS'!X21</f>
        <v>62147</v>
      </c>
      <c r="AA25" s="4336">
        <f>+'MCP PS'!Y21</f>
        <v>0</v>
      </c>
      <c r="AB25" s="4336">
        <f>+'MCP PS'!Z21</f>
        <v>19138.640742364845</v>
      </c>
      <c r="AC25" s="4336">
        <f>+'MCP PS'!AA21</f>
        <v>148092.1163238227</v>
      </c>
      <c r="AD25" s="4336">
        <f>+'MCP PS'!AB21</f>
        <v>3663.2445645254847</v>
      </c>
      <c r="AE25" s="4336">
        <f>+'MCP PS'!AC21</f>
        <v>6728.9583692869392</v>
      </c>
      <c r="AF25" s="4336">
        <f>+'MCP PS'!AD21</f>
        <v>0</v>
      </c>
      <c r="AG25" s="4336">
        <f>+'MCP PS'!AT21</f>
        <v>1.1499630072090765</v>
      </c>
      <c r="AH25" s="4336">
        <f>+'Recalculos PS'!P28</f>
        <v>106.602136447514</v>
      </c>
      <c r="AI25" s="4336">
        <f t="shared" si="8"/>
        <v>106.602136447514</v>
      </c>
      <c r="AJ25" s="4336">
        <f t="shared" si="9"/>
        <v>4.1969345058076382</v>
      </c>
      <c r="AK25" s="4339">
        <f>+'MCP PS'!AU21*100</f>
        <v>74.08057289578727</v>
      </c>
      <c r="AL25" s="4339">
        <v>22.984221928094801</v>
      </c>
      <c r="AM25" s="4340">
        <f t="shared" si="10"/>
        <v>-18.787287422287164</v>
      </c>
    </row>
    <row r="26" spans="1:39" s="4335" customFormat="1">
      <c r="A26" s="4335">
        <f t="shared" si="4"/>
        <v>21</v>
      </c>
      <c r="B26" s="4336">
        <f>+'Recalculos PS'!BG29+$B$4</f>
        <v>27.191767251601942</v>
      </c>
      <c r="C26" s="4336">
        <f>+'Recalculos PS'!BR29+$C$2</f>
        <v>90.224624853035252</v>
      </c>
      <c r="D26" s="4337">
        <f>+'MCP PS'!E22</f>
        <v>0.55017132477022201</v>
      </c>
      <c r="E26" s="4336">
        <f>+'MCP PS'!F22</f>
        <v>171.3053604976626</v>
      </c>
      <c r="F26" s="4338">
        <f>+'MCP PS'!C22</f>
        <v>179507.96</v>
      </c>
      <c r="G26" s="4336">
        <f>+'MCP PS'!D22</f>
        <v>0.62794518772315167</v>
      </c>
      <c r="H26" s="4336">
        <f>+'MCP PS'!E22</f>
        <v>0.55017132477022201</v>
      </c>
      <c r="I26" s="4336">
        <f>+'MCP PS'!F22</f>
        <v>171.3053604976626</v>
      </c>
      <c r="J26" s="4336">
        <f>+'MCP PS'!G22</f>
        <v>4.4803955211791167E-2</v>
      </c>
      <c r="K26" s="4336">
        <f>+'MCP PS'!H22</f>
        <v>1.4669899335940311</v>
      </c>
      <c r="L26" s="4336">
        <f>+'MCP PS'!J22</f>
        <v>26.714605656081662</v>
      </c>
      <c r="M26" s="4336">
        <f>+'MCP PS'!K22</f>
        <v>89.054333984933379</v>
      </c>
      <c r="N26" s="4336">
        <f>+'MCP PS'!M22</f>
        <v>12.570300047307093</v>
      </c>
      <c r="O26" s="4336">
        <f>+D26/'MCP PS'!I22</f>
        <v>0.34397356358311271</v>
      </c>
      <c r="P26" s="4336">
        <f>+'MCP PS'!N22</f>
        <v>1074.2914531451418</v>
      </c>
      <c r="Q26" s="4336">
        <f>+'MCP PS'!O22</f>
        <v>0.96896199277179684</v>
      </c>
      <c r="R26" s="4336">
        <f>+'MCP PS'!P22</f>
        <v>0.94659125935139599</v>
      </c>
      <c r="S26" s="4336">
        <f>+'MCP PS'!Q22</f>
        <v>0.21931132836671982</v>
      </c>
      <c r="T26" s="4336">
        <f>+'MCP PS'!S22</f>
        <v>29.038000097600129</v>
      </c>
      <c r="U26" s="4336">
        <f>+'MCP PS'!R22</f>
        <v>8.3505483545130807E-2</v>
      </c>
      <c r="V26" s="4336">
        <f>+'Recalculos PS'!AJ29</f>
        <v>182.41508624975575</v>
      </c>
      <c r="W26" s="4336">
        <f>+'MCP PS'!U22</f>
        <v>38.468991267239623</v>
      </c>
      <c r="X26" s="4336">
        <f>+'MCP PS'!V22</f>
        <v>72.185947086914695</v>
      </c>
      <c r="Y26" s="4336">
        <f>+'MCP PS'!W22</f>
        <v>89.785191129797255</v>
      </c>
      <c r="Z26" s="4336">
        <f>+'MCP PS'!X22</f>
        <v>35947</v>
      </c>
      <c r="AA26" s="4336">
        <f>+'MCP PS'!Y22</f>
        <v>0</v>
      </c>
      <c r="AB26" s="4336">
        <f>+'MCP PS'!Z22</f>
        <v>11155.258538995362</v>
      </c>
      <c r="AC26" s="4336">
        <f>+'MCP PS'!AA22</f>
        <v>117242.2072738018</v>
      </c>
      <c r="AD26" s="4336">
        <f>+'MCP PS'!AB22</f>
        <v>188.51615469453438</v>
      </c>
      <c r="AE26" s="4336">
        <f>+'MCP PS'!AC22</f>
        <v>12766.489359778696</v>
      </c>
      <c r="AF26" s="4336">
        <f>+'MCP PS'!AD22</f>
        <v>2208.4886727295748</v>
      </c>
      <c r="AG26" s="4336">
        <f>+'MCP PS'!AT22</f>
        <v>1.3002739296909176</v>
      </c>
      <c r="AH26" s="4336">
        <f>+'Recalculos PS'!P29</f>
        <v>108.08123946258777</v>
      </c>
      <c r="AI26" s="4336">
        <f t="shared" si="8"/>
        <v>108.08123946258777</v>
      </c>
      <c r="AJ26" s="4336">
        <f t="shared" si="9"/>
        <v>4.2551669079758971</v>
      </c>
      <c r="AK26" s="4339">
        <f>+'MCP PS'!AU22*100</f>
        <v>78.744402937491117</v>
      </c>
      <c r="AL26" s="4339">
        <v>23.984221928094801</v>
      </c>
      <c r="AM26" s="4340">
        <f t="shared" si="10"/>
        <v>-19.729055020118903</v>
      </c>
    </row>
    <row r="27" spans="1:39" s="4335" customFormat="1">
      <c r="A27" s="4335">
        <f t="shared" si="4"/>
        <v>22</v>
      </c>
      <c r="B27" s="4336">
        <f>+'Recalculos PS'!BG30+$B$4</f>
        <v>23.645726239500451</v>
      </c>
      <c r="C27" s="4336">
        <f>+'Recalculos PS'!BR30+$C$2</f>
        <v>89.406958992464013</v>
      </c>
      <c r="D27" s="4337">
        <f>+'MCP PS'!E23</f>
        <v>0.55330404655728971</v>
      </c>
      <c r="E27" s="4336">
        <f>+'MCP PS'!F23</f>
        <v>147.0968321741156</v>
      </c>
      <c r="F27" s="4338">
        <f>+'MCP PS'!C23</f>
        <v>240392</v>
      </c>
      <c r="G27" s="4336">
        <f>+'MCP PS'!D23</f>
        <v>0.61873166577922722</v>
      </c>
      <c r="H27" s="4336">
        <f>+'MCP PS'!E23</f>
        <v>0.55330404655728971</v>
      </c>
      <c r="I27" s="4336">
        <f>+'MCP PS'!F23</f>
        <v>147.0968321741156</v>
      </c>
      <c r="J27" s="4336">
        <f>+'MCP PS'!G23</f>
        <v>3.498734666711039E-2</v>
      </c>
      <c r="K27" s="4336">
        <f>+'MCP PS'!H23</f>
        <v>1.2543089588671836</v>
      </c>
      <c r="L27" s="4336">
        <f>+'MCP PS'!J23</f>
        <v>23.230412643666646</v>
      </c>
      <c r="M27" s="4336">
        <f>+'MCP PS'!K23</f>
        <v>88.106680624043307</v>
      </c>
      <c r="N27" s="4336">
        <f>+'MCP PS'!M23</f>
        <v>12.875383511431327</v>
      </c>
      <c r="O27" s="4336">
        <f>+D27/'MCP PS'!I23</f>
        <v>0.30688002767798256</v>
      </c>
      <c r="P27" s="4336">
        <f>+'MCP PS'!N23</f>
        <v>1362.0256275776233</v>
      </c>
      <c r="Q27" s="4336">
        <f>+'MCP PS'!O23</f>
        <v>1.2780466090385703</v>
      </c>
      <c r="R27" s="4336">
        <f>+'MCP PS'!P23</f>
        <v>1.4699511729175678</v>
      </c>
      <c r="S27" s="4336">
        <f>+'MCP PS'!Q23</f>
        <v>0.13521639522113879</v>
      </c>
      <c r="T27" s="4336">
        <f>+'MCP PS'!S23</f>
        <v>27.923885320642949</v>
      </c>
      <c r="U27" s="4336">
        <f>+'MCP PS'!R23</f>
        <v>4.4214645246098049E-2</v>
      </c>
      <c r="V27" s="4336">
        <f>+'Recalculos PS'!AJ30</f>
        <v>191.81143729459416</v>
      </c>
      <c r="W27" s="4336">
        <f>+'MCP PS'!U23</f>
        <v>39.31624955139938</v>
      </c>
      <c r="X27" s="4336">
        <f>+'MCP PS'!V23</f>
        <v>73.842489489833255</v>
      </c>
      <c r="Y27" s="4336">
        <f>+'MCP PS'!W23</f>
        <v>81.114557259309791</v>
      </c>
      <c r="Z27" s="4336">
        <f>+'MCP PS'!X23</f>
        <v>102145</v>
      </c>
      <c r="AA27" s="4336">
        <f>+'MCP PS'!Y23</f>
        <v>0</v>
      </c>
      <c r="AB27" s="4336">
        <f>+'MCP PS'!Z23</f>
        <v>11353.180964754112</v>
      </c>
      <c r="AC27" s="4336">
        <f>+'MCP PS'!AA23</f>
        <v>107556.10960270467</v>
      </c>
      <c r="AD27" s="4336">
        <f>+'MCP PS'!AB23</f>
        <v>3460.5503736150545</v>
      </c>
      <c r="AE27" s="4336">
        <f>+'MCP PS'!AC23</f>
        <v>4991.9802192139296</v>
      </c>
      <c r="AF27" s="4336">
        <f>+'MCP PS'!AD23</f>
        <v>10885.178839712198</v>
      </c>
      <c r="AG27" s="4336">
        <f>+'MCP PS'!AT23</f>
        <v>0.9123145242770142</v>
      </c>
      <c r="AH27" s="4336">
        <f>+'Recalculos PS'!P30</f>
        <v>105.80240589582921</v>
      </c>
      <c r="AI27" s="4336">
        <f t="shared" si="8"/>
        <v>105.80240589582921</v>
      </c>
      <c r="AJ27" s="4336">
        <f t="shared" si="9"/>
        <v>4.165449051016898</v>
      </c>
      <c r="AK27" s="4339">
        <f>+'MCP PS'!AU23*100</f>
        <v>52.980890029738006</v>
      </c>
      <c r="AL27" s="4339">
        <v>24.984221928094801</v>
      </c>
      <c r="AM27" s="4340">
        <f t="shared" si="10"/>
        <v>-20.818772877077905</v>
      </c>
    </row>
    <row r="28" spans="1:39" s="4335" customFormat="1">
      <c r="A28" s="4335">
        <f t="shared" si="4"/>
        <v>23</v>
      </c>
      <c r="B28" s="4336">
        <f>+'Recalculos PS'!BG31+$B$4</f>
        <v>22.937398694023585</v>
      </c>
      <c r="C28" s="4336">
        <f>+'Recalculos PS'!BR31+$C$2</f>
        <v>89.808703657913071</v>
      </c>
      <c r="D28" s="4337">
        <f>+'MCP PS'!E24</f>
        <v>0.52512631140585386</v>
      </c>
      <c r="E28" s="4336">
        <f>+'MCP PS'!F24</f>
        <v>120.76178708195729</v>
      </c>
      <c r="F28" s="4338">
        <f>+'MCP PS'!C24</f>
        <v>239552.08000000002</v>
      </c>
      <c r="G28" s="4336">
        <f>+'MCP PS'!D24</f>
        <v>0.5783136583911106</v>
      </c>
      <c r="H28" s="4336">
        <f>+'MCP PS'!E24</f>
        <v>0.52512631140585386</v>
      </c>
      <c r="I28" s="4336">
        <f>+'MCP PS'!F24</f>
        <v>120.76178708195729</v>
      </c>
      <c r="J28" s="4336">
        <f>+'MCP PS'!G24</f>
        <v>4.0616084485678439E-2</v>
      </c>
      <c r="K28" s="4336">
        <f>+'MCP PS'!H24</f>
        <v>1.1850815318322427</v>
      </c>
      <c r="L28" s="4336">
        <f>+'MCP PS'!J24</f>
        <v>22.414514136468394</v>
      </c>
      <c r="M28" s="4336">
        <f>+'MCP PS'!K24</f>
        <v>88.637755774808056</v>
      </c>
      <c r="N28" s="4336">
        <f>+'MCP PS'!M24</f>
        <v>12.644117916738606</v>
      </c>
      <c r="O28" s="4336">
        <f>+D28/'MCP PS'!I24</f>
        <v>0.31389755469306918</v>
      </c>
      <c r="P28" s="4336">
        <f>+'MCP PS'!N24</f>
        <v>1461.7821303993685</v>
      </c>
      <c r="Q28" s="4336">
        <f>+'MCP PS'!O24</f>
        <v>1.2630867368799303</v>
      </c>
      <c r="R28" s="4336">
        <f>+'MCP PS'!P24</f>
        <v>1.5338487039644988</v>
      </c>
      <c r="S28" s="4336">
        <f>+'MCP PS'!Q24</f>
        <v>8.8670780566797822E-2</v>
      </c>
      <c r="T28" s="4336">
        <f>+'MCP PS'!S24</f>
        <v>24.100598082888698</v>
      </c>
      <c r="U28" s="4336">
        <f>+'MCP PS'!R24</f>
        <v>4.4741076762931882E-2</v>
      </c>
      <c r="V28" s="4336">
        <f>+'Recalculos PS'!AJ31</f>
        <v>186.9279204886916</v>
      </c>
      <c r="W28" s="4336">
        <f>+'MCP PS'!U24</f>
        <v>38.559717584585364</v>
      </c>
      <c r="X28" s="4336">
        <f>+'MCP PS'!V24</f>
        <v>78.765577305778351</v>
      </c>
      <c r="Y28" s="4336">
        <f>+'MCP PS'!W24</f>
        <v>84.076870053142514</v>
      </c>
      <c r="Z28" s="4336">
        <f>+'MCP PS'!X24</f>
        <v>103886</v>
      </c>
      <c r="AA28" s="4336">
        <f>+'MCP PS'!Y24</f>
        <v>0</v>
      </c>
      <c r="AB28" s="4336">
        <f>+'MCP PS'!Z24</f>
        <v>17966.832627554155</v>
      </c>
      <c r="AC28" s="4336">
        <f>+'MCP PS'!AA24</f>
        <v>110693.51164905645</v>
      </c>
      <c r="AD28" s="4336">
        <f>+'MCP PS'!AB24</f>
        <v>1448.340254080498</v>
      </c>
      <c r="AE28" s="4336">
        <f>+'MCP PS'!AC24</f>
        <v>5557.3954693088845</v>
      </c>
      <c r="AF28" s="4336">
        <f>+'MCP PS'!AD24</f>
        <v>0</v>
      </c>
      <c r="AG28" s="4336">
        <f>+'MCP PS'!AT24</f>
        <v>0.78303007613208775</v>
      </c>
      <c r="AH28" s="4336">
        <f>+'Recalculos PS'!P31</f>
        <v>108.62895520672168</v>
      </c>
      <c r="AI28" s="4336">
        <f t="shared" si="8"/>
        <v>108.62895520672168</v>
      </c>
      <c r="AJ28" s="4336">
        <f t="shared" si="9"/>
        <v>4.2767305199496732</v>
      </c>
      <c r="AK28" s="4339">
        <f>+'MCP PS'!AU24*100</f>
        <v>56.633229817916828</v>
      </c>
      <c r="AL28" s="4339">
        <v>25.984221928094801</v>
      </c>
      <c r="AM28" s="4340">
        <f t="shared" si="10"/>
        <v>-21.707491408145128</v>
      </c>
    </row>
    <row r="29" spans="1:39" s="4335" customFormat="1">
      <c r="A29" s="4335">
        <f t="shared" si="4"/>
        <v>24</v>
      </c>
      <c r="B29" s="4336">
        <f>+'Recalculos PS'!BG32+$B$4</f>
        <v>24.166962778076822</v>
      </c>
      <c r="C29" s="4336">
        <f>+'Recalculos PS'!BR32+$C$2</f>
        <v>90.300288436071995</v>
      </c>
      <c r="D29" s="4337">
        <f>+'MCP PS'!E25</f>
        <v>0.50473815027446745</v>
      </c>
      <c r="E29" s="4336">
        <f>+'MCP PS'!F25</f>
        <v>118.87148244947528</v>
      </c>
      <c r="F29" s="4338">
        <f>+'MCP PS'!C25</f>
        <v>179569.56</v>
      </c>
      <c r="G29" s="4336">
        <f>+'MCP PS'!D25</f>
        <v>0.55630698432406922</v>
      </c>
      <c r="H29" s="4336">
        <f>+'MCP PS'!E25</f>
        <v>0.50473815027446745</v>
      </c>
      <c r="I29" s="4336">
        <f>+'MCP PS'!F25</f>
        <v>118.87148244947528</v>
      </c>
      <c r="J29" s="4336">
        <f>+'MCP PS'!G25</f>
        <v>4.1052260305143029E-2</v>
      </c>
      <c r="K29" s="4336">
        <f>+'MCP PS'!H25</f>
        <v>1.162672225960792</v>
      </c>
      <c r="L29" s="4336">
        <f>+'MCP PS'!J25</f>
        <v>23.559647716524687</v>
      </c>
      <c r="M29" s="4336">
        <f>+'MCP PS'!K25</f>
        <v>89.640095879196195</v>
      </c>
      <c r="N29" s="4336">
        <f>+'MCP PS'!M25</f>
        <v>12.440303371907799</v>
      </c>
      <c r="O29" s="4336">
        <f>+D29/'MCP PS'!I25</f>
        <v>0.29149870809268957</v>
      </c>
      <c r="P29" s="4336">
        <f>+'MCP PS'!N25</f>
        <v>1628.8340140291036</v>
      </c>
      <c r="Q29" s="4336">
        <f>+'MCP PS'!O25</f>
        <v>1.0407687449921912</v>
      </c>
      <c r="R29" s="4336">
        <f>+'MCP PS'!P25</f>
        <v>1.3719603489589214</v>
      </c>
      <c r="S29" s="4336">
        <f>+'MCP PS'!Q25</f>
        <v>9.410539046818403E-2</v>
      </c>
      <c r="T29" s="4336">
        <f>+'MCP PS'!S25</f>
        <v>27.104588550531616</v>
      </c>
      <c r="U29" s="4336">
        <f>+'MCP PS'!R25</f>
        <v>9.2260703874309208E-2</v>
      </c>
      <c r="V29" s="4336">
        <f>+'Recalculos PS'!AJ32</f>
        <v>181.97937317159295</v>
      </c>
      <c r="W29" s="4336">
        <f>+'MCP PS'!U25</f>
        <v>37.635390704304228</v>
      </c>
      <c r="X29" s="4336">
        <f>+'MCP PS'!V25</f>
        <v>79.747391989154522</v>
      </c>
      <c r="Y29" s="4336">
        <f>+'MCP PS'!W25</f>
        <v>87.543521444280415</v>
      </c>
      <c r="Z29" s="4336">
        <f>+'MCP PS'!X25</f>
        <v>57326</v>
      </c>
      <c r="AA29" s="4336">
        <f>+'MCP PS'!Y25</f>
        <v>0</v>
      </c>
      <c r="AB29" s="4336">
        <f>+'MCP PS'!Z25</f>
        <v>11643.999999999995</v>
      </c>
      <c r="AC29" s="4336">
        <f>+'MCP PS'!AA25</f>
        <v>99653.559999999969</v>
      </c>
      <c r="AD29" s="4336">
        <f>+'MCP PS'!AB25</f>
        <v>10946.000000000024</v>
      </c>
      <c r="AE29" s="4336">
        <f>+'MCP PS'!AC25</f>
        <v>0</v>
      </c>
      <c r="AF29" s="4336">
        <f>+'MCP PS'!AD25</f>
        <v>0</v>
      </c>
      <c r="AG29" s="4336">
        <f>+'MCP PS'!AT25</f>
        <v>0.89548940544265954</v>
      </c>
      <c r="AH29" s="4336">
        <f>+'Recalculos PS'!P32</f>
        <v>109.1248644730744</v>
      </c>
      <c r="AI29" s="4336">
        <f t="shared" si="8"/>
        <v>109.1248644730744</v>
      </c>
      <c r="AJ29" s="4336">
        <f t="shared" si="9"/>
        <v>4.2962545068139528</v>
      </c>
      <c r="AK29" s="4339">
        <f>+'MCP PS'!AU25*100</f>
        <v>68.075881012349754</v>
      </c>
      <c r="AL29" s="4339">
        <v>26.984221928094801</v>
      </c>
      <c r="AM29" s="4340">
        <f t="shared" si="10"/>
        <v>-22.687967421280849</v>
      </c>
    </row>
    <row r="30" spans="1:39" s="4335" customFormat="1">
      <c r="A30" s="4335">
        <f t="shared" si="4"/>
        <v>25</v>
      </c>
      <c r="B30" s="4336">
        <f>+'Recalculos PS'!BG33+$B$4</f>
        <v>25.229869264557234</v>
      </c>
      <c r="C30" s="4336">
        <f>+'Recalculos PS'!BR33+$C$2</f>
        <v>90.184668922599528</v>
      </c>
      <c r="D30" s="4337">
        <f>+'MCP PS'!E26</f>
        <v>0.48892696357468995</v>
      </c>
      <c r="E30" s="4336">
        <f>+'MCP PS'!F26</f>
        <v>175.58163669109402</v>
      </c>
      <c r="F30" s="4338">
        <f>+'MCP PS'!C26</f>
        <v>240172.9964</v>
      </c>
      <c r="G30" s="4336">
        <f>+'MCP PS'!D26</f>
        <v>0.55348319226152154</v>
      </c>
      <c r="H30" s="4336">
        <f>+'MCP PS'!E26</f>
        <v>0.48892696357468995</v>
      </c>
      <c r="I30" s="4336">
        <f>+'MCP PS'!F26</f>
        <v>175.58163669109402</v>
      </c>
      <c r="J30" s="4336">
        <f>+'MCP PS'!G26</f>
        <v>3.5494952594096865E-2</v>
      </c>
      <c r="K30" s="4336">
        <f>+'MCP PS'!H26</f>
        <v>1.2204545807489053</v>
      </c>
      <c r="L30" s="4336">
        <f>+'MCP PS'!J26</f>
        <v>24.55739356380418</v>
      </c>
      <c r="M30" s="4336">
        <f>+'MCP PS'!K26</f>
        <v>90.033948575508262</v>
      </c>
      <c r="N30" s="4336">
        <f>+'MCP PS'!M26</f>
        <v>12.559626492920016</v>
      </c>
      <c r="O30" s="4336">
        <f>+D30/'MCP PS'!I26</f>
        <v>0.31730099776352227</v>
      </c>
      <c r="P30" s="4336">
        <f>+'MCP PS'!N26</f>
        <v>1508.5759974920441</v>
      </c>
      <c r="Q30" s="4336">
        <f>+'MCP PS'!O26</f>
        <v>1.0021086550482974</v>
      </c>
      <c r="R30" s="4336">
        <f>+'MCP PS'!P26</f>
        <v>1.0755846930955193</v>
      </c>
      <c r="S30" s="4336">
        <f>+'MCP PS'!Q26</f>
        <v>0.10172513659277699</v>
      </c>
      <c r="T30" s="4336">
        <f>+'MCP PS'!S26</f>
        <v>25.698208431056358</v>
      </c>
      <c r="U30" s="4336">
        <f>+'MCP PS'!R26</f>
        <v>7.7298327488100005E-2</v>
      </c>
      <c r="V30" s="4336">
        <f>+'Recalculos PS'!AJ33</f>
        <v>185.21879985276652</v>
      </c>
      <c r="W30" s="4336">
        <f>+'MCP PS'!U26</f>
        <v>36.531048012461845</v>
      </c>
      <c r="X30" s="4336">
        <f>+'MCP PS'!V26</f>
        <v>82.52351582762941</v>
      </c>
      <c r="Y30" s="4336">
        <f>+'MCP PS'!W26</f>
        <v>86.154996684978286</v>
      </c>
      <c r="Z30" s="4336">
        <f>+'MCP PS'!X26</f>
        <v>67530.304461903332</v>
      </c>
      <c r="AA30" s="4336">
        <f>+'MCP PS'!Y26</f>
        <v>1.4839990290276921</v>
      </c>
      <c r="AB30" s="4336">
        <f>+'MCP PS'!Z26</f>
        <v>34022.409476317873</v>
      </c>
      <c r="AC30" s="4336">
        <f>+'MCP PS'!AA26</f>
        <v>137722.30332744532</v>
      </c>
      <c r="AD30" s="4336">
        <f>+'MCP PS'!AB26</f>
        <v>610.28720405017884</v>
      </c>
      <c r="AE30" s="4336">
        <f>+'MCP PS'!AC26</f>
        <v>12.62363618486952</v>
      </c>
      <c r="AF30" s="4336">
        <f>+'MCP PS'!AD26</f>
        <v>273.58429506939126</v>
      </c>
      <c r="AG30" s="4336">
        <f>+'MCP PS'!AT26</f>
        <v>0.96581817638268475</v>
      </c>
      <c r="AH30" s="4336">
        <f>+'Recalculos PS'!P33</f>
        <v>108.57409633447885</v>
      </c>
      <c r="AI30" s="4336">
        <f t="shared" si="8"/>
        <v>108.57409633447885</v>
      </c>
      <c r="AJ30" s="4336">
        <f t="shared" si="9"/>
        <v>4.2745707218298765</v>
      </c>
      <c r="AK30" s="4339">
        <f>+'MCP PS'!AU26*100</f>
        <v>71.768111414542958</v>
      </c>
      <c r="AL30" s="4339">
        <v>27.984221928094801</v>
      </c>
      <c r="AM30" s="4340">
        <f t="shared" si="10"/>
        <v>-23.709651206264923</v>
      </c>
    </row>
    <row r="31" spans="1:39" s="4335" customFormat="1">
      <c r="A31" s="4335">
        <f t="shared" si="4"/>
        <v>26</v>
      </c>
      <c r="B31" s="4336">
        <f>+'Recalculos PS'!BG34+$B$4</f>
        <v>25.74568622905867</v>
      </c>
      <c r="C31" s="4336">
        <f>+'Recalculos PS'!BR34+$C$2</f>
        <v>90.579694000087017</v>
      </c>
      <c r="D31" s="4337">
        <f>+'MCP PS'!E27</f>
        <v>0.52363529808160525</v>
      </c>
      <c r="E31" s="4336">
        <f>+'MCP PS'!F27</f>
        <v>141.52554810249495</v>
      </c>
      <c r="F31" s="4338">
        <f>+'MCP PS'!C27</f>
        <v>222119.04000000001</v>
      </c>
      <c r="G31" s="4336">
        <f>+'MCP PS'!D27</f>
        <v>0.5845566975257952</v>
      </c>
      <c r="H31" s="4336">
        <f>+'MCP PS'!E27</f>
        <v>0.52363529808160525</v>
      </c>
      <c r="I31" s="4336">
        <f>+'MCP PS'!F27</f>
        <v>141.52554810249495</v>
      </c>
      <c r="J31" s="4336">
        <f>+'MCP PS'!G27</f>
        <v>2.8213272306597394E-2</v>
      </c>
      <c r="K31" s="4336">
        <f>+'MCP PS'!H27</f>
        <v>1.2364709654786912</v>
      </c>
      <c r="L31" s="4336">
        <f>+'MCP PS'!J27</f>
        <v>25.367008041968376</v>
      </c>
      <c r="M31" s="4336">
        <f>+'MCP PS'!K27</f>
        <v>90.247412332788628</v>
      </c>
      <c r="N31" s="4336">
        <f>+'MCP PS'!M27</f>
        <v>12.61972571248282</v>
      </c>
      <c r="O31" s="4336">
        <f>+D31/'MCP PS'!I27</f>
        <v>0.33982426220893386</v>
      </c>
      <c r="P31" s="4336">
        <f>+'MCP PS'!N27</f>
        <v>1222.4051836337849</v>
      </c>
      <c r="Q31" s="4336">
        <f>+'MCP PS'!O27</f>
        <v>1.1731805161772713</v>
      </c>
      <c r="R31" s="4336">
        <f>+'MCP PS'!P27</f>
        <v>0.89167464184970369</v>
      </c>
      <c r="S31" s="4336">
        <f>+'MCP PS'!Q27</f>
        <v>0.1052247254445184</v>
      </c>
      <c r="T31" s="4336">
        <f>+'MCP PS'!S27</f>
        <v>29.118180773696842</v>
      </c>
      <c r="U31" s="4336">
        <f>+'MCP PS'!R27</f>
        <v>4.7548962934469724E-2</v>
      </c>
      <c r="V31" s="4336">
        <f>+'Recalculos PS'!AJ34</f>
        <v>181.98308665071124</v>
      </c>
      <c r="W31" s="4336">
        <f>+'MCP PS'!U27</f>
        <v>35.81651261035524</v>
      </c>
      <c r="X31" s="4336">
        <f>+'MCP PS'!V27</f>
        <v>88.991535397595811</v>
      </c>
      <c r="Y31" s="4336">
        <f>+'MCP PS'!W27</f>
        <v>87.950575463139046</v>
      </c>
      <c r="Z31" s="4336">
        <f>+'MCP PS'!X27</f>
        <v>50293</v>
      </c>
      <c r="AA31" s="4336">
        <f>+'MCP PS'!Y27</f>
        <v>0</v>
      </c>
      <c r="AB31" s="4336">
        <f>+'MCP PS'!Z27</f>
        <v>26645.331729640919</v>
      </c>
      <c r="AC31" s="4336">
        <f>+'MCP PS'!AA27</f>
        <v>145180.70827035909</v>
      </c>
      <c r="AD31" s="4336">
        <f>+'MCP PS'!AB27</f>
        <v>0</v>
      </c>
      <c r="AE31" s="4336">
        <f>+'MCP PS'!AC27</f>
        <v>0</v>
      </c>
      <c r="AF31" s="4336">
        <f>+'MCP PS'!AD27</f>
        <v>0</v>
      </c>
      <c r="AG31" s="4336">
        <f>+'MCP PS'!AT27</f>
        <v>1.2156872316754115</v>
      </c>
      <c r="AH31" s="4336">
        <f>+'Recalculos PS'!P34</f>
        <v>109.13179919104773</v>
      </c>
      <c r="AI31" s="4336">
        <f t="shared" si="8"/>
        <v>109.13179919104773</v>
      </c>
      <c r="AJ31" s="4336">
        <f t="shared" si="9"/>
        <v>4.2965275272066039</v>
      </c>
      <c r="AK31" s="4339">
        <f>+'MCP PS'!AU27*100</f>
        <v>77.357636697871555</v>
      </c>
      <c r="AL31" s="4339">
        <v>28.984221928094801</v>
      </c>
      <c r="AM31" s="4340">
        <f t="shared" si="10"/>
        <v>-24.687694400888198</v>
      </c>
    </row>
    <row r="32" spans="1:39" s="273" customFormat="1">
      <c r="A32" s="273">
        <f t="shared" si="4"/>
        <v>27</v>
      </c>
      <c r="B32" s="725">
        <f>+'Recalculos PS'!BG35+$B$4</f>
        <v>26.411054113784456</v>
      </c>
      <c r="C32" s="725">
        <f>+'Recalculos PS'!BR35+$C$2</f>
        <v>89.465534775993731</v>
      </c>
      <c r="D32" s="4313">
        <f>+'MCP PS'!E28</f>
        <v>0.52870026226391142</v>
      </c>
      <c r="E32" s="725">
        <f>+'MCP PS'!F28</f>
        <v>224.77150560630986</v>
      </c>
      <c r="F32" s="3014">
        <f>+'MCP PS'!C28</f>
        <v>238000.00000006927</v>
      </c>
      <c r="G32" s="725">
        <f>+'MCP PS'!D28</f>
        <v>0.63081656360794391</v>
      </c>
      <c r="H32" s="725">
        <f>+'MCP PS'!E28</f>
        <v>0.52870026226391142</v>
      </c>
      <c r="I32" s="725">
        <f>+'MCP PS'!F28</f>
        <v>224.77150560630986</v>
      </c>
      <c r="J32" s="725">
        <f>+'MCP PS'!G28</f>
        <v>4.5617692278243797E-2</v>
      </c>
      <c r="K32" s="725">
        <f>+'MCP PS'!H28</f>
        <v>1.492663970179404</v>
      </c>
      <c r="L32" s="725">
        <f>+'MCP PS'!J28</f>
        <v>28.04733246863784</v>
      </c>
      <c r="M32" s="725">
        <f>+'MCP PS'!K28</f>
        <v>88.14256933396311</v>
      </c>
      <c r="N32" s="725">
        <f>+'MCP PS'!M28</f>
        <v>12.456098282823257</v>
      </c>
      <c r="O32" s="725">
        <f>+D32/'MCP PS'!I28</f>
        <v>0.32175021589599834</v>
      </c>
      <c r="P32" s="725">
        <f>+'MCP PS'!N28</f>
        <v>887.33895021679575</v>
      </c>
      <c r="Q32" s="725">
        <f>+'MCP PS'!O28</f>
        <v>0.9923988915088231</v>
      </c>
      <c r="R32" s="725">
        <f>+'MCP PS'!P28</f>
        <v>0.97990508076104421</v>
      </c>
      <c r="S32" s="725">
        <f>+'MCP PS'!Q28</f>
        <v>0.26324893557640711</v>
      </c>
      <c r="T32" s="725">
        <f>+'MCP PS'!S28</f>
        <v>19.13910662669452</v>
      </c>
      <c r="U32" s="725">
        <f>+'MCP PS'!R28</f>
        <v>2.4820635970263745E-2</v>
      </c>
      <c r="V32" s="725">
        <f>+'Recalculos PS'!AJ35</f>
        <v>184.46719596854351</v>
      </c>
      <c r="W32" s="725">
        <f>+'MCP PS'!U28</f>
        <v>37.442607675496227</v>
      </c>
      <c r="X32" s="725">
        <f>+'MCP PS'!V28</f>
        <v>81.541040830639133</v>
      </c>
      <c r="Y32" s="725">
        <f>+'MCP PS'!W28</f>
        <v>90.245413987786748</v>
      </c>
      <c r="Z32" s="725">
        <f>+'MCP PS'!X28</f>
        <v>28715.047089593176</v>
      </c>
      <c r="AA32" s="725">
        <f>+'MCP PS'!Y28</f>
        <v>0</v>
      </c>
      <c r="AB32" s="725">
        <f>+'MCP PS'!Z28</f>
        <v>4008.674371316004</v>
      </c>
      <c r="AC32" s="725">
        <f>+'MCP PS'!AA28</f>
        <v>184439.52194015271</v>
      </c>
      <c r="AD32" s="725">
        <f>+'MCP PS'!AB28</f>
        <v>0</v>
      </c>
      <c r="AE32" s="725">
        <f>+'MCP PS'!AC28</f>
        <v>6681.9919856568449</v>
      </c>
      <c r="AF32" s="725">
        <f>+'MCP PS'!AD28</f>
        <v>14154.725718410824</v>
      </c>
      <c r="AG32" s="725">
        <f>+'MCP PS'!AT28</f>
        <v>1.6671864521444564</v>
      </c>
      <c r="AH32" s="725">
        <f>+'Recalculos PS'!P35</f>
        <v>106.84688301250995</v>
      </c>
      <c r="AI32" s="725">
        <f t="shared" si="8"/>
        <v>106.84688301250995</v>
      </c>
      <c r="AJ32" s="725">
        <f t="shared" si="9"/>
        <v>4.2065701973429119</v>
      </c>
      <c r="AK32" s="722">
        <f>+'MCP PS'!AU28*100</f>
        <v>81.987487473131353</v>
      </c>
      <c r="AL32" s="722">
        <v>29.984221928094801</v>
      </c>
      <c r="AM32" s="469">
        <f t="shared" si="10"/>
        <v>-25.777651730751888</v>
      </c>
    </row>
    <row r="33" spans="1:54" s="273" customFormat="1">
      <c r="A33" s="273">
        <f t="shared" si="4"/>
        <v>28</v>
      </c>
      <c r="B33" s="725">
        <f>+'Recalculos PS'!BG36+$B$4</f>
        <v>30.914583841702612</v>
      </c>
      <c r="C33" s="725">
        <f>+'Recalculos PS'!BR36+$C$2</f>
        <v>88.872627606430385</v>
      </c>
      <c r="D33" s="4313">
        <f>+'MCP PS'!E29</f>
        <v>0.60210373772341408</v>
      </c>
      <c r="E33" s="725">
        <f>+'MCP PS'!F29</f>
        <v>251.23051736718298</v>
      </c>
      <c r="F33" s="3014">
        <f>+'MCP PS'!C29</f>
        <v>180000.00000042227</v>
      </c>
      <c r="G33" s="725">
        <f>+'MCP PS'!D29</f>
        <v>0.71710742175415443</v>
      </c>
      <c r="H33" s="725">
        <f>+'MCP PS'!E29</f>
        <v>0.60210373772341408</v>
      </c>
      <c r="I33" s="725">
        <f>+'MCP PS'!F29</f>
        <v>251.23051736718298</v>
      </c>
      <c r="J33" s="725">
        <f>+'MCP PS'!G29</f>
        <v>4.606902679774099E-2</v>
      </c>
      <c r="K33" s="725">
        <f>+'MCP PS'!H29</f>
        <v>1.5113680445018773</v>
      </c>
      <c r="L33" s="725">
        <f>+'MCP PS'!J29</f>
        <v>29.481300233080589</v>
      </c>
      <c r="M33" s="725">
        <f>+'MCP PS'!K29</f>
        <v>85.792957183736306</v>
      </c>
      <c r="N33" s="725">
        <f>+'MCP PS'!M29</f>
        <v>12.725140052569307</v>
      </c>
      <c r="O33" s="725">
        <f>+D33/'MCP PS'!I29</f>
        <v>0.44812738917799971</v>
      </c>
      <c r="P33" s="725">
        <f>+'MCP PS'!N29</f>
        <v>386.17229336851511</v>
      </c>
      <c r="Q33" s="725">
        <f>+'MCP PS'!O29</f>
        <v>0.87408893399649712</v>
      </c>
      <c r="R33" s="725">
        <f>+'MCP PS'!P29</f>
        <v>0.48697076681570517</v>
      </c>
      <c r="S33" s="725">
        <f>+'MCP PS'!Q29</f>
        <v>0.3016066401105576</v>
      </c>
      <c r="T33" s="725">
        <f>+'MCP PS'!S29</f>
        <v>18.29986106432866</v>
      </c>
      <c r="U33" s="725">
        <f>+'MCP PS'!R29</f>
        <v>0.10953211828931009</v>
      </c>
      <c r="V33" s="725">
        <f>+'Recalculos PS'!AJ36</f>
        <v>185.84182425185739</v>
      </c>
      <c r="W33" s="725">
        <f>+'MCP PS'!U29</f>
        <v>38.576705583348371</v>
      </c>
      <c r="X33" s="725">
        <f>+'MCP PS'!V29</f>
        <v>74.216087754485358</v>
      </c>
      <c r="Y33" s="725">
        <f>+'MCP PS'!W29</f>
        <v>85.281757195963152</v>
      </c>
      <c r="Z33" s="725">
        <f>+'MCP PS'!X29</f>
        <v>40689.090715417049</v>
      </c>
      <c r="AA33" s="725">
        <f>+'MCP PS'!Y29</f>
        <v>0</v>
      </c>
      <c r="AB33" s="725">
        <f>+'MCP PS'!Z29</f>
        <v>0</v>
      </c>
      <c r="AC33" s="725">
        <f>+'MCP PS'!AA29</f>
        <v>131235.05179451604</v>
      </c>
      <c r="AD33" s="725">
        <f>+'MCP PS'!AB29</f>
        <v>0</v>
      </c>
      <c r="AE33" s="725">
        <f>+'MCP PS'!AC29</f>
        <v>4519.0744112088887</v>
      </c>
      <c r="AF33" s="725">
        <f>+'MCP PS'!AD29</f>
        <v>3556.6128382976708</v>
      </c>
      <c r="AG33" s="725">
        <f>+'MCP PS'!AT29</f>
        <v>1.7272347742418133</v>
      </c>
      <c r="AH33" s="725">
        <f>+'Recalculos PS'!P36</f>
        <v>106.12758499941739</v>
      </c>
      <c r="AI33" s="725">
        <f t="shared" si="8"/>
        <v>106.12758499941739</v>
      </c>
      <c r="AJ33" s="725">
        <f t="shared" si="9"/>
        <v>4.1782513779298185</v>
      </c>
      <c r="AK33" s="722">
        <f>+'MCP PS'!AU29*100</f>
        <v>75.419030333058217</v>
      </c>
      <c r="AL33" s="722">
        <v>30.984221928094801</v>
      </c>
      <c r="AM33" s="469">
        <f t="shared" si="10"/>
        <v>-26.805970550164982</v>
      </c>
    </row>
    <row r="34" spans="1:54" s="273" customFormat="1">
      <c r="A34" s="273">
        <f t="shared" si="4"/>
        <v>29</v>
      </c>
      <c r="B34" s="725">
        <f>+'Recalculos PS'!BG37+$B$4</f>
        <v>30.166707440864869</v>
      </c>
      <c r="C34" s="725">
        <f>+'Recalculos PS'!BR37+$C$2</f>
        <v>90.12517923258855</v>
      </c>
      <c r="D34" s="4313">
        <f>+'MCP PS'!E30</f>
        <v>0.60253190135276002</v>
      </c>
      <c r="E34" s="725">
        <f>+'MCP PS'!F30</f>
        <v>214.05128990479867</v>
      </c>
      <c r="F34" s="3014">
        <f>+'MCP PS'!C30</f>
        <v>237999.99999993708</v>
      </c>
      <c r="G34" s="725">
        <f>+'MCP PS'!D30</f>
        <v>0.69980060229138286</v>
      </c>
      <c r="H34" s="725">
        <f>+'MCP PS'!E30</f>
        <v>0.60253190135276002</v>
      </c>
      <c r="I34" s="725">
        <f>+'MCP PS'!F30</f>
        <v>214.05128990479867</v>
      </c>
      <c r="J34" s="725">
        <f>+'MCP PS'!G30</f>
        <v>4.0601789996331503E-2</v>
      </c>
      <c r="K34" s="725">
        <f>+'MCP PS'!H30</f>
        <v>1.3116350032654953</v>
      </c>
      <c r="L34" s="725">
        <f>+'MCP PS'!J30</f>
        <v>28.850038176583574</v>
      </c>
      <c r="M34" s="725">
        <f>+'MCP PS'!K30</f>
        <v>88.791216464248919</v>
      </c>
      <c r="N34" s="725">
        <f>+'MCP PS'!M30</f>
        <v>12.590706325053283</v>
      </c>
      <c r="O34" s="725">
        <f>+D34/'MCP PS'!I30</f>
        <v>0.41853829653475927</v>
      </c>
      <c r="P34" s="725">
        <f>+'MCP PS'!N30</f>
        <v>457.95168110797761</v>
      </c>
      <c r="Q34" s="725">
        <f>+'MCP PS'!O30</f>
        <v>0.97313256354260003</v>
      </c>
      <c r="R34" s="725">
        <f>+'MCP PS'!P30</f>
        <v>0.51617590483594589</v>
      </c>
      <c r="S34" s="725">
        <f>+'MCP PS'!Q30</f>
        <v>0.26316189120259864</v>
      </c>
      <c r="T34" s="725">
        <f>+'MCP PS'!S30</f>
        <v>19.387743880966898</v>
      </c>
      <c r="U34" s="725">
        <f>+'MCP PS'!R30</f>
        <v>0.11066732022860831</v>
      </c>
      <c r="V34" s="725">
        <f>+'Recalculos PS'!AJ37</f>
        <v>190.96017745040004</v>
      </c>
      <c r="W34" s="725">
        <f>+'MCP PS'!U30</f>
        <v>37.856345607601831</v>
      </c>
      <c r="X34" s="725">
        <f>+'MCP PS'!V30</f>
        <v>76.752689425268045</v>
      </c>
      <c r="Y34" s="725">
        <f>+'MCP PS'!W30</f>
        <v>79.837457058144906</v>
      </c>
      <c r="Z34" s="725">
        <f>+'MCP PS'!X30</f>
        <v>53666.807130286063</v>
      </c>
      <c r="AA34" s="725">
        <f>+'MCP PS'!Y30</f>
        <v>0</v>
      </c>
      <c r="AB34" s="725">
        <f>+'MCP PS'!Z30</f>
        <v>0</v>
      </c>
      <c r="AC34" s="725">
        <f>+'MCP PS'!AA30</f>
        <v>151547.50448452958</v>
      </c>
      <c r="AD34" s="725">
        <f>+'MCP PS'!AB30</f>
        <v>12515.002242147642</v>
      </c>
      <c r="AE34" s="725">
        <f>+'MCP PS'!AC30</f>
        <v>12244.201006841475</v>
      </c>
      <c r="AF34" s="725">
        <f>+'MCP PS'!AD30</f>
        <v>8026.8034143912901</v>
      </c>
      <c r="AG34" s="725">
        <f>+'MCP PS'!AT30</f>
        <v>1.4021036733061003</v>
      </c>
      <c r="AH34" s="725">
        <f>+'Recalculos PS'!P37</f>
        <v>103.33872084256647</v>
      </c>
      <c r="AI34" s="725">
        <f t="shared" si="8"/>
        <v>103.33872084256647</v>
      </c>
      <c r="AJ34" s="725">
        <f t="shared" si="9"/>
        <v>4.0684535764789951</v>
      </c>
      <c r="AK34" s="722">
        <f>+'MCP PS'!AU30*100</f>
        <v>74.078349562304226</v>
      </c>
      <c r="AL34" s="722">
        <v>31.984221928094801</v>
      </c>
      <c r="AM34" s="469">
        <f t="shared" si="10"/>
        <v>-27.915768351615807</v>
      </c>
    </row>
    <row r="35" spans="1:54" s="273" customFormat="1">
      <c r="A35" s="273">
        <f t="shared" si="4"/>
        <v>30</v>
      </c>
      <c r="B35" s="725">
        <f>+'Recalculos PS'!BG38+$B$4</f>
        <v>29.819750307075012</v>
      </c>
      <c r="C35" s="725">
        <f>+'Recalculos PS'!BR38+$C$2</f>
        <v>90.917789823751221</v>
      </c>
      <c r="D35" s="4313">
        <f>+'MCP PS'!E31</f>
        <v>0.58079430880381111</v>
      </c>
      <c r="E35" s="725">
        <f>+'MCP PS'!F31</f>
        <v>176.62984698962811</v>
      </c>
      <c r="F35" s="3014">
        <f>+'MCP PS'!C31</f>
        <v>238000.00000004738</v>
      </c>
      <c r="G35" s="725">
        <f>+'MCP PS'!D31</f>
        <v>0.67851345283192643</v>
      </c>
      <c r="H35" s="725">
        <f>+'MCP PS'!E31</f>
        <v>0.58079430880381111</v>
      </c>
      <c r="I35" s="725">
        <f>+'MCP PS'!F31</f>
        <v>176.62984698962811</v>
      </c>
      <c r="J35" s="725">
        <f>+'MCP PS'!G31</f>
        <v>4.603160614953191E-2</v>
      </c>
      <c r="K35" s="725">
        <f>+'MCP PS'!H31</f>
        <v>1.2946196729817929</v>
      </c>
      <c r="L35" s="725">
        <f>+'MCP PS'!J31</f>
        <v>28.075856712551548</v>
      </c>
      <c r="M35" s="725">
        <f>+'MCP PS'!K31</f>
        <v>89.935175210746777</v>
      </c>
      <c r="N35" s="725">
        <f>+'MCP PS'!M31</f>
        <v>12.492087929939807</v>
      </c>
      <c r="O35" s="725">
        <f>+D35/'MCP PS'!I31</f>
        <v>0.4393105301713271</v>
      </c>
      <c r="P35" s="725">
        <f>+'MCP PS'!N31</f>
        <v>395.8673506104123</v>
      </c>
      <c r="Q35" s="725">
        <f>+'MCP PS'!O31</f>
        <v>1.0002966169885577</v>
      </c>
      <c r="R35" s="725">
        <f>+'MCP PS'!P31</f>
        <v>0.48290451785970223</v>
      </c>
      <c r="S35" s="725">
        <f>+'MCP PS'!Q31</f>
        <v>0.19243732244978651</v>
      </c>
      <c r="T35" s="725">
        <f>+'MCP PS'!S31</f>
        <v>16.388313236015385</v>
      </c>
      <c r="U35" s="725">
        <f>+'MCP PS'!R31</f>
        <v>0.11391577988837043</v>
      </c>
      <c r="V35" s="725">
        <f>+'Recalculos PS'!AJ38</f>
        <v>186.90407152178329</v>
      </c>
      <c r="W35" s="725">
        <f>+'MCP PS'!U31</f>
        <v>37.61583478206861</v>
      </c>
      <c r="X35" s="725">
        <f>+'MCP PS'!V31</f>
        <v>80.108715405123434</v>
      </c>
      <c r="Y35" s="725">
        <f>+'MCP PS'!W31</f>
        <v>83.226583739130831</v>
      </c>
      <c r="Z35" s="725">
        <f>+'MCP PS'!X31</f>
        <v>50556.300098023275</v>
      </c>
      <c r="AA35" s="725">
        <f>+'MCP PS'!Y31</f>
        <v>0.70093457943925197</v>
      </c>
      <c r="AB35" s="725">
        <f>+'MCP PS'!Z31</f>
        <v>1216.3551401869199</v>
      </c>
      <c r="AC35" s="725">
        <f>+'MCP PS'!AA31</f>
        <v>162674.24519424711</v>
      </c>
      <c r="AD35" s="725">
        <f>+'MCP PS'!AB31</f>
        <v>18855.578093336702</v>
      </c>
      <c r="AE35" s="725">
        <f>+'MCP PS'!AC31</f>
        <v>21.261682242990702</v>
      </c>
      <c r="AF35" s="725">
        <f>+'MCP PS'!AD31</f>
        <v>4675.7344359817762</v>
      </c>
      <c r="AG35" s="725">
        <f>+'MCP PS'!AT31</f>
        <v>1.2628868967614186</v>
      </c>
      <c r="AH35" s="725">
        <f>+'Recalculos PS'!P38</f>
        <v>105.01396879110078</v>
      </c>
      <c r="AI35" s="725">
        <f t="shared" si="8"/>
        <v>105.01396879110078</v>
      </c>
      <c r="AJ35" s="725">
        <f t="shared" si="9"/>
        <v>4.1344082201220784</v>
      </c>
      <c r="AK35" s="722">
        <f>+'MCP PS'!AU31*100</f>
        <v>76.792985410910248</v>
      </c>
      <c r="AL35" s="722">
        <v>32.984221928094797</v>
      </c>
      <c r="AM35" s="469">
        <f t="shared" si="10"/>
        <v>-28.849813707972718</v>
      </c>
    </row>
    <row r="36" spans="1:54" s="273" customFormat="1">
      <c r="A36" s="273">
        <f t="shared" si="4"/>
        <v>31</v>
      </c>
      <c r="B36" s="725">
        <f>+'Recalculos PS'!BG39+$B$4</f>
        <v>29.094089095777246</v>
      </c>
      <c r="C36" s="725">
        <f>+'Recalculos PS'!BR39+$C$2</f>
        <v>91.042827998464162</v>
      </c>
      <c r="D36" s="4313">
        <f>+'MCP PS'!E32</f>
        <v>0.57187199432425428</v>
      </c>
      <c r="E36" s="725">
        <f>+'MCP PS'!F32</f>
        <v>186.55741600567592</v>
      </c>
      <c r="F36" s="3014">
        <f>+'MCP PS'!C32</f>
        <v>179999.99999979662</v>
      </c>
      <c r="G36" s="725">
        <f>+'MCP PS'!D32</f>
        <v>0.67461457196556862</v>
      </c>
      <c r="H36" s="725">
        <f>+'MCP PS'!E32</f>
        <v>0.57187199432425428</v>
      </c>
      <c r="I36" s="725">
        <f>+'MCP PS'!F32</f>
        <v>186.55741600567592</v>
      </c>
      <c r="J36" s="725">
        <f>+'MCP PS'!G32</f>
        <v>4.7931144745847934E-2</v>
      </c>
      <c r="K36" s="725">
        <f>+'MCP PS'!H32</f>
        <v>1.4376847751380697</v>
      </c>
      <c r="L36" s="725">
        <f>+'MCP PS'!J32</f>
        <v>27.599835148913453</v>
      </c>
      <c r="M36" s="725">
        <f>+'MCP PS'!K32</f>
        <v>89.655141394839035</v>
      </c>
      <c r="N36" s="725">
        <f>+'MCP PS'!M32</f>
        <v>12.668203936351865</v>
      </c>
      <c r="O36" s="725">
        <f>+D36/'MCP PS'!I32</f>
        <v>0.4761854053650284</v>
      </c>
      <c r="P36" s="725">
        <f>+'MCP PS'!N32</f>
        <v>332.07826022760997</v>
      </c>
      <c r="Q36" s="725">
        <f>+'MCP PS'!O32</f>
        <v>0.95958453039088143</v>
      </c>
      <c r="R36" s="725">
        <f>+'MCP PS'!P32</f>
        <v>0.69862927824433696</v>
      </c>
      <c r="S36" s="725">
        <f>+'MCP PS'!Q32</f>
        <v>0.20755764098794055</v>
      </c>
      <c r="T36" s="725">
        <f>+'MCP PS'!S32</f>
        <v>15.945762577034797</v>
      </c>
      <c r="U36" s="725">
        <f>+'MCP PS'!R32</f>
        <v>0.15761878388550821</v>
      </c>
      <c r="V36" s="725">
        <f>+'Recalculos PS'!AJ39</f>
        <v>187.02558043370502</v>
      </c>
      <c r="W36" s="725">
        <f>+'MCP PS'!U32</f>
        <v>38.842467620264443</v>
      </c>
      <c r="X36" s="725">
        <f>+'MCP PS'!V32</f>
        <v>78.698779743002476</v>
      </c>
      <c r="Y36" s="725">
        <f>+'MCP PS'!W32</f>
        <v>78.829288563837736</v>
      </c>
      <c r="Z36" s="725">
        <f>+'MCP PS'!X32</f>
        <v>54775.299450251179</v>
      </c>
      <c r="AA36" s="725">
        <f>+'MCP PS'!Y32</f>
        <v>0.70093457943925197</v>
      </c>
      <c r="AB36" s="725">
        <f>+'MCP PS'!Z32</f>
        <v>1216.3551401869199</v>
      </c>
      <c r="AC36" s="725">
        <f>+'MCP PS'!AA32</f>
        <v>123611.364348848</v>
      </c>
      <c r="AD36" s="725">
        <f>+'MCP PS'!AB32</f>
        <v>32.943925233644897</v>
      </c>
      <c r="AE36" s="725">
        <f>+'MCP PS'!AC32</f>
        <v>21.261682242990702</v>
      </c>
      <c r="AF36" s="725">
        <f>+'MCP PS'!AD32</f>
        <v>342.28971962616799</v>
      </c>
      <c r="AG36" s="725">
        <f>+'MCP PS'!AT32</f>
        <v>1.198143512834341</v>
      </c>
      <c r="AH36" s="725">
        <f>+'Recalculos PS'!P39</f>
        <v>103.99248559337272</v>
      </c>
      <c r="AI36" s="725">
        <f t="shared" si="8"/>
        <v>103.99248559337272</v>
      </c>
      <c r="AJ36" s="725">
        <f t="shared" si="9"/>
        <v>4.0941923461957765</v>
      </c>
      <c r="AK36" s="722">
        <f>+'MCP PS'!AU32*100</f>
        <v>69.378764329299386</v>
      </c>
      <c r="AL36" s="722">
        <v>33.984221928094797</v>
      </c>
      <c r="AM36" s="469">
        <f t="shared" si="10"/>
        <v>-29.890029581899022</v>
      </c>
    </row>
    <row r="37" spans="1:54" s="375" customFormat="1" ht="16.5" customHeight="1">
      <c r="A37" s="707"/>
      <c r="B37" s="353"/>
      <c r="C37" s="353"/>
      <c r="D37" s="353"/>
      <c r="E37" s="364"/>
      <c r="F37" s="365"/>
      <c r="G37" s="366"/>
      <c r="H37" s="367"/>
      <c r="I37" s="366"/>
      <c r="J37" s="366"/>
      <c r="K37" s="368"/>
      <c r="L37" s="369"/>
      <c r="M37" s="370"/>
      <c r="N37" s="371"/>
      <c r="O37" s="371"/>
      <c r="P37" s="372"/>
      <c r="Q37" s="365"/>
      <c r="R37" s="353"/>
      <c r="S37" s="353"/>
      <c r="T37" s="353"/>
      <c r="U37" s="353"/>
      <c r="V37" s="353"/>
      <c r="W37" s="353"/>
      <c r="X37" s="353"/>
      <c r="Y37" s="353"/>
      <c r="Z37" s="353"/>
      <c r="AA37" s="373"/>
      <c r="AB37" s="374"/>
      <c r="AC37" s="364"/>
      <c r="AD37" s="364"/>
      <c r="AE37" s="353"/>
      <c r="AF37" s="353"/>
      <c r="AG37" s="353"/>
      <c r="AH37" s="353"/>
      <c r="AI37" s="353"/>
      <c r="AJ37" s="353"/>
      <c r="AK37" s="353"/>
      <c r="AL37" s="353"/>
      <c r="AM37" s="353"/>
      <c r="AN37" s="353"/>
      <c r="AO37" s="353"/>
      <c r="AP37" s="353"/>
      <c r="AQ37" s="353"/>
      <c r="AR37" s="353"/>
      <c r="AS37" s="353"/>
      <c r="BB37" s="709"/>
    </row>
    <row r="38" spans="1:54" ht="13">
      <c r="B38" s="254"/>
      <c r="C38" s="254"/>
      <c r="D38" s="350">
        <f>+'TP sin BM'!F5</f>
        <v>27.362020259444645</v>
      </c>
      <c r="E38" s="351"/>
      <c r="F38" s="212">
        <f>+'TP sin BM'!H10</f>
        <v>-22.34773492432214</v>
      </c>
      <c r="G38" s="212"/>
      <c r="H38" s="212">
        <f>7.5*24</f>
        <v>180</v>
      </c>
      <c r="I38" s="4024">
        <f>199/24</f>
        <v>8.2916666666666661</v>
      </c>
      <c r="J38" s="236">
        <f>7*7.5+17*I38</f>
        <v>193.45833333333331</v>
      </c>
      <c r="K38" s="236"/>
      <c r="L38" s="376"/>
      <c r="M38" s="2024">
        <f>498*0.9772</f>
        <v>486.6456</v>
      </c>
      <c r="N38" s="377"/>
      <c r="O38" s="377"/>
      <c r="P38" s="377"/>
      <c r="Q38" s="377"/>
      <c r="R38" s="377"/>
      <c r="S38" s="331"/>
      <c r="T38" s="331"/>
      <c r="AA38"/>
      <c r="AB38"/>
      <c r="AC38"/>
      <c r="AD38"/>
      <c r="AS38" s="710"/>
      <c r="BB38"/>
    </row>
    <row r="39" spans="1:54" ht="13">
      <c r="B39">
        <f>6999+1801</f>
        <v>8800</v>
      </c>
      <c r="C39" s="300"/>
      <c r="D39" s="350">
        <f>+'TP sin BM'!F6</f>
        <v>26.405692061497174</v>
      </c>
      <c r="E39" s="351"/>
      <c r="F39" s="212"/>
      <c r="G39" s="212"/>
      <c r="H39" s="3018">
        <f>+'TP sin BM'!F5</f>
        <v>27.362020259444645</v>
      </c>
      <c r="I39" s="212">
        <v>27.740670139225266</v>
      </c>
      <c r="J39" s="1267">
        <f>+H39-I39</f>
        <v>-0.37864987978062103</v>
      </c>
      <c r="K39" s="1266"/>
      <c r="L39" s="1267"/>
      <c r="M39" s="2883"/>
      <c r="N39" s="377"/>
      <c r="O39" s="377"/>
      <c r="P39" s="377"/>
      <c r="Q39" s="377"/>
      <c r="R39" s="377"/>
      <c r="S39" s="2" t="s">
        <v>479</v>
      </c>
      <c r="T39" s="2"/>
      <c r="U39" s="379"/>
      <c r="V39" s="173"/>
      <c r="AA39"/>
      <c r="AB39" s="331">
        <v>400</v>
      </c>
      <c r="AC39"/>
      <c r="AD39"/>
      <c r="AS39" s="711"/>
      <c r="BB39"/>
    </row>
    <row r="40" spans="1:54" ht="13.5" thickBot="1">
      <c r="C40" s="298"/>
      <c r="D40" s="470"/>
      <c r="E40" s="247"/>
      <c r="F40" s="212">
        <f>+F41*24</f>
        <v>43488</v>
      </c>
      <c r="G40" s="212"/>
      <c r="H40" s="212"/>
      <c r="I40" s="212"/>
      <c r="J40" s="2"/>
      <c r="K40" s="4666" t="s">
        <v>1334</v>
      </c>
      <c r="L40" s="4666"/>
      <c r="M40" s="4666"/>
      <c r="N40" s="3220">
        <f>+'Plan mina ST'!O40</f>
        <v>600</v>
      </c>
      <c r="O40" s="2059"/>
      <c r="P40" s="377"/>
      <c r="Q40" s="377" t="s">
        <v>1484</v>
      </c>
      <c r="R40" s="377"/>
      <c r="S40" s="1268">
        <f>+'Plan mina ST'!AN40</f>
        <v>0</v>
      </c>
      <c r="T40" s="1268"/>
      <c r="U40" s="1269" t="s">
        <v>480</v>
      </c>
      <c r="V40" s="380"/>
      <c r="W40" s="381"/>
      <c r="X40" s="380"/>
      <c r="AA40"/>
      <c r="AB40"/>
      <c r="AC40"/>
      <c r="AD40"/>
      <c r="AG40" s="2" t="s">
        <v>481</v>
      </c>
      <c r="AH40" s="302">
        <v>1.1000000000000001</v>
      </c>
      <c r="AR40" s="273"/>
      <c r="AS40" s="708"/>
      <c r="BB40"/>
    </row>
    <row r="41" spans="1:54" ht="13" customHeight="1">
      <c r="C41" s="552"/>
      <c r="D41" s="169"/>
      <c r="E41" s="2233">
        <f>+G41*98*24/100</f>
        <v>43512</v>
      </c>
      <c r="F41" s="2233">
        <f>+'Plan mina ST'!F41</f>
        <v>1812</v>
      </c>
      <c r="G41" s="2233">
        <f>+'Plan mina ST'!G41</f>
        <v>1850</v>
      </c>
      <c r="H41" s="212"/>
      <c r="I41" s="212"/>
      <c r="J41" s="2"/>
      <c r="K41" s="4707" t="s">
        <v>482</v>
      </c>
      <c r="L41" s="3110" t="s">
        <v>201</v>
      </c>
      <c r="M41" s="3110" t="s">
        <v>280</v>
      </c>
      <c r="N41" s="3111" t="s">
        <v>786</v>
      </c>
      <c r="O41" s="4709" t="s">
        <v>1489</v>
      </c>
      <c r="P41" s="2059"/>
      <c r="Q41" s="875">
        <v>311</v>
      </c>
      <c r="V41" s="875"/>
      <c r="W41" s="1284">
        <v>650</v>
      </c>
      <c r="X41" s="875"/>
      <c r="Y41" s="1236"/>
      <c r="Z41" s="1284">
        <v>550</v>
      </c>
      <c r="AA41" s="2056" t="s">
        <v>492</v>
      </c>
      <c r="AB41"/>
      <c r="AC41" s="875"/>
      <c r="AD41" s="1285" t="s">
        <v>483</v>
      </c>
      <c r="AE41" s="875"/>
      <c r="AF41" s="2057" t="s">
        <v>787</v>
      </c>
      <c r="AG41" s="2057" t="s">
        <v>484</v>
      </c>
      <c r="AH41" s="2057" t="s">
        <v>484</v>
      </c>
      <c r="AI41" s="2055" t="s">
        <v>495</v>
      </c>
      <c r="AR41" s="273"/>
      <c r="AS41" s="708"/>
      <c r="BB41"/>
    </row>
    <row r="42" spans="1:54" ht="26.15" customHeight="1">
      <c r="A42" s="2278" t="s">
        <v>486</v>
      </c>
      <c r="B42" s="2278" t="s">
        <v>1359</v>
      </c>
      <c r="C42" s="2278" t="s">
        <v>1329</v>
      </c>
      <c r="D42" s="2278" t="s">
        <v>1356</v>
      </c>
      <c r="E42" s="2278" t="s">
        <v>392</v>
      </c>
      <c r="F42" s="2420" t="s">
        <v>1354</v>
      </c>
      <c r="G42" s="2420" t="s">
        <v>1355</v>
      </c>
      <c r="H42" s="2357" t="s">
        <v>1352</v>
      </c>
      <c r="I42" s="2357" t="s">
        <v>1351</v>
      </c>
      <c r="J42" s="2457" t="s">
        <v>549</v>
      </c>
      <c r="K42" s="4708"/>
      <c r="L42" s="2028" t="s">
        <v>119</v>
      </c>
      <c r="M42" s="2029" t="s">
        <v>119</v>
      </c>
      <c r="N42" s="3112" t="s">
        <v>119</v>
      </c>
      <c r="O42" s="4710"/>
      <c r="P42" s="2458" t="s">
        <v>1488</v>
      </c>
      <c r="Q42" s="2459" t="s">
        <v>1328</v>
      </c>
      <c r="R42" s="2460" t="s">
        <v>789</v>
      </c>
      <c r="S42" s="2098" t="s">
        <v>1360</v>
      </c>
      <c r="T42" s="2459"/>
      <c r="U42" s="1779" t="s">
        <v>482</v>
      </c>
      <c r="V42" s="1469" t="s">
        <v>487</v>
      </c>
      <c r="W42" s="1470" t="s">
        <v>488</v>
      </c>
      <c r="X42" s="1471" t="s">
        <v>489</v>
      </c>
      <c r="Y42" s="1469" t="s">
        <v>487</v>
      </c>
      <c r="Z42" s="1472" t="s">
        <v>490</v>
      </c>
      <c r="AA42" s="1471" t="s">
        <v>491</v>
      </c>
      <c r="AB42" s="2090"/>
      <c r="AC42"/>
      <c r="AD42" s="1470" t="s">
        <v>493</v>
      </c>
      <c r="AE42" s="1470" t="s">
        <v>494</v>
      </c>
      <c r="AF42" s="1470" t="s">
        <v>790</v>
      </c>
      <c r="AG42" s="2091"/>
      <c r="AH42" s="2091"/>
      <c r="AI42" s="2092" t="s">
        <v>493</v>
      </c>
      <c r="AJ42" s="2092"/>
      <c r="AS42" s="273"/>
      <c r="AT42" s="708"/>
      <c r="BB42"/>
    </row>
    <row r="43" spans="1:54" s="3330" customFormat="1" ht="13" hidden="1">
      <c r="A43" s="4042">
        <f>'Recalculos PS'!V9</f>
        <v>6858.5547051856502</v>
      </c>
      <c r="B43" s="4043">
        <f>+'Proy. Mes'!H9</f>
        <v>98.057573027372243</v>
      </c>
      <c r="C43" s="4043">
        <f>+'Proy. Mes'!BJ9</f>
        <v>97.132597759803119</v>
      </c>
      <c r="D43" s="4042">
        <f>+IF(AI43&gt;=A43,A43,AI43)</f>
        <v>6858.5547051856502</v>
      </c>
      <c r="E43" s="4044">
        <f>+IF('Recalculos PS'!AD9&gt;$F$41,$F$41,'Recalculos PS'!AD9)</f>
        <v>1765.2433449966313</v>
      </c>
      <c r="F43" s="4044">
        <f>+D43*B43*24/100</f>
        <v>161407.97492783263</v>
      </c>
      <c r="G43" s="4044">
        <f>+IF(I43*1000&gt;$E$41,$E$41,I43*1000)</f>
        <v>41151.041226654517</v>
      </c>
      <c r="H43" s="4043">
        <f>+F43/1000</f>
        <v>161.40797492783264</v>
      </c>
      <c r="I43" s="4045">
        <f>+IF(C43*$E43*24/100000&gt;$E$41, $E$41,C43*$E43*24/100000)</f>
        <v>41.15104122665452</v>
      </c>
      <c r="J43" s="4046">
        <f>WEEKDAY(K43,1)</f>
        <v>1</v>
      </c>
      <c r="K43" s="4047">
        <f>'R+P'!B8</f>
        <v>46082.791666666664</v>
      </c>
      <c r="L43" s="4042">
        <f>+N40-N43+M43</f>
        <v>580.64098384512795</v>
      </c>
      <c r="M43" s="4042">
        <f>+F6/1000</f>
        <v>175.99999999961517</v>
      </c>
      <c r="N43" s="4042">
        <f>+IF((H43+I43)&gt;$Q$41,$Q$41,(H43+I43))-24*0.3</f>
        <v>195.35901615448716</v>
      </c>
      <c r="O43" s="4048" t="s">
        <v>1832</v>
      </c>
      <c r="P43" s="4049">
        <f>+N43/24*1000</f>
        <v>8139.9590064369659</v>
      </c>
      <c r="Q43" s="4050">
        <f>+(F43+G43)/1000</f>
        <v>202.55901615448715</v>
      </c>
      <c r="R43" s="4050"/>
      <c r="S43" s="4050"/>
      <c r="T43" s="4050"/>
      <c r="U43" s="4051">
        <f t="shared" ref="U43:U69" si="11">K43</f>
        <v>46082.791666666664</v>
      </c>
      <c r="V43" s="4052">
        <f>'Plan mina ST'!AB43</f>
        <v>6.7903225806451619</v>
      </c>
      <c r="W43" s="4053">
        <f>(24-V43)/24</f>
        <v>0.71706989247311836</v>
      </c>
      <c r="X43" s="4054">
        <f>+W43*$W$41</f>
        <v>466.09543010752691</v>
      </c>
      <c r="Y43" s="4052">
        <f>+'Plan mina ST'!AE43</f>
        <v>6.629032258064516</v>
      </c>
      <c r="Z43" s="4053">
        <f>(24-Y43)/24</f>
        <v>0.72379032258064513</v>
      </c>
      <c r="AA43" s="4054">
        <f>+Z43*$Z$41</f>
        <v>398.08467741935482</v>
      </c>
      <c r="AB43" s="4055">
        <f>+X43+AA43</f>
        <v>864.18010752688178</v>
      </c>
      <c r="AD43" s="4056">
        <f>+A43</f>
        <v>6858.5547051856502</v>
      </c>
      <c r="AE43" s="4057">
        <f xml:space="preserve"> (0.00000000612366*AD43^3 - 0.0001641321*AD43^2 + 1.47442017999*AD43 - 3625.3824079)</f>
        <v>741.91730084151141</v>
      </c>
      <c r="AF43" s="4057">
        <f>(0.000000006888843*AD43^3 - 0.00017708145721*AD43^2 + 1.55021494603*AD43 - 3878.31848115)</f>
        <v>646.55601145610535</v>
      </c>
      <c r="AG43" s="4057">
        <f t="shared" ref="AG43:AG69" si="12">AE43-AF43</f>
        <v>95.361289385406053</v>
      </c>
      <c r="AH43" s="4057">
        <f>IF(AE43-AB43&lt;0,0,AE43-AB43)</f>
        <v>0</v>
      </c>
      <c r="AI43" s="4058">
        <f t="shared" ref="AI43:AI69" si="13">AD43+(AG43-AH43)*$AH$40</f>
        <v>6963.4521235095972</v>
      </c>
      <c r="AJ43" s="4059">
        <f t="shared" ref="AJ43:AJ69" si="14">AI43-AD43</f>
        <v>104.89741832394702</v>
      </c>
      <c r="AK43" s="4060"/>
      <c r="AT43" s="4061"/>
    </row>
    <row r="44" spans="1:54" s="3330" customFormat="1" ht="13" hidden="1">
      <c r="A44" s="4042">
        <f>'Recalculos PS'!V10</f>
        <v>6724.8442548230205</v>
      </c>
      <c r="B44" s="4043">
        <f>+'Proy. Mes'!H10</f>
        <v>80.002017471816671</v>
      </c>
      <c r="C44" s="4043">
        <f>+'Proy. Mes'!BJ10</f>
        <v>97.132597759803119</v>
      </c>
      <c r="D44" s="4042">
        <f t="shared" ref="D44:D53" si="15">+IF(AI44&gt;=A44,A44,AI44)</f>
        <v>6724.8442548230205</v>
      </c>
      <c r="E44" s="4044">
        <f>+IF('Recalculos PS'!AD10&gt;$F$41,$F$41,'Recalculos PS'!AD10)</f>
        <v>1730.8291727978335</v>
      </c>
      <c r="F44" s="4044">
        <f t="shared" ref="F44:F47" si="16">+D44*B44*24/100</f>
        <v>129120.26581670332</v>
      </c>
      <c r="G44" s="4044">
        <f t="shared" ref="G44:G51" si="17">+IF(I44*1000&gt;$E$41,$E$41,I44*1000)</f>
        <v>40348.784119753131</v>
      </c>
      <c r="H44" s="4043">
        <f t="shared" ref="H44:H51" si="18">+F44/1000</f>
        <v>129.12026581670332</v>
      </c>
      <c r="I44" s="4045">
        <f t="shared" ref="I44:I51" si="19">+IF(C44*$E44*24/100000&gt;$E$41, $E$41,C44*$E44*24/100000)</f>
        <v>40.348784119753134</v>
      </c>
      <c r="J44" s="4062">
        <f>WEEKDAY(K44,1)</f>
        <v>2</v>
      </c>
      <c r="K44" s="4063">
        <f>'R+P'!B9</f>
        <v>46083.791666666664</v>
      </c>
      <c r="L44" s="4042">
        <v>628</v>
      </c>
      <c r="M44" s="4042">
        <f t="shared" ref="M44" si="20">+F7/1000</f>
        <v>177.44869792783732</v>
      </c>
      <c r="N44" s="4042">
        <f>+IF((H44+I44)&gt;$Q$41,$Q$41,(H44+I44))-24*0.2</f>
        <v>164.66904993645645</v>
      </c>
      <c r="O44" s="4064" t="s">
        <v>1836</v>
      </c>
      <c r="P44" s="4049">
        <f t="shared" ref="P44:P70" si="21">+N44/24*1000</f>
        <v>6861.2104140190186</v>
      </c>
      <c r="Q44" s="4050">
        <f>+(F44+G44)/1000</f>
        <v>169.46904993645646</v>
      </c>
      <c r="R44" s="4050"/>
      <c r="S44" s="4050"/>
      <c r="T44" s="4050"/>
      <c r="U44" s="4051">
        <f t="shared" si="11"/>
        <v>46083.791666666664</v>
      </c>
      <c r="V44" s="4052">
        <f>'Plan mina ST'!AB44</f>
        <v>6.7903225806451619</v>
      </c>
      <c r="W44" s="4053">
        <f t="shared" ref="W44:W69" si="22">(24-V44)/24</f>
        <v>0.71706989247311836</v>
      </c>
      <c r="X44" s="4054">
        <f t="shared" ref="X44:X69" si="23">+W44*$W$41</f>
        <v>466.09543010752691</v>
      </c>
      <c r="Y44" s="4052">
        <f>+'Plan mina ST'!AE44</f>
        <v>6.629032258064516</v>
      </c>
      <c r="Z44" s="4053">
        <f>(24-Y44)/24</f>
        <v>0.72379032258064513</v>
      </c>
      <c r="AA44" s="4054">
        <f>+Z44*$Z$41</f>
        <v>398.08467741935482</v>
      </c>
      <c r="AB44" s="4055">
        <f>+X44+AA44</f>
        <v>864.18010752688178</v>
      </c>
      <c r="AD44" s="4056">
        <f>+A44</f>
        <v>6724.8442548230205</v>
      </c>
      <c r="AE44" s="4057">
        <f xml:space="preserve"> (0.00000000612366*AD44^3 - 0.0001641321*AD44^2 + 1.47442017999*AD44 - 3625.3824079)</f>
        <v>729.56549195537673</v>
      </c>
      <c r="AF44" s="4057">
        <f>(0.000000006888843*AD44^3 - 0.00017708145721*AD44^2 + 1.55021494603*AD44 - 3878.31848115)</f>
        <v>633.4301384692676</v>
      </c>
      <c r="AG44" s="4057">
        <f>AE44-AF44</f>
        <v>96.135353486109125</v>
      </c>
      <c r="AH44" s="4057">
        <f>IF(AE44-AB44&lt;0,0,AE44-AB44)</f>
        <v>0</v>
      </c>
      <c r="AI44" s="4058">
        <f>AD44+(AG44-AH44)*$AH$40</f>
        <v>6830.5931436577403</v>
      </c>
      <c r="AJ44" s="4059">
        <f t="shared" si="14"/>
        <v>105.74888883471976</v>
      </c>
      <c r="AK44" s="4060"/>
      <c r="AT44" s="4061"/>
    </row>
    <row r="45" spans="1:54" s="3330" customFormat="1" ht="13" hidden="1">
      <c r="A45" s="4042">
        <f>'Recalculos PS'!V11</f>
        <v>6863.7546985151293</v>
      </c>
      <c r="B45" s="4043">
        <f>+'Proy. Mes'!H11</f>
        <v>65.371715351581486</v>
      </c>
      <c r="C45" s="4043">
        <f>+'Proy. Mes'!BJ11</f>
        <v>97.132597759803119</v>
      </c>
      <c r="D45" s="4042">
        <f>+IF(AI45&gt;=A45,A45,AI45)</f>
        <v>6863.7546985151293</v>
      </c>
      <c r="E45" s="4044">
        <f>+IF('Recalculos PS'!AD11&gt;$F$41,$F$41,'Recalculos PS'!AD11)</f>
        <v>1766.5817105872636</v>
      </c>
      <c r="F45" s="4044">
        <f t="shared" si="16"/>
        <v>107686.90041465865</v>
      </c>
      <c r="G45" s="4044">
        <f t="shared" si="17"/>
        <v>41182.240969031423</v>
      </c>
      <c r="H45" s="4043">
        <f t="shared" si="18"/>
        <v>107.68690041465865</v>
      </c>
      <c r="I45" s="4045">
        <f t="shared" si="19"/>
        <v>41.182240969031426</v>
      </c>
      <c r="J45" s="4062">
        <f>WEEKDAY(K45,1)</f>
        <v>3</v>
      </c>
      <c r="K45" s="4063">
        <f>'R+P'!B10</f>
        <v>46084.791666666664</v>
      </c>
      <c r="L45" s="4042">
        <f>Real!D11/1000</f>
        <v>672.52956119999999</v>
      </c>
      <c r="M45" s="4042">
        <v>200</v>
      </c>
      <c r="N45" s="4042">
        <v>150</v>
      </c>
      <c r="O45" s="4064" t="s">
        <v>1823</v>
      </c>
      <c r="P45" s="4049">
        <f>+N45/24*1000</f>
        <v>6250</v>
      </c>
      <c r="Q45" s="4050">
        <f t="shared" ref="Q45:Q70" si="24">+(F45+G45)/1000</f>
        <v>148.86914138369005</v>
      </c>
      <c r="R45" s="4050"/>
      <c r="S45" s="4050"/>
      <c r="T45" s="4050"/>
      <c r="U45" s="4051">
        <f t="shared" si="11"/>
        <v>46084.791666666664</v>
      </c>
      <c r="V45" s="4052">
        <f>'Plan mina ST'!AB45</f>
        <v>6.7903225806451619</v>
      </c>
      <c r="W45" s="4053">
        <f t="shared" si="22"/>
        <v>0.71706989247311836</v>
      </c>
      <c r="X45" s="4054">
        <f t="shared" si="23"/>
        <v>466.09543010752691</v>
      </c>
      <c r="Y45" s="4052">
        <f>+'Plan mina ST'!AE45</f>
        <v>6.629032258064516</v>
      </c>
      <c r="Z45" s="4053">
        <f>(24-Y45)/24</f>
        <v>0.72379032258064513</v>
      </c>
      <c r="AA45" s="4054">
        <f>+Z45*$Z$41</f>
        <v>398.08467741935482</v>
      </c>
      <c r="AB45" s="4055">
        <f t="shared" ref="AB45:AB69" si="25">+X45+AA45</f>
        <v>864.18010752688178</v>
      </c>
      <c r="AD45" s="4056">
        <f>+A45</f>
        <v>6863.7546985151293</v>
      </c>
      <c r="AE45" s="4057">
        <f xml:space="preserve"> (0.00000000612366*AD45^3 - 0.0001641321*AD45^2 + 1.47442017999*AD45 - 3625.3824079)</f>
        <v>742.36954841842044</v>
      </c>
      <c r="AF45" s="4057">
        <f t="shared" ref="AF45:AF69" si="26">(0.000000006888843*AD45^3 - 0.00017708145721*AD45^2 + 1.55021494603*AD45 - 3878.31848115)</f>
        <v>647.0403100916842</v>
      </c>
      <c r="AG45" s="4057">
        <f t="shared" si="12"/>
        <v>95.329238326736231</v>
      </c>
      <c r="AH45" s="4057">
        <f t="shared" ref="AH45:AH69" si="27">IF(AE45-AB45&lt;0,0,AE45-AB45)</f>
        <v>0</v>
      </c>
      <c r="AI45" s="4058">
        <f>AD45+(AG45-AH45)*$AH$40</f>
        <v>6968.6168606745396</v>
      </c>
      <c r="AJ45" s="4059">
        <f t="shared" si="14"/>
        <v>104.86216215941022</v>
      </c>
      <c r="AK45" s="4060"/>
      <c r="AT45" s="4061"/>
    </row>
    <row r="46" spans="1:54" s="3330" customFormat="1" ht="13" hidden="1">
      <c r="A46" s="4042">
        <f>'Recalculos PS'!V12</f>
        <v>7264.4946694815299</v>
      </c>
      <c r="B46" s="4043">
        <f>+'Proy. Mes'!H12</f>
        <v>61.471201739009622</v>
      </c>
      <c r="C46" s="4043">
        <f>+'Proy. Mes'!BJ12</f>
        <v>97.132597759803119</v>
      </c>
      <c r="D46" s="4042">
        <f t="shared" si="15"/>
        <v>7264.4946694815299</v>
      </c>
      <c r="E46" s="4044">
        <f>+IF('Recalculos PS'!AD12&gt;$F$41,$F$41,'Recalculos PS'!AD12)</f>
        <v>1812</v>
      </c>
      <c r="F46" s="4044">
        <f t="shared" si="16"/>
        <v>107173.73216631818</v>
      </c>
      <c r="G46" s="4044">
        <f t="shared" si="17"/>
        <v>42241.024113783184</v>
      </c>
      <c r="H46" s="4043">
        <f t="shared" si="18"/>
        <v>107.17373216631817</v>
      </c>
      <c r="I46" s="4045">
        <f t="shared" si="19"/>
        <v>42.241024113783183</v>
      </c>
      <c r="J46" s="4062">
        <f>WEEKDAY(K46,1)</f>
        <v>4</v>
      </c>
      <c r="K46" s="4063">
        <f>'R+P'!B11</f>
        <v>46085.791666666664</v>
      </c>
      <c r="L46" s="4042">
        <f t="shared" ref="L46:L73" si="28">+L45+M46-N46</f>
        <v>648.94016119999992</v>
      </c>
      <c r="M46" s="4042">
        <f>135.5*0.9772</f>
        <v>132.41059999999999</v>
      </c>
      <c r="N46" s="4042">
        <v>156</v>
      </c>
      <c r="O46" s="4064"/>
      <c r="P46" s="4049">
        <f t="shared" si="21"/>
        <v>6500</v>
      </c>
      <c r="Q46" s="4050">
        <f t="shared" si="24"/>
        <v>149.41475628010136</v>
      </c>
      <c r="R46" s="4050"/>
      <c r="S46" s="4050"/>
      <c r="T46" s="4050"/>
      <c r="U46" s="4051">
        <f t="shared" si="11"/>
        <v>46085.791666666664</v>
      </c>
      <c r="V46" s="4052">
        <f>'Plan mina ST'!AB46</f>
        <v>6.7903225806451619</v>
      </c>
      <c r="W46" s="4053">
        <f t="shared" si="22"/>
        <v>0.71706989247311836</v>
      </c>
      <c r="X46" s="4054">
        <f t="shared" si="23"/>
        <v>466.09543010752691</v>
      </c>
      <c r="Y46" s="4052">
        <f>+'Plan mina ST'!AE46</f>
        <v>6.629032258064516</v>
      </c>
      <c r="Z46" s="4053">
        <f t="shared" ref="Z46:Z69" si="29">(24-Y46)/24</f>
        <v>0.72379032258064513</v>
      </c>
      <c r="AA46" s="4054">
        <f t="shared" ref="AA46:AA69" si="30">+Z46*$Z$41</f>
        <v>398.08467741935482</v>
      </c>
      <c r="AB46" s="4055">
        <f t="shared" si="25"/>
        <v>864.18010752688178</v>
      </c>
      <c r="AD46" s="4056">
        <f t="shared" ref="AD46:AD69" si="31">+A46</f>
        <v>7264.4946694815299</v>
      </c>
      <c r="AE46" s="4057">
        <f t="shared" ref="AE46:AE51" si="32" xml:space="preserve"> (0.00000000612366*AD46^3 - 0.0001641321*AD46^2 + 1.47442017999*AD46 - 3625.3824079)</f>
        <v>771.42833477573959</v>
      </c>
      <c r="AF46" s="4057">
        <f t="shared" si="26"/>
        <v>679.07495063348824</v>
      </c>
      <c r="AG46" s="4057">
        <f>AE46-AF46</f>
        <v>92.353384142251343</v>
      </c>
      <c r="AH46" s="4057">
        <f>IF(AE46-AB46&lt;0,0,AE46-AB46)</f>
        <v>0</v>
      </c>
      <c r="AI46" s="4058">
        <f t="shared" si="13"/>
        <v>7366.0833920380064</v>
      </c>
      <c r="AJ46" s="4059">
        <f t="shared" si="14"/>
        <v>101.58872255647657</v>
      </c>
      <c r="AK46" s="4060"/>
      <c r="AT46" s="4061"/>
    </row>
    <row r="47" spans="1:54" s="3330" customFormat="1" ht="13" hidden="1">
      <c r="A47" s="4042">
        <f>'Recalculos PS'!V13</f>
        <v>7269.634106726422</v>
      </c>
      <c r="B47" s="4043">
        <f>+'Proy. Mes'!H13</f>
        <v>65.371715351581486</v>
      </c>
      <c r="C47" s="4043">
        <f>+'Proy. Mes'!BJ13</f>
        <v>97.132597759803119</v>
      </c>
      <c r="D47" s="4042">
        <f t="shared" si="15"/>
        <v>7269.634106726422</v>
      </c>
      <c r="E47" s="4044">
        <f>+IF('Recalculos PS'!AD13&gt;$F$41,$F$41,'Recalculos PS'!AD13)</f>
        <v>1812</v>
      </c>
      <c r="F47" s="4044">
        <f t="shared" si="16"/>
        <v>114054.82836841632</v>
      </c>
      <c r="G47" s="4044">
        <f t="shared" si="17"/>
        <v>42241.024113783184</v>
      </c>
      <c r="H47" s="4043">
        <f t="shared" si="18"/>
        <v>114.05482836841632</v>
      </c>
      <c r="I47" s="4045">
        <f t="shared" si="19"/>
        <v>42.241024113783183</v>
      </c>
      <c r="J47" s="4062">
        <f t="shared" ref="J47:J70" si="33">WEEKDAY(K47,1)</f>
        <v>5</v>
      </c>
      <c r="K47" s="4063">
        <f>'R+P'!B12</f>
        <v>46086.791666666664</v>
      </c>
      <c r="L47" s="4042">
        <f t="shared" si="28"/>
        <v>652.64430871793911</v>
      </c>
      <c r="M47" s="4042">
        <f>+F10/1000</f>
        <v>160.00000000013873</v>
      </c>
      <c r="N47" s="4042">
        <f>+IF((H47+I47)&gt;$Q$41,$Q$41,(H47+I47))</f>
        <v>156.29585248219951</v>
      </c>
      <c r="O47" s="4064"/>
      <c r="P47" s="4049">
        <f t="shared" si="21"/>
        <v>6512.3271867583126</v>
      </c>
      <c r="Q47" s="4050">
        <f t="shared" si="24"/>
        <v>156.29585248219951</v>
      </c>
      <c r="R47" s="4050"/>
      <c r="S47" s="4050"/>
      <c r="T47" s="4050"/>
      <c r="U47" s="4051">
        <f t="shared" si="11"/>
        <v>46086.791666666664</v>
      </c>
      <c r="V47" s="4052">
        <f>'Plan mina ST'!AB47</f>
        <v>6.7903225806451619</v>
      </c>
      <c r="W47" s="4053">
        <f t="shared" si="22"/>
        <v>0.71706989247311836</v>
      </c>
      <c r="X47" s="4054">
        <f t="shared" si="23"/>
        <v>466.09543010752691</v>
      </c>
      <c r="Y47" s="4052">
        <f>+'Plan mina ST'!AE47</f>
        <v>6.629032258064516</v>
      </c>
      <c r="Z47" s="4053">
        <f>(24-Y47)/24</f>
        <v>0.72379032258064513</v>
      </c>
      <c r="AA47" s="4054">
        <f t="shared" si="30"/>
        <v>398.08467741935482</v>
      </c>
      <c r="AB47" s="4055">
        <f>+X47+AA47</f>
        <v>864.18010752688178</v>
      </c>
      <c r="AD47" s="4056">
        <f>+A47</f>
        <v>7269.634106726422</v>
      </c>
      <c r="AE47" s="4057">
        <f xml:space="preserve"> (0.00000000612366*AD47^3 - 0.0001641321*AD47^2 + 1.47442017999*AD47 - 3625.3824079)</f>
        <v>771.73196618410702</v>
      </c>
      <c r="AF47" s="4057">
        <f t="shared" si="26"/>
        <v>679.42388928853188</v>
      </c>
      <c r="AG47" s="4057">
        <f t="shared" si="12"/>
        <v>92.308076895575141</v>
      </c>
      <c r="AH47" s="4057">
        <f>IF(AE47-AB47&lt;0,0,AE47-AB47)</f>
        <v>0</v>
      </c>
      <c r="AI47" s="4058">
        <f>AD47+(AG47-AH47)*$AH$40</f>
        <v>7371.1729913115551</v>
      </c>
      <c r="AJ47" s="4059">
        <f t="shared" si="14"/>
        <v>101.53888458513302</v>
      </c>
      <c r="AK47" s="4060"/>
      <c r="AT47" s="4061"/>
    </row>
    <row r="48" spans="1:54" s="3330" customFormat="1" ht="13" hidden="1">
      <c r="A48" s="4042">
        <f>'Recalculos PS'!V14</f>
        <v>6733.3154452976696</v>
      </c>
      <c r="B48" s="4043">
        <f>24-SUM('Proy. Mes'!BO14:BQ14)-SUM('Proy. Mes'!CP14:CR14)</f>
        <v>17.211808666666666</v>
      </c>
      <c r="C48" s="4043">
        <f>+'Proy. Mes'!BJ14</f>
        <v>97.132597759803119</v>
      </c>
      <c r="D48" s="4042">
        <f t="shared" si="15"/>
        <v>6683.6823434163161</v>
      </c>
      <c r="E48" s="4044">
        <f>+IF('Recalculos PS'!AD14&gt;$F$41,$F$41,'Recalculos PS'!AD14)</f>
        <v>1733.0094736414303</v>
      </c>
      <c r="F48" s="4044">
        <f>+D48*B48</f>
        <v>115038.26168365992</v>
      </c>
      <c r="G48" s="4044">
        <f t="shared" si="17"/>
        <v>40399.610908113878</v>
      </c>
      <c r="H48" s="4043">
        <f t="shared" si="18"/>
        <v>115.03826168365993</v>
      </c>
      <c r="I48" s="4045">
        <f t="shared" si="19"/>
        <v>40.399610908113878</v>
      </c>
      <c r="J48" s="4062">
        <f>WEEKDAY(K48,1)</f>
        <v>6</v>
      </c>
      <c r="K48" s="4063">
        <f>'R+P'!B13</f>
        <v>46087.791666666664</v>
      </c>
      <c r="L48" s="4042">
        <f t="shared" si="28"/>
        <v>692.01755604967389</v>
      </c>
      <c r="M48" s="4042">
        <f>+F11/1000-26</f>
        <v>190.01111992350855</v>
      </c>
      <c r="N48" s="4042">
        <f>+IF((H48+I48)&gt;$Q$41,$Q$41,(H48+I48))-0.2*24</f>
        <v>150.6378725917738</v>
      </c>
      <c r="O48" s="4064" t="s">
        <v>1820</v>
      </c>
      <c r="P48" s="4049">
        <f t="shared" si="21"/>
        <v>6276.5780246572413</v>
      </c>
      <c r="Q48" s="4050">
        <f t="shared" si="24"/>
        <v>155.43787259177381</v>
      </c>
      <c r="R48" s="4050"/>
      <c r="S48" s="4050"/>
      <c r="T48" s="4050"/>
      <c r="U48" s="4051">
        <f t="shared" si="11"/>
        <v>46087.791666666664</v>
      </c>
      <c r="V48" s="4052">
        <f>'Plan mina ST'!AB48</f>
        <v>6.7903225806451619</v>
      </c>
      <c r="W48" s="4053">
        <f t="shared" si="22"/>
        <v>0.71706989247311836</v>
      </c>
      <c r="X48" s="4054">
        <f t="shared" si="23"/>
        <v>466.09543010752691</v>
      </c>
      <c r="Y48" s="4052">
        <f>+'Plan mina ST'!AE48</f>
        <v>18.629032258064516</v>
      </c>
      <c r="Z48" s="4053">
        <f t="shared" si="29"/>
        <v>0.22379032258064516</v>
      </c>
      <c r="AA48" s="4054">
        <f t="shared" si="30"/>
        <v>123.08467741935483</v>
      </c>
      <c r="AB48" s="4055">
        <f t="shared" si="25"/>
        <v>589.18010752688178</v>
      </c>
      <c r="AD48" s="4056">
        <f t="shared" si="31"/>
        <v>6733.3154452976696</v>
      </c>
      <c r="AE48" s="4057">
        <f t="shared" si="32"/>
        <v>730.39017694508539</v>
      </c>
      <c r="AF48" s="4057">
        <f>(0.000000006888843*AD48^3 - 0.00017708145721*AD48^2 + 1.55021494603*AD48 - 3878.31848115)</f>
        <v>634.30110923720304</v>
      </c>
      <c r="AG48" s="4057">
        <f>AE48-AF48</f>
        <v>96.08906770788235</v>
      </c>
      <c r="AH48" s="4057">
        <f>IF(AE48-AB48&lt;0,0,AE48-AB48)</f>
        <v>141.2100694182036</v>
      </c>
      <c r="AI48" s="4058">
        <f t="shared" si="13"/>
        <v>6683.6823434163161</v>
      </c>
      <c r="AJ48" s="4059">
        <f t="shared" si="14"/>
        <v>-49.633101881353468</v>
      </c>
      <c r="AK48" s="4060"/>
      <c r="AT48" s="4061"/>
    </row>
    <row r="49" spans="1:46" s="3330" customFormat="1" ht="13" hidden="1">
      <c r="A49" s="4042">
        <f>'Recalculos PS'!V15</f>
        <v>7227.5755521201918</v>
      </c>
      <c r="B49" s="4043">
        <f>24-SUM('Proy. Mes'!BO15:BQ15)-SUM('Proy. Mes'!CP15:CR15)</f>
        <v>17.080873</v>
      </c>
      <c r="C49" s="4043">
        <f>+'Proy. Mes'!BJ15</f>
        <v>97.132597759803119</v>
      </c>
      <c r="D49" s="4042">
        <f t="shared" si="15"/>
        <v>6996.1017431103674</v>
      </c>
      <c r="E49" s="4044">
        <f>+IF('Recalculos PS'!AD15&gt;$F$41,$F$41,'Recalculos PS'!AD15)</f>
        <v>1812</v>
      </c>
      <c r="F49" s="4044">
        <f t="shared" ref="F49:F73" si="34">+D49*B49</f>
        <v>119499.52536914681</v>
      </c>
      <c r="G49" s="4044">
        <f t="shared" si="17"/>
        <v>42241.024113783184</v>
      </c>
      <c r="H49" s="4043">
        <f t="shared" si="18"/>
        <v>119.49952536914681</v>
      </c>
      <c r="I49" s="4045">
        <f>+IF(C49*$E49*24/100000&gt;$E$41, $E$41,C49*$E49*24/100000)</f>
        <v>42.241024113783183</v>
      </c>
      <c r="J49" s="4062">
        <f t="shared" si="33"/>
        <v>7</v>
      </c>
      <c r="K49" s="4063">
        <f>'R+P'!B14</f>
        <v>46088.791666666664</v>
      </c>
      <c r="L49" s="4042">
        <f t="shared" si="28"/>
        <v>697.27700656641446</v>
      </c>
      <c r="M49" s="4042">
        <f>+F12/1000</f>
        <v>156.99999999967056</v>
      </c>
      <c r="N49" s="4042">
        <f>+IF((H49+I49)&gt;$Q$41,$Q$41,(H49+I49))-10</f>
        <v>151.74054948292999</v>
      </c>
      <c r="O49" s="4064"/>
      <c r="P49" s="4049">
        <f>+N49/24*1000</f>
        <v>6322.5228951220834</v>
      </c>
      <c r="Q49" s="4050">
        <f t="shared" si="24"/>
        <v>161.74054948292999</v>
      </c>
      <c r="R49" s="4050"/>
      <c r="S49" s="4050"/>
      <c r="T49" s="4050"/>
      <c r="U49" s="4051">
        <f t="shared" si="11"/>
        <v>46088.791666666664</v>
      </c>
      <c r="V49" s="4052">
        <f>'Plan mina ST'!AB49</f>
        <v>6.7903225806451619</v>
      </c>
      <c r="W49" s="4053">
        <f t="shared" si="22"/>
        <v>0.71706989247311836</v>
      </c>
      <c r="X49" s="4054">
        <f t="shared" si="23"/>
        <v>466.09543010752691</v>
      </c>
      <c r="Y49" s="4052">
        <f>+'Plan mina ST'!AE49</f>
        <v>24</v>
      </c>
      <c r="Z49" s="4053">
        <f t="shared" si="29"/>
        <v>0</v>
      </c>
      <c r="AA49" s="4054">
        <f t="shared" si="30"/>
        <v>0</v>
      </c>
      <c r="AB49" s="4055">
        <f t="shared" si="25"/>
        <v>466.09543010752691</v>
      </c>
      <c r="AD49" s="4056">
        <f t="shared" si="31"/>
        <v>7227.5755521201918</v>
      </c>
      <c r="AE49" s="4057">
        <f t="shared" si="32"/>
        <v>769.19926520867421</v>
      </c>
      <c r="AF49" s="4057">
        <f t="shared" si="26"/>
        <v>676.52616557100328</v>
      </c>
      <c r="AG49" s="4057">
        <f t="shared" si="12"/>
        <v>92.67309963767093</v>
      </c>
      <c r="AH49" s="4057">
        <f>IF(AE49-AB49&lt;0,0,AE49-AB49)</f>
        <v>303.1038351011473</v>
      </c>
      <c r="AI49" s="4058">
        <f t="shared" si="13"/>
        <v>6996.1017431103674</v>
      </c>
      <c r="AJ49" s="4059">
        <f t="shared" si="14"/>
        <v>-231.47380900982444</v>
      </c>
      <c r="AK49" s="4060"/>
      <c r="AT49" s="4061"/>
    </row>
    <row r="50" spans="1:46" s="3330" customFormat="1" ht="13" hidden="1">
      <c r="A50" s="4042">
        <f>'Recalculos PS'!V16</f>
        <v>7275.7947421776635</v>
      </c>
      <c r="B50" s="4043">
        <f>24-SUM('Proy. Mes'!BO16:BQ16)-SUM('Proy. Mes'!CP16:CR16)</f>
        <v>22.247543</v>
      </c>
      <c r="C50" s="4043">
        <f>+'Proy. Mes'!BJ16</f>
        <v>97.132597759803119</v>
      </c>
      <c r="D50" s="4042">
        <f t="shared" si="15"/>
        <v>7040.6753926816027</v>
      </c>
      <c r="E50" s="4044">
        <f>+IF('Recalculos PS'!AD16&gt;$F$41,$F$41,'Recalculos PS'!AD16)</f>
        <v>1812</v>
      </c>
      <c r="F50" s="4044">
        <f t="shared" si="34"/>
        <v>156637.72854772586</v>
      </c>
      <c r="G50" s="4044">
        <f t="shared" si="17"/>
        <v>42241.024113783184</v>
      </c>
      <c r="H50" s="4043">
        <f t="shared" si="18"/>
        <v>156.63772854772586</v>
      </c>
      <c r="I50" s="4045">
        <f t="shared" si="19"/>
        <v>42.241024113783183</v>
      </c>
      <c r="J50" s="4062">
        <f t="shared" si="33"/>
        <v>1</v>
      </c>
      <c r="K50" s="4063">
        <f>'R+P'!B15</f>
        <v>46089.791666666664</v>
      </c>
      <c r="L50" s="4042">
        <f>Real!D16/1000</f>
        <v>727.61627959999998</v>
      </c>
      <c r="M50" s="4042">
        <f>+F13/1000-10</f>
        <v>196.54195271136354</v>
      </c>
      <c r="N50" s="4042">
        <f>+IF((H50+I50)&gt;$Q$41,$Q$41,(H50+I50))*17/24+7/24*180</f>
        <v>193.37244980190226</v>
      </c>
      <c r="O50" s="4064" t="s">
        <v>1865</v>
      </c>
      <c r="P50" s="4049">
        <f t="shared" si="21"/>
        <v>8057.1854084125953</v>
      </c>
      <c r="Q50" s="4050">
        <f t="shared" si="24"/>
        <v>198.87875266150903</v>
      </c>
      <c r="R50" s="4050"/>
      <c r="S50" s="4050"/>
      <c r="T50" s="4050"/>
      <c r="U50" s="4051">
        <f t="shared" si="11"/>
        <v>46089.791666666664</v>
      </c>
      <c r="V50" s="4052">
        <f>'Plan mina ST'!AB50</f>
        <v>6.7903225806451619</v>
      </c>
      <c r="W50" s="4053">
        <f t="shared" si="22"/>
        <v>0.71706989247311836</v>
      </c>
      <c r="X50" s="4054">
        <f>+W50*$W$41</f>
        <v>466.09543010752691</v>
      </c>
      <c r="Y50" s="4052">
        <f>+'Plan mina ST'!AE50</f>
        <v>24</v>
      </c>
      <c r="Z50" s="4053">
        <f>(24-Y50)/24</f>
        <v>0</v>
      </c>
      <c r="AA50" s="4054">
        <f t="shared" si="30"/>
        <v>0</v>
      </c>
      <c r="AB50" s="4055">
        <f>+X50+AA50</f>
        <v>466.09543010752691</v>
      </c>
      <c r="AD50" s="4056">
        <f t="shared" si="31"/>
        <v>7275.7947421776635</v>
      </c>
      <c r="AE50" s="4057">
        <f t="shared" si="32"/>
        <v>772.09380014651879</v>
      </c>
      <c r="AF50" s="4057">
        <f t="shared" si="26"/>
        <v>679.84029328576389</v>
      </c>
      <c r="AG50" s="4057">
        <f t="shared" si="12"/>
        <v>92.253506860754896</v>
      </c>
      <c r="AH50" s="4057">
        <f>IF(AE50-AB50&lt;0,0,AE50-AB50)</f>
        <v>305.99837003899188</v>
      </c>
      <c r="AI50" s="4058">
        <f t="shared" si="13"/>
        <v>7040.6753926816027</v>
      </c>
      <c r="AJ50" s="4059">
        <f t="shared" si="14"/>
        <v>-235.11934949606075</v>
      </c>
      <c r="AK50" s="4060"/>
      <c r="AT50" s="4061"/>
    </row>
    <row r="51" spans="1:46" s="3330" customFormat="1" ht="13" hidden="1">
      <c r="A51" s="4042">
        <f>'Recalculos PS'!V17</f>
        <v>7327.0640666023801</v>
      </c>
      <c r="B51" s="4043">
        <f>24-SUM('Proy. Mes'!BO17:BQ17)-SUM('Proy. Mes'!CP17:CR17)</f>
        <v>20.344033</v>
      </c>
      <c r="C51" s="4043">
        <f>+'Proy. Mes'!BJ17</f>
        <v>97.132597759803119</v>
      </c>
      <c r="D51" s="4042">
        <f t="shared" si="15"/>
        <v>7088.2183556185364</v>
      </c>
      <c r="E51" s="4044">
        <f>+IF('Recalculos PS'!AD17&gt;$F$41,$F$41,'Recalculos PS'!AD17)</f>
        <v>1812</v>
      </c>
      <c r="F51" s="4044">
        <f t="shared" si="34"/>
        <v>144202.94813790923</v>
      </c>
      <c r="G51" s="4044">
        <f t="shared" si="17"/>
        <v>42241.024113783184</v>
      </c>
      <c r="H51" s="4043">
        <f t="shared" si="18"/>
        <v>144.20294813790923</v>
      </c>
      <c r="I51" s="4045">
        <f t="shared" si="19"/>
        <v>42.241024113783183</v>
      </c>
      <c r="J51" s="4062">
        <f t="shared" si="33"/>
        <v>2</v>
      </c>
      <c r="K51" s="4063">
        <f>'R+P'!B16</f>
        <v>46090.791666666664</v>
      </c>
      <c r="L51" s="4042">
        <f t="shared" si="28"/>
        <v>747.77230734830755</v>
      </c>
      <c r="M51" s="4042">
        <v>197</v>
      </c>
      <c r="N51" s="4042">
        <f>+IF((H51+I51)&gt;$Q$41,$Q$41,(H51+I51))-24*0.4</f>
        <v>176.84397225169241</v>
      </c>
      <c r="O51" s="4064"/>
      <c r="P51" s="4049">
        <f t="shared" si="21"/>
        <v>7368.4988438205173</v>
      </c>
      <c r="Q51" s="4050">
        <f t="shared" si="24"/>
        <v>186.4439722516924</v>
      </c>
      <c r="R51" s="4050"/>
      <c r="S51" s="4050"/>
      <c r="T51" s="4050"/>
      <c r="U51" s="4051">
        <f t="shared" si="11"/>
        <v>46090.791666666664</v>
      </c>
      <c r="V51" s="4052">
        <f>'Plan mina ST'!AB51</f>
        <v>6.7903225806451619</v>
      </c>
      <c r="W51" s="4053">
        <f t="shared" si="22"/>
        <v>0.71706989247311836</v>
      </c>
      <c r="X51" s="4054">
        <f t="shared" si="23"/>
        <v>466.09543010752691</v>
      </c>
      <c r="Y51" s="4052">
        <f>+'Plan mina ST'!AE51</f>
        <v>24</v>
      </c>
      <c r="Z51" s="4053">
        <f t="shared" si="29"/>
        <v>0</v>
      </c>
      <c r="AA51" s="4054">
        <f t="shared" si="30"/>
        <v>0</v>
      </c>
      <c r="AB51" s="4055">
        <f t="shared" si="25"/>
        <v>466.09543010752691</v>
      </c>
      <c r="AD51" s="4056">
        <f t="shared" si="31"/>
        <v>7327.0640666023801</v>
      </c>
      <c r="AE51" s="4057">
        <f t="shared" si="32"/>
        <v>775.01611437013025</v>
      </c>
      <c r="AF51" s="4057">
        <f t="shared" si="26"/>
        <v>683.22789463829349</v>
      </c>
      <c r="AG51" s="4057">
        <f t="shared" si="12"/>
        <v>91.788219731836762</v>
      </c>
      <c r="AH51" s="4057">
        <f t="shared" si="27"/>
        <v>308.92068426260334</v>
      </c>
      <c r="AI51" s="4058">
        <f t="shared" si="13"/>
        <v>7088.2183556185364</v>
      </c>
      <c r="AJ51" s="4059">
        <f t="shared" si="14"/>
        <v>-238.84571098384367</v>
      </c>
      <c r="AK51" s="4060"/>
      <c r="AT51" s="4061"/>
    </row>
    <row r="52" spans="1:46" s="3330" customFormat="1" ht="16.5" hidden="1" customHeight="1">
      <c r="A52" s="4065">
        <f>'Recalculos PS'!V18</f>
        <v>6761.3152189303219</v>
      </c>
      <c r="B52" s="4043">
        <f>24-SUM('Proy. Mes'!BO18:BQ18)-SUM('Proy. Mes'!CP18:CR18)</f>
        <v>23.607193000000002</v>
      </c>
      <c r="C52" s="4043">
        <f>+'Proy. Mes'!BJ18</f>
        <v>97.132597759803119</v>
      </c>
      <c r="D52" s="4042">
        <f t="shared" si="15"/>
        <v>6573.1647285260833</v>
      </c>
      <c r="E52" s="4044">
        <f>+IF('Recalculos PS'!AD18&gt;$F$41,$F$41,'Recalculos PS'!AD18)</f>
        <v>1740.2160085735034</v>
      </c>
      <c r="F52" s="4044">
        <f t="shared" si="34"/>
        <v>155173.96836710788</v>
      </c>
      <c r="G52" s="4044">
        <f t="shared" ref="G52:G59" si="35">+IF(I52*1000&gt;$E$41,$E$41,I52*1000)</f>
        <v>40567.608378225639</v>
      </c>
      <c r="H52" s="4043">
        <f t="shared" ref="H52:H59" si="36">+F52/1000</f>
        <v>155.17396836710788</v>
      </c>
      <c r="I52" s="4045">
        <f t="shared" ref="I52:I59" si="37">+IF(C52*$E52*24/100000&gt;$E$41, $E$41,C52*$E52*24/100000)</f>
        <v>40.567608378225643</v>
      </c>
      <c r="J52" s="4062">
        <f>WEEKDAY(K52,1)</f>
        <v>3</v>
      </c>
      <c r="K52" s="4063">
        <f>'R+P'!B17</f>
        <v>46091.791666666664</v>
      </c>
      <c r="L52" s="4042">
        <v>640</v>
      </c>
      <c r="M52" s="4042">
        <f t="shared" ref="M52:M61" si="38">+F15/1000</f>
        <v>84.000000000096634</v>
      </c>
      <c r="N52" s="4042">
        <f>+IF((H52+I52)&gt;$Q$41,$Q$41,(H52+I52))-24*0.4-11*0.5</f>
        <v>180.64157674533354</v>
      </c>
      <c r="O52" s="4064" t="s">
        <v>1866</v>
      </c>
      <c r="P52" s="4049">
        <f t="shared" si="21"/>
        <v>7526.7323643888976</v>
      </c>
      <c r="Q52" s="4050">
        <f t="shared" si="24"/>
        <v>195.74157674533353</v>
      </c>
      <c r="R52" s="4050"/>
      <c r="S52" s="4050"/>
      <c r="T52" s="4050"/>
      <c r="U52" s="4051">
        <f t="shared" si="11"/>
        <v>46091.791666666664</v>
      </c>
      <c r="V52" s="4052">
        <f>'Plan mina ST'!AB52</f>
        <v>6.7903225806451619</v>
      </c>
      <c r="W52" s="4053">
        <f t="shared" si="22"/>
        <v>0.71706989247311836</v>
      </c>
      <c r="X52" s="4054">
        <f t="shared" si="23"/>
        <v>466.09543010752691</v>
      </c>
      <c r="Y52" s="4052">
        <f>+'Plan mina ST'!AE52</f>
        <v>24</v>
      </c>
      <c r="Z52" s="4053">
        <f t="shared" si="29"/>
        <v>0</v>
      </c>
      <c r="AA52" s="4054">
        <f t="shared" si="30"/>
        <v>0</v>
      </c>
      <c r="AB52" s="4055">
        <f t="shared" si="25"/>
        <v>466.09543010752691</v>
      </c>
      <c r="AD52" s="4056">
        <f t="shared" si="31"/>
        <v>6761.3152189303219</v>
      </c>
      <c r="AE52" s="4057">
        <f t="shared" ref="AE52:AE69" si="39" xml:space="preserve"> (0.00000000612366*AD52^3 - 0.0001641321*AD52^2 + 1.47442017999*AD52 - 3625.3824079)</f>
        <v>733.07483442641615</v>
      </c>
      <c r="AF52" s="4057">
        <f t="shared" si="26"/>
        <v>637.14133047501628</v>
      </c>
      <c r="AG52" s="4057">
        <f t="shared" si="12"/>
        <v>95.933503951399871</v>
      </c>
      <c r="AH52" s="4057">
        <f t="shared" si="27"/>
        <v>266.97940431888924</v>
      </c>
      <c r="AI52" s="4058">
        <f t="shared" si="13"/>
        <v>6573.1647285260833</v>
      </c>
      <c r="AJ52" s="4059">
        <f t="shared" si="14"/>
        <v>-188.15049040423855</v>
      </c>
      <c r="AK52" s="4060"/>
      <c r="AT52" s="4061"/>
    </row>
    <row r="53" spans="1:46" s="3330" customFormat="1" ht="13" hidden="1">
      <c r="A53" s="4065">
        <f>'Recalculos PS'!V19</f>
        <v>6932.1158654450564</v>
      </c>
      <c r="B53" s="4043">
        <f>24-SUM('Proy. Mes'!BO19:BQ19)-SUM('Proy. Mes'!CP19:CR19)</f>
        <v>22.843513000000002</v>
      </c>
      <c r="C53" s="4043">
        <f>+'Proy. Mes'!BJ19</f>
        <v>97.132597759803119</v>
      </c>
      <c r="D53" s="4042">
        <f t="shared" si="15"/>
        <v>6861.6586628313644</v>
      </c>
      <c r="E53" s="4044">
        <f>+IF('Recalculos PS'!AD19&gt;$F$41,$F$41,'Recalculos PS'!AD19)</f>
        <v>1784.1763934565301</v>
      </c>
      <c r="F53" s="4044">
        <f t="shared" si="34"/>
        <v>156744.3888659509</v>
      </c>
      <c r="G53" s="4044">
        <f t="shared" si="35"/>
        <v>41592.405109955849</v>
      </c>
      <c r="H53" s="4043">
        <f t="shared" si="36"/>
        <v>156.7443888659509</v>
      </c>
      <c r="I53" s="4045">
        <f t="shared" si="37"/>
        <v>41.592405109955848</v>
      </c>
      <c r="J53" s="4062">
        <f t="shared" si="33"/>
        <v>4</v>
      </c>
      <c r="K53" s="4063">
        <f>'R+P'!B18</f>
        <v>46092.791666666664</v>
      </c>
      <c r="L53" s="4042">
        <v>510</v>
      </c>
      <c r="M53" s="4042">
        <v>80</v>
      </c>
      <c r="N53" s="4042">
        <f>+IF((H53+I53)&gt;$Q$41,$Q$41,(H53+I53))-2*0.7-24*0.4-13*0.5</f>
        <v>180.83679397590674</v>
      </c>
      <c r="O53" s="4064" t="s">
        <v>1856</v>
      </c>
      <c r="P53" s="4049">
        <f t="shared" si="21"/>
        <v>7534.866415662781</v>
      </c>
      <c r="Q53" s="4050">
        <f t="shared" si="24"/>
        <v>198.33679397590674</v>
      </c>
      <c r="R53" s="4050"/>
      <c r="S53" s="4050"/>
      <c r="T53" s="4050"/>
      <c r="U53" s="4051">
        <f t="shared" si="11"/>
        <v>46092.791666666664</v>
      </c>
      <c r="V53" s="4052">
        <f>'Plan mina ST'!AB53</f>
        <v>6.7903225806451619</v>
      </c>
      <c r="W53" s="4053">
        <f t="shared" si="22"/>
        <v>0.71706989247311836</v>
      </c>
      <c r="X53" s="4054">
        <f>+W53*$W$41</f>
        <v>466.09543010752691</v>
      </c>
      <c r="Y53" s="4052">
        <f>+'Plan mina ST'!AE53</f>
        <v>18.629032258064516</v>
      </c>
      <c r="Z53" s="4053">
        <f t="shared" si="29"/>
        <v>0.22379032258064516</v>
      </c>
      <c r="AA53" s="4054">
        <f>+Z53*$Z$41</f>
        <v>123.08467741935483</v>
      </c>
      <c r="AB53" s="4055">
        <f t="shared" si="25"/>
        <v>589.18010752688178</v>
      </c>
      <c r="AD53" s="4056">
        <f t="shared" si="31"/>
        <v>6932.1158654450564</v>
      </c>
      <c r="AE53" s="4057">
        <f t="shared" si="39"/>
        <v>748.12563504245236</v>
      </c>
      <c r="AF53" s="4057">
        <f t="shared" si="26"/>
        <v>653.23210990296548</v>
      </c>
      <c r="AG53" s="4057">
        <f t="shared" si="12"/>
        <v>94.893525139486883</v>
      </c>
      <c r="AH53" s="4057">
        <f t="shared" si="27"/>
        <v>158.94552751557057</v>
      </c>
      <c r="AI53" s="4058">
        <f t="shared" si="13"/>
        <v>6861.6586628313644</v>
      </c>
      <c r="AJ53" s="4059">
        <f t="shared" si="14"/>
        <v>-70.457202613692061</v>
      </c>
      <c r="AK53" s="4060"/>
      <c r="AT53" s="4061"/>
    </row>
    <row r="54" spans="1:46" s="3330" customFormat="1" ht="13" hidden="1">
      <c r="A54" s="4065">
        <f>'Recalculos PS'!V20</f>
        <v>7256.071568737435</v>
      </c>
      <c r="B54" s="4043">
        <f>24-SUM('Proy. Mes'!BO20:BQ20)-SUM('Proy. Mes'!CP20:CR20)</f>
        <v>23.607193000000002</v>
      </c>
      <c r="C54" s="4043">
        <f>+'Proy. Mes'!BJ20</f>
        <v>97.132597759803119</v>
      </c>
      <c r="D54" s="4042">
        <f>+IF(AI54&gt;A54,A54,AI54)</f>
        <v>7256.071568737435</v>
      </c>
      <c r="E54" s="4044">
        <f>+IF('Recalculos PS'!AD20&gt;$F$41,$F$41,'Recalculos PS'!AD20)</f>
        <v>1812</v>
      </c>
      <c r="F54" s="4044">
        <f t="shared" si="34"/>
        <v>171295.48194499742</v>
      </c>
      <c r="G54" s="4044">
        <f t="shared" si="35"/>
        <v>42241.024113783184</v>
      </c>
      <c r="H54" s="4043">
        <f t="shared" si="36"/>
        <v>171.29548194499742</v>
      </c>
      <c r="I54" s="4045">
        <f t="shared" si="37"/>
        <v>42.241024113783183</v>
      </c>
      <c r="J54" s="4062">
        <f t="shared" si="33"/>
        <v>5</v>
      </c>
      <c r="K54" s="4063">
        <f>'R+P'!B19</f>
        <v>46093.791666666664</v>
      </c>
      <c r="L54" s="4042">
        <f t="shared" si="28"/>
        <v>526.0495083596528</v>
      </c>
      <c r="M54" s="4042">
        <f t="shared" si="38"/>
        <v>204.04950835965283</v>
      </c>
      <c r="N54" s="4042">
        <v>188</v>
      </c>
      <c r="O54" s="4064" t="s">
        <v>1821</v>
      </c>
      <c r="P54" s="4049">
        <f t="shared" si="21"/>
        <v>7833.333333333333</v>
      </c>
      <c r="Q54" s="4050">
        <f t="shared" si="24"/>
        <v>213.53650605878059</v>
      </c>
      <c r="R54" s="4050"/>
      <c r="S54" s="4050"/>
      <c r="T54" s="4050"/>
      <c r="U54" s="4051">
        <f t="shared" si="11"/>
        <v>46093.791666666664</v>
      </c>
      <c r="V54" s="4052">
        <f>'Plan mina ST'!AB54</f>
        <v>8.8903225806451616</v>
      </c>
      <c r="W54" s="4053">
        <f t="shared" si="22"/>
        <v>0.62956989247311823</v>
      </c>
      <c r="X54" s="4054">
        <f t="shared" si="23"/>
        <v>409.22043010752685</v>
      </c>
      <c r="Y54" s="4052">
        <f>+'Plan mina ST'!AE54</f>
        <v>6.629032258064516</v>
      </c>
      <c r="Z54" s="4053">
        <f t="shared" si="29"/>
        <v>0.72379032258064513</v>
      </c>
      <c r="AA54" s="4054">
        <f>+Z54*$Z$41</f>
        <v>398.08467741935482</v>
      </c>
      <c r="AB54" s="4055">
        <f t="shared" si="25"/>
        <v>807.30510752688167</v>
      </c>
      <c r="AD54" s="4056">
        <f t="shared" si="31"/>
        <v>7256.071568737435</v>
      </c>
      <c r="AE54" s="4057">
        <f t="shared" si="39"/>
        <v>770.92720200337908</v>
      </c>
      <c r="AF54" s="4057">
        <f t="shared" si="26"/>
        <v>678.49998857527817</v>
      </c>
      <c r="AG54" s="4057">
        <f t="shared" si="12"/>
        <v>92.427213428100913</v>
      </c>
      <c r="AH54" s="4057">
        <f t="shared" si="27"/>
        <v>0</v>
      </c>
      <c r="AI54" s="4058">
        <f t="shared" si="13"/>
        <v>7357.7415035083459</v>
      </c>
      <c r="AJ54" s="4059">
        <f t="shared" si="14"/>
        <v>101.66993477091091</v>
      </c>
      <c r="AK54" s="4060"/>
      <c r="AT54" s="4061"/>
    </row>
    <row r="55" spans="1:46" s="3330" customFormat="1" ht="13" hidden="1">
      <c r="A55" s="4065">
        <f>'Recalculos PS'!V21</f>
        <v>6744.2265243423017</v>
      </c>
      <c r="B55" s="4043">
        <f>24-SUM('Proy. Mes'!BO21:BQ21)-SUM('Proy. Mes'!CP21:CR21)</f>
        <v>23.607193000000002</v>
      </c>
      <c r="C55" s="4242">
        <f>+'Proy. Mes'!BJ21</f>
        <v>97.132597759803119</v>
      </c>
      <c r="D55" s="4042">
        <f>+IF(AI55&gt;A55,A55,AI55)</f>
        <v>6557.975083991766</v>
      </c>
      <c r="E55" s="4044">
        <f>+IF('Recalculos PS'!AD21&gt;$F$41,$F$41,'Recalculos PS'!AD21)</f>
        <v>1735.8177489265584</v>
      </c>
      <c r="F55" s="4044">
        <f t="shared" si="34"/>
        <v>154815.38349698484</v>
      </c>
      <c r="G55" s="4044">
        <f t="shared" si="35"/>
        <v>40465.076925794478</v>
      </c>
      <c r="H55" s="4043">
        <f t="shared" si="36"/>
        <v>154.81538349698485</v>
      </c>
      <c r="I55" s="4045">
        <f t="shared" si="37"/>
        <v>40.465076925794477</v>
      </c>
      <c r="J55" s="4062">
        <f t="shared" si="33"/>
        <v>6</v>
      </c>
      <c r="K55" s="4063">
        <f>'R+P'!B20</f>
        <v>46094.791666666664</v>
      </c>
      <c r="L55" s="4042">
        <f>+L54+M55-N55</f>
        <v>565.52130659859722</v>
      </c>
      <c r="M55" s="4042">
        <f>+F18/1000</f>
        <v>225.15225866172369</v>
      </c>
      <c r="N55" s="4042">
        <f>+IF((H55+I55)&gt;$Q$41,$Q$41,(H55+I55))-24*0.4</f>
        <v>185.68046042277933</v>
      </c>
      <c r="O55" s="4064"/>
      <c r="P55" s="4049">
        <f t="shared" si="21"/>
        <v>7736.6858509491394</v>
      </c>
      <c r="Q55" s="4050">
        <f t="shared" si="24"/>
        <v>195.28046042277933</v>
      </c>
      <c r="R55" s="4050"/>
      <c r="S55" s="4050"/>
      <c r="T55" s="4050"/>
      <c r="U55" s="4051">
        <f t="shared" si="11"/>
        <v>46094.791666666664</v>
      </c>
      <c r="V55" s="4052">
        <v>6.7903225806451619</v>
      </c>
      <c r="W55" s="4053">
        <f t="shared" si="22"/>
        <v>0.71706989247311836</v>
      </c>
      <c r="X55" s="4054">
        <f>+W55*$W$41</f>
        <v>466.09543010752691</v>
      </c>
      <c r="Y55" s="4052">
        <v>24</v>
      </c>
      <c r="Z55" s="4053">
        <f t="shared" si="29"/>
        <v>0</v>
      </c>
      <c r="AA55" s="4054">
        <f t="shared" si="30"/>
        <v>0</v>
      </c>
      <c r="AB55" s="4055">
        <f t="shared" si="25"/>
        <v>466.09543010752691</v>
      </c>
      <c r="AD55" s="4056">
        <f t="shared" si="31"/>
        <v>6744.2265243423017</v>
      </c>
      <c r="AE55" s="4057">
        <f t="shared" si="39"/>
        <v>731.4438413041139</v>
      </c>
      <c r="AF55" s="4057">
        <f t="shared" si="26"/>
        <v>635.41492133528618</v>
      </c>
      <c r="AG55" s="4057">
        <f t="shared" si="12"/>
        <v>96.028919968827722</v>
      </c>
      <c r="AH55" s="4057">
        <f t="shared" si="27"/>
        <v>265.34841119658699</v>
      </c>
      <c r="AI55" s="4058">
        <f t="shared" si="13"/>
        <v>6557.975083991766</v>
      </c>
      <c r="AJ55" s="4059">
        <f t="shared" si="14"/>
        <v>-186.25144035053563</v>
      </c>
      <c r="AK55" s="4060"/>
      <c r="AT55" s="4061"/>
    </row>
    <row r="56" spans="1:46" s="3330" customFormat="1" ht="13" hidden="1">
      <c r="A56" s="4065">
        <f>'Recalculos PS'!V22</f>
        <v>6848.8172240704025</v>
      </c>
      <c r="B56" s="4043">
        <f>24-SUM('Proy. Mes'!BO22:BQ22)-SUM('Proy. Mes'!CP22:CR22)</f>
        <v>23.607193000000002</v>
      </c>
      <c r="C56" s="4242">
        <f>+'Proy. Mes'!BJ22</f>
        <v>97.132597759803119</v>
      </c>
      <c r="D56" s="4042">
        <f t="shared" ref="D56:D73" si="40">+IF(AI56&gt;A56,A56,AI56)</f>
        <v>6651.3138284562465</v>
      </c>
      <c r="E56" s="4044">
        <f>+IF('Recalculos PS'!AD22&gt;$F$41,$F$41,'Recalculos PS'!AD22)</f>
        <v>1762.7371283847372</v>
      </c>
      <c r="F56" s="4044">
        <f t="shared" si="34"/>
        <v>157018.84925193552</v>
      </c>
      <c r="G56" s="4044">
        <f t="shared" si="35"/>
        <v>41092.616747439628</v>
      </c>
      <c r="H56" s="4043">
        <f t="shared" si="36"/>
        <v>157.01884925193551</v>
      </c>
      <c r="I56" s="4045">
        <f t="shared" si="37"/>
        <v>41.092616747439628</v>
      </c>
      <c r="J56" s="4062">
        <f t="shared" si="33"/>
        <v>7</v>
      </c>
      <c r="K56" s="4063">
        <f>'R+P'!B21</f>
        <v>46095.791666666664</v>
      </c>
      <c r="L56" s="4042">
        <f t="shared" si="28"/>
        <v>551.80984059890443</v>
      </c>
      <c r="M56" s="4042">
        <f t="shared" si="38"/>
        <v>175.99999999968239</v>
      </c>
      <c r="N56" s="4243">
        <f>+IF((H56+I56)&gt;$Q$41,$Q$41,(H56+I56))-24*0.35</f>
        <v>189.71146599937512</v>
      </c>
      <c r="O56" s="4064"/>
      <c r="P56" s="4049">
        <f t="shared" si="21"/>
        <v>7904.64441664063</v>
      </c>
      <c r="Q56" s="4050">
        <f t="shared" si="24"/>
        <v>198.11146599937516</v>
      </c>
      <c r="R56" s="4050"/>
      <c r="S56" s="4050"/>
      <c r="T56" s="4050"/>
      <c r="U56" s="4051">
        <f t="shared" si="11"/>
        <v>46095.791666666664</v>
      </c>
      <c r="V56" s="4052">
        <v>6.7903225806451619</v>
      </c>
      <c r="W56" s="4053">
        <f t="shared" si="22"/>
        <v>0.71706989247311836</v>
      </c>
      <c r="X56" s="4054">
        <f t="shared" si="23"/>
        <v>466.09543010752691</v>
      </c>
      <c r="Y56" s="4052">
        <v>24</v>
      </c>
      <c r="Z56" s="4053">
        <f t="shared" si="29"/>
        <v>0</v>
      </c>
      <c r="AA56" s="4054">
        <f t="shared" si="30"/>
        <v>0</v>
      </c>
      <c r="AB56" s="4055">
        <f t="shared" si="25"/>
        <v>466.09543010752691</v>
      </c>
      <c r="AD56" s="4056">
        <f t="shared" si="31"/>
        <v>6848.8172240704025</v>
      </c>
      <c r="AE56" s="4057">
        <f t="shared" si="39"/>
        <v>741.06487360333858</v>
      </c>
      <c r="AF56" s="4057">
        <f t="shared" si="26"/>
        <v>645.64397157494159</v>
      </c>
      <c r="AG56" s="4057">
        <f t="shared" si="12"/>
        <v>95.420902028396995</v>
      </c>
      <c r="AH56" s="4057">
        <f t="shared" si="27"/>
        <v>274.96944349581167</v>
      </c>
      <c r="AI56" s="4058">
        <f t="shared" si="13"/>
        <v>6651.3138284562465</v>
      </c>
      <c r="AJ56" s="4059">
        <f t="shared" si="14"/>
        <v>-197.50339561415603</v>
      </c>
      <c r="AK56" s="4244"/>
      <c r="AT56" s="4061"/>
    </row>
    <row r="57" spans="1:46" s="3330" customFormat="1" ht="13" hidden="1">
      <c r="A57" s="4065">
        <f>'Recalculos PS'!V23</f>
        <v>6960.2947025422891</v>
      </c>
      <c r="B57" s="4245">
        <f>24-SUM('Proy. Mes'!BO23:BQ23)-SUM('Proy. Mes'!CP23:CR23)</f>
        <v>23.607193000000002</v>
      </c>
      <c r="C57" s="4246">
        <f>+'Proy. Mes'!BJ23</f>
        <v>97.132597759803119</v>
      </c>
      <c r="D57" s="4042">
        <f t="shared" si="40"/>
        <v>6953.4055274460216</v>
      </c>
      <c r="E57" s="4247">
        <f>+IF('Recalculos PS'!AD23&gt;$F$41,$F$41,'Recalculos PS'!AD23)</f>
        <v>1791.4290154437872</v>
      </c>
      <c r="F57" s="4247">
        <f t="shared" si="34"/>
        <v>164150.38629368503</v>
      </c>
      <c r="G57" s="4247">
        <f t="shared" si="35"/>
        <v>41761.476953361962</v>
      </c>
      <c r="H57" s="4245">
        <f t="shared" si="36"/>
        <v>164.15038629368505</v>
      </c>
      <c r="I57" s="4248">
        <f t="shared" si="37"/>
        <v>41.761476953361964</v>
      </c>
      <c r="J57" s="4249">
        <f t="shared" si="33"/>
        <v>1</v>
      </c>
      <c r="K57" s="4047">
        <f>'R+P'!B22</f>
        <v>46096.791666666664</v>
      </c>
      <c r="L57" s="4243">
        <f>434*0.9772</f>
        <v>424.10479999999995</v>
      </c>
      <c r="M57" s="4243">
        <v>200</v>
      </c>
      <c r="N57" s="4243">
        <v>198</v>
      </c>
      <c r="O57" s="4250" t="s">
        <v>1870</v>
      </c>
      <c r="P57" s="4251">
        <f t="shared" si="21"/>
        <v>8250</v>
      </c>
      <c r="Q57" s="4252">
        <f t="shared" si="24"/>
        <v>205.91186324704699</v>
      </c>
      <c r="R57" s="4252"/>
      <c r="S57" s="4252"/>
      <c r="T57" s="4252"/>
      <c r="U57" s="4253">
        <f t="shared" si="11"/>
        <v>46096.791666666664</v>
      </c>
      <c r="V57" s="4052">
        <v>6.7903225806451619</v>
      </c>
      <c r="W57" s="4254">
        <f t="shared" si="22"/>
        <v>0.71706989247311836</v>
      </c>
      <c r="X57" s="4255">
        <f t="shared" si="23"/>
        <v>466.09543010752691</v>
      </c>
      <c r="Y57" s="4052">
        <v>16</v>
      </c>
      <c r="Z57" s="4254">
        <f t="shared" si="29"/>
        <v>0.33333333333333331</v>
      </c>
      <c r="AA57" s="4255">
        <f t="shared" si="30"/>
        <v>183.33333333333331</v>
      </c>
      <c r="AB57" s="4256">
        <f t="shared" si="25"/>
        <v>649.42876344086017</v>
      </c>
      <c r="AD57" s="4056">
        <f t="shared" si="31"/>
        <v>6960.2947025422891</v>
      </c>
      <c r="AE57" s="4057">
        <f t="shared" si="39"/>
        <v>750.3975930971551</v>
      </c>
      <c r="AF57" s="4057">
        <f t="shared" si="26"/>
        <v>655.69164989201226</v>
      </c>
      <c r="AG57" s="4057">
        <f t="shared" si="12"/>
        <v>94.70594320514283</v>
      </c>
      <c r="AH57" s="4057">
        <f t="shared" si="27"/>
        <v>100.96882965629493</v>
      </c>
      <c r="AI57" s="4058">
        <f t="shared" si="13"/>
        <v>6953.4055274460216</v>
      </c>
      <c r="AJ57" s="4257">
        <f t="shared" si="14"/>
        <v>-6.889175096267536</v>
      </c>
      <c r="AK57" s="4244"/>
      <c r="AT57" s="4061"/>
    </row>
    <row r="58" spans="1:46" s="3687" customFormat="1" ht="13">
      <c r="A58" s="4071">
        <f>'Recalculos PS'!V24</f>
        <v>6954.9616566932718</v>
      </c>
      <c r="B58" s="4072">
        <f>24-SUM('Proy. Mes'!BO24:BQ24)-SUM('Proy. Mes'!CP24:CR24)</f>
        <v>22.843513000000002</v>
      </c>
      <c r="C58" s="4224">
        <f>+'Proy. Mes'!BJ24</f>
        <v>97.132597759803119</v>
      </c>
      <c r="D58" s="4073">
        <f t="shared" si="40"/>
        <v>6954.9616566932718</v>
      </c>
      <c r="E58" s="4074">
        <f>+IF('Recalculos PS'!AD24&gt;$F$41,$F$41,'Recalculos PS'!AD24)</f>
        <v>1790.0564050180917</v>
      </c>
      <c r="F58" s="4074">
        <f t="shared" si="34"/>
        <v>158875.75701917431</v>
      </c>
      <c r="G58" s="4074">
        <f t="shared" si="35"/>
        <v>41729.478901435563</v>
      </c>
      <c r="H58" s="4072">
        <f t="shared" si="36"/>
        <v>158.8757570191743</v>
      </c>
      <c r="I58" s="4075">
        <f t="shared" si="37"/>
        <v>41.729478901435563</v>
      </c>
      <c r="J58" s="4076">
        <f t="shared" si="33"/>
        <v>2</v>
      </c>
      <c r="K58" s="4077">
        <f>'R+P'!B23</f>
        <v>46097.791666666664</v>
      </c>
      <c r="L58" s="4066">
        <f>463*0.9772</f>
        <v>452.4436</v>
      </c>
      <c r="M58" s="4073">
        <v>235</v>
      </c>
      <c r="N58" s="4090">
        <v>202</v>
      </c>
      <c r="O58" s="4078" t="s">
        <v>1868</v>
      </c>
      <c r="P58" s="4079">
        <f t="shared" si="21"/>
        <v>8416.6666666666661</v>
      </c>
      <c r="Q58" s="4080">
        <f t="shared" si="24"/>
        <v>200.60523592060989</v>
      </c>
      <c r="R58" s="4080"/>
      <c r="S58" s="4080"/>
      <c r="T58" s="4080"/>
      <c r="U58" s="4081">
        <f t="shared" si="11"/>
        <v>46097.791666666664</v>
      </c>
      <c r="V58" s="4082">
        <f>'Plan mina ST'!AB58</f>
        <v>6.7903225806451619</v>
      </c>
      <c r="W58" s="4083">
        <f t="shared" si="22"/>
        <v>0.71706989247311836</v>
      </c>
      <c r="X58" s="4084">
        <f t="shared" si="23"/>
        <v>466.09543010752691</v>
      </c>
      <c r="Y58" s="4082">
        <f>+'Plan mina ST'!AE58</f>
        <v>6.629032258064516</v>
      </c>
      <c r="Z58" s="4083">
        <f t="shared" si="29"/>
        <v>0.72379032258064513</v>
      </c>
      <c r="AA58" s="4084">
        <f t="shared" si="30"/>
        <v>398.08467741935482</v>
      </c>
      <c r="AB58" s="4085">
        <f t="shared" si="25"/>
        <v>864.18010752688178</v>
      </c>
      <c r="AD58" s="4086">
        <f t="shared" si="31"/>
        <v>6954.9616566932718</v>
      </c>
      <c r="AE58" s="4087">
        <f t="shared" si="39"/>
        <v>749.97205223980063</v>
      </c>
      <c r="AF58" s="4087">
        <f t="shared" si="26"/>
        <v>655.23024197441055</v>
      </c>
      <c r="AG58" s="4087">
        <f t="shared" si="12"/>
        <v>94.741810265390086</v>
      </c>
      <c r="AH58" s="4087">
        <f t="shared" si="27"/>
        <v>0</v>
      </c>
      <c r="AI58" s="4036">
        <f t="shared" si="13"/>
        <v>7059.1776479852006</v>
      </c>
      <c r="AJ58" s="4088">
        <f t="shared" si="14"/>
        <v>104.21599129192873</v>
      </c>
      <c r="AK58" s="4091"/>
      <c r="AT58" s="4089"/>
    </row>
    <row r="59" spans="1:46" s="3687" customFormat="1" ht="13">
      <c r="A59" s="4071">
        <f>'Recalculos PS'!V25</f>
        <v>7017.3265706743068</v>
      </c>
      <c r="B59" s="4072">
        <f>24-SUM('Proy. Mes'!BO25:BQ25)-SUM('Proy. Mes'!CP25:CR25)</f>
        <v>22.519473000000001</v>
      </c>
      <c r="C59" s="4224">
        <f>+'Proy. Mes'!BJ25</f>
        <v>97.132597759803119</v>
      </c>
      <c r="D59" s="4073">
        <f t="shared" si="40"/>
        <v>7017.3265706743068</v>
      </c>
      <c r="E59" s="4074">
        <f>+IF('Recalculos PS'!AD25&gt;$F$41,$F$41,'Recalculos PS'!AD25)</f>
        <v>1806.10778232694</v>
      </c>
      <c r="F59" s="4074">
        <f t="shared" si="34"/>
        <v>158026.49624048267</v>
      </c>
      <c r="G59" s="4074">
        <f t="shared" si="35"/>
        <v>42103.665775587047</v>
      </c>
      <c r="H59" s="4072">
        <f t="shared" si="36"/>
        <v>158.02649624048266</v>
      </c>
      <c r="I59" s="4075">
        <f t="shared" si="37"/>
        <v>42.103665775587046</v>
      </c>
      <c r="J59" s="4076">
        <f t="shared" si="33"/>
        <v>3</v>
      </c>
      <c r="K59" s="4077">
        <f>'R+P'!B24</f>
        <v>46098.791666666664</v>
      </c>
      <c r="L59" s="4410">
        <v>437</v>
      </c>
      <c r="M59" s="4066">
        <v>185</v>
      </c>
      <c r="N59" s="4261">
        <v>207</v>
      </c>
      <c r="O59" s="4078" t="s">
        <v>1869</v>
      </c>
      <c r="P59" s="4079">
        <f t="shared" si="21"/>
        <v>8625</v>
      </c>
      <c r="Q59" s="4080">
        <f t="shared" si="24"/>
        <v>200.13016201606973</v>
      </c>
      <c r="R59" s="4080"/>
      <c r="S59" s="4080"/>
      <c r="T59" s="4080"/>
      <c r="U59" s="4081">
        <f t="shared" si="11"/>
        <v>46098.791666666664</v>
      </c>
      <c r="V59" s="4082">
        <f>'Plan mina ST'!AB59</f>
        <v>6.7903225806451619</v>
      </c>
      <c r="W59" s="4083">
        <f t="shared" si="22"/>
        <v>0.71706989247311836</v>
      </c>
      <c r="X59" s="4084">
        <f t="shared" si="23"/>
        <v>466.09543010752691</v>
      </c>
      <c r="Y59" s="4082">
        <f>+'Plan mina ST'!AE59</f>
        <v>6.629032258064516</v>
      </c>
      <c r="Z59" s="4083">
        <f t="shared" si="29"/>
        <v>0.72379032258064513</v>
      </c>
      <c r="AA59" s="4084">
        <f t="shared" si="30"/>
        <v>398.08467741935482</v>
      </c>
      <c r="AB59" s="4085">
        <f t="shared" si="25"/>
        <v>864.18010752688178</v>
      </c>
      <c r="AD59" s="4086">
        <f t="shared" si="31"/>
        <v>7017.3265706743068</v>
      </c>
      <c r="AE59" s="4087">
        <f t="shared" si="39"/>
        <v>754.82048935386729</v>
      </c>
      <c r="AF59" s="4087">
        <f t="shared" si="26"/>
        <v>660.50902221242768</v>
      </c>
      <c r="AG59" s="4087">
        <f t="shared" si="12"/>
        <v>94.311467141439607</v>
      </c>
      <c r="AH59" s="4087">
        <f t="shared" si="27"/>
        <v>0</v>
      </c>
      <c r="AI59" s="4036">
        <f t="shared" si="13"/>
        <v>7121.0691845298907</v>
      </c>
      <c r="AJ59" s="4088">
        <f t="shared" si="14"/>
        <v>103.74261385558384</v>
      </c>
      <c r="AK59" s="4091"/>
      <c r="AT59" s="4089"/>
    </row>
    <row r="60" spans="1:46" s="3687" customFormat="1" ht="13">
      <c r="A60" s="4071">
        <f>'Recalculos PS'!V26</f>
        <v>6965.7472673958127</v>
      </c>
      <c r="B60" s="4072">
        <f>24-SUM('Proy. Mes'!BO26:BQ26)-SUM('Proy. Mes'!CP26:CR26)</f>
        <v>23.607193000000002</v>
      </c>
      <c r="C60" s="4224">
        <f>+'Proy. Mes'!BJ26</f>
        <v>97.132597759803119</v>
      </c>
      <c r="D60" s="4073">
        <f t="shared" si="40"/>
        <v>6965.7472673958127</v>
      </c>
      <c r="E60" s="4074">
        <f>+IF('Recalculos PS'!AD26&gt;$F$41,$F$41,'Recalculos PS'!AD26)</f>
        <v>1792.8323874710698</v>
      </c>
      <c r="F60" s="4074">
        <f t="shared" si="34"/>
        <v>164441.74013063556</v>
      </c>
      <c r="G60" s="4074">
        <f t="shared" ref="G60:G70" si="41">+IF(I60*1000&gt;$E$41,$E$41,I60*1000)</f>
        <v>41794.192114313977</v>
      </c>
      <c r="H60" s="4072">
        <f t="shared" ref="H60:H70" si="42">+F60/1000</f>
        <v>164.44174013063557</v>
      </c>
      <c r="I60" s="4075">
        <f t="shared" ref="I60:I70" si="43">+IF(C60*$E60*24/100000&gt;$E$41, $E$41,C60*$E60*24/100000)</f>
        <v>41.794192114313979</v>
      </c>
      <c r="J60" s="4076">
        <f t="shared" si="33"/>
        <v>4</v>
      </c>
      <c r="K60" s="4077">
        <f>'R+P'!B25</f>
        <v>46099.791666666664</v>
      </c>
      <c r="L60" s="4073">
        <f t="shared" si="28"/>
        <v>482.6</v>
      </c>
      <c r="M60" s="4410">
        <v>230</v>
      </c>
      <c r="N60" s="4411">
        <f>189-4600/1000</f>
        <v>184.4</v>
      </c>
      <c r="O60" s="4078"/>
      <c r="P60" s="4079">
        <f t="shared" si="21"/>
        <v>7683.3333333333339</v>
      </c>
      <c r="Q60" s="4080">
        <f t="shared" si="24"/>
        <v>206.23593224494954</v>
      </c>
      <c r="R60" s="4080"/>
      <c r="S60" s="4080"/>
      <c r="T60" s="4080"/>
      <c r="U60" s="4081">
        <f t="shared" si="11"/>
        <v>46099.791666666664</v>
      </c>
      <c r="V60" s="4082">
        <f>'Plan mina ST'!AB60</f>
        <v>6.7903225806451619</v>
      </c>
      <c r="W60" s="4083">
        <f t="shared" si="22"/>
        <v>0.71706989247311836</v>
      </c>
      <c r="X60" s="4084">
        <f t="shared" si="23"/>
        <v>466.09543010752691</v>
      </c>
      <c r="Y60" s="4082">
        <f>+'Plan mina ST'!AE60</f>
        <v>6.629032258064516</v>
      </c>
      <c r="Z60" s="4083">
        <f t="shared" si="29"/>
        <v>0.72379032258064513</v>
      </c>
      <c r="AA60" s="4084">
        <f t="shared" si="30"/>
        <v>398.08467741935482</v>
      </c>
      <c r="AB60" s="4085">
        <f t="shared" si="25"/>
        <v>864.18010752688178</v>
      </c>
      <c r="AD60" s="4086">
        <f t="shared" si="31"/>
        <v>6965.7472673958127</v>
      </c>
      <c r="AE60" s="4087">
        <f t="shared" si="39"/>
        <v>750.83053810533465</v>
      </c>
      <c r="AF60" s="4087">
        <f t="shared" si="26"/>
        <v>656.1614438776719</v>
      </c>
      <c r="AG60" s="4087">
        <f t="shared" si="12"/>
        <v>94.669094227662754</v>
      </c>
      <c r="AH60" s="4087">
        <f t="shared" si="27"/>
        <v>0</v>
      </c>
      <c r="AI60" s="4036">
        <f t="shared" si="13"/>
        <v>7069.883271046242</v>
      </c>
      <c r="AJ60" s="4088">
        <f t="shared" si="14"/>
        <v>104.1360036504293</v>
      </c>
      <c r="AK60" s="4091"/>
      <c r="AT60" s="4089"/>
    </row>
    <row r="61" spans="1:46" s="3687" customFormat="1" ht="13.5" thickBot="1">
      <c r="A61" s="4283">
        <f>'Recalculos PS'!V27</f>
        <v>6939.2437198639136</v>
      </c>
      <c r="B61" s="4284">
        <f>24-SUM('Proy. Mes'!BO27:BQ27)-SUM('Proy. Mes'!CP27:CR27)</f>
        <v>23.607193000000002</v>
      </c>
      <c r="C61" s="4285">
        <f>+'Proy. Mes'!BJ27</f>
        <v>97.132597759803119</v>
      </c>
      <c r="D61" s="4286">
        <f t="shared" si="40"/>
        <v>6939.2437198639136</v>
      </c>
      <c r="E61" s="4287">
        <f>+IF('Recalculos PS'!AD27&gt;$F$41,$F$41,'Recalculos PS'!AD27)</f>
        <v>1786.0109487116599</v>
      </c>
      <c r="F61" s="4287">
        <f t="shared" si="34"/>
        <v>163816.06576886534</v>
      </c>
      <c r="G61" s="4287">
        <f t="shared" si="41"/>
        <v>41635.171938195374</v>
      </c>
      <c r="H61" s="4284">
        <f t="shared" si="42"/>
        <v>163.81606576886534</v>
      </c>
      <c r="I61" s="4288">
        <f t="shared" si="43"/>
        <v>41.63517193819537</v>
      </c>
      <c r="J61" s="4289">
        <f t="shared" si="33"/>
        <v>5</v>
      </c>
      <c r="K61" s="4290">
        <f>'R+P'!B26</f>
        <v>46100.791666666664</v>
      </c>
      <c r="L61" s="4286">
        <f t="shared" si="28"/>
        <v>497.94880682479214</v>
      </c>
      <c r="M61" s="4286">
        <f t="shared" si="38"/>
        <v>216.00004453185281</v>
      </c>
      <c r="N61" s="4291">
        <f>+IF((H61+I61)&gt;$Q$41,$Q$41,(H61+I61))-24*0.2</f>
        <v>200.65123770706072</v>
      </c>
      <c r="O61" s="4292"/>
      <c r="P61" s="4079">
        <f t="shared" si="21"/>
        <v>8360.4682377941954</v>
      </c>
      <c r="Q61" s="4293">
        <f t="shared" si="24"/>
        <v>205.4512377070607</v>
      </c>
      <c r="R61" s="4293"/>
      <c r="S61" s="4293"/>
      <c r="T61" s="4293"/>
      <c r="U61" s="4294">
        <f t="shared" si="11"/>
        <v>46100.791666666664</v>
      </c>
      <c r="V61" s="4082">
        <f>'Plan mina ST'!AB61</f>
        <v>6.7903225806451619</v>
      </c>
      <c r="W61" s="4295">
        <f t="shared" si="22"/>
        <v>0.71706989247311836</v>
      </c>
      <c r="X61" s="4296">
        <f t="shared" si="23"/>
        <v>466.09543010752691</v>
      </c>
      <c r="Y61" s="4082">
        <f>+'Plan mina ST'!AE61</f>
        <v>6.629032258064516</v>
      </c>
      <c r="Z61" s="4295">
        <f t="shared" si="29"/>
        <v>0.72379032258064513</v>
      </c>
      <c r="AA61" s="4296">
        <f t="shared" si="30"/>
        <v>398.08467741935482</v>
      </c>
      <c r="AB61" s="4297">
        <f t="shared" si="25"/>
        <v>864.18010752688178</v>
      </c>
      <c r="AD61" s="4086">
        <f t="shared" si="31"/>
        <v>6939.2437198639136</v>
      </c>
      <c r="AE61" s="4087">
        <f t="shared" si="39"/>
        <v>748.70581493679629</v>
      </c>
      <c r="AF61" s="4087">
        <f t="shared" si="26"/>
        <v>653.85929001945033</v>
      </c>
      <c r="AG61" s="4087">
        <f t="shared" si="12"/>
        <v>94.84652491734596</v>
      </c>
      <c r="AH61" s="4087">
        <f t="shared" si="27"/>
        <v>0</v>
      </c>
      <c r="AI61" s="4036">
        <f t="shared" si="13"/>
        <v>7043.5748972729943</v>
      </c>
      <c r="AJ61" s="4298">
        <f t="shared" si="14"/>
        <v>104.33117740908074</v>
      </c>
      <c r="AK61" s="4091"/>
      <c r="AT61" s="4089"/>
    </row>
    <row r="62" spans="1:46" s="4357" customFormat="1" ht="13">
      <c r="A62" s="4341">
        <f>'Recalculos PS'!V28</f>
        <v>6999.5175335503245</v>
      </c>
      <c r="B62" s="4342">
        <f>24-SUM('Proy. Mes'!BO28:BQ28)-SUM('Proy. Mes'!CP28:CR28)</f>
        <v>23.607193000000002</v>
      </c>
      <c r="C62" s="4343">
        <f>+'Proy. Mes'!BJ28</f>
        <v>97.132597759803119</v>
      </c>
      <c r="D62" s="4344">
        <f t="shared" si="40"/>
        <v>6999.5175335503245</v>
      </c>
      <c r="E62" s="4345">
        <f>+IF('Recalculos PS'!AD28&gt;$F$41,$F$41,'Recalculos PS'!AD28)</f>
        <v>1801.5241221222411</v>
      </c>
      <c r="F62" s="4345">
        <f t="shared" si="34"/>
        <v>165238.9613214065</v>
      </c>
      <c r="G62" s="4345">
        <f t="shared" si="41"/>
        <v>41996.8122980837</v>
      </c>
      <c r="H62" s="4342">
        <f t="shared" si="42"/>
        <v>165.23896132140649</v>
      </c>
      <c r="I62" s="4346">
        <f t="shared" si="43"/>
        <v>41.996812298083697</v>
      </c>
      <c r="J62" s="4347">
        <f t="shared" si="33"/>
        <v>6</v>
      </c>
      <c r="K62" s="4348">
        <f>'R+P'!B27</f>
        <v>46101.791666666664</v>
      </c>
      <c r="L62" s="4344">
        <f t="shared" si="28"/>
        <v>532.882993205302</v>
      </c>
      <c r="M62" s="4344">
        <f>+F25/1000</f>
        <v>239.76996</v>
      </c>
      <c r="N62" s="4344">
        <f>+IF((H62+I62)&gt;$Q$41,$Q$41,(H62+I62))-24*0.1</f>
        <v>204.8357736194902</v>
      </c>
      <c r="O62" s="4349"/>
      <c r="P62" s="4350">
        <f t="shared" si="21"/>
        <v>8534.8239008120909</v>
      </c>
      <c r="Q62" s="4351">
        <f t="shared" si="24"/>
        <v>207.2357736194902</v>
      </c>
      <c r="R62" s="4351"/>
      <c r="S62" s="4351"/>
      <c r="T62" s="4351"/>
      <c r="U62" s="4352">
        <f t="shared" si="11"/>
        <v>46101.791666666664</v>
      </c>
      <c r="V62" s="4353">
        <f>'Plan mina ST'!AB62</f>
        <v>6.7903225806451619</v>
      </c>
      <c r="W62" s="4354">
        <f>(24-V62)/24</f>
        <v>0.71706989247311836</v>
      </c>
      <c r="X62" s="4355">
        <f t="shared" si="23"/>
        <v>466.09543010752691</v>
      </c>
      <c r="Y62" s="4353">
        <f>+'Plan mina ST'!AE62</f>
        <v>6.629032258064516</v>
      </c>
      <c r="Z62" s="4354">
        <f t="shared" si="29"/>
        <v>0.72379032258064513</v>
      </c>
      <c r="AA62" s="4355">
        <f t="shared" si="30"/>
        <v>398.08467741935482</v>
      </c>
      <c r="AB62" s="4356">
        <f t="shared" si="25"/>
        <v>864.18010752688178</v>
      </c>
      <c r="AD62" s="4358">
        <f t="shared" si="31"/>
        <v>6999.5175335503245</v>
      </c>
      <c r="AE62" s="4359">
        <f t="shared" si="39"/>
        <v>753.46429503658828</v>
      </c>
      <c r="AF62" s="4359">
        <f t="shared" si="26"/>
        <v>659.02748015311545</v>
      </c>
      <c r="AG62" s="4359">
        <f t="shared" si="12"/>
        <v>94.436814883472834</v>
      </c>
      <c r="AH62" s="4359">
        <f t="shared" si="27"/>
        <v>0</v>
      </c>
      <c r="AI62" s="4360">
        <f t="shared" si="13"/>
        <v>7103.3980299221448</v>
      </c>
      <c r="AJ62" s="4361">
        <f t="shared" si="14"/>
        <v>103.8804963718203</v>
      </c>
      <c r="AK62" s="4362"/>
      <c r="AT62" s="4363"/>
    </row>
    <row r="63" spans="1:46" s="4335" customFormat="1" ht="13" customHeight="1">
      <c r="A63" s="4364">
        <f>'Recalculos PS'!V29</f>
        <v>6928.4918375460711</v>
      </c>
      <c r="B63" s="4365">
        <f>24-SUM('Proy. Mes'!BO29:BQ29)-SUM('Proy. Mes'!CP29:CR29)</f>
        <v>23.607193000000002</v>
      </c>
      <c r="C63" s="4366">
        <f>+'Proy. Mes'!BJ29</f>
        <v>97.132597759803119</v>
      </c>
      <c r="D63" s="4367">
        <f t="shared" si="40"/>
        <v>6928.4918375460711</v>
      </c>
      <c r="E63" s="4368">
        <f>+IF('Recalculos PS'!AD29&gt;$F$41,$F$41,'Recalculos PS'!AD29)</f>
        <v>1783.2436472139541</v>
      </c>
      <c r="F63" s="4368">
        <f t="shared" si="34"/>
        <v>163562.24400787477</v>
      </c>
      <c r="G63" s="4368">
        <f t="shared" si="41"/>
        <v>41570.661094213741</v>
      </c>
      <c r="H63" s="4365">
        <f t="shared" si="42"/>
        <v>163.56224400787477</v>
      </c>
      <c r="I63" s="4365">
        <f t="shared" si="43"/>
        <v>41.57066109421374</v>
      </c>
      <c r="J63" s="4369">
        <f t="shared" si="33"/>
        <v>7</v>
      </c>
      <c r="K63" s="4370">
        <f>'R+P'!B28</f>
        <v>46102.791666666664</v>
      </c>
      <c r="L63" s="4367">
        <f t="shared" si="28"/>
        <v>509.65804810321356</v>
      </c>
      <c r="M63" s="4457">
        <f t="shared" ref="M63:M72" si="44">+F26/1000</f>
        <v>179.50796</v>
      </c>
      <c r="N63" s="4371">
        <f>+IF((H63+I63)&gt;$Q$41,$Q$41,(H63+I63))-24*0.1</f>
        <v>202.73290510208849</v>
      </c>
      <c r="O63" s="4372"/>
      <c r="P63" s="4373">
        <f t="shared" si="21"/>
        <v>8447.2043792536879</v>
      </c>
      <c r="Q63" s="4374">
        <f t="shared" si="24"/>
        <v>205.13290510208853</v>
      </c>
      <c r="R63" s="4374"/>
      <c r="S63" s="4374"/>
      <c r="T63" s="4374"/>
      <c r="U63" s="4375">
        <f t="shared" si="11"/>
        <v>46102.791666666664</v>
      </c>
      <c r="V63" s="4376">
        <f>'Plan mina ST'!AB63</f>
        <v>6.7903225806451619</v>
      </c>
      <c r="W63" s="4377">
        <f t="shared" si="22"/>
        <v>0.71706989247311836</v>
      </c>
      <c r="X63" s="4378">
        <f t="shared" si="23"/>
        <v>466.09543010752691</v>
      </c>
      <c r="Y63" s="4376">
        <f>+'Plan mina ST'!AE63</f>
        <v>6.629032258064516</v>
      </c>
      <c r="Z63" s="4377">
        <f t="shared" si="29"/>
        <v>0.72379032258064513</v>
      </c>
      <c r="AA63" s="4378">
        <f t="shared" si="30"/>
        <v>398.08467741935482</v>
      </c>
      <c r="AB63" s="4379">
        <f t="shared" si="25"/>
        <v>864.18010752688178</v>
      </c>
      <c r="AD63" s="2509">
        <f t="shared" si="31"/>
        <v>6928.4918375460711</v>
      </c>
      <c r="AE63" s="4380">
        <f t="shared" si="39"/>
        <v>747.82922073842155</v>
      </c>
      <c r="AF63" s="4380">
        <f t="shared" si="26"/>
        <v>652.91191477470738</v>
      </c>
      <c r="AG63" s="4380">
        <f t="shared" si="12"/>
        <v>94.917305963714171</v>
      </c>
      <c r="AH63" s="4380">
        <f t="shared" si="27"/>
        <v>0</v>
      </c>
      <c r="AI63" s="4381">
        <f t="shared" si="13"/>
        <v>7032.9008741061571</v>
      </c>
      <c r="AJ63" s="4382">
        <f t="shared" si="14"/>
        <v>104.40903656008595</v>
      </c>
      <c r="AK63" s="4383"/>
      <c r="AT63" s="4384"/>
    </row>
    <row r="64" spans="1:46" s="4335" customFormat="1" ht="13">
      <c r="A64" s="4364">
        <f>'Recalculos PS'!V30</f>
        <v>7107.705433847892</v>
      </c>
      <c r="B64" s="4365">
        <f>24-SUM('Proy. Mes'!BO30:BQ30)-SUM('Proy. Mes'!CP30:CR30)</f>
        <v>23.607193000000002</v>
      </c>
      <c r="C64" s="4366">
        <f>+'Proy. Mes'!BJ30</f>
        <v>97.132597759803119</v>
      </c>
      <c r="D64" s="4367">
        <f t="shared" si="40"/>
        <v>7107.705433847892</v>
      </c>
      <c r="E64" s="4368">
        <f>+IF('Recalculos PS'!AD30&gt;$F$41,$F$41,'Recalculos PS'!AD30)</f>
        <v>1812</v>
      </c>
      <c r="F64" s="4368">
        <f t="shared" si="34"/>
        <v>167792.97396399593</v>
      </c>
      <c r="G64" s="4368">
        <f t="shared" si="41"/>
        <v>42241.024113783184</v>
      </c>
      <c r="H64" s="4365">
        <f t="shared" si="42"/>
        <v>167.79297396399593</v>
      </c>
      <c r="I64" s="4365">
        <f t="shared" si="43"/>
        <v>42.241024113783183</v>
      </c>
      <c r="J64" s="4369">
        <f t="shared" si="33"/>
        <v>1</v>
      </c>
      <c r="K64" s="4370">
        <f>'R+P'!B29</f>
        <v>46103.791666666664</v>
      </c>
      <c r="L64" s="4367">
        <f t="shared" si="28"/>
        <v>542.41605002543452</v>
      </c>
      <c r="M64" s="4367">
        <f t="shared" si="44"/>
        <v>240.392</v>
      </c>
      <c r="N64" s="4371">
        <f>+IF((H64+I64)&gt;$Q$41,$Q$41,(H64+I64))-24*0.1</f>
        <v>207.63399807777913</v>
      </c>
      <c r="O64" s="4372"/>
      <c r="P64" s="4373">
        <f t="shared" si="21"/>
        <v>8651.4165865741306</v>
      </c>
      <c r="Q64" s="4374">
        <f t="shared" si="24"/>
        <v>210.0339980777791</v>
      </c>
      <c r="R64" s="4374"/>
      <c r="S64" s="4374"/>
      <c r="T64" s="4374"/>
      <c r="U64" s="4375">
        <f t="shared" si="11"/>
        <v>46103.791666666664</v>
      </c>
      <c r="V64" s="4376">
        <f>'Plan mina ST'!AB64</f>
        <v>6.7903225806451619</v>
      </c>
      <c r="W64" s="4377">
        <f t="shared" si="22"/>
        <v>0.71706989247311836</v>
      </c>
      <c r="X64" s="4378">
        <f t="shared" si="23"/>
        <v>466.09543010752691</v>
      </c>
      <c r="Y64" s="4376">
        <f>+'Plan mina ST'!AE64</f>
        <v>6.629032258064516</v>
      </c>
      <c r="Z64" s="4377">
        <f t="shared" si="29"/>
        <v>0.72379032258064513</v>
      </c>
      <c r="AA64" s="4378">
        <f t="shared" si="30"/>
        <v>398.08467741935482</v>
      </c>
      <c r="AB64" s="4379">
        <f t="shared" si="25"/>
        <v>864.18010752688178</v>
      </c>
      <c r="AD64" s="2509">
        <f t="shared" si="31"/>
        <v>7107.705433847892</v>
      </c>
      <c r="AE64" s="4380">
        <f t="shared" si="39"/>
        <v>761.36302078355993</v>
      </c>
      <c r="AF64" s="4380">
        <f t="shared" si="26"/>
        <v>667.71911323780978</v>
      </c>
      <c r="AG64" s="4380">
        <f t="shared" si="12"/>
        <v>93.643907545750153</v>
      </c>
      <c r="AH64" s="4380">
        <f t="shared" si="27"/>
        <v>0</v>
      </c>
      <c r="AI64" s="4381">
        <f t="shared" si="13"/>
        <v>7210.7137321482169</v>
      </c>
      <c r="AJ64" s="4382">
        <f t="shared" si="14"/>
        <v>103.0082983003249</v>
      </c>
      <c r="AK64" s="4383"/>
      <c r="AT64" s="4384"/>
    </row>
    <row r="65" spans="1:54" s="4335" customFormat="1" ht="13">
      <c r="A65" s="4364">
        <f>'Recalculos PS'!V31</f>
        <v>6884.3205346954473</v>
      </c>
      <c r="B65" s="4365">
        <f>24-SUM('Proy. Mes'!BO31:BQ31)-SUM('Proy. Mes'!CP31:CR31)</f>
        <v>22.843513000000002</v>
      </c>
      <c r="C65" s="4366">
        <f>+'Proy. Mes'!BJ31</f>
        <v>97.132597759803119</v>
      </c>
      <c r="D65" s="4367">
        <f t="shared" si="40"/>
        <v>6884.3205346954473</v>
      </c>
      <c r="E65" s="4368">
        <f>+IF('Recalculos PS'!AD31&gt;$F$41,$F$41,'Recalculos PS'!AD31)</f>
        <v>1771.8749111247107</v>
      </c>
      <c r="F65" s="4368">
        <f t="shared" si="34"/>
        <v>157262.06563048242</v>
      </c>
      <c r="G65" s="4368">
        <f t="shared" si="41"/>
        <v>41305.635125511217</v>
      </c>
      <c r="H65" s="4365">
        <f t="shared" si="42"/>
        <v>157.26206563048243</v>
      </c>
      <c r="I65" s="4365">
        <f t="shared" si="43"/>
        <v>41.305635125511216</v>
      </c>
      <c r="J65" s="4369">
        <f t="shared" si="33"/>
        <v>2</v>
      </c>
      <c r="K65" s="4370">
        <f>'R+P'!B30</f>
        <v>46104.791666666664</v>
      </c>
      <c r="L65" s="4367">
        <f t="shared" si="28"/>
        <v>584.60042926944084</v>
      </c>
      <c r="M65" s="4367">
        <f t="shared" si="44"/>
        <v>239.55208000000002</v>
      </c>
      <c r="N65" s="4371">
        <f>+IF((H65+I65)&gt;$Q$41,$Q$41,(H65+I65))-24*0.05</f>
        <v>197.36770075599367</v>
      </c>
      <c r="O65" s="4372" t="s">
        <v>1884</v>
      </c>
      <c r="P65" s="4373">
        <f t="shared" si="21"/>
        <v>8223.6541981664013</v>
      </c>
      <c r="Q65" s="4374">
        <f t="shared" si="24"/>
        <v>198.56770075599363</v>
      </c>
      <c r="R65" s="4374"/>
      <c r="S65" s="4374"/>
      <c r="T65" s="4374"/>
      <c r="U65" s="4375">
        <f t="shared" si="11"/>
        <v>46104.791666666664</v>
      </c>
      <c r="V65" s="4376">
        <f>'Plan mina ST'!AB65</f>
        <v>6.7903225806451619</v>
      </c>
      <c r="W65" s="4377">
        <f t="shared" si="22"/>
        <v>0.71706989247311836</v>
      </c>
      <c r="X65" s="4378">
        <f t="shared" si="23"/>
        <v>466.09543010752691</v>
      </c>
      <c r="Y65" s="4376">
        <f>+'Plan mina ST'!AE65</f>
        <v>6.629032258064516</v>
      </c>
      <c r="Z65" s="4377">
        <f t="shared" si="29"/>
        <v>0.72379032258064513</v>
      </c>
      <c r="AA65" s="4378">
        <f t="shared" si="30"/>
        <v>398.08467741935482</v>
      </c>
      <c r="AB65" s="4379">
        <f t="shared" si="25"/>
        <v>864.18010752688178</v>
      </c>
      <c r="AD65" s="2509">
        <f t="shared" si="31"/>
        <v>6884.3205346954473</v>
      </c>
      <c r="AE65" s="4380">
        <f t="shared" si="39"/>
        <v>744.13806920931484</v>
      </c>
      <c r="AF65" s="4380">
        <f t="shared" si="26"/>
        <v>648.93708547631786</v>
      </c>
      <c r="AG65" s="4380">
        <f t="shared" si="12"/>
        <v>95.200983732996974</v>
      </c>
      <c r="AH65" s="4380">
        <f t="shared" si="27"/>
        <v>0</v>
      </c>
      <c r="AI65" s="4381">
        <f t="shared" si="13"/>
        <v>6989.0416168017437</v>
      </c>
      <c r="AJ65" s="4382">
        <f t="shared" si="14"/>
        <v>104.72108210629631</v>
      </c>
      <c r="AK65" s="4383"/>
      <c r="AT65" s="4384"/>
    </row>
    <row r="66" spans="1:54" s="4335" customFormat="1" ht="13">
      <c r="A66" s="4364">
        <f>'Recalculos PS'!V32</f>
        <v>6767.5672924301352</v>
      </c>
      <c r="B66" s="4365">
        <f>24-SUM('Proy. Mes'!BO32:BQ32)-SUM('Proy. Mes'!CP32:CR32)</f>
        <v>23.607193000000002</v>
      </c>
      <c r="C66" s="4366">
        <f>+'Proy. Mes'!BJ32</f>
        <v>97.132597759803119</v>
      </c>
      <c r="D66" s="4367">
        <f t="shared" si="40"/>
        <v>6767.5672924301352</v>
      </c>
      <c r="E66" s="4368">
        <f>+IF('Recalculos PS'!AD32&gt;$F$41,$F$41,'Recalculos PS'!AD32)</f>
        <v>1741.8251567996788</v>
      </c>
      <c r="F66" s="4368">
        <f t="shared" si="34"/>
        <v>159763.26721288566</v>
      </c>
      <c r="G66" s="4368">
        <f t="shared" si="41"/>
        <v>40605.120557599002</v>
      </c>
      <c r="H66" s="4365">
        <f t="shared" si="42"/>
        <v>159.76326721288567</v>
      </c>
      <c r="I66" s="4365">
        <f t="shared" si="43"/>
        <v>40.605120557599001</v>
      </c>
      <c r="J66" s="4369">
        <f t="shared" si="33"/>
        <v>3</v>
      </c>
      <c r="K66" s="4370">
        <f>'R+P'!B31</f>
        <v>46105.791666666664</v>
      </c>
      <c r="L66" s="4367">
        <f t="shared" si="28"/>
        <v>563.80160149895619</v>
      </c>
      <c r="M66" s="4457">
        <f t="shared" si="44"/>
        <v>179.56956</v>
      </c>
      <c r="N66" s="4371">
        <f>+IF((H66+I66)&gt;$Q$41,$Q$41,(H66+I66))</f>
        <v>200.36838777048467</v>
      </c>
      <c r="O66" s="4372" t="s">
        <v>1833</v>
      </c>
      <c r="P66" s="4373">
        <f t="shared" si="21"/>
        <v>8348.6828237701957</v>
      </c>
      <c r="Q66" s="4374">
        <f t="shared" si="24"/>
        <v>200.36838777048467</v>
      </c>
      <c r="R66" s="4374"/>
      <c r="S66" s="4374"/>
      <c r="T66" s="4374"/>
      <c r="U66" s="4375">
        <f t="shared" si="11"/>
        <v>46105.791666666664</v>
      </c>
      <c r="V66" s="4376">
        <f>'Plan mina ST'!AB66</f>
        <v>6.7903225806451619</v>
      </c>
      <c r="W66" s="4377">
        <f t="shared" si="22"/>
        <v>0.71706989247311836</v>
      </c>
      <c r="X66" s="4378">
        <f t="shared" si="23"/>
        <v>466.09543010752691</v>
      </c>
      <c r="Y66" s="4376">
        <f>+'Plan mina ST'!AE66</f>
        <v>6.629032258064516</v>
      </c>
      <c r="Z66" s="4377">
        <f t="shared" si="29"/>
        <v>0.72379032258064513</v>
      </c>
      <c r="AA66" s="4378">
        <f t="shared" si="30"/>
        <v>398.08467741935482</v>
      </c>
      <c r="AB66" s="4379">
        <f t="shared" si="25"/>
        <v>864.18010752688178</v>
      </c>
      <c r="AD66" s="2509">
        <f t="shared" si="31"/>
        <v>6767.5672924301352</v>
      </c>
      <c r="AE66" s="4380">
        <f t="shared" si="39"/>
        <v>733.66571476911986</v>
      </c>
      <c r="AF66" s="4380">
        <f t="shared" si="26"/>
        <v>637.76749379750754</v>
      </c>
      <c r="AG66" s="4380">
        <f t="shared" si="12"/>
        <v>95.898220971612318</v>
      </c>
      <c r="AH66" s="4380">
        <f t="shared" si="27"/>
        <v>0</v>
      </c>
      <c r="AI66" s="4381">
        <f t="shared" si="13"/>
        <v>6873.0553354989088</v>
      </c>
      <c r="AJ66" s="4382">
        <f t="shared" si="14"/>
        <v>105.48804306877355</v>
      </c>
      <c r="AK66" s="4383"/>
      <c r="AT66" s="4384"/>
    </row>
    <row r="67" spans="1:54" s="4335" customFormat="1" ht="13">
      <c r="A67" s="4364">
        <f>'Recalculos PS'!V33</f>
        <v>6663.7682675918259</v>
      </c>
      <c r="B67" s="4365">
        <f>24-SUM('Proy. Mes'!BO33:BQ33)-SUM('Proy. Mes'!CP33:CR33)</f>
        <v>23.607193000000002</v>
      </c>
      <c r="C67" s="4366">
        <f>+'Proy. Mes'!BJ33</f>
        <v>97.132597759803119</v>
      </c>
      <c r="D67" s="4367">
        <f t="shared" si="40"/>
        <v>6663.7682675918259</v>
      </c>
      <c r="E67" s="4368">
        <f>+IF('Recalculos PS'!AD33&gt;$F$41,$F$41,'Recalculos PS'!AD33)</f>
        <v>1715.1095373012402</v>
      </c>
      <c r="F67" s="4368">
        <f t="shared" si="34"/>
        <v>157312.8636003159</v>
      </c>
      <c r="G67" s="4368">
        <f t="shared" si="41"/>
        <v>39982.330752164009</v>
      </c>
      <c r="H67" s="4365">
        <f t="shared" si="42"/>
        <v>157.31286360031589</v>
      </c>
      <c r="I67" s="4365">
        <f t="shared" si="43"/>
        <v>39.98233075216401</v>
      </c>
      <c r="J67" s="4369">
        <f t="shared" si="33"/>
        <v>4</v>
      </c>
      <c r="K67" s="4370">
        <f>'R+P'!B32</f>
        <v>46106.791666666664</v>
      </c>
      <c r="L67" s="4367">
        <f t="shared" si="28"/>
        <v>606.67940354647624</v>
      </c>
      <c r="M67" s="4367">
        <f t="shared" si="44"/>
        <v>240.17299640000002</v>
      </c>
      <c r="N67" s="4371">
        <f>+IF((H67+I67)&gt;$Q$41,$Q$41,(H67+I67))</f>
        <v>197.29519435247991</v>
      </c>
      <c r="O67" s="4372"/>
      <c r="P67" s="4373">
        <f t="shared" si="21"/>
        <v>8220.6330980199964</v>
      </c>
      <c r="Q67" s="4374">
        <f t="shared" si="24"/>
        <v>197.29519435247991</v>
      </c>
      <c r="R67" s="4374"/>
      <c r="S67" s="4374"/>
      <c r="T67" s="4374"/>
      <c r="U67" s="4375">
        <f t="shared" si="11"/>
        <v>46106.791666666664</v>
      </c>
      <c r="V67" s="4376">
        <f>'Plan mina ST'!AB67</f>
        <v>6.7903225806451619</v>
      </c>
      <c r="W67" s="4377">
        <f t="shared" si="22"/>
        <v>0.71706989247311836</v>
      </c>
      <c r="X67" s="4378">
        <f t="shared" si="23"/>
        <v>466.09543010752691</v>
      </c>
      <c r="Y67" s="4376">
        <f>+'Plan mina ST'!AE67</f>
        <v>6.629032258064516</v>
      </c>
      <c r="Z67" s="4377">
        <f t="shared" si="29"/>
        <v>0.72379032258064513</v>
      </c>
      <c r="AA67" s="4378">
        <f t="shared" si="30"/>
        <v>398.08467741935482</v>
      </c>
      <c r="AB67" s="4379">
        <f t="shared" si="25"/>
        <v>864.18010752688178</v>
      </c>
      <c r="AD67" s="2509">
        <f t="shared" si="31"/>
        <v>6663.7682675918259</v>
      </c>
      <c r="AE67" s="4380">
        <f t="shared" si="39"/>
        <v>723.44585790516567</v>
      </c>
      <c r="AF67" s="4380">
        <f t="shared" si="26"/>
        <v>626.98718761856753</v>
      </c>
      <c r="AG67" s="4380">
        <f t="shared" si="12"/>
        <v>96.458670286598135</v>
      </c>
      <c r="AH67" s="4380">
        <f t="shared" si="27"/>
        <v>0</v>
      </c>
      <c r="AI67" s="4381">
        <f t="shared" si="13"/>
        <v>6769.8728049070842</v>
      </c>
      <c r="AJ67" s="4382">
        <f t="shared" si="14"/>
        <v>106.10453731525831</v>
      </c>
      <c r="AK67" s="4383"/>
      <c r="AT67" s="4384"/>
    </row>
    <row r="68" spans="1:54" s="4401" customFormat="1" ht="13.5" thickBot="1">
      <c r="A68" s="4385">
        <f>'Recalculos PS'!V34</f>
        <v>6559.1257947843951</v>
      </c>
      <c r="B68" s="4386">
        <f>24-SUM('Proy. Mes'!BO34:BQ34)-SUM('Proy. Mes'!CP34:CR34)</f>
        <v>23.607193000000002</v>
      </c>
      <c r="C68" s="4387">
        <f>+'Proy. Mes'!BJ34</f>
        <v>97.132597759803119</v>
      </c>
      <c r="D68" s="4388">
        <f t="shared" si="40"/>
        <v>6559.1257947843951</v>
      </c>
      <c r="E68" s="4389">
        <f>+IF('Recalculos PS'!AD34&gt;$F$41,$F$41,'Recalculos PS'!AD34)</f>
        <v>1688.1768325744488</v>
      </c>
      <c r="F68" s="4389">
        <f t="shared" si="34"/>
        <v>154842.54854875364</v>
      </c>
      <c r="G68" s="4389">
        <f t="shared" si="41"/>
        <v>39354.480294209381</v>
      </c>
      <c r="H68" s="4386">
        <f t="shared" si="42"/>
        <v>154.84254854875363</v>
      </c>
      <c r="I68" s="4386">
        <f t="shared" si="43"/>
        <v>39.354480294209381</v>
      </c>
      <c r="J68" s="4390">
        <f t="shared" si="33"/>
        <v>5</v>
      </c>
      <c r="K68" s="4391">
        <f>'R+P'!B33</f>
        <v>46107.791666666664</v>
      </c>
      <c r="L68" s="4388">
        <f t="shared" si="28"/>
        <v>634.60141470351323</v>
      </c>
      <c r="M68" s="4388">
        <f t="shared" si="44"/>
        <v>222.11904000000001</v>
      </c>
      <c r="N68" s="4392">
        <f>+IF((H68+I68)&gt;$Q$41,$Q$41,(H68+I68))</f>
        <v>194.19702884296299</v>
      </c>
      <c r="O68" s="4393"/>
      <c r="P68" s="4394">
        <f t="shared" si="21"/>
        <v>8091.5428684567914</v>
      </c>
      <c r="Q68" s="4395">
        <f t="shared" si="24"/>
        <v>194.19702884296302</v>
      </c>
      <c r="R68" s="4395"/>
      <c r="S68" s="4395"/>
      <c r="T68" s="4395"/>
      <c r="U68" s="4396">
        <f t="shared" si="11"/>
        <v>46107.791666666664</v>
      </c>
      <c r="V68" s="4397">
        <f>'Plan mina ST'!AB68</f>
        <v>6.7903225806451619</v>
      </c>
      <c r="W68" s="4398">
        <f t="shared" si="22"/>
        <v>0.71706989247311836</v>
      </c>
      <c r="X68" s="4399">
        <f t="shared" si="23"/>
        <v>466.09543010752691</v>
      </c>
      <c r="Y68" s="4397">
        <f>+'Plan mina ST'!AE68</f>
        <v>6.629032258064516</v>
      </c>
      <c r="Z68" s="4398">
        <f t="shared" si="29"/>
        <v>0.72379032258064513</v>
      </c>
      <c r="AA68" s="4399">
        <f t="shared" si="30"/>
        <v>398.08467741935482</v>
      </c>
      <c r="AB68" s="4400">
        <f t="shared" si="25"/>
        <v>864.18010752688178</v>
      </c>
      <c r="AD68" s="4402">
        <f t="shared" si="31"/>
        <v>6559.1257947843951</v>
      </c>
      <c r="AE68" s="4403">
        <f t="shared" si="39"/>
        <v>712.23302567852124</v>
      </c>
      <c r="AF68" s="4403">
        <f t="shared" si="26"/>
        <v>615.26054445012824</v>
      </c>
      <c r="AG68" s="4403">
        <f t="shared" si="12"/>
        <v>96.972481228393008</v>
      </c>
      <c r="AH68" s="4403">
        <f t="shared" si="27"/>
        <v>0</v>
      </c>
      <c r="AI68" s="4404">
        <f t="shared" si="13"/>
        <v>6665.7955241356276</v>
      </c>
      <c r="AJ68" s="4405">
        <f t="shared" si="14"/>
        <v>106.66972935123249</v>
      </c>
      <c r="AK68" s="4406"/>
      <c r="AT68" s="4407"/>
    </row>
    <row r="69" spans="1:54" s="273" customFormat="1" ht="13">
      <c r="A69" s="4299">
        <f>'Recalculos PS'!V35</f>
        <v>6873.6973598049999</v>
      </c>
      <c r="B69" s="4300">
        <f>24-SUM('Proy. Mes'!BO35:BQ35)-SUM('Proy. Mes'!CP35:CR35)</f>
        <v>23.607193000000002</v>
      </c>
      <c r="C69" s="4301">
        <f>+'Proy. Mes'!BJ35</f>
        <v>97.132597759803119</v>
      </c>
      <c r="D69" s="4090">
        <f t="shared" si="40"/>
        <v>6873.6973598049999</v>
      </c>
      <c r="E69" s="4302">
        <f>+IF('Recalculos PS'!AD35&gt;$F$41,$F$41,'Recalculos PS'!AD35)</f>
        <v>1769.1407361295153</v>
      </c>
      <c r="F69" s="4302">
        <f t="shared" si="34"/>
        <v>162268.7001965071</v>
      </c>
      <c r="G69" s="4302">
        <f t="shared" si="41"/>
        <v>41241.896520708047</v>
      </c>
      <c r="H69" s="4300">
        <f t="shared" si="42"/>
        <v>162.2687001965071</v>
      </c>
      <c r="I69" s="4300">
        <f t="shared" si="43"/>
        <v>41.241896520708046</v>
      </c>
      <c r="J69" s="4303">
        <f t="shared" si="33"/>
        <v>6</v>
      </c>
      <c r="K69" s="4304">
        <f>'R+P'!B34</f>
        <v>46108.791666666664</v>
      </c>
      <c r="L69" s="4033">
        <f t="shared" si="28"/>
        <v>669.09081798636726</v>
      </c>
      <c r="M69" s="4033">
        <f t="shared" si="44"/>
        <v>238.00000000006926</v>
      </c>
      <c r="N69" s="4033">
        <f>+IF((H69+I69)&gt;$Q$41,$Q$41,(H69+I69))</f>
        <v>203.51059671721515</v>
      </c>
      <c r="O69" s="3192"/>
      <c r="P69" s="4305">
        <f t="shared" si="21"/>
        <v>8479.608196550631</v>
      </c>
      <c r="Q69" s="4306">
        <f t="shared" si="24"/>
        <v>203.51059671721515</v>
      </c>
      <c r="R69" s="4306"/>
      <c r="S69" s="4306"/>
      <c r="T69" s="4306"/>
      <c r="U69" s="4307">
        <f t="shared" si="11"/>
        <v>46108.791666666664</v>
      </c>
      <c r="V69" s="2430">
        <f>'Plan mina ST'!AB69</f>
        <v>6.7903225806451619</v>
      </c>
      <c r="W69" s="4308">
        <f t="shared" si="22"/>
        <v>0.71706989247311836</v>
      </c>
      <c r="X69" s="4309">
        <f t="shared" si="23"/>
        <v>466.09543010752691</v>
      </c>
      <c r="Y69" s="2430">
        <f>+'Plan mina ST'!AE69</f>
        <v>6.629032258064516</v>
      </c>
      <c r="Z69" s="4308">
        <f t="shared" si="29"/>
        <v>0.72379032258064513</v>
      </c>
      <c r="AA69" s="4309">
        <f t="shared" si="30"/>
        <v>398.08467741935482</v>
      </c>
      <c r="AB69" s="4310">
        <f t="shared" si="25"/>
        <v>864.18010752688178</v>
      </c>
      <c r="AD69" s="785">
        <f t="shared" si="31"/>
        <v>6873.6973598049999</v>
      </c>
      <c r="AE69" s="1775">
        <f t="shared" si="39"/>
        <v>743.22854702572704</v>
      </c>
      <c r="AF69" s="1775">
        <f t="shared" si="26"/>
        <v>647.96101513482381</v>
      </c>
      <c r="AG69" s="1775">
        <f t="shared" si="12"/>
        <v>95.267531890903228</v>
      </c>
      <c r="AH69" s="1775">
        <f t="shared" si="27"/>
        <v>0</v>
      </c>
      <c r="AI69" s="1776">
        <f t="shared" si="13"/>
        <v>6978.4916448849935</v>
      </c>
      <c r="AJ69" s="4311">
        <f t="shared" si="14"/>
        <v>104.79428507999364</v>
      </c>
      <c r="AK69" s="2554"/>
      <c r="AT69" s="708"/>
    </row>
    <row r="70" spans="1:54" s="273" customFormat="1" ht="13">
      <c r="A70" s="1186">
        <f>'Recalculos PS'!V36</f>
        <v>7033.7711417310429</v>
      </c>
      <c r="B70" s="1211">
        <f>24-SUM('Proy. Mes'!BO36:BQ36)-SUM('Proy. Mes'!CP36:CR36)</f>
        <v>23.607193000000002</v>
      </c>
      <c r="C70" s="2219">
        <f>+'Proy. Mes'!BJ36</f>
        <v>97.132597759803119</v>
      </c>
      <c r="D70" s="4073">
        <f t="shared" si="40"/>
        <v>7033.7711417310429</v>
      </c>
      <c r="E70" s="2478">
        <f>+IF('Recalculos PS'!AD36&gt;$F$41,$F$41,'Recalculos PS'!AD36)</f>
        <v>1810.3402585361446</v>
      </c>
      <c r="F70" s="2478">
        <f t="shared" si="34"/>
        <v>166047.5928606751</v>
      </c>
      <c r="G70" s="2478">
        <f t="shared" si="41"/>
        <v>42202.332513784633</v>
      </c>
      <c r="H70" s="1211">
        <f t="shared" si="42"/>
        <v>166.04759286067511</v>
      </c>
      <c r="I70" s="1211">
        <f t="shared" si="43"/>
        <v>42.202332513784633</v>
      </c>
      <c r="J70" s="3109">
        <f t="shared" si="33"/>
        <v>7</v>
      </c>
      <c r="K70" s="2572">
        <f>'R+P'!B35</f>
        <v>46109.791666666664</v>
      </c>
      <c r="L70" s="1214">
        <f t="shared" si="28"/>
        <v>642.84089261232975</v>
      </c>
      <c r="M70" s="4457">
        <f t="shared" si="44"/>
        <v>180.00000000042226</v>
      </c>
      <c r="N70" s="4033">
        <f>+IF((H70+I70)&gt;$Q$41,$Q$41,(H70+I70))-2</f>
        <v>206.24992537445974</v>
      </c>
      <c r="O70" s="2575"/>
      <c r="P70" s="2941">
        <f t="shared" si="21"/>
        <v>8593.7468906024897</v>
      </c>
      <c r="Q70" s="1778">
        <f t="shared" si="24"/>
        <v>208.24992537445974</v>
      </c>
      <c r="R70" s="1778"/>
      <c r="S70" s="1778"/>
      <c r="T70" s="1778"/>
      <c r="U70" s="1780">
        <f t="shared" ref="U70:U73" si="45">K70</f>
        <v>46109.791666666664</v>
      </c>
      <c r="V70" s="2430">
        <f>'Plan mina ST'!AB70</f>
        <v>6.7903225806451619</v>
      </c>
      <c r="W70" s="1286">
        <f t="shared" ref="W70:W73" si="46">(24-V70)/24</f>
        <v>0.71706989247311836</v>
      </c>
      <c r="X70" s="1287">
        <f t="shared" ref="X70:X73" si="47">+W70*$W$41</f>
        <v>466.09543010752691</v>
      </c>
      <c r="Y70" s="2430">
        <f>+'Plan mina ST'!AE70</f>
        <v>6.629032258064516</v>
      </c>
      <c r="Z70" s="1286">
        <f t="shared" ref="Z70:Z73" si="48">(24-Y70)/24</f>
        <v>0.72379032258064513</v>
      </c>
      <c r="AA70" s="1287">
        <f t="shared" ref="AA70:AA73" si="49">+Z70*$Z$41</f>
        <v>398.08467741935482</v>
      </c>
      <c r="AB70" s="1288">
        <f t="shared" ref="AB70:AB73" si="50">+X70+AA70</f>
        <v>864.18010752688178</v>
      </c>
      <c r="AD70" s="785">
        <f t="shared" ref="AD70:AD73" si="51">+A70</f>
        <v>7033.7711417310429</v>
      </c>
      <c r="AE70" s="1775">
        <f t="shared" ref="AE70:AE73" si="52" xml:space="preserve"> (0.00000000612366*AD70^3 - 0.0001641321*AD70^2 + 1.47442017999*AD70 - 3625.3824079)</f>
        <v>756.05293490253689</v>
      </c>
      <c r="AF70" s="1775">
        <f t="shared" ref="AF70:AF73" si="53">(0.000000006888843*AD70^3 - 0.00017708145721*AD70^2 + 1.55021494603*AD70 - 3878.31848115)</f>
        <v>661.8589907763976</v>
      </c>
      <c r="AG70" s="1775">
        <f t="shared" ref="AG70:AG73" si="54">AE70-AF70</f>
        <v>94.193944126139286</v>
      </c>
      <c r="AH70" s="1775">
        <f t="shared" ref="AH70:AH73" si="55">IF(AE70-AB70&lt;0,0,AE70-AB70)</f>
        <v>0</v>
      </c>
      <c r="AI70" s="1776">
        <f t="shared" ref="AI70:AI73" si="56">AD70+(AG70-AH70)*$AH$40</f>
        <v>7137.3844802697959</v>
      </c>
      <c r="AJ70" s="1289">
        <f t="shared" ref="AJ70:AJ73" si="57">AI70-AD70</f>
        <v>103.61333853875294</v>
      </c>
      <c r="AK70" s="2554"/>
      <c r="AT70" s="708"/>
    </row>
    <row r="71" spans="1:54" s="273" customFormat="1" ht="13">
      <c r="A71" s="1186">
        <f>'Recalculos PS'!V37</f>
        <v>7071.0768953988299</v>
      </c>
      <c r="B71" s="1211">
        <f>24-SUM('Proy. Mes'!BO37:BQ37)-SUM('Proy. Mes'!CP37:CR37)</f>
        <v>23.607193000000002</v>
      </c>
      <c r="C71" s="2219">
        <f>+'Proy. Mes'!BJ37</f>
        <v>97.132597759803119</v>
      </c>
      <c r="D71" s="4073">
        <f t="shared" si="40"/>
        <v>7071.0768953988299</v>
      </c>
      <c r="E71" s="2478">
        <f>+IF('Recalculos PS'!AD37&gt;$F$41,$F$41,'Recalculos PS'!AD37)</f>
        <v>1812</v>
      </c>
      <c r="F71" s="2478">
        <f t="shared" si="34"/>
        <v>166928.27698752101</v>
      </c>
      <c r="G71" s="2478">
        <f t="shared" ref="G71:G73" si="58">+IF(I71*1000&gt;$E$41,$E$41,I71*1000)</f>
        <v>42241.024113783184</v>
      </c>
      <c r="H71" s="1211">
        <f t="shared" ref="H71:H73" si="59">+F71/1000</f>
        <v>166.928276987521</v>
      </c>
      <c r="I71" s="1211">
        <f t="shared" ref="I71:I73" si="60">+IF(C71*$E71*24/100000&gt;$E$41, $E$41,C71*$E71*24/100000)</f>
        <v>42.241024113783183</v>
      </c>
      <c r="J71" s="3109">
        <f t="shared" ref="J71:J73" si="61">WEEKDAY(K71,1)</f>
        <v>1</v>
      </c>
      <c r="K71" s="2572">
        <f>'R+P'!B36</f>
        <v>46110.791666666664</v>
      </c>
      <c r="L71" s="1214">
        <f t="shared" si="28"/>
        <v>671.67159151096257</v>
      </c>
      <c r="M71" s="1214">
        <f t="shared" si="44"/>
        <v>237.99999999993707</v>
      </c>
      <c r="N71" s="4033">
        <f>+IF((H71+I71)&gt;$Q$41,$Q$41,(H71+I71))</f>
        <v>209.1693011013042</v>
      </c>
      <c r="O71" s="2575"/>
      <c r="P71" s="2941">
        <f t="shared" ref="P71:P73" si="62">+N71/24*1000</f>
        <v>8715.3875458876737</v>
      </c>
      <c r="Q71" s="1778">
        <f t="shared" ref="Q71:Q73" si="63">+(F71+G71)/1000</f>
        <v>209.16930110130417</v>
      </c>
      <c r="R71" s="1778"/>
      <c r="S71" s="1778"/>
      <c r="T71" s="1778"/>
      <c r="U71" s="1780">
        <f t="shared" si="45"/>
        <v>46110.791666666664</v>
      </c>
      <c r="V71" s="2430">
        <f>'Plan mina ST'!AB71</f>
        <v>6.7903225806451619</v>
      </c>
      <c r="W71" s="1286">
        <f t="shared" si="46"/>
        <v>0.71706989247311836</v>
      </c>
      <c r="X71" s="1287">
        <f t="shared" si="47"/>
        <v>466.09543010752691</v>
      </c>
      <c r="Y71" s="2430">
        <f>+'Plan mina ST'!AE71</f>
        <v>6.629032258064516</v>
      </c>
      <c r="Z71" s="1286">
        <f t="shared" si="48"/>
        <v>0.72379032258064513</v>
      </c>
      <c r="AA71" s="1287">
        <f t="shared" si="49"/>
        <v>398.08467741935482</v>
      </c>
      <c r="AB71" s="1288">
        <f t="shared" si="50"/>
        <v>864.18010752688178</v>
      </c>
      <c r="AD71" s="785">
        <f t="shared" si="51"/>
        <v>7071.0768953988299</v>
      </c>
      <c r="AE71" s="1775">
        <f t="shared" si="52"/>
        <v>758.77907594354883</v>
      </c>
      <c r="AF71" s="1775">
        <f t="shared" si="53"/>
        <v>664.85818430886548</v>
      </c>
      <c r="AG71" s="1775">
        <f t="shared" si="54"/>
        <v>93.920891634683358</v>
      </c>
      <c r="AH71" s="1775">
        <f t="shared" si="55"/>
        <v>0</v>
      </c>
      <c r="AI71" s="1776">
        <f t="shared" si="56"/>
        <v>7174.3898761969813</v>
      </c>
      <c r="AJ71" s="1289">
        <f t="shared" si="57"/>
        <v>103.31298079815133</v>
      </c>
      <c r="AK71" s="2554"/>
      <c r="AT71" s="708"/>
    </row>
    <row r="72" spans="1:54" s="273" customFormat="1" ht="13">
      <c r="A72" s="1186">
        <f>'Recalculos PS'!V38</f>
        <v>6968.0433538705474</v>
      </c>
      <c r="B72" s="1211">
        <f>24-SUM('Proy. Mes'!BO38:BQ38)-SUM('Proy. Mes'!CP38:CR38)</f>
        <v>22.843513000000002</v>
      </c>
      <c r="C72" s="2219">
        <f>+'Proy. Mes'!BJ38</f>
        <v>97.132597759803119</v>
      </c>
      <c r="D72" s="4073">
        <f t="shared" si="40"/>
        <v>6968.0433538705474</v>
      </c>
      <c r="E72" s="2478">
        <f>+IF('Recalculos PS'!AD38&gt;$F$41,$F$41,'Recalculos PS'!AD38)</f>
        <v>1793.4233503697105</v>
      </c>
      <c r="F72" s="2478">
        <f t="shared" si="34"/>
        <v>159174.58893870545</v>
      </c>
      <c r="G72" s="2478">
        <f t="shared" si="58"/>
        <v>41807.968537079883</v>
      </c>
      <c r="H72" s="1211">
        <f t="shared" si="59"/>
        <v>159.17458893870545</v>
      </c>
      <c r="I72" s="1211">
        <f t="shared" si="60"/>
        <v>41.807968537079887</v>
      </c>
      <c r="J72" s="3109">
        <f t="shared" si="61"/>
        <v>2</v>
      </c>
      <c r="K72" s="2572">
        <f>'R+P'!B37</f>
        <v>46111.791666666664</v>
      </c>
      <c r="L72" s="1214">
        <f t="shared" si="28"/>
        <v>708.68903403522461</v>
      </c>
      <c r="M72" s="1214">
        <f t="shared" si="44"/>
        <v>238.00000000004738</v>
      </c>
      <c r="N72" s="4033">
        <f>+IF((H72+I72)&gt;$Q$41,$Q$41,(H72+I72))</f>
        <v>200.98255747578534</v>
      </c>
      <c r="O72" s="2575" t="s">
        <v>1883</v>
      </c>
      <c r="P72" s="2941">
        <f t="shared" si="62"/>
        <v>8374.2732281577228</v>
      </c>
      <c r="Q72" s="1778">
        <f t="shared" si="63"/>
        <v>200.98255747578531</v>
      </c>
      <c r="R72" s="1778"/>
      <c r="S72" s="1778"/>
      <c r="T72" s="1778"/>
      <c r="U72" s="1780">
        <f t="shared" si="45"/>
        <v>46111.791666666664</v>
      </c>
      <c r="V72" s="2430">
        <f>'Plan mina ST'!AB72</f>
        <v>6.7903225806451619</v>
      </c>
      <c r="W72" s="1286">
        <f t="shared" si="46"/>
        <v>0.71706989247311836</v>
      </c>
      <c r="X72" s="1287">
        <f t="shared" si="47"/>
        <v>466.09543010752691</v>
      </c>
      <c r="Y72" s="2430">
        <f>+'Plan mina ST'!AE72</f>
        <v>6.629032258064516</v>
      </c>
      <c r="Z72" s="1286">
        <f t="shared" si="48"/>
        <v>0.72379032258064513</v>
      </c>
      <c r="AA72" s="1287">
        <f t="shared" si="49"/>
        <v>398.08467741935482</v>
      </c>
      <c r="AB72" s="1288">
        <f t="shared" si="50"/>
        <v>864.18010752688178</v>
      </c>
      <c r="AD72" s="785">
        <f t="shared" si="51"/>
        <v>6968.0433538705474</v>
      </c>
      <c r="AE72" s="1775">
        <f t="shared" si="52"/>
        <v>751.0122083874553</v>
      </c>
      <c r="AF72" s="1775">
        <f t="shared" si="53"/>
        <v>656.35868540001184</v>
      </c>
      <c r="AG72" s="1775">
        <f t="shared" si="54"/>
        <v>94.653522987443466</v>
      </c>
      <c r="AH72" s="1775">
        <f t="shared" si="55"/>
        <v>0</v>
      </c>
      <c r="AI72" s="1776">
        <f t="shared" si="56"/>
        <v>7072.1622291567355</v>
      </c>
      <c r="AJ72" s="1289">
        <f t="shared" si="57"/>
        <v>104.11887528618809</v>
      </c>
      <c r="AK72" s="2554"/>
      <c r="AT72" s="708"/>
    </row>
    <row r="73" spans="1:54" s="273" customFormat="1" ht="13.5" thickBot="1">
      <c r="A73" s="1186">
        <f>'Recalculos PS'!V39</f>
        <v>7161.0878731423836</v>
      </c>
      <c r="B73" s="1211">
        <f>24-SUM('Proy. Mes'!BO39:BQ39)-SUM('Proy. Mes'!CP39:CR39)</f>
        <v>23.607193000000002</v>
      </c>
      <c r="C73" s="2219">
        <f>+'Proy. Mes'!BJ39</f>
        <v>97.132597759803119</v>
      </c>
      <c r="D73" s="4073">
        <f t="shared" si="40"/>
        <v>7161.0878731423836</v>
      </c>
      <c r="E73" s="2478">
        <f>+IF('Recalculos PS'!AD39&gt;$F$41,$F$41,'Recalculos PS'!AD39)</f>
        <v>1812</v>
      </c>
      <c r="F73" s="2478">
        <f t="shared" si="34"/>
        <v>169053.18351123179</v>
      </c>
      <c r="G73" s="2478">
        <f t="shared" si="58"/>
        <v>42241.024113783184</v>
      </c>
      <c r="H73" s="1211">
        <f t="shared" si="59"/>
        <v>169.05318351123179</v>
      </c>
      <c r="I73" s="1211">
        <f t="shared" si="60"/>
        <v>42.241024113783183</v>
      </c>
      <c r="J73" s="3891">
        <f t="shared" si="61"/>
        <v>3</v>
      </c>
      <c r="K73" s="3892">
        <f>'R+P'!B38</f>
        <v>46112.791666666664</v>
      </c>
      <c r="L73" s="4034">
        <f t="shared" si="28"/>
        <v>672.31243297864785</v>
      </c>
      <c r="M73" s="4034">
        <f>+F36/1000+F36/1000*0.5</f>
        <v>269.99999999969492</v>
      </c>
      <c r="N73" s="4033">
        <f>+IF((H73+I73)&gt;$Q$41,$Q$41,(H73+I73))*1.45</f>
        <v>306.37660105627168</v>
      </c>
      <c r="O73" s="2575"/>
      <c r="P73" s="2941">
        <f t="shared" si="62"/>
        <v>12765.691710677986</v>
      </c>
      <c r="Q73" s="1778">
        <f t="shared" si="63"/>
        <v>211.29420762501496</v>
      </c>
      <c r="R73" s="1778"/>
      <c r="S73" s="1778"/>
      <c r="T73" s="1778"/>
      <c r="U73" s="1780">
        <f t="shared" si="45"/>
        <v>46112.791666666664</v>
      </c>
      <c r="V73" s="2430">
        <f>'Plan mina ST'!AB73</f>
        <v>6.7903225806451619</v>
      </c>
      <c r="W73" s="1286">
        <f t="shared" si="46"/>
        <v>0.71706989247311836</v>
      </c>
      <c r="X73" s="1287">
        <f t="shared" si="47"/>
        <v>466.09543010752691</v>
      </c>
      <c r="Y73" s="2430">
        <f>+'Plan mina ST'!AE73</f>
        <v>6.629032258064516</v>
      </c>
      <c r="Z73" s="1286">
        <f t="shared" si="48"/>
        <v>0.72379032258064513</v>
      </c>
      <c r="AA73" s="1287">
        <f t="shared" si="49"/>
        <v>398.08467741935482</v>
      </c>
      <c r="AB73" s="1288">
        <f t="shared" si="50"/>
        <v>864.18010752688178</v>
      </c>
      <c r="AD73" s="785">
        <f t="shared" si="51"/>
        <v>7161.0878731423836</v>
      </c>
      <c r="AE73" s="1775">
        <f t="shared" si="52"/>
        <v>764.96811590262632</v>
      </c>
      <c r="AF73" s="1775">
        <f t="shared" si="53"/>
        <v>671.74412377397084</v>
      </c>
      <c r="AG73" s="1775">
        <f t="shared" si="54"/>
        <v>93.223992128655482</v>
      </c>
      <c r="AH73" s="1775">
        <f t="shared" si="55"/>
        <v>0</v>
      </c>
      <c r="AI73" s="1776">
        <f t="shared" si="56"/>
        <v>7263.6342644839051</v>
      </c>
      <c r="AJ73" s="1289">
        <f t="shared" si="57"/>
        <v>102.54639134152148</v>
      </c>
      <c r="AK73" s="2554"/>
      <c r="AT73" s="708"/>
    </row>
    <row r="74" spans="1:54" s="273" customFormat="1" ht="13.5" thickBot="1">
      <c r="A74" s="3243">
        <f t="shared" ref="A74:I74" si="64">+AVERAGE(A43:A73)</f>
        <v>6965.9137380006023</v>
      </c>
      <c r="B74" s="3244">
        <f t="shared" si="64"/>
        <v>31.044331826065456</v>
      </c>
      <c r="C74" s="3244">
        <f t="shared" si="64"/>
        <v>97.132597759803076</v>
      </c>
      <c r="D74" s="3245">
        <f t="shared" si="64"/>
        <v>6920.6129742764106</v>
      </c>
      <c r="E74" s="3246">
        <f t="shared" si="64"/>
        <v>1779.6034216937962</v>
      </c>
      <c r="F74" s="3246">
        <f t="shared" si="64"/>
        <v>151884.77256750147</v>
      </c>
      <c r="G74" s="3246">
        <f t="shared" si="64"/>
        <v>41485.800799524659</v>
      </c>
      <c r="H74" s="3245">
        <f t="shared" si="64"/>
        <v>151.88477256750144</v>
      </c>
      <c r="I74" s="3247">
        <f t="shared" si="64"/>
        <v>41.485800799524661</v>
      </c>
      <c r="J74" s="3893"/>
      <c r="K74" s="3894" t="s">
        <v>497</v>
      </c>
      <c r="L74" s="3895">
        <f>+L73</f>
        <v>672.31243297864785</v>
      </c>
      <c r="M74" s="3896">
        <f>SUM(M43:M73)</f>
        <v>6126.6977785153131</v>
      </c>
      <c r="N74" s="3897">
        <f>SUM(N43:N73)</f>
        <v>5942.5602677982115</v>
      </c>
      <c r="O74" s="2575"/>
      <c r="P74" s="2941"/>
      <c r="Q74" s="1778"/>
      <c r="R74" s="1778"/>
      <c r="S74" s="1778"/>
      <c r="T74" s="1778"/>
      <c r="U74" s="841"/>
      <c r="V74" s="1183" t="s">
        <v>48</v>
      </c>
      <c r="W74" s="3248">
        <f>+X73/$AB$73</f>
        <v>0.53934987168520099</v>
      </c>
      <c r="X74" s="3248">
        <f>+Y73/$AB$73</f>
        <v>7.6708919822692269E-3</v>
      </c>
      <c r="Y74" s="3248">
        <f>+Z73/$AB$73</f>
        <v>8.3754568784508892E-4</v>
      </c>
      <c r="Z74" s="3248">
        <f>+AA73/$AB$73</f>
        <v>0.4606501283147989</v>
      </c>
      <c r="AA74" s="362"/>
      <c r="AB74" s="3249"/>
      <c r="AF74" s="1254"/>
      <c r="AG74" s="1254"/>
      <c r="AH74" s="722"/>
      <c r="AK74" s="309"/>
      <c r="AS74" s="708"/>
    </row>
    <row r="75" spans="1:54" s="273" customFormat="1" ht="13.5" thickBot="1">
      <c r="A75" s="254"/>
      <c r="B75"/>
      <c r="C75"/>
      <c r="D75" s="553"/>
      <c r="E75" s="332"/>
      <c r="F75" s="236"/>
      <c r="G75" s="537"/>
      <c r="H75" s="537"/>
      <c r="I75" s="537"/>
      <c r="J75" s="239"/>
      <c r="K75" s="2938" t="s">
        <v>211</v>
      </c>
      <c r="L75" s="2939">
        <f>+L74/COUNT(L43:L73)</f>
        <v>21.687497838020899</v>
      </c>
      <c r="M75" s="2940">
        <f>+M74/COUNT(L43:L73)</f>
        <v>197.63541221017138</v>
      </c>
      <c r="N75" s="2940">
        <f>+N74/COUNT(N43:N73)</f>
        <v>191.69549250961973</v>
      </c>
      <c r="O75" s="3011"/>
      <c r="P75" s="2941"/>
      <c r="Q75" s="237"/>
      <c r="R75" s="1778"/>
      <c r="S75" s="1778"/>
      <c r="T75" s="1778"/>
      <c r="AK75" s="309"/>
      <c r="AL75"/>
      <c r="AM75"/>
      <c r="AN75"/>
      <c r="AO75"/>
      <c r="AP75"/>
      <c r="AQ75"/>
      <c r="AS75" s="708"/>
    </row>
    <row r="76" spans="1:54" ht="13.5" customHeight="1">
      <c r="D76" s="553"/>
      <c r="E76" s="332"/>
      <c r="F76" s="236"/>
      <c r="G76" s="537"/>
      <c r="H76" s="537">
        <f>119*0.9772</f>
        <v>116.2868</v>
      </c>
      <c r="I76" s="537"/>
      <c r="J76" s="239"/>
      <c r="K76" s="542"/>
      <c r="N76" s="384">
        <f>12*8500-40</f>
        <v>101960</v>
      </c>
      <c r="O76" s="3087"/>
      <c r="P76" s="237"/>
      <c r="Q76" s="237"/>
      <c r="R76" s="1778"/>
      <c r="S76" s="1778"/>
      <c r="T76" s="1778"/>
      <c r="AA76"/>
      <c r="AB76"/>
      <c r="AC76"/>
      <c r="AD76"/>
      <c r="AR76" s="254"/>
      <c r="BB76"/>
    </row>
    <row r="77" spans="1:54" ht="13">
      <c r="D77" s="553"/>
      <c r="E77" s="332"/>
      <c r="H77" s="537"/>
      <c r="I77" s="537"/>
      <c r="J77" s="239"/>
      <c r="K77" s="238"/>
      <c r="L77" s="237">
        <f>248*0.9772*0.97</f>
        <v>235.07523199999997</v>
      </c>
      <c r="M77" s="237"/>
      <c r="N77" s="237"/>
      <c r="O77" s="3085"/>
      <c r="P77" s="237"/>
      <c r="Q77" s="237"/>
      <c r="R77" s="237"/>
      <c r="S77" s="237"/>
      <c r="T77" s="237"/>
      <c r="U77" s="237"/>
      <c r="V77" s="237"/>
      <c r="AA77"/>
      <c r="AB77"/>
      <c r="AC77"/>
      <c r="AD77"/>
      <c r="AR77" s="254"/>
      <c r="BB77"/>
    </row>
    <row r="78" spans="1:54" ht="13">
      <c r="D78" s="553"/>
      <c r="E78" s="332" t="s">
        <v>1403</v>
      </c>
      <c r="F78" s="332" t="s">
        <v>1404</v>
      </c>
      <c r="G78" s="236" t="s">
        <v>9</v>
      </c>
      <c r="I78" s="252"/>
      <c r="J78" s="236">
        <f>55000/24</f>
        <v>2291.6666666666665</v>
      </c>
      <c r="K78" s="252"/>
      <c r="L78" s="237"/>
      <c r="M78" s="237"/>
      <c r="N78" s="237"/>
      <c r="O78" s="3086" cm="1">
        <f t="array" ref="O78:O80">TRANSPOSE('Visualizacion PSvsST'!E13:G13)</f>
        <v>8719.0412576778508</v>
      </c>
      <c r="P78" s="237"/>
      <c r="Q78" s="237"/>
      <c r="R78" s="237"/>
      <c r="S78" s="237"/>
      <c r="T78" s="237"/>
      <c r="U78" s="237"/>
      <c r="V78" s="237"/>
      <c r="AA78"/>
      <c r="AB78"/>
      <c r="AC78"/>
      <c r="AD78"/>
      <c r="AR78" s="254"/>
      <c r="BB78"/>
    </row>
    <row r="79" spans="1:54" ht="13">
      <c r="B79" s="2552">
        <f t="shared" ref="B79:B85" si="65">+K52</f>
        <v>46091.791666666664</v>
      </c>
      <c r="C79" s="157">
        <f t="shared" ref="C79:C85" si="66">+A52-1812</f>
        <v>4949.3152189303219</v>
      </c>
      <c r="D79">
        <v>1812</v>
      </c>
      <c r="E79">
        <v>96.990405932203345</v>
      </c>
      <c r="F79" s="332">
        <v>175802.50801332152</v>
      </c>
      <c r="G79" s="1514">
        <v>175802.50801332152</v>
      </c>
      <c r="H79" s="553"/>
      <c r="I79" s="219">
        <f>4400*24</f>
        <v>105600</v>
      </c>
      <c r="J79" s="157"/>
      <c r="K79" s="157"/>
      <c r="L79" s="237">
        <f>240*0.9772</f>
        <v>234.52799999999999</v>
      </c>
      <c r="M79" s="237"/>
      <c r="N79" s="236" t="s">
        <v>1362</v>
      </c>
      <c r="O79" s="237">
        <v>8629.5305387310873</v>
      </c>
      <c r="P79" s="537">
        <v>3781</v>
      </c>
      <c r="Q79" s="237"/>
      <c r="R79" s="237"/>
      <c r="S79" s="237"/>
      <c r="T79" s="237"/>
      <c r="U79" s="237"/>
      <c r="V79" s="237"/>
      <c r="AA79"/>
      <c r="AB79"/>
      <c r="AC79"/>
      <c r="AD79"/>
      <c r="AR79" s="254"/>
      <c r="BB79"/>
    </row>
    <row r="80" spans="1:54" ht="13">
      <c r="B80" s="2552">
        <f t="shared" si="65"/>
        <v>46092.791666666664</v>
      </c>
      <c r="C80" s="157">
        <f t="shared" si="66"/>
        <v>5120.1158654450564</v>
      </c>
      <c r="D80">
        <v>1812</v>
      </c>
      <c r="E80">
        <v>96.990405932203345</v>
      </c>
      <c r="F80" s="332">
        <v>175680.21837264081</v>
      </c>
      <c r="G80" s="1514">
        <v>175680.21837264081</v>
      </c>
      <c r="H80" s="553"/>
      <c r="I80" s="553"/>
      <c r="J80" s="157"/>
      <c r="K80" s="157"/>
      <c r="L80" s="237"/>
      <c r="M80" s="237"/>
      <c r="N80" s="236" t="s">
        <v>1099</v>
      </c>
      <c r="O80" s="237">
        <v>8838.1505034358051</v>
      </c>
      <c r="P80" s="236">
        <v>27.78</v>
      </c>
      <c r="Q80" s="237"/>
      <c r="R80" s="237"/>
      <c r="S80" s="237"/>
      <c r="T80" s="237"/>
      <c r="U80" s="237"/>
      <c r="V80" s="237"/>
      <c r="AA80"/>
      <c r="AB80"/>
      <c r="AC80"/>
      <c r="AD80"/>
      <c r="AR80" s="254"/>
      <c r="BB80"/>
    </row>
    <row r="81" spans="2:54" ht="13">
      <c r="B81" s="2552">
        <f t="shared" si="65"/>
        <v>46093.791666666664</v>
      </c>
      <c r="C81" s="157">
        <f t="shared" si="66"/>
        <v>5444.071568737435</v>
      </c>
      <c r="D81">
        <v>1812</v>
      </c>
      <c r="E81">
        <v>96.990405932203345</v>
      </c>
      <c r="F81" s="332">
        <v>176494.21186639479</v>
      </c>
      <c r="G81" s="2553">
        <v>176494.21186639479</v>
      </c>
      <c r="H81" s="553"/>
      <c r="I81" s="236">
        <f>6800*6+6*8200</f>
        <v>90000</v>
      </c>
      <c r="J81" s="157"/>
      <c r="K81" s="157"/>
      <c r="L81" s="237"/>
      <c r="M81" s="237"/>
      <c r="N81" s="553" t="s">
        <v>1363</v>
      </c>
      <c r="O81" s="237"/>
      <c r="P81" s="252">
        <f>+P79*P80/100</f>
        <v>1050.3618000000001</v>
      </c>
      <c r="Q81" s="237"/>
      <c r="R81" s="237"/>
      <c r="S81" s="237"/>
      <c r="T81" s="237"/>
      <c r="U81" s="237"/>
      <c r="V81" s="237"/>
      <c r="AA81"/>
      <c r="AB81"/>
      <c r="AC81"/>
      <c r="AD81"/>
      <c r="AR81" s="254"/>
      <c r="BB81"/>
    </row>
    <row r="82" spans="2:54" ht="13">
      <c r="B82" s="2552">
        <f t="shared" si="65"/>
        <v>46094.791666666664</v>
      </c>
      <c r="C82" s="157">
        <f t="shared" si="66"/>
        <v>4932.2265243423017</v>
      </c>
      <c r="D82">
        <v>1812</v>
      </c>
      <c r="E82">
        <v>86.793030932203351</v>
      </c>
      <c r="F82" s="332">
        <v>167411.57231279448</v>
      </c>
      <c r="G82" s="2553">
        <v>167411.57231279448</v>
      </c>
      <c r="H82" s="553"/>
      <c r="I82" s="553"/>
      <c r="J82" s="157"/>
      <c r="K82" s="157"/>
      <c r="L82" s="237"/>
      <c r="M82" s="237"/>
      <c r="N82" s="553" t="s">
        <v>1364</v>
      </c>
      <c r="O82" s="237"/>
      <c r="P82" s="252">
        <f>+P81*0.9644</f>
        <v>1012.9689199200002</v>
      </c>
      <c r="Q82" s="237"/>
      <c r="R82" s="237"/>
      <c r="S82" s="237"/>
      <c r="T82" s="237"/>
      <c r="U82" s="237"/>
      <c r="V82" s="237"/>
      <c r="AA82"/>
      <c r="AB82"/>
      <c r="AC82"/>
      <c r="AD82"/>
      <c r="AR82" s="254"/>
      <c r="BB82"/>
    </row>
    <row r="83" spans="2:54" ht="13">
      <c r="B83" s="2552">
        <f t="shared" si="65"/>
        <v>46095.791666666664</v>
      </c>
      <c r="C83" s="157">
        <f t="shared" si="66"/>
        <v>5036.8172240704025</v>
      </c>
      <c r="D83">
        <v>1812</v>
      </c>
      <c r="E83">
        <v>70.549804449152532</v>
      </c>
      <c r="F83" s="332">
        <f>+E83*A56*24/100</f>
        <v>115963.8518078771</v>
      </c>
      <c r="G83" s="2553">
        <v>155768.43217664008</v>
      </c>
      <c r="H83" s="553"/>
      <c r="I83" s="553"/>
      <c r="J83" s="157"/>
      <c r="K83" s="157">
        <v>208.93099344375906</v>
      </c>
      <c r="L83" s="237">
        <f>6800*24/1000</f>
        <v>163.19999999999999</v>
      </c>
      <c r="M83" s="2937">
        <f>K83-L83</f>
        <v>45.730993443759075</v>
      </c>
      <c r="N83" s="3084">
        <f>L83/24</f>
        <v>6.8</v>
      </c>
      <c r="O83" s="237"/>
      <c r="P83" s="237"/>
      <c r="Q83" s="237"/>
      <c r="R83" s="237"/>
      <c r="S83" s="237"/>
      <c r="T83" s="237"/>
      <c r="U83" s="237"/>
      <c r="V83" s="237"/>
      <c r="AA83"/>
      <c r="AB83"/>
      <c r="AC83"/>
      <c r="AD83"/>
      <c r="AR83" s="254"/>
      <c r="BB83"/>
    </row>
    <row r="84" spans="2:54" ht="13">
      <c r="B84" s="2552">
        <f t="shared" si="65"/>
        <v>46096.791666666664</v>
      </c>
      <c r="C84" s="157">
        <f t="shared" si="66"/>
        <v>5148.2947025422891</v>
      </c>
      <c r="D84">
        <v>1812</v>
      </c>
      <c r="E84">
        <v>70.549804449152532</v>
      </c>
      <c r="F84" s="332">
        <f>+E84*A57*24/100</f>
        <v>117851.38324147937</v>
      </c>
      <c r="G84" s="2553">
        <v>159878.07082479514</v>
      </c>
      <c r="H84" s="553"/>
      <c r="I84" s="553"/>
      <c r="J84" s="157"/>
      <c r="K84" s="157">
        <v>192.23585203897846</v>
      </c>
      <c r="L84" s="237">
        <f t="shared" ref="L84:L90" si="67">6800*24/1000</f>
        <v>163.19999999999999</v>
      </c>
      <c r="M84" s="2937">
        <f t="shared" ref="M84:M90" si="68">K84-L84</f>
        <v>29.035852038978476</v>
      </c>
      <c r="N84" s="237"/>
      <c r="O84" s="237"/>
      <c r="P84" s="237"/>
      <c r="Q84" s="237"/>
      <c r="R84" s="237"/>
      <c r="S84" s="237"/>
      <c r="T84" s="237"/>
      <c r="U84" s="237"/>
      <c r="V84" s="237"/>
      <c r="AA84"/>
      <c r="AB84"/>
      <c r="AC84"/>
      <c r="AD84"/>
      <c r="AQ84" s="254"/>
      <c r="BB84"/>
    </row>
    <row r="85" spans="2:54" ht="13">
      <c r="B85" s="2552">
        <f t="shared" si="65"/>
        <v>46097.791666666664</v>
      </c>
      <c r="C85" s="157">
        <f t="shared" si="66"/>
        <v>5142.9616566932718</v>
      </c>
      <c r="D85">
        <v>1812</v>
      </c>
      <c r="E85">
        <v>70.549804449152532</v>
      </c>
      <c r="F85" s="332">
        <f>+E85*A58*24/100</f>
        <v>117761.08435945543</v>
      </c>
      <c r="G85" s="2553">
        <v>161422.35057872336</v>
      </c>
      <c r="H85" s="553"/>
      <c r="I85" s="553"/>
      <c r="J85" s="157"/>
      <c r="K85" s="157">
        <v>198.09374097710352</v>
      </c>
      <c r="L85" s="237">
        <f t="shared" si="67"/>
        <v>163.19999999999999</v>
      </c>
      <c r="M85" s="2937">
        <f t="shared" si="68"/>
        <v>34.893740977103533</v>
      </c>
      <c r="N85" s="237"/>
      <c r="O85" s="237"/>
      <c r="P85" s="237"/>
      <c r="Q85" s="237"/>
      <c r="R85" s="237"/>
      <c r="S85" s="237"/>
      <c r="T85" s="237"/>
      <c r="U85" s="237"/>
      <c r="V85" s="237"/>
      <c r="AA85"/>
      <c r="AB85"/>
      <c r="AC85"/>
      <c r="AD85"/>
      <c r="AQ85" s="254"/>
      <c r="BB85"/>
    </row>
    <row r="86" spans="2:54" ht="13">
      <c r="B86" s="2552"/>
      <c r="C86" s="157"/>
      <c r="D86"/>
      <c r="E86"/>
      <c r="F86" s="553"/>
      <c r="G86" s="553"/>
      <c r="H86" s="553"/>
      <c r="I86" s="553"/>
      <c r="J86" s="157"/>
      <c r="K86" s="157">
        <v>205.83639219430799</v>
      </c>
      <c r="L86" s="237">
        <f t="shared" si="67"/>
        <v>163.19999999999999</v>
      </c>
      <c r="M86" s="2937">
        <f t="shared" si="68"/>
        <v>42.636392194308002</v>
      </c>
      <c r="N86" s="237"/>
      <c r="O86" s="237"/>
      <c r="P86" s="237"/>
      <c r="Q86" s="237"/>
      <c r="R86" s="237"/>
      <c r="S86" s="237"/>
      <c r="T86" s="237"/>
      <c r="U86" s="237"/>
      <c r="V86" s="237"/>
      <c r="AA86"/>
      <c r="AB86"/>
      <c r="AC86"/>
      <c r="AD86"/>
      <c r="AQ86" s="254"/>
      <c r="BB86"/>
    </row>
    <row r="87" spans="2:54" ht="13">
      <c r="D87"/>
      <c r="E87"/>
      <c r="F87" s="553"/>
      <c r="G87" s="553"/>
      <c r="H87" s="553"/>
      <c r="I87" s="553"/>
      <c r="J87" s="157"/>
      <c r="K87" s="157">
        <v>209</v>
      </c>
      <c r="L87" s="237">
        <f t="shared" si="67"/>
        <v>163.19999999999999</v>
      </c>
      <c r="M87" s="2937">
        <f t="shared" si="68"/>
        <v>45.800000000000011</v>
      </c>
      <c r="N87" s="237"/>
      <c r="O87" s="237"/>
      <c r="P87" s="237"/>
      <c r="Q87" s="237"/>
      <c r="R87" s="237"/>
      <c r="S87" s="237"/>
      <c r="T87" s="237"/>
      <c r="U87" s="237"/>
      <c r="V87" s="237"/>
      <c r="AA87"/>
      <c r="AB87"/>
      <c r="AC87"/>
      <c r="AD87"/>
      <c r="AQ87" s="254"/>
      <c r="BB87"/>
    </row>
    <row r="88" spans="2:54" ht="13">
      <c r="D88"/>
      <c r="E88"/>
      <c r="F88" s="553"/>
      <c r="G88" s="553"/>
      <c r="H88" s="553"/>
      <c r="I88" s="553"/>
      <c r="J88" s="157"/>
      <c r="K88" s="157">
        <v>209</v>
      </c>
      <c r="L88" s="237">
        <f t="shared" si="67"/>
        <v>163.19999999999999</v>
      </c>
      <c r="M88" s="2937">
        <f t="shared" si="68"/>
        <v>45.800000000000011</v>
      </c>
      <c r="N88" s="237"/>
      <c r="O88" s="237"/>
      <c r="P88" s="237"/>
      <c r="Q88" s="237"/>
      <c r="R88" s="237"/>
      <c r="S88" s="237"/>
      <c r="T88" s="237"/>
      <c r="U88" s="237"/>
      <c r="V88" s="237"/>
      <c r="AA88"/>
      <c r="AB88"/>
      <c r="AC88"/>
      <c r="AD88"/>
      <c r="AQ88" s="254"/>
      <c r="BB88"/>
    </row>
    <row r="89" spans="2:54" ht="13">
      <c r="D89"/>
      <c r="E89"/>
      <c r="F89" s="553"/>
      <c r="G89" s="553"/>
      <c r="H89" s="553"/>
      <c r="I89" s="553"/>
      <c r="J89" s="157"/>
      <c r="K89" s="157">
        <v>209</v>
      </c>
      <c r="L89" s="237">
        <f t="shared" si="67"/>
        <v>163.19999999999999</v>
      </c>
      <c r="M89" s="2937">
        <f t="shared" si="68"/>
        <v>45.800000000000011</v>
      </c>
      <c r="N89" s="237"/>
      <c r="O89" s="237"/>
      <c r="P89" s="237"/>
      <c r="Q89" s="237"/>
      <c r="R89" s="237"/>
      <c r="S89" s="237"/>
      <c r="T89" s="237"/>
      <c r="U89" s="237"/>
      <c r="V89" s="237"/>
      <c r="AA89"/>
      <c r="AB89"/>
      <c r="AC89"/>
      <c r="AD89"/>
      <c r="AQ89" s="254"/>
      <c r="BB89"/>
    </row>
    <row r="90" spans="2:54" ht="13">
      <c r="D90"/>
      <c r="E90"/>
      <c r="F90" s="553"/>
      <c r="G90" s="553"/>
      <c r="H90" s="553"/>
      <c r="I90" s="553"/>
      <c r="J90" s="157"/>
      <c r="K90" s="157">
        <v>199.3779803224929</v>
      </c>
      <c r="L90" s="237">
        <f t="shared" si="67"/>
        <v>163.19999999999999</v>
      </c>
      <c r="M90" s="2937">
        <f t="shared" si="68"/>
        <v>36.177980322492914</v>
      </c>
      <c r="N90" s="237"/>
      <c r="O90" s="237"/>
      <c r="P90" s="237"/>
      <c r="Q90" s="237"/>
      <c r="R90" s="237"/>
      <c r="S90" s="237"/>
      <c r="T90" s="237"/>
      <c r="U90" s="237"/>
      <c r="V90" s="237"/>
      <c r="AA90"/>
      <c r="AB90"/>
      <c r="AC90"/>
      <c r="AD90"/>
      <c r="AQ90" s="254"/>
      <c r="BB90"/>
    </row>
    <row r="91" spans="2:54" ht="13">
      <c r="D91"/>
      <c r="E91"/>
      <c r="F91" s="553"/>
      <c r="G91" s="553"/>
      <c r="H91" s="553" t="s">
        <v>1581</v>
      </c>
      <c r="I91" s="553" t="s">
        <v>1584</v>
      </c>
      <c r="J91" s="157" t="s">
        <v>1585</v>
      </c>
      <c r="K91" s="157"/>
      <c r="L91" s="237"/>
      <c r="M91" s="237"/>
      <c r="N91" s="237"/>
      <c r="O91" s="237"/>
      <c r="P91" s="237"/>
      <c r="Q91" s="237"/>
      <c r="R91" s="237"/>
      <c r="S91" s="237"/>
      <c r="T91" s="237"/>
      <c r="U91" s="237"/>
      <c r="V91" s="237"/>
      <c r="AA91"/>
      <c r="AB91"/>
      <c r="AC91"/>
      <c r="AD91"/>
      <c r="AQ91" s="254"/>
      <c r="BB91"/>
    </row>
    <row r="92" spans="2:54" ht="13">
      <c r="D92"/>
      <c r="E92"/>
      <c r="F92" s="553"/>
      <c r="G92" s="553" t="s">
        <v>1578</v>
      </c>
      <c r="H92" s="219">
        <f>478*0.9772</f>
        <v>467.10159999999996</v>
      </c>
      <c r="I92" s="219"/>
      <c r="J92" s="157"/>
      <c r="K92" s="157"/>
      <c r="L92" s="237"/>
      <c r="M92" s="237"/>
      <c r="N92" s="237"/>
      <c r="O92" s="237"/>
      <c r="P92" s="237"/>
      <c r="Q92" s="237"/>
      <c r="R92" s="237"/>
      <c r="S92" s="237"/>
      <c r="T92" s="237"/>
      <c r="U92" s="237"/>
      <c r="V92" s="237"/>
      <c r="AA92"/>
      <c r="AB92"/>
      <c r="AC92"/>
      <c r="AD92"/>
      <c r="AQ92" s="254"/>
      <c r="BB92"/>
    </row>
    <row r="93" spans="2:54" ht="13">
      <c r="D93"/>
      <c r="E93"/>
      <c r="F93" s="553" t="s">
        <v>1580</v>
      </c>
      <c r="G93" s="553" t="s">
        <v>1579</v>
      </c>
      <c r="H93" s="3200">
        <f>+H92+I93-J93</f>
        <v>490.31999999999994</v>
      </c>
      <c r="I93" s="219">
        <f>122*0.9772</f>
        <v>119.21839999999999</v>
      </c>
      <c r="J93" s="157">
        <v>96</v>
      </c>
      <c r="K93" s="157"/>
      <c r="L93" s="237"/>
      <c r="M93" s="237"/>
      <c r="N93" s="237"/>
      <c r="O93" s="237"/>
      <c r="P93" s="237"/>
      <c r="Q93" s="237"/>
      <c r="R93" s="237"/>
      <c r="S93" s="237"/>
      <c r="T93" s="237"/>
      <c r="U93" s="237"/>
      <c r="V93" s="237"/>
      <c r="AA93"/>
      <c r="AB93"/>
      <c r="AC93"/>
      <c r="AD93"/>
      <c r="AQ93" s="254"/>
      <c r="BB93"/>
    </row>
    <row r="94" spans="2:54" ht="13">
      <c r="D94"/>
      <c r="E94"/>
      <c r="F94" s="553" t="s">
        <v>1583</v>
      </c>
      <c r="G94" s="553" t="s">
        <v>1582</v>
      </c>
      <c r="H94" s="3200">
        <f>+H93+I94-J94</f>
        <v>476.31999999999994</v>
      </c>
      <c r="I94" s="219">
        <v>95</v>
      </c>
      <c r="J94" s="157">
        <v>109</v>
      </c>
      <c r="K94" s="157"/>
      <c r="L94" s="237"/>
      <c r="M94" s="237">
        <v>48</v>
      </c>
      <c r="N94" s="237">
        <f>+M95/M94*100</f>
        <v>20.833333333333336</v>
      </c>
      <c r="O94" s="237"/>
      <c r="P94" s="2937">
        <f>10*(1-0.21)</f>
        <v>7.9</v>
      </c>
      <c r="Q94" s="237"/>
      <c r="R94" s="237"/>
      <c r="S94" s="237"/>
      <c r="T94" s="237"/>
      <c r="U94" s="237"/>
      <c r="V94" s="237"/>
      <c r="AA94"/>
      <c r="AB94"/>
      <c r="AC94"/>
      <c r="AD94"/>
      <c r="AQ94" s="254"/>
      <c r="BB94"/>
    </row>
    <row r="95" spans="2:54" ht="13">
      <c r="D95"/>
      <c r="E95"/>
      <c r="F95" s="553"/>
      <c r="G95" s="553"/>
      <c r="H95" s="553"/>
      <c r="I95" s="553"/>
      <c r="J95" s="157"/>
      <c r="K95" s="157"/>
      <c r="L95" s="237"/>
      <c r="M95" s="237">
        <v>10</v>
      </c>
      <c r="N95" s="237"/>
      <c r="O95" s="237"/>
      <c r="P95" s="237"/>
      <c r="Q95" s="237"/>
      <c r="R95" s="237"/>
      <c r="S95" s="237"/>
      <c r="T95" s="237"/>
      <c r="U95" s="237"/>
      <c r="V95" s="237"/>
      <c r="AA95"/>
      <c r="AB95"/>
      <c r="AC95"/>
      <c r="AD95"/>
      <c r="AQ95" s="254"/>
      <c r="BB95"/>
    </row>
    <row r="96" spans="2:54" ht="13">
      <c r="D96"/>
      <c r="E96"/>
      <c r="F96" s="236"/>
      <c r="G96" s="252"/>
      <c r="I96" s="252"/>
      <c r="L96" s="237"/>
      <c r="M96" s="237"/>
      <c r="N96" s="237"/>
      <c r="O96" s="237"/>
      <c r="P96" s="237"/>
      <c r="Q96" s="237"/>
      <c r="R96" s="237"/>
      <c r="S96" s="237"/>
      <c r="T96" s="237"/>
      <c r="U96" s="237"/>
      <c r="V96" s="237"/>
      <c r="AA96"/>
      <c r="AB96"/>
      <c r="AC96"/>
      <c r="AD96"/>
      <c r="AQ96" s="254"/>
      <c r="BB96"/>
    </row>
    <row r="97" spans="4:54">
      <c r="D97"/>
      <c r="E97"/>
      <c r="F97" s="236"/>
      <c r="G97" s="252"/>
      <c r="I97" s="252"/>
      <c r="N97" s="384"/>
      <c r="O97" s="384"/>
      <c r="P97" s="384"/>
      <c r="Q97" s="331"/>
      <c r="AA97"/>
      <c r="AB97"/>
      <c r="AC97"/>
      <c r="AD97"/>
      <c r="AQ97" s="254"/>
      <c r="BB97"/>
    </row>
    <row r="98" spans="4:54">
      <c r="D98"/>
      <c r="E98"/>
      <c r="F98" s="236"/>
      <c r="G98" s="252"/>
      <c r="I98" s="252"/>
      <c r="N98" s="384"/>
      <c r="O98" s="384"/>
      <c r="P98" s="384"/>
      <c r="Q98" s="331"/>
      <c r="AA98"/>
      <c r="AB98"/>
      <c r="AC98"/>
      <c r="AD98"/>
      <c r="AQ98" s="254"/>
      <c r="BB98"/>
    </row>
    <row r="99" spans="4:54">
      <c r="D99"/>
      <c r="E99"/>
      <c r="F99" s="236" t="s">
        <v>174</v>
      </c>
      <c r="G99" s="252" t="s">
        <v>1867</v>
      </c>
      <c r="I99" s="252"/>
      <c r="K99" s="236"/>
      <c r="L99" s="3200">
        <v>209.64829343389695</v>
      </c>
      <c r="M99" s="352">
        <v>196.80552980560992</v>
      </c>
      <c r="N99" s="344"/>
      <c r="O99" s="344"/>
      <c r="P99" s="384"/>
      <c r="Q99" s="384"/>
      <c r="R99" s="331"/>
      <c r="AA99"/>
      <c r="AB99"/>
      <c r="AC99"/>
      <c r="AD99"/>
      <c r="AR99" s="254"/>
      <c r="BB99"/>
    </row>
    <row r="100" spans="4:54">
      <c r="D100"/>
      <c r="E100" s="2552">
        <f>+K62</f>
        <v>46101.791666666664</v>
      </c>
      <c r="F100" s="252">
        <v>196.80552980560992</v>
      </c>
      <c r="G100" s="252">
        <f>+N62</f>
        <v>204.8357736194902</v>
      </c>
      <c r="I100" s="252"/>
      <c r="K100" s="236"/>
      <c r="L100" s="3200">
        <v>201.49104574428642</v>
      </c>
      <c r="M100" s="352">
        <v>193.07268402239217</v>
      </c>
      <c r="N100" s="344"/>
      <c r="O100" s="344"/>
      <c r="P100" s="384"/>
      <c r="Q100" s="384"/>
      <c r="R100" s="331"/>
      <c r="AA100"/>
      <c r="AB100"/>
      <c r="AC100"/>
      <c r="AD100"/>
      <c r="AR100" s="254"/>
      <c r="BB100"/>
    </row>
    <row r="101" spans="4:54">
      <c r="D101" s="362"/>
      <c r="E101" s="2552">
        <f t="shared" ref="E101:E110" si="69">+K63</f>
        <v>46102.791666666664</v>
      </c>
      <c r="F101" s="252">
        <v>193.07268402239217</v>
      </c>
      <c r="G101" s="252">
        <f t="shared" ref="G101:G111" si="70">+N63</f>
        <v>202.73290510208849</v>
      </c>
      <c r="I101" s="252"/>
      <c r="K101" s="236"/>
      <c r="L101" s="252">
        <v>197.98009784562757</v>
      </c>
      <c r="M101" s="332">
        <v>194.60323060466635</v>
      </c>
      <c r="N101" s="236"/>
      <c r="O101" s="236"/>
      <c r="P101" s="236"/>
      <c r="Q101" s="236"/>
      <c r="R101" s="331"/>
      <c r="AA101"/>
      <c r="AB101"/>
      <c r="AC101"/>
      <c r="AD101"/>
      <c r="AR101" s="254"/>
      <c r="BB101"/>
    </row>
    <row r="102" spans="4:54">
      <c r="D102" s="385"/>
      <c r="E102" s="2552">
        <f t="shared" si="69"/>
        <v>46103.791666666664</v>
      </c>
      <c r="F102" s="252">
        <v>194.60323060466635</v>
      </c>
      <c r="G102" s="252">
        <f t="shared" si="70"/>
        <v>207.63399807777913</v>
      </c>
      <c r="I102" s="252"/>
      <c r="K102" s="236"/>
      <c r="L102" s="252">
        <v>194.50139239400045</v>
      </c>
      <c r="M102" s="332">
        <v>191.50683501760332</v>
      </c>
      <c r="N102" s="236"/>
      <c r="O102" s="236"/>
      <c r="P102" s="236"/>
      <c r="Q102" s="236"/>
      <c r="R102" s="331"/>
      <c r="AA102"/>
      <c r="AB102"/>
      <c r="AC102"/>
      <c r="AD102"/>
      <c r="AR102" s="254"/>
      <c r="BB102"/>
    </row>
    <row r="103" spans="4:54">
      <c r="D103" s="385"/>
      <c r="E103" s="2552">
        <f t="shared" si="69"/>
        <v>46104.791666666664</v>
      </c>
      <c r="F103" s="252">
        <v>191.50683501760332</v>
      </c>
      <c r="G103" s="252">
        <f t="shared" si="70"/>
        <v>197.36770075599367</v>
      </c>
      <c r="I103" s="252"/>
      <c r="K103" s="236"/>
      <c r="L103" s="3200">
        <v>199.26210088135053</v>
      </c>
      <c r="M103" s="352">
        <v>199.1353856740532</v>
      </c>
      <c r="N103" s="344"/>
      <c r="O103" s="344"/>
      <c r="P103" s="384"/>
      <c r="Q103" s="384"/>
      <c r="R103" s="331"/>
      <c r="AA103"/>
      <c r="AB103"/>
      <c r="AC103"/>
      <c r="AD103"/>
      <c r="AR103" s="254"/>
      <c r="BB103"/>
    </row>
    <row r="104" spans="4:54">
      <c r="D104" s="385"/>
      <c r="E104" s="2552">
        <f t="shared" si="69"/>
        <v>46105.791666666664</v>
      </c>
      <c r="F104" s="252">
        <v>199.1353856740532</v>
      </c>
      <c r="G104" s="252">
        <f t="shared" si="70"/>
        <v>200.36838777048467</v>
      </c>
      <c r="I104" s="252"/>
      <c r="K104" s="236"/>
      <c r="L104" s="3200">
        <v>201.18044863888252</v>
      </c>
      <c r="M104" s="352">
        <v>201.25165792879966</v>
      </c>
      <c r="N104" s="344"/>
      <c r="O104" s="344"/>
      <c r="P104" s="384"/>
      <c r="Q104" s="384"/>
      <c r="R104" s="331"/>
      <c r="AA104"/>
      <c r="AB104"/>
      <c r="AC104"/>
      <c r="AD104"/>
      <c r="AR104" s="254"/>
      <c r="BB104"/>
    </row>
    <row r="105" spans="4:54">
      <c r="D105" s="385"/>
      <c r="E105" s="2552">
        <f t="shared" si="69"/>
        <v>46106.791666666664</v>
      </c>
      <c r="F105" s="252">
        <v>201.25165792879966</v>
      </c>
      <c r="G105" s="252">
        <f t="shared" si="70"/>
        <v>197.29519435247991</v>
      </c>
      <c r="I105" s="252"/>
      <c r="K105" s="236"/>
      <c r="L105" s="3200">
        <v>201.14426868652146</v>
      </c>
      <c r="M105" s="352">
        <v>209.16758830531856</v>
      </c>
      <c r="N105" s="344"/>
      <c r="O105" s="344"/>
      <c r="P105" s="384"/>
      <c r="Q105" s="384"/>
      <c r="R105" s="331"/>
      <c r="AA105"/>
      <c r="AB105"/>
      <c r="AC105"/>
      <c r="AD105"/>
      <c r="AR105" s="254"/>
      <c r="BB105"/>
    </row>
    <row r="106" spans="4:54">
      <c r="D106" s="362"/>
      <c r="E106" s="2552">
        <f t="shared" si="69"/>
        <v>46107.791666666664</v>
      </c>
      <c r="F106" s="252">
        <v>209.16758830531856</v>
      </c>
      <c r="G106" s="252">
        <f t="shared" si="70"/>
        <v>194.19702884296299</v>
      </c>
      <c r="I106" s="252"/>
      <c r="K106" s="236"/>
      <c r="L106" s="3200">
        <v>207.34833463281248</v>
      </c>
      <c r="M106" s="352">
        <v>209.54887494626041</v>
      </c>
      <c r="N106" s="344"/>
      <c r="O106" s="344"/>
      <c r="P106" s="384"/>
      <c r="Q106" s="384"/>
      <c r="R106" s="331"/>
      <c r="AA106"/>
      <c r="AB106"/>
      <c r="AC106"/>
      <c r="AD106"/>
      <c r="AR106" s="254"/>
      <c r="BB106"/>
    </row>
    <row r="107" spans="4:54">
      <c r="D107" s="362"/>
      <c r="E107" s="2552">
        <f t="shared" si="69"/>
        <v>46108.791666666664</v>
      </c>
      <c r="F107" s="252">
        <v>209.54887494626041</v>
      </c>
      <c r="G107" s="252">
        <f t="shared" si="70"/>
        <v>203.51059671721515</v>
      </c>
      <c r="I107" s="252"/>
      <c r="K107" s="236"/>
      <c r="L107" s="3200">
        <v>201.20954552670514</v>
      </c>
      <c r="M107" s="352">
        <v>215.59308832196021</v>
      </c>
      <c r="N107" s="344"/>
      <c r="O107" s="344"/>
      <c r="P107" s="384"/>
      <c r="Q107" s="384"/>
      <c r="R107" s="331"/>
      <c r="AA107"/>
      <c r="AB107"/>
      <c r="AC107"/>
      <c r="AD107"/>
      <c r="AR107" s="254"/>
      <c r="BB107"/>
    </row>
    <row r="108" spans="4:54">
      <c r="D108" s="362"/>
      <c r="E108" s="2552">
        <f t="shared" si="69"/>
        <v>46109.791666666664</v>
      </c>
      <c r="F108" s="252">
        <v>215.59308832196021</v>
      </c>
      <c r="G108" s="252">
        <f t="shared" si="70"/>
        <v>206.24992537445974</v>
      </c>
      <c r="I108" s="252"/>
      <c r="K108" s="236"/>
      <c r="L108" s="3200">
        <v>207.28384534583165</v>
      </c>
      <c r="M108" s="352">
        <v>210.62592929803247</v>
      </c>
      <c r="N108" s="344"/>
      <c r="O108" s="344"/>
      <c r="P108" s="384"/>
      <c r="Q108" s="384"/>
      <c r="R108" s="331"/>
      <c r="AA108"/>
      <c r="AB108"/>
      <c r="AC108"/>
      <c r="AD108"/>
      <c r="AR108" s="254"/>
      <c r="BB108"/>
    </row>
    <row r="109" spans="4:54">
      <c r="E109" s="2552">
        <f t="shared" si="69"/>
        <v>46110.791666666664</v>
      </c>
      <c r="F109" s="252">
        <v>210.62592929803247</v>
      </c>
      <c r="G109" s="252">
        <f t="shared" si="70"/>
        <v>209.1693011013042</v>
      </c>
      <c r="H109" s="236"/>
      <c r="J109" s="252"/>
      <c r="K109" s="236"/>
      <c r="L109" s="252">
        <v>210.69324092285319</v>
      </c>
      <c r="M109" s="352">
        <v>205.6890270767901</v>
      </c>
      <c r="N109" s="352"/>
      <c r="O109" s="352"/>
      <c r="P109" s="344"/>
      <c r="Q109" s="384"/>
      <c r="R109" s="384"/>
      <c r="S109" s="331"/>
      <c r="AA109"/>
      <c r="AB109"/>
      <c r="AC109"/>
      <c r="AD109"/>
      <c r="AS109" s="254"/>
      <c r="BB109"/>
    </row>
    <row r="110" spans="4:54">
      <c r="E110" s="2552">
        <f t="shared" si="69"/>
        <v>46111.791666666664</v>
      </c>
      <c r="F110" s="252">
        <v>205.6890270767901</v>
      </c>
      <c r="G110" s="252">
        <f t="shared" si="70"/>
        <v>200.98255747578534</v>
      </c>
      <c r="L110" s="3200">
        <v>320.02340770503372</v>
      </c>
      <c r="M110" s="1193">
        <v>309.28950925959361</v>
      </c>
      <c r="N110" s="384"/>
      <c r="O110" s="384"/>
      <c r="P110" s="384"/>
      <c r="Q110" s="331"/>
      <c r="AA110"/>
      <c r="AB110"/>
      <c r="AC110"/>
      <c r="AD110"/>
      <c r="AQ110" s="254"/>
      <c r="BB110"/>
    </row>
    <row r="111" spans="4:54">
      <c r="E111" s="2552">
        <f>+K73</f>
        <v>46112.791666666664</v>
      </c>
      <c r="F111" s="252">
        <v>309.28950925959361</v>
      </c>
      <c r="G111" s="252">
        <f t="shared" si="70"/>
        <v>306.37660105627168</v>
      </c>
      <c r="N111" s="384"/>
      <c r="O111" s="384"/>
      <c r="P111" s="384"/>
      <c r="Q111" s="331"/>
      <c r="AA111"/>
      <c r="AB111"/>
      <c r="AC111"/>
      <c r="AD111"/>
      <c r="AQ111" s="254"/>
      <c r="BB111"/>
    </row>
    <row r="112" spans="4:54" ht="13">
      <c r="E112" s="125"/>
      <c r="N112" s="384"/>
      <c r="O112" s="384"/>
      <c r="P112" s="384"/>
      <c r="Q112" s="331"/>
      <c r="AA112"/>
      <c r="AB112"/>
      <c r="AC112"/>
      <c r="AD112"/>
      <c r="AQ112" s="254"/>
      <c r="BB112"/>
    </row>
    <row r="113" spans="5:54" ht="13">
      <c r="E113" s="125"/>
      <c r="P113" s="297"/>
      <c r="Q113" s="331"/>
      <c r="AA113"/>
      <c r="AB113"/>
      <c r="AC113"/>
      <c r="AD113"/>
      <c r="AQ113" s="254"/>
      <c r="BB113"/>
    </row>
    <row r="114" spans="5:54">
      <c r="P114" s="297"/>
      <c r="Q114" s="331"/>
      <c r="AA114"/>
      <c r="AB114"/>
      <c r="AC114"/>
      <c r="AD114"/>
      <c r="AQ114" s="254"/>
      <c r="BB114"/>
    </row>
    <row r="115" spans="5:54">
      <c r="P115" s="297"/>
      <c r="Q115" s="331"/>
      <c r="AA115"/>
      <c r="AB115"/>
      <c r="AC115"/>
      <c r="AD115"/>
      <c r="AQ115" s="254"/>
      <c r="BB115"/>
    </row>
    <row r="116" spans="5:54">
      <c r="P116" s="297"/>
      <c r="Q116" s="331"/>
      <c r="AA116"/>
      <c r="AB116"/>
      <c r="AC116"/>
      <c r="AD116"/>
      <c r="AQ116" s="254"/>
      <c r="BB116"/>
    </row>
    <row r="117" spans="5:54">
      <c r="P117" s="297"/>
      <c r="Q117" s="331"/>
      <c r="AA117"/>
      <c r="AB117"/>
      <c r="AC117"/>
      <c r="AD117"/>
      <c r="AQ117" s="254"/>
      <c r="BB117"/>
    </row>
    <row r="118" spans="5:54">
      <c r="P118" s="297"/>
      <c r="Q118" s="331"/>
      <c r="AA118"/>
      <c r="AB118"/>
      <c r="AC118"/>
      <c r="AD118"/>
      <c r="AQ118" s="254"/>
      <c r="BB118"/>
    </row>
    <row r="119" spans="5:54">
      <c r="P119" s="297"/>
      <c r="Q119" s="331"/>
      <c r="AA119"/>
      <c r="AB119"/>
      <c r="AC119"/>
      <c r="AD119"/>
      <c r="AQ119" s="254"/>
      <c r="BB119"/>
    </row>
    <row r="120" spans="5:54">
      <c r="P120" s="297"/>
      <c r="Q120" s="331"/>
      <c r="AA120"/>
      <c r="AB120"/>
      <c r="AC120"/>
      <c r="AD120"/>
      <c r="AQ120" s="254"/>
      <c r="BB120"/>
    </row>
    <row r="121" spans="5:54">
      <c r="P121" s="297"/>
      <c r="Q121" s="331"/>
      <c r="AA121"/>
      <c r="AB121"/>
      <c r="AC121"/>
      <c r="AD121"/>
      <c r="AQ121" s="254"/>
      <c r="BB121"/>
    </row>
    <row r="122" spans="5:54">
      <c r="P122" s="297"/>
      <c r="Q122" s="331"/>
      <c r="AA122"/>
      <c r="AB122"/>
      <c r="AC122"/>
      <c r="AD122"/>
      <c r="AQ122" s="254"/>
      <c r="BB122"/>
    </row>
    <row r="123" spans="5:54">
      <c r="P123" s="297"/>
      <c r="Q123" s="331"/>
      <c r="AA123"/>
      <c r="AB123"/>
      <c r="AC123"/>
      <c r="AD123"/>
      <c r="AQ123" s="254"/>
      <c r="BB123"/>
    </row>
    <row r="124" spans="5:54">
      <c r="P124" s="331"/>
      <c r="Q124"/>
      <c r="AA124"/>
      <c r="AB124"/>
      <c r="AC124"/>
      <c r="AD124"/>
      <c r="AP124" s="254"/>
      <c r="BB124"/>
    </row>
    <row r="125" spans="5:54">
      <c r="P125" s="331"/>
      <c r="Q125"/>
      <c r="AA125"/>
      <c r="AB125"/>
      <c r="AC125"/>
      <c r="AD125"/>
      <c r="AP125" s="254"/>
      <c r="BB125"/>
    </row>
    <row r="126" spans="5:54">
      <c r="P126" s="331"/>
      <c r="Q126"/>
      <c r="AA126"/>
      <c r="AB126"/>
      <c r="AC126"/>
      <c r="AD126"/>
      <c r="AP126" s="254"/>
      <c r="BB126"/>
    </row>
    <row r="127" spans="5:54">
      <c r="P127" s="331"/>
      <c r="Q127"/>
      <c r="AA127"/>
      <c r="AB127"/>
      <c r="AC127"/>
      <c r="AD127"/>
      <c r="AP127" s="254"/>
      <c r="BB127"/>
    </row>
    <row r="128" spans="5:54">
      <c r="P128" s="331"/>
      <c r="Q128"/>
      <c r="AA128"/>
      <c r="AB128"/>
      <c r="AC128"/>
      <c r="AD128"/>
      <c r="AP128" s="254"/>
      <c r="BB128"/>
    </row>
    <row r="129" spans="16:54">
      <c r="P129" s="331"/>
      <c r="Q129"/>
      <c r="AA129"/>
      <c r="AB129"/>
      <c r="AC129"/>
      <c r="AD129"/>
      <c r="AP129" s="254"/>
      <c r="BB129"/>
    </row>
    <row r="130" spans="16:54">
      <c r="P130" s="331"/>
      <c r="Q130"/>
      <c r="AA130"/>
      <c r="AB130"/>
      <c r="AC130"/>
      <c r="AD130"/>
      <c r="AP130" s="254"/>
      <c r="BB130"/>
    </row>
    <row r="131" spans="16:54">
      <c r="P131" s="331"/>
      <c r="Q131"/>
      <c r="AA131"/>
      <c r="AB131"/>
      <c r="AC131"/>
      <c r="AD131"/>
      <c r="AP131" s="254"/>
      <c r="BB131"/>
    </row>
    <row r="132" spans="16:54">
      <c r="P132" s="331"/>
      <c r="Q132"/>
      <c r="AA132"/>
      <c r="AB132"/>
      <c r="AC132"/>
      <c r="AD132"/>
      <c r="AP132" s="254"/>
      <c r="BB132"/>
    </row>
  </sheetData>
  <dataConsolidate/>
  <mergeCells count="4">
    <mergeCell ref="B3:C3"/>
    <mergeCell ref="K40:M40"/>
    <mergeCell ref="K41:K42"/>
    <mergeCell ref="O41:O42"/>
  </mergeCells>
  <phoneticPr fontId="0" type="noConversion"/>
  <conditionalFormatting sqref="B43:C73">
    <cfRule type="cellIs" dxfId="183" priority="1" operator="lessThan">
      <formula>97</formula>
    </cfRule>
  </conditionalFormatting>
  <conditionalFormatting sqref="E40">
    <cfRule type="cellIs" dxfId="182" priority="79" stopIfTrue="1" operator="lessThan">
      <formula>0</formula>
    </cfRule>
  </conditionalFormatting>
  <pageMargins left="0.25" right="0.25" top="0.75" bottom="0.75" header="0.3" footer="0.3"/>
  <pageSetup paperSize="17" orientation="landscape" r:id="rId1"/>
  <headerFooter alignWithMargins="0"/>
  <ignoredErrors>
    <ignoredError sqref="N55" formula="1"/>
  </ignoredErrors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2">
    <tabColor rgb="FFFFC000"/>
    <pageSetUpPr fitToPage="1"/>
  </sheetPr>
  <dimension ref="A1:DL95"/>
  <sheetViews>
    <sheetView zoomScaleNormal="100" workbookViewId="0">
      <pane xSplit="2" ySplit="8" topLeftCell="R22" activePane="bottomRight" state="frozen"/>
      <selection activeCell="AB53" sqref="AB53"/>
      <selection pane="topRight" activeCell="AB53" sqref="AB53"/>
      <selection pane="bottomLeft" activeCell="AB53" sqref="AB53"/>
      <selection pane="bottomRight" activeCell="AL41" sqref="AL41"/>
    </sheetView>
  </sheetViews>
  <sheetFormatPr baseColWidth="10" defaultColWidth="11.54296875" defaultRowHeight="13"/>
  <cols>
    <col min="1" max="1" width="3.453125" style="3" customWidth="1"/>
    <col min="2" max="2" width="15.54296875" style="3" customWidth="1"/>
    <col min="3" max="3" width="10.453125" style="3" customWidth="1"/>
    <col min="4" max="4" width="11.453125" style="3" customWidth="1"/>
    <col min="5" max="5" width="15.1796875" style="3" customWidth="1"/>
    <col min="6" max="7" width="11.453125" style="3" customWidth="1"/>
    <col min="8" max="10" width="7.54296875" style="3" customWidth="1"/>
    <col min="11" max="11" width="11.453125" style="3" customWidth="1"/>
    <col min="12" max="12" width="12.453125" style="3" customWidth="1"/>
    <col min="13" max="13" width="11.453125" style="3" customWidth="1"/>
    <col min="14" max="14" width="11" style="3" customWidth="1"/>
    <col min="15" max="15" width="9.453125" style="3" customWidth="1"/>
    <col min="16" max="16" width="11.81640625" style="3" customWidth="1"/>
    <col min="17" max="17" width="8.54296875" style="3" customWidth="1"/>
    <col min="18" max="22" width="11.453125" style="3" customWidth="1"/>
    <col min="23" max="25" width="7.54296875" style="3" customWidth="1"/>
    <col min="26" max="26" width="8.81640625" style="3" customWidth="1"/>
    <col min="27" max="27" width="10.1796875" style="3" customWidth="1"/>
    <col min="28" max="28" width="8.81640625" style="3" customWidth="1"/>
    <col min="29" max="29" width="6.81640625" style="3" customWidth="1"/>
    <col min="30" max="30" width="9.81640625" style="3" customWidth="1"/>
    <col min="31" max="31" width="11.1796875" style="3" customWidth="1"/>
    <col min="32" max="34" width="9.54296875" style="3" customWidth="1"/>
    <col min="35" max="36" width="10.453125" style="3" customWidth="1"/>
    <col min="37" max="37" width="9.453125" style="3" customWidth="1"/>
    <col min="38" max="42" width="12.453125" style="3" customWidth="1"/>
    <col min="43" max="43" width="16" style="18" customWidth="1"/>
    <col min="44" max="44" width="7.81640625" style="1695" customWidth="1"/>
    <col min="45" max="47" width="6.54296875" style="18" customWidth="1"/>
    <col min="48" max="48" width="9.54296875" style="3" customWidth="1"/>
    <col min="49" max="49" width="9.453125" style="3" customWidth="1"/>
    <col min="50" max="50" width="12.81640625" style="3" customWidth="1"/>
    <col min="51" max="51" width="9" style="217" customWidth="1"/>
    <col min="52" max="52" width="12.453125" style="217" customWidth="1"/>
    <col min="53" max="53" width="7.54296875" style="3" customWidth="1"/>
    <col min="54" max="54" width="9.54296875" style="3" customWidth="1"/>
    <col min="55" max="56" width="11.54296875" style="3"/>
    <col min="57" max="58" width="12.54296875" style="3" customWidth="1"/>
    <col min="59" max="61" width="9" style="3" customWidth="1"/>
    <col min="62" max="62" width="9" style="1726" customWidth="1"/>
    <col min="63" max="66" width="9.54296875" style="3" customWidth="1"/>
    <col min="67" max="70" width="8.54296875" style="3" customWidth="1"/>
    <col min="71" max="71" width="9.453125" style="3" customWidth="1"/>
    <col min="72" max="72" width="8.54296875" style="3" customWidth="1"/>
    <col min="73" max="73" width="6.453125" style="3" customWidth="1"/>
    <col min="74" max="74" width="9.81640625" style="3" customWidth="1"/>
    <col min="75" max="98" width="8.54296875" style="3" customWidth="1"/>
    <col min="99" max="99" width="3.54296875" style="3" customWidth="1"/>
    <col min="100" max="100" width="18" style="3" customWidth="1"/>
    <col min="101" max="113" width="11.54296875" style="3"/>
    <col min="115" max="16384" width="11.54296875" style="3"/>
  </cols>
  <sheetData>
    <row r="1" spans="1:114" ht="14">
      <c r="D1" s="4" t="s">
        <v>791</v>
      </c>
      <c r="E1" s="4"/>
      <c r="F1" s="4"/>
      <c r="G1" s="4"/>
      <c r="H1" s="4"/>
      <c r="I1" s="4"/>
      <c r="J1" s="4"/>
      <c r="K1" s="5" t="s">
        <v>4</v>
      </c>
      <c r="L1" s="4"/>
      <c r="M1" s="6" t="s">
        <v>792</v>
      </c>
      <c r="O1" s="2393" t="s">
        <v>1393</v>
      </c>
      <c r="P1" s="2393" t="s">
        <v>1392</v>
      </c>
      <c r="Q1" s="3">
        <v>1</v>
      </c>
      <c r="U1" s="3">
        <v>1</v>
      </c>
      <c r="X1" s="3">
        <f>260*0.7</f>
        <v>182</v>
      </c>
      <c r="Z1" s="3083">
        <v>200</v>
      </c>
      <c r="AG1" s="2302"/>
      <c r="AR1" s="1726"/>
      <c r="AS1" s="3"/>
      <c r="AT1" s="3"/>
      <c r="AU1" s="3"/>
      <c r="BG1" s="4"/>
      <c r="BH1" s="4"/>
      <c r="BI1" s="4"/>
      <c r="BJ1" s="2925"/>
      <c r="BK1" s="4"/>
      <c r="BL1" s="4"/>
      <c r="BM1" s="4"/>
      <c r="BN1" s="4"/>
      <c r="BO1" s="5"/>
      <c r="BP1" s="4"/>
      <c r="BQ1" s="4"/>
      <c r="BR1" s="4"/>
      <c r="BS1" s="6"/>
      <c r="CE1" s="1275"/>
    </row>
    <row r="2" spans="1:114" ht="14">
      <c r="D2" s="4" t="s">
        <v>793</v>
      </c>
      <c r="E2" s="4"/>
      <c r="F2" s="4"/>
      <c r="G2" s="4"/>
      <c r="H2" s="4"/>
      <c r="I2" s="4"/>
      <c r="J2" s="4"/>
      <c r="K2" s="4" t="s">
        <v>5</v>
      </c>
      <c r="L2" s="4"/>
      <c r="M2" s="45">
        <f>Factores!D2</f>
        <v>46082.791666666664</v>
      </c>
      <c r="O2" s="3907">
        <v>3.5063</v>
      </c>
      <c r="P2" s="282">
        <v>2.8332999999999999</v>
      </c>
      <c r="Q2" s="18">
        <v>0.97</v>
      </c>
      <c r="R2" s="18">
        <f>+SUM(N21:N26)</f>
        <v>18506.522787739039</v>
      </c>
      <c r="S2" s="18">
        <f>+SUM(AF21:AF26)</f>
        <v>18784.936916015624</v>
      </c>
      <c r="T2" s="18">
        <f>+R2-S2</f>
        <v>-278.41412827658496</v>
      </c>
      <c r="V2" s="3">
        <f>130*15+5.5*130</f>
        <v>2665</v>
      </c>
      <c r="W2" s="3">
        <f>30*24</f>
        <v>720</v>
      </c>
      <c r="AC2" s="18"/>
      <c r="AD2" s="3">
        <f>+AE2/24</f>
        <v>153.29166666666666</v>
      </c>
      <c r="AE2" s="62">
        <v>3679</v>
      </c>
      <c r="AF2" s="62">
        <v>181.91666666666666</v>
      </c>
      <c r="AG2" s="62"/>
      <c r="AH2" s="62">
        <f>18*131+6*182</f>
        <v>3450</v>
      </c>
      <c r="AI2" s="18">
        <v>153.29166666666666</v>
      </c>
      <c r="AJ2" s="172">
        <f>+AI2*8</f>
        <v>1226.3333333333333</v>
      </c>
      <c r="AK2" s="62">
        <f>+AJ2/3</f>
        <v>408.77777777777777</v>
      </c>
      <c r="AL2" s="62">
        <f>3679+AK2</f>
        <v>4087.7777777777778</v>
      </c>
      <c r="AP2" s="62">
        <v>6277.5063033826218</v>
      </c>
      <c r="AQ2" s="62">
        <v>1811.9999999999993</v>
      </c>
      <c r="AR2" s="1726"/>
      <c r="AS2" s="3"/>
      <c r="AT2" s="3"/>
      <c r="AU2" s="3"/>
      <c r="BG2" s="4"/>
      <c r="BH2" s="248"/>
      <c r="BI2" s="248"/>
      <c r="BJ2" s="2926"/>
      <c r="BK2" s="248">
        <v>96.687208333333345</v>
      </c>
      <c r="BL2" s="4">
        <v>91.253208333333333</v>
      </c>
      <c r="BM2" s="248">
        <f>+BK2-BL2</f>
        <v>5.4340000000000117</v>
      </c>
      <c r="BN2" s="4"/>
      <c r="BO2" s="4"/>
      <c r="BP2" s="4"/>
      <c r="BQ2" s="4"/>
      <c r="BR2" s="4"/>
      <c r="BS2" s="282" t="s">
        <v>346</v>
      </c>
      <c r="BT2" s="282" t="s">
        <v>347</v>
      </c>
      <c r="BU2" s="282" t="s">
        <v>348</v>
      </c>
      <c r="BV2" s="282" t="s">
        <v>349</v>
      </c>
      <c r="BW2" s="961" t="s">
        <v>350</v>
      </c>
      <c r="BX2" s="961" t="s">
        <v>351</v>
      </c>
      <c r="BY2" s="961" t="s">
        <v>352</v>
      </c>
      <c r="BZ2" s="961" t="s">
        <v>353</v>
      </c>
      <c r="CA2" s="961" t="s">
        <v>354</v>
      </c>
      <c r="CB2" s="961" t="s">
        <v>355</v>
      </c>
      <c r="CC2" s="961" t="s">
        <v>356</v>
      </c>
      <c r="CE2" s="1275"/>
      <c r="CV2" s="51" t="s">
        <v>257</v>
      </c>
      <c r="CW2" s="394">
        <f>$M$2</f>
        <v>46082.791666666664</v>
      </c>
    </row>
    <row r="3" spans="1:114" ht="14">
      <c r="D3" s="4"/>
      <c r="E3" s="4"/>
      <c r="F3" s="4"/>
      <c r="G3" s="4"/>
      <c r="H3" s="4"/>
      <c r="I3" s="4"/>
      <c r="J3" s="4"/>
      <c r="K3" s="4" t="s">
        <v>0</v>
      </c>
      <c r="L3" s="4"/>
      <c r="M3" s="46">
        <f>Factores!D3</f>
        <v>46098.791666666664</v>
      </c>
      <c r="N3" s="44"/>
      <c r="O3" s="3907">
        <v>74.960999999999999</v>
      </c>
      <c r="P3" s="282">
        <v>74.353999999999999</v>
      </c>
      <c r="Q3" s="18"/>
      <c r="R3" s="3">
        <f>255*0.7</f>
        <v>178.5</v>
      </c>
      <c r="S3" s="3">
        <f>+R3*24</f>
        <v>4284</v>
      </c>
      <c r="T3" s="3">
        <v>4300</v>
      </c>
      <c r="Z3" s="3">
        <f>3679/24</f>
        <v>153.29166666666666</v>
      </c>
      <c r="AA3" s="3">
        <f>+Z3*10</f>
        <v>1532.9166666666665</v>
      </c>
      <c r="AB3" s="3">
        <f>50*24</f>
        <v>1200</v>
      </c>
      <c r="AD3" s="3">
        <f>+AD2*14</f>
        <v>2146.083333333333</v>
      </c>
      <c r="AE3" s="205"/>
      <c r="AF3" s="205"/>
      <c r="AG3" s="205"/>
      <c r="AH3" s="205">
        <f>182*24</f>
        <v>4368</v>
      </c>
      <c r="AI3" s="18"/>
      <c r="AJ3" s="193"/>
      <c r="AK3" s="193"/>
      <c r="AL3" s="62"/>
      <c r="AM3" s="62">
        <f>153*15</f>
        <v>2295</v>
      </c>
      <c r="AN3" s="62"/>
      <c r="AO3" s="62"/>
      <c r="AP3" s="62"/>
      <c r="AR3" s="1726"/>
      <c r="AS3" s="3"/>
      <c r="AT3" s="3"/>
      <c r="AU3" s="3"/>
      <c r="BG3" s="4"/>
      <c r="BH3" s="248">
        <f>24-(SUM(BO22:BQ22))</f>
        <v>23.619693000000002</v>
      </c>
      <c r="BI3" s="4" t="s">
        <v>1817</v>
      </c>
      <c r="BJ3" s="2925"/>
      <c r="BK3" s="4"/>
      <c r="BL3" s="4"/>
      <c r="BM3" s="4"/>
      <c r="BN3" s="4"/>
      <c r="BO3" s="4"/>
      <c r="BP3" s="4"/>
      <c r="BQ3" s="4"/>
      <c r="BR3" s="4"/>
      <c r="BS3" s="959">
        <v>0.27193000000000001</v>
      </c>
      <c r="BT3" s="959">
        <v>0.27193000000000001</v>
      </c>
      <c r="BU3" s="959">
        <v>0.27193000000000001</v>
      </c>
      <c r="BV3" s="959">
        <v>0.18421000000000001</v>
      </c>
      <c r="BW3" s="959">
        <v>7.5300000000000006E-2</v>
      </c>
      <c r="BX3" s="959">
        <v>7.5300000000000006E-2</v>
      </c>
      <c r="BY3" s="959">
        <v>7.5300000000000006E-2</v>
      </c>
      <c r="BZ3" s="959">
        <v>7.5300000000000006E-2</v>
      </c>
      <c r="CA3" s="959">
        <v>5.4339999999999999E-2</v>
      </c>
      <c r="CB3" s="959">
        <v>0.12728</v>
      </c>
      <c r="CC3" s="959">
        <v>0.18421000000000001</v>
      </c>
      <c r="CE3" s="1275"/>
      <c r="CV3" s="10"/>
      <c r="CW3" s="396" t="s">
        <v>287</v>
      </c>
      <c r="CX3" s="7"/>
      <c r="CZ3" s="4578" t="s">
        <v>357</v>
      </c>
      <c r="DA3" s="4733"/>
      <c r="DB3" s="4733"/>
      <c r="DC3" s="4733"/>
      <c r="DD3" s="4733"/>
      <c r="DE3" s="4733"/>
      <c r="DF3" s="4733"/>
      <c r="DG3" s="4733"/>
      <c r="DH3" s="4733"/>
      <c r="DI3" s="4579"/>
    </row>
    <row r="4" spans="1:114">
      <c r="I4" s="1674">
        <v>0.81579000000000002</v>
      </c>
      <c r="J4" s="1674">
        <v>0.18421000000000001</v>
      </c>
      <c r="S4" s="3">
        <v>2</v>
      </c>
      <c r="U4" s="548"/>
      <c r="AD4" s="16"/>
      <c r="AF4" s="205"/>
      <c r="AH4" s="3">
        <f>10*182</f>
        <v>1820</v>
      </c>
      <c r="AR4" s="1726"/>
      <c r="AS4" s="3"/>
      <c r="AT4" s="3">
        <v>0</v>
      </c>
      <c r="AU4" s="3"/>
      <c r="CD4" s="1838">
        <v>7.8629032258064516E-2</v>
      </c>
      <c r="CE4" s="1838"/>
      <c r="CF4" s="1838"/>
      <c r="CG4" s="1838"/>
      <c r="CH4" s="1838">
        <v>0</v>
      </c>
      <c r="CI4" s="1838"/>
      <c r="CJ4" s="1838"/>
      <c r="CK4" s="1838"/>
      <c r="CL4" s="1838">
        <v>7.1979314516129031E-2</v>
      </c>
      <c r="CM4" s="1838"/>
      <c r="CN4" s="1838"/>
      <c r="CO4" s="1838"/>
      <c r="CP4" s="1838">
        <v>2.9967297293604454E-2</v>
      </c>
      <c r="CQ4" s="1838">
        <f>+'ST Original'!EJ4</f>
        <v>0</v>
      </c>
      <c r="CR4" s="1838">
        <f>+'ST Original'!EK4</f>
        <v>0</v>
      </c>
      <c r="CS4" s="1838">
        <f>+'ST Original'!EL4</f>
        <v>0</v>
      </c>
      <c r="CV4" s="122" t="s">
        <v>304</v>
      </c>
      <c r="CW4" s="52">
        <f>Factores!$F$9</f>
        <v>2.899</v>
      </c>
      <c r="CX4" s="52"/>
      <c r="CZ4" s="9" t="s">
        <v>359</v>
      </c>
      <c r="DD4" s="9" t="s">
        <v>360</v>
      </c>
      <c r="DI4" s="10" t="s">
        <v>361</v>
      </c>
    </row>
    <row r="5" spans="1:114" ht="14.15" customHeight="1">
      <c r="A5" s="4564" t="s">
        <v>250</v>
      </c>
      <c r="B5" s="579"/>
      <c r="C5" s="4558" t="s">
        <v>251</v>
      </c>
      <c r="D5" s="4558"/>
      <c r="E5" s="4716" t="s">
        <v>252</v>
      </c>
      <c r="F5" s="4717"/>
      <c r="G5" s="4718"/>
      <c r="H5" s="4719" t="s">
        <v>23</v>
      </c>
      <c r="I5" s="4719"/>
      <c r="J5" s="4719"/>
      <c r="K5" s="4578" t="s">
        <v>253</v>
      </c>
      <c r="L5" s="4733"/>
      <c r="M5" s="4733"/>
      <c r="N5" s="4733"/>
      <c r="O5" s="4733"/>
      <c r="P5" s="4733"/>
      <c r="Q5" s="4579"/>
      <c r="R5" s="4711" t="s">
        <v>254</v>
      </c>
      <c r="S5" s="4711"/>
      <c r="T5" s="4711"/>
      <c r="U5" s="4711"/>
      <c r="V5" s="4711"/>
      <c r="W5" s="4711"/>
      <c r="X5" s="4711"/>
      <c r="Y5" s="4711"/>
      <c r="Z5" s="4711"/>
      <c r="AA5" s="4711"/>
      <c r="AB5" s="4711"/>
      <c r="AC5" s="4711"/>
      <c r="AD5" s="4720" t="s">
        <v>365</v>
      </c>
      <c r="AE5" s="4738"/>
      <c r="AF5" s="4720" t="s">
        <v>366</v>
      </c>
      <c r="AG5" s="4720"/>
      <c r="AH5" s="4720"/>
      <c r="AI5" s="4720" t="s">
        <v>367</v>
      </c>
      <c r="AJ5" s="4720"/>
      <c r="AK5" s="4720"/>
      <c r="AQ5" s="739" t="s">
        <v>373</v>
      </c>
      <c r="AR5" s="4578" t="s">
        <v>23</v>
      </c>
      <c r="AS5" s="4733"/>
      <c r="AT5" s="4733"/>
      <c r="AU5" s="4579"/>
      <c r="AV5" s="558"/>
      <c r="AW5" s="123"/>
      <c r="AX5" s="123"/>
      <c r="AY5" s="301"/>
      <c r="AZ5" s="301"/>
      <c r="BA5" s="123"/>
      <c r="BB5" s="447"/>
      <c r="BC5" s="18"/>
      <c r="BD5" s="18"/>
      <c r="BE5" s="579"/>
      <c r="BF5" s="4716" t="s">
        <v>23</v>
      </c>
      <c r="BG5" s="4717"/>
      <c r="BH5" s="4717"/>
      <c r="BI5" s="4717"/>
      <c r="BJ5" s="4718"/>
      <c r="BK5" s="4716" t="s">
        <v>794</v>
      </c>
      <c r="BL5" s="4717"/>
      <c r="BM5" s="4717"/>
      <c r="BN5" s="4718"/>
      <c r="BO5" s="4741" t="s">
        <v>374</v>
      </c>
      <c r="BP5" s="4742"/>
      <c r="BQ5" s="4742"/>
      <c r="BR5" s="4742"/>
      <c r="BS5" s="4742"/>
      <c r="BT5" s="4742"/>
      <c r="BU5" s="4742"/>
      <c r="BV5" s="4742"/>
      <c r="BW5" s="4742"/>
      <c r="BX5" s="4742"/>
      <c r="BY5" s="4742"/>
      <c r="BZ5" s="4742"/>
      <c r="CA5" s="4742"/>
      <c r="CB5" s="4742"/>
      <c r="CC5" s="4742"/>
      <c r="CD5" s="4743"/>
      <c r="CE5" s="4743"/>
      <c r="CF5" s="4743"/>
      <c r="CG5" s="4743"/>
      <c r="CH5" s="4743"/>
      <c r="CI5" s="4743"/>
      <c r="CJ5" s="4743"/>
      <c r="CK5" s="4743"/>
      <c r="CL5" s="4743"/>
      <c r="CM5" s="4743"/>
      <c r="CN5" s="4743"/>
      <c r="CO5" s="4743"/>
      <c r="CP5" s="4743"/>
      <c r="CQ5" s="4743"/>
      <c r="CR5" s="4744"/>
      <c r="CS5" s="1837"/>
      <c r="CV5" s="122" t="s">
        <v>444</v>
      </c>
      <c r="CW5" s="329">
        <f>Factores!$F$7</f>
        <v>0.96199999999999997</v>
      </c>
      <c r="CX5" s="52"/>
      <c r="CZ5" s="397">
        <v>65</v>
      </c>
      <c r="DD5" s="397">
        <v>74</v>
      </c>
      <c r="DI5" s="395">
        <v>45</v>
      </c>
    </row>
    <row r="6" spans="1:114" ht="30" customHeight="1">
      <c r="A6" s="4565"/>
      <c r="B6" s="8" t="s">
        <v>258</v>
      </c>
      <c r="C6" s="1270" t="s">
        <v>259</v>
      </c>
      <c r="D6" s="1270" t="s">
        <v>260</v>
      </c>
      <c r="E6" s="1668" t="s">
        <v>261</v>
      </c>
      <c r="F6" s="7" t="s">
        <v>262</v>
      </c>
      <c r="G6" s="1669" t="s">
        <v>263</v>
      </c>
      <c r="H6" s="1671" t="s">
        <v>264</v>
      </c>
      <c r="I6" s="1673" t="s">
        <v>265</v>
      </c>
      <c r="J6" s="1672" t="s">
        <v>266</v>
      </c>
      <c r="K6" s="1270" t="s">
        <v>267</v>
      </c>
      <c r="L6" s="1270" t="s">
        <v>268</v>
      </c>
      <c r="M6" s="1270" t="s">
        <v>269</v>
      </c>
      <c r="N6" s="37" t="s">
        <v>270</v>
      </c>
      <c r="O6" s="448"/>
      <c r="P6" s="37" t="s">
        <v>271</v>
      </c>
      <c r="Q6" s="448"/>
      <c r="R6" s="594" t="s">
        <v>267</v>
      </c>
      <c r="S6" s="231" t="s">
        <v>272</v>
      </c>
      <c r="T6" s="231" t="s">
        <v>273</v>
      </c>
      <c r="U6" s="393" t="s">
        <v>274</v>
      </c>
      <c r="V6" s="594" t="s">
        <v>269</v>
      </c>
      <c r="W6" s="4711" t="s">
        <v>275</v>
      </c>
      <c r="X6" s="4711"/>
      <c r="Y6" s="4711"/>
      <c r="Z6" s="4711" t="s">
        <v>384</v>
      </c>
      <c r="AA6" s="4711"/>
      <c r="AB6" s="4711"/>
      <c r="AC6" s="4711"/>
      <c r="AD6" s="4720"/>
      <c r="AE6" s="4738"/>
      <c r="AF6" s="4720"/>
      <c r="AG6" s="4720"/>
      <c r="AH6" s="4720"/>
      <c r="AI6" s="4720"/>
      <c r="AJ6" s="4720"/>
      <c r="AK6" s="4720"/>
      <c r="AL6" s="4730" t="s">
        <v>419</v>
      </c>
      <c r="AM6" s="4731"/>
      <c r="AN6" s="4732"/>
      <c r="AO6" s="4679" t="s">
        <v>391</v>
      </c>
      <c r="AP6" s="4679" t="s">
        <v>392</v>
      </c>
      <c r="AQ6" s="4681" t="s">
        <v>393</v>
      </c>
      <c r="AR6" s="4752" t="s">
        <v>1165</v>
      </c>
      <c r="AS6" s="4739" t="s">
        <v>397</v>
      </c>
      <c r="AT6" s="4739" t="s">
        <v>398</v>
      </c>
      <c r="AU6" s="4727" t="s">
        <v>399</v>
      </c>
      <c r="AV6" s="1271" t="s">
        <v>865</v>
      </c>
      <c r="AW6" s="4736" t="s">
        <v>279</v>
      </c>
      <c r="AX6" s="4737"/>
      <c r="AY6" s="1272" t="s">
        <v>83</v>
      </c>
      <c r="AZ6" s="1272" t="s">
        <v>290</v>
      </c>
      <c r="BA6" s="1272" t="s">
        <v>289</v>
      </c>
      <c r="BB6" s="1272" t="s">
        <v>576</v>
      </c>
      <c r="BC6" s="4754" t="s">
        <v>580</v>
      </c>
      <c r="BD6" s="4754" t="s">
        <v>1532</v>
      </c>
      <c r="BE6" s="8" t="s">
        <v>258</v>
      </c>
      <c r="BF6" s="4726" t="s">
        <v>344</v>
      </c>
      <c r="BG6" s="4739" t="s">
        <v>397</v>
      </c>
      <c r="BH6" s="4739" t="s">
        <v>398</v>
      </c>
      <c r="BI6" s="4727" t="s">
        <v>399</v>
      </c>
      <c r="BJ6" s="4745" t="s">
        <v>400</v>
      </c>
      <c r="BK6" s="4747"/>
      <c r="BL6" s="4748"/>
      <c r="BM6" s="4748"/>
      <c r="BN6" s="4749"/>
      <c r="BO6" s="4578" t="s">
        <v>401</v>
      </c>
      <c r="BP6" s="4733"/>
      <c r="BQ6" s="4733"/>
      <c r="BR6" s="4579"/>
      <c r="BS6" s="4578" t="s">
        <v>795</v>
      </c>
      <c r="BT6" s="4733"/>
      <c r="BU6" s="4733"/>
      <c r="BV6" s="4733"/>
      <c r="BW6" s="4733"/>
      <c r="BX6" s="4733"/>
      <c r="BY6" s="4733"/>
      <c r="BZ6" s="4733"/>
      <c r="CA6" s="4733"/>
      <c r="CB6" s="4733"/>
      <c r="CC6" s="4579"/>
      <c r="CD6" s="4578" t="s">
        <v>403</v>
      </c>
      <c r="CE6" s="4733"/>
      <c r="CF6" s="4733"/>
      <c r="CG6" s="4579"/>
      <c r="CH6" s="4578" t="s">
        <v>404</v>
      </c>
      <c r="CI6" s="4733"/>
      <c r="CJ6" s="4733"/>
      <c r="CK6" s="4579"/>
      <c r="CL6" s="4578" t="s">
        <v>405</v>
      </c>
      <c r="CM6" s="4733"/>
      <c r="CN6" s="4733"/>
      <c r="CO6" s="4579"/>
      <c r="CP6" s="4750" t="s">
        <v>796</v>
      </c>
      <c r="CQ6" s="4751"/>
      <c r="CR6" s="4751"/>
      <c r="CS6" s="4751"/>
      <c r="CV6" s="122" t="s">
        <v>445</v>
      </c>
      <c r="CW6" s="329">
        <f>Factores!$F$8</f>
        <v>0.995</v>
      </c>
      <c r="CX6" s="52"/>
      <c r="CZ6" s="4578" t="s">
        <v>377</v>
      </c>
      <c r="DA6" s="4733"/>
      <c r="DB6" s="4733"/>
      <c r="DC6" s="4579"/>
      <c r="DD6" s="4578" t="s">
        <v>378</v>
      </c>
      <c r="DE6" s="4733"/>
      <c r="DF6" s="4733"/>
      <c r="DG6" s="4733"/>
      <c r="DH6" s="4578" t="s">
        <v>379</v>
      </c>
      <c r="DI6" s="4579"/>
      <c r="DJ6" t="str">
        <f>+'Plan mina PS'!AH41</f>
        <v>RCC s/chancar</v>
      </c>
    </row>
    <row r="7" spans="1:114">
      <c r="A7" s="4573"/>
      <c r="B7" s="9"/>
      <c r="C7" s="579" t="s">
        <v>291</v>
      </c>
      <c r="D7" s="579" t="s">
        <v>292</v>
      </c>
      <c r="E7" s="579" t="s">
        <v>291</v>
      </c>
      <c r="F7" s="579" t="s">
        <v>291</v>
      </c>
      <c r="G7" s="579" t="s">
        <v>291</v>
      </c>
      <c r="H7" s="1670" t="s">
        <v>48</v>
      </c>
      <c r="I7" s="1670" t="s">
        <v>48</v>
      </c>
      <c r="J7" s="1670" t="s">
        <v>48</v>
      </c>
      <c r="K7" s="7" t="s">
        <v>293</v>
      </c>
      <c r="L7" s="7" t="s">
        <v>293</v>
      </c>
      <c r="M7" s="7" t="s">
        <v>293</v>
      </c>
      <c r="N7" s="7" t="s">
        <v>291</v>
      </c>
      <c r="O7" s="7" t="s">
        <v>192</v>
      </c>
      <c r="P7" s="7" t="s">
        <v>28</v>
      </c>
      <c r="Q7" s="7" t="s">
        <v>192</v>
      </c>
      <c r="R7" s="594" t="s">
        <v>295</v>
      </c>
      <c r="S7" s="594" t="s">
        <v>296</v>
      </c>
      <c r="T7" s="2803" t="s">
        <v>296</v>
      </c>
      <c r="U7" s="594" t="s">
        <v>296</v>
      </c>
      <c r="V7" s="594" t="s">
        <v>296</v>
      </c>
      <c r="W7" s="594" t="s">
        <v>291</v>
      </c>
      <c r="X7" s="594" t="s">
        <v>192</v>
      </c>
      <c r="Y7" s="594" t="s">
        <v>418</v>
      </c>
      <c r="Z7" s="594" t="s">
        <v>417</v>
      </c>
      <c r="AA7" s="594" t="s">
        <v>192</v>
      </c>
      <c r="AB7" s="594" t="s">
        <v>418</v>
      </c>
      <c r="AC7" s="594" t="s">
        <v>797</v>
      </c>
      <c r="AD7" s="594" t="s">
        <v>28</v>
      </c>
      <c r="AE7" s="330" t="s">
        <v>192</v>
      </c>
      <c r="AF7" s="594" t="s">
        <v>420</v>
      </c>
      <c r="AG7" s="594" t="s">
        <v>421</v>
      </c>
      <c r="AH7" s="594" t="s">
        <v>422</v>
      </c>
      <c r="AI7" s="594" t="s">
        <v>420</v>
      </c>
      <c r="AJ7" s="594" t="s">
        <v>421</v>
      </c>
      <c r="AK7" s="594" t="s">
        <v>422</v>
      </c>
      <c r="AL7" s="1695">
        <v>2796.88648679894</v>
      </c>
      <c r="AM7" s="1695"/>
      <c r="AN7" s="1695"/>
      <c r="AO7" s="4680"/>
      <c r="AP7" s="4680"/>
      <c r="AQ7" s="4682"/>
      <c r="AR7" s="4753"/>
      <c r="AS7" s="4740"/>
      <c r="AT7" s="4740"/>
      <c r="AU7" s="4729"/>
      <c r="AW7" s="393" t="s">
        <v>798</v>
      </c>
      <c r="AX7" s="393" t="s">
        <v>298</v>
      </c>
      <c r="AY7" s="594" t="s">
        <v>303</v>
      </c>
      <c r="AZ7" s="594" t="s">
        <v>799</v>
      </c>
      <c r="BA7" s="594" t="s">
        <v>121</v>
      </c>
      <c r="BB7" s="594" t="s">
        <v>121</v>
      </c>
      <c r="BC7" s="4755"/>
      <c r="BD7" s="4755"/>
      <c r="BE7" s="9"/>
      <c r="BF7" s="4728"/>
      <c r="BG7" s="4740"/>
      <c r="BH7" s="4740"/>
      <c r="BI7" s="4729"/>
      <c r="BJ7" s="4746"/>
      <c r="BK7" s="1579" t="s">
        <v>425</v>
      </c>
      <c r="BL7" s="67" t="s">
        <v>426</v>
      </c>
      <c r="BM7" s="1580" t="s">
        <v>427</v>
      </c>
      <c r="BN7" s="1580" t="s">
        <v>428</v>
      </c>
      <c r="BO7" s="68" t="s">
        <v>425</v>
      </c>
      <c r="BP7" s="7" t="s">
        <v>426</v>
      </c>
      <c r="BQ7" s="66" t="s">
        <v>427</v>
      </c>
      <c r="BR7" s="66" t="s">
        <v>428</v>
      </c>
      <c r="BS7" s="579" t="s">
        <v>346</v>
      </c>
      <c r="BT7" s="579" t="s">
        <v>347</v>
      </c>
      <c r="BU7" s="579" t="s">
        <v>348</v>
      </c>
      <c r="BV7" s="579" t="s">
        <v>349</v>
      </c>
      <c r="BW7" s="579" t="s">
        <v>430</v>
      </c>
      <c r="BX7" s="579" t="s">
        <v>431</v>
      </c>
      <c r="BY7" s="579" t="s">
        <v>432</v>
      </c>
      <c r="BZ7" s="579" t="s">
        <v>433</v>
      </c>
      <c r="CA7" s="1579" t="s">
        <v>434</v>
      </c>
      <c r="CB7" s="579" t="s">
        <v>435</v>
      </c>
      <c r="CC7" s="579" t="s">
        <v>436</v>
      </c>
      <c r="CD7" s="1579" t="s">
        <v>346</v>
      </c>
      <c r="CE7" s="1558" t="s">
        <v>347</v>
      </c>
      <c r="CF7" s="1579" t="s">
        <v>348</v>
      </c>
      <c r="CG7" s="1579" t="s">
        <v>349</v>
      </c>
      <c r="CH7" s="579" t="s">
        <v>346</v>
      </c>
      <c r="CI7" s="1579" t="s">
        <v>347</v>
      </c>
      <c r="CJ7" s="1579" t="s">
        <v>348</v>
      </c>
      <c r="CK7" s="1579" t="s">
        <v>349</v>
      </c>
      <c r="CL7" s="579" t="s">
        <v>346</v>
      </c>
      <c r="CM7" s="1579" t="s">
        <v>347</v>
      </c>
      <c r="CN7" s="1579" t="s">
        <v>348</v>
      </c>
      <c r="CO7" s="1579" t="s">
        <v>349</v>
      </c>
      <c r="CP7" s="579" t="s">
        <v>346</v>
      </c>
      <c r="CQ7" s="1579" t="s">
        <v>347</v>
      </c>
      <c r="CR7" s="7" t="s">
        <v>348</v>
      </c>
      <c r="CS7" s="1579" t="s">
        <v>349</v>
      </c>
      <c r="CT7" s="3724" t="s">
        <v>1692</v>
      </c>
      <c r="CZ7" s="1273" t="s">
        <v>267</v>
      </c>
      <c r="DA7" s="271" t="s">
        <v>408</v>
      </c>
      <c r="DB7" s="4578" t="s">
        <v>409</v>
      </c>
      <c r="DC7" s="4579"/>
      <c r="DD7" s="1273" t="s">
        <v>267</v>
      </c>
      <c r="DE7" s="271" t="s">
        <v>410</v>
      </c>
      <c r="DF7" s="4578" t="s">
        <v>411</v>
      </c>
      <c r="DG7" s="4733"/>
      <c r="DH7" s="1274" t="s">
        <v>267</v>
      </c>
      <c r="DI7" s="7" t="s">
        <v>410</v>
      </c>
    </row>
    <row r="8" spans="1:114" ht="13.5" thickBot="1">
      <c r="A8" s="141"/>
      <c r="B8" s="2058">
        <f>+'R+P'!B7</f>
        <v>46082.791666666664</v>
      </c>
      <c r="C8" s="1579"/>
      <c r="D8" s="1580"/>
      <c r="E8" s="1579"/>
      <c r="F8" s="1580"/>
      <c r="G8" s="1580"/>
      <c r="H8" s="579"/>
      <c r="I8" s="1579"/>
      <c r="J8" s="1579"/>
      <c r="K8" s="1579"/>
      <c r="L8" s="1579"/>
      <c r="M8" s="1579"/>
      <c r="N8" s="1579"/>
      <c r="O8" s="1558"/>
      <c r="P8" s="1579"/>
      <c r="Q8" s="1580"/>
      <c r="R8" s="1607"/>
      <c r="S8" s="1608"/>
      <c r="T8" s="1608"/>
      <c r="U8" s="1608"/>
      <c r="V8" s="1608"/>
      <c r="W8" s="1608"/>
      <c r="X8" s="1608"/>
      <c r="Y8" s="1608"/>
      <c r="Z8" s="1608"/>
      <c r="AA8" s="1608"/>
      <c r="AB8" s="1608"/>
      <c r="AC8" s="1608"/>
      <c r="AD8" s="1607"/>
      <c r="AE8" s="1608"/>
      <c r="AF8" s="1607"/>
      <c r="AG8" s="1608"/>
      <c r="AH8" s="1609"/>
      <c r="AI8" s="1407"/>
      <c r="AJ8" s="1408"/>
      <c r="AK8" s="1583"/>
      <c r="AL8" s="3" t="s">
        <v>800</v>
      </c>
      <c r="AM8" s="3" t="s">
        <v>302</v>
      </c>
      <c r="AN8" s="3" t="s">
        <v>1674</v>
      </c>
      <c r="AO8" s="740"/>
      <c r="AP8" s="740"/>
      <c r="AQ8" s="740"/>
      <c r="AR8" s="2918"/>
      <c r="AS8" s="137"/>
      <c r="AT8" s="137"/>
      <c r="AU8" s="139"/>
      <c r="AW8" s="349"/>
      <c r="AX8" s="349"/>
      <c r="AY8" s="477"/>
      <c r="AZ8" s="597"/>
      <c r="BA8" s="597"/>
      <c r="BB8" s="597"/>
      <c r="BC8" s="579" t="s">
        <v>167</v>
      </c>
      <c r="BD8" s="579" t="s">
        <v>48</v>
      </c>
      <c r="BE8" s="8"/>
      <c r="BF8" s="138"/>
      <c r="BG8" s="137"/>
      <c r="BH8" s="137"/>
      <c r="BI8" s="139"/>
      <c r="BJ8" s="2927"/>
      <c r="BK8" s="1579"/>
      <c r="BL8" s="1558"/>
      <c r="BM8" s="1580"/>
      <c r="BN8" s="1558"/>
      <c r="BO8" s="1558"/>
      <c r="BP8" s="1558"/>
      <c r="BQ8" s="1558"/>
      <c r="BR8" s="1558"/>
      <c r="BS8" s="1579"/>
      <c r="BT8" s="1558"/>
      <c r="BU8" s="1558"/>
      <c r="BV8" s="1558"/>
      <c r="BW8" s="1558"/>
      <c r="BX8" s="1558"/>
      <c r="BY8" s="1558"/>
      <c r="BZ8" s="1558"/>
      <c r="CA8" s="1558"/>
      <c r="CB8" s="1580"/>
      <c r="CC8" s="1558"/>
      <c r="CD8" s="1579"/>
      <c r="CE8" s="1558"/>
      <c r="CF8" s="1558"/>
      <c r="CG8" s="1558"/>
      <c r="CH8" s="1579"/>
      <c r="CI8" s="1558"/>
      <c r="CJ8" s="1558"/>
      <c r="CK8" s="1558"/>
      <c r="CL8" s="1579"/>
      <c r="CM8" s="1558"/>
      <c r="CN8" s="1558"/>
      <c r="CO8" s="1558"/>
      <c r="CP8" s="1579"/>
      <c r="CQ8" s="1558"/>
      <c r="CR8" s="140"/>
      <c r="CS8" s="217"/>
      <c r="CT8" s="3724"/>
      <c r="CZ8" s="579" t="s">
        <v>439</v>
      </c>
      <c r="DA8" s="579" t="s">
        <v>424</v>
      </c>
      <c r="DB8" s="579" t="s">
        <v>440</v>
      </c>
      <c r="DC8" s="579" t="s">
        <v>192</v>
      </c>
      <c r="DD8" s="579" t="s">
        <v>441</v>
      </c>
      <c r="DE8" s="579" t="s">
        <v>424</v>
      </c>
      <c r="DF8" s="579" t="s">
        <v>440</v>
      </c>
      <c r="DG8" s="1579" t="s">
        <v>192</v>
      </c>
      <c r="DH8" s="579" t="s">
        <v>379</v>
      </c>
      <c r="DI8" s="579" t="s">
        <v>442</v>
      </c>
    </row>
    <row r="9" spans="1:114" s="4110" customFormat="1" ht="13.5" customHeight="1" thickBot="1">
      <c r="A9" s="4092" t="s">
        <v>326</v>
      </c>
      <c r="B9" s="4093">
        <f>B8</f>
        <v>46082.791666666664</v>
      </c>
      <c r="C9" s="4094">
        <f>'Plan mina PS'!M43*1000</f>
        <v>175999.99999961516</v>
      </c>
      <c r="D9" s="4094">
        <f>'Plan mina PS'!L43*1000</f>
        <v>580640.98384512798</v>
      </c>
      <c r="E9" s="4094">
        <f>((('Plan mina PS'!N43*1000)))</f>
        <v>195359.01615448715</v>
      </c>
      <c r="F9" s="4094">
        <f>+'Plan mina PS'!I43*1000</f>
        <v>41151.041226654517</v>
      </c>
      <c r="G9" s="4094">
        <f>E9-F9</f>
        <v>154207.97492783263</v>
      </c>
      <c r="H9" s="4095">
        <f>AR9</f>
        <v>98.057573027372243</v>
      </c>
      <c r="I9" s="4095">
        <f>+BJ9</f>
        <v>97.132597759803119</v>
      </c>
      <c r="J9" s="4095">
        <f>+SUMPRODUCT(H9:I9,$I$4:$J$4)</f>
        <v>97.88718333333334</v>
      </c>
      <c r="K9" s="4096">
        <f>+'Plan mina PS'!D6</f>
        <v>0.5402396005121517</v>
      </c>
      <c r="L9" s="4095">
        <f>'Plan mina PS'!C6</f>
        <v>90.425753499517953</v>
      </c>
      <c r="M9" s="4097">
        <f>'Plan mina PS'!B6</f>
        <v>28.769870170268696</v>
      </c>
      <c r="N9" s="4094">
        <f>IF(ISNUMBER(E9*K9/100*L9/100/M9*100),E9*K9/100*L9/100/M9*100,0)</f>
        <v>3317.2187333356428</v>
      </c>
      <c r="O9" s="4094">
        <f>+N9+O8</f>
        <v>3317.2187333356428</v>
      </c>
      <c r="P9" s="4094">
        <f>N9*M9/100</f>
        <v>954.35952284449627</v>
      </c>
      <c r="Q9" s="4094">
        <f>P9+Q8</f>
        <v>954.35952284449627</v>
      </c>
      <c r="R9" s="4094">
        <f>+'Plan mina PS'!E6</f>
        <v>237.82598766083188</v>
      </c>
      <c r="S9" s="4095">
        <f>IF(R9&gt;0,$O$2*LN(R9)+$O$3,"")-1.5</f>
        <v>92.645858114255645</v>
      </c>
      <c r="T9" s="4095">
        <f>(IF(R9&gt;0,$P$2*LN(R9)+$P$3,""))</f>
        <v>89.856512190947882</v>
      </c>
      <c r="U9" s="4098">
        <f>(IF(ISNUMBER(S9*T9/100),S9*T9/100,""))</f>
        <v>83.248336790844405</v>
      </c>
      <c r="V9" s="4097">
        <v>50</v>
      </c>
      <c r="W9" s="4094">
        <f>Z9/V9*100</f>
        <v>77.356770355160663</v>
      </c>
      <c r="X9" s="4094">
        <f>+X8+W9</f>
        <v>77.356770355160663</v>
      </c>
      <c r="Y9" s="4094">
        <f>AB9/(V9/100)</f>
        <v>40</v>
      </c>
      <c r="Z9" s="4094">
        <f>IF(ISNUMBER(E9*R9/1000000*U9/100),E9*R9/1000000*U9/100,0)</f>
        <v>38.678385177580331</v>
      </c>
      <c r="AA9" s="4094">
        <f>+AA8+Z9</f>
        <v>38.678385177580331</v>
      </c>
      <c r="AB9" s="4094">
        <v>20</v>
      </c>
      <c r="AC9" s="4094">
        <f>+'ST Original'!AG8</f>
        <v>20</v>
      </c>
      <c r="AD9" s="4094">
        <f>+P9*$CW$5+Z9*$CW$4*$CW$6</f>
        <v>1029.6618564130617</v>
      </c>
      <c r="AE9" s="4094">
        <f>+AE8+AD9</f>
        <v>1029.6618564130617</v>
      </c>
      <c r="AF9" s="4099">
        <v>0</v>
      </c>
      <c r="AG9" s="4099">
        <v>28.769870170268696</v>
      </c>
      <c r="AH9" s="4099">
        <v>0</v>
      </c>
      <c r="AI9" s="4099">
        <v>3111</v>
      </c>
      <c r="AJ9" s="4099">
        <v>29.1880098831708</v>
      </c>
      <c r="AK9" s="4099">
        <v>908.03898746544326</v>
      </c>
      <c r="AL9" s="4100">
        <f>+'R+P'!AP8</f>
        <v>2776.975039624233</v>
      </c>
      <c r="AM9" s="4100">
        <f>+'R+P'!AQ8</f>
        <v>517.22696049335252</v>
      </c>
      <c r="AN9" s="4100">
        <f>+E9/24</f>
        <v>8139.959006436965</v>
      </c>
      <c r="AO9" s="4100">
        <f>IF(ISNUMBER(+G9/H9/24*100),+G9/H9/24*100,0)</f>
        <v>6552.6119913921348</v>
      </c>
      <c r="AP9" s="4100">
        <f>+IFERROR(F9/I9/24*100,0)</f>
        <v>1765.2433449966313</v>
      </c>
      <c r="AQ9" s="4101">
        <f>+(E9/(24*J9/100))</f>
        <v>8315.6535199486934</v>
      </c>
      <c r="AR9" s="4102">
        <f>AVERAGE(AS9:AU9)</f>
        <v>98.057573027372243</v>
      </c>
      <c r="AS9" s="4103">
        <f>BG9</f>
        <v>98.057573027372229</v>
      </c>
      <c r="AT9" s="4103">
        <f>BH9</f>
        <v>98.057573027372229</v>
      </c>
      <c r="AU9" s="4103">
        <f>BI9</f>
        <v>98.057573027372229</v>
      </c>
      <c r="AV9" s="4104">
        <f>+'Plan mina PS'!AG6</f>
        <v>1.5327568611972764</v>
      </c>
      <c r="AW9" s="4105">
        <f>'Plan mina PS'!T6</f>
        <v>11.689255545491712</v>
      </c>
      <c r="AX9" s="4106">
        <f>+DI9</f>
        <v>526.01649954712707</v>
      </c>
      <c r="AY9" s="4098">
        <f>+'Plan mina PS'!AJ6</f>
        <v>4.2121118777677768</v>
      </c>
      <c r="AZ9" s="4101">
        <f>'Plan mina PS'!V6</f>
        <v>201.1824488463391</v>
      </c>
      <c r="BA9" s="4103">
        <f>+('Plan mina PS'!P6*AN9/1000000)*0.8</f>
        <v>2.0248839726379746</v>
      </c>
      <c r="BB9" s="4103">
        <f>+'Plan mina PS'!W6</f>
        <v>37.466534886953944</v>
      </c>
      <c r="BC9" s="4094">
        <f>+'Plan mina PS'!Y6</f>
        <v>85.109268500446959</v>
      </c>
      <c r="BD9" s="4094">
        <f>+'MCP PS'!AU2*100</f>
        <v>76.586966734049156</v>
      </c>
      <c r="BE9" s="4107">
        <f>B9</f>
        <v>46082.791666666664</v>
      </c>
      <c r="BF9" s="4102">
        <f>+SUMPRODUCT(BG9:BJ9,$BS$3:$BV$3)</f>
        <v>97.887183333333326</v>
      </c>
      <c r="BG9" s="4102">
        <f>BK9/$BH$44*100</f>
        <v>98.057573027372229</v>
      </c>
      <c r="BH9" s="4102">
        <f>BL9/$BH$44*100</f>
        <v>98.057573027372229</v>
      </c>
      <c r="BI9" s="4102">
        <f>BM9/$BH$44*100</f>
        <v>98.057573027372229</v>
      </c>
      <c r="BJ9" s="4102">
        <f>BN9/$BH$44*100</f>
        <v>97.132597759803119</v>
      </c>
      <c r="BK9" s="4103">
        <f>24-BO9/BS$3</f>
        <v>23.533817526569337</v>
      </c>
      <c r="BL9" s="4103">
        <f>24-BP9/BT$3</f>
        <v>23.533817526569337</v>
      </c>
      <c r="BM9" s="4103">
        <f>24-BQ9/BU$3</f>
        <v>23.533817526569337</v>
      </c>
      <c r="BN9" s="4103">
        <f>24-BR9/BV$3</f>
        <v>23.311823462352748</v>
      </c>
      <c r="BO9" s="4102">
        <f>BS9*BS$3+IF(BS9&gt;=BW9,0,(BW9-BS9)*BW$3)+IF(BS9&gt;=BX9,0,(BX9-BS9)*BX$3)+(CD9+CH9+CL9+CP9)</f>
        <v>0.12676900000000002</v>
      </c>
      <c r="BP9" s="4102">
        <f>BT9*BT$3+IF(BT9&gt;=BY9,0,(BY9-BT9)*BY$3)+IF(BT9&gt;=BZ9,0,(BZ9-BT9)*BZ$3)+(CE9+CI9+CM9+CQ9)</f>
        <v>0.12676900000000002</v>
      </c>
      <c r="BQ9" s="4102">
        <f>BU9*BU$3+IF(BU9&gt;=CA9,0,(CA9-BU9)*CA$3)+IF(BU9&gt;=CB9,0,(CB9-BU9)*CB$3)+(CF9+CJ9+CN9+CR9)</f>
        <v>0.12676900000000002</v>
      </c>
      <c r="BR9" s="4102">
        <f>BV9*BV$3+IF(BV9&gt;=CC9,0,(CC9-BV9)*CC$3)+(CG9+CK9+CO9+CS9)</f>
        <v>0.12676900000000002</v>
      </c>
      <c r="BS9" s="4108">
        <f>+'ST Original'!DL8</f>
        <v>0</v>
      </c>
      <c r="BT9" s="4108">
        <f>+'ST Original'!DM8</f>
        <v>0</v>
      </c>
      <c r="BU9" s="4108">
        <f>+'ST Original'!DN8</f>
        <v>0</v>
      </c>
      <c r="BV9" s="4108">
        <f>+'ST Original'!DO8</f>
        <v>0</v>
      </c>
      <c r="BW9" s="4108">
        <f>+'ST Original'!DP8</f>
        <v>0</v>
      </c>
      <c r="BX9" s="4108">
        <f>+'ST Original'!DQ8</f>
        <v>0</v>
      </c>
      <c r="BY9" s="4108">
        <f>+'ST Original'!DR8</f>
        <v>0</v>
      </c>
      <c r="BZ9" s="4108">
        <f>+'ST Original'!DS8</f>
        <v>0</v>
      </c>
      <c r="CA9" s="4108">
        <f>+'ST Original'!DT8</f>
        <v>0</v>
      </c>
      <c r="CB9" s="4108">
        <f>+'ST Original'!DU8</f>
        <v>0</v>
      </c>
      <c r="CC9" s="4108">
        <f>+'ST Original'!DV8</f>
        <v>0</v>
      </c>
      <c r="CD9" s="4109">
        <f>+'ST Original'!DW8</f>
        <v>7.2602333333333338E-2</v>
      </c>
      <c r="CE9" s="4109">
        <f>+'ST Original'!DX8</f>
        <v>7.2602333333333338E-2</v>
      </c>
      <c r="CF9" s="4109">
        <f>+'ST Original'!DY8</f>
        <v>7.2602333333333338E-2</v>
      </c>
      <c r="CG9" s="4109">
        <f>+'ST Original'!DZ8</f>
        <v>7.2602333333333338E-2</v>
      </c>
      <c r="CH9" s="4109">
        <f>+'ST Original'!EA8</f>
        <v>0</v>
      </c>
      <c r="CI9" s="4109">
        <f>+'ST Original'!EB8</f>
        <v>0</v>
      </c>
      <c r="CJ9" s="4109">
        <f>+'ST Original'!EC8</f>
        <v>0</v>
      </c>
      <c r="CK9" s="4109">
        <f>+'ST Original'!ED8</f>
        <v>0</v>
      </c>
      <c r="CL9" s="4109">
        <f>+'ST Original'!EE8</f>
        <v>0.05</v>
      </c>
      <c r="CM9" s="4109">
        <f>+'ST Original'!EF8</f>
        <v>0.05</v>
      </c>
      <c r="CN9" s="4109">
        <f>+'ST Original'!EG8</f>
        <v>0.05</v>
      </c>
      <c r="CO9" s="4109">
        <f>+'ST Original'!EH8</f>
        <v>0.05</v>
      </c>
      <c r="CP9" s="4109">
        <f>+'ST Original'!EI8</f>
        <v>4.1666666666666666E-3</v>
      </c>
      <c r="CQ9" s="4109">
        <f>+'ST Original'!EJ8</f>
        <v>4.1666666666666666E-3</v>
      </c>
      <c r="CR9" s="4109">
        <f>+'ST Original'!EK8</f>
        <v>4.1666666666666666E-3</v>
      </c>
      <c r="CS9" s="4109">
        <f>+'ST Original'!EL8</f>
        <v>4.1666666666666666E-3</v>
      </c>
      <c r="CT9" s="4105">
        <f>+'MCP PS'!I2</f>
        <v>1.2270005837919786</v>
      </c>
      <c r="CY9" s="4107">
        <f>BE9</f>
        <v>46082.791666666664</v>
      </c>
      <c r="CZ9" s="4095">
        <f>+'Plan mina PS'!J6</f>
        <v>4.2696775125446985E-2</v>
      </c>
      <c r="DA9" s="4095">
        <f>+DB9/N9</f>
        <v>1.6344354785757416</v>
      </c>
      <c r="DB9" s="4094">
        <f>+E9*$CZ$5/100*CZ9</f>
        <v>5421.779987959857</v>
      </c>
      <c r="DC9" s="4101">
        <f>+DB9</f>
        <v>5421.779987959857</v>
      </c>
      <c r="DD9" s="4095">
        <f>+'Plan mina PS'!K6</f>
        <v>1.3211798014117742</v>
      </c>
      <c r="DE9" s="4095">
        <f>+DF9/N9</f>
        <v>57.577525366110166</v>
      </c>
      <c r="DF9" s="4094">
        <f>+E9*$DD$5/100*DD9</f>
        <v>190997.24576356882</v>
      </c>
      <c r="DG9" s="4094">
        <f>+DF9</f>
        <v>190997.24576356882</v>
      </c>
      <c r="DH9" s="4097">
        <f>+'Plan mina PS'!T6</f>
        <v>11.689255545491712</v>
      </c>
      <c r="DI9" s="4094">
        <f>+DH9*$DI$5</f>
        <v>526.01649954712707</v>
      </c>
      <c r="DJ9" s="4106">
        <f>+'Plan mina PS'!AH43</f>
        <v>0</v>
      </c>
    </row>
    <row r="10" spans="1:114" s="4126" customFormat="1" ht="13.5" customHeight="1" thickBot="1">
      <c r="A10" s="4111"/>
      <c r="B10" s="4112">
        <f t="shared" ref="B10:B39" si="0">B9+1</f>
        <v>46083.791666666664</v>
      </c>
      <c r="C10" s="4113">
        <f>'Plan mina PS'!M44*1000</f>
        <v>177448.69792783732</v>
      </c>
      <c r="D10" s="4113">
        <f>'Plan mina PS'!L44*1000</f>
        <v>628000</v>
      </c>
      <c r="E10" s="4113">
        <f>((('Plan mina PS'!N44*1000)))</f>
        <v>164669.04993645646</v>
      </c>
      <c r="F10" s="4113">
        <f>+'Plan mina PS'!I44*1000</f>
        <v>40348.784119753131</v>
      </c>
      <c r="G10" s="4113">
        <f t="shared" ref="G10:G36" si="1">E10-F10</f>
        <v>124320.26581670332</v>
      </c>
      <c r="H10" s="4114">
        <f t="shared" ref="H10:H36" si="2">AR10</f>
        <v>80.002017471816671</v>
      </c>
      <c r="I10" s="4114">
        <f t="shared" ref="I10:I36" si="3">+BJ10</f>
        <v>97.132597759803119</v>
      </c>
      <c r="J10" s="4115">
        <f t="shared" ref="J10:J36" si="4">+SUMPRODUCT(H10:I10,$I$4:$J$4)</f>
        <v>83.157641666666663</v>
      </c>
      <c r="K10" s="4116">
        <f>+'Plan mina PS'!D7</f>
        <v>0.50525922546271274</v>
      </c>
      <c r="L10" s="4115">
        <f>'Plan mina PS'!C7</f>
        <v>90.560279451590247</v>
      </c>
      <c r="M10" s="4114">
        <f>'Plan mina PS'!B7</f>
        <v>30.664988607836669</v>
      </c>
      <c r="N10" s="4113">
        <f t="shared" ref="N10:N36" si="5">IF(ISNUMBER(E10*K10/100*L10/100/M10*100),E10*K10/100*L10/100/M10*100,0)</f>
        <v>2457.0906433945484</v>
      </c>
      <c r="O10" s="4113">
        <f t="shared" ref="O10:O36" si="6">+N10+O9</f>
        <v>5774.3093767301907</v>
      </c>
      <c r="P10" s="4113">
        <f t="shared" ref="P10:P36" si="7">N10*M10/100</f>
        <v>753.466565881159</v>
      </c>
      <c r="Q10" s="4113">
        <f t="shared" ref="Q10:Q36" si="8">P10+Q9</f>
        <v>1707.8260887256552</v>
      </c>
      <c r="R10" s="4113">
        <f>+'Plan mina PS'!E7</f>
        <v>216.87675571380703</v>
      </c>
      <c r="S10" s="4115">
        <f t="shared" ref="S10:S27" si="9">IF(R10&gt;0,$O$2*LN(R10)+$O$3,"")-1.5</f>
        <v>92.32254213587639</v>
      </c>
      <c r="T10" s="4115">
        <f t="shared" ref="T10:T36" si="10">(IF(R10&gt;0,$P$2*LN(R10)+$P$3,""))</f>
        <v>89.59525355319812</v>
      </c>
      <c r="U10" s="4117">
        <f t="shared" ref="U10:U39" si="11">(IF(ISNUMBER(S10*T10/100),S10*T10/100,""))</f>
        <v>82.716615713396621</v>
      </c>
      <c r="V10" s="4114">
        <v>50</v>
      </c>
      <c r="W10" s="4113">
        <f t="shared" ref="W10:W36" si="12">Z10/V10*100</f>
        <v>59.080986832480185</v>
      </c>
      <c r="X10" s="4113">
        <f t="shared" ref="X10:X36" si="13">+X9+W10</f>
        <v>136.43775718764084</v>
      </c>
      <c r="Y10" s="4113">
        <f t="shared" ref="Y10:Y36" si="14">AB10/(V10/100)</f>
        <v>60</v>
      </c>
      <c r="Z10" s="4113">
        <f t="shared" ref="Z10:Z36" si="15">IF(ISNUMBER(E10*R10/1000000*U10/100),E10*R10/1000000*U10/100,0)</f>
        <v>29.540493416240093</v>
      </c>
      <c r="AA10" s="4113">
        <f t="shared" ref="AA10:AA36" si="16">+AA9+Z10</f>
        <v>68.218878593820421</v>
      </c>
      <c r="AB10" s="4113">
        <v>30</v>
      </c>
      <c r="AC10" s="4113">
        <f>+'ST Original'!AG9</f>
        <v>30</v>
      </c>
      <c r="AD10" s="4113">
        <f t="shared" ref="AD10:AD36" si="17">+P10*$CW$5+Z10*$CW$4*$CW$6</f>
        <v>810.04453733928653</v>
      </c>
      <c r="AE10" s="4113">
        <f t="shared" ref="AE10:AE36" si="18">+AE9+AD10</f>
        <v>1839.7063937523483</v>
      </c>
      <c r="AF10" s="4099">
        <v>1600</v>
      </c>
      <c r="AG10" s="4118">
        <v>30.664988607836669</v>
      </c>
      <c r="AH10" s="4099">
        <v>490.63981772538699</v>
      </c>
      <c r="AI10" s="4099">
        <v>0</v>
      </c>
      <c r="AJ10" s="4118">
        <v>28.769870170268696</v>
      </c>
      <c r="AK10" s="4099">
        <v>0</v>
      </c>
      <c r="AL10" s="4119">
        <f>+'R+P'!AP9</f>
        <v>2599.6276170353804</v>
      </c>
      <c r="AM10" s="4119">
        <f>+'R+P'!AQ9</f>
        <v>1007.6680881851721</v>
      </c>
      <c r="AN10" s="4100">
        <f>+E10/24</f>
        <v>6861.2104140190195</v>
      </c>
      <c r="AO10" s="4119">
        <f t="shared" ref="AO10:AO36" si="19">IF(ISNUMBER(+G10/H10/24*100),+G10/H10/24*100,0)</f>
        <v>6474.8505592634583</v>
      </c>
      <c r="AP10" s="4119">
        <f t="shared" ref="AP10:AP36" si="20">+IFERROR(F10/I10/24*100,0)</f>
        <v>1730.8291727978333</v>
      </c>
      <c r="AQ10" s="4099">
        <f t="shared" ref="AQ10:AQ36" si="21">+(E10/(24*J10/100))</f>
        <v>8250.8477591534465</v>
      </c>
      <c r="AR10" s="4120">
        <f t="shared" ref="AR10:AR36" si="22">AVERAGE(AS10:AU10)</f>
        <v>80.002017471816671</v>
      </c>
      <c r="AS10" s="4118">
        <f t="shared" ref="AS10:AS36" si="23">BG10</f>
        <v>43.890906360705564</v>
      </c>
      <c r="AT10" s="4118">
        <f t="shared" ref="AT10:AT36" si="24">BH10</f>
        <v>98.057573027372229</v>
      </c>
      <c r="AU10" s="4118">
        <f t="shared" ref="AU10:AU36" si="25">BI10</f>
        <v>98.057573027372229</v>
      </c>
      <c r="AV10" s="4121">
        <f>+'Plan mina PS'!AG7</f>
        <v>1.8046348474364655</v>
      </c>
      <c r="AW10" s="4122">
        <f>'Plan mina PS'!T7</f>
        <v>21.708945894834152</v>
      </c>
      <c r="AX10" s="4123">
        <f t="shared" ref="AX10:AX39" si="26">+DI10</f>
        <v>976.90256526753683</v>
      </c>
      <c r="AY10" s="4117">
        <f>+'Plan mina PS'!AJ7</f>
        <v>4.2846833539533788</v>
      </c>
      <c r="AZ10" s="4099">
        <f>'Plan mina PS'!V7</f>
        <v>191.86664871803802</v>
      </c>
      <c r="BA10" s="4103">
        <f>+('Plan mina PS'!P7*AN10/1000000)*0.8</f>
        <v>2.3801103254456963</v>
      </c>
      <c r="BB10" s="4118">
        <f>+'Plan mina PS'!W7</f>
        <v>36.853444067872815</v>
      </c>
      <c r="BC10" s="4113">
        <f>+'Plan mina PS'!Y7</f>
        <v>93.700300122899733</v>
      </c>
      <c r="BD10" s="4094">
        <f>+'MCP PS'!AU3*100</f>
        <v>91.797851073169397</v>
      </c>
      <c r="BE10" s="4124">
        <f t="shared" ref="BE10:BE39" si="27">B10</f>
        <v>46083.791666666664</v>
      </c>
      <c r="BF10" s="4120">
        <f t="shared" ref="BF10:BF36" si="28">+SUMPRODUCT(BG10:BJ10,$BS$3:$BV$3)</f>
        <v>83.157641666666663</v>
      </c>
      <c r="BG10" s="4120">
        <f t="shared" ref="BG10:BG36" si="29">BK10/$BH$44*100</f>
        <v>43.890906360705564</v>
      </c>
      <c r="BH10" s="4118">
        <f t="shared" ref="BH10:BH36" si="30">BL10/$BH$44*100</f>
        <v>98.057573027372229</v>
      </c>
      <c r="BI10" s="4118">
        <f t="shared" ref="BI10:BI36" si="31">BM10/$BH$44*100</f>
        <v>98.057573027372229</v>
      </c>
      <c r="BJ10" s="4118">
        <f t="shared" ref="BJ10:BJ36" si="32">BN10/$BH$44*100</f>
        <v>97.132597759803119</v>
      </c>
      <c r="BK10" s="4118">
        <f t="shared" ref="BK10:BK36" si="33">24-BO10/BS$3</f>
        <v>10.533817526569337</v>
      </c>
      <c r="BL10" s="4118">
        <f t="shared" ref="BL10:BL36" si="34">24-BP10/BT$3</f>
        <v>23.533817526569337</v>
      </c>
      <c r="BM10" s="4118">
        <f t="shared" ref="BM10:BM36" si="35">24-BQ10/BU$3</f>
        <v>23.533817526569337</v>
      </c>
      <c r="BN10" s="4118">
        <f t="shared" ref="BN10:BN36" si="36">24-BR10/BV$3</f>
        <v>23.311823462352748</v>
      </c>
      <c r="BO10" s="4120">
        <f t="shared" ref="BO10:BO39" si="37">BS10*BS$3+IF(BS10&gt;=BW10,0,(BW10-BS10)*BW$3)+IF(BS10&gt;=BX10,0,(BX10-BS10)*BX$3)+(CD10+CH10+CL10+CP10)</f>
        <v>3.6618590000000002</v>
      </c>
      <c r="BP10" s="4120">
        <f t="shared" ref="BP10:BP39" si="38">BT10*BT$3+IF(BT10&gt;=BY10,0,(BY10-BT10)*BY$3)+IF(BT10&gt;=BZ10,0,(BZ10-BT10)*BZ$3)+(CE10+CI10+CM10+CQ10)</f>
        <v>0.12676900000000002</v>
      </c>
      <c r="BQ10" s="4120">
        <f t="shared" ref="BQ10:BQ39" si="39">BU10*BU$3+IF(BU10&gt;=CA10,0,(CA10-BU10)*CA$3)+IF(BU10&gt;=CB10,0,(CB10-BU10)*CB$3)+(CF10+CJ10+CN10+CR10)</f>
        <v>0.12676900000000002</v>
      </c>
      <c r="BR10" s="4120">
        <f t="shared" ref="BR10:BR39" si="40">BV10*BV$3+IF(BV10&gt;=CC10,0,(CC10-BV10)*CC$3)+(CG10+CK10+CO10+CS10)</f>
        <v>0.12676900000000002</v>
      </c>
      <c r="BS10" s="4125">
        <f>+'ST Original'!DL9</f>
        <v>13</v>
      </c>
      <c r="BT10" s="4125">
        <f>+'ST Original'!DM9</f>
        <v>0</v>
      </c>
      <c r="BU10" s="4125">
        <f>+'ST Original'!DN9</f>
        <v>0</v>
      </c>
      <c r="BV10" s="4125">
        <f>+'ST Original'!DO9</f>
        <v>0</v>
      </c>
      <c r="BW10" s="4125">
        <f>+'ST Original'!DP9</f>
        <v>0</v>
      </c>
      <c r="BX10" s="4125">
        <f>+'ST Original'!DQ9</f>
        <v>0</v>
      </c>
      <c r="BY10" s="4125">
        <f>+'ST Original'!DR9</f>
        <v>0</v>
      </c>
      <c r="BZ10" s="4125">
        <f>+'ST Original'!DS9</f>
        <v>0</v>
      </c>
      <c r="CA10" s="4125">
        <f>+'ST Original'!DT9</f>
        <v>0</v>
      </c>
      <c r="CB10" s="4125">
        <f>+'ST Original'!DU9</f>
        <v>0</v>
      </c>
      <c r="CC10" s="4125">
        <f>+'ST Original'!DV9</f>
        <v>0</v>
      </c>
      <c r="CD10" s="4109">
        <f>+'ST Original'!DW9</f>
        <v>7.2602333333333338E-2</v>
      </c>
      <c r="CE10" s="4109">
        <f>+'ST Original'!DX9</f>
        <v>7.2602333333333338E-2</v>
      </c>
      <c r="CF10" s="4109">
        <f>+'ST Original'!DY9</f>
        <v>7.2602333333333338E-2</v>
      </c>
      <c r="CG10" s="4109">
        <f>+'ST Original'!DZ9</f>
        <v>7.2602333333333338E-2</v>
      </c>
      <c r="CH10" s="4109">
        <f>+'ST Original'!EA9</f>
        <v>0</v>
      </c>
      <c r="CI10" s="4109">
        <f>+'ST Original'!EB9</f>
        <v>0</v>
      </c>
      <c r="CJ10" s="4109">
        <f>+'ST Original'!EC9</f>
        <v>0</v>
      </c>
      <c r="CK10" s="4109">
        <f>+'ST Original'!ED9</f>
        <v>0</v>
      </c>
      <c r="CL10" s="4109">
        <f>+'ST Original'!EE9</f>
        <v>0.05</v>
      </c>
      <c r="CM10" s="4109">
        <f>+'ST Original'!EF9</f>
        <v>0.05</v>
      </c>
      <c r="CN10" s="4109">
        <f>+'ST Original'!EG9</f>
        <v>0.05</v>
      </c>
      <c r="CO10" s="4109">
        <f>+'ST Original'!EH9</f>
        <v>0.05</v>
      </c>
      <c r="CP10" s="4109">
        <f>+'ST Original'!EI9</f>
        <v>4.1666666666666666E-3</v>
      </c>
      <c r="CQ10" s="4109">
        <f>+'ST Original'!EJ9</f>
        <v>4.1666666666666666E-3</v>
      </c>
      <c r="CR10" s="4109">
        <f>+'ST Original'!EK9</f>
        <v>4.1666666666666666E-3</v>
      </c>
      <c r="CS10" s="4109">
        <f>+'ST Original'!EL9</f>
        <v>4.1666666666666666E-3</v>
      </c>
      <c r="CT10" s="4105">
        <f>+'MCP PS'!I3</f>
        <v>1.057864106816629</v>
      </c>
      <c r="CY10" s="4124">
        <f t="shared" ref="CY10:CY36" si="41">BE10</f>
        <v>46083.791666666664</v>
      </c>
      <c r="CZ10" s="4115">
        <f>+'Plan mina PS'!J7</f>
        <v>5.0464443456633978E-2</v>
      </c>
      <c r="DA10" s="4115">
        <f t="shared" ref="DA10:DA36" si="42">+DB10/N10</f>
        <v>2.1983135983384323</v>
      </c>
      <c r="DB10" s="4113">
        <f t="shared" ref="DB10:DB36" si="43">+E10*$CZ$5/100*CZ10</f>
        <v>5401.4557737243631</v>
      </c>
      <c r="DC10" s="4099">
        <f t="shared" ref="DC10:DC36" si="44">+DB10</f>
        <v>5401.4557737243631</v>
      </c>
      <c r="DD10" s="4115">
        <f>+'Plan mina PS'!K7</f>
        <v>1.5235193249047208</v>
      </c>
      <c r="DE10" s="4115">
        <f t="shared" ref="DE10:DE36" si="45">+DF10/N10</f>
        <v>75.556266328669338</v>
      </c>
      <c r="DF10" s="4113">
        <f t="shared" ref="DF10:DF36" si="46">+E10*$DD$5/100*DD10</f>
        <v>185648.595046</v>
      </c>
      <c r="DG10" s="4113">
        <f t="shared" ref="DG10:DG36" si="47">+DF10</f>
        <v>185648.595046</v>
      </c>
      <c r="DH10" s="4114">
        <f>+'Plan mina PS'!T7</f>
        <v>21.708945894834152</v>
      </c>
      <c r="DI10" s="4113">
        <f t="shared" ref="DI10:DI36" si="48">+DH10*$DI$5</f>
        <v>976.90256526753683</v>
      </c>
      <c r="DJ10" s="4126">
        <f>+'Plan mina PS'!AH44</f>
        <v>0</v>
      </c>
    </row>
    <row r="11" spans="1:114" s="4144" customFormat="1" ht="13.5" customHeight="1" thickBot="1">
      <c r="A11" s="4127"/>
      <c r="B11" s="4128">
        <f t="shared" si="0"/>
        <v>46084.791666666664</v>
      </c>
      <c r="C11" s="4129">
        <f>'Plan mina PS'!M45*1000</f>
        <v>200000</v>
      </c>
      <c r="D11" s="4129">
        <f>'Plan mina PS'!L45*1000</f>
        <v>672529.5612</v>
      </c>
      <c r="E11" s="4129">
        <f>((('Plan mina PS'!N45*1000)))</f>
        <v>150000</v>
      </c>
      <c r="F11" s="4129">
        <f>+'Plan mina PS'!I45*1000</f>
        <v>41182.240969031423</v>
      </c>
      <c r="G11" s="4129">
        <f t="shared" si="1"/>
        <v>108817.75903096858</v>
      </c>
      <c r="H11" s="4130">
        <f t="shared" si="2"/>
        <v>65.371715351581486</v>
      </c>
      <c r="I11" s="4130">
        <f t="shared" si="3"/>
        <v>97.132597759803119</v>
      </c>
      <c r="J11" s="4131">
        <f t="shared" si="4"/>
        <v>71.222387499999996</v>
      </c>
      <c r="K11" s="4132">
        <f>+'Plan mina PS'!D8</f>
        <v>0.47734976123853823</v>
      </c>
      <c r="L11" s="4131">
        <f>'Plan mina PS'!C8</f>
        <v>89.704831699357015</v>
      </c>
      <c r="M11" s="4130">
        <f>'Plan mina PS'!B8</f>
        <v>27.579659896669874</v>
      </c>
      <c r="N11" s="4129">
        <f t="shared" si="5"/>
        <v>2328.92175723322</v>
      </c>
      <c r="O11" s="4129">
        <f t="shared" si="6"/>
        <v>8103.2311339634107</v>
      </c>
      <c r="P11" s="4129">
        <f t="shared" si="7"/>
        <v>642.30869990446968</v>
      </c>
      <c r="Q11" s="4129">
        <f t="shared" si="8"/>
        <v>2350.1347886301246</v>
      </c>
      <c r="R11" s="4129">
        <f>+'Plan mina PS'!E8</f>
        <v>187.24630186246699</v>
      </c>
      <c r="S11" s="4131">
        <f t="shared" si="9"/>
        <v>91.807451330338566</v>
      </c>
      <c r="T11" s="4131">
        <f>(IF(R11&gt;0,$P$2*LN(R11)+$P$3,""))*$Q$2</f>
        <v>86.50365850943183</v>
      </c>
      <c r="U11" s="4133">
        <f t="shared" si="11"/>
        <v>79.4168041850089</v>
      </c>
      <c r="V11" s="4130">
        <v>50</v>
      </c>
      <c r="W11" s="4129">
        <f>Z11/V11*100</f>
        <v>44.611508668135819</v>
      </c>
      <c r="X11" s="4129">
        <f t="shared" si="13"/>
        <v>181.04926585577667</v>
      </c>
      <c r="Y11" s="4129">
        <f>AB11/(V11/100)</f>
        <v>60</v>
      </c>
      <c r="Z11" s="4129">
        <f t="shared" si="15"/>
        <v>22.30575433406791</v>
      </c>
      <c r="AA11" s="4129">
        <f t="shared" si="16"/>
        <v>90.524632927888334</v>
      </c>
      <c r="AB11" s="4113">
        <v>30</v>
      </c>
      <c r="AC11" s="4129">
        <f>+'ST Original'!AG10</f>
        <v>30</v>
      </c>
      <c r="AD11" s="4129">
        <f t="shared" si="17"/>
        <v>682.24202921349035</v>
      </c>
      <c r="AE11" s="4129">
        <f t="shared" si="18"/>
        <v>2521.9484229658387</v>
      </c>
      <c r="AF11" s="4134">
        <f>Real!AL11</f>
        <v>3793.09423828125</v>
      </c>
      <c r="AG11" s="4134">
        <f>Real!AM11</f>
        <v>30.48</v>
      </c>
      <c r="AH11" s="4099">
        <v>1020.4474161767901</v>
      </c>
      <c r="AI11" s="4099">
        <v>1600</v>
      </c>
      <c r="AJ11" s="4118">
        <v>30.664988607836669</v>
      </c>
      <c r="AK11" s="4099">
        <v>490.63981772538665</v>
      </c>
      <c r="AL11" s="4135">
        <f>+'R+P'!AP10</f>
        <v>2696.4778287721792</v>
      </c>
      <c r="AM11" s="4135">
        <f>+'R+P'!AQ10</f>
        <v>648.83924605024913</v>
      </c>
      <c r="AN11" s="4100">
        <f>+E11/24</f>
        <v>6250</v>
      </c>
      <c r="AO11" s="4135">
        <f t="shared" si="19"/>
        <v>6935.8334389298461</v>
      </c>
      <c r="AP11" s="4135">
        <f t="shared" si="20"/>
        <v>1766.5817105872638</v>
      </c>
      <c r="AQ11" s="4134">
        <f t="shared" si="21"/>
        <v>8775.3306500712297</v>
      </c>
      <c r="AR11" s="4136">
        <f t="shared" si="22"/>
        <v>65.371715351581486</v>
      </c>
      <c r="AS11" s="4137">
        <f t="shared" si="23"/>
        <v>0</v>
      </c>
      <c r="AT11" s="4137">
        <f t="shared" si="24"/>
        <v>98.057573027372229</v>
      </c>
      <c r="AU11" s="4137">
        <f t="shared" si="25"/>
        <v>98.057573027372229</v>
      </c>
      <c r="AV11" s="4138">
        <f>+'Plan mina PS'!AG8</f>
        <v>1.5139604902392227</v>
      </c>
      <c r="AW11" s="4139">
        <f>'Plan mina PS'!T8</f>
        <v>20.378920654793824</v>
      </c>
      <c r="AX11" s="4140">
        <f t="shared" si="26"/>
        <v>917.05142946572209</v>
      </c>
      <c r="AY11" s="4133">
        <f>+'Plan mina PS'!AJ8</f>
        <v>4.1634148284155836</v>
      </c>
      <c r="AZ11" s="4134">
        <f>'Plan mina PS'!V8</f>
        <v>215.22438293821796</v>
      </c>
      <c r="BA11" s="4103">
        <f>+('Plan mina PS'!P8*AN11/1000000)*0.8</f>
        <v>4.6697469100309004</v>
      </c>
      <c r="BB11" s="4137">
        <f>+'Plan mina PS'!W8</f>
        <v>36.997724760760981</v>
      </c>
      <c r="BC11" s="4129">
        <f>+'Plan mina PS'!Y8</f>
        <v>84.564353375128817</v>
      </c>
      <c r="BD11" s="4094">
        <f>+'MCP PS'!AU4*100</f>
        <v>81.371235732002631</v>
      </c>
      <c r="BE11" s="4141">
        <f t="shared" si="27"/>
        <v>46084.791666666664</v>
      </c>
      <c r="BF11" s="4136">
        <f t="shared" si="28"/>
        <v>71.222387499999996</v>
      </c>
      <c r="BG11" s="4136">
        <f t="shared" si="29"/>
        <v>0</v>
      </c>
      <c r="BH11" s="4137">
        <f t="shared" si="30"/>
        <v>98.057573027372229</v>
      </c>
      <c r="BI11" s="4137">
        <f t="shared" si="31"/>
        <v>98.057573027372229</v>
      </c>
      <c r="BJ11" s="4137">
        <f t="shared" si="32"/>
        <v>97.132597759803119</v>
      </c>
      <c r="BK11" s="4137">
        <f t="shared" si="33"/>
        <v>0</v>
      </c>
      <c r="BL11" s="4137">
        <f t="shared" si="34"/>
        <v>23.533817526569337</v>
      </c>
      <c r="BM11" s="4137">
        <f t="shared" si="35"/>
        <v>23.533817526569337</v>
      </c>
      <c r="BN11" s="4137">
        <f t="shared" si="36"/>
        <v>23.311823462352748</v>
      </c>
      <c r="BO11" s="4136">
        <f t="shared" si="37"/>
        <v>6.5263200000000001</v>
      </c>
      <c r="BP11" s="4136">
        <f t="shared" si="38"/>
        <v>0.12676900000000002</v>
      </c>
      <c r="BQ11" s="4136">
        <f t="shared" si="39"/>
        <v>0.12676900000000002</v>
      </c>
      <c r="BR11" s="4136">
        <f t="shared" si="40"/>
        <v>0.12676900000000002</v>
      </c>
      <c r="BS11" s="4142">
        <f>+'ST Original'!DL10</f>
        <v>24</v>
      </c>
      <c r="BT11" s="4142">
        <f>+'ST Original'!DM10</f>
        <v>0</v>
      </c>
      <c r="BU11" s="4142">
        <f>+'ST Original'!DN10</f>
        <v>0</v>
      </c>
      <c r="BV11" s="4142">
        <f>+'ST Original'!DO10</f>
        <v>0</v>
      </c>
      <c r="BW11" s="4142">
        <f>+'ST Original'!DP10</f>
        <v>0</v>
      </c>
      <c r="BX11" s="4142">
        <f>+'ST Original'!DQ10</f>
        <v>0</v>
      </c>
      <c r="BY11" s="4142">
        <f>+'ST Original'!DR10</f>
        <v>0</v>
      </c>
      <c r="BZ11" s="4142">
        <f>+'ST Original'!DS10</f>
        <v>0</v>
      </c>
      <c r="CA11" s="4142">
        <f>+'ST Original'!DT10</f>
        <v>0</v>
      </c>
      <c r="CB11" s="4142">
        <f>+'ST Original'!DU10</f>
        <v>0</v>
      </c>
      <c r="CC11" s="4142">
        <f>+'ST Original'!DV10</f>
        <v>0</v>
      </c>
      <c r="CD11" s="4143">
        <f>+'ST Original'!DW10</f>
        <v>0</v>
      </c>
      <c r="CE11" s="4143">
        <f>+'ST Original'!DX10</f>
        <v>7.2602333333333338E-2</v>
      </c>
      <c r="CF11" s="4143">
        <f>+'ST Original'!DY10</f>
        <v>7.2602333333333338E-2</v>
      </c>
      <c r="CG11" s="4143">
        <f>+'ST Original'!DZ10</f>
        <v>7.2602333333333338E-2</v>
      </c>
      <c r="CH11" s="4143">
        <f>+'ST Original'!EA10</f>
        <v>0</v>
      </c>
      <c r="CI11" s="4143">
        <f>+'ST Original'!EB10</f>
        <v>0</v>
      </c>
      <c r="CJ11" s="4143">
        <f>+'ST Original'!EC10</f>
        <v>0</v>
      </c>
      <c r="CK11" s="4143">
        <f>+'ST Original'!ED10</f>
        <v>0</v>
      </c>
      <c r="CL11" s="4143">
        <f>+'ST Original'!EE10</f>
        <v>0</v>
      </c>
      <c r="CM11" s="4143">
        <f>+'ST Original'!EF10</f>
        <v>0.05</v>
      </c>
      <c r="CN11" s="4143">
        <f>+'ST Original'!EG10</f>
        <v>0.05</v>
      </c>
      <c r="CO11" s="4143">
        <f>+'ST Original'!EH10</f>
        <v>0.05</v>
      </c>
      <c r="CP11" s="4143">
        <f>+'ST Original'!EI10</f>
        <v>0</v>
      </c>
      <c r="CQ11" s="4143">
        <f>+'ST Original'!EJ10</f>
        <v>4.1666666666666666E-3</v>
      </c>
      <c r="CR11" s="4143">
        <f>+'ST Original'!EK10</f>
        <v>4.1666666666666666E-3</v>
      </c>
      <c r="CS11" s="4143">
        <f>+'ST Original'!EL10</f>
        <v>4.1666666666666666E-3</v>
      </c>
      <c r="CT11" s="4105">
        <f>+'MCP PS'!I4</f>
        <v>1.2523361839712368</v>
      </c>
      <c r="CY11" s="4141">
        <f t="shared" si="41"/>
        <v>46084.791666666664</v>
      </c>
      <c r="CZ11" s="4131">
        <f>+'Plan mina PS'!J8</f>
        <v>4.4948232116537562E-2</v>
      </c>
      <c r="DA11" s="4131">
        <f t="shared" si="42"/>
        <v>1.881751766778462</v>
      </c>
      <c r="DB11" s="4129">
        <f t="shared" si="43"/>
        <v>4382.4526313624119</v>
      </c>
      <c r="DC11" s="4134">
        <f t="shared" si="44"/>
        <v>4382.4526313624119</v>
      </c>
      <c r="DD11" s="4131">
        <f>+'Plan mina PS'!K8</f>
        <v>1.3956317262972397</v>
      </c>
      <c r="DE11" s="4131">
        <f t="shared" si="45"/>
        <v>66.517958852784375</v>
      </c>
      <c r="DF11" s="4129">
        <f t="shared" si="46"/>
        <v>154915.12161899361</v>
      </c>
      <c r="DG11" s="4129">
        <f t="shared" si="47"/>
        <v>154915.12161899361</v>
      </c>
      <c r="DH11" s="4130">
        <f>+'Plan mina PS'!T8</f>
        <v>20.378920654793824</v>
      </c>
      <c r="DI11" s="4129">
        <f t="shared" si="48"/>
        <v>917.05142946572209</v>
      </c>
      <c r="DJ11" s="4144">
        <f>+'Plan mina PS'!AH45</f>
        <v>0</v>
      </c>
    </row>
    <row r="12" spans="1:114" s="4126" customFormat="1" ht="13.5" customHeight="1" thickBot="1">
      <c r="A12" s="4111"/>
      <c r="B12" s="4112">
        <f t="shared" si="0"/>
        <v>46085.791666666664</v>
      </c>
      <c r="C12" s="4113">
        <f>'Plan mina PS'!M46*1000</f>
        <v>132410.59999999998</v>
      </c>
      <c r="D12" s="4113">
        <f>'Plan mina PS'!L46*1000</f>
        <v>648940.16119999997</v>
      </c>
      <c r="E12" s="4113">
        <f>((('Plan mina PS'!N46*1000)))</f>
        <v>156000</v>
      </c>
      <c r="F12" s="4113">
        <f>+'Plan mina PS'!I46*1000</f>
        <v>42241.024113783184</v>
      </c>
      <c r="G12" s="4113">
        <f t="shared" si="1"/>
        <v>113758.97588621682</v>
      </c>
      <c r="H12" s="4114">
        <f t="shared" si="2"/>
        <v>61.471201739009622</v>
      </c>
      <c r="I12" s="4114">
        <f t="shared" si="3"/>
        <v>97.132597759803119</v>
      </c>
      <c r="J12" s="4115">
        <f t="shared" si="4"/>
        <v>68.040387499999994</v>
      </c>
      <c r="K12" s="4116">
        <f>+'Plan mina PS'!D9</f>
        <v>0.53</v>
      </c>
      <c r="L12" s="4115">
        <f>'Plan mina PS'!C9</f>
        <v>90</v>
      </c>
      <c r="M12" s="4114">
        <f>'Plan mina PS'!B9</f>
        <v>26.5</v>
      </c>
      <c r="N12" s="4113">
        <f t="shared" si="5"/>
        <v>2808</v>
      </c>
      <c r="O12" s="4113">
        <f t="shared" si="6"/>
        <v>10911.231133963411</v>
      </c>
      <c r="P12" s="4113">
        <f t="shared" si="7"/>
        <v>744.12</v>
      </c>
      <c r="Q12" s="4113">
        <f t="shared" si="8"/>
        <v>3094.2547886301245</v>
      </c>
      <c r="R12" s="4113">
        <f>+'Plan mina PS'!E9</f>
        <v>180</v>
      </c>
      <c r="S12" s="4115">
        <f t="shared" si="9"/>
        <v>91.669064606276351</v>
      </c>
      <c r="T12" s="4115">
        <f t="shared" ref="T12:T16" si="49">(IF(R12&gt;0,$P$2*LN(R12)+$P$3,""))*$Q$2</f>
        <v>86.395188506258407</v>
      </c>
      <c r="U12" s="4117">
        <f t="shared" si="11"/>
        <v>79.197661168516262</v>
      </c>
      <c r="V12" s="4114">
        <v>50</v>
      </c>
      <c r="W12" s="4113">
        <f t="shared" si="12"/>
        <v>44.47740651223873</v>
      </c>
      <c r="X12" s="4113">
        <f t="shared" si="13"/>
        <v>225.5266723680154</v>
      </c>
      <c r="Y12" s="4113">
        <f t="shared" si="14"/>
        <v>60</v>
      </c>
      <c r="Z12" s="4113">
        <f t="shared" si="15"/>
        <v>22.238703256119365</v>
      </c>
      <c r="AA12" s="4113">
        <f t="shared" si="16"/>
        <v>112.7633361840077</v>
      </c>
      <c r="AB12" s="4113">
        <v>30</v>
      </c>
      <c r="AC12" s="4113">
        <f>+'ST Original'!AG11</f>
        <v>30</v>
      </c>
      <c r="AD12" s="4113">
        <f t="shared" si="17"/>
        <v>779.99109073579257</v>
      </c>
      <c r="AE12" s="4113">
        <f t="shared" si="18"/>
        <v>3301.9395137016313</v>
      </c>
      <c r="AF12" s="4099">
        <v>1500</v>
      </c>
      <c r="AG12" s="4118">
        <v>28.9</v>
      </c>
      <c r="AH12" s="4099">
        <v>780.24125214037497</v>
      </c>
      <c r="AI12" s="4099">
        <f>AF11</f>
        <v>3793.09423828125</v>
      </c>
      <c r="AJ12" s="4118">
        <f t="shared" ref="AJ12:AJ13" si="50">AG11</f>
        <v>30.48</v>
      </c>
      <c r="AK12" s="4099">
        <v>1020.4474161767853</v>
      </c>
      <c r="AL12" s="4119">
        <f>+'R+P'!AP11</f>
        <v>2373.1255462406389</v>
      </c>
      <c r="AM12" s="4119">
        <f>+'R+P'!AQ11</f>
        <v>1002.0915530778368</v>
      </c>
      <c r="AN12" s="4100">
        <f>+E12/24</f>
        <v>6500</v>
      </c>
      <c r="AO12" s="4119">
        <f>IF(ISNUMBER(+G12/H12/24*100),+G12/H12/24*100,0)</f>
        <v>7710.8584093035406</v>
      </c>
      <c r="AP12" s="4119">
        <f t="shared" si="20"/>
        <v>1812</v>
      </c>
      <c r="AQ12" s="4099">
        <f t="shared" si="21"/>
        <v>9553.1495907485842</v>
      </c>
      <c r="AR12" s="4120">
        <f t="shared" si="22"/>
        <v>61.471201739009622</v>
      </c>
      <c r="AS12" s="4118">
        <f t="shared" si="23"/>
        <v>0</v>
      </c>
      <c r="AT12" s="4118">
        <f t="shared" si="24"/>
        <v>98.057573027372229</v>
      </c>
      <c r="AU12" s="4118">
        <f t="shared" si="25"/>
        <v>86.356032189656645</v>
      </c>
      <c r="AV12" s="4121">
        <f>+'Plan mina PS'!AG9</f>
        <v>0.9054532334833435</v>
      </c>
      <c r="AW12" s="4122">
        <f>'Plan mina PS'!T9</f>
        <v>18.545528377228674</v>
      </c>
      <c r="AX12" s="4123">
        <f t="shared" si="26"/>
        <v>834.54877697529037</v>
      </c>
      <c r="AY12" s="4117">
        <f>+'Plan mina PS'!AJ9</f>
        <v>3.810471820521073</v>
      </c>
      <c r="AZ12" s="4099">
        <f>'Plan mina PS'!V9</f>
        <v>266.12845792653945</v>
      </c>
      <c r="BA12" s="4103">
        <f>+('Plan mina PS'!P9*AN12/1000000)*0.8</f>
        <v>6.1697364139934976</v>
      </c>
      <c r="BB12" s="4118">
        <f>+'Plan mina PS'!W9</f>
        <v>36.799861600090814</v>
      </c>
      <c r="BC12" s="4113">
        <f>+'Plan mina PS'!Y9</f>
        <v>69.879320526273034</v>
      </c>
      <c r="BD12" s="4094">
        <f>+'MCP PS'!AU5*100</f>
        <v>72.966739368289993</v>
      </c>
      <c r="BE12" s="4124">
        <f t="shared" si="27"/>
        <v>46085.791666666664</v>
      </c>
      <c r="BF12" s="4120">
        <f t="shared" si="28"/>
        <v>68.040387499999994</v>
      </c>
      <c r="BG12" s="4120">
        <f t="shared" si="29"/>
        <v>0</v>
      </c>
      <c r="BH12" s="4118">
        <f t="shared" si="30"/>
        <v>98.057573027372229</v>
      </c>
      <c r="BI12" s="4118">
        <f t="shared" si="31"/>
        <v>86.356032189656645</v>
      </c>
      <c r="BJ12" s="4118">
        <f t="shared" si="32"/>
        <v>97.132597759803119</v>
      </c>
      <c r="BK12" s="4118">
        <f t="shared" si="33"/>
        <v>0</v>
      </c>
      <c r="BL12" s="4118">
        <f t="shared" si="34"/>
        <v>23.533817526569337</v>
      </c>
      <c r="BM12" s="4118">
        <f t="shared" si="35"/>
        <v>20.725447725517597</v>
      </c>
      <c r="BN12" s="4118">
        <f t="shared" si="36"/>
        <v>23.311823462352748</v>
      </c>
      <c r="BO12" s="4120">
        <f t="shared" si="37"/>
        <v>6.5263200000000001</v>
      </c>
      <c r="BP12" s="4120">
        <f t="shared" si="38"/>
        <v>0.12676900000000002</v>
      </c>
      <c r="BQ12" s="4120">
        <f t="shared" si="39"/>
        <v>0.89044900000000005</v>
      </c>
      <c r="BR12" s="4120">
        <f t="shared" si="40"/>
        <v>0.12676900000000002</v>
      </c>
      <c r="BS12" s="4125">
        <f>+'ST Original'!DL11</f>
        <v>24</v>
      </c>
      <c r="BT12" s="4125">
        <f>+'ST Original'!DM11</f>
        <v>0</v>
      </c>
      <c r="BU12" s="4125">
        <f>+'ST Original'!DN11</f>
        <v>0</v>
      </c>
      <c r="BV12" s="4125">
        <f>+'ST Original'!DO11</f>
        <v>0</v>
      </c>
      <c r="BW12" s="4125">
        <f>+'ST Original'!DP11</f>
        <v>0</v>
      </c>
      <c r="BX12" s="4125">
        <f>+'ST Original'!DQ11</f>
        <v>0</v>
      </c>
      <c r="BY12" s="4125">
        <f>+'ST Original'!DR11</f>
        <v>0</v>
      </c>
      <c r="BZ12" s="4125">
        <f>+'ST Original'!DS11</f>
        <v>0</v>
      </c>
      <c r="CA12" s="4125">
        <f>+'ST Original'!DT11</f>
        <v>0</v>
      </c>
      <c r="CB12" s="4125">
        <v>6</v>
      </c>
      <c r="CC12" s="4125">
        <f>+'ST Original'!DV11</f>
        <v>0</v>
      </c>
      <c r="CD12" s="4109">
        <f>+'ST Original'!DW11</f>
        <v>0</v>
      </c>
      <c r="CE12" s="4109">
        <f>+'ST Original'!DX11</f>
        <v>7.2602333333333338E-2</v>
      </c>
      <c r="CF12" s="4109">
        <f>+'ST Original'!DY11</f>
        <v>7.2602333333333338E-2</v>
      </c>
      <c r="CG12" s="4109">
        <f>+'ST Original'!DZ11</f>
        <v>7.2602333333333338E-2</v>
      </c>
      <c r="CH12" s="4109">
        <f>+'ST Original'!EA11</f>
        <v>0</v>
      </c>
      <c r="CI12" s="4109">
        <f>+'ST Original'!EB11</f>
        <v>0</v>
      </c>
      <c r="CJ12" s="4109">
        <f>+'ST Original'!EC11</f>
        <v>0</v>
      </c>
      <c r="CK12" s="4109">
        <f>+'ST Original'!ED11</f>
        <v>0</v>
      </c>
      <c r="CL12" s="4109">
        <f>+'ST Original'!EE11</f>
        <v>0</v>
      </c>
      <c r="CM12" s="4109">
        <f>+'ST Original'!EF11</f>
        <v>0.05</v>
      </c>
      <c r="CN12" s="4109">
        <f>+'ST Original'!EG11</f>
        <v>0.05</v>
      </c>
      <c r="CO12" s="4109">
        <f>+'ST Original'!EH11</f>
        <v>0.05</v>
      </c>
      <c r="CP12" s="4109">
        <f>+'ST Original'!EI11</f>
        <v>0</v>
      </c>
      <c r="CQ12" s="4109">
        <f>+'ST Original'!EJ11</f>
        <v>4.1666666666666666E-3</v>
      </c>
      <c r="CR12" s="4109">
        <f>+'ST Original'!EK11</f>
        <v>4.1666666666666666E-3</v>
      </c>
      <c r="CS12" s="4109">
        <f>+'ST Original'!EL11</f>
        <v>4.1666666666666666E-3</v>
      </c>
      <c r="CT12" s="4105">
        <f>+'MCP PS'!I5</f>
        <v>1.8415960243106388</v>
      </c>
      <c r="CY12" s="4124">
        <f t="shared" si="41"/>
        <v>46085.791666666664</v>
      </c>
      <c r="CZ12" s="4115">
        <f>+'Plan mina PS'!J9</f>
        <v>2.6230804673720371E-2</v>
      </c>
      <c r="DA12" s="4115">
        <f t="shared" si="42"/>
        <v>0.94722350210656892</v>
      </c>
      <c r="DB12" s="4113">
        <f t="shared" si="43"/>
        <v>2659.8035939152455</v>
      </c>
      <c r="DC12" s="4099">
        <f t="shared" si="44"/>
        <v>2659.8035939152455</v>
      </c>
      <c r="DD12" s="4115">
        <f>+'Plan mina PS'!K9</f>
        <v>1.09893198706815</v>
      </c>
      <c r="DE12" s="4115">
        <f t="shared" si="45"/>
        <v>45.17831502391283</v>
      </c>
      <c r="DF12" s="4113">
        <f t="shared" si="46"/>
        <v>126860.70858714724</v>
      </c>
      <c r="DG12" s="4113">
        <f t="shared" si="47"/>
        <v>126860.70858714724</v>
      </c>
      <c r="DH12" s="4114">
        <f>+'Plan mina PS'!T9</f>
        <v>18.545528377228674</v>
      </c>
      <c r="DI12" s="4113">
        <f t="shared" si="48"/>
        <v>834.54877697529037</v>
      </c>
      <c r="DJ12" s="4123">
        <f>+'Plan mina PS'!AH46</f>
        <v>0</v>
      </c>
    </row>
    <row r="13" spans="1:114" s="4126" customFormat="1" ht="13.5" customHeight="1" thickBot="1">
      <c r="A13" s="4111"/>
      <c r="B13" s="4112">
        <f t="shared" si="0"/>
        <v>46086.791666666664</v>
      </c>
      <c r="C13" s="4113">
        <f>'Plan mina PS'!M47*1000</f>
        <v>160000.00000013874</v>
      </c>
      <c r="D13" s="4113">
        <f>'Plan mina PS'!L47*1000</f>
        <v>652644.30871793907</v>
      </c>
      <c r="E13" s="4113">
        <f>((('Plan mina PS'!N47*1000)))</f>
        <v>156295.85248219949</v>
      </c>
      <c r="F13" s="4113">
        <f>+'Plan mina PS'!I47*1000</f>
        <v>42241.024113783184</v>
      </c>
      <c r="G13" s="4113">
        <f t="shared" si="1"/>
        <v>114054.82836841632</v>
      </c>
      <c r="H13" s="4114">
        <f t="shared" si="2"/>
        <v>65.371715351581486</v>
      </c>
      <c r="I13" s="4114">
        <f t="shared" si="3"/>
        <v>97.132597759803119</v>
      </c>
      <c r="J13" s="4115">
        <f t="shared" si="4"/>
        <v>71.222387499999996</v>
      </c>
      <c r="K13" s="4116">
        <f>+'Plan mina PS'!D10</f>
        <v>0.53949857316180105</v>
      </c>
      <c r="L13" s="4115">
        <f>'Plan mina PS'!C10</f>
        <v>89.038552363703445</v>
      </c>
      <c r="M13" s="4114">
        <f>'Plan mina PS'!B10</f>
        <v>23.023035474032955</v>
      </c>
      <c r="N13" s="4113">
        <f t="shared" si="5"/>
        <v>3261.0184935899683</v>
      </c>
      <c r="O13" s="4113">
        <f t="shared" si="6"/>
        <v>14172.249627553379</v>
      </c>
      <c r="P13" s="4113">
        <f t="shared" si="7"/>
        <v>750.78544459399347</v>
      </c>
      <c r="Q13" s="4113">
        <f t="shared" si="8"/>
        <v>3845.0402332241179</v>
      </c>
      <c r="R13" s="4113">
        <f>+'Plan mina PS'!E10</f>
        <v>182.59798658188026</v>
      </c>
      <c r="S13" s="4115">
        <f t="shared" si="9"/>
        <v>91.719310203731368</v>
      </c>
      <c r="T13" s="4115">
        <f t="shared" si="49"/>
        <v>86.434571909199192</v>
      </c>
      <c r="U13" s="4117">
        <f t="shared" si="11"/>
        <v>79.277193132665658</v>
      </c>
      <c r="V13" s="4114">
        <v>50</v>
      </c>
      <c r="W13" s="4113">
        <f t="shared" si="12"/>
        <v>45.250324603100545</v>
      </c>
      <c r="X13" s="4113">
        <f t="shared" si="13"/>
        <v>270.77699697111592</v>
      </c>
      <c r="Y13" s="4113">
        <f t="shared" si="14"/>
        <v>60</v>
      </c>
      <c r="Z13" s="4113">
        <f t="shared" si="15"/>
        <v>22.625162301550272</v>
      </c>
      <c r="AA13" s="4113">
        <f t="shared" si="16"/>
        <v>135.38849848555796</v>
      </c>
      <c r="AB13" s="4113">
        <v>30</v>
      </c>
      <c r="AC13" s="4113">
        <f>+'ST Original'!AG12</f>
        <v>30</v>
      </c>
      <c r="AD13" s="4113">
        <f t="shared" si="17"/>
        <v>787.51799148405496</v>
      </c>
      <c r="AE13" s="4113">
        <f t="shared" si="18"/>
        <v>4089.4575051856864</v>
      </c>
      <c r="AF13" s="4099">
        <v>3800</v>
      </c>
      <c r="AG13" s="4118">
        <v>23.023035474032955</v>
      </c>
      <c r="AH13" s="4099">
        <v>851.85231253921927</v>
      </c>
      <c r="AI13" s="4099">
        <f t="shared" ref="AI13" si="51">AF12</f>
        <v>1500</v>
      </c>
      <c r="AJ13" s="4118">
        <f t="shared" si="50"/>
        <v>28.9</v>
      </c>
      <c r="AK13" s="4099">
        <v>780.24125214037451</v>
      </c>
      <c r="AL13" s="4119">
        <f>+'R+P'!AP12</f>
        <v>2667.9178988227141</v>
      </c>
      <c r="AM13" s="4119">
        <f>+'R+P'!AQ12</f>
        <v>432.26988722260859</v>
      </c>
      <c r="AN13" s="4100">
        <f t="shared" ref="AN13:AN36" si="52">+E13/24</f>
        <v>6512.3271867583126</v>
      </c>
      <c r="AO13" s="4119">
        <f t="shared" si="19"/>
        <v>7269.6341067264211</v>
      </c>
      <c r="AP13" s="4119">
        <f>+IFERROR(F13/I13/24*100,0)</f>
        <v>1812</v>
      </c>
      <c r="AQ13" s="4099">
        <f t="shared" si="21"/>
        <v>9143.6518984403774</v>
      </c>
      <c r="AR13" s="4120">
        <f t="shared" si="22"/>
        <v>65.371715351581486</v>
      </c>
      <c r="AS13" s="4118">
        <f t="shared" si="23"/>
        <v>0</v>
      </c>
      <c r="AT13" s="4118">
        <f t="shared" si="24"/>
        <v>98.057573027372229</v>
      </c>
      <c r="AU13" s="4118">
        <f t="shared" si="25"/>
        <v>98.057573027372229</v>
      </c>
      <c r="AV13" s="4121">
        <f>+'Plan mina PS'!AG10</f>
        <v>0.97025742530642634</v>
      </c>
      <c r="AW13" s="4122">
        <f>'Plan mina PS'!T10</f>
        <v>47.782294098914612</v>
      </c>
      <c r="AX13" s="4123">
        <f t="shared" si="26"/>
        <v>2150.2032344511576</v>
      </c>
      <c r="AY13" s="4117">
        <f>+'Plan mina PS'!AJ10</f>
        <v>3.9346496223592595</v>
      </c>
      <c r="AZ13" s="4099">
        <f>'Plan mina PS'!V10</f>
        <v>234.9161894251211</v>
      </c>
      <c r="BA13" s="4103">
        <f>+('Plan mina PS'!P10*AN13/1000000)*0.8</f>
        <v>8.4699035908419447</v>
      </c>
      <c r="BB13" s="4118">
        <f>+'Plan mina PS'!W10</f>
        <v>38.205717500354154</v>
      </c>
      <c r="BC13" s="4113">
        <f>+'Plan mina PS'!Y10</f>
        <v>72.184276360504938</v>
      </c>
      <c r="BD13" s="4094">
        <f>+'MCP PS'!AU6*100</f>
        <v>63.642425361107968</v>
      </c>
      <c r="BE13" s="4124">
        <f t="shared" si="27"/>
        <v>46086.791666666664</v>
      </c>
      <c r="BF13" s="4120">
        <f t="shared" si="28"/>
        <v>71.222387499999996</v>
      </c>
      <c r="BG13" s="4120">
        <f t="shared" si="29"/>
        <v>0</v>
      </c>
      <c r="BH13" s="4118">
        <f t="shared" si="30"/>
        <v>98.057573027372229</v>
      </c>
      <c r="BI13" s="4118">
        <f t="shared" si="31"/>
        <v>98.057573027372229</v>
      </c>
      <c r="BJ13" s="4118">
        <f t="shared" si="32"/>
        <v>97.132597759803119</v>
      </c>
      <c r="BK13" s="4118">
        <f t="shared" si="33"/>
        <v>0</v>
      </c>
      <c r="BL13" s="4118">
        <f t="shared" si="34"/>
        <v>23.533817526569337</v>
      </c>
      <c r="BM13" s="4118">
        <f t="shared" si="35"/>
        <v>23.533817526569337</v>
      </c>
      <c r="BN13" s="4118">
        <f t="shared" si="36"/>
        <v>23.311823462352748</v>
      </c>
      <c r="BO13" s="4120">
        <f t="shared" si="37"/>
        <v>6.5263200000000001</v>
      </c>
      <c r="BP13" s="4120">
        <f t="shared" si="38"/>
        <v>0.12676900000000002</v>
      </c>
      <c r="BQ13" s="4120">
        <f t="shared" si="39"/>
        <v>0.12676900000000002</v>
      </c>
      <c r="BR13" s="4120">
        <f t="shared" si="40"/>
        <v>0.12676900000000002</v>
      </c>
      <c r="BS13" s="4125">
        <f>+'ST Original'!DL12</f>
        <v>24</v>
      </c>
      <c r="BT13" s="4125">
        <f>+'ST Original'!DM12</f>
        <v>0</v>
      </c>
      <c r="BU13" s="4125">
        <f>+'ST Original'!DN12</f>
        <v>0</v>
      </c>
      <c r="BV13" s="4125">
        <f>+'ST Original'!DO12</f>
        <v>0</v>
      </c>
      <c r="BW13" s="4125">
        <f>+'ST Original'!DP12</f>
        <v>0</v>
      </c>
      <c r="BX13" s="4125">
        <f>+'ST Original'!DQ12</f>
        <v>0</v>
      </c>
      <c r="BY13" s="4125">
        <f>+'ST Original'!DR12</f>
        <v>0</v>
      </c>
      <c r="BZ13" s="4125">
        <f>+'ST Original'!DS12</f>
        <v>0</v>
      </c>
      <c r="CA13" s="4125">
        <f>+'ST Original'!DT12</f>
        <v>0</v>
      </c>
      <c r="CB13" s="4125">
        <f>+'ST Original'!DU12</f>
        <v>0</v>
      </c>
      <c r="CC13" s="4125">
        <f>+'ST Original'!DV12</f>
        <v>0</v>
      </c>
      <c r="CD13" s="4109">
        <f>+'ST Original'!DW12</f>
        <v>0</v>
      </c>
      <c r="CE13" s="4109">
        <f>+'ST Original'!DX12</f>
        <v>7.2602333333333338E-2</v>
      </c>
      <c r="CF13" s="4109">
        <f>+'ST Original'!DY12</f>
        <v>7.2602333333333338E-2</v>
      </c>
      <c r="CG13" s="4109">
        <f>+'ST Original'!DZ12</f>
        <v>7.2602333333333338E-2</v>
      </c>
      <c r="CH13" s="4109">
        <f>+'ST Original'!EA12</f>
        <v>0</v>
      </c>
      <c r="CI13" s="4109">
        <f>+'ST Original'!EB12</f>
        <v>0</v>
      </c>
      <c r="CJ13" s="4109">
        <f>+'ST Original'!EC12</f>
        <v>0</v>
      </c>
      <c r="CK13" s="4109">
        <f>+'ST Original'!ED12</f>
        <v>0</v>
      </c>
      <c r="CL13" s="4109">
        <f>+'ST Original'!EE12</f>
        <v>0</v>
      </c>
      <c r="CM13" s="4109">
        <f>+'ST Original'!EF12</f>
        <v>0.05</v>
      </c>
      <c r="CN13" s="4109">
        <f>+'ST Original'!EG12</f>
        <v>0.05</v>
      </c>
      <c r="CO13" s="4109">
        <f>+'ST Original'!EH12</f>
        <v>0.05</v>
      </c>
      <c r="CP13" s="4109">
        <f>+'ST Original'!EI12</f>
        <v>0</v>
      </c>
      <c r="CQ13" s="4109">
        <f>+'ST Original'!EJ12</f>
        <v>4.1666666666666666E-3</v>
      </c>
      <c r="CR13" s="4109">
        <f>+'ST Original'!EK12</f>
        <v>4.1666666666666666E-3</v>
      </c>
      <c r="CS13" s="4109">
        <f>+'ST Original'!EL12</f>
        <v>4.1666666666666666E-3</v>
      </c>
      <c r="CT13" s="4105">
        <f>+'MCP PS'!I6</f>
        <v>1.6463487718010248</v>
      </c>
      <c r="CY13" s="4124">
        <f t="shared" si="41"/>
        <v>46086.791666666664</v>
      </c>
      <c r="CZ13" s="4115">
        <f>+'Plan mina PS'!J10</f>
        <v>2.4180741799716882E-2</v>
      </c>
      <c r="DA13" s="4115">
        <f t="shared" si="42"/>
        <v>0.75331595924216244</v>
      </c>
      <c r="DB13" s="4113">
        <f t="shared" si="43"/>
        <v>2456.5772746051584</v>
      </c>
      <c r="DC13" s="4099">
        <f t="shared" si="44"/>
        <v>2456.5772746051584</v>
      </c>
      <c r="DD13" s="4115">
        <f>+'Plan mina PS'!K10</f>
        <v>1.0128291456945235</v>
      </c>
      <c r="DE13" s="4115">
        <f t="shared" si="45"/>
        <v>35.922131794612056</v>
      </c>
      <c r="DF13" s="4113">
        <f t="shared" si="46"/>
        <v>117142.73611140611</v>
      </c>
      <c r="DG13" s="4113">
        <f t="shared" si="47"/>
        <v>117142.73611140611</v>
      </c>
      <c r="DH13" s="4114">
        <f>+'Plan mina PS'!T10</f>
        <v>47.782294098914612</v>
      </c>
      <c r="DI13" s="4113">
        <f t="shared" si="48"/>
        <v>2150.2032344511576</v>
      </c>
      <c r="DJ13" s="4123">
        <f>+'Plan mina PS'!AH47</f>
        <v>0</v>
      </c>
    </row>
    <row r="14" spans="1:114" s="4126" customFormat="1" ht="13.5" customHeight="1" thickBot="1">
      <c r="A14" s="4111"/>
      <c r="B14" s="4112">
        <f t="shared" si="0"/>
        <v>46087.791666666664</v>
      </c>
      <c r="C14" s="4113">
        <f>'Plan mina PS'!M48*1000</f>
        <v>190011.11992350855</v>
      </c>
      <c r="D14" s="4113">
        <f>'Plan mina PS'!L48*1000</f>
        <v>692017.55604967393</v>
      </c>
      <c r="E14" s="4113">
        <f>((('Plan mina PS'!N48*1000)))</f>
        <v>150637.8725917738</v>
      </c>
      <c r="F14" s="4113">
        <f>+'Plan mina PS'!I48*1000</f>
        <v>40399.610908113878</v>
      </c>
      <c r="G14" s="4113">
        <f t="shared" si="1"/>
        <v>110238.26168365992</v>
      </c>
      <c r="H14" s="4114">
        <f>AR14</f>
        <v>65.371715351581486</v>
      </c>
      <c r="I14" s="4114">
        <f t="shared" si="3"/>
        <v>97.132597759803119</v>
      </c>
      <c r="J14" s="4115">
        <f>+SUMPRODUCT(H14:I14,$I$4:$J$4)</f>
        <v>71.222387499999996</v>
      </c>
      <c r="K14" s="4116">
        <f>+'Plan mina PS'!D11</f>
        <v>0.46499804900157721</v>
      </c>
      <c r="L14" s="4115">
        <f>'Plan mina PS'!C11</f>
        <v>89.553364073891785</v>
      </c>
      <c r="M14" s="4114">
        <f>'Plan mina PS'!B11</f>
        <v>25.731883156146978</v>
      </c>
      <c r="N14" s="4113">
        <f t="shared" si="5"/>
        <v>2437.7863360470446</v>
      </c>
      <c r="O14" s="4113">
        <f t="shared" si="6"/>
        <v>16610.035963600425</v>
      </c>
      <c r="P14" s="4113">
        <f t="shared" si="7"/>
        <v>627.288331588142</v>
      </c>
      <c r="Q14" s="4113">
        <f t="shared" si="8"/>
        <v>4472.3285648122601</v>
      </c>
      <c r="R14" s="4113">
        <f>+'Plan mina PS'!E11</f>
        <v>186.22483931190774</v>
      </c>
      <c r="S14" s="4115">
        <f t="shared" si="9"/>
        <v>91.788271465139815</v>
      </c>
      <c r="T14" s="4115">
        <f t="shared" si="49"/>
        <v>86.488624986143577</v>
      </c>
      <c r="U14" s="4117">
        <f t="shared" si="11"/>
        <v>79.386413888748208</v>
      </c>
      <c r="V14" s="4114">
        <v>50</v>
      </c>
      <c r="W14" s="4113">
        <f t="shared" si="12"/>
        <v>44.539769133474792</v>
      </c>
      <c r="X14" s="4113">
        <f t="shared" si="13"/>
        <v>315.31676610459073</v>
      </c>
      <c r="Y14" s="4113">
        <f t="shared" si="14"/>
        <v>60</v>
      </c>
      <c r="Z14" s="4113">
        <f t="shared" si="15"/>
        <v>22.269884566737396</v>
      </c>
      <c r="AA14" s="4113">
        <f t="shared" si="16"/>
        <v>157.65838305229536</v>
      </c>
      <c r="AB14" s="4113">
        <v>30</v>
      </c>
      <c r="AC14" s="4113">
        <f>+'ST Original'!AG13</f>
        <v>30</v>
      </c>
      <c r="AD14" s="4113">
        <f t="shared" si="17"/>
        <v>667.68896836996953</v>
      </c>
      <c r="AE14" s="4113">
        <f t="shared" si="18"/>
        <v>4757.1464735556556</v>
      </c>
      <c r="AF14" s="4099">
        <f>155*19</f>
        <v>2945</v>
      </c>
      <c r="AG14" s="4118">
        <f>M14</f>
        <v>25.731883156146978</v>
      </c>
      <c r="AH14" s="4099">
        <f>AF14*AG14/100</f>
        <v>757.80395894852848</v>
      </c>
      <c r="AI14" s="4099">
        <f>AF13</f>
        <v>3800</v>
      </c>
      <c r="AJ14" s="4118">
        <f>AG13</f>
        <v>23.023035474032955</v>
      </c>
      <c r="AK14" s="4099">
        <f>AI14*AJ14/100</f>
        <v>874.87534801325239</v>
      </c>
      <c r="AL14" s="4119">
        <f>+'R+P'!AP13</f>
        <v>2481.2304671007792</v>
      </c>
      <c r="AM14" s="4119">
        <f>+'R+P'!AQ13</f>
        <v>823.44892663549228</v>
      </c>
      <c r="AN14" s="4100">
        <f t="shared" si="52"/>
        <v>6276.5780246572422</v>
      </c>
      <c r="AO14" s="4119">
        <f t="shared" si="19"/>
        <v>7026.3735298705287</v>
      </c>
      <c r="AP14" s="4119">
        <f>+IFERROR(F14/I14/24*100,0)</f>
        <v>1733.0094736414298</v>
      </c>
      <c r="AQ14" s="4099">
        <f t="shared" si="21"/>
        <v>8812.6476027741173</v>
      </c>
      <c r="AR14" s="4120">
        <f t="shared" si="22"/>
        <v>65.371715351581486</v>
      </c>
      <c r="AS14" s="4118">
        <f t="shared" si="23"/>
        <v>0</v>
      </c>
      <c r="AT14" s="4118">
        <f t="shared" si="24"/>
        <v>98.057573027372229</v>
      </c>
      <c r="AU14" s="4118">
        <f t="shared" si="25"/>
        <v>98.057573027372229</v>
      </c>
      <c r="AV14" s="4121">
        <f>+'Plan mina PS'!AG11</f>
        <v>1.1376830983323096</v>
      </c>
      <c r="AW14" s="4122">
        <f>'Plan mina PS'!T11</f>
        <v>24.001167774350122</v>
      </c>
      <c r="AX14" s="4123">
        <f t="shared" si="26"/>
        <v>1080.0525498457555</v>
      </c>
      <c r="AY14" s="4117">
        <f>+'Plan mina PS'!AJ11</f>
        <v>4.1921385801908366</v>
      </c>
      <c r="AZ14" s="4099">
        <f>'Plan mina PS'!V11</f>
        <v>186.70199999609127</v>
      </c>
      <c r="BA14" s="4118">
        <f>+('Plan mina PS'!P11*AN14/1000000)*0.78</f>
        <v>6.3122697072842957</v>
      </c>
      <c r="BB14" s="4118">
        <f>+'Plan mina PS'!W11</f>
        <v>36.383420761043055</v>
      </c>
      <c r="BC14" s="4113">
        <f>+'Plan mina PS'!Y11</f>
        <v>74.626329751274895</v>
      </c>
      <c r="BD14" s="4094">
        <f>+'MCP PS'!AU7*100</f>
        <v>63.032735698873907</v>
      </c>
      <c r="BE14" s="4124">
        <f t="shared" si="27"/>
        <v>46087.791666666664</v>
      </c>
      <c r="BF14" s="4120">
        <f t="shared" si="28"/>
        <v>71.222387499999996</v>
      </c>
      <c r="BG14" s="4120">
        <f t="shared" si="29"/>
        <v>0</v>
      </c>
      <c r="BH14" s="4118">
        <f t="shared" si="30"/>
        <v>98.057573027372229</v>
      </c>
      <c r="BI14" s="4118">
        <f t="shared" si="31"/>
        <v>98.057573027372229</v>
      </c>
      <c r="BJ14" s="4118">
        <f t="shared" si="32"/>
        <v>97.132597759803119</v>
      </c>
      <c r="BK14" s="4118">
        <f t="shared" si="33"/>
        <v>0</v>
      </c>
      <c r="BL14" s="4118">
        <f t="shared" si="34"/>
        <v>23.533817526569337</v>
      </c>
      <c r="BM14" s="4118">
        <f t="shared" si="35"/>
        <v>23.533817526569337</v>
      </c>
      <c r="BN14" s="4118">
        <f t="shared" si="36"/>
        <v>23.311823462352748</v>
      </c>
      <c r="BO14" s="4120">
        <f t="shared" si="37"/>
        <v>6.5263200000000001</v>
      </c>
      <c r="BP14" s="4120">
        <f t="shared" si="38"/>
        <v>0.12676900000000002</v>
      </c>
      <c r="BQ14" s="4120">
        <f t="shared" si="39"/>
        <v>0.12676900000000002</v>
      </c>
      <c r="BR14" s="4120">
        <f t="shared" si="40"/>
        <v>0.12676900000000002</v>
      </c>
      <c r="BS14" s="4145">
        <f>+'ST Original'!DL13</f>
        <v>24</v>
      </c>
      <c r="BT14" s="4108">
        <f>+'ST Original'!DM13</f>
        <v>0</v>
      </c>
      <c r="BU14" s="4108">
        <f>+'ST Original'!DN13</f>
        <v>0</v>
      </c>
      <c r="BV14" s="4108">
        <f>+'ST Original'!DO13</f>
        <v>0</v>
      </c>
      <c r="BW14" s="4108">
        <f>+'ST Original'!DP13</f>
        <v>0</v>
      </c>
      <c r="BX14" s="4108">
        <f>+'ST Original'!DQ13</f>
        <v>0</v>
      </c>
      <c r="BY14" s="4108">
        <f>+'ST Original'!DR13</f>
        <v>0</v>
      </c>
      <c r="BZ14" s="4108">
        <f>+'ST Original'!DS13</f>
        <v>0</v>
      </c>
      <c r="CA14" s="4108">
        <f>+'ST Original'!DT13</f>
        <v>0</v>
      </c>
      <c r="CB14" s="4108">
        <f>+'ST Original'!DU13</f>
        <v>0</v>
      </c>
      <c r="CC14" s="4146">
        <f>+'ST Original'!DV13</f>
        <v>0</v>
      </c>
      <c r="CD14" s="4109">
        <f>+'ST Original'!DW13</f>
        <v>0</v>
      </c>
      <c r="CE14" s="4109">
        <f>+'ST Original'!DX13</f>
        <v>7.2602333333333338E-2</v>
      </c>
      <c r="CF14" s="4109">
        <f>+'ST Original'!DY13</f>
        <v>7.2602333333333338E-2</v>
      </c>
      <c r="CG14" s="4109">
        <f>+'ST Original'!DZ13</f>
        <v>7.2602333333333338E-2</v>
      </c>
      <c r="CH14" s="4109">
        <f>+'ST Original'!EA13</f>
        <v>0</v>
      </c>
      <c r="CI14" s="4109">
        <f>+'ST Original'!EB13</f>
        <v>0</v>
      </c>
      <c r="CJ14" s="4109">
        <f>+'ST Original'!EC13</f>
        <v>0</v>
      </c>
      <c r="CK14" s="4109">
        <f>+'ST Original'!ED13</f>
        <v>0</v>
      </c>
      <c r="CL14" s="4109">
        <f>+'ST Original'!EE13</f>
        <v>0</v>
      </c>
      <c r="CM14" s="4109">
        <f>+'ST Original'!EF13</f>
        <v>0.05</v>
      </c>
      <c r="CN14" s="4109">
        <f>+'ST Original'!EG13</f>
        <v>0.05</v>
      </c>
      <c r="CO14" s="4109">
        <f>+'ST Original'!EH13</f>
        <v>0.05</v>
      </c>
      <c r="CP14" s="4109">
        <f>+'ST Original'!EI13</f>
        <v>0</v>
      </c>
      <c r="CQ14" s="4109">
        <f>+'ST Original'!EJ13</f>
        <v>4.1666666666666666E-3</v>
      </c>
      <c r="CR14" s="4109">
        <f>+'ST Original'!EK13</f>
        <v>4.1666666666666666E-3</v>
      </c>
      <c r="CS14" s="4109">
        <f>+'ST Original'!EL13</f>
        <v>4.1666666666666666E-3</v>
      </c>
      <c r="CT14" s="4105">
        <f>+'MCP PS'!I7</f>
        <v>1.3453070733939068</v>
      </c>
      <c r="CY14" s="4124">
        <f t="shared" si="41"/>
        <v>46087.791666666664</v>
      </c>
      <c r="CZ14" s="4115">
        <f>+'Plan mina PS'!J11</f>
        <v>2.5353126798569638E-2</v>
      </c>
      <c r="DA14" s="4115">
        <f t="shared" si="42"/>
        <v>1.0183179994934575</v>
      </c>
      <c r="DB14" s="4113">
        <f t="shared" si="43"/>
        <v>2482.4417049159119</v>
      </c>
      <c r="DC14" s="4099">
        <f t="shared" si="44"/>
        <v>2482.4417049159119</v>
      </c>
      <c r="DD14" s="4115">
        <f>+'Plan mina PS'!K11</f>
        <v>1.0187607746862337</v>
      </c>
      <c r="DE14" s="4115">
        <f t="shared" si="45"/>
        <v>46.584610635061367</v>
      </c>
      <c r="DF14" s="4113">
        <f t="shared" si="46"/>
        <v>113563.32727622443</v>
      </c>
      <c r="DG14" s="4113">
        <f t="shared" si="47"/>
        <v>113563.32727622443</v>
      </c>
      <c r="DH14" s="4114">
        <f>+'Plan mina PS'!T11</f>
        <v>24.001167774350122</v>
      </c>
      <c r="DI14" s="4113">
        <f t="shared" si="48"/>
        <v>1080.0525498457555</v>
      </c>
      <c r="DJ14" s="4123">
        <f>+'Plan mina PS'!AH48</f>
        <v>141.2100694182036</v>
      </c>
    </row>
    <row r="15" spans="1:114" s="4126" customFormat="1" ht="13.5" customHeight="1" thickBot="1">
      <c r="A15" s="4111">
        <v>24</v>
      </c>
      <c r="B15" s="4112">
        <f t="shared" si="0"/>
        <v>46088.791666666664</v>
      </c>
      <c r="C15" s="4113">
        <f>'Plan mina PS'!M49*1000</f>
        <v>156999.99999967057</v>
      </c>
      <c r="D15" s="4113">
        <f>'Plan mina PS'!L49*1000</f>
        <v>697277.00656641449</v>
      </c>
      <c r="E15" s="4113">
        <f>((('Plan mina PS'!N49*1000)))</f>
        <v>151740.54948292999</v>
      </c>
      <c r="F15" s="4113">
        <f>+'Plan mina PS'!I49*1000</f>
        <v>42241.024113783184</v>
      </c>
      <c r="G15" s="4113">
        <f t="shared" si="1"/>
        <v>109499.52536914681</v>
      </c>
      <c r="H15" s="4114">
        <f>AR15</f>
        <v>64.7242396940389</v>
      </c>
      <c r="I15" s="4114">
        <f t="shared" si="3"/>
        <v>97.132597759803119</v>
      </c>
      <c r="J15" s="4115">
        <f t="shared" si="4"/>
        <v>70.694183333333328</v>
      </c>
      <c r="K15" s="4116">
        <f>+'Plan mina PS'!D12</f>
        <v>0.47437848358843598</v>
      </c>
      <c r="L15" s="4115">
        <f>'Plan mina PS'!C12</f>
        <v>89.596932191451572</v>
      </c>
      <c r="M15" s="4114">
        <f>'Plan mina PS'!B12</f>
        <v>24.809294293892169</v>
      </c>
      <c r="N15" s="4113">
        <f t="shared" si="5"/>
        <v>2599.5930287847204</v>
      </c>
      <c r="O15" s="4113">
        <f t="shared" si="6"/>
        <v>19209.628992385144</v>
      </c>
      <c r="P15" s="4113">
        <f t="shared" si="7"/>
        <v>644.94068495470628</v>
      </c>
      <c r="Q15" s="4113">
        <f t="shared" si="8"/>
        <v>5117.2692497669668</v>
      </c>
      <c r="R15" s="4113">
        <f>+'Plan mina PS'!E12</f>
        <v>153.81335609767186</v>
      </c>
      <c r="S15" s="4115">
        <f t="shared" si="9"/>
        <v>91.117814790290765</v>
      </c>
      <c r="T15" s="4115">
        <f t="shared" si="49"/>
        <v>85.96310898638761</v>
      </c>
      <c r="U15" s="4117">
        <f t="shared" si="11"/>
        <v>78.327706434192464</v>
      </c>
      <c r="V15" s="4114">
        <v>50</v>
      </c>
      <c r="W15" s="4113">
        <f t="shared" si="12"/>
        <v>36.562939697551116</v>
      </c>
      <c r="X15" s="4113">
        <f t="shared" si="13"/>
        <v>351.87970580214187</v>
      </c>
      <c r="Y15" s="4113">
        <f t="shared" si="14"/>
        <v>60</v>
      </c>
      <c r="Z15" s="4113">
        <f t="shared" si="15"/>
        <v>18.281469848775558</v>
      </c>
      <c r="AA15" s="4113">
        <f t="shared" si="16"/>
        <v>175.93985290107094</v>
      </c>
      <c r="AB15" s="4113">
        <v>30</v>
      </c>
      <c r="AC15" s="4113">
        <f>+'ST Original'!AG14</f>
        <v>30</v>
      </c>
      <c r="AD15" s="4113">
        <f t="shared" si="17"/>
        <v>673.16593011256975</v>
      </c>
      <c r="AE15" s="4113">
        <f t="shared" si="18"/>
        <v>5430.3124036682257</v>
      </c>
      <c r="AF15" s="4099">
        <f>155*19</f>
        <v>2945</v>
      </c>
      <c r="AG15" s="4118">
        <f t="shared" ref="AG15:AG39" si="53">M15</f>
        <v>24.809294293892169</v>
      </c>
      <c r="AH15" s="4099">
        <f>AF15*AG15/100</f>
        <v>730.63371695512444</v>
      </c>
      <c r="AI15" s="4099">
        <f t="shared" ref="AI15:AI38" si="54">AF14</f>
        <v>2945</v>
      </c>
      <c r="AJ15" s="4118">
        <f t="shared" ref="AJ15:AJ39" si="55">AG14</f>
        <v>25.731883156146978</v>
      </c>
      <c r="AK15" s="4099">
        <f t="shared" ref="AK15:AK39" si="56">AI15*AJ15/100</f>
        <v>757.80395894852848</v>
      </c>
      <c r="AL15" s="4119">
        <f>+'R+P'!AP14</f>
        <v>2249.1088795450469</v>
      </c>
      <c r="AM15" s="4119">
        <f>+'R+P'!AQ14</f>
        <v>856.28392231730049</v>
      </c>
      <c r="AN15" s="4100">
        <f t="shared" si="52"/>
        <v>6322.5228951220824</v>
      </c>
      <c r="AO15" s="4119">
        <f t="shared" si="19"/>
        <v>7049.1059381801506</v>
      </c>
      <c r="AP15" s="4119">
        <f>+IFERROR(F15/I15/24*100,0)</f>
        <v>1812</v>
      </c>
      <c r="AQ15" s="4099">
        <f t="shared" si="21"/>
        <v>8943.4838865178917</v>
      </c>
      <c r="AR15" s="4120">
        <f t="shared" si="22"/>
        <v>64.7242396940389</v>
      </c>
      <c r="AS15" s="4118">
        <f t="shared" si="23"/>
        <v>-1.9424269726277643</v>
      </c>
      <c r="AT15" s="4118">
        <f t="shared" si="24"/>
        <v>98.057573027372229</v>
      </c>
      <c r="AU15" s="4118">
        <f t="shared" si="25"/>
        <v>98.057573027372229</v>
      </c>
      <c r="AV15" s="4121">
        <f>+'Plan mina PS'!AG12</f>
        <v>1.0858615302393324</v>
      </c>
      <c r="AW15" s="4122">
        <f>'Plan mina PS'!T12</f>
        <v>30.729817794939436</v>
      </c>
      <c r="AX15" s="4123">
        <f t="shared" si="26"/>
        <v>1382.8418007722746</v>
      </c>
      <c r="AY15" s="4117">
        <f>+'Plan mina PS'!AJ12</f>
        <v>3.9116539447405976</v>
      </c>
      <c r="AZ15" s="4099">
        <f>'Plan mina PS'!V12</f>
        <v>193.80334095679643</v>
      </c>
      <c r="BA15" s="4118">
        <f>+('Plan mina PS'!P12*AN15/1000000)*0.78</f>
        <v>6.9913386756679081</v>
      </c>
      <c r="BB15" s="4118">
        <f>+'Plan mina PS'!W12</f>
        <v>37.552779551636824</v>
      </c>
      <c r="BC15" s="4113">
        <f>+'Plan mina PS'!Y12</f>
        <v>76.284312365945041</v>
      </c>
      <c r="BD15" s="4094">
        <f>+'MCP PS'!AU8*100</f>
        <v>67.13793100657621</v>
      </c>
      <c r="BE15" s="4124">
        <f t="shared" si="27"/>
        <v>46088.791666666664</v>
      </c>
      <c r="BF15" s="4120">
        <f t="shared" si="28"/>
        <v>70.694183333333328</v>
      </c>
      <c r="BG15" s="4120">
        <f t="shared" si="29"/>
        <v>-1.9424269726277643</v>
      </c>
      <c r="BH15" s="4118">
        <f t="shared" si="30"/>
        <v>98.057573027372229</v>
      </c>
      <c r="BI15" s="4118">
        <f t="shared" si="31"/>
        <v>98.057573027372229</v>
      </c>
      <c r="BJ15" s="4118">
        <f t="shared" si="32"/>
        <v>97.132597759803119</v>
      </c>
      <c r="BK15" s="4118">
        <f t="shared" si="33"/>
        <v>-0.46618247343066344</v>
      </c>
      <c r="BL15" s="4118">
        <f t="shared" si="34"/>
        <v>23.533817526569337</v>
      </c>
      <c r="BM15" s="4118">
        <f t="shared" si="35"/>
        <v>23.533817526569337</v>
      </c>
      <c r="BN15" s="4118">
        <f t="shared" si="36"/>
        <v>23.311823462352748</v>
      </c>
      <c r="BO15" s="4120">
        <f t="shared" si="37"/>
        <v>6.6530890000000005</v>
      </c>
      <c r="BP15" s="4120">
        <f t="shared" si="38"/>
        <v>0.12676900000000002</v>
      </c>
      <c r="BQ15" s="4120">
        <f t="shared" si="39"/>
        <v>0.12676900000000002</v>
      </c>
      <c r="BR15" s="4120">
        <f t="shared" si="40"/>
        <v>0.12676900000000002</v>
      </c>
      <c r="BS15" s="4147">
        <v>24</v>
      </c>
      <c r="BT15" s="4125">
        <f>+'ST Original'!DM14</f>
        <v>0</v>
      </c>
      <c r="BU15" s="4125">
        <f>+'ST Original'!DN14</f>
        <v>0</v>
      </c>
      <c r="BV15" s="4125">
        <f>+'ST Original'!DO14</f>
        <v>0</v>
      </c>
      <c r="BW15" s="4125">
        <f>+'ST Original'!DP14</f>
        <v>0</v>
      </c>
      <c r="BX15" s="4125">
        <f>+'ST Original'!DQ14</f>
        <v>0</v>
      </c>
      <c r="BY15" s="4125">
        <f>+'ST Original'!DR14</f>
        <v>0</v>
      </c>
      <c r="BZ15" s="4125">
        <f>+'ST Original'!DS14</f>
        <v>0</v>
      </c>
      <c r="CA15" s="4125">
        <f>+'ST Original'!DT14</f>
        <v>0</v>
      </c>
      <c r="CB15" s="4125">
        <f>+'ST Original'!DU14</f>
        <v>0</v>
      </c>
      <c r="CC15" s="4148">
        <f>+'ST Original'!DV14</f>
        <v>0</v>
      </c>
      <c r="CD15" s="4109">
        <f>+'ST Original'!DW14</f>
        <v>7.2602333333333338E-2</v>
      </c>
      <c r="CE15" s="4109">
        <f>+'ST Original'!DX14</f>
        <v>7.2602333333333338E-2</v>
      </c>
      <c r="CF15" s="4109">
        <f>+'ST Original'!DY14</f>
        <v>7.2602333333333338E-2</v>
      </c>
      <c r="CG15" s="4109">
        <f>+'ST Original'!DZ14</f>
        <v>7.2602333333333338E-2</v>
      </c>
      <c r="CH15" s="4109">
        <f>+'ST Original'!EA14</f>
        <v>0</v>
      </c>
      <c r="CI15" s="4109">
        <f>+'ST Original'!EB14</f>
        <v>0</v>
      </c>
      <c r="CJ15" s="4109">
        <f>+'ST Original'!EC14</f>
        <v>0</v>
      </c>
      <c r="CK15" s="4109">
        <f>+'ST Original'!ED14</f>
        <v>0</v>
      </c>
      <c r="CL15" s="4109">
        <f>+'ST Original'!EE14</f>
        <v>0.05</v>
      </c>
      <c r="CM15" s="4109">
        <f>+'ST Original'!EF14</f>
        <v>0.05</v>
      </c>
      <c r="CN15" s="4109">
        <f>+'ST Original'!EG14</f>
        <v>0.05</v>
      </c>
      <c r="CO15" s="4109">
        <f>+'ST Original'!EH14</f>
        <v>0.05</v>
      </c>
      <c r="CP15" s="4109">
        <f>+'ST Original'!EI14</f>
        <v>4.1666666666666666E-3</v>
      </c>
      <c r="CQ15" s="4109">
        <f>+'ST Original'!EJ14</f>
        <v>4.1666666666666666E-3</v>
      </c>
      <c r="CR15" s="4109">
        <f>+'ST Original'!EK14</f>
        <v>4.1666666666666666E-3</v>
      </c>
      <c r="CS15" s="4109">
        <f>+'ST Original'!EL14</f>
        <v>4.1666666666666666E-3</v>
      </c>
      <c r="CT15" s="4105">
        <f>+'MCP PS'!I8</f>
        <v>1.4390136791546408</v>
      </c>
      <c r="CY15" s="4124">
        <f t="shared" si="41"/>
        <v>46088.791666666664</v>
      </c>
      <c r="CZ15" s="4115">
        <f>+'Plan mina PS'!J12</f>
        <v>2.7685422585974444E-2</v>
      </c>
      <c r="DA15" s="4115">
        <f t="shared" si="42"/>
        <v>1.0504147276419731</v>
      </c>
      <c r="DB15" s="4113">
        <f t="shared" si="43"/>
        <v>2730.6508033108739</v>
      </c>
      <c r="DC15" s="4099">
        <f t="shared" si="44"/>
        <v>2730.6508033108739</v>
      </c>
      <c r="DD15" s="4115">
        <f>+'Plan mina PS'!K12</f>
        <v>1.106662109190264</v>
      </c>
      <c r="DE15" s="4115">
        <f t="shared" si="45"/>
        <v>47.801667747216342</v>
      </c>
      <c r="DF15" s="4113">
        <f t="shared" si="46"/>
        <v>124264.88223994701</v>
      </c>
      <c r="DG15" s="4113">
        <f t="shared" si="47"/>
        <v>124264.88223994701</v>
      </c>
      <c r="DH15" s="4114">
        <f>+'Plan mina PS'!T12</f>
        <v>30.729817794939436</v>
      </c>
      <c r="DI15" s="4113">
        <f t="shared" si="48"/>
        <v>1382.8418007722746</v>
      </c>
      <c r="DJ15" s="4123">
        <f>+'Plan mina PS'!AH49</f>
        <v>303.1038351011473</v>
      </c>
    </row>
    <row r="16" spans="1:114" s="4126" customFormat="1" ht="13.5" customHeight="1" thickBot="1">
      <c r="A16" s="4111" t="s">
        <v>327</v>
      </c>
      <c r="B16" s="4112">
        <f t="shared" si="0"/>
        <v>46089.791666666664</v>
      </c>
      <c r="C16" s="4113">
        <f>'Plan mina PS'!M50*1000</f>
        <v>196541.95271136353</v>
      </c>
      <c r="D16" s="4113">
        <f>'Plan mina PS'!L50*1000</f>
        <v>727616.27960000001</v>
      </c>
      <c r="E16" s="4113">
        <f>((('Plan mina PS'!N50*1000)))</f>
        <v>193372.44980190226</v>
      </c>
      <c r="F16" s="4113">
        <f>+'Plan mina PS'!I50*1000</f>
        <v>42241.024113783184</v>
      </c>
      <c r="G16" s="4113">
        <f t="shared" si="1"/>
        <v>151131.42568811908</v>
      </c>
      <c r="H16" s="4114">
        <f t="shared" si="2"/>
        <v>91.113128582927786</v>
      </c>
      <c r="I16" s="4114">
        <f t="shared" si="3"/>
        <v>97.132597759803119</v>
      </c>
      <c r="J16" s="4115">
        <f t="shared" si="4"/>
        <v>92.221975</v>
      </c>
      <c r="K16" s="4116">
        <f>+'Plan mina PS'!D13</f>
        <v>0.42999477375940809</v>
      </c>
      <c r="L16" s="4115">
        <f>'Plan mina PS'!C13</f>
        <v>89.305591314828987</v>
      </c>
      <c r="M16" s="4114">
        <f>'Plan mina PS'!B13</f>
        <v>21.779398885424484</v>
      </c>
      <c r="N16" s="4113">
        <f t="shared" si="5"/>
        <v>3409.498767383529</v>
      </c>
      <c r="O16" s="4113">
        <f t="shared" si="6"/>
        <v>22619.127759768671</v>
      </c>
      <c r="P16" s="4113">
        <f t="shared" si="7"/>
        <v>742.56833654208981</v>
      </c>
      <c r="Q16" s="4113">
        <f t="shared" si="8"/>
        <v>5859.8375863090569</v>
      </c>
      <c r="R16" s="4113">
        <f>+'Plan mina PS'!E13</f>
        <v>116.79231453065985</v>
      </c>
      <c r="S16" s="4115">
        <f t="shared" si="9"/>
        <v>90.15238094071124</v>
      </c>
      <c r="T16" s="4115">
        <f t="shared" si="49"/>
        <v>85.206384571981189</v>
      </c>
      <c r="U16" s="4117">
        <f t="shared" si="11"/>
        <v>76.815584405139887</v>
      </c>
      <c r="V16" s="4114">
        <v>50</v>
      </c>
      <c r="W16" s="4113">
        <f t="shared" si="12"/>
        <v>34.696702237249049</v>
      </c>
      <c r="X16" s="4113">
        <f t="shared" si="13"/>
        <v>386.57640803939091</v>
      </c>
      <c r="Y16" s="4113">
        <f t="shared" si="14"/>
        <v>60</v>
      </c>
      <c r="Z16" s="4113">
        <f>IF(ISNUMBER(E16*R16/1000000*U16/100),E16*R16/1000000*U16/100,0)</f>
        <v>17.348351118624525</v>
      </c>
      <c r="AA16" s="4113">
        <f t="shared" si="16"/>
        <v>193.28820401969546</v>
      </c>
      <c r="AB16" s="4113">
        <v>30</v>
      </c>
      <c r="AC16" s="4113">
        <f>+'ST Original'!AG15</f>
        <v>20</v>
      </c>
      <c r="AD16" s="4113">
        <f t="shared" si="17"/>
        <v>764.39214529691844</v>
      </c>
      <c r="AE16" s="4113">
        <f t="shared" si="18"/>
        <v>6194.7045489651446</v>
      </c>
      <c r="AF16" s="4099">
        <f>Real!AL16</f>
        <v>1622.51611328125</v>
      </c>
      <c r="AG16" s="4099">
        <f>Real!AM16</f>
        <v>23</v>
      </c>
      <c r="AH16" s="4099">
        <f>AF16*AG16/100</f>
        <v>373.1787060546875</v>
      </c>
      <c r="AI16" s="4099">
        <f t="shared" si="54"/>
        <v>2945</v>
      </c>
      <c r="AJ16" s="4118">
        <f t="shared" si="55"/>
        <v>24.809294293892169</v>
      </c>
      <c r="AK16" s="4099">
        <f t="shared" si="56"/>
        <v>730.63371695512444</v>
      </c>
      <c r="AL16" s="4119">
        <f>+'R+P'!AP15</f>
        <v>2011.1428395499343</v>
      </c>
      <c r="AM16" s="4119">
        <f>+'R+P'!AQ15</f>
        <v>881.91592126326486</v>
      </c>
      <c r="AN16" s="4100">
        <f t="shared" si="52"/>
        <v>8057.1854084125944</v>
      </c>
      <c r="AO16" s="4119">
        <f t="shared" si="19"/>
        <v>6911.3450881818171</v>
      </c>
      <c r="AP16" s="4119">
        <f t="shared" si="20"/>
        <v>1812</v>
      </c>
      <c r="AQ16" s="4099">
        <f t="shared" si="21"/>
        <v>8736.7304901164753</v>
      </c>
      <c r="AR16" s="4120">
        <f t="shared" si="22"/>
        <v>91.113128582927786</v>
      </c>
      <c r="AS16" s="4118">
        <f t="shared" si="23"/>
        <v>77.2242396940389</v>
      </c>
      <c r="AT16" s="4118">
        <f t="shared" si="24"/>
        <v>98.057573027372229</v>
      </c>
      <c r="AU16" s="4118">
        <f t="shared" si="25"/>
        <v>98.057573027372229</v>
      </c>
      <c r="AV16" s="4121">
        <f>+'Plan mina PS'!AG13</f>
        <v>0.81336285442788747</v>
      </c>
      <c r="AW16" s="4122">
        <f>'Plan mina PS'!T13</f>
        <v>25.470941533399895</v>
      </c>
      <c r="AX16" s="4123">
        <f t="shared" si="26"/>
        <v>1146.1923690029953</v>
      </c>
      <c r="AY16" s="4117">
        <f>+'Plan mina PS'!AJ13</f>
        <v>3.9657877154601224</v>
      </c>
      <c r="AZ16" s="4099">
        <f>'Plan mina PS'!V13</f>
        <v>196.79163474901824</v>
      </c>
      <c r="BA16" s="4118">
        <f>+('Plan mina PS'!P13*AN16/1000000)*0.75</f>
        <v>8.0128591958654702</v>
      </c>
      <c r="BB16" s="4118">
        <f>+'Plan mina PS'!W13</f>
        <v>38.496662562943023</v>
      </c>
      <c r="BC16" s="4113">
        <f>+'Plan mina PS'!Y13</f>
        <v>68.016529339533591</v>
      </c>
      <c r="BD16" s="4094">
        <f>+'MCP PS'!AU9*100</f>
        <v>56.592878051495298</v>
      </c>
      <c r="BE16" s="4124">
        <f t="shared" si="27"/>
        <v>46089.791666666664</v>
      </c>
      <c r="BF16" s="4120">
        <f t="shared" si="28"/>
        <v>92.221974999999986</v>
      </c>
      <c r="BG16" s="4120">
        <f t="shared" si="29"/>
        <v>77.2242396940389</v>
      </c>
      <c r="BH16" s="4118">
        <f t="shared" si="30"/>
        <v>98.057573027372229</v>
      </c>
      <c r="BI16" s="4118">
        <f t="shared" si="31"/>
        <v>98.057573027372229</v>
      </c>
      <c r="BJ16" s="4118">
        <f t="shared" si="32"/>
        <v>97.132597759803119</v>
      </c>
      <c r="BK16" s="4118">
        <f t="shared" si="33"/>
        <v>18.533817526569337</v>
      </c>
      <c r="BL16" s="4118">
        <f t="shared" si="34"/>
        <v>23.533817526569337</v>
      </c>
      <c r="BM16" s="4118">
        <f t="shared" si="35"/>
        <v>23.533817526569337</v>
      </c>
      <c r="BN16" s="4118">
        <f t="shared" si="36"/>
        <v>23.311823462352748</v>
      </c>
      <c r="BO16" s="4120">
        <f t="shared" si="37"/>
        <v>1.4864190000000002</v>
      </c>
      <c r="BP16" s="4120">
        <f t="shared" si="38"/>
        <v>0.12676900000000002</v>
      </c>
      <c r="BQ16" s="4120">
        <f t="shared" si="39"/>
        <v>0.12676900000000002</v>
      </c>
      <c r="BR16" s="4120">
        <f t="shared" si="40"/>
        <v>0.12676900000000002</v>
      </c>
      <c r="BS16" s="4147">
        <v>5</v>
      </c>
      <c r="BT16" s="4125">
        <f>+'ST Original'!DM15</f>
        <v>0</v>
      </c>
      <c r="BU16" s="4125">
        <f>+'ST Original'!DN15</f>
        <v>0</v>
      </c>
      <c r="BV16" s="4125">
        <f>+'ST Original'!DO15</f>
        <v>0</v>
      </c>
      <c r="BW16" s="4125">
        <f>+'ST Original'!DP15</f>
        <v>0</v>
      </c>
      <c r="BX16" s="4125">
        <f>+'ST Original'!DQ15</f>
        <v>0</v>
      </c>
      <c r="BY16" s="4125">
        <f>+'ST Original'!DR15</f>
        <v>0</v>
      </c>
      <c r="BZ16" s="4125">
        <f>+'ST Original'!DS15</f>
        <v>0</v>
      </c>
      <c r="CA16" s="4125">
        <f>+'ST Original'!DT15</f>
        <v>0</v>
      </c>
      <c r="CB16" s="4125">
        <f>+'ST Original'!DU15</f>
        <v>0</v>
      </c>
      <c r="CC16" s="4148">
        <f>+'ST Original'!DV15</f>
        <v>0</v>
      </c>
      <c r="CD16" s="4109">
        <f>+'ST Original'!DW15</f>
        <v>7.2602333333333338E-2</v>
      </c>
      <c r="CE16" s="4109">
        <f>+'ST Original'!DX15</f>
        <v>7.2602333333333338E-2</v>
      </c>
      <c r="CF16" s="4109">
        <f>+'ST Original'!DY15</f>
        <v>7.2602333333333338E-2</v>
      </c>
      <c r="CG16" s="4109">
        <f>+'ST Original'!DZ15</f>
        <v>7.2602333333333338E-2</v>
      </c>
      <c r="CH16" s="4109">
        <f>+'ST Original'!EA15</f>
        <v>0</v>
      </c>
      <c r="CI16" s="4109">
        <f>+'ST Original'!EB15</f>
        <v>0</v>
      </c>
      <c r="CJ16" s="4109">
        <f>+'ST Original'!EC15</f>
        <v>0</v>
      </c>
      <c r="CK16" s="4109">
        <f>+'ST Original'!ED15</f>
        <v>0</v>
      </c>
      <c r="CL16" s="4109">
        <f>+'ST Original'!EE15</f>
        <v>0.05</v>
      </c>
      <c r="CM16" s="4109">
        <f>+'ST Original'!EF15</f>
        <v>0.05</v>
      </c>
      <c r="CN16" s="4109">
        <f>+'ST Original'!EG15</f>
        <v>0.05</v>
      </c>
      <c r="CO16" s="4109">
        <f>+'ST Original'!EH15</f>
        <v>0.05</v>
      </c>
      <c r="CP16" s="4109">
        <f>+'ST Original'!EI15</f>
        <v>4.1666666666666666E-3</v>
      </c>
      <c r="CQ16" s="4109">
        <f>+'ST Original'!EJ15</f>
        <v>4.1666666666666666E-3</v>
      </c>
      <c r="CR16" s="4109">
        <f>+'ST Original'!EK15</f>
        <v>4.1666666666666666E-3</v>
      </c>
      <c r="CS16" s="4109">
        <f>+'ST Original'!EL15</f>
        <v>4.1666666666666666E-3</v>
      </c>
      <c r="CT16" s="4105">
        <f>+'MCP PS'!I9</f>
        <v>1.7556222161690056</v>
      </c>
      <c r="CY16" s="4124">
        <f t="shared" si="41"/>
        <v>46089.791666666664</v>
      </c>
      <c r="CZ16" s="4115">
        <f>+'Plan mina PS'!J13</f>
        <v>2.7722156265878359E-2</v>
      </c>
      <c r="DA16" s="4115">
        <f t="shared" si="42"/>
        <v>1.0219847736664904</v>
      </c>
      <c r="DB16" s="4113">
        <f t="shared" si="43"/>
        <v>3484.4558261006341</v>
      </c>
      <c r="DC16" s="4099">
        <f t="shared" si="44"/>
        <v>3484.4558261006341</v>
      </c>
      <c r="DD16" s="4115">
        <f>+'Plan mina PS'!K13</f>
        <v>1.0849844009915068</v>
      </c>
      <c r="DE16" s="4115">
        <f t="shared" si="45"/>
        <v>45.536461042750851</v>
      </c>
      <c r="DF16" s="4113">
        <f t="shared" si="46"/>
        <v>155256.50779626711</v>
      </c>
      <c r="DG16" s="4113">
        <f t="shared" si="47"/>
        <v>155256.50779626711</v>
      </c>
      <c r="DH16" s="4114">
        <f>+'Plan mina PS'!T13</f>
        <v>25.470941533399895</v>
      </c>
      <c r="DI16" s="4113">
        <f t="shared" si="48"/>
        <v>1146.1923690029953</v>
      </c>
      <c r="DJ16" s="4123">
        <f>+'Plan mina PS'!AH50</f>
        <v>305.99837003899188</v>
      </c>
    </row>
    <row r="17" spans="1:114" s="4126" customFormat="1" ht="13.5" customHeight="1" thickBot="1">
      <c r="A17" s="4111"/>
      <c r="B17" s="4112">
        <f t="shared" si="0"/>
        <v>46090.791666666664</v>
      </c>
      <c r="C17" s="4113">
        <f>'Plan mina PS'!M51*1000</f>
        <v>197000</v>
      </c>
      <c r="D17" s="4113">
        <f>'Plan mina PS'!L51*1000</f>
        <v>747772.30734830757</v>
      </c>
      <c r="E17" s="4113">
        <f>((('Plan mina PS'!N51*1000)))</f>
        <v>176843.97225169241</v>
      </c>
      <c r="F17" s="4113">
        <f>+'Plan mina PS'!I51*1000</f>
        <v>42241.024113783184</v>
      </c>
      <c r="G17" s="4113">
        <f t="shared" si="1"/>
        <v>134602.94813790923</v>
      </c>
      <c r="H17" s="4114">
        <f t="shared" si="2"/>
        <v>81.390906360705557</v>
      </c>
      <c r="I17" s="4114">
        <f t="shared" si="3"/>
        <v>97.132597759803119</v>
      </c>
      <c r="J17" s="4115">
        <f t="shared" si="4"/>
        <v>84.29068333333332</v>
      </c>
      <c r="K17" s="4116">
        <f>+'Plan mina PS'!D14</f>
        <v>0.47</v>
      </c>
      <c r="L17" s="4115">
        <f>'Plan mina PS'!C14</f>
        <v>89.9</v>
      </c>
      <c r="M17" s="4114">
        <f>'Plan mina PS'!B14</f>
        <v>25.11</v>
      </c>
      <c r="N17" s="4113">
        <f t="shared" si="5"/>
        <v>2975.7819034451454</v>
      </c>
      <c r="O17" s="4113">
        <f t="shared" si="6"/>
        <v>25594.909663213817</v>
      </c>
      <c r="P17" s="4113">
        <f t="shared" si="7"/>
        <v>747.21883595507609</v>
      </c>
      <c r="Q17" s="4113">
        <f t="shared" si="8"/>
        <v>6607.0564222641333</v>
      </c>
      <c r="R17" s="4113">
        <f>+'Plan mina PS'!E14</f>
        <v>143</v>
      </c>
      <c r="S17" s="4115">
        <f t="shared" si="9"/>
        <v>90.862222127080315</v>
      </c>
      <c r="T17" s="4115">
        <f t="shared" si="10"/>
        <v>88.415227690915401</v>
      </c>
      <c r="U17" s="4117">
        <f t="shared" si="11"/>
        <v>80.336040578683381</v>
      </c>
      <c r="V17" s="4114">
        <v>50</v>
      </c>
      <c r="W17" s="4113">
        <f t="shared" si="12"/>
        <v>40.631861358395504</v>
      </c>
      <c r="X17" s="4113">
        <f t="shared" si="13"/>
        <v>427.20826939778641</v>
      </c>
      <c r="Y17" s="4113">
        <f t="shared" si="14"/>
        <v>60</v>
      </c>
      <c r="Z17" s="4113">
        <f t="shared" si="15"/>
        <v>20.315930679197752</v>
      </c>
      <c r="AA17" s="4113">
        <f t="shared" si="16"/>
        <v>213.6041346988932</v>
      </c>
      <c r="AB17" s="4113">
        <v>30</v>
      </c>
      <c r="AC17" s="4113">
        <f>+'ST Original'!AG16</f>
        <v>20</v>
      </c>
      <c r="AD17" s="4113">
        <f t="shared" si="17"/>
        <v>777.42592381258248</v>
      </c>
      <c r="AE17" s="4113">
        <f t="shared" si="18"/>
        <v>6972.1304727777269</v>
      </c>
      <c r="AF17" s="4149">
        <v>3390</v>
      </c>
      <c r="AG17" s="4118">
        <v>24.4</v>
      </c>
      <c r="AH17" s="4099">
        <f>AF17*AG17/100</f>
        <v>827.16</v>
      </c>
      <c r="AI17" s="4149">
        <f>AF16</f>
        <v>1622.51611328125</v>
      </c>
      <c r="AJ17" s="4150">
        <f>AG16</f>
        <v>23</v>
      </c>
      <c r="AK17" s="4149">
        <f t="shared" si="56"/>
        <v>373.1787060546875</v>
      </c>
      <c r="AL17" s="4119">
        <f>+'R+P'!AP16</f>
        <v>2136.0693845214687</v>
      </c>
      <c r="AM17" s="4119">
        <f>+'R+P'!AQ16</f>
        <v>645.52793856511198</v>
      </c>
      <c r="AN17" s="4100">
        <f t="shared" si="52"/>
        <v>7368.4988438205173</v>
      </c>
      <c r="AO17" s="4119">
        <f t="shared" si="19"/>
        <v>6890.7651028697383</v>
      </c>
      <c r="AP17" s="4119">
        <f>+IFERROR(F17/I17/24*100,0)</f>
        <v>1812</v>
      </c>
      <c r="AQ17" s="4099">
        <f t="shared" si="21"/>
        <v>8741.7713944508923</v>
      </c>
      <c r="AR17" s="4120">
        <f t="shared" si="22"/>
        <v>81.390906360705557</v>
      </c>
      <c r="AS17" s="4118">
        <f t="shared" si="23"/>
        <v>48.057573027372243</v>
      </c>
      <c r="AT17" s="4118">
        <f t="shared" si="24"/>
        <v>98.057573027372229</v>
      </c>
      <c r="AU17" s="4118">
        <f t="shared" si="25"/>
        <v>98.057573027372229</v>
      </c>
      <c r="AV17" s="4121">
        <f>+'Plan mina PS'!AG14</f>
        <v>0.83852146380093429</v>
      </c>
      <c r="AW17" s="4122">
        <f>'Plan mina PS'!T14</f>
        <v>28.534054278239346</v>
      </c>
      <c r="AX17" s="4123">
        <f t="shared" si="26"/>
        <v>1284.0324425207705</v>
      </c>
      <c r="AY17" s="4117">
        <f>+'Plan mina PS'!AJ14</f>
        <v>3.9065744520952101</v>
      </c>
      <c r="AZ17" s="4099">
        <f>'Plan mina PS'!V14</f>
        <v>199.20303368682784</v>
      </c>
      <c r="BA17" s="4118">
        <f>+('Plan mina PS'!P14*AN17/1000000)*0.8</f>
        <v>6.9043014595113892</v>
      </c>
      <c r="BB17" s="4118">
        <f>+'Plan mina PS'!W14</f>
        <v>38.229840369062039</v>
      </c>
      <c r="BC17" s="4113">
        <f>+'Plan mina PS'!Y14</f>
        <v>69.935549550123326</v>
      </c>
      <c r="BD17" s="4094">
        <f>+'MCP PS'!AU10*100</f>
        <v>76.082841284695704</v>
      </c>
      <c r="BE17" s="4124">
        <f t="shared" si="27"/>
        <v>46090.791666666664</v>
      </c>
      <c r="BF17" s="4120">
        <f t="shared" si="28"/>
        <v>84.290683333333334</v>
      </c>
      <c r="BG17" s="4120">
        <f t="shared" si="29"/>
        <v>48.057573027372243</v>
      </c>
      <c r="BH17" s="4118">
        <f t="shared" si="30"/>
        <v>98.057573027372229</v>
      </c>
      <c r="BI17" s="4118">
        <f t="shared" si="31"/>
        <v>98.057573027372229</v>
      </c>
      <c r="BJ17" s="4118">
        <f t="shared" si="32"/>
        <v>97.132597759803119</v>
      </c>
      <c r="BK17" s="4118">
        <f t="shared" si="33"/>
        <v>11.533817526569338</v>
      </c>
      <c r="BL17" s="4118">
        <f t="shared" si="34"/>
        <v>23.533817526569337</v>
      </c>
      <c r="BM17" s="4118">
        <f t="shared" si="35"/>
        <v>23.533817526569337</v>
      </c>
      <c r="BN17" s="4118">
        <f t="shared" si="36"/>
        <v>23.311823462352748</v>
      </c>
      <c r="BO17" s="4120">
        <f t="shared" si="37"/>
        <v>3.389929</v>
      </c>
      <c r="BP17" s="4120">
        <f t="shared" si="38"/>
        <v>0.12676900000000002</v>
      </c>
      <c r="BQ17" s="4120">
        <f t="shared" si="39"/>
        <v>0.12676900000000002</v>
      </c>
      <c r="BR17" s="4120">
        <f t="shared" si="40"/>
        <v>0.12676900000000002</v>
      </c>
      <c r="BS17" s="4151">
        <v>12</v>
      </c>
      <c r="BT17" s="4125">
        <f>+'ST Original'!DM16</f>
        <v>0</v>
      </c>
      <c r="BU17" s="4125">
        <f>+'ST Original'!DN16</f>
        <v>0</v>
      </c>
      <c r="BV17" s="4125">
        <f>+'ST Original'!DO16</f>
        <v>0</v>
      </c>
      <c r="BW17" s="4125">
        <f>+'ST Original'!DP16</f>
        <v>0</v>
      </c>
      <c r="BX17" s="4125">
        <f>+'ST Original'!DQ16</f>
        <v>0</v>
      </c>
      <c r="BY17" s="4125">
        <f>+'ST Original'!DR16</f>
        <v>0</v>
      </c>
      <c r="BZ17" s="4125">
        <f>+'ST Original'!DS16</f>
        <v>0</v>
      </c>
      <c r="CA17" s="4125">
        <f>+'ST Original'!DT16</f>
        <v>0</v>
      </c>
      <c r="CB17" s="4125">
        <f>+'ST Original'!DU16</f>
        <v>0</v>
      </c>
      <c r="CC17" s="4148">
        <f>+'ST Original'!DV16</f>
        <v>0</v>
      </c>
      <c r="CD17" s="4109">
        <f>+'ST Original'!DW16</f>
        <v>7.2602333333333338E-2</v>
      </c>
      <c r="CE17" s="4109">
        <f>+'ST Original'!DX16</f>
        <v>7.2602333333333338E-2</v>
      </c>
      <c r="CF17" s="4109">
        <f>+'ST Original'!DY16</f>
        <v>7.2602333333333338E-2</v>
      </c>
      <c r="CG17" s="4109">
        <f>+'ST Original'!DZ16</f>
        <v>7.2602333333333338E-2</v>
      </c>
      <c r="CH17" s="4109">
        <f>+'ST Original'!EA16</f>
        <v>0</v>
      </c>
      <c r="CI17" s="4109">
        <f>+'ST Original'!EB16</f>
        <v>0</v>
      </c>
      <c r="CJ17" s="4109">
        <f>+'ST Original'!EC16</f>
        <v>0</v>
      </c>
      <c r="CK17" s="4109">
        <f>+'ST Original'!ED16</f>
        <v>0</v>
      </c>
      <c r="CL17" s="4109">
        <f>+'ST Original'!EE16</f>
        <v>0.05</v>
      </c>
      <c r="CM17" s="4109">
        <f>+'ST Original'!EF16</f>
        <v>0.05</v>
      </c>
      <c r="CN17" s="4109">
        <f>+'ST Original'!EG16</f>
        <v>0.05</v>
      </c>
      <c r="CO17" s="4109">
        <f>+'ST Original'!EH16</f>
        <v>0.05</v>
      </c>
      <c r="CP17" s="4109">
        <f>+'ST Original'!EI16</f>
        <v>4.1666666666666666E-3</v>
      </c>
      <c r="CQ17" s="4109">
        <f>+'ST Original'!EJ16</f>
        <v>4.1666666666666666E-3</v>
      </c>
      <c r="CR17" s="4109">
        <f>+'ST Original'!EK16</f>
        <v>4.1666666666666666E-3</v>
      </c>
      <c r="CS17" s="4109">
        <f>+'ST Original'!EL16</f>
        <v>4.1666666666666666E-3</v>
      </c>
      <c r="CT17" s="4105">
        <f>+'MCP PS'!I10</f>
        <v>1.9887187521498528</v>
      </c>
      <c r="CY17" s="4124">
        <f t="shared" si="41"/>
        <v>46090.791666666664</v>
      </c>
      <c r="CZ17" s="4115">
        <f>+'Plan mina PS'!J14</f>
        <v>2.7177236334386425E-2</v>
      </c>
      <c r="DA17" s="4115">
        <f t="shared" si="42"/>
        <v>1.0498030029386978</v>
      </c>
      <c r="DB17" s="4113">
        <f t="shared" si="43"/>
        <v>3123.9847783273476</v>
      </c>
      <c r="DC17" s="4099">
        <f t="shared" si="44"/>
        <v>3123.9847783273476</v>
      </c>
      <c r="DD17" s="4115">
        <f>+'Plan mina PS'!K14</f>
        <v>1.1236693455115272</v>
      </c>
      <c r="DE17" s="4115">
        <f t="shared" si="45"/>
        <v>49.415070117359448</v>
      </c>
      <c r="DF17" s="4113">
        <f t="shared" si="46"/>
        <v>147048.47141271122</v>
      </c>
      <c r="DG17" s="4113">
        <f t="shared" si="47"/>
        <v>147048.47141271122</v>
      </c>
      <c r="DH17" s="4114">
        <f>+'Plan mina PS'!T14</f>
        <v>28.534054278239346</v>
      </c>
      <c r="DI17" s="4113">
        <f t="shared" si="48"/>
        <v>1284.0324425207705</v>
      </c>
      <c r="DJ17" s="4123">
        <f>+'Plan mina PS'!AH51</f>
        <v>308.92068426260334</v>
      </c>
    </row>
    <row r="18" spans="1:114" s="4110" customFormat="1" ht="13.5" customHeight="1" thickBot="1">
      <c r="A18" s="4092"/>
      <c r="B18" s="4093">
        <f t="shared" si="0"/>
        <v>46091.791666666664</v>
      </c>
      <c r="C18" s="4094">
        <f>'Plan mina PS'!M52*1000</f>
        <v>84000.000000096639</v>
      </c>
      <c r="D18" s="4094">
        <f>'Plan mina PS'!L52*1000</f>
        <v>640000</v>
      </c>
      <c r="E18" s="4094">
        <f>((('Plan mina PS'!N52*1000)))</f>
        <v>180641.57674533353</v>
      </c>
      <c r="F18" s="4094">
        <f>+'Plan mina PS'!I52*1000</f>
        <v>40567.608378225639</v>
      </c>
      <c r="G18" s="4094">
        <f t="shared" si="1"/>
        <v>140073.96836710788</v>
      </c>
      <c r="H18" s="4097">
        <f t="shared" si="2"/>
        <v>98.057573027372243</v>
      </c>
      <c r="I18" s="4097">
        <f t="shared" si="3"/>
        <v>97.132597759803119</v>
      </c>
      <c r="J18" s="4095">
        <f t="shared" si="4"/>
        <v>97.88718333333334</v>
      </c>
      <c r="K18" s="4096">
        <f>+'Plan mina PS'!D15</f>
        <v>0.55693689229657306</v>
      </c>
      <c r="L18" s="4095">
        <f>'Plan mina PS'!C15</f>
        <v>88.943895423511705</v>
      </c>
      <c r="M18" s="4097">
        <f>'Plan mina PS'!B15</f>
        <v>24.147726997740527</v>
      </c>
      <c r="N18" s="4094">
        <f t="shared" si="5"/>
        <v>3705.64311964742</v>
      </c>
      <c r="O18" s="4094">
        <f t="shared" si="6"/>
        <v>29300.552782861236</v>
      </c>
      <c r="P18" s="4094">
        <f t="shared" si="7"/>
        <v>894.82858404301442</v>
      </c>
      <c r="Q18" s="4094">
        <f t="shared" si="8"/>
        <v>7501.8850063071477</v>
      </c>
      <c r="R18" s="4094">
        <f>+'Plan mina PS'!E15</f>
        <v>161.99226859070069</v>
      </c>
      <c r="S18" s="4095">
        <f t="shared" si="9"/>
        <v>91.29947168894553</v>
      </c>
      <c r="T18" s="4095">
        <f t="shared" si="10"/>
        <v>88.768551474856508</v>
      </c>
      <c r="U18" s="4098">
        <f t="shared" si="11"/>
        <v>81.045218522473661</v>
      </c>
      <c r="V18" s="4097">
        <v>50</v>
      </c>
      <c r="W18" s="4094">
        <f t="shared" si="12"/>
        <v>47.431777061804205</v>
      </c>
      <c r="X18" s="4094">
        <f t="shared" si="13"/>
        <v>474.64004645959062</v>
      </c>
      <c r="Y18" s="4094">
        <f t="shared" si="14"/>
        <v>50</v>
      </c>
      <c r="Z18" s="4094">
        <f t="shared" si="15"/>
        <v>23.715888530902102</v>
      </c>
      <c r="AA18" s="4094">
        <f t="shared" si="16"/>
        <v>237.32002322979531</v>
      </c>
      <c r="AB18" s="4094">
        <v>25</v>
      </c>
      <c r="AC18" s="4094">
        <f>+'ST Original'!AG17</f>
        <v>10</v>
      </c>
      <c r="AD18" s="4094">
        <f t="shared" si="17"/>
        <v>929.23369689620961</v>
      </c>
      <c r="AE18" s="4094">
        <f t="shared" si="18"/>
        <v>7901.3641696739369</v>
      </c>
      <c r="AF18" s="4099">
        <f>+'ST Original'!AK17</f>
        <v>4366</v>
      </c>
      <c r="AG18" s="4118">
        <f t="shared" si="53"/>
        <v>24.147726997740527</v>
      </c>
      <c r="AH18" s="4099">
        <f t="shared" ref="AH18:AH39" si="57">AF18*AG18/100</f>
        <v>1054.2897607213515</v>
      </c>
      <c r="AI18" s="4099">
        <f t="shared" si="54"/>
        <v>3390</v>
      </c>
      <c r="AJ18" s="4118">
        <f t="shared" si="55"/>
        <v>24.4</v>
      </c>
      <c r="AK18" s="4099">
        <f t="shared" si="56"/>
        <v>827.16</v>
      </c>
      <c r="AL18" s="4100">
        <f>+'R+P'!AP17</f>
        <v>2358.1166222320517</v>
      </c>
      <c r="AM18" s="4100">
        <f>+'R+P'!AQ17</f>
        <v>503.62664929961414</v>
      </c>
      <c r="AN18" s="4100">
        <f t="shared" si="52"/>
        <v>7526.7323643888967</v>
      </c>
      <c r="AO18" s="4100">
        <f t="shared" si="19"/>
        <v>5952.0291686194305</v>
      </c>
      <c r="AP18" s="4100">
        <f t="shared" si="20"/>
        <v>1740.2160085735029</v>
      </c>
      <c r="AQ18" s="4101">
        <f t="shared" si="21"/>
        <v>7689.1908706354952</v>
      </c>
      <c r="AR18" s="4102">
        <f t="shared" si="22"/>
        <v>98.057573027372243</v>
      </c>
      <c r="AS18" s="4103">
        <f t="shared" si="23"/>
        <v>98.057573027372229</v>
      </c>
      <c r="AT18" s="4103">
        <f t="shared" si="24"/>
        <v>98.057573027372229</v>
      </c>
      <c r="AU18" s="4103">
        <f t="shared" si="25"/>
        <v>98.057573027372229</v>
      </c>
      <c r="AV18" s="4104">
        <f>+'Plan mina PS'!AG15</f>
        <v>0.97008468293675776</v>
      </c>
      <c r="AW18" s="4105">
        <f>'Plan mina PS'!T15</f>
        <v>16.960424092980919</v>
      </c>
      <c r="AX18" s="4106">
        <f t="shared" si="26"/>
        <v>763.21908418414137</v>
      </c>
      <c r="AY18" s="4098">
        <f>+'Plan mina PS'!AJ15</f>
        <v>4.3054566652213655</v>
      </c>
      <c r="AZ18" s="4101">
        <f>'Plan mina PS'!V15</f>
        <v>191.82869133920639</v>
      </c>
      <c r="BA18" s="4103">
        <f>+('Plan mina PS'!P15*AN18/1000000)*0.8</f>
        <v>7.6580882833251351</v>
      </c>
      <c r="BB18" s="4103">
        <f>+'Plan mina PS'!W15</f>
        <v>37.616068853445114</v>
      </c>
      <c r="BC18" s="4094">
        <f>+'Plan mina PS'!Y15</f>
        <v>70.71716209230739</v>
      </c>
      <c r="BD18" s="4094">
        <f>+'MCP PS'!AU11*100</f>
        <v>71.94995341341756</v>
      </c>
      <c r="BE18" s="4107">
        <f t="shared" si="27"/>
        <v>46091.791666666664</v>
      </c>
      <c r="BF18" s="4102">
        <f t="shared" si="28"/>
        <v>97.887183333333326</v>
      </c>
      <c r="BG18" s="4102">
        <f t="shared" si="29"/>
        <v>98.057573027372229</v>
      </c>
      <c r="BH18" s="4103">
        <f t="shared" si="30"/>
        <v>98.057573027372229</v>
      </c>
      <c r="BI18" s="4103">
        <f t="shared" si="31"/>
        <v>98.057573027372229</v>
      </c>
      <c r="BJ18" s="4103">
        <f t="shared" si="32"/>
        <v>97.132597759803119</v>
      </c>
      <c r="BK18" s="4103">
        <f t="shared" si="33"/>
        <v>23.533817526569337</v>
      </c>
      <c r="BL18" s="4103">
        <f t="shared" si="34"/>
        <v>23.533817526569337</v>
      </c>
      <c r="BM18" s="4103">
        <f t="shared" si="35"/>
        <v>23.533817526569337</v>
      </c>
      <c r="BN18" s="4103">
        <f t="shared" si="36"/>
        <v>23.311823462352748</v>
      </c>
      <c r="BO18" s="4102">
        <f t="shared" si="37"/>
        <v>0.12676900000000002</v>
      </c>
      <c r="BP18" s="4102">
        <f t="shared" si="38"/>
        <v>0.12676900000000002</v>
      </c>
      <c r="BQ18" s="4102">
        <f t="shared" si="39"/>
        <v>0.12676900000000002</v>
      </c>
      <c r="BR18" s="4102">
        <f t="shared" si="40"/>
        <v>0.12676900000000002</v>
      </c>
      <c r="BS18" s="4152">
        <v>0</v>
      </c>
      <c r="BT18" s="4108">
        <f>+'ST Original'!DM17</f>
        <v>0</v>
      </c>
      <c r="BU18" s="4108">
        <f>+'ST Original'!DN17</f>
        <v>0</v>
      </c>
      <c r="BV18" s="4108">
        <f>+'ST Original'!DO17</f>
        <v>0</v>
      </c>
      <c r="BW18" s="4108">
        <f>+'ST Original'!DP17</f>
        <v>0</v>
      </c>
      <c r="BX18" s="4108">
        <f>+'ST Original'!DQ17</f>
        <v>0</v>
      </c>
      <c r="BY18" s="4108">
        <f>+'ST Original'!DR17</f>
        <v>0</v>
      </c>
      <c r="BZ18" s="4108">
        <f>+'ST Original'!DS17</f>
        <v>0</v>
      </c>
      <c r="CA18" s="4108">
        <f>+'ST Original'!DT17</f>
        <v>0</v>
      </c>
      <c r="CB18" s="4108">
        <f>+'ST Original'!DU17</f>
        <v>0</v>
      </c>
      <c r="CC18" s="4146">
        <f>+'ST Original'!DV17</f>
        <v>0</v>
      </c>
      <c r="CD18" s="4153">
        <f>+'ST Original'!DW17</f>
        <v>7.2602333333333338E-2</v>
      </c>
      <c r="CE18" s="4153">
        <f>+'ST Original'!DX17</f>
        <v>7.2602333333333338E-2</v>
      </c>
      <c r="CF18" s="4153">
        <f>+'ST Original'!DY17</f>
        <v>7.2602333333333338E-2</v>
      </c>
      <c r="CG18" s="4153">
        <f>+'ST Original'!DZ17</f>
        <v>7.2602333333333338E-2</v>
      </c>
      <c r="CH18" s="4153">
        <f>+'ST Original'!EA17</f>
        <v>0</v>
      </c>
      <c r="CI18" s="4153">
        <f>+'ST Original'!EB17</f>
        <v>0</v>
      </c>
      <c r="CJ18" s="4153">
        <f>+'ST Original'!EC17</f>
        <v>0</v>
      </c>
      <c r="CK18" s="4153">
        <f>+'ST Original'!ED17</f>
        <v>0</v>
      </c>
      <c r="CL18" s="4153">
        <f>+'ST Original'!EE17</f>
        <v>0.05</v>
      </c>
      <c r="CM18" s="4153">
        <f>+'ST Original'!EF17</f>
        <v>0.05</v>
      </c>
      <c r="CN18" s="4153">
        <f>+'ST Original'!EG17</f>
        <v>0.05</v>
      </c>
      <c r="CO18" s="4153">
        <f>+'ST Original'!EH17</f>
        <v>0.05</v>
      </c>
      <c r="CP18" s="4153">
        <f>+'ST Original'!EI17</f>
        <v>4.1666666666666666E-3</v>
      </c>
      <c r="CQ18" s="4153">
        <f>+'ST Original'!EJ17</f>
        <v>4.1666666666666666E-3</v>
      </c>
      <c r="CR18" s="4153">
        <f>+'ST Original'!EK17</f>
        <v>4.1666666666666666E-3</v>
      </c>
      <c r="CS18" s="4153">
        <f>+'ST Original'!EL17</f>
        <v>4.1666666666666666E-3</v>
      </c>
      <c r="CT18" s="4105">
        <f>+'MCP PS'!I11</f>
        <v>1.9852054519164557</v>
      </c>
      <c r="CY18" s="4107">
        <f t="shared" si="41"/>
        <v>46091.791666666664</v>
      </c>
      <c r="CZ18" s="4095">
        <f>+'Plan mina PS'!J15</f>
        <v>2.5061747625248158E-2</v>
      </c>
      <c r="DA18" s="4095">
        <f t="shared" si="42"/>
        <v>0.79410665019516924</v>
      </c>
      <c r="DB18" s="4094">
        <f t="shared" si="43"/>
        <v>2942.6758445619894</v>
      </c>
      <c r="DC18" s="4101">
        <f t="shared" si="44"/>
        <v>2942.6758445619894</v>
      </c>
      <c r="DD18" s="4095">
        <f>+'Plan mina PS'!K15</f>
        <v>1.0669857398897391</v>
      </c>
      <c r="DE18" s="4095">
        <f t="shared" si="45"/>
        <v>38.489694054304287</v>
      </c>
      <c r="DF18" s="4094">
        <f t="shared" si="46"/>
        <v>142629.06994966688</v>
      </c>
      <c r="DG18" s="4094">
        <f t="shared" si="47"/>
        <v>142629.06994966688</v>
      </c>
      <c r="DH18" s="4097">
        <f>+'Plan mina PS'!T15</f>
        <v>16.960424092980919</v>
      </c>
      <c r="DI18" s="4094">
        <f t="shared" si="48"/>
        <v>763.21908418414137</v>
      </c>
      <c r="DJ18" s="4106">
        <f>+'Plan mina PS'!AH52</f>
        <v>266.97940431888924</v>
      </c>
    </row>
    <row r="19" spans="1:114" s="4126" customFormat="1" ht="13.5" customHeight="1" thickBot="1">
      <c r="A19" s="4111"/>
      <c r="B19" s="4112">
        <f t="shared" si="0"/>
        <v>46092.791666666664</v>
      </c>
      <c r="C19" s="4113">
        <f>'Plan mina PS'!M53*1000</f>
        <v>80000</v>
      </c>
      <c r="D19" s="4113">
        <f>'Plan mina PS'!L53*1000</f>
        <v>510000</v>
      </c>
      <c r="E19" s="4113">
        <f>((('Plan mina PS'!N53*1000)))</f>
        <v>180836.79397590674</v>
      </c>
      <c r="F19" s="4113">
        <f>+'Plan mina PS'!I53*1000</f>
        <v>41592.405109955849</v>
      </c>
      <c r="G19" s="4113">
        <f t="shared" si="1"/>
        <v>139244.3888659509</v>
      </c>
      <c r="H19" s="4114">
        <f t="shared" si="2"/>
        <v>94.157059414800372</v>
      </c>
      <c r="I19" s="4114">
        <f t="shared" si="3"/>
        <v>97.132597759803119</v>
      </c>
      <c r="J19" s="4115">
        <f t="shared" si="4"/>
        <v>94.705183333333338</v>
      </c>
      <c r="K19" s="4116">
        <f>+'Plan mina PS'!D16</f>
        <v>0.47597611449782201</v>
      </c>
      <c r="L19" s="4115">
        <f>'Plan mina PS'!C16</f>
        <v>90.386457815506716</v>
      </c>
      <c r="M19" s="4114">
        <f>'Plan mina PS'!B16</f>
        <v>26.24</v>
      </c>
      <c r="N19" s="4113">
        <f t="shared" si="5"/>
        <v>2964.9098619848296</v>
      </c>
      <c r="O19" s="4113">
        <f t="shared" si="6"/>
        <v>32265.462644846066</v>
      </c>
      <c r="P19" s="4113">
        <f t="shared" si="7"/>
        <v>777.99234778481923</v>
      </c>
      <c r="Q19" s="4113">
        <f t="shared" si="8"/>
        <v>8279.8773540919665</v>
      </c>
      <c r="R19" s="4113">
        <f>+'Plan mina PS'!E16</f>
        <v>224.53003921483835</v>
      </c>
      <c r="S19" s="4115">
        <f t="shared" si="9"/>
        <v>92.444141521059976</v>
      </c>
      <c r="T19" s="4115">
        <f t="shared" si="10"/>
        <v>89.69351312540833</v>
      </c>
      <c r="U19" s="4117">
        <f t="shared" si="11"/>
        <v>82.916398208862972</v>
      </c>
      <c r="V19" s="4114">
        <v>50</v>
      </c>
      <c r="W19" s="4113">
        <f t="shared" si="12"/>
        <v>67.333575295721602</v>
      </c>
      <c r="X19" s="4113">
        <f t="shared" si="13"/>
        <v>541.97362175531225</v>
      </c>
      <c r="Y19" s="4113">
        <f t="shared" si="14"/>
        <v>50</v>
      </c>
      <c r="Z19" s="4113">
        <f t="shared" si="15"/>
        <v>33.666787647860801</v>
      </c>
      <c r="AA19" s="4113">
        <f t="shared" si="16"/>
        <v>270.98681087765613</v>
      </c>
      <c r="AB19" s="4113">
        <v>25</v>
      </c>
      <c r="AC19" s="4113">
        <f>+'ST Original'!AG18</f>
        <v>10</v>
      </c>
      <c r="AD19" s="4113">
        <f t="shared" si="17"/>
        <v>845.54065587318883</v>
      </c>
      <c r="AE19" s="4113">
        <f t="shared" si="18"/>
        <v>8746.9048255471262</v>
      </c>
      <c r="AF19" s="4099">
        <v>3700</v>
      </c>
      <c r="AG19" s="4118">
        <f t="shared" si="53"/>
        <v>26.24</v>
      </c>
      <c r="AH19" s="4099">
        <f t="shared" si="57"/>
        <v>970.88</v>
      </c>
      <c r="AI19" s="4099">
        <f t="shared" si="54"/>
        <v>4366</v>
      </c>
      <c r="AJ19" s="4118">
        <f t="shared" si="55"/>
        <v>24.147726997740527</v>
      </c>
      <c r="AK19" s="4099">
        <f t="shared" si="56"/>
        <v>1054.2897607213515</v>
      </c>
      <c r="AL19" s="4119">
        <f>+'R+P'!AP18</f>
        <v>2288.8483711480549</v>
      </c>
      <c r="AM19" s="4119">
        <f>+'R+P'!AQ18</f>
        <v>814.16511764128506</v>
      </c>
      <c r="AN19" s="4100">
        <f t="shared" si="52"/>
        <v>7534.866415662781</v>
      </c>
      <c r="AO19" s="4119">
        <f t="shared" si="19"/>
        <v>6161.88480411412</v>
      </c>
      <c r="AP19" s="4119">
        <f t="shared" si="20"/>
        <v>1784.1763934565304</v>
      </c>
      <c r="AQ19" s="4099">
        <f t="shared" si="21"/>
        <v>7956.1288521477773</v>
      </c>
      <c r="AR19" s="4120">
        <f t="shared" si="22"/>
        <v>94.157059414800372</v>
      </c>
      <c r="AS19" s="4118">
        <f t="shared" si="23"/>
        <v>98.057573027372229</v>
      </c>
      <c r="AT19" s="4118">
        <f t="shared" si="24"/>
        <v>98.057573027372229</v>
      </c>
      <c r="AU19" s="4118">
        <f t="shared" si="25"/>
        <v>86.356032189656645</v>
      </c>
      <c r="AV19" s="4121">
        <f>+'Plan mina PS'!AG16</f>
        <v>1.155647807230705</v>
      </c>
      <c r="AW19" s="4122">
        <f>'Plan mina PS'!T16</f>
        <v>37.915247537030346</v>
      </c>
      <c r="AX19" s="4123">
        <f t="shared" si="26"/>
        <v>1706.1861391663656</v>
      </c>
      <c r="AY19" s="4117">
        <f>+'Plan mina PS'!AJ16</f>
        <v>4.3071737188582793</v>
      </c>
      <c r="AZ19" s="4099">
        <f>'Plan mina PS'!V16</f>
        <v>189.07948158562573</v>
      </c>
      <c r="BA19" s="4118">
        <f>+('Plan mina PS'!P16*AN19/1000000)*0.8</f>
        <v>6.2833369304345759</v>
      </c>
      <c r="BB19" s="4118">
        <f>+'Plan mina PS'!W16</f>
        <v>39.150910417226292</v>
      </c>
      <c r="BC19" s="4113">
        <f>+'Plan mina PS'!Y16</f>
        <v>78.175957616856962</v>
      </c>
      <c r="BD19" s="4094">
        <f>+'MCP PS'!AU12*100</f>
        <v>61.722443735222996</v>
      </c>
      <c r="BE19" s="4124">
        <f t="shared" si="27"/>
        <v>46092.791666666664</v>
      </c>
      <c r="BF19" s="4120">
        <f t="shared" si="28"/>
        <v>94.705183333333324</v>
      </c>
      <c r="BG19" s="4120">
        <f t="shared" si="29"/>
        <v>98.057573027372229</v>
      </c>
      <c r="BH19" s="4118">
        <f t="shared" si="30"/>
        <v>98.057573027372229</v>
      </c>
      <c r="BI19" s="4118">
        <f t="shared" si="31"/>
        <v>86.356032189656645</v>
      </c>
      <c r="BJ19" s="4118">
        <f t="shared" si="32"/>
        <v>97.132597759803119</v>
      </c>
      <c r="BK19" s="4118">
        <f t="shared" si="33"/>
        <v>23.533817526569337</v>
      </c>
      <c r="BL19" s="4118">
        <f t="shared" si="34"/>
        <v>23.533817526569337</v>
      </c>
      <c r="BM19" s="4118">
        <f t="shared" si="35"/>
        <v>20.725447725517597</v>
      </c>
      <c r="BN19" s="4118">
        <f t="shared" si="36"/>
        <v>23.311823462352748</v>
      </c>
      <c r="BO19" s="4120">
        <f t="shared" si="37"/>
        <v>0.12676900000000002</v>
      </c>
      <c r="BP19" s="4120">
        <f t="shared" si="38"/>
        <v>0.12676900000000002</v>
      </c>
      <c r="BQ19" s="4120">
        <f t="shared" si="39"/>
        <v>0.89044900000000005</v>
      </c>
      <c r="BR19" s="4120">
        <f t="shared" si="40"/>
        <v>0.12676900000000002</v>
      </c>
      <c r="BS19" s="4151">
        <v>0</v>
      </c>
      <c r="BT19" s="4125">
        <f>+'ST Original'!DM18</f>
        <v>0</v>
      </c>
      <c r="BU19" s="4125">
        <f>+'ST Original'!DN18</f>
        <v>0</v>
      </c>
      <c r="BV19" s="4125">
        <f>+'ST Original'!DO18</f>
        <v>0</v>
      </c>
      <c r="BW19" s="4125">
        <f>+'ST Original'!DP18</f>
        <v>0</v>
      </c>
      <c r="BX19" s="4125">
        <f>+'ST Original'!DQ18</f>
        <v>0</v>
      </c>
      <c r="BY19" s="4125">
        <f>+'ST Original'!DR18</f>
        <v>0</v>
      </c>
      <c r="BZ19" s="4125">
        <f>+'ST Original'!DS18</f>
        <v>0</v>
      </c>
      <c r="CA19" s="4125">
        <f>+'ST Original'!DT18</f>
        <v>0</v>
      </c>
      <c r="CB19" s="4125">
        <v>6</v>
      </c>
      <c r="CC19" s="4148">
        <f>+'ST Original'!DV18</f>
        <v>0</v>
      </c>
      <c r="CD19" s="4109">
        <f>+'ST Original'!DW18</f>
        <v>7.2602333333333338E-2</v>
      </c>
      <c r="CE19" s="4109">
        <f>+'ST Original'!DX18</f>
        <v>7.2602333333333338E-2</v>
      </c>
      <c r="CF19" s="4109">
        <f>+'ST Original'!DY18</f>
        <v>7.2602333333333338E-2</v>
      </c>
      <c r="CG19" s="4109">
        <f>+'ST Original'!DZ18</f>
        <v>7.2602333333333338E-2</v>
      </c>
      <c r="CH19" s="4109">
        <f>+'ST Original'!EA18</f>
        <v>0</v>
      </c>
      <c r="CI19" s="4109">
        <f>+'ST Original'!EB18</f>
        <v>0</v>
      </c>
      <c r="CJ19" s="4109">
        <f>+'ST Original'!EC18</f>
        <v>0</v>
      </c>
      <c r="CK19" s="4109">
        <f>+'ST Original'!ED18</f>
        <v>0</v>
      </c>
      <c r="CL19" s="4109">
        <f>+'ST Original'!EE18</f>
        <v>0.05</v>
      </c>
      <c r="CM19" s="4109">
        <f>+'ST Original'!EF18</f>
        <v>0.05</v>
      </c>
      <c r="CN19" s="4109">
        <f>+'ST Original'!EG18</f>
        <v>0.05</v>
      </c>
      <c r="CO19" s="4109">
        <f>+'ST Original'!EH18</f>
        <v>0.05</v>
      </c>
      <c r="CP19" s="4109">
        <f>+'ST Original'!EI18</f>
        <v>4.1666666666666666E-3</v>
      </c>
      <c r="CQ19" s="4109">
        <f>+'ST Original'!EJ18</f>
        <v>4.1666666666666666E-3</v>
      </c>
      <c r="CR19" s="4109">
        <f>+'ST Original'!EK18</f>
        <v>4.1666666666666666E-3</v>
      </c>
      <c r="CS19" s="4109">
        <f>+'ST Original'!EL18</f>
        <v>4.1666666666666666E-3</v>
      </c>
      <c r="CT19" s="4105">
        <f>+'MCP PS'!I12</f>
        <v>1.195635356153079</v>
      </c>
      <c r="CY19" s="4124">
        <f t="shared" si="41"/>
        <v>46092.791666666664</v>
      </c>
      <c r="CZ19" s="4115">
        <f>+'Plan mina PS'!J16</f>
        <v>4.323310973940455E-2</v>
      </c>
      <c r="DA19" s="4115">
        <f t="shared" si="42"/>
        <v>1.7139775776763919</v>
      </c>
      <c r="DB19" s="4113">
        <f t="shared" si="43"/>
        <v>5081.7890232736036</v>
      </c>
      <c r="DC19" s="4099">
        <f t="shared" si="44"/>
        <v>5081.7890232736036</v>
      </c>
      <c r="DD19" s="4115">
        <f>+'Plan mina PS'!K16</f>
        <v>1.4080469161234808</v>
      </c>
      <c r="DE19" s="4115">
        <f t="shared" si="45"/>
        <v>63.551257687355729</v>
      </c>
      <c r="DF19" s="4113">
        <f t="shared" si="46"/>
        <v>188423.75065878022</v>
      </c>
      <c r="DG19" s="4113">
        <f t="shared" si="47"/>
        <v>188423.75065878022</v>
      </c>
      <c r="DH19" s="4114">
        <f>+'Plan mina PS'!T16</f>
        <v>37.915247537030346</v>
      </c>
      <c r="DI19" s="4113">
        <f t="shared" si="48"/>
        <v>1706.1861391663656</v>
      </c>
      <c r="DJ19" s="4123">
        <f>+'Plan mina PS'!AH53</f>
        <v>158.94552751557057</v>
      </c>
    </row>
    <row r="20" spans="1:114" s="4126" customFormat="1" ht="13.5" customHeight="1" thickBot="1">
      <c r="A20" s="4111"/>
      <c r="B20" s="4112">
        <f t="shared" si="0"/>
        <v>46093.791666666664</v>
      </c>
      <c r="C20" s="4113">
        <f>'Plan mina PS'!M54*1000</f>
        <v>204049.50835965283</v>
      </c>
      <c r="D20" s="4113">
        <f>'Plan mina PS'!L54*1000</f>
        <v>526049.50835965283</v>
      </c>
      <c r="E20" s="4113">
        <f>((('Plan mina PS'!N54*1000)))</f>
        <v>188000</v>
      </c>
      <c r="F20" s="4113">
        <f>+'Plan mina PS'!I54*1000</f>
        <v>42241.024113783184</v>
      </c>
      <c r="G20" s="4113">
        <f t="shared" si="1"/>
        <v>145758.97588621682</v>
      </c>
      <c r="H20" s="4114">
        <f t="shared" si="2"/>
        <v>98.057573027372243</v>
      </c>
      <c r="I20" s="4114">
        <f t="shared" si="3"/>
        <v>97.132597759803119</v>
      </c>
      <c r="J20" s="4115">
        <f t="shared" si="4"/>
        <v>97.88718333333334</v>
      </c>
      <c r="K20" s="4116">
        <f>+'Plan mina PS'!D17</f>
        <v>0.52</v>
      </c>
      <c r="L20" s="4115">
        <f>'Plan mina PS'!C17</f>
        <v>90.5</v>
      </c>
      <c r="M20" s="4114">
        <f>'Plan mina PS'!B17</f>
        <v>28.228913238434245</v>
      </c>
      <c r="N20" s="4113">
        <f t="shared" si="5"/>
        <v>3134.1199447785493</v>
      </c>
      <c r="O20" s="4113">
        <f t="shared" si="6"/>
        <v>35399.582589624617</v>
      </c>
      <c r="P20" s="4113">
        <f t="shared" si="7"/>
        <v>884.72800000000007</v>
      </c>
      <c r="Q20" s="4113">
        <f t="shared" si="8"/>
        <v>9164.6053540919675</v>
      </c>
      <c r="R20" s="4113">
        <f>+'Plan mina PS'!E17</f>
        <v>189.99041688101147</v>
      </c>
      <c r="S20" s="4115">
        <f t="shared" si="9"/>
        <v>91.858463650860941</v>
      </c>
      <c r="T20" s="4115">
        <f t="shared" si="10"/>
        <v>89.220250395569209</v>
      </c>
      <c r="U20" s="4117">
        <f t="shared" si="11"/>
        <v>81.95635127882106</v>
      </c>
      <c r="V20" s="4114">
        <v>50</v>
      </c>
      <c r="W20" s="4113">
        <f t="shared" si="12"/>
        <v>58.546664259116966</v>
      </c>
      <c r="X20" s="4113">
        <f t="shared" si="13"/>
        <v>600.52028601442919</v>
      </c>
      <c r="Y20" s="4113">
        <f t="shared" si="14"/>
        <v>50</v>
      </c>
      <c r="Z20" s="4113">
        <f t="shared" si="15"/>
        <v>29.273332129558483</v>
      </c>
      <c r="AA20" s="4113">
        <f t="shared" si="16"/>
        <v>300.26014300721459</v>
      </c>
      <c r="AB20" s="4113">
        <v>25</v>
      </c>
      <c r="AC20" s="4113">
        <f>+'ST Original'!AG19</f>
        <v>10</v>
      </c>
      <c r="AD20" s="4113">
        <f t="shared" si="17"/>
        <v>935.5474088943721</v>
      </c>
      <c r="AE20" s="4113">
        <f t="shared" si="18"/>
        <v>9682.4522344414981</v>
      </c>
      <c r="AF20" s="4099">
        <f>155*14</f>
        <v>2170</v>
      </c>
      <c r="AG20" s="4118">
        <f t="shared" si="53"/>
        <v>28.228913238434245</v>
      </c>
      <c r="AH20" s="4099">
        <f t="shared" si="57"/>
        <v>612.56741727402311</v>
      </c>
      <c r="AI20" s="4099">
        <f t="shared" si="54"/>
        <v>3700</v>
      </c>
      <c r="AJ20" s="4118">
        <f t="shared" si="55"/>
        <v>26.24</v>
      </c>
      <c r="AK20" s="4099">
        <f t="shared" si="56"/>
        <v>970.88</v>
      </c>
      <c r="AL20" s="4119">
        <f>+'R+P'!AP19</f>
        <v>2633.4796796001724</v>
      </c>
      <c r="AM20" s="4119">
        <f>+'R+P'!AQ19</f>
        <v>462.36295743923154</v>
      </c>
      <c r="AN20" s="4100">
        <f t="shared" si="52"/>
        <v>7833.333333333333</v>
      </c>
      <c r="AO20" s="4119">
        <f t="shared" si="19"/>
        <v>6193.5967558878647</v>
      </c>
      <c r="AP20" s="4119">
        <f t="shared" si="20"/>
        <v>1812</v>
      </c>
      <c r="AQ20" s="4099">
        <f t="shared" si="21"/>
        <v>8002.409576602724</v>
      </c>
      <c r="AR20" s="4120">
        <f>AVERAGE(AS20:AU20)</f>
        <v>98.057573027372243</v>
      </c>
      <c r="AS20" s="4118">
        <f t="shared" si="23"/>
        <v>98.057573027372229</v>
      </c>
      <c r="AT20" s="4118">
        <f t="shared" si="24"/>
        <v>98.057573027372229</v>
      </c>
      <c r="AU20" s="4118">
        <f t="shared" si="25"/>
        <v>98.057573027372229</v>
      </c>
      <c r="AV20" s="4121">
        <f>+'Plan mina PS'!AG17</f>
        <v>1.0829014899727001</v>
      </c>
      <c r="AW20" s="4122">
        <f>'Plan mina PS'!T17</f>
        <v>26.761256060835382</v>
      </c>
      <c r="AX20" s="4123">
        <f t="shared" si="26"/>
        <v>1204.2565227375921</v>
      </c>
      <c r="AY20" s="4117">
        <f>+'Plan mina PS'!AJ17</f>
        <v>3.8828335976657362</v>
      </c>
      <c r="AZ20" s="4099">
        <f>'Plan mina PS'!V17</f>
        <v>194.22678790212424</v>
      </c>
      <c r="BA20" s="4118">
        <f>+('Plan mina PS'!P17*AN20/1000000)*0.8</f>
        <v>7.2297452903880277</v>
      </c>
      <c r="BB20" s="4118">
        <f>+'Plan mina PS'!W17</f>
        <v>37.506814464923046</v>
      </c>
      <c r="BC20" s="4113">
        <f>+'Plan mina PS'!Y17</f>
        <v>77.618100653245762</v>
      </c>
      <c r="BD20" s="4094">
        <f>+'MCP PS'!AU13*100</f>
        <v>60.510115019781495</v>
      </c>
      <c r="BE20" s="4124">
        <f t="shared" si="27"/>
        <v>46093.791666666664</v>
      </c>
      <c r="BF20" s="4120">
        <f t="shared" si="28"/>
        <v>97.887183333333326</v>
      </c>
      <c r="BG20" s="4120">
        <f t="shared" si="29"/>
        <v>98.057573027372229</v>
      </c>
      <c r="BH20" s="4118">
        <f t="shared" si="30"/>
        <v>98.057573027372229</v>
      </c>
      <c r="BI20" s="4118">
        <f t="shared" si="31"/>
        <v>98.057573027372229</v>
      </c>
      <c r="BJ20" s="4118">
        <f t="shared" si="32"/>
        <v>97.132597759803119</v>
      </c>
      <c r="BK20" s="4118">
        <f t="shared" si="33"/>
        <v>23.533817526569337</v>
      </c>
      <c r="BL20" s="4118">
        <f t="shared" si="34"/>
        <v>23.533817526569337</v>
      </c>
      <c r="BM20" s="4118">
        <f t="shared" si="35"/>
        <v>23.533817526569337</v>
      </c>
      <c r="BN20" s="4118">
        <f t="shared" si="36"/>
        <v>23.311823462352748</v>
      </c>
      <c r="BO20" s="4120">
        <f t="shared" si="37"/>
        <v>0.12676900000000002</v>
      </c>
      <c r="BP20" s="4120">
        <f t="shared" si="38"/>
        <v>0.12676900000000002</v>
      </c>
      <c r="BQ20" s="4120">
        <f t="shared" si="39"/>
        <v>0.12676900000000002</v>
      </c>
      <c r="BR20" s="4120">
        <f t="shared" si="40"/>
        <v>0.12676900000000002</v>
      </c>
      <c r="BS20" s="4225">
        <v>0</v>
      </c>
      <c r="BT20" s="4226">
        <f>+'ST Original'!DM19</f>
        <v>0</v>
      </c>
      <c r="BU20" s="4226">
        <f>+'ST Original'!DN19</f>
        <v>0</v>
      </c>
      <c r="BV20" s="4226">
        <f>+'ST Original'!DO19</f>
        <v>0</v>
      </c>
      <c r="BW20" s="4226">
        <f>+'ST Original'!DP19</f>
        <v>0</v>
      </c>
      <c r="BX20" s="4226">
        <f>+'ST Original'!DQ19</f>
        <v>0</v>
      </c>
      <c r="BY20" s="4226">
        <f>+'ST Original'!DR19</f>
        <v>0</v>
      </c>
      <c r="BZ20" s="4226">
        <f>+'ST Original'!DS19</f>
        <v>0</v>
      </c>
      <c r="CA20" s="4226">
        <f>+'ST Original'!DT19</f>
        <v>0</v>
      </c>
      <c r="CB20" s="4226">
        <f>+'ST Original'!DU19</f>
        <v>0</v>
      </c>
      <c r="CC20" s="4227">
        <f>+'ST Original'!DV19</f>
        <v>0</v>
      </c>
      <c r="CD20" s="4109">
        <f>+'ST Original'!DW19</f>
        <v>7.2602333333333338E-2</v>
      </c>
      <c r="CE20" s="4109">
        <f>+'ST Original'!DX19</f>
        <v>7.2602333333333338E-2</v>
      </c>
      <c r="CF20" s="4109">
        <f>+'ST Original'!DY19</f>
        <v>7.2602333333333338E-2</v>
      </c>
      <c r="CG20" s="4109">
        <f>+'ST Original'!DZ19</f>
        <v>7.2602333333333338E-2</v>
      </c>
      <c r="CH20" s="4109">
        <f>+'ST Original'!EA19</f>
        <v>0</v>
      </c>
      <c r="CI20" s="4109">
        <f>+'ST Original'!EB19</f>
        <v>0</v>
      </c>
      <c r="CJ20" s="4109">
        <f>+'ST Original'!EC19</f>
        <v>0</v>
      </c>
      <c r="CK20" s="4109">
        <f>+'ST Original'!ED19</f>
        <v>0</v>
      </c>
      <c r="CL20" s="4109">
        <f>+'ST Original'!EE19</f>
        <v>0.05</v>
      </c>
      <c r="CM20" s="4109">
        <f>+'ST Original'!EF19</f>
        <v>0.05</v>
      </c>
      <c r="CN20" s="4109">
        <f>+'ST Original'!EG19</f>
        <v>0.05</v>
      </c>
      <c r="CO20" s="4109">
        <f>+'ST Original'!EH19</f>
        <v>0.05</v>
      </c>
      <c r="CP20" s="4109">
        <f>+'ST Original'!EI19</f>
        <v>4.1666666666666666E-3</v>
      </c>
      <c r="CQ20" s="4109">
        <f>+'ST Original'!EJ19</f>
        <v>4.1666666666666666E-3</v>
      </c>
      <c r="CR20" s="4109">
        <f>+'ST Original'!EK19</f>
        <v>4.1666666666666666E-3</v>
      </c>
      <c r="CS20" s="4109">
        <f>+'ST Original'!EL19</f>
        <v>4.1666666666666666E-3</v>
      </c>
      <c r="CT20" s="4105">
        <f>+'MCP PS'!I13</f>
        <v>1.2868955067015231</v>
      </c>
      <c r="CY20" s="4124">
        <f t="shared" si="41"/>
        <v>46093.791666666664</v>
      </c>
      <c r="CZ20" s="4115">
        <f>+'Plan mina PS'!J17</f>
        <v>3.5066238669912923E-2</v>
      </c>
      <c r="DA20" s="4115">
        <f t="shared" si="42"/>
        <v>1.3672400676950274</v>
      </c>
      <c r="DB20" s="4113">
        <f t="shared" si="43"/>
        <v>4285.0943654633593</v>
      </c>
      <c r="DC20" s="4099">
        <f t="shared" si="44"/>
        <v>4285.0943654633593</v>
      </c>
      <c r="DD20" s="4115">
        <f>+'Plan mina PS'!K17</f>
        <v>1.2472425396527844</v>
      </c>
      <c r="DE20" s="4115">
        <f t="shared" si="45"/>
        <v>55.36366992130408</v>
      </c>
      <c r="DF20" s="4113">
        <f t="shared" si="46"/>
        <v>173516.38211649537</v>
      </c>
      <c r="DG20" s="4113">
        <f t="shared" si="47"/>
        <v>173516.38211649537</v>
      </c>
      <c r="DH20" s="4114">
        <f>+'Plan mina PS'!T17</f>
        <v>26.761256060835382</v>
      </c>
      <c r="DI20" s="4113">
        <f t="shared" si="48"/>
        <v>1204.2565227375921</v>
      </c>
      <c r="DJ20" s="4123">
        <f>+'Plan mina PS'!AH54</f>
        <v>0</v>
      </c>
    </row>
    <row r="21" spans="1:114" s="4126" customFormat="1" ht="13.5" customHeight="1" thickBot="1">
      <c r="A21" s="4111"/>
      <c r="B21" s="4112">
        <f t="shared" si="0"/>
        <v>46094.791666666664</v>
      </c>
      <c r="C21" s="4113">
        <f>'Plan mina PS'!M55*1000</f>
        <v>225152.2586617237</v>
      </c>
      <c r="D21" s="4113">
        <f>'Plan mina PS'!L55*1000</f>
        <v>565521.30659859721</v>
      </c>
      <c r="E21" s="4113">
        <f>((('Plan mina PS'!N55*1000)))</f>
        <v>185680.46042277935</v>
      </c>
      <c r="F21" s="4113">
        <f>+'Plan mina PS'!I55*1000</f>
        <v>40465.076925794478</v>
      </c>
      <c r="G21" s="4113">
        <f t="shared" si="1"/>
        <v>145215.38349698487</v>
      </c>
      <c r="H21" s="4114">
        <f t="shared" si="2"/>
        <v>98.057573027372243</v>
      </c>
      <c r="I21" s="4114">
        <f t="shared" si="3"/>
        <v>97.132597759803119</v>
      </c>
      <c r="J21" s="4115">
        <f t="shared" si="4"/>
        <v>97.88718333333334</v>
      </c>
      <c r="K21" s="4116">
        <f>+'Plan mina PS'!D18</f>
        <v>0.446063956179379</v>
      </c>
      <c r="L21" s="4115">
        <f>'Plan mina PS'!C18</f>
        <v>90.766552690521692</v>
      </c>
      <c r="M21" s="4114">
        <f>'Plan mina PS'!B18</f>
        <v>29.605870561803197</v>
      </c>
      <c r="N21" s="4113">
        <f t="shared" si="5"/>
        <v>2539.2843814428315</v>
      </c>
      <c r="O21" s="4113">
        <f t="shared" si="6"/>
        <v>37938.866971067451</v>
      </c>
      <c r="P21" s="4113">
        <f t="shared" si="7"/>
        <v>751.77724716604962</v>
      </c>
      <c r="Q21" s="4113">
        <f t="shared" si="8"/>
        <v>9916.3826012580175</v>
      </c>
      <c r="R21" s="4113">
        <f>+'Plan mina PS'!E18</f>
        <v>243.1868053388686</v>
      </c>
      <c r="S21" s="4115">
        <f t="shared" si="9"/>
        <v>92.724015758233264</v>
      </c>
      <c r="T21" s="4115">
        <f t="shared" si="10"/>
        <v>89.91966823939832</v>
      </c>
      <c r="U21" s="4117">
        <f t="shared" si="11"/>
        <v>83.377127348050763</v>
      </c>
      <c r="V21" s="4114">
        <v>50</v>
      </c>
      <c r="W21" s="4113">
        <f t="shared" si="12"/>
        <v>75.297947048070696</v>
      </c>
      <c r="X21" s="4113">
        <f t="shared" si="13"/>
        <v>675.81823306249987</v>
      </c>
      <c r="Y21" s="4113">
        <f>AB21/(V21/100)</f>
        <v>80</v>
      </c>
      <c r="Z21" s="4113">
        <f t="shared" si="15"/>
        <v>37.648973524035348</v>
      </c>
      <c r="AA21" s="4113">
        <f t="shared" si="16"/>
        <v>337.90911653124994</v>
      </c>
      <c r="AB21" s="4113">
        <v>40</v>
      </c>
      <c r="AC21" s="4113">
        <f>+'ST Original'!AG20</f>
        <v>40</v>
      </c>
      <c r="AD21" s="4113">
        <f t="shared" si="17"/>
        <v>831.80836414868736</v>
      </c>
      <c r="AE21" s="4113">
        <f t="shared" si="18"/>
        <v>10514.260598590186</v>
      </c>
      <c r="AF21" s="4099">
        <v>3700</v>
      </c>
      <c r="AG21" s="4118">
        <f t="shared" si="53"/>
        <v>29.605870561803197</v>
      </c>
      <c r="AH21" s="4099">
        <f>AF21*AG21/100</f>
        <v>1095.4172107867184</v>
      </c>
      <c r="AI21" s="4099">
        <f t="shared" si="54"/>
        <v>2170</v>
      </c>
      <c r="AJ21" s="4118">
        <f t="shared" si="55"/>
        <v>28.228913238434245</v>
      </c>
      <c r="AK21" s="4099">
        <f t="shared" si="56"/>
        <v>612.56741727402311</v>
      </c>
      <c r="AL21" s="4119">
        <f>+'R+P'!AP20</f>
        <v>2743.5162145706936</v>
      </c>
      <c r="AM21" s="4119">
        <f>+'R+P'!AQ20</f>
        <v>707.22479698841528</v>
      </c>
      <c r="AN21" s="4100">
        <f t="shared" si="52"/>
        <v>7736.6858509491394</v>
      </c>
      <c r="AO21" s="4119">
        <f t="shared" si="19"/>
        <v>6170.4984043935419</v>
      </c>
      <c r="AP21" s="4119">
        <f t="shared" si="20"/>
        <v>1735.8177489265581</v>
      </c>
      <c r="AQ21" s="4099">
        <f t="shared" si="21"/>
        <v>7903.6760355066626</v>
      </c>
      <c r="AR21" s="4120">
        <f t="shared" si="22"/>
        <v>98.057573027372243</v>
      </c>
      <c r="AS21" s="4118">
        <f t="shared" si="23"/>
        <v>98.057573027372229</v>
      </c>
      <c r="AT21" s="4118">
        <f t="shared" si="24"/>
        <v>98.057573027372229</v>
      </c>
      <c r="AU21" s="4118">
        <f t="shared" si="25"/>
        <v>98.057573027372229</v>
      </c>
      <c r="AV21" s="4121">
        <f>+'Plan mina PS'!AG18</f>
        <v>1.4442344811928749</v>
      </c>
      <c r="AW21" s="4122">
        <f>'Plan mina PS'!T18</f>
        <v>15.685821590193346</v>
      </c>
      <c r="AX21" s="4123">
        <f t="shared" si="26"/>
        <v>705.86197155870059</v>
      </c>
      <c r="AY21" s="4117">
        <f>+'Plan mina PS'!AJ18</f>
        <v>4.2831743834189462</v>
      </c>
      <c r="AZ21" s="4099">
        <f>'Plan mina PS'!V18</f>
        <v>183.3107573973866</v>
      </c>
      <c r="BA21" s="4118">
        <f>+('Plan mina PS'!P18*AN21/1000000)*0.8</f>
        <v>2.4079315039375175</v>
      </c>
      <c r="BB21" s="4118">
        <f>+'Plan mina PS'!W18</f>
        <v>37.157252079141109</v>
      </c>
      <c r="BC21" s="4113">
        <f>+'Plan mina PS'!Y18</f>
        <v>89.601171984859292</v>
      </c>
      <c r="BD21" s="4094">
        <f>+'MCP PS'!AU14*100</f>
        <v>79.296924108032371</v>
      </c>
      <c r="BE21" s="4124">
        <f t="shared" si="27"/>
        <v>46094.791666666664</v>
      </c>
      <c r="BF21" s="4120">
        <f t="shared" si="28"/>
        <v>97.887183333333326</v>
      </c>
      <c r="BG21" s="4120">
        <f t="shared" si="29"/>
        <v>98.057573027372229</v>
      </c>
      <c r="BH21" s="4118">
        <f t="shared" si="30"/>
        <v>98.057573027372229</v>
      </c>
      <c r="BI21" s="4118">
        <f t="shared" si="31"/>
        <v>98.057573027372229</v>
      </c>
      <c r="BJ21" s="4118">
        <f t="shared" si="32"/>
        <v>97.132597759803119</v>
      </c>
      <c r="BK21" s="4118">
        <f t="shared" si="33"/>
        <v>23.533817526569337</v>
      </c>
      <c r="BL21" s="4118">
        <f t="shared" si="34"/>
        <v>23.533817526569337</v>
      </c>
      <c r="BM21" s="4118">
        <f t="shared" si="35"/>
        <v>23.533817526569337</v>
      </c>
      <c r="BN21" s="4118">
        <f t="shared" si="36"/>
        <v>23.311823462352748</v>
      </c>
      <c r="BO21" s="4120">
        <f t="shared" si="37"/>
        <v>0.12676900000000002</v>
      </c>
      <c r="BP21" s="4120">
        <f t="shared" si="38"/>
        <v>0.12676900000000002</v>
      </c>
      <c r="BQ21" s="4120">
        <f t="shared" si="39"/>
        <v>0.12676900000000002</v>
      </c>
      <c r="BR21" s="4120">
        <f t="shared" si="40"/>
        <v>0.12676900000000002</v>
      </c>
      <c r="BS21" s="4228">
        <f>+'ST Original'!DL20</f>
        <v>0</v>
      </c>
      <c r="BT21" s="4125">
        <f>+'ST Original'!DM20</f>
        <v>0</v>
      </c>
      <c r="BU21" s="4125">
        <f>+'ST Original'!DN20</f>
        <v>0</v>
      </c>
      <c r="BV21" s="4125">
        <f>+'ST Original'!DO20</f>
        <v>0</v>
      </c>
      <c r="BW21" s="4125">
        <f>+'ST Original'!DP20</f>
        <v>0</v>
      </c>
      <c r="BX21" s="4125">
        <f>+'ST Original'!DQ20</f>
        <v>0</v>
      </c>
      <c r="BY21" s="4125">
        <f>+'ST Original'!DR20</f>
        <v>0</v>
      </c>
      <c r="BZ21" s="4125">
        <f>+'ST Original'!DS20</f>
        <v>0</v>
      </c>
      <c r="CA21" s="4125">
        <f>+'ST Original'!DT20</f>
        <v>0</v>
      </c>
      <c r="CB21" s="4125">
        <f>+'ST Original'!DU20</f>
        <v>0</v>
      </c>
      <c r="CC21" s="4125">
        <f>+'ST Original'!DV20</f>
        <v>0</v>
      </c>
      <c r="CD21" s="4109">
        <f>+'ST Original'!DW20</f>
        <v>7.2602333333333338E-2</v>
      </c>
      <c r="CE21" s="4109">
        <f>+'ST Original'!DX20</f>
        <v>7.2602333333333338E-2</v>
      </c>
      <c r="CF21" s="4109">
        <f>+'ST Original'!DY20</f>
        <v>7.2602333333333338E-2</v>
      </c>
      <c r="CG21" s="4109">
        <f>+'ST Original'!DZ20</f>
        <v>7.2602333333333338E-2</v>
      </c>
      <c r="CH21" s="4109">
        <f>+'ST Original'!EA20</f>
        <v>0</v>
      </c>
      <c r="CI21" s="4109">
        <f>+'ST Original'!EB20</f>
        <v>0</v>
      </c>
      <c r="CJ21" s="4109">
        <f>+'ST Original'!EC20</f>
        <v>0</v>
      </c>
      <c r="CK21" s="4109">
        <f>+'ST Original'!ED20</f>
        <v>0</v>
      </c>
      <c r="CL21" s="4109">
        <f>+'ST Original'!EE20</f>
        <v>0.05</v>
      </c>
      <c r="CM21" s="4109">
        <f>+'ST Original'!EF20</f>
        <v>0.05</v>
      </c>
      <c r="CN21" s="4109">
        <f>+'ST Original'!EG20</f>
        <v>0.05</v>
      </c>
      <c r="CO21" s="4109">
        <f>+'ST Original'!EH20</f>
        <v>0.05</v>
      </c>
      <c r="CP21" s="4109">
        <f>+'ST Original'!EI20</f>
        <v>4.1666666666666666E-3</v>
      </c>
      <c r="CQ21" s="4109">
        <f>+'ST Original'!EJ20</f>
        <v>4.1666666666666666E-3</v>
      </c>
      <c r="CR21" s="4109">
        <f>+'ST Original'!EK20</f>
        <v>4.1666666666666666E-3</v>
      </c>
      <c r="CS21" s="4109">
        <f>+'ST Original'!EL20</f>
        <v>4.1666666666666666E-3</v>
      </c>
      <c r="CT21" s="4105">
        <f>+'MCP PS'!I14</f>
        <v>1.0547899691215425</v>
      </c>
      <c r="CY21" s="4124">
        <f t="shared" si="41"/>
        <v>46094.791666666664</v>
      </c>
      <c r="CZ21" s="4115">
        <f>+'Plan mina PS'!J18</f>
        <v>3.5991986526734535E-2</v>
      </c>
      <c r="DA21" s="4115">
        <f t="shared" si="42"/>
        <v>1.7107007159675427</v>
      </c>
      <c r="DB21" s="4113">
        <f t="shared" si="43"/>
        <v>4343.9556093794508</v>
      </c>
      <c r="DC21" s="4099">
        <f t="shared" si="44"/>
        <v>4343.9556093794508</v>
      </c>
      <c r="DD21" s="4115">
        <f>+'Plan mina PS'!K18</f>
        <v>1.2839065171203508</v>
      </c>
      <c r="DE21" s="4115">
        <f t="shared" si="45"/>
        <v>69.473629139722206</v>
      </c>
      <c r="DF21" s="4113">
        <f t="shared" si="46"/>
        <v>176413.3013966482</v>
      </c>
      <c r="DG21" s="4113">
        <f t="shared" si="47"/>
        <v>176413.3013966482</v>
      </c>
      <c r="DH21" s="4114">
        <f>+'Plan mina PS'!T18</f>
        <v>15.685821590193346</v>
      </c>
      <c r="DI21" s="4113">
        <f t="shared" si="48"/>
        <v>705.86197155870059</v>
      </c>
      <c r="DJ21" s="4123">
        <f>+'Plan mina PS'!AH55</f>
        <v>265.34841119658699</v>
      </c>
    </row>
    <row r="22" spans="1:114" s="4126" customFormat="1" ht="13.5" customHeight="1" thickBot="1">
      <c r="A22" s="4111"/>
      <c r="B22" s="4112">
        <f t="shared" si="0"/>
        <v>46095.791666666664</v>
      </c>
      <c r="C22" s="4113">
        <f>'Plan mina PS'!M56*1000</f>
        <v>175999.99999968239</v>
      </c>
      <c r="D22" s="4113">
        <f>'Plan mina PS'!L56*1000</f>
        <v>551809.84059890441</v>
      </c>
      <c r="E22" s="4113">
        <f>((('Plan mina PS'!N56*1000)))</f>
        <v>189711.46599937513</v>
      </c>
      <c r="F22" s="4113">
        <f>+'Plan mina PS'!I56*1000</f>
        <v>41092.616747439628</v>
      </c>
      <c r="G22" s="4113">
        <f t="shared" si="1"/>
        <v>148618.84925193549</v>
      </c>
      <c r="H22" s="4114">
        <f t="shared" si="2"/>
        <v>98.057573027372243</v>
      </c>
      <c r="I22" s="4114">
        <f t="shared" si="3"/>
        <v>97.132597759803119</v>
      </c>
      <c r="J22" s="4115">
        <f t="shared" si="4"/>
        <v>97.88718333333334</v>
      </c>
      <c r="K22" s="4116">
        <f>+'Plan mina PS'!D19</f>
        <v>0.50041368235040529</v>
      </c>
      <c r="L22" s="4115">
        <f>'Plan mina PS'!C19</f>
        <v>90.976700823012095</v>
      </c>
      <c r="M22" s="4114">
        <f>'Plan mina PS'!B19</f>
        <v>30.334338421893662</v>
      </c>
      <c r="N22" s="4113">
        <f t="shared" si="5"/>
        <v>2847.2028628946232</v>
      </c>
      <c r="O22" s="4113">
        <f t="shared" si="6"/>
        <v>40786.069833962072</v>
      </c>
      <c r="P22" s="4113">
        <f t="shared" si="7"/>
        <v>863.68015198830005</v>
      </c>
      <c r="Q22" s="4113">
        <f t="shared" si="8"/>
        <v>10780.062753246317</v>
      </c>
      <c r="R22" s="4113">
        <f>+'Plan mina PS'!E19</f>
        <v>243.36878613921388</v>
      </c>
      <c r="S22" s="4115">
        <f t="shared" si="9"/>
        <v>92.726638600601859</v>
      </c>
      <c r="T22" s="4115">
        <f t="shared" si="10"/>
        <v>89.921787652820711</v>
      </c>
      <c r="U22" s="4117">
        <f t="shared" si="11"/>
        <v>83.381451060031679</v>
      </c>
      <c r="V22" s="4114">
        <v>50</v>
      </c>
      <c r="W22" s="4113">
        <f t="shared" si="12"/>
        <v>76.994180425305046</v>
      </c>
      <c r="X22" s="4113">
        <f t="shared" si="13"/>
        <v>752.81241348780486</v>
      </c>
      <c r="Y22" s="4113">
        <f t="shared" si="14"/>
        <v>80</v>
      </c>
      <c r="Z22" s="4113">
        <f t="shared" si="15"/>
        <v>38.497090212652523</v>
      </c>
      <c r="AA22" s="4113">
        <f t="shared" si="16"/>
        <v>376.40620674390243</v>
      </c>
      <c r="AB22" s="4113">
        <v>40</v>
      </c>
      <c r="AC22" s="4113">
        <f>+'ST Original'!AG21</f>
        <v>40</v>
      </c>
      <c r="AD22" s="4113">
        <f t="shared" si="17"/>
        <v>941.90535541659187</v>
      </c>
      <c r="AE22" s="4113">
        <f t="shared" si="18"/>
        <v>11456.165954006778</v>
      </c>
      <c r="AF22" s="4099">
        <f>14*152</f>
        <v>2128</v>
      </c>
      <c r="AG22" s="4118">
        <f t="shared" si="53"/>
        <v>30.334338421893662</v>
      </c>
      <c r="AH22" s="4099">
        <f>AF22*AG22/100</f>
        <v>645.51472161789718</v>
      </c>
      <c r="AI22" s="4099">
        <f t="shared" si="54"/>
        <v>3700</v>
      </c>
      <c r="AJ22" s="4118">
        <f t="shared" si="55"/>
        <v>29.605870561803197</v>
      </c>
      <c r="AK22" s="4099">
        <f t="shared" si="56"/>
        <v>1095.4172107867184</v>
      </c>
      <c r="AL22" s="4119">
        <f>+'R+P'!AP21</f>
        <v>2833.296079094549</v>
      </c>
      <c r="AM22" s="4119">
        <f>+'R+P'!AQ21</f>
        <v>653.15151236348186</v>
      </c>
      <c r="AN22" s="4100">
        <f t="shared" si="52"/>
        <v>7904.64441664063</v>
      </c>
      <c r="AO22" s="4119">
        <f t="shared" si="19"/>
        <v>6315.1186195842201</v>
      </c>
      <c r="AP22" s="4119">
        <f t="shared" si="20"/>
        <v>1762.7371283847372</v>
      </c>
      <c r="AQ22" s="4099">
        <f t="shared" si="21"/>
        <v>8075.259852684796</v>
      </c>
      <c r="AR22" s="4120">
        <f t="shared" si="22"/>
        <v>98.057573027372243</v>
      </c>
      <c r="AS22" s="4118">
        <f t="shared" si="23"/>
        <v>98.057573027372229</v>
      </c>
      <c r="AT22" s="4118">
        <f t="shared" si="24"/>
        <v>98.057573027372229</v>
      </c>
      <c r="AU22" s="4118">
        <f t="shared" si="25"/>
        <v>98.057573027372229</v>
      </c>
      <c r="AV22" s="4121">
        <f>+'Plan mina PS'!AG19</f>
        <v>1.4731368744178415</v>
      </c>
      <c r="AW22" s="4122">
        <f>'Plan mina PS'!T19</f>
        <v>15.818806641556488</v>
      </c>
      <c r="AX22" s="4123">
        <f t="shared" si="26"/>
        <v>711.84629887004201</v>
      </c>
      <c r="AY22" s="4117">
        <f>+'Plan mina PS'!AJ19</f>
        <v>4.2966726255996157</v>
      </c>
      <c r="AZ22" s="4099">
        <f>'Plan mina PS'!V19</f>
        <v>187.13092538287614</v>
      </c>
      <c r="BA22" s="4118">
        <f>+('Plan mina PS'!P19*AN22/1000000)*0.8</f>
        <v>2.1475312663247053</v>
      </c>
      <c r="BB22" s="4118">
        <f>+'Plan mina PS'!W19</f>
        <v>38.120688222082215</v>
      </c>
      <c r="BC22" s="4113">
        <f>+'Plan mina PS'!Y19</f>
        <v>91.115987110162962</v>
      </c>
      <c r="BD22" s="4094">
        <f>+'MCP PS'!AU15*100</f>
        <v>80.819860193806818</v>
      </c>
      <c r="BE22" s="4124">
        <f t="shared" si="27"/>
        <v>46095.791666666664</v>
      </c>
      <c r="BF22" s="4120">
        <f t="shared" si="28"/>
        <v>97.887183333333326</v>
      </c>
      <c r="BG22" s="4120">
        <f t="shared" si="29"/>
        <v>98.057573027372229</v>
      </c>
      <c r="BH22" s="4118">
        <f t="shared" si="30"/>
        <v>98.057573027372229</v>
      </c>
      <c r="BI22" s="4118">
        <f t="shared" si="31"/>
        <v>98.057573027372229</v>
      </c>
      <c r="BJ22" s="4118">
        <f t="shared" si="32"/>
        <v>97.132597759803119</v>
      </c>
      <c r="BK22" s="4118">
        <f t="shared" si="33"/>
        <v>23.533817526569337</v>
      </c>
      <c r="BL22" s="4118">
        <f t="shared" si="34"/>
        <v>23.533817526569337</v>
      </c>
      <c r="BM22" s="4118">
        <f t="shared" si="35"/>
        <v>23.533817526569337</v>
      </c>
      <c r="BN22" s="4118">
        <f t="shared" si="36"/>
        <v>23.311823462352748</v>
      </c>
      <c r="BO22" s="4120">
        <f t="shared" si="37"/>
        <v>0.12676900000000002</v>
      </c>
      <c r="BP22" s="4120">
        <f t="shared" si="38"/>
        <v>0.12676900000000002</v>
      </c>
      <c r="BQ22" s="4120">
        <f t="shared" si="39"/>
        <v>0.12676900000000002</v>
      </c>
      <c r="BR22" s="4120">
        <f t="shared" si="40"/>
        <v>0.12676900000000002</v>
      </c>
      <c r="BS22" s="4125">
        <f>+'ST Original'!DL21</f>
        <v>0</v>
      </c>
      <c r="BT22" s="4125">
        <f>+'ST Original'!DM21</f>
        <v>0</v>
      </c>
      <c r="BU22" s="4125">
        <f>+'ST Original'!DN21</f>
        <v>0</v>
      </c>
      <c r="BV22" s="4125">
        <f>+'ST Original'!DO21</f>
        <v>0</v>
      </c>
      <c r="BW22" s="4125">
        <f>+'ST Original'!DP21</f>
        <v>0</v>
      </c>
      <c r="BX22" s="4125">
        <f>+'ST Original'!DQ21</f>
        <v>0</v>
      </c>
      <c r="BY22" s="4125">
        <f>+'ST Original'!DR21</f>
        <v>0</v>
      </c>
      <c r="BZ22" s="4125">
        <f>+'ST Original'!DS21</f>
        <v>0</v>
      </c>
      <c r="CA22" s="4125">
        <f>+'ST Original'!DT21</f>
        <v>0</v>
      </c>
      <c r="CB22" s="4125">
        <f>+'ST Original'!DU21</f>
        <v>0</v>
      </c>
      <c r="CC22" s="4125">
        <f>+'ST Original'!DV21</f>
        <v>0</v>
      </c>
      <c r="CD22" s="4109">
        <f>+'ST Original'!DW21</f>
        <v>7.2602333333333338E-2</v>
      </c>
      <c r="CE22" s="4109">
        <f>+'ST Original'!DX21</f>
        <v>7.2602333333333338E-2</v>
      </c>
      <c r="CF22" s="4109">
        <f>+'ST Original'!DY21</f>
        <v>7.2602333333333338E-2</v>
      </c>
      <c r="CG22" s="4109">
        <f>+'ST Original'!DZ21</f>
        <v>7.2602333333333338E-2</v>
      </c>
      <c r="CH22" s="4109">
        <f>+'ST Original'!EA21</f>
        <v>0</v>
      </c>
      <c r="CI22" s="4109">
        <f>+'ST Original'!EB21</f>
        <v>0</v>
      </c>
      <c r="CJ22" s="4109">
        <f>+'ST Original'!EC21</f>
        <v>0</v>
      </c>
      <c r="CK22" s="4109">
        <f>+'ST Original'!ED21</f>
        <v>0</v>
      </c>
      <c r="CL22" s="4109">
        <f>+'ST Original'!EE21</f>
        <v>0.05</v>
      </c>
      <c r="CM22" s="4109">
        <f>+'ST Original'!EF21</f>
        <v>0.05</v>
      </c>
      <c r="CN22" s="4109">
        <f>+'ST Original'!EG21</f>
        <v>0.05</v>
      </c>
      <c r="CO22" s="4109">
        <f>+'ST Original'!EH21</f>
        <v>0.05</v>
      </c>
      <c r="CP22" s="4109">
        <f>+'ST Original'!EI21</f>
        <v>4.1666666666666666E-3</v>
      </c>
      <c r="CQ22" s="4109">
        <f>+'ST Original'!EJ21</f>
        <v>4.1666666666666666E-3</v>
      </c>
      <c r="CR22" s="4109">
        <f>+'ST Original'!EK21</f>
        <v>4.1666666666666666E-3</v>
      </c>
      <c r="CS22" s="4109">
        <f>+'ST Original'!EL21</f>
        <v>4.1666666666666666E-3</v>
      </c>
      <c r="CT22" s="4105">
        <f>+'MCP PS'!I15</f>
        <v>1.0689935073926142</v>
      </c>
      <c r="CY22" s="4124">
        <f t="shared" si="41"/>
        <v>46095.791666666664</v>
      </c>
      <c r="CZ22" s="4115">
        <f>+'Plan mina PS'!J19</f>
        <v>4.3504106506726085E-2</v>
      </c>
      <c r="DA22" s="4115">
        <f t="shared" si="42"/>
        <v>1.8841643335156064</v>
      </c>
      <c r="DB22" s="4113">
        <f t="shared" si="43"/>
        <v>5364.5980845495742</v>
      </c>
      <c r="DC22" s="4099">
        <f t="shared" si="44"/>
        <v>5364.5980845495742</v>
      </c>
      <c r="DD22" s="4115">
        <f>+'Plan mina PS'!K19</f>
        <v>1.3205964351615505</v>
      </c>
      <c r="DE22" s="4115">
        <f t="shared" si="45"/>
        <v>65.114394846973696</v>
      </c>
      <c r="DF22" s="4113">
        <f t="shared" si="46"/>
        <v>185393.8914239544</v>
      </c>
      <c r="DG22" s="4113">
        <f t="shared" si="47"/>
        <v>185393.8914239544</v>
      </c>
      <c r="DH22" s="4114">
        <f>+'Plan mina PS'!T19</f>
        <v>15.818806641556488</v>
      </c>
      <c r="DI22" s="4113">
        <f t="shared" si="48"/>
        <v>711.84629887004201</v>
      </c>
      <c r="DJ22" s="4123">
        <f>+'Plan mina PS'!AH56</f>
        <v>274.96944349581167</v>
      </c>
    </row>
    <row r="23" spans="1:114" s="4174" customFormat="1" ht="13.5" customHeight="1" thickBot="1">
      <c r="A23" s="4154" t="s">
        <v>328</v>
      </c>
      <c r="B23" s="4155">
        <f t="shared" si="0"/>
        <v>46096.791666666664</v>
      </c>
      <c r="C23" s="4156">
        <f>'Plan mina PS'!M57*1000</f>
        <v>200000</v>
      </c>
      <c r="D23" s="4156">
        <f>'Plan mina PS'!L57*1000</f>
        <v>424104.79999999993</v>
      </c>
      <c r="E23" s="4156">
        <f>((('Plan mina PS'!N57*1000)))</f>
        <v>198000</v>
      </c>
      <c r="F23" s="4156">
        <f>+'Plan mina PS'!I57*1000</f>
        <v>41761.476953361962</v>
      </c>
      <c r="G23" s="4156">
        <f t="shared" si="1"/>
        <v>156238.52304663803</v>
      </c>
      <c r="H23" s="4157">
        <f t="shared" si="2"/>
        <v>98.057573027372243</v>
      </c>
      <c r="I23" s="4157">
        <f t="shared" si="3"/>
        <v>97.132597759803119</v>
      </c>
      <c r="J23" s="4158">
        <f t="shared" si="4"/>
        <v>97.88718333333334</v>
      </c>
      <c r="K23" s="4159">
        <f>+'Plan mina PS'!D20</f>
        <v>0.49</v>
      </c>
      <c r="L23" s="4158">
        <f>'Plan mina PS'!C20</f>
        <v>90</v>
      </c>
      <c r="M23" s="4157">
        <f>'Plan mina PS'!B20</f>
        <v>26</v>
      </c>
      <c r="N23" s="4156">
        <f t="shared" si="5"/>
        <v>3358.3846153846152</v>
      </c>
      <c r="O23" s="4156">
        <f t="shared" si="6"/>
        <v>44144.454449346689</v>
      </c>
      <c r="P23" s="4156">
        <f t="shared" si="7"/>
        <v>873.18</v>
      </c>
      <c r="Q23" s="4156">
        <f t="shared" si="8"/>
        <v>11653.242753246317</v>
      </c>
      <c r="R23" s="4156">
        <f>+'Plan mina PS'!E20</f>
        <v>131.51460559940301</v>
      </c>
      <c r="S23" s="4158">
        <f t="shared" si="9"/>
        <v>90.568651144127031</v>
      </c>
      <c r="T23" s="4158">
        <f>(IF(R23&gt;0,$P$2*LN(R23)+$P$3,""))*$Q$2</f>
        <v>85.532664643942454</v>
      </c>
      <c r="U23" s="4160">
        <f t="shared" si="11"/>
        <v>77.465780655648317</v>
      </c>
      <c r="V23" s="4157">
        <v>50</v>
      </c>
      <c r="W23" s="4156">
        <f t="shared" si="12"/>
        <v>40.344011097894708</v>
      </c>
      <c r="X23" s="4156">
        <f t="shared" si="13"/>
        <v>793.1564245856996</v>
      </c>
      <c r="Y23" s="4156">
        <f t="shared" si="14"/>
        <v>85.293281103751156</v>
      </c>
      <c r="Z23" s="4156">
        <f t="shared" si="15"/>
        <v>20.172005548947354</v>
      </c>
      <c r="AA23" s="4156">
        <f t="shared" si="16"/>
        <v>396.5782122928498</v>
      </c>
      <c r="AB23" s="4156">
        <v>42.646640551875578</v>
      </c>
      <c r="AC23" s="4156">
        <f>+'ST Original'!AG22</f>
        <v>42.646640551875578</v>
      </c>
      <c r="AD23" s="4156">
        <f t="shared" si="17"/>
        <v>898.18541086596633</v>
      </c>
      <c r="AE23" s="4156">
        <f t="shared" si="18"/>
        <v>12354.351364872744</v>
      </c>
      <c r="AF23" s="4161">
        <v>3700</v>
      </c>
      <c r="AG23" s="3943">
        <f t="shared" si="53"/>
        <v>26</v>
      </c>
      <c r="AH23" s="4161">
        <f t="shared" si="57"/>
        <v>962</v>
      </c>
      <c r="AI23" s="4161">
        <f t="shared" si="54"/>
        <v>2128</v>
      </c>
      <c r="AJ23" s="3943">
        <f t="shared" si="55"/>
        <v>30.334338421893662</v>
      </c>
      <c r="AK23" s="4161">
        <f t="shared" si="56"/>
        <v>645.51472161789718</v>
      </c>
      <c r="AL23" s="4163">
        <f>+'R+P'!AP22</f>
        <v>2719.0688165903798</v>
      </c>
      <c r="AM23" s="4163">
        <f>+'R+P'!AQ22</f>
        <v>851.59873156444053</v>
      </c>
      <c r="AN23" s="4164">
        <f t="shared" si="52"/>
        <v>8250</v>
      </c>
      <c r="AO23" s="4163">
        <f t="shared" si="19"/>
        <v>6638.8941305526405</v>
      </c>
      <c r="AP23" s="4163">
        <f t="shared" si="20"/>
        <v>1791.4290154437872</v>
      </c>
      <c r="AQ23" s="4161">
        <f t="shared" si="21"/>
        <v>8428.0696604645709</v>
      </c>
      <c r="AR23" s="4165">
        <f t="shared" si="22"/>
        <v>98.057573027372243</v>
      </c>
      <c r="AS23" s="4162">
        <f t="shared" si="23"/>
        <v>98.057573027372229</v>
      </c>
      <c r="AT23" s="4162">
        <f t="shared" si="24"/>
        <v>98.057573027372229</v>
      </c>
      <c r="AU23" s="4162">
        <f t="shared" si="25"/>
        <v>98.057573027372229</v>
      </c>
      <c r="AV23" s="4166">
        <f>+'Plan mina PS'!AG20</f>
        <v>1.2346846427715699</v>
      </c>
      <c r="AW23" s="4167">
        <f>'Plan mina PS'!T20</f>
        <v>22.041839820121375</v>
      </c>
      <c r="AX23" s="4168">
        <f t="shared" si="26"/>
        <v>991.88279190546189</v>
      </c>
      <c r="AY23" s="4160">
        <f>+'Plan mina PS'!AJ20</f>
        <v>4.2478607960457841</v>
      </c>
      <c r="AZ23" s="4161">
        <f>'Plan mina PS'!V20</f>
        <v>189.33540605349759</v>
      </c>
      <c r="BA23" s="4162">
        <f>+('Plan mina PS'!P20*AN23/1000000)*0.8</f>
        <v>3.0250493793769899</v>
      </c>
      <c r="BB23" s="4162">
        <f>+'Plan mina PS'!W20</f>
        <v>38.696424510724626</v>
      </c>
      <c r="BC23" s="4156">
        <f>+'Plan mina PS'!Y20</f>
        <v>86.687772850935204</v>
      </c>
      <c r="BD23" s="4169">
        <f>+'MCP PS'!AU16*100</f>
        <v>70.711683842647346</v>
      </c>
      <c r="BE23" s="4170">
        <f t="shared" si="27"/>
        <v>46096.791666666664</v>
      </c>
      <c r="BF23" s="4165">
        <f t="shared" si="28"/>
        <v>97.887183333333326</v>
      </c>
      <c r="BG23" s="4165">
        <f t="shared" si="29"/>
        <v>98.057573027372229</v>
      </c>
      <c r="BH23" s="4162">
        <f t="shared" si="30"/>
        <v>98.057573027372229</v>
      </c>
      <c r="BI23" s="4162">
        <f t="shared" si="31"/>
        <v>98.057573027372229</v>
      </c>
      <c r="BJ23" s="4162">
        <f t="shared" si="32"/>
        <v>97.132597759803119</v>
      </c>
      <c r="BK23" s="4162">
        <f t="shared" si="33"/>
        <v>23.533817526569337</v>
      </c>
      <c r="BL23" s="4162">
        <f t="shared" si="34"/>
        <v>23.533817526569337</v>
      </c>
      <c r="BM23" s="4162">
        <f t="shared" si="35"/>
        <v>23.533817526569337</v>
      </c>
      <c r="BN23" s="4162">
        <f t="shared" si="36"/>
        <v>23.311823462352748</v>
      </c>
      <c r="BO23" s="4165">
        <f t="shared" si="37"/>
        <v>0.12676900000000002</v>
      </c>
      <c r="BP23" s="4165">
        <f t="shared" si="38"/>
        <v>0.12676900000000002</v>
      </c>
      <c r="BQ23" s="4165">
        <f t="shared" si="39"/>
        <v>0.12676900000000002</v>
      </c>
      <c r="BR23" s="4165">
        <f t="shared" si="40"/>
        <v>0.12676900000000002</v>
      </c>
      <c r="BS23" s="4171">
        <f>+'ST Original'!DL22</f>
        <v>0</v>
      </c>
      <c r="BT23" s="4171">
        <f>+'ST Original'!DM22</f>
        <v>0</v>
      </c>
      <c r="BU23" s="4171">
        <f>+'ST Original'!DN22</f>
        <v>0</v>
      </c>
      <c r="BV23" s="4171">
        <f>+'ST Original'!DO22</f>
        <v>0</v>
      </c>
      <c r="BW23" s="4171">
        <f>+'ST Original'!DP22</f>
        <v>0</v>
      </c>
      <c r="BX23" s="4171">
        <f>+'ST Original'!DQ22</f>
        <v>0</v>
      </c>
      <c r="BY23" s="4171">
        <f>+'ST Original'!DR22</f>
        <v>0</v>
      </c>
      <c r="BZ23" s="4171">
        <f>+'ST Original'!DS22</f>
        <v>0</v>
      </c>
      <c r="CA23" s="4171">
        <f>+'ST Original'!DT22</f>
        <v>0</v>
      </c>
      <c r="CB23" s="4171">
        <f>+'ST Original'!DU22</f>
        <v>0</v>
      </c>
      <c r="CC23" s="4171">
        <f>+'ST Original'!DV22</f>
        <v>0</v>
      </c>
      <c r="CD23" s="4172">
        <f>+'ST Original'!DW22</f>
        <v>7.2602333333333338E-2</v>
      </c>
      <c r="CE23" s="4172">
        <f>+'ST Original'!DX22</f>
        <v>7.2602333333333338E-2</v>
      </c>
      <c r="CF23" s="4172">
        <f>+'ST Original'!DY22</f>
        <v>7.2602333333333338E-2</v>
      </c>
      <c r="CG23" s="4172">
        <f>+'ST Original'!DZ22</f>
        <v>7.2602333333333338E-2</v>
      </c>
      <c r="CH23" s="4172">
        <f>+'ST Original'!EA22</f>
        <v>0</v>
      </c>
      <c r="CI23" s="4172">
        <f>+'ST Original'!EB22</f>
        <v>0</v>
      </c>
      <c r="CJ23" s="4172">
        <f>+'ST Original'!EC22</f>
        <v>0</v>
      </c>
      <c r="CK23" s="4172">
        <f>+'ST Original'!ED22</f>
        <v>0</v>
      </c>
      <c r="CL23" s="4172">
        <f>+'ST Original'!EE22</f>
        <v>0.05</v>
      </c>
      <c r="CM23" s="4172">
        <f>+'ST Original'!EF22</f>
        <v>0.05</v>
      </c>
      <c r="CN23" s="4172">
        <f>+'ST Original'!EG22</f>
        <v>0.05</v>
      </c>
      <c r="CO23" s="4172">
        <f>+'ST Original'!EH22</f>
        <v>0.05</v>
      </c>
      <c r="CP23" s="4172">
        <f>+'ST Original'!EI22</f>
        <v>4.1666666666666666E-3</v>
      </c>
      <c r="CQ23" s="4172">
        <f>+'ST Original'!EJ22</f>
        <v>4.1666666666666666E-3</v>
      </c>
      <c r="CR23" s="4172">
        <f>+'ST Original'!EK22</f>
        <v>4.1666666666666666E-3</v>
      </c>
      <c r="CS23" s="4172">
        <f>+'ST Original'!EL22</f>
        <v>4.1666666666666666E-3</v>
      </c>
      <c r="CT23" s="4173">
        <f>+'MCP PS'!I16</f>
        <v>1.1806997818525595</v>
      </c>
      <c r="CY23" s="4170">
        <f t="shared" si="41"/>
        <v>46096.791666666664</v>
      </c>
      <c r="CZ23" s="4158">
        <f>+'Plan mina PS'!J20</f>
        <v>5.4515360217680914E-2</v>
      </c>
      <c r="DA23" s="4158">
        <f t="shared" si="42"/>
        <v>2.0891373870267742</v>
      </c>
      <c r="DB23" s="4156">
        <f t="shared" si="43"/>
        <v>7016.1268600155336</v>
      </c>
      <c r="DC23" s="4161">
        <f t="shared" si="44"/>
        <v>7016.1268600155336</v>
      </c>
      <c r="DD23" s="4158">
        <f>+'Plan mina PS'!K20</f>
        <v>1.4552867623364012</v>
      </c>
      <c r="DE23" s="4158">
        <f t="shared" si="45"/>
        <v>63.49142246565161</v>
      </c>
      <c r="DF23" s="4156">
        <f t="shared" si="46"/>
        <v>213228.6164175295</v>
      </c>
      <c r="DG23" s="4156">
        <f t="shared" si="47"/>
        <v>213228.6164175295</v>
      </c>
      <c r="DH23" s="4157">
        <f>+'Plan mina PS'!T20</f>
        <v>22.041839820121375</v>
      </c>
      <c r="DI23" s="4156">
        <f t="shared" si="48"/>
        <v>991.88279190546189</v>
      </c>
      <c r="DJ23" s="4168">
        <f>+'Plan mina PS'!AH57</f>
        <v>100.96882965629493</v>
      </c>
    </row>
    <row r="24" spans="1:114" s="4192" customFormat="1" ht="13.5" customHeight="1" thickBot="1">
      <c r="A24" s="4175"/>
      <c r="B24" s="4176">
        <f t="shared" si="0"/>
        <v>46097.791666666664</v>
      </c>
      <c r="C24" s="4177">
        <f>'Plan mina PS'!M58*1000</f>
        <v>235000</v>
      </c>
      <c r="D24" s="4177">
        <f>'Plan mina PS'!L58*1000</f>
        <v>452443.6</v>
      </c>
      <c r="E24" s="4177">
        <f>((('Plan mina PS'!N58*1000)))</f>
        <v>202000</v>
      </c>
      <c r="F24" s="4177">
        <f>+'Plan mina PS'!I58*1000</f>
        <v>41729.478901435563</v>
      </c>
      <c r="G24" s="4177">
        <f t="shared" si="1"/>
        <v>160270.52109856444</v>
      </c>
      <c r="H24" s="4178">
        <f t="shared" si="2"/>
        <v>94.157059414800372</v>
      </c>
      <c r="I24" s="4178">
        <f t="shared" si="3"/>
        <v>97.132597759803119</v>
      </c>
      <c r="J24" s="4179">
        <f t="shared" si="4"/>
        <v>94.705183333333338</v>
      </c>
      <c r="K24" s="4180">
        <f>+'Plan mina PS'!D21</f>
        <v>0.51</v>
      </c>
      <c r="L24" s="4179">
        <f>'Plan mina PS'!C21</f>
        <v>91.100106262090762</v>
      </c>
      <c r="M24" s="4178">
        <f>'Plan mina PS'!B21</f>
        <v>27</v>
      </c>
      <c r="N24" s="4177">
        <f t="shared" si="5"/>
        <v>3475.9751656002195</v>
      </c>
      <c r="O24" s="4177">
        <f t="shared" si="6"/>
        <v>47620.429614946908</v>
      </c>
      <c r="P24" s="4177">
        <f t="shared" si="7"/>
        <v>938.51329471205929</v>
      </c>
      <c r="Q24" s="4177">
        <f t="shared" si="8"/>
        <v>12591.756047958377</v>
      </c>
      <c r="R24" s="4177">
        <f>+'Plan mina PS'!E21</f>
        <v>142.22973282070376</v>
      </c>
      <c r="S24" s="4179">
        <f t="shared" si="9"/>
        <v>90.843284449373954</v>
      </c>
      <c r="T24" s="4179">
        <f t="shared" ref="T24:T28" si="58">(IF(R24&gt;0,$P$2*LN(R24)+$P$3,""))*$Q$2</f>
        <v>85.747927167811909</v>
      </c>
      <c r="U24" s="4181">
        <f t="shared" si="11"/>
        <v>77.896233386497386</v>
      </c>
      <c r="V24" s="4178">
        <v>50</v>
      </c>
      <c r="W24" s="4177">
        <f t="shared" si="12"/>
        <v>44.759808267694865</v>
      </c>
      <c r="X24" s="4177">
        <f t="shared" si="13"/>
        <v>837.91623285339449</v>
      </c>
      <c r="Y24" s="4177">
        <f t="shared" si="14"/>
        <v>49.812127089768964</v>
      </c>
      <c r="Z24" s="4177">
        <f t="shared" si="15"/>
        <v>22.379904133847432</v>
      </c>
      <c r="AA24" s="4177">
        <f t="shared" si="16"/>
        <v>418.95811642669725</v>
      </c>
      <c r="AB24" s="4177">
        <v>24.906063544884482</v>
      </c>
      <c r="AC24" s="4177">
        <f>+'ST Original'!AG23</f>
        <v>24.906063544884482</v>
      </c>
      <c r="AD24" s="4177">
        <f t="shared" si="17"/>
        <v>967.40473488660461</v>
      </c>
      <c r="AE24" s="4177">
        <f t="shared" si="18"/>
        <v>13321.756099759348</v>
      </c>
      <c r="AF24" s="4182">
        <v>3700</v>
      </c>
      <c r="AG24" s="3943">
        <f t="shared" si="53"/>
        <v>27</v>
      </c>
      <c r="AH24" s="4182">
        <f t="shared" si="57"/>
        <v>999</v>
      </c>
      <c r="AI24" s="4182">
        <f t="shared" si="54"/>
        <v>3700</v>
      </c>
      <c r="AJ24" s="3943">
        <f t="shared" si="55"/>
        <v>26</v>
      </c>
      <c r="AK24" s="4182">
        <f t="shared" si="56"/>
        <v>962</v>
      </c>
      <c r="AL24" s="4184">
        <f>+'R+P'!AP23</f>
        <v>2815.5924899650608</v>
      </c>
      <c r="AM24" s="4184">
        <f>+'R+P'!AQ23</f>
        <v>731.2767259620806</v>
      </c>
      <c r="AN24" s="4164">
        <f t="shared" si="52"/>
        <v>8416.6666666666661</v>
      </c>
      <c r="AO24" s="4184">
        <f t="shared" si="19"/>
        <v>7092.3395660518663</v>
      </c>
      <c r="AP24" s="4184">
        <f t="shared" si="20"/>
        <v>1790.0564050180915</v>
      </c>
      <c r="AQ24" s="4182">
        <f t="shared" si="21"/>
        <v>8887.2291572918148</v>
      </c>
      <c r="AR24" s="4185">
        <f t="shared" si="22"/>
        <v>94.157059414800372</v>
      </c>
      <c r="AS24" s="4183">
        <f t="shared" si="23"/>
        <v>98.057573027372229</v>
      </c>
      <c r="AT24" s="4183">
        <f t="shared" si="24"/>
        <v>98.057573027372229</v>
      </c>
      <c r="AU24" s="4183">
        <f t="shared" si="25"/>
        <v>86.356032189656645</v>
      </c>
      <c r="AV24" s="4186">
        <f>+'Plan mina PS'!AG21</f>
        <v>1.298686382949463</v>
      </c>
      <c r="AW24" s="4187">
        <f>'Plan mina PS'!T21</f>
        <v>18.016519501980184</v>
      </c>
      <c r="AX24" s="4188">
        <f t="shared" si="26"/>
        <v>810.74337758910826</v>
      </c>
      <c r="AY24" s="4181">
        <f>+'Plan mina PS'!AJ21</f>
        <v>4.2823626573462237</v>
      </c>
      <c r="AZ24" s="4182">
        <f>'Plan mina PS'!V21</f>
        <v>188.12976459168951</v>
      </c>
      <c r="BA24" s="4183">
        <f>+('Plan mina PS'!P21*AN24/1000000)*0.8</f>
        <v>2.2490415037050489</v>
      </c>
      <c r="BB24" s="4183">
        <f>+'Plan mina PS'!W21</f>
        <v>38.914802490746702</v>
      </c>
      <c r="BC24" s="4177">
        <f>+'Plan mina PS'!Y21</f>
        <v>89.777080623681684</v>
      </c>
      <c r="BD24" s="4169">
        <f>+'MCP PS'!AU17*100</f>
        <v>76.327861008084128</v>
      </c>
      <c r="BE24" s="4189">
        <f t="shared" si="27"/>
        <v>46097.791666666664</v>
      </c>
      <c r="BF24" s="4185">
        <f t="shared" si="28"/>
        <v>94.705183333333324</v>
      </c>
      <c r="BG24" s="4185">
        <f t="shared" si="29"/>
        <v>98.057573027372229</v>
      </c>
      <c r="BH24" s="4183">
        <f t="shared" si="30"/>
        <v>98.057573027372229</v>
      </c>
      <c r="BI24" s="4183">
        <f t="shared" si="31"/>
        <v>86.356032189656645</v>
      </c>
      <c r="BJ24" s="4183">
        <f t="shared" si="32"/>
        <v>97.132597759803119</v>
      </c>
      <c r="BK24" s="4183">
        <f t="shared" si="33"/>
        <v>23.533817526569337</v>
      </c>
      <c r="BL24" s="4183">
        <f t="shared" si="34"/>
        <v>23.533817526569337</v>
      </c>
      <c r="BM24" s="4183">
        <f t="shared" si="35"/>
        <v>20.725447725517597</v>
      </c>
      <c r="BN24" s="4183">
        <f t="shared" si="36"/>
        <v>23.311823462352748</v>
      </c>
      <c r="BO24" s="4185">
        <f t="shared" si="37"/>
        <v>0.12676900000000002</v>
      </c>
      <c r="BP24" s="4185">
        <f t="shared" si="38"/>
        <v>0.12676900000000002</v>
      </c>
      <c r="BQ24" s="4185">
        <f t="shared" si="39"/>
        <v>0.89044900000000005</v>
      </c>
      <c r="BR24" s="4185">
        <f t="shared" si="40"/>
        <v>0.12676900000000002</v>
      </c>
      <c r="BS24" s="4190">
        <f>+'ST Original'!DL23</f>
        <v>0</v>
      </c>
      <c r="BT24" s="4190">
        <f>+'ST Original'!DM23</f>
        <v>0</v>
      </c>
      <c r="BU24" s="4190">
        <v>0</v>
      </c>
      <c r="BV24" s="4190">
        <f>+'ST Original'!DO23</f>
        <v>0</v>
      </c>
      <c r="BW24" s="4190">
        <f>+'ST Original'!DP23</f>
        <v>0</v>
      </c>
      <c r="BX24" s="4190">
        <f>+'ST Original'!DQ23</f>
        <v>0</v>
      </c>
      <c r="BY24" s="4190">
        <f>+'ST Original'!DR23</f>
        <v>0</v>
      </c>
      <c r="BZ24" s="4190">
        <f>+'ST Original'!DS23</f>
        <v>0</v>
      </c>
      <c r="CA24" s="4190">
        <f>+'ST Original'!DT23</f>
        <v>0</v>
      </c>
      <c r="CB24" s="4171">
        <v>6</v>
      </c>
      <c r="CC24" s="4190">
        <f>+'ST Original'!DV23</f>
        <v>0</v>
      </c>
      <c r="CD24" s="4191">
        <f>+'ST Original'!DW23</f>
        <v>7.2602333333333338E-2</v>
      </c>
      <c r="CE24" s="4191">
        <f>+'ST Original'!DX23</f>
        <v>7.2602333333333338E-2</v>
      </c>
      <c r="CF24" s="4191">
        <f>+'ST Original'!DY23</f>
        <v>7.2602333333333338E-2</v>
      </c>
      <c r="CG24" s="4191">
        <f>+'ST Original'!DZ23</f>
        <v>7.2602333333333338E-2</v>
      </c>
      <c r="CH24" s="4191">
        <f>+'ST Original'!EA23</f>
        <v>0</v>
      </c>
      <c r="CI24" s="4191">
        <f>+'ST Original'!EB23</f>
        <v>0</v>
      </c>
      <c r="CJ24" s="4191">
        <f>+'ST Original'!EC23</f>
        <v>0</v>
      </c>
      <c r="CK24" s="4191">
        <f>+'ST Original'!ED23</f>
        <v>0</v>
      </c>
      <c r="CL24" s="4191">
        <f>+'ST Original'!EE23</f>
        <v>0.05</v>
      </c>
      <c r="CM24" s="4191">
        <f>+'ST Original'!EF23</f>
        <v>0.05</v>
      </c>
      <c r="CN24" s="4191">
        <f>+'ST Original'!EG23</f>
        <v>0.05</v>
      </c>
      <c r="CO24" s="4191">
        <f>+'ST Original'!EH23</f>
        <v>0.05</v>
      </c>
      <c r="CP24" s="4191">
        <f>+'ST Original'!EI23</f>
        <v>4.1666666666666666E-3</v>
      </c>
      <c r="CQ24" s="4191">
        <f>+'ST Original'!EJ23</f>
        <v>4.1666666666666666E-3</v>
      </c>
      <c r="CR24" s="4191">
        <f>+'ST Original'!EK23</f>
        <v>4.1666666666666666E-3</v>
      </c>
      <c r="CS24" s="4191">
        <f>+'ST Original'!EL23</f>
        <v>4.1666666666666666E-3</v>
      </c>
      <c r="CT24" s="4173">
        <f>+'MCP PS'!I17</f>
        <v>1.1087467755542086</v>
      </c>
      <c r="CY24" s="4189">
        <f t="shared" si="41"/>
        <v>46097.791666666664</v>
      </c>
      <c r="CZ24" s="4179">
        <f>+'Plan mina PS'!J21</f>
        <v>6.4020605153275026E-2</v>
      </c>
      <c r="DA24" s="4179">
        <f t="shared" si="42"/>
        <v>2.4182869716140529</v>
      </c>
      <c r="DB24" s="4177">
        <f t="shared" si="43"/>
        <v>8405.9054566250106</v>
      </c>
      <c r="DC24" s="4182">
        <f t="shared" si="44"/>
        <v>8405.9054566250106</v>
      </c>
      <c r="DD24" s="4179">
        <f>+'Plan mina PS'!K21</f>
        <v>1.6264310506024897</v>
      </c>
      <c r="DE24" s="4179">
        <f t="shared" si="45"/>
        <v>69.942649720306392</v>
      </c>
      <c r="DF24" s="4177">
        <f t="shared" si="46"/>
        <v>243118.91344406016</v>
      </c>
      <c r="DG24" s="4177">
        <f t="shared" si="47"/>
        <v>243118.91344406016</v>
      </c>
      <c r="DH24" s="4178">
        <f>+'Plan mina PS'!T21</f>
        <v>18.016519501980184</v>
      </c>
      <c r="DI24" s="4177">
        <f t="shared" si="48"/>
        <v>810.74337758910826</v>
      </c>
      <c r="DJ24" s="4188">
        <f>+'Plan mina PS'!AH58</f>
        <v>0</v>
      </c>
    </row>
    <row r="25" spans="1:114" s="4207" customFormat="1" ht="13.5" customHeight="1" thickBot="1">
      <c r="A25" s="4193"/>
      <c r="B25" s="4194">
        <f t="shared" si="0"/>
        <v>46098.791666666664</v>
      </c>
      <c r="C25" s="4169">
        <f>'Plan mina PS'!M59*1000</f>
        <v>185000</v>
      </c>
      <c r="D25" s="4169">
        <f>'Plan mina PS'!L59*1000</f>
        <v>437000</v>
      </c>
      <c r="E25" s="4169">
        <f>((('Plan mina PS'!N59*1000)))</f>
        <v>207000</v>
      </c>
      <c r="F25" s="4169">
        <f>+'Plan mina PS'!I59*1000</f>
        <v>42103.665775587047</v>
      </c>
      <c r="G25" s="4169">
        <f t="shared" si="1"/>
        <v>164896.33422441295</v>
      </c>
      <c r="H25" s="4195">
        <f t="shared" si="2"/>
        <v>92.502017471816671</v>
      </c>
      <c r="I25" s="4195">
        <f t="shared" si="3"/>
        <v>97.132597759803119</v>
      </c>
      <c r="J25" s="4196">
        <f t="shared" si="4"/>
        <v>93.355016666666657</v>
      </c>
      <c r="K25" s="4197">
        <f>+'Plan mina PS'!D22</f>
        <v>0.5</v>
      </c>
      <c r="L25" s="4196">
        <f>'Plan mina PS'!C22</f>
        <v>91.497324698413536</v>
      </c>
      <c r="M25" s="4195">
        <f>'Plan mina PS'!B22</f>
        <v>27.710024057947489</v>
      </c>
      <c r="N25" s="4169">
        <f t="shared" si="5"/>
        <v>3417.5261221289793</v>
      </c>
      <c r="O25" s="4169">
        <f t="shared" si="6"/>
        <v>51037.955737075885</v>
      </c>
      <c r="P25" s="4169">
        <f t="shared" si="7"/>
        <v>946.99731062858007</v>
      </c>
      <c r="Q25" s="4169">
        <f t="shared" si="8"/>
        <v>13538.753358586957</v>
      </c>
      <c r="R25" s="4169">
        <f>+'Plan mina PS'!E22</f>
        <v>141.02324160466765</v>
      </c>
      <c r="S25" s="4196">
        <f t="shared" si="9"/>
        <v>90.813414713724114</v>
      </c>
      <c r="T25" s="4196">
        <f t="shared" si="58"/>
        <v>85.724514731809236</v>
      </c>
      <c r="U25" s="4198">
        <f t="shared" si="11"/>
        <v>77.849359074725442</v>
      </c>
      <c r="V25" s="4195">
        <v>50</v>
      </c>
      <c r="W25" s="4169">
        <f t="shared" si="12"/>
        <v>45.451275550553021</v>
      </c>
      <c r="X25" s="4169">
        <f t="shared" si="13"/>
        <v>883.36750840394757</v>
      </c>
      <c r="Y25" s="4169">
        <f t="shared" si="14"/>
        <v>63.18710062376087</v>
      </c>
      <c r="Z25" s="4169">
        <f t="shared" si="15"/>
        <v>22.72563777527651</v>
      </c>
      <c r="AA25" s="4169">
        <f t="shared" si="16"/>
        <v>441.68375420197378</v>
      </c>
      <c r="AB25" s="4169">
        <v>31.593550311880435</v>
      </c>
      <c r="AC25" s="4169">
        <f>+'ST Original'!AG24</f>
        <v>31.593550311880435</v>
      </c>
      <c r="AD25" s="4169">
        <f t="shared" si="17"/>
        <v>976.56362861566799</v>
      </c>
      <c r="AE25" s="4169">
        <f t="shared" si="18"/>
        <v>14298.319728375016</v>
      </c>
      <c r="AF25" s="4412">
        <f>Real!AL25</f>
        <v>3726.638916015625</v>
      </c>
      <c r="AG25" s="4412">
        <f>Real!AM25</f>
        <v>25.8</v>
      </c>
      <c r="AH25" s="4161">
        <f t="shared" si="57"/>
        <v>961.4728403320313</v>
      </c>
      <c r="AI25" s="4161">
        <f t="shared" si="54"/>
        <v>3700</v>
      </c>
      <c r="AJ25" s="3943">
        <f t="shared" si="55"/>
        <v>27</v>
      </c>
      <c r="AK25" s="4161">
        <f t="shared" si="56"/>
        <v>999</v>
      </c>
      <c r="AL25" s="4164">
        <f>+'R+P'!AP24</f>
        <v>2564.9611434500994</v>
      </c>
      <c r="AM25" s="4164">
        <f>+'R+P'!AQ24</f>
        <v>1053.8112340814187</v>
      </c>
      <c r="AN25" s="4164">
        <f t="shared" si="52"/>
        <v>8625</v>
      </c>
      <c r="AO25" s="4164">
        <f t="shared" si="19"/>
        <v>7427.6008031686633</v>
      </c>
      <c r="AP25" s="4164">
        <f t="shared" si="20"/>
        <v>1806.1077823269397</v>
      </c>
      <c r="AQ25" s="4199">
        <f t="shared" si="21"/>
        <v>9238.9250283103884</v>
      </c>
      <c r="AR25" s="4200">
        <f t="shared" si="22"/>
        <v>92.502017471816671</v>
      </c>
      <c r="AS25" s="4201">
        <f t="shared" si="23"/>
        <v>98.057573027372229</v>
      </c>
      <c r="AT25" s="4201">
        <f t="shared" si="24"/>
        <v>81.390906360705571</v>
      </c>
      <c r="AU25" s="4201">
        <f t="shared" si="25"/>
        <v>98.057573027372229</v>
      </c>
      <c r="AV25" s="4202">
        <f>+'Plan mina PS'!AG22</f>
        <v>1.2026677886938946</v>
      </c>
      <c r="AW25" s="4173">
        <f>'Plan mina PS'!T22</f>
        <v>18.590741609846372</v>
      </c>
      <c r="AX25" s="4203">
        <f t="shared" si="26"/>
        <v>836.58337244308677</v>
      </c>
      <c r="AY25" s="4198">
        <f>+'Plan mina PS'!AJ22</f>
        <v>4.1589879753761823</v>
      </c>
      <c r="AZ25" s="4199">
        <f>'Plan mina PS'!V22</f>
        <v>189.73855364078642</v>
      </c>
      <c r="BA25" s="4201">
        <f>+('Plan mina PS'!P22*AN25/1000000)*0.8</f>
        <v>5.0635735495540288</v>
      </c>
      <c r="BB25" s="4201">
        <f>+'Plan mina PS'!W22</f>
        <v>38.205757706742325</v>
      </c>
      <c r="BC25" s="4169">
        <f>+'Plan mina PS'!Y22</f>
        <v>84.150162451379387</v>
      </c>
      <c r="BD25" s="4169">
        <f>+'MCP PS'!AU18*100</f>
        <v>78.347012756679717</v>
      </c>
      <c r="BE25" s="4204">
        <f t="shared" si="27"/>
        <v>46098.791666666664</v>
      </c>
      <c r="BF25" s="4200">
        <f t="shared" si="28"/>
        <v>93.355016666666671</v>
      </c>
      <c r="BG25" s="4200">
        <f t="shared" si="29"/>
        <v>98.057573027372229</v>
      </c>
      <c r="BH25" s="4201">
        <f t="shared" si="30"/>
        <v>81.390906360705571</v>
      </c>
      <c r="BI25" s="4201">
        <f t="shared" si="31"/>
        <v>98.057573027372229</v>
      </c>
      <c r="BJ25" s="4201">
        <f t="shared" si="32"/>
        <v>97.132597759803119</v>
      </c>
      <c r="BK25" s="4201">
        <f t="shared" si="33"/>
        <v>23.533817526569337</v>
      </c>
      <c r="BL25" s="4201">
        <f t="shared" si="34"/>
        <v>19.533817526569337</v>
      </c>
      <c r="BM25" s="4201">
        <f t="shared" si="35"/>
        <v>23.533817526569337</v>
      </c>
      <c r="BN25" s="4201">
        <f t="shared" si="36"/>
        <v>23.311823462352748</v>
      </c>
      <c r="BO25" s="4200">
        <f t="shared" si="37"/>
        <v>0.12676900000000002</v>
      </c>
      <c r="BP25" s="4200">
        <f t="shared" si="38"/>
        <v>1.2144889999999999</v>
      </c>
      <c r="BQ25" s="4200">
        <f t="shared" si="39"/>
        <v>0.12676900000000002</v>
      </c>
      <c r="BR25" s="4200">
        <f t="shared" si="40"/>
        <v>0.12676900000000002</v>
      </c>
      <c r="BS25" s="4205">
        <v>0</v>
      </c>
      <c r="BT25" s="4205">
        <v>4</v>
      </c>
      <c r="BU25" s="4205">
        <f>+'ST Original'!DN24</f>
        <v>0</v>
      </c>
      <c r="BV25" s="4205">
        <f>+'ST Original'!DO24</f>
        <v>0</v>
      </c>
      <c r="BW25" s="4205">
        <f>+'ST Original'!DP24</f>
        <v>0</v>
      </c>
      <c r="BX25" s="4205">
        <f>+'ST Original'!DQ24</f>
        <v>0</v>
      </c>
      <c r="BY25" s="4205">
        <f>+'ST Original'!DR24</f>
        <v>0</v>
      </c>
      <c r="BZ25" s="4205">
        <f>+'ST Original'!DS24</f>
        <v>0</v>
      </c>
      <c r="CA25" s="4205">
        <f>+'ST Original'!DT24</f>
        <v>0</v>
      </c>
      <c r="CB25" s="4205">
        <v>0</v>
      </c>
      <c r="CC25" s="4205">
        <f>+'ST Original'!DV24</f>
        <v>0</v>
      </c>
      <c r="CD25" s="4206">
        <f>+'ST Original'!DW24</f>
        <v>7.2602333333333338E-2</v>
      </c>
      <c r="CE25" s="4206">
        <f>+'ST Original'!DX24</f>
        <v>7.2602333333333338E-2</v>
      </c>
      <c r="CF25" s="4206">
        <f>+'ST Original'!DY24</f>
        <v>7.2602333333333338E-2</v>
      </c>
      <c r="CG25" s="4206">
        <f>+'ST Original'!DZ24</f>
        <v>7.2602333333333338E-2</v>
      </c>
      <c r="CH25" s="4206">
        <f>+'ST Original'!EA24</f>
        <v>0</v>
      </c>
      <c r="CI25" s="4206">
        <f>+'ST Original'!EB24</f>
        <v>0</v>
      </c>
      <c r="CJ25" s="4206">
        <f>+'ST Original'!EC24</f>
        <v>0</v>
      </c>
      <c r="CK25" s="4206">
        <f>+'ST Original'!ED24</f>
        <v>0</v>
      </c>
      <c r="CL25" s="4206">
        <f>+'ST Original'!EE24</f>
        <v>0.05</v>
      </c>
      <c r="CM25" s="4206">
        <f>+'ST Original'!EF24</f>
        <v>0.05</v>
      </c>
      <c r="CN25" s="4206">
        <f>+'ST Original'!EG24</f>
        <v>0.05</v>
      </c>
      <c r="CO25" s="4206">
        <f>+'ST Original'!EH24</f>
        <v>0.05</v>
      </c>
      <c r="CP25" s="4206">
        <f>+'ST Original'!EI24</f>
        <v>4.1666666666666666E-3</v>
      </c>
      <c r="CQ25" s="4206">
        <f>+'ST Original'!EJ24</f>
        <v>4.1666666666666666E-3</v>
      </c>
      <c r="CR25" s="4206">
        <f>+'ST Original'!EK24</f>
        <v>4.1666666666666666E-3</v>
      </c>
      <c r="CS25" s="4206">
        <f>+'ST Original'!EL24</f>
        <v>4.1666666666666666E-3</v>
      </c>
      <c r="CT25" s="4173">
        <f>+'MCP PS'!I18</f>
        <v>1.2144871418803114</v>
      </c>
      <c r="CY25" s="4204">
        <f t="shared" si="41"/>
        <v>46098.791666666664</v>
      </c>
      <c r="CZ25" s="4196">
        <f>+'Plan mina PS'!J22</f>
        <v>5.4366978445845343E-2</v>
      </c>
      <c r="DA25" s="4196">
        <f t="shared" si="42"/>
        <v>2.1404597034452211</v>
      </c>
      <c r="DB25" s="4169">
        <f t="shared" si="43"/>
        <v>7315.0769498884911</v>
      </c>
      <c r="DC25" s="4199">
        <f t="shared" si="44"/>
        <v>7315.0769498884911</v>
      </c>
      <c r="DD25" s="4196">
        <f>+'Plan mina PS'!K22</f>
        <v>1.5673805132197096</v>
      </c>
      <c r="DE25" s="4196">
        <f t="shared" si="45"/>
        <v>70.252966161800103</v>
      </c>
      <c r="DF25" s="4169">
        <f t="shared" si="46"/>
        <v>240091.34701499512</v>
      </c>
      <c r="DG25" s="4169">
        <f t="shared" si="47"/>
        <v>240091.34701499512</v>
      </c>
      <c r="DH25" s="4195">
        <f>+'Plan mina PS'!T22</f>
        <v>18.590741609846372</v>
      </c>
      <c r="DI25" s="4169">
        <f t="shared" si="48"/>
        <v>836.58337244308677</v>
      </c>
      <c r="DJ25" s="4203">
        <f>+'Plan mina PS'!AH59</f>
        <v>0</v>
      </c>
    </row>
    <row r="26" spans="1:114" s="4174" customFormat="1" ht="13.5" customHeight="1" thickBot="1">
      <c r="A26" s="4154"/>
      <c r="B26" s="4155">
        <f t="shared" si="0"/>
        <v>46099.791666666664</v>
      </c>
      <c r="C26" s="4156">
        <f>'Plan mina PS'!M60*1000</f>
        <v>230000</v>
      </c>
      <c r="D26" s="4156">
        <f>'Plan mina PS'!L60*1000</f>
        <v>482600</v>
      </c>
      <c r="E26" s="4156">
        <f>((('Plan mina PS'!N60*1000)))</f>
        <v>184400</v>
      </c>
      <c r="F26" s="4156">
        <f>+'Plan mina PS'!I60*1000</f>
        <v>41794.192114313977</v>
      </c>
      <c r="G26" s="4156">
        <f t="shared" si="1"/>
        <v>142605.80788568602</v>
      </c>
      <c r="H26" s="4157">
        <f t="shared" si="2"/>
        <v>98.057573027372243</v>
      </c>
      <c r="I26" s="4157">
        <f t="shared" si="3"/>
        <v>97.132597759803119</v>
      </c>
      <c r="J26" s="4158">
        <f t="shared" si="4"/>
        <v>97.88718333333334</v>
      </c>
      <c r="K26" s="4159">
        <f>+'Plan mina PS'!D23</f>
        <v>0.47</v>
      </c>
      <c r="L26" s="4158">
        <f>'Plan mina PS'!C23</f>
        <v>92</v>
      </c>
      <c r="M26" s="4157">
        <f>'Plan mina PS'!B23</f>
        <v>27.8</v>
      </c>
      <c r="N26" s="4156">
        <f t="shared" si="5"/>
        <v>2868.1496402877697</v>
      </c>
      <c r="O26" s="4156">
        <f t="shared" si="6"/>
        <v>53906.105377363652</v>
      </c>
      <c r="P26" s="4156">
        <f t="shared" si="7"/>
        <v>797.34559999999999</v>
      </c>
      <c r="Q26" s="4156">
        <f t="shared" si="8"/>
        <v>14336.098958586957</v>
      </c>
      <c r="R26" s="4156">
        <f>+'Plan mina PS'!E23</f>
        <v>157</v>
      </c>
      <c r="S26" s="4158">
        <f t="shared" si="9"/>
        <v>91.189714667292776</v>
      </c>
      <c r="T26" s="4158">
        <f t="shared" si="58"/>
        <v>86.019465403084553</v>
      </c>
      <c r="U26" s="4160">
        <f t="shared" si="11"/>
        <v>78.440905059403434</v>
      </c>
      <c r="V26" s="4157">
        <v>50</v>
      </c>
      <c r="W26" s="4156">
        <f t="shared" si="12"/>
        <v>45.418539083875537</v>
      </c>
      <c r="X26" s="4156">
        <f t="shared" si="13"/>
        <v>928.78604748782311</v>
      </c>
      <c r="Y26" s="4156">
        <f t="shared" si="14"/>
        <v>66.557457704687607</v>
      </c>
      <c r="Z26" s="4156">
        <f t="shared" si="15"/>
        <v>22.709269541937768</v>
      </c>
      <c r="AA26" s="4156">
        <f t="shared" si="16"/>
        <v>464.39302374391156</v>
      </c>
      <c r="AB26" s="4156">
        <v>33.278728852343804</v>
      </c>
      <c r="AC26" s="4156">
        <f>+'ST Original'!AG25</f>
        <v>33.278728852343804</v>
      </c>
      <c r="AD26" s="4156">
        <f t="shared" si="17"/>
        <v>832.55146874006709</v>
      </c>
      <c r="AE26" s="4156">
        <f t="shared" si="18"/>
        <v>15130.871197115082</v>
      </c>
      <c r="AF26" s="4412">
        <f>155.11*11.8</f>
        <v>1830.2980000000002</v>
      </c>
      <c r="AG26" s="4413">
        <v>28.1</v>
      </c>
      <c r="AH26" s="4412">
        <f t="shared" si="57"/>
        <v>514.31373800000006</v>
      </c>
      <c r="AI26" s="4452">
        <f>AF25</f>
        <v>3726.638916015625</v>
      </c>
      <c r="AJ26" s="4453">
        <f>AG25</f>
        <v>25.8</v>
      </c>
      <c r="AK26" s="4161">
        <f>AI26*AJ26/100</f>
        <v>961.4728403320313</v>
      </c>
      <c r="AL26" s="4163">
        <f>+'R+P'!AP25</f>
        <v>2400.8339031180681</v>
      </c>
      <c r="AM26" s="4163">
        <f>+'R+P'!AQ25</f>
        <v>923.01392671874999</v>
      </c>
      <c r="AN26" s="4164">
        <f t="shared" si="52"/>
        <v>7683.333333333333</v>
      </c>
      <c r="AO26" s="4163">
        <f t="shared" si="19"/>
        <v>6059.612203786578</v>
      </c>
      <c r="AP26" s="4163">
        <f t="shared" si="20"/>
        <v>1792.8323874710695</v>
      </c>
      <c r="AQ26" s="4161">
        <f t="shared" si="21"/>
        <v>7849.1719464124599</v>
      </c>
      <c r="AR26" s="4165">
        <f t="shared" si="22"/>
        <v>98.057573027372243</v>
      </c>
      <c r="AS26" s="4162">
        <f t="shared" si="23"/>
        <v>98.057573027372229</v>
      </c>
      <c r="AT26" s="4162">
        <f t="shared" si="24"/>
        <v>98.057573027372229</v>
      </c>
      <c r="AU26" s="4162">
        <f t="shared" si="25"/>
        <v>98.057573027372229</v>
      </c>
      <c r="AV26" s="4166">
        <f>+'Plan mina PS'!AG23</f>
        <v>1.3366192498601805</v>
      </c>
      <c r="AW26" s="4167">
        <f>'Plan mina PS'!T23</f>
        <v>11.652615443859117</v>
      </c>
      <c r="AX26" s="4168">
        <f t="shared" si="26"/>
        <v>524.36769497366026</v>
      </c>
      <c r="AY26" s="4160">
        <f>+'Plan mina PS'!AJ23</f>
        <v>4.1139595809525318</v>
      </c>
      <c r="AZ26" s="4161">
        <f>'Plan mina PS'!V23</f>
        <v>189.06914511131208</v>
      </c>
      <c r="BA26" s="4162">
        <f>+('Plan mina PS'!P23*AN26/1000000)*0.8</f>
        <v>3.003562908626431</v>
      </c>
      <c r="BB26" s="4162">
        <f>+'Plan mina PS'!W23</f>
        <v>37.263653959079413</v>
      </c>
      <c r="BC26" s="4156">
        <f>+'Plan mina PS'!Y23</f>
        <v>85.618786550868066</v>
      </c>
      <c r="BD26" s="4169">
        <f>+'MCP PS'!AU19*100</f>
        <v>87.318256075506994</v>
      </c>
      <c r="BE26" s="4170">
        <f t="shared" si="27"/>
        <v>46099.791666666664</v>
      </c>
      <c r="BF26" s="4165">
        <f t="shared" si="28"/>
        <v>97.887183333333326</v>
      </c>
      <c r="BG26" s="4165">
        <f t="shared" si="29"/>
        <v>98.057573027372229</v>
      </c>
      <c r="BH26" s="4162">
        <f t="shared" si="30"/>
        <v>98.057573027372229</v>
      </c>
      <c r="BI26" s="4162">
        <f t="shared" si="31"/>
        <v>98.057573027372229</v>
      </c>
      <c r="BJ26" s="4162">
        <f t="shared" si="32"/>
        <v>97.132597759803119</v>
      </c>
      <c r="BK26" s="4162">
        <f t="shared" si="33"/>
        <v>23.533817526569337</v>
      </c>
      <c r="BL26" s="4162">
        <f t="shared" si="34"/>
        <v>23.533817526569337</v>
      </c>
      <c r="BM26" s="4162">
        <f t="shared" si="35"/>
        <v>23.533817526569337</v>
      </c>
      <c r="BN26" s="4162">
        <f t="shared" si="36"/>
        <v>23.311823462352748</v>
      </c>
      <c r="BO26" s="4165">
        <f t="shared" si="37"/>
        <v>0.12676900000000002</v>
      </c>
      <c r="BP26" s="4165">
        <f t="shared" si="38"/>
        <v>0.12676900000000002</v>
      </c>
      <c r="BQ26" s="4165">
        <f t="shared" si="39"/>
        <v>0.12676900000000002</v>
      </c>
      <c r="BR26" s="4165">
        <f t="shared" si="40"/>
        <v>0.12676900000000002</v>
      </c>
      <c r="BS26" s="4171">
        <f>+'ST Original'!DL25</f>
        <v>0</v>
      </c>
      <c r="BT26" s="4171">
        <f>+'ST Original'!DM25</f>
        <v>0</v>
      </c>
      <c r="BU26" s="4171">
        <f>+'ST Original'!DN25</f>
        <v>0</v>
      </c>
      <c r="BV26" s="4171">
        <f>+'ST Original'!DO25</f>
        <v>0</v>
      </c>
      <c r="BW26" s="4171">
        <f>+'ST Original'!DP25</f>
        <v>0</v>
      </c>
      <c r="BX26" s="4171">
        <f>+'ST Original'!DQ25</f>
        <v>0</v>
      </c>
      <c r="BY26" s="4171">
        <f>+'ST Original'!DR25</f>
        <v>0</v>
      </c>
      <c r="BZ26" s="4171">
        <f>+'ST Original'!DS25</f>
        <v>0</v>
      </c>
      <c r="CA26" s="4171">
        <f>+'ST Original'!DT25</f>
        <v>0</v>
      </c>
      <c r="CB26" s="4171">
        <v>0</v>
      </c>
      <c r="CC26" s="4171">
        <f>+'ST Original'!DV25</f>
        <v>0</v>
      </c>
      <c r="CD26" s="4172">
        <f>+'ST Original'!DW25</f>
        <v>7.2602333333333338E-2</v>
      </c>
      <c r="CE26" s="4172">
        <f>+'ST Original'!DX25</f>
        <v>7.2602333333333338E-2</v>
      </c>
      <c r="CF26" s="4172">
        <f>+'ST Original'!DY25</f>
        <v>7.2602333333333338E-2</v>
      </c>
      <c r="CG26" s="4172">
        <f>+'ST Original'!DZ25</f>
        <v>7.2602333333333338E-2</v>
      </c>
      <c r="CH26" s="4172">
        <f>+'ST Original'!EA25</f>
        <v>0</v>
      </c>
      <c r="CI26" s="4172">
        <f>+'ST Original'!EB25</f>
        <v>0</v>
      </c>
      <c r="CJ26" s="4172">
        <f>+'ST Original'!EC25</f>
        <v>0</v>
      </c>
      <c r="CK26" s="4172">
        <f>+'ST Original'!ED25</f>
        <v>0</v>
      </c>
      <c r="CL26" s="4172">
        <f>+'ST Original'!EE25</f>
        <v>0.05</v>
      </c>
      <c r="CM26" s="4172">
        <f>+'ST Original'!EF25</f>
        <v>0.05</v>
      </c>
      <c r="CN26" s="4172">
        <f>+'ST Original'!EG25</f>
        <v>0.05</v>
      </c>
      <c r="CO26" s="4172">
        <f>+'ST Original'!EH25</f>
        <v>0.05</v>
      </c>
      <c r="CP26" s="4172">
        <f>+'ST Original'!EI25</f>
        <v>4.1666666666666666E-3</v>
      </c>
      <c r="CQ26" s="4172">
        <f>+'ST Original'!EJ25</f>
        <v>4.1666666666666666E-3</v>
      </c>
      <c r="CR26" s="4172">
        <f>+'ST Original'!EK25</f>
        <v>4.1666666666666666E-3</v>
      </c>
      <c r="CS26" s="4172">
        <f>+'ST Original'!EL25</f>
        <v>4.1666666666666666E-3</v>
      </c>
      <c r="CT26" s="4173">
        <f>+'MCP PS'!I19</f>
        <v>1.3861783632496485</v>
      </c>
      <c r="CY26" s="4170">
        <f t="shared" si="41"/>
        <v>46099.791666666664</v>
      </c>
      <c r="CZ26" s="4158">
        <f>+'Plan mina PS'!J23</f>
        <v>4.1500071223895652E-2</v>
      </c>
      <c r="DA26" s="4158">
        <f t="shared" si="42"/>
        <v>1.7342883603510511</v>
      </c>
      <c r="DB26" s="4156">
        <f t="shared" si="43"/>
        <v>4974.1985368961332</v>
      </c>
      <c r="DC26" s="4161">
        <f t="shared" si="44"/>
        <v>4974.1985368961332</v>
      </c>
      <c r="DD26" s="4158">
        <f>+'Plan mina PS'!K23</f>
        <v>1.4322310821423727</v>
      </c>
      <c r="DE26" s="4158">
        <f t="shared" si="45"/>
        <v>68.140281734118616</v>
      </c>
      <c r="DF26" s="4156">
        <f t="shared" si="46"/>
        <v>195436.52454481961</v>
      </c>
      <c r="DG26" s="4156">
        <f t="shared" si="47"/>
        <v>195436.52454481961</v>
      </c>
      <c r="DH26" s="4157">
        <f>+'Plan mina PS'!T23</f>
        <v>11.652615443859117</v>
      </c>
      <c r="DI26" s="4156">
        <f t="shared" si="48"/>
        <v>524.36769497366026</v>
      </c>
      <c r="DJ26" s="4168">
        <f>+'Plan mina PS'!AH60</f>
        <v>0</v>
      </c>
    </row>
    <row r="27" spans="1:114" s="4174" customFormat="1" ht="13.5" customHeight="1" thickBot="1">
      <c r="A27" s="4154"/>
      <c r="B27" s="4155">
        <f t="shared" si="0"/>
        <v>46100.791666666664</v>
      </c>
      <c r="C27" s="4156">
        <f>'Plan mina PS'!M61*1000</f>
        <v>216000.04453185282</v>
      </c>
      <c r="D27" s="4156">
        <f>'Plan mina PS'!L61*1000</f>
        <v>497948.80682479212</v>
      </c>
      <c r="E27" s="4156">
        <f>((('Plan mina PS'!N61*1000)))</f>
        <v>200651.2377070607</v>
      </c>
      <c r="F27" s="4156">
        <f>+'Plan mina PS'!I61*1000</f>
        <v>41635.171938195374</v>
      </c>
      <c r="G27" s="4156">
        <f t="shared" si="1"/>
        <v>159016.06576886534</v>
      </c>
      <c r="H27" s="4157">
        <f t="shared" si="2"/>
        <v>98.057573027372243</v>
      </c>
      <c r="I27" s="4157">
        <f t="shared" si="3"/>
        <v>97.132597759803119</v>
      </c>
      <c r="J27" s="4158">
        <f t="shared" si="4"/>
        <v>97.88718333333334</v>
      </c>
      <c r="K27" s="4159">
        <f>+'Plan mina PS'!D24</f>
        <v>0.58705781676829161</v>
      </c>
      <c r="L27" s="4158">
        <f>'Plan mina PS'!C24</f>
        <v>90.033346680262596</v>
      </c>
      <c r="M27" s="4157">
        <f>'Plan mina PS'!B24</f>
        <v>27.54155477405439</v>
      </c>
      <c r="N27" s="4156">
        <f t="shared" si="5"/>
        <v>3850.6820331641861</v>
      </c>
      <c r="O27" s="4156">
        <f t="shared" si="6"/>
        <v>57756.787410527839</v>
      </c>
      <c r="P27" s="4156">
        <f t="shared" si="7"/>
        <v>1060.5377013385855</v>
      </c>
      <c r="Q27" s="4156">
        <f t="shared" si="8"/>
        <v>15396.636659925543</v>
      </c>
      <c r="R27" s="4156">
        <f>+'Plan mina PS'!E24</f>
        <v>214.41086958903563</v>
      </c>
      <c r="S27" s="4158">
        <f t="shared" si="9"/>
        <v>92.282447172667077</v>
      </c>
      <c r="T27" s="4158">
        <f t="shared" si="58"/>
        <v>86.875968793340007</v>
      </c>
      <c r="U27" s="4160">
        <f t="shared" si="11"/>
        <v>80.171270007456727</v>
      </c>
      <c r="V27" s="4157">
        <v>50</v>
      </c>
      <c r="W27" s="4156">
        <f t="shared" si="12"/>
        <v>68.982257079344095</v>
      </c>
      <c r="X27" s="4156">
        <f t="shared" si="13"/>
        <v>997.76830456716721</v>
      </c>
      <c r="Y27" s="4156">
        <f t="shared" si="14"/>
        <v>89.746370974248421</v>
      </c>
      <c r="Z27" s="4156">
        <f t="shared" si="15"/>
        <v>34.491128539672047</v>
      </c>
      <c r="AA27" s="4156">
        <f t="shared" si="16"/>
        <v>498.8841522835836</v>
      </c>
      <c r="AB27" s="4156">
        <v>44.873185487124211</v>
      </c>
      <c r="AC27" s="4156">
        <f>+'ST Original'!AG26</f>
        <v>44.873185487124211</v>
      </c>
      <c r="AD27" s="4156">
        <f t="shared" si="17"/>
        <v>1119.727101416046</v>
      </c>
      <c r="AE27" s="4156">
        <f t="shared" si="18"/>
        <v>16250.598298531128</v>
      </c>
      <c r="AF27" s="4161">
        <f>155*24</f>
        <v>3720</v>
      </c>
      <c r="AG27" s="3943">
        <f t="shared" si="53"/>
        <v>27.54155477405439</v>
      </c>
      <c r="AH27" s="4161">
        <f t="shared" si="57"/>
        <v>1024.5458375948233</v>
      </c>
      <c r="AI27" s="4161">
        <f t="shared" si="54"/>
        <v>1830.2980000000002</v>
      </c>
      <c r="AJ27" s="3943">
        <f t="shared" si="55"/>
        <v>28.1</v>
      </c>
      <c r="AK27" s="4161">
        <f t="shared" si="56"/>
        <v>514.31373800000006</v>
      </c>
      <c r="AL27" s="4163">
        <f>+'R+P'!AP26</f>
        <v>2947.0578664566538</v>
      </c>
      <c r="AM27" s="4163">
        <f>+'R+P'!AQ26</f>
        <v>493.74118848000006</v>
      </c>
      <c r="AN27" s="4164">
        <f t="shared" si="52"/>
        <v>8360.4682377941954</v>
      </c>
      <c r="AO27" s="4163">
        <f t="shared" si="19"/>
        <v>6756.9175969575908</v>
      </c>
      <c r="AP27" s="4163">
        <f t="shared" si="20"/>
        <v>1786.0109487116601</v>
      </c>
      <c r="AQ27" s="4161">
        <f t="shared" si="21"/>
        <v>8540.9222669370865</v>
      </c>
      <c r="AR27" s="4165">
        <f t="shared" si="22"/>
        <v>98.057573027372243</v>
      </c>
      <c r="AS27" s="4162">
        <f t="shared" si="23"/>
        <v>98.057573027372229</v>
      </c>
      <c r="AT27" s="4162">
        <f t="shared" si="24"/>
        <v>98.057573027372229</v>
      </c>
      <c r="AU27" s="4162">
        <f t="shared" si="25"/>
        <v>98.057573027372229</v>
      </c>
      <c r="AV27" s="4166">
        <f>+'Plan mina PS'!AG24</f>
        <v>1.221444524506845</v>
      </c>
      <c r="AW27" s="4167">
        <f>'Plan mina PS'!T24</f>
        <v>32.497090062531356</v>
      </c>
      <c r="AX27" s="4168">
        <f t="shared" si="26"/>
        <v>1462.3690528139109</v>
      </c>
      <c r="AY27" s="4160">
        <f>+'Plan mina PS'!AJ24</f>
        <v>4.2956646711888258</v>
      </c>
      <c r="AZ27" s="4161">
        <f>'Plan mina PS'!V24</f>
        <v>188.45284526934773</v>
      </c>
      <c r="BA27" s="4162">
        <f>+('Plan mina PS'!P24*AN27/1000000)*0.8</f>
        <v>8.6700903788712651</v>
      </c>
      <c r="BB27" s="4162">
        <f>+'Plan mina PS'!W24</f>
        <v>38.975140830054585</v>
      </c>
      <c r="BC27" s="4156">
        <f>+'Plan mina PS'!Y24</f>
        <v>89.991302808620048</v>
      </c>
      <c r="BD27" s="4169">
        <f>+'MCP PS'!AU20*100</f>
        <v>73.907206541408925</v>
      </c>
      <c r="BE27" s="4170">
        <f t="shared" si="27"/>
        <v>46100.791666666664</v>
      </c>
      <c r="BF27" s="4165">
        <f t="shared" si="28"/>
        <v>97.887183333333326</v>
      </c>
      <c r="BG27" s="4165">
        <f t="shared" si="29"/>
        <v>98.057573027372229</v>
      </c>
      <c r="BH27" s="4162">
        <f t="shared" si="30"/>
        <v>98.057573027372229</v>
      </c>
      <c r="BI27" s="4162">
        <f t="shared" si="31"/>
        <v>98.057573027372229</v>
      </c>
      <c r="BJ27" s="4162">
        <f t="shared" si="32"/>
        <v>97.132597759803119</v>
      </c>
      <c r="BK27" s="4162">
        <f t="shared" si="33"/>
        <v>23.533817526569337</v>
      </c>
      <c r="BL27" s="4162">
        <f t="shared" si="34"/>
        <v>23.533817526569337</v>
      </c>
      <c r="BM27" s="4162">
        <f t="shared" si="35"/>
        <v>23.533817526569337</v>
      </c>
      <c r="BN27" s="4162">
        <f t="shared" si="36"/>
        <v>23.311823462352748</v>
      </c>
      <c r="BO27" s="4165">
        <f t="shared" si="37"/>
        <v>0.12676900000000002</v>
      </c>
      <c r="BP27" s="4165">
        <f t="shared" si="38"/>
        <v>0.12676900000000002</v>
      </c>
      <c r="BQ27" s="4165">
        <f t="shared" si="39"/>
        <v>0.12676900000000002</v>
      </c>
      <c r="BR27" s="4165">
        <f t="shared" si="40"/>
        <v>0.12676900000000002</v>
      </c>
      <c r="BS27" s="4171">
        <f>+'ST Original'!DL26</f>
        <v>0</v>
      </c>
      <c r="BT27" s="4171">
        <f>+'ST Original'!DM26</f>
        <v>0</v>
      </c>
      <c r="BU27" s="4171">
        <f>+'ST Original'!DN26</f>
        <v>0</v>
      </c>
      <c r="BV27" s="4171">
        <f>+'ST Original'!DO26</f>
        <v>0</v>
      </c>
      <c r="BW27" s="4171">
        <f>+'ST Original'!DP26</f>
        <v>0</v>
      </c>
      <c r="BX27" s="4171">
        <f>+'ST Original'!DQ26</f>
        <v>0</v>
      </c>
      <c r="BY27" s="4171">
        <f>+'ST Original'!DR26</f>
        <v>0</v>
      </c>
      <c r="BZ27" s="4171">
        <f>+'ST Original'!DS26</f>
        <v>0</v>
      </c>
      <c r="CA27" s="4171">
        <f>+'ST Original'!DT26</f>
        <v>0</v>
      </c>
      <c r="CB27" s="4171">
        <f>+'ST Original'!DU26</f>
        <v>0</v>
      </c>
      <c r="CC27" s="4171">
        <f>+'ST Original'!DV26</f>
        <v>0</v>
      </c>
      <c r="CD27" s="4172">
        <f>+'ST Original'!DW26</f>
        <v>7.2602333333333338E-2</v>
      </c>
      <c r="CE27" s="4172">
        <f>+'ST Original'!DX26</f>
        <v>7.2602333333333338E-2</v>
      </c>
      <c r="CF27" s="4172">
        <f>+'ST Original'!DY26</f>
        <v>7.2602333333333338E-2</v>
      </c>
      <c r="CG27" s="4172">
        <f>+'ST Original'!DZ26</f>
        <v>7.2602333333333338E-2</v>
      </c>
      <c r="CH27" s="4172">
        <f>+'ST Original'!EA26</f>
        <v>0</v>
      </c>
      <c r="CI27" s="4172">
        <f>+'ST Original'!EB26</f>
        <v>0</v>
      </c>
      <c r="CJ27" s="4172">
        <f>+'ST Original'!EC26</f>
        <v>0</v>
      </c>
      <c r="CK27" s="4172">
        <f>+'ST Original'!ED26</f>
        <v>0</v>
      </c>
      <c r="CL27" s="4172">
        <f>+'ST Original'!EE26</f>
        <v>0.05</v>
      </c>
      <c r="CM27" s="4172">
        <f>+'ST Original'!EF26</f>
        <v>0.05</v>
      </c>
      <c r="CN27" s="4172">
        <f>+'ST Original'!EG26</f>
        <v>0.05</v>
      </c>
      <c r="CO27" s="4172">
        <f>+'ST Original'!EH26</f>
        <v>0.05</v>
      </c>
      <c r="CP27" s="4172">
        <f>+'ST Original'!EI26</f>
        <v>4.1666666666666666E-3</v>
      </c>
      <c r="CQ27" s="4172">
        <f>+'ST Original'!EJ26</f>
        <v>4.1666666666666666E-3</v>
      </c>
      <c r="CR27" s="4172">
        <f>+'ST Original'!EK26</f>
        <v>4.1666666666666666E-3</v>
      </c>
      <c r="CS27" s="4172">
        <f>+'ST Original'!EL26</f>
        <v>4.1666666666666666E-3</v>
      </c>
      <c r="CT27" s="4173">
        <f>+'MCP PS'!I20</f>
        <v>1.3470147052188377</v>
      </c>
      <c r="CY27" s="4170">
        <f t="shared" si="41"/>
        <v>46100.791666666664</v>
      </c>
      <c r="CZ27" s="4158">
        <f>+'Plan mina PS'!J24</f>
        <v>3.5062981243415184E-2</v>
      </c>
      <c r="DA27" s="4158">
        <f t="shared" si="42"/>
        <v>1.1875895855171941</v>
      </c>
      <c r="DB27" s="4156">
        <f t="shared" si="43"/>
        <v>4573.029879723962</v>
      </c>
      <c r="DC27" s="4161">
        <f t="shared" si="44"/>
        <v>4573.029879723962</v>
      </c>
      <c r="DD27" s="4158">
        <f>+'Plan mina PS'!K24</f>
        <v>1.2098720111126069</v>
      </c>
      <c r="DE27" s="4158">
        <f t="shared" si="45"/>
        <v>46.652544318251685</v>
      </c>
      <c r="DF27" s="4156">
        <f t="shared" si="46"/>
        <v>179644.1142076877</v>
      </c>
      <c r="DG27" s="4156">
        <f t="shared" si="47"/>
        <v>179644.1142076877</v>
      </c>
      <c r="DH27" s="4157">
        <f>+'Plan mina PS'!T24</f>
        <v>32.497090062531356</v>
      </c>
      <c r="DI27" s="4156">
        <f t="shared" si="48"/>
        <v>1462.3690528139109</v>
      </c>
      <c r="DJ27" s="4168">
        <f>+'Plan mina PS'!AH61</f>
        <v>0</v>
      </c>
    </row>
    <row r="28" spans="1:114" s="4433" customFormat="1" ht="13.5" customHeight="1" thickBot="1">
      <c r="A28" s="4414"/>
      <c r="B28" s="4415">
        <f t="shared" si="0"/>
        <v>46101.791666666664</v>
      </c>
      <c r="C28" s="4416">
        <f>'Plan mina PS'!M62*1000</f>
        <v>239769.96</v>
      </c>
      <c r="D28" s="4416">
        <f>'Plan mina PS'!L62*1000</f>
        <v>532882.99320530205</v>
      </c>
      <c r="E28" s="4416">
        <f>((('Plan mina PS'!N62*1000)))</f>
        <v>204835.77361949021</v>
      </c>
      <c r="F28" s="4416">
        <f>+'Plan mina PS'!I62*1000</f>
        <v>41996.8122980837</v>
      </c>
      <c r="G28" s="4416">
        <f t="shared" si="1"/>
        <v>162838.9613214065</v>
      </c>
      <c r="H28" s="4417">
        <f t="shared" si="2"/>
        <v>98.057573027372243</v>
      </c>
      <c r="I28" s="4417">
        <f t="shared" si="3"/>
        <v>97.132597759803119</v>
      </c>
      <c r="J28" s="4418">
        <f t="shared" si="4"/>
        <v>97.88718333333334</v>
      </c>
      <c r="K28" s="4419">
        <f>+'Plan mina PS'!D25</f>
        <v>0.54478257960254906</v>
      </c>
      <c r="L28" s="4418">
        <f>'Plan mina PS'!C25</f>
        <v>89.850973458553213</v>
      </c>
      <c r="M28" s="4417">
        <f>'Plan mina PS'!B25</f>
        <v>25.463830076813228</v>
      </c>
      <c r="N28" s="4416">
        <f t="shared" si="5"/>
        <v>3937.5680948292656</v>
      </c>
      <c r="O28" s="4416">
        <f t="shared" si="6"/>
        <v>61694.355505357104</v>
      </c>
      <c r="P28" s="4416">
        <f t="shared" si="7"/>
        <v>1002.6556488261361</v>
      </c>
      <c r="Q28" s="4416">
        <f t="shared" si="8"/>
        <v>16399.292308751679</v>
      </c>
      <c r="R28" s="4416">
        <f>+'Plan mina PS'!E25</f>
        <v>161.9711458432908</v>
      </c>
      <c r="S28" s="4418">
        <f t="shared" ref="S28:S38" si="59">IF(R28&gt;0,$O$2*LN(R28)+$O$3,"")-3</f>
        <v>89.799014460221244</v>
      </c>
      <c r="T28" s="4418">
        <f t="shared" si="58"/>
        <v>86.105136546513563</v>
      </c>
      <c r="U28" s="4420">
        <f t="shared" si="11"/>
        <v>77.321564018396955</v>
      </c>
      <c r="V28" s="4417">
        <v>50</v>
      </c>
      <c r="W28" s="4416">
        <f t="shared" si="12"/>
        <v>51.306700550481601</v>
      </c>
      <c r="X28" s="4416">
        <f t="shared" si="13"/>
        <v>1049.0750051176487</v>
      </c>
      <c r="Y28" s="4416">
        <f t="shared" si="14"/>
        <v>89.336462648887021</v>
      </c>
      <c r="Z28" s="4416">
        <f t="shared" si="15"/>
        <v>25.653350275240797</v>
      </c>
      <c r="AA28" s="4416">
        <f t="shared" si="16"/>
        <v>524.53750255882437</v>
      </c>
      <c r="AB28" s="4416">
        <v>44.668231324443511</v>
      </c>
      <c r="AC28" s="4416">
        <f>+'ST Original'!AG27</f>
        <v>44.668231324443511</v>
      </c>
      <c r="AD28" s="4416">
        <f t="shared" si="17"/>
        <v>1038.5519513064264</v>
      </c>
      <c r="AE28" s="4416">
        <f t="shared" si="18"/>
        <v>17289.150249837556</v>
      </c>
      <c r="AF28" s="4454">
        <f>155*24</f>
        <v>3720</v>
      </c>
      <c r="AG28" s="3943">
        <f t="shared" si="53"/>
        <v>25.463830076813228</v>
      </c>
      <c r="AH28" s="4421">
        <f t="shared" si="57"/>
        <v>947.254478857452</v>
      </c>
      <c r="AI28" s="4421">
        <f t="shared" si="54"/>
        <v>3720</v>
      </c>
      <c r="AJ28" s="3943">
        <f t="shared" si="55"/>
        <v>27.54155477405439</v>
      </c>
      <c r="AK28" s="4421">
        <f t="shared" si="56"/>
        <v>1024.5458375948233</v>
      </c>
      <c r="AL28" s="4422">
        <f>+'R+P'!AP27</f>
        <v>2925.1676776879667</v>
      </c>
      <c r="AM28" s="4422">
        <f>+'R+P'!AQ27</f>
        <v>983.56400409103037</v>
      </c>
      <c r="AN28" s="4423">
        <f t="shared" si="52"/>
        <v>8534.8239008120927</v>
      </c>
      <c r="AO28" s="4422">
        <f t="shared" si="19"/>
        <v>6919.3602413872586</v>
      </c>
      <c r="AP28" s="4422">
        <f t="shared" si="20"/>
        <v>1801.5241221222411</v>
      </c>
      <c r="AQ28" s="4421">
        <f t="shared" si="21"/>
        <v>8719.0412576778526</v>
      </c>
      <c r="AR28" s="4424">
        <f t="shared" si="22"/>
        <v>98.057573027372243</v>
      </c>
      <c r="AS28" s="3943">
        <f t="shared" si="23"/>
        <v>98.057573027372229</v>
      </c>
      <c r="AT28" s="3943">
        <f t="shared" si="24"/>
        <v>98.057573027372229</v>
      </c>
      <c r="AU28" s="3943">
        <f t="shared" si="25"/>
        <v>98.057573027372229</v>
      </c>
      <c r="AV28" s="4425">
        <f>+'Plan mina PS'!AG25</f>
        <v>1.1499630072090765</v>
      </c>
      <c r="AW28" s="4426">
        <f>'Plan mina PS'!T25</f>
        <v>33.838682543884985</v>
      </c>
      <c r="AX28" s="4427">
        <f t="shared" si="26"/>
        <v>1522.7407144748242</v>
      </c>
      <c r="AY28" s="4420">
        <f>+'Plan mina PS'!AJ25</f>
        <v>4.1969345058076382</v>
      </c>
      <c r="AZ28" s="4421">
        <f>'Plan mina PS'!V25</f>
        <v>182.36834771802469</v>
      </c>
      <c r="BA28" s="3943">
        <f>+('Plan mina PS'!P25*AN28/1000000)*0.78</f>
        <v>8.8703331204126759</v>
      </c>
      <c r="BB28" s="3943">
        <f>+'Plan mina PS'!W25</f>
        <v>38.523613807334328</v>
      </c>
      <c r="BC28" s="4416">
        <f>+'Plan mina PS'!Y25</f>
        <v>84.725226719810948</v>
      </c>
      <c r="BD28" s="4428">
        <f>+'MCP PS'!AU21*100</f>
        <v>74.08057289578727</v>
      </c>
      <c r="BE28" s="4429">
        <f t="shared" si="27"/>
        <v>46101.791666666664</v>
      </c>
      <c r="BF28" s="4424">
        <f t="shared" si="28"/>
        <v>97.887183333333326</v>
      </c>
      <c r="BG28" s="4424">
        <f t="shared" si="29"/>
        <v>98.057573027372229</v>
      </c>
      <c r="BH28" s="3943">
        <f t="shared" si="30"/>
        <v>98.057573027372229</v>
      </c>
      <c r="BI28" s="3943">
        <f t="shared" si="31"/>
        <v>98.057573027372229</v>
      </c>
      <c r="BJ28" s="3943">
        <f t="shared" si="32"/>
        <v>97.132597759803119</v>
      </c>
      <c r="BK28" s="3943">
        <f t="shared" si="33"/>
        <v>23.533817526569337</v>
      </c>
      <c r="BL28" s="3943">
        <f t="shared" si="34"/>
        <v>23.533817526569337</v>
      </c>
      <c r="BM28" s="3943">
        <f t="shared" si="35"/>
        <v>23.533817526569337</v>
      </c>
      <c r="BN28" s="3943">
        <f t="shared" si="36"/>
        <v>23.311823462352748</v>
      </c>
      <c r="BO28" s="4424">
        <f t="shared" si="37"/>
        <v>0.12676900000000002</v>
      </c>
      <c r="BP28" s="4424">
        <f t="shared" si="38"/>
        <v>0.12676900000000002</v>
      </c>
      <c r="BQ28" s="4424">
        <f t="shared" si="39"/>
        <v>0.12676900000000002</v>
      </c>
      <c r="BR28" s="4424">
        <f t="shared" si="40"/>
        <v>0.12676900000000002</v>
      </c>
      <c r="BS28" s="4430">
        <f>+'ST Original'!DL27</f>
        <v>0</v>
      </c>
      <c r="BT28" s="4430">
        <f>+'ST Original'!DM27</f>
        <v>0</v>
      </c>
      <c r="BU28" s="4430">
        <f>+'ST Original'!DN27</f>
        <v>0</v>
      </c>
      <c r="BV28" s="4430">
        <f>+'ST Original'!DO27</f>
        <v>0</v>
      </c>
      <c r="BW28" s="4430">
        <f>+'ST Original'!DP27</f>
        <v>0</v>
      </c>
      <c r="BX28" s="4430">
        <f>+'ST Original'!DQ27</f>
        <v>0</v>
      </c>
      <c r="BY28" s="4430">
        <f>+'ST Original'!DR27</f>
        <v>0</v>
      </c>
      <c r="BZ28" s="4430">
        <f>+'ST Original'!DS27</f>
        <v>0</v>
      </c>
      <c r="CA28" s="4430">
        <f>+'ST Original'!DT27</f>
        <v>0</v>
      </c>
      <c r="CB28" s="4430">
        <f>+'ST Original'!DU27</f>
        <v>0</v>
      </c>
      <c r="CC28" s="4430">
        <f>+'ST Original'!DV27</f>
        <v>0</v>
      </c>
      <c r="CD28" s="4431">
        <f>+'ST Original'!DW27</f>
        <v>7.2602333333333338E-2</v>
      </c>
      <c r="CE28" s="4431">
        <f>+'ST Original'!DX27</f>
        <v>7.2602333333333338E-2</v>
      </c>
      <c r="CF28" s="4431">
        <f>+'ST Original'!DY27</f>
        <v>7.2602333333333338E-2</v>
      </c>
      <c r="CG28" s="4431">
        <f>+'ST Original'!DZ27</f>
        <v>7.2602333333333338E-2</v>
      </c>
      <c r="CH28" s="4431">
        <f>+'ST Original'!EA27</f>
        <v>0</v>
      </c>
      <c r="CI28" s="4431">
        <f>+'ST Original'!EB27</f>
        <v>0</v>
      </c>
      <c r="CJ28" s="4431">
        <f>+'ST Original'!EC27</f>
        <v>0</v>
      </c>
      <c r="CK28" s="4431">
        <f>+'ST Original'!ED27</f>
        <v>0</v>
      </c>
      <c r="CL28" s="4431">
        <f>+'ST Original'!EE27</f>
        <v>0.05</v>
      </c>
      <c r="CM28" s="4431">
        <f>+'ST Original'!EF27</f>
        <v>0.05</v>
      </c>
      <c r="CN28" s="4431">
        <f>+'ST Original'!EG27</f>
        <v>0.05</v>
      </c>
      <c r="CO28" s="4431">
        <f>+'ST Original'!EH27</f>
        <v>0.05</v>
      </c>
      <c r="CP28" s="4431">
        <f>+'ST Original'!EI27</f>
        <v>4.1666666666666666E-3</v>
      </c>
      <c r="CQ28" s="4431">
        <f>+'ST Original'!EJ27</f>
        <v>4.1666666666666666E-3</v>
      </c>
      <c r="CR28" s="4431">
        <f>+'ST Original'!EK27</f>
        <v>4.1666666666666666E-3</v>
      </c>
      <c r="CS28" s="4431">
        <f>+'ST Original'!EL27</f>
        <v>4.1666666666666666E-3</v>
      </c>
      <c r="CT28" s="4432">
        <f>+'MCP PS'!I21</f>
        <v>1.6777768702968465</v>
      </c>
      <c r="CY28" s="4429">
        <f t="shared" si="41"/>
        <v>46101.791666666664</v>
      </c>
      <c r="CZ28" s="4418">
        <f>+'Plan mina PS'!J25</f>
        <v>3.8097763039206416E-2</v>
      </c>
      <c r="DA28" s="4418">
        <f t="shared" si="42"/>
        <v>1.2882215558662122</v>
      </c>
      <c r="DB28" s="4416">
        <f t="shared" si="43"/>
        <v>5072.4600974501136</v>
      </c>
      <c r="DC28" s="4421">
        <f t="shared" si="44"/>
        <v>5072.4600974501136</v>
      </c>
      <c r="DD28" s="4418">
        <f>+'Plan mina PS'!K25</f>
        <v>1.2924056471461232</v>
      </c>
      <c r="DE28" s="4418">
        <f t="shared" si="45"/>
        <v>49.75174247123492</v>
      </c>
      <c r="DF28" s="4416">
        <f t="shared" si="46"/>
        <v>195900.87381689675</v>
      </c>
      <c r="DG28" s="4416">
        <f t="shared" si="47"/>
        <v>195900.87381689675</v>
      </c>
      <c r="DH28" s="4417">
        <f>+'Plan mina PS'!T25</f>
        <v>33.838682543884985</v>
      </c>
      <c r="DI28" s="4416">
        <f t="shared" si="48"/>
        <v>1522.7407144748242</v>
      </c>
      <c r="DJ28" s="4427">
        <f>+'Plan mina PS'!AH62</f>
        <v>0</v>
      </c>
    </row>
    <row r="29" spans="1:114" s="4433" customFormat="1" ht="13.5" customHeight="1" thickBot="1">
      <c r="A29" s="4414"/>
      <c r="B29" s="4415">
        <f t="shared" si="0"/>
        <v>46102.791666666664</v>
      </c>
      <c r="C29" s="4416">
        <f>'Plan mina PS'!M63*1000</f>
        <v>179507.96</v>
      </c>
      <c r="D29" s="4416">
        <f>'Plan mina PS'!L63*1000</f>
        <v>509658.04810321354</v>
      </c>
      <c r="E29" s="4416">
        <f>((('Plan mina PS'!N63*1000)))</f>
        <v>202732.90510208849</v>
      </c>
      <c r="F29" s="4416">
        <f>+'Plan mina PS'!I63*1000</f>
        <v>41570.661094213741</v>
      </c>
      <c r="G29" s="4416">
        <f t="shared" si="1"/>
        <v>161162.24400787475</v>
      </c>
      <c r="H29" s="4417">
        <f t="shared" si="2"/>
        <v>98.057573027372243</v>
      </c>
      <c r="I29" s="4417">
        <f t="shared" si="3"/>
        <v>97.132597759803119</v>
      </c>
      <c r="J29" s="4418">
        <f t="shared" si="4"/>
        <v>97.88718333333334</v>
      </c>
      <c r="K29" s="4419">
        <f>+'Plan mina PS'!D26</f>
        <v>0.55017132477022201</v>
      </c>
      <c r="L29" s="4418">
        <f>'Plan mina PS'!C26</f>
        <v>90.224624853035252</v>
      </c>
      <c r="M29" s="4417">
        <f>'Plan mina PS'!B26</f>
        <v>27.191767251601942</v>
      </c>
      <c r="N29" s="4416">
        <f t="shared" si="5"/>
        <v>3700.9212617490002</v>
      </c>
      <c r="O29" s="4416">
        <f t="shared" si="6"/>
        <v>65395.276767106101</v>
      </c>
      <c r="P29" s="4416">
        <f t="shared" si="7"/>
        <v>1006.345895659838</v>
      </c>
      <c r="Q29" s="4416">
        <f t="shared" si="8"/>
        <v>17405.638204411516</v>
      </c>
      <c r="R29" s="4416">
        <f>+'Plan mina PS'!E26</f>
        <v>171.3053604976626</v>
      </c>
      <c r="S29" s="4418">
        <f t="shared" si="59"/>
        <v>89.995470663076418</v>
      </c>
      <c r="T29" s="4418">
        <f t="shared" si="10"/>
        <v>88.926930362403226</v>
      </c>
      <c r="U29" s="4420">
        <f t="shared" si="11"/>
        <v>80.030209525870987</v>
      </c>
      <c r="V29" s="4417">
        <v>50</v>
      </c>
      <c r="W29" s="4416">
        <f t="shared" si="12"/>
        <v>55.587756502696173</v>
      </c>
      <c r="X29" s="4416">
        <f t="shared" si="13"/>
        <v>1104.662761620345</v>
      </c>
      <c r="Y29" s="4416">
        <f t="shared" si="14"/>
        <v>88.456714722770485</v>
      </c>
      <c r="Z29" s="4416">
        <f t="shared" si="15"/>
        <v>27.793878251348087</v>
      </c>
      <c r="AA29" s="4416">
        <f t="shared" si="16"/>
        <v>552.3313808101725</v>
      </c>
      <c r="AB29" s="4416">
        <v>44.228357361385243</v>
      </c>
      <c r="AC29" s="4416">
        <f>+'ST Original'!AG28</f>
        <v>44.228357361385243</v>
      </c>
      <c r="AD29" s="4416">
        <f t="shared" si="17"/>
        <v>1048.2763324101691</v>
      </c>
      <c r="AE29" s="4416">
        <f t="shared" si="18"/>
        <v>18337.426582247725</v>
      </c>
      <c r="AF29" s="4454">
        <f t="shared" ref="AF29:AF32" si="60">155*24</f>
        <v>3720</v>
      </c>
      <c r="AG29" s="3943">
        <f t="shared" si="53"/>
        <v>27.191767251601942</v>
      </c>
      <c r="AH29" s="4421">
        <f t="shared" si="57"/>
        <v>1011.5337417595922</v>
      </c>
      <c r="AI29" s="4421">
        <f t="shared" si="54"/>
        <v>3720</v>
      </c>
      <c r="AJ29" s="3943">
        <f t="shared" si="55"/>
        <v>25.463830076813228</v>
      </c>
      <c r="AK29" s="4421">
        <f t="shared" si="56"/>
        <v>947.254478857452</v>
      </c>
      <c r="AL29" s="4422">
        <f>+'R+P'!AP28</f>
        <v>2984.2590944903527</v>
      </c>
      <c r="AM29" s="4422">
        <f>+'R+P'!AQ28</f>
        <v>909.36429970315385</v>
      </c>
      <c r="AN29" s="4423">
        <f t="shared" si="52"/>
        <v>8447.2043792536879</v>
      </c>
      <c r="AO29" s="4422">
        <f t="shared" si="19"/>
        <v>6848.1130962252482</v>
      </c>
      <c r="AP29" s="4422">
        <f t="shared" si="20"/>
        <v>1783.2436472139541</v>
      </c>
      <c r="AQ29" s="4421">
        <f t="shared" si="21"/>
        <v>8629.5305387310873</v>
      </c>
      <c r="AR29" s="4424">
        <f t="shared" si="22"/>
        <v>98.057573027372243</v>
      </c>
      <c r="AS29" s="3943">
        <f t="shared" si="23"/>
        <v>98.057573027372229</v>
      </c>
      <c r="AT29" s="3943">
        <f t="shared" si="24"/>
        <v>98.057573027372229</v>
      </c>
      <c r="AU29" s="3943">
        <f t="shared" si="25"/>
        <v>98.057573027372229</v>
      </c>
      <c r="AV29" s="4425">
        <f>+'Plan mina PS'!AG26</f>
        <v>1.3002739296909176</v>
      </c>
      <c r="AW29" s="4426">
        <f>'Plan mina PS'!T26</f>
        <v>29.038000097600129</v>
      </c>
      <c r="AX29" s="4427">
        <f t="shared" si="26"/>
        <v>1306.7100043920059</v>
      </c>
      <c r="AY29" s="4420">
        <f>+'Plan mina PS'!AJ26</f>
        <v>4.2551669079758971</v>
      </c>
      <c r="AZ29" s="4421">
        <f>'Plan mina PS'!V26</f>
        <v>182.41508624975575</v>
      </c>
      <c r="BA29" s="3943">
        <f>+('Plan mina PS'!P26*AN29/1000000)*0.78</f>
        <v>7.0783123847299123</v>
      </c>
      <c r="BB29" s="3943">
        <f>+'Plan mina PS'!W26</f>
        <v>38.468991267239623</v>
      </c>
      <c r="BC29" s="4416">
        <f>+'Plan mina PS'!Y26</f>
        <v>89.785191129797255</v>
      </c>
      <c r="BD29" s="4428">
        <f>+'MCP PS'!AU22*100</f>
        <v>78.744402937491117</v>
      </c>
      <c r="BE29" s="4429">
        <f t="shared" si="27"/>
        <v>46102.791666666664</v>
      </c>
      <c r="BF29" s="4424">
        <f>+SUMPRODUCT(BG29:BJ29,$BS$3:$BV$3)</f>
        <v>97.887183333333326</v>
      </c>
      <c r="BG29" s="4424">
        <f t="shared" si="29"/>
        <v>98.057573027372229</v>
      </c>
      <c r="BH29" s="3943">
        <f t="shared" si="30"/>
        <v>98.057573027372229</v>
      </c>
      <c r="BI29" s="3943">
        <f t="shared" si="31"/>
        <v>98.057573027372229</v>
      </c>
      <c r="BJ29" s="3943">
        <f t="shared" si="32"/>
        <v>97.132597759803119</v>
      </c>
      <c r="BK29" s="3943">
        <f t="shared" si="33"/>
        <v>23.533817526569337</v>
      </c>
      <c r="BL29" s="3943">
        <f t="shared" si="34"/>
        <v>23.533817526569337</v>
      </c>
      <c r="BM29" s="3943">
        <f t="shared" si="35"/>
        <v>23.533817526569337</v>
      </c>
      <c r="BN29" s="3943">
        <f t="shared" si="36"/>
        <v>23.311823462352748</v>
      </c>
      <c r="BO29" s="4424">
        <f t="shared" si="37"/>
        <v>0.12676900000000002</v>
      </c>
      <c r="BP29" s="4424">
        <f t="shared" si="38"/>
        <v>0.12676900000000002</v>
      </c>
      <c r="BQ29" s="4424">
        <f t="shared" si="39"/>
        <v>0.12676900000000002</v>
      </c>
      <c r="BR29" s="4424">
        <f t="shared" si="40"/>
        <v>0.12676900000000002</v>
      </c>
      <c r="BS29" s="4430">
        <f>+'ST Original'!DL28</f>
        <v>0</v>
      </c>
      <c r="BT29" s="4430">
        <f>+'ST Original'!DM28</f>
        <v>0</v>
      </c>
      <c r="BU29" s="4430">
        <f>+'ST Original'!DN28</f>
        <v>0</v>
      </c>
      <c r="BV29" s="4430">
        <f>+'ST Original'!DO28</f>
        <v>0</v>
      </c>
      <c r="BW29" s="4430">
        <f>+'ST Original'!DP28</f>
        <v>0</v>
      </c>
      <c r="BX29" s="4430">
        <f>+'ST Original'!DQ28</f>
        <v>0</v>
      </c>
      <c r="BY29" s="4430">
        <f>+'ST Original'!DR28</f>
        <v>0</v>
      </c>
      <c r="BZ29" s="4430">
        <f>+'ST Original'!DS28</f>
        <v>0</v>
      </c>
      <c r="CA29" s="4430">
        <f>+'ST Original'!DT28</f>
        <v>0</v>
      </c>
      <c r="CB29" s="4430">
        <f>+'ST Original'!DU28</f>
        <v>0</v>
      </c>
      <c r="CC29" s="4430">
        <f>+'ST Original'!DV28</f>
        <v>0</v>
      </c>
      <c r="CD29" s="4431">
        <f>+'ST Original'!DW28</f>
        <v>7.2602333333333338E-2</v>
      </c>
      <c r="CE29" s="4431">
        <f>+'ST Original'!DX28</f>
        <v>7.2602333333333338E-2</v>
      </c>
      <c r="CF29" s="4431">
        <f>+'ST Original'!DY28</f>
        <v>7.2602333333333338E-2</v>
      </c>
      <c r="CG29" s="4431">
        <f>+'ST Original'!DZ28</f>
        <v>7.2602333333333338E-2</v>
      </c>
      <c r="CH29" s="4431">
        <f>+'ST Original'!EA28</f>
        <v>0</v>
      </c>
      <c r="CI29" s="4431">
        <f>+'ST Original'!EB28</f>
        <v>0</v>
      </c>
      <c r="CJ29" s="4431">
        <f>+'ST Original'!EC28</f>
        <v>0</v>
      </c>
      <c r="CK29" s="4431">
        <f>+'ST Original'!ED28</f>
        <v>0</v>
      </c>
      <c r="CL29" s="4431">
        <f>+'ST Original'!EE28</f>
        <v>0.05</v>
      </c>
      <c r="CM29" s="4431">
        <f>+'ST Original'!EF28</f>
        <v>0.05</v>
      </c>
      <c r="CN29" s="4431">
        <f>+'ST Original'!EG28</f>
        <v>0.05</v>
      </c>
      <c r="CO29" s="4431">
        <f>+'ST Original'!EH28</f>
        <v>0.05</v>
      </c>
      <c r="CP29" s="4431">
        <f>+'ST Original'!EI28</f>
        <v>4.1666666666666666E-3</v>
      </c>
      <c r="CQ29" s="4431">
        <f>+'ST Original'!EJ28</f>
        <v>4.1666666666666666E-3</v>
      </c>
      <c r="CR29" s="4431">
        <f>+'ST Original'!EK28</f>
        <v>4.1666666666666666E-3</v>
      </c>
      <c r="CS29" s="4431">
        <f>+'ST Original'!EL28</f>
        <v>4.1666666666666666E-3</v>
      </c>
      <c r="CT29" s="4432">
        <f>+'MCP PS'!I22</f>
        <v>1.5994581648635526</v>
      </c>
      <c r="CY29" s="4429">
        <f t="shared" si="41"/>
        <v>46102.791666666664</v>
      </c>
      <c r="CZ29" s="4418">
        <f>+'Plan mina PS'!J26</f>
        <v>4.4803955211791167E-2</v>
      </c>
      <c r="DA29" s="4418">
        <f t="shared" si="42"/>
        <v>1.5953064068451683</v>
      </c>
      <c r="DB29" s="4416">
        <f t="shared" si="43"/>
        <v>5904.1034000976842</v>
      </c>
      <c r="DC29" s="4421">
        <f t="shared" si="44"/>
        <v>5904.1034000976842</v>
      </c>
      <c r="DD29" s="4418">
        <f>+'Plan mina PS'!K26</f>
        <v>1.4669899335940311</v>
      </c>
      <c r="DE29" s="4418">
        <f t="shared" si="45"/>
        <v>59.466619625093251</v>
      </c>
      <c r="DF29" s="4416">
        <f t="shared" si="46"/>
        <v>220081.27693484796</v>
      </c>
      <c r="DG29" s="4416">
        <f t="shared" si="47"/>
        <v>220081.27693484796</v>
      </c>
      <c r="DH29" s="4417">
        <f>+'Plan mina PS'!T26</f>
        <v>29.038000097600129</v>
      </c>
      <c r="DI29" s="4416">
        <f t="shared" si="48"/>
        <v>1306.7100043920059</v>
      </c>
      <c r="DJ29" s="4427">
        <f>+'Plan mina PS'!AH63</f>
        <v>0</v>
      </c>
    </row>
    <row r="30" spans="1:114" s="4433" customFormat="1" ht="13.5" customHeight="1" thickBot="1">
      <c r="A30" s="4414" t="s">
        <v>329</v>
      </c>
      <c r="B30" s="4415">
        <f t="shared" si="0"/>
        <v>46103.791666666664</v>
      </c>
      <c r="C30" s="4416">
        <f>'Plan mina PS'!M64*1000</f>
        <v>240392</v>
      </c>
      <c r="D30" s="4416">
        <f>'Plan mina PS'!L64*1000</f>
        <v>542416.05002543447</v>
      </c>
      <c r="E30" s="4416">
        <f>((('Plan mina PS'!N64*1000)))</f>
        <v>207633.99807777914</v>
      </c>
      <c r="F30" s="4416">
        <f>+'Plan mina PS'!I64*1000</f>
        <v>42241.024113783184</v>
      </c>
      <c r="G30" s="4416">
        <f t="shared" si="1"/>
        <v>165392.97396399596</v>
      </c>
      <c r="H30" s="4417">
        <f t="shared" si="2"/>
        <v>98.057573027372243</v>
      </c>
      <c r="I30" s="4417">
        <f t="shared" si="3"/>
        <v>97.132597759803119</v>
      </c>
      <c r="J30" s="4418">
        <f t="shared" si="4"/>
        <v>97.88718333333334</v>
      </c>
      <c r="K30" s="4419">
        <f>+'Plan mina PS'!D27</f>
        <v>0.55330404655728971</v>
      </c>
      <c r="L30" s="4418">
        <f>'Plan mina PS'!C27</f>
        <v>89.406958992464013</v>
      </c>
      <c r="M30" s="4417">
        <f>'Plan mina PS'!B27</f>
        <v>23.645726239500451</v>
      </c>
      <c r="N30" s="4416">
        <f t="shared" si="5"/>
        <v>4343.9116057068795</v>
      </c>
      <c r="O30" s="4416">
        <f t="shared" si="6"/>
        <v>69739.188372812976</v>
      </c>
      <c r="P30" s="4416">
        <f t="shared" si="7"/>
        <v>1027.149446371337</v>
      </c>
      <c r="Q30" s="4416">
        <f t="shared" si="8"/>
        <v>18432.787650782855</v>
      </c>
      <c r="R30" s="4416">
        <f>+'Plan mina PS'!E27</f>
        <v>147.0968321741156</v>
      </c>
      <c r="S30" s="4418">
        <f t="shared" si="59"/>
        <v>89.4612626965435</v>
      </c>
      <c r="T30" s="4418">
        <f t="shared" si="10"/>
        <v>88.495258391500073</v>
      </c>
      <c r="U30" s="4420">
        <f t="shared" si="11"/>
        <v>79.168975583604833</v>
      </c>
      <c r="V30" s="4417">
        <v>50</v>
      </c>
      <c r="W30" s="4416">
        <f t="shared" si="12"/>
        <v>48.360057393570472</v>
      </c>
      <c r="X30" s="4416">
        <f t="shared" si="13"/>
        <v>1153.0228190139155</v>
      </c>
      <c r="Y30" s="4416">
        <f t="shared" si="14"/>
        <v>50</v>
      </c>
      <c r="Z30" s="4416">
        <f t="shared" si="15"/>
        <v>24.180028696785236</v>
      </c>
      <c r="AA30" s="4416">
        <f t="shared" si="16"/>
        <v>576.51140950695776</v>
      </c>
      <c r="AB30" s="4416">
        <v>25</v>
      </c>
      <c r="AC30" s="4416">
        <f>+'ST Original'!AG29</f>
        <v>25</v>
      </c>
      <c r="AD30" s="4416">
        <f t="shared" si="17"/>
        <v>1057.8651810852466</v>
      </c>
      <c r="AE30" s="4416">
        <f t="shared" si="18"/>
        <v>19395.291763332971</v>
      </c>
      <c r="AF30" s="4454">
        <f t="shared" si="60"/>
        <v>3720</v>
      </c>
      <c r="AG30" s="3943">
        <f t="shared" si="53"/>
        <v>23.645726239500451</v>
      </c>
      <c r="AH30" s="4421">
        <f t="shared" si="57"/>
        <v>879.62101610941681</v>
      </c>
      <c r="AI30" s="4421">
        <f t="shared" si="54"/>
        <v>3720</v>
      </c>
      <c r="AJ30" s="3943">
        <f t="shared" si="55"/>
        <v>27.191767251601942</v>
      </c>
      <c r="AK30" s="4421">
        <f t="shared" si="56"/>
        <v>1011.5337417595922</v>
      </c>
      <c r="AL30" s="4422">
        <f>+'R+P'!AP29</f>
        <v>2999.8747991020973</v>
      </c>
      <c r="AM30" s="4422">
        <f>+'R+P'!AQ29</f>
        <v>971.07239208920851</v>
      </c>
      <c r="AN30" s="4423">
        <f t="shared" si="52"/>
        <v>8651.4165865741306</v>
      </c>
      <c r="AO30" s="4422">
        <f t="shared" si="19"/>
        <v>7027.8854579062527</v>
      </c>
      <c r="AP30" s="4422">
        <f t="shared" si="20"/>
        <v>1812</v>
      </c>
      <c r="AQ30" s="4421">
        <f t="shared" si="21"/>
        <v>8838.1505034358051</v>
      </c>
      <c r="AR30" s="4424">
        <f t="shared" si="22"/>
        <v>98.057573027372243</v>
      </c>
      <c r="AS30" s="3943">
        <f t="shared" si="23"/>
        <v>98.057573027372229</v>
      </c>
      <c r="AT30" s="3943">
        <f t="shared" si="24"/>
        <v>98.057573027372229</v>
      </c>
      <c r="AU30" s="3943">
        <f t="shared" si="25"/>
        <v>98.057573027372229</v>
      </c>
      <c r="AV30" s="4425">
        <f>+'Plan mina PS'!AG27</f>
        <v>0.9123145242770142</v>
      </c>
      <c r="AW30" s="4426">
        <f>'Plan mina PS'!T27</f>
        <v>27.923885320642949</v>
      </c>
      <c r="AX30" s="4427">
        <f t="shared" si="26"/>
        <v>1256.5748394289326</v>
      </c>
      <c r="AY30" s="4420">
        <f>+'Plan mina PS'!AJ27</f>
        <v>4.165449051016898</v>
      </c>
      <c r="AZ30" s="4421">
        <f>'Plan mina PS'!V27</f>
        <v>191.81143729459416</v>
      </c>
      <c r="BA30" s="3943">
        <f>+('Plan mina PS'!P27*AN30/1000000)*0.78</f>
        <v>9.1910918624959894</v>
      </c>
      <c r="BB30" s="3943">
        <f>+'Plan mina PS'!W27</f>
        <v>39.31624955139938</v>
      </c>
      <c r="BC30" s="4416">
        <f>+'Plan mina PS'!Y27</f>
        <v>81.114557259309791</v>
      </c>
      <c r="BD30" s="4428">
        <f>+'MCP PS'!AU23*100</f>
        <v>52.980890029738006</v>
      </c>
      <c r="BE30" s="4429">
        <f t="shared" si="27"/>
        <v>46103.791666666664</v>
      </c>
      <c r="BF30" s="4424">
        <f t="shared" si="28"/>
        <v>97.887183333333326</v>
      </c>
      <c r="BG30" s="4424">
        <f t="shared" si="29"/>
        <v>98.057573027372229</v>
      </c>
      <c r="BH30" s="3943">
        <f t="shared" si="30"/>
        <v>98.057573027372229</v>
      </c>
      <c r="BI30" s="3943">
        <f t="shared" si="31"/>
        <v>98.057573027372229</v>
      </c>
      <c r="BJ30" s="3943">
        <f t="shared" si="32"/>
        <v>97.132597759803119</v>
      </c>
      <c r="BK30" s="3943">
        <f t="shared" si="33"/>
        <v>23.533817526569337</v>
      </c>
      <c r="BL30" s="3943">
        <f t="shared" si="34"/>
        <v>23.533817526569337</v>
      </c>
      <c r="BM30" s="3943">
        <f t="shared" si="35"/>
        <v>23.533817526569337</v>
      </c>
      <c r="BN30" s="3943">
        <f t="shared" si="36"/>
        <v>23.311823462352748</v>
      </c>
      <c r="BO30" s="4424">
        <f t="shared" si="37"/>
        <v>0.12676900000000002</v>
      </c>
      <c r="BP30" s="4424">
        <f t="shared" si="38"/>
        <v>0.12676900000000002</v>
      </c>
      <c r="BQ30" s="4424">
        <f t="shared" si="39"/>
        <v>0.12676900000000002</v>
      </c>
      <c r="BR30" s="4424">
        <f t="shared" si="40"/>
        <v>0.12676900000000002</v>
      </c>
      <c r="BS30" s="4430">
        <f>+'ST Original'!DL29</f>
        <v>0</v>
      </c>
      <c r="BT30" s="4430">
        <f>+'ST Original'!DM29</f>
        <v>0</v>
      </c>
      <c r="BU30" s="4430">
        <f>+'ST Original'!DN29</f>
        <v>0</v>
      </c>
      <c r="BV30" s="4430">
        <f>+'ST Original'!DO29</f>
        <v>0</v>
      </c>
      <c r="BW30" s="4430">
        <f>+'ST Original'!DP29</f>
        <v>0</v>
      </c>
      <c r="BX30" s="4430">
        <f>+'ST Original'!DQ29</f>
        <v>0</v>
      </c>
      <c r="BY30" s="4430">
        <f>+'ST Original'!DR29</f>
        <v>0</v>
      </c>
      <c r="BZ30" s="4430">
        <f>+'ST Original'!DS29</f>
        <v>0</v>
      </c>
      <c r="CA30" s="4430">
        <f>+'ST Original'!DT29</f>
        <v>0</v>
      </c>
      <c r="CB30" s="4430">
        <f>+'ST Original'!DU29</f>
        <v>0</v>
      </c>
      <c r="CC30" s="4430">
        <f>+'ST Original'!DV29</f>
        <v>0</v>
      </c>
      <c r="CD30" s="4431">
        <f>+'ST Original'!DW29</f>
        <v>7.2602333333333338E-2</v>
      </c>
      <c r="CE30" s="4431">
        <f>+'ST Original'!DX29</f>
        <v>7.2602333333333338E-2</v>
      </c>
      <c r="CF30" s="4431">
        <f>+'ST Original'!DY29</f>
        <v>7.2602333333333338E-2</v>
      </c>
      <c r="CG30" s="4431">
        <f>+'ST Original'!DZ29</f>
        <v>7.2602333333333338E-2</v>
      </c>
      <c r="CH30" s="4431">
        <f>+'ST Original'!EA29</f>
        <v>0</v>
      </c>
      <c r="CI30" s="4431">
        <f>+'ST Original'!EB29</f>
        <v>0</v>
      </c>
      <c r="CJ30" s="4431">
        <f>+'ST Original'!EC29</f>
        <v>0</v>
      </c>
      <c r="CK30" s="4431">
        <f>+'ST Original'!ED29</f>
        <v>0</v>
      </c>
      <c r="CL30" s="4431">
        <f>+'ST Original'!EE29</f>
        <v>0.05</v>
      </c>
      <c r="CM30" s="4431">
        <f>+'ST Original'!EF29</f>
        <v>0.05</v>
      </c>
      <c r="CN30" s="4431">
        <f>+'ST Original'!EG29</f>
        <v>0.05</v>
      </c>
      <c r="CO30" s="4431">
        <f>+'ST Original'!EH29</f>
        <v>0.05</v>
      </c>
      <c r="CP30" s="4431">
        <f>+'ST Original'!EI29</f>
        <v>4.1666666666666666E-3</v>
      </c>
      <c r="CQ30" s="4431">
        <f>+'ST Original'!EJ29</f>
        <v>4.1666666666666666E-3</v>
      </c>
      <c r="CR30" s="4431">
        <f>+'ST Original'!EK29</f>
        <v>4.1666666666666666E-3</v>
      </c>
      <c r="CS30" s="4431">
        <f>+'ST Original'!EL29</f>
        <v>4.1666666666666666E-3</v>
      </c>
      <c r="CT30" s="4432">
        <f>+'MCP PS'!I23</f>
        <v>1.8029979035908017</v>
      </c>
      <c r="CY30" s="4429">
        <f t="shared" si="41"/>
        <v>46103.791666666664</v>
      </c>
      <c r="CZ30" s="4418">
        <f>+'Plan mina PS'!J27</f>
        <v>3.498734666711039E-2</v>
      </c>
      <c r="DA30" s="4418">
        <f t="shared" si="42"/>
        <v>1.0870308064517129</v>
      </c>
      <c r="DB30" s="4416">
        <f t="shared" si="43"/>
        <v>4721.9657359065041</v>
      </c>
      <c r="DC30" s="4421">
        <f t="shared" si="44"/>
        <v>4721.9657359065041</v>
      </c>
      <c r="DD30" s="4418">
        <f>+'Plan mina PS'!K27</f>
        <v>1.2543089588671836</v>
      </c>
      <c r="DE30" s="4418">
        <f t="shared" si="45"/>
        <v>44.366353098216898</v>
      </c>
      <c r="DF30" s="4416">
        <f t="shared" si="46"/>
        <v>192723.51612623376</v>
      </c>
      <c r="DG30" s="4416">
        <f t="shared" si="47"/>
        <v>192723.51612623376</v>
      </c>
      <c r="DH30" s="4417">
        <f>+'Plan mina PS'!T27</f>
        <v>27.923885320642949</v>
      </c>
      <c r="DI30" s="4416">
        <f t="shared" si="48"/>
        <v>1256.5748394289326</v>
      </c>
      <c r="DJ30" s="4427">
        <f>+'Plan mina PS'!AH64</f>
        <v>0</v>
      </c>
    </row>
    <row r="31" spans="1:114" s="4451" customFormat="1" ht="13.5" customHeight="1" thickBot="1">
      <c r="A31" s="4434"/>
      <c r="B31" s="4435">
        <f t="shared" si="0"/>
        <v>46104.791666666664</v>
      </c>
      <c r="C31" s="4436">
        <f>'Plan mina PS'!M65*1000</f>
        <v>239552.08000000002</v>
      </c>
      <c r="D31" s="4436">
        <f>'Plan mina PS'!L65*1000</f>
        <v>584600.42926944082</v>
      </c>
      <c r="E31" s="4436">
        <f>((('Plan mina PS'!N65*1000)))</f>
        <v>197367.70075599366</v>
      </c>
      <c r="F31" s="4436">
        <f>+'Plan mina PS'!I65*1000</f>
        <v>41305.635125511217</v>
      </c>
      <c r="G31" s="4436">
        <f t="shared" si="1"/>
        <v>156062.06563048245</v>
      </c>
      <c r="H31" s="4437">
        <f t="shared" si="2"/>
        <v>94.157059414800372</v>
      </c>
      <c r="I31" s="4437">
        <f t="shared" si="3"/>
        <v>97.132597759803119</v>
      </c>
      <c r="J31" s="4438">
        <f t="shared" si="4"/>
        <v>94.705183333333338</v>
      </c>
      <c r="K31" s="4439">
        <f>+'Plan mina PS'!D28</f>
        <v>0.52512631140585386</v>
      </c>
      <c r="L31" s="4438">
        <f>'Plan mina PS'!C28</f>
        <v>89.808703657913071</v>
      </c>
      <c r="M31" s="4437">
        <f>'Plan mina PS'!B28</f>
        <v>22.937398694023585</v>
      </c>
      <c r="N31" s="4436">
        <f t="shared" si="5"/>
        <v>4058.0194574746279</v>
      </c>
      <c r="O31" s="4436">
        <f t="shared" si="6"/>
        <v>73797.207830287603</v>
      </c>
      <c r="P31" s="4436">
        <f t="shared" si="7"/>
        <v>930.80410204200825</v>
      </c>
      <c r="Q31" s="4436">
        <f t="shared" si="8"/>
        <v>19363.591752824865</v>
      </c>
      <c r="R31" s="4436">
        <f>+'Plan mina PS'!E28</f>
        <v>120.76178708195729</v>
      </c>
      <c r="S31" s="4438">
        <f t="shared" si="59"/>
        <v>88.769570727130684</v>
      </c>
      <c r="T31" s="4438">
        <f t="shared" si="10"/>
        <v>87.936329932173336</v>
      </c>
      <c r="U31" s="4440">
        <f t="shared" si="11"/>
        <v>78.060702593983592</v>
      </c>
      <c r="V31" s="4437">
        <v>50</v>
      </c>
      <c r="W31" s="4436">
        <f t="shared" si="12"/>
        <v>37.210719249358242</v>
      </c>
      <c r="X31" s="4436">
        <f t="shared" si="13"/>
        <v>1190.2335382632737</v>
      </c>
      <c r="Y31" s="4436">
        <f t="shared" si="14"/>
        <v>50</v>
      </c>
      <c r="Z31" s="4436">
        <f t="shared" si="15"/>
        <v>18.605359624679121</v>
      </c>
      <c r="AA31" s="4436">
        <f t="shared" si="16"/>
        <v>595.11676913163683</v>
      </c>
      <c r="AB31" s="4436">
        <v>25</v>
      </c>
      <c r="AC31" s="4436">
        <f>+'ST Original'!AG30</f>
        <v>25</v>
      </c>
      <c r="AD31" s="4436">
        <f t="shared" si="17"/>
        <v>949.10079902859695</v>
      </c>
      <c r="AE31" s="4436">
        <f t="shared" si="18"/>
        <v>20344.392562361569</v>
      </c>
      <c r="AF31" s="4454">
        <f t="shared" si="60"/>
        <v>3720</v>
      </c>
      <c r="AG31" s="3943">
        <f t="shared" si="53"/>
        <v>22.937398694023585</v>
      </c>
      <c r="AH31" s="4441">
        <f t="shared" si="57"/>
        <v>853.27123141767731</v>
      </c>
      <c r="AI31" s="4441">
        <f t="shared" si="54"/>
        <v>3720</v>
      </c>
      <c r="AJ31" s="3943">
        <f t="shared" si="55"/>
        <v>23.645726239500451</v>
      </c>
      <c r="AK31" s="4441">
        <f t="shared" si="56"/>
        <v>879.62101610941681</v>
      </c>
      <c r="AL31" s="4442">
        <f>+'R+P'!AP30</f>
        <v>3051.0578850346888</v>
      </c>
      <c r="AM31" s="4442">
        <f>+'R+P'!AQ30</f>
        <v>844.43617546504015</v>
      </c>
      <c r="AN31" s="4423">
        <f t="shared" si="52"/>
        <v>8223.6541981664031</v>
      </c>
      <c r="AO31" s="4442">
        <f t="shared" si="19"/>
        <v>6906.105722025809</v>
      </c>
      <c r="AP31" s="4442">
        <f t="shared" si="20"/>
        <v>1771.8749111247103</v>
      </c>
      <c r="AQ31" s="4441">
        <f t="shared" si="21"/>
        <v>8683.4256676550121</v>
      </c>
      <c r="AR31" s="4443">
        <f t="shared" si="22"/>
        <v>94.157059414800372</v>
      </c>
      <c r="AS31" s="4444">
        <f t="shared" si="23"/>
        <v>98.057573027372229</v>
      </c>
      <c r="AT31" s="4444">
        <f t="shared" si="24"/>
        <v>98.057573027372229</v>
      </c>
      <c r="AU31" s="4444">
        <f t="shared" si="25"/>
        <v>86.356032189656645</v>
      </c>
      <c r="AV31" s="4445">
        <f>+'Plan mina PS'!AG28</f>
        <v>0.78303007613208775</v>
      </c>
      <c r="AW31" s="4446">
        <f>'Plan mina PS'!T28</f>
        <v>24.100598082888698</v>
      </c>
      <c r="AX31" s="4447">
        <f t="shared" si="26"/>
        <v>1084.5269137299915</v>
      </c>
      <c r="AY31" s="4440">
        <f>+'Plan mina PS'!AJ28</f>
        <v>4.2767305199496732</v>
      </c>
      <c r="AZ31" s="4441">
        <f>'Plan mina PS'!V28</f>
        <v>186.9279204886916</v>
      </c>
      <c r="BA31" s="4444">
        <f>+('Plan mina PS'!P28*AN31/1000000)*0.78</f>
        <v>9.3765287877014494</v>
      </c>
      <c r="BB31" s="4444">
        <f>+'Plan mina PS'!W28</f>
        <v>38.559717584585364</v>
      </c>
      <c r="BC31" s="4436">
        <f>+'Plan mina PS'!Y28</f>
        <v>84.076870053142514</v>
      </c>
      <c r="BD31" s="4428">
        <f>+'MCP PS'!AU24*100</f>
        <v>56.633229817916828</v>
      </c>
      <c r="BE31" s="4448">
        <f t="shared" si="27"/>
        <v>46104.791666666664</v>
      </c>
      <c r="BF31" s="4443">
        <f t="shared" si="28"/>
        <v>94.705183333333324</v>
      </c>
      <c r="BG31" s="4443">
        <f t="shared" si="29"/>
        <v>98.057573027372229</v>
      </c>
      <c r="BH31" s="4444">
        <f t="shared" si="30"/>
        <v>98.057573027372229</v>
      </c>
      <c r="BI31" s="4444">
        <f t="shared" si="31"/>
        <v>86.356032189656645</v>
      </c>
      <c r="BJ31" s="4444">
        <f t="shared" si="32"/>
        <v>97.132597759803119</v>
      </c>
      <c r="BK31" s="4444">
        <f t="shared" si="33"/>
        <v>23.533817526569337</v>
      </c>
      <c r="BL31" s="4444">
        <f t="shared" si="34"/>
        <v>23.533817526569337</v>
      </c>
      <c r="BM31" s="4444">
        <f t="shared" si="35"/>
        <v>20.725447725517597</v>
      </c>
      <c r="BN31" s="4444">
        <f t="shared" si="36"/>
        <v>23.311823462352748</v>
      </c>
      <c r="BO31" s="4443">
        <f t="shared" si="37"/>
        <v>0.12676900000000002</v>
      </c>
      <c r="BP31" s="4443">
        <f t="shared" si="38"/>
        <v>0.12676900000000002</v>
      </c>
      <c r="BQ31" s="4443">
        <f t="shared" si="39"/>
        <v>0.89044900000000005</v>
      </c>
      <c r="BR31" s="4443">
        <f t="shared" si="40"/>
        <v>0.12676900000000002</v>
      </c>
      <c r="BS31" s="4449">
        <f>+'ST Original'!DL30</f>
        <v>0</v>
      </c>
      <c r="BT31" s="4449">
        <f>+'ST Original'!DM30</f>
        <v>0</v>
      </c>
      <c r="BU31" s="4449">
        <f>+'ST Original'!DN30</f>
        <v>0</v>
      </c>
      <c r="BV31" s="4449">
        <f>+'ST Original'!DO30</f>
        <v>0</v>
      </c>
      <c r="BW31" s="4449">
        <f>+'ST Original'!DP30</f>
        <v>0</v>
      </c>
      <c r="BX31" s="4449">
        <f>+'ST Original'!DQ30</f>
        <v>0</v>
      </c>
      <c r="BY31" s="4449">
        <f>+'ST Original'!DR30</f>
        <v>0</v>
      </c>
      <c r="BZ31" s="4449">
        <f>+'ST Original'!DS30</f>
        <v>0</v>
      </c>
      <c r="CA31" s="4449">
        <f>+'ST Original'!DT30</f>
        <v>0</v>
      </c>
      <c r="CB31" s="4449">
        <v>6</v>
      </c>
      <c r="CC31" s="4449">
        <f>+'ST Original'!DV30</f>
        <v>0</v>
      </c>
      <c r="CD31" s="4450">
        <f>+'ST Original'!DW30</f>
        <v>7.2602333333333338E-2</v>
      </c>
      <c r="CE31" s="4450">
        <f>+'ST Original'!DX30</f>
        <v>7.2602333333333338E-2</v>
      </c>
      <c r="CF31" s="4450">
        <f>+'ST Original'!DY30</f>
        <v>7.2602333333333338E-2</v>
      </c>
      <c r="CG31" s="4450">
        <f>+'ST Original'!DZ30</f>
        <v>7.2602333333333338E-2</v>
      </c>
      <c r="CH31" s="4450">
        <f>+'ST Original'!EA30</f>
        <v>0</v>
      </c>
      <c r="CI31" s="4450">
        <f>+'ST Original'!EB30</f>
        <v>0</v>
      </c>
      <c r="CJ31" s="4450">
        <f>+'ST Original'!EC30</f>
        <v>0</v>
      </c>
      <c r="CK31" s="4450">
        <f>+'ST Original'!ED30</f>
        <v>0</v>
      </c>
      <c r="CL31" s="4450">
        <f>+'ST Original'!EE30</f>
        <v>0.05</v>
      </c>
      <c r="CM31" s="4450">
        <f>+'ST Original'!EF30</f>
        <v>0.05</v>
      </c>
      <c r="CN31" s="4450">
        <f>+'ST Original'!EG30</f>
        <v>0.05</v>
      </c>
      <c r="CO31" s="4450">
        <f>+'ST Original'!EH30</f>
        <v>0.05</v>
      </c>
      <c r="CP31" s="4450">
        <f>+'ST Original'!EI30</f>
        <v>4.1666666666666666E-3</v>
      </c>
      <c r="CQ31" s="4450">
        <f>+'ST Original'!EJ30</f>
        <v>4.1666666666666666E-3</v>
      </c>
      <c r="CR31" s="4450">
        <f>+'ST Original'!EK30</f>
        <v>4.1666666666666666E-3</v>
      </c>
      <c r="CS31" s="4450">
        <f>+'ST Original'!EL30</f>
        <v>4.1666666666666666E-3</v>
      </c>
      <c r="CT31" s="4432">
        <f>+'MCP PS'!I24</f>
        <v>1.6729225938676884</v>
      </c>
      <c r="CY31" s="4448">
        <f t="shared" si="41"/>
        <v>46104.791666666664</v>
      </c>
      <c r="CZ31" s="4438">
        <f>+'Plan mina PS'!J28</f>
        <v>4.0616084485678439E-2</v>
      </c>
      <c r="DA31" s="4438">
        <f t="shared" si="42"/>
        <v>1.2840246677537717</v>
      </c>
      <c r="DB31" s="4436">
        <f t="shared" si="43"/>
        <v>5210.5970856222002</v>
      </c>
      <c r="DC31" s="4441">
        <f t="shared" si="44"/>
        <v>5210.5970856222002</v>
      </c>
      <c r="DD31" s="4438">
        <f>+'Plan mina PS'!K28</f>
        <v>1.1850815318322427</v>
      </c>
      <c r="DE31" s="4438">
        <f t="shared" si="45"/>
        <v>42.652246126942444</v>
      </c>
      <c r="DF31" s="4436">
        <f t="shared" si="46"/>
        <v>173083.64468812928</v>
      </c>
      <c r="DG31" s="4436">
        <f t="shared" si="47"/>
        <v>173083.64468812928</v>
      </c>
      <c r="DH31" s="4437">
        <f>+'Plan mina PS'!T28</f>
        <v>24.100598082888698</v>
      </c>
      <c r="DI31" s="4436">
        <f t="shared" si="48"/>
        <v>1084.5269137299915</v>
      </c>
      <c r="DJ31" s="4447">
        <f>+'Plan mina PS'!AH65</f>
        <v>0</v>
      </c>
    </row>
    <row r="32" spans="1:114" s="4433" customFormat="1" ht="13.5" customHeight="1" thickBot="1">
      <c r="A32" s="4414"/>
      <c r="B32" s="4415">
        <f t="shared" si="0"/>
        <v>46105.791666666664</v>
      </c>
      <c r="C32" s="4416">
        <f>'Plan mina PS'!M66*1000</f>
        <v>179569.56</v>
      </c>
      <c r="D32" s="4416">
        <f>'Plan mina PS'!L66*1000</f>
        <v>563801.60149895621</v>
      </c>
      <c r="E32" s="4416">
        <f>((('Plan mina PS'!N66*1000)))</f>
        <v>200368.38777048467</v>
      </c>
      <c r="F32" s="4416">
        <f>+'Plan mina PS'!I66*1000</f>
        <v>40605.120557599002</v>
      </c>
      <c r="G32" s="4416">
        <f t="shared" si="1"/>
        <v>159763.26721288566</v>
      </c>
      <c r="H32" s="4417">
        <f t="shared" si="2"/>
        <v>98.057573027372243</v>
      </c>
      <c r="I32" s="4417">
        <f t="shared" si="3"/>
        <v>97.132597759803119</v>
      </c>
      <c r="J32" s="4418">
        <f t="shared" si="4"/>
        <v>97.88718333333334</v>
      </c>
      <c r="K32" s="4419">
        <f>+'Plan mina PS'!D29</f>
        <v>0.50473815027446745</v>
      </c>
      <c r="L32" s="4418">
        <f>'Plan mina PS'!C29</f>
        <v>90.300288436071995</v>
      </c>
      <c r="M32" s="4417">
        <f>'Plan mina PS'!B29</f>
        <v>24.166962778076822</v>
      </c>
      <c r="N32" s="4416">
        <f t="shared" si="5"/>
        <v>3778.8739001934809</v>
      </c>
      <c r="O32" s="4416">
        <f t="shared" si="6"/>
        <v>77576.081730481092</v>
      </c>
      <c r="P32" s="4416">
        <f t="shared" si="7"/>
        <v>913.23904889021844</v>
      </c>
      <c r="Q32" s="4416">
        <f t="shared" si="8"/>
        <v>20276.830801715085</v>
      </c>
      <c r="R32" s="4416">
        <f>+'Plan mina PS'!E29</f>
        <v>118.87148244947528</v>
      </c>
      <c r="S32" s="4418">
        <f t="shared" si="59"/>
        <v>88.714251925800397</v>
      </c>
      <c r="T32" s="4418">
        <f t="shared" si="10"/>
        <v>87.891629033844865</v>
      </c>
      <c r="U32" s="4420">
        <f t="shared" si="11"/>
        <v>77.97240120277506</v>
      </c>
      <c r="V32" s="4417">
        <v>50</v>
      </c>
      <c r="W32" s="4416">
        <f t="shared" si="12"/>
        <v>37.143069161622357</v>
      </c>
      <c r="X32" s="4416">
        <f t="shared" si="13"/>
        <v>1227.3766074248961</v>
      </c>
      <c r="Y32" s="4416">
        <f t="shared" si="14"/>
        <v>50</v>
      </c>
      <c r="Z32" s="4416">
        <f t="shared" si="15"/>
        <v>18.571534580811178</v>
      </c>
      <c r="AA32" s="4416">
        <f t="shared" si="16"/>
        <v>613.68830371244803</v>
      </c>
      <c r="AB32" s="4416">
        <v>25</v>
      </c>
      <c r="AC32" s="4416">
        <f>+'ST Original'!AG31</f>
        <v>25</v>
      </c>
      <c r="AD32" s="4416">
        <f t="shared" si="17"/>
        <v>932.10564938841287</v>
      </c>
      <c r="AE32" s="4416">
        <f t="shared" si="18"/>
        <v>21276.498211749982</v>
      </c>
      <c r="AF32" s="4454">
        <f t="shared" si="60"/>
        <v>3720</v>
      </c>
      <c r="AG32" s="3943">
        <f t="shared" si="53"/>
        <v>24.166962778076822</v>
      </c>
      <c r="AH32" s="4421">
        <f t="shared" si="57"/>
        <v>899.01101534445786</v>
      </c>
      <c r="AI32" s="4421">
        <f t="shared" si="54"/>
        <v>3720</v>
      </c>
      <c r="AJ32" s="3943">
        <f t="shared" si="55"/>
        <v>22.937398694023585</v>
      </c>
      <c r="AK32" s="4421">
        <f t="shared" si="56"/>
        <v>853.27123141767731</v>
      </c>
      <c r="AL32" s="4422">
        <f>+'R+P'!AP31</f>
        <v>3111.0257025072297</v>
      </c>
      <c r="AM32" s="4422">
        <f>+'R+P'!AQ31</f>
        <v>819.14038216097015</v>
      </c>
      <c r="AN32" s="4423">
        <f t="shared" si="52"/>
        <v>8348.6828237701939</v>
      </c>
      <c r="AO32" s="4422">
        <f t="shared" si="19"/>
        <v>6788.6677132817595</v>
      </c>
      <c r="AP32" s="4422">
        <f t="shared" si="20"/>
        <v>1741.8251567996788</v>
      </c>
      <c r="AQ32" s="4421">
        <f t="shared" si="21"/>
        <v>8528.8824741647586</v>
      </c>
      <c r="AR32" s="4424">
        <f t="shared" si="22"/>
        <v>98.057573027372243</v>
      </c>
      <c r="AS32" s="3943">
        <f t="shared" si="23"/>
        <v>98.057573027372229</v>
      </c>
      <c r="AT32" s="3943">
        <f t="shared" si="24"/>
        <v>98.057573027372229</v>
      </c>
      <c r="AU32" s="3943">
        <f t="shared" si="25"/>
        <v>98.057573027372229</v>
      </c>
      <c r="AV32" s="4425">
        <f>+'Plan mina PS'!AG29</f>
        <v>0.89548940544265954</v>
      </c>
      <c r="AW32" s="4426">
        <f>'Plan mina PS'!T29</f>
        <v>27.104588550531616</v>
      </c>
      <c r="AX32" s="4427">
        <f t="shared" si="26"/>
        <v>1219.7064847739227</v>
      </c>
      <c r="AY32" s="4420">
        <f>+'Plan mina PS'!AJ29</f>
        <v>4.2962545068139528</v>
      </c>
      <c r="AZ32" s="4421">
        <f>'Plan mina PS'!V29</f>
        <v>181.97937317159295</v>
      </c>
      <c r="BA32" s="3943">
        <f>+('Plan mina PS'!P29*AN32/1000000)*0.78</f>
        <v>10.606922473444</v>
      </c>
      <c r="BB32" s="3943">
        <f>+'Plan mina PS'!W29</f>
        <v>37.635390704304228</v>
      </c>
      <c r="BC32" s="4416">
        <f>+'Plan mina PS'!Y29</f>
        <v>87.543521444280415</v>
      </c>
      <c r="BD32" s="4428">
        <f>+'MCP PS'!AU25*100</f>
        <v>68.075881012349754</v>
      </c>
      <c r="BE32" s="4429">
        <f t="shared" si="27"/>
        <v>46105.791666666664</v>
      </c>
      <c r="BF32" s="4424">
        <f t="shared" si="28"/>
        <v>97.887183333333326</v>
      </c>
      <c r="BG32" s="4424">
        <f t="shared" si="29"/>
        <v>98.057573027372229</v>
      </c>
      <c r="BH32" s="3943">
        <f t="shared" si="30"/>
        <v>98.057573027372229</v>
      </c>
      <c r="BI32" s="3943">
        <f t="shared" si="31"/>
        <v>98.057573027372229</v>
      </c>
      <c r="BJ32" s="3943">
        <f t="shared" si="32"/>
        <v>97.132597759803119</v>
      </c>
      <c r="BK32" s="3943">
        <f t="shared" si="33"/>
        <v>23.533817526569337</v>
      </c>
      <c r="BL32" s="3943">
        <f t="shared" si="34"/>
        <v>23.533817526569337</v>
      </c>
      <c r="BM32" s="3943">
        <f t="shared" si="35"/>
        <v>23.533817526569337</v>
      </c>
      <c r="BN32" s="3943">
        <f t="shared" si="36"/>
        <v>23.311823462352748</v>
      </c>
      <c r="BO32" s="4424">
        <f t="shared" si="37"/>
        <v>0.12676900000000002</v>
      </c>
      <c r="BP32" s="4424">
        <f t="shared" si="38"/>
        <v>0.12676900000000002</v>
      </c>
      <c r="BQ32" s="4424">
        <f t="shared" si="39"/>
        <v>0.12676900000000002</v>
      </c>
      <c r="BR32" s="4424">
        <f t="shared" si="40"/>
        <v>0.12676900000000002</v>
      </c>
      <c r="BS32" s="4430">
        <f>+'ST Original'!DL31</f>
        <v>0</v>
      </c>
      <c r="BT32" s="4430">
        <f>+'ST Original'!DM31</f>
        <v>0</v>
      </c>
      <c r="BU32" s="4430">
        <f>+'ST Original'!DN31</f>
        <v>0</v>
      </c>
      <c r="BV32" s="4430">
        <f>+'ST Original'!DO31</f>
        <v>0</v>
      </c>
      <c r="BW32" s="4430">
        <f>+'ST Original'!DP31</f>
        <v>0</v>
      </c>
      <c r="BX32" s="4430">
        <f>+'ST Original'!DQ31</f>
        <v>0</v>
      </c>
      <c r="BY32" s="4430">
        <f>+'ST Original'!DR31</f>
        <v>0</v>
      </c>
      <c r="BZ32" s="4430">
        <f>+'ST Original'!DS31</f>
        <v>0</v>
      </c>
      <c r="CA32" s="4430">
        <f>+'ST Original'!DT31</f>
        <v>0</v>
      </c>
      <c r="CB32" s="4430">
        <f>+'ST Original'!DU31</f>
        <v>0</v>
      </c>
      <c r="CC32" s="4430">
        <f>+'ST Original'!DV31</f>
        <v>0</v>
      </c>
      <c r="CD32" s="4431">
        <f>+'ST Original'!DW31</f>
        <v>7.2602333333333338E-2</v>
      </c>
      <c r="CE32" s="4431">
        <f>+'ST Original'!DX31</f>
        <v>7.2602333333333338E-2</v>
      </c>
      <c r="CF32" s="4431">
        <f>+'ST Original'!DY31</f>
        <v>7.2602333333333338E-2</v>
      </c>
      <c r="CG32" s="4431">
        <f>+'ST Original'!DZ31</f>
        <v>7.2602333333333338E-2</v>
      </c>
      <c r="CH32" s="4431">
        <f>+'ST Original'!EA31</f>
        <v>0</v>
      </c>
      <c r="CI32" s="4431">
        <f>+'ST Original'!EB31</f>
        <v>0</v>
      </c>
      <c r="CJ32" s="4431">
        <f>+'ST Original'!EC31</f>
        <v>0</v>
      </c>
      <c r="CK32" s="4431">
        <f>+'ST Original'!ED31</f>
        <v>0</v>
      </c>
      <c r="CL32" s="4431">
        <f>+'ST Original'!EE31</f>
        <v>0.05</v>
      </c>
      <c r="CM32" s="4431">
        <f>+'ST Original'!EF31</f>
        <v>0.05</v>
      </c>
      <c r="CN32" s="4431">
        <f>+'ST Original'!EG31</f>
        <v>0.05</v>
      </c>
      <c r="CO32" s="4431">
        <f>+'ST Original'!EH31</f>
        <v>0.05</v>
      </c>
      <c r="CP32" s="4431">
        <f>+'ST Original'!EI31</f>
        <v>4.1666666666666666E-3</v>
      </c>
      <c r="CQ32" s="4431">
        <f>+'ST Original'!EJ31</f>
        <v>4.1666666666666666E-3</v>
      </c>
      <c r="CR32" s="4431">
        <f>+'ST Original'!EK31</f>
        <v>4.1666666666666666E-3</v>
      </c>
      <c r="CS32" s="4431">
        <f>+'ST Original'!EL31</f>
        <v>4.1666666666666666E-3</v>
      </c>
      <c r="CT32" s="4432">
        <f>+'MCP PS'!I25</f>
        <v>1.7315279150876128</v>
      </c>
      <c r="CY32" s="4429">
        <f t="shared" si="41"/>
        <v>46105.791666666664</v>
      </c>
      <c r="CZ32" s="4418">
        <f>+'Plan mina PS'!J29</f>
        <v>4.1052260305143029E-2</v>
      </c>
      <c r="DA32" s="4418">
        <f t="shared" si="42"/>
        <v>1.4148722685124535</v>
      </c>
      <c r="DB32" s="4416">
        <f t="shared" si="43"/>
        <v>5346.6238875892532</v>
      </c>
      <c r="DC32" s="4421">
        <f t="shared" si="44"/>
        <v>5346.6238875892532</v>
      </c>
      <c r="DD32" s="4418">
        <f>+'Plan mina PS'!K29</f>
        <v>1.162672225960792</v>
      </c>
      <c r="DE32" s="4418">
        <f t="shared" si="45"/>
        <v>45.620056801293096</v>
      </c>
      <c r="DF32" s="4416">
        <f t="shared" si="46"/>
        <v>172392.44197175058</v>
      </c>
      <c r="DG32" s="4416">
        <f t="shared" si="47"/>
        <v>172392.44197175058</v>
      </c>
      <c r="DH32" s="4417">
        <f>+'Plan mina PS'!T29</f>
        <v>27.104588550531616</v>
      </c>
      <c r="DI32" s="4416">
        <f t="shared" si="48"/>
        <v>1219.7064847739227</v>
      </c>
      <c r="DJ32" s="4427">
        <f>+'Plan mina PS'!AH66</f>
        <v>0</v>
      </c>
    </row>
    <row r="33" spans="1:116" s="4433" customFormat="1" ht="13.5" customHeight="1" thickBot="1">
      <c r="A33" s="4414"/>
      <c r="B33" s="4415">
        <f t="shared" si="0"/>
        <v>46106.791666666664</v>
      </c>
      <c r="C33" s="4416">
        <f>'Plan mina PS'!M67*1000</f>
        <v>240172.9964</v>
      </c>
      <c r="D33" s="4416">
        <f>'Plan mina PS'!L67*1000</f>
        <v>606679.40354647627</v>
      </c>
      <c r="E33" s="4416">
        <f>((('Plan mina PS'!N67*1000)))</f>
        <v>197295.19435247991</v>
      </c>
      <c r="F33" s="4416">
        <f>+'Plan mina PS'!I67*1000</f>
        <v>39982.330752164009</v>
      </c>
      <c r="G33" s="4416">
        <f t="shared" si="1"/>
        <v>157312.8636003159</v>
      </c>
      <c r="H33" s="4417">
        <f t="shared" si="2"/>
        <v>98.057573027372243</v>
      </c>
      <c r="I33" s="4417">
        <f t="shared" si="3"/>
        <v>97.132597759803119</v>
      </c>
      <c r="J33" s="4418">
        <f t="shared" si="4"/>
        <v>97.88718333333334</v>
      </c>
      <c r="K33" s="4419">
        <f>+'Plan mina PS'!D30</f>
        <v>0.48892696357468995</v>
      </c>
      <c r="L33" s="4418">
        <f>'Plan mina PS'!C30</f>
        <v>90.184668922599528</v>
      </c>
      <c r="M33" s="4417">
        <f>'Plan mina PS'!B30</f>
        <v>25.229869264557234</v>
      </c>
      <c r="N33" s="4416">
        <f t="shared" si="5"/>
        <v>3448.0869652046572</v>
      </c>
      <c r="O33" s="4416">
        <f t="shared" si="6"/>
        <v>81024.168695685745</v>
      </c>
      <c r="P33" s="4416">
        <f t="shared" si="7"/>
        <v>869.94783344937412</v>
      </c>
      <c r="Q33" s="4416">
        <f t="shared" si="8"/>
        <v>21146.778635164457</v>
      </c>
      <c r="R33" s="4416">
        <f>+'Plan mina PS'!E30</f>
        <v>175.58163669109402</v>
      </c>
      <c r="S33" s="4418">
        <f t="shared" si="59"/>
        <v>90.08192340961898</v>
      </c>
      <c r="T33" s="4418">
        <f t="shared" si="10"/>
        <v>88.996789349591722</v>
      </c>
      <c r="U33" s="4420">
        <f t="shared" si="11"/>
        <v>80.170019618919156</v>
      </c>
      <c r="V33" s="4417">
        <v>50</v>
      </c>
      <c r="W33" s="4416">
        <f t="shared" si="12"/>
        <v>55.544055414316496</v>
      </c>
      <c r="X33" s="4416">
        <f t="shared" si="13"/>
        <v>1282.9206628392126</v>
      </c>
      <c r="Y33" s="4416">
        <f t="shared" si="14"/>
        <v>50</v>
      </c>
      <c r="Z33" s="4416">
        <f t="shared" si="15"/>
        <v>27.772027707158248</v>
      </c>
      <c r="AA33" s="4416">
        <f t="shared" si="16"/>
        <v>641.46033141960629</v>
      </c>
      <c r="AB33" s="4416">
        <v>25</v>
      </c>
      <c r="AC33" s="4416">
        <f>+'ST Original'!AG32</f>
        <v>25</v>
      </c>
      <c r="AD33" s="4416">
        <f t="shared" si="17"/>
        <v>916.99836855973433</v>
      </c>
      <c r="AE33" s="4416">
        <f t="shared" si="18"/>
        <v>22193.496580309715</v>
      </c>
      <c r="AF33" s="4454">
        <v>4366</v>
      </c>
      <c r="AG33" s="3943">
        <f t="shared" si="53"/>
        <v>25.229869264557234</v>
      </c>
      <c r="AH33" s="4421">
        <f t="shared" si="57"/>
        <v>1101.5360920905689</v>
      </c>
      <c r="AI33" s="4421">
        <f t="shared" si="54"/>
        <v>3720</v>
      </c>
      <c r="AJ33" s="3943">
        <f t="shared" si="55"/>
        <v>24.166962778076822</v>
      </c>
      <c r="AK33" s="4421">
        <f t="shared" si="56"/>
        <v>899.01101534445786</v>
      </c>
      <c r="AL33" s="4422">
        <f>+'R+P'!AP32</f>
        <v>3081.9625206121459</v>
      </c>
      <c r="AM33" s="4422">
        <f>+'R+P'!AQ32</f>
        <v>863.0505747306795</v>
      </c>
      <c r="AN33" s="4423">
        <f t="shared" si="52"/>
        <v>8220.6330980199964</v>
      </c>
      <c r="AO33" s="4422">
        <f t="shared" si="19"/>
        <v>6684.5450561818952</v>
      </c>
      <c r="AP33" s="4422">
        <f t="shared" si="20"/>
        <v>1715.1095373012399</v>
      </c>
      <c r="AQ33" s="4421">
        <f t="shared" si="21"/>
        <v>8398.0688973616016</v>
      </c>
      <c r="AR33" s="4424">
        <f t="shared" si="22"/>
        <v>98.057573027372243</v>
      </c>
      <c r="AS33" s="3943">
        <f t="shared" si="23"/>
        <v>98.057573027372229</v>
      </c>
      <c r="AT33" s="3943">
        <f t="shared" si="24"/>
        <v>98.057573027372229</v>
      </c>
      <c r="AU33" s="3943">
        <f t="shared" si="25"/>
        <v>98.057573027372229</v>
      </c>
      <c r="AV33" s="4425">
        <f>+'Plan mina PS'!AG30</f>
        <v>0.96581817638268475</v>
      </c>
      <c r="AW33" s="4426">
        <f>'Plan mina PS'!T30</f>
        <v>25.698208431056358</v>
      </c>
      <c r="AX33" s="4427">
        <f t="shared" si="26"/>
        <v>1156.4193793975362</v>
      </c>
      <c r="AY33" s="4420">
        <f>+'Plan mina PS'!AJ30</f>
        <v>4.2745707218298765</v>
      </c>
      <c r="AZ33" s="4421">
        <f>'Plan mina PS'!V30</f>
        <v>185.21879985276652</v>
      </c>
      <c r="BA33" s="3943">
        <f>+('Plan mina PS'!P30*AN33/1000000)*0.78</f>
        <v>9.6731308251720716</v>
      </c>
      <c r="BB33" s="3943">
        <f>+'Plan mina PS'!W30</f>
        <v>36.531048012461845</v>
      </c>
      <c r="BC33" s="4416">
        <f>+'Plan mina PS'!Y30</f>
        <v>86.154996684978286</v>
      </c>
      <c r="BD33" s="4428">
        <f>+'MCP PS'!AU26*100</f>
        <v>71.768111414542958</v>
      </c>
      <c r="BE33" s="4429">
        <f t="shared" si="27"/>
        <v>46106.791666666664</v>
      </c>
      <c r="BF33" s="4424">
        <f t="shared" si="28"/>
        <v>97.887183333333326</v>
      </c>
      <c r="BG33" s="4424">
        <f t="shared" si="29"/>
        <v>98.057573027372229</v>
      </c>
      <c r="BH33" s="3943">
        <f t="shared" si="30"/>
        <v>98.057573027372229</v>
      </c>
      <c r="BI33" s="3943">
        <f t="shared" si="31"/>
        <v>98.057573027372229</v>
      </c>
      <c r="BJ33" s="3943">
        <f t="shared" si="32"/>
        <v>97.132597759803119</v>
      </c>
      <c r="BK33" s="3943">
        <f t="shared" si="33"/>
        <v>23.533817526569337</v>
      </c>
      <c r="BL33" s="3943">
        <f t="shared" si="34"/>
        <v>23.533817526569337</v>
      </c>
      <c r="BM33" s="3943">
        <f t="shared" si="35"/>
        <v>23.533817526569337</v>
      </c>
      <c r="BN33" s="3943">
        <f t="shared" si="36"/>
        <v>23.311823462352748</v>
      </c>
      <c r="BO33" s="4424">
        <f t="shared" si="37"/>
        <v>0.12676900000000002</v>
      </c>
      <c r="BP33" s="4424">
        <f t="shared" si="38"/>
        <v>0.12676900000000002</v>
      </c>
      <c r="BQ33" s="4424">
        <f t="shared" si="39"/>
        <v>0.12676900000000002</v>
      </c>
      <c r="BR33" s="4424">
        <f t="shared" si="40"/>
        <v>0.12676900000000002</v>
      </c>
      <c r="BS33" s="4430">
        <f>+'ST Original'!DL32</f>
        <v>0</v>
      </c>
      <c r="BT33" s="4430">
        <f>+'ST Original'!DM32</f>
        <v>0</v>
      </c>
      <c r="BU33" s="4430">
        <f>+'ST Original'!DN32</f>
        <v>0</v>
      </c>
      <c r="BV33" s="4430">
        <f>+'ST Original'!DO32</f>
        <v>0</v>
      </c>
      <c r="BW33" s="4430">
        <f>+'ST Original'!DP32</f>
        <v>0</v>
      </c>
      <c r="BX33" s="4430">
        <f>+'ST Original'!DQ32</f>
        <v>0</v>
      </c>
      <c r="BY33" s="4430">
        <f>+'ST Original'!DR32</f>
        <v>0</v>
      </c>
      <c r="BZ33" s="4430">
        <f>+'ST Original'!DS32</f>
        <v>0</v>
      </c>
      <c r="CA33" s="4430">
        <f>+'ST Original'!DT32</f>
        <v>0</v>
      </c>
      <c r="CB33" s="4430">
        <v>0</v>
      </c>
      <c r="CC33" s="4430">
        <f>+'ST Original'!DV32</f>
        <v>0</v>
      </c>
      <c r="CD33" s="4431">
        <f>+'ST Original'!DW32</f>
        <v>7.2602333333333338E-2</v>
      </c>
      <c r="CE33" s="4431">
        <f>+'ST Original'!DX32</f>
        <v>7.2602333333333338E-2</v>
      </c>
      <c r="CF33" s="4431">
        <f>+'ST Original'!DY32</f>
        <v>7.2602333333333338E-2</v>
      </c>
      <c r="CG33" s="4431">
        <f>+'ST Original'!DZ32</f>
        <v>7.2602333333333338E-2</v>
      </c>
      <c r="CH33" s="4431">
        <f>+'ST Original'!EA32</f>
        <v>0</v>
      </c>
      <c r="CI33" s="4431">
        <f>+'ST Original'!EB32</f>
        <v>0</v>
      </c>
      <c r="CJ33" s="4431">
        <f>+'ST Original'!EC32</f>
        <v>0</v>
      </c>
      <c r="CK33" s="4431">
        <f>+'ST Original'!ED32</f>
        <v>0</v>
      </c>
      <c r="CL33" s="4431">
        <f>+'ST Original'!EE32</f>
        <v>0.05</v>
      </c>
      <c r="CM33" s="4431">
        <f>+'ST Original'!EF32</f>
        <v>0.05</v>
      </c>
      <c r="CN33" s="4431">
        <f>+'ST Original'!EG32</f>
        <v>0.05</v>
      </c>
      <c r="CO33" s="4431">
        <f>+'ST Original'!EH32</f>
        <v>0.05</v>
      </c>
      <c r="CP33" s="4431">
        <f>+'ST Original'!EI32</f>
        <v>4.1666666666666666E-3</v>
      </c>
      <c r="CQ33" s="4431">
        <f>+'ST Original'!EJ32</f>
        <v>4.1666666666666666E-3</v>
      </c>
      <c r="CR33" s="4431">
        <f>+'ST Original'!EK32</f>
        <v>4.1666666666666666E-3</v>
      </c>
      <c r="CS33" s="4431">
        <f>+'ST Original'!EL32</f>
        <v>4.1666666666666666E-3</v>
      </c>
      <c r="CT33" s="4432">
        <f>+'MCP PS'!I26</f>
        <v>1.540893243389915</v>
      </c>
      <c r="CY33" s="4429">
        <f t="shared" si="41"/>
        <v>46106.791666666664</v>
      </c>
      <c r="CZ33" s="4418">
        <f>+'Plan mina PS'!J30</f>
        <v>3.5494952594096865E-2</v>
      </c>
      <c r="DA33" s="4418">
        <f t="shared" si="42"/>
        <v>1.3201347201547993</v>
      </c>
      <c r="DB33" s="4416">
        <f t="shared" si="43"/>
        <v>4551.939320879861</v>
      </c>
      <c r="DC33" s="4421">
        <f t="shared" si="44"/>
        <v>4551.939320879861</v>
      </c>
      <c r="DD33" s="4418">
        <f>+'Plan mina PS'!K30</f>
        <v>1.2204545807489053</v>
      </c>
      <c r="DE33" s="4418">
        <f t="shared" si="45"/>
        <v>51.676327001449046</v>
      </c>
      <c r="DF33" s="4416">
        <f t="shared" si="46"/>
        <v>178184.46954334993</v>
      </c>
      <c r="DG33" s="4416">
        <f t="shared" si="47"/>
        <v>178184.46954334993</v>
      </c>
      <c r="DH33" s="4417">
        <f>+'Plan mina PS'!T30</f>
        <v>25.698208431056358</v>
      </c>
      <c r="DI33" s="4416">
        <f t="shared" si="48"/>
        <v>1156.4193793975362</v>
      </c>
      <c r="DJ33" s="4427">
        <f>+'Plan mina PS'!AH67</f>
        <v>0</v>
      </c>
    </row>
    <row r="34" spans="1:116" s="4433" customFormat="1" ht="13.5" customHeight="1" thickBot="1">
      <c r="A34" s="4414"/>
      <c r="B34" s="4415">
        <f t="shared" si="0"/>
        <v>46107.791666666664</v>
      </c>
      <c r="C34" s="4416">
        <f>'Plan mina PS'!M68*1000</f>
        <v>222119.04000000001</v>
      </c>
      <c r="D34" s="4416">
        <f>'Plan mina PS'!L68*1000</f>
        <v>634601.41470351326</v>
      </c>
      <c r="E34" s="4416">
        <f>((('Plan mina PS'!N68*1000)))</f>
        <v>194197.02884296299</v>
      </c>
      <c r="F34" s="4416">
        <f>+'Plan mina PS'!I68*1000</f>
        <v>39354.480294209381</v>
      </c>
      <c r="G34" s="4416">
        <f t="shared" si="1"/>
        <v>154842.54854875361</v>
      </c>
      <c r="H34" s="4417">
        <f t="shared" si="2"/>
        <v>98.057573027372243</v>
      </c>
      <c r="I34" s="4417">
        <f t="shared" si="3"/>
        <v>97.132597759803119</v>
      </c>
      <c r="J34" s="4418">
        <f t="shared" si="4"/>
        <v>97.88718333333334</v>
      </c>
      <c r="K34" s="4419">
        <f>+'Plan mina PS'!D31</f>
        <v>0.52363529808160525</v>
      </c>
      <c r="L34" s="4418">
        <f>'Plan mina PS'!C31</f>
        <v>90.579694000087017</v>
      </c>
      <c r="M34" s="4417">
        <f>'Plan mina PS'!B31</f>
        <v>25.74568622905867</v>
      </c>
      <c r="N34" s="4416">
        <f t="shared" si="5"/>
        <v>3577.6501749069007</v>
      </c>
      <c r="O34" s="4416">
        <f t="shared" si="6"/>
        <v>84601.818870592644</v>
      </c>
      <c r="P34" s="4416">
        <f t="shared" si="7"/>
        <v>921.09058840489934</v>
      </c>
      <c r="Q34" s="4416">
        <f t="shared" si="8"/>
        <v>22067.869223569356</v>
      </c>
      <c r="R34" s="4416">
        <f>+'Plan mina PS'!E31</f>
        <v>141.52554810249495</v>
      </c>
      <c r="S34" s="4418">
        <f t="shared" si="59"/>
        <v>89.325881510206258</v>
      </c>
      <c r="T34" s="4418">
        <f t="shared" si="10"/>
        <v>88.385862300107632</v>
      </c>
      <c r="U34" s="4420">
        <f t="shared" si="11"/>
        <v>78.951450629968207</v>
      </c>
      <c r="V34" s="4417">
        <v>50</v>
      </c>
      <c r="W34" s="4416">
        <f t="shared" si="12"/>
        <v>43.397782232784145</v>
      </c>
      <c r="X34" s="4416">
        <f t="shared" si="13"/>
        <v>1326.3184450719966</v>
      </c>
      <c r="Y34" s="4416">
        <f t="shared" si="14"/>
        <v>50</v>
      </c>
      <c r="Z34" s="4416">
        <f t="shared" si="15"/>
        <v>21.698891116392073</v>
      </c>
      <c r="AA34" s="4416">
        <f t="shared" si="16"/>
        <v>663.15922253599831</v>
      </c>
      <c r="AB34" s="4416">
        <v>25</v>
      </c>
      <c r="AC34" s="4416">
        <f>+'ST Original'!AG33</f>
        <v>25</v>
      </c>
      <c r="AD34" s="4416">
        <f t="shared" si="17"/>
        <v>948.67970596520161</v>
      </c>
      <c r="AE34" s="4416">
        <f t="shared" si="18"/>
        <v>23142.176286274916</v>
      </c>
      <c r="AF34" s="4454">
        <v>4366</v>
      </c>
      <c r="AG34" s="3943">
        <f t="shared" si="53"/>
        <v>25.74568622905867</v>
      </c>
      <c r="AH34" s="4421">
        <f t="shared" si="57"/>
        <v>1124.0566607607016</v>
      </c>
      <c r="AI34" s="4421">
        <f t="shared" si="54"/>
        <v>4366</v>
      </c>
      <c r="AJ34" s="3943">
        <f t="shared" si="55"/>
        <v>25.229869264557234</v>
      </c>
      <c r="AK34" s="4421">
        <f t="shared" si="56"/>
        <v>1101.5360920905689</v>
      </c>
      <c r="AL34" s="4422">
        <f>+'R+P'!AP33</f>
        <v>2901.5170169264766</v>
      </c>
      <c r="AM34" s="4422">
        <f>+'R+P'!AQ33</f>
        <v>1057.474648406946</v>
      </c>
      <c r="AN34" s="4423">
        <f t="shared" si="52"/>
        <v>8091.5428684567914</v>
      </c>
      <c r="AO34" s="4422">
        <f t="shared" si="19"/>
        <v>6579.5763213485698</v>
      </c>
      <c r="AP34" s="4422">
        <f t="shared" si="20"/>
        <v>1688.1768325744486</v>
      </c>
      <c r="AQ34" s="4421">
        <f t="shared" si="21"/>
        <v>8266.192358301716</v>
      </c>
      <c r="AR34" s="4424">
        <f t="shared" si="22"/>
        <v>98.057573027372243</v>
      </c>
      <c r="AS34" s="3943">
        <f t="shared" si="23"/>
        <v>98.057573027372229</v>
      </c>
      <c r="AT34" s="3943">
        <f t="shared" si="24"/>
        <v>98.057573027372229</v>
      </c>
      <c r="AU34" s="3943">
        <f t="shared" si="25"/>
        <v>98.057573027372229</v>
      </c>
      <c r="AV34" s="4425">
        <f>+'Plan mina PS'!AG31</f>
        <v>1.2156872316754115</v>
      </c>
      <c r="AW34" s="4426">
        <f>'Plan mina PS'!T31</f>
        <v>29.118180773696842</v>
      </c>
      <c r="AX34" s="4427">
        <f t="shared" si="26"/>
        <v>1310.318134816358</v>
      </c>
      <c r="AY34" s="4420">
        <f>+'Plan mina PS'!AJ31</f>
        <v>4.2965275272066039</v>
      </c>
      <c r="AZ34" s="4421">
        <f>'Plan mina PS'!V31</f>
        <v>181.98308665071124</v>
      </c>
      <c r="BA34" s="3943">
        <f>+('Plan mina PS'!P31*AN34/1000000)*0.78</f>
        <v>7.7150922778773214</v>
      </c>
      <c r="BB34" s="3943">
        <f>+'Plan mina PS'!W31</f>
        <v>35.81651261035524</v>
      </c>
      <c r="BC34" s="4416">
        <f>+'Plan mina PS'!Y31</f>
        <v>87.950575463139046</v>
      </c>
      <c r="BD34" s="4428">
        <f>+'MCP PS'!AU27*100</f>
        <v>77.357636697871555</v>
      </c>
      <c r="BE34" s="4429">
        <f t="shared" si="27"/>
        <v>46107.791666666664</v>
      </c>
      <c r="BF34" s="4424">
        <f t="shared" si="28"/>
        <v>97.887183333333326</v>
      </c>
      <c r="BG34" s="4424">
        <f t="shared" si="29"/>
        <v>98.057573027372229</v>
      </c>
      <c r="BH34" s="3943">
        <f t="shared" si="30"/>
        <v>98.057573027372229</v>
      </c>
      <c r="BI34" s="3943">
        <f t="shared" si="31"/>
        <v>98.057573027372229</v>
      </c>
      <c r="BJ34" s="3943">
        <f t="shared" si="32"/>
        <v>97.132597759803119</v>
      </c>
      <c r="BK34" s="3943">
        <f t="shared" si="33"/>
        <v>23.533817526569337</v>
      </c>
      <c r="BL34" s="3943">
        <f t="shared" si="34"/>
        <v>23.533817526569337</v>
      </c>
      <c r="BM34" s="3943">
        <f t="shared" si="35"/>
        <v>23.533817526569337</v>
      </c>
      <c r="BN34" s="3943">
        <f t="shared" si="36"/>
        <v>23.311823462352748</v>
      </c>
      <c r="BO34" s="4424">
        <f t="shared" si="37"/>
        <v>0.12676900000000002</v>
      </c>
      <c r="BP34" s="4424">
        <f t="shared" si="38"/>
        <v>0.12676900000000002</v>
      </c>
      <c r="BQ34" s="4424">
        <f t="shared" si="39"/>
        <v>0.12676900000000002</v>
      </c>
      <c r="BR34" s="4424">
        <f t="shared" si="40"/>
        <v>0.12676900000000002</v>
      </c>
      <c r="BS34" s="4430">
        <f>+'ST Original'!DL33</f>
        <v>0</v>
      </c>
      <c r="BT34" s="4430">
        <f>+'ST Original'!DM33</f>
        <v>0</v>
      </c>
      <c r="BU34" s="4430">
        <f>+'ST Original'!DN33</f>
        <v>0</v>
      </c>
      <c r="BV34" s="4430">
        <f>+'ST Original'!DO33</f>
        <v>0</v>
      </c>
      <c r="BW34" s="4430">
        <f>+'ST Original'!DP33</f>
        <v>0</v>
      </c>
      <c r="BX34" s="4430">
        <f>+'ST Original'!DQ33</f>
        <v>0</v>
      </c>
      <c r="BY34" s="4430">
        <f>+'ST Original'!DR33</f>
        <v>0</v>
      </c>
      <c r="BZ34" s="4430">
        <f>+'ST Original'!DS33</f>
        <v>0</v>
      </c>
      <c r="CA34" s="4430">
        <f>+'ST Original'!DT33</f>
        <v>0</v>
      </c>
      <c r="CB34" s="4430">
        <f>+'ST Original'!DU33</f>
        <v>0</v>
      </c>
      <c r="CC34" s="4430">
        <f>+'ST Original'!DV33</f>
        <v>0</v>
      </c>
      <c r="CD34" s="4431">
        <f>+'ST Original'!DW33</f>
        <v>7.2602333333333338E-2</v>
      </c>
      <c r="CE34" s="4431">
        <f>+'ST Original'!DX33</f>
        <v>7.2602333333333338E-2</v>
      </c>
      <c r="CF34" s="4431">
        <f>+'ST Original'!DY33</f>
        <v>7.2602333333333338E-2</v>
      </c>
      <c r="CG34" s="4431">
        <f>+'ST Original'!DZ33</f>
        <v>7.2602333333333338E-2</v>
      </c>
      <c r="CH34" s="4431">
        <f>+'ST Original'!EA33</f>
        <v>0</v>
      </c>
      <c r="CI34" s="4431">
        <f>+'ST Original'!EB33</f>
        <v>0</v>
      </c>
      <c r="CJ34" s="4431">
        <f>+'ST Original'!EC33</f>
        <v>0</v>
      </c>
      <c r="CK34" s="4431">
        <f>+'ST Original'!ED33</f>
        <v>0</v>
      </c>
      <c r="CL34" s="4431">
        <f>+'ST Original'!EE33</f>
        <v>0.05</v>
      </c>
      <c r="CM34" s="4431">
        <f>+'ST Original'!EF33</f>
        <v>0.05</v>
      </c>
      <c r="CN34" s="4431">
        <f>+'ST Original'!EG33</f>
        <v>0.05</v>
      </c>
      <c r="CO34" s="4431">
        <f>+'ST Original'!EH33</f>
        <v>0.05</v>
      </c>
      <c r="CP34" s="4431">
        <f>+'ST Original'!EI33</f>
        <v>4.1666666666666666E-3</v>
      </c>
      <c r="CQ34" s="4431">
        <f>+'ST Original'!EJ33</f>
        <v>4.1666666666666666E-3</v>
      </c>
      <c r="CR34" s="4431">
        <f>+'ST Original'!EK33</f>
        <v>4.1666666666666666E-3</v>
      </c>
      <c r="CS34" s="4431">
        <f>+'ST Original'!EL33</f>
        <v>4.1666666666666666E-3</v>
      </c>
      <c r="CT34" s="4432">
        <f>+'MCP PS'!I27</f>
        <v>1.540900272034311</v>
      </c>
      <c r="CY34" s="4429">
        <f t="shared" si="41"/>
        <v>46107.791666666664</v>
      </c>
      <c r="CZ34" s="4418">
        <f>+'Plan mina PS'!J31</f>
        <v>2.8213272306597394E-2</v>
      </c>
      <c r="DA34" s="4418">
        <f t="shared" si="42"/>
        <v>0.9954318343642431</v>
      </c>
      <c r="DB34" s="4416">
        <f t="shared" si="43"/>
        <v>3561.3068763211313</v>
      </c>
      <c r="DC34" s="4421">
        <f t="shared" si="44"/>
        <v>3561.3068763211313</v>
      </c>
      <c r="DD34" s="4418">
        <f>+'Plan mina PS'!K31</f>
        <v>1.2364709654786912</v>
      </c>
      <c r="DE34" s="4418">
        <f t="shared" si="45"/>
        <v>49.666133424314502</v>
      </c>
      <c r="DF34" s="4416">
        <f t="shared" si="46"/>
        <v>177688.05093244824</v>
      </c>
      <c r="DG34" s="4416">
        <f t="shared" si="47"/>
        <v>177688.05093244824</v>
      </c>
      <c r="DH34" s="4417">
        <f>+'Plan mina PS'!T31</f>
        <v>29.118180773696842</v>
      </c>
      <c r="DI34" s="4416">
        <f t="shared" si="48"/>
        <v>1310.318134816358</v>
      </c>
      <c r="DJ34" s="4427">
        <f>+'Plan mina PS'!AH68</f>
        <v>0</v>
      </c>
    </row>
    <row r="35" spans="1:116" s="243" customFormat="1" ht="13.5" customHeight="1" thickBot="1">
      <c r="A35" s="2467"/>
      <c r="B35" s="2463">
        <f t="shared" si="0"/>
        <v>46108.791666666664</v>
      </c>
      <c r="C35" s="257">
        <f>'Plan mina PS'!M69*1000</f>
        <v>238000.00000006927</v>
      </c>
      <c r="D35" s="257">
        <f>'Plan mina PS'!L69*1000</f>
        <v>669090.81798636727</v>
      </c>
      <c r="E35" s="257">
        <f>((('Plan mina PS'!N69*1000)))</f>
        <v>203510.59671721514</v>
      </c>
      <c r="F35" s="257">
        <f>+'Plan mina PS'!I69*1000</f>
        <v>41241.896520708047</v>
      </c>
      <c r="G35" s="257">
        <f t="shared" si="1"/>
        <v>162268.7001965071</v>
      </c>
      <c r="H35" s="242">
        <f t="shared" si="2"/>
        <v>98.057573027372243</v>
      </c>
      <c r="I35" s="242">
        <f t="shared" si="3"/>
        <v>97.132597759803119</v>
      </c>
      <c r="J35" s="274">
        <f t="shared" si="4"/>
        <v>97.88718333333334</v>
      </c>
      <c r="K35" s="415">
        <f>+'Plan mina PS'!D32</f>
        <v>0.52870026226391142</v>
      </c>
      <c r="L35" s="274">
        <f>'Plan mina PS'!C32</f>
        <v>89.465534775993731</v>
      </c>
      <c r="M35" s="242">
        <f>'Plan mina PS'!B32</f>
        <v>26.411054113784456</v>
      </c>
      <c r="N35" s="257">
        <f t="shared" si="5"/>
        <v>3644.7402322216662</v>
      </c>
      <c r="O35" s="257">
        <f t="shared" si="6"/>
        <v>88246.55910281431</v>
      </c>
      <c r="P35" s="257">
        <f t="shared" si="7"/>
        <v>962.61431503893755</v>
      </c>
      <c r="Q35" s="257">
        <f t="shared" si="8"/>
        <v>23030.483538608292</v>
      </c>
      <c r="R35" s="257">
        <f>+'Plan mina PS'!E32</f>
        <v>224.77150560630986</v>
      </c>
      <c r="S35" s="274">
        <f t="shared" si="59"/>
        <v>90.947910275918204</v>
      </c>
      <c r="T35" s="274">
        <f t="shared" si="10"/>
        <v>89.696558504622843</v>
      </c>
      <c r="U35" s="1831">
        <f t="shared" si="11"/>
        <v>81.577145549370869</v>
      </c>
      <c r="V35" s="242">
        <v>50</v>
      </c>
      <c r="W35" s="257">
        <f t="shared" si="12"/>
        <v>74.632292635064886</v>
      </c>
      <c r="X35" s="257">
        <f t="shared" si="13"/>
        <v>1400.9507377070615</v>
      </c>
      <c r="Y35" s="257">
        <f t="shared" si="14"/>
        <v>50</v>
      </c>
      <c r="Z35" s="257">
        <f t="shared" si="15"/>
        <v>37.316146317532443</v>
      </c>
      <c r="AA35" s="257">
        <f t="shared" si="16"/>
        <v>700.47536885353077</v>
      </c>
      <c r="AB35" s="257">
        <v>25</v>
      </c>
      <c r="AC35" s="257">
        <f>+'ST Original'!AG34</f>
        <v>25</v>
      </c>
      <c r="AD35" s="257">
        <f t="shared" si="17"/>
        <v>1033.6735817011117</v>
      </c>
      <c r="AE35" s="257">
        <f t="shared" si="18"/>
        <v>24175.849867976027</v>
      </c>
      <c r="AF35" s="4455">
        <v>2573.2226391941244</v>
      </c>
      <c r="AG35" s="3943">
        <f t="shared" si="53"/>
        <v>26.411054113784456</v>
      </c>
      <c r="AH35" s="246">
        <f t="shared" si="57"/>
        <v>679.61522370571265</v>
      </c>
      <c r="AI35" s="246">
        <f t="shared" si="54"/>
        <v>4366</v>
      </c>
      <c r="AJ35" s="3943">
        <f t="shared" si="55"/>
        <v>25.74568622905867</v>
      </c>
      <c r="AK35" s="246">
        <f>AI35*AJ35/100</f>
        <v>1124.0566607607016</v>
      </c>
      <c r="AL35" s="333">
        <f>+'R+P'!AP34</f>
        <v>2740.0746712047126</v>
      </c>
      <c r="AM35" s="333">
        <f>+'R+P'!AQ34</f>
        <v>1079.0943943302734</v>
      </c>
      <c r="AN35" s="3887">
        <f t="shared" si="52"/>
        <v>8479.608196550631</v>
      </c>
      <c r="AO35" s="333">
        <f t="shared" si="19"/>
        <v>6895.128680814666</v>
      </c>
      <c r="AP35" s="333">
        <f t="shared" si="20"/>
        <v>1769.1407361295153</v>
      </c>
      <c r="AQ35" s="246">
        <f t="shared" si="21"/>
        <v>8662.6337665424326</v>
      </c>
      <c r="AR35" s="245">
        <f t="shared" si="22"/>
        <v>98.057573027372243</v>
      </c>
      <c r="AS35" s="244">
        <f t="shared" si="23"/>
        <v>98.057573027372229</v>
      </c>
      <c r="AT35" s="244">
        <f t="shared" si="24"/>
        <v>98.057573027372229</v>
      </c>
      <c r="AU35" s="244">
        <f t="shared" si="25"/>
        <v>98.057573027372229</v>
      </c>
      <c r="AV35" s="1833">
        <f>+'Plan mina PS'!AG32</f>
        <v>1.6671864521444564</v>
      </c>
      <c r="AW35" s="2464">
        <f>'Plan mina PS'!T32</f>
        <v>19.13910662669452</v>
      </c>
      <c r="AX35" s="471">
        <f t="shared" si="26"/>
        <v>861.25979820125337</v>
      </c>
      <c r="AY35" s="1831">
        <f>+'Plan mina PS'!AJ32</f>
        <v>4.2065701973429119</v>
      </c>
      <c r="AZ35" s="246">
        <f>'Plan mina PS'!V32</f>
        <v>184.46719596854351</v>
      </c>
      <c r="BA35" s="244">
        <f>+('Plan mina PS'!P32*AN35/1000000)*0.8</f>
        <v>6.0194293083015786</v>
      </c>
      <c r="BB35" s="244">
        <f>+'Plan mina PS'!W32</f>
        <v>37.442607675496227</v>
      </c>
      <c r="BC35" s="257">
        <f>+'Plan mina PS'!Y32</f>
        <v>90.245413987786748</v>
      </c>
      <c r="BD35" s="3250">
        <f>+'MCP PS'!AU28*100</f>
        <v>81.987487473131353</v>
      </c>
      <c r="BE35" s="2465">
        <f t="shared" si="27"/>
        <v>46108.791666666664</v>
      </c>
      <c r="BF35" s="245">
        <f t="shared" si="28"/>
        <v>97.887183333333326</v>
      </c>
      <c r="BG35" s="245">
        <f t="shared" si="29"/>
        <v>98.057573027372229</v>
      </c>
      <c r="BH35" s="244">
        <f t="shared" si="30"/>
        <v>98.057573027372229</v>
      </c>
      <c r="BI35" s="244">
        <f t="shared" si="31"/>
        <v>98.057573027372229</v>
      </c>
      <c r="BJ35" s="244">
        <f t="shared" si="32"/>
        <v>97.132597759803119</v>
      </c>
      <c r="BK35" s="244">
        <f t="shared" si="33"/>
        <v>23.533817526569337</v>
      </c>
      <c r="BL35" s="244">
        <f t="shared" si="34"/>
        <v>23.533817526569337</v>
      </c>
      <c r="BM35" s="244">
        <f t="shared" si="35"/>
        <v>23.533817526569337</v>
      </c>
      <c r="BN35" s="244">
        <f t="shared" si="36"/>
        <v>23.311823462352748</v>
      </c>
      <c r="BO35" s="245">
        <f t="shared" si="37"/>
        <v>0.12676900000000002</v>
      </c>
      <c r="BP35" s="245">
        <f t="shared" si="38"/>
        <v>0.12676900000000002</v>
      </c>
      <c r="BQ35" s="245">
        <f t="shared" si="39"/>
        <v>0.12676900000000002</v>
      </c>
      <c r="BR35" s="245">
        <f t="shared" si="40"/>
        <v>0.12676900000000002</v>
      </c>
      <c r="BS35" s="280">
        <f>+'ST Original'!DL34</f>
        <v>0</v>
      </c>
      <c r="BT35" s="280">
        <f>+'ST Original'!DM34</f>
        <v>0</v>
      </c>
      <c r="BU35" s="280">
        <f>+'ST Original'!DN34</f>
        <v>0</v>
      </c>
      <c r="BV35" s="280">
        <f>+'ST Original'!DO34</f>
        <v>0</v>
      </c>
      <c r="BW35" s="280">
        <f>+'ST Original'!DP34</f>
        <v>0</v>
      </c>
      <c r="BX35" s="280">
        <f>+'ST Original'!DQ34</f>
        <v>0</v>
      </c>
      <c r="BY35" s="280">
        <f>+'ST Original'!DR34</f>
        <v>0</v>
      </c>
      <c r="BZ35" s="280">
        <f>+'ST Original'!DS34</f>
        <v>0</v>
      </c>
      <c r="CA35" s="280">
        <f>+'ST Original'!DT34</f>
        <v>0</v>
      </c>
      <c r="CB35" s="280">
        <f>+'ST Original'!DU34</f>
        <v>0</v>
      </c>
      <c r="CC35" s="280">
        <f>+'ST Original'!DV34</f>
        <v>0</v>
      </c>
      <c r="CD35" s="2466">
        <f>+'ST Original'!DW34</f>
        <v>7.2602333333333338E-2</v>
      </c>
      <c r="CE35" s="2466">
        <f>+'ST Original'!DX34</f>
        <v>7.2602333333333338E-2</v>
      </c>
      <c r="CF35" s="2466">
        <f>+'ST Original'!DY34</f>
        <v>7.2602333333333338E-2</v>
      </c>
      <c r="CG35" s="2466">
        <f>+'ST Original'!DZ34</f>
        <v>7.2602333333333338E-2</v>
      </c>
      <c r="CH35" s="2466">
        <f>+'ST Original'!EA34</f>
        <v>0</v>
      </c>
      <c r="CI35" s="2466">
        <f>+'ST Original'!EB34</f>
        <v>0</v>
      </c>
      <c r="CJ35" s="2466">
        <f>+'ST Original'!EC34</f>
        <v>0</v>
      </c>
      <c r="CK35" s="2466">
        <f>+'ST Original'!ED34</f>
        <v>0</v>
      </c>
      <c r="CL35" s="2466">
        <f>+'ST Original'!EE34</f>
        <v>0.05</v>
      </c>
      <c r="CM35" s="2466">
        <f>+'ST Original'!EF34</f>
        <v>0.05</v>
      </c>
      <c r="CN35" s="2466">
        <f>+'ST Original'!EG34</f>
        <v>0.05</v>
      </c>
      <c r="CO35" s="2466">
        <f>+'ST Original'!EH34</f>
        <v>0.05</v>
      </c>
      <c r="CP35" s="2466">
        <f>+'ST Original'!EI34</f>
        <v>4.1666666666666666E-3</v>
      </c>
      <c r="CQ35" s="2466">
        <f>+'ST Original'!EJ34</f>
        <v>4.1666666666666666E-3</v>
      </c>
      <c r="CR35" s="2466">
        <f>+'ST Original'!EK34</f>
        <v>4.1666666666666666E-3</v>
      </c>
      <c r="CS35" s="2466">
        <f>+'ST Original'!EL34</f>
        <v>4.1666666666666666E-3</v>
      </c>
      <c r="CT35" s="3888">
        <f>+'MCP PS'!I28</f>
        <v>1.6432009557215248</v>
      </c>
      <c r="CY35" s="2465">
        <f t="shared" si="41"/>
        <v>46108.791666666664</v>
      </c>
      <c r="CZ35" s="274">
        <f>+'Plan mina PS'!J32</f>
        <v>4.5617692278243797E-2</v>
      </c>
      <c r="DA35" s="274">
        <f t="shared" si="42"/>
        <v>1.6556445919841896</v>
      </c>
      <c r="DB35" s="257">
        <f t="shared" si="43"/>
        <v>6034.3944546650009</v>
      </c>
      <c r="DC35" s="246">
        <f t="shared" si="44"/>
        <v>6034.3944546650009</v>
      </c>
      <c r="DD35" s="274">
        <f>+'Plan mina PS'!K32</f>
        <v>1.492663970179404</v>
      </c>
      <c r="DE35" s="274">
        <f t="shared" si="45"/>
        <v>61.675718371403825</v>
      </c>
      <c r="DF35" s="257">
        <f t="shared" si="46"/>
        <v>224791.97209942847</v>
      </c>
      <c r="DG35" s="257">
        <f t="shared" si="47"/>
        <v>224791.97209942847</v>
      </c>
      <c r="DH35" s="242">
        <f>+'Plan mina PS'!T32</f>
        <v>19.13910662669452</v>
      </c>
      <c r="DI35" s="257">
        <f t="shared" si="48"/>
        <v>861.25979820125337</v>
      </c>
      <c r="DJ35" s="471">
        <f>+'Plan mina PS'!AH69</f>
        <v>0</v>
      </c>
    </row>
    <row r="36" spans="1:116" s="243" customFormat="1" ht="13.5" customHeight="1" thickBot="1">
      <c r="A36" s="2467"/>
      <c r="B36" s="2463">
        <f t="shared" si="0"/>
        <v>46109.791666666664</v>
      </c>
      <c r="C36" s="257">
        <f>'Plan mina PS'!M70*1000</f>
        <v>180000.00000042227</v>
      </c>
      <c r="D36" s="257">
        <f>'Plan mina PS'!L70*1000</f>
        <v>642840.8926123298</v>
      </c>
      <c r="E36" s="257">
        <f>((('Plan mina PS'!N70*1000)))</f>
        <v>206249.92537445974</v>
      </c>
      <c r="F36" s="257">
        <f>+'Plan mina PS'!I70*1000</f>
        <v>42202.332513784633</v>
      </c>
      <c r="G36" s="257">
        <f t="shared" si="1"/>
        <v>164047.5928606751</v>
      </c>
      <c r="H36" s="242">
        <f t="shared" si="2"/>
        <v>98.057573027372243</v>
      </c>
      <c r="I36" s="242">
        <f t="shared" si="3"/>
        <v>97.132597759803119</v>
      </c>
      <c r="J36" s="274">
        <f t="shared" si="4"/>
        <v>97.88718333333334</v>
      </c>
      <c r="K36" s="415">
        <f>+'Plan mina PS'!D33</f>
        <v>0.60210373772341408</v>
      </c>
      <c r="L36" s="274">
        <f>'Plan mina PS'!C33</f>
        <v>88.872627606430385</v>
      </c>
      <c r="M36" s="242">
        <f>'Plan mina PS'!B33</f>
        <v>30.914583841702612</v>
      </c>
      <c r="N36" s="257">
        <f t="shared" si="5"/>
        <v>3570.0125218506764</v>
      </c>
      <c r="O36" s="257">
        <f t="shared" si="6"/>
        <v>91816.571624664983</v>
      </c>
      <c r="P36" s="257">
        <f t="shared" si="7"/>
        <v>1103.6545142268092</v>
      </c>
      <c r="Q36" s="257">
        <f t="shared" si="8"/>
        <v>24134.1380528351</v>
      </c>
      <c r="R36" s="257">
        <f>+'Plan mina PS'!E33</f>
        <v>251.23051736718298</v>
      </c>
      <c r="S36" s="274">
        <f t="shared" si="59"/>
        <v>91.338114334178627</v>
      </c>
      <c r="T36" s="274">
        <f t="shared" si="10"/>
        <v>90.011866709359808</v>
      </c>
      <c r="U36" s="1831">
        <f t="shared" si="11"/>
        <v>82.215141729323534</v>
      </c>
      <c r="V36" s="242">
        <v>50</v>
      </c>
      <c r="W36" s="257">
        <f t="shared" si="12"/>
        <v>85.201648614566253</v>
      </c>
      <c r="X36" s="257">
        <f t="shared" si="13"/>
        <v>1486.1523863216278</v>
      </c>
      <c r="Y36" s="257">
        <f t="shared" si="14"/>
        <v>50</v>
      </c>
      <c r="Z36" s="257">
        <f t="shared" si="15"/>
        <v>42.600824307283126</v>
      </c>
      <c r="AA36" s="257">
        <f t="shared" si="16"/>
        <v>743.07619316081389</v>
      </c>
      <c r="AB36" s="257">
        <v>25</v>
      </c>
      <c r="AC36" s="257">
        <f>+'ST Original'!AG35</f>
        <v>25</v>
      </c>
      <c r="AD36" s="257">
        <f t="shared" si="17"/>
        <v>1184.5979334046701</v>
      </c>
      <c r="AE36" s="257">
        <f t="shared" si="18"/>
        <v>25360.447801380698</v>
      </c>
      <c r="AF36" s="246">
        <f>+'ST Original'!AK35</f>
        <v>4366</v>
      </c>
      <c r="AG36" s="3943">
        <f t="shared" si="53"/>
        <v>30.914583841702612</v>
      </c>
      <c r="AH36" s="246">
        <f t="shared" si="57"/>
        <v>1349.7307305287361</v>
      </c>
      <c r="AI36" s="246">
        <f t="shared" si="54"/>
        <v>2573.2226391941244</v>
      </c>
      <c r="AJ36" s="3943">
        <f t="shared" si="55"/>
        <v>26.411054113784456</v>
      </c>
      <c r="AK36" s="246">
        <f t="shared" si="56"/>
        <v>679.61522370571265</v>
      </c>
      <c r="AL36" s="333">
        <f>+'R+P'!AP35</f>
        <v>3164.1139617258091</v>
      </c>
      <c r="AM36" s="333">
        <f>+'R+P'!AQ35</f>
        <v>652.43061475748414</v>
      </c>
      <c r="AN36" s="3887">
        <f t="shared" si="52"/>
        <v>8593.7468906024897</v>
      </c>
      <c r="AO36" s="333">
        <f t="shared" si="19"/>
        <v>6970.717465428962</v>
      </c>
      <c r="AP36" s="333">
        <f t="shared" si="20"/>
        <v>1810.3402585361443</v>
      </c>
      <c r="AQ36" s="246">
        <f t="shared" si="21"/>
        <v>8779.2360531392223</v>
      </c>
      <c r="AR36" s="245">
        <f t="shared" si="22"/>
        <v>98.057573027372243</v>
      </c>
      <c r="AS36" s="244">
        <f t="shared" si="23"/>
        <v>98.057573027372229</v>
      </c>
      <c r="AT36" s="244">
        <f t="shared" si="24"/>
        <v>98.057573027372229</v>
      </c>
      <c r="AU36" s="244">
        <f t="shared" si="25"/>
        <v>98.057573027372229</v>
      </c>
      <c r="AV36" s="1833">
        <f>+'Plan mina PS'!AG33</f>
        <v>1.7272347742418133</v>
      </c>
      <c r="AW36" s="2464">
        <f>'Plan mina PS'!T33</f>
        <v>18.29986106432866</v>
      </c>
      <c r="AX36" s="471">
        <f t="shared" si="26"/>
        <v>823.49374789478964</v>
      </c>
      <c r="AY36" s="1831">
        <f>+'Plan mina PS'!AJ33</f>
        <v>4.1782513779298185</v>
      </c>
      <c r="AZ36" s="246">
        <f>'Plan mina PS'!V33</f>
        <v>185.84182425185739</v>
      </c>
      <c r="BA36" s="244">
        <f>+('Plan mina PS'!P33*AN36/1000000)*0.8</f>
        <v>2.6549335562980079</v>
      </c>
      <c r="BB36" s="244">
        <f>+'Plan mina PS'!W33</f>
        <v>38.576705583348371</v>
      </c>
      <c r="BC36" s="257">
        <f>+'Plan mina PS'!Y33</f>
        <v>85.281757195963152</v>
      </c>
      <c r="BD36" s="3250">
        <f>+'MCP PS'!AU29*100</f>
        <v>75.419030333058217</v>
      </c>
      <c r="BE36" s="2465">
        <f t="shared" si="27"/>
        <v>46109.791666666664</v>
      </c>
      <c r="BF36" s="245">
        <f t="shared" si="28"/>
        <v>97.887183333333326</v>
      </c>
      <c r="BG36" s="245">
        <f t="shared" si="29"/>
        <v>98.057573027372229</v>
      </c>
      <c r="BH36" s="244">
        <f t="shared" si="30"/>
        <v>98.057573027372229</v>
      </c>
      <c r="BI36" s="244">
        <f t="shared" si="31"/>
        <v>98.057573027372229</v>
      </c>
      <c r="BJ36" s="244">
        <f t="shared" si="32"/>
        <v>97.132597759803119</v>
      </c>
      <c r="BK36" s="244">
        <f t="shared" si="33"/>
        <v>23.533817526569337</v>
      </c>
      <c r="BL36" s="244">
        <f t="shared" si="34"/>
        <v>23.533817526569337</v>
      </c>
      <c r="BM36" s="244">
        <f t="shared" si="35"/>
        <v>23.533817526569337</v>
      </c>
      <c r="BN36" s="244">
        <f t="shared" si="36"/>
        <v>23.311823462352748</v>
      </c>
      <c r="BO36" s="245">
        <f t="shared" si="37"/>
        <v>0.12676900000000002</v>
      </c>
      <c r="BP36" s="245">
        <f t="shared" si="38"/>
        <v>0.12676900000000002</v>
      </c>
      <c r="BQ36" s="245">
        <f t="shared" si="39"/>
        <v>0.12676900000000002</v>
      </c>
      <c r="BR36" s="245">
        <f t="shared" si="40"/>
        <v>0.12676900000000002</v>
      </c>
      <c r="BS36" s="280">
        <f>+'ST Original'!DL35</f>
        <v>0</v>
      </c>
      <c r="BT36" s="280">
        <f>+'ST Original'!DM35</f>
        <v>0</v>
      </c>
      <c r="BU36" s="280">
        <f>+'ST Original'!DN35</f>
        <v>0</v>
      </c>
      <c r="BV36" s="280">
        <f>+'ST Original'!DO35</f>
        <v>0</v>
      </c>
      <c r="BW36" s="280">
        <f>+'ST Original'!DP35</f>
        <v>0</v>
      </c>
      <c r="BX36" s="280">
        <f>+'ST Original'!DQ35</f>
        <v>0</v>
      </c>
      <c r="BY36" s="280">
        <f>+'ST Original'!DR35</f>
        <v>0</v>
      </c>
      <c r="BZ36" s="280">
        <f>+'ST Original'!DS35</f>
        <v>0</v>
      </c>
      <c r="CA36" s="280">
        <f>+'ST Original'!DT35</f>
        <v>0</v>
      </c>
      <c r="CB36" s="280">
        <f>+'ST Original'!DU35</f>
        <v>0</v>
      </c>
      <c r="CC36" s="280">
        <f>+'ST Original'!DV35</f>
        <v>0</v>
      </c>
      <c r="CD36" s="2466">
        <f>+'ST Original'!DW35</f>
        <v>7.2602333333333338E-2</v>
      </c>
      <c r="CE36" s="2466">
        <f>+'ST Original'!DX35</f>
        <v>7.2602333333333338E-2</v>
      </c>
      <c r="CF36" s="2466">
        <f>+'ST Original'!DY35</f>
        <v>7.2602333333333338E-2</v>
      </c>
      <c r="CG36" s="2466">
        <f>+'ST Original'!DZ35</f>
        <v>7.2602333333333338E-2</v>
      </c>
      <c r="CH36" s="2466">
        <f>+'ST Original'!EA35</f>
        <v>0</v>
      </c>
      <c r="CI36" s="2466">
        <f>+'ST Original'!EB35</f>
        <v>0</v>
      </c>
      <c r="CJ36" s="2466">
        <f>+'ST Original'!EC35</f>
        <v>0</v>
      </c>
      <c r="CK36" s="2466">
        <f>+'ST Original'!ED35</f>
        <v>0</v>
      </c>
      <c r="CL36" s="2466">
        <f>+'ST Original'!EE35</f>
        <v>0.05</v>
      </c>
      <c r="CM36" s="2466">
        <f>+'ST Original'!EF35</f>
        <v>0.05</v>
      </c>
      <c r="CN36" s="2466">
        <f>+'ST Original'!EG35</f>
        <v>0.05</v>
      </c>
      <c r="CO36" s="2466">
        <f>+'ST Original'!EH35</f>
        <v>0.05</v>
      </c>
      <c r="CP36" s="2466">
        <f>+'ST Original'!EI35</f>
        <v>4.1666666666666666E-3</v>
      </c>
      <c r="CQ36" s="2466">
        <f>+'ST Original'!EJ35</f>
        <v>4.1666666666666666E-3</v>
      </c>
      <c r="CR36" s="2466">
        <f>+'ST Original'!EK35</f>
        <v>4.1666666666666666E-3</v>
      </c>
      <c r="CS36" s="2466">
        <f>+'ST Original'!EL35</f>
        <v>4.1666666666666666E-3</v>
      </c>
      <c r="CT36" s="3888">
        <f>+'MCP PS'!I29</f>
        <v>1.343599503765778</v>
      </c>
      <c r="CY36" s="2465">
        <f t="shared" si="41"/>
        <v>46109.791666666664</v>
      </c>
      <c r="CZ36" s="274">
        <f>+'Plan mina PS'!J33</f>
        <v>4.606902679774099E-2</v>
      </c>
      <c r="DA36" s="274">
        <f t="shared" si="42"/>
        <v>1.730001402689358</v>
      </c>
      <c r="DB36" s="257">
        <f t="shared" si="43"/>
        <v>6176.1266704202426</v>
      </c>
      <c r="DC36" s="246">
        <f t="shared" si="44"/>
        <v>6176.1266704202426</v>
      </c>
      <c r="DD36" s="274">
        <f>+'Plan mina PS'!K33</f>
        <v>1.5113680445018773</v>
      </c>
      <c r="DE36" s="274">
        <f t="shared" si="45"/>
        <v>64.613909032003477</v>
      </c>
      <c r="DF36" s="257">
        <f t="shared" si="46"/>
        <v>230672.46432997295</v>
      </c>
      <c r="DG36" s="257">
        <f t="shared" si="47"/>
        <v>230672.46432997295</v>
      </c>
      <c r="DH36" s="242">
        <f>+'Plan mina PS'!T33</f>
        <v>18.29986106432866</v>
      </c>
      <c r="DI36" s="257">
        <f t="shared" si="48"/>
        <v>823.49374789478964</v>
      </c>
      <c r="DJ36" s="471">
        <f>+'Plan mina PS'!AH70</f>
        <v>0</v>
      </c>
    </row>
    <row r="37" spans="1:116" s="243" customFormat="1" ht="13.5" customHeight="1" thickBot="1">
      <c r="A37" s="2467"/>
      <c r="B37" s="2463">
        <f t="shared" si="0"/>
        <v>46110.791666666664</v>
      </c>
      <c r="C37" s="257">
        <f>'Plan mina PS'!M71*1000</f>
        <v>237999.99999993708</v>
      </c>
      <c r="D37" s="257">
        <f>'Plan mina PS'!L71*1000</f>
        <v>671671.59151096258</v>
      </c>
      <c r="E37" s="257">
        <f>((('Plan mina PS'!N71*1000)))</f>
        <v>209169.30110130421</v>
      </c>
      <c r="F37" s="257">
        <f>+'Plan mina PS'!I71*1000</f>
        <v>42241.024113783184</v>
      </c>
      <c r="G37" s="257">
        <f t="shared" ref="G37:G39" si="61">E37-F37</f>
        <v>166928.27698752104</v>
      </c>
      <c r="H37" s="242">
        <f t="shared" ref="H37:H39" si="62">AR37</f>
        <v>98.057573027372243</v>
      </c>
      <c r="I37" s="242">
        <f t="shared" ref="I37:I39" si="63">+BJ37</f>
        <v>97.132597759803119</v>
      </c>
      <c r="J37" s="274">
        <f t="shared" ref="J37:J39" si="64">+SUMPRODUCT(H37:I37,$I$4:$J$4)</f>
        <v>97.88718333333334</v>
      </c>
      <c r="K37" s="415">
        <f>+'Plan mina PS'!D34</f>
        <v>0.60253190135276002</v>
      </c>
      <c r="L37" s="274">
        <f>'Plan mina PS'!C34</f>
        <v>90.12517923258855</v>
      </c>
      <c r="M37" s="242">
        <f>'Plan mina PS'!B34</f>
        <v>30.166707440864869</v>
      </c>
      <c r="N37" s="257">
        <f t="shared" ref="N37:N39" si="65">IF(ISNUMBER(E37*K37/100*L37/100/M37*100),E37*K37/100*L37/100/M37*100,0)</f>
        <v>3765.2708407090422</v>
      </c>
      <c r="O37" s="257">
        <f t="shared" ref="O37:O39" si="66">+N37+O36</f>
        <v>95581.842465374022</v>
      </c>
      <c r="P37" s="257">
        <f t="shared" ref="P37:P39" si="67">N37*M37/100</f>
        <v>1135.8582388728898</v>
      </c>
      <c r="Q37" s="257">
        <f t="shared" ref="Q37:Q39" si="68">P37+Q36</f>
        <v>25269.99629170799</v>
      </c>
      <c r="R37" s="257">
        <f>+'Plan mina PS'!E34</f>
        <v>214.05128990479867</v>
      </c>
      <c r="S37" s="274">
        <f t="shared" si="59"/>
        <v>90.776561964300811</v>
      </c>
      <c r="T37" s="274">
        <f t="shared" ref="T37:T39" si="69">(IF(R37&gt;0,$P$2*LN(R37)+$P$3,""))</f>
        <v>89.558098825957131</v>
      </c>
      <c r="U37" s="1831">
        <f t="shared" si="11"/>
        <v>81.29776307479473</v>
      </c>
      <c r="V37" s="242">
        <v>50</v>
      </c>
      <c r="W37" s="257">
        <f t="shared" ref="W37:W39" si="70">Z37/V37*100</f>
        <v>72.798827785993694</v>
      </c>
      <c r="X37" s="257">
        <f t="shared" ref="X37:X39" si="71">+X36+W37</f>
        <v>1558.9512141076216</v>
      </c>
      <c r="Y37" s="257">
        <f t="shared" ref="Y37:Y39" si="72">AB37/(V37/100)</f>
        <v>50</v>
      </c>
      <c r="Z37" s="257">
        <f t="shared" ref="Z37:Z39" si="73">IF(ISNUMBER(E37*R37/1000000*U37/100),E37*R37/1000000*U37/100,0)</f>
        <v>36.399413892996847</v>
      </c>
      <c r="AA37" s="257">
        <f t="shared" ref="AA37:AA39" si="74">+AA36+Z37</f>
        <v>779.47560705381079</v>
      </c>
      <c r="AB37" s="257">
        <v>25</v>
      </c>
      <c r="AC37" s="257">
        <f>+'ST Original'!AG36</f>
        <v>25</v>
      </c>
      <c r="AD37" s="257">
        <f t="shared" ref="AD37:AD39" si="75">+P37*$CW$5+Z37*$CW$4*$CW$6</f>
        <v>1197.6899171671389</v>
      </c>
      <c r="AE37" s="257">
        <f t="shared" ref="AE37:AE39" si="76">+AE36+AD37</f>
        <v>26558.137718547838</v>
      </c>
      <c r="AF37" s="246">
        <f>+'ST Original'!AK36</f>
        <v>4366</v>
      </c>
      <c r="AG37" s="3943">
        <f t="shared" si="53"/>
        <v>30.166707440864869</v>
      </c>
      <c r="AH37" s="246">
        <f t="shared" si="57"/>
        <v>1317.0784468681602</v>
      </c>
      <c r="AI37" s="246">
        <f t="shared" si="54"/>
        <v>4366</v>
      </c>
      <c r="AJ37" s="3943">
        <f t="shared" si="55"/>
        <v>30.914583841702612</v>
      </c>
      <c r="AK37" s="246">
        <f t="shared" si="56"/>
        <v>1349.7307305287361</v>
      </c>
      <c r="AL37" s="333">
        <f>+'R+P'!AP36</f>
        <v>2950.2414700699628</v>
      </c>
      <c r="AM37" s="333">
        <f>+'R+P'!AQ36</f>
        <v>1295.7415013075865</v>
      </c>
      <c r="AN37" s="333">
        <f t="shared" ref="AN37:AN38" si="77">+E37/24</f>
        <v>8715.3875458876755</v>
      </c>
      <c r="AO37" s="333">
        <f t="shared" ref="AO37:AO39" si="78">IF(ISNUMBER(+G37/H37/24*100),+G37/H37/24*100,0)</f>
        <v>7093.1236208941218</v>
      </c>
      <c r="AP37" s="333">
        <f t="shared" ref="AP37:AP39" si="79">+IFERROR(F37/I37/24*100,0)</f>
        <v>1812</v>
      </c>
      <c r="AQ37" s="246">
        <f t="shared" ref="AQ37:AQ38" si="80">+(E37/(24*J37/100))</f>
        <v>8903.5022248105088</v>
      </c>
      <c r="AR37" s="245">
        <f t="shared" ref="AR37:AR39" si="81">AVERAGE(AS37:AU37)</f>
        <v>98.057573027372243</v>
      </c>
      <c r="AS37" s="244">
        <f t="shared" ref="AS37:AS39" si="82">BG37</f>
        <v>98.057573027372229</v>
      </c>
      <c r="AT37" s="244">
        <f t="shared" ref="AT37:AT39" si="83">BH37</f>
        <v>98.057573027372229</v>
      </c>
      <c r="AU37" s="244">
        <f t="shared" ref="AU37:AU39" si="84">BI37</f>
        <v>98.057573027372229</v>
      </c>
      <c r="AV37" s="1833">
        <f>+'Plan mina PS'!AG34</f>
        <v>1.4021036733061003</v>
      </c>
      <c r="AW37" s="2464">
        <f>'Plan mina PS'!T34</f>
        <v>19.387743880966898</v>
      </c>
      <c r="AX37" s="471">
        <f t="shared" si="26"/>
        <v>872.44847464351039</v>
      </c>
      <c r="AY37" s="1831">
        <f>+'Plan mina PS'!AJ34</f>
        <v>4.0684535764789951</v>
      </c>
      <c r="AZ37" s="246">
        <f>'Plan mina PS'!V34</f>
        <v>190.96017745040004</v>
      </c>
      <c r="BA37" s="244">
        <f>+('Plan mina PS'!P34*AN37/1000000)*0.8</f>
        <v>3.1929811025174342</v>
      </c>
      <c r="BB37" s="244">
        <f>+'Plan mina PS'!W34</f>
        <v>37.856345607601831</v>
      </c>
      <c r="BC37" s="245">
        <f>+'Plan mina PS'!Y34</f>
        <v>79.837457058144906</v>
      </c>
      <c r="BD37" s="245">
        <f>+'MCP PS'!AU30*100</f>
        <v>74.078349562304226</v>
      </c>
      <c r="BE37" s="2465">
        <f t="shared" si="27"/>
        <v>46110.791666666664</v>
      </c>
      <c r="BF37" s="245">
        <f t="shared" ref="BF37:BF39" si="85">+SUMPRODUCT(BG37:BJ37,$BS$3:$BV$3)</f>
        <v>97.887183333333326</v>
      </c>
      <c r="BG37" s="245">
        <f t="shared" ref="BG37:BG39" si="86">BK37/$BH$44*100</f>
        <v>98.057573027372229</v>
      </c>
      <c r="BH37" s="244">
        <f t="shared" ref="BH37:BH39" si="87">BL37/$BH$44*100</f>
        <v>98.057573027372229</v>
      </c>
      <c r="BI37" s="244">
        <f t="shared" ref="BI37:BI39" si="88">BM37/$BH$44*100</f>
        <v>98.057573027372229</v>
      </c>
      <c r="BJ37" s="244">
        <f t="shared" ref="BJ37:BJ39" si="89">BN37/$BH$44*100</f>
        <v>97.132597759803119</v>
      </c>
      <c r="BK37" s="244">
        <f t="shared" ref="BK37:BK39" si="90">24-BO37/BS$3</f>
        <v>23.533817526569337</v>
      </c>
      <c r="BL37" s="244">
        <f t="shared" ref="BL37:BL39" si="91">24-BP37/BT$3</f>
        <v>23.533817526569337</v>
      </c>
      <c r="BM37" s="244">
        <f t="shared" ref="BM37:BM39" si="92">24-BQ37/BU$3</f>
        <v>23.533817526569337</v>
      </c>
      <c r="BN37" s="244">
        <f t="shared" ref="BN37:BN39" si="93">24-BR37/BV$3</f>
        <v>23.311823462352748</v>
      </c>
      <c r="BO37" s="245">
        <f t="shared" si="37"/>
        <v>0.12676900000000002</v>
      </c>
      <c r="BP37" s="245">
        <f t="shared" si="38"/>
        <v>0.12676900000000002</v>
      </c>
      <c r="BQ37" s="245">
        <f t="shared" si="39"/>
        <v>0.12676900000000002</v>
      </c>
      <c r="BR37" s="245">
        <f t="shared" si="40"/>
        <v>0.12676900000000002</v>
      </c>
      <c r="BS37" s="280">
        <f>+'ST Original'!DL36</f>
        <v>0</v>
      </c>
      <c r="BT37" s="280">
        <f>+'ST Original'!DM36</f>
        <v>0</v>
      </c>
      <c r="BU37" s="280">
        <f>+'ST Original'!DN36</f>
        <v>0</v>
      </c>
      <c r="BV37" s="280">
        <f>+'ST Original'!DO36</f>
        <v>0</v>
      </c>
      <c r="BW37" s="280">
        <f>+'ST Original'!DP36</f>
        <v>0</v>
      </c>
      <c r="BX37" s="280">
        <f>+'ST Original'!DQ36</f>
        <v>0</v>
      </c>
      <c r="BY37" s="280">
        <f>+'ST Original'!DR36</f>
        <v>0</v>
      </c>
      <c r="BZ37" s="280">
        <f>+'ST Original'!DS36</f>
        <v>0</v>
      </c>
      <c r="CA37" s="280">
        <f>+'ST Original'!DT36</f>
        <v>0</v>
      </c>
      <c r="CB37" s="280">
        <f>+'ST Original'!DU36</f>
        <v>0</v>
      </c>
      <c r="CC37" s="280">
        <f>+'ST Original'!DV36</f>
        <v>0</v>
      </c>
      <c r="CD37" s="2466">
        <f>+'ST Original'!DW36</f>
        <v>7.2602333333333338E-2</v>
      </c>
      <c r="CE37" s="2466">
        <f>+'ST Original'!DX36</f>
        <v>7.2602333333333338E-2</v>
      </c>
      <c r="CF37" s="2466">
        <f>+'ST Original'!DY36</f>
        <v>7.2602333333333338E-2</v>
      </c>
      <c r="CG37" s="2466">
        <f>+'ST Original'!DZ36</f>
        <v>7.2602333333333338E-2</v>
      </c>
      <c r="CH37" s="2466">
        <f>+'ST Original'!EA36</f>
        <v>0</v>
      </c>
      <c r="CI37" s="2466">
        <f>+'ST Original'!EB36</f>
        <v>0</v>
      </c>
      <c r="CJ37" s="2466">
        <f>+'ST Original'!EC36</f>
        <v>0</v>
      </c>
      <c r="CK37" s="2466">
        <f>+'ST Original'!ED36</f>
        <v>0</v>
      </c>
      <c r="CL37" s="2466">
        <f>+'ST Original'!EE36</f>
        <v>0.05</v>
      </c>
      <c r="CM37" s="2466">
        <f>+'ST Original'!EF36</f>
        <v>0.05</v>
      </c>
      <c r="CN37" s="2466">
        <f>+'ST Original'!EG36</f>
        <v>0.05</v>
      </c>
      <c r="CO37" s="2466">
        <f>+'ST Original'!EH36</f>
        <v>0.05</v>
      </c>
      <c r="CP37" s="2466">
        <f>+'ST Original'!EI36</f>
        <v>4.1666666666666666E-3</v>
      </c>
      <c r="CQ37" s="2466">
        <f>+'ST Original'!EJ36</f>
        <v>4.1666666666666666E-3</v>
      </c>
      <c r="CR37" s="2466">
        <f>+'ST Original'!EK36</f>
        <v>4.1666666666666666E-3</v>
      </c>
      <c r="CS37" s="2466">
        <f>+'ST Original'!EL36</f>
        <v>4.1666666666666666E-3</v>
      </c>
      <c r="CT37" s="3888">
        <f>+'MCP PS'!I30</f>
        <v>1.4396099624367833</v>
      </c>
      <c r="CY37" s="2465">
        <f t="shared" ref="CY37:CY39" si="94">BE37</f>
        <v>46110.791666666664</v>
      </c>
      <c r="CZ37" s="274">
        <f>+'Plan mina PS'!J34</f>
        <v>4.0601789996331503E-2</v>
      </c>
      <c r="DA37" s="274">
        <f t="shared" ref="DA37:DA39" si="95">+DB37/N37</f>
        <v>1.4660887510038887</v>
      </c>
      <c r="DB37" s="257">
        <f t="shared" ref="DB37:DB39" si="96">+E37*$CZ$5/100*CZ37</f>
        <v>5520.2212240464814</v>
      </c>
      <c r="DC37" s="246">
        <f t="shared" ref="DC37:DC39" si="97">+DB37</f>
        <v>5520.2212240464814</v>
      </c>
      <c r="DD37" s="274">
        <f>+'Plan mina PS'!K34</f>
        <v>1.3116350032654953</v>
      </c>
      <c r="DE37" s="274">
        <f t="shared" ref="DE37:DE39" si="98">+DF37/N37</f>
        <v>53.919572726467173</v>
      </c>
      <c r="DF37" s="257">
        <f t="shared" ref="DF37:DF39" si="99">+E37*$DD$5/100*DD37</f>
        <v>203021.7949304574</v>
      </c>
      <c r="DG37" s="257">
        <f t="shared" ref="DG37:DG39" si="100">+DF37</f>
        <v>203021.7949304574</v>
      </c>
      <c r="DH37" s="242">
        <f>+'Plan mina PS'!T34</f>
        <v>19.387743880966898</v>
      </c>
      <c r="DI37" s="257">
        <f t="shared" ref="DI37:DI39" si="101">+DH37*$DI$5</f>
        <v>872.44847464351039</v>
      </c>
      <c r="DJ37" s="471">
        <f>+'Plan mina PS'!AH71</f>
        <v>0</v>
      </c>
    </row>
    <row r="38" spans="1:116" s="243" customFormat="1" ht="13.5" customHeight="1" thickBot="1">
      <c r="A38" s="2467"/>
      <c r="B38" s="2463">
        <f t="shared" si="0"/>
        <v>46111.791666666664</v>
      </c>
      <c r="C38" s="257">
        <f>'Plan mina PS'!M72*1000</f>
        <v>238000.00000004738</v>
      </c>
      <c r="D38" s="257">
        <f>'Plan mina PS'!L72*1000</f>
        <v>708689.03403522458</v>
      </c>
      <c r="E38" s="257">
        <f>((('Plan mina PS'!N72*1000)))</f>
        <v>200982.55747578535</v>
      </c>
      <c r="F38" s="257">
        <f>+'Plan mina PS'!I72*1000</f>
        <v>41807.968537079883</v>
      </c>
      <c r="G38" s="257">
        <f t="shared" si="61"/>
        <v>159174.58893870545</v>
      </c>
      <c r="H38" s="242">
        <f t="shared" si="62"/>
        <v>94.157059414800372</v>
      </c>
      <c r="I38" s="242">
        <f t="shared" si="63"/>
        <v>97.132597759803119</v>
      </c>
      <c r="J38" s="274">
        <f t="shared" si="64"/>
        <v>94.705183333333338</v>
      </c>
      <c r="K38" s="415">
        <f>+'Plan mina PS'!D35</f>
        <v>0.58079430880381111</v>
      </c>
      <c r="L38" s="274">
        <f>'Plan mina PS'!C35</f>
        <v>90.917789823751221</v>
      </c>
      <c r="M38" s="242">
        <f>'Plan mina PS'!B35</f>
        <v>29.819750307075012</v>
      </c>
      <c r="N38" s="257">
        <f t="shared" si="65"/>
        <v>3558.9803271200471</v>
      </c>
      <c r="O38" s="257">
        <f t="shared" si="66"/>
        <v>99140.822792494073</v>
      </c>
      <c r="P38" s="257">
        <f t="shared" si="67"/>
        <v>1061.2790470251196</v>
      </c>
      <c r="Q38" s="257">
        <f t="shared" si="68"/>
        <v>26331.27533873311</v>
      </c>
      <c r="R38" s="257">
        <f>+'Plan mina PS'!E35</f>
        <v>176.62984698962811</v>
      </c>
      <c r="S38" s="274">
        <f t="shared" si="59"/>
        <v>90.102793544699793</v>
      </c>
      <c r="T38" s="274">
        <f t="shared" si="69"/>
        <v>89.013653666314326</v>
      </c>
      <c r="U38" s="1831">
        <f t="shared" si="11"/>
        <v>80.203788589553298</v>
      </c>
      <c r="V38" s="242">
        <v>50</v>
      </c>
      <c r="W38" s="257">
        <f t="shared" si="70"/>
        <v>56.943917334838709</v>
      </c>
      <c r="X38" s="257">
        <f t="shared" si="71"/>
        <v>1615.8951314424603</v>
      </c>
      <c r="Y38" s="257">
        <f t="shared" si="72"/>
        <v>50</v>
      </c>
      <c r="Z38" s="257">
        <f t="shared" si="73"/>
        <v>28.471958667419354</v>
      </c>
      <c r="AA38" s="257">
        <f t="shared" si="74"/>
        <v>807.94756572123015</v>
      </c>
      <c r="AB38" s="257">
        <v>25</v>
      </c>
      <c r="AC38" s="257">
        <f>+'ST Original'!AG37</f>
        <v>25</v>
      </c>
      <c r="AD38" s="257">
        <f t="shared" si="75"/>
        <v>1103.0779503741294</v>
      </c>
      <c r="AE38" s="257">
        <f t="shared" si="76"/>
        <v>27661.215668921966</v>
      </c>
      <c r="AF38" s="246">
        <f>+'ST Original'!AK37</f>
        <v>4366</v>
      </c>
      <c r="AG38" s="3943">
        <f t="shared" si="53"/>
        <v>29.819750307075012</v>
      </c>
      <c r="AH38" s="246">
        <f t="shared" si="57"/>
        <v>1301.930298406895</v>
      </c>
      <c r="AI38" s="246">
        <f t="shared" si="54"/>
        <v>4366</v>
      </c>
      <c r="AJ38" s="3943">
        <f t="shared" si="55"/>
        <v>30.166707440864869</v>
      </c>
      <c r="AK38" s="246">
        <f t="shared" si="56"/>
        <v>1317.0784468681602</v>
      </c>
      <c r="AL38" s="333">
        <f>+'R+P'!AP37</f>
        <v>2694.4420702269217</v>
      </c>
      <c r="AM38" s="333">
        <f>+'R+P'!AQ37</f>
        <v>1264.3953089934337</v>
      </c>
      <c r="AN38" s="333">
        <f t="shared" si="77"/>
        <v>8374.2732281577228</v>
      </c>
      <c r="AO38" s="333">
        <f t="shared" si="78"/>
        <v>7043.8420446998507</v>
      </c>
      <c r="AP38" s="333">
        <f t="shared" si="79"/>
        <v>1793.4233503697101</v>
      </c>
      <c r="AQ38" s="246">
        <f t="shared" si="80"/>
        <v>8842.4655688409766</v>
      </c>
      <c r="AR38" s="245">
        <f t="shared" si="81"/>
        <v>94.157059414800372</v>
      </c>
      <c r="AS38" s="244">
        <f t="shared" si="82"/>
        <v>98.057573027372229</v>
      </c>
      <c r="AT38" s="244">
        <f t="shared" si="83"/>
        <v>98.057573027372229</v>
      </c>
      <c r="AU38" s="244">
        <f t="shared" si="84"/>
        <v>86.356032189656645</v>
      </c>
      <c r="AV38" s="1833">
        <f>+'Plan mina PS'!AG35</f>
        <v>1.2628868967614186</v>
      </c>
      <c r="AW38" s="2464">
        <f>'Plan mina PS'!T35</f>
        <v>16.388313236015385</v>
      </c>
      <c r="AX38" s="471">
        <f t="shared" si="26"/>
        <v>737.47409562069231</v>
      </c>
      <c r="AY38" s="1831">
        <f>+'Plan mina PS'!AJ35</f>
        <v>4.1344082201220784</v>
      </c>
      <c r="AZ38" s="246">
        <f>'Plan mina PS'!V35</f>
        <v>186.90407152178329</v>
      </c>
      <c r="BA38" s="244">
        <f>+('Plan mina PS'!P35*AN38/1000000)*0.8</f>
        <v>2.6520810848948022</v>
      </c>
      <c r="BB38" s="244">
        <f>+'Plan mina PS'!W35</f>
        <v>37.61583478206861</v>
      </c>
      <c r="BC38" s="245">
        <f>+'Plan mina PS'!Y35</f>
        <v>83.226583739130831</v>
      </c>
      <c r="BD38" s="245">
        <f>+'MCP PS'!AU31*100</f>
        <v>76.792985410910248</v>
      </c>
      <c r="BE38" s="2465">
        <f t="shared" si="27"/>
        <v>46111.791666666664</v>
      </c>
      <c r="BF38" s="245">
        <f t="shared" si="85"/>
        <v>94.705183333333324</v>
      </c>
      <c r="BG38" s="245">
        <f t="shared" si="86"/>
        <v>98.057573027372229</v>
      </c>
      <c r="BH38" s="244">
        <f t="shared" si="87"/>
        <v>98.057573027372229</v>
      </c>
      <c r="BI38" s="244">
        <f t="shared" si="88"/>
        <v>86.356032189656645</v>
      </c>
      <c r="BJ38" s="244">
        <f t="shared" si="89"/>
        <v>97.132597759803119</v>
      </c>
      <c r="BK38" s="244">
        <f t="shared" si="90"/>
        <v>23.533817526569337</v>
      </c>
      <c r="BL38" s="244">
        <f t="shared" si="91"/>
        <v>23.533817526569337</v>
      </c>
      <c r="BM38" s="244">
        <f t="shared" si="92"/>
        <v>20.725447725517597</v>
      </c>
      <c r="BN38" s="244">
        <f t="shared" si="93"/>
        <v>23.311823462352748</v>
      </c>
      <c r="BO38" s="245">
        <f t="shared" si="37"/>
        <v>0.12676900000000002</v>
      </c>
      <c r="BP38" s="245">
        <f t="shared" si="38"/>
        <v>0.12676900000000002</v>
      </c>
      <c r="BQ38" s="245">
        <f t="shared" si="39"/>
        <v>0.89044900000000005</v>
      </c>
      <c r="BR38" s="245">
        <f t="shared" si="40"/>
        <v>0.12676900000000002</v>
      </c>
      <c r="BS38" s="280">
        <f>+'ST Original'!DL37</f>
        <v>0</v>
      </c>
      <c r="BT38" s="280">
        <f>+'ST Original'!DM37</f>
        <v>0</v>
      </c>
      <c r="BU38" s="280">
        <f>+'ST Original'!DN37</f>
        <v>0</v>
      </c>
      <c r="BV38" s="280">
        <f>+'ST Original'!DO37</f>
        <v>0</v>
      </c>
      <c r="BW38" s="280">
        <f>+'ST Original'!DP37</f>
        <v>0</v>
      </c>
      <c r="BX38" s="280">
        <f>+'ST Original'!DQ37</f>
        <v>0</v>
      </c>
      <c r="BY38" s="280">
        <f>+'ST Original'!DR37</f>
        <v>0</v>
      </c>
      <c r="BZ38" s="280">
        <f>+'ST Original'!DS37</f>
        <v>0</v>
      </c>
      <c r="CA38" s="280">
        <f>+'ST Original'!DT37</f>
        <v>0</v>
      </c>
      <c r="CB38" s="280">
        <v>6</v>
      </c>
      <c r="CC38" s="280">
        <f>+'ST Original'!DV37</f>
        <v>0</v>
      </c>
      <c r="CD38" s="2466">
        <f>+'ST Original'!DW37</f>
        <v>7.2602333333333338E-2</v>
      </c>
      <c r="CE38" s="2466">
        <f>+'ST Original'!DX37</f>
        <v>7.2602333333333338E-2</v>
      </c>
      <c r="CF38" s="2466">
        <f>+'ST Original'!DY37</f>
        <v>7.2602333333333338E-2</v>
      </c>
      <c r="CG38" s="2466">
        <f>+'ST Original'!DZ37</f>
        <v>7.2602333333333338E-2</v>
      </c>
      <c r="CH38" s="2466">
        <f>+'ST Original'!EA37</f>
        <v>0</v>
      </c>
      <c r="CI38" s="2466">
        <f>+'ST Original'!EB37</f>
        <v>0</v>
      </c>
      <c r="CJ38" s="2466">
        <f>+'ST Original'!EC37</f>
        <v>0</v>
      </c>
      <c r="CK38" s="2466">
        <f>+'ST Original'!ED37</f>
        <v>0</v>
      </c>
      <c r="CL38" s="2466">
        <f>+'ST Original'!EE37</f>
        <v>0.05</v>
      </c>
      <c r="CM38" s="2466">
        <f>+'ST Original'!EF37</f>
        <v>0.05</v>
      </c>
      <c r="CN38" s="2466">
        <f>+'ST Original'!EG37</f>
        <v>0.05</v>
      </c>
      <c r="CO38" s="2466">
        <f>+'ST Original'!EH37</f>
        <v>0.05</v>
      </c>
      <c r="CP38" s="2466">
        <f>+'ST Original'!EI37</f>
        <v>4.1666666666666666E-3</v>
      </c>
      <c r="CQ38" s="2466">
        <f>+'ST Original'!EJ37</f>
        <v>4.1666666666666666E-3</v>
      </c>
      <c r="CR38" s="2466">
        <f>+'ST Original'!EK37</f>
        <v>4.1666666666666666E-3</v>
      </c>
      <c r="CS38" s="2466">
        <f>+'ST Original'!EL37</f>
        <v>4.1666666666666666E-3</v>
      </c>
      <c r="CT38" s="3888">
        <f>+'MCP PS'!I31</f>
        <v>1.3220587008859237</v>
      </c>
      <c r="CY38" s="2465">
        <f t="shared" si="94"/>
        <v>46111.791666666664</v>
      </c>
      <c r="CZ38" s="274">
        <f>+'Plan mina PS'!J35</f>
        <v>4.603160614953191E-2</v>
      </c>
      <c r="DA38" s="274">
        <f t="shared" si="95"/>
        <v>1.6896714510611897</v>
      </c>
      <c r="DB38" s="257">
        <f t="shared" si="96"/>
        <v>6013.5074536231577</v>
      </c>
      <c r="DC38" s="246">
        <f t="shared" si="97"/>
        <v>6013.5074536231577</v>
      </c>
      <c r="DD38" s="274">
        <f>+'Plan mina PS'!K35</f>
        <v>1.2946196729817929</v>
      </c>
      <c r="DE38" s="274">
        <f t="shared" si="98"/>
        <v>54.101175673883141</v>
      </c>
      <c r="DF38" s="257">
        <f t="shared" si="99"/>
        <v>192545.01989741577</v>
      </c>
      <c r="DG38" s="257">
        <f t="shared" si="100"/>
        <v>192545.01989741577</v>
      </c>
      <c r="DH38" s="242">
        <f>+'Plan mina PS'!T35</f>
        <v>16.388313236015385</v>
      </c>
      <c r="DI38" s="257">
        <f t="shared" si="101"/>
        <v>737.47409562069231</v>
      </c>
      <c r="DJ38" s="471">
        <f>+'Plan mina PS'!AH72</f>
        <v>0</v>
      </c>
    </row>
    <row r="39" spans="1:116" s="243" customFormat="1" ht="13.5" customHeight="1">
      <c r="A39" s="2467"/>
      <c r="B39" s="2463">
        <f t="shared" si="0"/>
        <v>46112.791666666664</v>
      </c>
      <c r="C39" s="257">
        <f>'Plan mina PS'!M73*1000</f>
        <v>269999.99999969493</v>
      </c>
      <c r="D39" s="257">
        <f>'Plan mina PS'!L73*1000</f>
        <v>672312.43297864788</v>
      </c>
      <c r="E39" s="257">
        <f>((('Plan mina PS'!N73*1000)))</f>
        <v>306376.6010562717</v>
      </c>
      <c r="F39" s="257">
        <f>+'Plan mina PS'!I73*1000</f>
        <v>42241.024113783184</v>
      </c>
      <c r="G39" s="257">
        <f t="shared" si="61"/>
        <v>264135.57694248849</v>
      </c>
      <c r="H39" s="242">
        <f t="shared" si="62"/>
        <v>98.057573027372243</v>
      </c>
      <c r="I39" s="242">
        <f t="shared" si="63"/>
        <v>97.132597759803119</v>
      </c>
      <c r="J39" s="274">
        <f t="shared" si="64"/>
        <v>97.88718333333334</v>
      </c>
      <c r="K39" s="415">
        <f>+'Plan mina PS'!D36</f>
        <v>0.57187199432425428</v>
      </c>
      <c r="L39" s="274">
        <f>'Plan mina PS'!C36</f>
        <v>91.042827998464162</v>
      </c>
      <c r="M39" s="242">
        <f>'Plan mina PS'!B36</f>
        <v>29.094089095777246</v>
      </c>
      <c r="N39" s="257">
        <f t="shared" si="65"/>
        <v>5482.7115463926684</v>
      </c>
      <c r="O39" s="257">
        <f t="shared" si="66"/>
        <v>104623.53433888675</v>
      </c>
      <c r="P39" s="257">
        <f t="shared" si="67"/>
        <v>1595.1449821719493</v>
      </c>
      <c r="Q39" s="257">
        <f t="shared" si="68"/>
        <v>27926.420320905061</v>
      </c>
      <c r="R39" s="257">
        <f>+'Plan mina PS'!E36</f>
        <v>186.55741600567592</v>
      </c>
      <c r="S39" s="274">
        <f t="shared" ref="S39" si="102">IF(R39&gt;0,$O$2*LN(R39)+$O$3,"")-3</f>
        <v>90.294527739166298</v>
      </c>
      <c r="T39" s="274">
        <f t="shared" si="69"/>
        <v>89.168586356951735</v>
      </c>
      <c r="U39" s="1831">
        <f t="shared" si="11"/>
        <v>80.514353942700239</v>
      </c>
      <c r="V39" s="242">
        <v>50</v>
      </c>
      <c r="W39" s="257">
        <f t="shared" si="70"/>
        <v>92.038900014831199</v>
      </c>
      <c r="X39" s="257">
        <f t="shared" si="71"/>
        <v>1707.9340314572914</v>
      </c>
      <c r="Y39" s="257">
        <f t="shared" si="72"/>
        <v>80</v>
      </c>
      <c r="Z39" s="257">
        <f t="shared" si="73"/>
        <v>46.0194500074156</v>
      </c>
      <c r="AA39" s="257">
        <f t="shared" si="74"/>
        <v>853.96701572864572</v>
      </c>
      <c r="AB39" s="257">
        <v>40</v>
      </c>
      <c r="AC39" s="257">
        <f>+'ST Original'!AG38</f>
        <v>40</v>
      </c>
      <c r="AD39" s="257">
        <f t="shared" si="75"/>
        <v>1667.2728064930557</v>
      </c>
      <c r="AE39" s="257">
        <f t="shared" si="76"/>
        <v>29328.488475415023</v>
      </c>
      <c r="AF39" s="246">
        <f>+'ST Original'!AK38</f>
        <v>4366</v>
      </c>
      <c r="AG39" s="3943">
        <f t="shared" si="53"/>
        <v>29.094089095777246</v>
      </c>
      <c r="AH39" s="246">
        <f t="shared" si="57"/>
        <v>1270.2479299216345</v>
      </c>
      <c r="AI39" s="4222">
        <f>AF38+1300</f>
        <v>5666</v>
      </c>
      <c r="AJ39" s="3943">
        <f t="shared" si="55"/>
        <v>29.819750307075012</v>
      </c>
      <c r="AK39" s="246">
        <f t="shared" si="56"/>
        <v>1689.5870523988704</v>
      </c>
      <c r="AL39" s="4005">
        <f>+'R+P'!AP38</f>
        <v>2600</v>
      </c>
      <c r="AM39" s="333">
        <f>+'R+P'!AQ38</f>
        <v>1622.0035703029155</v>
      </c>
      <c r="AN39" s="333">
        <f>+E39/36</f>
        <v>8510.461140451991</v>
      </c>
      <c r="AO39" s="333">
        <f t="shared" si="78"/>
        <v>11223.660447111195</v>
      </c>
      <c r="AP39" s="333">
        <f t="shared" si="79"/>
        <v>1812</v>
      </c>
      <c r="AQ39" s="246">
        <f>+(E39/(36*J39/100))</f>
        <v>8694.1526465946845</v>
      </c>
      <c r="AR39" s="245">
        <f t="shared" si="81"/>
        <v>98.057573027372243</v>
      </c>
      <c r="AS39" s="245">
        <f t="shared" si="82"/>
        <v>98.057573027372229</v>
      </c>
      <c r="AT39" s="244">
        <f t="shared" si="83"/>
        <v>98.057573027372229</v>
      </c>
      <c r="AU39" s="244">
        <f t="shared" si="84"/>
        <v>98.057573027372229</v>
      </c>
      <c r="AV39" s="1833">
        <f>+'Plan mina PS'!AG36</f>
        <v>1.198143512834341</v>
      </c>
      <c r="AW39" s="2464">
        <f>'Plan mina PS'!T36</f>
        <v>15.945762577034797</v>
      </c>
      <c r="AX39" s="471">
        <f t="shared" si="26"/>
        <v>717.55931596656592</v>
      </c>
      <c r="AY39" s="1831">
        <f>+'Plan mina PS'!AJ36</f>
        <v>4.0941923461957765</v>
      </c>
      <c r="AZ39" s="246">
        <f>'Plan mina PS'!V36</f>
        <v>187.02558043370502</v>
      </c>
      <c r="BA39" s="244">
        <f>+('Plan mina PS'!P36*AN39/1000000)*0.8</f>
        <v>2.2609113034047832</v>
      </c>
      <c r="BB39" s="244">
        <f>+'Plan mina PS'!W36</f>
        <v>38.842467620264443</v>
      </c>
      <c r="BC39" s="245">
        <f>+'Plan mina PS'!Y36</f>
        <v>78.829288563837736</v>
      </c>
      <c r="BD39" s="245">
        <f>+'MCP PS'!AU32*100</f>
        <v>69.378764329299386</v>
      </c>
      <c r="BE39" s="2465">
        <f t="shared" si="27"/>
        <v>46112.791666666664</v>
      </c>
      <c r="BF39" s="245">
        <f t="shared" si="85"/>
        <v>97.887183333333326</v>
      </c>
      <c r="BG39" s="245">
        <f t="shared" si="86"/>
        <v>98.057573027372229</v>
      </c>
      <c r="BH39" s="244">
        <f t="shared" si="87"/>
        <v>98.057573027372229</v>
      </c>
      <c r="BI39" s="244">
        <f t="shared" si="88"/>
        <v>98.057573027372229</v>
      </c>
      <c r="BJ39" s="244">
        <f t="shared" si="89"/>
        <v>97.132597759803119</v>
      </c>
      <c r="BK39" s="244">
        <f t="shared" si="90"/>
        <v>23.533817526569337</v>
      </c>
      <c r="BL39" s="244">
        <f t="shared" si="91"/>
        <v>23.533817526569337</v>
      </c>
      <c r="BM39" s="244">
        <f t="shared" si="92"/>
        <v>23.533817526569337</v>
      </c>
      <c r="BN39" s="244">
        <f t="shared" si="93"/>
        <v>23.311823462352748</v>
      </c>
      <c r="BO39" s="245">
        <f t="shared" si="37"/>
        <v>0.12676900000000002</v>
      </c>
      <c r="BP39" s="245">
        <f t="shared" si="38"/>
        <v>0.12676900000000002</v>
      </c>
      <c r="BQ39" s="245">
        <f t="shared" si="39"/>
        <v>0.12676900000000002</v>
      </c>
      <c r="BR39" s="245">
        <f t="shared" si="40"/>
        <v>0.12676900000000002</v>
      </c>
      <c r="BS39" s="280">
        <f>+'ST Original'!DL38</f>
        <v>0</v>
      </c>
      <c r="BT39" s="280">
        <f>+'ST Original'!DM38</f>
        <v>0</v>
      </c>
      <c r="BU39" s="280">
        <f>+'ST Original'!DN38</f>
        <v>0</v>
      </c>
      <c r="BV39" s="280">
        <f>+'ST Original'!DO38</f>
        <v>0</v>
      </c>
      <c r="BW39" s="280">
        <f>+'ST Original'!DP38</f>
        <v>0</v>
      </c>
      <c r="BX39" s="280">
        <f>+'ST Original'!DQ38</f>
        <v>0</v>
      </c>
      <c r="BY39" s="280">
        <f>+'ST Original'!DR38</f>
        <v>0</v>
      </c>
      <c r="BZ39" s="280">
        <f>+'ST Original'!DS38</f>
        <v>0</v>
      </c>
      <c r="CA39" s="280">
        <f>+'ST Original'!DT38</f>
        <v>0</v>
      </c>
      <c r="CB39" s="280">
        <f>+'ST Original'!DU38</f>
        <v>0</v>
      </c>
      <c r="CC39" s="280">
        <f>+'ST Original'!DV38</f>
        <v>0</v>
      </c>
      <c r="CD39" s="2466">
        <f>+'ST Original'!DW38</f>
        <v>7.2602333333333338E-2</v>
      </c>
      <c r="CE39" s="2466">
        <f>+'ST Original'!DX38</f>
        <v>7.2602333333333338E-2</v>
      </c>
      <c r="CF39" s="2466">
        <f>+'ST Original'!DY38</f>
        <v>7.2602333333333338E-2</v>
      </c>
      <c r="CG39" s="2466">
        <f>+'ST Original'!DZ38</f>
        <v>7.2602333333333338E-2</v>
      </c>
      <c r="CH39" s="2466">
        <f>+'ST Original'!EA38</f>
        <v>0</v>
      </c>
      <c r="CI39" s="2466">
        <f>+'ST Original'!EB38</f>
        <v>0</v>
      </c>
      <c r="CJ39" s="2466">
        <f>+'ST Original'!EC38</f>
        <v>0</v>
      </c>
      <c r="CK39" s="2466">
        <f>+'ST Original'!ED38</f>
        <v>0</v>
      </c>
      <c r="CL39" s="2466">
        <f>+'ST Original'!EE38</f>
        <v>0.05</v>
      </c>
      <c r="CM39" s="2466">
        <f>+'ST Original'!EF38</f>
        <v>0.05</v>
      </c>
      <c r="CN39" s="2466">
        <f>+'ST Original'!EG38</f>
        <v>0.05</v>
      </c>
      <c r="CO39" s="2466">
        <f>+'ST Original'!EH38</f>
        <v>0.05</v>
      </c>
      <c r="CP39" s="2466">
        <f>+'ST Original'!EI38</f>
        <v>4.1666666666666666E-3</v>
      </c>
      <c r="CQ39" s="2466">
        <f>+'ST Original'!EJ38</f>
        <v>4.1666666666666666E-3</v>
      </c>
      <c r="CR39" s="2466">
        <f>+'ST Original'!EK38</f>
        <v>4.1666666666666666E-3</v>
      </c>
      <c r="CS39" s="2466">
        <f>+'ST Original'!EL38</f>
        <v>4.1666666666666666E-3</v>
      </c>
      <c r="CT39" s="3888">
        <f>+'MCP PS'!I32</f>
        <v>1.2009439766132177</v>
      </c>
      <c r="CY39" s="2465">
        <f t="shared" si="94"/>
        <v>46112.791666666664</v>
      </c>
      <c r="CZ39" s="274">
        <f>+'Plan mina PS'!J36</f>
        <v>4.7931144745847934E-2</v>
      </c>
      <c r="DA39" s="274">
        <f t="shared" si="95"/>
        <v>1.7409702675421888</v>
      </c>
      <c r="DB39" s="257">
        <f t="shared" si="96"/>
        <v>9545.2377877798917</v>
      </c>
      <c r="DC39" s="246">
        <f t="shared" si="97"/>
        <v>9545.2377877798917</v>
      </c>
      <c r="DD39" s="274">
        <f>+'Plan mina PS'!K36</f>
        <v>1.4376847751380697</v>
      </c>
      <c r="DE39" s="274">
        <f t="shared" si="98"/>
        <v>59.45051068104253</v>
      </c>
      <c r="DF39" s="257">
        <f t="shared" si="99"/>
        <v>325950.00134989253</v>
      </c>
      <c r="DG39" s="257">
        <f t="shared" si="100"/>
        <v>325950.00134989253</v>
      </c>
      <c r="DH39" s="242">
        <f>+'Plan mina PS'!T36</f>
        <v>15.945762577034797</v>
      </c>
      <c r="DI39" s="257">
        <f t="shared" si="101"/>
        <v>717.55931596656592</v>
      </c>
      <c r="DJ39" s="471">
        <f>+'Plan mina PS'!AH73</f>
        <v>0</v>
      </c>
    </row>
    <row r="40" spans="1:116" s="243" customFormat="1" ht="15.75" customHeight="1" thickBot="1">
      <c r="A40" s="2461"/>
      <c r="B40" s="2463"/>
      <c r="C40" s="257"/>
      <c r="D40" s="257"/>
      <c r="E40" s="257"/>
      <c r="F40" s="257"/>
      <c r="G40" s="257"/>
      <c r="H40" s="274"/>
      <c r="I40" s="363"/>
      <c r="J40" s="818"/>
      <c r="K40" s="415"/>
      <c r="L40" s="274"/>
      <c r="M40" s="242"/>
      <c r="N40" s="2305" t="s">
        <v>1343</v>
      </c>
      <c r="O40" s="2305"/>
      <c r="P40" s="2305"/>
      <c r="Q40" s="2305"/>
      <c r="R40" s="2306"/>
      <c r="S40" s="2462"/>
      <c r="T40" s="2462"/>
      <c r="U40" s="3904"/>
      <c r="V40" s="2305"/>
      <c r="W40" s="2305"/>
      <c r="X40" s="2305"/>
      <c r="Y40" s="2305"/>
      <c r="Z40" s="2305"/>
      <c r="AA40" s="2305"/>
      <c r="AB40" s="2305"/>
      <c r="AC40" s="2305"/>
      <c r="AD40" s="2305"/>
      <c r="AE40" s="2305"/>
      <c r="AF40" s="2305"/>
      <c r="AG40" s="242"/>
      <c r="AH40" s="257"/>
      <c r="AI40" s="257"/>
      <c r="AJ40" s="274"/>
      <c r="AK40" s="257"/>
      <c r="AL40" s="3"/>
      <c r="AM40" s="3"/>
      <c r="AN40" s="3"/>
      <c r="AO40" s="1675"/>
      <c r="AP40" s="1675"/>
      <c r="AQ40" s="246"/>
      <c r="AR40" s="2919"/>
      <c r="AS40" s="1832"/>
      <c r="AT40" s="1832"/>
      <c r="AU40" s="1832"/>
      <c r="AV40" s="1833"/>
      <c r="AW40" s="1834"/>
      <c r="AX40" s="1834"/>
      <c r="AY40" s="2466"/>
      <c r="AZ40" s="244"/>
      <c r="BA40" s="1831"/>
      <c r="BB40" s="447"/>
      <c r="BC40" s="245"/>
      <c r="BD40" s="245"/>
      <c r="BE40" s="245"/>
      <c r="BF40" s="274"/>
      <c r="BG40" s="274"/>
      <c r="BH40" s="274"/>
      <c r="BI40" s="274"/>
      <c r="BJ40" s="244"/>
      <c r="BK40" s="244"/>
      <c r="BL40" s="242"/>
      <c r="BM40" s="242"/>
      <c r="BN40" s="242"/>
      <c r="BO40" s="242"/>
      <c r="BP40" s="242"/>
      <c r="BQ40" s="242"/>
      <c r="BR40" s="242"/>
      <c r="BS40" s="242"/>
      <c r="BT40" s="242"/>
      <c r="BU40" s="242"/>
      <c r="BV40" s="242"/>
      <c r="BW40" s="242"/>
      <c r="BX40" s="242"/>
      <c r="BY40" s="242"/>
      <c r="BZ40" s="242"/>
      <c r="CA40" s="242"/>
      <c r="CB40" s="242"/>
      <c r="CC40" s="242"/>
      <c r="CD40" s="250"/>
      <c r="CE40" s="250"/>
      <c r="CF40" s="250"/>
      <c r="CG40" s="250"/>
      <c r="CH40" s="250"/>
      <c r="CI40" s="250"/>
      <c r="CJ40" s="250"/>
      <c r="CK40" s="250"/>
      <c r="CL40" s="250"/>
      <c r="CM40" s="250"/>
      <c r="CN40" s="250"/>
      <c r="CO40" s="250"/>
      <c r="CP40" s="1835"/>
      <c r="CQ40" s="1835"/>
      <c r="CR40" s="1835"/>
      <c r="CS40" s="1835"/>
      <c r="CY40" s="11"/>
      <c r="CZ40" s="14"/>
      <c r="DA40" s="272"/>
      <c r="DB40" s="33"/>
      <c r="DC40" s="21"/>
      <c r="DD40" s="14"/>
      <c r="DE40" s="32"/>
      <c r="DF40" s="16"/>
      <c r="DG40" s="12"/>
      <c r="DH40" s="50"/>
      <c r="DI40" s="12"/>
    </row>
    <row r="41" spans="1:116" s="243" customFormat="1">
      <c r="A41" s="316" t="s">
        <v>330</v>
      </c>
      <c r="B41" s="339"/>
      <c r="C41" s="340">
        <f>AVERAGE(C9:C39)</f>
        <v>197635.41221017131</v>
      </c>
      <c r="D41" s="340">
        <f>+SUM(C9:C39)</f>
        <v>6126697.778515311</v>
      </c>
      <c r="E41" s="340">
        <f>+SUM(E9:E39)</f>
        <v>5942560.2677982133</v>
      </c>
      <c r="F41" s="340">
        <f>+SUM(F9:F39)</f>
        <v>1286059.8247852644</v>
      </c>
      <c r="G41" s="340">
        <f>+SUM(G9:G39)</f>
        <v>4656500.4430129481</v>
      </c>
      <c r="H41" s="348">
        <f>+SUM(H9:H39)/COUNT(B9:B39)</f>
        <v>90.612361597643911</v>
      </c>
      <c r="I41" s="1520">
        <f>+SUM(I9:I39)/COUNT(C9:C39)</f>
        <v>97.132597759803076</v>
      </c>
      <c r="J41" s="1520">
        <f>+SUM(J9:J39)/COUNT(E9:E39)</f>
        <v>91.81345430107524</v>
      </c>
      <c r="K41" s="342">
        <f>SUMPRODUCT(K9:K39,E9:E39)/SUM(E41)</f>
        <v>0.52107697899763572</v>
      </c>
      <c r="L41" s="342">
        <f>Q41*100/(E41*K41/100)</f>
        <v>90.186137802769053</v>
      </c>
      <c r="M41" s="341">
        <f>L41*E41*K41/(100*O41)</f>
        <v>26.692292988734646</v>
      </c>
      <c r="N41" s="340">
        <f>E41*K41/100*L41/100/M41*100</f>
        <v>104623.53433888678</v>
      </c>
      <c r="O41" s="340">
        <f>SUM(N9:N39)</f>
        <v>104623.53433888675</v>
      </c>
      <c r="P41" s="340">
        <f>+SUM(P9:P39)</f>
        <v>27926.420320905061</v>
      </c>
      <c r="Q41" s="340">
        <f>+SUM(P9:P39)</f>
        <v>27926.420320905061</v>
      </c>
      <c r="R41" s="348">
        <f>+SUMPRODUCT(R9:R39,E9:E39)/E41</f>
        <v>178.74540951056019</v>
      </c>
      <c r="S41" s="348">
        <f>SUMPRODUCT(E9:E39,R9:R39,S9:S39)/SUMPRODUCT(E9:E39,R9:R39)</f>
        <v>91.10248316254274</v>
      </c>
      <c r="T41" s="444">
        <f>SUMPRODUCT(E9:E39,R9:R39,S9:S39,T9:T39)/SUMPRODUCT(E9:E39,R9:R39,S9:S39)</f>
        <v>88.247495702137456</v>
      </c>
      <c r="U41" s="444">
        <f>SUMPRODUCT(E8:E38,R9:R39,U9:U39)/SUMPRODUCT(E8:E38,R9:R39)</f>
        <v>80.282960237085419</v>
      </c>
      <c r="V41" s="340">
        <f>AA41/X41*100</f>
        <v>50</v>
      </c>
      <c r="W41" s="340">
        <f>SUM(W9:W39)</f>
        <v>1707.9340314572914</v>
      </c>
      <c r="X41" s="340">
        <f>+SUM(W9:W39)</f>
        <v>1707.9340314572914</v>
      </c>
      <c r="Y41" s="340">
        <f>SUM(Y9:Y39)</f>
        <v>1892.3895148678746</v>
      </c>
      <c r="Z41" s="340">
        <f>SUM(Z9:Z39)</f>
        <v>853.96701572864572</v>
      </c>
      <c r="AA41" s="340">
        <f>+SUM(Z9:Z39)</f>
        <v>853.96701572864572</v>
      </c>
      <c r="AB41" s="340">
        <f>SUM(AB9:AB39)</f>
        <v>946.1947574339373</v>
      </c>
      <c r="AC41" s="340"/>
      <c r="AD41" s="340">
        <f>SUM(AD9:AD39)</f>
        <v>29328.488475415023</v>
      </c>
      <c r="AE41" s="340">
        <f>+SUM(AD9:AD39)</f>
        <v>29328.488475415023</v>
      </c>
      <c r="AF41" s="340">
        <f>SUM(AF9:AF39)</f>
        <v>101705.76990677226</v>
      </c>
      <c r="AG41" s="341">
        <f>AH41/AF41*100</f>
        <v>26.947188539804799</v>
      </c>
      <c r="AH41" s="340">
        <f>SUM(AH9:AH39)</f>
        <v>27406.845572637973</v>
      </c>
      <c r="AI41" s="340">
        <f>+SUM(AI9:AI39)</f>
        <v>101750.76990677226</v>
      </c>
      <c r="AJ41" s="348">
        <f>AK41/AI41*100</f>
        <v>26.982907790086823</v>
      </c>
      <c r="AK41" s="320">
        <f>SUM(AK9:AK39)</f>
        <v>27455.316419647774</v>
      </c>
      <c r="AL41" s="3"/>
      <c r="AM41" s="3"/>
      <c r="AN41" s="3"/>
      <c r="AO41" s="1675">
        <f>+SUMPRODUCT(AO9:AO39,H9:H39)/SUM(H9:H39)</f>
        <v>6907.1559820708108</v>
      </c>
      <c r="AP41" s="1675">
        <f>+SUMPRODUCT(AP9:AP39,I9:I39)/SUM(I9:I39)</f>
        <v>1779.6034216937965</v>
      </c>
      <c r="AQ41" s="246">
        <f>+(E41/(24*J41*30/100))</f>
        <v>8989.4841560283839</v>
      </c>
      <c r="AR41" s="2920">
        <f>AVERAGE(AR9:AR39)</f>
        <v>90.612361597643911</v>
      </c>
      <c r="AS41" s="441"/>
      <c r="AT41" s="441"/>
      <c r="AU41" s="441"/>
      <c r="AV41" s="442">
        <f>SUMPRODUCT(AV9:AV38,E9:E38)/SUM(E9:E38)</f>
        <v>1.2123261730539416</v>
      </c>
      <c r="AW41" s="443">
        <f>SUMPRODUCT(AW9:AW38,E9:E38)/SUM(E9:E38)</f>
        <v>23.679079291559411</v>
      </c>
      <c r="AX41" s="443">
        <f>SUMPRODUCT(AX9:AX39,N9:N39)/SUM(N9:N39)</f>
        <v>1062.0486639438589</v>
      </c>
      <c r="AY41" s="486">
        <f>SUMPRODUCT(AY9:AY39,E9:E39)/E41</f>
        <v>4.1655051751377581</v>
      </c>
      <c r="AZ41" s="455"/>
      <c r="BA41" s="444">
        <f>SUMPRODUCT(BA9:BA38,BK9:BK38)/BK41</f>
        <v>5.5621270232308193</v>
      </c>
      <c r="BB41" s="444">
        <f>SUMPRODUCT(BB9:BB39,BL9:BL39)/BL41</f>
        <v>37.861953179792586</v>
      </c>
      <c r="BC41" s="444">
        <f>SUMPRODUCT(BC9:BC39,E9:E39)/E41</f>
        <v>82.69108746228595</v>
      </c>
      <c r="BD41" s="444"/>
      <c r="BE41" s="324"/>
      <c r="BF41" s="2985">
        <f>(31*24-0.5-SUM(BO41:BR41)-0.5)/(31*24-0.5)*100</f>
        <v>91.740699394754529</v>
      </c>
      <c r="BG41" s="326">
        <f>BK41/($BM$44*COUNT(BE9:BE39))*100</f>
        <v>78.858838513105184</v>
      </c>
      <c r="BH41" s="326">
        <f>BL41/($BM$44*COUNT(BF9:BF39))*100</f>
        <v>98.408347309761012</v>
      </c>
      <c r="BI41" s="326">
        <f>BM41/($BM$44*COUNT(BG9:BG39))*100</f>
        <v>97.046340527394378</v>
      </c>
      <c r="BJ41" s="326">
        <f>BN41/($BM$44*COUNT(BH9:BH39))*100</f>
        <v>98.017477767425774</v>
      </c>
      <c r="BK41" s="318">
        <f t="shared" ref="BK41:CF41" si="103">SUM(BK9:BK39)</f>
        <v>581.41307321737236</v>
      </c>
      <c r="BL41" s="319">
        <f t="shared" si="103"/>
        <v>725.54834332364976</v>
      </c>
      <c r="BM41" s="319">
        <f t="shared" si="103"/>
        <v>715.50649431839099</v>
      </c>
      <c r="BN41" s="319">
        <f t="shared" si="103"/>
        <v>722.66652733293574</v>
      </c>
      <c r="BO41" s="326">
        <f t="shared" si="103"/>
        <v>44.212263000000064</v>
      </c>
      <c r="BP41" s="326">
        <f t="shared" si="103"/>
        <v>5.0175590000000021</v>
      </c>
      <c r="BQ41" s="326">
        <f t="shared" si="103"/>
        <v>7.7482390000000043</v>
      </c>
      <c r="BR41" s="326">
        <f t="shared" si="103"/>
        <v>3.9298389999999981</v>
      </c>
      <c r="BS41" s="388">
        <f t="shared" si="103"/>
        <v>150</v>
      </c>
      <c r="BT41" s="317">
        <f t="shared" si="103"/>
        <v>4</v>
      </c>
      <c r="BU41" s="317">
        <f t="shared" si="103"/>
        <v>0</v>
      </c>
      <c r="BV41" s="317">
        <f t="shared" si="103"/>
        <v>0</v>
      </c>
      <c r="BW41" s="317">
        <f t="shared" si="103"/>
        <v>0</v>
      </c>
      <c r="BX41" s="317">
        <f t="shared" si="103"/>
        <v>0</v>
      </c>
      <c r="BY41" s="317">
        <f t="shared" si="103"/>
        <v>0</v>
      </c>
      <c r="BZ41" s="317">
        <f t="shared" si="103"/>
        <v>0</v>
      </c>
      <c r="CA41" s="317">
        <f t="shared" si="103"/>
        <v>0</v>
      </c>
      <c r="CB41" s="317">
        <f t="shared" si="103"/>
        <v>30</v>
      </c>
      <c r="CC41" s="317">
        <f t="shared" si="103"/>
        <v>0</v>
      </c>
      <c r="CD41" s="445">
        <f t="shared" si="103"/>
        <v>1.9602630000000014</v>
      </c>
      <c r="CE41" s="445">
        <f t="shared" si="103"/>
        <v>2.2506723333333345</v>
      </c>
      <c r="CF41" s="445">
        <f t="shared" si="103"/>
        <v>2.2506723333333345</v>
      </c>
      <c r="CG41" s="446"/>
      <c r="CH41" s="445">
        <f t="shared" ref="CH41:CS41" si="104">SUM(CH9:CH39)</f>
        <v>0</v>
      </c>
      <c r="CI41" s="445">
        <f t="shared" si="104"/>
        <v>0</v>
      </c>
      <c r="CJ41" s="445">
        <f t="shared" si="104"/>
        <v>0</v>
      </c>
      <c r="CK41" s="445">
        <f t="shared" si="104"/>
        <v>0</v>
      </c>
      <c r="CL41" s="445">
        <f t="shared" si="104"/>
        <v>1.3500000000000005</v>
      </c>
      <c r="CM41" s="445">
        <f t="shared" si="104"/>
        <v>1.5500000000000007</v>
      </c>
      <c r="CN41" s="445">
        <f t="shared" si="104"/>
        <v>1.5500000000000007</v>
      </c>
      <c r="CO41" s="445">
        <f t="shared" si="104"/>
        <v>1.5500000000000007</v>
      </c>
      <c r="CP41" s="445">
        <f t="shared" si="104"/>
        <v>0.11249999999999999</v>
      </c>
      <c r="CQ41" s="445">
        <f t="shared" si="104"/>
        <v>0.12916666666666665</v>
      </c>
      <c r="CR41" s="445">
        <f t="shared" si="104"/>
        <v>0.12916666666666665</v>
      </c>
      <c r="CS41" s="445">
        <f t="shared" si="104"/>
        <v>0.12916666666666665</v>
      </c>
      <c r="CT41" s="439"/>
      <c r="CY41" s="577"/>
      <c r="CZ41" s="325"/>
      <c r="DA41" s="576"/>
      <c r="DB41" s="318"/>
      <c r="DC41" s="578"/>
      <c r="DD41" s="325"/>
      <c r="DE41" s="326"/>
      <c r="DF41" s="319"/>
      <c r="DG41" s="320"/>
      <c r="DH41" s="388"/>
      <c r="DI41" s="320"/>
    </row>
    <row r="42" spans="1:116" s="243" customFormat="1" ht="14.15" customHeight="1">
      <c r="A42" s="4734" t="s">
        <v>331</v>
      </c>
      <c r="B42" s="4735"/>
      <c r="C42" s="1407">
        <f>AVERAGE(C9:C15)</f>
        <v>170410.05969296719</v>
      </c>
      <c r="D42" s="1583">
        <f>SUM(C9:C15)</f>
        <v>1192870.4178507703</v>
      </c>
      <c r="E42" s="1407">
        <f>AVERAGE(E9:E15)</f>
        <v>160671.76294969241</v>
      </c>
      <c r="F42" s="1586">
        <f>SUM(E9:E15)</f>
        <v>1124702.3406478469</v>
      </c>
      <c r="G42" s="1586"/>
      <c r="H42" s="1585">
        <f>+SUM(H9:H15)/COUNT(B9:B15)</f>
        <v>71.481453998140267</v>
      </c>
      <c r="I42" s="1408"/>
      <c r="J42" s="1408"/>
      <c r="K42" s="1600">
        <f>SUMPRODUCT(E9:E15,K9:K15)/SUM(E9:E15)</f>
        <v>0.50624403907517368</v>
      </c>
      <c r="L42" s="1408">
        <f>Q42*100/(F42*K42/100)</f>
        <v>89.875381502961957</v>
      </c>
      <c r="M42" s="1408">
        <f>L42*F42*K42/(100*O42)</f>
        <v>26.639084241530611</v>
      </c>
      <c r="N42" s="1586">
        <f>AVERAGE(N9:N15)</f>
        <v>2744.2327131978777</v>
      </c>
      <c r="O42" s="1586">
        <f>+SUM(N9:N15)</f>
        <v>19209.628992385144</v>
      </c>
      <c r="P42" s="1586">
        <f>AVERAGE(P9:P15)</f>
        <v>731.03846425242386</v>
      </c>
      <c r="Q42" s="1583">
        <f>+SUM(P9:P15)</f>
        <v>5117.2692497669668</v>
      </c>
      <c r="R42" s="1407">
        <f>SUMPRODUCT(E9:E15,R9:R15)/SUM(E9:E15)</f>
        <v>194.07164227989196</v>
      </c>
      <c r="S42" s="1586"/>
      <c r="T42" s="1586"/>
      <c r="U42" s="1408">
        <f>+AA42*100000000/(F42*R42)</f>
        <v>80.605475559485257</v>
      </c>
      <c r="V42" s="1586"/>
      <c r="W42" s="1586">
        <f>AVERAGE(W9:W15)</f>
        <v>50.268529400305979</v>
      </c>
      <c r="X42" s="1586">
        <f>+SUM(W9:W15)</f>
        <v>351.87970580214187</v>
      </c>
      <c r="Y42" s="1586"/>
      <c r="Z42" s="1586">
        <f>AVERAGE(Z9:Z15)</f>
        <v>25.13426470015299</v>
      </c>
      <c r="AA42" s="1583">
        <f>+SUM(Z9:Z15)</f>
        <v>175.93985290107094</v>
      </c>
      <c r="AB42" s="1586"/>
      <c r="AC42" s="1586"/>
      <c r="AD42" s="1586">
        <f>AVERAGE(AD9:AD15)</f>
        <v>775.75891480974656</v>
      </c>
      <c r="AE42" s="1583">
        <f>+SUM(AD9:AD15)</f>
        <v>5430.3124036682257</v>
      </c>
      <c r="AF42" s="257"/>
      <c r="AG42" s="257"/>
      <c r="AH42" s="257"/>
      <c r="AI42" s="480"/>
      <c r="AK42" s="415"/>
      <c r="AL42" s="538"/>
      <c r="AM42" s="538"/>
      <c r="AN42" s="538"/>
      <c r="AO42" s="538"/>
      <c r="AP42" s="538"/>
      <c r="AQ42" s="333">
        <f>E41/(24*COUNT(B9:B38)*J41%)</f>
        <v>8989.4841560283839</v>
      </c>
      <c r="AR42" s="1726"/>
      <c r="AY42" s="477"/>
      <c r="AZ42" s="477"/>
      <c r="BB42" s="554"/>
      <c r="BF42" s="243">
        <f>SUMPRODUCT($BS$3:$BV$3,BK41:BN41)</f>
        <v>683.0921000000003</v>
      </c>
      <c r="BJ42" s="1726"/>
    </row>
    <row r="43" spans="1:116" s="243" customFormat="1" ht="14.15" customHeight="1">
      <c r="A43" s="4712" t="s">
        <v>332</v>
      </c>
      <c r="B43" s="4713"/>
      <c r="C43" s="255">
        <f>AVERAGE(C16:C22)</f>
        <v>166106.24567607415</v>
      </c>
      <c r="D43" s="259">
        <f>SUM(C16:C22)</f>
        <v>1162743.719732519</v>
      </c>
      <c r="E43" s="255">
        <f>AVERAGE(E16:E22)</f>
        <v>185012.38845671277</v>
      </c>
      <c r="F43" s="257">
        <f>SUM(E16:E22)</f>
        <v>1295086.7191969894</v>
      </c>
      <c r="G43" s="257"/>
      <c r="H43" s="275">
        <f>+SUM(H16:H22)/COUNT(B16:B22)</f>
        <v>94.127340923988953</v>
      </c>
      <c r="I43" s="242"/>
      <c r="J43" s="242"/>
      <c r="K43" s="274">
        <f>SUMPRODUCT(E16:E22,K16:K22)/SUM(E16:E22)</f>
        <v>0.48526892247421993</v>
      </c>
      <c r="L43" s="242">
        <f>Q43*100/(F43*K43/100)</f>
        <v>90.105104808088541</v>
      </c>
      <c r="M43" s="242">
        <f>L43*F43*K43/(100*O43)</f>
        <v>26.245262344507605</v>
      </c>
      <c r="N43" s="257">
        <f>AVERAGE(N16:N22)</f>
        <v>3082.3486916538468</v>
      </c>
      <c r="O43" s="257">
        <f>+SUM(N16:N22)</f>
        <v>21576.440841576929</v>
      </c>
      <c r="P43" s="257">
        <f>AVERAGE(P16:P22)</f>
        <v>808.9705004970499</v>
      </c>
      <c r="Q43" s="259">
        <f>+SUM(P16:P22)</f>
        <v>5662.7935034793491</v>
      </c>
      <c r="R43" s="255">
        <f>SUMPRODUCT(E16:E22,R16:R22)/SUM(E16:E22)</f>
        <v>189.00820863866483</v>
      </c>
      <c r="S43" s="257"/>
      <c r="T43" s="257"/>
      <c r="U43" s="242">
        <f>+AA43*100000000/(F43*R43)</f>
        <v>81.895865213233847</v>
      </c>
      <c r="V43" s="257"/>
      <c r="W43" s="257">
        <f>AVERAGE(W16:W22)</f>
        <v>57.276101097951866</v>
      </c>
      <c r="X43" s="257">
        <f>+SUM(W16:W22)</f>
        <v>400.93270768566305</v>
      </c>
      <c r="Y43" s="257"/>
      <c r="Z43" s="257">
        <f>AVERAGE(Z16:Z22)</f>
        <v>28.638050548975933</v>
      </c>
      <c r="AA43" s="259">
        <f>+SUM(Z16:Z22)</f>
        <v>200.46635384283152</v>
      </c>
      <c r="AB43" s="257"/>
      <c r="AC43" s="257"/>
      <c r="AD43" s="257">
        <f>AVERAGE(AD16:AD22)</f>
        <v>860.83622147693586</v>
      </c>
      <c r="AE43" s="259">
        <f>+SUM(AD16:AD22)</f>
        <v>6025.853550338551</v>
      </c>
      <c r="AF43" s="257"/>
      <c r="AG43" s="257"/>
      <c r="AH43" s="257"/>
      <c r="AI43" s="480"/>
      <c r="AJ43" s="257"/>
      <c r="AK43" s="415"/>
      <c r="AL43" s="257">
        <f>2400*0.89</f>
        <v>2136</v>
      </c>
      <c r="AM43" s="257">
        <f>+AL43*0.912</f>
        <v>1948.0320000000002</v>
      </c>
      <c r="AN43" s="257">
        <v>1687</v>
      </c>
      <c r="AO43" s="257">
        <f>+AN43+AM43</f>
        <v>3635.0320000000002</v>
      </c>
      <c r="AP43" s="257"/>
      <c r="AQ43" s="257"/>
      <c r="AR43" s="2921"/>
      <c r="AS43" s="257"/>
      <c r="AY43" s="477"/>
      <c r="AZ43" s="477"/>
      <c r="BA43" s="243">
        <v>37.828871618085664</v>
      </c>
      <c r="BB43" s="243">
        <v>38.95875040228978</v>
      </c>
      <c r="BC43" s="243">
        <f>+BB43-BA43</f>
        <v>1.1298787842041165</v>
      </c>
      <c r="BJ43" s="1726"/>
      <c r="BO43" s="243" t="s">
        <v>1586</v>
      </c>
      <c r="BZ43" s="243">
        <f>+'Plan mina PS'!$N$74</f>
        <v>5942.5602677982115</v>
      </c>
      <c r="DK43" s="241"/>
      <c r="DL43" s="322"/>
    </row>
    <row r="44" spans="1:116" s="243" customFormat="1" ht="14.15" customHeight="1">
      <c r="A44" s="4712" t="s">
        <v>333</v>
      </c>
      <c r="B44" s="4713"/>
      <c r="C44" s="255">
        <f>AVERAGE(C23:C29)</f>
        <v>212182.56636169326</v>
      </c>
      <c r="D44" s="259">
        <f>SUM(C23:C29)</f>
        <v>1485277.9645318529</v>
      </c>
      <c r="E44" s="255">
        <f>AVERAGE(E23:E29)</f>
        <v>199945.7023469485</v>
      </c>
      <c r="F44" s="257">
        <f>SUM(E23:E29)</f>
        <v>1399619.9164286396</v>
      </c>
      <c r="G44" s="257"/>
      <c r="H44" s="275">
        <f>+SUM(H23:H29)/COUNT(B23:B29)</f>
        <v>96.706706003354029</v>
      </c>
      <c r="I44" s="242"/>
      <c r="J44" s="242"/>
      <c r="K44" s="274">
        <f>SUMPRODUCT(E23:E29,K23:K29)/SUM(E23:E29)</f>
        <v>0.52237801211603507</v>
      </c>
      <c r="L44" s="242">
        <f>Q44*100/(F44*K44/100)</f>
        <v>90.620948157299324</v>
      </c>
      <c r="M44" s="242">
        <f>L44*F44*K44/(100*O44)</f>
        <v>26.923157130438767</v>
      </c>
      <c r="N44" s="257">
        <f>AVERAGE(N23:N29)</f>
        <v>3515.6009904491475</v>
      </c>
      <c r="O44" s="257">
        <f>+SUM(N23:N29)</f>
        <v>24609.206933144033</v>
      </c>
      <c r="P44" s="257">
        <f>AVERAGE(P23:P29)</f>
        <v>946.51077873788552</v>
      </c>
      <c r="Q44" s="259">
        <f>+SUM(P23:P29)</f>
        <v>6625.5754511651985</v>
      </c>
      <c r="R44" s="255">
        <f>SUMPRODUCT(E23:E29,R23:R29)/SUM(E23:E29)</f>
        <v>159.93015749503121</v>
      </c>
      <c r="S44" s="257"/>
      <c r="T44" s="257"/>
      <c r="U44" s="242">
        <f>+AA44*100000000/(F44*R44)</f>
        <v>78.593659441756301</v>
      </c>
      <c r="V44" s="257"/>
      <c r="W44" s="257">
        <f>AVERAGE(W23:W29)</f>
        <v>50.264335447505708</v>
      </c>
      <c r="X44" s="257">
        <f>+SUM(W23:W29)</f>
        <v>351.85034813253998</v>
      </c>
      <c r="Y44" s="257"/>
      <c r="Z44" s="257">
        <f>AVERAGE(Z23:Z29)</f>
        <v>25.132167723752854</v>
      </c>
      <c r="AA44" s="259">
        <f>+SUM(Z23:Z29)</f>
        <v>175.92517406626999</v>
      </c>
      <c r="AB44" s="257"/>
      <c r="AC44" s="257"/>
      <c r="AD44" s="257">
        <f>AVERAGE(AD23:AD29)</f>
        <v>983.03723260584968</v>
      </c>
      <c r="AE44" s="259">
        <f>+SUM(AD23:AD29)</f>
        <v>6881.2606282409479</v>
      </c>
      <c r="AF44" s="257"/>
      <c r="AG44" s="257"/>
      <c r="AH44" s="257"/>
      <c r="AI44" s="257">
        <v>27160</v>
      </c>
      <c r="AJ44" s="415">
        <v>27.53</v>
      </c>
      <c r="AK44" s="415"/>
      <c r="AL44" s="415"/>
      <c r="AM44" s="415"/>
      <c r="AN44" s="415"/>
      <c r="AO44" s="415"/>
      <c r="AP44" s="415">
        <v>23.85483870967742</v>
      </c>
      <c r="AQ44" s="257"/>
      <c r="AR44" s="2921"/>
      <c r="AS44" s="257"/>
      <c r="AW44" s="62"/>
      <c r="AX44" s="62"/>
      <c r="AY44" s="62"/>
      <c r="AZ44" s="62"/>
      <c r="BA44" s="62">
        <v>37.775598692571833</v>
      </c>
      <c r="BB44" s="62">
        <v>37.934505474484382</v>
      </c>
      <c r="BC44" s="243">
        <f t="shared" ref="BC44:BC72" si="105">+BB44-BA44</f>
        <v>0.15890678191254892</v>
      </c>
      <c r="BF44" s="2953">
        <v>95.05</v>
      </c>
      <c r="BH44" s="243">
        <v>24</v>
      </c>
      <c r="BJ44" s="1726"/>
      <c r="BL44" s="243">
        <f>6.5/(30)</f>
        <v>0.21666666666666667</v>
      </c>
      <c r="BM44" s="538">
        <f>24-BL44</f>
        <v>23.783333333333335</v>
      </c>
      <c r="BN44" s="243">
        <f>BM44*30</f>
        <v>713.5</v>
      </c>
      <c r="BS44" s="243" t="s">
        <v>115</v>
      </c>
      <c r="BV44" s="3225">
        <f>+BF36</f>
        <v>97.887183333333326</v>
      </c>
      <c r="CC44" s="243">
        <f>+'TP sin BM'!F5</f>
        <v>27.362020259444645</v>
      </c>
    </row>
    <row r="45" spans="1:116" s="243" customFormat="1" ht="14.15" customHeight="1">
      <c r="A45" s="4714" t="s">
        <v>334</v>
      </c>
      <c r="B45" s="4715"/>
      <c r="C45" s="261">
        <f>AVERAGE(C30:C37)</f>
        <v>222225.70955005358</v>
      </c>
      <c r="D45" s="262">
        <f>SUM(C30:C37)</f>
        <v>1777805.6764004286</v>
      </c>
      <c r="E45" s="261">
        <f>AVERAGE(E30:E37)</f>
        <v>201974.01662408491</v>
      </c>
      <c r="F45" s="263">
        <f>SUM(E30:E37)</f>
        <v>1615792.1329926793</v>
      </c>
      <c r="G45" s="263"/>
      <c r="H45" s="281">
        <f>+SUM(H30:H37)/COUNT(B30:B37)</f>
        <v>97.570008825800755</v>
      </c>
      <c r="I45" s="264"/>
      <c r="J45" s="264"/>
      <c r="K45" s="389">
        <f>SUMPRODUCT(E30:E37,K30:K37)/SUM(E30:E37)</f>
        <v>0.54191609705297794</v>
      </c>
      <c r="L45" s="264">
        <f>Q45*100/(F45*K45/100)</f>
        <v>89.814351659117406</v>
      </c>
      <c r="M45" s="264">
        <f>L45*F45*K45/(100*O45)</f>
        <v>26.052510132836087</v>
      </c>
      <c r="N45" s="263">
        <f>AVERAGE(N30:N37)</f>
        <v>3773.3207122834915</v>
      </c>
      <c r="O45" s="263">
        <f>+SUM(N30:N37)</f>
        <v>30186.565698267932</v>
      </c>
      <c r="P45" s="263">
        <f>AVERAGE(P30:P37)</f>
        <v>983.04476091205925</v>
      </c>
      <c r="Q45" s="262">
        <f>+SUM(P30:P37)</f>
        <v>7864.358087296474</v>
      </c>
      <c r="R45" s="261">
        <f>SUMPRODUCT(E30:E37,R30:R37)/SUM(E30:E37)</f>
        <v>174.9313742930168</v>
      </c>
      <c r="S45" s="263"/>
      <c r="T45" s="263"/>
      <c r="U45" s="264">
        <f>+AA45*100000000/(F45*R45)</f>
        <v>80.36158698919165</v>
      </c>
      <c r="V45" s="263"/>
      <c r="W45" s="263">
        <f>AVERAGE(W30:W37)</f>
        <v>56.786056560909564</v>
      </c>
      <c r="X45" s="263">
        <f>+SUM(W30:W37)</f>
        <v>454.28845248727652</v>
      </c>
      <c r="Y45" s="263"/>
      <c r="Z45" s="263">
        <f>AVERAGE(Z30:Z37)</f>
        <v>28.393028280454782</v>
      </c>
      <c r="AA45" s="262">
        <f>+SUM(Z30:Z37)</f>
        <v>227.14422624363826</v>
      </c>
      <c r="AB45" s="263"/>
      <c r="AC45" s="263"/>
      <c r="AD45" s="263">
        <f>AVERAGE(AD30:AD37)</f>
        <v>1027.5888920375141</v>
      </c>
      <c r="AE45" s="262">
        <f>+SUM(AD30:AD37)</f>
        <v>8220.7111363001131</v>
      </c>
      <c r="AF45" s="257">
        <f>+SUM(AF26:AF39)</f>
        <v>52919.520639194125</v>
      </c>
      <c r="AG45" s="257"/>
      <c r="AH45" s="257"/>
      <c r="AI45" s="257"/>
      <c r="AJ45" s="415"/>
      <c r="AK45" s="257"/>
      <c r="AL45" s="257"/>
      <c r="AM45" s="257"/>
      <c r="AN45" s="257"/>
      <c r="AO45" s="257"/>
      <c r="AP45" s="257"/>
      <c r="AQ45" s="257"/>
      <c r="AR45" s="2921"/>
      <c r="AS45" s="257"/>
      <c r="AY45" s="477"/>
      <c r="AZ45" s="477"/>
      <c r="BA45" s="243">
        <v>37.878335763164173</v>
      </c>
      <c r="BB45" s="243">
        <v>37.891348984591602</v>
      </c>
      <c r="BC45" s="243">
        <f t="shared" si="105"/>
        <v>1.3013221427428334E-2</v>
      </c>
      <c r="BD45" s="243">
        <f>24*4</f>
        <v>96</v>
      </c>
      <c r="BE45" s="243">
        <f>+BD45*30</f>
        <v>2880</v>
      </c>
      <c r="BH45" s="243">
        <f>+(24-5.3)/3</f>
        <v>6.2333333333333334</v>
      </c>
      <c r="BJ45" s="1726"/>
      <c r="BL45" s="243">
        <f>+BL44/4</f>
        <v>5.4166666666666669E-2</v>
      </c>
      <c r="BN45" s="243">
        <f>BN44+6.5</f>
        <v>720</v>
      </c>
      <c r="BP45" s="3222">
        <v>45996</v>
      </c>
      <c r="BQ45" s="3223">
        <f>+E13/1000</f>
        <v>156.29585248219951</v>
      </c>
      <c r="BR45" s="393">
        <v>213.79115395775236</v>
      </c>
      <c r="BS45" s="3225">
        <f>+BR45-BQ45</f>
        <v>57.49530147555285</v>
      </c>
      <c r="BU45" s="471"/>
      <c r="BV45" s="3186">
        <f>+'Plan mina PS'!N70</f>
        <v>206.24992537445974</v>
      </c>
      <c r="CF45" s="1726" t="s">
        <v>1577</v>
      </c>
      <c r="CG45" s="1726"/>
    </row>
    <row r="46" spans="1:116" s="243" customFormat="1" ht="14.15" customHeight="1">
      <c r="C46" s="257"/>
      <c r="D46" s="257"/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57"/>
      <c r="Q46" s="257"/>
      <c r="R46" s="257"/>
      <c r="S46" s="257"/>
      <c r="T46" s="257"/>
      <c r="U46" s="257"/>
      <c r="V46" s="257"/>
      <c r="W46" s="257"/>
      <c r="X46" s="257"/>
      <c r="Y46" s="257"/>
      <c r="Z46" s="257"/>
      <c r="AA46" s="257"/>
      <c r="AB46" s="257"/>
      <c r="AC46" s="257"/>
      <c r="AD46" s="257"/>
      <c r="AE46" s="257"/>
      <c r="AF46" s="257">
        <v>51620.204241746862</v>
      </c>
      <c r="AG46" s="257"/>
      <c r="AI46" s="257"/>
      <c r="AJ46" s="257"/>
      <c r="AK46" s="257"/>
      <c r="AL46" s="257"/>
      <c r="AM46" s="257"/>
      <c r="AN46" s="257"/>
      <c r="AO46" s="257"/>
      <c r="AP46" s="257"/>
      <c r="AQ46" s="257"/>
      <c r="AR46" s="2921"/>
      <c r="AS46" s="257"/>
      <c r="AU46" s="333"/>
      <c r="AY46" s="477"/>
      <c r="AZ46" s="477"/>
      <c r="BA46" s="243">
        <v>38.030727481966366</v>
      </c>
      <c r="BB46" s="243">
        <v>38.888623569699142</v>
      </c>
      <c r="BC46" s="243">
        <f t="shared" si="105"/>
        <v>0.85789608773277592</v>
      </c>
      <c r="BD46" s="241"/>
      <c r="BE46" s="243">
        <f>24*30</f>
        <v>720</v>
      </c>
      <c r="BH46" s="243">
        <f>5.3/3</f>
        <v>1.7666666666666666</v>
      </c>
      <c r="BJ46" s="1726"/>
      <c r="BP46" s="3222">
        <v>45997</v>
      </c>
      <c r="BQ46" s="3223">
        <f>+E14/1000</f>
        <v>150.6378725917738</v>
      </c>
      <c r="BR46" s="393">
        <v>210.90306134682908</v>
      </c>
      <c r="BS46" s="3225">
        <f>+BR46-BQ46</f>
        <v>60.265188755055277</v>
      </c>
      <c r="CC46" s="243">
        <v>32.807653009871167</v>
      </c>
    </row>
    <row r="47" spans="1:116" s="243" customFormat="1" ht="14.15" customHeight="1">
      <c r="A47" s="4711" t="s">
        <v>288</v>
      </c>
      <c r="B47" s="4711"/>
      <c r="C47" s="1407"/>
      <c r="D47" s="1586"/>
      <c r="E47" s="1407" t="e">
        <f>'ST Original'!#REF!</f>
        <v>#REF!</v>
      </c>
      <c r="F47" s="1584" t="e">
        <f>'ST Original'!#REF!</f>
        <v>#REF!</v>
      </c>
      <c r="G47" s="1407"/>
      <c r="H47" s="1407" t="e">
        <f>'ST Original'!#REF!</f>
        <v>#REF!</v>
      </c>
      <c r="I47" s="1407"/>
      <c r="J47" s="1407"/>
      <c r="K47" s="1599" t="e">
        <f>'ST Original'!#REF!</f>
        <v>#REF!</v>
      </c>
      <c r="L47" s="1408" t="e">
        <f>'ST Original'!#REF!</f>
        <v>#REF!</v>
      </c>
      <c r="M47" s="1408" t="e">
        <f>'ST Original'!#REF!</f>
        <v>#REF!</v>
      </c>
      <c r="N47" s="1586"/>
      <c r="O47" s="1586" t="e">
        <f>'ST Original'!#REF!</f>
        <v>#REF!</v>
      </c>
      <c r="P47" s="1586"/>
      <c r="Q47" s="1583" t="e">
        <f>'ST Original'!#REF!</f>
        <v>#REF!</v>
      </c>
      <c r="R47" s="1407" t="e">
        <f>'ST Original'!#REF!</f>
        <v>#REF!</v>
      </c>
      <c r="S47" s="1586"/>
      <c r="T47" s="1586"/>
      <c r="U47" s="1586" t="e">
        <f>'ST Original'!#REF!</f>
        <v>#REF!</v>
      </c>
      <c r="V47" s="1586" t="e">
        <f>'ST Original'!#REF!</f>
        <v>#REF!</v>
      </c>
      <c r="W47" s="1586"/>
      <c r="X47" s="1586" t="e">
        <f>'ST Original'!#REF!</f>
        <v>#REF!</v>
      </c>
      <c r="Y47" s="1586"/>
      <c r="Z47" s="1586"/>
      <c r="AA47" s="1583" t="e">
        <f>'ST Original'!#REF!</f>
        <v>#REF!</v>
      </c>
      <c r="AB47" s="1586"/>
      <c r="AC47" s="1586"/>
      <c r="AD47" s="1407"/>
      <c r="AE47" s="1583" t="e">
        <f>'ST Original'!#REF!</f>
        <v>#REF!</v>
      </c>
      <c r="AF47" s="257"/>
      <c r="AG47" s="257"/>
      <c r="AH47" s="257"/>
      <c r="AI47" s="257"/>
      <c r="AJ47" s="415"/>
      <c r="AK47" s="257" t="s">
        <v>1457</v>
      </c>
      <c r="AL47" s="257" t="s">
        <v>1458</v>
      </c>
      <c r="AM47" s="257"/>
      <c r="AN47" s="257">
        <v>2100</v>
      </c>
      <c r="AO47" s="257"/>
      <c r="AP47" s="257"/>
      <c r="AQ47" s="257"/>
      <c r="AR47" s="2921"/>
      <c r="AS47" s="257"/>
      <c r="AY47" s="477"/>
      <c r="AZ47" s="477"/>
      <c r="BA47" s="243">
        <v>38.415834143841273</v>
      </c>
      <c r="BB47" s="243">
        <v>38.777260714039805</v>
      </c>
      <c r="BC47" s="243">
        <f t="shared" si="105"/>
        <v>0.36142657019853175</v>
      </c>
      <c r="BD47" s="322"/>
      <c r="BH47" s="243">
        <f>+BH46/30</f>
        <v>5.8888888888888886E-2</v>
      </c>
      <c r="BJ47" s="1726"/>
      <c r="BP47" s="393"/>
      <c r="BQ47" s="393"/>
      <c r="BR47" s="393"/>
      <c r="BS47" s="3227">
        <f>+BS46+BS45</f>
        <v>117.76049023060813</v>
      </c>
      <c r="CC47" s="3186">
        <f>+CC46-CC44</f>
        <v>5.4456327504265225</v>
      </c>
    </row>
    <row r="48" spans="1:116" s="243" customFormat="1" ht="16.399999999999999" customHeight="1">
      <c r="A48" s="4711" t="s">
        <v>446</v>
      </c>
      <c r="B48" s="4711"/>
      <c r="C48" s="255"/>
      <c r="D48" s="257"/>
      <c r="E48" s="255" t="e">
        <f>'ST Original'!#REF!</f>
        <v>#REF!</v>
      </c>
      <c r="F48" s="266" t="e">
        <f>'ST Original'!#REF!</f>
        <v>#REF!</v>
      </c>
      <c r="G48" s="255"/>
      <c r="H48" s="255" t="e">
        <f>'ST Original'!#REF!</f>
        <v>#REF!</v>
      </c>
      <c r="I48" s="255"/>
      <c r="J48" s="255"/>
      <c r="K48" s="256" t="e">
        <f>'ST Original'!#REF!</f>
        <v>#REF!</v>
      </c>
      <c r="L48" s="242" t="e">
        <f>'ST Original'!#REF!</f>
        <v>#REF!</v>
      </c>
      <c r="M48" s="242" t="e">
        <f>'ST Original'!#REF!</f>
        <v>#REF!</v>
      </c>
      <c r="N48" s="257"/>
      <c r="O48" s="257" t="e">
        <f>'ST Original'!#REF!</f>
        <v>#REF!</v>
      </c>
      <c r="P48" s="257"/>
      <c r="Q48" s="259" t="e">
        <f>'ST Original'!#REF!</f>
        <v>#REF!</v>
      </c>
      <c r="R48" s="255" t="e">
        <f>'ST Original'!#REF!</f>
        <v>#REF!</v>
      </c>
      <c r="S48" s="257"/>
      <c r="T48" s="257"/>
      <c r="U48" s="257" t="e">
        <f>'ST Original'!#REF!</f>
        <v>#REF!</v>
      </c>
      <c r="V48" s="257" t="e">
        <f>'ST Original'!#REF!</f>
        <v>#REF!</v>
      </c>
      <c r="W48" s="257"/>
      <c r="X48" s="257" t="e">
        <f>'ST Original'!#REF!</f>
        <v>#REF!</v>
      </c>
      <c r="Y48" s="257"/>
      <c r="Z48" s="257"/>
      <c r="AA48" s="259" t="e">
        <f>'ST Original'!#REF!</f>
        <v>#REF!</v>
      </c>
      <c r="AB48" s="257"/>
      <c r="AC48" s="257"/>
      <c r="AD48" s="255"/>
      <c r="AE48" s="259" t="e">
        <f>'ST Original'!#REF!</f>
        <v>#REF!</v>
      </c>
      <c r="AF48" s="257"/>
      <c r="AG48" s="257"/>
      <c r="AH48" s="257"/>
      <c r="AI48" s="257"/>
      <c r="AJ48" s="2463">
        <f>+B18</f>
        <v>46091.791666666664</v>
      </c>
      <c r="AK48" s="257">
        <f>+N18</f>
        <v>3705.64311964742</v>
      </c>
      <c r="AL48" s="257">
        <v>4300</v>
      </c>
      <c r="AM48" s="257">
        <f>+AL48-AK48</f>
        <v>594.35688035257999</v>
      </c>
      <c r="AN48" s="257">
        <f>+SUM(AM48:AM50)</f>
        <v>3095.3270735892011</v>
      </c>
      <c r="AO48" s="257"/>
      <c r="AP48" s="257"/>
      <c r="AQ48" s="257"/>
      <c r="AR48" s="2921"/>
      <c r="AS48" s="257"/>
      <c r="BA48" s="243">
        <v>38.505294950723552</v>
      </c>
      <c r="BB48" s="243">
        <v>37.666351574373607</v>
      </c>
      <c r="BC48" s="243">
        <f t="shared" si="105"/>
        <v>-0.83894337634994542</v>
      </c>
      <c r="BJ48" s="1726"/>
      <c r="BN48" s="243">
        <f>357*0.9772</f>
        <v>348.86039999999997</v>
      </c>
      <c r="BP48" s="3222">
        <v>45996</v>
      </c>
      <c r="BQ48" s="3223">
        <f>+P13</f>
        <v>750.78544459399347</v>
      </c>
      <c r="BR48" s="3224">
        <v>929.77845683136968</v>
      </c>
      <c r="BS48" s="3225">
        <f>+BR48-BQ48</f>
        <v>178.99301223737621</v>
      </c>
    </row>
    <row r="49" spans="1:99" s="243" customFormat="1" ht="14.15" customHeight="1">
      <c r="A49" s="4711" t="s">
        <v>801</v>
      </c>
      <c r="B49" s="4711"/>
      <c r="C49" s="261">
        <f>C41</f>
        <v>197635.41221017131</v>
      </c>
      <c r="D49" s="263">
        <f>D41</f>
        <v>6126697.778515311</v>
      </c>
      <c r="E49" s="261">
        <f>+E41</f>
        <v>5942560.2677982133</v>
      </c>
      <c r="F49" s="286">
        <f>F41/1000</f>
        <v>1286.0598247852645</v>
      </c>
      <c r="G49" s="263"/>
      <c r="H49" s="264">
        <f>+H41</f>
        <v>90.612361597643911</v>
      </c>
      <c r="I49" s="264"/>
      <c r="J49" s="264"/>
      <c r="K49" s="287">
        <f>+K41</f>
        <v>0.52107697899763572</v>
      </c>
      <c r="L49" s="264">
        <f>+L41</f>
        <v>90.186137802769053</v>
      </c>
      <c r="M49" s="264">
        <f>+M41</f>
        <v>26.692292988734646</v>
      </c>
      <c r="N49" s="263"/>
      <c r="O49" s="263">
        <f>O41</f>
        <v>104623.53433888675</v>
      </c>
      <c r="P49" s="263"/>
      <c r="Q49" s="262">
        <f>Q41</f>
        <v>27926.420320905061</v>
      </c>
      <c r="R49" s="261">
        <f>+R41</f>
        <v>178.74540951056019</v>
      </c>
      <c r="S49" s="263">
        <f>S41</f>
        <v>91.10248316254274</v>
      </c>
      <c r="T49" s="263">
        <f>T41</f>
        <v>88.247495702137456</v>
      </c>
      <c r="U49" s="264">
        <f>+U41</f>
        <v>80.282960237085419</v>
      </c>
      <c r="V49" s="263">
        <f>V41</f>
        <v>50</v>
      </c>
      <c r="W49" s="263"/>
      <c r="X49" s="263">
        <f>X41</f>
        <v>1707.9340314572914</v>
      </c>
      <c r="Y49" s="263"/>
      <c r="Z49" s="263"/>
      <c r="AA49" s="262">
        <f>AA41</f>
        <v>853.96701572864572</v>
      </c>
      <c r="AB49" s="263"/>
      <c r="AC49" s="263"/>
      <c r="AD49" s="261"/>
      <c r="AE49" s="262">
        <f>AE41</f>
        <v>29328.488475415023</v>
      </c>
      <c r="AF49" s="257"/>
      <c r="AG49" s="257"/>
      <c r="AH49" s="257" t="s">
        <v>1454</v>
      </c>
      <c r="AI49" s="257">
        <v>2000</v>
      </c>
      <c r="AJ49" s="2463">
        <f t="shared" ref="AJ49:AJ56" si="106">+B19</f>
        <v>46092.791666666664</v>
      </c>
      <c r="AK49" s="257">
        <f t="shared" ref="AK49:AK55" si="107">+N19</f>
        <v>2964.9098619848296</v>
      </c>
      <c r="AL49" s="477">
        <v>4300</v>
      </c>
      <c r="AM49" s="257">
        <f>+AL49-AK49</f>
        <v>1335.0901380151704</v>
      </c>
      <c r="AN49" s="477">
        <v>2000</v>
      </c>
      <c r="AO49" s="477"/>
      <c r="AP49" s="477"/>
      <c r="AQ49" s="257"/>
      <c r="AR49" s="2921"/>
      <c r="AS49" s="257"/>
      <c r="AY49" s="477"/>
      <c r="AZ49" s="477"/>
      <c r="BA49" s="243">
        <v>37.858335436166726</v>
      </c>
      <c r="BB49" s="243">
        <v>37.980125574021827</v>
      </c>
      <c r="BC49" s="243">
        <f t="shared" si="105"/>
        <v>0.12179013785510051</v>
      </c>
      <c r="BJ49" s="1726"/>
      <c r="BP49" s="3222">
        <v>45997</v>
      </c>
      <c r="BQ49" s="3223">
        <f>+P14</f>
        <v>627.288331588142</v>
      </c>
      <c r="BR49" s="3224">
        <v>1030.8577719193343</v>
      </c>
      <c r="BS49" s="3225">
        <f>+BR49-BQ49</f>
        <v>403.56944033119225</v>
      </c>
    </row>
    <row r="50" spans="1:99" s="243" customFormat="1" ht="14.15" customHeight="1">
      <c r="C50" s="257"/>
      <c r="D50" s="257"/>
      <c r="E50" s="257"/>
      <c r="F50" s="257"/>
      <c r="G50" s="257"/>
      <c r="H50" s="257"/>
      <c r="I50" s="257"/>
      <c r="J50" s="257"/>
      <c r="K50" s="257"/>
      <c r="L50" s="242"/>
      <c r="M50" s="242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Z50" s="257"/>
      <c r="AA50" s="257"/>
      <c r="AB50" s="257"/>
      <c r="AC50" s="257"/>
      <c r="AD50" s="257"/>
      <c r="AE50" s="257"/>
      <c r="AF50" s="257"/>
      <c r="AG50" s="257"/>
      <c r="AH50" s="257">
        <v>10</v>
      </c>
      <c r="AI50" s="257"/>
      <c r="AJ50" s="2463">
        <f t="shared" si="106"/>
        <v>46093.791666666664</v>
      </c>
      <c r="AK50" s="257">
        <f t="shared" si="107"/>
        <v>3134.1199447785493</v>
      </c>
      <c r="AL50" s="257">
        <v>4300</v>
      </c>
      <c r="AM50" s="257">
        <f>+AL50-AK50</f>
        <v>1165.8800552214507</v>
      </c>
      <c r="AN50" s="257"/>
      <c r="AO50" s="257"/>
      <c r="AP50" s="257"/>
      <c r="AQ50" s="257"/>
      <c r="AR50" s="2921"/>
      <c r="AS50" s="257"/>
      <c r="AY50" s="477"/>
      <c r="AZ50" s="477"/>
      <c r="BA50" s="243">
        <v>37.708426330832346</v>
      </c>
      <c r="BB50" s="243">
        <v>37.810392704385734</v>
      </c>
      <c r="BC50" s="243">
        <f t="shared" si="105"/>
        <v>0.10196637355338822</v>
      </c>
      <c r="BJ50" s="1726"/>
      <c r="BP50" s="393"/>
      <c r="BQ50" s="393"/>
      <c r="BR50" s="393"/>
      <c r="BS50" s="3226">
        <f>+BS49+BS48</f>
        <v>582.56245256856846</v>
      </c>
    </row>
    <row r="51" spans="1:99" s="243" customFormat="1" ht="16.5" customHeight="1">
      <c r="A51" s="4711" t="s">
        <v>802</v>
      </c>
      <c r="B51" s="4711"/>
      <c r="C51" s="1407"/>
      <c r="D51" s="1586"/>
      <c r="E51" s="1407" t="e">
        <f t="shared" ref="E51:M51" si="108">+E49-E48</f>
        <v>#REF!</v>
      </c>
      <c r="F51" s="1407" t="e">
        <f t="shared" si="108"/>
        <v>#REF!</v>
      </c>
      <c r="G51" s="1407"/>
      <c r="H51" s="1407" t="e">
        <f t="shared" si="108"/>
        <v>#REF!</v>
      </c>
      <c r="I51" s="1407"/>
      <c r="J51" s="1407"/>
      <c r="K51" s="1407" t="e">
        <f t="shared" si="108"/>
        <v>#REF!</v>
      </c>
      <c r="L51" s="1586" t="e">
        <f t="shared" si="108"/>
        <v>#REF!</v>
      </c>
      <c r="M51" s="1586" t="e">
        <f t="shared" si="108"/>
        <v>#REF!</v>
      </c>
      <c r="N51" s="1586"/>
      <c r="O51" s="1586" t="e">
        <f>+O49-O48</f>
        <v>#REF!</v>
      </c>
      <c r="P51" s="1586"/>
      <c r="Q51" s="1586" t="e">
        <f>+Q49-Q48</f>
        <v>#REF!</v>
      </c>
      <c r="R51" s="1407" t="e">
        <f>+R49-R48</f>
        <v>#REF!</v>
      </c>
      <c r="S51" s="1586"/>
      <c r="T51" s="1586"/>
      <c r="U51" s="1586" t="e">
        <f>+U49-U48</f>
        <v>#REF!</v>
      </c>
      <c r="V51" s="1586"/>
      <c r="W51" s="1586"/>
      <c r="X51" s="1586" t="e">
        <f>+X49-X48</f>
        <v>#REF!</v>
      </c>
      <c r="Y51" s="1586"/>
      <c r="Z51" s="1586"/>
      <c r="AA51" s="1586" t="e">
        <f>+AA49-AA48</f>
        <v>#REF!</v>
      </c>
      <c r="AB51" s="1586"/>
      <c r="AC51" s="1586"/>
      <c r="AD51" s="1586">
        <f>+AD49-AD48</f>
        <v>0</v>
      </c>
      <c r="AE51" s="1583"/>
      <c r="AF51" s="257"/>
      <c r="AG51" s="257"/>
      <c r="AH51" s="257">
        <v>12</v>
      </c>
      <c r="AI51" s="257"/>
      <c r="AJ51" s="2463">
        <f t="shared" si="106"/>
        <v>46094.791666666664</v>
      </c>
      <c r="AK51" s="257">
        <f t="shared" si="107"/>
        <v>2539.2843814428315</v>
      </c>
      <c r="AL51" s="257">
        <v>4300</v>
      </c>
      <c r="AM51" s="257"/>
      <c r="AN51" s="257"/>
      <c r="AO51" s="257"/>
      <c r="AP51" s="257"/>
      <c r="AQ51" s="257"/>
      <c r="AR51" s="2921"/>
      <c r="AS51" s="257"/>
      <c r="AY51" s="477"/>
      <c r="AZ51" s="477"/>
      <c r="BA51" s="243">
        <v>37.712493848894226</v>
      </c>
      <c r="BB51" s="243">
        <v>38.090559810308044</v>
      </c>
      <c r="BC51" s="243">
        <f t="shared" si="105"/>
        <v>0.37806596141381732</v>
      </c>
      <c r="BJ51" s="1726"/>
    </row>
    <row r="52" spans="1:99" s="243" customFormat="1" ht="14.15" customHeight="1">
      <c r="A52" s="4711" t="s">
        <v>803</v>
      </c>
      <c r="B52" s="4711"/>
      <c r="C52" s="255"/>
      <c r="D52" s="257"/>
      <c r="E52" s="487" t="e">
        <f t="shared" ref="E52:M52" si="109">+E51/E47</f>
        <v>#REF!</v>
      </c>
      <c r="F52" s="487" t="e">
        <f t="shared" si="109"/>
        <v>#REF!</v>
      </c>
      <c r="G52" s="487"/>
      <c r="H52" s="487" t="e">
        <f t="shared" si="109"/>
        <v>#REF!</v>
      </c>
      <c r="I52" s="487"/>
      <c r="J52" s="487"/>
      <c r="K52" s="487" t="e">
        <f t="shared" si="109"/>
        <v>#REF!</v>
      </c>
      <c r="L52" s="323" t="e">
        <f t="shared" si="109"/>
        <v>#REF!</v>
      </c>
      <c r="M52" s="323" t="e">
        <f t="shared" si="109"/>
        <v>#REF!</v>
      </c>
      <c r="N52" s="323"/>
      <c r="O52" s="323" t="e">
        <f>+O51/O47</f>
        <v>#REF!</v>
      </c>
      <c r="P52" s="323"/>
      <c r="Q52" s="323" t="e">
        <f>+Q51/Q47</f>
        <v>#REF!</v>
      </c>
      <c r="R52" s="487" t="e">
        <f>+R51/R47</f>
        <v>#REF!</v>
      </c>
      <c r="S52" s="257"/>
      <c r="T52" s="257"/>
      <c r="U52" s="323" t="e">
        <f>+U51/U47</f>
        <v>#REF!</v>
      </c>
      <c r="V52" s="257"/>
      <c r="W52" s="323"/>
      <c r="X52" s="323" t="e">
        <f>+X51/X47</f>
        <v>#REF!</v>
      </c>
      <c r="Y52" s="323"/>
      <c r="Z52" s="323"/>
      <c r="AA52" s="323" t="e">
        <f>+AA51/AA47</f>
        <v>#REF!</v>
      </c>
      <c r="AB52" s="323"/>
      <c r="AC52" s="323"/>
      <c r="AD52" s="323" t="e">
        <f>+AD51/AD47</f>
        <v>#DIV/0!</v>
      </c>
      <c r="AE52" s="259"/>
      <c r="AF52" s="257"/>
      <c r="AG52" s="257"/>
      <c r="AH52" s="257">
        <v>15</v>
      </c>
      <c r="AI52" s="257"/>
      <c r="AJ52" s="2463">
        <f t="shared" si="106"/>
        <v>46095.791666666664</v>
      </c>
      <c r="AK52" s="257">
        <f t="shared" si="107"/>
        <v>2847.2028628946232</v>
      </c>
      <c r="AL52" s="257"/>
      <c r="AM52" s="333"/>
      <c r="AQ52" s="333"/>
      <c r="AR52" s="1726"/>
      <c r="AY52" s="477"/>
      <c r="AZ52" s="477"/>
      <c r="BA52" s="243">
        <v>37.570852648521623</v>
      </c>
      <c r="BB52" s="243">
        <v>38.141831598017347</v>
      </c>
      <c r="BC52" s="243">
        <f t="shared" si="105"/>
        <v>0.57097894949572492</v>
      </c>
      <c r="BJ52" s="1726"/>
    </row>
    <row r="53" spans="1:99" s="243" customFormat="1" ht="14.15" customHeight="1">
      <c r="A53" s="410" t="s">
        <v>804</v>
      </c>
      <c r="B53" s="393"/>
      <c r="C53" s="488"/>
      <c r="D53" s="489"/>
      <c r="E53" s="490" t="e">
        <f t="shared" ref="E53:M53" si="110">+E49/E48</f>
        <v>#REF!</v>
      </c>
      <c r="F53" s="490" t="e">
        <f t="shared" si="110"/>
        <v>#REF!</v>
      </c>
      <c r="G53" s="490"/>
      <c r="H53" s="490" t="e">
        <f t="shared" si="110"/>
        <v>#REF!</v>
      </c>
      <c r="I53" s="490"/>
      <c r="J53" s="490"/>
      <c r="K53" s="490" t="e">
        <f t="shared" si="110"/>
        <v>#REF!</v>
      </c>
      <c r="L53" s="491" t="e">
        <f t="shared" si="110"/>
        <v>#REF!</v>
      </c>
      <c r="M53" s="491" t="e">
        <f t="shared" si="110"/>
        <v>#REF!</v>
      </c>
      <c r="N53" s="491"/>
      <c r="O53" s="491" t="e">
        <f>+O49/O48</f>
        <v>#REF!</v>
      </c>
      <c r="P53" s="491"/>
      <c r="Q53" s="491" t="e">
        <f>+Q49/Q48</f>
        <v>#REF!</v>
      </c>
      <c r="R53" s="490" t="e">
        <f>+R49/R48</f>
        <v>#REF!</v>
      </c>
      <c r="S53" s="489"/>
      <c r="T53" s="489"/>
      <c r="U53" s="491" t="e">
        <f>+U49/U48</f>
        <v>#REF!</v>
      </c>
      <c r="V53" s="489"/>
      <c r="W53" s="491"/>
      <c r="X53" s="491" t="e">
        <f>+X49/X48</f>
        <v>#REF!</v>
      </c>
      <c r="Y53" s="491"/>
      <c r="Z53" s="491"/>
      <c r="AA53" s="491" t="e">
        <f>+AA49/AA48</f>
        <v>#REF!</v>
      </c>
      <c r="AB53" s="491"/>
      <c r="AC53" s="491"/>
      <c r="AD53" s="491" t="e">
        <f>+AD49/AD48</f>
        <v>#DIV/0!</v>
      </c>
      <c r="AE53" s="492"/>
      <c r="AF53" s="477"/>
      <c r="AG53" s="477"/>
      <c r="AH53" s="477">
        <v>16</v>
      </c>
      <c r="AI53" s="477"/>
      <c r="AJ53" s="2463">
        <f t="shared" si="106"/>
        <v>46096.791666666664</v>
      </c>
      <c r="AK53" s="257">
        <f t="shared" si="107"/>
        <v>3358.3846153846152</v>
      </c>
      <c r="AQ53" s="333"/>
      <c r="AR53" s="1726"/>
      <c r="AY53" s="477"/>
      <c r="AZ53" s="477"/>
      <c r="BA53" s="243">
        <v>37.401777300929382</v>
      </c>
      <c r="BB53" s="243">
        <v>36.935165141415368</v>
      </c>
      <c r="BC53" s="243">
        <f t="shared" si="105"/>
        <v>-0.46661215951401402</v>
      </c>
      <c r="BJ53" s="1726"/>
    </row>
    <row r="54" spans="1:99" s="243" customFormat="1" ht="14.15" customHeight="1">
      <c r="C54" s="257"/>
      <c r="D54" s="257"/>
      <c r="E54" s="257"/>
      <c r="F54" s="257"/>
      <c r="G54" s="257"/>
      <c r="H54" s="257"/>
      <c r="I54" s="257"/>
      <c r="J54" s="257"/>
      <c r="K54" s="257"/>
      <c r="L54" s="242"/>
      <c r="M54" s="242"/>
      <c r="N54" s="257"/>
      <c r="O54" s="257"/>
      <c r="P54" s="257"/>
      <c r="Q54" s="257"/>
      <c r="R54" s="257"/>
      <c r="S54" s="257"/>
      <c r="T54" s="257"/>
      <c r="U54" s="257"/>
      <c r="V54" s="257"/>
      <c r="W54" s="257"/>
      <c r="X54" s="257"/>
      <c r="Y54" s="257"/>
      <c r="Z54" s="257"/>
      <c r="AA54" s="257"/>
      <c r="AB54" s="257"/>
      <c r="AC54" s="257"/>
      <c r="AD54" s="257"/>
      <c r="AE54" s="257"/>
      <c r="AF54" s="257"/>
      <c r="AG54" s="257"/>
      <c r="AH54" s="257">
        <v>13</v>
      </c>
      <c r="AI54" s="257"/>
      <c r="AJ54" s="2463">
        <f t="shared" si="106"/>
        <v>46097.791666666664</v>
      </c>
      <c r="AK54" s="257">
        <f t="shared" si="107"/>
        <v>3475.9751656002195</v>
      </c>
      <c r="AQ54" s="333"/>
      <c r="AR54" s="1695"/>
      <c r="AS54" s="333"/>
      <c r="AT54" s="333"/>
      <c r="AU54" s="333"/>
      <c r="AY54" s="477"/>
      <c r="AZ54" s="477"/>
      <c r="BA54" s="243">
        <v>36.970074113569829</v>
      </c>
      <c r="BB54" s="243">
        <v>36.561027818344662</v>
      </c>
      <c r="BC54" s="243">
        <f t="shared" si="105"/>
        <v>-0.409046295225167</v>
      </c>
      <c r="BJ54" s="1726"/>
    </row>
    <row r="55" spans="1:99" s="243" customFormat="1" ht="14.15" customHeight="1">
      <c r="A55" s="4711" t="s">
        <v>805</v>
      </c>
      <c r="B55" s="4711"/>
      <c r="C55" s="1407"/>
      <c r="D55" s="1586"/>
      <c r="E55" s="1407" t="e">
        <f t="shared" ref="E55:M55" si="111">+E49-E47</f>
        <v>#REF!</v>
      </c>
      <c r="F55" s="1407" t="e">
        <f t="shared" si="111"/>
        <v>#REF!</v>
      </c>
      <c r="G55" s="1407"/>
      <c r="H55" s="1606" t="e">
        <f t="shared" si="111"/>
        <v>#REF!</v>
      </c>
      <c r="I55" s="1600"/>
      <c r="J55" s="1600"/>
      <c r="K55" s="1600" t="e">
        <f t="shared" si="111"/>
        <v>#REF!</v>
      </c>
      <c r="L55" s="1408" t="e">
        <f t="shared" si="111"/>
        <v>#REF!</v>
      </c>
      <c r="M55" s="1408" t="e">
        <f t="shared" si="111"/>
        <v>#REF!</v>
      </c>
      <c r="N55" s="1586"/>
      <c r="O55" s="1586" t="e">
        <f>+O49-O47</f>
        <v>#REF!</v>
      </c>
      <c r="P55" s="1586"/>
      <c r="Q55" s="1586" t="e">
        <f>+Q49-Q47</f>
        <v>#REF!</v>
      </c>
      <c r="R55" s="1407" t="e">
        <f>+R49-R47</f>
        <v>#REF!</v>
      </c>
      <c r="S55" s="1586"/>
      <c r="T55" s="1586"/>
      <c r="U55" s="1586" t="e">
        <f>+U49-U47</f>
        <v>#REF!</v>
      </c>
      <c r="V55" s="1586"/>
      <c r="W55" s="1586"/>
      <c r="X55" s="1586" t="e">
        <f>+X49-X47</f>
        <v>#REF!</v>
      </c>
      <c r="Y55" s="1586"/>
      <c r="Z55" s="1586"/>
      <c r="AA55" s="1586" t="e">
        <f>+AA49-AA47</f>
        <v>#REF!</v>
      </c>
      <c r="AB55" s="1586"/>
      <c r="AC55" s="1586"/>
      <c r="AD55" s="1586">
        <f>+AD49-AD47</f>
        <v>0</v>
      </c>
      <c r="AE55" s="1583"/>
      <c r="AF55" s="257"/>
      <c r="AG55" s="257"/>
      <c r="AH55" s="257"/>
      <c r="AI55" s="257"/>
      <c r="AJ55" s="2463">
        <f t="shared" si="106"/>
        <v>46098.791666666664</v>
      </c>
      <c r="AK55" s="257">
        <f t="shared" si="107"/>
        <v>3417.5261221289793</v>
      </c>
      <c r="AQ55" s="333"/>
      <c r="AR55" s="1695"/>
      <c r="AS55" s="333"/>
      <c r="AT55" s="333"/>
      <c r="AU55" s="333"/>
      <c r="AY55" s="477"/>
      <c r="BA55" s="243">
        <v>37.015432577115618</v>
      </c>
      <c r="BB55" s="243">
        <v>37.055775992643746</v>
      </c>
      <c r="BC55" s="243">
        <f t="shared" si="105"/>
        <v>4.034341552812748E-2</v>
      </c>
      <c r="BJ55" s="1726"/>
    </row>
    <row r="56" spans="1:99" s="243" customFormat="1" ht="14.15" customHeight="1">
      <c r="A56" s="4711" t="s">
        <v>806</v>
      </c>
      <c r="B56" s="4711"/>
      <c r="C56" s="255"/>
      <c r="D56" s="257"/>
      <c r="E56" s="487" t="e">
        <f t="shared" ref="E56:M56" si="112">+E55/E47</f>
        <v>#REF!</v>
      </c>
      <c r="F56" s="487" t="e">
        <f t="shared" si="112"/>
        <v>#REF!</v>
      </c>
      <c r="G56" s="487"/>
      <c r="H56" s="493" t="e">
        <f t="shared" si="112"/>
        <v>#REF!</v>
      </c>
      <c r="I56" s="323"/>
      <c r="J56" s="323"/>
      <c r="K56" s="323" t="e">
        <f t="shared" si="112"/>
        <v>#REF!</v>
      </c>
      <c r="L56" s="323" t="e">
        <f t="shared" si="112"/>
        <v>#REF!</v>
      </c>
      <c r="M56" s="323" t="e">
        <f t="shared" si="112"/>
        <v>#REF!</v>
      </c>
      <c r="N56" s="323"/>
      <c r="O56" s="323" t="e">
        <f>+O55/O47</f>
        <v>#REF!</v>
      </c>
      <c r="P56" s="323"/>
      <c r="Q56" s="323" t="e">
        <f>+Q55/Q47</f>
        <v>#REF!</v>
      </c>
      <c r="R56" s="487" t="e">
        <f>+R55/R47</f>
        <v>#REF!</v>
      </c>
      <c r="S56" s="257"/>
      <c r="T56" s="257"/>
      <c r="U56" s="323" t="e">
        <f>+U55/U47</f>
        <v>#REF!</v>
      </c>
      <c r="V56" s="257"/>
      <c r="W56" s="323"/>
      <c r="X56" s="323" t="e">
        <f>+X55/X47</f>
        <v>#REF!</v>
      </c>
      <c r="Y56" s="323"/>
      <c r="Z56" s="323"/>
      <c r="AA56" s="323" t="e">
        <f>+AA55/AA47</f>
        <v>#REF!</v>
      </c>
      <c r="AB56" s="323"/>
      <c r="AC56" s="323"/>
      <c r="AD56" s="323" t="e">
        <f>+AD55/AD47</f>
        <v>#DIV/0!</v>
      </c>
      <c r="AE56" s="259"/>
      <c r="AF56" s="257"/>
      <c r="AG56" s="257"/>
      <c r="AH56" s="257"/>
      <c r="AI56" s="257"/>
      <c r="AJ56" s="2463">
        <f t="shared" si="106"/>
        <v>46099.791666666664</v>
      </c>
      <c r="AK56" s="257"/>
      <c r="AL56" s="257"/>
      <c r="AM56" s="257"/>
      <c r="AN56" s="257"/>
      <c r="AO56" s="257"/>
      <c r="AP56" s="257"/>
      <c r="AQ56" s="333"/>
      <c r="AR56" s="1695"/>
      <c r="AS56" s="333"/>
      <c r="AT56" s="333"/>
      <c r="AU56" s="333"/>
      <c r="AY56" s="477"/>
      <c r="AZ56" s="477"/>
      <c r="BA56" s="243">
        <v>36.331766398145099</v>
      </c>
      <c r="BB56" s="243">
        <v>36.790878936921757</v>
      </c>
      <c r="BC56" s="243">
        <f t="shared" si="105"/>
        <v>0.45911253877665814</v>
      </c>
      <c r="BJ56" s="1726"/>
    </row>
    <row r="57" spans="1:99" s="243" customFormat="1" ht="14.15" customHeight="1">
      <c r="A57" s="410" t="s">
        <v>341</v>
      </c>
      <c r="B57" s="393"/>
      <c r="C57" s="488"/>
      <c r="D57" s="489"/>
      <c r="E57" s="490" t="e">
        <f t="shared" ref="E57:M57" si="113">+E49/E47</f>
        <v>#REF!</v>
      </c>
      <c r="F57" s="490" t="e">
        <f t="shared" si="113"/>
        <v>#REF!</v>
      </c>
      <c r="G57" s="490"/>
      <c r="H57" s="494" t="e">
        <f>+H49/H47</f>
        <v>#REF!</v>
      </c>
      <c r="I57" s="491"/>
      <c r="J57" s="491"/>
      <c r="K57" s="491" t="e">
        <f t="shared" si="113"/>
        <v>#REF!</v>
      </c>
      <c r="L57" s="491" t="e">
        <f t="shared" si="113"/>
        <v>#REF!</v>
      </c>
      <c r="M57" s="491" t="e">
        <f t="shared" si="113"/>
        <v>#REF!</v>
      </c>
      <c r="N57" s="491"/>
      <c r="O57" s="491" t="e">
        <f>+O49/O47</f>
        <v>#REF!</v>
      </c>
      <c r="P57" s="491"/>
      <c r="Q57" s="491" t="e">
        <f>+Q49/Q47</f>
        <v>#REF!</v>
      </c>
      <c r="R57" s="490" t="e">
        <f>+R49/R47</f>
        <v>#REF!</v>
      </c>
      <c r="S57" s="489"/>
      <c r="T57" s="489"/>
      <c r="U57" s="491" t="e">
        <f>+U49/U47</f>
        <v>#REF!</v>
      </c>
      <c r="V57" s="489"/>
      <c r="W57" s="491"/>
      <c r="X57" s="491" t="e">
        <f>+X49/X47</f>
        <v>#REF!</v>
      </c>
      <c r="Y57" s="491"/>
      <c r="Z57" s="491"/>
      <c r="AA57" s="491" t="e">
        <f>+AA49/AA47</f>
        <v>#REF!</v>
      </c>
      <c r="AB57" s="491"/>
      <c r="AC57" s="491"/>
      <c r="AD57" s="491" t="e">
        <f>+AD49/AD47</f>
        <v>#DIV/0!</v>
      </c>
      <c r="AE57" s="492"/>
      <c r="AF57" s="477"/>
      <c r="AG57" s="477"/>
      <c r="AH57" s="477"/>
      <c r="AI57" s="477"/>
      <c r="AJ57" s="477"/>
      <c r="AK57" s="477"/>
      <c r="AQ57" s="333"/>
      <c r="AR57" s="1695"/>
      <c r="AS57" s="333"/>
      <c r="AT57" s="333"/>
      <c r="AU57" s="333"/>
      <c r="AY57" s="477"/>
      <c r="AZ57" s="477"/>
      <c r="BA57" s="243">
        <v>36.208195160060214</v>
      </c>
      <c r="BB57" s="243">
        <v>36.898249102187222</v>
      </c>
      <c r="BC57" s="243">
        <f t="shared" si="105"/>
        <v>0.69005394212700821</v>
      </c>
      <c r="BJ57" s="1726"/>
    </row>
    <row r="58" spans="1:99">
      <c r="BA58" s="3">
        <v>36.340946746407987</v>
      </c>
      <c r="BB58" s="3">
        <v>36.489181511861354</v>
      </c>
      <c r="BC58" s="243">
        <f t="shared" si="105"/>
        <v>0.14823476545336689</v>
      </c>
      <c r="BD58" s="243"/>
    </row>
    <row r="59" spans="1:99" s="495" customFormat="1">
      <c r="AQ59" s="496"/>
      <c r="AR59" s="1695"/>
      <c r="AS59" s="496"/>
      <c r="AT59" s="496"/>
      <c r="AU59" s="496"/>
      <c r="AY59" s="497"/>
      <c r="AZ59" s="497"/>
      <c r="BA59" s="495">
        <v>36.682899204873422</v>
      </c>
      <c r="BB59" s="495">
        <v>35.864858760771462</v>
      </c>
      <c r="BC59" s="243">
        <f t="shared" si="105"/>
        <v>-0.81804044410196042</v>
      </c>
      <c r="BJ59" s="1726"/>
    </row>
    <row r="60" spans="1:99">
      <c r="E60" s="54"/>
      <c r="F60" s="115"/>
      <c r="G60" s="115"/>
      <c r="H60" s="115"/>
      <c r="I60" s="115"/>
      <c r="J60" s="115"/>
      <c r="K60" s="115"/>
      <c r="L60" s="115"/>
      <c r="M60" s="115"/>
      <c r="AE60" s="3">
        <f>244*0.7*24</f>
        <v>4099.2</v>
      </c>
      <c r="AG60" s="3" t="s">
        <v>1455</v>
      </c>
      <c r="AH60" s="3" t="s">
        <v>1456</v>
      </c>
      <c r="BA60" s="3">
        <v>36.459238930672676</v>
      </c>
      <c r="BB60" s="3">
        <v>36.866030573514593</v>
      </c>
      <c r="BC60" s="243">
        <f t="shared" si="105"/>
        <v>0.40679164284191671</v>
      </c>
    </row>
    <row r="61" spans="1:99">
      <c r="AF61" s="1259">
        <f>+B18</f>
        <v>46091.791666666664</v>
      </c>
      <c r="AG61" s="218">
        <v>3832.3807335450078</v>
      </c>
      <c r="AH61" s="3">
        <v>4099.2</v>
      </c>
      <c r="AI61" s="62">
        <f>+AH61-AG61</f>
        <v>266.81926645499198</v>
      </c>
      <c r="AS61" s="333"/>
      <c r="AT61" s="333"/>
      <c r="AU61" s="333"/>
      <c r="AV61" s="243"/>
      <c r="AW61" s="243"/>
      <c r="BA61" s="3">
        <v>37.462096025077813</v>
      </c>
      <c r="BB61" s="3">
        <v>37.201557411370423</v>
      </c>
      <c r="BC61" s="243">
        <f t="shared" si="105"/>
        <v>-0.26053861370738929</v>
      </c>
    </row>
    <row r="62" spans="1:99" ht="12.75" customHeight="1">
      <c r="A62" s="4564" t="s">
        <v>250</v>
      </c>
      <c r="B62" s="579"/>
      <c r="C62" s="4558" t="s">
        <v>251</v>
      </c>
      <c r="D62" s="4558"/>
      <c r="E62" s="4558" t="s">
        <v>252</v>
      </c>
      <c r="F62" s="4558"/>
      <c r="G62" s="579"/>
      <c r="H62" s="579" t="s">
        <v>23</v>
      </c>
      <c r="I62" s="579"/>
      <c r="J62" s="579"/>
      <c r="K62" s="10" t="s">
        <v>253</v>
      </c>
      <c r="L62" s="10"/>
      <c r="M62" s="10"/>
      <c r="N62" s="10"/>
      <c r="O62" s="10"/>
      <c r="P62" s="10"/>
      <c r="Q62" s="10"/>
      <c r="R62" s="4558" t="s">
        <v>254</v>
      </c>
      <c r="S62" s="4558"/>
      <c r="T62" s="4558"/>
      <c r="U62" s="4558"/>
      <c r="V62" s="4558"/>
      <c r="W62" s="4558"/>
      <c r="X62" s="4558"/>
      <c r="Y62" s="4558"/>
      <c r="Z62" s="4558"/>
      <c r="AA62" s="4558"/>
      <c r="AB62" s="579"/>
      <c r="AC62" s="1558"/>
      <c r="AD62" s="4726" t="s">
        <v>365</v>
      </c>
      <c r="AE62" s="4727"/>
      <c r="AF62" s="1259">
        <f t="shared" ref="AF62:AF68" si="114">+B19</f>
        <v>46092.791666666664</v>
      </c>
      <c r="AG62" s="2884">
        <v>3791.082216414567</v>
      </c>
      <c r="AH62" s="137">
        <v>4099.2</v>
      </c>
      <c r="AI62" s="62">
        <f t="shared" ref="AI62:AI68" si="115">+AH62-AG62</f>
        <v>308.11778358543279</v>
      </c>
      <c r="AJ62" s="137"/>
      <c r="AK62" s="137"/>
      <c r="AQ62" s="1601" t="s">
        <v>373</v>
      </c>
      <c r="AR62" s="4721"/>
      <c r="AS62" s="4722"/>
      <c r="AT62" s="4722"/>
      <c r="AU62" s="4723"/>
      <c r="AV62" s="410"/>
      <c r="AW62" s="243"/>
      <c r="BA62" s="3">
        <v>37.307204512285516</v>
      </c>
      <c r="BB62" s="3">
        <v>37.585365607022524</v>
      </c>
      <c r="BC62" s="243">
        <f t="shared" si="105"/>
        <v>0.27816109473700834</v>
      </c>
    </row>
    <row r="63" spans="1:99">
      <c r="A63" s="4565"/>
      <c r="B63" s="8" t="s">
        <v>258</v>
      </c>
      <c r="C63" s="7" t="s">
        <v>259</v>
      </c>
      <c r="D63" s="7" t="s">
        <v>260</v>
      </c>
      <c r="E63" s="7" t="s">
        <v>343</v>
      </c>
      <c r="F63" s="7" t="s">
        <v>192</v>
      </c>
      <c r="G63" s="9"/>
      <c r="H63" s="9" t="s">
        <v>344</v>
      </c>
      <c r="I63" s="9"/>
      <c r="J63" s="9"/>
      <c r="K63" s="7" t="s">
        <v>267</v>
      </c>
      <c r="L63" s="7" t="s">
        <v>268</v>
      </c>
      <c r="M63" s="7" t="s">
        <v>269</v>
      </c>
      <c r="N63" s="37" t="s">
        <v>270</v>
      </c>
      <c r="O63" s="448"/>
      <c r="P63" s="37" t="s">
        <v>271</v>
      </c>
      <c r="Q63" s="448"/>
      <c r="R63" s="7" t="s">
        <v>267</v>
      </c>
      <c r="S63" s="7" t="s">
        <v>272</v>
      </c>
      <c r="T63" s="7" t="s">
        <v>273</v>
      </c>
      <c r="U63" s="10" t="s">
        <v>274</v>
      </c>
      <c r="V63" s="7" t="s">
        <v>269</v>
      </c>
      <c r="W63" s="4578" t="s">
        <v>270</v>
      </c>
      <c r="X63" s="4579"/>
      <c r="Y63" s="67"/>
      <c r="Z63" s="4578" t="s">
        <v>384</v>
      </c>
      <c r="AA63" s="4579"/>
      <c r="AB63" s="9"/>
      <c r="AC63" s="38"/>
      <c r="AD63" s="4728"/>
      <c r="AE63" s="4729"/>
      <c r="AF63" s="1259">
        <f t="shared" si="114"/>
        <v>46093.791666666664</v>
      </c>
      <c r="AG63" s="2884">
        <v>3699.4603108820725</v>
      </c>
      <c r="AH63" s="137">
        <v>4099.2</v>
      </c>
      <c r="AI63" s="62">
        <f t="shared" si="115"/>
        <v>399.73968911792736</v>
      </c>
      <c r="AJ63" s="137"/>
      <c r="AK63" s="137"/>
      <c r="AQ63" s="4724" t="s">
        <v>807</v>
      </c>
      <c r="AR63" s="4725"/>
      <c r="AS63" s="4720"/>
      <c r="AT63" s="4720"/>
      <c r="AU63" s="4720"/>
      <c r="AV63" s="594" t="s">
        <v>278</v>
      </c>
      <c r="AW63" s="243"/>
      <c r="BA63" s="3">
        <v>38.189017190515742</v>
      </c>
      <c r="BB63" s="3">
        <v>37.92841903072712</v>
      </c>
      <c r="BC63" s="243">
        <f t="shared" si="105"/>
        <v>-0.26059815978862133</v>
      </c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</row>
    <row r="64" spans="1:99" s="63" customFormat="1">
      <c r="A64" s="4573"/>
      <c r="B64" s="9"/>
      <c r="C64" s="7" t="s">
        <v>291</v>
      </c>
      <c r="D64" s="7" t="s">
        <v>292</v>
      </c>
      <c r="E64" s="7" t="s">
        <v>291</v>
      </c>
      <c r="F64" s="7" t="s">
        <v>292</v>
      </c>
      <c r="G64" s="7"/>
      <c r="H64" s="7" t="s">
        <v>48</v>
      </c>
      <c r="I64" s="7"/>
      <c r="J64" s="7"/>
      <c r="K64" s="7" t="s">
        <v>293</v>
      </c>
      <c r="L64" s="7" t="s">
        <v>293</v>
      </c>
      <c r="M64" s="7" t="s">
        <v>293</v>
      </c>
      <c r="N64" s="7" t="s">
        <v>291</v>
      </c>
      <c r="O64" s="7" t="s">
        <v>192</v>
      </c>
      <c r="P64" s="7" t="s">
        <v>294</v>
      </c>
      <c r="Q64" s="7" t="s">
        <v>192</v>
      </c>
      <c r="R64" s="7" t="s">
        <v>295</v>
      </c>
      <c r="S64" s="7" t="s">
        <v>296</v>
      </c>
      <c r="T64" s="7" t="s">
        <v>296</v>
      </c>
      <c r="U64" s="7" t="s">
        <v>296</v>
      </c>
      <c r="V64" s="7" t="s">
        <v>296</v>
      </c>
      <c r="W64" s="7" t="s">
        <v>291</v>
      </c>
      <c r="X64" s="7" t="s">
        <v>192</v>
      </c>
      <c r="Y64" s="7"/>
      <c r="Z64" s="7" t="s">
        <v>294</v>
      </c>
      <c r="AA64" s="7" t="s">
        <v>192</v>
      </c>
      <c r="AB64" s="9"/>
      <c r="AC64" s="310"/>
      <c r="AD64" s="9" t="s">
        <v>291</v>
      </c>
      <c r="AE64" s="9" t="s">
        <v>192</v>
      </c>
      <c r="AF64" s="1259">
        <f t="shared" si="114"/>
        <v>46094.791666666664</v>
      </c>
      <c r="AG64" s="2885">
        <v>3471.8495469738905</v>
      </c>
      <c r="AH64" s="38">
        <v>2800</v>
      </c>
      <c r="AI64" s="62">
        <f t="shared" si="115"/>
        <v>-671.84954697389048</v>
      </c>
      <c r="AJ64" s="38"/>
      <c r="AK64" s="38"/>
      <c r="AQ64" s="4724"/>
      <c r="AR64" s="4725"/>
      <c r="AS64" s="4720"/>
      <c r="AT64" s="4720"/>
      <c r="AU64" s="4720"/>
      <c r="AV64" s="393"/>
      <c r="AW64" s="1409"/>
      <c r="AX64" s="3"/>
      <c r="AY64" s="217"/>
      <c r="AZ64" s="217"/>
      <c r="BA64" s="3">
        <v>38.420911567195503</v>
      </c>
      <c r="BB64" s="3">
        <v>38.2099817221034</v>
      </c>
      <c r="BC64" s="243">
        <f t="shared" si="105"/>
        <v>-0.21092984509210311</v>
      </c>
      <c r="BE64" s="3"/>
      <c r="BF64" s="3"/>
      <c r="BG64" s="3"/>
      <c r="BH64" s="3"/>
      <c r="BI64" s="3"/>
      <c r="BJ64" s="1726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</row>
    <row r="65" spans="1:113" s="1384" customFormat="1">
      <c r="A65" s="1380"/>
      <c r="B65" s="1582">
        <f t="shared" ref="B65:B93" si="116">IF(ISNUMBER(B9),B9,"")</f>
        <v>46082.791666666664</v>
      </c>
      <c r="C65" s="255"/>
      <c r="D65" s="1584"/>
      <c r="E65" s="1584"/>
      <c r="F65" s="255"/>
      <c r="G65" s="255"/>
      <c r="H65" s="255"/>
      <c r="I65" s="257"/>
      <c r="J65" s="257"/>
      <c r="K65" s="274"/>
      <c r="L65" s="242"/>
      <c r="M65" s="242"/>
      <c r="N65" s="1586"/>
      <c r="O65" s="255"/>
      <c r="P65" s="1586"/>
      <c r="Q65" s="255"/>
      <c r="R65" s="274"/>
      <c r="S65" s="1381"/>
      <c r="T65" s="1381"/>
      <c r="U65" s="242"/>
      <c r="V65" s="257"/>
      <c r="W65" s="1586"/>
      <c r="X65" s="255"/>
      <c r="Y65" s="1586"/>
      <c r="Z65" s="1586"/>
      <c r="AA65" s="255"/>
      <c r="AB65" s="1407"/>
      <c r="AC65" s="1586"/>
      <c r="AD65" s="1407"/>
      <c r="AE65" s="255"/>
      <c r="AF65" s="1259">
        <f t="shared" si="114"/>
        <v>46095.791666666664</v>
      </c>
      <c r="AG65" s="2886">
        <v>3343.0941937217644</v>
      </c>
      <c r="AH65" s="38">
        <v>2800</v>
      </c>
      <c r="AI65" s="62">
        <f t="shared" si="115"/>
        <v>-543.09419372176444</v>
      </c>
      <c r="AJ65" s="1586"/>
      <c r="AK65" s="1586"/>
      <c r="AL65" s="1610"/>
      <c r="AM65" s="243"/>
      <c r="AN65" s="243"/>
      <c r="AO65" s="243"/>
      <c r="AP65" s="243"/>
      <c r="AQ65" s="303"/>
      <c r="AR65" s="2922"/>
      <c r="AS65" s="1612"/>
      <c r="AT65" s="1612"/>
      <c r="AU65" s="1612"/>
      <c r="AV65" s="1381"/>
      <c r="AW65" s="1583"/>
      <c r="AX65" s="243"/>
      <c r="AY65" s="1382"/>
      <c r="AZ65" s="477"/>
      <c r="BA65" s="243">
        <v>37.47100809762297</v>
      </c>
      <c r="BB65" s="243">
        <v>37.277720808764109</v>
      </c>
      <c r="BC65" s="243">
        <f t="shared" si="105"/>
        <v>-0.19328728885886193</v>
      </c>
      <c r="BD65" s="243"/>
      <c r="BE65" s="243"/>
      <c r="BF65" s="243"/>
      <c r="BG65" s="243"/>
      <c r="BH65" s="243"/>
      <c r="BI65" s="243"/>
      <c r="BJ65" s="1726"/>
      <c r="BK65" s="1383"/>
      <c r="BL65" s="1383"/>
      <c r="BM65" s="1383"/>
      <c r="BN65" s="1383"/>
      <c r="BO65" s="1383"/>
      <c r="BP65" s="1383"/>
      <c r="BQ65" s="1383"/>
      <c r="BR65" s="1383"/>
      <c r="BS65" s="1383"/>
      <c r="BT65" s="1383"/>
      <c r="BU65" s="1383"/>
      <c r="BV65" s="1383"/>
      <c r="BW65" s="1383"/>
      <c r="BX65" s="1383"/>
      <c r="BY65" s="1383"/>
      <c r="BZ65" s="1383"/>
      <c r="CA65" s="1383"/>
      <c r="CB65" s="1383"/>
      <c r="CC65" s="1383"/>
      <c r="CD65" s="1383"/>
      <c r="CE65" s="1383"/>
      <c r="CF65" s="1383"/>
      <c r="CG65" s="1383"/>
      <c r="CH65" s="1383"/>
      <c r="CI65" s="1383"/>
      <c r="CJ65" s="1383"/>
      <c r="CK65" s="1383"/>
      <c r="CL65" s="1383"/>
      <c r="CM65" s="1383"/>
      <c r="CN65" s="1383"/>
      <c r="CO65" s="1383"/>
      <c r="CP65" s="1383"/>
      <c r="CQ65" s="1383"/>
      <c r="CR65" s="1383"/>
      <c r="CS65" s="1383"/>
      <c r="CT65" s="1383"/>
      <c r="CU65" s="1383"/>
      <c r="CV65" s="1613"/>
      <c r="CW65" s="1613"/>
      <c r="CX65" s="1613"/>
      <c r="CY65" s="1613"/>
      <c r="CZ65" s="1613"/>
      <c r="DA65" s="1613"/>
      <c r="DB65" s="1613"/>
      <c r="DC65" s="1613"/>
      <c r="DD65" s="1613"/>
      <c r="DE65" s="1613"/>
      <c r="DF65" s="1613"/>
      <c r="DG65" s="1613"/>
      <c r="DH65" s="1613"/>
      <c r="DI65" s="1613"/>
    </row>
    <row r="66" spans="1:113" s="1387" customFormat="1">
      <c r="A66" s="474"/>
      <c r="B66" s="1385">
        <f t="shared" si="116"/>
        <v>46083.791666666664</v>
      </c>
      <c r="C66" s="255"/>
      <c r="D66" s="266"/>
      <c r="E66" s="266"/>
      <c r="F66" s="255"/>
      <c r="G66" s="255"/>
      <c r="H66" s="255"/>
      <c r="I66" s="257"/>
      <c r="J66" s="257"/>
      <c r="K66" s="274"/>
      <c r="L66" s="242"/>
      <c r="M66" s="242"/>
      <c r="N66" s="257"/>
      <c r="O66" s="255"/>
      <c r="P66" s="257"/>
      <c r="Q66" s="255"/>
      <c r="R66" s="274"/>
      <c r="S66" s="1381"/>
      <c r="T66" s="1381"/>
      <c r="U66" s="242"/>
      <c r="V66" s="257"/>
      <c r="W66" s="257"/>
      <c r="X66" s="255"/>
      <c r="Y66" s="257"/>
      <c r="Z66" s="257"/>
      <c r="AA66" s="255"/>
      <c r="AB66" s="255"/>
      <c r="AC66" s="257"/>
      <c r="AD66" s="255"/>
      <c r="AE66" s="255"/>
      <c r="AF66" s="1259">
        <f t="shared" si="114"/>
        <v>46096.791666666664</v>
      </c>
      <c r="AG66" s="2887">
        <v>3302.0703343369137</v>
      </c>
      <c r="AH66" s="38">
        <v>2800</v>
      </c>
      <c r="AI66" s="62">
        <f t="shared" si="115"/>
        <v>-502.07033433691367</v>
      </c>
      <c r="AJ66" s="257"/>
      <c r="AK66" s="257"/>
      <c r="AL66" s="243"/>
      <c r="AM66" s="243"/>
      <c r="AN66" s="243"/>
      <c r="AO66" s="243"/>
      <c r="AP66" s="243"/>
      <c r="AQ66" s="303"/>
      <c r="AR66" s="2923"/>
      <c r="AS66" s="333"/>
      <c r="AT66" s="333"/>
      <c r="AU66" s="333"/>
      <c r="AV66" s="1381"/>
      <c r="AW66" s="259"/>
      <c r="AX66" s="243"/>
      <c r="AY66" s="1386"/>
      <c r="AZ66" s="477"/>
      <c r="BA66" s="243">
        <v>37.264169534074938</v>
      </c>
      <c r="BB66" s="243">
        <v>37.264169534074938</v>
      </c>
      <c r="BC66" s="243">
        <f t="shared" si="105"/>
        <v>0</v>
      </c>
      <c r="BD66" s="243"/>
      <c r="BE66" s="243"/>
      <c r="BF66" s="243"/>
      <c r="BG66" s="243"/>
      <c r="BH66" s="243"/>
      <c r="BI66" s="243"/>
      <c r="BJ66" s="1726"/>
    </row>
    <row r="67" spans="1:113" s="243" customFormat="1">
      <c r="A67" s="474"/>
      <c r="B67" s="1385">
        <f t="shared" si="116"/>
        <v>46084.791666666664</v>
      </c>
      <c r="C67" s="255"/>
      <c r="D67" s="266"/>
      <c r="E67" s="266"/>
      <c r="F67" s="255"/>
      <c r="G67" s="255"/>
      <c r="H67" s="255"/>
      <c r="I67" s="257"/>
      <c r="J67" s="257"/>
      <c r="K67" s="274"/>
      <c r="L67" s="242"/>
      <c r="M67" s="242"/>
      <c r="N67" s="257"/>
      <c r="O67" s="255"/>
      <c r="P67" s="257"/>
      <c r="Q67" s="255"/>
      <c r="R67" s="274"/>
      <c r="S67" s="1381"/>
      <c r="T67" s="1381"/>
      <c r="U67" s="242"/>
      <c r="V67" s="257"/>
      <c r="W67" s="257"/>
      <c r="X67" s="255"/>
      <c r="Y67" s="257"/>
      <c r="Z67" s="257"/>
      <c r="AA67" s="255"/>
      <c r="AB67" s="255"/>
      <c r="AC67" s="257"/>
      <c r="AD67" s="255"/>
      <c r="AE67" s="255"/>
      <c r="AF67" s="1259">
        <f t="shared" si="114"/>
        <v>46097.791666666664</v>
      </c>
      <c r="AG67" s="2887">
        <v>3343.3416521772428</v>
      </c>
      <c r="AH67" s="38">
        <v>2800</v>
      </c>
      <c r="AI67" s="62">
        <f t="shared" si="115"/>
        <v>-543.34165217724285</v>
      </c>
      <c r="AJ67" s="257"/>
      <c r="AK67" s="257"/>
      <c r="AQ67" s="303"/>
      <c r="AR67" s="2923"/>
      <c r="AS67" s="333"/>
      <c r="AT67" s="333"/>
      <c r="AU67" s="333"/>
      <c r="AW67" s="259"/>
      <c r="AY67" s="477"/>
      <c r="AZ67" s="477"/>
      <c r="BA67" s="243">
        <v>36.137760423978257</v>
      </c>
      <c r="BB67" s="243">
        <v>36.137760423978257</v>
      </c>
      <c r="BC67" s="243">
        <f t="shared" si="105"/>
        <v>0</v>
      </c>
      <c r="BJ67" s="1726"/>
    </row>
    <row r="68" spans="1:113" s="243" customFormat="1">
      <c r="A68" s="349"/>
      <c r="B68" s="1385">
        <f t="shared" si="116"/>
        <v>46085.791666666664</v>
      </c>
      <c r="C68" s="255"/>
      <c r="D68" s="266"/>
      <c r="E68" s="266"/>
      <c r="F68" s="255"/>
      <c r="G68" s="255"/>
      <c r="H68" s="255"/>
      <c r="I68" s="257"/>
      <c r="J68" s="257"/>
      <c r="K68" s="274"/>
      <c r="L68" s="242"/>
      <c r="M68" s="242"/>
      <c r="N68" s="257"/>
      <c r="O68" s="255"/>
      <c r="P68" s="257"/>
      <c r="Q68" s="255"/>
      <c r="R68" s="274"/>
      <c r="S68" s="1381"/>
      <c r="T68" s="1381"/>
      <c r="U68" s="242"/>
      <c r="V68" s="257"/>
      <c r="W68" s="257"/>
      <c r="X68" s="255"/>
      <c r="Y68" s="257"/>
      <c r="Z68" s="257"/>
      <c r="AA68" s="255"/>
      <c r="AB68" s="255"/>
      <c r="AC68" s="257"/>
      <c r="AD68" s="255"/>
      <c r="AE68" s="255"/>
      <c r="AF68" s="1259">
        <f t="shared" si="114"/>
        <v>46098.791666666664</v>
      </c>
      <c r="AG68" s="2887">
        <v>3373.483284723512</v>
      </c>
      <c r="AH68" s="38">
        <v>2800</v>
      </c>
      <c r="AI68" s="62">
        <f t="shared" si="115"/>
        <v>-573.48328472351204</v>
      </c>
      <c r="AJ68" s="257"/>
      <c r="AK68" s="257"/>
      <c r="AQ68" s="303"/>
      <c r="AR68" s="2923"/>
      <c r="AS68" s="333"/>
      <c r="AT68" s="333"/>
      <c r="AU68" s="333"/>
      <c r="AV68" s="1381"/>
      <c r="AW68" s="259"/>
      <c r="AY68" s="477"/>
      <c r="AZ68" s="477"/>
      <c r="BA68" s="243">
        <v>36.160384988479315</v>
      </c>
      <c r="BB68" s="243">
        <v>36.160384988479315</v>
      </c>
      <c r="BC68" s="243">
        <f t="shared" si="105"/>
        <v>0</v>
      </c>
      <c r="BJ68" s="1726"/>
    </row>
    <row r="69" spans="1:113" s="243" customFormat="1">
      <c r="A69" s="474"/>
      <c r="B69" s="1385">
        <f t="shared" si="116"/>
        <v>46086.791666666664</v>
      </c>
      <c r="C69" s="255">
        <f>SUM($C$9:$C$13)</f>
        <v>845859.29792759125</v>
      </c>
      <c r="D69" s="266"/>
      <c r="E69" s="266"/>
      <c r="F69" s="255">
        <f>SUM($E$9:$E$13)</f>
        <v>822323.91857314319</v>
      </c>
      <c r="G69" s="255"/>
      <c r="H69" s="255">
        <f>AVERAGE($H$9:$H$13)</f>
        <v>74.054844588272303</v>
      </c>
      <c r="I69" s="257"/>
      <c r="J69" s="257"/>
      <c r="K69" s="274">
        <f>SUMPRODUCT($E$9:$E$13,$K$9:$K$13)/SUM($E$9:$E$13)</f>
        <v>0.5196797483464487</v>
      </c>
      <c r="L69" s="242">
        <f>Q69/(F69*K69/100)*100</f>
        <v>89.975065810317034</v>
      </c>
      <c r="M69" s="242">
        <f>Q69/O69*100</f>
        <v>27.130768468463007</v>
      </c>
      <c r="N69" s="257"/>
      <c r="O69" s="255">
        <f>SUM($N$9:$N$13)</f>
        <v>14172.249627553379</v>
      </c>
      <c r="P69" s="257"/>
      <c r="Q69" s="255">
        <f>SUM($P$9:$P$13)</f>
        <v>3845.0402332241179</v>
      </c>
      <c r="R69" s="274">
        <f>SUMPRODUCT($E$9:$E$13,$R$9:$R$13)/SUM($E$9:$E$13)</f>
        <v>202.93778372075602</v>
      </c>
      <c r="S69" s="1381">
        <f>SUMPRODUCT($E$9:$E$13,$R$9:$R$13,$S$9:$S$13)/SUMPRODUCT($E$9:E$13,$R$9:R$13)</f>
        <v>92.11274501103361</v>
      </c>
      <c r="T69" s="1381">
        <f>SUMPRODUCT($E$9:$E$13,$R$9:$R$13,$S$9:$S$13,$T$9:$T$13)/SUMPRODUCT($E$9:$E$13,$R$9:$R$13,$S$9:$S$13)</f>
        <v>88.075721865219862</v>
      </c>
      <c r="U69" s="242">
        <f>AA69/(F69*R69/1000000)*100</f>
        <v>81.128965098337133</v>
      </c>
      <c r="V69" s="257">
        <f>AA69/X69*100</f>
        <v>50</v>
      </c>
      <c r="W69" s="257"/>
      <c r="X69" s="255">
        <f>SUM($W$9:$W$13)</f>
        <v>270.77699697111592</v>
      </c>
      <c r="Y69" s="257"/>
      <c r="Z69" s="257"/>
      <c r="AA69" s="255">
        <f>SUM($Z$9:$Z$13)</f>
        <v>135.38849848555796</v>
      </c>
      <c r="AB69" s="255"/>
      <c r="AC69" s="257"/>
      <c r="AD69" s="255"/>
      <c r="AE69" s="255">
        <f>SUM($AD$9:$AD$13)</f>
        <v>4089.4575051856864</v>
      </c>
      <c r="AF69" s="257"/>
      <c r="AG69" s="257">
        <f>+SUM(AG61:AG68)</f>
        <v>28156.762272774969</v>
      </c>
      <c r="AH69" s="257">
        <f>+SUM(AH61:AH68)</f>
        <v>26297.599999999999</v>
      </c>
      <c r="AI69" s="257"/>
      <c r="AJ69" s="257"/>
      <c r="AK69" s="257"/>
      <c r="AQ69" s="303">
        <f>F69/(COUNT($B$9:$B$13)*24*H69/100)</f>
        <v>9253.546286596471</v>
      </c>
      <c r="AR69" s="2923"/>
      <c r="AS69" s="333"/>
      <c r="AT69" s="333"/>
      <c r="AU69" s="333"/>
      <c r="AV69" s="1381">
        <f>SUMPRODUCT(AV$9:AV$13,E$9:E$13)/F69</f>
        <v>1.3578558793830631</v>
      </c>
      <c r="AW69" s="259"/>
      <c r="AY69" s="477"/>
      <c r="AZ69" s="477"/>
      <c r="BA69" s="243">
        <v>35.443681602438225</v>
      </c>
      <c r="BB69" s="243">
        <v>35.443681602438225</v>
      </c>
      <c r="BC69" s="243">
        <f t="shared" si="105"/>
        <v>0</v>
      </c>
      <c r="BJ69" s="1726"/>
    </row>
    <row r="70" spans="1:113" s="243" customFormat="1">
      <c r="A70" s="474"/>
      <c r="B70" s="1385">
        <f t="shared" si="116"/>
        <v>46087.791666666664</v>
      </c>
      <c r="C70" s="255"/>
      <c r="D70" s="266"/>
      <c r="E70" s="266"/>
      <c r="F70" s="255"/>
      <c r="G70" s="255"/>
      <c r="H70" s="255"/>
      <c r="I70" s="257"/>
      <c r="J70" s="257"/>
      <c r="K70" s="274"/>
      <c r="L70" s="242"/>
      <c r="M70" s="242"/>
      <c r="N70" s="257"/>
      <c r="O70" s="255"/>
      <c r="P70" s="257"/>
      <c r="Q70" s="255"/>
      <c r="R70" s="274"/>
      <c r="S70" s="1381"/>
      <c r="T70" s="1381"/>
      <c r="U70" s="242"/>
      <c r="V70" s="257"/>
      <c r="W70" s="257"/>
      <c r="X70" s="255"/>
      <c r="Y70" s="257"/>
      <c r="Z70" s="257"/>
      <c r="AA70" s="255"/>
      <c r="AB70" s="255"/>
      <c r="AC70" s="257"/>
      <c r="AD70" s="255"/>
      <c r="AE70" s="255"/>
      <c r="AF70" s="257"/>
      <c r="AG70" s="257"/>
      <c r="AH70" s="257">
        <f>+AG69-AH69</f>
        <v>1859.1622727749709</v>
      </c>
      <c r="AI70" s="257"/>
      <c r="AJ70" s="257"/>
      <c r="AK70" s="257"/>
      <c r="AQ70" s="303"/>
      <c r="AR70" s="2923"/>
      <c r="AS70" s="333"/>
      <c r="AT70" s="333"/>
      <c r="AU70" s="333"/>
      <c r="AV70" s="1381"/>
      <c r="AW70" s="259"/>
      <c r="AY70" s="477"/>
      <c r="AZ70" s="477"/>
      <c r="BA70" s="243">
        <v>35.622444865919704</v>
      </c>
      <c r="BB70" s="243">
        <v>35.622444865919704</v>
      </c>
      <c r="BC70" s="243">
        <f t="shared" si="105"/>
        <v>0</v>
      </c>
      <c r="BJ70" s="1726"/>
    </row>
    <row r="71" spans="1:113" s="1383" customFormat="1">
      <c r="A71" s="474"/>
      <c r="B71" s="1388">
        <f t="shared" si="116"/>
        <v>46088.791666666664</v>
      </c>
      <c r="C71" s="255">
        <f>SUM($C$9:$C$15)</f>
        <v>1192870.4178507703</v>
      </c>
      <c r="D71" s="266"/>
      <c r="E71" s="266"/>
      <c r="F71" s="255">
        <f>SUM($E$9:$E$15)</f>
        <v>1124702.3406478469</v>
      </c>
      <c r="G71" s="255"/>
      <c r="H71" s="255">
        <f>AVERAGE($H$9:$H$15)</f>
        <v>71.481453998140267</v>
      </c>
      <c r="I71" s="257"/>
      <c r="J71" s="257"/>
      <c r="K71" s="274">
        <f>SUMPRODUCT($E$9:$E$15,$K$9:$K$15)/SUM($E$9:$E$15)</f>
        <v>0.50624403907517368</v>
      </c>
      <c r="L71" s="242">
        <f>Q71/(F71*K71/100)*100</f>
        <v>89.875381502961972</v>
      </c>
      <c r="M71" s="242">
        <f>Q71/O71*100</f>
        <v>26.639084241530615</v>
      </c>
      <c r="N71" s="257"/>
      <c r="O71" s="255">
        <f>SUM($N$9:$N$15)</f>
        <v>19209.628992385144</v>
      </c>
      <c r="P71" s="257"/>
      <c r="Q71" s="255">
        <f>SUM($P$9:$P$15)</f>
        <v>5117.2692497669668</v>
      </c>
      <c r="R71" s="274">
        <f>SUMPRODUCT($E$9:$E$15,$R$9:$R$15)/SUM($E$9:$E$15)</f>
        <v>194.07164227989196</v>
      </c>
      <c r="S71" s="1381">
        <f>SUMPRODUCT($E$9:$E$15,$R$9:$R$15,$S$9:$S$15)/SUMPRODUCT($E$9:E$15,$R$9:R$15)</f>
        <v>91.964656518094642</v>
      </c>
      <c r="T71" s="1381">
        <f>SUMPRODUCT($E$9:$E$15,$R$9:$R$15,$S$9:$S$15,$T$9:$T$15)/SUMPRODUCT($E$9:$E$15,$R$9:$R$15,$S$9:$S$15)</f>
        <v>87.648319051379914</v>
      </c>
      <c r="U71" s="242">
        <f>AA71/(F71*R71/1000000)*100</f>
        <v>80.605475559485257</v>
      </c>
      <c r="V71" s="257">
        <f>AA71/X71*100</f>
        <v>50</v>
      </c>
      <c r="W71" s="257"/>
      <c r="X71" s="255">
        <f>SUM($W$9:$W$15)</f>
        <v>351.87970580214187</v>
      </c>
      <c r="Y71" s="257"/>
      <c r="Z71" s="257"/>
      <c r="AA71" s="255">
        <f>SUM($Z$9:$Z$15)</f>
        <v>175.93985290107094</v>
      </c>
      <c r="AB71" s="255"/>
      <c r="AC71" s="257"/>
      <c r="AD71" s="255"/>
      <c r="AE71" s="255">
        <f>SUM($AD$9:$AD$15)</f>
        <v>5430.3124036682257</v>
      </c>
      <c r="AF71" s="257"/>
      <c r="AG71" s="257"/>
      <c r="AH71" s="257"/>
      <c r="AI71" s="257"/>
      <c r="AJ71" s="257"/>
      <c r="AK71" s="257"/>
      <c r="AL71" s="243"/>
      <c r="AM71" s="243"/>
      <c r="AN71" s="243"/>
      <c r="AO71" s="243"/>
      <c r="AP71" s="243"/>
      <c r="AQ71" s="303">
        <f>F71/(COUNT($B$9:$B$15)*24*H71/100)</f>
        <v>9365.5856381218728</v>
      </c>
      <c r="AR71" s="2923"/>
      <c r="AS71" s="333"/>
      <c r="AT71" s="333"/>
      <c r="AU71" s="333"/>
      <c r="AV71" s="1381">
        <f>SUMPRODUCT(AV$9:AV$15,E$9:E$15)/F71</f>
        <v>1.2916704286685714</v>
      </c>
      <c r="AW71" s="259"/>
      <c r="AX71" s="243"/>
      <c r="AY71" s="1382"/>
      <c r="AZ71" s="1382"/>
      <c r="BA71" s="1383">
        <v>35.760871782879605</v>
      </c>
      <c r="BB71" s="1383">
        <v>35.760871782879605</v>
      </c>
      <c r="BC71" s="243">
        <f t="shared" si="105"/>
        <v>0</v>
      </c>
      <c r="BD71" s="243"/>
      <c r="BJ71" s="2928"/>
    </row>
    <row r="72" spans="1:113" s="1383" customFormat="1">
      <c r="A72" s="474"/>
      <c r="B72" s="1582">
        <f t="shared" si="116"/>
        <v>46089.791666666664</v>
      </c>
      <c r="C72" s="255"/>
      <c r="D72" s="266"/>
      <c r="E72" s="266"/>
      <c r="F72" s="255"/>
      <c r="G72" s="255"/>
      <c r="H72" s="255"/>
      <c r="I72" s="257"/>
      <c r="J72" s="257"/>
      <c r="K72" s="274"/>
      <c r="L72" s="242"/>
      <c r="M72" s="242"/>
      <c r="N72" s="257"/>
      <c r="O72" s="255"/>
      <c r="P72" s="257"/>
      <c r="Q72" s="255"/>
      <c r="R72" s="274"/>
      <c r="S72" s="1381"/>
      <c r="T72" s="1381"/>
      <c r="U72" s="242"/>
      <c r="V72" s="257"/>
      <c r="W72" s="257"/>
      <c r="X72" s="255"/>
      <c r="Y72" s="257"/>
      <c r="Z72" s="257"/>
      <c r="AA72" s="255"/>
      <c r="AB72" s="255"/>
      <c r="AC72" s="257"/>
      <c r="AD72" s="255"/>
      <c r="AE72" s="255"/>
      <c r="AF72" s="257"/>
      <c r="AG72" s="257"/>
      <c r="AH72" s="257"/>
      <c r="AI72" s="257"/>
      <c r="AJ72" s="257"/>
      <c r="AK72" s="257"/>
      <c r="AL72" s="243"/>
      <c r="AM72" s="243"/>
      <c r="AN72" s="243"/>
      <c r="AO72" s="243"/>
      <c r="AP72" s="243"/>
      <c r="AQ72" s="303"/>
      <c r="AR72" s="2923"/>
      <c r="AS72" s="333"/>
      <c r="AT72" s="333"/>
      <c r="AU72" s="333"/>
      <c r="AV72" s="1381"/>
      <c r="AW72" s="259"/>
      <c r="AX72" s="243"/>
      <c r="AY72" s="1382"/>
      <c r="AZ72" s="1382"/>
      <c r="BA72" s="1383">
        <v>35.02707262681259</v>
      </c>
      <c r="BB72" s="1383">
        <v>35.02707262681259</v>
      </c>
      <c r="BC72" s="243">
        <f t="shared" si="105"/>
        <v>0</v>
      </c>
      <c r="BD72" s="243"/>
      <c r="BJ72" s="2928"/>
    </row>
    <row r="73" spans="1:113" s="243" customFormat="1">
      <c r="A73" s="474"/>
      <c r="B73" s="1385">
        <f t="shared" si="116"/>
        <v>46090.791666666664</v>
      </c>
      <c r="C73" s="255"/>
      <c r="D73" s="266"/>
      <c r="E73" s="266"/>
      <c r="F73" s="255"/>
      <c r="G73" s="255"/>
      <c r="H73" s="255"/>
      <c r="I73" s="257"/>
      <c r="J73" s="257"/>
      <c r="K73" s="274"/>
      <c r="L73" s="242"/>
      <c r="M73" s="242"/>
      <c r="N73" s="257"/>
      <c r="O73" s="255"/>
      <c r="P73" s="257"/>
      <c r="Q73" s="255"/>
      <c r="R73" s="274"/>
      <c r="S73" s="1381"/>
      <c r="T73" s="1381"/>
      <c r="U73" s="242"/>
      <c r="V73" s="257"/>
      <c r="W73" s="257"/>
      <c r="X73" s="255"/>
      <c r="Y73" s="257"/>
      <c r="Z73" s="257"/>
      <c r="AA73" s="255"/>
      <c r="AB73" s="255"/>
      <c r="AC73" s="257"/>
      <c r="AD73" s="255"/>
      <c r="AE73" s="255"/>
      <c r="AF73" s="257"/>
      <c r="AG73" s="257"/>
      <c r="AH73" s="257"/>
      <c r="AI73" s="257"/>
      <c r="AJ73" s="257"/>
      <c r="AK73" s="257"/>
      <c r="AQ73" s="303"/>
      <c r="AR73" s="2923"/>
      <c r="AS73" s="333"/>
      <c r="AT73" s="333"/>
      <c r="AU73" s="333"/>
      <c r="AV73" s="1381"/>
      <c r="AW73" s="259"/>
      <c r="AY73" s="477"/>
      <c r="AZ73" s="477"/>
      <c r="BJ73" s="1726"/>
    </row>
    <row r="74" spans="1:113" s="243" customFormat="1">
      <c r="A74" s="474"/>
      <c r="B74" s="1385">
        <f t="shared" si="116"/>
        <v>46091.791666666664</v>
      </c>
      <c r="C74" s="255"/>
      <c r="D74" s="266"/>
      <c r="E74" s="266"/>
      <c r="F74" s="255"/>
      <c r="G74" s="255"/>
      <c r="H74" s="255"/>
      <c r="I74" s="257"/>
      <c r="J74" s="257"/>
      <c r="K74" s="274"/>
      <c r="L74" s="242"/>
      <c r="M74" s="242"/>
      <c r="N74" s="257"/>
      <c r="O74" s="255"/>
      <c r="P74" s="257"/>
      <c r="Q74" s="255"/>
      <c r="R74" s="274"/>
      <c r="S74" s="1381"/>
      <c r="T74" s="1381"/>
      <c r="U74" s="242"/>
      <c r="V74" s="257"/>
      <c r="W74" s="257"/>
      <c r="X74" s="255"/>
      <c r="Y74" s="257"/>
      <c r="Z74" s="257"/>
      <c r="AA74" s="255"/>
      <c r="AB74" s="255"/>
      <c r="AC74" s="257"/>
      <c r="AD74" s="255"/>
      <c r="AE74" s="255"/>
      <c r="AF74" s="257"/>
      <c r="AG74" s="257"/>
      <c r="AH74" s="257"/>
      <c r="AI74" s="257"/>
      <c r="AJ74" s="257"/>
      <c r="AK74" s="257"/>
      <c r="AQ74" s="303"/>
      <c r="AR74" s="2923"/>
      <c r="AS74" s="333"/>
      <c r="AT74" s="333"/>
      <c r="AU74" s="333"/>
      <c r="AV74" s="1381"/>
      <c r="AW74" s="259"/>
      <c r="AY74" s="477"/>
      <c r="AZ74" s="477"/>
      <c r="BJ74" s="1726"/>
    </row>
    <row r="75" spans="1:113" s="243" customFormat="1">
      <c r="A75" s="474"/>
      <c r="B75" s="1385">
        <f t="shared" si="116"/>
        <v>46092.791666666664</v>
      </c>
      <c r="C75" s="255"/>
      <c r="D75" s="266"/>
      <c r="E75" s="266"/>
      <c r="F75" s="255"/>
      <c r="G75" s="255"/>
      <c r="H75" s="255"/>
      <c r="I75" s="257"/>
      <c r="J75" s="257"/>
      <c r="K75" s="274"/>
      <c r="L75" s="242"/>
      <c r="M75" s="242"/>
      <c r="N75" s="257"/>
      <c r="O75" s="255"/>
      <c r="P75" s="257"/>
      <c r="Q75" s="255"/>
      <c r="R75" s="274"/>
      <c r="S75" s="1381"/>
      <c r="T75" s="1381"/>
      <c r="U75" s="242"/>
      <c r="V75" s="257"/>
      <c r="W75" s="257"/>
      <c r="X75" s="255"/>
      <c r="Y75" s="257"/>
      <c r="Z75" s="257"/>
      <c r="AA75" s="255"/>
      <c r="AB75" s="255"/>
      <c r="AC75" s="257"/>
      <c r="AD75" s="255"/>
      <c r="AE75" s="255"/>
      <c r="AF75" s="257"/>
      <c r="AG75" s="257"/>
      <c r="AH75" s="257"/>
      <c r="AI75" s="257"/>
      <c r="AJ75" s="257"/>
      <c r="AK75" s="257"/>
      <c r="AQ75" s="303"/>
      <c r="AR75" s="2923"/>
      <c r="AS75" s="333"/>
      <c r="AT75" s="333"/>
      <c r="AU75" s="333"/>
      <c r="AV75" s="1381"/>
      <c r="AW75" s="259"/>
      <c r="AY75" s="477"/>
      <c r="AZ75" s="477"/>
      <c r="BJ75" s="1726"/>
    </row>
    <row r="76" spans="1:113" s="1387" customFormat="1">
      <c r="A76" s="474"/>
      <c r="B76" s="1385">
        <f t="shared" si="116"/>
        <v>46093.791666666664</v>
      </c>
      <c r="C76" s="255">
        <f>SUM($C$16:$C$20)</f>
        <v>761591.46107111301</v>
      </c>
      <c r="D76" s="266"/>
      <c r="E76" s="266"/>
      <c r="F76" s="255">
        <f>SUM($E$16:$E$20)</f>
        <v>919694.7927748349</v>
      </c>
      <c r="G76" s="255"/>
      <c r="H76" s="255">
        <f>AVERAGE($H$16:$H$20)</f>
        <v>92.555248082635643</v>
      </c>
      <c r="I76" s="257"/>
      <c r="J76" s="257"/>
      <c r="K76" s="274">
        <f>SUMPRODUCT($E$16:$E$20,$K$16:$K$20)/SUM($E$16:$E$20)</f>
        <v>0.49006014411512011</v>
      </c>
      <c r="L76" s="242">
        <f>Q76/(F76*K76/100)*100</f>
        <v>89.799963510036847</v>
      </c>
      <c r="M76" s="242">
        <f>Q76/O76*100</f>
        <v>24.999059324142259</v>
      </c>
      <c r="N76" s="257"/>
      <c r="O76" s="255">
        <f>SUM($N$16:$N$20)</f>
        <v>16189.953597239473</v>
      </c>
      <c r="P76" s="257"/>
      <c r="Q76" s="255">
        <f>SUM($P$16:$P$20)</f>
        <v>4047.3361043249997</v>
      </c>
      <c r="R76" s="274">
        <f>SUMPRODUCT($E$16:$E$20,$R$16:$R$20)/SUM($E$16:$E$20)</f>
        <v>166.85658639332343</v>
      </c>
      <c r="S76" s="1381">
        <f>SUMPRODUCT($E$16:$E$20,$R$16:$R$20,$S$16:$S$20)/SUMPRODUCT($E$16:E$20,$R$16:R$20)</f>
        <v>91.491575546503029</v>
      </c>
      <c r="T76" s="1381">
        <f>SUMPRODUCT($E$16:$E$20,$R$16:$R$20,$S$16:$S$20,$T$16:$T$20)/SUMPRODUCT($E$16:$E$20,$R$16:$R$20,$S$16:$S$20)</f>
        <v>88.546994841292403</v>
      </c>
      <c r="U76" s="242">
        <f>AA76/(F76*R76/1000000)*100</f>
        <v>81.013040679379202</v>
      </c>
      <c r="V76" s="257">
        <f>AA76/X76*100</f>
        <v>50</v>
      </c>
      <c r="W76" s="257"/>
      <c r="X76" s="255">
        <f>SUM($W$16:$W$20)</f>
        <v>248.64058021228732</v>
      </c>
      <c r="Y76" s="257"/>
      <c r="Z76" s="257"/>
      <c r="AA76" s="255">
        <f>SUM($Z$16:$Z$20)</f>
        <v>124.32029010614366</v>
      </c>
      <c r="AB76" s="255"/>
      <c r="AC76" s="257"/>
      <c r="AD76" s="255"/>
      <c r="AE76" s="255">
        <f>SUM($AD$16:$AD$20)</f>
        <v>4252.1398307732716</v>
      </c>
      <c r="AF76" s="257"/>
      <c r="AG76" s="257"/>
      <c r="AH76" s="257"/>
      <c r="AI76" s="257"/>
      <c r="AJ76" s="257"/>
      <c r="AK76" s="257"/>
      <c r="AL76" s="243"/>
      <c r="AM76" s="243"/>
      <c r="AN76" s="243"/>
      <c r="AO76" s="243"/>
      <c r="AP76" s="243"/>
      <c r="AQ76" s="303">
        <f>F76/(COUNT($B$16:$B$20)*24*H76/100)</f>
        <v>8280.5928695484708</v>
      </c>
      <c r="AR76" s="2923"/>
      <c r="AS76" s="333"/>
      <c r="AT76" s="333"/>
      <c r="AU76" s="333"/>
      <c r="AV76" s="1381">
        <f>SUMPRODUCT(AV$16:AV$20,E$16:E$20)/F76</f>
        <v>0.97138332463748012</v>
      </c>
      <c r="AW76" s="259"/>
      <c r="AX76" s="243"/>
      <c r="AY76" s="1386"/>
      <c r="AZ76" s="1386"/>
      <c r="BC76" s="243"/>
      <c r="BD76" s="243"/>
      <c r="BJ76" s="2929"/>
    </row>
    <row r="77" spans="1:113" s="243" customFormat="1">
      <c r="A77" s="474"/>
      <c r="B77" s="1385">
        <f t="shared" si="116"/>
        <v>46094.791666666664</v>
      </c>
      <c r="C77" s="255"/>
      <c r="D77" s="266"/>
      <c r="E77" s="266"/>
      <c r="F77" s="255"/>
      <c r="G77" s="255"/>
      <c r="H77" s="255"/>
      <c r="I77" s="257"/>
      <c r="J77" s="257"/>
      <c r="K77" s="274"/>
      <c r="L77" s="242"/>
      <c r="M77" s="242"/>
      <c r="N77" s="257"/>
      <c r="O77" s="255"/>
      <c r="P77" s="257"/>
      <c r="Q77" s="255"/>
      <c r="R77" s="274"/>
      <c r="S77" s="1381"/>
      <c r="T77" s="1381"/>
      <c r="U77" s="242"/>
      <c r="V77" s="257"/>
      <c r="W77" s="257"/>
      <c r="X77" s="255"/>
      <c r="Y77" s="257"/>
      <c r="Z77" s="257"/>
      <c r="AA77" s="255"/>
      <c r="AB77" s="255"/>
      <c r="AC77" s="257"/>
      <c r="AD77" s="255"/>
      <c r="AE77" s="255"/>
      <c r="AF77" s="257"/>
      <c r="AG77" s="257"/>
      <c r="AH77" s="257"/>
      <c r="AI77" s="257"/>
      <c r="AJ77" s="257"/>
      <c r="AK77" s="257"/>
      <c r="AQ77" s="303"/>
      <c r="AR77" s="2923"/>
      <c r="AS77" s="333"/>
      <c r="AT77" s="333"/>
      <c r="AU77" s="333"/>
      <c r="AV77" s="1381"/>
      <c r="AW77" s="259"/>
      <c r="AY77" s="477"/>
      <c r="AZ77" s="477"/>
      <c r="BJ77" s="1726"/>
    </row>
    <row r="78" spans="1:113" s="1383" customFormat="1">
      <c r="A78" s="474"/>
      <c r="B78" s="1388">
        <f t="shared" si="116"/>
        <v>46095.791666666664</v>
      </c>
      <c r="C78" s="255">
        <f>SUM($C$16:$C$22)</f>
        <v>1162743.719732519</v>
      </c>
      <c r="D78" s="266"/>
      <c r="E78" s="266"/>
      <c r="F78" s="255">
        <f>SUM($E$16:$E$22)</f>
        <v>1295086.7191969894</v>
      </c>
      <c r="G78" s="255"/>
      <c r="H78" s="255">
        <f>AVERAGE($H$16:$H$22)</f>
        <v>94.127340923988953</v>
      </c>
      <c r="I78" s="257"/>
      <c r="J78" s="257"/>
      <c r="K78" s="274">
        <f>SUMPRODUCT($E$16:$E$22,$K$16:$K$22)/SUM($E$16:$E$22)</f>
        <v>0.48526892247421993</v>
      </c>
      <c r="L78" s="242">
        <f>Q78/(F78*K78/100)*100</f>
        <v>90.105104808088541</v>
      </c>
      <c r="M78" s="242">
        <f>Q78/O78*100</f>
        <v>26.245262344507601</v>
      </c>
      <c r="N78" s="257"/>
      <c r="O78" s="255">
        <f>SUM($N$16:$N$22)</f>
        <v>21576.440841576929</v>
      </c>
      <c r="P78" s="257"/>
      <c r="Q78" s="255">
        <f>SUM($P$16:$P$22)</f>
        <v>5662.7935034793491</v>
      </c>
      <c r="R78" s="274">
        <f>SUMPRODUCT($E$16:$E$22,$R$16:$R$22)/SUM($E$16:$E$22)</f>
        <v>189.00820863866483</v>
      </c>
      <c r="S78" s="1381">
        <f>SUMPRODUCT($E$16:$E$22,$R$16:$R$22,$S$16:$S$22)/SUMPRODUCT($E$16:E$22,$R$16:R$22)</f>
        <v>91.951877161586992</v>
      </c>
      <c r="T78" s="1381">
        <f>SUMPRODUCT($E$16:$E$22,$R$16:$R$22,$S$16:$S$22,$T$16:$T$22)/SUMPRODUCT($E$16:$E$22,$R$16:$R$22,$S$16:$S$22)</f>
        <v>89.06383180119127</v>
      </c>
      <c r="U78" s="242">
        <f>AA78/(F78*R78/1000000)*100</f>
        <v>81.895865213233847</v>
      </c>
      <c r="V78" s="257">
        <f>AA78/X78*100</f>
        <v>50</v>
      </c>
      <c r="W78" s="257"/>
      <c r="X78" s="255">
        <f>SUM($W$16:$W$22)</f>
        <v>400.93270768566305</v>
      </c>
      <c r="Y78" s="257"/>
      <c r="Z78" s="257"/>
      <c r="AA78" s="255">
        <f>SUM($Z$16:$Z$22)</f>
        <v>200.46635384283152</v>
      </c>
      <c r="AB78" s="255"/>
      <c r="AC78" s="257"/>
      <c r="AD78" s="255"/>
      <c r="AE78" s="255">
        <f>SUM($AD$16:$AD$22)</f>
        <v>6025.853550338551</v>
      </c>
      <c r="AF78" s="257"/>
      <c r="AG78" s="257"/>
      <c r="AH78" s="257"/>
      <c r="AI78" s="257"/>
      <c r="AJ78" s="257"/>
      <c r="AK78" s="257"/>
      <c r="AL78" s="243"/>
      <c r="AM78" s="243"/>
      <c r="AN78" s="243"/>
      <c r="AO78" s="243"/>
      <c r="AP78" s="243"/>
      <c r="AQ78" s="303">
        <f>F78/(COUNT($B$16:$B$22)*24*H78/100)</f>
        <v>8189.8090856033623</v>
      </c>
      <c r="AR78" s="2923"/>
      <c r="AS78" s="333"/>
      <c r="AT78" s="333"/>
      <c r="AU78" s="333"/>
      <c r="AV78" s="1381">
        <f>SUMPRODUCT(AV$16:AV$22,E$16:E$22)/F78</f>
        <v>1.1126770459361839</v>
      </c>
      <c r="AW78" s="259"/>
      <c r="AX78" s="243"/>
      <c r="AY78" s="1382"/>
      <c r="AZ78" s="1382"/>
      <c r="BJ78" s="2928"/>
    </row>
    <row r="79" spans="1:113" s="1383" customFormat="1">
      <c r="A79" s="474"/>
      <c r="B79" s="1582">
        <f t="shared" si="116"/>
        <v>46096.791666666664</v>
      </c>
      <c r="C79" s="255"/>
      <c r="D79" s="266"/>
      <c r="E79" s="266"/>
      <c r="F79" s="255"/>
      <c r="G79" s="255"/>
      <c r="H79" s="255"/>
      <c r="I79" s="257"/>
      <c r="J79" s="257"/>
      <c r="K79" s="274"/>
      <c r="L79" s="242"/>
      <c r="M79" s="242"/>
      <c r="N79" s="257"/>
      <c r="O79" s="255"/>
      <c r="P79" s="257"/>
      <c r="Q79" s="255"/>
      <c r="R79" s="274"/>
      <c r="S79" s="1381"/>
      <c r="T79" s="1381"/>
      <c r="U79" s="242"/>
      <c r="V79" s="257"/>
      <c r="W79" s="257"/>
      <c r="X79" s="255"/>
      <c r="Y79" s="257"/>
      <c r="Z79" s="257"/>
      <c r="AA79" s="255"/>
      <c r="AB79" s="255"/>
      <c r="AC79" s="257"/>
      <c r="AD79" s="255"/>
      <c r="AE79" s="255"/>
      <c r="AF79" s="257"/>
      <c r="AG79" s="257"/>
      <c r="AH79" s="257"/>
      <c r="AI79" s="257"/>
      <c r="AJ79" s="257"/>
      <c r="AK79" s="257"/>
      <c r="AL79" s="243"/>
      <c r="AM79" s="243"/>
      <c r="AN79" s="243"/>
      <c r="AO79" s="243"/>
      <c r="AP79" s="243"/>
      <c r="AQ79" s="303"/>
      <c r="AR79" s="2923"/>
      <c r="AS79" s="333"/>
      <c r="AT79" s="333"/>
      <c r="AU79" s="333"/>
      <c r="AV79" s="1381"/>
      <c r="AW79" s="259"/>
      <c r="AX79" s="243"/>
      <c r="AY79" s="1382"/>
      <c r="AZ79" s="1382"/>
      <c r="BJ79" s="2928"/>
    </row>
    <row r="80" spans="1:113" s="243" customFormat="1">
      <c r="A80" s="474"/>
      <c r="B80" s="1385">
        <f t="shared" si="116"/>
        <v>46097.791666666664</v>
      </c>
      <c r="C80" s="255"/>
      <c r="D80" s="266"/>
      <c r="E80" s="266"/>
      <c r="F80" s="255"/>
      <c r="G80" s="255"/>
      <c r="H80" s="255"/>
      <c r="I80" s="257"/>
      <c r="J80" s="257"/>
      <c r="K80" s="274"/>
      <c r="L80" s="242"/>
      <c r="M80" s="242"/>
      <c r="N80" s="257"/>
      <c r="O80" s="255"/>
      <c r="P80" s="257"/>
      <c r="Q80" s="255"/>
      <c r="R80" s="274"/>
      <c r="S80" s="1381"/>
      <c r="T80" s="1381"/>
      <c r="U80" s="242"/>
      <c r="V80" s="257"/>
      <c r="W80" s="257"/>
      <c r="X80" s="255"/>
      <c r="Y80" s="257"/>
      <c r="Z80" s="257"/>
      <c r="AA80" s="255"/>
      <c r="AB80" s="255"/>
      <c r="AC80" s="257"/>
      <c r="AD80" s="255"/>
      <c r="AE80" s="255"/>
      <c r="AF80" s="257"/>
      <c r="AG80" s="257"/>
      <c r="AH80" s="257"/>
      <c r="AI80" s="257"/>
      <c r="AJ80" s="257"/>
      <c r="AK80" s="257"/>
      <c r="AQ80" s="303"/>
      <c r="AR80" s="2923"/>
      <c r="AS80" s="333"/>
      <c r="AT80" s="333"/>
      <c r="AU80" s="333"/>
      <c r="AV80" s="1381"/>
      <c r="AW80" s="259"/>
      <c r="AY80" s="477"/>
      <c r="AZ80" s="477"/>
      <c r="BJ80" s="1726"/>
    </row>
    <row r="81" spans="1:62" s="243" customFormat="1">
      <c r="A81" s="474"/>
      <c r="B81" s="1385">
        <f t="shared" si="116"/>
        <v>46098.791666666664</v>
      </c>
      <c r="C81" s="255"/>
      <c r="D81" s="266"/>
      <c r="E81" s="266"/>
      <c r="F81" s="255"/>
      <c r="G81" s="255"/>
      <c r="H81" s="255"/>
      <c r="I81" s="257"/>
      <c r="J81" s="257"/>
      <c r="K81" s="274"/>
      <c r="L81" s="242"/>
      <c r="M81" s="242"/>
      <c r="N81" s="257"/>
      <c r="O81" s="255"/>
      <c r="P81" s="257"/>
      <c r="Q81" s="255"/>
      <c r="R81" s="274"/>
      <c r="S81" s="1381"/>
      <c r="T81" s="1381"/>
      <c r="U81" s="242"/>
      <c r="V81" s="257"/>
      <c r="W81" s="257"/>
      <c r="X81" s="255"/>
      <c r="Y81" s="257"/>
      <c r="Z81" s="257"/>
      <c r="AA81" s="255"/>
      <c r="AB81" s="255"/>
      <c r="AC81" s="257"/>
      <c r="AD81" s="255"/>
      <c r="AE81" s="255"/>
      <c r="AF81" s="257"/>
      <c r="AG81" s="257"/>
      <c r="AH81" s="257"/>
      <c r="AI81" s="257"/>
      <c r="AJ81" s="257"/>
      <c r="AK81" s="257"/>
      <c r="AQ81" s="303"/>
      <c r="AR81" s="2923"/>
      <c r="AS81" s="333"/>
      <c r="AT81" s="333"/>
      <c r="AU81" s="333"/>
      <c r="AV81" s="1381"/>
      <c r="AW81" s="259"/>
      <c r="AY81" s="477"/>
      <c r="AZ81" s="477"/>
      <c r="BJ81" s="1726"/>
    </row>
    <row r="82" spans="1:62" s="243" customFormat="1">
      <c r="A82" s="474"/>
      <c r="B82" s="1385">
        <f t="shared" si="116"/>
        <v>46099.791666666664</v>
      </c>
      <c r="C82" s="255"/>
      <c r="D82" s="266"/>
      <c r="E82" s="266"/>
      <c r="F82" s="255"/>
      <c r="G82" s="255"/>
      <c r="H82" s="255"/>
      <c r="I82" s="257"/>
      <c r="J82" s="257"/>
      <c r="K82" s="274"/>
      <c r="L82" s="242"/>
      <c r="M82" s="242"/>
      <c r="N82" s="257"/>
      <c r="O82" s="255"/>
      <c r="P82" s="257"/>
      <c r="Q82" s="255"/>
      <c r="R82" s="274"/>
      <c r="S82" s="1381"/>
      <c r="T82" s="1381"/>
      <c r="U82" s="242"/>
      <c r="V82" s="257"/>
      <c r="W82" s="257"/>
      <c r="X82" s="255"/>
      <c r="Y82" s="257"/>
      <c r="Z82" s="257"/>
      <c r="AA82" s="255"/>
      <c r="AB82" s="255"/>
      <c r="AC82" s="257"/>
      <c r="AD82" s="255"/>
      <c r="AE82" s="255"/>
      <c r="AF82" s="257"/>
      <c r="AG82" s="257"/>
      <c r="AH82" s="257"/>
      <c r="AI82" s="257"/>
      <c r="AJ82" s="257"/>
      <c r="AK82" s="257"/>
      <c r="AQ82" s="303"/>
      <c r="AR82" s="2923"/>
      <c r="AS82" s="333"/>
      <c r="AT82" s="333"/>
      <c r="AU82" s="333"/>
      <c r="AV82" s="1381"/>
      <c r="AW82" s="259"/>
      <c r="AY82" s="477"/>
      <c r="AZ82" s="477"/>
      <c r="BJ82" s="1726"/>
    </row>
    <row r="83" spans="1:62" s="1387" customFormat="1">
      <c r="A83" s="474"/>
      <c r="B83" s="1385">
        <f t="shared" si="116"/>
        <v>46100.791666666664</v>
      </c>
      <c r="C83" s="255">
        <f>SUM($C$23:$C$27)</f>
        <v>1066000.0445318529</v>
      </c>
      <c r="D83" s="266"/>
      <c r="E83" s="266"/>
      <c r="F83" s="255">
        <f>SUM($E$23:$E$27)</f>
        <v>992051.23770706076</v>
      </c>
      <c r="G83" s="255"/>
      <c r="H83" s="255">
        <f>AVERAGE($H$23:$H$27)</f>
        <v>96.166359193746757</v>
      </c>
      <c r="I83" s="257"/>
      <c r="J83" s="257"/>
      <c r="K83" s="274">
        <f>SUMPRODUCT($E$23:$E$27,$K$23:$K$27)/SUM($E$23:$E$27)</f>
        <v>0.51207221787688406</v>
      </c>
      <c r="L83" s="242">
        <f>Q83/(F83*K83/100)*100</f>
        <v>90.877103231065121</v>
      </c>
      <c r="M83" s="242">
        <f>Q83/O83*100</f>
        <v>27.203174443572621</v>
      </c>
      <c r="N83" s="257"/>
      <c r="O83" s="255">
        <f>SUM($N$23:$N$27)</f>
        <v>16970.717576565767</v>
      </c>
      <c r="P83" s="257"/>
      <c r="Q83" s="255">
        <f>SUM($P$23:$P$27)</f>
        <v>4616.5739066792248</v>
      </c>
      <c r="R83" s="274">
        <f>SUMPRODUCT($E$23:$E$27,$R$23:$R$27)/SUM($E$23:$E$27)</f>
        <v>157.1841346339439</v>
      </c>
      <c r="S83" s="1381">
        <f>SUMPRODUCT($E$23:$E$27,$R$23:$R$27,$S$23:$S$27)/SUMPRODUCT($E$23:E$27,$R$23:R$27)</f>
        <v>91.253208811420734</v>
      </c>
      <c r="T83" s="1381">
        <f>SUMPRODUCT($E$23:$E$27,$R$23:$R$27,$S$23:$S$27,$T$23:$T$27)/SUMPRODUCT($E$23:$E$27,$R$23:$R$27,$S$23:$S$27)</f>
        <v>86.072999222916394</v>
      </c>
      <c r="U83" s="242">
        <f>AA83/(F83*R83/1000000)*100</f>
        <v>78.544373711140452</v>
      </c>
      <c r="V83" s="257">
        <f>AA83/X83*100</f>
        <v>50</v>
      </c>
      <c r="W83" s="257"/>
      <c r="X83" s="255">
        <f>SUM($W$23:$W$27)</f>
        <v>244.95589107936223</v>
      </c>
      <c r="Y83" s="257"/>
      <c r="Z83" s="257"/>
      <c r="AA83" s="255">
        <f>SUM($Z$23:$Z$27)</f>
        <v>122.47794553968112</v>
      </c>
      <c r="AB83" s="255"/>
      <c r="AC83" s="257"/>
      <c r="AD83" s="255"/>
      <c r="AE83" s="255">
        <f>SUM($AD$23:$AD$27)</f>
        <v>4794.4323445243526</v>
      </c>
      <c r="AF83" s="257"/>
      <c r="AG83" s="257"/>
      <c r="AH83" s="257"/>
      <c r="AI83" s="257"/>
      <c r="AJ83" s="257"/>
      <c r="AK83" s="257"/>
      <c r="AL83" s="243"/>
      <c r="AM83" s="243"/>
      <c r="AN83" s="243"/>
      <c r="AO83" s="243"/>
      <c r="AP83" s="243"/>
      <c r="AQ83" s="303">
        <f>F83/(COUNT($B$23:$B$27)*24*H83/100)</f>
        <v>8596.6586619995596</v>
      </c>
      <c r="AR83" s="2923"/>
      <c r="AS83" s="333"/>
      <c r="AT83" s="333"/>
      <c r="AU83" s="333"/>
      <c r="AV83" s="1381">
        <f>SUMPRODUCT(AV$23:AV$27,E$23:E$27)/F83</f>
        <v>1.2573054080091179</v>
      </c>
      <c r="AW83" s="259"/>
      <c r="AX83" s="243"/>
      <c r="AY83" s="1386"/>
      <c r="AZ83" s="1386"/>
      <c r="BJ83" s="2929"/>
    </row>
    <row r="84" spans="1:62" s="243" customFormat="1">
      <c r="A84" s="474"/>
      <c r="B84" s="1385">
        <f t="shared" si="116"/>
        <v>46101.791666666664</v>
      </c>
      <c r="C84" s="255"/>
      <c r="D84" s="266"/>
      <c r="E84" s="266"/>
      <c r="F84" s="255"/>
      <c r="G84" s="255"/>
      <c r="H84" s="255"/>
      <c r="I84" s="257"/>
      <c r="J84" s="257"/>
      <c r="K84" s="274"/>
      <c r="L84" s="242"/>
      <c r="M84" s="242"/>
      <c r="N84" s="257"/>
      <c r="O84" s="255"/>
      <c r="P84" s="257"/>
      <c r="Q84" s="255"/>
      <c r="R84" s="274"/>
      <c r="S84" s="1381"/>
      <c r="T84" s="1381"/>
      <c r="U84" s="242"/>
      <c r="V84" s="257"/>
      <c r="W84" s="257"/>
      <c r="X84" s="255"/>
      <c r="Y84" s="257"/>
      <c r="Z84" s="257"/>
      <c r="AA84" s="255"/>
      <c r="AB84" s="255"/>
      <c r="AC84" s="257"/>
      <c r="AD84" s="255"/>
      <c r="AE84" s="255"/>
      <c r="AF84" s="257"/>
      <c r="AG84" s="257"/>
      <c r="AH84" s="257"/>
      <c r="AI84" s="257"/>
      <c r="AJ84" s="257"/>
      <c r="AK84" s="257"/>
      <c r="AQ84" s="303"/>
      <c r="AR84" s="2923"/>
      <c r="AS84" s="333"/>
      <c r="AT84" s="333"/>
      <c r="AU84" s="333"/>
      <c r="AV84" s="1381"/>
      <c r="AW84" s="259"/>
      <c r="AY84" s="477"/>
      <c r="AZ84" s="477"/>
      <c r="BJ84" s="1726"/>
    </row>
    <row r="85" spans="1:62" s="1383" customFormat="1">
      <c r="A85" s="474"/>
      <c r="B85" s="1388">
        <f t="shared" si="116"/>
        <v>46102.791666666664</v>
      </c>
      <c r="C85" s="255">
        <f>SUM($C$23:$C$29)</f>
        <v>1485277.9645318529</v>
      </c>
      <c r="D85" s="266"/>
      <c r="E85" s="266"/>
      <c r="F85" s="255">
        <f>SUM($E$23:$E$29)</f>
        <v>1399619.9164286396</v>
      </c>
      <c r="G85" s="255"/>
      <c r="H85" s="255">
        <f>AVERAGE($H$23:$H$29)</f>
        <v>96.706706003354029</v>
      </c>
      <c r="I85" s="257"/>
      <c r="J85" s="257"/>
      <c r="K85" s="274">
        <f>SUMPRODUCT($E$23:$E$29,$K$23:$K$29)/SUM($E$23:$E$29)</f>
        <v>0.52237801211603507</v>
      </c>
      <c r="L85" s="242">
        <f>Q85/(F85*K85/100)*100</f>
        <v>90.620948157299324</v>
      </c>
      <c r="M85" s="242">
        <f>Q85/O85*100</f>
        <v>26.923157130438764</v>
      </c>
      <c r="N85" s="257"/>
      <c r="O85" s="255">
        <f>SUM($N$23:$N$29)</f>
        <v>24609.206933144033</v>
      </c>
      <c r="P85" s="257"/>
      <c r="Q85" s="255">
        <f>SUM($P$23:$P$29)</f>
        <v>6625.5754511651985</v>
      </c>
      <c r="R85" s="274">
        <f>SUMPRODUCT($E$23:$E$29,$R$23:$R$29)/SUM($E$23:$E$29)</f>
        <v>159.93015749503121</v>
      </c>
      <c r="S85" s="1381">
        <f>SUMPRODUCT($E$23:$E$29,$R$23:$R$29,$S$23:$S$29)/SUMPRODUCT($E$23:E$29,$R$23:R$29)</f>
        <v>90.842530629927651</v>
      </c>
      <c r="T85" s="1381">
        <f>SUMPRODUCT($E$23:$E$29,$R$23:$R$29,$S$23:$S$29,$T$23:$T$29)/SUMPRODUCT($E$23:$E$29,$R$23:$R$29,$S$23:$S$29)</f>
        <v>86.516369476682101</v>
      </c>
      <c r="U85" s="242">
        <f>AA85/(F85*R85/1000000)*100</f>
        <v>78.593659441756316</v>
      </c>
      <c r="V85" s="257">
        <f>AA85/X85*100</f>
        <v>50</v>
      </c>
      <c r="W85" s="257"/>
      <c r="X85" s="255">
        <f>SUM($W$23:$W$29)</f>
        <v>351.85034813253998</v>
      </c>
      <c r="Y85" s="257"/>
      <c r="Z85" s="257"/>
      <c r="AA85" s="255">
        <f>SUM($Z$23:$Z$29)</f>
        <v>175.92517406626999</v>
      </c>
      <c r="AB85" s="255"/>
      <c r="AC85" s="257"/>
      <c r="AD85" s="255"/>
      <c r="AE85" s="255">
        <f>SUM($AD$23:$AD$29)</f>
        <v>6881.2606282409479</v>
      </c>
      <c r="AF85" s="257"/>
      <c r="AG85" s="257"/>
      <c r="AH85" s="257"/>
      <c r="AI85" s="257"/>
      <c r="AJ85" s="257"/>
      <c r="AK85" s="257"/>
      <c r="AL85" s="243"/>
      <c r="AM85" s="243"/>
      <c r="AN85" s="243"/>
      <c r="AO85" s="243"/>
      <c r="AP85" s="243"/>
      <c r="AQ85" s="303">
        <f>F85/(COUNT($B$23:$B$29)*24*H85/100)</f>
        <v>8614.7809965049491</v>
      </c>
      <c r="AR85" s="2923"/>
      <c r="AS85" s="333"/>
      <c r="AT85" s="333"/>
      <c r="AU85" s="333"/>
      <c r="AV85" s="1381">
        <f>SUMPRODUCT(AV$23:AV$29,E$23:E$29)/F85</f>
        <v>1.2478196681123654</v>
      </c>
      <c r="AW85" s="259"/>
      <c r="AX85" s="243"/>
      <c r="AY85" s="1382"/>
      <c r="AZ85" s="1382"/>
      <c r="BJ85" s="2928"/>
    </row>
    <row r="86" spans="1:62" s="1383" customFormat="1">
      <c r="A86" s="474"/>
      <c r="B86" s="1385">
        <f t="shared" si="116"/>
        <v>46103.791666666664</v>
      </c>
      <c r="C86" s="255"/>
      <c r="D86" s="266"/>
      <c r="E86" s="266"/>
      <c r="F86" s="255"/>
      <c r="G86" s="255"/>
      <c r="H86" s="255"/>
      <c r="I86" s="257"/>
      <c r="J86" s="257"/>
      <c r="K86" s="274"/>
      <c r="L86" s="242"/>
      <c r="M86" s="242"/>
      <c r="N86" s="257"/>
      <c r="O86" s="255"/>
      <c r="P86" s="257"/>
      <c r="Q86" s="255"/>
      <c r="R86" s="274"/>
      <c r="S86" s="1381"/>
      <c r="T86" s="1381"/>
      <c r="U86" s="242"/>
      <c r="V86" s="257"/>
      <c r="W86" s="257"/>
      <c r="X86" s="255"/>
      <c r="Y86" s="257"/>
      <c r="Z86" s="257"/>
      <c r="AA86" s="255"/>
      <c r="AB86" s="255"/>
      <c r="AC86" s="257"/>
      <c r="AD86" s="255"/>
      <c r="AE86" s="255"/>
      <c r="AF86" s="257"/>
      <c r="AG86" s="257"/>
      <c r="AH86" s="257"/>
      <c r="AI86" s="257"/>
      <c r="AJ86" s="257"/>
      <c r="AK86" s="257"/>
      <c r="AL86" s="243"/>
      <c r="AM86" s="243"/>
      <c r="AN86" s="243"/>
      <c r="AO86" s="243"/>
      <c r="AP86" s="243"/>
      <c r="AQ86" s="303"/>
      <c r="AR86" s="2923"/>
      <c r="AS86" s="333"/>
      <c r="AT86" s="333"/>
      <c r="AU86" s="333"/>
      <c r="AV86" s="1381"/>
      <c r="AW86" s="259"/>
      <c r="AX86" s="243"/>
      <c r="AY86" s="1382"/>
      <c r="AZ86" s="1382"/>
      <c r="BJ86" s="2928"/>
    </row>
    <row r="87" spans="1:62" s="243" customFormat="1">
      <c r="A87" s="474"/>
      <c r="B87" s="1385">
        <f t="shared" si="116"/>
        <v>46104.791666666664</v>
      </c>
      <c r="C87" s="255"/>
      <c r="D87" s="266"/>
      <c r="E87" s="266"/>
      <c r="F87" s="255"/>
      <c r="G87" s="255"/>
      <c r="H87" s="255"/>
      <c r="I87" s="257"/>
      <c r="J87" s="257"/>
      <c r="K87" s="274"/>
      <c r="L87" s="242"/>
      <c r="M87" s="242"/>
      <c r="N87" s="257"/>
      <c r="O87" s="255"/>
      <c r="P87" s="257"/>
      <c r="Q87" s="255"/>
      <c r="R87" s="274"/>
      <c r="S87" s="1381"/>
      <c r="T87" s="1381"/>
      <c r="U87" s="242"/>
      <c r="V87" s="257"/>
      <c r="W87" s="257"/>
      <c r="X87" s="255"/>
      <c r="Y87" s="257"/>
      <c r="Z87" s="257"/>
      <c r="AA87" s="255"/>
      <c r="AB87" s="255"/>
      <c r="AC87" s="257"/>
      <c r="AD87" s="255"/>
      <c r="AE87" s="255"/>
      <c r="AF87" s="257"/>
      <c r="AG87" s="257"/>
      <c r="AH87" s="257"/>
      <c r="AI87" s="257"/>
      <c r="AJ87" s="257"/>
      <c r="AK87" s="257"/>
      <c r="AQ87" s="303"/>
      <c r="AR87" s="2923"/>
      <c r="AS87" s="333"/>
      <c r="AT87" s="333"/>
      <c r="AU87" s="333"/>
      <c r="AV87" s="1381"/>
      <c r="AW87" s="259"/>
      <c r="AY87" s="477"/>
      <c r="AZ87" s="477"/>
      <c r="BJ87" s="1726"/>
    </row>
    <row r="88" spans="1:62" s="243" customFormat="1">
      <c r="A88" s="474"/>
      <c r="B88" s="1385">
        <f t="shared" si="116"/>
        <v>46105.791666666664</v>
      </c>
      <c r="C88" s="255"/>
      <c r="D88" s="266"/>
      <c r="E88" s="266"/>
      <c r="F88" s="255"/>
      <c r="G88" s="255"/>
      <c r="H88" s="255"/>
      <c r="I88" s="257"/>
      <c r="J88" s="257"/>
      <c r="K88" s="274"/>
      <c r="L88" s="242"/>
      <c r="M88" s="242"/>
      <c r="N88" s="257"/>
      <c r="O88" s="255"/>
      <c r="P88" s="257"/>
      <c r="Q88" s="255"/>
      <c r="R88" s="274"/>
      <c r="S88" s="1381"/>
      <c r="T88" s="1381"/>
      <c r="U88" s="242"/>
      <c r="V88" s="257"/>
      <c r="W88" s="257"/>
      <c r="X88" s="255"/>
      <c r="Y88" s="257"/>
      <c r="Z88" s="257"/>
      <c r="AA88" s="255"/>
      <c r="AB88" s="255"/>
      <c r="AC88" s="257"/>
      <c r="AD88" s="255"/>
      <c r="AE88" s="255"/>
      <c r="AF88" s="257"/>
      <c r="AG88" s="257"/>
      <c r="AH88" s="257"/>
      <c r="AI88" s="257"/>
      <c r="AJ88" s="257"/>
      <c r="AK88" s="257"/>
      <c r="AQ88" s="303"/>
      <c r="AR88" s="2923"/>
      <c r="AS88" s="333"/>
      <c r="AT88" s="333"/>
      <c r="AU88" s="333"/>
      <c r="AV88" s="1381"/>
      <c r="AW88" s="259"/>
      <c r="AY88" s="477"/>
      <c r="AZ88" s="477"/>
      <c r="BJ88" s="1726"/>
    </row>
    <row r="89" spans="1:62" s="243" customFormat="1">
      <c r="A89" s="474"/>
      <c r="B89" s="1385">
        <f t="shared" si="116"/>
        <v>46106.791666666664</v>
      </c>
      <c r="C89" s="255"/>
      <c r="D89" s="266"/>
      <c r="E89" s="266"/>
      <c r="F89" s="255"/>
      <c r="G89" s="255"/>
      <c r="H89" s="255"/>
      <c r="I89" s="257"/>
      <c r="J89" s="257"/>
      <c r="K89" s="274"/>
      <c r="L89" s="242"/>
      <c r="M89" s="242"/>
      <c r="N89" s="257"/>
      <c r="O89" s="255"/>
      <c r="P89" s="257"/>
      <c r="Q89" s="255"/>
      <c r="R89" s="274"/>
      <c r="S89" s="1381"/>
      <c r="T89" s="1381"/>
      <c r="U89" s="242"/>
      <c r="V89" s="257"/>
      <c r="W89" s="257"/>
      <c r="X89" s="255"/>
      <c r="Y89" s="257"/>
      <c r="Z89" s="257"/>
      <c r="AA89" s="255"/>
      <c r="AB89" s="255"/>
      <c r="AC89" s="257"/>
      <c r="AD89" s="255"/>
      <c r="AE89" s="255"/>
      <c r="AF89" s="257"/>
      <c r="AG89" s="257"/>
      <c r="AH89" s="257"/>
      <c r="AI89" s="257"/>
      <c r="AJ89" s="257"/>
      <c r="AK89" s="257"/>
      <c r="AQ89" s="303"/>
      <c r="AR89" s="2923"/>
      <c r="AS89" s="333"/>
      <c r="AT89" s="333"/>
      <c r="AU89" s="333"/>
      <c r="AV89" s="1381"/>
      <c r="AW89" s="259"/>
      <c r="AY89" s="477"/>
      <c r="AZ89" s="477"/>
      <c r="BJ89" s="1726"/>
    </row>
    <row r="90" spans="1:62" s="1387" customFormat="1">
      <c r="A90" s="474"/>
      <c r="B90" s="1385">
        <f t="shared" si="116"/>
        <v>46107.791666666664</v>
      </c>
      <c r="C90" s="255">
        <f>SUM($C$30:$C$34)</f>
        <v>1121805.6764</v>
      </c>
      <c r="D90" s="266"/>
      <c r="E90" s="266"/>
      <c r="F90" s="255">
        <f>SUM($E$30:$E$34)</f>
        <v>996862.30979970028</v>
      </c>
      <c r="G90" s="255"/>
      <c r="H90" s="255">
        <f>AVERAGE($H$30:$H$34)</f>
        <v>97.277470304857871</v>
      </c>
      <c r="I90" s="257"/>
      <c r="J90" s="257"/>
      <c r="K90" s="274">
        <f>SUMPRODUCT($E$30:$E$34,$K$30:$K$34)/SUM($E$30:$E$34)</f>
        <v>0.51944248241879276</v>
      </c>
      <c r="L90" s="242">
        <f>Q90/(F90*K90/100)*100</f>
        <v>90.037027363711843</v>
      </c>
      <c r="M90" s="242">
        <f>Q90/O90*100</f>
        <v>24.274182172081389</v>
      </c>
      <c r="N90" s="257"/>
      <c r="O90" s="255">
        <f>SUM($N$30:$N$34)</f>
        <v>19206.542103486547</v>
      </c>
      <c r="P90" s="257"/>
      <c r="Q90" s="255">
        <f>SUM($P$30:$P$34)</f>
        <v>4662.2310191578372</v>
      </c>
      <c r="R90" s="274">
        <f>SUMPRODUCT($E$30:$E$34,$R$30:$R$34)/SUM($E$30:$E$34)</f>
        <v>140.76178787970642</v>
      </c>
      <c r="S90" s="1381">
        <f>SUMPRODUCT($E$30:$E$34,$R$30:$R$34,$S$30:$S$34)/SUMPRODUCT($E$30:E$34,$R$30:R$34)</f>
        <v>89.34368359055388</v>
      </c>
      <c r="T90" s="1381">
        <f>SUMPRODUCT($E$30:$E$34,$R$30:$R$34,$S$30:$S$34,$T$30:$T$34)/SUMPRODUCT($E$30:$E$34,$R$30:$R$34,$S$30:$S$34)</f>
        <v>88.402606694163211</v>
      </c>
      <c r="U90" s="242">
        <f>AA90/(F90*R90/1000000)*100</f>
        <v>78.982145210634982</v>
      </c>
      <c r="V90" s="257">
        <f>AA90/X90*100</f>
        <v>50</v>
      </c>
      <c r="W90" s="257"/>
      <c r="X90" s="255">
        <f>SUM($W$30:$W$34)</f>
        <v>221.6556834516517</v>
      </c>
      <c r="Y90" s="257"/>
      <c r="Z90" s="257"/>
      <c r="AA90" s="255">
        <f>SUM($Z$30:$Z$34)</f>
        <v>110.82784172582585</v>
      </c>
      <c r="AB90" s="255"/>
      <c r="AC90" s="257"/>
      <c r="AD90" s="255"/>
      <c r="AE90" s="255">
        <f>SUM($AD$30:$AD$34)</f>
        <v>4804.7497040271928</v>
      </c>
      <c r="AF90" s="257"/>
      <c r="AG90" s="257"/>
      <c r="AH90" s="257"/>
      <c r="AI90" s="257"/>
      <c r="AJ90" s="257"/>
      <c r="AK90" s="257"/>
      <c r="AL90" s="243"/>
      <c r="AM90" s="243"/>
      <c r="AN90" s="243"/>
      <c r="AO90" s="243"/>
      <c r="AP90" s="243"/>
      <c r="AQ90" s="303">
        <f>F90/(COUNT($B$30:$B$34)*24*H90/100)</f>
        <v>8539.6812735401236</v>
      </c>
      <c r="AR90" s="2923"/>
      <c r="AS90" s="333"/>
      <c r="AT90" s="333"/>
      <c r="AU90" s="333"/>
      <c r="AV90" s="1381">
        <f>SUMPRODUCT(AV$30:AV$34,E$30:E$34)/F90</f>
        <v>0.95302455538348296</v>
      </c>
      <c r="AW90" s="259"/>
      <c r="AX90" s="243"/>
      <c r="AY90" s="1386"/>
      <c r="AZ90" s="1386"/>
      <c r="BJ90" s="2929"/>
    </row>
    <row r="91" spans="1:62" s="243" customFormat="1">
      <c r="A91" s="474"/>
      <c r="B91" s="1385">
        <f t="shared" si="116"/>
        <v>46108.791666666664</v>
      </c>
      <c r="C91" s="255"/>
      <c r="D91" s="266"/>
      <c r="E91" s="266"/>
      <c r="F91" s="255"/>
      <c r="G91" s="255"/>
      <c r="H91" s="255"/>
      <c r="I91" s="257"/>
      <c r="J91" s="257"/>
      <c r="K91" s="274"/>
      <c r="L91" s="242"/>
      <c r="M91" s="242"/>
      <c r="N91" s="257"/>
      <c r="O91" s="255"/>
      <c r="P91" s="257"/>
      <c r="Q91" s="255"/>
      <c r="R91" s="274"/>
      <c r="S91" s="1381"/>
      <c r="T91" s="1381"/>
      <c r="U91" s="242"/>
      <c r="V91" s="257"/>
      <c r="W91" s="257"/>
      <c r="X91" s="255"/>
      <c r="Y91" s="257"/>
      <c r="Z91" s="257"/>
      <c r="AA91" s="255"/>
      <c r="AB91" s="255"/>
      <c r="AC91" s="257"/>
      <c r="AD91" s="255"/>
      <c r="AE91" s="255"/>
      <c r="AF91" s="257"/>
      <c r="AG91" s="257"/>
      <c r="AH91" s="257"/>
      <c r="AI91" s="257"/>
      <c r="AJ91" s="257"/>
      <c r="AK91" s="257"/>
      <c r="AQ91" s="303"/>
      <c r="AR91" s="2923"/>
      <c r="AS91" s="333"/>
      <c r="AT91" s="333"/>
      <c r="AU91" s="333"/>
      <c r="AV91" s="1381"/>
      <c r="AW91" s="259"/>
      <c r="AY91" s="477"/>
      <c r="AZ91" s="477"/>
      <c r="BJ91" s="1726"/>
    </row>
    <row r="92" spans="1:62" s="1383" customFormat="1">
      <c r="A92" s="474"/>
      <c r="B92" s="1385">
        <f t="shared" si="116"/>
        <v>46109.791666666664</v>
      </c>
      <c r="C92" s="255">
        <f>SUM($C$30:$C$36)</f>
        <v>1539805.6764004915</v>
      </c>
      <c r="D92" s="266"/>
      <c r="E92" s="266"/>
      <c r="F92" s="255">
        <f>SUM($E$30:$E$36)</f>
        <v>1406622.8318913751</v>
      </c>
      <c r="G92" s="255"/>
      <c r="H92" s="255">
        <f>AVERAGE($H$30:$H$36)</f>
        <v>97.500356797004841</v>
      </c>
      <c r="I92" s="257"/>
      <c r="J92" s="257"/>
      <c r="K92" s="274">
        <f>SUMPRODUCT($E$30:$E$36,$K$30:$K$36)/SUM($E$30:$E$36)</f>
        <v>0.53290233363778405</v>
      </c>
      <c r="L92" s="242">
        <f>Q92/(F92*K92/100)*100</f>
        <v>89.762091317466854</v>
      </c>
      <c r="M92" s="242">
        <f>Q92/O92*100</f>
        <v>25.466200217278988</v>
      </c>
      <c r="N92" s="257"/>
      <c r="O92" s="255">
        <f>SUM($N$30:$N$36)</f>
        <v>26421.294857558889</v>
      </c>
      <c r="P92" s="257"/>
      <c r="Q92" s="255">
        <f>SUM($P$30:$P$36)</f>
        <v>6728.4998484235839</v>
      </c>
      <c r="R92" s="274">
        <f>SUMPRODUCT($E$30:$E$36,$R$30:$R$36)/SUM($E$30:$E$36)</f>
        <v>169.11411808037889</v>
      </c>
      <c r="S92" s="1381">
        <f>SUMPRODUCT($E$30:$E$36,$R$30:$R$36,$S$30:$S$36)/SUMPRODUCT($E$30:E$36,$R$30:R$36)</f>
        <v>90.086608142970945</v>
      </c>
      <c r="T92" s="1381">
        <f>SUMPRODUCT($E$30:$E$36,$R$30:$R$36,$S$30:$S$36,$T$30:$T$36)/SUMPRODUCT($E$30:$E$36,$R$30:$R$36,$S$30:$S$36)</f>
        <v>89.009215268612309</v>
      </c>
      <c r="U92" s="242">
        <f>AA92/(F92*R92/1000000)*100</f>
        <v>80.18538297016822</v>
      </c>
      <c r="V92" s="257">
        <f>AA92/X92*100</f>
        <v>50</v>
      </c>
      <c r="W92" s="257"/>
      <c r="X92" s="255">
        <f>SUM($W$30:$W$36)</f>
        <v>381.48962470128282</v>
      </c>
      <c r="Y92" s="257"/>
      <c r="Z92" s="257"/>
      <c r="AA92" s="255">
        <f>SUM($Z$30:$Z$36)</f>
        <v>190.74481235064141</v>
      </c>
      <c r="AB92" s="255"/>
      <c r="AC92" s="257"/>
      <c r="AD92" s="255"/>
      <c r="AE92" s="255">
        <f>SUM($AD$30:$AD$36)</f>
        <v>7023.0212191329738</v>
      </c>
      <c r="AF92" s="257"/>
      <c r="AG92" s="257"/>
      <c r="AH92" s="257"/>
      <c r="AI92" s="257"/>
      <c r="AJ92" s="257"/>
      <c r="AK92" s="257"/>
      <c r="AL92" s="243"/>
      <c r="AM92" s="243"/>
      <c r="AN92" s="243"/>
      <c r="AO92" s="243"/>
      <c r="AP92" s="243"/>
      <c r="AQ92" s="303">
        <f>F92/(COUNT($B$30:$B$36)*24*H92/100)</f>
        <v>8587.4095508864648</v>
      </c>
      <c r="AR92" s="2923"/>
      <c r="AS92" s="333"/>
      <c r="AT92" s="333"/>
      <c r="AU92" s="333"/>
      <c r="AV92" s="1381">
        <f>SUMPRODUCT(AV$30:AV$36,E$30:E$36)/F92</f>
        <v>1.1698703982851382</v>
      </c>
      <c r="AW92" s="259"/>
      <c r="AX92" s="243"/>
      <c r="AY92" s="1382"/>
      <c r="AZ92" s="1382"/>
      <c r="BJ92" s="2928"/>
    </row>
    <row r="93" spans="1:62" s="1383" customFormat="1">
      <c r="A93" s="474"/>
      <c r="B93" s="1385">
        <f t="shared" si="116"/>
        <v>46110.791666666664</v>
      </c>
      <c r="C93" s="255"/>
      <c r="D93" s="266"/>
      <c r="E93" s="266"/>
      <c r="F93" s="255"/>
      <c r="G93" s="255"/>
      <c r="H93" s="255"/>
      <c r="I93" s="257"/>
      <c r="J93" s="257"/>
      <c r="K93" s="274"/>
      <c r="L93" s="242"/>
      <c r="M93" s="242"/>
      <c r="N93" s="257"/>
      <c r="O93" s="255"/>
      <c r="P93" s="257"/>
      <c r="Q93" s="255"/>
      <c r="R93" s="274"/>
      <c r="S93" s="1381"/>
      <c r="T93" s="1381"/>
      <c r="U93" s="242"/>
      <c r="V93" s="257"/>
      <c r="W93" s="257"/>
      <c r="X93" s="255"/>
      <c r="Y93" s="257"/>
      <c r="Z93" s="257"/>
      <c r="AA93" s="255"/>
      <c r="AB93" s="255"/>
      <c r="AC93" s="257"/>
      <c r="AD93" s="255"/>
      <c r="AE93" s="255"/>
      <c r="AF93" s="257"/>
      <c r="AG93" s="257"/>
      <c r="AH93" s="257"/>
      <c r="AI93" s="257"/>
      <c r="AJ93" s="257"/>
      <c r="AK93" s="257"/>
      <c r="AL93" s="243"/>
      <c r="AM93" s="243"/>
      <c r="AN93" s="243"/>
      <c r="AO93" s="243"/>
      <c r="AP93" s="243"/>
      <c r="AQ93" s="303"/>
      <c r="AR93" s="2923"/>
      <c r="AS93" s="333"/>
      <c r="AT93" s="333"/>
      <c r="AU93" s="333"/>
      <c r="AV93" s="1381"/>
      <c r="AW93" s="259"/>
      <c r="AX93" s="243"/>
      <c r="AY93" s="1382"/>
      <c r="AZ93" s="1382"/>
      <c r="BJ93" s="2928"/>
    </row>
    <row r="94" spans="1:62" s="243" customFormat="1">
      <c r="A94" s="474"/>
      <c r="B94" s="1385" t="str">
        <f>IF(ISNUMBER(#REF!),#REF!,"")</f>
        <v/>
      </c>
      <c r="C94" s="255"/>
      <c r="D94" s="266"/>
      <c r="E94" s="266"/>
      <c r="F94" s="255"/>
      <c r="G94" s="255"/>
      <c r="H94" s="255"/>
      <c r="I94" s="257"/>
      <c r="J94" s="257"/>
      <c r="K94" s="274"/>
      <c r="L94" s="242"/>
      <c r="M94" s="242"/>
      <c r="N94" s="257"/>
      <c r="O94" s="255"/>
      <c r="P94" s="257"/>
      <c r="Q94" s="255"/>
      <c r="R94" s="274"/>
      <c r="S94" s="1381"/>
      <c r="T94" s="1381"/>
      <c r="U94" s="242"/>
      <c r="V94" s="257"/>
      <c r="W94" s="257"/>
      <c r="X94" s="255"/>
      <c r="Y94" s="257"/>
      <c r="Z94" s="257"/>
      <c r="AA94" s="255"/>
      <c r="AB94" s="255"/>
      <c r="AC94" s="257"/>
      <c r="AD94" s="255"/>
      <c r="AE94" s="255"/>
      <c r="AF94" s="257"/>
      <c r="AG94" s="257"/>
      <c r="AH94" s="257"/>
      <c r="AI94" s="257"/>
      <c r="AJ94" s="257"/>
      <c r="AK94" s="257"/>
      <c r="AQ94" s="303"/>
      <c r="AR94" s="2923"/>
      <c r="AS94" s="333"/>
      <c r="AT94" s="333"/>
      <c r="AU94" s="333"/>
      <c r="AV94" s="1381"/>
      <c r="AW94" s="259"/>
      <c r="AY94" s="477"/>
      <c r="AZ94" s="477"/>
      <c r="BJ94" s="1726"/>
    </row>
    <row r="95" spans="1:62">
      <c r="A95" s="546"/>
      <c r="B95" s="575" t="str">
        <f>IF(ISNUMBER(#REF!),#REF!,"")</f>
        <v/>
      </c>
      <c r="C95" s="23"/>
      <c r="D95" s="452"/>
      <c r="E95" s="452"/>
      <c r="F95" s="23"/>
      <c r="G95" s="23"/>
      <c r="H95" s="23"/>
      <c r="I95" s="26"/>
      <c r="J95" s="26"/>
      <c r="K95" s="34"/>
      <c r="L95" s="25"/>
      <c r="M95" s="25"/>
      <c r="N95" s="26"/>
      <c r="O95" s="23"/>
      <c r="P95" s="26"/>
      <c r="Q95" s="23"/>
      <c r="R95" s="34"/>
      <c r="S95" s="453"/>
      <c r="T95" s="453"/>
      <c r="U95" s="25"/>
      <c r="V95" s="26"/>
      <c r="W95" s="26"/>
      <c r="X95" s="23"/>
      <c r="Y95" s="26"/>
      <c r="Z95" s="26"/>
      <c r="AA95" s="23"/>
      <c r="AB95" s="23"/>
      <c r="AC95" s="26"/>
      <c r="AD95" s="23"/>
      <c r="AE95" s="23"/>
      <c r="AF95" s="26"/>
      <c r="AG95" s="26"/>
      <c r="AH95" s="26"/>
      <c r="AI95" s="26"/>
      <c r="AJ95" s="26"/>
      <c r="AK95" s="26"/>
      <c r="AL95" s="63"/>
      <c r="AM95" s="63"/>
      <c r="AN95" s="63"/>
      <c r="AO95" s="63"/>
      <c r="AP95" s="63"/>
      <c r="AQ95" s="456"/>
      <c r="AR95" s="2924"/>
      <c r="AS95" s="457"/>
      <c r="AT95" s="457"/>
      <c r="AU95" s="457"/>
      <c r="AV95" s="453"/>
      <c r="AW95" s="24"/>
    </row>
  </sheetData>
  <mergeCells count="67">
    <mergeCell ref="AP6:AP7"/>
    <mergeCell ref="AR6:AR7"/>
    <mergeCell ref="AQ6:AQ7"/>
    <mergeCell ref="DB7:DC7"/>
    <mergeCell ref="BI6:BI7"/>
    <mergeCell ref="BF6:BF7"/>
    <mergeCell ref="BC6:BC7"/>
    <mergeCell ref="AT6:AT7"/>
    <mergeCell ref="AU6:AU7"/>
    <mergeCell ref="BD6:BD7"/>
    <mergeCell ref="DF7:DG7"/>
    <mergeCell ref="BG6:BG7"/>
    <mergeCell ref="BH6:BH7"/>
    <mergeCell ref="BO5:CR5"/>
    <mergeCell ref="BJ6:BJ7"/>
    <mergeCell ref="BK5:BN6"/>
    <mergeCell ref="BF5:BJ5"/>
    <mergeCell ref="BO6:BR6"/>
    <mergeCell ref="BS6:CC6"/>
    <mergeCell ref="CP6:CS6"/>
    <mergeCell ref="CL6:CO6"/>
    <mergeCell ref="CH6:CK6"/>
    <mergeCell ref="CD6:CG6"/>
    <mergeCell ref="CZ3:DI3"/>
    <mergeCell ref="CZ6:DC6"/>
    <mergeCell ref="DD6:DG6"/>
    <mergeCell ref="DH6:DI6"/>
    <mergeCell ref="A42:B42"/>
    <mergeCell ref="AF5:AH6"/>
    <mergeCell ref="AW6:AX6"/>
    <mergeCell ref="A5:A7"/>
    <mergeCell ref="C5:D5"/>
    <mergeCell ref="AI5:AK6"/>
    <mergeCell ref="Z6:AC6"/>
    <mergeCell ref="R5:AC5"/>
    <mergeCell ref="AD5:AE6"/>
    <mergeCell ref="W6:Y6"/>
    <mergeCell ref="AR5:AU5"/>
    <mergeCell ref="AS6:AS7"/>
    <mergeCell ref="E5:G5"/>
    <mergeCell ref="H5:J5"/>
    <mergeCell ref="AT63:AT64"/>
    <mergeCell ref="AR62:AU62"/>
    <mergeCell ref="AQ63:AQ64"/>
    <mergeCell ref="AU63:AU64"/>
    <mergeCell ref="AR63:AR64"/>
    <mergeCell ref="AS63:AS64"/>
    <mergeCell ref="AD62:AE63"/>
    <mergeCell ref="R62:AA62"/>
    <mergeCell ref="E62:F62"/>
    <mergeCell ref="W63:X63"/>
    <mergeCell ref="Z63:AA63"/>
    <mergeCell ref="AL6:AN6"/>
    <mergeCell ref="K5:Q5"/>
    <mergeCell ref="AO6:AO7"/>
    <mergeCell ref="C62:D62"/>
    <mergeCell ref="A62:A64"/>
    <mergeCell ref="A56:B56"/>
    <mergeCell ref="A51:B51"/>
    <mergeCell ref="A52:B52"/>
    <mergeCell ref="A55:B55"/>
    <mergeCell ref="A49:B49"/>
    <mergeCell ref="A44:B44"/>
    <mergeCell ref="A47:B47"/>
    <mergeCell ref="A48:B48"/>
    <mergeCell ref="A43:B43"/>
    <mergeCell ref="A45:B45"/>
  </mergeCells>
  <phoneticPr fontId="98" type="noConversion"/>
  <conditionalFormatting sqref="B9:B40">
    <cfRule type="expression" dxfId="181" priority="13">
      <formula>WEEKDAY($B9)=3</formula>
    </cfRule>
    <cfRule type="expression" dxfId="180" priority="14">
      <formula>WEEKDAY($B9)=1</formula>
    </cfRule>
  </conditionalFormatting>
  <conditionalFormatting sqref="B65:B95">
    <cfRule type="expression" dxfId="179" priority="11">
      <formula>WEEKDAY($B65)=3</formula>
    </cfRule>
    <cfRule type="expression" dxfId="178" priority="12">
      <formula>WEEKDAY($B65)=1</formula>
    </cfRule>
  </conditionalFormatting>
  <conditionalFormatting sqref="AJ48:AJ56">
    <cfRule type="expression" dxfId="177" priority="2">
      <formula>WEEKDAY($B48)=3</formula>
    </cfRule>
    <cfRule type="expression" dxfId="176" priority="3">
      <formula>WEEKDAY($B48)=1</formula>
    </cfRule>
  </conditionalFormatting>
  <conditionalFormatting sqref="BS9:CC39">
    <cfRule type="cellIs" dxfId="175" priority="1" operator="greaterThan">
      <formula>0</formula>
    </cfRule>
  </conditionalFormatting>
  <printOptions horizontalCentered="1" verticalCentered="1" headings="1" gridLines="1"/>
  <pageMargins left="0.19685039370078741" right="0.19685039370078741" top="0.23622047244094491" bottom="0.19685039370078741" header="0" footer="0"/>
  <pageSetup paperSize="17" scale="68" orientation="landscape" verticalDpi="300" r:id="rId1"/>
  <headerFooter alignWithMargins="0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DA748-7A65-4F8A-BF38-5124FC4F89A3}">
  <sheetPr codeName="Hoja39">
    <tabColor theme="4" tint="0.39997558519241921"/>
  </sheetPr>
  <dimension ref="A1:O52"/>
  <sheetViews>
    <sheetView zoomScaleNormal="100" workbookViewId="0">
      <selection activeCell="J20" sqref="J20"/>
    </sheetView>
  </sheetViews>
  <sheetFormatPr baseColWidth="10" defaultRowHeight="12.5"/>
  <cols>
    <col min="1" max="1" width="15.1796875" style="156" customWidth="1"/>
    <col min="2" max="2" width="13.453125" bestFit="1" customWidth="1"/>
    <col min="3" max="3" width="19.453125" bestFit="1" customWidth="1"/>
    <col min="4" max="4" width="13.1796875" customWidth="1"/>
    <col min="5" max="5" width="17" customWidth="1"/>
    <col min="6" max="6" width="9.1796875" customWidth="1"/>
    <col min="7" max="7" width="12" customWidth="1"/>
    <col min="8" max="8" width="13.1796875" customWidth="1"/>
    <col min="9" max="9" width="21.81640625" customWidth="1"/>
    <col min="10" max="10" width="39.54296875" customWidth="1"/>
    <col min="11" max="11" width="13.1796875" bestFit="1" customWidth="1"/>
    <col min="12" max="12" width="5.54296875" bestFit="1" customWidth="1"/>
    <col min="13" max="13" width="13.1796875" bestFit="1" customWidth="1"/>
  </cols>
  <sheetData>
    <row r="1" spans="1:15" s="347" customFormat="1" ht="29.15" customHeight="1">
      <c r="A1" s="2179"/>
      <c r="B1" s="2179" t="s">
        <v>174</v>
      </c>
      <c r="C1"/>
      <c r="J1" s="2181" t="s">
        <v>1319</v>
      </c>
      <c r="K1" s="2179"/>
    </row>
    <row r="2" spans="1:15">
      <c r="A2" s="2180" t="s">
        <v>1316</v>
      </c>
      <c r="B2" s="2178">
        <v>0</v>
      </c>
      <c r="J2" s="2182">
        <v>1</v>
      </c>
      <c r="K2" s="2182">
        <v>1700</v>
      </c>
    </row>
    <row r="3" spans="1:15">
      <c r="A3" s="2180" t="s">
        <v>1317</v>
      </c>
      <c r="B3" s="2178">
        <v>3679</v>
      </c>
      <c r="J3" s="2182">
        <v>2</v>
      </c>
      <c r="K3" s="2182">
        <v>3200</v>
      </c>
    </row>
    <row r="4" spans="1:15" ht="13" thickBot="1">
      <c r="A4" s="2521" t="s">
        <v>1318</v>
      </c>
      <c r="B4" s="2522">
        <v>4400</v>
      </c>
      <c r="J4" s="2523">
        <v>3</v>
      </c>
      <c r="K4" s="2523">
        <v>4100</v>
      </c>
    </row>
    <row r="5" spans="1:15" s="331" customFormat="1" ht="36.75" customHeight="1" thickBot="1">
      <c r="A5" s="2524" t="s">
        <v>482</v>
      </c>
      <c r="B5" s="2584" t="s">
        <v>1409</v>
      </c>
      <c r="C5" s="2584" t="s">
        <v>1410</v>
      </c>
      <c r="D5" s="2584" t="s">
        <v>1411</v>
      </c>
      <c r="E5" s="2584" t="s">
        <v>1412</v>
      </c>
      <c r="F5" s="2584" t="s">
        <v>1413</v>
      </c>
      <c r="G5" s="2585" t="s">
        <v>1414</v>
      </c>
      <c r="H5" s="2586" t="s">
        <v>1415</v>
      </c>
      <c r="I5" s="2587" t="s">
        <v>1416</v>
      </c>
    </row>
    <row r="6" spans="1:15" s="331" customFormat="1">
      <c r="A6" s="2525">
        <f>+'ST Original'!B8</f>
        <v>46082.791666666664</v>
      </c>
      <c r="B6" s="383">
        <f>+'ST Original'!O8</f>
        <v>1463.0330727479554</v>
      </c>
      <c r="C6" s="383">
        <f>+'ST Original'!S8</f>
        <v>451.35203191185872</v>
      </c>
      <c r="D6" s="2176"/>
      <c r="E6" s="383"/>
      <c r="F6" s="219"/>
      <c r="G6" s="219"/>
      <c r="H6" s="383"/>
      <c r="I6" s="383">
        <f>+B6</f>
        <v>1463.0330727479554</v>
      </c>
      <c r="J6" s="383"/>
      <c r="L6" s="219"/>
    </row>
    <row r="7" spans="1:15" s="331" customFormat="1">
      <c r="A7" s="2525">
        <f>+'ST Original'!B9</f>
        <v>46083.791666666664</v>
      </c>
      <c r="B7" s="383">
        <f>+'ST Original'!O9</f>
        <v>2672.3851878727478</v>
      </c>
      <c r="C7" s="383">
        <f>+'ST Original'!S9</f>
        <v>778.57624419154138</v>
      </c>
      <c r="D7" s="383"/>
      <c r="E7" s="383"/>
      <c r="F7" s="219"/>
      <c r="G7" s="219"/>
      <c r="H7" s="383"/>
      <c r="I7" s="383">
        <f t="shared" ref="I7:I33" si="0">+B7</f>
        <v>2672.3851878727478</v>
      </c>
      <c r="J7" s="383"/>
      <c r="L7" s="219"/>
    </row>
    <row r="8" spans="1:15" s="331" customFormat="1">
      <c r="A8" s="2525">
        <f>+'ST Original'!B10</f>
        <v>46084.791666666664</v>
      </c>
      <c r="B8" s="383">
        <f>+'ST Original'!O10</f>
        <v>2216.6115750776935</v>
      </c>
      <c r="C8" s="383">
        <f>+'ST Original'!S10</f>
        <v>651.91781785159912</v>
      </c>
      <c r="D8" s="383"/>
      <c r="E8" s="383"/>
      <c r="F8" s="219"/>
      <c r="G8" s="219"/>
      <c r="H8" s="383"/>
      <c r="I8" s="383">
        <f t="shared" si="0"/>
        <v>2216.6115750776935</v>
      </c>
      <c r="J8" s="383"/>
      <c r="L8" s="219"/>
    </row>
    <row r="9" spans="1:15" s="331" customFormat="1">
      <c r="A9" s="2525">
        <f>+'ST Original'!B11</f>
        <v>46085.791666666664</v>
      </c>
      <c r="B9" s="383">
        <f>+'ST Original'!O11</f>
        <v>2313.8490400997584</v>
      </c>
      <c r="C9" s="383">
        <f>+'ST Original'!S11</f>
        <v>642.22194748010054</v>
      </c>
      <c r="D9" s="383"/>
      <c r="E9" s="383"/>
      <c r="F9" s="219"/>
      <c r="G9" s="219"/>
      <c r="H9" s="383"/>
      <c r="I9" s="383">
        <f t="shared" si="0"/>
        <v>2313.8490400997584</v>
      </c>
      <c r="J9" s="383"/>
      <c r="L9" s="219"/>
    </row>
    <row r="10" spans="1:15" s="331" customFormat="1">
      <c r="A10" s="2525">
        <f>+'ST Original'!B12</f>
        <v>46086.791666666664</v>
      </c>
      <c r="B10" s="383">
        <f>+'ST Original'!O12</f>
        <v>2500.0029699779629</v>
      </c>
      <c r="C10" s="383">
        <f>+'ST Original'!S12</f>
        <v>677.04554295177991</v>
      </c>
      <c r="D10" s="383"/>
      <c r="E10" s="383"/>
      <c r="F10" s="219"/>
      <c r="G10" s="219"/>
      <c r="H10" s="383"/>
      <c r="I10" s="383">
        <f t="shared" si="0"/>
        <v>2500.0029699779629</v>
      </c>
      <c r="J10" s="383"/>
      <c r="L10" s="219"/>
    </row>
    <row r="11" spans="1:15" s="331" customFormat="1">
      <c r="A11" s="2525">
        <f>+'ST Original'!B13</f>
        <v>46087.791666666664</v>
      </c>
      <c r="B11" s="383">
        <f>+'ST Original'!O13</f>
        <v>2791.9596992475977</v>
      </c>
      <c r="C11" s="383">
        <f>+'ST Original'!S13</f>
        <v>724.89555330939629</v>
      </c>
      <c r="D11" s="383"/>
      <c r="E11" s="383"/>
      <c r="F11" s="2553"/>
      <c r="G11" s="2553"/>
      <c r="H11" s="2553"/>
      <c r="I11" s="383">
        <f t="shared" si="0"/>
        <v>2791.9596992475977</v>
      </c>
      <c r="J11" s="383"/>
      <c r="L11" s="219"/>
    </row>
    <row r="12" spans="1:15" s="331" customFormat="1">
      <c r="A12" s="2525">
        <f>+'ST Original'!B14</f>
        <v>46088.791666666664</v>
      </c>
      <c r="B12" s="383">
        <f>+'ST Original'!O14</f>
        <v>3403.0292033892138</v>
      </c>
      <c r="C12" s="383">
        <f>+'ST Original'!S14</f>
        <v>757.96271575162621</v>
      </c>
      <c r="D12" s="383"/>
      <c r="E12" s="383"/>
      <c r="F12" s="2553"/>
      <c r="G12" s="2553"/>
      <c r="H12" s="2553"/>
      <c r="I12" s="383">
        <f t="shared" si="0"/>
        <v>3403.0292033892138</v>
      </c>
      <c r="J12" s="383"/>
      <c r="L12" s="219"/>
    </row>
    <row r="13" spans="1:15" s="331" customFormat="1">
      <c r="A13" s="2525">
        <f>+'ST Original'!B15</f>
        <v>46089.791666666664</v>
      </c>
      <c r="B13" s="383">
        <f>+'ST Original'!O15</f>
        <v>3953.8202768151364</v>
      </c>
      <c r="C13" s="383">
        <f>+'ST Original'!S15</f>
        <v>896.94928721651058</v>
      </c>
      <c r="D13" s="383"/>
      <c r="E13" s="383"/>
      <c r="F13" s="2553"/>
      <c r="G13" s="2553"/>
      <c r="H13" s="2553"/>
      <c r="I13" s="383">
        <f t="shared" si="0"/>
        <v>3953.8202768151364</v>
      </c>
      <c r="J13" s="383"/>
      <c r="L13" s="219"/>
    </row>
    <row r="14" spans="1:15" s="331" customFormat="1">
      <c r="A14" s="2525">
        <f>+'ST Original'!B16</f>
        <v>46090.791666666664</v>
      </c>
      <c r="B14" s="383">
        <f>+'ST Original'!O16</f>
        <v>3717.8219958657969</v>
      </c>
      <c r="C14" s="383">
        <f>+'ST Original'!S16</f>
        <v>831.68185860124095</v>
      </c>
      <c r="D14" s="383"/>
      <c r="E14" s="383"/>
      <c r="F14" s="2553"/>
      <c r="G14" s="2553"/>
      <c r="H14" s="2553"/>
      <c r="I14" s="383">
        <f t="shared" si="0"/>
        <v>3717.8219958657969</v>
      </c>
      <c r="J14" s="383"/>
      <c r="L14" s="219"/>
    </row>
    <row r="15" spans="1:15" s="331" customFormat="1">
      <c r="A15" s="2525">
        <f>+'ST Original'!B17</f>
        <v>46091.791666666664</v>
      </c>
      <c r="B15" s="383">
        <f>+'ST Original'!O17</f>
        <v>3538.1846492588006</v>
      </c>
      <c r="C15" s="383">
        <f>+'ST Original'!S17</f>
        <v>847.28084171317926</v>
      </c>
      <c r="D15" s="383"/>
      <c r="E15" s="383"/>
      <c r="F15" s="2553"/>
      <c r="G15" s="2553"/>
      <c r="H15" s="2553"/>
      <c r="I15" s="383">
        <f t="shared" si="0"/>
        <v>3538.1846492588006</v>
      </c>
      <c r="J15" s="383"/>
      <c r="L15" s="219"/>
    </row>
    <row r="16" spans="1:15" s="331" customFormat="1">
      <c r="A16" s="2525">
        <f>+'ST Original'!B18</f>
        <v>46092.791666666664</v>
      </c>
      <c r="B16" s="383">
        <f>+'ST Original'!O18</f>
        <v>3573.5840270533877</v>
      </c>
      <c r="C16" s="383">
        <f>+'ST Original'!S18</f>
        <v>905.78514057582595</v>
      </c>
      <c r="D16" s="383"/>
      <c r="E16" s="383"/>
      <c r="F16" s="2553"/>
      <c r="G16" s="2553"/>
      <c r="H16" s="2553"/>
      <c r="I16" s="383">
        <f t="shared" si="0"/>
        <v>3573.5840270533877</v>
      </c>
      <c r="J16" s="383"/>
      <c r="L16" s="219"/>
      <c r="O16" s="724"/>
    </row>
    <row r="17" spans="1:15" s="331" customFormat="1">
      <c r="A17" s="2525">
        <f>+'ST Original'!B19</f>
        <v>46093.791666666664</v>
      </c>
      <c r="B17" s="383">
        <f>+'ST Original'!O19</f>
        <v>3453.8396878561921</v>
      </c>
      <c r="C17" s="383">
        <f>+'ST Original'!S19</f>
        <v>866.21042816827116</v>
      </c>
      <c r="D17" s="383"/>
      <c r="E17" s="383"/>
      <c r="F17" s="2553"/>
      <c r="G17" s="2553"/>
      <c r="H17" s="2553"/>
      <c r="I17" s="383">
        <f t="shared" si="0"/>
        <v>3453.8396878561921</v>
      </c>
      <c r="J17" s="383"/>
      <c r="L17" s="219"/>
      <c r="O17" s="724"/>
    </row>
    <row r="18" spans="1:15" s="331" customFormat="1">
      <c r="A18" s="2525">
        <f>+'ST Original'!B20</f>
        <v>46094.791666666664</v>
      </c>
      <c r="B18" s="383">
        <f>+'ST Original'!O20</f>
        <v>3403.3874176114095</v>
      </c>
      <c r="C18" s="383">
        <f>+'ST Original'!S20</f>
        <v>935.57395104666227</v>
      </c>
      <c r="D18" s="383"/>
      <c r="E18" s="383"/>
      <c r="F18" s="2553"/>
      <c r="G18" s="2553"/>
      <c r="H18" s="2553"/>
      <c r="I18" s="383">
        <f t="shared" si="0"/>
        <v>3403.3874176114095</v>
      </c>
      <c r="J18" s="383"/>
      <c r="L18" s="219"/>
    </row>
    <row r="19" spans="1:15" s="331" customFormat="1">
      <c r="A19" s="2525">
        <f>+'ST Original'!B21</f>
        <v>46095.791666666664</v>
      </c>
      <c r="B19" s="383">
        <f>+'ST Original'!O21</f>
        <v>2855.9933074574506</v>
      </c>
      <c r="C19" s="383">
        <f>+'ST Original'!S21</f>
        <v>851.52897972146309</v>
      </c>
      <c r="D19" s="383"/>
      <c r="E19" s="383"/>
      <c r="F19" s="2553"/>
      <c r="G19" s="2553"/>
      <c r="H19" s="2553"/>
      <c r="I19" s="383">
        <f t="shared" si="0"/>
        <v>2855.9933074574506</v>
      </c>
      <c r="J19" s="383"/>
      <c r="L19" s="219"/>
    </row>
    <row r="20" spans="1:15" s="331" customFormat="1">
      <c r="A20" s="2525">
        <f>+'ST Original'!B22</f>
        <v>46096.791666666664</v>
      </c>
      <c r="B20" s="383">
        <f>+'ST Original'!O22</f>
        <v>2807.7294668069771</v>
      </c>
      <c r="C20" s="383">
        <f>+'ST Original'!S22</f>
        <v>847.63438892780357</v>
      </c>
      <c r="D20" s="383"/>
      <c r="E20" s="383"/>
      <c r="F20" s="2553"/>
      <c r="G20" s="2553"/>
      <c r="H20" s="2553"/>
      <c r="I20" s="383">
        <f t="shared" si="0"/>
        <v>2807.7294668069771</v>
      </c>
      <c r="J20" s="383"/>
      <c r="L20" s="219"/>
    </row>
    <row r="21" spans="1:15" s="331" customFormat="1">
      <c r="A21" s="2525">
        <f>+'ST Original'!B23</f>
        <v>46097.791666666664</v>
      </c>
      <c r="B21" s="383">
        <f>+'ST Original'!O23</f>
        <v>3326.5242019084485</v>
      </c>
      <c r="C21" s="383">
        <f>+'ST Original'!S23</f>
        <v>947.69049813535912</v>
      </c>
      <c r="D21" s="383"/>
      <c r="E21" s="383"/>
      <c r="F21" s="2553"/>
      <c r="G21" s="2553"/>
      <c r="H21" s="2553"/>
      <c r="I21" s="383">
        <f t="shared" si="0"/>
        <v>3326.5242019084485</v>
      </c>
      <c r="J21" s="383"/>
      <c r="L21" s="219"/>
    </row>
    <row r="22" spans="1:15" s="331" customFormat="1">
      <c r="A22" s="2525">
        <f>+'ST Original'!B24</f>
        <v>46098.791666666664</v>
      </c>
      <c r="B22" s="383">
        <f>+'ST Original'!O24</f>
        <v>3316.8274150967682</v>
      </c>
      <c r="C22" s="383">
        <f>+'ST Original'!S24</f>
        <v>925.77507894648011</v>
      </c>
      <c r="D22" s="383"/>
      <c r="E22" s="383"/>
      <c r="F22" s="2553"/>
      <c r="G22" s="2553"/>
      <c r="H22" s="2553"/>
      <c r="I22" s="383">
        <f t="shared" si="0"/>
        <v>3316.8274150967682</v>
      </c>
      <c r="J22" s="383"/>
      <c r="L22" s="219"/>
    </row>
    <row r="23" spans="1:15" s="331" customFormat="1">
      <c r="A23" s="2525">
        <f>+'ST Original'!B25</f>
        <v>46099.791666666664</v>
      </c>
      <c r="B23" s="383">
        <f>+'ST Original'!O25</f>
        <v>3632.4211664982063</v>
      </c>
      <c r="C23" s="383">
        <f>+'ST Original'!S25</f>
        <v>995.00720233852394</v>
      </c>
      <c r="D23" s="383"/>
      <c r="E23" s="383"/>
      <c r="F23" s="2553"/>
      <c r="G23" s="2553"/>
      <c r="H23" s="2553"/>
      <c r="I23" s="383">
        <f t="shared" si="0"/>
        <v>3632.4211664982063</v>
      </c>
      <c r="J23" s="383"/>
      <c r="L23" s="219"/>
    </row>
    <row r="24" spans="1:15" s="331" customFormat="1">
      <c r="A24" s="2525">
        <f>+'ST Original'!B26</f>
        <v>46100.791666666664</v>
      </c>
      <c r="B24" s="383">
        <f>+'ST Original'!O26</f>
        <v>3610.6050996937756</v>
      </c>
      <c r="C24" s="383">
        <f>+'ST Original'!S26</f>
        <v>1010.4346599430335</v>
      </c>
      <c r="D24" s="383"/>
      <c r="E24" s="383"/>
      <c r="F24" s="2553"/>
      <c r="G24" s="2553"/>
      <c r="H24" s="2553"/>
      <c r="I24" s="383">
        <f t="shared" si="0"/>
        <v>3610.6050996937756</v>
      </c>
      <c r="J24" s="383"/>
      <c r="L24" s="219"/>
    </row>
    <row r="25" spans="1:15" s="331" customFormat="1">
      <c r="A25" s="2525">
        <f>+'ST Original'!B27</f>
        <v>46101.791666666664</v>
      </c>
      <c r="B25" s="383">
        <f>+'ST Original'!O27</f>
        <v>3391.9085359484216</v>
      </c>
      <c r="C25" s="383">
        <f>+'ST Original'!S27</f>
        <v>965.92174998441658</v>
      </c>
      <c r="D25" s="383"/>
      <c r="E25" s="383"/>
      <c r="F25" s="2553"/>
      <c r="G25" s="2553"/>
      <c r="H25" s="2553"/>
      <c r="I25" s="383">
        <f t="shared" si="0"/>
        <v>3391.9085359484216</v>
      </c>
      <c r="J25" s="383"/>
      <c r="L25" s="219"/>
    </row>
    <row r="26" spans="1:15" s="331" customFormat="1">
      <c r="A26" s="2525">
        <f>+'ST Original'!B28</f>
        <v>46102.791666666664</v>
      </c>
      <c r="B26" s="383">
        <f>+'ST Original'!O28</f>
        <v>3385.9909628403943</v>
      </c>
      <c r="C26" s="383">
        <f>+'ST Original'!S28</f>
        <v>938.46839119428955</v>
      </c>
      <c r="D26" s="383"/>
      <c r="E26" s="383"/>
      <c r="F26" s="2553"/>
      <c r="G26" s="2553"/>
      <c r="H26" s="2553"/>
      <c r="I26" s="383">
        <f t="shared" si="0"/>
        <v>3385.9909628403943</v>
      </c>
      <c r="J26" s="383"/>
      <c r="L26" s="219"/>
    </row>
    <row r="27" spans="1:15" s="331" customFormat="1">
      <c r="A27" s="2525">
        <f>+'ST Original'!B29</f>
        <v>46103.791666666664</v>
      </c>
      <c r="B27" s="383">
        <f>+'ST Original'!O29</f>
        <v>3503.7034300578671</v>
      </c>
      <c r="C27" s="383">
        <f>+'ST Original'!S29</f>
        <v>1061.3072234752763</v>
      </c>
      <c r="D27" s="383"/>
      <c r="E27" s="383"/>
      <c r="F27" s="2553"/>
      <c r="G27" s="2553"/>
      <c r="H27" s="2553"/>
      <c r="I27" s="383">
        <f t="shared" si="0"/>
        <v>3503.7034300578671</v>
      </c>
      <c r="J27" s="383"/>
      <c r="L27" s="219"/>
    </row>
    <row r="28" spans="1:15" s="331" customFormat="1">
      <c r="A28" s="2525">
        <f>+'ST Original'!B30</f>
        <v>46104.791666666664</v>
      </c>
      <c r="B28" s="383">
        <f>+'ST Original'!O30</f>
        <v>3273.2138555551828</v>
      </c>
      <c r="C28" s="383">
        <f>+'ST Original'!S30</f>
        <v>949.44066281952303</v>
      </c>
      <c r="D28" s="383"/>
      <c r="E28" s="383"/>
      <c r="F28" s="2553"/>
      <c r="G28" s="2553"/>
      <c r="H28" s="2553"/>
      <c r="I28" s="383">
        <f t="shared" si="0"/>
        <v>3273.2138555551828</v>
      </c>
      <c r="J28" s="383"/>
      <c r="L28" s="219"/>
    </row>
    <row r="29" spans="1:15" s="331" customFormat="1">
      <c r="A29" s="2525">
        <f>+'ST Original'!B31</f>
        <v>46105.791666666664</v>
      </c>
      <c r="B29" s="383">
        <f>+'ST Original'!O31</f>
        <v>3717.5461734395567</v>
      </c>
      <c r="C29" s="383">
        <f>+'ST Original'!S31</f>
        <v>992.7796732392319</v>
      </c>
      <c r="D29" s="383"/>
      <c r="E29" s="383"/>
      <c r="F29" s="2553"/>
      <c r="G29" s="2553"/>
      <c r="H29" s="2553"/>
      <c r="I29" s="383">
        <f t="shared" si="0"/>
        <v>3717.5461734395567</v>
      </c>
      <c r="J29" s="383"/>
      <c r="L29" s="219"/>
    </row>
    <row r="30" spans="1:15" s="331" customFormat="1">
      <c r="A30" s="2525">
        <f>+'ST Original'!B32</f>
        <v>46106.791666666664</v>
      </c>
      <c r="B30" s="383">
        <f>+'ST Original'!O32</f>
        <v>3726.3550181943365</v>
      </c>
      <c r="C30" s="383">
        <f>+'ST Original'!S32</f>
        <v>898.54789722597934</v>
      </c>
      <c r="D30" s="383"/>
      <c r="E30" s="383"/>
      <c r="F30" s="2553"/>
      <c r="G30" s="2553"/>
      <c r="H30" s="2553"/>
      <c r="I30" s="383">
        <f t="shared" si="0"/>
        <v>3726.3550181943365</v>
      </c>
      <c r="J30" s="383"/>
      <c r="L30" s="219"/>
    </row>
    <row r="31" spans="1:15" s="331" customFormat="1">
      <c r="A31" s="2525">
        <f>+'ST Original'!B33</f>
        <v>46107.791666666664</v>
      </c>
      <c r="B31" s="383">
        <f>+'ST Original'!O33</f>
        <v>3996.3078155678249</v>
      </c>
      <c r="C31" s="383">
        <f>+'ST Original'!S33</f>
        <v>1008.5873588167243</v>
      </c>
      <c r="D31" s="383"/>
      <c r="E31" s="383"/>
      <c r="F31" s="2553"/>
      <c r="G31" s="2553"/>
      <c r="H31" s="2553"/>
      <c r="I31" s="383">
        <f t="shared" si="0"/>
        <v>3996.3078155678249</v>
      </c>
      <c r="J31" s="383"/>
      <c r="L31" s="219"/>
    </row>
    <row r="32" spans="1:15" s="331" customFormat="1">
      <c r="A32" s="2525">
        <f>+'ST Original'!B34</f>
        <v>46108.791666666664</v>
      </c>
      <c r="B32" s="383">
        <f>+'ST Original'!O34</f>
        <v>4142.4073862917176</v>
      </c>
      <c r="C32" s="383">
        <f>+'ST Original'!S34</f>
        <v>1108.2255306611319</v>
      </c>
      <c r="D32" s="383"/>
      <c r="E32" s="383"/>
      <c r="F32" s="2553"/>
      <c r="G32" s="2553"/>
      <c r="H32" s="2553"/>
      <c r="I32" s="383">
        <f t="shared" si="0"/>
        <v>4142.4073862917176</v>
      </c>
      <c r="J32" s="383"/>
      <c r="L32" s="219"/>
    </row>
    <row r="33" spans="1:12" s="331" customFormat="1">
      <c r="A33" s="2525">
        <f>+'ST Original'!B35</f>
        <v>46109.791666666664</v>
      </c>
      <c r="B33" s="383">
        <f>+'ST Original'!O35</f>
        <v>4461.1844597926402</v>
      </c>
      <c r="C33" s="383">
        <f>+'ST Original'!S35</f>
        <v>1133.7607747043605</v>
      </c>
      <c r="D33" s="383"/>
      <c r="E33" s="383"/>
      <c r="F33" s="2553"/>
      <c r="G33" s="2553"/>
      <c r="H33" s="2553"/>
      <c r="I33" s="383">
        <f t="shared" si="0"/>
        <v>4461.1844597926402</v>
      </c>
      <c r="J33" s="383"/>
      <c r="L33" s="219"/>
    </row>
    <row r="34" spans="1:12" s="331" customFormat="1">
      <c r="A34" s="2525">
        <f>+'ST Original'!B36</f>
        <v>46110.791666666664</v>
      </c>
      <c r="B34" s="383">
        <f>+'ST Original'!O36</f>
        <v>4138.0015993722654</v>
      </c>
      <c r="C34" s="383">
        <f>+'ST Original'!S36</f>
        <v>1101.2856221419911</v>
      </c>
      <c r="D34" s="383"/>
      <c r="E34" s="383"/>
      <c r="F34" s="2553"/>
      <c r="G34" s="2553"/>
      <c r="H34" s="2553"/>
      <c r="I34" s="383">
        <f>+B34</f>
        <v>4138.0015993722654</v>
      </c>
      <c r="J34" s="383"/>
    </row>
    <row r="35" spans="1:12" s="331" customFormat="1">
      <c r="A35" s="2525">
        <f>+'ST Original'!B37</f>
        <v>46111.791666666664</v>
      </c>
      <c r="B35" s="383">
        <f>+'ST Original'!O37</f>
        <v>3776.3973426152384</v>
      </c>
      <c r="C35" s="383">
        <f>+'ST Original'!S37</f>
        <v>1043.5694594497559</v>
      </c>
      <c r="D35" s="383"/>
      <c r="E35" s="383"/>
      <c r="F35" s="2553"/>
      <c r="G35" s="2553"/>
      <c r="H35" s="2553"/>
      <c r="I35" s="383">
        <f>+B35</f>
        <v>3776.3973426152384</v>
      </c>
      <c r="J35" s="383"/>
    </row>
    <row r="36" spans="1:12">
      <c r="A36" s="2525">
        <f>+'ST Original'!B38</f>
        <v>46112.791666666664</v>
      </c>
      <c r="B36" s="383">
        <f>+'ST Original'!O38</f>
        <v>5688.8408911197957</v>
      </c>
      <c r="C36" s="383">
        <f>+'ST Original'!S38</f>
        <v>1570.933155710002</v>
      </c>
      <c r="D36" s="383"/>
      <c r="E36" s="383"/>
      <c r="F36" s="2553"/>
      <c r="G36" s="2553"/>
      <c r="H36" s="2553"/>
      <c r="I36" s="383">
        <f>+B36</f>
        <v>5688.8408911197957</v>
      </c>
      <c r="J36" s="383"/>
    </row>
    <row r="37" spans="1:12" s="157" customFormat="1" ht="13">
      <c r="A37" s="219"/>
      <c r="B37" s="2175"/>
      <c r="C37" s="2175"/>
      <c r="D37" s="2175"/>
      <c r="E37" s="219"/>
      <c r="F37" s="219"/>
      <c r="G37" s="219"/>
      <c r="H37" s="219"/>
      <c r="I37" s="383"/>
    </row>
    <row r="38" spans="1:12" s="2" customFormat="1" ht="13">
      <c r="A38" s="2177"/>
      <c r="B38" s="2175"/>
      <c r="C38" s="2175"/>
      <c r="D38" s="2175"/>
      <c r="E38" s="2175"/>
      <c r="F38" s="2175"/>
      <c r="H38" s="2175"/>
      <c r="I38" s="2175"/>
    </row>
    <row r="39" spans="1:12">
      <c r="B39" s="2060"/>
      <c r="C39" s="2060"/>
      <c r="D39" s="331"/>
      <c r="E39" s="331"/>
      <c r="F39" s="383"/>
      <c r="H39" s="383"/>
      <c r="I39" s="383"/>
    </row>
    <row r="40" spans="1:12">
      <c r="B40" s="156"/>
      <c r="C40" s="156"/>
      <c r="D40" s="331"/>
      <c r="E40" s="331"/>
      <c r="F40" s="383"/>
      <c r="G40" s="383"/>
      <c r="H40" s="383"/>
    </row>
    <row r="41" spans="1:12">
      <c r="F41" s="383"/>
      <c r="G41" s="383"/>
      <c r="H41" s="383"/>
      <c r="I41" s="383"/>
    </row>
    <row r="50" spans="2:5">
      <c r="D50" t="s">
        <v>1095</v>
      </c>
    </row>
    <row r="52" spans="2:5">
      <c r="B52" s="2088"/>
      <c r="C52" s="2088"/>
      <c r="D52" s="2089" t="s">
        <v>1320</v>
      </c>
      <c r="E52" s="2089"/>
    </row>
  </sheetData>
  <phoneticPr fontId="5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5">
    <pageSetUpPr fitToPage="1"/>
  </sheetPr>
  <dimension ref="A1:AH103"/>
  <sheetViews>
    <sheetView zoomScale="85" zoomScaleNormal="85" workbookViewId="0">
      <selection activeCell="AA55" sqref="AA55"/>
    </sheetView>
  </sheetViews>
  <sheetFormatPr baseColWidth="10" defaultColWidth="11.453125" defaultRowHeight="17.25" customHeight="1" outlineLevelRow="1"/>
  <cols>
    <col min="1" max="1" width="7.54296875" style="981" customWidth="1"/>
    <col min="2" max="2" width="26.81640625" style="981" bestFit="1" customWidth="1"/>
    <col min="3" max="3" width="9.54296875" style="982" customWidth="1"/>
    <col min="4" max="4" width="13.453125" style="981" customWidth="1"/>
    <col min="5" max="5" width="12.54296875" style="981" bestFit="1" customWidth="1"/>
    <col min="6" max="6" width="8.81640625" style="981" customWidth="1"/>
    <col min="7" max="7" width="5.1796875" style="981" customWidth="1"/>
    <col min="8" max="8" width="9.54296875" style="981" customWidth="1"/>
    <col min="9" max="9" width="8.54296875" style="981" customWidth="1"/>
    <col min="10" max="10" width="9" style="981" customWidth="1"/>
    <col min="11" max="11" width="15.81640625" style="981" hidden="1" customWidth="1"/>
    <col min="12" max="12" width="7.453125" style="981" hidden="1" customWidth="1"/>
    <col min="13" max="13" width="12.54296875" style="981" hidden="1" customWidth="1"/>
    <col min="14" max="14" width="9.81640625" style="981" hidden="1" customWidth="1"/>
    <col min="15" max="15" width="10.1796875" style="981" hidden="1" customWidth="1"/>
    <col min="16" max="16" width="8.1796875" style="981" hidden="1" customWidth="1"/>
    <col min="17" max="17" width="12.81640625" style="981" hidden="1" customWidth="1"/>
    <col min="18" max="18" width="10.1796875" style="981" customWidth="1"/>
    <col min="19" max="19" width="10.81640625" style="981" customWidth="1"/>
    <col min="20" max="20" width="9.81640625" style="981" bestFit="1" customWidth="1"/>
    <col min="21" max="21" width="8.54296875" style="981" customWidth="1"/>
    <col min="22" max="22" width="8.453125" style="981" customWidth="1"/>
    <col min="23" max="23" width="0.1796875" style="981" customWidth="1"/>
    <col min="24" max="24" width="7.1796875" style="981" bestFit="1" customWidth="1"/>
    <col min="25" max="25" width="5.54296875" style="981" customWidth="1"/>
    <col min="26" max="26" width="10.453125" style="981" customWidth="1"/>
    <col min="27" max="27" width="8.54296875" style="981" customWidth="1"/>
    <col min="28" max="28" width="10" style="981" customWidth="1"/>
    <col min="29" max="29" width="11.1796875" style="981" bestFit="1" customWidth="1"/>
    <col min="30" max="30" width="9.453125" style="981" customWidth="1"/>
    <col min="31" max="31" width="7.1796875" style="981" bestFit="1" customWidth="1"/>
    <col min="32" max="32" width="9.453125" style="981" customWidth="1"/>
    <col min="33" max="33" width="3.54296875" style="981" customWidth="1"/>
    <col min="34" max="16384" width="11.453125" style="981"/>
  </cols>
  <sheetData>
    <row r="1" spans="1:21" ht="17.25" customHeight="1">
      <c r="A1" s="1467" t="s">
        <v>154</v>
      </c>
      <c r="C1" s="1456"/>
      <c r="D1" s="1468"/>
      <c r="E1" s="1468"/>
      <c r="F1" s="1001"/>
      <c r="K1" s="1468"/>
    </row>
    <row r="2" spans="1:21" ht="17.25" customHeight="1">
      <c r="B2" s="1637"/>
      <c r="C2" s="1638"/>
      <c r="D2" s="1639"/>
      <c r="E2" s="1820" t="s">
        <v>155</v>
      </c>
      <c r="F2" s="1640"/>
      <c r="G2" s="1640"/>
      <c r="H2" s="1641" t="s">
        <v>156</v>
      </c>
      <c r="I2" s="1641"/>
      <c r="J2" s="1641"/>
      <c r="K2" s="1641" t="s">
        <v>157</v>
      </c>
      <c r="L2" s="1641" t="s">
        <v>156</v>
      </c>
      <c r="M2" s="1641"/>
      <c r="N2" s="1639"/>
      <c r="O2" s="4759" t="s">
        <v>158</v>
      </c>
      <c r="P2" s="4760"/>
      <c r="Q2" s="4761"/>
    </row>
    <row r="3" spans="1:21" ht="17.25" customHeight="1">
      <c r="B3" s="1642"/>
      <c r="C3" s="1643" t="s">
        <v>159</v>
      </c>
      <c r="D3" s="1644" t="s">
        <v>101</v>
      </c>
      <c r="E3" s="1645" t="s">
        <v>160</v>
      </c>
      <c r="F3" s="1645" t="s">
        <v>10</v>
      </c>
      <c r="G3" s="1645" t="s">
        <v>161</v>
      </c>
      <c r="H3" s="1646" t="s">
        <v>47</v>
      </c>
      <c r="I3" s="1646" t="s">
        <v>10</v>
      </c>
      <c r="J3" s="1646" t="s">
        <v>161</v>
      </c>
      <c r="K3" s="1646" t="s">
        <v>47</v>
      </c>
      <c r="L3" s="1646" t="s">
        <v>10</v>
      </c>
      <c r="M3" s="1646" t="s">
        <v>161</v>
      </c>
      <c r="N3" s="1644" t="s">
        <v>162</v>
      </c>
      <c r="O3" s="1645" t="s">
        <v>47</v>
      </c>
      <c r="P3" s="1645" t="s">
        <v>10</v>
      </c>
      <c r="Q3" s="1645" t="s">
        <v>161</v>
      </c>
    </row>
    <row r="4" spans="1:21" s="1000" customFormat="1" ht="12.75" customHeight="1">
      <c r="B4" s="1276" t="s">
        <v>59</v>
      </c>
      <c r="C4" s="1277" t="s">
        <v>53</v>
      </c>
      <c r="D4" s="1278">
        <f>+'Comparacion (Sin BM)'!Q14</f>
        <v>27.362020259444645</v>
      </c>
      <c r="E4" s="1278">
        <f>+'Comparacion (Sin BM)'!R14</f>
        <v>28.318351668204937</v>
      </c>
      <c r="F4" s="1279">
        <f>D4-E4</f>
        <v>-0.95633140876029188</v>
      </c>
      <c r="G4" s="1782">
        <f>F4/E4</f>
        <v>-3.3770730018655513E-2</v>
      </c>
      <c r="H4" s="1278">
        <f>+K4</f>
        <v>29.514270813981621</v>
      </c>
      <c r="I4" s="1279">
        <f>+E4-H4</f>
        <v>-1.1959191457766849</v>
      </c>
      <c r="J4" s="1280">
        <f>I4/H4</f>
        <v>-4.052003023602227E-2</v>
      </c>
      <c r="K4" s="1279">
        <f>+BDGT!$G$7</f>
        <v>29.514270813981621</v>
      </c>
      <c r="L4" s="1279">
        <f>+D4-K4</f>
        <v>-2.1522505545369768</v>
      </c>
      <c r="M4" s="1281">
        <f>+L4/K4</f>
        <v>-7.2922369253229313E-2</v>
      </c>
      <c r="N4" s="1806">
        <f>+'Comparacion (Sin BM)'!Q94</f>
        <v>69.24782651706704</v>
      </c>
      <c r="O4" s="1650">
        <f>BDGT!T7</f>
        <v>71.201971836811452</v>
      </c>
      <c r="P4" s="1808">
        <f>N4-O4</f>
        <v>-1.9541453197444127</v>
      </c>
      <c r="Q4" s="1809">
        <f>P4/O4</f>
        <v>-2.7445101158478293E-2</v>
      </c>
      <c r="R4" s="981"/>
    </row>
    <row r="5" spans="1:21" ht="12.75" customHeight="1">
      <c r="B5" s="994" t="s">
        <v>63</v>
      </c>
      <c r="C5" s="995" t="s">
        <v>53</v>
      </c>
      <c r="D5" s="996">
        <f>+'R+P'!AO39*Factores!$F$7/1000</f>
        <v>26.405692061497174</v>
      </c>
      <c r="E5" s="997">
        <f>+'Comparacion (Sin BM)'!R16</f>
        <v>27.229795292946367</v>
      </c>
      <c r="F5" s="997">
        <f>D5-E5</f>
        <v>-0.82410323144919317</v>
      </c>
      <c r="G5" s="1784">
        <f>F5/E5</f>
        <v>-3.0264760442862002E-2</v>
      </c>
      <c r="H5" s="997">
        <f>+K5</f>
        <v>28.422384713002526</v>
      </c>
      <c r="I5" s="997">
        <f>+E5-H5</f>
        <v>-1.1925894200561586</v>
      </c>
      <c r="J5" s="998">
        <f>I5/H5</f>
        <v>-4.1959512971850632E-2</v>
      </c>
      <c r="K5" s="997">
        <f>+BDGT!$G$8</f>
        <v>28.422384713002526</v>
      </c>
      <c r="L5" s="997">
        <f>+D5-K5</f>
        <v>-2.0166926515053518</v>
      </c>
      <c r="M5" s="999">
        <f>+L5/K5</f>
        <v>-7.0954378806320412E-2</v>
      </c>
      <c r="N5" s="1806">
        <f>+'Comparacion (Sin BM)'!Q95</f>
        <v>66.124566055788577</v>
      </c>
      <c r="O5" s="1654">
        <f>BDGT!T8</f>
        <v>68.58901260981412</v>
      </c>
      <c r="P5" s="1808">
        <f t="shared" ref="P5:P28" si="0">N5-O5</f>
        <v>-2.4644465540255425</v>
      </c>
      <c r="Q5" s="1810">
        <f t="shared" ref="Q5:Q28" si="1">P5/O5</f>
        <v>-3.5930631747757728E-2</v>
      </c>
      <c r="R5" s="1001"/>
    </row>
    <row r="6" spans="1:21" s="1000" customFormat="1" ht="12.75" customHeight="1">
      <c r="B6" s="1276" t="s">
        <v>66</v>
      </c>
      <c r="C6" s="1277" t="s">
        <v>53</v>
      </c>
      <c r="D6" s="1278">
        <f>+'Comparacion (Sin BM)'!Q18</f>
        <v>0.90762734806598955</v>
      </c>
      <c r="E6" s="1279">
        <f>+'Comparacion (Sin BM)'!R18</f>
        <v>0.80794675396342897</v>
      </c>
      <c r="F6" s="1783">
        <f>D6-E6</f>
        <v>9.9680594102560582E-2</v>
      </c>
      <c r="G6" s="1782">
        <f t="shared" ref="G6:G35" si="2">F6/E6</f>
        <v>0.12337520215728541</v>
      </c>
      <c r="H6" s="1279">
        <f>+K6</f>
        <v>1.0603706209881529</v>
      </c>
      <c r="I6" s="1279">
        <f>+E6-H6</f>
        <v>-0.25242386702472397</v>
      </c>
      <c r="J6" s="1280">
        <f>I6/H6</f>
        <v>-0.23805249035426096</v>
      </c>
      <c r="K6" s="1279">
        <f>+BDGT!$G$9</f>
        <v>1.0603706209881529</v>
      </c>
      <c r="L6" s="1279">
        <f>+D6-K6</f>
        <v>-0.15274327292216339</v>
      </c>
      <c r="M6" s="1281">
        <f t="shared" ref="M6:M28" si="3">+L6/K6</f>
        <v>-0.14404706231847772</v>
      </c>
      <c r="N6" s="1806">
        <f>+'Comparacion (Sin BM)'!Q98</f>
        <v>2.3019281722102938</v>
      </c>
      <c r="O6" s="1650">
        <f>BDGT!T9</f>
        <v>2.5089172333808136</v>
      </c>
      <c r="P6" s="1808">
        <f t="shared" si="0"/>
        <v>-0.20698906117051985</v>
      </c>
      <c r="Q6" s="1809">
        <f t="shared" si="1"/>
        <v>-8.2501350947953814E-2</v>
      </c>
      <c r="R6" s="981"/>
    </row>
    <row r="7" spans="1:21" ht="17.5" hidden="1" customHeight="1">
      <c r="B7" s="994" t="s">
        <v>68</v>
      </c>
      <c r="C7" s="995" t="s">
        <v>53</v>
      </c>
      <c r="D7" s="996">
        <f>+'Comparacion (Sin BM)'!Q19</f>
        <v>0.9954912669139665</v>
      </c>
      <c r="E7" s="996">
        <f>+'Comparacion (Sin BM)'!R19</f>
        <v>0.8767887836467676</v>
      </c>
      <c r="F7" s="1002">
        <f>D7-E7</f>
        <v>0.1187024832671989</v>
      </c>
      <c r="G7" s="1784">
        <f t="shared" si="2"/>
        <v>0.13538321370112399</v>
      </c>
      <c r="H7" s="996">
        <f>+K7</f>
        <v>1.0497934240437963</v>
      </c>
      <c r="I7" s="997">
        <f>+E7-H7</f>
        <v>-0.17300464039702868</v>
      </c>
      <c r="J7" s="998">
        <f>I7/H7</f>
        <v>-0.16479874652921345</v>
      </c>
      <c r="K7" s="997">
        <f>+BDGT!$G$10*Factores!$D$8</f>
        <v>1.0497934240437963</v>
      </c>
      <c r="L7" s="997">
        <f>+D7-K7</f>
        <v>-5.4302157129829776E-2</v>
      </c>
      <c r="M7" s="999">
        <f t="shared" si="3"/>
        <v>-5.1726516747131336E-2</v>
      </c>
      <c r="N7" s="1806">
        <f>+'Comparacion (Sin BM)'!Q99</f>
        <v>2.1888169452353146</v>
      </c>
      <c r="O7" s="1650">
        <f>+O6*Factores!$D$8</f>
        <v>2.4963726472139096</v>
      </c>
      <c r="P7" s="1808">
        <f t="shared" si="0"/>
        <v>-0.30755570197859505</v>
      </c>
      <c r="Q7" s="1809">
        <f t="shared" si="1"/>
        <v>-0.12320103824316625</v>
      </c>
      <c r="R7" s="1001"/>
    </row>
    <row r="8" spans="1:21" s="1000" customFormat="1" ht="12.75" customHeight="1">
      <c r="B8" s="994" t="s">
        <v>69</v>
      </c>
      <c r="C8" s="995" t="s">
        <v>53</v>
      </c>
      <c r="D8" s="996">
        <f>+'Comparacion (Sin BM)'!Q20</f>
        <v>0.9954912669139665</v>
      </c>
      <c r="E8" s="997">
        <f>+'Comparacion (Sin BM)'!R20</f>
        <v>0.8767887836467676</v>
      </c>
      <c r="F8" s="1002">
        <f>D8-E8</f>
        <v>0.1187024832671989</v>
      </c>
      <c r="G8" s="1784">
        <f t="shared" si="2"/>
        <v>0.13538321370112399</v>
      </c>
      <c r="H8" s="997">
        <f>+K8</f>
        <v>1.0497934240437963</v>
      </c>
      <c r="I8" s="997">
        <f>+E8-H8</f>
        <v>-0.17300464039702868</v>
      </c>
      <c r="J8" s="998">
        <f>I8/H8</f>
        <v>-0.16479874652921345</v>
      </c>
      <c r="K8" s="997">
        <f>+K7</f>
        <v>1.0497934240437963</v>
      </c>
      <c r="L8" s="997">
        <f>+D8-K8</f>
        <v>-5.4302157129829776E-2</v>
      </c>
      <c r="M8" s="999">
        <f t="shared" si="3"/>
        <v>-5.1726516747131336E-2</v>
      </c>
      <c r="N8" s="1806">
        <f>+'Comparacion (Sin BM)'!Q100</f>
        <v>2.1888169452353146</v>
      </c>
      <c r="O8" s="1650">
        <f>BDGT!T10</f>
        <v>2.4963726472139101</v>
      </c>
      <c r="P8" s="1808">
        <f t="shared" si="0"/>
        <v>-0.3075557019785955</v>
      </c>
      <c r="Q8" s="1809">
        <f t="shared" si="1"/>
        <v>-0.1232010382431664</v>
      </c>
      <c r="R8" s="1001"/>
    </row>
    <row r="9" spans="1:21" ht="13" customHeight="1">
      <c r="B9" s="994"/>
      <c r="C9" s="995"/>
      <c r="D9" s="1003"/>
      <c r="E9" s="1004"/>
      <c r="F9" s="1002"/>
      <c r="G9" s="1784"/>
      <c r="H9" s="1004"/>
      <c r="I9" s="1002"/>
      <c r="J9" s="998"/>
      <c r="K9" s="1004"/>
      <c r="L9" s="1002"/>
      <c r="M9" s="998"/>
      <c r="N9" s="1811"/>
      <c r="O9" s="1656"/>
      <c r="P9" s="1812"/>
      <c r="Q9" s="1809"/>
    </row>
    <row r="10" spans="1:21" ht="13" customHeight="1">
      <c r="A10" s="1005"/>
      <c r="B10" s="994" t="s">
        <v>163</v>
      </c>
      <c r="C10" s="995" t="s">
        <v>53</v>
      </c>
      <c r="D10" s="1006">
        <f>+'Comparacion (Sin BM)'!Q27</f>
        <v>5834.8510407595058</v>
      </c>
      <c r="E10" s="1006">
        <f>+'Comparacion (Sin BM)'!R27</f>
        <v>5857.198775683828</v>
      </c>
      <c r="F10" s="1010">
        <f t="shared" ref="F10:F28" si="4">D10-E10</f>
        <v>-22.34773492432214</v>
      </c>
      <c r="G10" s="1784">
        <f>F10/E10</f>
        <v>-3.8154305121244655E-3</v>
      </c>
      <c r="H10" s="1006">
        <f t="shared" ref="H10:H17" si="5">+K10</f>
        <v>5835.7550737654183</v>
      </c>
      <c r="I10" s="1006">
        <f t="shared" ref="I10:I15" si="6">+E10-H10</f>
        <v>21.443701918409715</v>
      </c>
      <c r="J10" s="998">
        <f t="shared" ref="J10:J17" si="7">I10/H10</f>
        <v>3.6745376814749601E-3</v>
      </c>
      <c r="K10" s="1006">
        <f>+BDGT!$G$12</f>
        <v>5835.7550737654183</v>
      </c>
      <c r="L10" s="1006">
        <f>+E10-K10</f>
        <v>21.443701918409715</v>
      </c>
      <c r="M10" s="998">
        <f t="shared" si="3"/>
        <v>3.6745376814749601E-3</v>
      </c>
      <c r="N10" s="1813">
        <f>'Comparacion (Sin BM)'!Q104</f>
        <v>14929.683820629605</v>
      </c>
      <c r="O10" s="1657">
        <f>BDGT!T12</f>
        <v>15189.938313137327</v>
      </c>
      <c r="P10" s="1813">
        <f t="shared" si="0"/>
        <v>-260.25449250772181</v>
      </c>
      <c r="Q10" s="1809">
        <f t="shared" si="1"/>
        <v>-1.7133347558273847E-2</v>
      </c>
      <c r="R10" s="1007"/>
    </row>
    <row r="11" spans="1:21" ht="13" customHeight="1">
      <c r="A11" s="1005"/>
      <c r="B11" s="994" t="s">
        <v>79</v>
      </c>
      <c r="C11" s="995" t="s">
        <v>75</v>
      </c>
      <c r="D11" s="1006">
        <f>+'Comparacion (Sin BM)'!Q28</f>
        <v>188.22100131482276</v>
      </c>
      <c r="E11" s="1006">
        <f>+'Comparacion (Sin BM)'!R28</f>
        <v>188.94189598980088</v>
      </c>
      <c r="F11" s="1002">
        <f t="shared" si="4"/>
        <v>-0.7208946749781262</v>
      </c>
      <c r="G11" s="1784">
        <f>F11/E11</f>
        <v>-3.8154305121244269E-3</v>
      </c>
      <c r="H11" s="1006">
        <f t="shared" si="5"/>
        <v>188.25016366985221</v>
      </c>
      <c r="I11" s="1006">
        <f t="shared" si="6"/>
        <v>0.69173231994867024</v>
      </c>
      <c r="J11" s="998">
        <f t="shared" si="7"/>
        <v>3.6745376814747992E-3</v>
      </c>
      <c r="K11" s="1006">
        <f>+BDGT!$G$13</f>
        <v>188.25016366985221</v>
      </c>
      <c r="L11" s="1006">
        <f>+E11-K11</f>
        <v>0.69173231994867024</v>
      </c>
      <c r="M11" s="998">
        <f t="shared" si="3"/>
        <v>3.6745376814747992E-3</v>
      </c>
      <c r="N11" s="1813">
        <f>'Comparacion (Sin BM)'!Q105</f>
        <v>165.8853757847734</v>
      </c>
      <c r="O11" s="1657">
        <f>+BDGT!T13</f>
        <v>168.77709236819251</v>
      </c>
      <c r="P11" s="1813">
        <f t="shared" si="0"/>
        <v>-2.891716583419111</v>
      </c>
      <c r="Q11" s="1809">
        <f t="shared" si="1"/>
        <v>-1.7133347558273729E-2</v>
      </c>
      <c r="R11" s="1007"/>
    </row>
    <row r="12" spans="1:21" ht="12.75" customHeight="1">
      <c r="A12" s="1005"/>
      <c r="B12" s="994" t="s">
        <v>164</v>
      </c>
      <c r="C12" s="995" t="s">
        <v>81</v>
      </c>
      <c r="D12" s="1006">
        <f>+'R+P'!BF39</f>
        <v>6716.4506721652806</v>
      </c>
      <c r="E12" s="1006">
        <f>+'ST Original'!BR39</f>
        <v>6726.6134284650625</v>
      </c>
      <c r="F12" s="1010">
        <f t="shared" si="4"/>
        <v>-10.162756299781904</v>
      </c>
      <c r="G12" s="1784">
        <f t="shared" si="2"/>
        <v>-1.5108280575149584E-3</v>
      </c>
      <c r="H12" s="1006">
        <f t="shared" si="5"/>
        <v>6933.2728220546342</v>
      </c>
      <c r="I12" s="1006">
        <f t="shared" si="6"/>
        <v>-206.65939358957166</v>
      </c>
      <c r="J12" s="998">
        <f t="shared" si="7"/>
        <v>-2.980690344856924E-2</v>
      </c>
      <c r="K12" s="1006">
        <f>+BDGT!$G$15</f>
        <v>6933.2728220546342</v>
      </c>
      <c r="L12" s="1006">
        <f>+E12-K12</f>
        <v>-206.65939358957166</v>
      </c>
      <c r="M12" s="998">
        <f>+L12/K12</f>
        <v>-2.980690344856924E-2</v>
      </c>
      <c r="N12" s="1813">
        <f>'Comparacion (Sin BM)'!Q106</f>
        <v>8426.8957127773465</v>
      </c>
      <c r="O12" s="1657">
        <f>+BDGT!T14</f>
        <v>8151.9777351096309</v>
      </c>
      <c r="P12" s="1813">
        <f t="shared" si="0"/>
        <v>274.9179776677156</v>
      </c>
      <c r="Q12" s="1809">
        <f t="shared" si="1"/>
        <v>3.3724083480217992E-2</v>
      </c>
      <c r="R12" s="1007"/>
    </row>
    <row r="13" spans="1:21" ht="12" customHeight="1">
      <c r="A13" s="1005"/>
      <c r="B13" s="994" t="s">
        <v>165</v>
      </c>
      <c r="C13" s="995" t="s">
        <v>81</v>
      </c>
      <c r="D13" s="1006">
        <f>+'R+P'!BG39</f>
        <v>1895.7866033689991</v>
      </c>
      <c r="E13" s="1006">
        <f>+'ST Original'!BS37</f>
        <v>1787.0544622071777</v>
      </c>
      <c r="F13" s="1010">
        <f t="shared" si="4"/>
        <v>108.73214116182135</v>
      </c>
      <c r="G13" s="1784">
        <f>F13/E13</f>
        <v>6.084433544768808E-2</v>
      </c>
      <c r="H13" s="1006">
        <f t="shared" si="5"/>
        <v>1812</v>
      </c>
      <c r="I13" s="1006">
        <f t="shared" si="6"/>
        <v>-24.945537792822279</v>
      </c>
      <c r="J13" s="998">
        <f t="shared" si="7"/>
        <v>-1.3766853086546512E-2</v>
      </c>
      <c r="K13" s="1006">
        <f>+BDGT!G16</f>
        <v>1812</v>
      </c>
      <c r="L13" s="1006"/>
      <c r="M13" s="998"/>
      <c r="N13" s="1813"/>
      <c r="O13" s="1657"/>
      <c r="P13" s="1813"/>
      <c r="Q13" s="1809"/>
      <c r="R13" s="1007"/>
      <c r="U13" s="1014"/>
    </row>
    <row r="14" spans="1:21" ht="12" customHeight="1">
      <c r="A14" s="1005"/>
      <c r="B14" s="994" t="s">
        <v>166</v>
      </c>
      <c r="C14" s="995" t="s">
        <v>81</v>
      </c>
      <c r="D14" s="1006">
        <f>+'R+P'!BH39</f>
        <v>8494.5649703748313</v>
      </c>
      <c r="E14" s="1006">
        <f>+'ST Original'!BT39</f>
        <v>8502.7681772494343</v>
      </c>
      <c r="F14" s="1010">
        <f t="shared" si="4"/>
        <v>-8.2032068746029836</v>
      </c>
      <c r="G14" s="1784">
        <f>F14/E14</f>
        <v>-9.6476896742310621E-4</v>
      </c>
      <c r="H14" s="1006">
        <f t="shared" si="5"/>
        <v>8745.2728220546342</v>
      </c>
      <c r="I14" s="1006">
        <f t="shared" si="6"/>
        <v>-242.50464480519986</v>
      </c>
      <c r="J14" s="998">
        <f t="shared" si="7"/>
        <v>-2.7729797542007988E-2</v>
      </c>
      <c r="K14" s="1006">
        <f>K12+K13</f>
        <v>8745.2728220546342</v>
      </c>
      <c r="L14" s="1006"/>
      <c r="M14" s="998"/>
      <c r="N14" s="1813"/>
      <c r="O14" s="1657"/>
      <c r="P14" s="1813"/>
      <c r="Q14" s="1809"/>
      <c r="R14" s="1007"/>
      <c r="U14" s="1014"/>
    </row>
    <row r="15" spans="1:21" ht="12.75" customHeight="1">
      <c r="A15" s="1008"/>
      <c r="B15" s="994" t="s">
        <v>82</v>
      </c>
      <c r="C15" s="995" t="s">
        <v>48</v>
      </c>
      <c r="D15" s="1009">
        <f>+'Comparacion (Sin BM)'!Q30</f>
        <v>67.341177908595625</v>
      </c>
      <c r="E15" s="1009">
        <f>+'Comparacion (Sin BM)'!R30</f>
        <v>73.985882319413648</v>
      </c>
      <c r="F15" s="1785">
        <f t="shared" si="4"/>
        <v>-6.6447044108180222</v>
      </c>
      <c r="G15" s="1784">
        <f>F15/E15</f>
        <v>-8.9810436836197244E-2</v>
      </c>
      <c r="H15" s="1009">
        <f t="shared" si="5"/>
        <v>0</v>
      </c>
      <c r="I15" s="1010">
        <f t="shared" si="6"/>
        <v>73.985882319413648</v>
      </c>
      <c r="J15" s="998" t="e">
        <f t="shared" si="7"/>
        <v>#DIV/0!</v>
      </c>
      <c r="K15" s="1010">
        <f>+BDGT!$G$17</f>
        <v>0</v>
      </c>
      <c r="L15" s="1010">
        <f>+E15-K15</f>
        <v>73.985882319413648</v>
      </c>
      <c r="M15" s="998" t="e">
        <f t="shared" si="3"/>
        <v>#DIV/0!</v>
      </c>
      <c r="N15" s="1807">
        <f>'Comparacion (Sin BM)'!Q107</f>
        <v>0</v>
      </c>
      <c r="O15" s="1654">
        <f>+BDGT!T17</f>
        <v>0</v>
      </c>
      <c r="P15" s="1807">
        <f t="shared" si="0"/>
        <v>0</v>
      </c>
      <c r="Q15" s="1809" t="e">
        <f t="shared" si="1"/>
        <v>#DIV/0!</v>
      </c>
      <c r="R15" s="993"/>
      <c r="U15" s="1014"/>
    </row>
    <row r="16" spans="1:21" ht="12.75" customHeight="1">
      <c r="A16" s="1008"/>
      <c r="B16" s="994" t="s">
        <v>86</v>
      </c>
      <c r="C16" s="995" t="s">
        <v>167</v>
      </c>
      <c r="D16" s="1011">
        <f>+'Comparacion (Sin BM)'!Q33</f>
        <v>37.974110352002597</v>
      </c>
      <c r="E16" s="1011">
        <f>+'Comparacion (Sin BM)'!R33</f>
        <v>37.368348754344872</v>
      </c>
      <c r="F16" s="996">
        <f t="shared" si="4"/>
        <v>0.6057615976577253</v>
      </c>
      <c r="G16" s="1786">
        <f>F16/E16</f>
        <v>1.6210552990712293E-2</v>
      </c>
      <c r="H16" s="1011">
        <f t="shared" si="5"/>
        <v>37.853336158564218</v>
      </c>
      <c r="I16" s="1011">
        <f t="shared" ref="I16:I28" si="8">+E16-H16</f>
        <v>-0.48498740421934627</v>
      </c>
      <c r="J16" s="998">
        <f t="shared" si="7"/>
        <v>-1.2812276365490684E-2</v>
      </c>
      <c r="K16" s="996">
        <f>+BDGT!$G$18</f>
        <v>37.853336158564218</v>
      </c>
      <c r="L16" s="1011">
        <f>+E16-K16</f>
        <v>-0.48498740421934627</v>
      </c>
      <c r="M16" s="998">
        <f t="shared" si="3"/>
        <v>-1.2812276365490684E-2</v>
      </c>
      <c r="N16" s="1814">
        <f>+'Comparacion (Sin BM)'!Q114</f>
        <v>37.842009965997548</v>
      </c>
      <c r="O16" s="1658">
        <f>+BDGT!T18</f>
        <v>38.202371254596507</v>
      </c>
      <c r="P16" s="1812">
        <f t="shared" si="0"/>
        <v>-0.36036128859895911</v>
      </c>
      <c r="Q16" s="1809">
        <f t="shared" si="1"/>
        <v>-9.4329560381831122E-3</v>
      </c>
      <c r="R16" s="1007"/>
      <c r="U16" s="1014"/>
    </row>
    <row r="17" spans="1:34" ht="12.75" customHeight="1">
      <c r="A17" s="1005"/>
      <c r="B17" s="994" t="s">
        <v>83</v>
      </c>
      <c r="C17" s="995" t="s">
        <v>84</v>
      </c>
      <c r="D17" s="1011">
        <f>+'Comparacion (Sin BM)'!Q31</f>
        <v>4.4644232416284408</v>
      </c>
      <c r="E17" s="1011">
        <f>+'Comparacion (Sin BM)'!R31</f>
        <v>4.202866572472935</v>
      </c>
      <c r="F17" s="1002">
        <f t="shared" si="4"/>
        <v>0.26155666915550579</v>
      </c>
      <c r="G17" s="1784">
        <f>F17/E17</f>
        <v>6.223292237459916E-2</v>
      </c>
      <c r="H17" s="1011">
        <f t="shared" si="5"/>
        <v>4.1504745365351701</v>
      </c>
      <c r="I17" s="1002">
        <f t="shared" si="8"/>
        <v>5.239203593776498E-2</v>
      </c>
      <c r="J17" s="998">
        <f t="shared" si="7"/>
        <v>1.2623143565049318E-2</v>
      </c>
      <c r="K17" s="1002">
        <f>+BDGT!$G$19</f>
        <v>4.1504745365351701</v>
      </c>
      <c r="L17" s="1002">
        <f>+E17-K17</f>
        <v>5.239203593776498E-2</v>
      </c>
      <c r="M17" s="998">
        <f t="shared" si="3"/>
        <v>1.2623143565049318E-2</v>
      </c>
      <c r="N17" s="1815">
        <f>+'Comparacion (Sin BM)'!Q109</f>
        <v>4.6985318387907373</v>
      </c>
      <c r="O17" s="1651">
        <f>+BDGT!T19</f>
        <v>4.1523938558931004</v>
      </c>
      <c r="P17" s="1812">
        <f t="shared" si="0"/>
        <v>0.54613798289763693</v>
      </c>
      <c r="Q17" s="1809">
        <f t="shared" si="1"/>
        <v>0.13152364680497608</v>
      </c>
      <c r="R17" s="1012"/>
      <c r="U17" s="1014"/>
    </row>
    <row r="18" spans="1:34" ht="13" customHeight="1">
      <c r="B18" s="994" t="s">
        <v>168</v>
      </c>
      <c r="C18" s="995" t="s">
        <v>48</v>
      </c>
      <c r="D18" s="1011">
        <f>+'Comparacion (Sin BM)'!Q32</f>
        <v>92.324230243716514</v>
      </c>
      <c r="E18" s="1011">
        <f>+'Comparacion (Sin BM)'!R32</f>
        <v>92.650688634835248</v>
      </c>
      <c r="F18" s="1002">
        <f t="shared" si="4"/>
        <v>-0.32645839111873443</v>
      </c>
      <c r="G18" s="1784">
        <f t="shared" si="2"/>
        <v>-3.5235398239230253E-3</v>
      </c>
      <c r="H18" s="1011"/>
      <c r="I18" s="1010"/>
      <c r="J18" s="998"/>
      <c r="K18" s="1002">
        <f>+BDGT!$G$20</f>
        <v>0.95068132481506384</v>
      </c>
      <c r="L18" s="1010">
        <f>+E18-K18</f>
        <v>91.700007310020183</v>
      </c>
      <c r="M18" s="998">
        <f t="shared" si="3"/>
        <v>96.457145960933431</v>
      </c>
      <c r="N18" s="1815">
        <f>'Comparacion (Sin BM)'!Q108</f>
        <v>82.043160787650493</v>
      </c>
      <c r="O18" s="1651">
        <f>+BDGT!T20</f>
        <v>86.325799784486634</v>
      </c>
      <c r="P18" s="1812">
        <f t="shared" si="0"/>
        <v>-4.2826389968361411</v>
      </c>
      <c r="Q18" s="1809">
        <f t="shared" si="1"/>
        <v>-4.9610186149769815E-2</v>
      </c>
      <c r="R18" s="1012"/>
      <c r="U18" s="1014"/>
    </row>
    <row r="19" spans="1:34" ht="12.65" customHeight="1">
      <c r="B19" s="994" t="s">
        <v>169</v>
      </c>
      <c r="C19" s="995" t="s">
        <v>48</v>
      </c>
      <c r="D19" s="1011">
        <f>+'ST Original'!I37</f>
        <v>97.12989278992228</v>
      </c>
      <c r="E19" s="1011">
        <f>+'ST Original'!I39</f>
        <v>98.723712855664047</v>
      </c>
      <c r="F19" s="1002">
        <f t="shared" si="4"/>
        <v>-1.5938200657417667</v>
      </c>
      <c r="G19" s="1784">
        <f>F19/E19</f>
        <v>-1.6144247614268338E-2</v>
      </c>
      <c r="H19" s="1011"/>
      <c r="I19" s="1010"/>
      <c r="J19" s="998"/>
      <c r="K19" s="1002"/>
      <c r="L19" s="1010"/>
      <c r="M19" s="998"/>
      <c r="N19" s="1815"/>
      <c r="O19" s="1651"/>
      <c r="P19" s="1812"/>
      <c r="Q19" s="1809"/>
      <c r="R19" s="1012"/>
      <c r="U19" s="1014"/>
    </row>
    <row r="20" spans="1:34" ht="12.75" customHeight="1">
      <c r="B20" s="994" t="s">
        <v>170</v>
      </c>
      <c r="C20" s="995" t="s">
        <v>48</v>
      </c>
      <c r="D20" s="1011">
        <f>+'R+P'!J39</f>
        <v>92.324230243716514</v>
      </c>
      <c r="E20" s="1011">
        <f>E10*100000/(31*24*E14)</f>
        <v>92.588423387096768</v>
      </c>
      <c r="F20" s="1011">
        <f>F10*100000/(31*24*F14)</f>
        <v>366.16506914002008</v>
      </c>
      <c r="G20" s="1011">
        <f>G10*100000/(31*24*G14)</f>
        <v>531.55387357339782</v>
      </c>
      <c r="H20" s="1011">
        <f>H10*100000/(31*24*H14)</f>
        <v>89.691390756799123</v>
      </c>
      <c r="I20" s="1010">
        <f t="shared" si="8"/>
        <v>2.8970326302976446</v>
      </c>
      <c r="J20" s="998"/>
      <c r="K20" s="1002">
        <f>H20</f>
        <v>89.691390756799123</v>
      </c>
      <c r="L20" s="1010"/>
      <c r="M20" s="998"/>
      <c r="N20" s="1815"/>
      <c r="O20" s="1651">
        <f>O18</f>
        <v>86.325799784486634</v>
      </c>
      <c r="P20" s="1812">
        <f t="shared" si="0"/>
        <v>-86.325799784486634</v>
      </c>
      <c r="Q20" s="1809">
        <f t="shared" si="1"/>
        <v>-1</v>
      </c>
      <c r="R20" s="1012"/>
      <c r="S20" s="1795"/>
      <c r="T20" s="1795" t="s">
        <v>120</v>
      </c>
      <c r="U20" s="1795" t="s">
        <v>24</v>
      </c>
      <c r="V20" s="1795" t="s">
        <v>25</v>
      </c>
      <c r="W20" s="1795" t="s">
        <v>28</v>
      </c>
      <c r="X20" s="1795" t="s">
        <v>29</v>
      </c>
      <c r="Z20" s="1795"/>
      <c r="AA20" s="1795" t="s">
        <v>22</v>
      </c>
      <c r="AB20" s="1795" t="s">
        <v>23</v>
      </c>
      <c r="AC20" s="1795" t="s">
        <v>24</v>
      </c>
      <c r="AD20" s="1795" t="s">
        <v>25</v>
      </c>
      <c r="AE20" s="1795" t="s">
        <v>28</v>
      </c>
      <c r="AF20" s="1796" t="s">
        <v>29</v>
      </c>
    </row>
    <row r="21" spans="1:34" ht="12.75" customHeight="1">
      <c r="B21" s="994"/>
      <c r="C21" s="995"/>
      <c r="D21" s="1003"/>
      <c r="E21" s="1004"/>
      <c r="F21" s="1002">
        <f t="shared" si="4"/>
        <v>0</v>
      </c>
      <c r="G21" s="1784"/>
      <c r="H21" s="1004"/>
      <c r="I21" s="1002"/>
      <c r="J21" s="998"/>
      <c r="K21" s="1004"/>
      <c r="L21" s="1002"/>
      <c r="M21" s="998"/>
      <c r="N21" s="1811"/>
      <c r="O21" s="1656"/>
      <c r="P21" s="1812"/>
      <c r="Q21" s="1809"/>
      <c r="S21" s="1797" t="s">
        <v>171</v>
      </c>
      <c r="T21" s="1798">
        <f>+$H$10</f>
        <v>5835.7550737654183</v>
      </c>
      <c r="U21" s="1799">
        <f>+$H$22</f>
        <v>0.56048276877845449</v>
      </c>
      <c r="V21" s="1799">
        <f>+$H$23</f>
        <v>90.23452493939709</v>
      </c>
      <c r="W21" s="1800">
        <f>+T21*U21*V21/10</f>
        <v>29514.270813981613</v>
      </c>
      <c r="X21" s="1800">
        <f>+W21</f>
        <v>29514.270813981613</v>
      </c>
      <c r="Z21" s="1797" t="s">
        <v>171</v>
      </c>
      <c r="AA21" s="1798">
        <f>K14</f>
        <v>8745.2728220546342</v>
      </c>
      <c r="AB21" s="1799">
        <f>+K20</f>
        <v>89.691390756799123</v>
      </c>
      <c r="AC21" s="1799">
        <f>+$K$22</f>
        <v>0.56048276877845449</v>
      </c>
      <c r="AD21" s="1799">
        <f>+$K$23</f>
        <v>90.23452493939709</v>
      </c>
      <c r="AE21" s="1800">
        <f t="shared" ref="AE21:AE26" si="9">+(AA21*AB21*24*$AG$21/1000000)*AC21*AD21</f>
        <v>29514.270813981624</v>
      </c>
      <c r="AF21" s="1800">
        <f>+AE21</f>
        <v>29514.270813981624</v>
      </c>
      <c r="AG21" s="981">
        <v>31</v>
      </c>
      <c r="AH21" s="981" t="s">
        <v>172</v>
      </c>
    </row>
    <row r="22" spans="1:34" ht="12.75" customHeight="1">
      <c r="B22" s="994" t="s">
        <v>89</v>
      </c>
      <c r="C22" s="995" t="s">
        <v>48</v>
      </c>
      <c r="D22" s="996">
        <f>+'Comparacion (Sin BM)'!Q34</f>
        <v>0.5187562183850154</v>
      </c>
      <c r="E22" s="996">
        <f>+'Comparacion (Sin BM)'!R34</f>
        <v>0.5354493276828427</v>
      </c>
      <c r="F22" s="1002">
        <f t="shared" si="4"/>
        <v>-1.6693109297827302E-2</v>
      </c>
      <c r="G22" s="1784">
        <f t="shared" si="2"/>
        <v>-3.1175889920465012E-2</v>
      </c>
      <c r="H22" s="996">
        <f t="shared" ref="H22:H28" si="10">+K22</f>
        <v>0.56048276877845449</v>
      </c>
      <c r="I22" s="996">
        <f t="shared" si="8"/>
        <v>-2.5033441095611786E-2</v>
      </c>
      <c r="J22" s="998">
        <f>I22/H22</f>
        <v>-4.4664069067049068E-2</v>
      </c>
      <c r="K22" s="996">
        <f>+BDGT!$G$29</f>
        <v>0.56048276877845449</v>
      </c>
      <c r="L22" s="1006">
        <f>+E22-K22</f>
        <v>-2.5033441095611786E-2</v>
      </c>
      <c r="M22" s="999">
        <f t="shared" si="3"/>
        <v>-4.4664069067049068E-2</v>
      </c>
      <c r="N22" s="1806">
        <f>'Comparacion (Sin BM)'!Q110</f>
        <v>0.51253836495611338</v>
      </c>
      <c r="O22" s="1649">
        <f>+BDGT!T29</f>
        <v>0.52083855986685346</v>
      </c>
      <c r="P22" s="1806">
        <f t="shared" si="0"/>
        <v>-8.3001949107400774E-3</v>
      </c>
      <c r="Q22" s="1810">
        <f t="shared" si="1"/>
        <v>-1.5936214309597064E-2</v>
      </c>
      <c r="S22" s="1797" t="s">
        <v>173</v>
      </c>
      <c r="T22" s="1801">
        <f>E10</f>
        <v>5857.198775683828</v>
      </c>
      <c r="U22" s="1799">
        <f>U21</f>
        <v>0.56048276877845449</v>
      </c>
      <c r="V22" s="1799">
        <f>V21</f>
        <v>90.23452493939709</v>
      </c>
      <c r="W22" s="1800">
        <f>+T22*U22*V22/10</f>
        <v>29622.722114228847</v>
      </c>
      <c r="X22" s="1800">
        <f>+W22-W21</f>
        <v>108.45130024723403</v>
      </c>
      <c r="Z22" s="1802" t="s">
        <v>36</v>
      </c>
      <c r="AA22" s="1803">
        <f>E14</f>
        <v>8502.7681772494343</v>
      </c>
      <c r="AB22" s="1799">
        <f>+AB21</f>
        <v>89.691390756799123</v>
      </c>
      <c r="AC22" s="1799">
        <f>+$K$22</f>
        <v>0.56048276877845449</v>
      </c>
      <c r="AD22" s="1799">
        <f>+$K$23</f>
        <v>90.23452493939709</v>
      </c>
      <c r="AE22" s="1800">
        <f t="shared" si="9"/>
        <v>28695.846059709911</v>
      </c>
      <c r="AF22" s="1800">
        <f>+AE22-AE21</f>
        <v>-818.42475427171303</v>
      </c>
      <c r="AG22" s="1781"/>
    </row>
    <row r="23" spans="1:34" ht="12.75" customHeight="1">
      <c r="B23" s="994" t="s">
        <v>90</v>
      </c>
      <c r="C23" s="995" t="s">
        <v>48</v>
      </c>
      <c r="D23" s="1011">
        <f>+'Comparacion (Sin BM)'!Q35</f>
        <v>90.397219242975567</v>
      </c>
      <c r="E23" s="1011">
        <f>+'Comparacion (Sin BM)'!R35</f>
        <v>90.294153352101702</v>
      </c>
      <c r="F23" s="1002">
        <f t="shared" si="4"/>
        <v>0.10306589087386442</v>
      </c>
      <c r="G23" s="1784">
        <f t="shared" si="2"/>
        <v>1.1414458970777364E-3</v>
      </c>
      <c r="H23" s="1011">
        <f t="shared" si="10"/>
        <v>90.23452493939709</v>
      </c>
      <c r="I23" s="1010">
        <f t="shared" si="8"/>
        <v>5.9628412704611833E-2</v>
      </c>
      <c r="J23" s="998">
        <f>I23/H23</f>
        <v>6.6081594317318347E-4</v>
      </c>
      <c r="K23" s="1009">
        <f>+BDGT!$G$30</f>
        <v>90.23452493939709</v>
      </c>
      <c r="L23" s="1006">
        <f>+E23-K23</f>
        <v>5.9628412704611833E-2</v>
      </c>
      <c r="M23" s="998">
        <f t="shared" si="3"/>
        <v>6.6081594317318347E-4</v>
      </c>
      <c r="N23" s="1814">
        <f>'Comparacion (Sin BM)'!Q111</f>
        <v>90.504839111115729</v>
      </c>
      <c r="O23" s="1651">
        <f>+BDGT!T30</f>
        <v>89.998004776086447</v>
      </c>
      <c r="P23" s="1812">
        <f t="shared" si="0"/>
        <v>0.5068343350292821</v>
      </c>
      <c r="Q23" s="1809">
        <f t="shared" si="1"/>
        <v>5.6316174596345503E-3</v>
      </c>
      <c r="S23" s="1802" t="s">
        <v>45</v>
      </c>
      <c r="T23" s="1801">
        <f>T22</f>
        <v>5857.198775683828</v>
      </c>
      <c r="U23" s="1804">
        <f>E22</f>
        <v>0.5354493276828427</v>
      </c>
      <c r="V23" s="1799">
        <f>V21</f>
        <v>90.23452493939709</v>
      </c>
      <c r="W23" s="1800">
        <f>+T23*U23*V23/10</f>
        <v>28299.650807764927</v>
      </c>
      <c r="X23" s="1800">
        <f>+W23-W22</f>
        <v>-1323.0713064639203</v>
      </c>
      <c r="Z23" s="1802" t="s">
        <v>41</v>
      </c>
      <c r="AA23" s="1803">
        <f>AA22</f>
        <v>8502.7681772494343</v>
      </c>
      <c r="AB23" s="1804">
        <f>E20</f>
        <v>92.588423387096768</v>
      </c>
      <c r="AC23" s="1799">
        <f>+$K$22</f>
        <v>0.56048276877845449</v>
      </c>
      <c r="AD23" s="1799">
        <f>+$K$23</f>
        <v>90.23452493939709</v>
      </c>
      <c r="AE23" s="1800">
        <f t="shared" si="9"/>
        <v>29622.722114228844</v>
      </c>
      <c r="AF23" s="1800">
        <f>+AE23-AE22</f>
        <v>926.87605451893251</v>
      </c>
    </row>
    <row r="24" spans="1:34" ht="12.75" customHeight="1">
      <c r="B24" s="994" t="s">
        <v>92</v>
      </c>
      <c r="C24" s="995" t="s">
        <v>53</v>
      </c>
      <c r="D24" s="1009">
        <f>+'Comparacion (Sin BM)'!Q36</f>
        <v>103.61851052323014</v>
      </c>
      <c r="E24" s="1010">
        <f>+'Comparacion (Sin BM)'!R36</f>
        <v>105.7534669311305</v>
      </c>
      <c r="F24" s="1002">
        <f t="shared" si="4"/>
        <v>-2.1349564079003613</v>
      </c>
      <c r="G24" s="1784">
        <f t="shared" si="2"/>
        <v>-2.0188051227584835E-2</v>
      </c>
      <c r="H24" s="1010">
        <f t="shared" si="10"/>
        <v>105.71507194799014</v>
      </c>
      <c r="I24" s="1010">
        <f t="shared" si="8"/>
        <v>3.8394983140364047E-2</v>
      </c>
      <c r="J24" s="998">
        <f>I24/H24</f>
        <v>3.6319308527031668E-4</v>
      </c>
      <c r="K24" s="1010">
        <f>+BDGT!$G$32</f>
        <v>105.71507194799014</v>
      </c>
      <c r="L24" s="1010">
        <f>+E24-K24</f>
        <v>3.8394983140364047E-2</v>
      </c>
      <c r="M24" s="998">
        <f t="shared" si="3"/>
        <v>3.6319308527031668E-4</v>
      </c>
      <c r="N24" s="1814">
        <f>'Comparacion (Sin BM)'!Q112</f>
        <v>259.00300763005976</v>
      </c>
      <c r="O24" s="1654">
        <f>+BDGT!T32</f>
        <v>254.52677203830268</v>
      </c>
      <c r="P24" s="1807">
        <f t="shared" si="0"/>
        <v>4.4762355917570744</v>
      </c>
      <c r="Q24" s="1809">
        <f t="shared" si="1"/>
        <v>1.7586502024562918E-2</v>
      </c>
      <c r="S24" s="1802" t="s">
        <v>51</v>
      </c>
      <c r="T24" s="1801">
        <f>T22</f>
        <v>5857.198775683828</v>
      </c>
      <c r="U24" s="1804">
        <f>U23</f>
        <v>0.5354493276828427</v>
      </c>
      <c r="V24" s="1804">
        <f>E23</f>
        <v>90.294153352101702</v>
      </c>
      <c r="W24" s="1800">
        <f>+T24*U24*V24/10</f>
        <v>28318.35166820493</v>
      </c>
      <c r="X24" s="1800">
        <f>+W24-W23</f>
        <v>18.700860440003453</v>
      </c>
      <c r="Z24" s="1802" t="s">
        <v>45</v>
      </c>
      <c r="AA24" s="1803">
        <f>AA22</f>
        <v>8502.7681772494343</v>
      </c>
      <c r="AB24" s="1804">
        <f>AB23</f>
        <v>92.588423387096768</v>
      </c>
      <c r="AC24" s="1804">
        <f>E22</f>
        <v>0.5354493276828427</v>
      </c>
      <c r="AD24" s="1799">
        <f>+$K$23</f>
        <v>90.23452493939709</v>
      </c>
      <c r="AE24" s="1800">
        <f t="shared" si="9"/>
        <v>28299.650807764923</v>
      </c>
      <c r="AF24" s="1800">
        <f>+AE24-AE23</f>
        <v>-1323.0713064639203</v>
      </c>
    </row>
    <row r="25" spans="1:34" ht="12.75" customHeight="1">
      <c r="B25" s="994" t="s">
        <v>93</v>
      </c>
      <c r="C25" s="995" t="s">
        <v>48</v>
      </c>
      <c r="D25" s="1009">
        <f>+'Comparacion (Sin BM)'!Q37</f>
        <v>26.406498338258178</v>
      </c>
      <c r="E25" s="1009">
        <f>+'Comparacion (Sin BM)'!R37</f>
        <v>26.777705251636434</v>
      </c>
      <c r="F25" s="1002">
        <f t="shared" si="4"/>
        <v>-0.37120691337825562</v>
      </c>
      <c r="G25" s="1784">
        <f t="shared" si="2"/>
        <v>-1.386253638577079E-2</v>
      </c>
      <c r="H25" s="1009">
        <f t="shared" si="10"/>
        <v>27.918697183029963</v>
      </c>
      <c r="I25" s="1010">
        <f t="shared" si="8"/>
        <v>-1.1409919313935291</v>
      </c>
      <c r="J25" s="998">
        <f>I25/H25</f>
        <v>-4.0868380208194922E-2</v>
      </c>
      <c r="K25" s="1009">
        <f>+BDGT!$G$33</f>
        <v>27.918697183029963</v>
      </c>
      <c r="L25" s="1006">
        <f>+E25-K25</f>
        <v>-1.1409919313935291</v>
      </c>
      <c r="M25" s="998">
        <f t="shared" si="3"/>
        <v>-4.0868380208194922E-2</v>
      </c>
      <c r="N25" s="1814">
        <f>'Comparacion (Sin BM)'!Q113</f>
        <v>26.736302080312278</v>
      </c>
      <c r="O25" s="1651">
        <f>+BDGT!T33</f>
        <v>27.974256407925751</v>
      </c>
      <c r="P25" s="1812">
        <f t="shared" si="0"/>
        <v>-1.2379543276134726</v>
      </c>
      <c r="Q25" s="1809">
        <f t="shared" si="1"/>
        <v>-4.4253341699646807E-2</v>
      </c>
      <c r="S25" s="1802" t="s">
        <v>174</v>
      </c>
      <c r="T25" s="1801">
        <f>T22</f>
        <v>5857.198775683828</v>
      </c>
      <c r="U25" s="1804">
        <f>U23</f>
        <v>0.5354493276828427</v>
      </c>
      <c r="V25" s="1804">
        <f>V24</f>
        <v>90.294153352101702</v>
      </c>
      <c r="W25" s="1800">
        <f>+T25*U25*V25/10</f>
        <v>28318.35166820493</v>
      </c>
      <c r="X25" s="1800">
        <f>+SUM(X21:X24)</f>
        <v>28318.35166820493</v>
      </c>
      <c r="Z25" s="1802" t="s">
        <v>51</v>
      </c>
      <c r="AA25" s="1803">
        <f>AA22</f>
        <v>8502.7681772494343</v>
      </c>
      <c r="AB25" s="1804">
        <f>AB23</f>
        <v>92.588423387096768</v>
      </c>
      <c r="AC25" s="1804">
        <f>AC24</f>
        <v>0.5354493276828427</v>
      </c>
      <c r="AD25" s="1804">
        <f>E23</f>
        <v>90.294153352101702</v>
      </c>
      <c r="AE25" s="1800">
        <f t="shared" si="9"/>
        <v>28318.351668204927</v>
      </c>
      <c r="AF25" s="1800">
        <f>+AE25-AE24</f>
        <v>18.700860440003453</v>
      </c>
    </row>
    <row r="26" spans="1:34" ht="12.75" customHeight="1">
      <c r="A26" s="1014"/>
      <c r="B26" s="994"/>
      <c r="C26" s="995"/>
      <c r="D26" s="997"/>
      <c r="E26" s="1010"/>
      <c r="F26" s="1002">
        <f t="shared" si="4"/>
        <v>0</v>
      </c>
      <c r="G26" s="1784"/>
      <c r="H26" s="1010">
        <f t="shared" si="10"/>
        <v>0</v>
      </c>
      <c r="I26" s="1002">
        <f t="shared" si="8"/>
        <v>0</v>
      </c>
      <c r="J26" s="998"/>
      <c r="K26" s="1010"/>
      <c r="L26" s="1002"/>
      <c r="M26" s="998"/>
      <c r="N26" s="1811"/>
      <c r="O26" s="1654"/>
      <c r="P26" s="1812"/>
      <c r="Q26" s="1809"/>
      <c r="Z26" s="1805" t="s">
        <v>174</v>
      </c>
      <c r="AA26" s="1803">
        <f>AA22</f>
        <v>8502.7681772494343</v>
      </c>
      <c r="AB26" s="1804">
        <f>AB23</f>
        <v>92.588423387096768</v>
      </c>
      <c r="AC26" s="1804">
        <f>AC24</f>
        <v>0.5354493276828427</v>
      </c>
      <c r="AD26" s="1804">
        <f>AD25</f>
        <v>90.294153352101702</v>
      </c>
      <c r="AE26" s="1800">
        <f t="shared" si="9"/>
        <v>28318.351668204927</v>
      </c>
      <c r="AF26" s="1800">
        <f>SUM(AF21:AF25)</f>
        <v>28318.351668204927</v>
      </c>
    </row>
    <row r="27" spans="1:34" ht="12.75" customHeight="1">
      <c r="A27" s="1014"/>
      <c r="B27" s="994" t="s">
        <v>94</v>
      </c>
      <c r="C27" s="995" t="s">
        <v>95</v>
      </c>
      <c r="D27" s="1015">
        <f>+'Comparacion (Sin BM)'!Q39</f>
        <v>192.88224256745204</v>
      </c>
      <c r="E27" s="1015">
        <f>+'Comparacion (Sin BM)'!R39</f>
        <v>171.18629045307489</v>
      </c>
      <c r="F27" s="1002">
        <f t="shared" si="4"/>
        <v>21.69595211437715</v>
      </c>
      <c r="G27" s="1784">
        <f>F27/E27</f>
        <v>0.12673884139293493</v>
      </c>
      <c r="H27" s="1015">
        <f t="shared" si="10"/>
        <v>216.46396510270179</v>
      </c>
      <c r="I27" s="1006">
        <f t="shared" si="8"/>
        <v>-45.277674649626903</v>
      </c>
      <c r="J27" s="998">
        <f t="shared" ref="J27:J32" si="11">I27/H27</f>
        <v>-0.20916957068648731</v>
      </c>
      <c r="K27" s="1006">
        <f>+BDGT!$G$35</f>
        <v>216.46396510270179</v>
      </c>
      <c r="L27" s="1006">
        <f>+E27-K27</f>
        <v>-45.277674649626903</v>
      </c>
      <c r="M27" s="999">
        <f t="shared" si="3"/>
        <v>-0.20916957068648731</v>
      </c>
      <c r="N27" s="1816">
        <f>'Comparacion (Sin BM)'!Q115</f>
        <v>192.66735748300661</v>
      </c>
      <c r="O27" s="1657">
        <f>+BDGT!T35</f>
        <v>197.52627780568733</v>
      </c>
      <c r="P27" s="1813">
        <f t="shared" si="0"/>
        <v>-4.8589203226807172</v>
      </c>
      <c r="Q27" s="1810">
        <f t="shared" si="1"/>
        <v>-2.4598855284766651E-2</v>
      </c>
    </row>
    <row r="28" spans="1:34" ht="12.75" customHeight="1" outlineLevel="1">
      <c r="A28" s="1014"/>
      <c r="B28" s="1787" t="s">
        <v>96</v>
      </c>
      <c r="C28" s="1788" t="s">
        <v>48</v>
      </c>
      <c r="D28" s="1789">
        <f>+'Comparacion (Sin BM)'!Q40</f>
        <v>80.64650541173333</v>
      </c>
      <c r="E28" s="1789">
        <f>+'Comparacion (Sin BM)'!R40</f>
        <v>80.57935681068416</v>
      </c>
      <c r="F28" s="1790">
        <f t="shared" si="4"/>
        <v>6.7148601049169088E-2</v>
      </c>
      <c r="G28" s="1791">
        <f t="shared" si="2"/>
        <v>8.3332262389398644E-4</v>
      </c>
      <c r="H28" s="1789">
        <f t="shared" si="10"/>
        <v>83.941170489613725</v>
      </c>
      <c r="I28" s="1792">
        <f t="shared" si="8"/>
        <v>-3.3618136789295647</v>
      </c>
      <c r="J28" s="1793">
        <f t="shared" si="11"/>
        <v>-4.004964023399616E-2</v>
      </c>
      <c r="K28" s="1792">
        <f>+BDGT!$G$36</f>
        <v>83.941170489613725</v>
      </c>
      <c r="L28" s="1792">
        <f>+E28-K28</f>
        <v>-3.3618136789295647</v>
      </c>
      <c r="M28" s="1793">
        <f t="shared" si="3"/>
        <v>-4.004964023399616E-2</v>
      </c>
      <c r="N28" s="1817">
        <f>'Comparacion (Sin BM)'!Q116</f>
        <v>80.026351406553701</v>
      </c>
      <c r="O28" s="1684">
        <f>+BDGT!T36</f>
        <v>83.619091451728735</v>
      </c>
      <c r="P28" s="1818">
        <f t="shared" si="0"/>
        <v>-3.5927400451750344</v>
      </c>
      <c r="Q28" s="1819">
        <f t="shared" si="1"/>
        <v>-4.2965547494007821E-2</v>
      </c>
      <c r="AA28" s="993"/>
      <c r="AB28" s="1001"/>
    </row>
    <row r="29" spans="1:34" ht="12.75" hidden="1" customHeight="1" outlineLevel="1">
      <c r="A29" s="1014"/>
      <c r="B29" s="1647" t="s">
        <v>97</v>
      </c>
      <c r="C29" s="1648" t="s">
        <v>48</v>
      </c>
      <c r="D29" s="1658">
        <f>+'Comparacion (Sin BM)'!Q41</f>
        <v>89.806766154820934</v>
      </c>
      <c r="E29" s="1654">
        <v>91.22188191556684</v>
      </c>
      <c r="F29" s="1651">
        <f>D29-E29</f>
        <v>-1.4151157607459055</v>
      </c>
      <c r="G29" s="1652">
        <f t="shared" si="2"/>
        <v>-1.5512898123015139E-2</v>
      </c>
      <c r="H29" s="1654">
        <f>+D102</f>
        <v>0</v>
      </c>
      <c r="I29" s="1654">
        <f>+D29-H29</f>
        <v>89.806766154820934</v>
      </c>
      <c r="J29" s="1653" t="e">
        <f t="shared" si="11"/>
        <v>#DIV/0!</v>
      </c>
      <c r="K29" s="1654">
        <f>'BDGT ORI'!Q40</f>
        <v>94.198842761025958</v>
      </c>
      <c r="L29" s="1654">
        <f>+D29-K29</f>
        <v>-4.3920766062050234</v>
      </c>
      <c r="M29" s="1653">
        <f t="shared" ref="M29:M35" si="12">L29/K29</f>
        <v>-4.6625589842407396E-2</v>
      </c>
      <c r="N29" s="1654">
        <f>'BDGT ORI'!N40</f>
        <v>94.368951578682015</v>
      </c>
      <c r="O29" s="1654">
        <f>+G29-N29</f>
        <v>-94.384464476805036</v>
      </c>
      <c r="P29" s="1653">
        <f>O29/N29</f>
        <v>-1.000164385614797</v>
      </c>
      <c r="Q29" s="1654" t="e">
        <f>+'Comparacion (Sin BM)'!R79</f>
        <v>#REF!</v>
      </c>
      <c r="R29" s="1654"/>
      <c r="S29" s="1654" t="e">
        <f>#REF!-R29</f>
        <v>#REF!</v>
      </c>
      <c r="T29" s="1653" t="e">
        <f>S29/R29</f>
        <v>#REF!</v>
      </c>
      <c r="U29" s="1540"/>
      <c r="V29" s="1540"/>
    </row>
    <row r="30" spans="1:34" ht="12.75" hidden="1" customHeight="1">
      <c r="A30" s="1014"/>
      <c r="B30" s="1647" t="s">
        <v>98</v>
      </c>
      <c r="C30" s="1648" t="s">
        <v>48</v>
      </c>
      <c r="D30" s="1658">
        <f>+'Comparacion (Sin BM)'!Q42</f>
        <v>89.800032742192343</v>
      </c>
      <c r="E30" s="1654">
        <v>92.317883796702631</v>
      </c>
      <c r="F30" s="1651">
        <f>D30-E30</f>
        <v>-2.5178510545102881</v>
      </c>
      <c r="G30" s="1652">
        <f t="shared" si="2"/>
        <v>-2.7273708527103604E-2</v>
      </c>
      <c r="H30" s="1654">
        <f>+D103</f>
        <v>0</v>
      </c>
      <c r="I30" s="1654">
        <f>+D30-H30</f>
        <v>89.800032742192343</v>
      </c>
      <c r="J30" s="1653" t="e">
        <f t="shared" si="11"/>
        <v>#DIV/0!</v>
      </c>
      <c r="K30" s="1654">
        <f>'BDGT ORI'!Q41</f>
        <v>91.233400770915964</v>
      </c>
      <c r="L30" s="1654">
        <f>+D30-K30</f>
        <v>-1.4333680287236206</v>
      </c>
      <c r="M30" s="1653">
        <f t="shared" si="12"/>
        <v>-1.5711000758623039E-2</v>
      </c>
      <c r="N30" s="1654">
        <f>'BDGT ORI'!N41</f>
        <v>91.36339970917723</v>
      </c>
      <c r="O30" s="1654">
        <f>+G30-N30</f>
        <v>-91.390673417704335</v>
      </c>
      <c r="P30" s="1653">
        <f>O30/N30</f>
        <v>-1.0002985189760223</v>
      </c>
      <c r="Q30" s="1654" t="e">
        <f>+'Comparacion (Sin BM)'!R80</f>
        <v>#REF!</v>
      </c>
      <c r="R30" s="1654"/>
      <c r="S30" s="1654" t="e">
        <f>#REF!-R30</f>
        <v>#REF!</v>
      </c>
      <c r="T30" s="1653" t="e">
        <f>S30/R30</f>
        <v>#REF!</v>
      </c>
      <c r="U30" s="1540"/>
      <c r="V30" s="1540"/>
    </row>
    <row r="31" spans="1:34" ht="12.75" hidden="1" customHeight="1">
      <c r="A31" s="1014"/>
      <c r="B31" s="1647" t="s">
        <v>175</v>
      </c>
      <c r="C31" s="1648" t="s">
        <v>100</v>
      </c>
      <c r="D31" s="1657">
        <f>+'Comparacion (Sin BM)'!Q43</f>
        <v>2526.0767397150457</v>
      </c>
      <c r="E31" s="1657">
        <f>+'Comparacion (Sin BM)'!R43</f>
        <v>1615.8935079268579</v>
      </c>
      <c r="F31" s="1651">
        <f>D31-E31</f>
        <v>910.18323178818787</v>
      </c>
      <c r="G31" s="1652">
        <f t="shared" si="2"/>
        <v>0.56326931652564483</v>
      </c>
      <c r="H31" s="1657">
        <f>+H97</f>
        <v>1682.5764846078841</v>
      </c>
      <c r="I31" s="1657">
        <f>+D31-H31</f>
        <v>843.50025510716159</v>
      </c>
      <c r="J31" s="1653">
        <f t="shared" si="11"/>
        <v>0.50131465809932263</v>
      </c>
      <c r="K31" s="1657" t="e">
        <f>+#REF!/0.54*1000</f>
        <v>#REF!</v>
      </c>
      <c r="L31" s="1657" t="e">
        <f>+D31-K31</f>
        <v>#REF!</v>
      </c>
      <c r="M31" s="1653" t="e">
        <f t="shared" si="12"/>
        <v>#REF!</v>
      </c>
      <c r="N31" s="1657" t="e">
        <f>+#REF!/0.54*1000</f>
        <v>#REF!</v>
      </c>
      <c r="O31" s="1657" t="e">
        <f>+D31-N31</f>
        <v>#REF!</v>
      </c>
      <c r="P31" s="1653" t="e">
        <f>O31/N31</f>
        <v>#REF!</v>
      </c>
      <c r="Q31" s="1657">
        <f>+BDGT!$P$39*1000</f>
        <v>1607.3811445301501</v>
      </c>
      <c r="R31" s="1657">
        <f>'0+12'!T42*1000</f>
        <v>4455.6345370144054</v>
      </c>
      <c r="S31" s="1657" t="e">
        <f>#REF!-R31</f>
        <v>#REF!</v>
      </c>
      <c r="T31" s="1653" t="e">
        <f>S31/R31</f>
        <v>#REF!</v>
      </c>
      <c r="U31" s="1539">
        <f>+'R+RP+OL'!S43*1000</f>
        <v>16876.955472542119</v>
      </c>
      <c r="V31" s="1539"/>
    </row>
    <row r="32" spans="1:34" ht="12.75" hidden="1" customHeight="1">
      <c r="B32" s="1677" t="s">
        <v>102</v>
      </c>
      <c r="C32" s="1678" t="s">
        <v>48</v>
      </c>
      <c r="D32" s="1679">
        <f>+'Comparacion (Sin BM)'!Q44</f>
        <v>48.603537799049718</v>
      </c>
      <c r="E32" s="1680">
        <f>+'Comparacion (Sin BM)'!R44</f>
        <v>50</v>
      </c>
      <c r="F32" s="1681">
        <f>D32-E32</f>
        <v>-1.3964622009502818</v>
      </c>
      <c r="G32" s="1682">
        <f t="shared" si="2"/>
        <v>-2.7929244019005636E-2</v>
      </c>
      <c r="H32" s="1680">
        <f>H98</f>
        <v>54</v>
      </c>
      <c r="I32" s="1680">
        <f>+D32-H32</f>
        <v>-5.3964622009502818</v>
      </c>
      <c r="J32" s="1683">
        <f t="shared" si="11"/>
        <v>-9.9934485202783002E-2</v>
      </c>
      <c r="K32" s="1680">
        <v>54</v>
      </c>
      <c r="L32" s="1680">
        <f>+D32-K32</f>
        <v>-5.3964622009502818</v>
      </c>
      <c r="M32" s="1683">
        <f t="shared" si="12"/>
        <v>-9.9934485202783002E-2</v>
      </c>
      <c r="N32" s="1680">
        <v>54</v>
      </c>
      <c r="O32" s="1680">
        <f>+D32-N32</f>
        <v>-5.3964622009502818</v>
      </c>
      <c r="P32" s="1683">
        <f>O32/N32</f>
        <v>-9.9934485202783002E-2</v>
      </c>
      <c r="Q32" s="1680">
        <f>+BDGT!$P$40</f>
        <v>54</v>
      </c>
      <c r="R32" s="1680">
        <f>'0+12'!T43</f>
        <v>54.000000000000014</v>
      </c>
      <c r="S32" s="1680" t="e">
        <f>#REF!-R32</f>
        <v>#REF!</v>
      </c>
      <c r="T32" s="1683" t="e">
        <f>S32/R32</f>
        <v>#REF!</v>
      </c>
      <c r="U32" s="1540">
        <f>+'R+RP+OL'!S44</f>
        <v>54.051646774735509</v>
      </c>
      <c r="V32" s="1540"/>
    </row>
    <row r="33" spans="1:27" ht="12.75" hidden="1" customHeight="1">
      <c r="B33" s="1647"/>
      <c r="C33" s="1648"/>
      <c r="D33" s="1655"/>
      <c r="E33" s="1654"/>
      <c r="F33" s="1651"/>
      <c r="G33" s="1660"/>
      <c r="H33" s="1654"/>
      <c r="I33" s="1651"/>
      <c r="J33" s="1661"/>
      <c r="K33" s="1654"/>
      <c r="L33" s="1651"/>
      <c r="M33" s="1661"/>
      <c r="N33" s="1654"/>
      <c r="O33" s="1651"/>
      <c r="P33" s="1661"/>
      <c r="Q33" s="1654"/>
      <c r="R33" s="1654"/>
      <c r="S33" s="1651"/>
      <c r="T33" s="1661"/>
      <c r="U33" s="1540"/>
      <c r="V33" s="1540"/>
    </row>
    <row r="34" spans="1:27" ht="12.75" hidden="1" customHeight="1">
      <c r="B34" s="1647" t="s">
        <v>176</v>
      </c>
      <c r="C34" s="1648" t="s">
        <v>177</v>
      </c>
      <c r="D34" s="1659">
        <f>+'Comparacion (Sin BM)'!Q46</f>
        <v>20.726944183805845</v>
      </c>
      <c r="E34" s="1657">
        <f>+'Comparacion (Sin BM)'!R46</f>
        <v>27.44514654815184</v>
      </c>
      <c r="F34" s="1651">
        <f>D34-E34</f>
        <v>-6.7182023643459949</v>
      </c>
      <c r="G34" s="1652">
        <f t="shared" si="2"/>
        <v>-0.244786536393933</v>
      </c>
      <c r="H34" s="1657">
        <f>+H100</f>
        <v>25.724093489482975</v>
      </c>
      <c r="I34" s="1657">
        <f>+D34-H34</f>
        <v>-4.9971493056771301</v>
      </c>
      <c r="J34" s="1653">
        <f>I34/H34</f>
        <v>-0.19425949092123157</v>
      </c>
      <c r="K34" s="1657">
        <f>+'BDGT ORI'!Q53</f>
        <v>25.040698017427651</v>
      </c>
      <c r="L34" s="1657">
        <f>+D34-K34</f>
        <v>-4.3137538336218064</v>
      </c>
      <c r="M34" s="1653">
        <f t="shared" si="12"/>
        <v>-0.17226971191536075</v>
      </c>
      <c r="N34" s="1657">
        <v>26.209680128696231</v>
      </c>
      <c r="O34" s="1657">
        <f>+D34-N34</f>
        <v>-5.4827359448903863</v>
      </c>
      <c r="P34" s="1653">
        <f>O34/N34</f>
        <v>-0.2091874421194288</v>
      </c>
      <c r="Q34" s="1657">
        <f>+BDGT!$P$54</f>
        <v>21.80157746890206</v>
      </c>
      <c r="R34" s="1657">
        <f>'0+12'!T57</f>
        <v>27.29009528920237</v>
      </c>
      <c r="S34" s="1657" t="e">
        <f>#REF!-R34</f>
        <v>#REF!</v>
      </c>
      <c r="T34" s="1653" t="e">
        <f>S34/R34</f>
        <v>#REF!</v>
      </c>
      <c r="U34" s="1539">
        <f>+'R+RP+OL'!S54</f>
        <v>23.015660734273368</v>
      </c>
      <c r="V34" s="1539"/>
    </row>
    <row r="35" spans="1:27" ht="12.75" hidden="1" customHeight="1">
      <c r="B35" s="1662" t="s">
        <v>178</v>
      </c>
      <c r="C35" s="1663" t="s">
        <v>177</v>
      </c>
      <c r="D35" s="1664">
        <f>+'Comparacion (Sin BM)'!Q47</f>
        <v>978.90255714948728</v>
      </c>
      <c r="E35" s="1664">
        <f>+'Comparacion (Sin BM)'!R47</f>
        <v>1264.0913954643502</v>
      </c>
      <c r="F35" s="1665">
        <f>D35-E35</f>
        <v>-285.18883831486289</v>
      </c>
      <c r="G35" s="1666">
        <f t="shared" si="2"/>
        <v>-0.22560776802859409</v>
      </c>
      <c r="H35" s="1664">
        <f>+H101</f>
        <v>1151.1531836543631</v>
      </c>
      <c r="I35" s="1664">
        <f>+D35-H35</f>
        <v>-172.25062650487587</v>
      </c>
      <c r="J35" s="1667">
        <f>I35/H35</f>
        <v>-0.14963310613281036</v>
      </c>
      <c r="K35" s="1664">
        <f>+'BDGT ORI'!Q54</f>
        <v>1001.627920697106</v>
      </c>
      <c r="L35" s="1664">
        <f>+D35-K35</f>
        <v>-22.725363547618713</v>
      </c>
      <c r="M35" s="1667">
        <f t="shared" si="12"/>
        <v>-2.2688428585140152E-2</v>
      </c>
      <c r="N35" s="1664">
        <v>1100.8065654052416</v>
      </c>
      <c r="O35" s="1664">
        <f>+D35-N35</f>
        <v>-121.90400825575432</v>
      </c>
      <c r="P35" s="1667">
        <f>O35/N35</f>
        <v>-0.11074062608890566</v>
      </c>
      <c r="Q35" s="1664">
        <f>+BDGT!$P$55</f>
        <v>872.06309875608235</v>
      </c>
      <c r="R35" s="1664">
        <f>'0+12'!T58</f>
        <v>1275.7294159215703</v>
      </c>
      <c r="S35" s="1664" t="e">
        <f>#REF!-R35</f>
        <v>#REF!</v>
      </c>
      <c r="T35" s="1667" t="e">
        <f>S35/R35</f>
        <v>#REF!</v>
      </c>
      <c r="U35" s="1541">
        <f>+'R+RP+OL'!S55</f>
        <v>996.32106728132931</v>
      </c>
      <c r="V35" s="1541"/>
      <c r="Z35" s="1676"/>
    </row>
    <row r="36" spans="1:27" ht="17.25" customHeight="1">
      <c r="B36" s="1021"/>
      <c r="C36" s="1022"/>
      <c r="D36" s="1023"/>
      <c r="E36" s="1024"/>
      <c r="F36" s="1025"/>
      <c r="G36" s="1026"/>
      <c r="H36" s="1025"/>
      <c r="I36" s="1025"/>
      <c r="J36" s="1026"/>
      <c r="K36" s="1025"/>
      <c r="L36" s="1025"/>
      <c r="M36" s="1026"/>
      <c r="N36" s="1026"/>
      <c r="O36" s="1026"/>
      <c r="P36" s="1026"/>
      <c r="Q36" s="1024"/>
    </row>
    <row r="37" spans="1:27" ht="17.25" customHeight="1">
      <c r="B37" s="1021"/>
      <c r="C37" s="1022"/>
      <c r="D37" s="1027"/>
      <c r="E37" s="1027"/>
      <c r="F37" s="1025"/>
      <c r="G37" s="1026"/>
      <c r="H37" s="1024"/>
      <c r="I37" s="1025"/>
      <c r="J37" s="1026"/>
      <c r="K37" s="1025"/>
      <c r="L37" s="1025"/>
      <c r="M37" s="1026"/>
      <c r="N37" s="1026"/>
      <c r="O37" s="1026"/>
      <c r="P37" s="1026"/>
      <c r="Q37" s="1025"/>
      <c r="AA37" s="1794"/>
    </row>
    <row r="38" spans="1:27" ht="17.25" customHeight="1">
      <c r="B38" s="1021"/>
      <c r="C38" s="1022"/>
      <c r="D38" s="1027"/>
      <c r="E38" s="1027"/>
      <c r="F38" s="1028"/>
      <c r="G38" s="1026"/>
      <c r="H38" s="1025"/>
      <c r="I38" s="1025"/>
      <c r="J38" s="1026"/>
      <c r="K38" s="1025"/>
      <c r="L38" s="1025"/>
      <c r="M38" s="1029"/>
      <c r="N38" s="1029"/>
      <c r="O38" s="1029"/>
      <c r="P38" s="1029"/>
      <c r="Q38" s="1025"/>
      <c r="U38" s="981">
        <v>1680</v>
      </c>
    </row>
    <row r="39" spans="1:27" ht="17.25" customHeight="1">
      <c r="B39" s="1021"/>
      <c r="C39" s="1022"/>
      <c r="D39" s="1027"/>
      <c r="E39" s="1025"/>
      <c r="F39" s="1401"/>
      <c r="G39" s="1030"/>
      <c r="H39" s="1025"/>
      <c r="I39" s="1025"/>
      <c r="J39" s="1026"/>
      <c r="K39" s="1025"/>
      <c r="L39" s="1025"/>
      <c r="M39" s="1029"/>
      <c r="N39" s="1029"/>
      <c r="O39" s="1029"/>
      <c r="P39" s="1029"/>
      <c r="Q39" s="1024"/>
      <c r="U39" s="1005">
        <f>+H12</f>
        <v>6933.2728220546342</v>
      </c>
      <c r="V39" s="981">
        <v>205</v>
      </c>
      <c r="X39" s="981">
        <f>+W39*U39+V40*U38</f>
        <v>320880</v>
      </c>
    </row>
    <row r="40" spans="1:27" ht="17.25" customHeight="1">
      <c r="B40" s="1021"/>
      <c r="C40" s="1022"/>
      <c r="D40" s="1027"/>
      <c r="E40" s="1025"/>
      <c r="F40" s="1025"/>
      <c r="G40" s="1026"/>
      <c r="H40" s="1025"/>
      <c r="I40" s="1025"/>
      <c r="J40" s="1026"/>
      <c r="K40" s="1025"/>
      <c r="L40" s="1025"/>
      <c r="M40" s="1026"/>
      <c r="N40" s="1026"/>
      <c r="O40" s="1026"/>
      <c r="P40" s="1026"/>
      <c r="Q40" s="1025"/>
      <c r="V40" s="981">
        <v>191</v>
      </c>
      <c r="X40" s="981">
        <f>+X39/H14</f>
        <v>36.691822717157009</v>
      </c>
    </row>
    <row r="41" spans="1:27" ht="17.25" customHeight="1">
      <c r="B41" s="1021"/>
      <c r="C41" s="1022"/>
      <c r="D41" s="1027"/>
      <c r="E41" s="1025"/>
      <c r="F41" s="1025"/>
      <c r="G41" s="1026"/>
      <c r="H41" s="1025"/>
      <c r="I41" s="1025"/>
      <c r="J41" s="1026"/>
      <c r="K41" s="1025"/>
      <c r="L41" s="1025"/>
      <c r="M41" s="1026"/>
      <c r="N41" s="1026"/>
      <c r="O41" s="1026"/>
      <c r="P41" s="1026"/>
      <c r="Q41" s="1025"/>
    </row>
    <row r="42" spans="1:27" ht="17.25" customHeight="1" thickBot="1">
      <c r="A42" s="980" t="s">
        <v>179</v>
      </c>
      <c r="D42" s="1468"/>
      <c r="E42" s="1468"/>
      <c r="K42" s="1468"/>
      <c r="Q42" s="1468"/>
    </row>
    <row r="43" spans="1:27" ht="17.25" customHeight="1" thickBot="1">
      <c r="A43" s="1031">
        <v>2595</v>
      </c>
      <c r="B43" s="1032" t="str">
        <f>CONCATENATE("Inventario cierre mes CuF= ",A43,"TMF")</f>
        <v>Inventario cierre mes CuF= 2595TMF</v>
      </c>
      <c r="D43" s="986"/>
      <c r="E43" s="983" t="s">
        <v>180</v>
      </c>
      <c r="F43" s="983"/>
      <c r="G43" s="983"/>
      <c r="H43" s="984" t="s">
        <v>181</v>
      </c>
      <c r="I43" s="984"/>
      <c r="J43" s="984"/>
      <c r="K43" s="4756" t="s">
        <v>182</v>
      </c>
      <c r="L43" s="4757"/>
      <c r="M43" s="4758"/>
      <c r="N43" s="985" t="s">
        <v>183</v>
      </c>
      <c r="O43" s="987" t="s">
        <v>184</v>
      </c>
      <c r="P43" s="988"/>
      <c r="Q43" s="989"/>
    </row>
    <row r="44" spans="1:27" ht="17.25" customHeight="1">
      <c r="A44" s="1005"/>
      <c r="B44" s="986"/>
      <c r="C44" s="990" t="s">
        <v>159</v>
      </c>
      <c r="D44" s="991" t="s">
        <v>185</v>
      </c>
      <c r="E44" s="1260" t="s">
        <v>186</v>
      </c>
      <c r="F44" s="1260" t="s">
        <v>10</v>
      </c>
      <c r="G44" s="1260" t="s">
        <v>161</v>
      </c>
      <c r="H44" s="1261" t="s">
        <v>187</v>
      </c>
      <c r="I44" s="1261" t="s">
        <v>10</v>
      </c>
      <c r="J44" s="1261" t="s">
        <v>161</v>
      </c>
      <c r="K44" s="1260" t="s">
        <v>188</v>
      </c>
      <c r="L44" s="1260" t="s">
        <v>10</v>
      </c>
      <c r="M44" s="1260" t="s">
        <v>161</v>
      </c>
      <c r="N44" s="1262" t="s">
        <v>47</v>
      </c>
      <c r="O44" s="992" t="s">
        <v>189</v>
      </c>
      <c r="P44" s="992" t="s">
        <v>10</v>
      </c>
      <c r="Q44" s="992" t="s">
        <v>161</v>
      </c>
    </row>
    <row r="45" spans="1:27" ht="17.25" customHeight="1">
      <c r="B45" s="1276" t="s">
        <v>59</v>
      </c>
      <c r="C45" s="1277" t="s">
        <v>53</v>
      </c>
      <c r="D45" s="1278">
        <f>'R+RP+B'!$F$10</f>
        <v>18.9589961662154</v>
      </c>
      <c r="E45" s="1279">
        <f>+'Comparacion (Sin BM)'!R14</f>
        <v>28.318351668204937</v>
      </c>
      <c r="F45" s="1279">
        <f t="shared" ref="F45:F50" si="13">D45-E45</f>
        <v>-9.3593555019895369</v>
      </c>
      <c r="G45" s="1280">
        <f t="shared" ref="G45:G50" si="14">F45/E45</f>
        <v>-0.33050495352446529</v>
      </c>
      <c r="H45" s="1279">
        <f>H4</f>
        <v>29.514270813981621</v>
      </c>
      <c r="I45" s="1279">
        <f t="shared" ref="I45:I50" si="15">+D45-H45</f>
        <v>-10.555274647766222</v>
      </c>
      <c r="J45" s="1280">
        <f t="shared" ref="J45:J50" si="16">I45/H45</f>
        <v>-0.35763291305052108</v>
      </c>
      <c r="K45" s="1279" t="e">
        <f>#REF!</f>
        <v>#REF!</v>
      </c>
      <c r="L45" s="1279" t="e">
        <f t="shared" ref="L45:L50" si="17">+D45-K45</f>
        <v>#REF!</v>
      </c>
      <c r="M45" s="1280" t="e">
        <f>L45/K45</f>
        <v>#REF!</v>
      </c>
      <c r="N45" s="1279">
        <f>+BDGT!$E$7</f>
        <v>21.015980190531806</v>
      </c>
      <c r="O45" s="1279" t="e">
        <f>#REF!</f>
        <v>#REF!</v>
      </c>
      <c r="P45" s="1279" t="e">
        <f>#REF!-O45</f>
        <v>#REF!</v>
      </c>
      <c r="Q45" s="1280" t="e">
        <f>P45/O45</f>
        <v>#REF!</v>
      </c>
    </row>
    <row r="46" spans="1:27" ht="17.25" hidden="1" customHeight="1">
      <c r="B46" s="994" t="s">
        <v>61</v>
      </c>
      <c r="C46" s="995" t="s">
        <v>53</v>
      </c>
      <c r="D46" s="996">
        <f>'R+RP+B'!$F$11</f>
        <v>17.834986793799999</v>
      </c>
      <c r="E46" s="997">
        <f>+'Comparacion (Sin BM)'!R15</f>
        <v>27.229795292946367</v>
      </c>
      <c r="F46" s="997">
        <f t="shared" si="13"/>
        <v>-9.3948084991463681</v>
      </c>
      <c r="G46" s="998">
        <f t="shared" si="14"/>
        <v>-0.34501943176855276</v>
      </c>
      <c r="H46" s="997" t="e">
        <f>#REF!</f>
        <v>#REF!</v>
      </c>
      <c r="I46" s="997" t="e">
        <f t="shared" si="15"/>
        <v>#REF!</v>
      </c>
      <c r="J46" s="998" t="e">
        <f t="shared" si="16"/>
        <v>#REF!</v>
      </c>
      <c r="K46" s="997" t="e">
        <f>#REF!</f>
        <v>#REF!</v>
      </c>
      <c r="L46" s="997" t="e">
        <f t="shared" si="17"/>
        <v>#REF!</v>
      </c>
      <c r="M46" s="998" t="e">
        <f t="shared" ref="M46:M52" si="18">L46/K46</f>
        <v>#REF!</v>
      </c>
      <c r="N46" s="997">
        <f>+N45*Factores!$D$7</f>
        <v>20.217372943291597</v>
      </c>
      <c r="O46" s="997" t="e">
        <f>#REF!</f>
        <v>#REF!</v>
      </c>
      <c r="P46" s="997" t="e">
        <f>#REF!-O46</f>
        <v>#REF!</v>
      </c>
      <c r="Q46" s="999" t="e">
        <f t="shared" ref="Q46:Q73" si="19">P46/O46</f>
        <v>#REF!</v>
      </c>
    </row>
    <row r="47" spans="1:27" ht="17.25" customHeight="1">
      <c r="B47" s="994" t="s">
        <v>63</v>
      </c>
      <c r="C47" s="995" t="s">
        <v>53</v>
      </c>
      <c r="D47" s="996">
        <f>'R+RP+B'!$F$11</f>
        <v>17.834986793799999</v>
      </c>
      <c r="E47" s="997">
        <f>+'Comparacion (Sin BM)'!R16</f>
        <v>27.229795292946367</v>
      </c>
      <c r="F47" s="997">
        <f t="shared" si="13"/>
        <v>-9.3948084991463681</v>
      </c>
      <c r="G47" s="998">
        <f t="shared" si="14"/>
        <v>-0.34501943176855276</v>
      </c>
      <c r="H47" s="997">
        <f>H5</f>
        <v>28.422384713002526</v>
      </c>
      <c r="I47" s="997">
        <f t="shared" si="15"/>
        <v>-10.587397919202527</v>
      </c>
      <c r="J47" s="998">
        <f t="shared" si="16"/>
        <v>-0.37250209741757029</v>
      </c>
      <c r="K47" s="997" t="e">
        <f>#REF!</f>
        <v>#REF!</v>
      </c>
      <c r="L47" s="997" t="e">
        <f t="shared" si="17"/>
        <v>#REF!</v>
      </c>
      <c r="M47" s="998" t="e">
        <f t="shared" si="18"/>
        <v>#REF!</v>
      </c>
      <c r="N47" s="997">
        <f>+N46</f>
        <v>20.217372943291597</v>
      </c>
      <c r="O47" s="997" t="e">
        <f>#REF!</f>
        <v>#REF!</v>
      </c>
      <c r="P47" s="997" t="e">
        <f>#REF!-O47</f>
        <v>#REF!</v>
      </c>
      <c r="Q47" s="999" t="e">
        <f t="shared" si="19"/>
        <v>#REF!</v>
      </c>
    </row>
    <row r="48" spans="1:27" ht="17.25" customHeight="1">
      <c r="B48" s="1276" t="s">
        <v>66</v>
      </c>
      <c r="C48" s="1277" t="s">
        <v>53</v>
      </c>
      <c r="D48" s="1278">
        <f>'R+RP+B'!$F$12</f>
        <v>0.62602317193478396</v>
      </c>
      <c r="E48" s="1279">
        <f>+'Comparacion (Sin BM)'!R18</f>
        <v>0.80794675396342897</v>
      </c>
      <c r="F48" s="1279">
        <f t="shared" si="13"/>
        <v>-0.181923582028645</v>
      </c>
      <c r="G48" s="1280">
        <f t="shared" si="14"/>
        <v>-0.22516778628815387</v>
      </c>
      <c r="H48" s="1279">
        <f>H6</f>
        <v>1.0603706209881529</v>
      </c>
      <c r="I48" s="1279">
        <f t="shared" si="15"/>
        <v>-0.43434744905336897</v>
      </c>
      <c r="J48" s="1280">
        <f t="shared" si="16"/>
        <v>-0.40961852436896379</v>
      </c>
      <c r="K48" s="1279" t="e">
        <f>#REF!</f>
        <v>#REF!</v>
      </c>
      <c r="L48" s="1279" t="e">
        <f t="shared" si="17"/>
        <v>#REF!</v>
      </c>
      <c r="M48" s="1280" t="e">
        <f t="shared" si="18"/>
        <v>#REF!</v>
      </c>
      <c r="N48" s="1279">
        <f>+BDGT!$E$9</f>
        <v>0.53762881629602677</v>
      </c>
      <c r="O48" s="1279" t="e">
        <f>#REF!</f>
        <v>#REF!</v>
      </c>
      <c r="P48" s="1279" t="e">
        <f>#REF!-O48</f>
        <v>#REF!</v>
      </c>
      <c r="Q48" s="1280" t="e">
        <f t="shared" si="19"/>
        <v>#REF!</v>
      </c>
    </row>
    <row r="49" spans="2:17" ht="17.25" hidden="1" customHeight="1">
      <c r="B49" s="994" t="s">
        <v>68</v>
      </c>
      <c r="C49" s="995" t="s">
        <v>53</v>
      </c>
      <c r="D49" s="996">
        <f>'R+RP+B'!$F$13</f>
        <v>0.64356690000000005</v>
      </c>
      <c r="E49" s="997">
        <f>+'Comparacion (Sin BM)'!R19</f>
        <v>0.8767887836467676</v>
      </c>
      <c r="F49" s="997">
        <f t="shared" si="13"/>
        <v>-0.23322188364676755</v>
      </c>
      <c r="G49" s="998">
        <f t="shared" si="14"/>
        <v>-0.26599551453742798</v>
      </c>
      <c r="H49" s="997">
        <f>H7</f>
        <v>1.0497934240437963</v>
      </c>
      <c r="I49" s="997">
        <f t="shared" si="15"/>
        <v>-0.40622652404379622</v>
      </c>
      <c r="J49" s="998">
        <f t="shared" si="16"/>
        <v>-0.3869585336884801</v>
      </c>
      <c r="K49" s="997" t="e">
        <f>#REF!</f>
        <v>#REF!</v>
      </c>
      <c r="L49" s="1002" t="e">
        <f t="shared" si="17"/>
        <v>#REF!</v>
      </c>
      <c r="M49" s="998" t="e">
        <f t="shared" si="18"/>
        <v>#REF!</v>
      </c>
      <c r="N49" s="997">
        <f>+N48*Factores!$D$8</f>
        <v>0.53494067221454666</v>
      </c>
      <c r="O49" s="997" t="e">
        <f>#REF!</f>
        <v>#REF!</v>
      </c>
      <c r="P49" s="997" t="e">
        <f>#REF!-O49</f>
        <v>#REF!</v>
      </c>
      <c r="Q49" s="998" t="e">
        <f t="shared" si="19"/>
        <v>#REF!</v>
      </c>
    </row>
    <row r="50" spans="2:17" ht="17.25" customHeight="1">
      <c r="B50" s="994" t="s">
        <v>69</v>
      </c>
      <c r="C50" s="995" t="s">
        <v>53</v>
      </c>
      <c r="D50" s="996">
        <f>'R+RP+B'!$F$13</f>
        <v>0.64356690000000005</v>
      </c>
      <c r="E50" s="997">
        <f>+'Comparacion (Sin BM)'!R20</f>
        <v>0.8767887836467676</v>
      </c>
      <c r="F50" s="997">
        <f t="shared" si="13"/>
        <v>-0.23322188364676755</v>
      </c>
      <c r="G50" s="998">
        <f t="shared" si="14"/>
        <v>-0.26599551453742798</v>
      </c>
      <c r="H50" s="997">
        <f>H8</f>
        <v>1.0497934240437963</v>
      </c>
      <c r="I50" s="997">
        <f t="shared" si="15"/>
        <v>-0.40622652404379622</v>
      </c>
      <c r="J50" s="998">
        <f t="shared" si="16"/>
        <v>-0.3869585336884801</v>
      </c>
      <c r="K50" s="997" t="e">
        <f>#REF!</f>
        <v>#REF!</v>
      </c>
      <c r="L50" s="997" t="e">
        <f t="shared" si="17"/>
        <v>#REF!</v>
      </c>
      <c r="M50" s="998" t="e">
        <f t="shared" si="18"/>
        <v>#REF!</v>
      </c>
      <c r="N50" s="997">
        <f>+N49</f>
        <v>0.53494067221454666</v>
      </c>
      <c r="O50" s="997" t="e">
        <f>#REF!</f>
        <v>#REF!</v>
      </c>
      <c r="P50" s="997" t="e">
        <f>#REF!-O50</f>
        <v>#REF!</v>
      </c>
      <c r="Q50" s="998" t="e">
        <f t="shared" si="19"/>
        <v>#REF!</v>
      </c>
    </row>
    <row r="51" spans="2:17" ht="17.25" customHeight="1">
      <c r="B51" s="994"/>
      <c r="C51" s="995"/>
      <c r="D51" s="1003"/>
      <c r="E51" s="1004"/>
      <c r="F51" s="1002"/>
      <c r="G51" s="998"/>
      <c r="H51" s="1004"/>
      <c r="I51" s="1002"/>
      <c r="J51" s="998"/>
      <c r="K51" s="1004"/>
      <c r="L51" s="1002"/>
      <c r="M51" s="998"/>
      <c r="N51" s="1004"/>
      <c r="O51" s="1004"/>
      <c r="P51" s="1002"/>
      <c r="Q51" s="998"/>
    </row>
    <row r="52" spans="2:17" ht="17.25" hidden="1" customHeight="1">
      <c r="B52" s="994" t="s">
        <v>118</v>
      </c>
      <c r="C52" s="995" t="s">
        <v>53</v>
      </c>
      <c r="D52" s="1006" t="e">
        <f>'R+RP+B'!#REF!</f>
        <v>#REF!</v>
      </c>
      <c r="E52" s="1006" t="e">
        <f>#REF!</f>
        <v>#REF!</v>
      </c>
      <c r="F52" s="1006" t="e">
        <f t="shared" ref="F52:F58" si="20">D52-E52</f>
        <v>#REF!</v>
      </c>
      <c r="G52" s="998" t="e">
        <f t="shared" ref="G52:G58" si="21">F52/E52</f>
        <v>#REF!</v>
      </c>
      <c r="H52" s="1006" t="e">
        <f>#REF!</f>
        <v>#REF!</v>
      </c>
      <c r="I52" s="1006" t="e">
        <f t="shared" ref="I52:I58" si="22">+D52-H52</f>
        <v>#REF!</v>
      </c>
      <c r="J52" s="998" t="e">
        <f t="shared" ref="J52:J58" si="23">I52/H52</f>
        <v>#REF!</v>
      </c>
      <c r="K52" s="1006" t="e">
        <f>#REF!</f>
        <v>#REF!</v>
      </c>
      <c r="L52" s="1006" t="e">
        <f t="shared" ref="L52:L58" si="24">+D52-K52</f>
        <v>#REF!</v>
      </c>
      <c r="M52" s="998" t="e">
        <f t="shared" si="18"/>
        <v>#REF!</v>
      </c>
      <c r="N52" s="1006" t="e">
        <f>+BDGT!#REF!</f>
        <v>#REF!</v>
      </c>
      <c r="O52" s="1006" t="e">
        <f>#REF!</f>
        <v>#REF!</v>
      </c>
      <c r="P52" s="1006" t="e">
        <f>#REF!-O52</f>
        <v>#REF!</v>
      </c>
      <c r="Q52" s="999" t="e">
        <f t="shared" si="19"/>
        <v>#REF!</v>
      </c>
    </row>
    <row r="53" spans="2:17" ht="17.25" customHeight="1">
      <c r="B53" s="994" t="s">
        <v>78</v>
      </c>
      <c r="C53" s="995" t="s">
        <v>53</v>
      </c>
      <c r="D53" s="1006">
        <f>'R+RP+B'!$F$15</f>
        <v>3982.39335865362</v>
      </c>
      <c r="E53" s="1006">
        <f>+'Comparacion (Sin BM)'!R27</f>
        <v>5857.198775683828</v>
      </c>
      <c r="F53" s="1006">
        <f t="shared" si="20"/>
        <v>-1874.805417030208</v>
      </c>
      <c r="G53" s="998">
        <f t="shared" si="21"/>
        <v>-0.32008567385718006</v>
      </c>
      <c r="H53" s="1006">
        <f>$H$10</f>
        <v>5835.7550737654183</v>
      </c>
      <c r="I53" s="1006">
        <f t="shared" si="22"/>
        <v>-1853.3617151117983</v>
      </c>
      <c r="J53" s="998">
        <f t="shared" si="23"/>
        <v>-0.31758730304559357</v>
      </c>
      <c r="K53" s="1006" t="e">
        <f>#REF!</f>
        <v>#REF!</v>
      </c>
      <c r="L53" s="1006" t="e">
        <f t="shared" si="24"/>
        <v>#REF!</v>
      </c>
      <c r="M53" s="998" t="e">
        <f t="shared" ref="M53:M58" si="25">L53/K53</f>
        <v>#REF!</v>
      </c>
      <c r="N53" s="1006">
        <f>+BDGT!$E$12</f>
        <v>4946.105492214976</v>
      </c>
      <c r="O53" s="1006" t="e">
        <f>#REF!</f>
        <v>#REF!</v>
      </c>
      <c r="P53" s="1006" t="e">
        <f>#REF!-O53</f>
        <v>#REF!</v>
      </c>
      <c r="Q53" s="998" t="e">
        <f t="shared" si="19"/>
        <v>#REF!</v>
      </c>
    </row>
    <row r="54" spans="2:17" ht="17.25" customHeight="1">
      <c r="B54" s="994" t="s">
        <v>79</v>
      </c>
      <c r="C54" s="995" t="s">
        <v>75</v>
      </c>
      <c r="D54" s="1006">
        <f>'R+RP+B'!$F$16</f>
        <v>130.57027405421704</v>
      </c>
      <c r="E54" s="1006">
        <f>+'Comparacion (Sin BM)'!R28</f>
        <v>188.94189598980088</v>
      </c>
      <c r="F54" s="1006">
        <f t="shared" si="20"/>
        <v>-58.371621935583846</v>
      </c>
      <c r="G54" s="998">
        <f t="shared" si="21"/>
        <v>-0.30893953736303542</v>
      </c>
      <c r="H54" s="1006">
        <f>$H$11</f>
        <v>188.25016366985221</v>
      </c>
      <c r="I54" s="1006">
        <f t="shared" si="22"/>
        <v>-57.679889615635176</v>
      </c>
      <c r="J54" s="998">
        <f t="shared" si="23"/>
        <v>-0.30640020965289849</v>
      </c>
      <c r="K54" s="1006" t="e">
        <f>#REF!</f>
        <v>#REF!</v>
      </c>
      <c r="L54" s="1006" t="e">
        <f t="shared" si="24"/>
        <v>#REF!</v>
      </c>
      <c r="M54" s="998" t="e">
        <f t="shared" si="25"/>
        <v>#REF!</v>
      </c>
      <c r="N54" s="1006">
        <f>+BDGT!$E$13</f>
        <v>159.55179007145085</v>
      </c>
      <c r="O54" s="1006" t="e">
        <f>#REF!</f>
        <v>#REF!</v>
      </c>
      <c r="P54" s="1006" t="e">
        <f>#REF!-O54</f>
        <v>#REF!</v>
      </c>
      <c r="Q54" s="998" t="e">
        <f t="shared" si="19"/>
        <v>#REF!</v>
      </c>
    </row>
    <row r="55" spans="2:17" ht="17.25" customHeight="1">
      <c r="B55" s="994" t="s">
        <v>80</v>
      </c>
      <c r="C55" s="995" t="s">
        <v>81</v>
      </c>
      <c r="D55" s="1006">
        <f>'R+RP+B'!$F$17</f>
        <v>8392.9974470560392</v>
      </c>
      <c r="E55" s="1006">
        <f>+'Comparacion (Sin BM)'!R29</f>
        <v>8502.7681772494343</v>
      </c>
      <c r="F55" s="1006">
        <f t="shared" si="20"/>
        <v>-109.77073019339514</v>
      </c>
      <c r="G55" s="998">
        <f t="shared" si="21"/>
        <v>-1.2909999179691259E-2</v>
      </c>
      <c r="H55" s="1006">
        <f>$H$12</f>
        <v>6933.2728220546342</v>
      </c>
      <c r="I55" s="1006">
        <f t="shared" si="22"/>
        <v>1459.724625001405</v>
      </c>
      <c r="J55" s="998">
        <f t="shared" si="23"/>
        <v>0.21053904302713192</v>
      </c>
      <c r="K55" s="1006" t="e">
        <f>#REF!</f>
        <v>#REF!</v>
      </c>
      <c r="L55" s="1006" t="e">
        <f t="shared" si="24"/>
        <v>#REF!</v>
      </c>
      <c r="M55" s="998" t="e">
        <f t="shared" si="25"/>
        <v>#REF!</v>
      </c>
      <c r="N55" s="1006">
        <f>+BDGT!$E$14</f>
        <v>8265.9604642988343</v>
      </c>
      <c r="O55" s="1006" t="e">
        <f>#REF!</f>
        <v>#REF!</v>
      </c>
      <c r="P55" s="1006" t="e">
        <f>#REF!-O55</f>
        <v>#REF!</v>
      </c>
      <c r="Q55" s="998" t="e">
        <f>P55/O55</f>
        <v>#REF!</v>
      </c>
    </row>
    <row r="56" spans="2:17" ht="17.25" customHeight="1">
      <c r="B56" s="994" t="s">
        <v>82</v>
      </c>
      <c r="C56" s="995" t="s">
        <v>48</v>
      </c>
      <c r="D56" s="1009" t="str">
        <f>'R+RP+B'!$F$18</f>
        <v/>
      </c>
      <c r="E56" s="1009">
        <f>+'Comparacion (Sin BM)'!R30</f>
        <v>73.985882319413648</v>
      </c>
      <c r="F56" s="1009" t="e">
        <f t="shared" si="20"/>
        <v>#VALUE!</v>
      </c>
      <c r="G56" s="998" t="e">
        <f t="shared" si="21"/>
        <v>#VALUE!</v>
      </c>
      <c r="H56" s="1009">
        <f>$H$15</f>
        <v>0</v>
      </c>
      <c r="I56" s="1010" t="e">
        <f t="shared" si="22"/>
        <v>#VALUE!</v>
      </c>
      <c r="J56" s="998" t="e">
        <f t="shared" si="23"/>
        <v>#VALUE!</v>
      </c>
      <c r="K56" s="1010" t="e">
        <f>#REF!</f>
        <v>#REF!</v>
      </c>
      <c r="L56" s="1006" t="e">
        <f t="shared" si="24"/>
        <v>#VALUE!</v>
      </c>
      <c r="M56" s="998" t="e">
        <f t="shared" si="25"/>
        <v>#VALUE!</v>
      </c>
      <c r="N56" s="1010">
        <f>+BDGT!$E$17</f>
        <v>0</v>
      </c>
      <c r="O56" s="1002" t="e">
        <f>#REF!</f>
        <v>#REF!</v>
      </c>
      <c r="P56" s="1002" t="e">
        <f>#REF!-O56</f>
        <v>#REF!</v>
      </c>
      <c r="Q56" s="998" t="e">
        <f t="shared" si="19"/>
        <v>#REF!</v>
      </c>
    </row>
    <row r="57" spans="2:17" ht="17.25" customHeight="1">
      <c r="B57" s="994" t="s">
        <v>83</v>
      </c>
      <c r="C57" s="995" t="s">
        <v>84</v>
      </c>
      <c r="D57" s="1009">
        <f>'R+RP+B'!$F$20</f>
        <v>4.903292918675187</v>
      </c>
      <c r="E57" s="1009">
        <f>+'Comparacion (Sin BM)'!R31</f>
        <v>4.202866572472935</v>
      </c>
      <c r="F57" s="1006">
        <f t="shared" si="20"/>
        <v>0.70042634620225197</v>
      </c>
      <c r="G57" s="998">
        <f>F57/E57</f>
        <v>0.16665443314088518</v>
      </c>
      <c r="H57" s="1009">
        <f>$H$17</f>
        <v>4.1504745365351701</v>
      </c>
      <c r="I57" s="1002">
        <f t="shared" si="22"/>
        <v>0.75281838214001695</v>
      </c>
      <c r="J57" s="998">
        <f t="shared" si="23"/>
        <v>0.18138127954122379</v>
      </c>
      <c r="K57" s="1009" t="e">
        <f>#REF!</f>
        <v>#REF!</v>
      </c>
      <c r="L57" s="1002" t="e">
        <f t="shared" si="24"/>
        <v>#REF!</v>
      </c>
      <c r="M57" s="998" t="e">
        <f t="shared" si="25"/>
        <v>#REF!</v>
      </c>
      <c r="N57" s="1009">
        <f>+BDGT!$E$19</f>
        <v>4.1268847263814763</v>
      </c>
      <c r="O57" s="1006" t="e">
        <f>#REF!</f>
        <v>#REF!</v>
      </c>
      <c r="P57" s="1002" t="e">
        <f>#REF!-O57</f>
        <v>#REF!</v>
      </c>
      <c r="Q57" s="998" t="e">
        <f t="shared" si="19"/>
        <v>#REF!</v>
      </c>
    </row>
    <row r="58" spans="2:17" ht="17.25" customHeight="1">
      <c r="B58" s="994" t="s">
        <v>85</v>
      </c>
      <c r="C58" s="995" t="s">
        <v>48</v>
      </c>
      <c r="D58" s="1011">
        <f>'R+RP+B'!$F$21</f>
        <v>64.821038251366119</v>
      </c>
      <c r="E58" s="1011">
        <f>+'Comparacion (Sin BM)'!R32</f>
        <v>92.650688634835248</v>
      </c>
      <c r="F58" s="1002">
        <f t="shared" si="20"/>
        <v>-27.829650383469129</v>
      </c>
      <c r="G58" s="998">
        <f t="shared" si="21"/>
        <v>-0.30037175970870877</v>
      </c>
      <c r="H58" s="1002">
        <f>$H$18</f>
        <v>0</v>
      </c>
      <c r="I58" s="1002">
        <f t="shared" si="22"/>
        <v>64.821038251366119</v>
      </c>
      <c r="J58" s="998" t="e">
        <f t="shared" si="23"/>
        <v>#DIV/0!</v>
      </c>
      <c r="K58" s="1002" t="e">
        <f>#REF!</f>
        <v>#REF!</v>
      </c>
      <c r="L58" s="1002" t="e">
        <f t="shared" si="24"/>
        <v>#REF!</v>
      </c>
      <c r="M58" s="998" t="e">
        <f t="shared" si="25"/>
        <v>#REF!</v>
      </c>
      <c r="N58" s="1002">
        <f>+BDGT!$E$20</f>
        <v>0.80480205806652028</v>
      </c>
      <c r="O58" s="1002" t="e">
        <f>#REF!</f>
        <v>#REF!</v>
      </c>
      <c r="P58" s="1002" t="e">
        <f>#REF!-O58</f>
        <v>#REF!</v>
      </c>
      <c r="Q58" s="998" t="e">
        <f t="shared" si="19"/>
        <v>#REF!</v>
      </c>
    </row>
    <row r="59" spans="2:17" ht="17.25" customHeight="1">
      <c r="B59" s="994"/>
      <c r="C59" s="995"/>
      <c r="D59" s="1011"/>
      <c r="E59" s="1011"/>
      <c r="F59" s="1002"/>
      <c r="G59" s="1013"/>
      <c r="H59" s="1002"/>
      <c r="I59" s="1010"/>
      <c r="J59" s="998"/>
      <c r="K59" s="1002"/>
      <c r="L59" s="1010"/>
      <c r="M59" s="998"/>
      <c r="N59" s="1002"/>
      <c r="O59" s="1002"/>
      <c r="P59" s="1002"/>
      <c r="Q59" s="998"/>
    </row>
    <row r="60" spans="2:17" ht="17.25" customHeight="1">
      <c r="B60" s="994" t="s">
        <v>89</v>
      </c>
      <c r="C60" s="995" t="s">
        <v>48</v>
      </c>
      <c r="D60" s="996">
        <f>'R+RP+B'!$F$29</f>
        <v>0.52516576586130848</v>
      </c>
      <c r="E60" s="1827">
        <f>+'Comparacion (Sin BM)'!R34</f>
        <v>0.5354493276828427</v>
      </c>
      <c r="F60" s="1828">
        <f>D60-E60</f>
        <v>-1.0283561821534226E-2</v>
      </c>
      <c r="G60" s="1829">
        <f>F60/E60</f>
        <v>-1.9205480873486846E-2</v>
      </c>
      <c r="H60" s="1827">
        <f>H22</f>
        <v>0.56048276877845449</v>
      </c>
      <c r="I60" s="1002">
        <f>+D60-H60</f>
        <v>-3.5317002917146012E-2</v>
      </c>
      <c r="J60" s="998">
        <f>I60/H60</f>
        <v>-6.3011755016336615E-2</v>
      </c>
      <c r="K60" s="1004" t="e">
        <f>#REF!</f>
        <v>#REF!</v>
      </c>
      <c r="L60" s="1002" t="e">
        <f>+D60-K60</f>
        <v>#REF!</v>
      </c>
      <c r="M60" s="998" t="e">
        <f>L60/K60</f>
        <v>#REF!</v>
      </c>
      <c r="N60" s="1004">
        <f>+BDGT!$E$29</f>
        <v>0.47367571505916883</v>
      </c>
      <c r="O60" s="1004" t="e">
        <f>#REF!</f>
        <v>#REF!</v>
      </c>
      <c r="P60" s="1002" t="e">
        <f>#REF!-O60</f>
        <v>#REF!</v>
      </c>
      <c r="Q60" s="998" t="e">
        <f t="shared" si="19"/>
        <v>#REF!</v>
      </c>
    </row>
    <row r="61" spans="2:17" ht="17.25" customHeight="1">
      <c r="B61" s="994" t="s">
        <v>90</v>
      </c>
      <c r="C61" s="995" t="s">
        <v>48</v>
      </c>
      <c r="D61" s="996">
        <f>'R+RP+B'!$F$30</f>
        <v>90.651454325273122</v>
      </c>
      <c r="E61" s="996">
        <f>+'Comparacion (Sin BM)'!R35</f>
        <v>90.294153352101702</v>
      </c>
      <c r="F61" s="996">
        <f>D61-E61</f>
        <v>0.3573009731714194</v>
      </c>
      <c r="G61" s="998">
        <f>F61/E61</f>
        <v>3.957077616954064E-3</v>
      </c>
      <c r="H61" s="996">
        <f>H23</f>
        <v>90.23452493939709</v>
      </c>
      <c r="I61" s="996">
        <f>+D61-H61</f>
        <v>0.41692938587603123</v>
      </c>
      <c r="J61" s="998">
        <f>I61/H61</f>
        <v>4.6205084601049044E-3</v>
      </c>
      <c r="K61" s="996" t="e">
        <f>#REF!</f>
        <v>#REF!</v>
      </c>
      <c r="L61" s="997" t="e">
        <f>+D61-K61</f>
        <v>#REF!</v>
      </c>
      <c r="M61" s="1013" t="e">
        <f>L61/K61</f>
        <v>#REF!</v>
      </c>
      <c r="N61" s="996">
        <f>+BDGT!$E$30</f>
        <v>89.702625819593848</v>
      </c>
      <c r="O61" s="1011" t="e">
        <f>#REF!</f>
        <v>#REF!</v>
      </c>
      <c r="P61" s="1011" t="e">
        <f>#REF!-O61</f>
        <v>#REF!</v>
      </c>
      <c r="Q61" s="999" t="e">
        <f t="shared" si="19"/>
        <v>#REF!</v>
      </c>
    </row>
    <row r="62" spans="2:17" ht="17.25" customHeight="1">
      <c r="B62" s="994" t="s">
        <v>92</v>
      </c>
      <c r="C62" s="995" t="s">
        <v>53</v>
      </c>
      <c r="D62" s="1009">
        <f>'R+RP+B'!$F$31</f>
        <v>70.931306150247394</v>
      </c>
      <c r="E62" s="1009">
        <f>+'Comparacion (Sin BM)'!R36</f>
        <v>105.7534669311305</v>
      </c>
      <c r="F62" s="1002">
        <f>D62-E62</f>
        <v>-34.82216078088311</v>
      </c>
      <c r="G62" s="998">
        <f>F62/E62</f>
        <v>-0.32927677731416821</v>
      </c>
      <c r="H62" s="1009">
        <f>H24</f>
        <v>105.71507194799014</v>
      </c>
      <c r="I62" s="1010">
        <f>+D62-H62</f>
        <v>-34.783765797742745</v>
      </c>
      <c r="J62" s="998">
        <f>I62/H62</f>
        <v>-0.32903317527755849</v>
      </c>
      <c r="K62" s="1002" t="e">
        <f>#REF!</f>
        <v>#REF!</v>
      </c>
      <c r="L62" s="1010" t="e">
        <f>+D62-K62</f>
        <v>#REF!</v>
      </c>
      <c r="M62" s="998" t="e">
        <f>L62/K62</f>
        <v>#REF!</v>
      </c>
      <c r="N62" s="1009">
        <f>+BDGT!$E$32</f>
        <v>75.828368544702712</v>
      </c>
      <c r="O62" s="1002" t="e">
        <f>#REF!</f>
        <v>#REF!</v>
      </c>
      <c r="P62" s="1010" t="e">
        <f>#REF!-O62</f>
        <v>#REF!</v>
      </c>
      <c r="Q62" s="998" t="e">
        <f t="shared" si="19"/>
        <v>#REF!</v>
      </c>
    </row>
    <row r="63" spans="2:17" ht="17.25" customHeight="1">
      <c r="B63" s="994" t="s">
        <v>93</v>
      </c>
      <c r="C63" s="995" t="s">
        <v>48</v>
      </c>
      <c r="D63" s="1009">
        <f>'R+RP+B'!$F$32</f>
        <v>26.728671999999996</v>
      </c>
      <c r="E63" s="1010">
        <f>+'Comparacion (Sin BM)'!R37</f>
        <v>26.777705251636434</v>
      </c>
      <c r="F63" s="1002">
        <f>D63-E63</f>
        <v>-4.9033251636437569E-2</v>
      </c>
      <c r="G63" s="998">
        <f>F63/E63</f>
        <v>-1.8311222405228715E-3</v>
      </c>
      <c r="H63" s="1010">
        <f>H25</f>
        <v>27.918697183029963</v>
      </c>
      <c r="I63" s="1010">
        <f>+D63-H63</f>
        <v>-1.1900251830299666</v>
      </c>
      <c r="J63" s="998">
        <f>I63/H63</f>
        <v>-4.2624667448784424E-2</v>
      </c>
      <c r="K63" s="1010" t="e">
        <f>#REF!</f>
        <v>#REF!</v>
      </c>
      <c r="L63" s="1010" t="e">
        <f>+D63-K63</f>
        <v>#REF!</v>
      </c>
      <c r="M63" s="998" t="e">
        <f>L63/K63</f>
        <v>#REF!</v>
      </c>
      <c r="N63" s="1010">
        <f>+BDGT!$E$33</f>
        <v>27.715194977645293</v>
      </c>
      <c r="O63" s="1010" t="e">
        <f>#REF!</f>
        <v>#REF!</v>
      </c>
      <c r="P63" s="1010" t="e">
        <f>#REF!-O63</f>
        <v>#REF!</v>
      </c>
      <c r="Q63" s="998" t="e">
        <f t="shared" si="19"/>
        <v>#REF!</v>
      </c>
    </row>
    <row r="64" spans="2:17" ht="17.25" customHeight="1">
      <c r="B64" s="994"/>
      <c r="C64" s="995"/>
      <c r="D64" s="1009"/>
      <c r="E64" s="1009"/>
      <c r="F64" s="1002"/>
      <c r="G64" s="998"/>
      <c r="H64" s="1010"/>
      <c r="I64" s="1010"/>
      <c r="J64" s="998"/>
      <c r="K64" s="1002"/>
      <c r="L64" s="1010"/>
      <c r="M64" s="998"/>
      <c r="N64" s="1009"/>
      <c r="O64" s="1002"/>
      <c r="P64" s="1002"/>
      <c r="Q64" s="998"/>
    </row>
    <row r="65" spans="2:17" ht="17.25" customHeight="1">
      <c r="B65" s="994" t="s">
        <v>94</v>
      </c>
      <c r="C65" s="995" t="s">
        <v>95</v>
      </c>
      <c r="D65" s="1006">
        <f>'R+RP+B'!$F$34</f>
        <v>192.60869814129398</v>
      </c>
      <c r="E65" s="1010">
        <f>+'Comparacion (Sin BM)'!R39</f>
        <v>171.18629045307489</v>
      </c>
      <c r="F65" s="1002">
        <f t="shared" ref="F65:F70" si="26">D65-E65</f>
        <v>21.422407688219096</v>
      </c>
      <c r="G65" s="998">
        <f t="shared" ref="G65:G70" si="27">F65/E65</f>
        <v>0.12514090720419779</v>
      </c>
      <c r="H65" s="1010">
        <f>H27</f>
        <v>216.46396510270179</v>
      </c>
      <c r="I65" s="1002">
        <f t="shared" ref="I65:I70" si="28">+D65-H65</f>
        <v>-23.855266961407807</v>
      </c>
      <c r="J65" s="998">
        <f t="shared" ref="J65:J70" si="29">I65/H65</f>
        <v>-0.1102043333175091</v>
      </c>
      <c r="K65" s="1010" t="e">
        <f>#REF!</f>
        <v>#REF!</v>
      </c>
      <c r="L65" s="1002" t="e">
        <f t="shared" ref="L65:L70" si="30">+D65-K65</f>
        <v>#REF!</v>
      </c>
      <c r="M65" s="998" t="e">
        <f t="shared" ref="M65:M70" si="31">L65/K65</f>
        <v>#REF!</v>
      </c>
      <c r="N65" s="1010">
        <f>+BDGT!$E$35</f>
        <v>133.45504967615474</v>
      </c>
      <c r="O65" s="1010" t="e">
        <f>#REF!</f>
        <v>#REF!</v>
      </c>
      <c r="P65" s="1002" t="e">
        <f>#REF!-O65</f>
        <v>#REF!</v>
      </c>
      <c r="Q65" s="998" t="e">
        <f t="shared" si="19"/>
        <v>#REF!</v>
      </c>
    </row>
    <row r="66" spans="2:17" ht="17.25" customHeight="1">
      <c r="B66" s="994" t="s">
        <v>96</v>
      </c>
      <c r="C66" s="995" t="s">
        <v>48</v>
      </c>
      <c r="D66" s="1015">
        <f>'R+RP+B'!$F$35</f>
        <v>81.615070081093577</v>
      </c>
      <c r="E66" s="1015">
        <f>+'Comparacion (Sin BM)'!R40</f>
        <v>80.57935681068416</v>
      </c>
      <c r="F66" s="1002">
        <f t="shared" si="26"/>
        <v>1.035713270409417</v>
      </c>
      <c r="G66" s="998">
        <f t="shared" si="27"/>
        <v>1.2853332558148316E-2</v>
      </c>
      <c r="H66" s="1006">
        <f>H28</f>
        <v>83.941170489613725</v>
      </c>
      <c r="I66" s="1006">
        <f t="shared" si="28"/>
        <v>-2.3261004085201478</v>
      </c>
      <c r="J66" s="998">
        <f t="shared" si="29"/>
        <v>-2.771107902060959E-2</v>
      </c>
      <c r="K66" s="1006" t="e">
        <f>#REF!</f>
        <v>#REF!</v>
      </c>
      <c r="L66" s="1006" t="e">
        <f t="shared" si="30"/>
        <v>#REF!</v>
      </c>
      <c r="M66" s="998" t="e">
        <f t="shared" si="31"/>
        <v>#REF!</v>
      </c>
      <c r="N66" s="1006">
        <f>+BDGT!$E$36</f>
        <v>81.448699106591945</v>
      </c>
      <c r="O66" s="1006" t="e">
        <f>#REF!</f>
        <v>#REF!</v>
      </c>
      <c r="P66" s="1006" t="e">
        <f>#REF!-O66</f>
        <v>#REF!</v>
      </c>
      <c r="Q66" s="999" t="e">
        <f t="shared" si="19"/>
        <v>#REF!</v>
      </c>
    </row>
    <row r="67" spans="2:17" ht="17.25" hidden="1" customHeight="1">
      <c r="B67" s="994" t="s">
        <v>97</v>
      </c>
      <c r="C67" s="995" t="s">
        <v>48</v>
      </c>
      <c r="D67" s="1009">
        <f>'R+RP+B'!$F$36</f>
        <v>91.398437365766711</v>
      </c>
      <c r="E67" s="1009">
        <f>+'Comparacion (Sin BM)'!R41</f>
        <v>91.633786719447059</v>
      </c>
      <c r="F67" s="1002">
        <f t="shared" si="26"/>
        <v>-0.23534935368034837</v>
      </c>
      <c r="G67" s="998">
        <f t="shared" si="27"/>
        <v>-2.5683687437354497E-3</v>
      </c>
      <c r="H67" s="1010">
        <f>H128</f>
        <v>0</v>
      </c>
      <c r="I67" s="1010">
        <f t="shared" si="28"/>
        <v>91.398437365766711</v>
      </c>
      <c r="J67" s="998" t="e">
        <f t="shared" si="29"/>
        <v>#DIV/0!</v>
      </c>
      <c r="K67" s="1010">
        <f>K29</f>
        <v>94.198842761025958</v>
      </c>
      <c r="L67" s="1010">
        <f t="shared" si="30"/>
        <v>-2.8004053952592471</v>
      </c>
      <c r="M67" s="998">
        <f t="shared" si="31"/>
        <v>-2.9728660280504988E-2</v>
      </c>
      <c r="N67" s="1010">
        <f>+BDGT!$E$37</f>
        <v>92.48607237729658</v>
      </c>
      <c r="O67" s="1010">
        <f>R29</f>
        <v>0</v>
      </c>
      <c r="P67" s="1010" t="e">
        <f>#REF!-O67</f>
        <v>#REF!</v>
      </c>
      <c r="Q67" s="998" t="e">
        <f t="shared" si="19"/>
        <v>#REF!</v>
      </c>
    </row>
    <row r="68" spans="2:17" ht="17.25" hidden="1" customHeight="1">
      <c r="B68" s="994" t="s">
        <v>98</v>
      </c>
      <c r="C68" s="995" t="s">
        <v>48</v>
      </c>
      <c r="D68" s="1009">
        <f>'R+RP+B'!$F$37</f>
        <v>89.296019599098031</v>
      </c>
      <c r="E68" s="1010">
        <f>+'Comparacion (Sin BM)'!R42</f>
        <v>87.936294783268124</v>
      </c>
      <c r="F68" s="1002">
        <f t="shared" si="26"/>
        <v>1.3597248158299067</v>
      </c>
      <c r="G68" s="998">
        <f t="shared" si="27"/>
        <v>1.5462612100966359E-2</v>
      </c>
      <c r="H68" s="1010">
        <f>H129</f>
        <v>0</v>
      </c>
      <c r="I68" s="1010">
        <f t="shared" si="28"/>
        <v>89.296019599098031</v>
      </c>
      <c r="J68" s="998" t="e">
        <f t="shared" si="29"/>
        <v>#DIV/0!</v>
      </c>
      <c r="K68" s="1010">
        <f>K30</f>
        <v>91.233400770915964</v>
      </c>
      <c r="L68" s="1010">
        <f t="shared" si="30"/>
        <v>-1.9373811718179326</v>
      </c>
      <c r="M68" s="998">
        <f t="shared" si="31"/>
        <v>-2.1235437410500924E-2</v>
      </c>
      <c r="N68" s="1010">
        <f>+BDGT!$E$38</f>
        <v>88.065907669126972</v>
      </c>
      <c r="O68" s="1010">
        <f>R30</f>
        <v>0</v>
      </c>
      <c r="P68" s="1010" t="e">
        <f>#REF!-O68</f>
        <v>#REF!</v>
      </c>
      <c r="Q68" s="998" t="e">
        <f t="shared" si="19"/>
        <v>#REF!</v>
      </c>
    </row>
    <row r="69" spans="2:17" ht="17.25" customHeight="1">
      <c r="B69" s="994" t="s">
        <v>175</v>
      </c>
      <c r="C69" s="995" t="s">
        <v>100</v>
      </c>
      <c r="D69" s="1009">
        <f>'R+RP+B'!$F$38*1000</f>
        <v>1185.1013344500002</v>
      </c>
      <c r="E69" s="1010">
        <f>+'Comparacion (Sin BM)'!R43</f>
        <v>1615.8935079268579</v>
      </c>
      <c r="F69" s="1002">
        <f t="shared" si="26"/>
        <v>-430.79217347685767</v>
      </c>
      <c r="G69" s="998">
        <f t="shared" si="27"/>
        <v>-0.26659688362109391</v>
      </c>
      <c r="H69" s="1010">
        <f>+(H48/(H70/100))*1000</f>
        <v>1963.649298126209</v>
      </c>
      <c r="I69" s="1010">
        <f t="shared" si="28"/>
        <v>-778.54796367620884</v>
      </c>
      <c r="J69" s="998">
        <f t="shared" si="29"/>
        <v>-0.3964801476613618</v>
      </c>
      <c r="K69" s="1010" t="e">
        <f>K31</f>
        <v>#REF!</v>
      </c>
      <c r="L69" s="1010" t="e">
        <f t="shared" si="30"/>
        <v>#REF!</v>
      </c>
      <c r="M69" s="998" t="e">
        <f t="shared" si="31"/>
        <v>#REF!</v>
      </c>
      <c r="N69" s="1010">
        <f>+BDGT!$E$39*1000</f>
        <v>995.60891906671623</v>
      </c>
      <c r="O69" s="1010">
        <f>R31</f>
        <v>4455.6345370144054</v>
      </c>
      <c r="P69" s="1010" t="e">
        <f>#REF!-O69</f>
        <v>#REF!</v>
      </c>
      <c r="Q69" s="998" t="e">
        <f t="shared" si="19"/>
        <v>#REF!</v>
      </c>
    </row>
    <row r="70" spans="2:17" ht="17.25" customHeight="1">
      <c r="B70" s="994" t="s">
        <v>102</v>
      </c>
      <c r="C70" s="995" t="s">
        <v>48</v>
      </c>
      <c r="D70" s="1006">
        <f>'R+RP+B'!$F$39</f>
        <v>54.542668711771896</v>
      </c>
      <c r="E70" s="1006">
        <f>+'Comparacion (Sin BM)'!R44</f>
        <v>50</v>
      </c>
      <c r="F70" s="1002">
        <f t="shared" si="26"/>
        <v>4.5426687117718956</v>
      </c>
      <c r="G70" s="998">
        <f t="shared" si="27"/>
        <v>9.0853374235437906E-2</v>
      </c>
      <c r="H70" s="1006">
        <f>H32</f>
        <v>54</v>
      </c>
      <c r="I70" s="1006">
        <f t="shared" si="28"/>
        <v>0.54266871177189557</v>
      </c>
      <c r="J70" s="998">
        <f t="shared" si="29"/>
        <v>1.0049420588368437E-2</v>
      </c>
      <c r="K70" s="1006">
        <f>K32</f>
        <v>54</v>
      </c>
      <c r="L70" s="1006">
        <f t="shared" si="30"/>
        <v>0.54266871177189557</v>
      </c>
      <c r="M70" s="998">
        <f t="shared" si="31"/>
        <v>1.0049420588368437E-2</v>
      </c>
      <c r="N70" s="1006">
        <f>+BDGT!$E$40</f>
        <v>54</v>
      </c>
      <c r="O70" s="1006">
        <f>R32</f>
        <v>54.000000000000014</v>
      </c>
      <c r="P70" s="1006" t="e">
        <f>#REF!-O70</f>
        <v>#REF!</v>
      </c>
      <c r="Q70" s="998" t="e">
        <f t="shared" si="19"/>
        <v>#REF!</v>
      </c>
    </row>
    <row r="71" spans="2:17" ht="17.25" customHeight="1">
      <c r="B71" s="994"/>
      <c r="C71" s="995"/>
      <c r="D71" s="1009"/>
      <c r="E71" s="1010"/>
      <c r="F71" s="1002"/>
      <c r="G71" s="998"/>
      <c r="H71" s="1010"/>
      <c r="I71" s="1010"/>
      <c r="J71" s="998"/>
      <c r="K71" s="1010"/>
      <c r="L71" s="1010"/>
      <c r="M71" s="998"/>
      <c r="N71" s="1010"/>
      <c r="O71" s="1010"/>
      <c r="P71" s="1010"/>
      <c r="Q71" s="998"/>
    </row>
    <row r="72" spans="2:17" ht="17.25" customHeight="1">
      <c r="B72" s="994" t="s">
        <v>176</v>
      </c>
      <c r="C72" s="995" t="s">
        <v>177</v>
      </c>
      <c r="D72" s="1015">
        <f>+'Comparacion (Sin BM)'!Q46</f>
        <v>20.726944183805845</v>
      </c>
      <c r="E72" s="1010">
        <f>+'Comparacion (Sin BM)'!R46</f>
        <v>27.44514654815184</v>
      </c>
      <c r="F72" s="1002">
        <f>D72-E72</f>
        <v>-6.7182023643459949</v>
      </c>
      <c r="G72" s="1016">
        <f>F72/E72</f>
        <v>-0.244786536393933</v>
      </c>
      <c r="H72" s="1010">
        <f>H34</f>
        <v>25.724093489482975</v>
      </c>
      <c r="I72" s="1002">
        <f>+D72-H72</f>
        <v>-4.9971493056771301</v>
      </c>
      <c r="J72" s="1016">
        <f>I72/H72</f>
        <v>-0.19425949092123157</v>
      </c>
      <c r="K72" s="1010">
        <f>K34</f>
        <v>25.040698017427651</v>
      </c>
      <c r="L72" s="1002">
        <f>+D72-K72</f>
        <v>-4.3137538336218064</v>
      </c>
      <c r="M72" s="1016">
        <f>L72/K72</f>
        <v>-0.17226971191536075</v>
      </c>
      <c r="N72" s="1010">
        <f>+BDGT!$E$54</f>
        <v>25.653104200253246</v>
      </c>
      <c r="O72" s="1010">
        <f>R34</f>
        <v>27.29009528920237</v>
      </c>
      <c r="P72" s="1002" t="e">
        <f>#REF!-O72</f>
        <v>#REF!</v>
      </c>
      <c r="Q72" s="1016" t="e">
        <f t="shared" si="19"/>
        <v>#REF!</v>
      </c>
    </row>
    <row r="73" spans="2:17" ht="17.25" customHeight="1">
      <c r="B73" s="994" t="s">
        <v>178</v>
      </c>
      <c r="C73" s="995" t="s">
        <v>177</v>
      </c>
      <c r="D73" s="1015">
        <f>+'Comparacion (Sin BM)'!Q47</f>
        <v>978.90255714948728</v>
      </c>
      <c r="E73" s="1006">
        <f>+'Comparacion (Sin BM)'!R47</f>
        <v>1264.0913954643502</v>
      </c>
      <c r="F73" s="1006">
        <f>D73-E73</f>
        <v>-285.18883831486289</v>
      </c>
      <c r="G73" s="998">
        <f>F73/E73</f>
        <v>-0.22560776802859409</v>
      </c>
      <c r="H73" s="1006">
        <f>H35</f>
        <v>1151.1531836543631</v>
      </c>
      <c r="I73" s="1006">
        <f>+D73-H73</f>
        <v>-172.25062650487587</v>
      </c>
      <c r="J73" s="998">
        <f>I73/H73</f>
        <v>-0.14963310613281036</v>
      </c>
      <c r="K73" s="1006">
        <f>K35</f>
        <v>1001.627920697106</v>
      </c>
      <c r="L73" s="1006">
        <f>+D73-K73</f>
        <v>-22.725363547618713</v>
      </c>
      <c r="M73" s="998">
        <f>L73/K73</f>
        <v>-2.2688428585140152E-2</v>
      </c>
      <c r="N73" s="1006">
        <f>+BDGT!$E$55</f>
        <v>1025.9384566700305</v>
      </c>
      <c r="O73" s="1006">
        <f>R35</f>
        <v>1275.7294159215703</v>
      </c>
      <c r="P73" s="1006" t="e">
        <f>#REF!-O73</f>
        <v>#REF!</v>
      </c>
      <c r="Q73" s="998" t="e">
        <f t="shared" si="19"/>
        <v>#REF!</v>
      </c>
    </row>
    <row r="74" spans="2:17" ht="17.25" customHeight="1" thickBot="1">
      <c r="B74" s="1017"/>
      <c r="C74" s="1018"/>
      <c r="D74" s="1019"/>
      <c r="E74" s="1019"/>
      <c r="F74" s="1019"/>
      <c r="G74" s="1020"/>
      <c r="H74" s="1019"/>
      <c r="I74" s="1019"/>
      <c r="J74" s="1020"/>
      <c r="K74" s="1019"/>
      <c r="L74" s="1019"/>
      <c r="M74" s="1020"/>
      <c r="N74" s="1019"/>
      <c r="O74" s="1019"/>
      <c r="P74" s="1019"/>
      <c r="Q74" s="1020"/>
    </row>
    <row r="75" spans="2:17" ht="17.25" customHeight="1" thickBot="1">
      <c r="C75" s="1033" t="s">
        <v>159</v>
      </c>
      <c r="D75" s="1044"/>
      <c r="E75" s="1044"/>
      <c r="F75" s="1044"/>
      <c r="G75" s="1044"/>
      <c r="H75" s="1044" t="s">
        <v>190</v>
      </c>
    </row>
    <row r="76" spans="2:17" ht="17.25" customHeight="1">
      <c r="B76" s="1034" t="s">
        <v>59</v>
      </c>
      <c r="C76" s="1035" t="s">
        <v>53</v>
      </c>
      <c r="D76" s="1045"/>
      <c r="G76" s="1046"/>
      <c r="H76" s="1047">
        <f>'0+12'!$P$15</f>
        <v>38.822908602338664</v>
      </c>
    </row>
    <row r="77" spans="2:17" ht="17.25" customHeight="1">
      <c r="B77" s="1036" t="s">
        <v>61</v>
      </c>
      <c r="C77" s="1037" t="s">
        <v>53</v>
      </c>
      <c r="D77" s="1001"/>
      <c r="G77" s="1048"/>
      <c r="H77" s="1049">
        <f>'0+12'!$P$16</f>
        <v>37.025684957446998</v>
      </c>
    </row>
    <row r="78" spans="2:17" ht="17.25" customHeight="1">
      <c r="B78" s="1036" t="s">
        <v>63</v>
      </c>
      <c r="C78" s="1037" t="s">
        <v>53</v>
      </c>
      <c r="D78" s="1001"/>
      <c r="G78" s="1048"/>
      <c r="H78" s="1049">
        <f>H77/Factores!D7*Factores!F7</f>
        <v>37.025684957446998</v>
      </c>
    </row>
    <row r="79" spans="2:17" ht="17.25" customHeight="1">
      <c r="B79" s="1038" t="s">
        <v>66</v>
      </c>
      <c r="C79" s="1039" t="s">
        <v>53</v>
      </c>
      <c r="G79" s="1048"/>
      <c r="H79" s="1049">
        <f>'0+12'!$P$17</f>
        <v>0.90859130168825741</v>
      </c>
    </row>
    <row r="80" spans="2:17" ht="17.25" customHeight="1">
      <c r="B80" s="1036" t="s">
        <v>68</v>
      </c>
      <c r="C80" s="1037" t="s">
        <v>53</v>
      </c>
      <c r="G80" s="1048"/>
      <c r="H80" s="1049">
        <f>'0+12'!$P$18</f>
        <v>0.90404834517981614</v>
      </c>
    </row>
    <row r="81" spans="2:8" ht="17.25" customHeight="1">
      <c r="B81" s="1036" t="s">
        <v>69</v>
      </c>
      <c r="C81" s="1050" t="s">
        <v>53</v>
      </c>
      <c r="D81" s="1044"/>
      <c r="E81" s="1044"/>
      <c r="F81" s="1044"/>
      <c r="G81" s="1051"/>
      <c r="H81" s="1049">
        <f>H80</f>
        <v>0.90404834517981614</v>
      </c>
    </row>
    <row r="82" spans="2:8" ht="17.25" customHeight="1">
      <c r="B82" s="1052"/>
      <c r="C82" s="1053"/>
      <c r="D82" s="1054"/>
      <c r="E82" s="1054"/>
      <c r="F82" s="1054"/>
      <c r="G82" s="1055"/>
      <c r="H82" s="1056"/>
    </row>
    <row r="83" spans="2:8" ht="17.25" customHeight="1">
      <c r="B83" s="1036" t="s">
        <v>78</v>
      </c>
      <c r="C83" s="1037" t="s">
        <v>53</v>
      </c>
      <c r="D83" s="1005"/>
      <c r="G83" s="1048"/>
      <c r="H83" s="1057">
        <f>'0+12'!$P$20</f>
        <v>6276.6827295932371</v>
      </c>
    </row>
    <row r="84" spans="2:8" ht="17.25" customHeight="1">
      <c r="B84" s="1036" t="s">
        <v>79</v>
      </c>
      <c r="C84" s="1037" t="s">
        <v>75</v>
      </c>
      <c r="D84" s="1005"/>
      <c r="G84" s="1048"/>
      <c r="H84" s="1058">
        <f>'0+12'!$P$21</f>
        <v>202.47363643849152</v>
      </c>
    </row>
    <row r="85" spans="2:8" ht="17.25" customHeight="1">
      <c r="B85" s="1036" t="s">
        <v>80</v>
      </c>
      <c r="C85" s="1037" t="s">
        <v>81</v>
      </c>
      <c r="D85" s="1005"/>
      <c r="G85" s="1048"/>
      <c r="H85" s="1057">
        <f>'0+12'!$P$22</f>
        <v>8785.766581685104</v>
      </c>
    </row>
    <row r="86" spans="2:8" ht="17.25" customHeight="1">
      <c r="B86" s="1036" t="s">
        <v>82</v>
      </c>
      <c r="C86" s="1037" t="s">
        <v>48</v>
      </c>
      <c r="D86" s="993"/>
      <c r="G86" s="1048"/>
      <c r="H86" s="1059">
        <f>'0+12'!$P$23</f>
        <v>0</v>
      </c>
    </row>
    <row r="87" spans="2:8" ht="17.25" customHeight="1">
      <c r="B87" s="1060" t="s">
        <v>85</v>
      </c>
      <c r="C87" s="1050" t="s">
        <v>48</v>
      </c>
      <c r="D87" s="1061"/>
      <c r="E87" s="1044"/>
      <c r="F87" s="1044"/>
      <c r="G87" s="1051"/>
      <c r="H87" s="1062">
        <f>'0+12'!$P$25</f>
        <v>0.96088086079354407</v>
      </c>
    </row>
    <row r="88" spans="2:8" ht="17.25" customHeight="1">
      <c r="B88" s="1036" t="s">
        <v>83</v>
      </c>
      <c r="C88" s="1037" t="s">
        <v>191</v>
      </c>
      <c r="D88" s="1014"/>
      <c r="G88" s="1048"/>
      <c r="H88" s="1063">
        <f>'0+12'!$P$64</f>
        <v>4.1365251822582652</v>
      </c>
    </row>
    <row r="89" spans="2:8" ht="17.25" customHeight="1">
      <c r="B89" s="1036" t="s">
        <v>88</v>
      </c>
      <c r="C89" s="1037"/>
      <c r="D89" s="1044"/>
      <c r="E89" s="1044"/>
      <c r="F89" s="1044"/>
      <c r="G89" s="1051"/>
      <c r="H89" s="1064">
        <f>'0+12'!$P$24</f>
        <v>39.751021567414178</v>
      </c>
    </row>
    <row r="90" spans="2:8" ht="17.25" customHeight="1">
      <c r="B90" s="1040" t="s">
        <v>89</v>
      </c>
      <c r="C90" s="1041" t="s">
        <v>48</v>
      </c>
      <c r="D90" s="1012"/>
      <c r="G90" s="1048"/>
      <c r="H90" s="1049">
        <f>'0+12'!$P$33</f>
        <v>0.67740650217743448</v>
      </c>
    </row>
    <row r="91" spans="2:8" ht="17.25" customHeight="1">
      <c r="B91" s="1036" t="s">
        <v>90</v>
      </c>
      <c r="C91" s="1037" t="s">
        <v>48</v>
      </c>
      <c r="D91" s="1012"/>
      <c r="G91" s="1048"/>
      <c r="H91" s="1063">
        <f>'0+12'!$P$34</f>
        <v>91.307937278112178</v>
      </c>
    </row>
    <row r="92" spans="2:8" ht="17.25" customHeight="1">
      <c r="B92" s="1036" t="s">
        <v>92</v>
      </c>
      <c r="C92" s="1037" t="s">
        <v>53</v>
      </c>
      <c r="D92" s="1012"/>
      <c r="G92" s="1048"/>
      <c r="H92" s="1063">
        <f>'0+12'!$P$35</f>
        <v>142.47260790759987</v>
      </c>
    </row>
    <row r="93" spans="2:8" ht="17.25" customHeight="1">
      <c r="B93" s="1060" t="s">
        <v>93</v>
      </c>
      <c r="C93" s="1050" t="s">
        <v>48</v>
      </c>
      <c r="D93" s="1065"/>
      <c r="E93" s="1044"/>
      <c r="F93" s="1044"/>
      <c r="G93" s="1051"/>
      <c r="H93" s="1062">
        <f>'0+12'!$P$36</f>
        <v>27.249384406241184</v>
      </c>
    </row>
    <row r="94" spans="2:8" ht="17.25" customHeight="1">
      <c r="B94" s="1036"/>
      <c r="C94" s="1066"/>
      <c r="D94" s="1054"/>
      <c r="E94" s="1054"/>
      <c r="F94" s="1054"/>
      <c r="G94" s="1055"/>
      <c r="H94" s="1056"/>
    </row>
    <row r="95" spans="2:8" ht="17.25" customHeight="1">
      <c r="B95" s="1040" t="s">
        <v>94</v>
      </c>
      <c r="C95" s="1037" t="s">
        <v>95</v>
      </c>
      <c r="D95" s="1007"/>
      <c r="G95" s="1048"/>
      <c r="H95" s="1058">
        <f>'0+12'!$P$38</f>
        <v>174.50350866208188</v>
      </c>
    </row>
    <row r="96" spans="2:8" ht="17.25" customHeight="1">
      <c r="B96" s="1036" t="s">
        <v>96</v>
      </c>
      <c r="C96" s="1037" t="s">
        <v>48</v>
      </c>
      <c r="D96" s="1012"/>
      <c r="G96" s="1048"/>
      <c r="H96" s="1063">
        <f>'0+12'!$P$39</f>
        <v>82.953408301814221</v>
      </c>
    </row>
    <row r="97" spans="2:8" ht="17.25" customHeight="1">
      <c r="B97" s="1036" t="s">
        <v>153</v>
      </c>
      <c r="C97" s="1037" t="s">
        <v>100</v>
      </c>
      <c r="D97" s="1012"/>
      <c r="G97" s="1048"/>
      <c r="H97" s="1057">
        <f>'0+12'!$P$42*1000</f>
        <v>1682.5764846078841</v>
      </c>
    </row>
    <row r="98" spans="2:8" ht="17.25" customHeight="1">
      <c r="B98" s="1060" t="s">
        <v>102</v>
      </c>
      <c r="C98" s="1050" t="s">
        <v>48</v>
      </c>
      <c r="D98" s="1044"/>
      <c r="E98" s="1044"/>
      <c r="F98" s="1044"/>
      <c r="G98" s="1051"/>
      <c r="H98" s="1067">
        <f>'0+12'!$P$43</f>
        <v>54</v>
      </c>
    </row>
    <row r="99" spans="2:8" ht="17.25" customHeight="1">
      <c r="B99" s="1036"/>
      <c r="C99" s="1066"/>
      <c r="D99" s="1054"/>
      <c r="E99" s="1054"/>
      <c r="F99" s="1054"/>
      <c r="G99" s="1055"/>
      <c r="H99" s="1056"/>
    </row>
    <row r="100" spans="2:8" ht="17.25" customHeight="1">
      <c r="B100" s="1040" t="s">
        <v>105</v>
      </c>
      <c r="C100" s="1037" t="s">
        <v>95</v>
      </c>
      <c r="D100" s="1014"/>
      <c r="G100" s="1048"/>
      <c r="H100" s="1063">
        <f>'0+12'!$P$57</f>
        <v>25.724093489482975</v>
      </c>
    </row>
    <row r="101" spans="2:8" ht="17.25" customHeight="1" thickBot="1">
      <c r="B101" s="1042" t="s">
        <v>107</v>
      </c>
      <c r="C101" s="1043" t="s">
        <v>95</v>
      </c>
      <c r="D101" s="1068"/>
      <c r="E101" s="1044"/>
      <c r="F101" s="1044"/>
      <c r="G101" s="1051"/>
      <c r="H101" s="1069">
        <f>'0+12'!$P$58</f>
        <v>1151.1531836543631</v>
      </c>
    </row>
    <row r="102" spans="2:8" ht="17.25" customHeight="1" thickBot="1"/>
    <row r="103" spans="2:8" ht="17.25" customHeight="1" thickBot="1">
      <c r="B103" s="1070" t="s">
        <v>118</v>
      </c>
      <c r="C103" s="1071" t="s">
        <v>53</v>
      </c>
      <c r="D103" s="1054"/>
      <c r="E103" s="1054"/>
      <c r="F103" s="1054"/>
      <c r="G103" s="1054"/>
      <c r="H103" s="1072">
        <f>'0+12'!$N$11</f>
        <v>0</v>
      </c>
    </row>
  </sheetData>
  <mergeCells count="2">
    <mergeCell ref="K43:M43"/>
    <mergeCell ref="O2:Q2"/>
  </mergeCells>
  <phoneticPr fontId="141"/>
  <conditionalFormatting sqref="F4:G14 I4:J14 L4:M14 P4:Q14 P18:Q28 S29:T33">
    <cfRule type="cellIs" dxfId="174" priority="24" operator="lessThan">
      <formula>0</formula>
    </cfRule>
  </conditionalFormatting>
  <conditionalFormatting sqref="F16:G16">
    <cfRule type="cellIs" dxfId="173" priority="32" operator="lessThan">
      <formula>0</formula>
    </cfRule>
  </conditionalFormatting>
  <conditionalFormatting sqref="F17:G17">
    <cfRule type="cellIs" dxfId="172" priority="51" operator="greaterThan">
      <formula>0</formula>
    </cfRule>
  </conditionalFormatting>
  <conditionalFormatting sqref="F18:G19 I18:J33 F21:G33 M27:M28 L29:M33">
    <cfRule type="cellIs" dxfId="171" priority="52" operator="lessThan">
      <formula>0</formula>
    </cfRule>
  </conditionalFormatting>
  <conditionalFormatting sqref="F34:G35">
    <cfRule type="cellIs" dxfId="170" priority="46" operator="greaterThan">
      <formula>0</formula>
    </cfRule>
  </conditionalFormatting>
  <conditionalFormatting sqref="F36:G38 I36:J41 L36:P41 F39 F40:G41">
    <cfRule type="cellIs" dxfId="169" priority="376" operator="lessThan">
      <formula>0</formula>
    </cfRule>
  </conditionalFormatting>
  <conditionalFormatting sqref="F45:G55 I45:J55 L45:M57">
    <cfRule type="cellIs" dxfId="168" priority="63" operator="lessThan">
      <formula>0</formula>
    </cfRule>
  </conditionalFormatting>
  <conditionalFormatting sqref="F57:G57">
    <cfRule type="cellIs" dxfId="167" priority="97" operator="lessThan">
      <formula>0</formula>
    </cfRule>
  </conditionalFormatting>
  <conditionalFormatting sqref="F58:G58">
    <cfRule type="cellIs" dxfId="166" priority="161" operator="greaterThan">
      <formula>0</formula>
    </cfRule>
  </conditionalFormatting>
  <conditionalFormatting sqref="F59:G72 I59:J72 L59:M72">
    <cfRule type="cellIs" dxfId="165" priority="168" operator="lessThan">
      <formula>0</formula>
    </cfRule>
  </conditionalFormatting>
  <conditionalFormatting sqref="F73:G74">
    <cfRule type="cellIs" dxfId="164" priority="152" operator="greaterThan">
      <formula>0</formula>
    </cfRule>
  </conditionalFormatting>
  <conditionalFormatting sqref="G39">
    <cfRule type="cellIs" dxfId="163" priority="357" operator="lessThan">
      <formula>0</formula>
    </cfRule>
  </conditionalFormatting>
  <conditionalFormatting sqref="H36:H41">
    <cfRule type="cellIs" dxfId="162" priority="375" operator="lessThan">
      <formula>0</formula>
    </cfRule>
  </conditionalFormatting>
  <conditionalFormatting sqref="H45:H55 K45:K55 D45:E72">
    <cfRule type="cellIs" dxfId="161" priority="64" operator="lessThan">
      <formula>0</formula>
    </cfRule>
  </conditionalFormatting>
  <conditionalFormatting sqref="H59:H72 K59:K72">
    <cfRule type="cellIs" dxfId="160" priority="169" operator="lessThan">
      <formula>0</formula>
    </cfRule>
  </conditionalFormatting>
  <conditionalFormatting sqref="I15:J15">
    <cfRule type="cellIs" dxfId="159" priority="35" operator="greaterThan">
      <formula>0</formula>
    </cfRule>
  </conditionalFormatting>
  <conditionalFormatting sqref="I16:J16">
    <cfRule type="cellIs" dxfId="158" priority="39" operator="lessThan">
      <formula>0</formula>
    </cfRule>
  </conditionalFormatting>
  <conditionalFormatting sqref="I17:J17">
    <cfRule type="cellIs" dxfId="157" priority="50" operator="greaterThan">
      <formula>0</formula>
    </cfRule>
  </conditionalFormatting>
  <conditionalFormatting sqref="I34:J35">
    <cfRule type="cellIs" dxfId="156" priority="45" operator="greaterThan">
      <formula>0</formula>
    </cfRule>
  </conditionalFormatting>
  <conditionalFormatting sqref="I56:J56">
    <cfRule type="cellIs" dxfId="155" priority="102" operator="greaterThan">
      <formula>0</formula>
    </cfRule>
  </conditionalFormatting>
  <conditionalFormatting sqref="I57:J57">
    <cfRule type="cellIs" dxfId="154" priority="124" operator="lessThan">
      <formula>0</formula>
    </cfRule>
  </conditionalFormatting>
  <conditionalFormatting sqref="I58:J58">
    <cfRule type="cellIs" dxfId="153" priority="159" operator="greaterThan">
      <formula>0</formula>
    </cfRule>
  </conditionalFormatting>
  <conditionalFormatting sqref="I73:J74">
    <cfRule type="cellIs" dxfId="152" priority="148" operator="greaterThan">
      <formula>0</formula>
    </cfRule>
  </conditionalFormatting>
  <conditionalFormatting sqref="K4:K14 N4:O14 H4:H19 D4:E33 F20:H20 H21:H33">
    <cfRule type="cellIs" dxfId="151" priority="21" operator="lessThan">
      <formula>0</formula>
    </cfRule>
  </conditionalFormatting>
  <conditionalFormatting sqref="K18:K33">
    <cfRule type="cellIs" dxfId="150" priority="53" operator="lessThan">
      <formula>0</formula>
    </cfRule>
  </conditionalFormatting>
  <conditionalFormatting sqref="L27">
    <cfRule type="cellIs" dxfId="149" priority="7" operator="lessThan">
      <formula>0</formula>
    </cfRule>
  </conditionalFormatting>
  <conditionalFormatting sqref="L28">
    <cfRule type="cellIs" dxfId="148" priority="5" operator="lessThan">
      <formula>0</formula>
    </cfRule>
  </conditionalFormatting>
  <conditionalFormatting sqref="L15:M15">
    <cfRule type="cellIs" dxfId="147" priority="1" operator="greaterThan">
      <formula>0</formula>
    </cfRule>
  </conditionalFormatting>
  <conditionalFormatting sqref="L16:M16">
    <cfRule type="cellIs" dxfId="146" priority="3" operator="lessThan">
      <formula>0</formula>
    </cfRule>
  </conditionalFormatting>
  <conditionalFormatting sqref="L17:M17">
    <cfRule type="cellIs" dxfId="145" priority="4" operator="greaterThan">
      <formula>0</formula>
    </cfRule>
  </conditionalFormatting>
  <conditionalFormatting sqref="L18:M26">
    <cfRule type="cellIs" dxfId="144" priority="8" operator="lessThan">
      <formula>0</formula>
    </cfRule>
  </conditionalFormatting>
  <conditionalFormatting sqref="L34:M35">
    <cfRule type="cellIs" dxfId="143" priority="44" operator="greaterThan">
      <formula>0</formula>
    </cfRule>
  </conditionalFormatting>
  <conditionalFormatting sqref="L58:M58">
    <cfRule type="cellIs" dxfId="142" priority="131" operator="greaterThan">
      <formula>0</formula>
    </cfRule>
  </conditionalFormatting>
  <conditionalFormatting sqref="L73:M74">
    <cfRule type="cellIs" dxfId="141" priority="144" operator="greaterThan">
      <formula>0</formula>
    </cfRule>
  </conditionalFormatting>
  <conditionalFormatting sqref="N29:N33">
    <cfRule type="cellIs" dxfId="140" priority="30" operator="lessThan">
      <formula>0</formula>
    </cfRule>
  </conditionalFormatting>
  <conditionalFormatting sqref="N18:O28 Q29:R33 U29:V33 D36:E41 K36:K41 Q36:Q41">
    <cfRule type="cellIs" dxfId="139" priority="377" operator="lessThan">
      <formula>0</formula>
    </cfRule>
  </conditionalFormatting>
  <conditionalFormatting sqref="N45:O55">
    <cfRule type="cellIs" dxfId="138" priority="60" operator="lessThan">
      <formula>0</formula>
    </cfRule>
  </conditionalFormatting>
  <conditionalFormatting sqref="N59:O72">
    <cfRule type="cellIs" dxfId="137" priority="121" operator="lessThan">
      <formula>0</formula>
    </cfRule>
  </conditionalFormatting>
  <conditionalFormatting sqref="O29:P33">
    <cfRule type="cellIs" dxfId="136" priority="29" operator="lessThan">
      <formula>0</formula>
    </cfRule>
  </conditionalFormatting>
  <conditionalFormatting sqref="O34:P35">
    <cfRule type="cellIs" dxfId="135" priority="27" operator="greaterThan">
      <formula>0</formula>
    </cfRule>
  </conditionalFormatting>
  <conditionalFormatting sqref="P16:Q16">
    <cfRule type="cellIs" dxfId="134" priority="47" operator="greaterThan">
      <formula>0</formula>
    </cfRule>
  </conditionalFormatting>
  <conditionalFormatting sqref="P17:Q17">
    <cfRule type="cellIs" dxfId="133" priority="48" operator="greaterThan">
      <formula>0</formula>
    </cfRule>
  </conditionalFormatting>
  <conditionalFormatting sqref="P45:Q55">
    <cfRule type="cellIs" dxfId="132" priority="58" operator="lessThan">
      <formula>0</formula>
    </cfRule>
  </conditionalFormatting>
  <conditionalFormatting sqref="P57:Q57">
    <cfRule type="cellIs" dxfId="131" priority="107" operator="lessThan">
      <formula>0</formula>
    </cfRule>
    <cfRule type="cellIs" dxfId="130" priority="108" operator="greaterThan">
      <formula>0</formula>
    </cfRule>
  </conditionalFormatting>
  <conditionalFormatting sqref="P58:Q58">
    <cfRule type="cellIs" dxfId="129" priority="106" operator="greaterThan">
      <formula>0</formula>
    </cfRule>
  </conditionalFormatting>
  <conditionalFormatting sqref="P59:Q72">
    <cfRule type="cellIs" dxfId="128" priority="112" operator="lessThan">
      <formula>0</formula>
    </cfRule>
  </conditionalFormatting>
  <conditionalFormatting sqref="P73:Q74">
    <cfRule type="cellIs" dxfId="127" priority="109" operator="greaterThan">
      <formula>0</formula>
    </cfRule>
  </conditionalFormatting>
  <conditionalFormatting sqref="S34:T35">
    <cfRule type="cellIs" dxfId="126" priority="229" operator="greaterThan">
      <formula>0</formula>
    </cfRule>
  </conditionalFormatting>
  <pageMargins left="0.7" right="0.7" top="0.75" bottom="0.75" header="0.3" footer="0.3"/>
  <pageSetup orientation="landscape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6BEE-D936-4EF7-BC94-262415C7704A}">
  <sheetPr codeName="Hoja32">
    <tabColor rgb="FFFFC000"/>
  </sheetPr>
  <dimension ref="A1:BG83"/>
  <sheetViews>
    <sheetView topLeftCell="Z1" zoomScale="115" zoomScaleNormal="115" workbookViewId="0">
      <pane ySplit="1" topLeftCell="A2" activePane="bottomLeft" state="frozen"/>
      <selection pane="bottomLeft" activeCell="AG28" sqref="AG28:AH29"/>
    </sheetView>
  </sheetViews>
  <sheetFormatPr baseColWidth="10" defaultColWidth="7.54296875" defaultRowHeight="10"/>
  <cols>
    <col min="1" max="1" width="5.1796875" style="2551" bestFit="1" customWidth="1"/>
    <col min="2" max="2" width="12.453125" style="2551" customWidth="1"/>
    <col min="3" max="3" width="8.81640625" style="2551" customWidth="1"/>
    <col min="4" max="5" width="9.1796875" style="2551" bestFit="1" customWidth="1"/>
    <col min="6" max="6" width="10.81640625" style="2551" customWidth="1"/>
    <col min="7" max="10" width="9.1796875" style="2551" bestFit="1" customWidth="1"/>
    <col min="11" max="11" width="9.26953125" style="2551" bestFit="1" customWidth="1"/>
    <col min="12" max="12" width="9.54296875" style="2551" bestFit="1" customWidth="1"/>
    <col min="13" max="13" width="9.1796875" style="2551" bestFit="1" customWidth="1"/>
    <col min="14" max="14" width="9.81640625" style="2551" customWidth="1"/>
    <col min="15" max="15" width="9.81640625" style="2551" bestFit="1" customWidth="1"/>
    <col min="16" max="19" width="9.1796875" style="2551" bestFit="1" customWidth="1"/>
    <col min="20" max="20" width="9.81640625" style="2551" bestFit="1" customWidth="1"/>
    <col min="21" max="22" width="9.1796875" style="2551" bestFit="1" customWidth="1"/>
    <col min="23" max="23" width="9.54296875" style="2551" bestFit="1" customWidth="1"/>
    <col min="24" max="24" width="10.54296875" style="2551" customWidth="1"/>
    <col min="25" max="39" width="9.1796875" style="2551" bestFit="1" customWidth="1"/>
    <col min="40" max="40" width="13.54296875" style="2551" bestFit="1" customWidth="1"/>
    <col min="41" max="41" width="10.81640625" style="2551" bestFit="1" customWidth="1"/>
    <col min="42" max="42" width="11" style="2551" bestFit="1" customWidth="1"/>
    <col min="43" max="43" width="12.81640625" style="2551" bestFit="1" customWidth="1"/>
    <col min="44" max="44" width="10.453125" style="2551" bestFit="1" customWidth="1"/>
    <col min="45" max="45" width="13.81640625" style="2551" bestFit="1" customWidth="1"/>
    <col min="46" max="46" width="9.1796875" style="2551" bestFit="1" customWidth="1"/>
    <col min="47" max="47" width="9.54296875" style="2551" bestFit="1" customWidth="1"/>
    <col min="48" max="48" width="9.81640625" style="2551" bestFit="1" customWidth="1"/>
    <col min="49" max="49" width="10.1796875" style="2551" bestFit="1" customWidth="1"/>
    <col min="50" max="50" width="3.54296875" style="2551" bestFit="1" customWidth="1"/>
    <col min="51" max="51" width="12.54296875" style="2551" bestFit="1" customWidth="1"/>
    <col min="52" max="52" width="13.1796875" style="2551" bestFit="1" customWidth="1"/>
    <col min="53" max="53" width="12.453125" style="2551" bestFit="1" customWidth="1"/>
    <col min="54" max="54" width="12" style="2551" bestFit="1" customWidth="1"/>
    <col min="55" max="55" width="4" style="2551" bestFit="1" customWidth="1"/>
    <col min="56" max="56" width="5.1796875" style="2551" bestFit="1" customWidth="1"/>
    <col min="57" max="57" width="12" style="2551" bestFit="1" customWidth="1"/>
    <col min="58" max="58" width="5.54296875" style="2551" bestFit="1" customWidth="1"/>
    <col min="59" max="59" width="2" style="2551" bestFit="1" customWidth="1"/>
    <col min="60" max="60" width="9.54296875" style="2551" bestFit="1" customWidth="1"/>
    <col min="61" max="64" width="10.453125" style="2551" bestFit="1" customWidth="1"/>
    <col min="65" max="16384" width="7.54296875" style="2551"/>
  </cols>
  <sheetData>
    <row r="1" spans="1:51" s="2532" customFormat="1" ht="10.5">
      <c r="A1" s="2532" t="s">
        <v>1256</v>
      </c>
      <c r="B1" s="2533" t="s">
        <v>535</v>
      </c>
      <c r="C1" s="2534" t="s">
        <v>100</v>
      </c>
      <c r="D1" s="2535" t="s">
        <v>455</v>
      </c>
      <c r="E1" s="2535" t="s">
        <v>536</v>
      </c>
      <c r="F1" s="2534" t="s">
        <v>537</v>
      </c>
      <c r="G1" s="2536" t="s">
        <v>458</v>
      </c>
      <c r="H1" s="2536" t="s">
        <v>378</v>
      </c>
      <c r="I1" s="2536" t="s">
        <v>538</v>
      </c>
      <c r="J1" s="2535" t="s">
        <v>539</v>
      </c>
      <c r="K1" s="2535" t="s">
        <v>540</v>
      </c>
      <c r="L1" s="2535" t="s">
        <v>541</v>
      </c>
      <c r="M1" s="2536" t="s">
        <v>461</v>
      </c>
      <c r="N1" s="2534" t="s">
        <v>462</v>
      </c>
      <c r="O1" s="2537" t="s">
        <v>463</v>
      </c>
      <c r="P1" s="2537" t="s">
        <v>464</v>
      </c>
      <c r="Q1" s="2538" t="s">
        <v>465</v>
      </c>
      <c r="R1" s="2539" t="s">
        <v>467</v>
      </c>
      <c r="S1" s="2534" t="s">
        <v>466</v>
      </c>
      <c r="T1" s="2536" t="s">
        <v>468</v>
      </c>
      <c r="U1" s="2536" t="s">
        <v>86</v>
      </c>
      <c r="V1" s="2536" t="s">
        <v>470</v>
      </c>
      <c r="W1" s="2536" t="s">
        <v>471</v>
      </c>
      <c r="X1" s="2534" t="s">
        <v>472</v>
      </c>
      <c r="Y1" s="2534" t="s">
        <v>473</v>
      </c>
      <c r="Z1" s="2534" t="s">
        <v>474</v>
      </c>
      <c r="AA1" s="2534" t="s">
        <v>475</v>
      </c>
      <c r="AB1" s="2534" t="s">
        <v>476</v>
      </c>
      <c r="AC1" s="2534" t="s">
        <v>477</v>
      </c>
      <c r="AD1" s="2534" t="s">
        <v>478</v>
      </c>
      <c r="AE1" s="2540" t="s">
        <v>1155</v>
      </c>
      <c r="AF1" s="2534" t="s">
        <v>1156</v>
      </c>
      <c r="AG1" s="2534" t="s">
        <v>1157</v>
      </c>
      <c r="AH1" s="2534" t="s">
        <v>1158</v>
      </c>
      <c r="AI1" s="2534" t="s">
        <v>1159</v>
      </c>
      <c r="AJ1" s="2534" t="s">
        <v>1160</v>
      </c>
      <c r="AK1" s="2534" t="s">
        <v>1161</v>
      </c>
      <c r="AL1" s="2534" t="s">
        <v>83</v>
      </c>
      <c r="AM1" s="2534" t="s">
        <v>1162</v>
      </c>
      <c r="AN1" s="2534" t="s">
        <v>1201</v>
      </c>
      <c r="AO1" s="2540" t="s">
        <v>543</v>
      </c>
      <c r="AP1" s="2534" t="s">
        <v>544</v>
      </c>
      <c r="AQ1" s="2534" t="s">
        <v>545</v>
      </c>
      <c r="AR1" s="2541" t="s">
        <v>547</v>
      </c>
      <c r="AS1" s="2542" t="s">
        <v>548</v>
      </c>
      <c r="AT1" s="2542" t="s">
        <v>390</v>
      </c>
      <c r="AU1" s="2532" t="s">
        <v>820</v>
      </c>
      <c r="AV1" s="2534" t="s">
        <v>546</v>
      </c>
    </row>
    <row r="2" spans="1:51" s="4324" customFormat="1" ht="10.5">
      <c r="A2" s="4315"/>
      <c r="B2" s="4316">
        <v>1</v>
      </c>
      <c r="C2" s="4317">
        <v>175999.99999961516</v>
      </c>
      <c r="D2" s="4318">
        <v>0.64588993602904221</v>
      </c>
      <c r="E2" s="4318">
        <v>0.5402396005121517</v>
      </c>
      <c r="F2" s="4317">
        <v>237.82598766083188</v>
      </c>
      <c r="G2" s="4319">
        <v>4.2696775125446985E-2</v>
      </c>
      <c r="H2" s="4319">
        <v>1.3211798014117742</v>
      </c>
      <c r="I2" s="4319">
        <v>1.2270005837919786</v>
      </c>
      <c r="J2" s="4320">
        <v>28.42220571539336</v>
      </c>
      <c r="K2" s="4320">
        <v>90.639747757318489</v>
      </c>
      <c r="L2" s="4320">
        <v>85.556979366230237</v>
      </c>
      <c r="M2" s="4319">
        <v>12.711316855639501</v>
      </c>
      <c r="N2" s="4317">
        <v>310.94812194949702</v>
      </c>
      <c r="O2" s="4321">
        <v>0.80080381425642033</v>
      </c>
      <c r="P2" s="4321">
        <v>0.73007537158182756</v>
      </c>
      <c r="Q2" s="4321">
        <v>0.25841943697262099</v>
      </c>
      <c r="R2" s="4319">
        <v>4.0311656046179346E-2</v>
      </c>
      <c r="S2" s="4317">
        <v>11.689255545491712</v>
      </c>
      <c r="T2" s="4319">
        <v>196.73171176396815</v>
      </c>
      <c r="U2" s="4319">
        <v>37.466534886953944</v>
      </c>
      <c r="V2" s="4319">
        <v>83.89207746852604</v>
      </c>
      <c r="W2" s="4321">
        <v>85.109268500446959</v>
      </c>
      <c r="X2" s="4317">
        <v>41179.264213016169</v>
      </c>
      <c r="Y2" s="4317">
        <v>0</v>
      </c>
      <c r="Z2" s="4317">
        <v>0</v>
      </c>
      <c r="AA2" s="4317">
        <v>134666.33757135115</v>
      </c>
      <c r="AB2" s="4317">
        <v>126.81139716554399</v>
      </c>
      <c r="AC2" s="4317">
        <v>0</v>
      </c>
      <c r="AD2" s="4317">
        <v>27.70108933321789</v>
      </c>
      <c r="AE2" s="4322">
        <v>94.679355334130648</v>
      </c>
      <c r="AF2" s="4322">
        <v>93.288935416924659</v>
      </c>
      <c r="AG2" s="4322">
        <v>91.296319874730116</v>
      </c>
      <c r="AH2" s="4322">
        <v>89.311023561307053</v>
      </c>
      <c r="AI2" s="4322">
        <v>86.308238972646024</v>
      </c>
      <c r="AJ2" s="4322">
        <v>85.279820399543468</v>
      </c>
      <c r="AK2" s="4317">
        <v>79.003285769606734</v>
      </c>
      <c r="AL2" s="4322">
        <v>98.241923193632275</v>
      </c>
      <c r="AM2" s="4321">
        <v>6.5220998221237241E-3</v>
      </c>
      <c r="AN2" s="4321">
        <v>1.20726059621337</v>
      </c>
      <c r="AO2" s="4317">
        <v>860.0836313149465</v>
      </c>
      <c r="AP2" s="4317">
        <v>950.81676138395426</v>
      </c>
      <c r="AQ2" s="4317">
        <v>3023.3349490234414</v>
      </c>
      <c r="AR2" s="4322">
        <v>19.600269498969915</v>
      </c>
      <c r="AS2" s="4317">
        <v>8896.2144794226879</v>
      </c>
      <c r="AT2" s="4320">
        <v>1.5327568611972764</v>
      </c>
      <c r="AU2" s="4323">
        <v>0.76586966734049156</v>
      </c>
      <c r="AV2" s="4317">
        <v>0.8145975623351146</v>
      </c>
      <c r="AY2" s="4324">
        <v>100</v>
      </c>
    </row>
    <row r="3" spans="1:51" s="4333" customFormat="1" ht="10.5">
      <c r="A3" s="4325"/>
      <c r="B3" s="4326">
        <v>2</v>
      </c>
      <c r="C3" s="4327">
        <v>177448.69792783732</v>
      </c>
      <c r="D3" s="4328">
        <v>0.61231970957140747</v>
      </c>
      <c r="E3" s="4328">
        <v>0.50525922546271274</v>
      </c>
      <c r="F3" s="4327">
        <v>216.87675571380703</v>
      </c>
      <c r="G3" s="4329">
        <v>5.0464443456633978E-2</v>
      </c>
      <c r="H3" s="4329">
        <v>1.5235193249047208</v>
      </c>
      <c r="I3" s="4329">
        <v>1.057864106816629</v>
      </c>
      <c r="J3" s="4330">
        <v>29.612652067259535</v>
      </c>
      <c r="K3" s="4330">
        <v>90.921379947819716</v>
      </c>
      <c r="L3" s="4330">
        <v>84.710284200619938</v>
      </c>
      <c r="M3" s="4329">
        <v>12.504321296146307</v>
      </c>
      <c r="N3" s="4327">
        <v>433.61706277484717</v>
      </c>
      <c r="O3" s="4331">
        <v>0.92132574981317727</v>
      </c>
      <c r="P3" s="4331">
        <v>0.19449884744364027</v>
      </c>
      <c r="Q3" s="4331">
        <v>0.25804666727207926</v>
      </c>
      <c r="R3" s="4329">
        <v>2.7109911642035613E-2</v>
      </c>
      <c r="S3" s="4327">
        <v>21.708945894834152</v>
      </c>
      <c r="T3" s="4329">
        <v>185.71201589778255</v>
      </c>
      <c r="U3" s="4329">
        <v>36.853444067872815</v>
      </c>
      <c r="V3" s="4329">
        <v>89.706247369988162</v>
      </c>
      <c r="W3" s="4331">
        <v>93.700300122899733</v>
      </c>
      <c r="X3" s="4327">
        <v>11682.398394260301</v>
      </c>
      <c r="Y3" s="4327">
        <v>29.280967488884901</v>
      </c>
      <c r="Z3" s="4327">
        <v>2355.0042778378502</v>
      </c>
      <c r="AA3" s="4327">
        <v>160529.16990586248</v>
      </c>
      <c r="AB3" s="4327">
        <v>0.84095990559024902</v>
      </c>
      <c r="AC3" s="4327">
        <v>8.9418913983399406</v>
      </c>
      <c r="AD3" s="4327">
        <v>2842.9151005645376</v>
      </c>
      <c r="AE3" s="4327">
        <v>94.236510508025972</v>
      </c>
      <c r="AF3" s="4327">
        <v>92.923316061587997</v>
      </c>
      <c r="AG3" s="4327">
        <v>90.99956016118324</v>
      </c>
      <c r="AH3" s="4327">
        <v>89.416526228289442</v>
      </c>
      <c r="AI3" s="4327">
        <v>86.380709585156438</v>
      </c>
      <c r="AJ3" s="4327">
        <v>85.377977092191941</v>
      </c>
      <c r="AK3" s="4327">
        <v>79.265316501099704</v>
      </c>
      <c r="AL3" s="4332">
        <v>88.730003192457545</v>
      </c>
      <c r="AM3" s="4331">
        <v>6.5754535838557868E-3</v>
      </c>
      <c r="AN3" s="4331">
        <v>1.3014019838695701</v>
      </c>
      <c r="AO3" s="4327">
        <v>777.72043891717044</v>
      </c>
      <c r="AP3" s="4327">
        <v>857.89236670953403</v>
      </c>
      <c r="AQ3" s="4327">
        <v>2601.3411682297756</v>
      </c>
      <c r="AR3" s="4332">
        <v>17.431090323137568</v>
      </c>
      <c r="AS3" s="4327">
        <v>8731.0184005475894</v>
      </c>
      <c r="AT3" s="4330">
        <v>1.8046348474364655</v>
      </c>
      <c r="AU3" s="4323">
        <v>0.91797851073169401</v>
      </c>
      <c r="AV3" s="4327">
        <v>0.66517686787993857</v>
      </c>
    </row>
    <row r="4" spans="1:51" s="4333" customFormat="1" ht="10.5">
      <c r="A4" s="4325"/>
      <c r="B4" s="4326">
        <v>3</v>
      </c>
      <c r="C4" s="4327">
        <v>160000.00000014508</v>
      </c>
      <c r="D4" s="4328">
        <v>0.56093646743347891</v>
      </c>
      <c r="E4" s="4328">
        <v>0.47734976123853823</v>
      </c>
      <c r="F4" s="4327">
        <v>187.24630186246699</v>
      </c>
      <c r="G4" s="4329">
        <v>4.4948232116537562E-2</v>
      </c>
      <c r="H4" s="4329">
        <v>1.3956317262972397</v>
      </c>
      <c r="I4" s="4329">
        <v>1.2523361839712368</v>
      </c>
      <c r="J4" s="4330">
        <v>25.386283690476535</v>
      </c>
      <c r="K4" s="4330">
        <v>89.951844710069778</v>
      </c>
      <c r="L4" s="4330">
        <v>84.229660617357453</v>
      </c>
      <c r="M4" s="4329">
        <v>12.684240696422266</v>
      </c>
      <c r="N4" s="4327">
        <v>933.94938200618003</v>
      </c>
      <c r="O4" s="4331">
        <v>0.94998141245410339</v>
      </c>
      <c r="P4" s="4331">
        <v>0.6057963819712967</v>
      </c>
      <c r="Q4" s="4331">
        <v>0.17207565588005599</v>
      </c>
      <c r="R4" s="4329">
        <v>4.6618417617889471E-2</v>
      </c>
      <c r="S4" s="4327">
        <v>20.378920654793824</v>
      </c>
      <c r="T4" s="4329">
        <v>191.46459310458857</v>
      </c>
      <c r="U4" s="4329">
        <v>36.997724760760981</v>
      </c>
      <c r="V4" s="4329">
        <v>89.996121068560413</v>
      </c>
      <c r="W4" s="4331">
        <v>84.564353375128817</v>
      </c>
      <c r="X4" s="4327">
        <v>27818.322929982649</v>
      </c>
      <c r="Y4" s="4327">
        <v>3.6738441451302899</v>
      </c>
      <c r="Z4" s="4327">
        <v>519.78276073030281</v>
      </c>
      <c r="AA4" s="4327">
        <v>123401.36687714251</v>
      </c>
      <c r="AB4" s="4327">
        <v>6272.1562863479985</v>
      </c>
      <c r="AC4" s="4327">
        <v>1.12192725095755</v>
      </c>
      <c r="AD4" s="4327">
        <v>1984.1292313789156</v>
      </c>
      <c r="AE4" s="4327">
        <v>93.079092787632831</v>
      </c>
      <c r="AF4" s="4327">
        <v>91.761899518934129</v>
      </c>
      <c r="AG4" s="4327">
        <v>89.889108285448955</v>
      </c>
      <c r="AH4" s="4327">
        <v>88.073217706908864</v>
      </c>
      <c r="AI4" s="4327">
        <v>84.800307865312362</v>
      </c>
      <c r="AJ4" s="4327">
        <v>83.702533911924803</v>
      </c>
      <c r="AK4" s="4327">
        <v>79.049701585533882</v>
      </c>
      <c r="AL4" s="4332">
        <v>96.101502831142213</v>
      </c>
      <c r="AM4" s="4334">
        <v>5.8256461676289865E-3</v>
      </c>
      <c r="AN4" s="4331">
        <v>1.22041459757174</v>
      </c>
      <c r="AO4" s="4327">
        <v>685.16259359216735</v>
      </c>
      <c r="AP4" s="4327">
        <v>758.83317005460901</v>
      </c>
      <c r="AQ4" s="4327">
        <v>2480.0272793345462</v>
      </c>
      <c r="AR4" s="4332">
        <v>17.74500380204972</v>
      </c>
      <c r="AS4" s="4327">
        <v>8879.1685657913204</v>
      </c>
      <c r="AT4" s="4330">
        <v>1.5139604902392227</v>
      </c>
      <c r="AU4" s="4323">
        <v>0.81371235732002634</v>
      </c>
      <c r="AV4" s="4327">
        <v>0.71608207643223887</v>
      </c>
    </row>
    <row r="5" spans="1:51" s="4333" customFormat="1" ht="10.5">
      <c r="A5" s="4325"/>
      <c r="B5" s="4326">
        <v>4</v>
      </c>
      <c r="C5" s="4327">
        <v>160000.08614615616</v>
      </c>
      <c r="D5" s="4328">
        <v>0.52455638519651082</v>
      </c>
      <c r="E5" s="4328">
        <v>0.45402936971783442</v>
      </c>
      <c r="F5" s="4327">
        <v>161.50032478880058</v>
      </c>
      <c r="G5" s="4329">
        <v>2.6230804673720371E-2</v>
      </c>
      <c r="H5" s="4329">
        <v>1.09893198706815</v>
      </c>
      <c r="I5" s="4329">
        <v>1.8415960243106388</v>
      </c>
      <c r="J5" s="4330">
        <v>21.802979208577046</v>
      </c>
      <c r="K5" s="4330">
        <v>89.114207070850398</v>
      </c>
      <c r="L5" s="4330">
        <v>84.177911978378205</v>
      </c>
      <c r="M5" s="4329">
        <v>13.307432610543025</v>
      </c>
      <c r="N5" s="4327">
        <v>1186.4877719218264</v>
      </c>
      <c r="O5" s="4331">
        <v>1.098731660804124</v>
      </c>
      <c r="P5" s="4331">
        <v>1.8444538580398513</v>
      </c>
      <c r="Q5" s="4331">
        <v>6.3243306195928911E-2</v>
      </c>
      <c r="R5" s="4329">
        <v>5.4108849873804467E-2</v>
      </c>
      <c r="S5" s="4327">
        <v>18.545528377228674</v>
      </c>
      <c r="T5" s="4329">
        <v>212.28337586024986</v>
      </c>
      <c r="U5" s="4329">
        <v>36.799861600090814</v>
      </c>
      <c r="V5" s="4329">
        <v>84.908629891185527</v>
      </c>
      <c r="W5" s="4331">
        <v>69.879320526273034</v>
      </c>
      <c r="X5" s="4327">
        <v>32476.589360263824</v>
      </c>
      <c r="Y5" s="4327">
        <v>0</v>
      </c>
      <c r="Z5" s="4327">
        <v>0.4979428149833538</v>
      </c>
      <c r="AA5" s="4327">
        <v>68600.099615258805</v>
      </c>
      <c r="AB5" s="4327">
        <v>48146.347528883511</v>
      </c>
      <c r="AC5" s="4327">
        <v>0</v>
      </c>
      <c r="AD5" s="4327">
        <v>10776.687705631988</v>
      </c>
      <c r="AE5" s="4327">
        <v>91.8707951404418</v>
      </c>
      <c r="AF5" s="4327">
        <v>90.730665833727883</v>
      </c>
      <c r="AG5" s="4327">
        <v>89.075868662592129</v>
      </c>
      <c r="AH5" s="4327">
        <v>87.190751713291647</v>
      </c>
      <c r="AI5" s="4327">
        <v>84.383490084044766</v>
      </c>
      <c r="AJ5" s="4327">
        <v>83.393229790930434</v>
      </c>
      <c r="AK5" s="4327">
        <v>79.633280025971885</v>
      </c>
      <c r="AL5" s="4332">
        <v>94.020701756930521</v>
      </c>
      <c r="AM5" s="4334">
        <v>5.6193101832862106E-3</v>
      </c>
      <c r="AN5" s="4331">
        <v>1.2376534554974801</v>
      </c>
      <c r="AO5" s="4327">
        <v>651.14662156876602</v>
      </c>
      <c r="AP5" s="4327">
        <v>726.00357594414061</v>
      </c>
      <c r="AQ5" s="4327">
        <v>2812.6917615553334</v>
      </c>
      <c r="AR5" s="4332">
        <v>17.91584684133139</v>
      </c>
      <c r="AS5" s="4327">
        <v>9051.0231143194287</v>
      </c>
      <c r="AT5" s="4330">
        <v>0.9054532334833435</v>
      </c>
      <c r="AU5" s="4323">
        <v>0.7296673936828999</v>
      </c>
      <c r="AV5" s="4327">
        <v>0.73949503142120976</v>
      </c>
    </row>
    <row r="6" spans="1:51" s="4333" customFormat="1" ht="10.5">
      <c r="A6" s="4325"/>
      <c r="B6" s="4326">
        <v>5</v>
      </c>
      <c r="C6" s="4327">
        <v>160000.00000013874</v>
      </c>
      <c r="D6" s="4328">
        <v>0.62312408217502391</v>
      </c>
      <c r="E6" s="4328">
        <v>0.53949857316180105</v>
      </c>
      <c r="F6" s="4327">
        <v>182.59798658188026</v>
      </c>
      <c r="G6" s="4329">
        <v>2.4180741799716882E-2</v>
      </c>
      <c r="H6" s="4329">
        <v>1.0128291456945235</v>
      </c>
      <c r="I6" s="4329">
        <v>1.6463487718010248</v>
      </c>
      <c r="J6" s="4330">
        <v>22.423816975843355</v>
      </c>
      <c r="K6" s="4330">
        <v>89.383553248211911</v>
      </c>
      <c r="L6" s="4330">
        <v>84.988532707752881</v>
      </c>
      <c r="M6" s="4329">
        <v>12.860486701230794</v>
      </c>
      <c r="N6" s="4327">
        <v>1625.7444051766979</v>
      </c>
      <c r="O6" s="4331">
        <v>1.2436579405229597</v>
      </c>
      <c r="P6" s="4331">
        <v>1.6373603595807771</v>
      </c>
      <c r="Q6" s="4331">
        <v>6.5939686054030194E-2</v>
      </c>
      <c r="R6" s="4329">
        <v>8.7189296344224065E-2</v>
      </c>
      <c r="S6" s="4327">
        <v>47.782294098914612</v>
      </c>
      <c r="T6" s="4329">
        <v>197.39945549245795</v>
      </c>
      <c r="U6" s="4329">
        <v>38.205717500354154</v>
      </c>
      <c r="V6" s="4329">
        <v>79.931777087947495</v>
      </c>
      <c r="W6" s="4331">
        <v>72.184276360504938</v>
      </c>
      <c r="X6" s="4327">
        <v>53436.304981522386</v>
      </c>
      <c r="Y6" s="4327">
        <v>7.7743179374490001</v>
      </c>
      <c r="Z6" s="4327">
        <v>625.27141587496601</v>
      </c>
      <c r="AA6" s="4327">
        <v>73229.109132511308</v>
      </c>
      <c r="AB6" s="4327">
        <v>26864.288146560852</v>
      </c>
      <c r="AC6" s="4327">
        <v>1109.2731235318713</v>
      </c>
      <c r="AD6" s="4327">
        <v>4728.0751082906399</v>
      </c>
      <c r="AE6" s="4327">
        <v>92.370946282645917</v>
      </c>
      <c r="AF6" s="4327">
        <v>91.153354406645263</v>
      </c>
      <c r="AG6" s="4327">
        <v>89.431384867685892</v>
      </c>
      <c r="AH6" s="4327">
        <v>87.180980309973236</v>
      </c>
      <c r="AI6" s="4327">
        <v>84.17284666203895</v>
      </c>
      <c r="AJ6" s="4327">
        <v>83.139021956154153</v>
      </c>
      <c r="AK6" s="4327">
        <v>78.854514169576476</v>
      </c>
      <c r="AL6" s="4332">
        <v>90.905201073625364</v>
      </c>
      <c r="AM6" s="4334">
        <v>9.5114952637854744E-3</v>
      </c>
      <c r="AN6" s="4331">
        <v>1.76302510088991</v>
      </c>
      <c r="AO6" s="4327">
        <v>764.33916633856882</v>
      </c>
      <c r="AP6" s="4327">
        <v>852.7983341788663</v>
      </c>
      <c r="AQ6" s="4327">
        <v>3317.0510304115019</v>
      </c>
      <c r="AR6" s="4332">
        <v>17.348367705205536</v>
      </c>
      <c r="AS6" s="4327">
        <v>8862.7069252443143</v>
      </c>
      <c r="AT6" s="4330">
        <v>0.97025742530642634</v>
      </c>
      <c r="AU6" s="4323">
        <v>0.63642425361107968</v>
      </c>
      <c r="AV6" s="4327">
        <v>0.95770872706211885</v>
      </c>
    </row>
    <row r="7" spans="1:51" s="4333" customFormat="1" ht="10.5">
      <c r="A7" s="4325"/>
      <c r="B7" s="4326">
        <f t="shared" ref="B7:B32" si="0">+B6+1</f>
        <v>6</v>
      </c>
      <c r="C7" s="4327">
        <v>216011.11992350855</v>
      </c>
      <c r="D7" s="4328">
        <v>0.54932640044888481</v>
      </c>
      <c r="E7" s="4328">
        <v>0.46499804900157721</v>
      </c>
      <c r="F7" s="4327">
        <v>186.22483931190774</v>
      </c>
      <c r="G7" s="4329">
        <v>2.5353126798569638E-2</v>
      </c>
      <c r="H7" s="4329">
        <v>1.0187607746862337</v>
      </c>
      <c r="I7" s="4329">
        <v>1.3453070733939068</v>
      </c>
      <c r="J7" s="4330">
        <v>24.596056371952894</v>
      </c>
      <c r="K7" s="4330">
        <v>88.908427728229555</v>
      </c>
      <c r="L7" s="4330">
        <v>84.832862647287072</v>
      </c>
      <c r="M7" s="4329">
        <v>12.553276846888162</v>
      </c>
      <c r="N7" s="4327">
        <v>1289.3416506710651</v>
      </c>
      <c r="O7" s="4331">
        <v>0.90053261654545524</v>
      </c>
      <c r="P7" s="4331">
        <v>0.99486953302580616</v>
      </c>
      <c r="Q7" s="4331">
        <v>0.12428855093917245</v>
      </c>
      <c r="R7" s="4329">
        <v>8.6033251310741105E-2</v>
      </c>
      <c r="S7" s="4327">
        <v>24.001167774350122</v>
      </c>
      <c r="T7" s="4329">
        <v>189.77547477210592</v>
      </c>
      <c r="U7" s="4329">
        <v>36.383420761043055</v>
      </c>
      <c r="V7" s="4329">
        <v>82.150036091646712</v>
      </c>
      <c r="W7" s="4331">
        <v>74.626329751274895</v>
      </c>
      <c r="X7" s="4327">
        <v>61892.383768620122</v>
      </c>
      <c r="Y7" s="4327">
        <v>31.7024486073025</v>
      </c>
      <c r="Z7" s="4327">
        <v>2773.8878185922949</v>
      </c>
      <c r="AA7" s="4327">
        <v>130715.50871861541</v>
      </c>
      <c r="AB7" s="4327">
        <v>2658.4112625200473</v>
      </c>
      <c r="AC7" s="4327">
        <v>9.6813690536544605</v>
      </c>
      <c r="AD7" s="4327">
        <v>17929.181023559278</v>
      </c>
      <c r="AE7" s="4327">
        <v>91.550773868675762</v>
      </c>
      <c r="AF7" s="4327">
        <v>89.968585877230794</v>
      </c>
      <c r="AG7" s="4327">
        <v>88.096806453702101</v>
      </c>
      <c r="AH7" s="4327">
        <v>85.771671112405357</v>
      </c>
      <c r="AI7" s="4327">
        <v>82.443597775124843</v>
      </c>
      <c r="AJ7" s="4327">
        <v>81.177917430863772</v>
      </c>
      <c r="AK7" s="4327">
        <v>76.723313641581555</v>
      </c>
      <c r="AL7" s="4332">
        <v>83.140485268721463</v>
      </c>
      <c r="AM7" s="4334">
        <v>7.0741991981302195E-3</v>
      </c>
      <c r="AN7" s="4331">
        <v>1.5474938046326401</v>
      </c>
      <c r="AO7" s="4327">
        <v>833.34332717524694</v>
      </c>
      <c r="AP7" s="4327">
        <v>929.3485906268088</v>
      </c>
      <c r="AQ7" s="4327">
        <v>3249.5235235945429</v>
      </c>
      <c r="AR7" s="4332">
        <v>21.495431281199252</v>
      </c>
      <c r="AS7" s="4327">
        <v>8994.0299404298767</v>
      </c>
      <c r="AT7" s="4330">
        <v>1.1376830983323096</v>
      </c>
      <c r="AU7" s="4323">
        <v>0.6303273569887391</v>
      </c>
      <c r="AV7" s="4327">
        <v>0.75995139298216385</v>
      </c>
      <c r="AX7" s="4333">
        <v>100</v>
      </c>
    </row>
    <row r="8" spans="1:51" s="4333" customFormat="1" ht="10.5">
      <c r="A8" s="4325"/>
      <c r="B8" s="4326">
        <f t="shared" si="0"/>
        <v>7</v>
      </c>
      <c r="C8" s="4327">
        <v>156999.99999967057</v>
      </c>
      <c r="D8" s="4328">
        <v>0.53428900577891492</v>
      </c>
      <c r="E8" s="4328">
        <v>0.47437848358843598</v>
      </c>
      <c r="F8" s="4327">
        <v>153.81335609767186</v>
      </c>
      <c r="G8" s="4329">
        <v>2.7685422585974444E-2</v>
      </c>
      <c r="H8" s="4329">
        <v>1.106662109190264</v>
      </c>
      <c r="I8" s="4329">
        <v>1.4390136791546408</v>
      </c>
      <c r="J8" s="4330">
        <v>22.950656900301119</v>
      </c>
      <c r="K8" s="4330">
        <v>89.398739701918942</v>
      </c>
      <c r="L8" s="4330">
        <v>82.644511407842998</v>
      </c>
      <c r="M8" s="4329">
        <v>12.601097756169784</v>
      </c>
      <c r="N8" s="4327">
        <v>1417.6705819934687</v>
      </c>
      <c r="O8" s="4331">
        <v>0.96617849374801212</v>
      </c>
      <c r="P8" s="4331">
        <v>1.1856110213853495</v>
      </c>
      <c r="Q8" s="4331">
        <v>0.13479085487807588</v>
      </c>
      <c r="R8" s="4329">
        <v>9.8419342350261563E-2</v>
      </c>
      <c r="S8" s="4327">
        <v>30.729817794939436</v>
      </c>
      <c r="T8" s="4329">
        <v>190.57902248284753</v>
      </c>
      <c r="U8" s="4329">
        <v>37.552779551636824</v>
      </c>
      <c r="V8" s="4329">
        <v>78.045945239032577</v>
      </c>
      <c r="W8" s="4331">
        <v>76.284312365945041</v>
      </c>
      <c r="X8" s="4327">
        <v>44558.372882589101</v>
      </c>
      <c r="Y8" s="4327">
        <v>0.56074766355140204</v>
      </c>
      <c r="Z8" s="4327">
        <v>973.08411214953298</v>
      </c>
      <c r="AA8" s="4327">
        <v>92968.710731265528</v>
      </c>
      <c r="AB8" s="4327">
        <v>11447.869823702218</v>
      </c>
      <c r="AC8" s="4327">
        <v>17.009345794392502</v>
      </c>
      <c r="AD8" s="4327">
        <v>7034.5745676741408</v>
      </c>
      <c r="AE8" s="4327">
        <v>92.348161767713918</v>
      </c>
      <c r="AF8" s="4327">
        <v>90.881265439794475</v>
      </c>
      <c r="AG8" s="4327">
        <v>89.016134809647852</v>
      </c>
      <c r="AH8" s="4327">
        <v>86.256736739708018</v>
      </c>
      <c r="AI8" s="4327">
        <v>82.984617458762912</v>
      </c>
      <c r="AJ8" s="4327">
        <v>81.840544703983014</v>
      </c>
      <c r="AK8" s="4327">
        <v>77.164765618712153</v>
      </c>
      <c r="AL8" s="4332">
        <v>83.050601596879275</v>
      </c>
      <c r="AM8" s="4334">
        <v>6.4665788126264971E-3</v>
      </c>
      <c r="AN8" s="4331">
        <v>1.38304254166787</v>
      </c>
      <c r="AO8" s="4327">
        <v>575.28530437363383</v>
      </c>
      <c r="AP8" s="4327">
        <v>637.78690823058685</v>
      </c>
      <c r="AQ8" s="4327">
        <v>2354.6688696477249</v>
      </c>
      <c r="AR8" s="4332">
        <v>15.848919198601317</v>
      </c>
      <c r="AS8" s="4327">
        <v>8895.4259909818138</v>
      </c>
      <c r="AT8" s="4330">
        <v>1.0858615302393324</v>
      </c>
      <c r="AU8" s="4323">
        <v>0.67137931006576212</v>
      </c>
      <c r="AV8" s="4327">
        <v>0.65779088340401548</v>
      </c>
    </row>
    <row r="9" spans="1:51" s="4333" customFormat="1" ht="10.5">
      <c r="A9" s="4325"/>
      <c r="B9" s="4326">
        <f t="shared" si="0"/>
        <v>8</v>
      </c>
      <c r="C9" s="4327">
        <v>206541.95271136353</v>
      </c>
      <c r="D9" s="4328">
        <v>0.47582197423699435</v>
      </c>
      <c r="E9" s="4328">
        <v>0.42999477375940809</v>
      </c>
      <c r="F9" s="4327">
        <v>116.79231453065985</v>
      </c>
      <c r="G9" s="4329">
        <v>2.7722156265878359E-2</v>
      </c>
      <c r="H9" s="4329">
        <v>1.0849844009915068</v>
      </c>
      <c r="I9" s="4329">
        <v>1.7556222161690056</v>
      </c>
      <c r="J9" s="4330">
        <v>21.04223044418675</v>
      </c>
      <c r="K9" s="4330">
        <v>88.6954454768305</v>
      </c>
      <c r="L9" s="4330">
        <v>81.766954507058287</v>
      </c>
      <c r="M9" s="4329">
        <v>12.843887709329477</v>
      </c>
      <c r="N9" s="4327">
        <v>1325.9980650313541</v>
      </c>
      <c r="O9" s="4331">
        <v>0.91922679936710849</v>
      </c>
      <c r="P9" s="4331">
        <v>1.7446463324043409</v>
      </c>
      <c r="Q9" s="4331">
        <v>0.11359318025075454</v>
      </c>
      <c r="R9" s="4329">
        <v>9.3742051500748685E-2</v>
      </c>
      <c r="S9" s="4327">
        <v>25.470941533399895</v>
      </c>
      <c r="T9" s="4329">
        <v>208.5875573127544</v>
      </c>
      <c r="U9" s="4329">
        <v>38.496662562943023</v>
      </c>
      <c r="V9" s="4329">
        <v>76.154647108900789</v>
      </c>
      <c r="W9" s="4331">
        <v>68.016529339533591</v>
      </c>
      <c r="X9" s="4327">
        <v>52538.402485517807</v>
      </c>
      <c r="Y9" s="4327">
        <v>0.56074766355140204</v>
      </c>
      <c r="Z9" s="4327">
        <v>994.38297135642301</v>
      </c>
      <c r="AA9" s="4327">
        <v>91195.500498849156</v>
      </c>
      <c r="AB9" s="4327">
        <v>24681.136405977017</v>
      </c>
      <c r="AC9" s="4327">
        <v>17.009345794392502</v>
      </c>
      <c r="AD9" s="4327">
        <v>37114.949298745021</v>
      </c>
      <c r="AE9" s="4327">
        <v>91.283002555576715</v>
      </c>
      <c r="AF9" s="4327">
        <v>90.051252641325235</v>
      </c>
      <c r="AG9" s="4327">
        <v>88.351391802073806</v>
      </c>
      <c r="AH9" s="4327">
        <v>85.905383824273756</v>
      </c>
      <c r="AI9" s="4327">
        <v>83.360407426093786</v>
      </c>
      <c r="AJ9" s="4327">
        <v>82.453878648297888</v>
      </c>
      <c r="AK9" s="4327">
        <v>78.506532892424659</v>
      </c>
      <c r="AL9" s="4332">
        <v>82.454869780769826</v>
      </c>
      <c r="AM9" s="4334">
        <v>5.4888376164506222E-3</v>
      </c>
      <c r="AN9" s="4331">
        <v>1.2903600379014299</v>
      </c>
      <c r="AO9" s="4327">
        <v>697.97430402182647</v>
      </c>
      <c r="AP9" s="4327">
        <v>782.17277383323881</v>
      </c>
      <c r="AQ9" s="4327">
        <v>3102.1345813062503</v>
      </c>
      <c r="AR9" s="4332">
        <v>20.547372678736831</v>
      </c>
      <c r="AS9" s="4327">
        <v>9270.0022363355511</v>
      </c>
      <c r="AT9" s="4330">
        <v>0.81336285442788747</v>
      </c>
      <c r="AU9" s="4323">
        <v>0.56592878051495299</v>
      </c>
      <c r="AV9" s="4327">
        <v>0.59363814251854685</v>
      </c>
    </row>
    <row r="10" spans="1:51" s="4333" customFormat="1" ht="10.5">
      <c r="A10" s="4325"/>
      <c r="B10" s="4326">
        <f t="shared" si="0"/>
        <v>9</v>
      </c>
      <c r="C10" s="4327">
        <v>203486.98163751865</v>
      </c>
      <c r="D10" s="4328">
        <v>0.49626214915987915</v>
      </c>
      <c r="E10" s="4328">
        <v>0.45865425452497832</v>
      </c>
      <c r="F10" s="4327">
        <v>98.576904177468023</v>
      </c>
      <c r="G10" s="4329">
        <v>2.7177236334386425E-2</v>
      </c>
      <c r="H10" s="4329">
        <v>1.1236693455115272</v>
      </c>
      <c r="I10" s="4329">
        <v>1.9887187521498528</v>
      </c>
      <c r="J10" s="4330">
        <v>21.328887214764627</v>
      </c>
      <c r="K10" s="4330">
        <v>88.274364687614792</v>
      </c>
      <c r="L10" s="4330">
        <v>80.452026382132701</v>
      </c>
      <c r="M10" s="4329">
        <v>12.924763274287537</v>
      </c>
      <c r="N10" s="4327">
        <v>1171.2530608085763</v>
      </c>
      <c r="O10" s="4331">
        <v>0.95366581433394515</v>
      </c>
      <c r="P10" s="4331">
        <v>1.7272307477178965</v>
      </c>
      <c r="Q10" s="4331">
        <v>0.11293713639344156</v>
      </c>
      <c r="R10" s="4329">
        <v>9.0688471046864005E-2</v>
      </c>
      <c r="S10" s="4327">
        <v>28.534054278239346</v>
      </c>
      <c r="T10" s="4329">
        <v>210.47632803162804</v>
      </c>
      <c r="U10" s="4329">
        <v>38.229840369062039</v>
      </c>
      <c r="V10" s="4329">
        <v>77.908216439539601</v>
      </c>
      <c r="W10" s="4331">
        <v>69.935549550123326</v>
      </c>
      <c r="X10" s="4327">
        <v>41276.138150628052</v>
      </c>
      <c r="Y10" s="4327">
        <v>0.56074766355140204</v>
      </c>
      <c r="Z10" s="4327">
        <v>1219.2566574187076</v>
      </c>
      <c r="AA10" s="4327">
        <v>96142.402782704477</v>
      </c>
      <c r="AB10" s="4327">
        <v>57440.026369365565</v>
      </c>
      <c r="AC10" s="4327">
        <v>17.009345794392502</v>
      </c>
      <c r="AD10" s="4327">
        <v>7391.6110859473065</v>
      </c>
      <c r="AE10" s="4327">
        <v>90.697184959551478</v>
      </c>
      <c r="AF10" s="4327">
        <v>89.543176300022992</v>
      </c>
      <c r="AG10" s="4327">
        <v>87.586084007911552</v>
      </c>
      <c r="AH10" s="4327">
        <v>85.18727571554156</v>
      </c>
      <c r="AI10" s="4327">
        <v>82.630553605237978</v>
      </c>
      <c r="AJ10" s="4327">
        <v>81.715272123933943</v>
      </c>
      <c r="AK10" s="4327">
        <v>77.720316740508792</v>
      </c>
      <c r="AL10" s="4332">
        <v>83.396708973470723</v>
      </c>
      <c r="AM10" s="4334">
        <v>5.9974021950539701E-3</v>
      </c>
      <c r="AN10" s="4331">
        <v>1.3206393601519599</v>
      </c>
      <c r="AO10" s="4327">
        <v>734.53983663482597</v>
      </c>
      <c r="AP10" s="4327">
        <v>826.7346764421444</v>
      </c>
      <c r="AQ10" s="4327">
        <v>3302.5360330552066</v>
      </c>
      <c r="AR10" s="4332">
        <v>20.247857396778848</v>
      </c>
      <c r="AS10" s="4327">
        <v>9251.2160664779822</v>
      </c>
      <c r="AT10" s="4330">
        <v>0.83852146380093429</v>
      </c>
      <c r="AU10" s="4323">
        <v>0.76082841284695701</v>
      </c>
      <c r="AV10" s="4327">
        <v>0.54177752151780878</v>
      </c>
    </row>
    <row r="11" spans="1:51" s="4333" customFormat="1" ht="12" customHeight="1">
      <c r="A11" s="4325"/>
      <c r="B11" s="4326">
        <f t="shared" si="0"/>
        <v>10</v>
      </c>
      <c r="C11" s="4327">
        <v>84000.000000096639</v>
      </c>
      <c r="D11" s="4328">
        <v>0.54524349987360321</v>
      </c>
      <c r="E11" s="4328">
        <v>0.55693689229657306</v>
      </c>
      <c r="F11" s="4327">
        <v>161.99226859070069</v>
      </c>
      <c r="G11" s="4329">
        <v>2.5061747625248158E-2</v>
      </c>
      <c r="H11" s="4329">
        <v>1.0669857398897391</v>
      </c>
      <c r="I11" s="4329">
        <v>1.9852054519164557</v>
      </c>
      <c r="J11" s="4330">
        <v>22.432669002234359</v>
      </c>
      <c r="K11" s="4330">
        <v>88.391741018083948</v>
      </c>
      <c r="L11" s="4330">
        <v>80.441230199949445</v>
      </c>
      <c r="M11" s="4329">
        <v>12.845202668560646</v>
      </c>
      <c r="N11" s="4327">
        <v>1271.8148979824434</v>
      </c>
      <c r="O11" s="4331">
        <v>0.95864045744673243</v>
      </c>
      <c r="P11" s="4331">
        <v>1.6741647403373547</v>
      </c>
      <c r="Q11" s="4331">
        <v>7.4373685072734924E-2</v>
      </c>
      <c r="R11" s="4329">
        <v>8.7363339886726704E-2</v>
      </c>
      <c r="S11" s="4327">
        <v>16.960424092980919</v>
      </c>
      <c r="T11" s="4329">
        <v>200.39957813453915</v>
      </c>
      <c r="U11" s="4329">
        <v>37.616068853445114</v>
      </c>
      <c r="V11" s="4329">
        <v>78.697372514722574</v>
      </c>
      <c r="W11" s="4331">
        <v>70.71716209230739</v>
      </c>
      <c r="X11" s="4327">
        <v>18789.647909226554</v>
      </c>
      <c r="Y11" s="4327">
        <v>0</v>
      </c>
      <c r="Z11" s="4327">
        <v>2994.425931113029</v>
      </c>
      <c r="AA11" s="4327">
        <v>40866.632613414607</v>
      </c>
      <c r="AB11" s="4327">
        <v>16577.182315524195</v>
      </c>
      <c r="AC11" s="4327">
        <v>0</v>
      </c>
      <c r="AD11" s="4327">
        <v>4772.5003800786271</v>
      </c>
      <c r="AE11" s="4327">
        <v>90.647749432285664</v>
      </c>
      <c r="AF11" s="4327">
        <v>89.43078542321382</v>
      </c>
      <c r="AG11" s="4327">
        <v>87.199065525269233</v>
      </c>
      <c r="AH11" s="4327">
        <v>84.673390328611177</v>
      </c>
      <c r="AI11" s="4327">
        <v>81.912231558638197</v>
      </c>
      <c r="AJ11" s="4327">
        <v>80.928877762023632</v>
      </c>
      <c r="AK11" s="4327">
        <v>76.682426125819021</v>
      </c>
      <c r="AL11" s="4332">
        <v>93.81863551113311</v>
      </c>
      <c r="AM11" s="4331">
        <v>6.2801333857850248E-3</v>
      </c>
      <c r="AN11" s="4331">
        <v>1.24118355291681</v>
      </c>
      <c r="AO11" s="4327">
        <v>374.24467202311888</v>
      </c>
      <c r="AP11" s="4327">
        <v>419.70491688797176</v>
      </c>
      <c r="AQ11" s="4327">
        <v>1619.0557864346288</v>
      </c>
      <c r="AR11" s="4332">
        <v>9.3925534810276119</v>
      </c>
      <c r="AS11" s="4327">
        <v>9028.6662741193595</v>
      </c>
      <c r="AT11" s="4330">
        <v>0.97008468293675776</v>
      </c>
      <c r="AU11" s="4323">
        <v>0.71949953413417567</v>
      </c>
      <c r="AV11" s="4327">
        <v>0.72688958444696095</v>
      </c>
    </row>
    <row r="12" spans="1:51" s="4333" customFormat="1" ht="10.5">
      <c r="A12" s="4325"/>
      <c r="B12" s="4326">
        <f t="shared" si="0"/>
        <v>11</v>
      </c>
      <c r="C12" s="4327">
        <v>83000.00000027362</v>
      </c>
      <c r="D12" s="4328">
        <v>0.67738167988634146</v>
      </c>
      <c r="E12" s="4328">
        <v>0.58228827415834328</v>
      </c>
      <c r="F12" s="4327">
        <v>224.53003921483835</v>
      </c>
      <c r="G12" s="4329">
        <v>4.323310973940455E-2</v>
      </c>
      <c r="H12" s="4329">
        <v>1.4080469161234808</v>
      </c>
      <c r="I12" s="4329">
        <v>1.195635356153079</v>
      </c>
      <c r="J12" s="4330">
        <v>29.4054378965224</v>
      </c>
      <c r="K12" s="4330">
        <v>89.116966991569697</v>
      </c>
      <c r="L12" s="4330">
        <v>85.453160646368062</v>
      </c>
      <c r="M12" s="4329">
        <v>12.169611115156455</v>
      </c>
      <c r="N12" s="4327">
        <v>1042.376961948084</v>
      </c>
      <c r="O12" s="4331">
        <v>0.70847094331945193</v>
      </c>
      <c r="P12" s="4331">
        <v>0.87799854659809529</v>
      </c>
      <c r="Q12" s="4331">
        <v>0.273776677640022</v>
      </c>
      <c r="R12" s="4329">
        <v>0.15891872403305285</v>
      </c>
      <c r="S12" s="4327">
        <v>37.915247537030346</v>
      </c>
      <c r="T12" s="4329">
        <v>187.81364115193497</v>
      </c>
      <c r="U12" s="4329">
        <v>39.150910417226292</v>
      </c>
      <c r="V12" s="4329">
        <v>76.370427491631403</v>
      </c>
      <c r="W12" s="4331">
        <v>78.175957616856962</v>
      </c>
      <c r="X12" s="4327">
        <v>31768.460194610532</v>
      </c>
      <c r="Y12" s="4327">
        <v>0</v>
      </c>
      <c r="Z12" s="4327">
        <v>0</v>
      </c>
      <c r="AA12" s="4327">
        <v>51229.721755135281</v>
      </c>
      <c r="AB12" s="4327">
        <v>0</v>
      </c>
      <c r="AC12" s="4327">
        <v>0</v>
      </c>
      <c r="AD12" s="4327">
        <v>1.9694617903141201</v>
      </c>
      <c r="AE12" s="4327">
        <v>91.829947349396932</v>
      </c>
      <c r="AF12" s="4327">
        <v>90.063943512755188</v>
      </c>
      <c r="AG12" s="4327">
        <v>87.809815372887243</v>
      </c>
      <c r="AH12" s="4327">
        <v>84.859102663895527</v>
      </c>
      <c r="AI12" s="4327">
        <v>81.058619176015839</v>
      </c>
      <c r="AJ12" s="4327">
        <v>79.796976405798873</v>
      </c>
      <c r="AK12" s="4327">
        <v>75.259451601195906</v>
      </c>
      <c r="AL12" s="4332">
        <v>95.395086054608043</v>
      </c>
      <c r="AM12" s="4331">
        <v>7.3585896939332325E-3</v>
      </c>
      <c r="AN12" s="4331">
        <v>1.2570215085690599</v>
      </c>
      <c r="AO12" s="4327">
        <v>426.80215912293534</v>
      </c>
      <c r="AP12" s="4327">
        <v>476.72158155898074</v>
      </c>
      <c r="AQ12" s="4327">
        <v>1465.5835512727815</v>
      </c>
      <c r="AR12" s="4332">
        <v>9.1047267826677949</v>
      </c>
      <c r="AS12" s="4327">
        <v>9074.7694323179985</v>
      </c>
      <c r="AT12" s="4330">
        <v>1.155647807230705</v>
      </c>
      <c r="AU12" s="4323">
        <v>0.61722443735222998</v>
      </c>
      <c r="AV12" s="4327">
        <v>0.51889575563131651</v>
      </c>
    </row>
    <row r="13" spans="1:51" s="4333" customFormat="1" ht="10.5">
      <c r="A13" s="4325"/>
      <c r="B13" s="4326">
        <f t="shared" si="0"/>
        <v>12</v>
      </c>
      <c r="C13" s="4327">
        <v>204049.50835965283</v>
      </c>
      <c r="D13" s="4328">
        <v>0.60689380438156471</v>
      </c>
      <c r="E13" s="4328">
        <v>0.53189867521201617</v>
      </c>
      <c r="F13" s="4327">
        <v>189.99041688101147</v>
      </c>
      <c r="G13" s="4329">
        <v>3.5066238669912923E-2</v>
      </c>
      <c r="H13" s="4329">
        <v>1.2472425396527844</v>
      </c>
      <c r="I13" s="4329">
        <v>1.2868955067015231</v>
      </c>
      <c r="J13" s="4330">
        <v>27.114449433261079</v>
      </c>
      <c r="K13" s="4330">
        <v>89.200255766732582</v>
      </c>
      <c r="L13" s="4330">
        <v>85.334425167123143</v>
      </c>
      <c r="M13" s="4329">
        <v>12.472034310232406</v>
      </c>
      <c r="N13" s="4327">
        <v>1153.6827591044723</v>
      </c>
      <c r="O13" s="4331">
        <v>0.74327477704907996</v>
      </c>
      <c r="P13" s="4331">
        <v>0.94280056874249729</v>
      </c>
      <c r="Q13" s="4331">
        <v>0.17684244226265214</v>
      </c>
      <c r="R13" s="4329">
        <v>0.13924984499905191</v>
      </c>
      <c r="S13" s="4327">
        <v>26.761256060835382</v>
      </c>
      <c r="T13" s="4329">
        <v>195.53584930946002</v>
      </c>
      <c r="U13" s="4329">
        <v>37.506814464923046</v>
      </c>
      <c r="V13" s="4329">
        <v>78.782677697191403</v>
      </c>
      <c r="W13" s="4331">
        <v>77.618100653245762</v>
      </c>
      <c r="X13" s="4327">
        <v>64476.378137446263</v>
      </c>
      <c r="Y13" s="4327">
        <v>0.56074766355140204</v>
      </c>
      <c r="Z13" s="4327">
        <v>973.08411214953298</v>
      </c>
      <c r="AA13" s="4327">
        <v>122144.60038516011</v>
      </c>
      <c r="AB13" s="4327">
        <v>335.84668059669792</v>
      </c>
      <c r="AC13" s="4327">
        <v>17.009345794392502</v>
      </c>
      <c r="AD13" s="4327">
        <v>16101.943540289307</v>
      </c>
      <c r="AE13" s="4327">
        <v>92.778110226656679</v>
      </c>
      <c r="AF13" s="4327">
        <v>90.940862805929456</v>
      </c>
      <c r="AG13" s="4327">
        <v>88.757698082982898</v>
      </c>
      <c r="AH13" s="4327">
        <v>85.333942703073035</v>
      </c>
      <c r="AI13" s="4327">
        <v>81.609317250314476</v>
      </c>
      <c r="AJ13" s="4327">
        <v>80.369329479872434</v>
      </c>
      <c r="AK13" s="4327">
        <v>75.739059291304983</v>
      </c>
      <c r="AL13" s="4332">
        <v>86.171798637256117</v>
      </c>
      <c r="AM13" s="4331">
        <v>6.7341960735284494E-3</v>
      </c>
      <c r="AN13" s="4331">
        <v>1.28956120735199</v>
      </c>
      <c r="AO13" s="4327">
        <v>856.5064045439218</v>
      </c>
      <c r="AP13" s="4327">
        <v>960.84200479613662</v>
      </c>
      <c r="AQ13" s="4327">
        <v>3126.6325105936126</v>
      </c>
      <c r="AR13" s="4332">
        <v>20.468778103138444</v>
      </c>
      <c r="AS13" s="4327">
        <v>9082.3969968607416</v>
      </c>
      <c r="AT13" s="4330">
        <v>1.0829014899727001</v>
      </c>
      <c r="AU13" s="4323">
        <v>0.60510115019781496</v>
      </c>
      <c r="AV13" s="4327">
        <v>0.35681568619052056</v>
      </c>
    </row>
    <row r="14" spans="1:51" s="4333" customFormat="1" ht="10.5">
      <c r="A14" s="4325"/>
      <c r="B14" s="4326">
        <f t="shared" si="0"/>
        <v>13</v>
      </c>
      <c r="C14" s="4327">
        <v>225152.2586617237</v>
      </c>
      <c r="D14" s="4328">
        <v>0.55409809905591767</v>
      </c>
      <c r="E14" s="4328">
        <v>0.446063956179379</v>
      </c>
      <c r="F14" s="4327">
        <v>243.1868053388686</v>
      </c>
      <c r="G14" s="4329">
        <v>3.5991986526734535E-2</v>
      </c>
      <c r="H14" s="4329">
        <v>1.2839065171203508</v>
      </c>
      <c r="I14" s="4329">
        <v>1.0547899691215425</v>
      </c>
      <c r="J14" s="4330">
        <v>27.298520408216522</v>
      </c>
      <c r="K14" s="4330">
        <v>89.932681062276572</v>
      </c>
      <c r="L14" s="4330">
        <v>85.500085831331944</v>
      </c>
      <c r="M14" s="4329">
        <v>12.515641052011633</v>
      </c>
      <c r="N14" s="4327">
        <v>389.0444097006523</v>
      </c>
      <c r="O14" s="4331">
        <v>0.73755561675588099</v>
      </c>
      <c r="P14" s="4331">
        <v>0.46517646626253251</v>
      </c>
      <c r="Q14" s="4331">
        <v>0.22898734738039722</v>
      </c>
      <c r="R14" s="4329">
        <v>8.4341844637126351E-2</v>
      </c>
      <c r="S14" s="4327">
        <v>15.685821590193346</v>
      </c>
      <c r="T14" s="4329">
        <v>188.7111380424252</v>
      </c>
      <c r="U14" s="4329">
        <v>37.157252079141109</v>
      </c>
      <c r="V14" s="4329">
        <v>76.829789399129282</v>
      </c>
      <c r="W14" s="4331">
        <v>89.601171984859292</v>
      </c>
      <c r="X14" s="4327">
        <v>44765.143850807413</v>
      </c>
      <c r="Y14" s="4327">
        <v>0.56074766355140204</v>
      </c>
      <c r="Z14" s="4327">
        <v>1133.2202664683025</v>
      </c>
      <c r="AA14" s="4327">
        <v>177362.47067465811</v>
      </c>
      <c r="AB14" s="4327">
        <v>26.3551401869159</v>
      </c>
      <c r="AC14" s="4327">
        <v>17.009345794392502</v>
      </c>
      <c r="AD14" s="4327">
        <v>1847.8009790197791</v>
      </c>
      <c r="AE14" s="4327">
        <v>94.36076838534953</v>
      </c>
      <c r="AF14" s="4327">
        <v>92.606078199908765</v>
      </c>
      <c r="AG14" s="4327">
        <v>90.298867028630127</v>
      </c>
      <c r="AH14" s="4327">
        <v>86.865503581818075</v>
      </c>
      <c r="AI14" s="4327">
        <v>83.294898419745806</v>
      </c>
      <c r="AJ14" s="4327">
        <v>82.122902867440274</v>
      </c>
      <c r="AK14" s="4327">
        <v>77.372444099139685</v>
      </c>
      <c r="AL14" s="4332">
        <v>92.089180001917882</v>
      </c>
      <c r="AM14" s="4331">
        <v>5.9669515636510692E-3</v>
      </c>
      <c r="AN14" s="4331">
        <v>1.3376896924735</v>
      </c>
      <c r="AO14" s="4327">
        <v>808.81959587377617</v>
      </c>
      <c r="AP14" s="4327">
        <v>895.47642327949779</v>
      </c>
      <c r="AQ14" s="4327">
        <v>2816.9262516594349</v>
      </c>
      <c r="AR14" s="4332">
        <v>23.435701433994328</v>
      </c>
      <c r="AS14" s="4327">
        <v>8917.9053036249225</v>
      </c>
      <c r="AT14" s="4330">
        <v>1.4442344811928749</v>
      </c>
      <c r="AU14" s="4323">
        <v>0.79296924108032374</v>
      </c>
      <c r="AV14" s="4327">
        <v>0.48996020976700227</v>
      </c>
    </row>
    <row r="15" spans="1:51" s="4333" customFormat="1" ht="10.5">
      <c r="A15" s="4325"/>
      <c r="B15" s="4326">
        <f t="shared" si="0"/>
        <v>14</v>
      </c>
      <c r="C15" s="4327">
        <v>175999.99999968239</v>
      </c>
      <c r="D15" s="4328">
        <v>0.61034312837869475</v>
      </c>
      <c r="E15" s="4328">
        <v>0.50041368235040529</v>
      </c>
      <c r="F15" s="4327">
        <v>243.36878613921388</v>
      </c>
      <c r="G15" s="4329">
        <v>4.3504106506726085E-2</v>
      </c>
      <c r="H15" s="4329">
        <v>1.3205964351615505</v>
      </c>
      <c r="I15" s="4329">
        <v>1.0689935073926142</v>
      </c>
      <c r="J15" s="4330">
        <v>28.257155036550824</v>
      </c>
      <c r="K15" s="4330">
        <v>89.66987237841812</v>
      </c>
      <c r="L15" s="4330">
        <v>84.961612861145099</v>
      </c>
      <c r="M15" s="4329">
        <v>12.694261883624915</v>
      </c>
      <c r="N15" s="4327">
        <v>339.59960011037691</v>
      </c>
      <c r="O15" s="4331">
        <v>0.74974017643515267</v>
      </c>
      <c r="P15" s="4331">
        <v>0.46359292871394653</v>
      </c>
      <c r="Q15" s="4331">
        <v>0.23898985385571092</v>
      </c>
      <c r="R15" s="4329">
        <v>8.7998614587530041E-2</v>
      </c>
      <c r="S15" s="4327">
        <v>15.818806641556488</v>
      </c>
      <c r="T15" s="4329">
        <v>198.32483562022804</v>
      </c>
      <c r="U15" s="4329">
        <v>38.120688222082215</v>
      </c>
      <c r="V15" s="4329">
        <v>80.372228838127754</v>
      </c>
      <c r="W15" s="4331">
        <v>91.115987110162962</v>
      </c>
      <c r="X15" s="4327">
        <v>33551.33819724842</v>
      </c>
      <c r="Y15" s="4327">
        <v>0.420560747663551</v>
      </c>
      <c r="Z15" s="4327">
        <v>729.81308411215002</v>
      </c>
      <c r="AA15" s="4327">
        <v>141480.98210991497</v>
      </c>
      <c r="AB15" s="4327">
        <v>19.766355140186899</v>
      </c>
      <c r="AC15" s="4327">
        <v>12.757009345794399</v>
      </c>
      <c r="AD15" s="4327">
        <v>205.37383177570101</v>
      </c>
      <c r="AE15" s="4327">
        <v>94.985273478300044</v>
      </c>
      <c r="AF15" s="4327">
        <v>93.277483610299029</v>
      </c>
      <c r="AG15" s="4327">
        <v>90.987142713285849</v>
      </c>
      <c r="AH15" s="4327">
        <v>87.824851173456025</v>
      </c>
      <c r="AI15" s="4327">
        <v>84.343230583776872</v>
      </c>
      <c r="AJ15" s="4327">
        <v>83.190955857557384</v>
      </c>
      <c r="AK15" s="4327">
        <v>78.353710613769508</v>
      </c>
      <c r="AL15" s="4332">
        <v>92.595259052115509</v>
      </c>
      <c r="AM15" s="4331">
        <v>6.5226253675690037E-3</v>
      </c>
      <c r="AN15" s="4331">
        <v>1.30344664776805</v>
      </c>
      <c r="AO15" s="4327">
        <v>715.56752779739566</v>
      </c>
      <c r="AP15" s="4327">
        <v>796.13194598397013</v>
      </c>
      <c r="AQ15" s="4327">
        <v>2432.5486800200906</v>
      </c>
      <c r="AR15" s="4332">
        <v>18.005996519646793</v>
      </c>
      <c r="AS15" s="4327">
        <v>9073.3546159840989</v>
      </c>
      <c r="AT15" s="4330">
        <v>1.4731368744178415</v>
      </c>
      <c r="AU15" s="4323">
        <v>0.80819860193806814</v>
      </c>
      <c r="AV15" s="4327">
        <v>0.87465758445184072</v>
      </c>
    </row>
    <row r="16" spans="1:51" s="4333" customFormat="1" ht="10.5">
      <c r="A16" s="4325"/>
      <c r="B16" s="4326">
        <f t="shared" si="0"/>
        <v>15</v>
      </c>
      <c r="C16" s="4327">
        <v>227905.15785900154</v>
      </c>
      <c r="D16" s="4328">
        <v>0.54754766370757513</v>
      </c>
      <c r="E16" s="4328">
        <v>0.48474102855907147</v>
      </c>
      <c r="F16" s="4327">
        <v>131.51460559940301</v>
      </c>
      <c r="G16" s="4329">
        <v>5.4515360217680914E-2</v>
      </c>
      <c r="H16" s="4329">
        <v>1.4552867623364012</v>
      </c>
      <c r="I16" s="4329">
        <v>1.1806997818525595</v>
      </c>
      <c r="J16" s="4330">
        <v>27.232943966180745</v>
      </c>
      <c r="K16" s="4330">
        <v>89.602658899497328</v>
      </c>
      <c r="L16" s="4330">
        <v>82.305628641468886</v>
      </c>
      <c r="M16" s="4329">
        <v>12.709282947170372</v>
      </c>
      <c r="N16" s="4327">
        <v>458.3408150571197</v>
      </c>
      <c r="O16" s="4331">
        <v>0.79490611157898039</v>
      </c>
      <c r="P16" s="4331">
        <v>0.68164131671989303</v>
      </c>
      <c r="Q16" s="4331">
        <v>0.2002612966910482</v>
      </c>
      <c r="R16" s="4329">
        <v>0.10186665813758956</v>
      </c>
      <c r="S16" s="4327">
        <v>22.041839820121375</v>
      </c>
      <c r="T16" s="4329">
        <v>204.91792233791114</v>
      </c>
      <c r="U16" s="4329">
        <v>38.696424510724626</v>
      </c>
      <c r="V16" s="4329">
        <v>80.630137123982422</v>
      </c>
      <c r="W16" s="4331">
        <v>86.687772850935204</v>
      </c>
      <c r="X16" s="4327">
        <v>65302.724329648387</v>
      </c>
      <c r="Y16" s="4327">
        <v>17.435568687376602</v>
      </c>
      <c r="Z16" s="4327">
        <v>2369.8731487700629</v>
      </c>
      <c r="AA16" s="4327">
        <v>158736.90571525684</v>
      </c>
      <c r="AB16" s="4327">
        <v>26.839791109069868</v>
      </c>
      <c r="AC16" s="4327">
        <v>22.162618718818521</v>
      </c>
      <c r="AD16" s="4327">
        <v>1429.508841515935</v>
      </c>
      <c r="AE16" s="4327">
        <v>94.497314934190754</v>
      </c>
      <c r="AF16" s="4327">
        <v>92.953937560935827</v>
      </c>
      <c r="AG16" s="4327">
        <v>90.552218157645612</v>
      </c>
      <c r="AH16" s="4327">
        <v>87.907487096820859</v>
      </c>
      <c r="AI16" s="4327">
        <v>84.688959605420891</v>
      </c>
      <c r="AJ16" s="4327">
        <v>83.640666455291722</v>
      </c>
      <c r="AK16" s="4327">
        <v>79.47741788138822</v>
      </c>
      <c r="AL16" s="4332">
        <v>85.080611902797045</v>
      </c>
      <c r="AM16" s="4331">
        <v>7.5728862255627187E-3</v>
      </c>
      <c r="AN16" s="4331">
        <v>1.56225402418972</v>
      </c>
      <c r="AO16" s="4327">
        <v>871.84850030363691</v>
      </c>
      <c r="AP16" s="4327">
        <v>974.83022908701082</v>
      </c>
      <c r="AQ16" s="4327">
        <v>3186.4788255053395</v>
      </c>
      <c r="AR16" s="4332">
        <v>21.227545907495383</v>
      </c>
      <c r="AS16" s="4327">
        <v>9234.3742931164415</v>
      </c>
      <c r="AT16" s="4330">
        <v>1.2346846427715699</v>
      </c>
      <c r="AU16" s="4323">
        <v>0.70711683842647344</v>
      </c>
      <c r="AV16" s="4327">
        <v>0.91295787183632615</v>
      </c>
    </row>
    <row r="17" spans="1:51" s="4333" customFormat="1" ht="10.5">
      <c r="A17" s="4325"/>
      <c r="B17" s="4326">
        <f t="shared" si="0"/>
        <v>16</v>
      </c>
      <c r="C17" s="4327">
        <v>217798.28347475035</v>
      </c>
      <c r="D17" s="4328">
        <v>0.53987613442977211</v>
      </c>
      <c r="E17" s="4328">
        <v>0.47743651463937253</v>
      </c>
      <c r="F17" s="4327">
        <v>142.22973282070376</v>
      </c>
      <c r="G17" s="4329">
        <v>6.4020605153275026E-2</v>
      </c>
      <c r="H17" s="4329">
        <v>1.6264310506024897</v>
      </c>
      <c r="I17" s="4329">
        <v>1.1087467755542086</v>
      </c>
      <c r="J17" s="4330">
        <v>27.774173074472081</v>
      </c>
      <c r="K17" s="4330">
        <v>90.131235656786743</v>
      </c>
      <c r="L17" s="4330">
        <v>83.003655926897522</v>
      </c>
      <c r="M17" s="4329">
        <v>12.624531846119941</v>
      </c>
      <c r="N17" s="4327">
        <v>334.01606490669047</v>
      </c>
      <c r="O17" s="4331">
        <v>0.85415648610162809</v>
      </c>
      <c r="P17" s="4331">
        <v>0.58980733904373006</v>
      </c>
      <c r="Q17" s="4331">
        <v>0.22551498967881506</v>
      </c>
      <c r="R17" s="4329">
        <v>7.4714306156330276E-2</v>
      </c>
      <c r="S17" s="4327">
        <v>18.016519501980184</v>
      </c>
      <c r="T17" s="4329">
        <v>203.12684387919001</v>
      </c>
      <c r="U17" s="4329">
        <v>38.914802490746702</v>
      </c>
      <c r="V17" s="4329">
        <v>78.645042614233247</v>
      </c>
      <c r="W17" s="4331">
        <v>89.777080623681684</v>
      </c>
      <c r="X17" s="4327">
        <v>51283.214534120591</v>
      </c>
      <c r="Y17" s="4327">
        <v>0.56074766355140204</v>
      </c>
      <c r="Z17" s="4327">
        <v>973.08411214953298</v>
      </c>
      <c r="AA17" s="4327">
        <v>165224.62774638753</v>
      </c>
      <c r="AB17" s="4327">
        <v>26.3551401869159</v>
      </c>
      <c r="AC17" s="4327">
        <v>17.009345794392502</v>
      </c>
      <c r="AD17" s="4327">
        <v>273.831775700935</v>
      </c>
      <c r="AE17" s="4327">
        <v>94.411442231192908</v>
      </c>
      <c r="AF17" s="4327">
        <v>93.081128889151643</v>
      </c>
      <c r="AG17" s="4327">
        <v>90.870480392519042</v>
      </c>
      <c r="AH17" s="4327">
        <v>88.521115872993363</v>
      </c>
      <c r="AI17" s="4327">
        <v>85.680171999228079</v>
      </c>
      <c r="AJ17" s="4327">
        <v>84.746813094292477</v>
      </c>
      <c r="AK17" s="4327">
        <v>80.815583031656999</v>
      </c>
      <c r="AL17" s="4332">
        <v>91.426130933060477</v>
      </c>
      <c r="AM17" s="4331">
        <v>6.5368658357280235E-3</v>
      </c>
      <c r="AN17" s="4331">
        <v>1.3691591730610699</v>
      </c>
      <c r="AO17" s="4327">
        <v>836.89653773914324</v>
      </c>
      <c r="AP17" s="4327">
        <v>930.77199618345617</v>
      </c>
      <c r="AQ17" s="4327">
        <v>3044.6961584325791</v>
      </c>
      <c r="AR17" s="4332">
        <v>21.628978286349508</v>
      </c>
      <c r="AS17" s="4327">
        <v>9212.2587251795594</v>
      </c>
      <c r="AT17" s="4330">
        <v>1.298686382949463</v>
      </c>
      <c r="AU17" s="4323">
        <v>0.7632786100808413</v>
      </c>
      <c r="AV17" s="4327">
        <v>0.97765791770159682</v>
      </c>
    </row>
    <row r="18" spans="1:51" s="4333" customFormat="1" ht="10.5">
      <c r="A18" s="4325"/>
      <c r="B18" s="4326">
        <f t="shared" si="0"/>
        <v>17</v>
      </c>
      <c r="C18" s="4327">
        <v>175999.99999932194</v>
      </c>
      <c r="D18" s="4328">
        <v>0.5825990746316464</v>
      </c>
      <c r="E18" s="4328">
        <v>0.51166783187005194</v>
      </c>
      <c r="F18" s="4327">
        <v>141.02324160466765</v>
      </c>
      <c r="G18" s="4329">
        <v>5.4366978445845343E-2</v>
      </c>
      <c r="H18" s="4329">
        <v>1.5673805132197096</v>
      </c>
      <c r="I18" s="4329">
        <v>1.2144871418803114</v>
      </c>
      <c r="J18" s="4330">
        <v>27.791260571432403</v>
      </c>
      <c r="K18" s="4330">
        <v>90.620204316578963</v>
      </c>
      <c r="L18" s="4330">
        <v>82.750372802669418</v>
      </c>
      <c r="M18" s="4329">
        <v>12.678965368724709</v>
      </c>
      <c r="N18" s="4327">
        <v>733.85123906580134</v>
      </c>
      <c r="O18" s="4331">
        <v>0.90114257317554214</v>
      </c>
      <c r="P18" s="4331">
        <v>0.78194925627014022</v>
      </c>
      <c r="Q18" s="4331">
        <v>0.21263101283428049</v>
      </c>
      <c r="R18" s="4329">
        <v>7.8215406535147317E-2</v>
      </c>
      <c r="S18" s="4327">
        <v>18.590741609846372</v>
      </c>
      <c r="T18" s="4329">
        <v>205.00064273368727</v>
      </c>
      <c r="U18" s="4329">
        <v>38.205757706742325</v>
      </c>
      <c r="V18" s="4329">
        <v>79.72590039560356</v>
      </c>
      <c r="W18" s="4331">
        <v>84.150162451379387</v>
      </c>
      <c r="X18" s="4327">
        <v>36340.090258328535</v>
      </c>
      <c r="Y18" s="4327">
        <v>22.920322112763852</v>
      </c>
      <c r="Z18" s="4327">
        <v>18855.8477701593</v>
      </c>
      <c r="AA18" s="4327">
        <v>118994.96125356038</v>
      </c>
      <c r="AB18" s="4327">
        <v>20.412556369725525</v>
      </c>
      <c r="AC18" s="4327">
        <v>19.628039911695758</v>
      </c>
      <c r="AD18" s="4327">
        <v>1746.2765861957009</v>
      </c>
      <c r="AE18" s="4327">
        <v>94.922694206490547</v>
      </c>
      <c r="AF18" s="4327">
        <v>93.725970938949573</v>
      </c>
      <c r="AG18" s="4327">
        <v>91.729002894787911</v>
      </c>
      <c r="AH18" s="4327">
        <v>89.632685739583408</v>
      </c>
      <c r="AI18" s="4327">
        <v>86.920001778689013</v>
      </c>
      <c r="AJ18" s="4327">
        <v>85.99515544114405</v>
      </c>
      <c r="AK18" s="4327">
        <v>82.11107415318078</v>
      </c>
      <c r="AL18" s="4332">
        <v>79.489293382298214</v>
      </c>
      <c r="AM18" s="4331">
        <v>7.6874366572884066E-3</v>
      </c>
      <c r="AN18" s="4331">
        <v>1.50242719562655</v>
      </c>
      <c r="AO18" s="4327">
        <v>711.18463854343997</v>
      </c>
      <c r="AP18" s="4327">
        <v>790.11111783247645</v>
      </c>
      <c r="AQ18" s="4327">
        <v>2695.9782734733785</v>
      </c>
      <c r="AR18" s="4332">
        <v>15.527372196801849</v>
      </c>
      <c r="AS18" s="4327">
        <v>9116.9791765572991</v>
      </c>
      <c r="AT18" s="4330">
        <v>1.2026677886938946</v>
      </c>
      <c r="AU18" s="4323">
        <v>0.78347012756679713</v>
      </c>
      <c r="AV18" s="4327">
        <v>0.97974412537248279</v>
      </c>
    </row>
    <row r="19" spans="1:51" s="4333" customFormat="1" ht="10.5">
      <c r="A19" s="4325"/>
      <c r="B19" s="4326">
        <f t="shared" si="0"/>
        <v>18</v>
      </c>
      <c r="C19" s="4327">
        <v>231642.20157185348</v>
      </c>
      <c r="D19" s="4328">
        <v>0.67115094363833128</v>
      </c>
      <c r="E19" s="4328">
        <v>0.57183821306553273</v>
      </c>
      <c r="F19" s="4328">
        <v>217.39725267626287</v>
      </c>
      <c r="G19" s="4328">
        <v>4.1500071223895652E-2</v>
      </c>
      <c r="H19" s="4328">
        <v>1.4322310821423727</v>
      </c>
      <c r="I19" s="4328">
        <v>1.3861783632496485</v>
      </c>
      <c r="J19" s="4328">
        <v>27.379195980473291</v>
      </c>
      <c r="K19" s="4328">
        <v>90.14902884580826</v>
      </c>
      <c r="L19" s="4328">
        <v>85.985004225993478</v>
      </c>
      <c r="M19" s="4328">
        <v>12.757273887738359</v>
      </c>
      <c r="N19" s="4328">
        <v>488.64906322555817</v>
      </c>
      <c r="O19" s="4328">
        <v>1.0482546721432395</v>
      </c>
      <c r="P19" s="4328">
        <v>0.86710415764133308</v>
      </c>
      <c r="Q19" s="4328">
        <v>0.25478782051825782</v>
      </c>
      <c r="R19" s="4328">
        <v>3.6264451054205622E-2</v>
      </c>
      <c r="S19" s="4328">
        <v>11.652615443859117</v>
      </c>
      <c r="T19" s="4328">
        <v>202.39206068437556</v>
      </c>
      <c r="U19" s="4328">
        <v>37.263653959079413</v>
      </c>
      <c r="V19" s="4328">
        <v>77.03330119694634</v>
      </c>
      <c r="W19" s="4328">
        <v>85.618786550868066</v>
      </c>
      <c r="X19" s="4328">
        <v>18923.420171385118</v>
      </c>
      <c r="Y19" s="4327">
        <v>0.420560747663551</v>
      </c>
      <c r="Z19" s="4327">
        <v>33608.796591981001</v>
      </c>
      <c r="AA19" s="4327">
        <v>157637.42032065699</v>
      </c>
      <c r="AB19" s="4327">
        <v>1425.3205939688849</v>
      </c>
      <c r="AC19" s="4327">
        <v>9594.6473728954443</v>
      </c>
      <c r="AD19" s="4327">
        <v>10452.467001359872</v>
      </c>
      <c r="AE19" s="4327">
        <v>94.165625463113187</v>
      </c>
      <c r="AF19" s="4327">
        <v>92.998560522448685</v>
      </c>
      <c r="AG19" s="4327">
        <v>91.154720504472621</v>
      </c>
      <c r="AH19" s="4327">
        <v>88.95972389007909</v>
      </c>
      <c r="AI19" s="4327">
        <v>86.48301471412654</v>
      </c>
      <c r="AJ19" s="4327">
        <v>85.624352108935213</v>
      </c>
      <c r="AK19" s="4327">
        <v>80.886159596932345</v>
      </c>
      <c r="AL19" s="4332">
        <v>92.819827872281735</v>
      </c>
      <c r="AM19" s="4331">
        <v>9.0341416807466907E-3</v>
      </c>
      <c r="AN19" s="4331">
        <v>1.57984224809253</v>
      </c>
      <c r="AO19" s="4327">
        <v>1114.3774990546801</v>
      </c>
      <c r="AP19" s="4327">
        <v>1237.6552080170829</v>
      </c>
      <c r="AQ19" s="4327">
        <v>4200.4085599503105</v>
      </c>
      <c r="AR19" s="4332">
        <v>24.329711823190774</v>
      </c>
      <c r="AS19" s="4327">
        <v>9025.36092546689</v>
      </c>
      <c r="AT19" s="4330">
        <v>1.3366192498601805</v>
      </c>
      <c r="AU19" s="4323">
        <v>0.87318256075506995</v>
      </c>
      <c r="AV19" s="4327">
        <v>0.87590883446912238</v>
      </c>
    </row>
    <row r="20" spans="1:51" s="4333" customFormat="1" ht="10.5">
      <c r="A20" s="4325"/>
      <c r="B20" s="4326">
        <f t="shared" si="0"/>
        <v>19</v>
      </c>
      <c r="C20" s="4327">
        <v>216000.04453185282</v>
      </c>
      <c r="D20" s="4328">
        <v>0.68619472129379666</v>
      </c>
      <c r="E20" s="4328">
        <v>0.58705781676829161</v>
      </c>
      <c r="F20" s="4327">
        <v>214.41086958903563</v>
      </c>
      <c r="G20" s="4329">
        <v>3.5062981243415184E-2</v>
      </c>
      <c r="H20" s="4329">
        <v>1.2098720111126069</v>
      </c>
      <c r="I20" s="4329">
        <v>1.3470147052188377</v>
      </c>
      <c r="J20" s="4330">
        <v>28.299721429696955</v>
      </c>
      <c r="K20" s="4330">
        <v>88.85576847456008</v>
      </c>
      <c r="L20" s="4330">
        <v>86.00460167514828</v>
      </c>
      <c r="M20" s="4329">
        <v>12.670322401229186</v>
      </c>
      <c r="N20" s="4327">
        <v>1296.2925837809833</v>
      </c>
      <c r="O20" s="4331">
        <v>0.95610883750248865</v>
      </c>
      <c r="P20" s="4331">
        <v>1.0345042121014174</v>
      </c>
      <c r="Q20" s="4331">
        <v>0.21887493777639896</v>
      </c>
      <c r="R20" s="4329">
        <v>0.12110201964891978</v>
      </c>
      <c r="S20" s="4327">
        <v>32.497090062531356</v>
      </c>
      <c r="T20" s="4329">
        <v>203.79135930745875</v>
      </c>
      <c r="U20" s="4329">
        <v>38.975140830054585</v>
      </c>
      <c r="V20" s="4329">
        <v>72.058769144901675</v>
      </c>
      <c r="W20" s="4331">
        <v>89.991302808620048</v>
      </c>
      <c r="X20" s="4327">
        <v>56036.010724181055</v>
      </c>
      <c r="Y20" s="4327">
        <v>0</v>
      </c>
      <c r="Z20" s="4327">
        <v>18633.814003757547</v>
      </c>
      <c r="AA20" s="4327">
        <v>133483.86663081331</v>
      </c>
      <c r="AB20" s="4327">
        <v>688.21797343323203</v>
      </c>
      <c r="AC20" s="4327">
        <v>6833.8791785083413</v>
      </c>
      <c r="AD20" s="4327">
        <v>324.497871486397</v>
      </c>
      <c r="AE20" s="4327">
        <v>92.617009446389872</v>
      </c>
      <c r="AF20" s="4327">
        <v>91.433868187066821</v>
      </c>
      <c r="AG20" s="4327">
        <v>88.849756373815708</v>
      </c>
      <c r="AH20" s="4327">
        <v>86.309832941188859</v>
      </c>
      <c r="AI20" s="4327">
        <v>83.771846026672961</v>
      </c>
      <c r="AJ20" s="4327">
        <v>82.836083752977217</v>
      </c>
      <c r="AK20" s="4327">
        <v>76.943233512068403</v>
      </c>
      <c r="AL20" s="4332">
        <v>104.16785995379483</v>
      </c>
      <c r="AM20" s="4331">
        <v>9.375819597172548E-3</v>
      </c>
      <c r="AN20" s="4331">
        <v>1.5970862373974899</v>
      </c>
      <c r="AO20" s="4327">
        <v>1139.5194254033765</v>
      </c>
      <c r="AP20" s="4327">
        <v>1283.2879280732675</v>
      </c>
      <c r="AQ20" s="4327">
        <v>4122.8669873346307</v>
      </c>
      <c r="AR20" s="4332">
        <v>24.203222195905806</v>
      </c>
      <c r="AS20" s="4327">
        <v>9059.9670272918465</v>
      </c>
      <c r="AT20" s="4330">
        <v>1.221444524506845</v>
      </c>
      <c r="AU20" s="4323">
        <v>0.73907206541408921</v>
      </c>
      <c r="AV20" s="4327">
        <v>0.90578700227860676</v>
      </c>
    </row>
    <row r="21" spans="1:51" s="3967" customFormat="1" ht="10.5">
      <c r="A21" s="3959"/>
      <c r="B21" s="3960">
        <f t="shared" si="0"/>
        <v>20</v>
      </c>
      <c r="C21" s="3961">
        <v>239769.96</v>
      </c>
      <c r="D21" s="3962">
        <v>0.61853711932887689</v>
      </c>
      <c r="E21" s="4314">
        <v>0.54478257960254906</v>
      </c>
      <c r="F21" s="3961">
        <v>161.9711458432908</v>
      </c>
      <c r="G21" s="3963">
        <v>3.8097763039206416E-2</v>
      </c>
      <c r="H21" s="3963">
        <v>1.2924056471461232</v>
      </c>
      <c r="I21" s="3963">
        <v>1.6777768702968465</v>
      </c>
      <c r="J21" s="3964">
        <v>25.328598172417298</v>
      </c>
      <c r="K21" s="3964">
        <v>88.638441428910198</v>
      </c>
      <c r="L21" s="3964">
        <v>79.486588612184775</v>
      </c>
      <c r="M21" s="3963">
        <v>12.63634471007127</v>
      </c>
      <c r="N21" s="3961">
        <v>1332.4495128909393</v>
      </c>
      <c r="O21" s="3965">
        <v>0.99004023956962739</v>
      </c>
      <c r="P21" s="3965">
        <v>1.3209614263604998</v>
      </c>
      <c r="Q21" s="3965">
        <v>0.17295864736349789</v>
      </c>
      <c r="R21" s="3963">
        <v>0.11378628498749385</v>
      </c>
      <c r="S21" s="3961">
        <v>33.838682543884985</v>
      </c>
      <c r="T21" s="3963">
        <v>199.68915230398335</v>
      </c>
      <c r="U21" s="3963">
        <v>38.523613807334328</v>
      </c>
      <c r="V21" s="3963">
        <v>73.522789128379557</v>
      </c>
      <c r="W21" s="3965">
        <v>84.725226719810948</v>
      </c>
      <c r="X21" s="3961">
        <v>62147</v>
      </c>
      <c r="Y21" s="3961">
        <v>0</v>
      </c>
      <c r="Z21" s="3961">
        <v>19138.640742364845</v>
      </c>
      <c r="AA21" s="3961">
        <v>148092.1163238227</v>
      </c>
      <c r="AB21" s="3961">
        <v>3663.2445645254847</v>
      </c>
      <c r="AC21" s="3961">
        <v>6728.9583692869392</v>
      </c>
      <c r="AD21" s="3961">
        <v>0</v>
      </c>
      <c r="AE21" s="3961">
        <v>91.887911874698588</v>
      </c>
      <c r="AF21" s="3961">
        <v>90.685087232779281</v>
      </c>
      <c r="AG21" s="3961">
        <v>87.842004328649011</v>
      </c>
      <c r="AH21" s="3961">
        <v>85.269444038277342</v>
      </c>
      <c r="AI21" s="3961">
        <v>82.633837520263157</v>
      </c>
      <c r="AJ21" s="3961">
        <v>81.662590124801298</v>
      </c>
      <c r="AK21" s="3961">
        <v>76.142418856307089</v>
      </c>
      <c r="AL21" s="3961">
        <v>100.24774822383922</v>
      </c>
      <c r="AM21" s="3965">
        <v>8.6437168359205629E-3</v>
      </c>
      <c r="AN21" s="3965">
        <v>1.5866360562091877</v>
      </c>
      <c r="AO21" s="3961">
        <v>1157.8174577996799</v>
      </c>
      <c r="AP21" s="3961">
        <v>1306.2249732</v>
      </c>
      <c r="AQ21" s="3961">
        <v>4571.1864901411582</v>
      </c>
      <c r="AR21" s="3966">
        <v>26.586022610739619</v>
      </c>
      <c r="AS21" s="3961">
        <v>9018.6472610289275</v>
      </c>
      <c r="AT21" s="3964">
        <v>1.1499630072090765</v>
      </c>
      <c r="AU21" s="3958">
        <v>0.74080572895787267</v>
      </c>
      <c r="AV21" s="3961">
        <v>0.93992886589284685</v>
      </c>
    </row>
    <row r="22" spans="1:51" s="3967" customFormat="1" ht="10.5">
      <c r="A22" s="3959"/>
      <c r="B22" s="3960">
        <f t="shared" si="0"/>
        <v>21</v>
      </c>
      <c r="C22" s="3961">
        <v>179507.96</v>
      </c>
      <c r="D22" s="3962">
        <v>0.62794518772315167</v>
      </c>
      <c r="E22" s="4314">
        <v>0.55017132477022201</v>
      </c>
      <c r="F22" s="3961">
        <v>171.3053604976626</v>
      </c>
      <c r="G22" s="3963">
        <v>4.4803955211791167E-2</v>
      </c>
      <c r="H22" s="3963">
        <v>1.4669899335940311</v>
      </c>
      <c r="I22" s="3963">
        <v>1.5994581648635526</v>
      </c>
      <c r="J22" s="3964">
        <v>26.714605656081662</v>
      </c>
      <c r="K22" s="3964">
        <v>89.054333984933379</v>
      </c>
      <c r="L22" s="3964">
        <v>80.541791477547832</v>
      </c>
      <c r="M22" s="3963">
        <v>12.570300047307093</v>
      </c>
      <c r="N22" s="3961">
        <v>1074.2914531451418</v>
      </c>
      <c r="O22" s="3965">
        <v>0.96896199277179684</v>
      </c>
      <c r="P22" s="3965">
        <v>0.94659125935139599</v>
      </c>
      <c r="Q22" s="3965">
        <v>0.21931132836671982</v>
      </c>
      <c r="R22" s="3963">
        <v>8.3505483545130807E-2</v>
      </c>
      <c r="S22" s="3961">
        <v>29.038000097600129</v>
      </c>
      <c r="T22" s="3963">
        <v>197.7032733833085</v>
      </c>
      <c r="U22" s="3963">
        <v>38.468991267239623</v>
      </c>
      <c r="V22" s="3963">
        <v>72.185947086914695</v>
      </c>
      <c r="W22" s="3965">
        <v>89.785191129797255</v>
      </c>
      <c r="X22" s="3961">
        <v>35947</v>
      </c>
      <c r="Y22" s="3961">
        <v>0</v>
      </c>
      <c r="Z22" s="3961">
        <v>11155.258538995362</v>
      </c>
      <c r="AA22" s="3961">
        <v>117242.2072738018</v>
      </c>
      <c r="AB22" s="3961">
        <v>188.51615469453438</v>
      </c>
      <c r="AC22" s="3961">
        <v>12766.489359778696</v>
      </c>
      <c r="AD22" s="3961">
        <v>2208.4886727295748</v>
      </c>
      <c r="AE22" s="3961">
        <v>92.562873023346711</v>
      </c>
      <c r="AF22" s="3961">
        <v>91.434800152149236</v>
      </c>
      <c r="AG22" s="3961">
        <v>88.500587454283377</v>
      </c>
      <c r="AH22" s="3961">
        <v>86.011310222009087</v>
      </c>
      <c r="AI22" s="3961">
        <v>83.356260904976025</v>
      </c>
      <c r="AJ22" s="3961">
        <v>82.388878699529542</v>
      </c>
      <c r="AK22" s="3961">
        <v>76.965563792268597</v>
      </c>
      <c r="AL22" s="3961">
        <v>102.13107839206684</v>
      </c>
      <c r="AM22" s="3965">
        <v>9.7414719659228485E-3</v>
      </c>
      <c r="AN22" s="3965">
        <v>1.7706251720755086</v>
      </c>
      <c r="AO22" s="3961">
        <v>879.50177937728006</v>
      </c>
      <c r="AP22" s="3961">
        <v>987.60132160000012</v>
      </c>
      <c r="AQ22" s="3961">
        <v>3292.2132211113462</v>
      </c>
      <c r="AR22" s="3966">
        <v>20.129281305665192</v>
      </c>
      <c r="AS22" s="3961">
        <v>8917.7530620270682</v>
      </c>
      <c r="AT22" s="3964">
        <v>1.3002739296909176</v>
      </c>
      <c r="AU22" s="3958">
        <v>0.7874440293749112</v>
      </c>
      <c r="AV22" s="3961">
        <v>0.94868711324936772</v>
      </c>
    </row>
    <row r="23" spans="1:51" s="3967" customFormat="1" ht="10.5">
      <c r="A23" s="3959"/>
      <c r="B23" s="3960">
        <f t="shared" si="0"/>
        <v>22</v>
      </c>
      <c r="C23" s="3961">
        <v>240392</v>
      </c>
      <c r="D23" s="3962">
        <v>0.61873166577922722</v>
      </c>
      <c r="E23" s="4314">
        <v>0.55330404655728971</v>
      </c>
      <c r="F23" s="3961">
        <v>147.0968321741156</v>
      </c>
      <c r="G23" s="3963">
        <v>3.498734666711039E-2</v>
      </c>
      <c r="H23" s="3963">
        <v>1.2543089588671836</v>
      </c>
      <c r="I23" s="3963">
        <v>1.8029979035908017</v>
      </c>
      <c r="J23" s="3964">
        <v>23.230412643666646</v>
      </c>
      <c r="K23" s="3964">
        <v>88.106680624043307</v>
      </c>
      <c r="L23" s="3964">
        <v>79.01974885603515</v>
      </c>
      <c r="M23" s="3963">
        <v>12.875383511431327</v>
      </c>
      <c r="N23" s="3961">
        <v>1362.0256275776233</v>
      </c>
      <c r="O23" s="3965">
        <v>1.2780466090385703</v>
      </c>
      <c r="P23" s="3965">
        <v>1.4699511729175678</v>
      </c>
      <c r="Q23" s="3965">
        <v>0.13521639522113879</v>
      </c>
      <c r="R23" s="3963">
        <v>4.4214645246098049E-2</v>
      </c>
      <c r="S23" s="3961">
        <v>27.923885320642949</v>
      </c>
      <c r="T23" s="3963">
        <v>210.84492286931345</v>
      </c>
      <c r="U23" s="3963">
        <v>39.31624955139938</v>
      </c>
      <c r="V23" s="3963">
        <v>73.842489489833255</v>
      </c>
      <c r="W23" s="3965">
        <v>81.114557259309791</v>
      </c>
      <c r="X23" s="3961">
        <v>102145</v>
      </c>
      <c r="Y23" s="3961">
        <v>0</v>
      </c>
      <c r="Z23" s="3961">
        <v>11353.180964754112</v>
      </c>
      <c r="AA23" s="3961">
        <v>107556.10960270467</v>
      </c>
      <c r="AB23" s="3961">
        <v>3460.5503736150545</v>
      </c>
      <c r="AC23" s="3961">
        <v>4991.9802192139296</v>
      </c>
      <c r="AD23" s="3961">
        <v>10885.178839712198</v>
      </c>
      <c r="AE23" s="3961">
        <v>92.01525352890279</v>
      </c>
      <c r="AF23" s="3961">
        <v>90.835483651203035</v>
      </c>
      <c r="AG23" s="3961">
        <v>87.923213349861882</v>
      </c>
      <c r="AH23" s="3961">
        <v>85.206941081067598</v>
      </c>
      <c r="AI23" s="3961">
        <v>82.482822924556558</v>
      </c>
      <c r="AJ23" s="3961">
        <v>81.500107749342732</v>
      </c>
      <c r="AK23" s="3961">
        <v>76.572640802189767</v>
      </c>
      <c r="AL23" s="3961">
        <v>99.61964672202069</v>
      </c>
      <c r="AM23" s="3965">
        <v>1.150960364737595E-2</v>
      </c>
      <c r="AN23" s="3965">
        <v>2.0801589503980309</v>
      </c>
      <c r="AO23" s="3961">
        <v>1171.90578152272</v>
      </c>
      <c r="AP23" s="3961">
        <v>1330.0986635999998</v>
      </c>
      <c r="AQ23" s="3961">
        <v>5044.7049714470695</v>
      </c>
      <c r="AR23" s="3966">
        <v>26.243978612397193</v>
      </c>
      <c r="AS23" s="3961">
        <v>9159.8916288722721</v>
      </c>
      <c r="AT23" s="3964">
        <v>0.9123145242770142</v>
      </c>
      <c r="AU23" s="3958">
        <v>0.52980890029738004</v>
      </c>
      <c r="AV23" s="3961">
        <v>0.95490523878590616</v>
      </c>
    </row>
    <row r="24" spans="1:51" s="3967" customFormat="1" ht="10.5">
      <c r="A24" s="3959"/>
      <c r="B24" s="3960">
        <f t="shared" si="0"/>
        <v>23</v>
      </c>
      <c r="C24" s="3961">
        <v>239552.08000000002</v>
      </c>
      <c r="D24" s="3962">
        <v>0.5783136583911106</v>
      </c>
      <c r="E24" s="4314">
        <v>0.52512631140585386</v>
      </c>
      <c r="F24" s="3961">
        <v>120.76178708195729</v>
      </c>
      <c r="G24" s="3963">
        <v>4.0616084485678439E-2</v>
      </c>
      <c r="H24" s="3963">
        <v>1.1850815318322427</v>
      </c>
      <c r="I24" s="3963">
        <v>1.6729225938676884</v>
      </c>
      <c r="J24" s="3964">
        <v>22.414514136468394</v>
      </c>
      <c r="K24" s="3964">
        <v>88.637755774808056</v>
      </c>
      <c r="L24" s="3964">
        <v>79.217466023087766</v>
      </c>
      <c r="M24" s="3963">
        <v>12.644117916738606</v>
      </c>
      <c r="N24" s="3961">
        <v>1461.7821303993685</v>
      </c>
      <c r="O24" s="3965">
        <v>1.2630867368799303</v>
      </c>
      <c r="P24" s="3965">
        <v>1.5338487039644988</v>
      </c>
      <c r="Q24" s="3965">
        <v>8.8670780566797822E-2</v>
      </c>
      <c r="R24" s="3963">
        <v>4.4741076762931882E-2</v>
      </c>
      <c r="S24" s="3961">
        <v>24.100598082888698</v>
      </c>
      <c r="T24" s="3963">
        <v>197.99892315825434</v>
      </c>
      <c r="U24" s="3963">
        <v>38.559717584585364</v>
      </c>
      <c r="V24" s="3963">
        <v>78.765577305778351</v>
      </c>
      <c r="W24" s="3965">
        <v>84.076870053142514</v>
      </c>
      <c r="X24" s="3961">
        <v>103886</v>
      </c>
      <c r="Y24" s="3961">
        <v>0</v>
      </c>
      <c r="Z24" s="3961">
        <v>17966.832627554155</v>
      </c>
      <c r="AA24" s="3961">
        <v>110693.51164905645</v>
      </c>
      <c r="AB24" s="3961">
        <v>1448.340254080498</v>
      </c>
      <c r="AC24" s="3961">
        <v>5557.3954693088845</v>
      </c>
      <c r="AD24" s="3961">
        <v>0</v>
      </c>
      <c r="AE24" s="3961">
        <v>92.278598163372223</v>
      </c>
      <c r="AF24" s="3961">
        <v>90.968981094382485</v>
      </c>
      <c r="AG24" s="3961">
        <v>88.402721408388516</v>
      </c>
      <c r="AH24" s="3961">
        <v>85.608965305248034</v>
      </c>
      <c r="AI24" s="3961">
        <v>82.661483775553108</v>
      </c>
      <c r="AJ24" s="3961">
        <v>81.671278542519843</v>
      </c>
      <c r="AK24" s="3961">
        <v>77.402667686792796</v>
      </c>
      <c r="AL24" s="3961">
        <v>100.48334981487115</v>
      </c>
      <c r="AM24" s="3965">
        <v>1.1771621770096923E-2</v>
      </c>
      <c r="AN24" s="3965">
        <v>2.2416743389951757</v>
      </c>
      <c r="AO24" s="3961">
        <v>1115.0195365649599</v>
      </c>
      <c r="AP24" s="3961">
        <v>1257.9510016000002</v>
      </c>
      <c r="AQ24" s="3961">
        <v>4974.5425208696543</v>
      </c>
      <c r="AR24" s="3966">
        <v>26.960216239973089</v>
      </c>
      <c r="AS24" s="3961">
        <v>8885.3916403245858</v>
      </c>
      <c r="AT24" s="3964">
        <v>0.78303007613208775</v>
      </c>
      <c r="AU24" s="3958">
        <v>0.5663322981791683</v>
      </c>
      <c r="AV24" s="3961">
        <v>0.8613047517330723</v>
      </c>
    </row>
    <row r="25" spans="1:51" s="3967" customFormat="1" ht="10.5">
      <c r="A25" s="3959"/>
      <c r="B25" s="3960">
        <f t="shared" si="0"/>
        <v>24</v>
      </c>
      <c r="C25" s="3961">
        <v>179569.56</v>
      </c>
      <c r="D25" s="3962">
        <v>0.55630698432406922</v>
      </c>
      <c r="E25" s="4314">
        <v>0.50473815027446745</v>
      </c>
      <c r="F25" s="3961">
        <v>118.87148244947528</v>
      </c>
      <c r="G25" s="3963">
        <v>4.1052260305143029E-2</v>
      </c>
      <c r="H25" s="3963">
        <v>1.162672225960792</v>
      </c>
      <c r="I25" s="3963">
        <v>1.7315279150876128</v>
      </c>
      <c r="J25" s="3964">
        <v>23.559647716524687</v>
      </c>
      <c r="K25" s="3964">
        <v>89.640095879196195</v>
      </c>
      <c r="L25" s="3964">
        <v>79.354684961972396</v>
      </c>
      <c r="M25" s="3963">
        <v>12.440303371907799</v>
      </c>
      <c r="N25" s="3961">
        <v>1628.8340140291036</v>
      </c>
      <c r="O25" s="3965">
        <v>1.0407687449921912</v>
      </c>
      <c r="P25" s="3965">
        <v>1.3719603489589214</v>
      </c>
      <c r="Q25" s="3965">
        <v>9.410539046818403E-2</v>
      </c>
      <c r="R25" s="3963">
        <v>9.2260703874309208E-2</v>
      </c>
      <c r="S25" s="3961">
        <v>27.104588550531616</v>
      </c>
      <c r="T25" s="3963">
        <v>188.34707428876033</v>
      </c>
      <c r="U25" s="3963">
        <v>37.635390704304228</v>
      </c>
      <c r="V25" s="3963">
        <v>79.747391989154522</v>
      </c>
      <c r="W25" s="3965">
        <v>87.543521444280415</v>
      </c>
      <c r="X25" s="3961">
        <v>57326</v>
      </c>
      <c r="Y25" s="3961">
        <v>0</v>
      </c>
      <c r="Z25" s="3961">
        <v>11643.999999999995</v>
      </c>
      <c r="AA25" s="3961">
        <v>99653.559999999969</v>
      </c>
      <c r="AB25" s="3961">
        <v>10946.000000000024</v>
      </c>
      <c r="AC25" s="3961">
        <v>0</v>
      </c>
      <c r="AD25" s="3961">
        <v>0</v>
      </c>
      <c r="AE25" s="3961">
        <v>92.551301222545746</v>
      </c>
      <c r="AF25" s="3961">
        <v>91.33315037515267</v>
      </c>
      <c r="AG25" s="3961">
        <v>88.929894955024679</v>
      </c>
      <c r="AH25" s="3961">
        <v>86.153099204564512</v>
      </c>
      <c r="AI25" s="3961">
        <v>83.363563141770797</v>
      </c>
      <c r="AJ25" s="3961">
        <v>82.420186170974631</v>
      </c>
      <c r="AK25" s="3961">
        <v>78.196279638709356</v>
      </c>
      <c r="AL25" s="3961">
        <v>101.52360579465696</v>
      </c>
      <c r="AM25" s="3965">
        <v>9.1401814427790554E-3</v>
      </c>
      <c r="AN25" s="3965">
        <v>1.8108758844182455</v>
      </c>
      <c r="AO25" s="3961">
        <v>812.45845517476005</v>
      </c>
      <c r="AP25" s="3961">
        <v>906.35607560000005</v>
      </c>
      <c r="AQ25" s="3961">
        <v>3448.5169937617675</v>
      </c>
      <c r="AR25" s="3966">
        <v>20.633774417697957</v>
      </c>
      <c r="AS25" s="3961">
        <v>8702.7005512854685</v>
      </c>
      <c r="AT25" s="3964">
        <v>0.89548940544265954</v>
      </c>
      <c r="AU25" s="3958">
        <v>0.68075881012349759</v>
      </c>
      <c r="AV25" s="3961">
        <v>0.64591307583795776</v>
      </c>
    </row>
    <row r="26" spans="1:51" s="3967" customFormat="1" ht="10.5">
      <c r="A26" s="3959"/>
      <c r="B26" s="3960">
        <f t="shared" si="0"/>
        <v>25</v>
      </c>
      <c r="C26" s="3961">
        <v>240172.9964</v>
      </c>
      <c r="D26" s="3962">
        <v>0.55348319226152154</v>
      </c>
      <c r="E26" s="4314">
        <v>0.48892696357468995</v>
      </c>
      <c r="F26" s="3961">
        <v>175.58163669109402</v>
      </c>
      <c r="G26" s="3963">
        <v>3.5494952594096865E-2</v>
      </c>
      <c r="H26" s="3963">
        <v>1.2204545807489053</v>
      </c>
      <c r="I26" s="3963">
        <v>1.540893243389915</v>
      </c>
      <c r="J26" s="3964">
        <v>24.55739356380418</v>
      </c>
      <c r="K26" s="3964">
        <v>90.033948575508262</v>
      </c>
      <c r="L26" s="3964">
        <v>81.069981150808644</v>
      </c>
      <c r="M26" s="3963">
        <v>12.559626492920016</v>
      </c>
      <c r="N26" s="3961">
        <v>1508.5759974920441</v>
      </c>
      <c r="O26" s="3965">
        <v>1.0021086550482974</v>
      </c>
      <c r="P26" s="3965">
        <v>1.0755846930955193</v>
      </c>
      <c r="Q26" s="3965">
        <v>0.10172513659277699</v>
      </c>
      <c r="R26" s="3963">
        <v>7.7298327488100005E-2</v>
      </c>
      <c r="S26" s="3961">
        <v>25.698208431056358</v>
      </c>
      <c r="T26" s="3963">
        <v>185.62811730920433</v>
      </c>
      <c r="U26" s="3963">
        <v>36.531048012461845</v>
      </c>
      <c r="V26" s="3963">
        <v>82.52351582762941</v>
      </c>
      <c r="W26" s="3965">
        <v>86.154996684978286</v>
      </c>
      <c r="X26" s="3961">
        <v>67530.304461903332</v>
      </c>
      <c r="Y26" s="3961">
        <v>1.4839990290276921</v>
      </c>
      <c r="Z26" s="3961">
        <v>34022.409476317873</v>
      </c>
      <c r="AA26" s="3961">
        <v>137722.30332744532</v>
      </c>
      <c r="AB26" s="3961">
        <v>610.28720405017884</v>
      </c>
      <c r="AC26" s="3961">
        <v>12.62363618486952</v>
      </c>
      <c r="AD26" s="3961">
        <v>273.58429506939126</v>
      </c>
      <c r="AE26" s="3961">
        <v>92.542922881432972</v>
      </c>
      <c r="AF26" s="3961">
        <v>91.362649002581477</v>
      </c>
      <c r="AG26" s="3961">
        <v>88.962164793472908</v>
      </c>
      <c r="AH26" s="3961">
        <v>86.269269550465054</v>
      </c>
      <c r="AI26" s="3961">
        <v>83.578397032622732</v>
      </c>
      <c r="AJ26" s="3961">
        <v>82.633334644915237</v>
      </c>
      <c r="AK26" s="3961">
        <v>78.160201182970781</v>
      </c>
      <c r="AL26" s="3961">
        <v>92.017812874318196</v>
      </c>
      <c r="AM26" s="3965">
        <v>8.1609009198212214E-3</v>
      </c>
      <c r="AN26" s="3965">
        <v>1.6691451950521314</v>
      </c>
      <c r="AO26" s="3961">
        <v>1057.2421328828586</v>
      </c>
      <c r="AP26" s="3961">
        <v>1174.2705386248692</v>
      </c>
      <c r="AQ26" s="3961">
        <v>4305.1887006492298</v>
      </c>
      <c r="AR26" s="3966">
        <v>28.001039581904049</v>
      </c>
      <c r="AS26" s="3961">
        <v>8577.2885573582134</v>
      </c>
      <c r="AT26" s="3964">
        <v>0.96581817638268475</v>
      </c>
      <c r="AU26" s="3958">
        <v>0.71768111414542957</v>
      </c>
      <c r="AV26" s="3961">
        <v>0.56193647233444199</v>
      </c>
    </row>
    <row r="27" spans="1:51" s="3967" customFormat="1" ht="10.5">
      <c r="A27" s="3959"/>
      <c r="B27" s="3960">
        <f t="shared" si="0"/>
        <v>26</v>
      </c>
      <c r="C27" s="3961">
        <v>222119.04000000001</v>
      </c>
      <c r="D27" s="3962">
        <v>0.5845566975257952</v>
      </c>
      <c r="E27" s="4314">
        <v>0.52363529808160525</v>
      </c>
      <c r="F27" s="3961">
        <v>141.52554810249495</v>
      </c>
      <c r="G27" s="3963">
        <v>2.8213272306597394E-2</v>
      </c>
      <c r="H27" s="3963">
        <v>1.2364709654786912</v>
      </c>
      <c r="I27" s="3963">
        <v>1.540900272034311</v>
      </c>
      <c r="J27" s="3964">
        <v>25.367008041968376</v>
      </c>
      <c r="K27" s="3964">
        <v>90.247412332788628</v>
      </c>
      <c r="L27" s="3964">
        <v>80.543276582502784</v>
      </c>
      <c r="M27" s="3963">
        <v>12.61972571248282</v>
      </c>
      <c r="N27" s="3961">
        <v>1222.4051836337849</v>
      </c>
      <c r="O27" s="3965">
        <v>1.1731805161772713</v>
      </c>
      <c r="P27" s="3965">
        <v>0.89167464184970369</v>
      </c>
      <c r="Q27" s="3965">
        <v>0.1052247254445184</v>
      </c>
      <c r="R27" s="3963">
        <v>4.7548962934469724E-2</v>
      </c>
      <c r="S27" s="3961">
        <v>29.118180773696842</v>
      </c>
      <c r="T27" s="3963">
        <v>185.11618718809515</v>
      </c>
      <c r="U27" s="3963">
        <v>35.81651261035524</v>
      </c>
      <c r="V27" s="3963">
        <v>88.991535397595811</v>
      </c>
      <c r="W27" s="3965">
        <v>87.950575463139046</v>
      </c>
      <c r="X27" s="3961">
        <v>50293</v>
      </c>
      <c r="Y27" s="3961">
        <v>0</v>
      </c>
      <c r="Z27" s="3961">
        <v>26645.331729640919</v>
      </c>
      <c r="AA27" s="3961">
        <v>145180.70827035909</v>
      </c>
      <c r="AB27" s="3961">
        <v>0</v>
      </c>
      <c r="AC27" s="3961">
        <v>0</v>
      </c>
      <c r="AD27" s="3961">
        <v>0</v>
      </c>
      <c r="AE27" s="3961">
        <v>92.9736946194257</v>
      </c>
      <c r="AF27" s="3961">
        <v>91.694073439539451</v>
      </c>
      <c r="AG27" s="3961">
        <v>89.42587794508745</v>
      </c>
      <c r="AH27" s="3961">
        <v>87.111179065423656</v>
      </c>
      <c r="AI27" s="3961">
        <v>84.014480226278664</v>
      </c>
      <c r="AJ27" s="3961">
        <v>82.929823407664628</v>
      </c>
      <c r="AK27" s="3961">
        <v>78.585681679877609</v>
      </c>
      <c r="AL27" s="3961">
        <v>100.10215049929984</v>
      </c>
      <c r="AM27" s="3965">
        <v>6.8932820887394426E-3</v>
      </c>
      <c r="AN27" s="3965">
        <v>1.3164280777086133</v>
      </c>
      <c r="AO27" s="3961">
        <v>1049.66196472876</v>
      </c>
      <c r="AP27" s="3961">
        <v>1163.0936972</v>
      </c>
      <c r="AQ27" s="3961">
        <v>4137.9021246500561</v>
      </c>
      <c r="AR27" s="3966">
        <v>25.928428604495306</v>
      </c>
      <c r="AS27" s="3961">
        <v>8566.6217335473393</v>
      </c>
      <c r="AT27" s="3964">
        <v>1.2156872316754115</v>
      </c>
      <c r="AU27" s="3958">
        <v>0.77357636697871557</v>
      </c>
      <c r="AV27" s="3961">
        <v>0.64433085598601603</v>
      </c>
    </row>
    <row r="28" spans="1:51" s="1056" customFormat="1" ht="10.5">
      <c r="A28" s="2543"/>
      <c r="B28" s="2544">
        <f t="shared" si="0"/>
        <v>27</v>
      </c>
      <c r="C28" s="2545">
        <v>238000.00000006927</v>
      </c>
      <c r="D28" s="2546">
        <v>0.63081656360794391</v>
      </c>
      <c r="E28" s="4223">
        <v>0.52870026226391142</v>
      </c>
      <c r="F28" s="2545">
        <v>224.77150560630986</v>
      </c>
      <c r="G28" s="2547">
        <v>4.5617692278243797E-2</v>
      </c>
      <c r="H28" s="2547">
        <v>1.492663970179404</v>
      </c>
      <c r="I28" s="2547">
        <v>1.6432009557215248</v>
      </c>
      <c r="J28" s="2548">
        <v>28.04733246863784</v>
      </c>
      <c r="K28" s="2548">
        <v>88.14256933396311</v>
      </c>
      <c r="L28" s="2548">
        <v>85.858789779718251</v>
      </c>
      <c r="M28" s="2547">
        <v>12.456098282823257</v>
      </c>
      <c r="N28" s="2545">
        <v>887.33895021679575</v>
      </c>
      <c r="O28" s="2549">
        <v>0.9923988915088231</v>
      </c>
      <c r="P28" s="2549">
        <v>0.97990508076104421</v>
      </c>
      <c r="Q28" s="2549">
        <v>0.26324893557640711</v>
      </c>
      <c r="R28" s="2547">
        <v>2.4820635970263745E-2</v>
      </c>
      <c r="S28" s="2545">
        <v>19.13910662669452</v>
      </c>
      <c r="T28" s="2547">
        <v>192.08359066305587</v>
      </c>
      <c r="U28" s="2547">
        <v>37.442607675496227</v>
      </c>
      <c r="V28" s="2547">
        <v>81.541040830639133</v>
      </c>
      <c r="W28" s="2549">
        <v>90.245413987786748</v>
      </c>
      <c r="X28" s="2545">
        <v>28715.047089593176</v>
      </c>
      <c r="Y28" s="2545">
        <v>0</v>
      </c>
      <c r="Z28" s="2545">
        <v>4008.674371316004</v>
      </c>
      <c r="AA28" s="2545">
        <v>184439.52194015271</v>
      </c>
      <c r="AB28" s="2545">
        <v>0</v>
      </c>
      <c r="AC28" s="2545">
        <v>6681.9919856568449</v>
      </c>
      <c r="AD28" s="2545">
        <v>14154.725718410824</v>
      </c>
      <c r="AE28" s="2545">
        <v>91.434592140023895</v>
      </c>
      <c r="AF28" s="2545">
        <v>90.024953926830648</v>
      </c>
      <c r="AG28" s="2545">
        <v>87.61559539005178</v>
      </c>
      <c r="AH28" s="2545">
        <v>85.002647085290675</v>
      </c>
      <c r="AI28" s="2545">
        <v>81.88013077724257</v>
      </c>
      <c r="AJ28" s="2545">
        <v>80.755590682806556</v>
      </c>
      <c r="AK28" s="2545">
        <v>74.879875509044396</v>
      </c>
      <c r="AL28" s="2545">
        <v>101.05575300168961</v>
      </c>
      <c r="AM28" s="2549">
        <v>8.9396382188749943E-3</v>
      </c>
      <c r="AN28" s="2549">
        <v>1.6908707744148199</v>
      </c>
      <c r="AO28" s="2545">
        <v>1081.2371603952936</v>
      </c>
      <c r="AP28" s="2545">
        <v>1216.1215612193964</v>
      </c>
      <c r="AQ28" s="2545">
        <v>3897.6997531029056</v>
      </c>
      <c r="AR28" s="2550">
        <v>26.792244758432048</v>
      </c>
      <c r="AS28" s="2545">
        <v>8916.0308299364551</v>
      </c>
      <c r="AT28" s="2548">
        <v>1.6671864521444564</v>
      </c>
      <c r="AU28" s="1064">
        <v>0.81987487473131349</v>
      </c>
      <c r="AV28" s="2545">
        <v>0.60938995065387835</v>
      </c>
      <c r="AW28" s="1056">
        <v>60.938995065387836</v>
      </c>
      <c r="AY28" s="1056">
        <f t="shared" ref="AY28:AY32" si="1">+AU28*100-AW28</f>
        <v>21.048492407743517</v>
      </c>
    </row>
    <row r="29" spans="1:51" s="1056" customFormat="1" ht="10.5">
      <c r="A29" s="2543"/>
      <c r="B29" s="2544">
        <f t="shared" si="0"/>
        <v>28</v>
      </c>
      <c r="C29" s="2545">
        <v>180000.00000042227</v>
      </c>
      <c r="D29" s="2546">
        <v>0.71710742175415443</v>
      </c>
      <c r="E29" s="4223">
        <v>0.60210373772341408</v>
      </c>
      <c r="F29" s="2545">
        <v>251.23051736718298</v>
      </c>
      <c r="G29" s="2547">
        <v>4.606902679774099E-2</v>
      </c>
      <c r="H29" s="2547">
        <v>1.5113680445018773</v>
      </c>
      <c r="I29" s="2547">
        <v>1.343599503765778</v>
      </c>
      <c r="J29" s="2548">
        <v>29.481300233080589</v>
      </c>
      <c r="K29" s="2548">
        <v>85.792957183736306</v>
      </c>
      <c r="L29" s="2548">
        <v>86.218105323498662</v>
      </c>
      <c r="M29" s="2547">
        <v>12.725140052569307</v>
      </c>
      <c r="N29" s="2545">
        <v>386.17229336851511</v>
      </c>
      <c r="O29" s="2549">
        <v>0.87408893399649712</v>
      </c>
      <c r="P29" s="2549">
        <v>0.48697076681570517</v>
      </c>
      <c r="Q29" s="2549">
        <v>0.3016066401105576</v>
      </c>
      <c r="R29" s="2547">
        <v>0.10953211828931009</v>
      </c>
      <c r="S29" s="2545">
        <v>18.29986106432866</v>
      </c>
      <c r="T29" s="2547">
        <v>205.21416188885843</v>
      </c>
      <c r="U29" s="2547">
        <v>38.576705583348371</v>
      </c>
      <c r="V29" s="2547">
        <v>74.216087754485358</v>
      </c>
      <c r="W29" s="2549">
        <v>85.281757195963152</v>
      </c>
      <c r="X29" s="2545">
        <v>40689.090715417049</v>
      </c>
      <c r="Y29" s="2545">
        <v>0</v>
      </c>
      <c r="Z29" s="2545">
        <v>0</v>
      </c>
      <c r="AA29" s="2545">
        <v>131235.05179451604</v>
      </c>
      <c r="AB29" s="2545">
        <v>0</v>
      </c>
      <c r="AC29" s="2545">
        <v>4519.0744112088887</v>
      </c>
      <c r="AD29" s="2545">
        <v>3556.6128382976708</v>
      </c>
      <c r="AE29" s="2545">
        <v>90.410953828516256</v>
      </c>
      <c r="AF29" s="2545">
        <v>88.975120744462444</v>
      </c>
      <c r="AG29" s="2545">
        <v>86.734187514689324</v>
      </c>
      <c r="AH29" s="2545">
        <v>83.917740638720531</v>
      </c>
      <c r="AI29" s="2545">
        <v>80.844224002373011</v>
      </c>
      <c r="AJ29" s="2545">
        <v>79.727976426741193</v>
      </c>
      <c r="AK29" s="2545">
        <v>74.641202910567472</v>
      </c>
      <c r="AL29" s="2545">
        <v>98.653542817099975</v>
      </c>
      <c r="AM29" s="2549">
        <v>1.2342036408866081E-2</v>
      </c>
      <c r="AN29" s="2549">
        <v>2.0498189324537299</v>
      </c>
      <c r="AO29" s="2545">
        <v>924.91719317036939</v>
      </c>
      <c r="AP29" s="2545">
        <v>1047.9132776775068</v>
      </c>
      <c r="AQ29" s="2545">
        <v>3061.5906064282281</v>
      </c>
      <c r="AR29" s="2550">
        <v>19.614184755542919</v>
      </c>
      <c r="AS29" s="2545">
        <v>9261.5317656731258</v>
      </c>
      <c r="AT29" s="2548">
        <v>1.7272347742418133</v>
      </c>
      <c r="AU29" s="1064">
        <v>0.75419030333058212</v>
      </c>
      <c r="AV29" s="2545">
        <v>0.44153437527899392</v>
      </c>
      <c r="AW29" s="1056">
        <v>44.153437527899392</v>
      </c>
      <c r="AY29" s="1056">
        <f t="shared" si="1"/>
        <v>31.265592805158825</v>
      </c>
    </row>
    <row r="30" spans="1:51" s="1056" customFormat="1" ht="10.5">
      <c r="A30" s="2543"/>
      <c r="B30" s="2544">
        <f t="shared" si="0"/>
        <v>29</v>
      </c>
      <c r="C30" s="2545">
        <v>237999.99999993708</v>
      </c>
      <c r="D30" s="2546">
        <v>0.69980060229138286</v>
      </c>
      <c r="E30" s="4223">
        <v>0.60253190135276002</v>
      </c>
      <c r="F30" s="2545">
        <v>214.05128990479867</v>
      </c>
      <c r="G30" s="2547">
        <v>4.0601789996331503E-2</v>
      </c>
      <c r="H30" s="2547">
        <v>1.3116350032654953</v>
      </c>
      <c r="I30" s="2547">
        <v>1.4396099624367833</v>
      </c>
      <c r="J30" s="2548">
        <v>28.850038176583574</v>
      </c>
      <c r="K30" s="2548">
        <v>88.791216464248919</v>
      </c>
      <c r="L30" s="2548">
        <v>86.287331686296056</v>
      </c>
      <c r="M30" s="2547">
        <v>12.590706325053283</v>
      </c>
      <c r="N30" s="2545">
        <v>457.95168110797761</v>
      </c>
      <c r="O30" s="2549">
        <v>0.97313256354260003</v>
      </c>
      <c r="P30" s="2549">
        <v>0.51617590483594589</v>
      </c>
      <c r="Q30" s="2549">
        <v>0.26316189120259864</v>
      </c>
      <c r="R30" s="2547">
        <v>0.11066732022860831</v>
      </c>
      <c r="S30" s="2545">
        <v>19.387743880966898</v>
      </c>
      <c r="T30" s="2547">
        <v>201.55741555961364</v>
      </c>
      <c r="U30" s="2547">
        <v>37.856345607601831</v>
      </c>
      <c r="V30" s="2547">
        <v>76.752689425268045</v>
      </c>
      <c r="W30" s="2549">
        <v>79.837457058144906</v>
      </c>
      <c r="X30" s="2545">
        <v>53666.807130286063</v>
      </c>
      <c r="Y30" s="2545">
        <v>0</v>
      </c>
      <c r="Z30" s="2545">
        <v>0</v>
      </c>
      <c r="AA30" s="2545">
        <v>151547.50448452958</v>
      </c>
      <c r="AB30" s="2545">
        <v>12515.002242147642</v>
      </c>
      <c r="AC30" s="2545">
        <v>12244.201006841475</v>
      </c>
      <c r="AD30" s="2545">
        <v>8026.8034143912901</v>
      </c>
      <c r="AE30" s="2545">
        <v>93.110816789654336</v>
      </c>
      <c r="AF30" s="2545">
        <v>91.765529496993366</v>
      </c>
      <c r="AG30" s="2545">
        <v>89.521160142696587</v>
      </c>
      <c r="AH30" s="2545">
        <v>86.783835703647412</v>
      </c>
      <c r="AI30" s="2545">
        <v>83.819051730864743</v>
      </c>
      <c r="AJ30" s="2545">
        <v>82.75448773385132</v>
      </c>
      <c r="AK30" s="2545">
        <v>77.940171555724959</v>
      </c>
      <c r="AL30" s="2545">
        <v>97.420706461889793</v>
      </c>
      <c r="AM30" s="2549">
        <v>9.4261345932562558E-3</v>
      </c>
      <c r="AN30" s="2549">
        <v>1.5644208335016601</v>
      </c>
      <c r="AO30" s="2545">
        <v>1249.0066384067704</v>
      </c>
      <c r="AP30" s="2545">
        <v>1398.5444390484113</v>
      </c>
      <c r="AQ30" s="2545">
        <v>4225.3092024329626</v>
      </c>
      <c r="AR30" s="2550">
        <v>26.293850122513984</v>
      </c>
      <c r="AS30" s="2545">
        <v>9110.5148658702565</v>
      </c>
      <c r="AT30" s="2548">
        <v>1.4021036733061003</v>
      </c>
      <c r="AU30" s="1064">
        <v>0.74078349562304224</v>
      </c>
      <c r="AV30" s="2545">
        <v>0.70841381451589636</v>
      </c>
      <c r="AW30" s="1056">
        <v>70.841381451589641</v>
      </c>
      <c r="AY30" s="1056">
        <f t="shared" si="1"/>
        <v>3.2369681107145851</v>
      </c>
    </row>
    <row r="31" spans="1:51" s="1056" customFormat="1" ht="10.5">
      <c r="A31" s="2543"/>
      <c r="B31" s="2544">
        <f t="shared" si="0"/>
        <v>30</v>
      </c>
      <c r="C31" s="2545">
        <v>238000.00000004738</v>
      </c>
      <c r="D31" s="2546">
        <v>0.67851345283192643</v>
      </c>
      <c r="E31" s="4223">
        <v>0.58079430880381111</v>
      </c>
      <c r="F31" s="2545">
        <v>176.62984698962811</v>
      </c>
      <c r="G31" s="2547">
        <v>4.603160614953191E-2</v>
      </c>
      <c r="H31" s="2547">
        <v>1.2946196729817929</v>
      </c>
      <c r="I31" s="2547">
        <v>1.3220587008859237</v>
      </c>
      <c r="J31" s="2548">
        <v>28.075856712551548</v>
      </c>
      <c r="K31" s="2548">
        <v>89.935175210746777</v>
      </c>
      <c r="L31" s="2548">
        <v>85.285122091171459</v>
      </c>
      <c r="M31" s="2547">
        <v>12.492087929939807</v>
      </c>
      <c r="N31" s="2545">
        <v>395.8673506104123</v>
      </c>
      <c r="O31" s="2549">
        <v>1.0002966169885577</v>
      </c>
      <c r="P31" s="2549">
        <v>0.48290451785970223</v>
      </c>
      <c r="Q31" s="2549">
        <v>0.19243732244978651</v>
      </c>
      <c r="R31" s="2547">
        <v>0.11391577988837043</v>
      </c>
      <c r="S31" s="2545">
        <v>16.388313236015385</v>
      </c>
      <c r="T31" s="2547">
        <v>196.48719837025718</v>
      </c>
      <c r="U31" s="2547">
        <v>37.61583478206861</v>
      </c>
      <c r="V31" s="2547">
        <v>80.108715405123434</v>
      </c>
      <c r="W31" s="2549">
        <v>83.226583739130831</v>
      </c>
      <c r="X31" s="2545">
        <v>50556.300098023275</v>
      </c>
      <c r="Y31" s="2545">
        <v>0.70093457943925197</v>
      </c>
      <c r="Z31" s="2545">
        <v>1216.3551401869199</v>
      </c>
      <c r="AA31" s="2545">
        <v>162674.24519424711</v>
      </c>
      <c r="AB31" s="2545">
        <v>18855.578093336702</v>
      </c>
      <c r="AC31" s="2545">
        <v>21.261682242990702</v>
      </c>
      <c r="AD31" s="2545">
        <v>4675.7344359817762</v>
      </c>
      <c r="AE31" s="2545">
        <v>93.997879114558287</v>
      </c>
      <c r="AF31" s="2545">
        <v>92.650640185664358</v>
      </c>
      <c r="AG31" s="2545">
        <v>90.517719625458952</v>
      </c>
      <c r="AH31" s="2545">
        <v>88.033660784728625</v>
      </c>
      <c r="AI31" s="2545">
        <v>85.322954573930431</v>
      </c>
      <c r="AJ31" s="2545">
        <v>84.397387699751249</v>
      </c>
      <c r="AK31" s="2545">
        <v>79.403074677292651</v>
      </c>
      <c r="AL31" s="2545">
        <v>66.073829177828955</v>
      </c>
      <c r="AM31" s="2549">
        <v>9.3434008226601657E-3</v>
      </c>
      <c r="AN31" s="2549">
        <v>1.6087280266061099</v>
      </c>
      <c r="AO31" s="2545">
        <v>1198.8055074242743</v>
      </c>
      <c r="AP31" s="2545">
        <v>1338.2146956637343</v>
      </c>
      <c r="AQ31" s="2545">
        <v>3188.9142684503404</v>
      </c>
      <c r="AR31" s="2550">
        <v>23.778549150336783</v>
      </c>
      <c r="AS31" s="2545">
        <v>8949.7733173612505</v>
      </c>
      <c r="AT31" s="2548">
        <v>1.2628868967614186</v>
      </c>
      <c r="AU31" s="1064">
        <v>0.76792985410910253</v>
      </c>
      <c r="AV31" s="2545">
        <v>0.70841381451589636</v>
      </c>
      <c r="AW31" s="1056">
        <v>70.841381451589641</v>
      </c>
      <c r="AY31" s="1056">
        <f t="shared" si="1"/>
        <v>5.9516039593206074</v>
      </c>
    </row>
    <row r="32" spans="1:51" s="1056" customFormat="1" ht="10.5">
      <c r="A32" s="2543"/>
      <c r="B32" s="2544">
        <f t="shared" si="0"/>
        <v>31</v>
      </c>
      <c r="C32" s="2545">
        <v>179999.99999979662</v>
      </c>
      <c r="D32" s="2546">
        <v>0.67461457196556862</v>
      </c>
      <c r="E32" s="4223">
        <v>0.57187199432425428</v>
      </c>
      <c r="F32" s="2545">
        <v>186.55741600567592</v>
      </c>
      <c r="G32" s="2547">
        <v>4.7931144745847934E-2</v>
      </c>
      <c r="H32" s="2547">
        <v>1.4376847751380697</v>
      </c>
      <c r="I32" s="2547">
        <v>1.2009439766132177</v>
      </c>
      <c r="J32" s="2548">
        <v>27.599835148913453</v>
      </c>
      <c r="K32" s="2548">
        <v>89.655141394839035</v>
      </c>
      <c r="L32" s="2548">
        <v>84.307358058187717</v>
      </c>
      <c r="M32" s="2547">
        <v>12.668203936351865</v>
      </c>
      <c r="N32" s="2545">
        <v>332.07826022760997</v>
      </c>
      <c r="O32" s="2549">
        <v>0.95958453039088143</v>
      </c>
      <c r="P32" s="2549">
        <v>0.69862927824433696</v>
      </c>
      <c r="Q32" s="2549">
        <v>0.20755764098794055</v>
      </c>
      <c r="R32" s="2547">
        <v>0.15761878388550821</v>
      </c>
      <c r="S32" s="2545">
        <v>15.945762577034797</v>
      </c>
      <c r="T32" s="2547">
        <v>202.91617884366906</v>
      </c>
      <c r="U32" s="2547">
        <v>38.842467620264443</v>
      </c>
      <c r="V32" s="2547">
        <v>78.698779743002476</v>
      </c>
      <c r="W32" s="2549">
        <v>78.829288563837736</v>
      </c>
      <c r="X32" s="2545">
        <v>54775.299450251179</v>
      </c>
      <c r="Y32" s="2545">
        <v>0.70093457943925197</v>
      </c>
      <c r="Z32" s="2545">
        <v>1216.3551401869199</v>
      </c>
      <c r="AA32" s="2545">
        <v>123611.364348848</v>
      </c>
      <c r="AB32" s="2545">
        <v>32.943925233644897</v>
      </c>
      <c r="AC32" s="2545">
        <v>21.261682242990702</v>
      </c>
      <c r="AD32" s="2545">
        <v>342.28971962616799</v>
      </c>
      <c r="AE32" s="2545">
        <v>93.86775172681071</v>
      </c>
      <c r="AF32" s="2545">
        <v>92.524833098144967</v>
      </c>
      <c r="AG32" s="2545">
        <v>90.630122366126542</v>
      </c>
      <c r="AH32" s="2545">
        <v>88.592584798228103</v>
      </c>
      <c r="AI32" s="2545">
        <v>85.998056760356164</v>
      </c>
      <c r="AJ32" s="2545">
        <v>85.078747924536742</v>
      </c>
      <c r="AK32" s="2545">
        <v>80.850386575187486</v>
      </c>
      <c r="AL32" s="2545">
        <v>59.527059421305459</v>
      </c>
      <c r="AM32" s="2549">
        <v>1.0929337198943229E-2</v>
      </c>
      <c r="AN32" s="2549">
        <v>1.91115097564058</v>
      </c>
      <c r="AO32" s="2545">
        <v>903.45730712906368</v>
      </c>
      <c r="AP32" s="2545">
        <v>1008.1199317029242</v>
      </c>
      <c r="AQ32" s="2545">
        <v>2346.1372774345882</v>
      </c>
      <c r="AR32" s="2550">
        <v>17.124032848431387</v>
      </c>
      <c r="AS32" s="2545">
        <v>9265.9057900039115</v>
      </c>
      <c r="AT32" s="2548">
        <v>1.198143512834341</v>
      </c>
      <c r="AU32" s="1064">
        <v>0.69378764329299392</v>
      </c>
      <c r="AV32" s="2545">
        <v>0.70841381451589636</v>
      </c>
      <c r="AW32" s="1056">
        <v>70.841381451589641</v>
      </c>
      <c r="AY32" s="1056">
        <f t="shared" si="1"/>
        <v>-1.4626171222902542</v>
      </c>
    </row>
    <row r="33" spans="1:59" s="1056" customFormat="1" ht="10.5">
      <c r="A33" s="2543"/>
      <c r="B33" s="2544"/>
      <c r="C33" s="2545">
        <v>5897516.4726738958</v>
      </c>
      <c r="D33" s="2546">
        <v>0.5974804891881853</v>
      </c>
      <c r="E33" s="2546">
        <v>0.53484034247725265</v>
      </c>
      <c r="F33" s="2545">
        <v>177.03729492405191</v>
      </c>
      <c r="G33" s="2547">
        <v>3.8872586298139021E-2</v>
      </c>
      <c r="H33" s="2547">
        <v>1.2862706895099483</v>
      </c>
      <c r="I33" s="2547">
        <v>1.4691833177370175</v>
      </c>
      <c r="J33" s="2548">
        <v>26.637153780770618</v>
      </c>
      <c r="K33" s="2548">
        <v>89.20766492557874</v>
      </c>
      <c r="L33" s="2548">
        <v>82.094876546166944</v>
      </c>
      <c r="M33" s="2547">
        <v>12.511243062911129</v>
      </c>
      <c r="N33" s="2545">
        <v>980.48901446361538</v>
      </c>
      <c r="O33" s="2549">
        <v>1.0026045652658981</v>
      </c>
      <c r="P33" s="2549">
        <v>0.902588494221924</v>
      </c>
      <c r="Q33" s="2549">
        <v>0.19344163658828514</v>
      </c>
      <c r="R33" s="2547">
        <v>7.031982361548833E-2</v>
      </c>
      <c r="S33" s="2545">
        <v>26.959648519073149</v>
      </c>
      <c r="T33" s="2547">
        <v>206.4577982758903</v>
      </c>
      <c r="U33" s="2547">
        <v>37.322928650387261</v>
      </c>
      <c r="V33" s="2547">
        <v>79.834577190616102</v>
      </c>
      <c r="W33" s="2549">
        <v>83.54492191169949</v>
      </c>
      <c r="X33" s="2545">
        <v>1407170.6765789844</v>
      </c>
      <c r="Y33" s="2545">
        <v>3000</v>
      </c>
      <c r="Z33" s="2545">
        <v>566379.11900187552</v>
      </c>
      <c r="AA33" s="2545">
        <v>3641623.2419569064</v>
      </c>
      <c r="AB33" s="2545">
        <v>112577.8502752433</v>
      </c>
      <c r="AC33" s="2545">
        <v>88339.91853703314</v>
      </c>
      <c r="AD33" s="2545">
        <v>57411.399605640276</v>
      </c>
      <c r="AE33" s="2545">
        <v>92.433212517321778</v>
      </c>
      <c r="AF33" s="2545">
        <v>91.955146832177704</v>
      </c>
      <c r="AG33" s="2545">
        <v>89.822178802513818</v>
      </c>
      <c r="AH33" s="2545">
        <v>87.474139637433467</v>
      </c>
      <c r="AI33" s="2545">
        <v>84.536498804080324</v>
      </c>
      <c r="AJ33" s="2545">
        <v>83.521701126456605</v>
      </c>
      <c r="AK33" s="2545">
        <v>78.895868637827192</v>
      </c>
      <c r="AL33" s="2545">
        <v>97.426077638120361</v>
      </c>
      <c r="AM33" s="2549">
        <v>9.0419147726496819E-3</v>
      </c>
      <c r="AN33" s="2549">
        <v>1.7202904063237501</v>
      </c>
      <c r="AO33" s="2545">
        <v>27105.011474849012</v>
      </c>
      <c r="AP33" s="2545">
        <v>30691.710029524023</v>
      </c>
      <c r="AQ33" s="2545">
        <v>102400.9743068861</v>
      </c>
      <c r="AR33" s="2550">
        <v>661.81513098683502</v>
      </c>
      <c r="AS33" s="2545">
        <v>8799.340929489912</v>
      </c>
      <c r="AT33" s="2548">
        <v>1.3249366411953072</v>
      </c>
      <c r="AU33" s="1064">
        <v>0.75026265204201437</v>
      </c>
      <c r="AV33" s="2545"/>
    </row>
    <row r="36" spans="1:59" ht="10.5" thickBot="1"/>
    <row r="37" spans="1:59" s="3712" customFormat="1" ht="11.25" customHeight="1">
      <c r="A37" s="3709"/>
      <c r="B37" s="2118" t="s">
        <v>535</v>
      </c>
      <c r="C37" s="2117" t="s">
        <v>100</v>
      </c>
      <c r="D37" s="2119" t="s">
        <v>455</v>
      </c>
      <c r="E37" s="2119" t="s">
        <v>536</v>
      </c>
      <c r="F37" s="2117" t="s">
        <v>537</v>
      </c>
      <c r="G37" s="2120" t="s">
        <v>458</v>
      </c>
      <c r="H37" s="2119" t="s">
        <v>378</v>
      </c>
      <c r="I37" s="2119" t="s">
        <v>538</v>
      </c>
      <c r="J37" s="2119" t="s">
        <v>539</v>
      </c>
      <c r="K37" s="2119" t="s">
        <v>540</v>
      </c>
      <c r="L37" s="2119" t="s">
        <v>541</v>
      </c>
      <c r="M37" s="2121" t="s">
        <v>461</v>
      </c>
      <c r="N37" s="2117" t="s">
        <v>462</v>
      </c>
      <c r="O37" s="2120" t="s">
        <v>463</v>
      </c>
      <c r="P37" s="2120" t="s">
        <v>464</v>
      </c>
      <c r="Q37" s="2120" t="s">
        <v>465</v>
      </c>
      <c r="R37" s="2120" t="s">
        <v>467</v>
      </c>
      <c r="S37" s="2121" t="s">
        <v>466</v>
      </c>
      <c r="T37" s="2117" t="s">
        <v>468</v>
      </c>
      <c r="U37" s="2121" t="s">
        <v>542</v>
      </c>
      <c r="V37" s="2121" t="s">
        <v>470</v>
      </c>
      <c r="W37" s="3733" t="s">
        <v>471</v>
      </c>
      <c r="X37" s="3738" t="s">
        <v>472</v>
      </c>
      <c r="Y37" s="3739" t="s">
        <v>473</v>
      </c>
      <c r="Z37" s="3739" t="s">
        <v>474</v>
      </c>
      <c r="AA37" s="3739" t="s">
        <v>475</v>
      </c>
      <c r="AB37" s="3739" t="s">
        <v>476</v>
      </c>
      <c r="AC37" s="3739" t="s">
        <v>477</v>
      </c>
      <c r="AD37" s="3740" t="s">
        <v>478</v>
      </c>
      <c r="AE37" s="3736">
        <v>137</v>
      </c>
      <c r="AF37" s="2116">
        <v>150</v>
      </c>
      <c r="AG37" s="2116">
        <v>180</v>
      </c>
      <c r="AH37" s="2116">
        <v>210</v>
      </c>
      <c r="AI37" s="2116">
        <v>240</v>
      </c>
      <c r="AJ37" s="2116">
        <v>250</v>
      </c>
      <c r="AK37" s="2116">
        <v>300</v>
      </c>
      <c r="AL37" s="2116" t="s">
        <v>83</v>
      </c>
      <c r="AM37" s="2116" t="s">
        <v>1162</v>
      </c>
      <c r="AN37" s="2116" t="s">
        <v>1201</v>
      </c>
      <c r="AO37" s="2117" t="s">
        <v>543</v>
      </c>
      <c r="AP37" s="2117" t="s">
        <v>544</v>
      </c>
      <c r="AQ37" s="2117" t="s">
        <v>545</v>
      </c>
      <c r="AR37" s="2121" t="s">
        <v>547</v>
      </c>
      <c r="AS37" s="2117" t="s">
        <v>548</v>
      </c>
      <c r="AT37" s="2117" t="s">
        <v>390</v>
      </c>
      <c r="AU37" s="2117" t="s">
        <v>1322</v>
      </c>
      <c r="AV37" s="2117" t="s">
        <v>1322</v>
      </c>
      <c r="AW37" s="3019"/>
      <c r="AX37" s="3710"/>
      <c r="AY37" s="3710"/>
      <c r="AZ37" s="3710"/>
      <c r="BA37" s="3710"/>
      <c r="BB37" s="3019"/>
      <c r="BC37" s="3019"/>
      <c r="BD37" s="3711"/>
    </row>
    <row r="38" spans="1:59" s="3716" customFormat="1" ht="15.5">
      <c r="A38" s="3713"/>
      <c r="B38" s="3607" t="s">
        <v>1649</v>
      </c>
      <c r="C38" s="3671">
        <f>+C40-C39</f>
        <v>-47.242201571853485</v>
      </c>
      <c r="D38" s="3608">
        <v>0.47080451389069389</v>
      </c>
      <c r="E38" s="3091">
        <v>0.47080451389069389</v>
      </c>
      <c r="F38" s="3608">
        <v>1.6678662395615437E-2</v>
      </c>
      <c r="G38" s="3608">
        <v>3.7988503348695475E-2</v>
      </c>
      <c r="H38" s="3608">
        <v>1.3345020123818332</v>
      </c>
      <c r="I38" s="3608">
        <v>1.4346435370004582</v>
      </c>
      <c r="J38" s="3608">
        <v>26.941589915545855</v>
      </c>
      <c r="K38" s="3608">
        <v>88.771415468750803</v>
      </c>
      <c r="L38" s="3608">
        <v>80.553909910264608</v>
      </c>
      <c r="M38" s="3608">
        <v>12.631895542397269</v>
      </c>
      <c r="N38" s="3608">
        <v>952.18197183569362</v>
      </c>
      <c r="O38" s="3608">
        <v>0.89245031332270619</v>
      </c>
      <c r="P38" s="3608">
        <v>0.94698324264780298</v>
      </c>
      <c r="Q38" s="3608">
        <v>0.1859199243793167</v>
      </c>
      <c r="R38" s="3608">
        <v>8.6462051590574254E-2</v>
      </c>
      <c r="S38" s="3608">
        <v>26.451407192214958</v>
      </c>
      <c r="T38" s="3608">
        <v>202.77181188530938</v>
      </c>
      <c r="U38" s="3608">
        <v>37.094206877250734</v>
      </c>
      <c r="V38" s="3608">
        <v>75.967116696429869</v>
      </c>
      <c r="W38" s="3734">
        <v>94.530191782759871</v>
      </c>
      <c r="X38" s="3741"/>
      <c r="Y38" s="3153"/>
      <c r="Z38" s="3153"/>
      <c r="AA38" s="3153"/>
      <c r="AB38" s="3153"/>
      <c r="AC38" s="3153"/>
      <c r="AD38" s="3742"/>
      <c r="AE38" s="3737">
        <v>91.809142295617022</v>
      </c>
      <c r="AF38" s="3153">
        <v>90.623119871906951</v>
      </c>
      <c r="AG38" s="3153">
        <v>88.531906355844541</v>
      </c>
      <c r="AH38" s="3153">
        <v>86.129916088848304</v>
      </c>
      <c r="AI38" s="3153">
        <v>83.338617400491842</v>
      </c>
      <c r="AJ38" s="3153">
        <v>83</v>
      </c>
      <c r="AK38" s="3153">
        <v>77.925984331642098</v>
      </c>
      <c r="AL38" s="3153">
        <v>100</v>
      </c>
      <c r="AM38" s="3153">
        <f t="shared" ref="AM38:AT38" si="2">+AVERAGE(AM14:AM18)</f>
        <v>6.857353129959845E-3</v>
      </c>
      <c r="AN38" s="3153">
        <f t="shared" si="2"/>
        <v>1.4149953466237779</v>
      </c>
      <c r="AO38" s="3153">
        <f t="shared" si="2"/>
        <v>788.86336005147837</v>
      </c>
      <c r="AP38" s="3153">
        <f t="shared" si="2"/>
        <v>877.46434247328239</v>
      </c>
      <c r="AQ38" s="3153">
        <f t="shared" si="2"/>
        <v>2835.3256378181641</v>
      </c>
      <c r="AR38" s="3153">
        <f t="shared" si="2"/>
        <v>19.965118868857573</v>
      </c>
      <c r="AS38" s="3153">
        <f t="shared" si="2"/>
        <v>9110.9744228924646</v>
      </c>
      <c r="AT38" s="3153">
        <f t="shared" si="2"/>
        <v>1.3306820340051289</v>
      </c>
      <c r="AU38" s="3609">
        <f>+AVERAGE(AU12:AU18)</f>
        <v>0.72533700094893561</v>
      </c>
      <c r="AV38" s="3610">
        <f>+AVERAGE(AV12:AV18)</f>
        <v>0.73009845013586927</v>
      </c>
      <c r="AW38" s="3717"/>
      <c r="AX38" s="3715"/>
      <c r="AY38" s="3718"/>
      <c r="AZ38" s="3718"/>
      <c r="BA38" s="3718"/>
      <c r="BC38" s="3718"/>
      <c r="BD38" s="3714"/>
      <c r="BF38" s="3719"/>
      <c r="BG38" s="3718"/>
    </row>
    <row r="39" spans="1:59" s="3716" customFormat="1" ht="15.5">
      <c r="A39" s="3713"/>
      <c r="B39" s="3607" t="s">
        <v>1652</v>
      </c>
      <c r="C39" s="3671">
        <f>+C19/1000</f>
        <v>231.64220157185349</v>
      </c>
      <c r="D39" s="3608">
        <v>0.64182839957723281</v>
      </c>
      <c r="E39" s="3091">
        <v>0.54701919949034916</v>
      </c>
      <c r="F39" s="3092">
        <v>209.75865859188212</v>
      </c>
      <c r="G39" s="3091">
        <v>6.5287100066618767E-2</v>
      </c>
      <c r="H39" s="3608">
        <v>1.6824046567462017</v>
      </c>
      <c r="I39" s="3608">
        <v>1.0588730437044303</v>
      </c>
      <c r="J39" s="3608">
        <v>30.634540704382079</v>
      </c>
      <c r="K39" s="3608">
        <v>89.000110549772046</v>
      </c>
      <c r="L39" s="3608">
        <v>85.458878960640092</v>
      </c>
      <c r="M39" s="3153">
        <v>12.571294374652014</v>
      </c>
      <c r="N39" s="3092">
        <v>261.74062711803441</v>
      </c>
      <c r="O39" s="3091">
        <v>0.84205398360563433</v>
      </c>
      <c r="P39" s="3091">
        <v>0.2856655410024197</v>
      </c>
      <c r="Q39" s="3091">
        <v>0.33093754674435533</v>
      </c>
      <c r="R39" s="3091">
        <v>9.7910052062042154E-3</v>
      </c>
      <c r="S39" s="3153">
        <v>34.645302426941129</v>
      </c>
      <c r="T39" s="3092">
        <v>194.68413158419551</v>
      </c>
      <c r="U39" s="3153">
        <v>38.274267507260895</v>
      </c>
      <c r="V39" s="3153">
        <v>75.967116696429869</v>
      </c>
      <c r="W39" s="3735">
        <v>94.530191782759871</v>
      </c>
      <c r="X39" s="3741">
        <v>7793.6297511724051</v>
      </c>
      <c r="Y39" s="3153">
        <v>0</v>
      </c>
      <c r="Z39" s="3153">
        <v>0</v>
      </c>
      <c r="AA39" s="3153">
        <v>51206.161709001499</v>
      </c>
      <c r="AB39" s="3153">
        <v>0</v>
      </c>
      <c r="AC39" s="3153">
        <v>0</v>
      </c>
      <c r="AD39" s="3742">
        <v>0</v>
      </c>
      <c r="AE39" s="3737">
        <v>93.109304733438151</v>
      </c>
      <c r="AF39" s="3153">
        <v>91.58877590308056</v>
      </c>
      <c r="AG39" s="3153">
        <v>88.572698350305899</v>
      </c>
      <c r="AH39" s="3153">
        <v>85.332862739592102</v>
      </c>
      <c r="AI39" s="3153">
        <v>82.357578637806228</v>
      </c>
      <c r="AJ39" s="3153">
        <v>81.413462814557732</v>
      </c>
      <c r="AK39" s="3153">
        <v>75.148348581362654</v>
      </c>
      <c r="AL39" s="3153">
        <v>102.0786757232938</v>
      </c>
      <c r="AM39" s="3153">
        <v>1.0411328587702951E-2</v>
      </c>
      <c r="AN39" s="3153">
        <v>1.90328394275796</v>
      </c>
      <c r="AO39" s="3153">
        <v>287.54259628849633</v>
      </c>
      <c r="AP39" s="3153">
        <v>322.73638167384377</v>
      </c>
      <c r="AQ39" s="3153">
        <v>939.29420827316244</v>
      </c>
      <c r="AR39" s="3153">
        <v>6.507701641732683</v>
      </c>
      <c r="AS39" s="3153">
        <v>9032.2666021584519</v>
      </c>
      <c r="AT39" s="3153">
        <v>1.6187428931086414</v>
      </c>
      <c r="AU39" s="3609">
        <v>0.86790411358600705</v>
      </c>
      <c r="AV39" s="3610">
        <v>0.77042045036164697</v>
      </c>
      <c r="AW39" s="3717"/>
      <c r="AX39" s="3715"/>
      <c r="AY39" s="3718"/>
      <c r="AZ39" s="3718"/>
      <c r="BA39" s="3718"/>
      <c r="BC39" s="3718"/>
      <c r="BD39" s="3714"/>
      <c r="BF39" s="3719"/>
      <c r="BG39" s="3718"/>
    </row>
    <row r="40" spans="1:59" s="3720" customFormat="1" ht="12.5">
      <c r="B40" s="331" t="s">
        <v>1651</v>
      </c>
      <c r="C40" s="3672">
        <f>+'Plan mina PS'!N60</f>
        <v>184.4</v>
      </c>
      <c r="D40" s="219"/>
      <c r="E40" s="3128"/>
      <c r="F40" s="2988"/>
      <c r="G40" s="2988"/>
      <c r="H40" s="2988"/>
      <c r="I40" s="2988"/>
      <c r="J40" s="331"/>
      <c r="K40" s="331"/>
      <c r="L40" s="331"/>
      <c r="M40" s="331"/>
      <c r="N40" s="331"/>
      <c r="O40" s="331"/>
      <c r="P40" s="331"/>
      <c r="Q40" s="331"/>
      <c r="R40" s="331"/>
      <c r="S40" s="331"/>
      <c r="T40" s="331"/>
      <c r="U40" s="331"/>
      <c r="V40" s="331"/>
      <c r="W40" s="331"/>
      <c r="X40" s="3743"/>
      <c r="Y40" s="331"/>
      <c r="Z40" s="331"/>
      <c r="AA40" s="331"/>
      <c r="AB40" s="331"/>
      <c r="AC40" s="331"/>
      <c r="AD40" s="3744"/>
      <c r="AE40" s="331"/>
      <c r="AF40" s="331"/>
      <c r="AG40" s="331"/>
      <c r="AH40" s="331"/>
      <c r="AI40" s="331"/>
      <c r="AJ40" s="331"/>
      <c r="AK40" s="331"/>
      <c r="AL40" s="331"/>
      <c r="AM40" s="331"/>
      <c r="AN40" s="331"/>
      <c r="AO40" s="331"/>
      <c r="AP40" s="331"/>
      <c r="AQ40" s="331"/>
      <c r="AR40" s="331"/>
      <c r="AS40" s="331"/>
      <c r="AT40" s="331"/>
      <c r="AU40" s="331"/>
      <c r="AV40" s="331"/>
    </row>
    <row r="41" spans="1:59" s="3720" customFormat="1" ht="12.5">
      <c r="B41" s="331"/>
      <c r="C41" s="3127"/>
      <c r="D41" s="331"/>
      <c r="E41" s="331"/>
      <c r="F41" s="331"/>
      <c r="G41" s="331"/>
      <c r="H41" s="331"/>
      <c r="I41" s="331"/>
      <c r="J41" s="331"/>
      <c r="K41" s="331"/>
      <c r="L41" s="331"/>
      <c r="M41" s="331"/>
      <c r="N41" s="331"/>
      <c r="O41" s="331"/>
      <c r="P41" s="331"/>
      <c r="Q41" s="331"/>
      <c r="R41" s="331"/>
      <c r="S41" s="331"/>
      <c r="T41" s="331"/>
      <c r="U41" s="331"/>
      <c r="V41" s="331"/>
      <c r="W41" s="331"/>
      <c r="X41" s="3743"/>
      <c r="Y41" s="331"/>
      <c r="Z41" s="331"/>
      <c r="AA41" s="331"/>
      <c r="AB41" s="331"/>
      <c r="AC41" s="331"/>
      <c r="AD41" s="3744"/>
      <c r="AE41" s="331"/>
      <c r="AF41" s="331"/>
      <c r="AG41" s="331"/>
      <c r="AH41" s="331"/>
      <c r="AI41" s="331"/>
      <c r="AJ41" s="331"/>
      <c r="AK41" s="331"/>
      <c r="AL41" s="331"/>
      <c r="AM41" s="331"/>
      <c r="AN41" s="331"/>
      <c r="AO41" s="331"/>
      <c r="AP41" s="331"/>
      <c r="AQ41" s="331"/>
      <c r="AR41" s="331"/>
      <c r="AS41" s="331"/>
      <c r="AT41" s="331"/>
      <c r="AU41" s="331"/>
      <c r="AV41" s="331"/>
    </row>
    <row r="42" spans="1:59" s="3720" customFormat="1" ht="16" thickBot="1">
      <c r="A42" s="3721"/>
      <c r="B42" s="3673" t="s">
        <v>1650</v>
      </c>
      <c r="C42" s="331"/>
      <c r="D42" s="2527">
        <f>+SUMPRODUCT($C$38:$C$39,D38:D39)/$C$40</f>
        <v>0.68564371888962483</v>
      </c>
      <c r="E42" s="2020">
        <f t="shared" ref="E42:W42" si="3">+SUMPRODUCT($C$38:$C$39,E38:E39)/$C$40</f>
        <v>0.56654495621396284</v>
      </c>
      <c r="F42" s="2020">
        <f t="shared" si="3"/>
        <v>263.49332721394529</v>
      </c>
      <c r="G42" s="2020">
        <f t="shared" si="3"/>
        <v>7.2280840895126736E-2</v>
      </c>
      <c r="H42" s="2020">
        <f t="shared" si="3"/>
        <v>1.771535279590249</v>
      </c>
      <c r="I42" s="2020">
        <f t="shared" si="3"/>
        <v>0.96260284094387827</v>
      </c>
      <c r="J42" s="2020">
        <f t="shared" si="3"/>
        <v>31.58065309896525</v>
      </c>
      <c r="K42" s="2020">
        <f t="shared" si="3"/>
        <v>89.058700892050226</v>
      </c>
      <c r="L42" s="2020">
        <f t="shared" si="3"/>
        <v>86.715503345572543</v>
      </c>
      <c r="M42" s="2020">
        <f t="shared" si="3"/>
        <v>12.555768709890023</v>
      </c>
      <c r="N42" s="2020">
        <f t="shared" si="3"/>
        <v>84.853592515576523</v>
      </c>
      <c r="O42" s="2020">
        <f t="shared" si="3"/>
        <v>0.8291427386654201</v>
      </c>
      <c r="P42" s="2020">
        <f t="shared" si="3"/>
        <v>0.11623981343102023</v>
      </c>
      <c r="Q42" s="2020">
        <f t="shared" si="3"/>
        <v>0.36809021348643822</v>
      </c>
      <c r="R42" s="2020">
        <f t="shared" si="3"/>
        <v>-9.851668481514534E-3</v>
      </c>
      <c r="S42" s="2020">
        <f t="shared" si="3"/>
        <v>36.744530465648197</v>
      </c>
      <c r="T42" s="2020">
        <f t="shared" si="3"/>
        <v>192.61211519030221</v>
      </c>
      <c r="U42" s="2020">
        <f t="shared" si="3"/>
        <v>38.576592139310506</v>
      </c>
      <c r="V42" s="2020">
        <f t="shared" si="3"/>
        <v>75.967116696429855</v>
      </c>
      <c r="W42" s="2020">
        <f t="shared" si="3"/>
        <v>94.530191782759871</v>
      </c>
      <c r="X42" s="3745"/>
      <c r="Y42" s="3746"/>
      <c r="Z42" s="3746"/>
      <c r="AA42" s="3746"/>
      <c r="AB42" s="3746"/>
      <c r="AC42" s="3746"/>
      <c r="AD42" s="3747"/>
      <c r="AE42" s="2086">
        <f t="shared" ref="AE42:AV42" si="4">+SUMPRODUCT($C$38:$C$39,AE38:AE39)/$C$40</f>
        <v>93.442398746256472</v>
      </c>
      <c r="AF42" s="2086">
        <f t="shared" si="4"/>
        <v>91.836171330812547</v>
      </c>
      <c r="AG42" s="2086">
        <f t="shared" si="4"/>
        <v>88.583149020722729</v>
      </c>
      <c r="AH42" s="2086">
        <f t="shared" si="4"/>
        <v>85.128662332926794</v>
      </c>
      <c r="AI42" s="2086">
        <f t="shared" si="4"/>
        <v>82.106242244223807</v>
      </c>
      <c r="AJ42" s="2086">
        <f t="shared" si="4"/>
        <v>81.007001266206842</v>
      </c>
      <c r="AK42" s="2086">
        <f t="shared" si="4"/>
        <v>74.436734546612712</v>
      </c>
      <c r="AL42" s="2086">
        <f t="shared" si="4"/>
        <v>102.61122028686411</v>
      </c>
      <c r="AM42" s="2086">
        <f t="shared" si="4"/>
        <v>1.1321836315230717E-2</v>
      </c>
      <c r="AN42" s="2086">
        <f t="shared" si="4"/>
        <v>2.0283806254250334</v>
      </c>
      <c r="AO42" s="2086">
        <f t="shared" si="4"/>
        <v>159.107148491065</v>
      </c>
      <c r="AP42" s="2086">
        <f t="shared" si="4"/>
        <v>180.61832233745375</v>
      </c>
      <c r="AQ42" s="2086">
        <f t="shared" si="4"/>
        <v>453.54204460106655</v>
      </c>
      <c r="AR42" s="2086">
        <f t="shared" si="4"/>
        <v>3.0599900512751583</v>
      </c>
      <c r="AS42" s="2086">
        <f t="shared" si="4"/>
        <v>9012.1021187940405</v>
      </c>
      <c r="AT42" s="2086">
        <f t="shared" si="4"/>
        <v>1.6925424005420981</v>
      </c>
      <c r="AU42" s="3609">
        <f t="shared" si="4"/>
        <v>0.9044289740671223</v>
      </c>
      <c r="AV42" s="2086">
        <f t="shared" si="4"/>
        <v>0.78075071100398163</v>
      </c>
    </row>
    <row r="43" spans="1:59" s="2936" customFormat="1">
      <c r="A43" s="2551"/>
      <c r="B43" s="2551"/>
      <c r="C43" s="2551"/>
      <c r="D43" s="2551"/>
      <c r="E43" s="2551"/>
      <c r="F43" s="2551"/>
      <c r="G43" s="2551"/>
      <c r="H43" s="2551"/>
      <c r="I43" s="2551"/>
      <c r="J43" s="2551"/>
      <c r="K43" s="2551"/>
      <c r="L43" s="2551"/>
      <c r="M43" s="2551"/>
      <c r="N43" s="2551"/>
      <c r="O43" s="2551"/>
      <c r="P43" s="2551"/>
      <c r="Q43" s="2551"/>
      <c r="R43" s="2551"/>
      <c r="S43" s="2551"/>
      <c r="T43" s="2551"/>
      <c r="U43" s="2551"/>
      <c r="V43" s="2551"/>
      <c r="W43" s="2551"/>
      <c r="X43" s="2551"/>
      <c r="Y43" s="2551"/>
      <c r="Z43" s="2551"/>
      <c r="AA43" s="2551"/>
      <c r="AB43" s="2551"/>
      <c r="AC43" s="2551"/>
      <c r="AD43" s="2551"/>
      <c r="AE43" s="2551"/>
      <c r="AF43" s="2551"/>
      <c r="AG43" s="2551"/>
      <c r="AH43" s="2551"/>
      <c r="AI43" s="2551"/>
      <c r="AJ43" s="2551"/>
      <c r="AK43" s="2551"/>
      <c r="AL43" s="2551"/>
      <c r="AM43" s="2551"/>
      <c r="AN43" s="2551"/>
      <c r="AO43" s="2551"/>
      <c r="AP43" s="2551"/>
      <c r="AQ43" s="2551"/>
      <c r="AR43" s="2551"/>
      <c r="AS43" s="2551"/>
      <c r="AT43" s="2551"/>
      <c r="AU43" s="2551"/>
      <c r="AV43" s="2551"/>
    </row>
    <row r="44" spans="1:59" s="2936" customFormat="1">
      <c r="A44" s="2551"/>
      <c r="B44" s="2551"/>
      <c r="C44" s="2551"/>
      <c r="D44" s="2551"/>
      <c r="E44" s="2551"/>
      <c r="F44" s="2551"/>
      <c r="G44" s="2551"/>
      <c r="H44" s="2551"/>
      <c r="I44" s="2551"/>
      <c r="J44" s="2551"/>
      <c r="M44" s="2551"/>
      <c r="N44" s="2551"/>
      <c r="O44" s="2551"/>
      <c r="P44" s="2551"/>
      <c r="Q44" s="2551"/>
      <c r="R44" s="2551"/>
      <c r="S44" s="2551"/>
      <c r="T44" s="2551"/>
      <c r="U44" s="2551"/>
      <c r="V44" s="2551"/>
      <c r="W44" s="2551"/>
      <c r="X44" s="2551"/>
      <c r="Y44" s="2551"/>
      <c r="Z44" s="2551"/>
      <c r="AA44" s="2551"/>
      <c r="AB44" s="2551"/>
      <c r="AC44" s="2551"/>
      <c r="AD44" s="2551"/>
      <c r="AE44" s="2551"/>
      <c r="AF44" s="2551"/>
      <c r="AG44" s="2551"/>
      <c r="AH44" s="2551"/>
      <c r="AI44" s="2551"/>
      <c r="AJ44" s="2551"/>
      <c r="AK44" s="2551"/>
      <c r="AL44" s="2551"/>
      <c r="AM44" s="2551"/>
      <c r="AN44" s="2551"/>
      <c r="AO44" s="2551"/>
      <c r="AP44" s="2551"/>
      <c r="AQ44" s="2551"/>
      <c r="AR44" s="2551"/>
      <c r="AS44" s="2551"/>
      <c r="AT44" s="2551"/>
      <c r="AU44" s="2551"/>
      <c r="AV44" s="2551"/>
    </row>
    <row r="45" spans="1:59">
      <c r="D45" s="2551" t="s">
        <v>1858</v>
      </c>
      <c r="E45" s="2551" t="s">
        <v>1859</v>
      </c>
      <c r="F45" s="2551" t="s">
        <v>1857</v>
      </c>
      <c r="G45" s="3998" t="s">
        <v>1860</v>
      </c>
      <c r="H45" s="3998" t="s">
        <v>1861</v>
      </c>
      <c r="K45" s="3998" t="s">
        <v>1863</v>
      </c>
      <c r="L45" s="3998" t="s">
        <v>1864</v>
      </c>
      <c r="AW45" s="2936"/>
      <c r="AX45" s="2936"/>
      <c r="AY45" s="2936"/>
      <c r="AZ45" s="2936"/>
      <c r="BA45" s="2936"/>
      <c r="BB45" s="2936"/>
      <c r="BC45" s="2936"/>
      <c r="BD45" s="2936"/>
      <c r="BE45" s="2936"/>
      <c r="BF45" s="2936"/>
    </row>
    <row r="46" spans="1:59">
      <c r="C46" s="3995">
        <v>46091</v>
      </c>
      <c r="D46" s="3016">
        <f>C11</f>
        <v>84000.000000096639</v>
      </c>
      <c r="E46" s="3996">
        <f>'Plan mina PS'!N52*1000</f>
        <v>180641.57674533353</v>
      </c>
      <c r="F46" s="3016">
        <f>E46-D46</f>
        <v>96641.576745236889</v>
      </c>
      <c r="G46" s="3999">
        <v>0.56999999999999995</v>
      </c>
      <c r="H46" s="3999">
        <v>240</v>
      </c>
      <c r="J46" s="3995">
        <v>46091</v>
      </c>
      <c r="K46" s="4000">
        <v>0.5452434998736031</v>
      </c>
      <c r="L46" s="4000">
        <v>92.163937070836383</v>
      </c>
      <c r="AW46" s="2936"/>
      <c r="AX46" s="2936"/>
      <c r="AY46" s="2936"/>
      <c r="AZ46" s="2936"/>
      <c r="BA46" s="2936"/>
      <c r="BB46" s="2936"/>
      <c r="BC46" s="2936"/>
      <c r="BD46" s="2936"/>
      <c r="BE46" s="2936"/>
      <c r="BF46" s="2936"/>
    </row>
    <row r="47" spans="1:59">
      <c r="C47" s="3995">
        <v>46092</v>
      </c>
      <c r="D47" s="3016">
        <f>C12</f>
        <v>83000.00000027362</v>
      </c>
      <c r="E47" s="3996">
        <f>'Plan mina PS'!N53*1000</f>
        <v>180836.79397590674</v>
      </c>
      <c r="F47" s="3016">
        <f>E47-D47</f>
        <v>97836.793975633118</v>
      </c>
      <c r="J47" s="3995">
        <v>46092</v>
      </c>
      <c r="K47" s="4000">
        <v>0.59677315785884866</v>
      </c>
      <c r="L47" s="4000">
        <v>206.29472155045289</v>
      </c>
      <c r="AN47" s="2551">
        <v>100</v>
      </c>
      <c r="AW47" s="2936"/>
      <c r="AX47" s="2936"/>
      <c r="AY47" s="2936"/>
      <c r="AZ47" s="2936"/>
      <c r="BA47" s="2936"/>
      <c r="BB47" s="2936"/>
      <c r="BC47" s="2936"/>
      <c r="BD47" s="2936"/>
      <c r="BE47" s="2936"/>
      <c r="BF47" s="2936"/>
    </row>
    <row r="48" spans="1:59">
      <c r="AW48" s="2936"/>
      <c r="AX48" s="2936"/>
      <c r="AY48" s="2936"/>
      <c r="AZ48" s="2936"/>
      <c r="BA48" s="2936"/>
      <c r="BB48" s="2936"/>
      <c r="BC48" s="2936"/>
      <c r="BD48" s="2936"/>
      <c r="BE48" s="2936"/>
      <c r="BF48" s="2936"/>
    </row>
    <row r="49" spans="3:58">
      <c r="AW49" s="2936"/>
      <c r="AX49" s="2936"/>
      <c r="AY49" s="2936"/>
      <c r="AZ49" s="2936"/>
      <c r="BA49" s="2936"/>
      <c r="BB49" s="2936"/>
      <c r="BC49" s="2936"/>
      <c r="BD49" s="2936"/>
      <c r="BE49" s="2936"/>
      <c r="BF49" s="2936"/>
    </row>
    <row r="50" spans="3:58">
      <c r="D50" s="2551" t="s">
        <v>1862</v>
      </c>
      <c r="AT50" s="2551">
        <v>100</v>
      </c>
      <c r="AW50" s="2936"/>
      <c r="AX50" s="2936"/>
      <c r="AY50" s="2936"/>
      <c r="AZ50" s="2936"/>
      <c r="BA50" s="2936"/>
      <c r="BB50" s="2936"/>
      <c r="BC50" s="2936"/>
      <c r="BD50" s="2936"/>
      <c r="BE50" s="2936"/>
      <c r="BF50" s="2936"/>
    </row>
    <row r="51" spans="3:58">
      <c r="D51" s="3997" t="s">
        <v>1</v>
      </c>
      <c r="E51" s="3997" t="s">
        <v>2</v>
      </c>
      <c r="AW51" s="2936"/>
      <c r="AX51" s="2936"/>
      <c r="AY51" s="2936"/>
      <c r="AZ51" s="2936"/>
      <c r="BA51" s="2936"/>
      <c r="BB51" s="2936"/>
      <c r="BC51" s="2936"/>
      <c r="BD51" s="2936"/>
      <c r="BE51" s="2936"/>
      <c r="BF51" s="2936"/>
    </row>
    <row r="52" spans="3:58" ht="11.25" customHeight="1">
      <c r="C52" s="3995">
        <v>46091</v>
      </c>
      <c r="D52" s="4002">
        <f>(D46*K46+F46*G46)/E46</f>
        <v>0.55848799900838186</v>
      </c>
      <c r="E52" s="4001">
        <f>(D46*L46+F46*H46)/E46</f>
        <v>171.25486662701627</v>
      </c>
      <c r="G52" s="4004">
        <f>(D46*K46+F46*G46)/E46</f>
        <v>0.55848799900838186</v>
      </c>
      <c r="H52" s="4003">
        <f>(D46*L46+F46*H46)/E46</f>
        <v>171.25486662701627</v>
      </c>
      <c r="AW52" s="2936"/>
      <c r="AX52" s="2936"/>
      <c r="AY52" s="2936"/>
      <c r="AZ52" s="2936"/>
      <c r="BA52" s="2936"/>
      <c r="BB52" s="2936"/>
      <c r="BC52" s="2936"/>
      <c r="BD52" s="2936"/>
      <c r="BE52" s="2936"/>
      <c r="BF52" s="2936"/>
    </row>
    <row r="53" spans="3:58">
      <c r="C53" s="3995">
        <v>46092</v>
      </c>
      <c r="D53" s="4002">
        <f>(D47*K47+F47*G46)/E47</f>
        <v>0.58228827415834328</v>
      </c>
      <c r="E53" s="4001">
        <f>(D47*L47+F47*H46)/E47</f>
        <v>224.53003921483835</v>
      </c>
      <c r="G53" s="4004">
        <f>(D47*K47+F47*G46)/E47</f>
        <v>0.58228827415834328</v>
      </c>
      <c r="H53" s="4003">
        <f>(D47*L47+F47*H46)/E47</f>
        <v>224.53003921483835</v>
      </c>
      <c r="AW53" s="2936"/>
      <c r="AX53" s="2936"/>
      <c r="AY53" s="2936"/>
      <c r="AZ53" s="2936"/>
      <c r="BA53" s="2936"/>
      <c r="BB53" s="2936"/>
      <c r="BC53" s="2936"/>
      <c r="BD53" s="2936"/>
      <c r="BE53" s="2936"/>
      <c r="BF53" s="2936"/>
    </row>
    <row r="54" spans="3:58">
      <c r="AW54" s="2936"/>
      <c r="AX54" s="2936"/>
      <c r="AY54" s="2936"/>
      <c r="AZ54" s="2936"/>
      <c r="BA54" s="2936"/>
      <c r="BB54" s="2936"/>
      <c r="BC54" s="2936"/>
      <c r="BD54" s="2936"/>
      <c r="BE54" s="2936"/>
      <c r="BF54" s="2936"/>
    </row>
    <row r="55" spans="3:58">
      <c r="AW55" s="2936"/>
      <c r="AX55" s="2936"/>
      <c r="AY55" s="2936"/>
      <c r="AZ55" s="2936"/>
      <c r="BA55" s="2936"/>
      <c r="BB55" s="2936"/>
      <c r="BC55" s="2936"/>
      <c r="BD55" s="2936"/>
      <c r="BE55" s="2936"/>
      <c r="BF55" s="2936"/>
    </row>
    <row r="56" spans="3:58" ht="11.25" customHeight="1">
      <c r="AW56" s="2936"/>
      <c r="AX56" s="2936"/>
      <c r="AY56" s="2936"/>
      <c r="AZ56" s="2936"/>
      <c r="BA56" s="2936"/>
      <c r="BB56" s="2936"/>
      <c r="BC56" s="2936"/>
      <c r="BD56" s="2936"/>
      <c r="BE56" s="2936"/>
      <c r="BF56" s="2936"/>
    </row>
    <row r="57" spans="3:58">
      <c r="AW57" s="2936"/>
      <c r="AX57" s="2936"/>
      <c r="AY57" s="2936"/>
      <c r="AZ57" s="2936"/>
      <c r="BA57" s="2936"/>
      <c r="BB57" s="2936"/>
      <c r="BC57" s="2936"/>
      <c r="BD57" s="2936"/>
      <c r="BE57" s="2936"/>
      <c r="BF57" s="2936"/>
    </row>
    <row r="58" spans="3:58">
      <c r="AW58" s="2936"/>
      <c r="AX58" s="2936"/>
      <c r="AY58" s="2936"/>
      <c r="AZ58" s="2936"/>
      <c r="BA58" s="2936"/>
      <c r="BB58" s="2936"/>
      <c r="BC58" s="2936"/>
      <c r="BD58" s="2936"/>
      <c r="BE58" s="2936"/>
      <c r="BF58" s="2936"/>
    </row>
    <row r="59" spans="3:58">
      <c r="AW59" s="2936"/>
      <c r="AX59" s="2936"/>
      <c r="AY59" s="2936"/>
      <c r="AZ59" s="2936"/>
      <c r="BA59" s="2936"/>
      <c r="BB59" s="2936"/>
      <c r="BC59" s="2936"/>
      <c r="BD59" s="2936"/>
      <c r="BE59" s="2936"/>
      <c r="BF59" s="2936"/>
    </row>
    <row r="60" spans="3:58">
      <c r="AW60" s="2936"/>
      <c r="AX60" s="2936"/>
      <c r="AY60" s="2936"/>
      <c r="AZ60" s="2936"/>
      <c r="BA60" s="2936"/>
      <c r="BB60" s="2936"/>
      <c r="BC60" s="2936"/>
      <c r="BD60" s="2936"/>
      <c r="BE60" s="2936"/>
      <c r="BF60" s="2936"/>
    </row>
    <row r="61" spans="3:58">
      <c r="AW61" s="2936"/>
      <c r="AX61" s="2936"/>
      <c r="AY61" s="2936"/>
      <c r="AZ61" s="2936"/>
      <c r="BA61" s="2936"/>
      <c r="BB61" s="2936"/>
      <c r="BC61" s="2936"/>
      <c r="BD61" s="2936"/>
      <c r="BE61" s="2936"/>
      <c r="BF61" s="2936"/>
    </row>
    <row r="62" spans="3:58">
      <c r="AW62" s="2936"/>
      <c r="AX62" s="2936"/>
      <c r="AY62" s="2936"/>
      <c r="AZ62" s="2936"/>
      <c r="BA62" s="2936"/>
      <c r="BB62" s="2936"/>
      <c r="BC62" s="2936"/>
      <c r="BD62" s="2936"/>
      <c r="BE62" s="2936"/>
      <c r="BF62" s="2936"/>
    </row>
    <row r="63" spans="3:58">
      <c r="AW63" s="2936"/>
      <c r="AX63" s="2936"/>
      <c r="AY63" s="2936"/>
      <c r="AZ63" s="2936"/>
      <c r="BA63" s="2936"/>
      <c r="BB63" s="2936"/>
      <c r="BC63" s="2936"/>
      <c r="BD63" s="2936"/>
      <c r="BE63" s="2936"/>
      <c r="BF63" s="2936"/>
    </row>
    <row r="64" spans="3:58">
      <c r="AW64" s="2936"/>
      <c r="AX64" s="2936"/>
      <c r="AY64" s="2936"/>
      <c r="AZ64" s="2936"/>
      <c r="BA64" s="2936"/>
      <c r="BB64" s="2936"/>
      <c r="BC64" s="2936"/>
      <c r="BD64" s="2936"/>
      <c r="BE64" s="2936"/>
      <c r="BF64" s="2936"/>
    </row>
    <row r="65" spans="3:58">
      <c r="AW65" s="2936"/>
      <c r="AX65" s="2936"/>
      <c r="AY65" s="2936"/>
      <c r="AZ65" s="2936"/>
      <c r="BA65" s="2936"/>
      <c r="BB65" s="2936"/>
      <c r="BC65" s="2936"/>
      <c r="BD65" s="2936"/>
      <c r="BE65" s="2936"/>
      <c r="BF65" s="2936"/>
    </row>
    <row r="66" spans="3:58">
      <c r="AW66" s="2936"/>
      <c r="AX66" s="2936"/>
      <c r="AY66" s="2936"/>
      <c r="AZ66" s="2936"/>
      <c r="BA66" s="2936"/>
      <c r="BB66" s="2936"/>
      <c r="BC66" s="2936"/>
      <c r="BD66" s="2936"/>
      <c r="BE66" s="2936"/>
      <c r="BF66" s="2936"/>
    </row>
    <row r="67" spans="3:58">
      <c r="AW67" s="2936"/>
      <c r="AX67" s="2936"/>
      <c r="AY67" s="2936"/>
      <c r="AZ67" s="2936"/>
      <c r="BA67" s="2936"/>
      <c r="BB67" s="2936"/>
      <c r="BC67" s="2936"/>
      <c r="BD67" s="2936"/>
      <c r="BE67" s="2936"/>
      <c r="BF67" s="2936"/>
    </row>
    <row r="68" spans="3:58">
      <c r="AW68" s="2936"/>
      <c r="AX68" s="2936"/>
      <c r="AY68" s="2936"/>
      <c r="AZ68" s="2936"/>
      <c r="BA68" s="2936"/>
      <c r="BB68" s="2936"/>
      <c r="BC68" s="2936"/>
      <c r="BD68" s="2936"/>
      <c r="BE68" s="2936"/>
      <c r="BF68" s="2936"/>
    </row>
    <row r="69" spans="3:58">
      <c r="AW69" s="2936"/>
      <c r="AX69" s="2936"/>
      <c r="AY69" s="2936"/>
      <c r="AZ69" s="2936"/>
      <c r="BA69" s="2936"/>
      <c r="BB69" s="2936"/>
      <c r="BC69" s="2936"/>
      <c r="BD69" s="2936"/>
      <c r="BE69" s="2936"/>
      <c r="BF69" s="2936"/>
    </row>
    <row r="70" spans="3:58">
      <c r="AW70" s="2936"/>
      <c r="AX70" s="2936"/>
      <c r="AY70" s="2936"/>
      <c r="AZ70" s="2936"/>
      <c r="BA70" s="2936"/>
      <c r="BB70" s="2936"/>
      <c r="BC70" s="2936"/>
      <c r="BD70" s="2936"/>
      <c r="BE70" s="2936"/>
      <c r="BF70" s="2936"/>
    </row>
    <row r="71" spans="3:58">
      <c r="C71" s="3016"/>
      <c r="D71" s="3016"/>
      <c r="F71" s="3017"/>
    </row>
    <row r="76" spans="3:58">
      <c r="H76" s="4458"/>
    </row>
    <row r="77" spans="3:58">
      <c r="H77" s="4458"/>
    </row>
    <row r="78" spans="3:58">
      <c r="H78" s="4458"/>
    </row>
    <row r="79" spans="3:58">
      <c r="H79" s="4458"/>
    </row>
    <row r="80" spans="3:58">
      <c r="H80" s="4458"/>
    </row>
    <row r="81" spans="8:8">
      <c r="H81" s="4458"/>
    </row>
    <row r="82" spans="8:8">
      <c r="H82" s="4458"/>
    </row>
    <row r="83" spans="8:8">
      <c r="H83" s="4458"/>
    </row>
  </sheetData>
  <phoneticPr fontId="273"/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98049-AA7E-4482-97F1-D994591F0D02}">
  <sheetPr codeName="Hoja31">
    <tabColor rgb="FFFFC000"/>
  </sheetPr>
  <dimension ref="A1:CC73"/>
  <sheetViews>
    <sheetView topLeftCell="A6" zoomScaleNormal="100" workbookViewId="0">
      <pane xSplit="1" topLeftCell="X1" activePane="topRight" state="frozen"/>
      <selection activeCell="A20" sqref="A20"/>
      <selection pane="topRight" activeCell="AO35" sqref="AO35:AO36"/>
    </sheetView>
  </sheetViews>
  <sheetFormatPr baseColWidth="10" defaultColWidth="11.453125" defaultRowHeight="12.5"/>
  <cols>
    <col min="1" max="1" width="11.1796875" bestFit="1" customWidth="1"/>
    <col min="2" max="2" width="9.54296875" bestFit="1" customWidth="1"/>
    <col min="3" max="3" width="5" bestFit="1" customWidth="1"/>
    <col min="4" max="5" width="13" bestFit="1" customWidth="1"/>
    <col min="6" max="6" width="12.54296875" customWidth="1"/>
    <col min="7" max="7" width="12" customWidth="1"/>
    <col min="8" max="8" width="12.453125" customWidth="1"/>
    <col min="9" max="9" width="10.1796875" bestFit="1" customWidth="1"/>
    <col min="10" max="10" width="11.453125" bestFit="1" customWidth="1"/>
    <col min="11" max="11" width="10.1796875" bestFit="1" customWidth="1"/>
    <col min="12" max="13" width="11.453125" bestFit="1" customWidth="1"/>
    <col min="14" max="14" width="8.81640625" customWidth="1"/>
    <col min="15" max="15" width="10.81640625" bestFit="1" customWidth="1"/>
    <col min="16" max="16" width="9.1796875" bestFit="1" customWidth="1"/>
    <col min="17" max="17" width="19.453125" bestFit="1" customWidth="1"/>
    <col min="18" max="18" width="11.453125" bestFit="1" customWidth="1"/>
    <col min="19" max="19" width="10.81640625" bestFit="1" customWidth="1"/>
    <col min="20" max="20" width="14.453125" bestFit="1" customWidth="1"/>
    <col min="21" max="21" width="9" customWidth="1"/>
    <col min="22" max="22" width="15" bestFit="1" customWidth="1"/>
    <col min="23" max="23" width="20.26953125" bestFit="1" customWidth="1"/>
    <col min="24" max="24" width="22.81640625" bestFit="1" customWidth="1"/>
    <col min="25" max="25" width="13.26953125" bestFit="1" customWidth="1"/>
    <col min="26" max="26" width="20.7265625" bestFit="1" customWidth="1"/>
    <col min="27" max="27" width="16.453125" bestFit="1" customWidth="1"/>
    <col min="28" max="28" width="14.453125" bestFit="1" customWidth="1"/>
    <col min="29" max="29" width="12.1796875" bestFit="1" customWidth="1"/>
    <col min="30" max="30" width="13.453125" bestFit="1" customWidth="1"/>
    <col min="31" max="31" width="18.1796875" bestFit="1" customWidth="1"/>
    <col min="32" max="32" width="7.81640625" bestFit="1" customWidth="1"/>
    <col min="33" max="33" width="18" bestFit="1" customWidth="1"/>
    <col min="34" max="34" width="14.54296875" bestFit="1" customWidth="1"/>
    <col min="35" max="35" width="14.1796875" bestFit="1" customWidth="1"/>
    <col min="36" max="36" width="17.453125" bestFit="1" customWidth="1"/>
    <col min="37" max="38" width="10.54296875" customWidth="1"/>
    <col min="39" max="43" width="7.81640625" bestFit="1" customWidth="1"/>
    <col min="44" max="45" width="11.1796875" bestFit="1" customWidth="1"/>
    <col min="46" max="46" width="13.54296875" bestFit="1" customWidth="1"/>
    <col min="47" max="47" width="12.453125" bestFit="1" customWidth="1"/>
    <col min="48" max="48" width="13.81640625" bestFit="1" customWidth="1"/>
    <col min="49" max="49" width="9.453125" customWidth="1"/>
    <col min="50" max="50" width="15.54296875" bestFit="1" customWidth="1"/>
    <col min="51" max="51" width="14.1796875" bestFit="1" customWidth="1"/>
    <col min="52" max="52" width="9.1796875" bestFit="1" customWidth="1"/>
    <col min="53" max="53" width="9.54296875" bestFit="1" customWidth="1"/>
    <col min="54" max="55" width="8.81640625" bestFit="1" customWidth="1"/>
    <col min="56" max="56" width="15.1796875" bestFit="1" customWidth="1"/>
    <col min="57" max="57" width="18.81640625" customWidth="1"/>
    <col min="58" max="58" width="20" bestFit="1" customWidth="1"/>
    <col min="59" max="59" width="13.453125" customWidth="1"/>
    <col min="60" max="60" width="17.81640625" bestFit="1" customWidth="1"/>
    <col min="61" max="61" width="8.81640625" bestFit="1" customWidth="1"/>
    <col min="63" max="63" width="6.54296875" bestFit="1" customWidth="1"/>
    <col min="64" max="64" width="17.81640625" bestFit="1" customWidth="1"/>
    <col min="65" max="65" width="8.81640625" bestFit="1" customWidth="1"/>
    <col min="68" max="68" width="20.1796875" bestFit="1" customWidth="1"/>
    <col min="69" max="70" width="11.453125" bestFit="1" customWidth="1"/>
    <col min="71" max="71" width="9.81640625" customWidth="1"/>
    <col min="72" max="72" width="27.81640625" bestFit="1" customWidth="1"/>
    <col min="73" max="73" width="19.1796875" bestFit="1" customWidth="1"/>
    <col min="74" max="74" width="11.453125" bestFit="1" customWidth="1"/>
    <col min="75" max="75" width="9.81640625" customWidth="1"/>
    <col min="76" max="76" width="13" bestFit="1" customWidth="1"/>
    <col min="77" max="77" width="24.1796875" bestFit="1" customWidth="1"/>
    <col min="78" max="78" width="15.54296875" bestFit="1" customWidth="1"/>
    <col min="79" max="79" width="12.81640625" bestFit="1" customWidth="1"/>
    <col min="80" max="80" width="20.1796875" bestFit="1" customWidth="1"/>
    <col min="81" max="81" width="4.81640625" bestFit="1" customWidth="1"/>
  </cols>
  <sheetData>
    <row r="1" spans="1:81" s="331" customFormat="1" ht="13" customHeight="1">
      <c r="W1" s="2008"/>
      <c r="X1" s="2009"/>
      <c r="AS1" s="4601" t="s">
        <v>1211</v>
      </c>
      <c r="AT1" s="4601"/>
      <c r="AU1" s="4601"/>
      <c r="AV1" s="4601"/>
      <c r="AZ1" s="1984" t="s">
        <v>9</v>
      </c>
      <c r="BA1" s="1984" t="s">
        <v>463</v>
      </c>
      <c r="BB1" s="1984" t="s">
        <v>464</v>
      </c>
      <c r="BC1" s="1986" t="s">
        <v>465</v>
      </c>
      <c r="BD1" s="1981" t="s">
        <v>466</v>
      </c>
      <c r="BE1" s="1985" t="s">
        <v>467</v>
      </c>
      <c r="BF1" s="2030" t="s">
        <v>1204</v>
      </c>
      <c r="BG1" s="331">
        <v>2.6589999999999999E-2</v>
      </c>
      <c r="BI1" s="2126"/>
    </row>
    <row r="2" spans="1:81" s="331" customFormat="1" ht="15.5">
      <c r="D2" s="2014" t="s">
        <v>507</v>
      </c>
      <c r="E2" s="2014" t="s">
        <v>508</v>
      </c>
      <c r="F2" s="2014" t="s">
        <v>509</v>
      </c>
      <c r="G2" s="2014" t="s">
        <v>510</v>
      </c>
      <c r="H2" s="2014" t="s">
        <v>511</v>
      </c>
      <c r="I2" s="2014" t="s">
        <v>512</v>
      </c>
      <c r="K2" s="2013" t="s">
        <v>1213</v>
      </c>
      <c r="L2" s="1824">
        <v>7.75</v>
      </c>
      <c r="O2" s="2013" t="s">
        <v>501</v>
      </c>
      <c r="P2" s="1825">
        <v>0.65690000000000004</v>
      </c>
      <c r="Q2" s="1824">
        <v>9.7116000000000007</v>
      </c>
      <c r="R2" s="1824"/>
      <c r="T2" s="1996" t="s">
        <v>1219</v>
      </c>
      <c r="U2" s="331">
        <v>14909</v>
      </c>
      <c r="W2" s="1996" t="s">
        <v>500</v>
      </c>
      <c r="X2" s="331">
        <v>9.2279999999999998</v>
      </c>
      <c r="Y2" s="331">
        <v>-1.6231</v>
      </c>
      <c r="AA2" s="331">
        <v>0.78900000000000003</v>
      </c>
      <c r="AB2" s="331">
        <v>10.5</v>
      </c>
      <c r="AD2" s="1997" t="s">
        <v>1245</v>
      </c>
      <c r="AE2" s="2010">
        <v>49.54</v>
      </c>
      <c r="AF2" s="2010">
        <v>0.4541</v>
      </c>
      <c r="AI2" s="1999" t="s">
        <v>450</v>
      </c>
      <c r="AJ2" s="1825">
        <f>+'Recalculos ST'!AJ2</f>
        <v>0.93</v>
      </c>
      <c r="AK2" s="1998"/>
      <c r="AL2" s="1998"/>
      <c r="AN2" s="331" t="str">
        <f>+'Recalculos ST'!AN2</f>
        <v>rotbolas1</v>
      </c>
      <c r="AO2" s="331">
        <f>+'Recalculos ST'!AO2</f>
        <v>0.36499999999999999</v>
      </c>
      <c r="AP2" s="331">
        <v>1</v>
      </c>
      <c r="AS2" s="1825" t="s">
        <v>1204</v>
      </c>
      <c r="AT2" s="1998">
        <v>2.9219999999999999E-2</v>
      </c>
      <c r="AU2" s="1825" t="s">
        <v>960</v>
      </c>
      <c r="AV2" s="1998">
        <v>-9.5846999999999998</v>
      </c>
      <c r="AZ2" s="331">
        <v>1</v>
      </c>
      <c r="BA2" s="2016">
        <v>0.92792741906199605</v>
      </c>
      <c r="BB2" s="2016">
        <v>0.81568285359793991</v>
      </c>
      <c r="BC2" s="2016">
        <v>5.5228168776651619E-2</v>
      </c>
      <c r="BD2" s="2017">
        <v>28.244061640918535</v>
      </c>
      <c r="BE2" s="2016">
        <v>0.17159014405677886</v>
      </c>
      <c r="BF2" s="2030" t="s">
        <v>1205</v>
      </c>
      <c r="BG2" s="331">
        <v>3.4719999999999998E-3</v>
      </c>
    </row>
    <row r="3" spans="1:81" s="331" customFormat="1" ht="15.5">
      <c r="D3" s="2015">
        <v>0.63800000000000001</v>
      </c>
      <c r="E3" s="2015">
        <v>0.80300000000000005</v>
      </c>
      <c r="F3" s="2015">
        <v>0.435</v>
      </c>
      <c r="G3" s="2015">
        <v>0.1</v>
      </c>
      <c r="H3" s="2015">
        <v>0.48</v>
      </c>
      <c r="I3" s="2015">
        <v>0.14699999999999999</v>
      </c>
      <c r="J3" s="2012"/>
      <c r="K3" s="2013" t="s">
        <v>1214</v>
      </c>
      <c r="L3" s="2051">
        <v>7.75</v>
      </c>
      <c r="M3" s="2012"/>
      <c r="N3" s="1400"/>
      <c r="O3" s="2013" t="s">
        <v>503</v>
      </c>
      <c r="P3" s="1825">
        <v>0.12092</v>
      </c>
      <c r="Q3" s="1824">
        <v>0.60609999999999997</v>
      </c>
      <c r="R3" s="1824">
        <v>0.71243000000000001</v>
      </c>
      <c r="T3" s="1996" t="s">
        <v>1220</v>
      </c>
      <c r="U3" s="331">
        <v>1812</v>
      </c>
      <c r="W3" s="1996" t="s">
        <v>502</v>
      </c>
      <c r="X3" s="331">
        <v>10.884</v>
      </c>
      <c r="Y3" s="331">
        <v>-1.6352</v>
      </c>
      <c r="AA3" s="331">
        <v>0.78900000000000003</v>
      </c>
      <c r="AB3" s="331">
        <v>10.4</v>
      </c>
      <c r="AD3" s="1997" t="s">
        <v>1246</v>
      </c>
      <c r="AE3" s="2010">
        <v>58.17</v>
      </c>
      <c r="AF3" s="2010">
        <v>0.3579</v>
      </c>
      <c r="AI3" s="1999" t="s">
        <v>1225</v>
      </c>
      <c r="AJ3" s="1825">
        <f>+'Recalculos ST'!AJ3</f>
        <v>4600</v>
      </c>
      <c r="AK3" s="1823">
        <v>1812</v>
      </c>
      <c r="AL3" s="1823"/>
      <c r="AN3" s="331" t="str">
        <f>+'Recalculos ST'!AN3</f>
        <v>rotbolas2</v>
      </c>
      <c r="AO3" s="331">
        <f>+'Recalculos ST'!AO3</f>
        <v>134.68</v>
      </c>
      <c r="AP3" s="331">
        <v>1</v>
      </c>
      <c r="AS3" s="1825" t="s">
        <v>1205</v>
      </c>
      <c r="AT3" s="1998">
        <v>7.6999999999999996E-4</v>
      </c>
      <c r="AU3" s="1825" t="s">
        <v>47</v>
      </c>
      <c r="AV3" s="1998">
        <v>1.3129</v>
      </c>
      <c r="AZ3" s="331">
        <v>2</v>
      </c>
      <c r="BA3" s="2018">
        <v>0.95213211400911257</v>
      </c>
      <c r="BB3" s="2018">
        <v>0.79306581097426387</v>
      </c>
      <c r="BC3" s="2018">
        <v>6.2042664433751393E-2</v>
      </c>
      <c r="BD3" s="2019">
        <v>28.621241795216271</v>
      </c>
      <c r="BE3" s="2018">
        <v>0.16467736329140784</v>
      </c>
      <c r="BF3" s="2030" t="s">
        <v>1206</v>
      </c>
      <c r="BG3" s="331">
        <v>3.5739999999999999E-3</v>
      </c>
    </row>
    <row r="4" spans="1:81" s="331" customFormat="1" ht="15.5">
      <c r="A4" s="2011"/>
      <c r="D4" s="2014" t="s">
        <v>515</v>
      </c>
      <c r="E4" s="2014" t="s">
        <v>516</v>
      </c>
      <c r="F4" s="2014" t="s">
        <v>517</v>
      </c>
      <c r="G4" s="2014" t="s">
        <v>518</v>
      </c>
      <c r="H4" s="2014" t="s">
        <v>519</v>
      </c>
      <c r="I4" s="2014" t="s">
        <v>520</v>
      </c>
      <c r="K4" s="2013" t="s">
        <v>1215</v>
      </c>
      <c r="L4" s="1824">
        <v>25.4</v>
      </c>
      <c r="M4" s="1400"/>
      <c r="N4" s="1400"/>
      <c r="O4" s="2013" t="s">
        <v>506</v>
      </c>
      <c r="P4" s="1825">
        <v>1</v>
      </c>
      <c r="Q4" s="1824">
        <v>0</v>
      </c>
      <c r="R4" s="1824"/>
      <c r="T4" s="1996" t="s">
        <v>1221</v>
      </c>
      <c r="U4" s="331">
        <f>12000*0.97</f>
        <v>11640</v>
      </c>
      <c r="W4" s="1996" t="s">
        <v>505</v>
      </c>
      <c r="X4" s="331">
        <v>11.387</v>
      </c>
      <c r="Y4" s="331">
        <v>-1.3090999999999999</v>
      </c>
      <c r="AA4" s="331">
        <v>0.78900000000000003</v>
      </c>
      <c r="AB4" s="331">
        <v>10.25</v>
      </c>
      <c r="AD4" s="1997" t="s">
        <v>1247</v>
      </c>
      <c r="AE4" s="2010">
        <v>43.15</v>
      </c>
      <c r="AF4" s="2010">
        <v>0.52890000000000004</v>
      </c>
      <c r="AI4" s="1999" t="s">
        <v>1226</v>
      </c>
      <c r="AJ4" s="1825">
        <f>+'Recalculos ST'!AJ4</f>
        <v>50000</v>
      </c>
      <c r="AK4" s="1823">
        <v>11400</v>
      </c>
      <c r="AL4" s="1823">
        <v>61400</v>
      </c>
      <c r="AS4" s="1825" t="s">
        <v>1206</v>
      </c>
      <c r="AT4" s="1998">
        <v>7.7660000000000003E-3</v>
      </c>
      <c r="AU4" s="1825" t="s">
        <v>1209</v>
      </c>
      <c r="AV4" s="1998">
        <v>0.99850000000000005</v>
      </c>
      <c r="AZ4" s="331">
        <v>3</v>
      </c>
      <c r="BA4" s="2018">
        <v>0.93644001230568108</v>
      </c>
      <c r="BB4" s="2018">
        <v>0.79536772461342786</v>
      </c>
      <c r="BC4" s="2018">
        <v>6.7925848073946429E-2</v>
      </c>
      <c r="BD4" s="2019">
        <v>31.584909993823199</v>
      </c>
      <c r="BE4" s="2018">
        <v>0.16907813156578058</v>
      </c>
      <c r="BF4" s="2030" t="s">
        <v>1207</v>
      </c>
      <c r="BG4" s="331">
        <v>-1.6069999999999999E-3</v>
      </c>
    </row>
    <row r="5" spans="1:81" s="331" customFormat="1" ht="15.5">
      <c r="A5" s="2011"/>
      <c r="D5" s="1824">
        <v>1.62</v>
      </c>
      <c r="E5" s="1824">
        <v>0.1</v>
      </c>
      <c r="F5" s="1824">
        <v>2.294</v>
      </c>
      <c r="G5" s="1824">
        <v>6.4450000000000003</v>
      </c>
      <c r="H5" s="1824">
        <v>1.1819999999999999</v>
      </c>
      <c r="I5" s="1824">
        <v>3.5169999999999999</v>
      </c>
      <c r="K5" s="2013" t="s">
        <v>1216</v>
      </c>
      <c r="L5" s="1824">
        <v>0.71719999999999995</v>
      </c>
      <c r="M5" s="1400"/>
      <c r="N5" s="1400"/>
      <c r="O5" s="2013" t="s">
        <v>1365</v>
      </c>
      <c r="P5" s="1825">
        <v>0.2</v>
      </c>
      <c r="Q5" s="1823">
        <f>+'Recalculos ST'!P6</f>
        <v>9000</v>
      </c>
      <c r="R5" s="1824"/>
      <c r="T5" s="1996" t="s">
        <v>1222</v>
      </c>
      <c r="U5" s="331">
        <v>3000</v>
      </c>
      <c r="W5" s="1996" t="s">
        <v>513</v>
      </c>
      <c r="X5" s="331">
        <v>8.4390000000000001</v>
      </c>
      <c r="Y5" s="331">
        <v>-1.2408999999999999</v>
      </c>
      <c r="AA5" s="331">
        <v>0.78900000000000003</v>
      </c>
      <c r="AB5" s="331">
        <v>10.3</v>
      </c>
      <c r="AD5" s="1997" t="s">
        <v>1224</v>
      </c>
      <c r="AF5" s="2010"/>
      <c r="AI5" s="1999" t="s">
        <v>1227</v>
      </c>
      <c r="AJ5" s="1825">
        <f>+'Recalculos ST'!AJ5</f>
        <v>300</v>
      </c>
      <c r="AK5" s="1823"/>
      <c r="AL5" s="1823">
        <v>50000</v>
      </c>
      <c r="AS5" s="1825" t="s">
        <v>1207</v>
      </c>
      <c r="AT5" s="1998">
        <v>-1.9599999999999999E-3</v>
      </c>
      <c r="AU5" s="1825" t="s">
        <v>1210</v>
      </c>
      <c r="AV5" s="1998">
        <v>-0.80430000000000001</v>
      </c>
      <c r="AZ5" s="331">
        <v>4</v>
      </c>
      <c r="BA5" s="2018">
        <v>0.84000363066406503</v>
      </c>
      <c r="BB5" s="2018">
        <v>0.88767846747923707</v>
      </c>
      <c r="BC5" s="2018">
        <v>4.6948691659022587E-2</v>
      </c>
      <c r="BD5" s="2019">
        <v>32.58729267408529</v>
      </c>
      <c r="BE5" s="2018">
        <v>0.19260690837914518</v>
      </c>
      <c r="BF5" s="2030" t="s">
        <v>1208</v>
      </c>
      <c r="BG5" s="331">
        <v>-4.0049999999999999E-3</v>
      </c>
      <c r="BY5" s="331">
        <v>1</v>
      </c>
    </row>
    <row r="6" spans="1:81" s="331" customFormat="1" ht="15.5">
      <c r="A6" s="2011" t="s">
        <v>504</v>
      </c>
      <c r="D6" s="2785">
        <v>326.77</v>
      </c>
      <c r="E6" s="2786">
        <v>-1.0629999999999999</v>
      </c>
      <c r="F6" s="1400"/>
      <c r="K6" s="2013" t="s">
        <v>1217</v>
      </c>
      <c r="L6" s="1824">
        <v>41376</v>
      </c>
      <c r="M6" s="1400"/>
      <c r="N6" s="1400"/>
      <c r="O6" s="2013" t="s">
        <v>1444</v>
      </c>
      <c r="P6" s="1824">
        <v>0</v>
      </c>
      <c r="T6" s="1996" t="s">
        <v>1223</v>
      </c>
      <c r="U6" s="331">
        <v>1</v>
      </c>
      <c r="W6" s="1996" t="s">
        <v>514</v>
      </c>
      <c r="X6" s="331">
        <v>9.0559999999999992</v>
      </c>
      <c r="Y6" s="331">
        <v>-1.4952000000000001</v>
      </c>
      <c r="AA6" s="331">
        <v>0.78900000000000003</v>
      </c>
      <c r="AB6" s="331">
        <v>12.5</v>
      </c>
      <c r="AD6" s="1997" t="s">
        <v>1197</v>
      </c>
      <c r="AE6" s="2010">
        <v>1.5129999999999999E-2</v>
      </c>
      <c r="AF6" s="2010"/>
      <c r="AI6" s="1999" t="s">
        <v>1228</v>
      </c>
      <c r="AJ6" s="1825">
        <f>+'Recalculos ST'!AJ6</f>
        <v>150</v>
      </c>
      <c r="AK6" s="1823">
        <v>1</v>
      </c>
      <c r="AL6" s="1823"/>
      <c r="AS6" s="1825" t="s">
        <v>1208</v>
      </c>
      <c r="AT6" s="1998">
        <v>-7.3000000000000001E-3</v>
      </c>
      <c r="AU6" s="1825"/>
      <c r="AV6" s="1825"/>
      <c r="AZ6" s="331">
        <v>5</v>
      </c>
      <c r="BA6" s="2018">
        <v>0.91632526287433624</v>
      </c>
      <c r="BB6" s="2018">
        <v>0.81666281627848558</v>
      </c>
      <c r="BC6" s="2018">
        <v>6.8368199082486009E-2</v>
      </c>
      <c r="BD6" s="2019">
        <v>30.84721375919608</v>
      </c>
      <c r="BE6" s="2018">
        <v>0.1728518167691655</v>
      </c>
      <c r="BF6" s="2030" t="s">
        <v>960</v>
      </c>
      <c r="BG6" s="331">
        <v>0</v>
      </c>
      <c r="BH6" s="2030" t="s">
        <v>47</v>
      </c>
      <c r="BI6" s="331">
        <v>1</v>
      </c>
      <c r="BY6" s="331">
        <v>1</v>
      </c>
    </row>
    <row r="7" spans="1:81" s="331" customFormat="1" ht="15.5">
      <c r="O7" s="2013" t="s">
        <v>201</v>
      </c>
      <c r="P7" s="3221">
        <v>0.5</v>
      </c>
      <c r="Q7" s="556">
        <v>1.069</v>
      </c>
      <c r="AL7" s="1822">
        <v>137</v>
      </c>
      <c r="AM7" s="1822">
        <v>150</v>
      </c>
      <c r="AN7" s="1822">
        <v>180</v>
      </c>
      <c r="AO7" s="1822">
        <v>210</v>
      </c>
      <c r="AP7" s="1822">
        <v>240</v>
      </c>
      <c r="AQ7" s="1822">
        <v>250</v>
      </c>
      <c r="AR7" s="1822">
        <v>300</v>
      </c>
      <c r="BA7" s="331">
        <v>6</v>
      </c>
      <c r="BB7" s="2018">
        <v>0.90593476069959689</v>
      </c>
      <c r="BC7" s="2018">
        <v>0.82031409620558038</v>
      </c>
      <c r="BD7" s="2018">
        <v>6.4611937796271973E-2</v>
      </c>
      <c r="BE7" s="2019">
        <v>31.447425537681877</v>
      </c>
      <c r="BF7" s="2018">
        <v>0.17609545918772895</v>
      </c>
      <c r="BG7" s="2021"/>
    </row>
    <row r="8" spans="1:81" s="331" customFormat="1" ht="14.5">
      <c r="A8" s="1830" t="s">
        <v>496</v>
      </c>
      <c r="B8" s="1830" t="s">
        <v>521</v>
      </c>
      <c r="C8" s="1830" t="s">
        <v>461</v>
      </c>
      <c r="D8" s="1830" t="s">
        <v>499</v>
      </c>
      <c r="E8" s="1830" t="s">
        <v>88</v>
      </c>
      <c r="F8" s="1830" t="s">
        <v>522</v>
      </c>
      <c r="G8" s="1830" t="s">
        <v>523</v>
      </c>
      <c r="H8" s="1830" t="s">
        <v>524</v>
      </c>
      <c r="I8" s="1830" t="s">
        <v>525</v>
      </c>
      <c r="J8" s="1830" t="s">
        <v>526</v>
      </c>
      <c r="K8" s="1830" t="s">
        <v>527</v>
      </c>
      <c r="L8" s="1830" t="s">
        <v>528</v>
      </c>
      <c r="M8" s="1830" t="s">
        <v>529</v>
      </c>
      <c r="N8" s="1830" t="s">
        <v>1153</v>
      </c>
      <c r="O8" s="1830" t="s">
        <v>1443</v>
      </c>
      <c r="P8" s="1830" t="s">
        <v>1218</v>
      </c>
      <c r="Q8" s="1830" t="s">
        <v>1361</v>
      </c>
      <c r="R8" s="1830" t="s">
        <v>1252</v>
      </c>
      <c r="S8" s="1830" t="s">
        <v>1251</v>
      </c>
      <c r="T8" s="1830" t="s">
        <v>1250</v>
      </c>
      <c r="U8" s="1830" t="s">
        <v>1249</v>
      </c>
      <c r="V8" s="1830" t="s">
        <v>1248</v>
      </c>
      <c r="W8" s="1830" t="s">
        <v>1193</v>
      </c>
      <c r="X8" s="1830" t="s">
        <v>1233</v>
      </c>
      <c r="Y8" s="1830" t="s">
        <v>1255</v>
      </c>
      <c r="Z8" s="1830" t="s">
        <v>1254</v>
      </c>
      <c r="AA8" s="1830" t="s">
        <v>1253</v>
      </c>
      <c r="AB8" s="1830" t="s">
        <v>530</v>
      </c>
      <c r="AC8" s="1822" t="s">
        <v>531</v>
      </c>
      <c r="AD8" s="1822" t="s">
        <v>532</v>
      </c>
      <c r="AE8" s="1822" t="s">
        <v>1194</v>
      </c>
      <c r="AF8" s="1822" t="s">
        <v>1229</v>
      </c>
      <c r="AG8" s="1822" t="s">
        <v>1230</v>
      </c>
      <c r="AH8" s="1822" t="s">
        <v>1231</v>
      </c>
      <c r="AI8" s="1822" t="s">
        <v>1232</v>
      </c>
      <c r="AJ8" s="1822" t="s">
        <v>1234</v>
      </c>
      <c r="AK8" s="1822" t="s">
        <v>290</v>
      </c>
      <c r="AL8" s="1822" t="s">
        <v>1155</v>
      </c>
      <c r="AM8" s="1822" t="s">
        <v>1156</v>
      </c>
      <c r="AN8" s="1822" t="s">
        <v>1157</v>
      </c>
      <c r="AO8" s="1822" t="s">
        <v>1158</v>
      </c>
      <c r="AP8" s="1822" t="s">
        <v>1159</v>
      </c>
      <c r="AQ8" s="1822" t="s">
        <v>1160</v>
      </c>
      <c r="AR8" s="1822" t="s">
        <v>1161</v>
      </c>
      <c r="AS8" s="1822" t="s">
        <v>533</v>
      </c>
      <c r="AT8" s="1822" t="s">
        <v>534</v>
      </c>
      <c r="AU8" s="1822" t="s">
        <v>1163</v>
      </c>
      <c r="AV8" s="1822" t="s">
        <v>1235</v>
      </c>
      <c r="AW8" s="1822" t="s">
        <v>1195</v>
      </c>
      <c r="AX8" s="1822" t="s">
        <v>1196</v>
      </c>
      <c r="AY8" s="1822" t="s">
        <v>1198</v>
      </c>
      <c r="AZ8" s="1822" t="s">
        <v>1199</v>
      </c>
      <c r="BA8" s="1822" t="str">
        <f>+'MCP ST'!N1</f>
        <v>cpy_min</v>
      </c>
      <c r="BB8" s="1822" t="str">
        <f>+'MCP ST'!O1</f>
        <v>py_min</v>
      </c>
      <c r="BC8" s="1822" t="str">
        <f>+'MCP ST'!P1</f>
        <v>bo_min</v>
      </c>
      <c r="BD8" s="1822" t="str">
        <f>+'MCP ST'!Q1</f>
        <v>Cccv</v>
      </c>
      <c r="BE8" s="2000" t="s">
        <v>1212</v>
      </c>
      <c r="BF8" s="2087" t="s">
        <v>1310</v>
      </c>
      <c r="BG8" s="1777" t="s">
        <v>1673</v>
      </c>
      <c r="BI8" s="2000" t="s">
        <v>1236</v>
      </c>
      <c r="BJ8" s="2000" t="s">
        <v>1237</v>
      </c>
      <c r="BK8" s="1777" t="s">
        <v>1244</v>
      </c>
      <c r="BM8" s="1777" t="s">
        <v>1238</v>
      </c>
      <c r="BN8" s="1777" t="s">
        <v>1239</v>
      </c>
      <c r="BO8" s="1777" t="s">
        <v>1244</v>
      </c>
      <c r="BQ8" s="1777" t="s">
        <v>1240</v>
      </c>
      <c r="BR8" s="1777" t="s">
        <v>1241</v>
      </c>
      <c r="BS8" s="1777" t="s">
        <v>1244</v>
      </c>
      <c r="BU8" s="1777" t="s">
        <v>1242</v>
      </c>
      <c r="BV8" s="1777" t="s">
        <v>1243</v>
      </c>
      <c r="BW8" s="1777" t="s">
        <v>1244</v>
      </c>
      <c r="BY8" s="1777" t="s">
        <v>1394</v>
      </c>
      <c r="BZ8" s="1777" t="s">
        <v>1395</v>
      </c>
      <c r="CA8" s="1777" t="s">
        <v>1396</v>
      </c>
      <c r="CB8" s="1777" t="s">
        <v>1397</v>
      </c>
      <c r="CC8" s="1777" t="s">
        <v>1398</v>
      </c>
    </row>
    <row r="9" spans="1:81" s="3955" customFormat="1">
      <c r="A9" s="3944">
        <v>46082</v>
      </c>
      <c r="B9" s="3945">
        <f>+'MCP PS'!C2</f>
        <v>175999.99999961516</v>
      </c>
      <c r="C9" s="3946">
        <f>+'MCP PS'!M2</f>
        <v>12.711316855639501</v>
      </c>
      <c r="D9" s="3947">
        <f t="shared" ref="D9:D39" si="0">+$L$2</f>
        <v>7.75</v>
      </c>
      <c r="E9" s="3948">
        <f>+'MCP PS'!U2</f>
        <v>37.466534886953944</v>
      </c>
      <c r="F9" s="3949">
        <f>IFERROR($D$6*((E9)^($E$6)),0)</f>
        <v>6.9415923655597851</v>
      </c>
      <c r="G9" s="3948">
        <f>+'MCP PS'!W2</f>
        <v>85.109268500446959</v>
      </c>
      <c r="H9" s="3950">
        <f>+'MCP PS'!X2</f>
        <v>41179.264213016169</v>
      </c>
      <c r="I9" s="3950">
        <f>+'MCP PS'!Y2</f>
        <v>0</v>
      </c>
      <c r="J9" s="3950">
        <f>+SUM('MCP PS'!Z2:AA2)</f>
        <v>134666.33757135115</v>
      </c>
      <c r="K9" s="3950">
        <f>+'MCP PS'!AC2</f>
        <v>0</v>
      </c>
      <c r="L9" s="3950">
        <f>+'MCP PS'!AB2</f>
        <v>126.81139716554399</v>
      </c>
      <c r="M9" s="3950">
        <f>+'MCP PS'!AD2</f>
        <v>27.70108933321789</v>
      </c>
      <c r="N9" s="3950">
        <v>19.209194373161402</v>
      </c>
      <c r="O9" s="3950">
        <v>23.483450134415861</v>
      </c>
      <c r="P9" s="3951">
        <f>((($L$4*D9)^$L$5+SUMPRODUCT($D$3:$I$3,H9:M9)/SUM(H9:M9)*G9+SUMPRODUCT($D$5:$I$5,H9:M9)/SUM(H9:M9)*F9)*$Q$7)</f>
        <v>106.98764169530153</v>
      </c>
      <c r="Q9" s="3951">
        <f>+P9/25.4</f>
        <v>4.2121118777677768</v>
      </c>
      <c r="R9" s="3946">
        <f>($X$2+$Y$2*(F9^$AA$2)+$AB$2)*H9/SUM(H9:M9)+($X$3+$Y$3*(F9^$AA$3)+$AB$3)*I9/SUM(H9:M9)+($X$4+$Y$4*(F9^$AA$4)+$AB$4)*J9/SUM(H9:M9)+($X$5+$Y$5*(F9^$AA$5)+$AB$5)*K9/SUM(H9:M9)+($X$6+$Y$6*(F9^$AA$6)+$AB$6)*L9/SUM(H9:M9)+($X$6+$Y$6*(F9^$AA$6)+$AB$6)*M9/SUM(H9:M9)</f>
        <v>14.812797591626254</v>
      </c>
      <c r="S9" s="3946">
        <f>+$P$2*R9+$Q$2</f>
        <v>19.442126737939287</v>
      </c>
      <c r="T9" s="3946">
        <f>$P$3*(F9^$Q$3)*(P9^$R$3)*(1/(S9^$P$5))</f>
        <v>6.0327578882933208</v>
      </c>
      <c r="U9" s="3945">
        <f t="shared" ref="U9:U39" si="1">+$L$6</f>
        <v>41376</v>
      </c>
      <c r="V9" s="3945">
        <f>IF((U9/T9)*$P$4+$Q$4&gt;$Q$5,$Q$5,(U9/T9)*$P$4+$Q$4)</f>
        <v>6858.5547051856502</v>
      </c>
      <c r="W9" s="3945">
        <f>+'Proy. Mes'!AO9</f>
        <v>6552.6119913921348</v>
      </c>
      <c r="X9" s="3945">
        <f>IF(((((1/(Y9/V9/(10*$AJ$2*C9)+(1/SQRT($AJ$3))))^2))*$AO$2)+$AO$3&gt;$AJ$5,$AJ$5,IF(((((1/(Y9/V9/(10*$AJ$2*C9)+(1/SQRT($AJ$3))))^2))*$AO$2)+$AO$3&lt;$AJ$6,$AJ$6,((((1/(Y9/V9/(10*$AJ$2*C9)+(1/SQRT($AJ$3))))^2))*$AO$2)+$AO$3))</f>
        <v>188.20381162249555</v>
      </c>
      <c r="Y9" s="3945">
        <v>55000</v>
      </c>
      <c r="Z9" s="3952">
        <f>10*C9*$AJ$2*((1/(SQRT(X9)))-(1/(SQRT($AJ$3))))</f>
        <v>6.8740746258846572</v>
      </c>
      <c r="AA9" s="3945">
        <f>$AJ$4/Z9</f>
        <v>7273.7063126609955</v>
      </c>
      <c r="AB9" s="3947" t="str">
        <f>IF(AA9&lt;V9,"BOLAS","SAG")</f>
        <v>SAG</v>
      </c>
      <c r="AC9" s="3946">
        <f>+T9*1.4</f>
        <v>8.4458610436106483</v>
      </c>
      <c r="AD9" s="3945">
        <f>+$U$2/AC9</f>
        <v>1765.2433449966313</v>
      </c>
      <c r="AE9" s="3945">
        <f>+'Proy. Mes'!AP9</f>
        <v>1765.2433449966313</v>
      </c>
      <c r="AF9" s="3945">
        <f>IF(((1/($U$4/AE9/(10*$AJ$2*C9)+(1/SQRT($AJ$3))))^2)&gt;$AJ$5,$AJ$5,IF(((1/($U$4/AE9/(10*$AJ$2*C9)+(1/SQRT($AJ$3))))^2)&lt;$AJ$6,$AJ$6,((1/($U$4/AE9/(10*$AJ$2*C9)+(1/SQRT($AJ$3))))^2)))</f>
        <v>201.06173265514329</v>
      </c>
      <c r="AG9" s="3952">
        <f>10*C9*$AK$6*((1/(SQRT(AF9)))-(1/(SQRT($U$5))))</f>
        <v>6.6437367736876984</v>
      </c>
      <c r="AH9" s="3945">
        <f>$U$4/AG9</f>
        <v>1752.0260655268339</v>
      </c>
      <c r="AI9" s="3947" t="str">
        <f>IF(AH9&gt;AE9,"SAG","BOLAS")</f>
        <v>BOLAS</v>
      </c>
      <c r="AJ9" s="3950">
        <f>+IFERROR((AF9*AE9+X9*W9)/(W9+AE9),"0")</f>
        <v>190.93256303923127</v>
      </c>
      <c r="AK9" s="3950">
        <f>+IFERROR((1/((($Y9/(AE9+W9)/(10*$AJ$2*C9)+(1/SQRT($AJ$3))))^2)*$AP$2+$AP$3),"0")</f>
        <v>201.1824488463391</v>
      </c>
      <c r="AL9" s="3951">
        <f>+'MCP PS'!AE2</f>
        <v>94.679355334130648</v>
      </c>
      <c r="AM9" s="3951">
        <f>+'MCP PS'!AF2</f>
        <v>93.288935416924659</v>
      </c>
      <c r="AN9" s="3951">
        <f>+'MCP PS'!AG2</f>
        <v>91.296319874730116</v>
      </c>
      <c r="AO9" s="3951">
        <f>+'MCP PS'!AH2</f>
        <v>89.311023561307053</v>
      </c>
      <c r="AP9" s="3951">
        <f>+'MCP PS'!AI2</f>
        <v>86.308238972646024</v>
      </c>
      <c r="AQ9" s="3951">
        <f>+'MCP PS'!AJ2</f>
        <v>85.279820399543468</v>
      </c>
      <c r="AR9" s="3951">
        <f>+'MCP PS'!AK2</f>
        <v>79.003285769606734</v>
      </c>
      <c r="AS9" s="3951">
        <f>+INTERCEPT(AL9:AR9,$AL$7:$AR$7)</f>
        <v>107.6547807636131</v>
      </c>
      <c r="AT9" s="3951">
        <f>+SLOPE(AL9:AR9,$AL$7:$AR$7)</f>
        <v>-9.1626779833948929E-2</v>
      </c>
      <c r="AU9" s="3951">
        <f t="shared" ref="AU9:AU36" si="2">+AJ9*AT9+AS9</f>
        <v>90.160244846885888</v>
      </c>
      <c r="AV9" s="3951">
        <f>+AU9*$AF$4+$AE$4</f>
        <v>90.835753499517949</v>
      </c>
      <c r="AW9" s="3951">
        <f>+'MCP PS'!E2</f>
        <v>0.5402396005121517</v>
      </c>
      <c r="AX9" s="3951">
        <f>+'MCP PS'!AM2</f>
        <v>6.5220998221237241E-3</v>
      </c>
      <c r="AY9" s="3951">
        <f>+IF(AX9&gt;$AE$6,(AW9-(AX9-$AE$6))/AW9,1)</f>
        <v>1</v>
      </c>
      <c r="AZ9" s="3951">
        <f>+AY9*AV9</f>
        <v>90.835753499517949</v>
      </c>
      <c r="BA9" s="3951">
        <f>+'MCP PS'!O2</f>
        <v>0.80080381425642033</v>
      </c>
      <c r="BB9" s="3951">
        <f>+'MCP PS'!P2</f>
        <v>0.73007537158182756</v>
      </c>
      <c r="BC9" s="3953">
        <f>+'MCP PS'!Q2</f>
        <v>0.25841943697262099</v>
      </c>
      <c r="BD9" s="3951">
        <f>+'MCP PS'!R2</f>
        <v>4.0311656046179346E-2</v>
      </c>
      <c r="BE9" s="3951">
        <f t="shared" ref="BE9:BE39" si="3">+($AV$2+($AV$3/($AT$2+$AT$3*($BA9/$AW9)+$AT$4*($BB9/$AW9)+$AT$5*($BC9/$AW9)+$AT$6*(($BD9)/$AW9))))*$AV$4+$AV$5</f>
        <v>22.919677245299976</v>
      </c>
      <c r="BF9" s="3951">
        <f>(-5.9445+1.1996/(0.027558+0.003094*(BA9/AW9)+0.003571*(BB9/AW9)-0.001979*(BC9/AW9)-0.005204*(BD9/AW9)))</f>
        <v>27.718898441686569</v>
      </c>
      <c r="BG9" s="3951">
        <f t="shared" ref="BG9:BG42" si="4">+$BG$6+$BI$6/($BG$1+$BG$2*(BA9/AW9)+$BG$3*(BB9/AW9)+$BG$4*(BC9/AW9)+$BG$5*(BD9/AW9))</f>
        <v>28.169870170268695</v>
      </c>
      <c r="BH9" s="3947"/>
      <c r="BI9" s="3951">
        <f t="shared" ref="BI9:BI36" si="5">+Q9</f>
        <v>4.2121118777677768</v>
      </c>
      <c r="BJ9" s="3951">
        <f>+'MCP PS'!AL2/25.4</f>
        <v>3.8677922517178063</v>
      </c>
      <c r="BK9" s="3951">
        <f>+BJ9-BI9</f>
        <v>-0.34431962604997057</v>
      </c>
      <c r="BL9" s="3947"/>
      <c r="BM9" s="3950">
        <f t="shared" ref="BM9:BM36" si="6">+AJ9</f>
        <v>190.93256303923127</v>
      </c>
      <c r="BN9" s="3950">
        <f>+'MCP PS'!T2</f>
        <v>196.73171176396815</v>
      </c>
      <c r="BO9" s="3951">
        <f>+BN9-BM9</f>
        <v>5.7991487247368809</v>
      </c>
      <c r="BP9" s="3947"/>
      <c r="BQ9" s="3951">
        <f>+AZ9</f>
        <v>90.835753499517949</v>
      </c>
      <c r="BR9" s="3951">
        <f t="shared" ref="BR9:BR13" si="7">+AZ9</f>
        <v>90.835753499517949</v>
      </c>
      <c r="BS9" s="3951">
        <f>+BR9-BQ9</f>
        <v>0</v>
      </c>
      <c r="BT9" s="3947"/>
      <c r="BU9" s="3951">
        <f>+BE9</f>
        <v>22.919677245299976</v>
      </c>
      <c r="BV9" s="3951">
        <f>+BF9</f>
        <v>27.718898441686569</v>
      </c>
      <c r="BW9" s="3951">
        <f>+BV9-BU9</f>
        <v>4.7992211963865934</v>
      </c>
      <c r="BX9" s="3954"/>
      <c r="BY9" s="3955">
        <f>+'MCP PS'!AL2</f>
        <v>98.241923193632275</v>
      </c>
      <c r="BZ9" s="2504">
        <f>+BY9*$BY$6</f>
        <v>98.241923193632275</v>
      </c>
      <c r="CA9" s="3954">
        <f>+(BY9-BZ9)*45</f>
        <v>0</v>
      </c>
      <c r="CB9" s="2504">
        <f>+'MCP PS'!AS2</f>
        <v>8896.2144794226879</v>
      </c>
      <c r="CC9" s="3954">
        <f>+CB9+CA9</f>
        <v>8896.2144794226879</v>
      </c>
    </row>
    <row r="10" spans="1:81" s="3955" customFormat="1">
      <c r="A10" s="3944">
        <f>+A9+1</f>
        <v>46083</v>
      </c>
      <c r="B10" s="3945">
        <f>+'MCP PS'!C3</f>
        <v>177448.69792783732</v>
      </c>
      <c r="C10" s="3946">
        <f>+'MCP PS'!M3</f>
        <v>12.504321296146307</v>
      </c>
      <c r="D10" s="3947">
        <f t="shared" si="0"/>
        <v>7.75</v>
      </c>
      <c r="E10" s="3948">
        <f>+'MCP PS'!U3</f>
        <v>36.853444067872815</v>
      </c>
      <c r="F10" s="3956">
        <f t="shared" ref="F10:F39" si="8">IFERROR($D$6*((E10)^($E$6)),0)</f>
        <v>7.0644113368900046</v>
      </c>
      <c r="G10" s="3948">
        <f>+'MCP PS'!W3</f>
        <v>93.700300122899733</v>
      </c>
      <c r="H10" s="3950">
        <f>+'MCP PS'!X3</f>
        <v>11682.398394260301</v>
      </c>
      <c r="I10" s="3950">
        <f>+'MCP PS'!Y3</f>
        <v>29.280967488884901</v>
      </c>
      <c r="J10" s="3950">
        <f>+SUM('MCP PS'!Z3:AA3)</f>
        <v>162884.17418370032</v>
      </c>
      <c r="K10" s="3950">
        <f>+'MCP PS'!AC3</f>
        <v>8.9418913983399406</v>
      </c>
      <c r="L10" s="3950">
        <f>+'MCP PS'!AB3</f>
        <v>0.84095990559024902</v>
      </c>
      <c r="M10" s="3950">
        <f>+'MCP PS'!AD3</f>
        <v>2842.9151005645376</v>
      </c>
      <c r="N10" s="3950">
        <v>17.121915803678686</v>
      </c>
      <c r="O10" s="3950">
        <v>42.124321499369564</v>
      </c>
      <c r="P10" s="3951">
        <f t="shared" ref="P10:P13" si="9">((($L$4*D10)^$L$5+SUMPRODUCT($D$3:$I$3,H10:M10)/SUM(H10:M10)*G10+SUMPRODUCT($D$5:$I$5,H10:M10)/SUM(H10:M10)*F10)*$Q$7)</f>
        <v>108.83095719041582</v>
      </c>
      <c r="Q10" s="3951">
        <f t="shared" ref="Q10:Q36" si="10">+P10/25.4</f>
        <v>4.2846833539533788</v>
      </c>
      <c r="R10" s="3946">
        <f t="shared" ref="R10:R39" si="11">($X$2+$Y$2*(F10^$AA$2)+$AB$2)*H10/SUM(H10:M10)+($X$3+$Y$3*(F10^$AA$3)+$AB$3)*I10/SUM(H10:M10)+($X$4+$Y$4*(F10^$AA$4)+$AB$4)*J10/SUM(H10:M10)+($X$5+$Y$5*(F10^$AA$5)+$AB$5)*K10/SUM(H10:M10)+($X$6+$Y$6*(F10^$AA$6)+$AB$6)*L10/SUM(H10:M10)+($X$6+$Y$6*(F10^$AA$6)+$AB$6)*M10/SUM(H10:M10)</f>
        <v>15.276954675387985</v>
      </c>
      <c r="S10" s="3946">
        <f t="shared" ref="S10:S39" si="12">+$P$2*R10+$Q$2</f>
        <v>19.747031526262369</v>
      </c>
      <c r="T10" s="3946">
        <f t="shared" ref="T10:T39" si="13">$P$3*(F10^$Q$3)*(P10^$R$3)*(1/(S10^$P$5))</f>
        <v>6.1527075471413877</v>
      </c>
      <c r="U10" s="3945">
        <f t="shared" si="1"/>
        <v>41376</v>
      </c>
      <c r="V10" s="3945">
        <f t="shared" ref="V10:V39" si="14">IF((U10/T10)*$P$4+$Q$4&gt;$Q$5,$Q$5,(U10/T10)*$P$4+$Q$4)</f>
        <v>6724.8442548230205</v>
      </c>
      <c r="W10" s="3945">
        <f>+'Proy. Mes'!AO10</f>
        <v>6474.8505592634583</v>
      </c>
      <c r="X10" s="3945">
        <f t="shared" ref="X10:X27" si="15">IF(((((1/(Y10/V10/(10*$AJ$2*C10)+(1/SQRT($AJ$3))))^2))*$AO$2)+$AO$3&gt;$AJ$5,$AJ$5,IF(((((1/(Y10/V10/(10*$AJ$2*C10)+(1/SQRT($AJ$3))))^2))*$AO$2)+$AO$3&lt;$AJ$6,$AJ$6,((((1/(Y10/V10/(10*$AJ$2*C10)+(1/SQRT($AJ$3))))^2))*$AO$2)+$AO$3))</f>
        <v>185.11005581355414</v>
      </c>
      <c r="Y10" s="3945">
        <v>55001</v>
      </c>
      <c r="Z10" s="3952">
        <f t="shared" ref="Z10:Z39" si="16">10*C10*$AJ$2*((1/(SQRT(X10)))-(1/(SQRT($AJ$3))))</f>
        <v>6.8326773901397653</v>
      </c>
      <c r="AA10" s="3945">
        <f t="shared" ref="AA10:AA39" si="17">$AJ$4/Z10</f>
        <v>7317.7756163572112</v>
      </c>
      <c r="AB10" s="3947" t="str">
        <f t="shared" ref="AB10:AB39" si="18">IF(AA10&lt;V10,"BOLAS","SAG")</f>
        <v>SAG</v>
      </c>
      <c r="AC10" s="3946">
        <f t="shared" ref="AC10:AC39" si="19">+T10*1.4</f>
        <v>8.6137905659979417</v>
      </c>
      <c r="AD10" s="3945">
        <f t="shared" ref="AD10:AD39" si="20">+$U$2/AC10</f>
        <v>1730.8291727978335</v>
      </c>
      <c r="AE10" s="3945">
        <f>+'Proy. Mes'!AP10</f>
        <v>1730.8291727978333</v>
      </c>
      <c r="AF10" s="3945">
        <f t="shared" ref="AF10:AF39" si="21">IF(((1/($U$4/AE10/(10*$AJ$2*C10)+(1/SQRT($AJ$3))))^2)&gt;$AJ$5,$AJ$5,IF(((1/($U$4/AE10/(10*$AJ$2*C10)+(1/SQRT($AJ$3))))^2)&lt;$AJ$6,$AJ$6,((1/($U$4/AE10/(10*$AJ$2*C10)+(1/SQRT($AJ$3))))^2)))</f>
        <v>189.85915343520139</v>
      </c>
      <c r="AG10" s="3952">
        <f t="shared" ref="AG10:AG39" si="22">10*C10*$AK$6*((1/(SQRT(AF10)))-(1/(SQRT($U$5))))</f>
        <v>6.7919860883294669</v>
      </c>
      <c r="AH10" s="3945">
        <f t="shared" ref="AH10:AH39" si="23">$U$4/AG10</f>
        <v>1713.7844289759041</v>
      </c>
      <c r="AI10" s="3947" t="str">
        <f t="shared" ref="AI10:AI39" si="24">IF(AH10&gt;AE10,"SAG","BOLAS")</f>
        <v>BOLAS</v>
      </c>
      <c r="AJ10" s="3950">
        <f t="shared" ref="AJ10:AJ39" si="25">+IFERROR((AF10*AE10+X10*W10)/(W10+AE10),"0")</f>
        <v>186.11178595370271</v>
      </c>
      <c r="AK10" s="3950">
        <f t="shared" ref="AK10:AK39" si="26">+IFERROR((1/((($Y10/(AE10+W10)/(10*$AJ$2*C10)+(1/SQRT($AJ$3))))^2)*$AP$2+$AP$3),"0")</f>
        <v>191.86664871803802</v>
      </c>
      <c r="AL10" s="3951">
        <f>+'MCP PS'!AE3</f>
        <v>94.236510508025972</v>
      </c>
      <c r="AM10" s="3951">
        <f>+'MCP PS'!AF3</f>
        <v>92.923316061587997</v>
      </c>
      <c r="AN10" s="3951">
        <f>+'MCP PS'!AG3</f>
        <v>90.99956016118324</v>
      </c>
      <c r="AO10" s="3951">
        <f>+'MCP PS'!AH3</f>
        <v>89.416526228289442</v>
      </c>
      <c r="AP10" s="3951">
        <f>+'MCP PS'!AI3</f>
        <v>86.380709585156438</v>
      </c>
      <c r="AQ10" s="3951">
        <f>+'MCP PS'!AJ3</f>
        <v>85.377977092191941</v>
      </c>
      <c r="AR10" s="3951">
        <f>+'MCP PS'!AK3</f>
        <v>79.265316501099704</v>
      </c>
      <c r="AS10" s="3951">
        <f t="shared" ref="AS10:AS36" si="27">+INTERCEPT(AL10:AR10,$AL$7:$AR$7)</f>
        <v>106.62369292840229</v>
      </c>
      <c r="AT10" s="3951">
        <f t="shared" ref="AT10:AT36" si="28">+SLOPE(AL10:AR10,$AL$7:$AR$7)</f>
        <v>-8.7093343122891131E-2</v>
      </c>
      <c r="AU10" s="3951">
        <f t="shared" si="2"/>
        <v>90.414595295122396</v>
      </c>
      <c r="AV10" s="3951">
        <f t="shared" ref="AV10:AV34" si="29">+AU10*$AF$4+$AE$4</f>
        <v>90.970279451590244</v>
      </c>
      <c r="AW10" s="3951">
        <f>+'MCP PS'!E3</f>
        <v>0.50525922546271274</v>
      </c>
      <c r="AX10" s="3951">
        <f>+'MCP PS'!AM3</f>
        <v>6.5754535838557868E-3</v>
      </c>
      <c r="AY10" s="3951">
        <f t="shared" ref="AY10:AY36" si="30">+IF(AX10&gt;$AE$6,(AW10-(AX10-$AE$6))/AW10,1)</f>
        <v>1</v>
      </c>
      <c r="AZ10" s="3951">
        <f t="shared" ref="AZ10:AZ34" si="31">+AY10*AV10</f>
        <v>90.970279451590244</v>
      </c>
      <c r="BA10" s="3951">
        <f>+'MCP PS'!O3</f>
        <v>0.92132574981317727</v>
      </c>
      <c r="BB10" s="3951">
        <f>+'MCP PS'!P3</f>
        <v>0.19449884744364027</v>
      </c>
      <c r="BC10" s="3953">
        <f>+'MCP PS'!Q3</f>
        <v>0.25804666727207926</v>
      </c>
      <c r="BD10" s="3951">
        <f>+'MCP PS'!R3</f>
        <v>2.7109911642035613E-2</v>
      </c>
      <c r="BE10" s="3951">
        <f t="shared" si="3"/>
        <v>30.311119606301819</v>
      </c>
      <c r="BF10" s="3951">
        <f>(-5.9445+1.1996/(0.027558+0.003094*(BA10/AW10)+0.003571*(BB10/AW10)-0.001979*(BC10/AW10)-0.005204*(BD10/AW10)))</f>
        <v>30.096265557843481</v>
      </c>
      <c r="BG10" s="3951">
        <f t="shared" si="4"/>
        <v>30.064988607836668</v>
      </c>
      <c r="BH10" s="3947"/>
      <c r="BI10" s="3951">
        <f t="shared" si="5"/>
        <v>4.2846833539533788</v>
      </c>
      <c r="BJ10" s="3951">
        <f>+'MCP PS'!AL3/25.4</f>
        <v>3.4933072123014783</v>
      </c>
      <c r="BK10" s="3951">
        <f t="shared" ref="BK10:BK36" si="32">+BJ10-BI10</f>
        <v>-0.79137614165190051</v>
      </c>
      <c r="BL10" s="3947"/>
      <c r="BM10" s="3950">
        <f t="shared" si="6"/>
        <v>186.11178595370271</v>
      </c>
      <c r="BN10" s="3950">
        <f>+'MCP PS'!T3</f>
        <v>185.71201589778255</v>
      </c>
      <c r="BO10" s="3951">
        <f t="shared" ref="BO10:BO36" si="33">+BN10-BM10</f>
        <v>-0.39977005592015757</v>
      </c>
      <c r="BP10" s="3947"/>
      <c r="BQ10" s="3951">
        <f t="shared" ref="BQ10:BQ36" si="34">+AZ10</f>
        <v>90.970279451590244</v>
      </c>
      <c r="BR10" s="3951">
        <f t="shared" si="7"/>
        <v>90.970279451590244</v>
      </c>
      <c r="BS10" s="3951">
        <f t="shared" ref="BS10:BS36" si="35">+BR10-BQ10</f>
        <v>0</v>
      </c>
      <c r="BT10" s="3947"/>
      <c r="BU10" s="3951">
        <f t="shared" ref="BU10:BU36" si="36">+BE10</f>
        <v>30.311119606301819</v>
      </c>
      <c r="BV10" s="3951">
        <f t="shared" ref="BV10:BV36" si="37">+BF10</f>
        <v>30.096265557843481</v>
      </c>
      <c r="BW10" s="3951">
        <f t="shared" ref="BW10:BW36" si="38">+BV10-BU10</f>
        <v>-0.21485404845833855</v>
      </c>
      <c r="BX10" s="3954"/>
      <c r="BY10" s="3955">
        <f>+'MCP PS'!AL3</f>
        <v>88.730003192457545</v>
      </c>
      <c r="BZ10" s="2504">
        <f t="shared" ref="BZ10:BZ24" si="39">+BY10*$BY$6</f>
        <v>88.730003192457545</v>
      </c>
      <c r="CA10" s="3954">
        <f t="shared" ref="CA10:CA36" si="40">+(BY10-BZ10)*45</f>
        <v>0</v>
      </c>
      <c r="CB10" s="2504">
        <f>+'MCP PS'!AS3</f>
        <v>8731.0184005475894</v>
      </c>
      <c r="CC10" s="3954">
        <f t="shared" ref="CC10:CC36" si="41">+CB10+CA10</f>
        <v>8731.0184005475894</v>
      </c>
    </row>
    <row r="11" spans="1:81" s="3955" customFormat="1">
      <c r="A11" s="3944">
        <f t="shared" ref="A11:A39" si="42">+A10+1</f>
        <v>46084</v>
      </c>
      <c r="B11" s="3945">
        <f>+'MCP PS'!C4</f>
        <v>160000.00000014508</v>
      </c>
      <c r="C11" s="3946">
        <f>+'MCP PS'!M4</f>
        <v>12.684240696422266</v>
      </c>
      <c r="D11" s="3947">
        <f t="shared" si="0"/>
        <v>7.75</v>
      </c>
      <c r="E11" s="3948">
        <f>+'MCP PS'!U4</f>
        <v>36.997724760760981</v>
      </c>
      <c r="F11" s="3956">
        <f t="shared" si="8"/>
        <v>7.0351301263150203</v>
      </c>
      <c r="G11" s="3948">
        <f>+'MCP PS'!W4</f>
        <v>84.564353375128817</v>
      </c>
      <c r="H11" s="3950">
        <f>+'MCP PS'!X4</f>
        <v>27818.322929982649</v>
      </c>
      <c r="I11" s="3950">
        <f>+'MCP PS'!Y4</f>
        <v>3.6738441451302899</v>
      </c>
      <c r="J11" s="3950">
        <f>+SUM('MCP PS'!Z4:AA4)</f>
        <v>123921.14963787282</v>
      </c>
      <c r="K11" s="3950">
        <f>+'MCP PS'!AC4</f>
        <v>1.12192725095755</v>
      </c>
      <c r="L11" s="3950">
        <f>+'MCP PS'!AB4</f>
        <v>6272.1562863479985</v>
      </c>
      <c r="M11" s="3950">
        <f>+'MCP PS'!AD4</f>
        <v>1984.1292313789156</v>
      </c>
      <c r="N11" s="3950">
        <v>0</v>
      </c>
      <c r="O11" s="3950">
        <v>47.53550181561792</v>
      </c>
      <c r="P11" s="3951">
        <f t="shared" si="9"/>
        <v>105.75073664175582</v>
      </c>
      <c r="Q11" s="3951">
        <f t="shared" si="10"/>
        <v>4.1634148284155836</v>
      </c>
      <c r="R11" s="3946">
        <f t="shared" si="11"/>
        <v>14.899644452325745</v>
      </c>
      <c r="S11" s="3946">
        <f t="shared" si="12"/>
        <v>19.499176440732782</v>
      </c>
      <c r="T11" s="3946">
        <f t="shared" si="13"/>
        <v>6.0281874596933189</v>
      </c>
      <c r="U11" s="3945">
        <f t="shared" si="1"/>
        <v>41376</v>
      </c>
      <c r="V11" s="3945">
        <f t="shared" si="14"/>
        <v>6863.7546985151293</v>
      </c>
      <c r="W11" s="3945">
        <f>+'Proy. Mes'!AO11</f>
        <v>6935.8334389298461</v>
      </c>
      <c r="X11" s="3945">
        <f t="shared" si="15"/>
        <v>188.0798787801713</v>
      </c>
      <c r="Y11" s="3945">
        <v>55002</v>
      </c>
      <c r="Z11" s="3952">
        <f t="shared" si="16"/>
        <v>6.8622648149290493</v>
      </c>
      <c r="AA11" s="3945">
        <f t="shared" si="17"/>
        <v>7286.2242056330442</v>
      </c>
      <c r="AB11" s="3947" t="str">
        <f t="shared" si="18"/>
        <v>SAG</v>
      </c>
      <c r="AC11" s="3946">
        <f t="shared" si="19"/>
        <v>8.4394624435706458</v>
      </c>
      <c r="AD11" s="3945">
        <f t="shared" si="20"/>
        <v>1766.5817105872636</v>
      </c>
      <c r="AE11" s="3945">
        <f>+'Proy. Mes'!AP11</f>
        <v>1766.5817105872638</v>
      </c>
      <c r="AF11" s="3945">
        <f t="shared" si="21"/>
        <v>200.62499238163375</v>
      </c>
      <c r="AG11" s="3952">
        <f t="shared" si="22"/>
        <v>6.6393163846990877</v>
      </c>
      <c r="AH11" s="3945">
        <f t="shared" si="23"/>
        <v>1753.1925465738379</v>
      </c>
      <c r="AI11" s="3947" t="str">
        <f t="shared" si="24"/>
        <v>BOLAS</v>
      </c>
      <c r="AJ11" s="3950">
        <f t="shared" si="25"/>
        <v>190.62652449458687</v>
      </c>
      <c r="AK11" s="3950">
        <f t="shared" si="26"/>
        <v>215.22438293821796</v>
      </c>
      <c r="AL11" s="3951">
        <f>+'MCP PS'!AE4</f>
        <v>93.079092787632831</v>
      </c>
      <c r="AM11" s="3951">
        <f>+'MCP PS'!AF4</f>
        <v>91.761899518934129</v>
      </c>
      <c r="AN11" s="3951">
        <f>+'MCP PS'!AG4</f>
        <v>89.889108285448955</v>
      </c>
      <c r="AO11" s="3951">
        <f>+'MCP PS'!AH4</f>
        <v>88.073217706908864</v>
      </c>
      <c r="AP11" s="3951">
        <f>+'MCP PS'!AI4</f>
        <v>84.800307865312362</v>
      </c>
      <c r="AQ11" s="3951">
        <f>+'MCP PS'!AJ4</f>
        <v>83.702533911924803</v>
      </c>
      <c r="AR11" s="3951">
        <f>+'MCP PS'!AK4</f>
        <v>79.049701585533882</v>
      </c>
      <c r="AS11" s="3951">
        <f t="shared" si="27"/>
        <v>104.93176316920506</v>
      </c>
      <c r="AT11" s="3951">
        <f t="shared" si="28"/>
        <v>-8.4639727691029093E-2</v>
      </c>
      <c r="AU11" s="3951">
        <f t="shared" si="2"/>
        <v>88.797186045295931</v>
      </c>
      <c r="AV11" s="3951">
        <f>+AU11*$AF$4+$AE$4</f>
        <v>90.114831699357012</v>
      </c>
      <c r="AW11" s="3951">
        <f>+'MCP PS'!E4</f>
        <v>0.47734976123853823</v>
      </c>
      <c r="AX11" s="3951">
        <f>+'MCP PS'!AM4</f>
        <v>5.8256461676289865E-3</v>
      </c>
      <c r="AY11" s="3951">
        <f t="shared" si="30"/>
        <v>1</v>
      </c>
      <c r="AZ11" s="3951">
        <f t="shared" si="31"/>
        <v>90.114831699357012</v>
      </c>
      <c r="BA11" s="3951">
        <f>+'MCP PS'!O4</f>
        <v>0.94998141245410339</v>
      </c>
      <c r="BB11" s="3951">
        <f>+'MCP PS'!P4</f>
        <v>0.6057963819712967</v>
      </c>
      <c r="BC11" s="3953">
        <f>+'MCP PS'!Q4</f>
        <v>0.17207565588005599</v>
      </c>
      <c r="BD11" s="3951">
        <f>+'MCP PS'!R4</f>
        <v>4.6618417617889471E-2</v>
      </c>
      <c r="BE11" s="3951">
        <f t="shared" si="3"/>
        <v>23.07719802580398</v>
      </c>
      <c r="BF11" s="3951">
        <f t="shared" ref="BF11:BF36" si="43">(-5.9445+1.1996/(0.027558+0.003094*(BA11/AW11)+0.003571*(BB11/AW11)-0.001979*(BC11/AW11)-0.005204*(BD11/AW11)))</f>
        <v>26.454622745656117</v>
      </c>
      <c r="BG11" s="3951">
        <f t="shared" si="4"/>
        <v>26.979659896669872</v>
      </c>
      <c r="BH11" s="3947"/>
      <c r="BI11" s="3951">
        <f t="shared" si="5"/>
        <v>4.1634148284155836</v>
      </c>
      <c r="BJ11" s="3951">
        <f>+'MCP PS'!AL4/25.4</f>
        <v>3.783523733509536</v>
      </c>
      <c r="BK11" s="3951">
        <f t="shared" si="32"/>
        <v>-0.37989109490604767</v>
      </c>
      <c r="BL11" s="3947"/>
      <c r="BM11" s="3950">
        <f t="shared" si="6"/>
        <v>190.62652449458687</v>
      </c>
      <c r="BN11" s="3950">
        <f>+'MCP PS'!T4</f>
        <v>191.46459310458857</v>
      </c>
      <c r="BO11" s="3951">
        <f t="shared" si="33"/>
        <v>0.83806861000169874</v>
      </c>
      <c r="BP11" s="3947"/>
      <c r="BQ11" s="3951">
        <f t="shared" si="34"/>
        <v>90.114831699357012</v>
      </c>
      <c r="BR11" s="3951">
        <f t="shared" si="7"/>
        <v>90.114831699357012</v>
      </c>
      <c r="BS11" s="3951">
        <f t="shared" si="35"/>
        <v>0</v>
      </c>
      <c r="BT11" s="3947"/>
      <c r="BU11" s="3951">
        <f t="shared" si="36"/>
        <v>23.07719802580398</v>
      </c>
      <c r="BV11" s="3951">
        <f t="shared" si="37"/>
        <v>26.454622745656117</v>
      </c>
      <c r="BW11" s="3951">
        <f t="shared" si="38"/>
        <v>3.3774247198521365</v>
      </c>
      <c r="BX11" s="3954"/>
      <c r="BY11" s="3955">
        <f>+'MCP PS'!AL4</f>
        <v>96.101502831142213</v>
      </c>
      <c r="BZ11" s="2504">
        <f t="shared" si="39"/>
        <v>96.101502831142213</v>
      </c>
      <c r="CA11" s="3954">
        <f t="shared" si="40"/>
        <v>0</v>
      </c>
      <c r="CB11" s="2504">
        <f>+'MCP PS'!AS4</f>
        <v>8879.1685657913204</v>
      </c>
      <c r="CC11" s="3954">
        <f t="shared" si="41"/>
        <v>8879.1685657913204</v>
      </c>
    </row>
    <row r="12" spans="1:81" s="3955" customFormat="1">
      <c r="A12" s="3944">
        <f t="shared" si="42"/>
        <v>46085</v>
      </c>
      <c r="B12" s="3945">
        <f>+'MCP PS'!C5</f>
        <v>160000.08614615616</v>
      </c>
      <c r="C12" s="3946">
        <f>+'MCP PS'!M5</f>
        <v>13.307432610543025</v>
      </c>
      <c r="D12" s="3947">
        <f t="shared" si="0"/>
        <v>7.75</v>
      </c>
      <c r="E12" s="3948">
        <f>+'MCP PS'!U5</f>
        <v>36.799861600090814</v>
      </c>
      <c r="F12" s="3956">
        <f t="shared" si="8"/>
        <v>7.0753460068462504</v>
      </c>
      <c r="G12" s="3948">
        <f>+'MCP PS'!W5</f>
        <v>69.879320526273034</v>
      </c>
      <c r="H12" s="3950">
        <f>+'MCP PS'!X5</f>
        <v>32476.589360263824</v>
      </c>
      <c r="I12" s="3950">
        <f>+'MCP PS'!Y5</f>
        <v>0</v>
      </c>
      <c r="J12" s="3950">
        <f>+SUM('MCP PS'!Z5:AA5)</f>
        <v>68600.597558073787</v>
      </c>
      <c r="K12" s="3950">
        <f>+'MCP PS'!AC5</f>
        <v>0</v>
      </c>
      <c r="L12" s="3950">
        <f>+'MCP PS'!AB5</f>
        <v>48146.347528883511</v>
      </c>
      <c r="M12" s="3950">
        <f>+'MCP PS'!AD5</f>
        <v>10776.687705631988</v>
      </c>
      <c r="N12" s="3950">
        <v>0</v>
      </c>
      <c r="O12" s="3950">
        <v>56.19164380756677</v>
      </c>
      <c r="P12" s="3951">
        <f t="shared" si="9"/>
        <v>96.785984241235255</v>
      </c>
      <c r="Q12" s="3951">
        <f t="shared" ref="Q12:Q21" si="44">+P12/25.4</f>
        <v>3.810471820521073</v>
      </c>
      <c r="R12" s="3946">
        <f t="shared" si="11"/>
        <v>14.470887034765603</v>
      </c>
      <c r="S12" s="3946">
        <f t="shared" si="12"/>
        <v>19.217525693137524</v>
      </c>
      <c r="T12" s="3946">
        <f t="shared" si="13"/>
        <v>5.6956473756973685</v>
      </c>
      <c r="U12" s="3945">
        <f t="shared" si="1"/>
        <v>41376</v>
      </c>
      <c r="V12" s="3945">
        <f t="shared" si="14"/>
        <v>7264.4946694815299</v>
      </c>
      <c r="W12" s="3945">
        <f>+'Proy. Mes'!AO12</f>
        <v>7710.8584093035406</v>
      </c>
      <c r="X12" s="3945">
        <f t="shared" si="15"/>
        <v>198.00011540582989</v>
      </c>
      <c r="Y12" s="3945">
        <v>55003</v>
      </c>
      <c r="Z12" s="3952">
        <f t="shared" si="16"/>
        <v>6.9704466268268712</v>
      </c>
      <c r="AA12" s="3945">
        <f t="shared" si="17"/>
        <v>7173.1415039557232</v>
      </c>
      <c r="AB12" s="3947" t="str">
        <f t="shared" si="18"/>
        <v>BOLAS</v>
      </c>
      <c r="AC12" s="3946">
        <f t="shared" si="19"/>
        <v>7.9739063259763157</v>
      </c>
      <c r="AD12" s="3945">
        <f t="shared" si="20"/>
        <v>1869.7234944222348</v>
      </c>
      <c r="AE12" s="3945">
        <f>+'Proy. Mes'!AP12</f>
        <v>1812</v>
      </c>
      <c r="AF12" s="3945">
        <f t="shared" si="21"/>
        <v>225.111220444575</v>
      </c>
      <c r="AG12" s="3952">
        <f t="shared" si="22"/>
        <v>6.4398361991405393</v>
      </c>
      <c r="AH12" s="3945">
        <f t="shared" si="23"/>
        <v>1807.4993897443346</v>
      </c>
      <c r="AI12" s="3947" t="str">
        <f t="shared" si="24"/>
        <v>BOLAS</v>
      </c>
      <c r="AJ12" s="3950">
        <f t="shared" si="25"/>
        <v>203.15878943191979</v>
      </c>
      <c r="AK12" s="3950">
        <f t="shared" si="26"/>
        <v>266.12845792653945</v>
      </c>
      <c r="AL12" s="3951">
        <f>+'MCP PS'!AE5</f>
        <v>91.8707951404418</v>
      </c>
      <c r="AM12" s="3951">
        <f>+'MCP PS'!AF5</f>
        <v>90.730665833727883</v>
      </c>
      <c r="AN12" s="3951">
        <f>+'MCP PS'!AG5</f>
        <v>89.075868662592129</v>
      </c>
      <c r="AO12" s="3951">
        <f>+'MCP PS'!AH5</f>
        <v>87.190751713291647</v>
      </c>
      <c r="AP12" s="3951">
        <f>+'MCP PS'!AI5</f>
        <v>84.383490084044766</v>
      </c>
      <c r="AQ12" s="3951">
        <f>+'MCP PS'!AJ5</f>
        <v>83.393229790930434</v>
      </c>
      <c r="AR12" s="3951">
        <f>+'MCP PS'!AK5</f>
        <v>79.633280025971885</v>
      </c>
      <c r="AS12" s="3951">
        <f t="shared" si="27"/>
        <v>102.29354486929063</v>
      </c>
      <c r="AT12" s="3951">
        <f t="shared" si="28"/>
        <v>-7.4830765394706095E-2</v>
      </c>
      <c r="AU12" s="3951">
        <f t="shared" si="2"/>
        <v>87.091017159438138</v>
      </c>
      <c r="AV12" s="3951">
        <f>+AU12*$AF$4+$AE$4</f>
        <v>89.212438975626839</v>
      </c>
      <c r="AW12" s="3951">
        <f>+'MCP PS'!E5</f>
        <v>0.45402936971783442</v>
      </c>
      <c r="AX12" s="3951">
        <f>+'MCP PS'!AM5</f>
        <v>5.6193101832862106E-3</v>
      </c>
      <c r="AY12" s="3951">
        <f t="shared" si="30"/>
        <v>1</v>
      </c>
      <c r="AZ12" s="3951">
        <f t="shared" si="31"/>
        <v>89.212438975626839</v>
      </c>
      <c r="BA12" s="3951">
        <f>+'MCP PS'!O5</f>
        <v>1.098731660804124</v>
      </c>
      <c r="BB12" s="3951">
        <f>+'MCP PS'!P5</f>
        <v>1.8444538580398513</v>
      </c>
      <c r="BC12" s="3953">
        <f>+'MCP PS'!Q5</f>
        <v>6.3243306195928911E-2</v>
      </c>
      <c r="BD12" s="3951">
        <f>+'MCP PS'!R5</f>
        <v>5.4108849873804467E-2</v>
      </c>
      <c r="BE12" s="3951">
        <f t="shared" si="3"/>
        <v>10.94511538367194</v>
      </c>
      <c r="BF12" s="3951">
        <f t="shared" si="43"/>
        <v>18.710031476915368</v>
      </c>
      <c r="BG12" s="3951">
        <f t="shared" si="4"/>
        <v>20.487601409199311</v>
      </c>
      <c r="BH12" s="3947"/>
      <c r="BI12" s="3951">
        <f t="shared" si="5"/>
        <v>3.810471820521073</v>
      </c>
      <c r="BJ12" s="3951">
        <f>+'MCP PS'!AL5/25.4</f>
        <v>3.7016024313752176</v>
      </c>
      <c r="BK12" s="3951">
        <f t="shared" si="32"/>
        <v>-0.10886938914585542</v>
      </c>
      <c r="BL12" s="3947"/>
      <c r="BM12" s="3950">
        <f t="shared" si="6"/>
        <v>203.15878943191979</v>
      </c>
      <c r="BN12" s="3950">
        <f>+'MCP PS'!T5</f>
        <v>212.28337586024986</v>
      </c>
      <c r="BO12" s="3951">
        <f t="shared" si="33"/>
        <v>9.1245864283300762</v>
      </c>
      <c r="BP12" s="3947"/>
      <c r="BQ12" s="3951">
        <f t="shared" si="34"/>
        <v>89.212438975626839</v>
      </c>
      <c r="BR12" s="3951">
        <f t="shared" si="7"/>
        <v>89.212438975626839</v>
      </c>
      <c r="BS12" s="3951">
        <f t="shared" si="35"/>
        <v>0</v>
      </c>
      <c r="BT12" s="3947"/>
      <c r="BU12" s="3951">
        <f t="shared" si="36"/>
        <v>10.94511538367194</v>
      </c>
      <c r="BV12" s="3951">
        <f t="shared" si="37"/>
        <v>18.710031476915368</v>
      </c>
      <c r="BW12" s="3951">
        <f t="shared" si="38"/>
        <v>7.7649160932434285</v>
      </c>
      <c r="BX12" s="3954"/>
      <c r="BY12" s="3955">
        <f>+'MCP PS'!AL5</f>
        <v>94.020701756930521</v>
      </c>
      <c r="BZ12" s="2504">
        <f t="shared" si="39"/>
        <v>94.020701756930521</v>
      </c>
      <c r="CA12" s="3954">
        <f t="shared" si="40"/>
        <v>0</v>
      </c>
      <c r="CB12" s="2504">
        <f>+'MCP PS'!AS5</f>
        <v>9051.0231143194287</v>
      </c>
      <c r="CC12" s="3954">
        <f t="shared" si="41"/>
        <v>9051.0231143194287</v>
      </c>
    </row>
    <row r="13" spans="1:81" s="3955" customFormat="1">
      <c r="A13" s="3944">
        <f t="shared" si="42"/>
        <v>46086</v>
      </c>
      <c r="B13" s="3945">
        <f>+'MCP PS'!C6</f>
        <v>160000.00000013874</v>
      </c>
      <c r="C13" s="3946">
        <f>+'MCP PS'!M6</f>
        <v>12.860486701230794</v>
      </c>
      <c r="D13" s="3947">
        <f t="shared" si="0"/>
        <v>7.75</v>
      </c>
      <c r="E13" s="3948">
        <f>+'MCP PS'!U6</f>
        <v>38.205717500354154</v>
      </c>
      <c r="F13" s="3956">
        <f t="shared" si="8"/>
        <v>6.7989168732274434</v>
      </c>
      <c r="G13" s="3948">
        <f>+'MCP PS'!W6</f>
        <v>72.184276360504938</v>
      </c>
      <c r="H13" s="3950">
        <f>+'MCP PS'!X6</f>
        <v>53436.304981522386</v>
      </c>
      <c r="I13" s="3950">
        <f>+'MCP PS'!Y6</f>
        <v>7.7743179374490001</v>
      </c>
      <c r="J13" s="3950">
        <f>+SUM('MCP PS'!Z6:AA6)</f>
        <v>73854.380548386282</v>
      </c>
      <c r="K13" s="3950">
        <f>+'MCP PS'!AC6</f>
        <v>1109.2731235318713</v>
      </c>
      <c r="L13" s="3950">
        <f>+'MCP PS'!AB6</f>
        <v>26864.288146560852</v>
      </c>
      <c r="M13" s="3957">
        <f>+'MCP PS'!AD6</f>
        <v>4728.0751082906399</v>
      </c>
      <c r="N13" s="3950">
        <v>0</v>
      </c>
      <c r="O13" s="3950">
        <v>59.885421379827328</v>
      </c>
      <c r="P13" s="3951">
        <f t="shared" si="9"/>
        <v>99.940100407925186</v>
      </c>
      <c r="Q13" s="3951">
        <f t="shared" si="44"/>
        <v>3.9346496223592595</v>
      </c>
      <c r="R13" s="3946">
        <f t="shared" si="11"/>
        <v>14.38312101443967</v>
      </c>
      <c r="S13" s="3946">
        <f t="shared" si="12"/>
        <v>19.159872194385422</v>
      </c>
      <c r="T13" s="3946">
        <f t="shared" si="13"/>
        <v>5.6916207050525083</v>
      </c>
      <c r="U13" s="3945">
        <f t="shared" si="1"/>
        <v>41376</v>
      </c>
      <c r="V13" s="3945">
        <f t="shared" si="14"/>
        <v>7269.634106726422</v>
      </c>
      <c r="W13" s="3945">
        <f>+'Proy. Mes'!AO13</f>
        <v>7269.6341067264211</v>
      </c>
      <c r="X13" s="3945">
        <f>IF(((((1/(Y13/V13/(10*$AJ$2*C13)+(1/SQRT($AJ$3))))^2))*$AO$2)+$AO$3&gt;$AJ$5,$AJ$5,IF(((((1/(Y13/V13/(10*$AJ$2*C13)+(1/SQRT($AJ$3))))^2))*$AO$2)+$AO$3&lt;$AJ$6,$AJ$6,((((1/(Y13/V13/(10*$AJ$2*C13)+(1/SQRT($AJ$3))))^2))*$AO$2)+$AO$3))</f>
        <v>194.66424313266003</v>
      </c>
      <c r="Y13" s="3945">
        <v>55004</v>
      </c>
      <c r="Z13" s="3952">
        <f t="shared" si="16"/>
        <v>6.8088549628008668</v>
      </c>
      <c r="AA13" s="3945">
        <f t="shared" si="17"/>
        <v>7343.3786257993925</v>
      </c>
      <c r="AB13" s="3947" t="str">
        <f t="shared" si="18"/>
        <v>SAG</v>
      </c>
      <c r="AC13" s="3946">
        <f t="shared" si="19"/>
        <v>7.9682689870735111</v>
      </c>
      <c r="AD13" s="3945">
        <f t="shared" si="20"/>
        <v>1871.046274189044</v>
      </c>
      <c r="AE13" s="3945">
        <f>+'Proy. Mes'!AP13</f>
        <v>1812</v>
      </c>
      <c r="AF13" s="3945">
        <f t="shared" si="21"/>
        <v>213.40322805678926</v>
      </c>
      <c r="AG13" s="3952">
        <f t="shared" si="22"/>
        <v>6.4555384054811054</v>
      </c>
      <c r="AH13" s="3945">
        <f t="shared" si="23"/>
        <v>1803.1028969043082</v>
      </c>
      <c r="AI13" s="3947" t="str">
        <f t="shared" si="24"/>
        <v>BOLAS</v>
      </c>
      <c r="AJ13" s="3950">
        <f t="shared" si="25"/>
        <v>198.40311218238014</v>
      </c>
      <c r="AK13" s="3950">
        <f t="shared" si="26"/>
        <v>234.9161894251211</v>
      </c>
      <c r="AL13" s="3951">
        <f>+'MCP PS'!AE6</f>
        <v>92.370946282645917</v>
      </c>
      <c r="AM13" s="3951">
        <f>+'MCP PS'!AF6</f>
        <v>91.153354406645263</v>
      </c>
      <c r="AN13" s="3951">
        <f>+'MCP PS'!AG6</f>
        <v>89.431384867685892</v>
      </c>
      <c r="AO13" s="3951">
        <f>+'MCP PS'!AH6</f>
        <v>87.180980309973236</v>
      </c>
      <c r="AP13" s="3951">
        <f>+'MCP PS'!AI6</f>
        <v>84.17284666203895</v>
      </c>
      <c r="AQ13" s="3951">
        <f>+'MCP PS'!AJ6</f>
        <v>83.139021956154153</v>
      </c>
      <c r="AR13" s="3951">
        <f>+'MCP PS'!AK6</f>
        <v>78.854514169576476</v>
      </c>
      <c r="AS13" s="3951">
        <f t="shared" si="27"/>
        <v>103.92938358096674</v>
      </c>
      <c r="AT13" s="3951">
        <f t="shared" si="28"/>
        <v>-8.2619384057292106E-2</v>
      </c>
      <c r="AU13" s="3951">
        <f t="shared" si="2"/>
        <v>87.537440657408666</v>
      </c>
      <c r="AV13" s="3951">
        <f>+AU13*$AF$4+$AE$4</f>
        <v>89.448552363703442</v>
      </c>
      <c r="AW13" s="3951">
        <f>+'MCP PS'!E6</f>
        <v>0.53949857316180105</v>
      </c>
      <c r="AX13" s="3951">
        <f>+'MCP PS'!AM6</f>
        <v>9.5114952637854744E-3</v>
      </c>
      <c r="AY13" s="3951">
        <f>+IF(AX13&gt;$AE$6,(AW13-(AX13-$AE$6))/AW13,1)</f>
        <v>1</v>
      </c>
      <c r="AZ13" s="3951">
        <f t="shared" si="31"/>
        <v>89.448552363703442</v>
      </c>
      <c r="BA13" s="3951">
        <f>+'MCP PS'!O6</f>
        <v>1.2436579405229597</v>
      </c>
      <c r="BB13" s="3951">
        <f>+'MCP PS'!P6</f>
        <v>1.6373603595807771</v>
      </c>
      <c r="BC13" s="3953">
        <f>+'MCP PS'!Q6</f>
        <v>6.5939686054030194E-2</v>
      </c>
      <c r="BD13" s="3951">
        <f>+'MCP PS'!R6</f>
        <v>8.7189296344224065E-2</v>
      </c>
      <c r="BE13" s="3951">
        <f t="shared" si="3"/>
        <v>14.292320299930898</v>
      </c>
      <c r="BF13" s="3951">
        <f t="shared" si="43"/>
        <v>21.045992229140978</v>
      </c>
      <c r="BG13" s="3951">
        <f t="shared" si="4"/>
        <v>22.423035474032954</v>
      </c>
      <c r="BH13" s="3947"/>
      <c r="BI13" s="3951">
        <f t="shared" si="5"/>
        <v>3.9346496223592595</v>
      </c>
      <c r="BJ13" s="3951">
        <f>+'MCP PS'!AL6/25.4</f>
        <v>3.578944924158479</v>
      </c>
      <c r="BK13" s="3951">
        <f t="shared" si="32"/>
        <v>-0.35570469820078054</v>
      </c>
      <c r="BL13" s="3947"/>
      <c r="BM13" s="3950">
        <f t="shared" si="6"/>
        <v>198.40311218238014</v>
      </c>
      <c r="BN13" s="3950">
        <f>+'MCP PS'!T6</f>
        <v>197.39945549245795</v>
      </c>
      <c r="BO13" s="3951">
        <f t="shared" si="33"/>
        <v>-1.0036566899221953</v>
      </c>
      <c r="BP13" s="3947"/>
      <c r="BQ13" s="3951">
        <f t="shared" si="34"/>
        <v>89.448552363703442</v>
      </c>
      <c r="BR13" s="3951">
        <f t="shared" si="7"/>
        <v>89.448552363703442</v>
      </c>
      <c r="BS13" s="3951">
        <f t="shared" si="35"/>
        <v>0</v>
      </c>
      <c r="BT13" s="3947"/>
      <c r="BU13" s="3951">
        <f t="shared" si="36"/>
        <v>14.292320299930898</v>
      </c>
      <c r="BV13" s="3951">
        <f t="shared" si="37"/>
        <v>21.045992229140978</v>
      </c>
      <c r="BW13" s="3951">
        <f t="shared" si="38"/>
        <v>6.7536719292100802</v>
      </c>
      <c r="BX13" s="3954"/>
      <c r="BY13" s="3955">
        <f>+'MCP PS'!AL6</f>
        <v>90.905201073625364</v>
      </c>
      <c r="BZ13" s="2504">
        <f t="shared" si="39"/>
        <v>90.905201073625364</v>
      </c>
      <c r="CA13" s="3954">
        <f t="shared" si="40"/>
        <v>0</v>
      </c>
      <c r="CB13" s="2504">
        <f>+'MCP PS'!AS6</f>
        <v>8862.7069252443143</v>
      </c>
      <c r="CC13" s="3954">
        <f t="shared" si="41"/>
        <v>8862.7069252443143</v>
      </c>
    </row>
    <row r="14" spans="1:81" s="4021" customFormat="1">
      <c r="A14" s="4009">
        <f t="shared" si="42"/>
        <v>46087</v>
      </c>
      <c r="B14" s="4010">
        <f>+'MCP PS'!C7</f>
        <v>216011.11992350855</v>
      </c>
      <c r="C14" s="4011">
        <f>+'MCP PS'!M7</f>
        <v>12.553276846888162</v>
      </c>
      <c r="D14" s="4012">
        <f t="shared" si="0"/>
        <v>7.75</v>
      </c>
      <c r="E14" s="4013">
        <f>+'MCP PS'!U7</f>
        <v>36.383420761043055</v>
      </c>
      <c r="F14" s="4014">
        <f t="shared" si="8"/>
        <v>7.1614625780683987</v>
      </c>
      <c r="G14" s="4013">
        <f>+'MCP PS'!W7</f>
        <v>74.626329751274895</v>
      </c>
      <c r="H14" s="4015">
        <f>+'MCP PS'!X7</f>
        <v>61892.383768620122</v>
      </c>
      <c r="I14" s="4015">
        <f>+'MCP PS'!Y7</f>
        <v>31.7024486073025</v>
      </c>
      <c r="J14" s="4015">
        <f>+SUM('MCP PS'!Z7:AA7)</f>
        <v>133489.39653720771</v>
      </c>
      <c r="K14" s="4015">
        <f>+'MCP PS'!AC7</f>
        <v>9.6813690536544605</v>
      </c>
      <c r="L14" s="4015">
        <f>+'MCP PS'!AB7</f>
        <v>2658.4112625200473</v>
      </c>
      <c r="M14" s="4016">
        <f>+'MCP PS'!AD7</f>
        <v>17929.181023559278</v>
      </c>
      <c r="N14" s="4015">
        <v>0</v>
      </c>
      <c r="O14" s="4015">
        <v>58.041002098480455</v>
      </c>
      <c r="P14" s="4017">
        <f>+'Recalculos ST'!P14</f>
        <v>106.48031993684724</v>
      </c>
      <c r="Q14" s="4017">
        <f t="shared" si="44"/>
        <v>4.1921385801908366</v>
      </c>
      <c r="R14" s="4011">
        <f t="shared" si="11"/>
        <v>14.384505383615076</v>
      </c>
      <c r="S14" s="4011">
        <f t="shared" si="12"/>
        <v>19.160781586496746</v>
      </c>
      <c r="T14" s="4011">
        <f t="shared" si="13"/>
        <v>6.1449668200077667</v>
      </c>
      <c r="U14" s="4010">
        <f t="shared" si="1"/>
        <v>41376</v>
      </c>
      <c r="V14" s="4010">
        <f t="shared" si="14"/>
        <v>6733.3154452976696</v>
      </c>
      <c r="W14" s="4010">
        <f>+'Proy. Mes'!AO14</f>
        <v>7026.3735298705287</v>
      </c>
      <c r="X14" s="4010">
        <f t="shared" si="15"/>
        <v>185.53636679685158</v>
      </c>
      <c r="Y14" s="4025">
        <v>55005</v>
      </c>
      <c r="Z14" s="4018">
        <f t="shared" si="16"/>
        <v>6.849564187550869</v>
      </c>
      <c r="AA14" s="4010">
        <f t="shared" si="17"/>
        <v>7299.7344985649379</v>
      </c>
      <c r="AB14" s="4012" t="str">
        <f t="shared" si="18"/>
        <v>SAG</v>
      </c>
      <c r="AC14" s="4011">
        <f t="shared" si="19"/>
        <v>8.6029535480108734</v>
      </c>
      <c r="AD14" s="4010">
        <f t="shared" si="20"/>
        <v>1733.0094736414303</v>
      </c>
      <c r="AE14" s="4010">
        <f>+'Proy. Mes'!AP14</f>
        <v>1733.0094736414298</v>
      </c>
      <c r="AF14" s="4010">
        <f t="shared" si="21"/>
        <v>191.42798354162085</v>
      </c>
      <c r="AG14" s="4018">
        <f t="shared" si="22"/>
        <v>6.7811684769714704</v>
      </c>
      <c r="AH14" s="4010">
        <f t="shared" si="23"/>
        <v>1716.5183315425495</v>
      </c>
      <c r="AI14" s="4012" t="str">
        <f t="shared" si="24"/>
        <v>BOLAS</v>
      </c>
      <c r="AJ14" s="4015">
        <f t="shared" si="25"/>
        <v>186.70199999609127</v>
      </c>
      <c r="AK14" s="4015">
        <f>+IFERROR((1/((($Y14/(AE14+W14)/(10*$AJ$2*C14)+(1/SQRT($AJ$3))))^2)*$AP$2+$AP$3),"0")</f>
        <v>213.91471781745156</v>
      </c>
      <c r="AL14" s="4017">
        <f>+'MCP PS'!AE7</f>
        <v>91.550773868675762</v>
      </c>
      <c r="AM14" s="4017">
        <f>+'MCP PS'!AF7</f>
        <v>89.968585877230794</v>
      </c>
      <c r="AN14" s="4017">
        <f>+'MCP PS'!AG7</f>
        <v>88.096806453702101</v>
      </c>
      <c r="AO14" s="4017">
        <f>+'MCP PS'!AH7</f>
        <v>85.771671112405357</v>
      </c>
      <c r="AP14" s="4017">
        <f>+'MCP PS'!AI7</f>
        <v>82.443597775124843</v>
      </c>
      <c r="AQ14" s="4017">
        <f>+'MCP PS'!AJ7</f>
        <v>81.177917430863772</v>
      </c>
      <c r="AR14" s="4017">
        <f>+'MCP PS'!AK7</f>
        <v>76.723313641581555</v>
      </c>
      <c r="AS14" s="4017">
        <f t="shared" si="27"/>
        <v>104.01631068143348</v>
      </c>
      <c r="AT14" s="4017">
        <f t="shared" si="28"/>
        <v>-9.0239610504737833E-2</v>
      </c>
      <c r="AU14" s="4017">
        <f>+AJ14*AT14+AS14</f>
        <v>87.168394921330645</v>
      </c>
      <c r="AV14" s="4017">
        <f>+AU14*$AF$4+$AE$4</f>
        <v>89.253364073891788</v>
      </c>
      <c r="AW14" s="4017">
        <f>+'MCP PS'!E7</f>
        <v>0.46499804900157721</v>
      </c>
      <c r="AX14" s="4017">
        <f>+'MCP PS'!AM7</f>
        <v>7.0741991981302195E-3</v>
      </c>
      <c r="AY14" s="4017">
        <f>+IF(AX14&gt;$AE$6,(AW14-(AX14-$AE$6))/AW14,1)</f>
        <v>1</v>
      </c>
      <c r="AZ14" s="4017">
        <f>+AY14*AV14</f>
        <v>89.253364073891788</v>
      </c>
      <c r="BA14" s="4017">
        <f>+'MCP PS'!O7</f>
        <v>0.90053261654545524</v>
      </c>
      <c r="BB14" s="4017">
        <f>+'MCP PS'!P7</f>
        <v>0.99486953302580616</v>
      </c>
      <c r="BC14" s="4019">
        <f>+'MCP PS'!Q7</f>
        <v>0.12428855093917245</v>
      </c>
      <c r="BD14" s="4017">
        <f>+'MCP PS'!R7</f>
        <v>8.6033251310741105E-2</v>
      </c>
      <c r="BE14" s="4017">
        <f t="shared" si="3"/>
        <v>18.467370596140469</v>
      </c>
      <c r="BF14" s="4017">
        <f t="shared" si="43"/>
        <v>24.27337425416232</v>
      </c>
      <c r="BG14" s="4017">
        <f t="shared" si="4"/>
        <v>25.131883156146976</v>
      </c>
      <c r="BH14" s="4012"/>
      <c r="BI14" s="4017">
        <f t="shared" si="5"/>
        <v>4.1921385801908366</v>
      </c>
      <c r="BJ14" s="4017">
        <f>+'MCP PS'!AL7/25.4</f>
        <v>3.2732474515244672</v>
      </c>
      <c r="BK14" s="4017">
        <f t="shared" si="32"/>
        <v>-0.91889112866636946</v>
      </c>
      <c r="BL14" s="4012"/>
      <c r="BM14" s="4015">
        <f t="shared" si="6"/>
        <v>186.70199999609127</v>
      </c>
      <c r="BN14" s="4015">
        <f>+'MCP PS'!T7</f>
        <v>189.77547477210592</v>
      </c>
      <c r="BO14" s="4017">
        <f t="shared" si="33"/>
        <v>3.073474776014649</v>
      </c>
      <c r="BP14" s="4012"/>
      <c r="BQ14" s="4017">
        <f t="shared" si="34"/>
        <v>89.253364073891788</v>
      </c>
      <c r="BR14" s="4017">
        <f>+AZ14</f>
        <v>89.253364073891788</v>
      </c>
      <c r="BS14" s="4017">
        <f t="shared" si="35"/>
        <v>0</v>
      </c>
      <c r="BT14" s="4012"/>
      <c r="BU14" s="4017">
        <f t="shared" si="36"/>
        <v>18.467370596140469</v>
      </c>
      <c r="BV14" s="4017">
        <f t="shared" si="37"/>
        <v>24.27337425416232</v>
      </c>
      <c r="BW14" s="4017">
        <f t="shared" si="38"/>
        <v>5.8060036580218508</v>
      </c>
      <c r="BX14" s="4020"/>
      <c r="BY14" s="4021">
        <f>+'MCP PS'!AL7</f>
        <v>83.140485268721463</v>
      </c>
      <c r="BZ14" s="4022">
        <f t="shared" si="39"/>
        <v>83.140485268721463</v>
      </c>
      <c r="CA14" s="4020">
        <f t="shared" si="40"/>
        <v>0</v>
      </c>
      <c r="CB14" s="4022">
        <f>+'MCP PS'!AS7</f>
        <v>8994.0299404298767</v>
      </c>
      <c r="CC14" s="4020">
        <f t="shared" si="41"/>
        <v>8994.0299404298767</v>
      </c>
    </row>
    <row r="15" spans="1:81" s="4021" customFormat="1">
      <c r="A15" s="4009">
        <f t="shared" si="42"/>
        <v>46088</v>
      </c>
      <c r="B15" s="4010">
        <f>+'MCP PS'!C8</f>
        <v>156999.99999967057</v>
      </c>
      <c r="C15" s="4011">
        <f>+'MCP PS'!M8</f>
        <v>12.601097756169784</v>
      </c>
      <c r="D15" s="4012">
        <f t="shared" si="0"/>
        <v>7.75</v>
      </c>
      <c r="E15" s="4013">
        <f>+'MCP PS'!U8</f>
        <v>37.552779551636824</v>
      </c>
      <c r="F15" s="4014">
        <f t="shared" si="8"/>
        <v>6.9246469946497315</v>
      </c>
      <c r="G15" s="4013">
        <f>+'MCP PS'!W8</f>
        <v>76.284312365945041</v>
      </c>
      <c r="H15" s="4015">
        <f>+'MCP PS'!X8</f>
        <v>44558.372882589101</v>
      </c>
      <c r="I15" s="4015">
        <f>+'MCP PS'!Y8</f>
        <v>0.56074766355140204</v>
      </c>
      <c r="J15" s="4015">
        <f>+SUM('MCP PS'!Z8:AA8)</f>
        <v>93941.79484341506</v>
      </c>
      <c r="K15" s="4015">
        <f>+'MCP PS'!AC8</f>
        <v>17.009345794392502</v>
      </c>
      <c r="L15" s="4015">
        <f>+'MCP PS'!AB8</f>
        <v>11447.869823702218</v>
      </c>
      <c r="M15" s="4016">
        <f>+'MCP PS'!AD8</f>
        <v>7034.5745676741408</v>
      </c>
      <c r="N15" s="4015">
        <v>0</v>
      </c>
      <c r="O15" s="4015">
        <v>57.551919212915749</v>
      </c>
      <c r="P15" s="4017">
        <f>+'Recalculos ST'!P15</f>
        <v>99.356010196411177</v>
      </c>
      <c r="Q15" s="4017">
        <f t="shared" si="44"/>
        <v>3.9116539447405976</v>
      </c>
      <c r="R15" s="4011">
        <f t="shared" si="11"/>
        <v>14.548055234945783</v>
      </c>
      <c r="S15" s="4011">
        <f t="shared" si="12"/>
        <v>19.268217483835887</v>
      </c>
      <c r="T15" s="4011">
        <f t="shared" si="13"/>
        <v>5.724741263737112</v>
      </c>
      <c r="U15" s="4010">
        <f t="shared" si="1"/>
        <v>41376</v>
      </c>
      <c r="V15" s="4010">
        <f t="shared" si="14"/>
        <v>7227.5755521201918</v>
      </c>
      <c r="W15" s="4010">
        <f>+'Proy. Mes'!AO15</f>
        <v>7049.1059381801506</v>
      </c>
      <c r="X15" s="4010">
        <f t="shared" si="15"/>
        <v>190.4950488376582</v>
      </c>
      <c r="Y15" s="4025">
        <v>56006</v>
      </c>
      <c r="Z15" s="4018">
        <f t="shared" si="16"/>
        <v>6.7629416776407512</v>
      </c>
      <c r="AA15" s="4010">
        <f t="shared" si="17"/>
        <v>7393.2324694307399</v>
      </c>
      <c r="AB15" s="4012" t="str">
        <f t="shared" si="18"/>
        <v>SAG</v>
      </c>
      <c r="AC15" s="4011">
        <f t="shared" si="19"/>
        <v>8.0146377692319568</v>
      </c>
      <c r="AD15" s="4010">
        <f t="shared" si="20"/>
        <v>1860.221313711191</v>
      </c>
      <c r="AE15" s="4010">
        <f>+'Proy. Mes'!AP15</f>
        <v>1812</v>
      </c>
      <c r="AF15" s="4010">
        <f t="shared" si="21"/>
        <v>206.67337496466166</v>
      </c>
      <c r="AG15" s="4018">
        <f t="shared" si="22"/>
        <v>6.4646513174754823</v>
      </c>
      <c r="AH15" s="4010">
        <f t="shared" si="23"/>
        <v>1800.5611483691821</v>
      </c>
      <c r="AI15" s="4012" t="str">
        <f t="shared" si="24"/>
        <v>BOLAS</v>
      </c>
      <c r="AJ15" s="4015">
        <f t="shared" si="25"/>
        <v>193.80334095679643</v>
      </c>
      <c r="AK15" s="4015">
        <f t="shared" si="26"/>
        <v>213.01850324248866</v>
      </c>
      <c r="AL15" s="4017">
        <f>+'MCP PS'!AE8</f>
        <v>92.348161767713918</v>
      </c>
      <c r="AM15" s="4017">
        <f>+'MCP PS'!AF8</f>
        <v>90.881265439794475</v>
      </c>
      <c r="AN15" s="4017">
        <f>+'MCP PS'!AG8</f>
        <v>89.016134809647852</v>
      </c>
      <c r="AO15" s="4017">
        <f>+'MCP PS'!AH8</f>
        <v>86.256736739708018</v>
      </c>
      <c r="AP15" s="4017">
        <f>+'MCP PS'!AI8</f>
        <v>82.984617458762912</v>
      </c>
      <c r="AQ15" s="4017">
        <f>+'MCP PS'!AJ8</f>
        <v>81.840544703983014</v>
      </c>
      <c r="AR15" s="4017">
        <f>+'MCP PS'!AK8</f>
        <v>77.164765618712153</v>
      </c>
      <c r="AS15" s="4017">
        <f t="shared" ref="AS15:AS21" si="45">+INTERCEPT(AL15:AR15,$AL$7:$AR$7)</f>
        <v>105.27121053927692</v>
      </c>
      <c r="AT15" s="4017">
        <f t="shared" ref="AT15:AT21" si="46">+SLOPE(AL15:AR15,$AL$7:$AR$7)</f>
        <v>-9.2983126950658496E-2</v>
      </c>
      <c r="AU15" s="4017">
        <f t="shared" si="2"/>
        <v>87.250769883629374</v>
      </c>
      <c r="AV15" s="4017">
        <f t="shared" ref="AV15:AV21" si="47">+AU15*$AF$4+$AE$4</f>
        <v>89.296932191451575</v>
      </c>
      <c r="AW15" s="4017">
        <f>+'MCP PS'!E8</f>
        <v>0.47437848358843598</v>
      </c>
      <c r="AX15" s="4017">
        <f>+'MCP PS'!AM8</f>
        <v>6.4665788126264971E-3</v>
      </c>
      <c r="AY15" s="4017">
        <f>+IF(AX15&gt;$AE$6,(AW15-(AX15-$AE$6))/AW15,1)</f>
        <v>1</v>
      </c>
      <c r="AZ15" s="4017">
        <f t="shared" si="31"/>
        <v>89.296932191451575</v>
      </c>
      <c r="BA15" s="4017">
        <f>+'MCP PS'!O8</f>
        <v>0.96617849374801212</v>
      </c>
      <c r="BB15" s="4017">
        <f>+'MCP PS'!P8</f>
        <v>1.1856110213853495</v>
      </c>
      <c r="BC15" s="4019">
        <f>+'MCP PS'!Q8</f>
        <v>0.13479085487807588</v>
      </c>
      <c r="BD15" s="4017">
        <f>+'MCP PS'!R8</f>
        <v>9.8419342350261563E-2</v>
      </c>
      <c r="BE15" s="4017">
        <f t="shared" si="3"/>
        <v>16.8647354490205</v>
      </c>
      <c r="BF15" s="4017">
        <f>(-5.9445+1.1996/(0.027558+0.003094*(BA15/AW15)+0.003571*(BB15/AW15)-0.001979*(BC15/AW15)-0.005204*(BD15/AW15)))</f>
        <v>23.212617848194668</v>
      </c>
      <c r="BG15" s="4017">
        <f t="shared" si="4"/>
        <v>24.209294293892167</v>
      </c>
      <c r="BH15" s="4012"/>
      <c r="BI15" s="4017">
        <f t="shared" si="5"/>
        <v>3.9116539447405976</v>
      </c>
      <c r="BJ15" s="4017">
        <f>+'MCP PS'!AL8/25.4</f>
        <v>3.2697087242865859</v>
      </c>
      <c r="BK15" s="4017">
        <f t="shared" ref="BK15:BK21" si="48">+BJ15-BI15</f>
        <v>-0.6419452204540117</v>
      </c>
      <c r="BL15" s="4012"/>
      <c r="BM15" s="4015">
        <f t="shared" si="6"/>
        <v>193.80334095679643</v>
      </c>
      <c r="BN15" s="4015">
        <f>+'MCP PS'!T8</f>
        <v>190.57902248284753</v>
      </c>
      <c r="BO15" s="4017">
        <f t="shared" ref="BO15:BO21" si="49">+BN15-BM15</f>
        <v>-3.2243184739488981</v>
      </c>
      <c r="BP15" s="4012"/>
      <c r="BQ15" s="4017">
        <f t="shared" ref="BQ15:BQ21" si="50">+AZ15</f>
        <v>89.296932191451575</v>
      </c>
      <c r="BR15" s="4017">
        <f t="shared" ref="BR15" si="51">+AZ15</f>
        <v>89.296932191451575</v>
      </c>
      <c r="BS15" s="4017">
        <f t="shared" ref="BS15:BS21" si="52">+BR15-BQ15</f>
        <v>0</v>
      </c>
      <c r="BT15" s="4012"/>
      <c r="BU15" s="4017">
        <f t="shared" ref="BU15:BU21" si="53">+BE15</f>
        <v>16.8647354490205</v>
      </c>
      <c r="BV15" s="4017">
        <f t="shared" ref="BV15:BV21" si="54">+BF15</f>
        <v>23.212617848194668</v>
      </c>
      <c r="BW15" s="4017">
        <f t="shared" ref="BW15:BW21" si="55">+BV15-BU15</f>
        <v>6.3478823991741677</v>
      </c>
      <c r="BX15" s="4020"/>
      <c r="BY15" s="4021">
        <f>+'MCP PS'!AL8</f>
        <v>83.050601596879275</v>
      </c>
      <c r="BZ15" s="4022">
        <f t="shared" ref="BZ15:BZ21" si="56">+BY15*$BY$6</f>
        <v>83.050601596879275</v>
      </c>
      <c r="CA15" s="4020">
        <f t="shared" ref="CA15:CA21" si="57">+(BY15-BZ15)*45</f>
        <v>0</v>
      </c>
      <c r="CB15" s="4022">
        <f>+'MCP PS'!AS8</f>
        <v>8895.4259909818138</v>
      </c>
      <c r="CC15" s="4020">
        <f t="shared" ref="CC15:CC21" si="58">+CB15+CA15</f>
        <v>8895.4259909818138</v>
      </c>
    </row>
    <row r="16" spans="1:81" s="4021" customFormat="1">
      <c r="A16" s="4009">
        <f t="shared" si="42"/>
        <v>46089</v>
      </c>
      <c r="B16" s="4010">
        <f>+'MCP PS'!C9</f>
        <v>206541.95271136353</v>
      </c>
      <c r="C16" s="4011">
        <f>+'MCP PS'!M9</f>
        <v>12.843887709329477</v>
      </c>
      <c r="D16" s="4012">
        <f t="shared" si="0"/>
        <v>7.75</v>
      </c>
      <c r="E16" s="4013">
        <f>+'MCP PS'!U9</f>
        <v>38.496662562943023</v>
      </c>
      <c r="F16" s="4014">
        <f t="shared" si="8"/>
        <v>6.7443087490281082</v>
      </c>
      <c r="G16" s="4013">
        <f>+'MCP PS'!W9</f>
        <v>68.016529339533591</v>
      </c>
      <c r="H16" s="4015">
        <f>+'MCP PS'!X9</f>
        <v>52538.402485517807</v>
      </c>
      <c r="I16" s="4015">
        <f>+'MCP PS'!Y9</f>
        <v>0.56074766355140204</v>
      </c>
      <c r="J16" s="4015">
        <f>+SUM('MCP PS'!Z9:AA9)</f>
        <v>92189.883470205576</v>
      </c>
      <c r="K16" s="4015">
        <f>+'MCP PS'!AC9</f>
        <v>17.009345794392502</v>
      </c>
      <c r="L16" s="4015">
        <f>+'MCP PS'!AB9</f>
        <v>24681.136405977017</v>
      </c>
      <c r="M16" s="4016">
        <f>+'MCP PS'!AD9</f>
        <v>37114.949298745021</v>
      </c>
      <c r="N16" s="4015">
        <v>0</v>
      </c>
      <c r="O16" s="4015">
        <v>63.317086988427384</v>
      </c>
      <c r="P16" s="4017">
        <f>+'Recalculos ST'!P16</f>
        <v>100.73100797268711</v>
      </c>
      <c r="Q16" s="4017">
        <f t="shared" si="44"/>
        <v>3.9657877154601224</v>
      </c>
      <c r="R16" s="4011">
        <f t="shared" si="11"/>
        <v>14.613741577573631</v>
      </c>
      <c r="S16" s="4011">
        <f t="shared" si="12"/>
        <v>19.311366842308118</v>
      </c>
      <c r="T16" s="4011">
        <f t="shared" si="13"/>
        <v>5.6868014376689331</v>
      </c>
      <c r="U16" s="4010">
        <f t="shared" si="1"/>
        <v>41376</v>
      </c>
      <c r="V16" s="4010">
        <f t="shared" si="14"/>
        <v>7275.7947421776635</v>
      </c>
      <c r="W16" s="4010">
        <f>+'Proy. Mes'!AO16</f>
        <v>6911.3450881818171</v>
      </c>
      <c r="X16" s="4010">
        <f t="shared" si="15"/>
        <v>192.54974067462882</v>
      </c>
      <c r="Y16" s="4025">
        <v>56207</v>
      </c>
      <c r="Z16" s="4018">
        <f t="shared" si="16"/>
        <v>6.8469464250814651</v>
      </c>
      <c r="AA16" s="4010">
        <f t="shared" si="17"/>
        <v>7302.5253734777252</v>
      </c>
      <c r="AB16" s="4012" t="str">
        <f t="shared" si="18"/>
        <v>SAG</v>
      </c>
      <c r="AC16" s="4011">
        <f t="shared" si="19"/>
        <v>7.9615220127365056</v>
      </c>
      <c r="AD16" s="4010">
        <f t="shared" si="20"/>
        <v>1872.631888243129</v>
      </c>
      <c r="AE16" s="4010">
        <f>+'Proy. Mes'!AP16</f>
        <v>1812</v>
      </c>
      <c r="AF16" s="4010">
        <f t="shared" si="21"/>
        <v>212.97110151260483</v>
      </c>
      <c r="AG16" s="4018">
        <f t="shared" si="22"/>
        <v>6.4561215650770398</v>
      </c>
      <c r="AH16" s="4010">
        <f t="shared" si="23"/>
        <v>1802.9400287262251</v>
      </c>
      <c r="AI16" s="4012" t="str">
        <f t="shared" si="24"/>
        <v>BOLAS</v>
      </c>
      <c r="AJ16" s="4015">
        <f t="shared" si="25"/>
        <v>196.79163474901824</v>
      </c>
      <c r="AK16" s="4015">
        <f t="shared" si="26"/>
        <v>212.96283781278296</v>
      </c>
      <c r="AL16" s="4017">
        <f>+'MCP PS'!AE9</f>
        <v>91.283002555576715</v>
      </c>
      <c r="AM16" s="4017">
        <f>+'MCP PS'!AF9</f>
        <v>90.051252641325235</v>
      </c>
      <c r="AN16" s="4017">
        <f>+'MCP PS'!AG9</f>
        <v>88.351391802073806</v>
      </c>
      <c r="AO16" s="4017">
        <f>+'MCP PS'!AH9</f>
        <v>85.905383824273756</v>
      </c>
      <c r="AP16" s="4017">
        <f>+'MCP PS'!AI9</f>
        <v>83.360407426093786</v>
      </c>
      <c r="AQ16" s="4017">
        <f>+'MCP PS'!AJ9</f>
        <v>82.453878648297888</v>
      </c>
      <c r="AR16" s="4017">
        <f>+'MCP PS'!AK9</f>
        <v>78.506532892424659</v>
      </c>
      <c r="AS16" s="4017">
        <f t="shared" si="45"/>
        <v>102.07138819586947</v>
      </c>
      <c r="AT16" s="4017">
        <f t="shared" si="46"/>
        <v>-7.8110339182699703E-2</v>
      </c>
      <c r="AU16" s="4017">
        <f t="shared" si="2"/>
        <v>86.699926857305712</v>
      </c>
      <c r="AV16" s="4017">
        <f>+AU16*$AF$4+$AE$4</f>
        <v>89.00559131482899</v>
      </c>
      <c r="AW16" s="4017">
        <f>+'MCP PS'!E9</f>
        <v>0.42999477375940809</v>
      </c>
      <c r="AX16" s="4017">
        <f>+'MCP PS'!AM9</f>
        <v>5.4888376164506222E-3</v>
      </c>
      <c r="AY16" s="4017">
        <f>+IF(AX16&gt;$AE$6,(AW16-(AX16-$AE$6))/AW16,1)</f>
        <v>1</v>
      </c>
      <c r="AZ16" s="4017">
        <f t="shared" si="31"/>
        <v>89.00559131482899</v>
      </c>
      <c r="BA16" s="4017">
        <f>+'MCP PS'!O9</f>
        <v>0.91922679936710849</v>
      </c>
      <c r="BB16" s="4017">
        <f>+'MCP PS'!P9</f>
        <v>1.7446463324043409</v>
      </c>
      <c r="BC16" s="4019">
        <f>+'MCP PS'!Q9</f>
        <v>0.11359318025075454</v>
      </c>
      <c r="BD16" s="4017">
        <f>+'MCP PS'!R9</f>
        <v>9.3742051500748685E-2</v>
      </c>
      <c r="BE16" s="4017">
        <f t="shared" si="3"/>
        <v>11.377659043388675</v>
      </c>
      <c r="BF16" s="4017">
        <f t="shared" ref="BF16:BF21" si="59">(-5.9445+1.1996/(0.027558+0.003094*(BA16/AW16)+0.003571*(BB16/AW16)-0.001979*(BC16/AW16)-0.005204*(BD16/AW16)))</f>
        <v>19.576849844904785</v>
      </c>
      <c r="BG16" s="4017">
        <f t="shared" si="4"/>
        <v>21.179398885424483</v>
      </c>
      <c r="BH16" s="4012"/>
      <c r="BI16" s="4017">
        <f t="shared" si="5"/>
        <v>3.9657877154601224</v>
      </c>
      <c r="BJ16" s="4017">
        <f>+'MCP PS'!AL9/25.4</f>
        <v>3.2462547157783397</v>
      </c>
      <c r="BK16" s="4017">
        <f t="shared" si="48"/>
        <v>-0.71953299968178275</v>
      </c>
      <c r="BL16" s="4012"/>
      <c r="BM16" s="4015">
        <f t="shared" si="6"/>
        <v>196.79163474901824</v>
      </c>
      <c r="BN16" s="4015">
        <f>+'MCP PS'!T9</f>
        <v>208.5875573127544</v>
      </c>
      <c r="BO16" s="4017">
        <f t="shared" si="49"/>
        <v>11.795922563736156</v>
      </c>
      <c r="BP16" s="4012"/>
      <c r="BQ16" s="4017">
        <f t="shared" si="50"/>
        <v>89.00559131482899</v>
      </c>
      <c r="BR16" s="4017">
        <f>+AZ16</f>
        <v>89.00559131482899</v>
      </c>
      <c r="BS16" s="4017">
        <f t="shared" si="52"/>
        <v>0</v>
      </c>
      <c r="BT16" s="4012"/>
      <c r="BU16" s="4017">
        <f t="shared" si="53"/>
        <v>11.377659043388675</v>
      </c>
      <c r="BV16" s="4017">
        <f t="shared" si="54"/>
        <v>19.576849844904785</v>
      </c>
      <c r="BW16" s="4017">
        <f t="shared" si="55"/>
        <v>8.1991908015161101</v>
      </c>
      <c r="BX16" s="4020"/>
      <c r="BY16" s="4021">
        <f>+'MCP PS'!AL9</f>
        <v>82.454869780769826</v>
      </c>
      <c r="BZ16" s="4022">
        <f t="shared" si="56"/>
        <v>82.454869780769826</v>
      </c>
      <c r="CA16" s="4020">
        <f t="shared" si="57"/>
        <v>0</v>
      </c>
      <c r="CB16" s="4022">
        <f>+'MCP PS'!AS9</f>
        <v>9270.0022363355511</v>
      </c>
      <c r="CC16" s="4020">
        <f t="shared" si="58"/>
        <v>9270.0022363355511</v>
      </c>
    </row>
    <row r="17" spans="1:81" s="4021" customFormat="1">
      <c r="A17" s="4009">
        <f t="shared" si="42"/>
        <v>46090</v>
      </c>
      <c r="B17" s="4010">
        <f>+'MCP PS'!C10</f>
        <v>203486.98163751865</v>
      </c>
      <c r="C17" s="4011">
        <f>+'MCP PS'!M10</f>
        <v>12.924763274287537</v>
      </c>
      <c r="D17" s="4012">
        <f t="shared" si="0"/>
        <v>7.75</v>
      </c>
      <c r="E17" s="4013">
        <f>+'MCP PS'!U10</f>
        <v>38.229840369062039</v>
      </c>
      <c r="F17" s="4014">
        <f t="shared" si="8"/>
        <v>6.7943566003536882</v>
      </c>
      <c r="G17" s="4013">
        <f>+'MCP PS'!W10</f>
        <v>69.935549550123326</v>
      </c>
      <c r="H17" s="4015">
        <f>+'MCP PS'!X10</f>
        <v>41276.138150628052</v>
      </c>
      <c r="I17" s="4015">
        <f>+'MCP PS'!Y10</f>
        <v>0.56074766355140204</v>
      </c>
      <c r="J17" s="4015">
        <f>+SUM('MCP PS'!Z10:AA10)</f>
        <v>97361.659440123185</v>
      </c>
      <c r="K17" s="4015">
        <f>+'MCP PS'!AC10</f>
        <v>17.009345794392502</v>
      </c>
      <c r="L17" s="4015">
        <f>+'MCP PS'!AB10</f>
        <v>57440.026369365565</v>
      </c>
      <c r="M17" s="4016">
        <f>+'MCP PS'!AD10</f>
        <v>7391.6110859473065</v>
      </c>
      <c r="N17" s="4015">
        <v>0</v>
      </c>
      <c r="O17" s="4015">
        <v>68.711882145602928</v>
      </c>
      <c r="P17" s="4017">
        <f>+'Recalculos ST'!P17</f>
        <v>99.226991083218337</v>
      </c>
      <c r="Q17" s="4017">
        <f t="shared" si="44"/>
        <v>3.9065744520952101</v>
      </c>
      <c r="R17" s="4011">
        <f t="shared" si="11"/>
        <v>14.729419497135817</v>
      </c>
      <c r="S17" s="4011">
        <f t="shared" si="12"/>
        <v>19.387355667668519</v>
      </c>
      <c r="T17" s="4011">
        <f t="shared" si="13"/>
        <v>5.6470094466072265</v>
      </c>
      <c r="U17" s="4010">
        <f t="shared" si="1"/>
        <v>41376</v>
      </c>
      <c r="V17" s="4010">
        <f t="shared" si="14"/>
        <v>7327.0640666023801</v>
      </c>
      <c r="W17" s="4010">
        <f>+'Proy. Mes'!AO17</f>
        <v>6890.7651028697383</v>
      </c>
      <c r="X17" s="4010">
        <f t="shared" si="15"/>
        <v>195.02843279544902</v>
      </c>
      <c r="Y17" s="4010">
        <v>55508</v>
      </c>
      <c r="Z17" s="4018">
        <f t="shared" si="16"/>
        <v>6.8348379711099811</v>
      </c>
      <c r="AA17" s="4010">
        <f t="shared" si="17"/>
        <v>7315.4623725308256</v>
      </c>
      <c r="AB17" s="4012" t="str">
        <f t="shared" si="18"/>
        <v>BOLAS</v>
      </c>
      <c r="AC17" s="4011">
        <f t="shared" si="19"/>
        <v>7.9058132252501165</v>
      </c>
      <c r="AD17" s="4010">
        <f t="shared" si="20"/>
        <v>1885.8275012597865</v>
      </c>
      <c r="AE17" s="4010">
        <f>+'Proy. Mes'!AP17</f>
        <v>1812</v>
      </c>
      <c r="AF17" s="4010">
        <f t="shared" si="21"/>
        <v>215.07841676669653</v>
      </c>
      <c r="AG17" s="4018">
        <f t="shared" si="22"/>
        <v>6.4532802261534217</v>
      </c>
      <c r="AH17" s="4010">
        <f t="shared" si="23"/>
        <v>1803.7338519449672</v>
      </c>
      <c r="AI17" s="4012" t="str">
        <f t="shared" si="24"/>
        <v>BOLAS</v>
      </c>
      <c r="AJ17" s="4015">
        <f t="shared" si="25"/>
        <v>199.20303368682784</v>
      </c>
      <c r="AK17" s="4015">
        <f t="shared" si="26"/>
        <v>218.49381553623385</v>
      </c>
      <c r="AL17" s="4017">
        <f>+'MCP PS'!AE10</f>
        <v>90.697184959551478</v>
      </c>
      <c r="AM17" s="4017">
        <f>+'MCP PS'!AF10</f>
        <v>89.543176300022992</v>
      </c>
      <c r="AN17" s="4017">
        <f>+'MCP PS'!AG10</f>
        <v>87.586084007911552</v>
      </c>
      <c r="AO17" s="4017">
        <f>+'MCP PS'!AH10</f>
        <v>85.18727571554156</v>
      </c>
      <c r="AP17" s="4017">
        <f>+'MCP PS'!AI10</f>
        <v>82.630553605237978</v>
      </c>
      <c r="AQ17" s="4017">
        <f>+'MCP PS'!AJ10</f>
        <v>81.715272123933943</v>
      </c>
      <c r="AR17" s="4017">
        <f>+'MCP PS'!AK10</f>
        <v>77.720316740508792</v>
      </c>
      <c r="AS17" s="4017">
        <f t="shared" si="45"/>
        <v>101.66899404500445</v>
      </c>
      <c r="AT17" s="4017">
        <f t="shared" si="46"/>
        <v>-7.9484045577588855E-2</v>
      </c>
      <c r="AU17" s="4017">
        <f t="shared" si="2"/>
        <v>85.835531036246664</v>
      </c>
      <c r="AV17" s="4017">
        <f t="shared" si="47"/>
        <v>88.54841236507086</v>
      </c>
      <c r="AW17" s="4017">
        <f>+'MCP PS'!E10</f>
        <v>0.45865425452497832</v>
      </c>
      <c r="AX17" s="4017">
        <f>+'MCP PS'!AM10</f>
        <v>5.9974021950539701E-3</v>
      </c>
      <c r="AY17" s="4017">
        <f t="shared" si="30"/>
        <v>1</v>
      </c>
      <c r="AZ17" s="4017">
        <f t="shared" si="31"/>
        <v>88.54841236507086</v>
      </c>
      <c r="BA17" s="4017">
        <f>+'MCP PS'!O10</f>
        <v>0.95366581433394515</v>
      </c>
      <c r="BB17" s="4017">
        <f>+'MCP PS'!P10</f>
        <v>1.7272307477178965</v>
      </c>
      <c r="BC17" s="4019">
        <f>+'MCP PS'!Q10</f>
        <v>0.11293713639344156</v>
      </c>
      <c r="BD17" s="4017">
        <f>+'MCP PS'!R10</f>
        <v>9.0688471046864005E-2</v>
      </c>
      <c r="BE17" s="4017">
        <f t="shared" si="3"/>
        <v>12.172922282102073</v>
      </c>
      <c r="BF17" s="4017">
        <f t="shared" si="59"/>
        <v>20.177546024699282</v>
      </c>
      <c r="BG17" s="4017">
        <f t="shared" si="4"/>
        <v>21.700996989398242</v>
      </c>
      <c r="BH17" s="4012"/>
      <c r="BI17" s="4017">
        <f t="shared" si="5"/>
        <v>3.9065744520952101</v>
      </c>
      <c r="BJ17" s="4017">
        <f>+'MCP PS'!AL10/25.4</f>
        <v>3.2833349989555405</v>
      </c>
      <c r="BK17" s="4017">
        <f t="shared" si="48"/>
        <v>-0.62323945313966966</v>
      </c>
      <c r="BL17" s="4012"/>
      <c r="BM17" s="4015">
        <f t="shared" si="6"/>
        <v>199.20303368682784</v>
      </c>
      <c r="BN17" s="4015">
        <f>+'MCP PS'!T10</f>
        <v>210.47632803162804</v>
      </c>
      <c r="BO17" s="4017">
        <f t="shared" si="49"/>
        <v>11.273294344800206</v>
      </c>
      <c r="BP17" s="4012"/>
      <c r="BQ17" s="4017">
        <f t="shared" si="50"/>
        <v>88.54841236507086</v>
      </c>
      <c r="BR17" s="4017">
        <f t="shared" ref="BR17:BR39" si="60">+AZ17</f>
        <v>88.54841236507086</v>
      </c>
      <c r="BS17" s="4017">
        <f t="shared" si="52"/>
        <v>0</v>
      </c>
      <c r="BT17" s="4012"/>
      <c r="BU17" s="4017">
        <f t="shared" si="53"/>
        <v>12.172922282102073</v>
      </c>
      <c r="BV17" s="4017">
        <f t="shared" si="54"/>
        <v>20.177546024699282</v>
      </c>
      <c r="BW17" s="4017">
        <f t="shared" si="55"/>
        <v>8.0046237425972091</v>
      </c>
      <c r="BX17" s="4020"/>
      <c r="BY17" s="4021">
        <f>+'MCP PS'!AL10</f>
        <v>83.396708973470723</v>
      </c>
      <c r="BZ17" s="4022">
        <f t="shared" si="56"/>
        <v>83.396708973470723</v>
      </c>
      <c r="CA17" s="4020">
        <f t="shared" si="57"/>
        <v>0</v>
      </c>
      <c r="CB17" s="4022">
        <f>+'MCP PS'!AS10</f>
        <v>9251.2160664779822</v>
      </c>
      <c r="CC17" s="4020">
        <f t="shared" si="58"/>
        <v>9251.2160664779822</v>
      </c>
    </row>
    <row r="18" spans="1:81" s="4021" customFormat="1">
      <c r="A18" s="4009">
        <f t="shared" si="42"/>
        <v>46091</v>
      </c>
      <c r="B18" s="4010">
        <f>+'MCP PS'!C11</f>
        <v>84000.000000096639</v>
      </c>
      <c r="C18" s="4011">
        <f>+'MCP PS'!M11</f>
        <v>12.845202668560646</v>
      </c>
      <c r="D18" s="4012">
        <f t="shared" si="0"/>
        <v>7.75</v>
      </c>
      <c r="E18" s="4013">
        <f>+'MCP PS'!U11</f>
        <v>37.616068853445114</v>
      </c>
      <c r="F18" s="4014">
        <f t="shared" si="8"/>
        <v>6.9122628854916561</v>
      </c>
      <c r="G18" s="4013">
        <f>+'MCP PS'!W11</f>
        <v>70.71716209230739</v>
      </c>
      <c r="H18" s="4015">
        <f>+'MCP PS'!X11</f>
        <v>18789.647909226554</v>
      </c>
      <c r="I18" s="4015">
        <f>+'MCP PS'!Y11</f>
        <v>0</v>
      </c>
      <c r="J18" s="4015">
        <f>+SUM('MCP PS'!Z11:AA11)</f>
        <v>43861.058544527637</v>
      </c>
      <c r="K18" s="4015">
        <f>+'MCP PS'!AC11</f>
        <v>0</v>
      </c>
      <c r="L18" s="4015">
        <f>+'MCP PS'!AB11</f>
        <v>16577.182315524195</v>
      </c>
      <c r="M18" s="4016">
        <f>+'MCP PS'!AD11</f>
        <v>4772.5003800786271</v>
      </c>
      <c r="N18" s="4015">
        <v>21.098329738061462</v>
      </c>
      <c r="O18" s="4015">
        <v>40.304689716290284</v>
      </c>
      <c r="P18" s="4017">
        <f>+'Recalculos ST'!P18</f>
        <v>109.35859929662269</v>
      </c>
      <c r="Q18" s="4017">
        <f t="shared" si="44"/>
        <v>4.3054566652213655</v>
      </c>
      <c r="R18" s="4011">
        <f t="shared" si="11"/>
        <v>14.631362382793263</v>
      </c>
      <c r="S18" s="4011">
        <f t="shared" si="12"/>
        <v>19.322941949256894</v>
      </c>
      <c r="T18" s="4011">
        <f t="shared" si="13"/>
        <v>6.1195194515048676</v>
      </c>
      <c r="U18" s="4010">
        <f t="shared" si="1"/>
        <v>41376</v>
      </c>
      <c r="V18" s="4010">
        <f t="shared" si="14"/>
        <v>6761.3152189303219</v>
      </c>
      <c r="W18" s="4010">
        <f>+'Proy. Mes'!AO18</f>
        <v>5952.0291686194305</v>
      </c>
      <c r="X18" s="4010">
        <f t="shared" si="15"/>
        <v>189.48178287696894</v>
      </c>
      <c r="Y18" s="4025">
        <v>54009</v>
      </c>
      <c r="Z18" s="4018">
        <f t="shared" si="16"/>
        <v>6.9170630023907185</v>
      </c>
      <c r="AA18" s="4010">
        <f t="shared" si="17"/>
        <v>7228.5014583095008</v>
      </c>
      <c r="AB18" s="4012" t="str">
        <f t="shared" si="18"/>
        <v>SAG</v>
      </c>
      <c r="AC18" s="4011">
        <f t="shared" si="19"/>
        <v>8.5673272321068143</v>
      </c>
      <c r="AD18" s="4010">
        <f t="shared" si="20"/>
        <v>1740.2160085735034</v>
      </c>
      <c r="AE18" s="4010">
        <f>+'Proy. Mes'!AP18</f>
        <v>1740.2160085735029</v>
      </c>
      <c r="AF18" s="4010">
        <f t="shared" si="21"/>
        <v>199.85577967450311</v>
      </c>
      <c r="AG18" s="4018">
        <f t="shared" si="22"/>
        <v>6.7410041235211278</v>
      </c>
      <c r="AH18" s="4010">
        <f t="shared" si="23"/>
        <v>1726.7457172122167</v>
      </c>
      <c r="AI18" s="4012" t="str">
        <f t="shared" si="24"/>
        <v>BOLAS</v>
      </c>
      <c r="AJ18" s="4015">
        <f t="shared" si="25"/>
        <v>191.82869133920639</v>
      </c>
      <c r="AK18" s="4015">
        <f t="shared" si="26"/>
        <v>186.0138111388622</v>
      </c>
      <c r="AL18" s="4017">
        <f>+'MCP PS'!AE11</f>
        <v>90.647749432285664</v>
      </c>
      <c r="AM18" s="4017">
        <f>+'MCP PS'!AF11</f>
        <v>89.43078542321382</v>
      </c>
      <c r="AN18" s="4017">
        <f>+'MCP PS'!AG11</f>
        <v>87.199065525269233</v>
      </c>
      <c r="AO18" s="4017">
        <f>+'MCP PS'!AH11</f>
        <v>84.673390328611177</v>
      </c>
      <c r="AP18" s="4017">
        <f>+'MCP PS'!AI11</f>
        <v>81.912231558638197</v>
      </c>
      <c r="AQ18" s="4017">
        <f>+'MCP PS'!AJ11</f>
        <v>80.928877762023632</v>
      </c>
      <c r="AR18" s="4017">
        <f>+'MCP PS'!AK11</f>
        <v>76.682426125819021</v>
      </c>
      <c r="AS18" s="4017">
        <f t="shared" si="45"/>
        <v>102.44658031223739</v>
      </c>
      <c r="AT18" s="4017">
        <f t="shared" si="46"/>
        <v>-8.5652035466803583E-2</v>
      </c>
      <c r="AU18" s="4017">
        <f t="shared" si="2"/>
        <v>86.016062438101159</v>
      </c>
      <c r="AV18" s="4017">
        <f t="shared" si="47"/>
        <v>88.643895423511708</v>
      </c>
      <c r="AW18" s="4017">
        <f>+'MCP PS'!E11</f>
        <v>0.55693689229657306</v>
      </c>
      <c r="AX18" s="4017">
        <f>+'MCP PS'!AM11</f>
        <v>6.2801333857850248E-3</v>
      </c>
      <c r="AY18" s="4017">
        <f>+IF(AX18&gt;$AE$6,(AW18-(AX18-$AE$6))/AW18,1)</f>
        <v>1</v>
      </c>
      <c r="AZ18" s="4017">
        <f>+AY18*AV18</f>
        <v>88.643895423511708</v>
      </c>
      <c r="BA18" s="4017">
        <f>+'MCP PS'!O11</f>
        <v>0.95864045744673243</v>
      </c>
      <c r="BB18" s="4017">
        <f>+'MCP PS'!P11</f>
        <v>1.6741647403373547</v>
      </c>
      <c r="BC18" s="4019">
        <f>+'MCP PS'!Q11</f>
        <v>7.4373685072734924E-2</v>
      </c>
      <c r="BD18" s="4017">
        <f>+'MCP PS'!R11</f>
        <v>8.7363339886726704E-2</v>
      </c>
      <c r="BE18" s="4017">
        <f t="shared" si="3"/>
        <v>14.603428603052896</v>
      </c>
      <c r="BF18" s="4017">
        <f t="shared" si="59"/>
        <v>22.256480856303462</v>
      </c>
      <c r="BG18" s="4017">
        <f t="shared" si="4"/>
        <v>23.547726997740526</v>
      </c>
      <c r="BH18" s="4012"/>
      <c r="BI18" s="4017">
        <f t="shared" si="5"/>
        <v>4.3054566652213655</v>
      </c>
      <c r="BJ18" s="4017">
        <f>+'MCP PS'!AL11/25.4</f>
        <v>3.6936470673674453</v>
      </c>
      <c r="BK18" s="4017">
        <f t="shared" si="48"/>
        <v>-0.6118095978539202</v>
      </c>
      <c r="BL18" s="4012"/>
      <c r="BM18" s="4015">
        <f t="shared" si="6"/>
        <v>191.82869133920639</v>
      </c>
      <c r="BN18" s="4015">
        <f>+'MCP PS'!T11</f>
        <v>200.39957813453915</v>
      </c>
      <c r="BO18" s="4017">
        <f t="shared" si="49"/>
        <v>8.5708867953327683</v>
      </c>
      <c r="BP18" s="4012"/>
      <c r="BQ18" s="4017">
        <f t="shared" si="50"/>
        <v>88.643895423511708</v>
      </c>
      <c r="BR18" s="4017">
        <f t="shared" si="60"/>
        <v>88.643895423511708</v>
      </c>
      <c r="BS18" s="4017">
        <f t="shared" si="52"/>
        <v>0</v>
      </c>
      <c r="BT18" s="4012"/>
      <c r="BU18" s="4017">
        <f t="shared" si="53"/>
        <v>14.603428603052896</v>
      </c>
      <c r="BV18" s="4017">
        <f t="shared" si="54"/>
        <v>22.256480856303462</v>
      </c>
      <c r="BW18" s="4017">
        <f t="shared" si="55"/>
        <v>7.653052253250566</v>
      </c>
      <c r="BX18" s="4020"/>
      <c r="BY18" s="4021">
        <f>+'MCP PS'!AL11</f>
        <v>93.81863551113311</v>
      </c>
      <c r="BZ18" s="4022">
        <f t="shared" si="56"/>
        <v>93.81863551113311</v>
      </c>
      <c r="CA18" s="4020">
        <f t="shared" si="57"/>
        <v>0</v>
      </c>
      <c r="CB18" s="4022">
        <f>+'MCP PS'!AS11</f>
        <v>9028.6662741193595</v>
      </c>
      <c r="CC18" s="4020">
        <f t="shared" si="58"/>
        <v>9028.6662741193595</v>
      </c>
    </row>
    <row r="19" spans="1:81" s="4021" customFormat="1">
      <c r="A19" s="4009">
        <f t="shared" si="42"/>
        <v>46092</v>
      </c>
      <c r="B19" s="4010">
        <f>+'MCP PS'!C12</f>
        <v>83000.00000027362</v>
      </c>
      <c r="C19" s="4011">
        <f>+'MCP PS'!M12</f>
        <v>12.169611115156455</v>
      </c>
      <c r="D19" s="4012">
        <f t="shared" si="0"/>
        <v>7.75</v>
      </c>
      <c r="E19" s="4013">
        <f>+'MCP PS'!U12</f>
        <v>39.150910417226292</v>
      </c>
      <c r="F19" s="4014">
        <f t="shared" si="8"/>
        <v>6.6245681915466177</v>
      </c>
      <c r="G19" s="4013">
        <f>+'MCP PS'!W12</f>
        <v>78.175957616856962</v>
      </c>
      <c r="H19" s="4015">
        <f>+'MCP PS'!X12</f>
        <v>31768.460194610532</v>
      </c>
      <c r="I19" s="4015">
        <f>+'MCP PS'!Y12</f>
        <v>0</v>
      </c>
      <c r="J19" s="4015">
        <f>+SUM('MCP PS'!Z12:AA12)</f>
        <v>51229.721755135281</v>
      </c>
      <c r="K19" s="4015">
        <f>+'MCP PS'!AC12</f>
        <v>0</v>
      </c>
      <c r="L19" s="4015">
        <f>+'MCP PS'!AB12</f>
        <v>0</v>
      </c>
      <c r="M19" s="4016">
        <f>+'MCP PS'!AD12</f>
        <v>1.9694617903141201</v>
      </c>
      <c r="N19" s="4015">
        <v>16.231684863255257</v>
      </c>
      <c r="O19" s="4015">
        <v>43.025140532777165</v>
      </c>
      <c r="P19" s="4023">
        <f>+'Recalculos ST'!P19*1.08</f>
        <v>109.40221245900028</v>
      </c>
      <c r="Q19" s="4017">
        <f t="shared" si="44"/>
        <v>4.3071737188582793</v>
      </c>
      <c r="R19" s="4011">
        <f t="shared" si="11"/>
        <v>14.552822056962292</v>
      </c>
      <c r="S19" s="4011">
        <f t="shared" si="12"/>
        <v>19.27134880921853</v>
      </c>
      <c r="T19" s="4011">
        <f t="shared" si="13"/>
        <v>5.9687403966009116</v>
      </c>
      <c r="U19" s="4010">
        <f t="shared" si="1"/>
        <v>41376</v>
      </c>
      <c r="V19" s="4010">
        <f t="shared" si="14"/>
        <v>6932.1158654450564</v>
      </c>
      <c r="W19" s="4010">
        <f>+'Proy. Mes'!AO19</f>
        <v>6161.88480411412</v>
      </c>
      <c r="X19" s="4010">
        <f t="shared" si="15"/>
        <v>188.57063788552824</v>
      </c>
      <c r="Y19" s="4025">
        <v>53000</v>
      </c>
      <c r="Z19" s="4018">
        <f t="shared" si="16"/>
        <v>6.5731008131493045</v>
      </c>
      <c r="AA19" s="4010">
        <f t="shared" si="17"/>
        <v>7606.7599480562349</v>
      </c>
      <c r="AB19" s="4012" t="str">
        <f t="shared" si="18"/>
        <v>SAG</v>
      </c>
      <c r="AC19" s="4011">
        <f t="shared" si="19"/>
        <v>8.3562365552412761</v>
      </c>
      <c r="AD19" s="4010">
        <f t="shared" si="20"/>
        <v>1784.1763934565301</v>
      </c>
      <c r="AE19" s="4010">
        <f>+'Proy. Mes'!AP19</f>
        <v>1784.1763934565304</v>
      </c>
      <c r="AF19" s="4010">
        <f t="shared" si="21"/>
        <v>190.83683936414991</v>
      </c>
      <c r="AG19" s="4018">
        <f t="shared" si="22"/>
        <v>6.5875282047326751</v>
      </c>
      <c r="AH19" s="4010">
        <f t="shared" si="23"/>
        <v>1766.975356801885</v>
      </c>
      <c r="AI19" s="4012" t="str">
        <f t="shared" si="24"/>
        <v>BOLAS</v>
      </c>
      <c r="AJ19" s="4015">
        <f t="shared" si="25"/>
        <v>189.07948158562573</v>
      </c>
      <c r="AK19" s="4015">
        <f>+IFERROR((1/((($Y19/(AE19+W19)/(10*$AJ$2*C19)+(1/SQRT($AJ$3))))^2)*$AP$2+$AP$3),"0")</f>
        <v>185.21483549110113</v>
      </c>
      <c r="AL19" s="4017">
        <f>+'MCP PS'!AE12</f>
        <v>91.829947349396932</v>
      </c>
      <c r="AM19" s="4017">
        <f>+'MCP PS'!AF12</f>
        <v>90.063943512755188</v>
      </c>
      <c r="AN19" s="4017">
        <f>+'MCP PS'!AG12</f>
        <v>87.809815372887243</v>
      </c>
      <c r="AO19" s="4017">
        <f>+'MCP PS'!AH12</f>
        <v>84.859102663895527</v>
      </c>
      <c r="AP19" s="4017">
        <f>+'MCP PS'!AI12</f>
        <v>81.058619176015839</v>
      </c>
      <c r="AQ19" s="4017">
        <f>+'MCP PS'!AJ12</f>
        <v>79.796976405798873</v>
      </c>
      <c r="AR19" s="4017">
        <f>+'MCP PS'!AK12</f>
        <v>75.259451601195906</v>
      </c>
      <c r="AS19" s="4017">
        <f t="shared" si="45"/>
        <v>105.84044258066459</v>
      </c>
      <c r="AT19" s="4017">
        <f t="shared" si="46"/>
        <v>-0.10238939467123838</v>
      </c>
      <c r="AU19" s="4017">
        <f t="shared" si="2"/>
        <v>86.480708916360811</v>
      </c>
      <c r="AV19" s="4017">
        <f t="shared" si="47"/>
        <v>88.889646945863234</v>
      </c>
      <c r="AW19" s="4017">
        <f>+'MCP PS'!E12</f>
        <v>0.58228827415834328</v>
      </c>
      <c r="AX19" s="4017">
        <f>+'MCP PS'!AM12</f>
        <v>7.3585896939332325E-3</v>
      </c>
      <c r="AY19" s="4017">
        <f>+IF(AX19&gt;$AE$6,(AW19-(AX19-$AE$6))/AW19,1)</f>
        <v>1</v>
      </c>
      <c r="AZ19" s="4017">
        <f t="shared" si="31"/>
        <v>88.889646945863234</v>
      </c>
      <c r="BA19" s="4017">
        <f>+'MCP PS'!O12</f>
        <v>0.70847094331945193</v>
      </c>
      <c r="BB19" s="4017">
        <f>+'MCP PS'!P12</f>
        <v>0.87799854659809529</v>
      </c>
      <c r="BC19" s="4019">
        <f>+'MCP PS'!Q12</f>
        <v>0.273776677640022</v>
      </c>
      <c r="BD19" s="4017">
        <f>+'MCP PS'!R12</f>
        <v>0.15891872403305285</v>
      </c>
      <c r="BE19" s="4017">
        <f t="shared" si="3"/>
        <v>23.279632154848947</v>
      </c>
      <c r="BF19" s="4017">
        <f t="shared" si="59"/>
        <v>28.972028596244684</v>
      </c>
      <c r="BG19" s="4017">
        <f t="shared" si="4"/>
        <v>29.10801791972137</v>
      </c>
      <c r="BH19" s="4012"/>
      <c r="BI19" s="4017">
        <f t="shared" si="5"/>
        <v>4.3071737188582793</v>
      </c>
      <c r="BJ19" s="4017">
        <f>+'MCP PS'!AL12/25.4</f>
        <v>3.7557120493940177</v>
      </c>
      <c r="BK19" s="4017">
        <f t="shared" si="48"/>
        <v>-0.55146166946426156</v>
      </c>
      <c r="BL19" s="4012"/>
      <c r="BM19" s="4015">
        <f t="shared" si="6"/>
        <v>189.07948158562573</v>
      </c>
      <c r="BN19" s="4015">
        <f>+'MCP PS'!T12</f>
        <v>187.81364115193497</v>
      </c>
      <c r="BO19" s="4017">
        <f t="shared" si="49"/>
        <v>-1.2658404336907552</v>
      </c>
      <c r="BP19" s="4012"/>
      <c r="BQ19" s="4017">
        <f t="shared" si="50"/>
        <v>88.889646945863234</v>
      </c>
      <c r="BR19" s="4017">
        <f t="shared" si="60"/>
        <v>88.889646945863234</v>
      </c>
      <c r="BS19" s="4017">
        <f t="shared" si="52"/>
        <v>0</v>
      </c>
      <c r="BT19" s="4012"/>
      <c r="BU19" s="4017">
        <f t="shared" si="53"/>
        <v>23.279632154848947</v>
      </c>
      <c r="BV19" s="4017">
        <f t="shared" si="54"/>
        <v>28.972028596244684</v>
      </c>
      <c r="BW19" s="4017">
        <f t="shared" si="55"/>
        <v>5.6923964413957364</v>
      </c>
      <c r="BX19" s="4020"/>
      <c r="BY19" s="4021">
        <f>+'MCP PS'!AL12</f>
        <v>95.395086054608043</v>
      </c>
      <c r="BZ19" s="4022">
        <f>+BY19*$BY$6</f>
        <v>95.395086054608043</v>
      </c>
      <c r="CA19" s="4020">
        <f t="shared" si="57"/>
        <v>0</v>
      </c>
      <c r="CB19" s="4022">
        <f>+'MCP PS'!AS12</f>
        <v>9074.7694323179985</v>
      </c>
      <c r="CC19" s="4020">
        <f t="shared" si="58"/>
        <v>9074.7694323179985</v>
      </c>
    </row>
    <row r="20" spans="1:81" s="4021" customFormat="1">
      <c r="A20" s="4009">
        <f t="shared" si="42"/>
        <v>46093</v>
      </c>
      <c r="B20" s="4010">
        <f>+'MCP PS'!C13</f>
        <v>204049.50835965283</v>
      </c>
      <c r="C20" s="4011">
        <f>+'MCP PS'!M13</f>
        <v>12.472034310232406</v>
      </c>
      <c r="D20" s="4012">
        <f t="shared" si="0"/>
        <v>7.75</v>
      </c>
      <c r="E20" s="4013">
        <f>+'MCP PS'!U13</f>
        <v>37.506814464923046</v>
      </c>
      <c r="F20" s="4014">
        <f t="shared" si="8"/>
        <v>6.9336682207044147</v>
      </c>
      <c r="G20" s="4013">
        <f>+'MCP PS'!W13</f>
        <v>77.618100653245762</v>
      </c>
      <c r="H20" s="4015">
        <f>+'MCP PS'!X13</f>
        <v>64476.378137446263</v>
      </c>
      <c r="I20" s="4015">
        <f>+'MCP PS'!Y13</f>
        <v>0.56074766355140204</v>
      </c>
      <c r="J20" s="4015">
        <f>+SUM('MCP PS'!Z13:AA13)</f>
        <v>123117.68449730964</v>
      </c>
      <c r="K20" s="4015">
        <f>+'MCP PS'!AC13</f>
        <v>17.009345794392502</v>
      </c>
      <c r="L20" s="4015">
        <f>+'MCP PS'!AB13</f>
        <v>335.84668059669792</v>
      </c>
      <c r="M20" s="4015">
        <f>+'MCP PS'!AD13</f>
        <v>16101.943540289307</v>
      </c>
      <c r="N20" s="4015">
        <v>15.909090909137872</v>
      </c>
      <c r="O20" s="4015">
        <v>55.24413078733145</v>
      </c>
      <c r="P20" s="4017">
        <f>+'Recalculos ST'!P20</f>
        <v>98.6239733807097</v>
      </c>
      <c r="Q20" s="4017">
        <f t="shared" si="44"/>
        <v>3.8828335976657362</v>
      </c>
      <c r="R20" s="4011">
        <f t="shared" si="11"/>
        <v>14.468312831715656</v>
      </c>
      <c r="S20" s="4011">
        <f t="shared" si="12"/>
        <v>19.215834699154016</v>
      </c>
      <c r="T20" s="4011">
        <f t="shared" si="13"/>
        <v>5.7022590816589025</v>
      </c>
      <c r="U20" s="4010">
        <f t="shared" si="1"/>
        <v>41376</v>
      </c>
      <c r="V20" s="4010">
        <f t="shared" si="14"/>
        <v>7256.071568737435</v>
      </c>
      <c r="W20" s="4010">
        <f>+'Proy. Mes'!AO20</f>
        <v>6193.5967558878647</v>
      </c>
      <c r="X20" s="4010">
        <f t="shared" si="15"/>
        <v>191.55962543840934</v>
      </c>
      <c r="Y20" s="4010">
        <v>55011</v>
      </c>
      <c r="Z20" s="4018">
        <f t="shared" si="16"/>
        <v>6.6702896303783517</v>
      </c>
      <c r="AA20" s="4010">
        <f t="shared" si="17"/>
        <v>7495.9263796111809</v>
      </c>
      <c r="AB20" s="4012" t="str">
        <f t="shared" si="18"/>
        <v>SAG</v>
      </c>
      <c r="AC20" s="4011">
        <f t="shared" si="19"/>
        <v>7.9831627143224626</v>
      </c>
      <c r="AD20" s="4010">
        <f t="shared" si="20"/>
        <v>1867.5555708330992</v>
      </c>
      <c r="AE20" s="4010">
        <f>+'Proy. Mes'!AP20</f>
        <v>1812</v>
      </c>
      <c r="AF20" s="4010">
        <f t="shared" si="21"/>
        <v>203.34341526563992</v>
      </c>
      <c r="AG20" s="4018">
        <f t="shared" si="22"/>
        <v>6.4691856041014644</v>
      </c>
      <c r="AH20" s="4010">
        <f t="shared" si="23"/>
        <v>1799.2991254757383</v>
      </c>
      <c r="AI20" s="4012" t="str">
        <f t="shared" si="24"/>
        <v>BOLAS</v>
      </c>
      <c r="AJ20" s="4015">
        <f t="shared" si="25"/>
        <v>194.22678790212424</v>
      </c>
      <c r="AK20" s="4015">
        <f t="shared" si="26"/>
        <v>183.67924337116716</v>
      </c>
      <c r="AL20" s="4017">
        <f>+'MCP PS'!AE13</f>
        <v>92.778110226656679</v>
      </c>
      <c r="AM20" s="4017">
        <f>+'MCP PS'!AF13</f>
        <v>90.940862805929456</v>
      </c>
      <c r="AN20" s="4017">
        <f>+'MCP PS'!AG13</f>
        <v>88.757698082982898</v>
      </c>
      <c r="AO20" s="4017">
        <f>+'MCP PS'!AH13</f>
        <v>85.333942703073035</v>
      </c>
      <c r="AP20" s="4017">
        <f>+'MCP PS'!AI13</f>
        <v>81.609317250314476</v>
      </c>
      <c r="AQ20" s="4017">
        <f>+'MCP PS'!AJ13</f>
        <v>80.369329479872434</v>
      </c>
      <c r="AR20" s="4017">
        <f>+'MCP PS'!AK13</f>
        <v>75.739059291304983</v>
      </c>
      <c r="AS20" s="4017">
        <f t="shared" si="45"/>
        <v>107.206459986513</v>
      </c>
      <c r="AT20" s="4017">
        <f t="shared" si="46"/>
        <v>-0.1056011588721588</v>
      </c>
      <c r="AU20" s="4017">
        <f t="shared" si="2"/>
        <v>86.695886100031686</v>
      </c>
      <c r="AV20" s="4017">
        <f t="shared" si="47"/>
        <v>89.003454158306766</v>
      </c>
      <c r="AW20" s="4017">
        <f>+'MCP PS'!E13</f>
        <v>0.53189867521201617</v>
      </c>
      <c r="AX20" s="4017">
        <f>+'MCP PS'!AM13</f>
        <v>6.7341960735284494E-3</v>
      </c>
      <c r="AY20" s="4017">
        <f>+IF(AX20&gt;$AE$6,(AW20-(AX20-$AE$6))/AW20,1)</f>
        <v>1</v>
      </c>
      <c r="AZ20" s="4017">
        <f t="shared" si="31"/>
        <v>89.003454158306766</v>
      </c>
      <c r="BA20" s="4017">
        <f>+'MCP PS'!O13</f>
        <v>0.74327477704907996</v>
      </c>
      <c r="BB20" s="4017">
        <f>+'MCP PS'!P13</f>
        <v>0.94280056874249729</v>
      </c>
      <c r="BC20" s="4019">
        <f>+'MCP PS'!Q13</f>
        <v>0.17684244226265214</v>
      </c>
      <c r="BD20" s="4017">
        <f>+'MCP PS'!R13</f>
        <v>0.13924984499905191</v>
      </c>
      <c r="BE20" s="4017">
        <f t="shared" si="3"/>
        <v>21.215126411670752</v>
      </c>
      <c r="BF20" s="4017">
        <f t="shared" si="59"/>
        <v>27.201992631785807</v>
      </c>
      <c r="BG20" s="4017">
        <f t="shared" si="4"/>
        <v>27.628913238434244</v>
      </c>
      <c r="BH20" s="4012"/>
      <c r="BI20" s="4017">
        <f t="shared" si="5"/>
        <v>3.8828335976657362</v>
      </c>
      <c r="BJ20" s="4017">
        <f>+'MCP PS'!AL13/25.4</f>
        <v>3.3925904975297687</v>
      </c>
      <c r="BK20" s="4017">
        <f t="shared" si="48"/>
        <v>-0.4902431001359675</v>
      </c>
      <c r="BL20" s="4012"/>
      <c r="BM20" s="4015">
        <f t="shared" si="6"/>
        <v>194.22678790212424</v>
      </c>
      <c r="BN20" s="4015">
        <f>+'MCP PS'!T13</f>
        <v>195.53584930946002</v>
      </c>
      <c r="BO20" s="4017">
        <f t="shared" si="49"/>
        <v>1.3090614073357756</v>
      </c>
      <c r="BP20" s="4012"/>
      <c r="BQ20" s="4017">
        <f t="shared" si="50"/>
        <v>89.003454158306766</v>
      </c>
      <c r="BR20" s="4017">
        <f t="shared" si="60"/>
        <v>89.003454158306766</v>
      </c>
      <c r="BS20" s="4017">
        <f t="shared" si="52"/>
        <v>0</v>
      </c>
      <c r="BT20" s="4012"/>
      <c r="BU20" s="4017">
        <f t="shared" si="53"/>
        <v>21.215126411670752</v>
      </c>
      <c r="BV20" s="4017">
        <f t="shared" si="54"/>
        <v>27.201992631785807</v>
      </c>
      <c r="BW20" s="4017">
        <f t="shared" si="55"/>
        <v>5.9868662201150542</v>
      </c>
      <c r="BX20" s="4020"/>
      <c r="BY20" s="4021">
        <f>+'MCP PS'!AL13</f>
        <v>86.171798637256117</v>
      </c>
      <c r="BZ20" s="4022">
        <f t="shared" si="56"/>
        <v>86.171798637256117</v>
      </c>
      <c r="CA20" s="4020">
        <f t="shared" si="57"/>
        <v>0</v>
      </c>
      <c r="CB20" s="4022">
        <f>+'MCP PS'!AS13</f>
        <v>9082.3969968607416</v>
      </c>
      <c r="CC20" s="4020">
        <f t="shared" si="58"/>
        <v>9082.3969968607416</v>
      </c>
    </row>
    <row r="21" spans="1:81" s="4219" customFormat="1">
      <c r="A21" s="4208">
        <f t="shared" si="42"/>
        <v>46094</v>
      </c>
      <c r="B21" s="4209">
        <f>+'MCP PS'!C14</f>
        <v>225152.2586617237</v>
      </c>
      <c r="C21" s="4210">
        <f>+'MCP PS'!M14</f>
        <v>12.515641052011633</v>
      </c>
      <c r="D21" s="4211">
        <f t="shared" si="0"/>
        <v>7.75</v>
      </c>
      <c r="E21" s="4212">
        <f>+'MCP PS'!U14</f>
        <v>37.157252079141109</v>
      </c>
      <c r="F21" s="4213">
        <f t="shared" si="8"/>
        <v>7.0030276851295401</v>
      </c>
      <c r="G21" s="4212">
        <f>+'MCP PS'!W14</f>
        <v>89.601171984859292</v>
      </c>
      <c r="H21" s="4214">
        <f>+'MCP PS'!X14</f>
        <v>44765.143850807413</v>
      </c>
      <c r="I21" s="4214">
        <f>+'MCP PS'!Y14</f>
        <v>0.56074766355140204</v>
      </c>
      <c r="J21" s="4214">
        <f>+SUM('MCP PS'!Z14:AA14)</f>
        <v>178495.69094112641</v>
      </c>
      <c r="K21" s="4214">
        <f>+'MCP PS'!AC14</f>
        <v>17.009345794392502</v>
      </c>
      <c r="L21" s="4214">
        <f>+'MCP PS'!AB14</f>
        <v>26.3551401869159</v>
      </c>
      <c r="M21" s="4214">
        <f>+'MCP PS'!AD14</f>
        <v>1847.8009790197791</v>
      </c>
      <c r="N21" s="4214"/>
      <c r="O21" s="4214"/>
      <c r="P21" s="4215">
        <f t="shared" ref="P21:P39" si="61">((($L$4*D21)^$L$5+SUMPRODUCT($D$3:$I$3,H21:M21)/SUM(H21:M21)*G21+SUMPRODUCT($D$5:$I$5,H21:M21)/SUM(H21:M21)*F21)*$Q$7)</f>
        <v>108.79262933884122</v>
      </c>
      <c r="Q21" s="4215">
        <f t="shared" si="44"/>
        <v>4.2831743834189462</v>
      </c>
      <c r="R21" s="4210">
        <f t="shared" si="11"/>
        <v>14.879434558203576</v>
      </c>
      <c r="S21" s="4210">
        <f t="shared" si="12"/>
        <v>19.48590056128393</v>
      </c>
      <c r="T21" s="4210">
        <f t="shared" si="13"/>
        <v>6.135025247248052</v>
      </c>
      <c r="U21" s="4209">
        <f t="shared" si="1"/>
        <v>41376</v>
      </c>
      <c r="V21" s="4209">
        <f t="shared" si="14"/>
        <v>6744.2265243423017</v>
      </c>
      <c r="W21" s="4209">
        <f>+'Proy. Mes'!AO21</f>
        <v>6170.4984043935419</v>
      </c>
      <c r="X21" s="4209">
        <f>IF(((((1/(Y21/V21/(10*$AJ$2*C21)+(1/SQRT($AJ$3))))^2))*$AO$2)+$AO$3&gt;$AJ$5,$AJ$5,IF(((((1/(Y21/V21/(10*$AJ$2*C21)+(1/SQRT($AJ$3))))^2))*$AO$2)+$AO$3&lt;$AJ$6,$AJ$6,((((1/(Y21/V21/(10*$AJ$2*C21)+(1/SQRT($AJ$3))))^2))*$AO$2)+$AO$3))</f>
        <v>181.14579598278732</v>
      </c>
      <c r="Y21" s="4209">
        <v>58000</v>
      </c>
      <c r="Z21" s="4216">
        <f t="shared" si="16"/>
        <v>6.9319667396262004</v>
      </c>
      <c r="AA21" s="4209">
        <f t="shared" si="17"/>
        <v>7212.9601710547449</v>
      </c>
      <c r="AB21" s="4211" t="str">
        <f t="shared" si="18"/>
        <v>SAG</v>
      </c>
      <c r="AC21" s="4210">
        <f t="shared" si="19"/>
        <v>8.5890353461472717</v>
      </c>
      <c r="AD21" s="4209">
        <f t="shared" si="20"/>
        <v>1735.8177489265584</v>
      </c>
      <c r="AE21" s="4209">
        <f>+'Proy. Mes'!AP21</f>
        <v>1735.8177489265581</v>
      </c>
      <c r="AF21" s="4209">
        <f t="shared" si="21"/>
        <v>191.00677903480766</v>
      </c>
      <c r="AG21" s="4216">
        <f t="shared" si="22"/>
        <v>6.7708063539283838</v>
      </c>
      <c r="AH21" s="4209">
        <f t="shared" si="23"/>
        <v>1719.1453117318201</v>
      </c>
      <c r="AI21" s="4211" t="str">
        <f t="shared" si="24"/>
        <v>BOLAS</v>
      </c>
      <c r="AJ21" s="4214">
        <f>+IFERROR((AF21*AE21+X21*W21)/(W21+AE21),"0")</f>
        <v>183.3107573973866</v>
      </c>
      <c r="AK21" s="4214">
        <f t="shared" si="26"/>
        <v>166.33957612628626</v>
      </c>
      <c r="AL21" s="4215">
        <f>+'MCP PS'!AE14</f>
        <v>94.36076838534953</v>
      </c>
      <c r="AM21" s="4215">
        <f>+'MCP PS'!AF14</f>
        <v>92.606078199908765</v>
      </c>
      <c r="AN21" s="4215">
        <f>+'MCP PS'!AG14</f>
        <v>90.298867028630127</v>
      </c>
      <c r="AO21" s="4215">
        <f>+'MCP PS'!AH14</f>
        <v>86.865503581818075</v>
      </c>
      <c r="AP21" s="4215">
        <f>+'MCP PS'!AI14</f>
        <v>83.294898419745806</v>
      </c>
      <c r="AQ21" s="4215">
        <f>+'MCP PS'!AJ14</f>
        <v>82.122902867440274</v>
      </c>
      <c r="AR21" s="4215">
        <f>+'MCP PS'!AK14</f>
        <v>77.372444099139685</v>
      </c>
      <c r="AS21" s="4215">
        <f t="shared" si="45"/>
        <v>108.72206534385558</v>
      </c>
      <c r="AT21" s="4215">
        <f t="shared" si="46"/>
        <v>-0.10506679947168147</v>
      </c>
      <c r="AU21" s="4215">
        <f t="shared" si="2"/>
        <v>89.462190755382309</v>
      </c>
      <c r="AV21" s="4215">
        <f t="shared" si="47"/>
        <v>90.466552690521695</v>
      </c>
      <c r="AW21" s="4215">
        <f>+'MCP PS'!E14</f>
        <v>0.446063956179379</v>
      </c>
      <c r="AX21" s="4215">
        <f>+'MCP PS'!AM14</f>
        <v>5.9669515636510692E-3</v>
      </c>
      <c r="AY21" s="4215">
        <f>+IF(AX21&gt;$AE$6,(AW21-(AX21-$AE$6))/AW21,1)</f>
        <v>1</v>
      </c>
      <c r="AZ21" s="4215">
        <f t="shared" si="31"/>
        <v>90.466552690521695</v>
      </c>
      <c r="BA21" s="4215">
        <f>+'MCP PS'!O14</f>
        <v>0.73755561675588099</v>
      </c>
      <c r="BB21" s="4215">
        <f>+'MCP PS'!P14</f>
        <v>0.46517646626253251</v>
      </c>
      <c r="BC21" s="4217">
        <f>+'MCP PS'!Q14</f>
        <v>0.22898734738039722</v>
      </c>
      <c r="BD21" s="4215">
        <f>+'MCP PS'!R14</f>
        <v>8.4341844637126351E-2</v>
      </c>
      <c r="BE21" s="4215">
        <f t="shared" si="3"/>
        <v>25.833456980556189</v>
      </c>
      <c r="BF21" s="4215">
        <f t="shared" si="59"/>
        <v>28.929657274604629</v>
      </c>
      <c r="BG21" s="4215">
        <f t="shared" si="4"/>
        <v>29.005870561803196</v>
      </c>
      <c r="BH21" s="4211"/>
      <c r="BI21" s="4215">
        <f t="shared" si="5"/>
        <v>4.2831743834189462</v>
      </c>
      <c r="BJ21" s="4215">
        <f>+'MCP PS'!AL14/25.4</f>
        <v>3.6255582677920426</v>
      </c>
      <c r="BK21" s="4215">
        <f t="shared" si="48"/>
        <v>-0.65761611562690359</v>
      </c>
      <c r="BL21" s="4211"/>
      <c r="BM21" s="4214">
        <f t="shared" si="6"/>
        <v>183.3107573973866</v>
      </c>
      <c r="BN21" s="4214">
        <f>+'MCP PS'!T14</f>
        <v>188.7111380424252</v>
      </c>
      <c r="BO21" s="4215">
        <f t="shared" si="49"/>
        <v>5.4003806450386094</v>
      </c>
      <c r="BP21" s="4211"/>
      <c r="BQ21" s="4215">
        <f t="shared" si="50"/>
        <v>90.466552690521695</v>
      </c>
      <c r="BR21" s="4215">
        <f t="shared" si="60"/>
        <v>90.466552690521695</v>
      </c>
      <c r="BS21" s="4215">
        <f t="shared" si="52"/>
        <v>0</v>
      </c>
      <c r="BT21" s="4211"/>
      <c r="BU21" s="4215">
        <f t="shared" si="53"/>
        <v>25.833456980556189</v>
      </c>
      <c r="BV21" s="4215">
        <f t="shared" si="54"/>
        <v>28.929657274604629</v>
      </c>
      <c r="BW21" s="4215">
        <f t="shared" si="55"/>
        <v>3.0962002940484403</v>
      </c>
      <c r="BX21" s="4218"/>
      <c r="BY21" s="4219">
        <f>+'MCP PS'!AL14</f>
        <v>92.089180001917882</v>
      </c>
      <c r="BZ21" s="4220">
        <f t="shared" si="56"/>
        <v>92.089180001917882</v>
      </c>
      <c r="CA21" s="4218">
        <f t="shared" si="57"/>
        <v>0</v>
      </c>
      <c r="CB21" s="4220">
        <f>+'MCP PS'!AS14</f>
        <v>8917.9053036249225</v>
      </c>
      <c r="CC21" s="4218">
        <f t="shared" si="58"/>
        <v>8917.9053036249225</v>
      </c>
    </row>
    <row r="22" spans="1:81" s="4219" customFormat="1">
      <c r="A22" s="4208">
        <f t="shared" si="42"/>
        <v>46095</v>
      </c>
      <c r="B22" s="4209">
        <f>+'MCP PS'!C15</f>
        <v>175999.99999968239</v>
      </c>
      <c r="C22" s="4210">
        <f>+'MCP PS'!M15</f>
        <v>12.694261883624915</v>
      </c>
      <c r="D22" s="4211">
        <f t="shared" si="0"/>
        <v>7.75</v>
      </c>
      <c r="E22" s="4212">
        <f>+'MCP PS'!U15</f>
        <v>38.120688222082215</v>
      </c>
      <c r="F22" s="4213">
        <f t="shared" si="8"/>
        <v>6.8150385885420439</v>
      </c>
      <c r="G22" s="4212">
        <f>+'MCP PS'!W15</f>
        <v>91.115987110162962</v>
      </c>
      <c r="H22" s="4214">
        <f>+'MCP PS'!X15</f>
        <v>33551.33819724842</v>
      </c>
      <c r="I22" s="4214">
        <f>+'MCP PS'!Y15</f>
        <v>0.420560747663551</v>
      </c>
      <c r="J22" s="4214">
        <f>+SUM('MCP PS'!Z15:AA15)</f>
        <v>142210.79519402713</v>
      </c>
      <c r="K22" s="4214">
        <f>+'MCP PS'!AC15</f>
        <v>12.757009345794399</v>
      </c>
      <c r="L22" s="4214">
        <f>+'MCP PS'!AB15</f>
        <v>19.766355140186899</v>
      </c>
      <c r="M22" s="4214">
        <f>+'MCP PS'!AD15</f>
        <v>205.37383177570101</v>
      </c>
      <c r="N22" s="4214"/>
      <c r="O22" s="4214"/>
      <c r="P22" s="4215">
        <f>((($L$4*D22)^$L$5+SUMPRODUCT($D$3:$I$3,H22:M22)/SUM(H22:M22)*G22+SUMPRODUCT($D$5:$I$5,H22:M22)/SUM(H22:M22)*F22)*$Q$7)</f>
        <v>109.13548469023023</v>
      </c>
      <c r="Q22" s="4215">
        <f t="shared" si="10"/>
        <v>4.2966726255996157</v>
      </c>
      <c r="R22" s="4210">
        <f t="shared" si="11"/>
        <v>15.04874881190581</v>
      </c>
      <c r="S22" s="4210">
        <f t="shared" si="12"/>
        <v>19.597123094540926</v>
      </c>
      <c r="T22" s="4210">
        <f t="shared" si="13"/>
        <v>6.0413351161690567</v>
      </c>
      <c r="U22" s="4209">
        <f t="shared" si="1"/>
        <v>41376</v>
      </c>
      <c r="V22" s="4209">
        <f t="shared" si="14"/>
        <v>6848.8172240704025</v>
      </c>
      <c r="W22" s="4209">
        <f>+'Proy. Mes'!AO22</f>
        <v>6315.1186195842201</v>
      </c>
      <c r="X22" s="4209">
        <f t="shared" si="15"/>
        <v>183.48728590480607</v>
      </c>
      <c r="Y22" s="4209">
        <v>58000</v>
      </c>
      <c r="Z22" s="4216">
        <f t="shared" si="16"/>
        <v>6.9747516702368655</v>
      </c>
      <c r="AA22" s="4209">
        <f t="shared" si="17"/>
        <v>7168.7140078926968</v>
      </c>
      <c r="AB22" s="4211" t="str">
        <f t="shared" si="18"/>
        <v>SAG</v>
      </c>
      <c r="AC22" s="4210">
        <f t="shared" si="19"/>
        <v>8.457869162636678</v>
      </c>
      <c r="AD22" s="4209">
        <f t="shared" si="20"/>
        <v>1762.7371283847372</v>
      </c>
      <c r="AE22" s="4209">
        <f>+'Proy. Mes'!AP22</f>
        <v>1762.7371283847372</v>
      </c>
      <c r="AF22" s="4209">
        <f t="shared" si="21"/>
        <v>200.18449709274145</v>
      </c>
      <c r="AG22" s="4216">
        <f t="shared" si="22"/>
        <v>6.6544167877575848</v>
      </c>
      <c r="AH22" s="4209">
        <f t="shared" si="23"/>
        <v>1749.2141492271128</v>
      </c>
      <c r="AI22" s="4211" t="str">
        <f t="shared" si="24"/>
        <v>BOLAS</v>
      </c>
      <c r="AJ22" s="4214">
        <f t="shared" si="25"/>
        <v>187.13092538287614</v>
      </c>
      <c r="AK22" s="4214">
        <f t="shared" si="26"/>
        <v>176.13614628012732</v>
      </c>
      <c r="AL22" s="4215">
        <f>+'MCP PS'!AE15</f>
        <v>94.985273478300044</v>
      </c>
      <c r="AM22" s="4215">
        <f>+'MCP PS'!AF15</f>
        <v>93.277483610299029</v>
      </c>
      <c r="AN22" s="4215">
        <f>+'MCP PS'!AG15</f>
        <v>90.987142713285849</v>
      </c>
      <c r="AO22" s="4215">
        <f>+'MCP PS'!AH15</f>
        <v>87.824851173456025</v>
      </c>
      <c r="AP22" s="4215">
        <f>+'MCP PS'!AI15</f>
        <v>84.343230583776872</v>
      </c>
      <c r="AQ22" s="4215">
        <f>+'MCP PS'!AJ15</f>
        <v>83.190955857557384</v>
      </c>
      <c r="AR22" s="4215">
        <f>+'MCP PS'!AK15</f>
        <v>78.353710613769508</v>
      </c>
      <c r="AS22" s="4215">
        <f t="shared" si="27"/>
        <v>108.98437954431766</v>
      </c>
      <c r="AT22" s="4215">
        <f t="shared" si="28"/>
        <v>-0.1022004149828077</v>
      </c>
      <c r="AU22" s="4215">
        <f t="shared" si="2"/>
        <v>89.859521314070889</v>
      </c>
      <c r="AV22" s="4215">
        <f t="shared" si="29"/>
        <v>90.676700823012098</v>
      </c>
      <c r="AW22" s="4215">
        <f>+'MCP PS'!E15</f>
        <v>0.50041368235040529</v>
      </c>
      <c r="AX22" s="4215">
        <f>+'MCP PS'!AM15</f>
        <v>6.5226253675690037E-3</v>
      </c>
      <c r="AY22" s="4215">
        <f t="shared" si="30"/>
        <v>1</v>
      </c>
      <c r="AZ22" s="4215">
        <f t="shared" si="31"/>
        <v>90.676700823012098</v>
      </c>
      <c r="BA22" s="4215">
        <f>+'MCP PS'!O15</f>
        <v>0.74974017643515267</v>
      </c>
      <c r="BB22" s="4215">
        <f>+'MCP PS'!P15</f>
        <v>0.46359292871394653</v>
      </c>
      <c r="BC22" s="4217">
        <f>+'MCP PS'!Q15</f>
        <v>0.23898985385571092</v>
      </c>
      <c r="BD22" s="4215">
        <f>+'MCP PS'!R15</f>
        <v>8.7998614587530041E-2</v>
      </c>
      <c r="BE22" s="4215">
        <f t="shared" si="3"/>
        <v>26.711337370335777</v>
      </c>
      <c r="BF22" s="4215">
        <f t="shared" si="43"/>
        <v>29.713808779119184</v>
      </c>
      <c r="BG22" s="4215">
        <f t="shared" si="4"/>
        <v>29.734338421893661</v>
      </c>
      <c r="BH22" s="4211"/>
      <c r="BI22" s="4215">
        <f t="shared" si="5"/>
        <v>4.2966726255996157</v>
      </c>
      <c r="BJ22" s="4215">
        <f>+'MCP PS'!AL15/25.4</f>
        <v>3.6454826398470677</v>
      </c>
      <c r="BK22" s="4215">
        <f t="shared" si="32"/>
        <v>-0.65118998575254805</v>
      </c>
      <c r="BL22" s="4211"/>
      <c r="BM22" s="4214">
        <f t="shared" si="6"/>
        <v>187.13092538287614</v>
      </c>
      <c r="BN22" s="4214">
        <f>+'MCP PS'!T15</f>
        <v>198.32483562022804</v>
      </c>
      <c r="BO22" s="4215">
        <f t="shared" si="33"/>
        <v>11.193910237351901</v>
      </c>
      <c r="BP22" s="4211"/>
      <c r="BQ22" s="4215">
        <f t="shared" si="34"/>
        <v>90.676700823012098</v>
      </c>
      <c r="BR22" s="4215">
        <f t="shared" si="60"/>
        <v>90.676700823012098</v>
      </c>
      <c r="BS22" s="4215">
        <f t="shared" si="35"/>
        <v>0</v>
      </c>
      <c r="BT22" s="4211"/>
      <c r="BU22" s="4215">
        <f t="shared" si="36"/>
        <v>26.711337370335777</v>
      </c>
      <c r="BV22" s="4215">
        <f t="shared" si="37"/>
        <v>29.713808779119184</v>
      </c>
      <c r="BW22" s="4215">
        <f t="shared" si="38"/>
        <v>3.002471408783407</v>
      </c>
      <c r="BX22" s="4218"/>
      <c r="BY22" s="4219">
        <f>+'MCP PS'!AL15</f>
        <v>92.595259052115509</v>
      </c>
      <c r="BZ22" s="4220">
        <f t="shared" si="39"/>
        <v>92.595259052115509</v>
      </c>
      <c r="CA22" s="4218">
        <f t="shared" si="40"/>
        <v>0</v>
      </c>
      <c r="CB22" s="4220">
        <f>+'MCP PS'!AS15</f>
        <v>9073.3546159840989</v>
      </c>
      <c r="CC22" s="4218">
        <f t="shared" si="41"/>
        <v>9073.3546159840989</v>
      </c>
    </row>
    <row r="23" spans="1:81" s="4219" customFormat="1">
      <c r="A23" s="4208">
        <f t="shared" si="42"/>
        <v>46096</v>
      </c>
      <c r="B23" s="4209">
        <f>+'MCP PS'!C16</f>
        <v>227905.15785900154</v>
      </c>
      <c r="C23" s="4210">
        <f>+'MCP PS'!M16</f>
        <v>12.709282947170372</v>
      </c>
      <c r="D23" s="4211">
        <f t="shared" si="0"/>
        <v>7.75</v>
      </c>
      <c r="E23" s="4212">
        <f>+'MCP PS'!U16</f>
        <v>38.696424510724626</v>
      </c>
      <c r="F23" s="4213">
        <f t="shared" si="8"/>
        <v>6.7073053267302818</v>
      </c>
      <c r="G23" s="4212">
        <f>+'MCP PS'!W16</f>
        <v>86.687772850935204</v>
      </c>
      <c r="H23" s="4214">
        <f>+'MCP PS'!X16</f>
        <v>65302.724329648387</v>
      </c>
      <c r="I23" s="4214">
        <f>+'MCP PS'!Y16</f>
        <v>17.435568687376602</v>
      </c>
      <c r="J23" s="4214">
        <f>+SUM('MCP PS'!Z16:AA16)</f>
        <v>161106.77886402691</v>
      </c>
      <c r="K23" s="4214">
        <f>+'MCP PS'!AC16</f>
        <v>22.162618718818521</v>
      </c>
      <c r="L23" s="4214">
        <f>+'MCP PS'!AB16</f>
        <v>26.839791109069868</v>
      </c>
      <c r="M23" s="4214">
        <f>+'MCP PS'!AD16</f>
        <v>1429.508841515935</v>
      </c>
      <c r="N23" s="4214"/>
      <c r="O23" s="4214"/>
      <c r="P23" s="4215">
        <f t="shared" si="61"/>
        <v>107.89566421956292</v>
      </c>
      <c r="Q23" s="4215">
        <f t="shared" si="10"/>
        <v>4.2478607960457841</v>
      </c>
      <c r="R23" s="4210">
        <f t="shared" si="11"/>
        <v>14.803371845199923</v>
      </c>
      <c r="S23" s="4210">
        <f t="shared" si="12"/>
        <v>19.43593496511183</v>
      </c>
      <c r="T23" s="4210">
        <f t="shared" si="13"/>
        <v>5.9445758790769547</v>
      </c>
      <c r="U23" s="4209">
        <f t="shared" si="1"/>
        <v>41376</v>
      </c>
      <c r="V23" s="4209">
        <f t="shared" si="14"/>
        <v>6960.2947025422891</v>
      </c>
      <c r="W23" s="4209">
        <f>+'Proy. Mes'!AO23</f>
        <v>6638.8941305526405</v>
      </c>
      <c r="X23" s="4209">
        <f t="shared" si="15"/>
        <v>184.90861884166557</v>
      </c>
      <c r="Y23" s="4209">
        <v>58000</v>
      </c>
      <c r="Z23" s="4216">
        <f t="shared" si="16"/>
        <v>6.949404291269035</v>
      </c>
      <c r="AA23" s="4209">
        <f t="shared" si="17"/>
        <v>7194.8613009633191</v>
      </c>
      <c r="AB23" s="4211" t="str">
        <f t="shared" si="18"/>
        <v>SAG</v>
      </c>
      <c r="AC23" s="4210">
        <f t="shared" si="19"/>
        <v>8.3224062307077364</v>
      </c>
      <c r="AD23" s="4209">
        <f t="shared" si="20"/>
        <v>1791.4290154437872</v>
      </c>
      <c r="AE23" s="4209">
        <f>+'Proy. Mes'!AP23</f>
        <v>1791.4290154437872</v>
      </c>
      <c r="AF23" s="4209">
        <f t="shared" si="21"/>
        <v>205.740729057913</v>
      </c>
      <c r="AG23" s="4216">
        <f t="shared" si="22"/>
        <v>6.5401677191350043</v>
      </c>
      <c r="AH23" s="4209">
        <f t="shared" si="23"/>
        <v>1779.7708713102381</v>
      </c>
      <c r="AI23" s="4211" t="str">
        <f t="shared" si="24"/>
        <v>BOLAS</v>
      </c>
      <c r="AJ23" s="4214">
        <f t="shared" si="25"/>
        <v>189.33540605349759</v>
      </c>
      <c r="AK23" s="4214">
        <f t="shared" si="26"/>
        <v>188.90048367491204</v>
      </c>
      <c r="AL23" s="4215">
        <f>+'MCP PS'!AE16</f>
        <v>94.497314934190754</v>
      </c>
      <c r="AM23" s="4215">
        <f>+'MCP PS'!AF16</f>
        <v>92.953937560935827</v>
      </c>
      <c r="AN23" s="4215">
        <f>+'MCP PS'!AG16</f>
        <v>90.552218157645612</v>
      </c>
      <c r="AO23" s="4215">
        <f>+'MCP PS'!AH16</f>
        <v>87.907487096820859</v>
      </c>
      <c r="AP23" s="4215">
        <f>+'MCP PS'!AI16</f>
        <v>84.688959605420891</v>
      </c>
      <c r="AQ23" s="4215">
        <f>+'MCP PS'!AJ16</f>
        <v>83.640666455291722</v>
      </c>
      <c r="AR23" s="4215">
        <f>+'MCP PS'!AK16</f>
        <v>79.47741788138822</v>
      </c>
      <c r="AS23" s="4215">
        <f t="shared" si="27"/>
        <v>107.06200589977233</v>
      </c>
      <c r="AT23" s="4215">
        <f t="shared" si="28"/>
        <v>-9.2512637768720138E-2</v>
      </c>
      <c r="AU23" s="4215">
        <f t="shared" si="2"/>
        <v>89.546088062751565</v>
      </c>
      <c r="AV23" s="4215">
        <f t="shared" si="29"/>
        <v>90.510925976389302</v>
      </c>
      <c r="AW23" s="4215">
        <f>+'MCP PS'!E16</f>
        <v>0.48474102855907147</v>
      </c>
      <c r="AX23" s="4215">
        <f>+'MCP PS'!AM16</f>
        <v>7.5728862255627187E-3</v>
      </c>
      <c r="AY23" s="4215">
        <f t="shared" si="30"/>
        <v>1</v>
      </c>
      <c r="AZ23" s="4215">
        <f t="shared" si="31"/>
        <v>90.510925976389302</v>
      </c>
      <c r="BA23" s="4215">
        <f>+'MCP PS'!O16</f>
        <v>0.79490611157898039</v>
      </c>
      <c r="BB23" s="4215">
        <f>+'MCP PS'!P16</f>
        <v>0.68164131671989303</v>
      </c>
      <c r="BC23" s="4217">
        <f>+'MCP PS'!Q16</f>
        <v>0.2002612966910482</v>
      </c>
      <c r="BD23" s="4215">
        <f>+'MCP PS'!R16</f>
        <v>0.10186665813758956</v>
      </c>
      <c r="BE23" s="4215">
        <f t="shared" si="3"/>
        <v>23.187857144930668</v>
      </c>
      <c r="BF23" s="4215">
        <f t="shared" si="43"/>
        <v>27.618199359439153</v>
      </c>
      <c r="BG23" s="4215">
        <f t="shared" si="4"/>
        <v>27.930000559315278</v>
      </c>
      <c r="BH23" s="4211"/>
      <c r="BI23" s="4215">
        <f t="shared" si="5"/>
        <v>4.2478607960457841</v>
      </c>
      <c r="BJ23" s="4215">
        <f>+'MCP PS'!AL16/25.4</f>
        <v>3.3496303898738997</v>
      </c>
      <c r="BK23" s="4215">
        <f t="shared" si="32"/>
        <v>-0.89823040617188443</v>
      </c>
      <c r="BL23" s="4211"/>
      <c r="BM23" s="4214">
        <f t="shared" si="6"/>
        <v>189.33540605349759</v>
      </c>
      <c r="BN23" s="4214">
        <f>+'MCP PS'!T16</f>
        <v>204.91792233791114</v>
      </c>
      <c r="BO23" s="4215">
        <f t="shared" si="33"/>
        <v>15.582516284413543</v>
      </c>
      <c r="BP23" s="4211"/>
      <c r="BQ23" s="4215">
        <f t="shared" si="34"/>
        <v>90.510925976389302</v>
      </c>
      <c r="BR23" s="4215">
        <f t="shared" si="60"/>
        <v>90.510925976389302</v>
      </c>
      <c r="BS23" s="4215">
        <f t="shared" si="35"/>
        <v>0</v>
      </c>
      <c r="BT23" s="4211"/>
      <c r="BU23" s="4215">
        <f t="shared" si="36"/>
        <v>23.187857144930668</v>
      </c>
      <c r="BV23" s="4215">
        <f t="shared" si="37"/>
        <v>27.618199359439153</v>
      </c>
      <c r="BW23" s="4215">
        <f t="shared" si="38"/>
        <v>4.4303422145084852</v>
      </c>
      <c r="BX23" s="4218"/>
      <c r="BY23" s="4219">
        <f>+'MCP PS'!AL16</f>
        <v>85.080611902797045</v>
      </c>
      <c r="BZ23" s="4220">
        <f t="shared" si="39"/>
        <v>85.080611902797045</v>
      </c>
      <c r="CA23" s="4218">
        <f t="shared" si="40"/>
        <v>0</v>
      </c>
      <c r="CB23" s="4220">
        <f>+'MCP PS'!AS16</f>
        <v>9234.3742931164415</v>
      </c>
      <c r="CC23" s="4218">
        <f t="shared" si="41"/>
        <v>9234.3742931164415</v>
      </c>
    </row>
    <row r="24" spans="1:81" s="4219" customFormat="1">
      <c r="A24" s="4208">
        <f t="shared" si="42"/>
        <v>46097</v>
      </c>
      <c r="B24" s="4209">
        <f>+'MCP PS'!C17</f>
        <v>217798.28347475035</v>
      </c>
      <c r="C24" s="4210">
        <f>+'MCP PS'!M17</f>
        <v>12.624531846119941</v>
      </c>
      <c r="D24" s="4211">
        <f t="shared" si="0"/>
        <v>7.75</v>
      </c>
      <c r="E24" s="4212">
        <f>+'MCP PS'!U17</f>
        <v>38.914802490746702</v>
      </c>
      <c r="F24" s="4213">
        <f t="shared" si="8"/>
        <v>6.6673017849770702</v>
      </c>
      <c r="G24" s="4212">
        <f>+'MCP PS'!W17</f>
        <v>89.777080623681684</v>
      </c>
      <c r="H24" s="4214">
        <f>+'MCP PS'!X17</f>
        <v>51283.214534120591</v>
      </c>
      <c r="I24" s="4214">
        <f>+'MCP PS'!Y17</f>
        <v>0.56074766355140204</v>
      </c>
      <c r="J24" s="4214">
        <f>+SUM('MCP PS'!Z17:AA17)</f>
        <v>166197.71185853708</v>
      </c>
      <c r="K24" s="4214">
        <f>+'MCP PS'!AC17</f>
        <v>17.009345794392502</v>
      </c>
      <c r="L24" s="4214">
        <f>+'MCP PS'!AB17</f>
        <v>26.3551401869159</v>
      </c>
      <c r="M24" s="4214">
        <f>+'MCP PS'!AD17</f>
        <v>273.831775700935</v>
      </c>
      <c r="N24" s="4214"/>
      <c r="O24" s="4214"/>
      <c r="P24" s="4215">
        <f t="shared" si="61"/>
        <v>108.77201149659408</v>
      </c>
      <c r="Q24" s="4215">
        <f t="shared" si="10"/>
        <v>4.2823626573462237</v>
      </c>
      <c r="R24" s="4210">
        <f t="shared" si="11"/>
        <v>15.006874174538668</v>
      </c>
      <c r="S24" s="4210">
        <f t="shared" si="12"/>
        <v>19.569615645254451</v>
      </c>
      <c r="T24" s="4210">
        <f t="shared" si="13"/>
        <v>5.9491341638355157</v>
      </c>
      <c r="U24" s="4209">
        <f t="shared" si="1"/>
        <v>41376</v>
      </c>
      <c r="V24" s="4209">
        <f t="shared" si="14"/>
        <v>6954.9616566932718</v>
      </c>
      <c r="W24" s="4209">
        <f>+'Proy. Mes'!AO24</f>
        <v>7092.3395660518663</v>
      </c>
      <c r="X24" s="4209">
        <f t="shared" si="15"/>
        <v>184.2924649751578</v>
      </c>
      <c r="Y24" s="4209">
        <v>58000</v>
      </c>
      <c r="Z24" s="4216">
        <f t="shared" si="16"/>
        <v>6.9174840429012088</v>
      </c>
      <c r="AA24" s="4209">
        <f t="shared" si="17"/>
        <v>7228.0614873713366</v>
      </c>
      <c r="AB24" s="4211" t="str">
        <f t="shared" si="18"/>
        <v>SAG</v>
      </c>
      <c r="AC24" s="4210">
        <f t="shared" si="19"/>
        <v>8.3287878293697215</v>
      </c>
      <c r="AD24" s="4209">
        <f t="shared" si="20"/>
        <v>1790.0564050180917</v>
      </c>
      <c r="AE24" s="4209">
        <f>+'Proy. Mes'!AP24</f>
        <v>1790.0564050180915</v>
      </c>
      <c r="AF24" s="4209">
        <f t="shared" si="21"/>
        <v>203.33343740380315</v>
      </c>
      <c r="AG24" s="4216">
        <f t="shared" si="22"/>
        <v>6.5485025764321616</v>
      </c>
      <c r="AH24" s="4209">
        <f t="shared" si="23"/>
        <v>1777.5055998133016</v>
      </c>
      <c r="AI24" s="4211" t="str">
        <f t="shared" si="24"/>
        <v>BOLAS</v>
      </c>
      <c r="AJ24" s="4214">
        <f t="shared" si="25"/>
        <v>188.12976459168951</v>
      </c>
      <c r="AK24" s="4214">
        <f t="shared" si="26"/>
        <v>202.997553375927</v>
      </c>
      <c r="AL24" s="4215">
        <f>+'MCP PS'!AE17</f>
        <v>94.411442231192908</v>
      </c>
      <c r="AM24" s="4215">
        <f>+'MCP PS'!AF17</f>
        <v>93.081128889151643</v>
      </c>
      <c r="AN24" s="4215">
        <f>+'MCP PS'!AG17</f>
        <v>90.870480392519042</v>
      </c>
      <c r="AO24" s="4215">
        <f>+'MCP PS'!AH17</f>
        <v>88.521115872993363</v>
      </c>
      <c r="AP24" s="4215">
        <f>+'MCP PS'!AI17</f>
        <v>85.680171999228079</v>
      </c>
      <c r="AQ24" s="4215">
        <f>+'MCP PS'!AJ17</f>
        <v>84.746813094292477</v>
      </c>
      <c r="AR24" s="4215">
        <f>+'MCP PS'!AK17</f>
        <v>80.815583031656999</v>
      </c>
      <c r="AS24" s="4215">
        <f t="shared" si="27"/>
        <v>105.78981645056966</v>
      </c>
      <c r="AT24" s="4215">
        <f t="shared" si="28"/>
        <v>-8.3436932271951675E-2</v>
      </c>
      <c r="AU24" s="4215">
        <f t="shared" si="2"/>
        <v>90.092846023994653</v>
      </c>
      <c r="AV24" s="4215">
        <f t="shared" si="29"/>
        <v>90.800106262090765</v>
      </c>
      <c r="AW24" s="4215">
        <f>+'MCP PS'!E17</f>
        <v>0.47743651463937253</v>
      </c>
      <c r="AX24" s="4215">
        <f>+'MCP PS'!AM17</f>
        <v>6.5368658357280235E-3</v>
      </c>
      <c r="AY24" s="4215">
        <f t="shared" si="30"/>
        <v>1</v>
      </c>
      <c r="AZ24" s="4215">
        <f t="shared" si="31"/>
        <v>90.800106262090765</v>
      </c>
      <c r="BA24" s="4215">
        <f>+'MCP PS'!O17</f>
        <v>0.85415648610162809</v>
      </c>
      <c r="BB24" s="4215">
        <f>+'MCP PS'!P17</f>
        <v>0.58980733904373006</v>
      </c>
      <c r="BC24" s="4217">
        <f>+'MCP PS'!Q17</f>
        <v>0.22551498967881506</v>
      </c>
      <c r="BD24" s="4215">
        <f>+'MCP PS'!R17</f>
        <v>7.4714306156330276E-2</v>
      </c>
      <c r="BE24" s="4215">
        <f t="shared" si="3"/>
        <v>24.012052239946147</v>
      </c>
      <c r="BF24" s="4215">
        <f t="shared" si="43"/>
        <v>27.60544772824629</v>
      </c>
      <c r="BG24" s="4215">
        <f t="shared" si="4"/>
        <v>27.908829082584667</v>
      </c>
      <c r="BH24" s="4211"/>
      <c r="BI24" s="4215">
        <f t="shared" si="5"/>
        <v>4.2823626573462237</v>
      </c>
      <c r="BJ24" s="4215">
        <f>+'MCP PS'!AL17/25.4</f>
        <v>3.5994539737425386</v>
      </c>
      <c r="BK24" s="4215">
        <f t="shared" si="32"/>
        <v>-0.68290868360368506</v>
      </c>
      <c r="BL24" s="4211"/>
      <c r="BM24" s="4214">
        <f t="shared" si="6"/>
        <v>188.12976459168951</v>
      </c>
      <c r="BN24" s="4214">
        <f>+'MCP PS'!T17</f>
        <v>203.12684387919001</v>
      </c>
      <c r="BO24" s="4215">
        <f t="shared" si="33"/>
        <v>14.997079287500497</v>
      </c>
      <c r="BP24" s="4211"/>
      <c r="BQ24" s="4215">
        <f t="shared" si="34"/>
        <v>90.800106262090765</v>
      </c>
      <c r="BR24" s="4215">
        <f t="shared" si="60"/>
        <v>90.800106262090765</v>
      </c>
      <c r="BS24" s="4215">
        <f t="shared" si="35"/>
        <v>0</v>
      </c>
      <c r="BT24" s="4211"/>
      <c r="BU24" s="4215">
        <f t="shared" si="36"/>
        <v>24.012052239946147</v>
      </c>
      <c r="BV24" s="4215">
        <f t="shared" si="37"/>
        <v>27.60544772824629</v>
      </c>
      <c r="BW24" s="4215">
        <f t="shared" si="38"/>
        <v>3.5933954883001427</v>
      </c>
      <c r="BX24" s="4218"/>
      <c r="BY24" s="4219">
        <f>+'MCP PS'!AL17</f>
        <v>91.426130933060477</v>
      </c>
      <c r="BZ24" s="4220">
        <f t="shared" si="39"/>
        <v>91.426130933060477</v>
      </c>
      <c r="CA24" s="4218">
        <f t="shared" si="40"/>
        <v>0</v>
      </c>
      <c r="CB24" s="4220">
        <f>+'MCP PS'!AS17</f>
        <v>9212.2587251795594</v>
      </c>
      <c r="CC24" s="4218">
        <f t="shared" si="41"/>
        <v>9212.2587251795594</v>
      </c>
    </row>
    <row r="25" spans="1:81" s="4219" customFormat="1">
      <c r="A25" s="4208">
        <f t="shared" si="42"/>
        <v>46098</v>
      </c>
      <c r="B25" s="4209">
        <f>+'MCP PS'!C18</f>
        <v>175999.99999932194</v>
      </c>
      <c r="C25" s="4210">
        <f>+'MCP PS'!M18</f>
        <v>12.678965368724709</v>
      </c>
      <c r="D25" s="4211">
        <f t="shared" si="0"/>
        <v>7.75</v>
      </c>
      <c r="E25" s="4212">
        <f>+'MCP PS'!U18</f>
        <v>38.205757706742325</v>
      </c>
      <c r="F25" s="4213">
        <f t="shared" si="8"/>
        <v>6.7989092675268425</v>
      </c>
      <c r="G25" s="4212">
        <f>+'MCP PS'!W18</f>
        <v>84.150162451379387</v>
      </c>
      <c r="H25" s="4214">
        <f>+'MCP PS'!X18</f>
        <v>36340.090258328535</v>
      </c>
      <c r="I25" s="4214">
        <f>+'MCP PS'!Y18</f>
        <v>22.920322112763852</v>
      </c>
      <c r="J25" s="4214">
        <f>+SUM('MCP PS'!Z18:AA18)</f>
        <v>137850.80902371969</v>
      </c>
      <c r="K25" s="4214">
        <f>+'MCP PS'!AC18</f>
        <v>19.628039911695758</v>
      </c>
      <c r="L25" s="4214">
        <f>+'MCP PS'!AB18</f>
        <v>20.412556369725525</v>
      </c>
      <c r="M25" s="4214">
        <f>+'MCP PS'!AD18</f>
        <v>1746.2765861957009</v>
      </c>
      <c r="N25" s="4214"/>
      <c r="O25" s="4214"/>
      <c r="P25" s="4215">
        <f t="shared" si="61"/>
        <v>105.63829457455502</v>
      </c>
      <c r="Q25" s="4215">
        <f t="shared" si="10"/>
        <v>4.1589879753761823</v>
      </c>
      <c r="R25" s="4210">
        <f t="shared" si="11"/>
        <v>14.999109293395358</v>
      </c>
      <c r="S25" s="4210">
        <f t="shared" si="12"/>
        <v>19.564514894831412</v>
      </c>
      <c r="T25" s="4210">
        <f t="shared" si="13"/>
        <v>5.8962625699809932</v>
      </c>
      <c r="U25" s="4209">
        <f t="shared" si="1"/>
        <v>41376</v>
      </c>
      <c r="V25" s="4209">
        <f t="shared" si="14"/>
        <v>7017.3265706743068</v>
      </c>
      <c r="W25" s="4209">
        <f>+'Proy. Mes'!AO25</f>
        <v>7427.6008031686633</v>
      </c>
      <c r="X25" s="4209">
        <f t="shared" si="15"/>
        <v>185.39023778417376</v>
      </c>
      <c r="Y25" s="4209">
        <v>58000</v>
      </c>
      <c r="Z25" s="4216">
        <f t="shared" si="16"/>
        <v>6.9215558504260768</v>
      </c>
      <c r="AA25" s="4209">
        <f t="shared" si="17"/>
        <v>7223.8093689473162</v>
      </c>
      <c r="AB25" s="4211" t="str">
        <f t="shared" si="18"/>
        <v>SAG</v>
      </c>
      <c r="AC25" s="4210">
        <f t="shared" si="19"/>
        <v>8.2547675979733892</v>
      </c>
      <c r="AD25" s="4209">
        <f t="shared" si="20"/>
        <v>1806.10778232694</v>
      </c>
      <c r="AE25" s="4209">
        <f>+'Proy. Mes'!AP25</f>
        <v>1806.1077823269397</v>
      </c>
      <c r="AF25" s="4209">
        <f t="shared" si="21"/>
        <v>207.62096058518023</v>
      </c>
      <c r="AG25" s="4216">
        <f t="shared" si="22"/>
        <v>6.4844501043234892</v>
      </c>
      <c r="AH25" s="4209">
        <f t="shared" si="23"/>
        <v>1795.0635462888461</v>
      </c>
      <c r="AI25" s="4211" t="str">
        <f t="shared" si="24"/>
        <v>BOLAS</v>
      </c>
      <c r="AJ25" s="4214">
        <f t="shared" si="25"/>
        <v>189.73855364078642</v>
      </c>
      <c r="AK25" s="4214">
        <f t="shared" si="26"/>
        <v>217.17086365450143</v>
      </c>
      <c r="AL25" s="4215">
        <f>+'MCP PS'!AE18</f>
        <v>94.922694206490547</v>
      </c>
      <c r="AM25" s="4215">
        <f>+'MCP PS'!AF18</f>
        <v>93.725970938949573</v>
      </c>
      <c r="AN25" s="4215">
        <f>+'MCP PS'!AG18</f>
        <v>91.729002894787911</v>
      </c>
      <c r="AO25" s="4215">
        <f>+'MCP PS'!AH18</f>
        <v>89.632685739583408</v>
      </c>
      <c r="AP25" s="4215">
        <f>+'MCP PS'!AI18</f>
        <v>86.920001778689013</v>
      </c>
      <c r="AQ25" s="4215">
        <f>+'MCP PS'!AJ18</f>
        <v>85.99515544114405</v>
      </c>
      <c r="AR25" s="4215">
        <f>+'MCP PS'!AK18</f>
        <v>82.11107415318078</v>
      </c>
      <c r="AS25" s="4215">
        <f t="shared" si="27"/>
        <v>105.70058082257388</v>
      </c>
      <c r="AT25" s="4215">
        <f t="shared" si="28"/>
        <v>-7.8300941107833588E-2</v>
      </c>
      <c r="AU25" s="4215">
        <f t="shared" si="2"/>
        <v>90.843873508061137</v>
      </c>
      <c r="AV25" s="4215">
        <f t="shared" si="29"/>
        <v>91.197324698413539</v>
      </c>
      <c r="AW25" s="4215">
        <f>+'MCP PS'!E18</f>
        <v>0.51166783187005194</v>
      </c>
      <c r="AX25" s="4215">
        <f>+'MCP PS'!AM18</f>
        <v>7.6874366572884066E-3</v>
      </c>
      <c r="AY25" s="4215">
        <f t="shared" si="30"/>
        <v>1</v>
      </c>
      <c r="AZ25" s="4215">
        <f t="shared" si="31"/>
        <v>91.197324698413539</v>
      </c>
      <c r="BA25" s="4215">
        <f>+'MCP PS'!O18</f>
        <v>0.90114257317554214</v>
      </c>
      <c r="BB25" s="4215">
        <f>+'MCP PS'!P18</f>
        <v>0.78194925627014022</v>
      </c>
      <c r="BC25" s="4217">
        <f>+'MCP PS'!Q18</f>
        <v>0.21263101283428049</v>
      </c>
      <c r="BD25" s="4215">
        <f>+'MCP PS'!R18</f>
        <v>7.8215406535147317E-2</v>
      </c>
      <c r="BE25" s="4215">
        <f t="shared" si="3"/>
        <v>21.982862326022616</v>
      </c>
      <c r="BF25" s="4215">
        <f t="shared" si="43"/>
        <v>26.612154191256757</v>
      </c>
      <c r="BG25" s="4215">
        <f t="shared" si="4"/>
        <v>27.110024057947488</v>
      </c>
      <c r="BH25" s="4211"/>
      <c r="BI25" s="4215">
        <f t="shared" si="5"/>
        <v>4.1589879753761823</v>
      </c>
      <c r="BJ25" s="4215">
        <f>+'MCP PS'!AL18/25.4</f>
        <v>3.1294997394605599</v>
      </c>
      <c r="BK25" s="4215">
        <f t="shared" si="32"/>
        <v>-1.0294882359156223</v>
      </c>
      <c r="BL25" s="4211"/>
      <c r="BM25" s="4214">
        <f t="shared" si="6"/>
        <v>189.73855364078642</v>
      </c>
      <c r="BN25" s="4214">
        <f>+'MCP PS'!T18</f>
        <v>205.00064273368727</v>
      </c>
      <c r="BO25" s="4215">
        <f t="shared" si="33"/>
        <v>15.262089092900851</v>
      </c>
      <c r="BP25" s="4211"/>
      <c r="BQ25" s="4215">
        <f t="shared" si="34"/>
        <v>91.197324698413539</v>
      </c>
      <c r="BR25" s="4215">
        <f t="shared" si="60"/>
        <v>91.197324698413539</v>
      </c>
      <c r="BS25" s="4215">
        <f t="shared" si="35"/>
        <v>0</v>
      </c>
      <c r="BT25" s="4211"/>
      <c r="BU25" s="4215">
        <f t="shared" si="36"/>
        <v>21.982862326022616</v>
      </c>
      <c r="BV25" s="4215">
        <f t="shared" si="37"/>
        <v>26.612154191256757</v>
      </c>
      <c r="BW25" s="4215">
        <f t="shared" si="38"/>
        <v>4.6292918652341406</v>
      </c>
      <c r="BX25" s="4218"/>
      <c r="BY25" s="4219">
        <f>+'MCP PS'!AL18</f>
        <v>79.489293382298214</v>
      </c>
      <c r="BZ25" s="4220">
        <f t="shared" ref="BZ25:BZ36" si="62">+BY25*$CF$6</f>
        <v>0</v>
      </c>
      <c r="CA25" s="4218">
        <f t="shared" si="40"/>
        <v>3577.0182022034196</v>
      </c>
      <c r="CB25" s="4220" t="e">
        <f>+'MCP ST'!#REF!</f>
        <v>#REF!</v>
      </c>
      <c r="CC25" s="4218" t="e">
        <f t="shared" si="41"/>
        <v>#REF!</v>
      </c>
    </row>
    <row r="26" spans="1:81" s="4219" customFormat="1">
      <c r="A26" s="4208">
        <f t="shared" si="42"/>
        <v>46099</v>
      </c>
      <c r="B26" s="4209">
        <f>+'MCP PS'!C19</f>
        <v>231642.20157185348</v>
      </c>
      <c r="C26" s="4210">
        <f>+AVERAGE(C21:C25)</f>
        <v>12.644536619530315</v>
      </c>
      <c r="D26" s="4211">
        <f t="shared" si="0"/>
        <v>7.75</v>
      </c>
      <c r="E26" s="4212">
        <f>+'MCP PS'!U19</f>
        <v>37.263653959079413</v>
      </c>
      <c r="F26" s="4213">
        <f t="shared" si="8"/>
        <v>6.98177352874192</v>
      </c>
      <c r="G26" s="4210">
        <f>+'MCP PS'!W19</f>
        <v>85.618786550868066</v>
      </c>
      <c r="H26" s="4214">
        <f>+'MCP PS'!X19</f>
        <v>18923.420171385118</v>
      </c>
      <c r="I26" s="4214">
        <f>+'MCP PS'!Y19</f>
        <v>0.420560747663551</v>
      </c>
      <c r="J26" s="4214">
        <f>+SUM('MCP PS'!Z19:AA19)</f>
        <v>191246.21691263799</v>
      </c>
      <c r="K26" s="4214">
        <f>+'MCP PS'!AC19</f>
        <v>9594.6473728954443</v>
      </c>
      <c r="L26" s="4214">
        <f>+'MCP PS'!AB19</f>
        <v>1425.3205939688849</v>
      </c>
      <c r="M26" s="4214">
        <f>+'MCP PS'!AD19</f>
        <v>10452.467001359872</v>
      </c>
      <c r="N26" s="4214"/>
      <c r="O26" s="4214"/>
      <c r="P26" s="4215">
        <f t="shared" si="61"/>
        <v>104.49457335619431</v>
      </c>
      <c r="Q26" s="4215">
        <f t="shared" si="10"/>
        <v>4.1139595809525318</v>
      </c>
      <c r="R26" s="4210">
        <f t="shared" si="11"/>
        <v>15.141449059416344</v>
      </c>
      <c r="S26" s="4210">
        <f t="shared" si="12"/>
        <v>19.658017887130598</v>
      </c>
      <c r="T26" s="4210">
        <f t="shared" si="13"/>
        <v>5.9399226546254917</v>
      </c>
      <c r="U26" s="4209">
        <f t="shared" si="1"/>
        <v>41376</v>
      </c>
      <c r="V26" s="4209">
        <f t="shared" si="14"/>
        <v>6965.7472673958127</v>
      </c>
      <c r="W26" s="4209">
        <f>+'Proy. Mes'!AO26</f>
        <v>6059.612203786578</v>
      </c>
      <c r="X26" s="4209">
        <f t="shared" si="15"/>
        <v>184.55049120703882</v>
      </c>
      <c r="Y26" s="4209">
        <v>58000</v>
      </c>
      <c r="Z26" s="4216">
        <f t="shared" si="16"/>
        <v>6.9223878271375492</v>
      </c>
      <c r="AA26" s="4209">
        <f t="shared" si="17"/>
        <v>7222.9411654728556</v>
      </c>
      <c r="AB26" s="4211" t="str">
        <f t="shared" si="18"/>
        <v>SAG</v>
      </c>
      <c r="AC26" s="4210">
        <f t="shared" si="19"/>
        <v>8.3158917164756883</v>
      </c>
      <c r="AD26" s="4209">
        <f t="shared" si="20"/>
        <v>1792.8323874710698</v>
      </c>
      <c r="AE26" s="4209">
        <f>+'Proy. Mes'!AP26</f>
        <v>1792.8323874710695</v>
      </c>
      <c r="AF26" s="4209">
        <f t="shared" si="21"/>
        <v>204.34178885334393</v>
      </c>
      <c r="AG26" s="4216">
        <f t="shared" si="22"/>
        <v>6.536973457008334</v>
      </c>
      <c r="AH26" s="4209">
        <f t="shared" si="23"/>
        <v>1780.6405481914076</v>
      </c>
      <c r="AI26" s="4211" t="str">
        <f t="shared" si="24"/>
        <v>BOLAS</v>
      </c>
      <c r="AJ26" s="4214">
        <f t="shared" si="25"/>
        <v>189.06914511131208</v>
      </c>
      <c r="AK26" s="4214">
        <f t="shared" si="26"/>
        <v>167.25538209567807</v>
      </c>
      <c r="AL26" s="4215">
        <f>+'MCP PS'!AE19</f>
        <v>94.165625463113187</v>
      </c>
      <c r="AM26" s="4215">
        <f>+'MCP PS'!AF19</f>
        <v>92.998560522448685</v>
      </c>
      <c r="AN26" s="4215">
        <f>+'MCP PS'!AG19</f>
        <v>91.154720504472621</v>
      </c>
      <c r="AO26" s="4215">
        <f>+'MCP PS'!AH19</f>
        <v>88.95972389007909</v>
      </c>
      <c r="AP26" s="4215">
        <f>+'MCP PS'!AI19</f>
        <v>86.48301471412654</v>
      </c>
      <c r="AQ26" s="4215">
        <f>+'MCP PS'!AJ19</f>
        <v>85.624352108935213</v>
      </c>
      <c r="AR26" s="4215">
        <f>+'MCP PS'!AK19</f>
        <v>80.886159596932345</v>
      </c>
      <c r="AS26" s="4215">
        <f t="shared" si="27"/>
        <v>105.26705920975253</v>
      </c>
      <c r="AT26" s="4215">
        <f t="shared" si="28"/>
        <v>-7.9480066576796224E-2</v>
      </c>
      <c r="AU26" s="4215">
        <f t="shared" si="2"/>
        <v>90.2398309686875</v>
      </c>
      <c r="AV26" s="4215">
        <f t="shared" si="29"/>
        <v>90.877846599338824</v>
      </c>
      <c r="AW26" s="4215">
        <f>+'MCP PS'!E19</f>
        <v>0.57183821306553273</v>
      </c>
      <c r="AX26" s="4215">
        <f>+'MCP PS'!AM19</f>
        <v>9.0341416807466907E-3</v>
      </c>
      <c r="AY26" s="4215">
        <f t="shared" si="30"/>
        <v>1</v>
      </c>
      <c r="AZ26" s="4215">
        <f t="shared" si="31"/>
        <v>90.877846599338824</v>
      </c>
      <c r="BA26" s="4215">
        <f>+'MCP PS'!O19</f>
        <v>1.0482546721432395</v>
      </c>
      <c r="BB26" s="4215">
        <f>+'MCP PS'!P19</f>
        <v>0.86710415764133308</v>
      </c>
      <c r="BC26" s="4217">
        <f>+'MCP PS'!Q19</f>
        <v>0.25478782051825782</v>
      </c>
      <c r="BD26" s="4215">
        <f>+'MCP PS'!R19</f>
        <v>3.6264451054205622E-2</v>
      </c>
      <c r="BE26" s="4215">
        <f t="shared" si="3"/>
        <v>21.5438616302872</v>
      </c>
      <c r="BF26" s="4215">
        <f t="shared" si="43"/>
        <v>26.102267692567814</v>
      </c>
      <c r="BG26" s="4215">
        <f t="shared" si="4"/>
        <v>26.735072432498132</v>
      </c>
      <c r="BH26" s="4211"/>
      <c r="BI26" s="4215">
        <f t="shared" si="5"/>
        <v>4.1139595809525318</v>
      </c>
      <c r="BJ26" s="4215">
        <f>+'MCP PS'!AL19/25.4</f>
        <v>3.6543239319795959</v>
      </c>
      <c r="BK26" s="4215">
        <f t="shared" si="32"/>
        <v>-0.45963564897293585</v>
      </c>
      <c r="BL26" s="4211"/>
      <c r="BM26" s="4214">
        <f t="shared" si="6"/>
        <v>189.06914511131208</v>
      </c>
      <c r="BN26" s="4214">
        <f>+'MCP PS'!T19</f>
        <v>202.39206068437556</v>
      </c>
      <c r="BO26" s="4215">
        <f t="shared" si="33"/>
        <v>13.322915573063483</v>
      </c>
      <c r="BP26" s="4211"/>
      <c r="BQ26" s="4215">
        <f t="shared" si="34"/>
        <v>90.877846599338824</v>
      </c>
      <c r="BR26" s="4215">
        <f t="shared" si="60"/>
        <v>90.877846599338824</v>
      </c>
      <c r="BS26" s="4215">
        <f t="shared" si="35"/>
        <v>0</v>
      </c>
      <c r="BT26" s="4211"/>
      <c r="BU26" s="4215">
        <f t="shared" si="36"/>
        <v>21.5438616302872</v>
      </c>
      <c r="BV26" s="4215">
        <f t="shared" si="37"/>
        <v>26.102267692567814</v>
      </c>
      <c r="BW26" s="4215">
        <f t="shared" si="38"/>
        <v>4.5584060622806142</v>
      </c>
      <c r="BX26" s="4218"/>
      <c r="BY26" s="4219">
        <f>+'MCP PS'!AL19</f>
        <v>92.819827872281735</v>
      </c>
      <c r="BZ26" s="4220">
        <f t="shared" si="62"/>
        <v>0</v>
      </c>
      <c r="CA26" s="4218">
        <f t="shared" si="40"/>
        <v>4176.892254252678</v>
      </c>
      <c r="CB26" s="4220" t="e">
        <f>+'MCP ST'!#REF!</f>
        <v>#REF!</v>
      </c>
      <c r="CC26" s="4218" t="e">
        <f t="shared" si="41"/>
        <v>#REF!</v>
      </c>
    </row>
    <row r="27" spans="1:81" s="4219" customFormat="1">
      <c r="A27" s="4208">
        <f t="shared" si="42"/>
        <v>46100</v>
      </c>
      <c r="B27" s="4209">
        <f>+'MCP PS'!C20</f>
        <v>216000.04453185282</v>
      </c>
      <c r="C27" s="4210">
        <f>+'MCP PS'!M20</f>
        <v>12.670322401229186</v>
      </c>
      <c r="D27" s="4211">
        <f t="shared" si="0"/>
        <v>7.75</v>
      </c>
      <c r="E27" s="4212">
        <f>+'MCP PS'!U20</f>
        <v>38.975140830054585</v>
      </c>
      <c r="F27" s="4213">
        <f t="shared" si="8"/>
        <v>6.6563302384785965</v>
      </c>
      <c r="G27" s="4212">
        <f>+'MCP PS'!W20</f>
        <v>89.991302808620048</v>
      </c>
      <c r="H27" s="4214">
        <f>+'MCP PS'!X20</f>
        <v>56036.010724181055</v>
      </c>
      <c r="I27" s="4214">
        <f>+'MCP PS'!Y20</f>
        <v>0</v>
      </c>
      <c r="J27" s="4214">
        <f>+SUM('MCP PS'!Z20:AA20)</f>
        <v>152117.68063457086</v>
      </c>
      <c r="K27" s="4214">
        <f>+'MCP PS'!AC20</f>
        <v>6833.8791785083413</v>
      </c>
      <c r="L27" s="4214">
        <f>+'MCP PS'!AB20</f>
        <v>688.21797343323203</v>
      </c>
      <c r="M27" s="4214">
        <f>+'MCP PS'!AD20</f>
        <v>324.497871486397</v>
      </c>
      <c r="N27" s="4214"/>
      <c r="O27" s="4214"/>
      <c r="P27" s="4215">
        <f t="shared" si="61"/>
        <v>109.10988264819618</v>
      </c>
      <c r="Q27" s="4215">
        <f t="shared" si="10"/>
        <v>4.2956646711888258</v>
      </c>
      <c r="R27" s="4210">
        <f t="shared" si="11"/>
        <v>14.850707273827696</v>
      </c>
      <c r="S27" s="4210">
        <f t="shared" si="12"/>
        <v>19.467029608177413</v>
      </c>
      <c r="T27" s="4210">
        <f t="shared" si="13"/>
        <v>5.9626094240730065</v>
      </c>
      <c r="U27" s="4209">
        <f t="shared" si="1"/>
        <v>41376</v>
      </c>
      <c r="V27" s="4209">
        <f t="shared" si="14"/>
        <v>6939.2437198639136</v>
      </c>
      <c r="W27" s="4209">
        <f>+'Proy. Mes'!AO27</f>
        <v>6756.9175969575908</v>
      </c>
      <c r="X27" s="4209">
        <f t="shared" si="15"/>
        <v>184.40416458281683</v>
      </c>
      <c r="Y27" s="4209">
        <v>58000</v>
      </c>
      <c r="Z27" s="4216">
        <f t="shared" si="16"/>
        <v>6.9399452526477647</v>
      </c>
      <c r="AA27" s="4209">
        <f t="shared" si="17"/>
        <v>7204.6677862370361</v>
      </c>
      <c r="AB27" s="4211" t="str">
        <f t="shared" si="18"/>
        <v>SAG</v>
      </c>
      <c r="AC27" s="4210">
        <f t="shared" si="19"/>
        <v>8.3476531937022092</v>
      </c>
      <c r="AD27" s="4209">
        <f t="shared" si="20"/>
        <v>1786.0109487116599</v>
      </c>
      <c r="AE27" s="4209">
        <f>+'Proy. Mes'!AP27</f>
        <v>1786.0109487116601</v>
      </c>
      <c r="AF27" s="4209">
        <f t="shared" si="21"/>
        <v>203.76999760540511</v>
      </c>
      <c r="AG27" s="4216">
        <f t="shared" si="22"/>
        <v>6.5627313552669575</v>
      </c>
      <c r="AH27" s="4209">
        <f t="shared" si="23"/>
        <v>1773.651757154169</v>
      </c>
      <c r="AI27" s="4211" t="str">
        <f t="shared" si="24"/>
        <v>BOLAS</v>
      </c>
      <c r="AJ27" s="4214">
        <f t="shared" si="25"/>
        <v>188.45284526934773</v>
      </c>
      <c r="AK27" s="4214">
        <f t="shared" si="26"/>
        <v>191.98030819584969</v>
      </c>
      <c r="AL27" s="4215">
        <f>+'MCP PS'!AE20</f>
        <v>92.617009446389872</v>
      </c>
      <c r="AM27" s="4215">
        <f>+'MCP PS'!AF20</f>
        <v>91.433868187066821</v>
      </c>
      <c r="AN27" s="4215">
        <f>+'MCP PS'!AG20</f>
        <v>88.849756373815708</v>
      </c>
      <c r="AO27" s="4215">
        <f>+'MCP PS'!AH20</f>
        <v>86.309832941188859</v>
      </c>
      <c r="AP27" s="4215">
        <f>+'MCP PS'!AI20</f>
        <v>83.771846026672961</v>
      </c>
      <c r="AQ27" s="4215">
        <f>+'MCP PS'!AJ20</f>
        <v>82.836083752977217</v>
      </c>
      <c r="AR27" s="4215">
        <f>+'MCP PS'!AK20</f>
        <v>76.943233512068403</v>
      </c>
      <c r="AS27" s="4215">
        <f t="shared" si="27"/>
        <v>105.62944649935619</v>
      </c>
      <c r="AT27" s="4215">
        <f t="shared" si="28"/>
        <v>-9.3145531871379306E-2</v>
      </c>
      <c r="AU27" s="4215">
        <f t="shared" si="2"/>
        <v>88.075905994068052</v>
      </c>
      <c r="AV27" s="4215">
        <f t="shared" si="29"/>
        <v>89.733346680262599</v>
      </c>
      <c r="AW27" s="4215">
        <f>+'MCP PS'!E20</f>
        <v>0.58705781676829161</v>
      </c>
      <c r="AX27" s="4215">
        <f>+'MCP PS'!AM20</f>
        <v>9.375819597172548E-3</v>
      </c>
      <c r="AY27" s="4215">
        <f t="shared" si="30"/>
        <v>1</v>
      </c>
      <c r="AZ27" s="4215">
        <f t="shared" si="31"/>
        <v>89.733346680262599</v>
      </c>
      <c r="BA27" s="4215">
        <f>+'MCP PS'!O20</f>
        <v>0.95610883750248865</v>
      </c>
      <c r="BB27" s="4215">
        <f>+'MCP PS'!P20</f>
        <v>1.0345042121014174</v>
      </c>
      <c r="BC27" s="4217">
        <f>+'MCP PS'!Q20</f>
        <v>0.21887493777639896</v>
      </c>
      <c r="BD27" s="4215">
        <f>+'MCP PS'!R20</f>
        <v>0.12110201964891978</v>
      </c>
      <c r="BE27" s="4215">
        <f t="shared" si="3"/>
        <v>20.895684864794319</v>
      </c>
      <c r="BF27" s="4215">
        <f t="shared" si="43"/>
        <v>26.408535938779295</v>
      </c>
      <c r="BG27" s="4215">
        <f t="shared" si="4"/>
        <v>26.941554774054389</v>
      </c>
      <c r="BH27" s="4211"/>
      <c r="BI27" s="4215">
        <f t="shared" si="5"/>
        <v>4.2956646711888258</v>
      </c>
      <c r="BJ27" s="4215">
        <f>+'MCP PS'!AL20/25.4</f>
        <v>4.1010968485746</v>
      </c>
      <c r="BK27" s="4215">
        <f t="shared" si="32"/>
        <v>-0.19456782261422578</v>
      </c>
      <c r="BL27" s="4211"/>
      <c r="BM27" s="4214">
        <f t="shared" si="6"/>
        <v>188.45284526934773</v>
      </c>
      <c r="BN27" s="4214">
        <f>+'MCP PS'!T20</f>
        <v>203.79135930745875</v>
      </c>
      <c r="BO27" s="4215">
        <f t="shared" si="33"/>
        <v>15.338514038111015</v>
      </c>
      <c r="BP27" s="4211"/>
      <c r="BQ27" s="4215">
        <f t="shared" si="34"/>
        <v>89.733346680262599</v>
      </c>
      <c r="BR27" s="4215">
        <f t="shared" si="60"/>
        <v>89.733346680262599</v>
      </c>
      <c r="BS27" s="4215">
        <f t="shared" si="35"/>
        <v>0</v>
      </c>
      <c r="BT27" s="4211"/>
      <c r="BU27" s="4215">
        <f t="shared" si="36"/>
        <v>20.895684864794319</v>
      </c>
      <c r="BV27" s="4215">
        <f t="shared" si="37"/>
        <v>26.408535938779295</v>
      </c>
      <c r="BW27" s="4215">
        <f t="shared" si="38"/>
        <v>5.5128510739849759</v>
      </c>
      <c r="BX27" s="4218"/>
      <c r="BY27" s="4219">
        <f>+'MCP PS'!AL20</f>
        <v>104.16785995379483</v>
      </c>
      <c r="BZ27" s="4220">
        <f t="shared" si="62"/>
        <v>0</v>
      </c>
      <c r="CA27" s="4218">
        <f t="shared" si="40"/>
        <v>4687.5536979207673</v>
      </c>
      <c r="CB27" s="4220" t="e">
        <f>+'MCP ST'!#REF!</f>
        <v>#REF!</v>
      </c>
      <c r="CC27" s="4218" t="e">
        <f t="shared" si="41"/>
        <v>#REF!</v>
      </c>
    </row>
    <row r="28" spans="1:81" s="362" customFormat="1">
      <c r="A28" s="2477">
        <f t="shared" si="42"/>
        <v>46101</v>
      </c>
      <c r="B28" s="2469">
        <f>+'MCP PS'!C21</f>
        <v>239769.96</v>
      </c>
      <c r="C28" s="2470">
        <f>+'MCP PS'!M21</f>
        <v>12.63634471007127</v>
      </c>
      <c r="D28" s="2471">
        <f t="shared" si="0"/>
        <v>7.75</v>
      </c>
      <c r="E28" s="3911">
        <f>+'MCP PS'!U21</f>
        <v>38.523613807334328</v>
      </c>
      <c r="F28" s="3911">
        <f t="shared" si="8"/>
        <v>6.7392932640151839</v>
      </c>
      <c r="G28" s="2472">
        <f>+'MCP PS'!W21</f>
        <v>84.725226719810948</v>
      </c>
      <c r="H28" s="2473">
        <f>+'MCP PS'!X21</f>
        <v>62147</v>
      </c>
      <c r="I28" s="2473">
        <f>+'MCP PS'!Y21</f>
        <v>0</v>
      </c>
      <c r="J28" s="2473">
        <f>+SUM('MCP PS'!Z21:AA21)</f>
        <v>167230.75706618754</v>
      </c>
      <c r="K28" s="2473">
        <f>+'MCP PS'!AC21</f>
        <v>6728.9583692869392</v>
      </c>
      <c r="L28" s="2473">
        <f>+'MCP PS'!AB21</f>
        <v>3663.2445645254847</v>
      </c>
      <c r="M28" s="2473">
        <f>+'MCP PS'!AD21</f>
        <v>0</v>
      </c>
      <c r="N28" s="2473"/>
      <c r="O28" s="2473"/>
      <c r="P28" s="2474">
        <f t="shared" si="61"/>
        <v>106.602136447514</v>
      </c>
      <c r="Q28" s="2474">
        <f t="shared" si="10"/>
        <v>4.1969345058076382</v>
      </c>
      <c r="R28" s="2470">
        <f t="shared" si="11"/>
        <v>14.790117452740596</v>
      </c>
      <c r="S28" s="2470">
        <f t="shared" si="12"/>
        <v>19.427228154705297</v>
      </c>
      <c r="T28" s="2470">
        <f t="shared" si="13"/>
        <v>5.9112645695471375</v>
      </c>
      <c r="U28" s="2469">
        <f t="shared" si="1"/>
        <v>41376</v>
      </c>
      <c r="V28" s="2469">
        <f t="shared" si="14"/>
        <v>6999.5175335503245</v>
      </c>
      <c r="W28" s="2469">
        <f>+'Proy. Mes'!AO28</f>
        <v>6919.3602413872586</v>
      </c>
      <c r="X28" s="4025">
        <f t="shared" ref="X28:X39" si="63">IF(((((1/(Y28/V28/(10*$AJ$2*C28)+(1/SQRT($AJ$3))))^2))*$AP$2)+$AP$3&gt;$AJ$5,$AJ$5,IF(((((1/(Y28/V28/(10*$AJ$2*C28)+(1/SQRT($AJ$3))))^2))*$AP$2)+$AP$3&lt;$AJ$6,$AJ$6,((((1/(Y28/V28/(10*$AJ$2*C28)+(1/SQRT($AJ$3))))^2))*$AP$2)+$AP$3))</f>
        <v>176.29461215409438</v>
      </c>
      <c r="Y28" s="2469">
        <v>50000</v>
      </c>
      <c r="Z28" s="2475">
        <f t="shared" si="16"/>
        <v>7.1181397549501746</v>
      </c>
      <c r="AA28" s="2469">
        <f t="shared" si="17"/>
        <v>7024.3071534565552</v>
      </c>
      <c r="AB28" s="2471" t="str">
        <f t="shared" si="18"/>
        <v>SAG</v>
      </c>
      <c r="AC28" s="2470">
        <f t="shared" si="19"/>
        <v>8.2757703973659922</v>
      </c>
      <c r="AD28" s="2469">
        <f t="shared" si="20"/>
        <v>1801.5241221222411</v>
      </c>
      <c r="AE28" s="2469">
        <f>+'Proy. Mes'!AP28</f>
        <v>1801.5241221222411</v>
      </c>
      <c r="AF28" s="2469">
        <f t="shared" si="21"/>
        <v>205.69657511264381</v>
      </c>
      <c r="AG28" s="2475">
        <f t="shared" si="22"/>
        <v>6.5035793463331784</v>
      </c>
      <c r="AH28" s="2469">
        <f t="shared" si="23"/>
        <v>1789.7836529914589</v>
      </c>
      <c r="AI28" s="2471" t="str">
        <f t="shared" si="24"/>
        <v>BOLAS</v>
      </c>
      <c r="AJ28" s="2473">
        <f>+IFERROR((AF28*AE28+X28*W28)/(W28+AE28),"0")</f>
        <v>182.36834771802469</v>
      </c>
      <c r="AK28" s="2473">
        <f t="shared" si="26"/>
        <v>248.75617302574264</v>
      </c>
      <c r="AL28" s="2474">
        <f>+'MCP PS'!AE21</f>
        <v>91.887911874698588</v>
      </c>
      <c r="AM28" s="2474">
        <f>+'MCP PS'!AF21</f>
        <v>90.685087232779281</v>
      </c>
      <c r="AN28" s="2474">
        <f>+'MCP PS'!AG21</f>
        <v>87.842004328649011</v>
      </c>
      <c r="AO28" s="2474">
        <f>+'MCP PS'!AH21</f>
        <v>85.269444038277342</v>
      </c>
      <c r="AP28" s="2474">
        <f>+'MCP PS'!AI21</f>
        <v>82.633837520263157</v>
      </c>
      <c r="AQ28" s="2474">
        <f>+'MCP PS'!AJ21</f>
        <v>81.662590124801298</v>
      </c>
      <c r="AR28" s="2474">
        <f>+'MCP PS'!AK21</f>
        <v>76.142418856307089</v>
      </c>
      <c r="AS28" s="2474">
        <f t="shared" si="27"/>
        <v>104.96441750943718</v>
      </c>
      <c r="AT28" s="2474">
        <f t="shared" si="28"/>
        <v>-9.4497361002238878E-2</v>
      </c>
      <c r="AU28" s="2474">
        <f>+AJ28*AT28+AS28</f>
        <v>87.731089919745173</v>
      </c>
      <c r="AV28" s="2474">
        <f>+AU28*$AF$4+$AE$4</f>
        <v>89.550973458553216</v>
      </c>
      <c r="AW28" s="2474">
        <f>+'MCP PS'!E21</f>
        <v>0.54478257960254906</v>
      </c>
      <c r="AX28" s="2474">
        <f>+'MCP PS'!AM21</f>
        <v>8.6437168359205629E-3</v>
      </c>
      <c r="AY28" s="2474">
        <f t="shared" si="30"/>
        <v>1</v>
      </c>
      <c r="AZ28" s="2474">
        <f t="shared" si="31"/>
        <v>89.550973458553216</v>
      </c>
      <c r="BA28" s="2474">
        <f>+'MCP PS'!O21</f>
        <v>0.99004023956962739</v>
      </c>
      <c r="BB28" s="2474">
        <f>+'MCP PS'!P21</f>
        <v>1.3209614263604998</v>
      </c>
      <c r="BC28" s="2476">
        <f>+'MCP PS'!Q21</f>
        <v>0.17295864736349789</v>
      </c>
      <c r="BD28" s="2474">
        <f>+'MCP PS'!R21</f>
        <v>0.11378628498749385</v>
      </c>
      <c r="BE28" s="2474">
        <f t="shared" si="3"/>
        <v>17.338881718217266</v>
      </c>
      <c r="BF28" s="2474">
        <f t="shared" si="43"/>
        <v>23.952584609647431</v>
      </c>
      <c r="BG28" s="2474">
        <f t="shared" si="4"/>
        <v>24.863830076813226</v>
      </c>
      <c r="BH28" s="2471"/>
      <c r="BI28" s="2474">
        <f t="shared" si="5"/>
        <v>4.1969345058076382</v>
      </c>
      <c r="BJ28" s="2474">
        <f>+'MCP PS'!AL21/25.4</f>
        <v>3.9467617410960325</v>
      </c>
      <c r="BK28" s="2474">
        <f t="shared" si="32"/>
        <v>-0.25017276471160566</v>
      </c>
      <c r="BL28" s="2471"/>
      <c r="BM28" s="2473">
        <f t="shared" si="6"/>
        <v>182.36834771802469</v>
      </c>
      <c r="BN28" s="2473">
        <f>+'MCP PS'!T21</f>
        <v>199.68915230398335</v>
      </c>
      <c r="BO28" s="2474">
        <f t="shared" si="33"/>
        <v>17.320804585958655</v>
      </c>
      <c r="BP28" s="2471"/>
      <c r="BQ28" s="2474">
        <f t="shared" si="34"/>
        <v>89.550973458553216</v>
      </c>
      <c r="BR28" s="2474">
        <f t="shared" si="60"/>
        <v>89.550973458553216</v>
      </c>
      <c r="BS28" s="2474">
        <f t="shared" si="35"/>
        <v>0</v>
      </c>
      <c r="BT28" s="2471"/>
      <c r="BU28" s="2474">
        <f t="shared" si="36"/>
        <v>17.338881718217266</v>
      </c>
      <c r="BV28" s="2474">
        <f t="shared" si="37"/>
        <v>23.952584609647431</v>
      </c>
      <c r="BW28" s="2474">
        <f t="shared" si="38"/>
        <v>6.6137028914301652</v>
      </c>
      <c r="BX28" s="1134"/>
      <c r="BY28" s="362">
        <f>+'MCP PS'!AL21</f>
        <v>100.24774822383922</v>
      </c>
      <c r="BZ28" s="308">
        <f t="shared" si="62"/>
        <v>0</v>
      </c>
      <c r="CA28" s="1134">
        <f t="shared" si="40"/>
        <v>4511.1486700727655</v>
      </c>
      <c r="CB28" s="308" t="e">
        <f>+'MCP ST'!#REF!</f>
        <v>#REF!</v>
      </c>
      <c r="CC28" s="1134" t="e">
        <f t="shared" si="41"/>
        <v>#REF!</v>
      </c>
    </row>
    <row r="29" spans="1:81" s="362" customFormat="1">
      <c r="A29" s="2477">
        <f t="shared" si="42"/>
        <v>46102</v>
      </c>
      <c r="B29" s="2469">
        <f>+'MCP PS'!C22</f>
        <v>179507.96</v>
      </c>
      <c r="C29" s="2470">
        <f>+'MCP PS'!M22</f>
        <v>12.570300047307093</v>
      </c>
      <c r="D29" s="2471">
        <f t="shared" si="0"/>
        <v>7.75</v>
      </c>
      <c r="E29" s="3911">
        <f>+'MCP PS'!U22</f>
        <v>38.468991267239623</v>
      </c>
      <c r="F29" s="3911">
        <f t="shared" si="8"/>
        <v>6.7494657741059658</v>
      </c>
      <c r="G29" s="2472">
        <f>+'MCP PS'!W22</f>
        <v>89.785191129797255</v>
      </c>
      <c r="H29" s="2473">
        <f>+'MCP PS'!X22</f>
        <v>35947</v>
      </c>
      <c r="I29" s="2473">
        <f>+'MCP PS'!Y22</f>
        <v>0</v>
      </c>
      <c r="J29" s="2473">
        <f>+SUM('MCP PS'!Z22:AA22)</f>
        <v>128397.46581279716</v>
      </c>
      <c r="K29" s="2473">
        <f>+'MCP PS'!AC22</f>
        <v>12766.489359778696</v>
      </c>
      <c r="L29" s="2473">
        <f>+'MCP PS'!AB22</f>
        <v>188.51615469453438</v>
      </c>
      <c r="M29" s="2473">
        <f>+'MCP PS'!AD22</f>
        <v>2208.4886727295748</v>
      </c>
      <c r="N29" s="2473"/>
      <c r="O29" s="2473"/>
      <c r="P29" s="2474">
        <f t="shared" si="61"/>
        <v>108.08123946258777</v>
      </c>
      <c r="Q29" s="2474">
        <f t="shared" si="10"/>
        <v>4.2551669079758971</v>
      </c>
      <c r="R29" s="2470">
        <f t="shared" si="11"/>
        <v>14.868907427853216</v>
      </c>
      <c r="S29" s="2470">
        <f t="shared" si="12"/>
        <v>19.478985289356778</v>
      </c>
      <c r="T29" s="2470">
        <f t="shared" si="13"/>
        <v>5.9718624153932067</v>
      </c>
      <c r="U29" s="2469">
        <f t="shared" si="1"/>
        <v>41376</v>
      </c>
      <c r="V29" s="2469">
        <f t="shared" si="14"/>
        <v>6928.4918375460711</v>
      </c>
      <c r="W29" s="2469">
        <f>+'Proy. Mes'!AO29</f>
        <v>6848.1130962252482</v>
      </c>
      <c r="X29" s="4025">
        <f t="shared" si="63"/>
        <v>177.64313457903626</v>
      </c>
      <c r="Y29" s="2469">
        <v>49000</v>
      </c>
      <c r="Z29" s="2475">
        <f t="shared" si="16"/>
        <v>7.0474540353122972</v>
      </c>
      <c r="AA29" s="2469">
        <f t="shared" si="17"/>
        <v>7094.7607106719252</v>
      </c>
      <c r="AB29" s="2471" t="str">
        <f t="shared" si="18"/>
        <v>SAG</v>
      </c>
      <c r="AC29" s="2470">
        <f t="shared" si="19"/>
        <v>8.3606073815504889</v>
      </c>
      <c r="AD29" s="2469">
        <f t="shared" si="20"/>
        <v>1783.2436472139541</v>
      </c>
      <c r="AE29" s="2469">
        <f>+'Proy. Mes'!AP29</f>
        <v>1783.2436472139541</v>
      </c>
      <c r="AF29" s="2469">
        <f t="shared" si="21"/>
        <v>200.7406049088936</v>
      </c>
      <c r="AG29" s="2475">
        <f t="shared" si="22"/>
        <v>6.5771204247235264</v>
      </c>
      <c r="AH29" s="2469">
        <f t="shared" si="23"/>
        <v>1769.7714574671627</v>
      </c>
      <c r="AI29" s="2471" t="str">
        <f t="shared" si="24"/>
        <v>BOLAS</v>
      </c>
      <c r="AJ29" s="2473">
        <f t="shared" si="25"/>
        <v>182.41508624975575</v>
      </c>
      <c r="AK29" s="2473">
        <f t="shared" si="26"/>
        <v>250.52844719232684</v>
      </c>
      <c r="AL29" s="2474">
        <f>+'MCP PS'!AE22</f>
        <v>92.562873023346711</v>
      </c>
      <c r="AM29" s="2474">
        <f>+'MCP PS'!AF22</f>
        <v>91.434800152149236</v>
      </c>
      <c r="AN29" s="2474">
        <f>+'MCP PS'!AG22</f>
        <v>88.500587454283377</v>
      </c>
      <c r="AO29" s="2474">
        <f>+'MCP PS'!AH22</f>
        <v>86.011310222009087</v>
      </c>
      <c r="AP29" s="2474">
        <f>+'MCP PS'!AI22</f>
        <v>83.356260904976025</v>
      </c>
      <c r="AQ29" s="2474">
        <f>+'MCP PS'!AJ22</f>
        <v>82.388878699529542</v>
      </c>
      <c r="AR29" s="2474">
        <f>+'MCP PS'!AK22</f>
        <v>76.965563792268597</v>
      </c>
      <c r="AS29" s="2474">
        <f t="shared" si="27"/>
        <v>105.55940092616535</v>
      </c>
      <c r="AT29" s="2474">
        <f t="shared" si="28"/>
        <v>-9.3861985163323031E-2</v>
      </c>
      <c r="AU29" s="2474">
        <f t="shared" si="2"/>
        <v>88.437558807024487</v>
      </c>
      <c r="AV29" s="2474">
        <f t="shared" si="29"/>
        <v>89.924624853035255</v>
      </c>
      <c r="AW29" s="2474">
        <f>+'MCP PS'!E22</f>
        <v>0.55017132477022201</v>
      </c>
      <c r="AX29" s="2474">
        <f>+'MCP PS'!AM22</f>
        <v>9.7414719659228485E-3</v>
      </c>
      <c r="AY29" s="2474">
        <f t="shared" si="30"/>
        <v>1</v>
      </c>
      <c r="AZ29" s="2474">
        <f t="shared" si="31"/>
        <v>89.924624853035255</v>
      </c>
      <c r="BA29" s="2474">
        <f>+'MCP PS'!O22</f>
        <v>0.96896199277179684</v>
      </c>
      <c r="BB29" s="2474">
        <f>+'MCP PS'!P22</f>
        <v>0.94659125935139599</v>
      </c>
      <c r="BC29" s="2476">
        <f>+'MCP PS'!Q22</f>
        <v>0.21931132836671982</v>
      </c>
      <c r="BD29" s="2474">
        <f>+'MCP PS'!R22</f>
        <v>8.3505483545130807E-2</v>
      </c>
      <c r="BE29" s="2474">
        <f t="shared" si="3"/>
        <v>20.801989257056107</v>
      </c>
      <c r="BF29" s="2474">
        <f t="shared" si="43"/>
        <v>25.983144614098293</v>
      </c>
      <c r="BG29" s="2474">
        <f t="shared" si="4"/>
        <v>26.59176725160194</v>
      </c>
      <c r="BH29" s="2471"/>
      <c r="BI29" s="2474">
        <f t="shared" si="5"/>
        <v>4.2551669079758971</v>
      </c>
      <c r="BJ29" s="2474">
        <f>+'MCP PS'!AL22/25.4</f>
        <v>4.020908598112868</v>
      </c>
      <c r="BK29" s="2474">
        <f t="shared" si="32"/>
        <v>-0.23425830986302909</v>
      </c>
      <c r="BL29" s="2471"/>
      <c r="BM29" s="2473">
        <f t="shared" si="6"/>
        <v>182.41508624975575</v>
      </c>
      <c r="BN29" s="2473">
        <f>+'MCP PS'!T22</f>
        <v>197.7032733833085</v>
      </c>
      <c r="BO29" s="2474">
        <f t="shared" si="33"/>
        <v>15.288187133552753</v>
      </c>
      <c r="BP29" s="2471"/>
      <c r="BQ29" s="2474">
        <f t="shared" si="34"/>
        <v>89.924624853035255</v>
      </c>
      <c r="BR29" s="2474">
        <f t="shared" si="60"/>
        <v>89.924624853035255</v>
      </c>
      <c r="BS29" s="2474">
        <f t="shared" si="35"/>
        <v>0</v>
      </c>
      <c r="BT29" s="2471"/>
      <c r="BU29" s="2474">
        <f t="shared" si="36"/>
        <v>20.801989257056107</v>
      </c>
      <c r="BV29" s="2474">
        <f t="shared" si="37"/>
        <v>25.983144614098293</v>
      </c>
      <c r="BW29" s="2474">
        <f t="shared" si="38"/>
        <v>5.1811553570421864</v>
      </c>
      <c r="BX29" s="1134"/>
      <c r="BY29" s="362">
        <f>+'MCP PS'!AL22</f>
        <v>102.13107839206684</v>
      </c>
      <c r="BZ29" s="308">
        <f t="shared" si="62"/>
        <v>0</v>
      </c>
      <c r="CA29" s="1134">
        <f t="shared" si="40"/>
        <v>4595.8985276430076</v>
      </c>
      <c r="CB29" s="308" t="e">
        <f>+'MCP ST'!#REF!</f>
        <v>#REF!</v>
      </c>
      <c r="CC29" s="1134" t="e">
        <f t="shared" si="41"/>
        <v>#REF!</v>
      </c>
    </row>
    <row r="30" spans="1:81" s="362" customFormat="1">
      <c r="A30" s="2477">
        <f t="shared" si="42"/>
        <v>46103</v>
      </c>
      <c r="B30" s="2469">
        <f>+'MCP PS'!C23</f>
        <v>240392</v>
      </c>
      <c r="C30" s="2470">
        <f>+'MCP PS'!M23</f>
        <v>12.875383511431327</v>
      </c>
      <c r="D30" s="2471">
        <f t="shared" si="0"/>
        <v>7.75</v>
      </c>
      <c r="E30" s="3911">
        <f>+'MCP PS'!U23</f>
        <v>39.31624955139938</v>
      </c>
      <c r="F30" s="3911">
        <f t="shared" si="8"/>
        <v>6.5949583007656161</v>
      </c>
      <c r="G30" s="2472">
        <f>+'MCP PS'!W23</f>
        <v>81.114557259309791</v>
      </c>
      <c r="H30" s="2473">
        <f>+'MCP PS'!X23</f>
        <v>102145</v>
      </c>
      <c r="I30" s="2473">
        <f>+'MCP PS'!Y23</f>
        <v>0</v>
      </c>
      <c r="J30" s="2473">
        <f>+SUM('MCP PS'!Z23:AA23)</f>
        <v>118909.29056745878</v>
      </c>
      <c r="K30" s="2473">
        <f>+'MCP PS'!AC23</f>
        <v>4991.9802192139296</v>
      </c>
      <c r="L30" s="2473">
        <f>+'MCP PS'!AB23</f>
        <v>3460.5503736150545</v>
      </c>
      <c r="M30" s="2473">
        <f>+'MCP PS'!AD23</f>
        <v>10885.178839712198</v>
      </c>
      <c r="N30" s="2473"/>
      <c r="O30" s="2473"/>
      <c r="P30" s="2474">
        <f>((($L$4*D30)^$L$5+SUMPRODUCT($D$3:$I$3,H30:M30)/SUM(H30:M30)*G30+SUMPRODUCT($D$5:$I$5,H30:M30)/SUM(H30:M30)*F30)*$Q$7)</f>
        <v>105.80240589582921</v>
      </c>
      <c r="Q30" s="2474">
        <f t="shared" si="10"/>
        <v>4.165449051016898</v>
      </c>
      <c r="R30" s="2470">
        <f t="shared" si="11"/>
        <v>14.328209430454324</v>
      </c>
      <c r="S30" s="2470">
        <f t="shared" si="12"/>
        <v>19.123800774865447</v>
      </c>
      <c r="T30" s="2470">
        <f t="shared" si="13"/>
        <v>5.8212879508148543</v>
      </c>
      <c r="U30" s="2469">
        <f t="shared" si="1"/>
        <v>41376</v>
      </c>
      <c r="V30" s="2469">
        <f t="shared" si="14"/>
        <v>7107.705433847892</v>
      </c>
      <c r="W30" s="2469">
        <f>+'Proy. Mes'!AO30</f>
        <v>7027.8854579062527</v>
      </c>
      <c r="X30" s="4025">
        <f t="shared" si="63"/>
        <v>186.14439176960394</v>
      </c>
      <c r="Y30" s="2469">
        <v>50000</v>
      </c>
      <c r="Z30" s="2475">
        <f t="shared" si="16"/>
        <v>7.0109493656921957</v>
      </c>
      <c r="AA30" s="2469">
        <f t="shared" si="17"/>
        <v>7131.7017699019516</v>
      </c>
      <c r="AB30" s="2471" t="str">
        <f t="shared" si="18"/>
        <v>SAG</v>
      </c>
      <c r="AC30" s="2470">
        <f t="shared" si="19"/>
        <v>8.1498031311407964</v>
      </c>
      <c r="AD30" s="2469">
        <f t="shared" si="20"/>
        <v>1829.3693430497704</v>
      </c>
      <c r="AE30" s="2469">
        <f>+'Proy. Mes'!AP30</f>
        <v>1812</v>
      </c>
      <c r="AF30" s="2469">
        <f t="shared" si="21"/>
        <v>213.79120927824295</v>
      </c>
      <c r="AG30" s="2475">
        <f t="shared" si="22"/>
        <v>6.455015047323637</v>
      </c>
      <c r="AH30" s="2469">
        <f t="shared" si="23"/>
        <v>1803.2490884473073</v>
      </c>
      <c r="AI30" s="2471" t="str">
        <f t="shared" si="24"/>
        <v>BOLAS</v>
      </c>
      <c r="AJ30" s="2473">
        <f t="shared" si="25"/>
        <v>191.81143729459416</v>
      </c>
      <c r="AK30" s="2473">
        <f t="shared" si="26"/>
        <v>261.30544150241496</v>
      </c>
      <c r="AL30" s="2474">
        <f>+'MCP PS'!AE23</f>
        <v>92.01525352890279</v>
      </c>
      <c r="AM30" s="2474">
        <f>+'MCP PS'!AF23</f>
        <v>90.835483651203035</v>
      </c>
      <c r="AN30" s="2474">
        <f>+'MCP PS'!AG23</f>
        <v>87.923213349861882</v>
      </c>
      <c r="AO30" s="2474">
        <f>+'MCP PS'!AH23</f>
        <v>85.206941081067598</v>
      </c>
      <c r="AP30" s="2474">
        <f>+'MCP PS'!AI23</f>
        <v>82.482822924556558</v>
      </c>
      <c r="AQ30" s="2474">
        <f>+'MCP PS'!AJ23</f>
        <v>81.500107749342732</v>
      </c>
      <c r="AR30" s="2474">
        <f>+'MCP PS'!AK23</f>
        <v>76.572640802189767</v>
      </c>
      <c r="AS30" s="2474">
        <f t="shared" si="27"/>
        <v>104.95048543349886</v>
      </c>
      <c r="AT30" s="2474">
        <f t="shared" si="28"/>
        <v>-9.4149239909589386E-2</v>
      </c>
      <c r="AU30" s="2474">
        <f t="shared" si="2"/>
        <v>86.891584406246949</v>
      </c>
      <c r="AV30" s="2474">
        <f t="shared" si="29"/>
        <v>89.106958992464016</v>
      </c>
      <c r="AW30" s="2474">
        <f>+'MCP PS'!E23</f>
        <v>0.55330404655728971</v>
      </c>
      <c r="AX30" s="2474">
        <f>+'MCP PS'!AM23</f>
        <v>1.150960364737595E-2</v>
      </c>
      <c r="AY30" s="2474">
        <f t="shared" si="30"/>
        <v>1</v>
      </c>
      <c r="AZ30" s="2474">
        <f t="shared" si="31"/>
        <v>89.106958992464016</v>
      </c>
      <c r="BA30" s="2474">
        <f>+'MCP PS'!O23</f>
        <v>1.2780466090385703</v>
      </c>
      <c r="BB30" s="2474">
        <f>+'MCP PS'!P23</f>
        <v>1.4699511729175678</v>
      </c>
      <c r="BC30" s="2476">
        <f>+'MCP PS'!Q23</f>
        <v>0.13521639522113879</v>
      </c>
      <c r="BD30" s="2474">
        <f>+'MCP PS'!R23</f>
        <v>4.4214645246098049E-2</v>
      </c>
      <c r="BE30" s="2474">
        <f t="shared" si="3"/>
        <v>15.549482034285974</v>
      </c>
      <c r="BF30" s="2474">
        <f t="shared" si="43"/>
        <v>21.764892176846629</v>
      </c>
      <c r="BG30" s="2474">
        <f t="shared" si="4"/>
        <v>23.04572623950045</v>
      </c>
      <c r="BH30" s="2471"/>
      <c r="BI30" s="2474">
        <f t="shared" si="5"/>
        <v>4.165449051016898</v>
      </c>
      <c r="BJ30" s="2474">
        <f>+'MCP PS'!AL23/25.4</f>
        <v>3.922033335512626</v>
      </c>
      <c r="BK30" s="2474">
        <f t="shared" si="32"/>
        <v>-0.24341571550427199</v>
      </c>
      <c r="BL30" s="2471"/>
      <c r="BM30" s="2473">
        <f t="shared" si="6"/>
        <v>191.81143729459416</v>
      </c>
      <c r="BN30" s="2473">
        <f>+'MCP PS'!T23</f>
        <v>210.84492286931345</v>
      </c>
      <c r="BO30" s="2474">
        <f t="shared" si="33"/>
        <v>19.033485574719293</v>
      </c>
      <c r="BP30" s="2471"/>
      <c r="BQ30" s="2474">
        <f t="shared" si="34"/>
        <v>89.106958992464016</v>
      </c>
      <c r="BR30" s="2474">
        <f t="shared" si="60"/>
        <v>89.106958992464016</v>
      </c>
      <c r="BS30" s="2474">
        <f t="shared" si="35"/>
        <v>0</v>
      </c>
      <c r="BT30" s="2471"/>
      <c r="BU30" s="2474">
        <f t="shared" si="36"/>
        <v>15.549482034285974</v>
      </c>
      <c r="BV30" s="2474">
        <f t="shared" si="37"/>
        <v>21.764892176846629</v>
      </c>
      <c r="BW30" s="2474">
        <f t="shared" si="38"/>
        <v>6.2154101425606552</v>
      </c>
      <c r="BX30" s="1134"/>
      <c r="BY30" s="362">
        <f>+'MCP PS'!AL23</f>
        <v>99.61964672202069</v>
      </c>
      <c r="BZ30" s="308">
        <f t="shared" si="62"/>
        <v>0</v>
      </c>
      <c r="CA30" s="1134">
        <f t="shared" si="40"/>
        <v>4482.8841024909307</v>
      </c>
      <c r="CB30" s="308" t="e">
        <f>+'MCP ST'!#REF!</f>
        <v>#REF!</v>
      </c>
      <c r="CC30" s="1134" t="e">
        <f t="shared" si="41"/>
        <v>#REF!</v>
      </c>
    </row>
    <row r="31" spans="1:81" s="362" customFormat="1">
      <c r="A31" s="2477">
        <f t="shared" si="42"/>
        <v>46104</v>
      </c>
      <c r="B31" s="2469">
        <f>+'MCP PS'!C24</f>
        <v>239552.08000000002</v>
      </c>
      <c r="C31" s="2470">
        <f>+'MCP PS'!M24</f>
        <v>12.644117916738606</v>
      </c>
      <c r="D31" s="2471">
        <f t="shared" si="0"/>
        <v>7.75</v>
      </c>
      <c r="E31" s="3911">
        <f>+'MCP PS'!U24</f>
        <v>38.559717584585364</v>
      </c>
      <c r="F31" s="3911">
        <f t="shared" si="8"/>
        <v>6.7325858733269541</v>
      </c>
      <c r="G31" s="2472">
        <f>+'MCP PS'!W24</f>
        <v>84.076870053142514</v>
      </c>
      <c r="H31" s="2473">
        <f>+'MCP PS'!X24</f>
        <v>103886</v>
      </c>
      <c r="I31" s="2473">
        <f>+'MCP PS'!Y24</f>
        <v>0</v>
      </c>
      <c r="J31" s="2473">
        <f>+SUM('MCP PS'!Z24:AA24)</f>
        <v>128660.34427661062</v>
      </c>
      <c r="K31" s="2473">
        <f>+'MCP PS'!AC24</f>
        <v>5557.3954693088845</v>
      </c>
      <c r="L31" s="2473">
        <f>+'MCP PS'!AB24</f>
        <v>1448.340254080498</v>
      </c>
      <c r="M31" s="2473">
        <f>+'MCP PS'!AD24</f>
        <v>0</v>
      </c>
      <c r="N31" s="2473"/>
      <c r="O31" s="2473"/>
      <c r="P31" s="2474">
        <f t="shared" si="61"/>
        <v>108.62895520672168</v>
      </c>
      <c r="Q31" s="2474">
        <f t="shared" si="10"/>
        <v>4.2767305199496732</v>
      </c>
      <c r="R31" s="2470">
        <f t="shared" si="11"/>
        <v>14.236402288171707</v>
      </c>
      <c r="S31" s="2470">
        <f t="shared" si="12"/>
        <v>19.063492663099996</v>
      </c>
      <c r="T31" s="2470">
        <f t="shared" si="13"/>
        <v>6.0101791878333009</v>
      </c>
      <c r="U31" s="2469">
        <f t="shared" si="1"/>
        <v>41376</v>
      </c>
      <c r="V31" s="2469">
        <f t="shared" si="14"/>
        <v>6884.3205346954473</v>
      </c>
      <c r="W31" s="2469">
        <f>+'Proy. Mes'!AO31</f>
        <v>6906.105722025809</v>
      </c>
      <c r="X31" s="4025">
        <f t="shared" si="63"/>
        <v>183.42807703507509</v>
      </c>
      <c r="Y31" s="2469">
        <v>48000</v>
      </c>
      <c r="Z31" s="2475">
        <f t="shared" si="16"/>
        <v>6.9486014599529851</v>
      </c>
      <c r="AA31" s="2469">
        <f t="shared" si="17"/>
        <v>7195.6925847835728</v>
      </c>
      <c r="AB31" s="2471" t="str">
        <f t="shared" si="18"/>
        <v>SAG</v>
      </c>
      <c r="AC31" s="2470">
        <f t="shared" si="19"/>
        <v>8.4142508629666199</v>
      </c>
      <c r="AD31" s="2469">
        <f t="shared" si="20"/>
        <v>1771.8749111247107</v>
      </c>
      <c r="AE31" s="2469">
        <f>+'Proy. Mes'!AP31</f>
        <v>1771.8749111247103</v>
      </c>
      <c r="AF31" s="2469">
        <f t="shared" si="21"/>
        <v>200.56900132880185</v>
      </c>
      <c r="AG31" s="2475">
        <f t="shared" si="22"/>
        <v>6.6195608256994865</v>
      </c>
      <c r="AH31" s="2469">
        <f t="shared" si="23"/>
        <v>1758.4248119315387</v>
      </c>
      <c r="AI31" s="2471" t="str">
        <f t="shared" si="24"/>
        <v>BOLAS</v>
      </c>
      <c r="AJ31" s="2473">
        <f t="shared" si="25"/>
        <v>186.9279204886916</v>
      </c>
      <c r="AK31" s="2473">
        <f t="shared" si="26"/>
        <v>262.98108251667384</v>
      </c>
      <c r="AL31" s="2474">
        <f>+'MCP PS'!AE24</f>
        <v>92.278598163372223</v>
      </c>
      <c r="AM31" s="2474">
        <f>+'MCP PS'!AF24</f>
        <v>90.968981094382485</v>
      </c>
      <c r="AN31" s="2474">
        <f>+'MCP PS'!AG24</f>
        <v>88.402721408388516</v>
      </c>
      <c r="AO31" s="2474">
        <f>+'MCP PS'!AH24</f>
        <v>85.608965305248034</v>
      </c>
      <c r="AP31" s="2474">
        <f>+'MCP PS'!AI24</f>
        <v>82.661483775553108</v>
      </c>
      <c r="AQ31" s="2474">
        <f>+'MCP PS'!AJ24</f>
        <v>81.671278542519843</v>
      </c>
      <c r="AR31" s="2474">
        <f>+'MCP PS'!AK24</f>
        <v>77.402667686792796</v>
      </c>
      <c r="AS31" s="2474">
        <f t="shared" si="27"/>
        <v>104.82621708696814</v>
      </c>
      <c r="AT31" s="2474">
        <f t="shared" si="28"/>
        <v>-9.1880588706557562E-2</v>
      </c>
      <c r="AU31" s="2474">
        <f t="shared" si="2"/>
        <v>87.651169706774567</v>
      </c>
      <c r="AV31" s="2474">
        <f t="shared" si="29"/>
        <v>89.508703657913074</v>
      </c>
      <c r="AW31" s="2474">
        <f>+'MCP PS'!E24</f>
        <v>0.52512631140585386</v>
      </c>
      <c r="AX31" s="2474">
        <f>+'MCP PS'!AM24</f>
        <v>1.1771621770096923E-2</v>
      </c>
      <c r="AY31" s="2474">
        <f t="shared" si="30"/>
        <v>1</v>
      </c>
      <c r="AZ31" s="2474">
        <f t="shared" si="31"/>
        <v>89.508703657913074</v>
      </c>
      <c r="BA31" s="2474">
        <f>+'MCP PS'!O24</f>
        <v>1.2630867368799303</v>
      </c>
      <c r="BB31" s="2474">
        <f>+'MCP PS'!P24</f>
        <v>1.5338487039644988</v>
      </c>
      <c r="BC31" s="2476">
        <f>+'MCP PS'!Q24</f>
        <v>8.8670780566797822E-2</v>
      </c>
      <c r="BD31" s="2474">
        <f>+'MCP PS'!R24</f>
        <v>4.4741076762931882E-2</v>
      </c>
      <c r="BE31" s="2474">
        <f t="shared" si="3"/>
        <v>14.452209697233421</v>
      </c>
      <c r="BF31" s="2474">
        <f t="shared" si="43"/>
        <v>20.920415945636719</v>
      </c>
      <c r="BG31" s="2474">
        <f t="shared" si="4"/>
        <v>22.337398694023584</v>
      </c>
      <c r="BH31" s="2471"/>
      <c r="BI31" s="2474">
        <f t="shared" si="5"/>
        <v>4.2767305199496732</v>
      </c>
      <c r="BJ31" s="2474">
        <f>+'MCP PS'!AL24/25.4</f>
        <v>3.9560373942862657</v>
      </c>
      <c r="BK31" s="2474">
        <f t="shared" si="32"/>
        <v>-0.32069312566340757</v>
      </c>
      <c r="BL31" s="2471"/>
      <c r="BM31" s="2473">
        <f t="shared" si="6"/>
        <v>186.9279204886916</v>
      </c>
      <c r="BN31" s="2473">
        <f>+'MCP PS'!T24</f>
        <v>197.99892315825434</v>
      </c>
      <c r="BO31" s="2474">
        <f t="shared" si="33"/>
        <v>11.071002669562745</v>
      </c>
      <c r="BP31" s="2471"/>
      <c r="BQ31" s="2474">
        <f t="shared" si="34"/>
        <v>89.508703657913074</v>
      </c>
      <c r="BR31" s="2474">
        <f t="shared" si="60"/>
        <v>89.508703657913074</v>
      </c>
      <c r="BS31" s="2474">
        <f t="shared" si="35"/>
        <v>0</v>
      </c>
      <c r="BT31" s="2471"/>
      <c r="BU31" s="2474">
        <f t="shared" si="36"/>
        <v>14.452209697233421</v>
      </c>
      <c r="BV31" s="2474">
        <f t="shared" si="37"/>
        <v>20.920415945636719</v>
      </c>
      <c r="BW31" s="2474">
        <f t="shared" si="38"/>
        <v>6.4682062484032983</v>
      </c>
      <c r="BX31" s="1134"/>
      <c r="BY31" s="362">
        <f>+'MCP PS'!AL24</f>
        <v>100.48334981487115</v>
      </c>
      <c r="BZ31" s="308">
        <f t="shared" si="62"/>
        <v>0</v>
      </c>
      <c r="CA31" s="1134">
        <f t="shared" si="40"/>
        <v>4521.7507416692015</v>
      </c>
      <c r="CB31" s="308" t="e">
        <f>+'MCP ST'!#REF!</f>
        <v>#REF!</v>
      </c>
      <c r="CC31" s="1134" t="e">
        <f t="shared" si="41"/>
        <v>#REF!</v>
      </c>
    </row>
    <row r="32" spans="1:81" s="362" customFormat="1">
      <c r="A32" s="2477">
        <f t="shared" si="42"/>
        <v>46105</v>
      </c>
      <c r="B32" s="2469">
        <f>+'MCP PS'!C25</f>
        <v>179569.56</v>
      </c>
      <c r="C32" s="2470">
        <f>+'MCP PS'!M25</f>
        <v>12.440303371907799</v>
      </c>
      <c r="D32" s="2471">
        <f t="shared" si="0"/>
        <v>7.75</v>
      </c>
      <c r="E32" s="3911">
        <f>+'MCP PS'!U25</f>
        <v>37.635390704304228</v>
      </c>
      <c r="F32" s="3911">
        <f t="shared" si="8"/>
        <v>6.9084906501175727</v>
      </c>
      <c r="G32" s="2472">
        <f>+'MCP PS'!W25</f>
        <v>87.543521444280415</v>
      </c>
      <c r="H32" s="2473">
        <f>+'MCP PS'!X25</f>
        <v>57326</v>
      </c>
      <c r="I32" s="2473">
        <f>+'MCP PS'!Y25</f>
        <v>0</v>
      </c>
      <c r="J32" s="2473">
        <f>+SUM('MCP PS'!Z25:AA25)</f>
        <v>111297.55999999997</v>
      </c>
      <c r="K32" s="2473">
        <f>+'MCP PS'!AC25</f>
        <v>0</v>
      </c>
      <c r="L32" s="2473">
        <f>+'MCP PS'!AB25</f>
        <v>10946.000000000024</v>
      </c>
      <c r="M32" s="2473">
        <f>+'MCP PS'!AD25</f>
        <v>0</v>
      </c>
      <c r="N32" s="2473"/>
      <c r="O32" s="2473"/>
      <c r="P32" s="2474">
        <f t="shared" si="61"/>
        <v>109.1248644730744</v>
      </c>
      <c r="Q32" s="2474">
        <f t="shared" si="10"/>
        <v>4.2962545068139528</v>
      </c>
      <c r="R32" s="2470">
        <f t="shared" si="11"/>
        <v>14.494763019401823</v>
      </c>
      <c r="S32" s="2470">
        <f t="shared" si="12"/>
        <v>19.233209827445059</v>
      </c>
      <c r="T32" s="2470">
        <f t="shared" si="13"/>
        <v>6.1138660632574924</v>
      </c>
      <c r="U32" s="2469">
        <f t="shared" si="1"/>
        <v>41376</v>
      </c>
      <c r="V32" s="2469">
        <f t="shared" si="14"/>
        <v>6767.5672924301352</v>
      </c>
      <c r="W32" s="2469">
        <f>+'Proy. Mes'!AO32</f>
        <v>6788.6677132817595</v>
      </c>
      <c r="X32" s="4025">
        <f t="shared" si="63"/>
        <v>179.86434517764954</v>
      </c>
      <c r="Y32" s="2469">
        <v>47000</v>
      </c>
      <c r="Z32" s="2475">
        <f t="shared" si="16"/>
        <v>6.920807054196044</v>
      </c>
      <c r="AA32" s="2469">
        <f t="shared" si="17"/>
        <v>7224.5909484913755</v>
      </c>
      <c r="AB32" s="2471" t="str">
        <f t="shared" si="18"/>
        <v>SAG</v>
      </c>
      <c r="AC32" s="2470">
        <f t="shared" si="19"/>
        <v>8.5594124885604881</v>
      </c>
      <c r="AD32" s="2469">
        <f t="shared" si="20"/>
        <v>1741.8251567996788</v>
      </c>
      <c r="AE32" s="2469">
        <f>+'Proy. Mes'!AP32</f>
        <v>1741.8251567996788</v>
      </c>
      <c r="AF32" s="2469">
        <f t="shared" si="21"/>
        <v>190.22257840899536</v>
      </c>
      <c r="AG32" s="2475">
        <f t="shared" si="22"/>
        <v>6.7485846989087532</v>
      </c>
      <c r="AH32" s="2469">
        <f t="shared" si="23"/>
        <v>1724.8060918435519</v>
      </c>
      <c r="AI32" s="2471" t="str">
        <f t="shared" si="24"/>
        <v>BOLAS</v>
      </c>
      <c r="AJ32" s="2473">
        <f t="shared" si="25"/>
        <v>181.97937317159295</v>
      </c>
      <c r="AK32" s="2473">
        <f t="shared" si="26"/>
        <v>258.09768190860058</v>
      </c>
      <c r="AL32" s="2474">
        <f>+'MCP PS'!AE25</f>
        <v>92.551301222545746</v>
      </c>
      <c r="AM32" s="2474">
        <f>+'MCP PS'!AF25</f>
        <v>91.33315037515267</v>
      </c>
      <c r="AN32" s="2474">
        <f>+'MCP PS'!AG25</f>
        <v>88.929894955024679</v>
      </c>
      <c r="AO32" s="2474">
        <f>+'MCP PS'!AH25</f>
        <v>86.153099204564512</v>
      </c>
      <c r="AP32" s="2474">
        <f>+'MCP PS'!AI25</f>
        <v>83.363563141770797</v>
      </c>
      <c r="AQ32" s="2474">
        <f>+'MCP PS'!AJ25</f>
        <v>82.420186170974631</v>
      </c>
      <c r="AR32" s="2474">
        <f>+'MCP PS'!AK25</f>
        <v>78.196279638709356</v>
      </c>
      <c r="AS32" s="2474">
        <f t="shared" si="27"/>
        <v>104.70799673337827</v>
      </c>
      <c r="AT32" s="2474">
        <f t="shared" si="28"/>
        <v>-8.8622019376213626E-2</v>
      </c>
      <c r="AU32" s="2474">
        <f t="shared" si="2"/>
        <v>88.580617198094146</v>
      </c>
      <c r="AV32" s="2474">
        <f t="shared" si="29"/>
        <v>90.000288436071997</v>
      </c>
      <c r="AW32" s="2474">
        <f>+'MCP PS'!E25</f>
        <v>0.50473815027446745</v>
      </c>
      <c r="AX32" s="2474">
        <f>+'MCP PS'!AM25</f>
        <v>9.1401814427790554E-3</v>
      </c>
      <c r="AY32" s="2474">
        <f t="shared" si="30"/>
        <v>1</v>
      </c>
      <c r="AZ32" s="2474">
        <f t="shared" si="31"/>
        <v>90.000288436071997</v>
      </c>
      <c r="BA32" s="2474">
        <f>+'MCP PS'!O25</f>
        <v>1.0407687449921912</v>
      </c>
      <c r="BB32" s="2474">
        <f>+'MCP PS'!P25</f>
        <v>1.3719603489589214</v>
      </c>
      <c r="BC32" s="2476">
        <f>+'MCP PS'!Q25</f>
        <v>9.410539046818403E-2</v>
      </c>
      <c r="BD32" s="2474">
        <f>+'MCP PS'!R25</f>
        <v>9.2260703874309208E-2</v>
      </c>
      <c r="BE32" s="2474">
        <f t="shared" si="3"/>
        <v>15.730590645691956</v>
      </c>
      <c r="BF32" s="2474">
        <f t="shared" si="43"/>
        <v>22.398642538971878</v>
      </c>
      <c r="BG32" s="2474">
        <f t="shared" si="4"/>
        <v>23.566962778076821</v>
      </c>
      <c r="BH32" s="2471"/>
      <c r="BI32" s="2474">
        <f t="shared" si="5"/>
        <v>4.2962545068139528</v>
      </c>
      <c r="BJ32" s="2474">
        <f>+'MCP PS'!AL25/25.4</f>
        <v>3.9969923541203531</v>
      </c>
      <c r="BK32" s="2474">
        <f t="shared" si="32"/>
        <v>-0.29926215269359968</v>
      </c>
      <c r="BL32" s="2471"/>
      <c r="BM32" s="2473">
        <f t="shared" si="6"/>
        <v>181.97937317159295</v>
      </c>
      <c r="BN32" s="2473">
        <f>+'MCP PS'!T25</f>
        <v>188.34707428876033</v>
      </c>
      <c r="BO32" s="2474">
        <f t="shared" si="33"/>
        <v>6.3677011171673712</v>
      </c>
      <c r="BP32" s="2471"/>
      <c r="BQ32" s="2474">
        <f t="shared" si="34"/>
        <v>90.000288436071997</v>
      </c>
      <c r="BR32" s="2474">
        <f t="shared" si="60"/>
        <v>90.000288436071997</v>
      </c>
      <c r="BS32" s="2474">
        <f t="shared" si="35"/>
        <v>0</v>
      </c>
      <c r="BT32" s="2471"/>
      <c r="BU32" s="2474">
        <f t="shared" si="36"/>
        <v>15.730590645691956</v>
      </c>
      <c r="BV32" s="2474">
        <f t="shared" si="37"/>
        <v>22.398642538971878</v>
      </c>
      <c r="BW32" s="2474">
        <f t="shared" si="38"/>
        <v>6.6680518932799213</v>
      </c>
      <c r="BX32" s="1134"/>
      <c r="BY32" s="362">
        <f>+'MCP PS'!AL25</f>
        <v>101.52360579465696</v>
      </c>
      <c r="BZ32" s="308">
        <f t="shared" si="62"/>
        <v>0</v>
      </c>
      <c r="CA32" s="1134">
        <f t="shared" si="40"/>
        <v>4568.5622607595633</v>
      </c>
      <c r="CB32" s="308" t="e">
        <f>+'MCP ST'!#REF!</f>
        <v>#REF!</v>
      </c>
      <c r="CC32" s="1134" t="e">
        <f t="shared" si="41"/>
        <v>#REF!</v>
      </c>
    </row>
    <row r="33" spans="1:81" s="362" customFormat="1">
      <c r="A33" s="2477">
        <f t="shared" si="42"/>
        <v>46106</v>
      </c>
      <c r="B33" s="2469">
        <f>+'MCP PS'!C26</f>
        <v>240172.9964</v>
      </c>
      <c r="C33" s="2470">
        <f>+'MCP PS'!M26</f>
        <v>12.559626492920016</v>
      </c>
      <c r="D33" s="2471">
        <f t="shared" si="0"/>
        <v>7.75</v>
      </c>
      <c r="E33" s="3911">
        <f>+'MCP PS'!U26</f>
        <v>36.531048012461845</v>
      </c>
      <c r="F33" s="3911">
        <f t="shared" si="8"/>
        <v>7.1307027405978509</v>
      </c>
      <c r="G33" s="2472">
        <f>+'MCP PS'!W26</f>
        <v>86.154996684978286</v>
      </c>
      <c r="H33" s="2473">
        <f>+'MCP PS'!X26</f>
        <v>67530.304461903332</v>
      </c>
      <c r="I33" s="2473">
        <f>+'MCP PS'!Y26</f>
        <v>1.4839990290276921</v>
      </c>
      <c r="J33" s="2473">
        <f>+SUM('MCP PS'!Z26:AA26)</f>
        <v>171744.71280376319</v>
      </c>
      <c r="K33" s="2473">
        <f>+'MCP PS'!AC26</f>
        <v>12.62363618486952</v>
      </c>
      <c r="L33" s="2473">
        <f>+'MCP PS'!AB26</f>
        <v>610.28720405017884</v>
      </c>
      <c r="M33" s="2473">
        <f>+'MCP PS'!AD26</f>
        <v>273.58429506939126</v>
      </c>
      <c r="N33" s="2473"/>
      <c r="O33" s="2473"/>
      <c r="P33" s="2474">
        <f t="shared" si="61"/>
        <v>108.57409633447885</v>
      </c>
      <c r="Q33" s="2474">
        <f t="shared" si="10"/>
        <v>4.2745707218298765</v>
      </c>
      <c r="R33" s="2470">
        <f t="shared" si="11"/>
        <v>14.51334473695519</v>
      </c>
      <c r="S33" s="2470">
        <f t="shared" si="12"/>
        <v>19.245416157705865</v>
      </c>
      <c r="T33" s="2470">
        <f t="shared" si="13"/>
        <v>6.2090994672227087</v>
      </c>
      <c r="U33" s="2469">
        <f t="shared" si="1"/>
        <v>41376</v>
      </c>
      <c r="V33" s="2469">
        <f t="shared" si="14"/>
        <v>6663.7682675918259</v>
      </c>
      <c r="W33" s="2469">
        <f>+'Proy. Mes'!AO33</f>
        <v>6684.5450561818952</v>
      </c>
      <c r="X33" s="4025">
        <f t="shared" si="63"/>
        <v>184.39268580859112</v>
      </c>
      <c r="Y33" s="2469">
        <v>46000</v>
      </c>
      <c r="Z33" s="2475">
        <f t="shared" si="16"/>
        <v>6.8795812497803208</v>
      </c>
      <c r="AA33" s="2469">
        <f t="shared" si="17"/>
        <v>7267.8842192025286</v>
      </c>
      <c r="AB33" s="2471" t="str">
        <f t="shared" si="18"/>
        <v>SAG</v>
      </c>
      <c r="AC33" s="2470">
        <f t="shared" si="19"/>
        <v>8.6927392541117907</v>
      </c>
      <c r="AD33" s="2469">
        <f t="shared" si="20"/>
        <v>1715.1095373012402</v>
      </c>
      <c r="AE33" s="2469">
        <f>+'Proy. Mes'!AP33</f>
        <v>1715.1095373012399</v>
      </c>
      <c r="AF33" s="2469">
        <f t="shared" si="21"/>
        <v>188.43853388708627</v>
      </c>
      <c r="AG33" s="2475">
        <f t="shared" si="22"/>
        <v>6.856320641737522</v>
      </c>
      <c r="AH33" s="2469">
        <f t="shared" si="23"/>
        <v>1697.703565545354</v>
      </c>
      <c r="AI33" s="2471" t="str">
        <f t="shared" si="24"/>
        <v>BOLAS</v>
      </c>
      <c r="AJ33" s="2473">
        <f t="shared" si="25"/>
        <v>185.21879985276652</v>
      </c>
      <c r="AK33" s="2473">
        <f t="shared" si="26"/>
        <v>264.28294327575344</v>
      </c>
      <c r="AL33" s="2474">
        <f>+'MCP PS'!AE26</f>
        <v>92.542922881432972</v>
      </c>
      <c r="AM33" s="2474">
        <f>+'MCP PS'!AF26</f>
        <v>91.362649002581477</v>
      </c>
      <c r="AN33" s="2474">
        <f>+'MCP PS'!AG26</f>
        <v>88.962164793472908</v>
      </c>
      <c r="AO33" s="2474">
        <f>+'MCP PS'!AH26</f>
        <v>86.269269550465054</v>
      </c>
      <c r="AP33" s="2474">
        <f>+'MCP PS'!AI26</f>
        <v>83.578397032622732</v>
      </c>
      <c r="AQ33" s="2474">
        <f>+'MCP PS'!AJ26</f>
        <v>82.633334644915237</v>
      </c>
      <c r="AR33" s="2474">
        <f>+'MCP PS'!AK26</f>
        <v>78.160201182970781</v>
      </c>
      <c r="AS33" s="2474">
        <f t="shared" si="27"/>
        <v>104.68727488229548</v>
      </c>
      <c r="AT33" s="2474">
        <f t="shared" si="28"/>
        <v>-8.8140412465989915E-2</v>
      </c>
      <c r="AU33" s="2474">
        <f t="shared" si="2"/>
        <v>88.362013466817018</v>
      </c>
      <c r="AV33" s="2474">
        <f t="shared" si="29"/>
        <v>89.884668922599531</v>
      </c>
      <c r="AW33" s="2474">
        <f>+'MCP PS'!E26</f>
        <v>0.48892696357468995</v>
      </c>
      <c r="AX33" s="2474">
        <f>+'MCP PS'!AM26</f>
        <v>8.1609009198212214E-3</v>
      </c>
      <c r="AY33" s="2474">
        <f t="shared" si="30"/>
        <v>1</v>
      </c>
      <c r="AZ33" s="2474">
        <f t="shared" si="31"/>
        <v>89.884668922599531</v>
      </c>
      <c r="BA33" s="2474">
        <f>+'MCP PS'!O26</f>
        <v>1.0021086550482974</v>
      </c>
      <c r="BB33" s="2474">
        <f>+'MCP PS'!P26</f>
        <v>1.0755846930955193</v>
      </c>
      <c r="BC33" s="2476">
        <f>+'MCP PS'!Q26</f>
        <v>0.10172513659277699</v>
      </c>
      <c r="BD33" s="2474">
        <f>+'MCP PS'!R26</f>
        <v>7.7298327488100005E-2</v>
      </c>
      <c r="BE33" s="2474">
        <f t="shared" si="3"/>
        <v>17.926608448172484</v>
      </c>
      <c r="BF33" s="2474">
        <f t="shared" si="43"/>
        <v>23.660048576549023</v>
      </c>
      <c r="BG33" s="2474">
        <f t="shared" si="4"/>
        <v>24.629869264557232</v>
      </c>
      <c r="BH33" s="2471"/>
      <c r="BI33" s="2474">
        <f t="shared" si="5"/>
        <v>4.2745707218298765</v>
      </c>
      <c r="BJ33" s="2474">
        <f>+'MCP PS'!AL26/25.4</f>
        <v>3.6227485383589841</v>
      </c>
      <c r="BK33" s="2474">
        <f t="shared" si="32"/>
        <v>-0.65182218347089238</v>
      </c>
      <c r="BL33" s="2471"/>
      <c r="BM33" s="2473">
        <f t="shared" si="6"/>
        <v>185.21879985276652</v>
      </c>
      <c r="BN33" s="2473">
        <f>+'MCP PS'!T26</f>
        <v>185.62811730920433</v>
      </c>
      <c r="BO33" s="2474">
        <f t="shared" si="33"/>
        <v>0.40931745643780459</v>
      </c>
      <c r="BP33" s="2471"/>
      <c r="BQ33" s="2474">
        <f t="shared" si="34"/>
        <v>89.884668922599531</v>
      </c>
      <c r="BR33" s="2474">
        <f t="shared" si="60"/>
        <v>89.884668922599531</v>
      </c>
      <c r="BS33" s="2474">
        <f t="shared" si="35"/>
        <v>0</v>
      </c>
      <c r="BT33" s="2471"/>
      <c r="BU33" s="2474">
        <f t="shared" si="36"/>
        <v>17.926608448172484</v>
      </c>
      <c r="BV33" s="2474">
        <f t="shared" si="37"/>
        <v>23.660048576549023</v>
      </c>
      <c r="BW33" s="2474">
        <f t="shared" si="38"/>
        <v>5.7334401283765395</v>
      </c>
      <c r="BX33" s="1134"/>
      <c r="BY33" s="362">
        <f>+'MCP PS'!AL26</f>
        <v>92.017812874318196</v>
      </c>
      <c r="BZ33" s="308">
        <f t="shared" si="62"/>
        <v>0</v>
      </c>
      <c r="CA33" s="1134">
        <f t="shared" si="40"/>
        <v>4140.8015793443192</v>
      </c>
      <c r="CB33" s="308" t="e">
        <f>+'MCP ST'!#REF!</f>
        <v>#REF!</v>
      </c>
      <c r="CC33" s="1134" t="e">
        <f t="shared" si="41"/>
        <v>#REF!</v>
      </c>
    </row>
    <row r="34" spans="1:81" s="362" customFormat="1">
      <c r="A34" s="2477">
        <f t="shared" si="42"/>
        <v>46107</v>
      </c>
      <c r="B34" s="2469">
        <f>+'MCP PS'!C27</f>
        <v>222119.04000000001</v>
      </c>
      <c r="C34" s="2470">
        <f>+'MCP PS'!M27</f>
        <v>12.61972571248282</v>
      </c>
      <c r="D34" s="2471">
        <f t="shared" si="0"/>
        <v>7.75</v>
      </c>
      <c r="E34" s="3911">
        <f>+'MCP PS'!U27</f>
        <v>35.81651261035524</v>
      </c>
      <c r="F34" s="3911">
        <f t="shared" si="8"/>
        <v>7.2820160750264513</v>
      </c>
      <c r="G34" s="2472">
        <f>+'MCP PS'!W27</f>
        <v>87.950575463139046</v>
      </c>
      <c r="H34" s="2473">
        <f>+'MCP PS'!X27</f>
        <v>50293</v>
      </c>
      <c r="I34" s="2473">
        <f>+'MCP PS'!Y27</f>
        <v>0</v>
      </c>
      <c r="J34" s="2473">
        <f>+SUM('MCP PS'!Z27:AA27)</f>
        <v>171826.04</v>
      </c>
      <c r="K34" s="2473">
        <f>+'MCP PS'!AC27</f>
        <v>0</v>
      </c>
      <c r="L34" s="2473">
        <f>+'MCP PS'!AB27</f>
        <v>0</v>
      </c>
      <c r="M34" s="2473">
        <f>+'MCP PS'!AD27</f>
        <v>0</v>
      </c>
      <c r="N34" s="2473"/>
      <c r="O34" s="2473"/>
      <c r="P34" s="2474">
        <f t="shared" si="61"/>
        <v>109.13179919104773</v>
      </c>
      <c r="Q34" s="2474">
        <f t="shared" si="10"/>
        <v>4.2965275272066039</v>
      </c>
      <c r="R34" s="2470">
        <f t="shared" si="11"/>
        <v>14.593902395925202</v>
      </c>
      <c r="S34" s="2470">
        <f t="shared" si="12"/>
        <v>19.298334483883266</v>
      </c>
      <c r="T34" s="2470">
        <f t="shared" si="13"/>
        <v>6.3081577171306664</v>
      </c>
      <c r="U34" s="2469">
        <f t="shared" si="1"/>
        <v>41376</v>
      </c>
      <c r="V34" s="2469">
        <f t="shared" si="14"/>
        <v>6559.1257947843951</v>
      </c>
      <c r="W34" s="2469">
        <f>+'Proy. Mes'!AO34</f>
        <v>6579.5763213485698</v>
      </c>
      <c r="X34" s="4025">
        <f t="shared" si="63"/>
        <v>181.17278946812829</v>
      </c>
      <c r="Y34" s="2469">
        <v>46000</v>
      </c>
      <c r="Z34" s="2475">
        <f t="shared" si="16"/>
        <v>6.9889658797492364</v>
      </c>
      <c r="AA34" s="2469">
        <f t="shared" si="17"/>
        <v>7154.1342253332041</v>
      </c>
      <c r="AB34" s="2471" t="str">
        <f t="shared" si="18"/>
        <v>SAG</v>
      </c>
      <c r="AC34" s="2470">
        <f t="shared" si="19"/>
        <v>8.8314208039829332</v>
      </c>
      <c r="AD34" s="2469">
        <f t="shared" si="20"/>
        <v>1688.1768325744488</v>
      </c>
      <c r="AE34" s="2469">
        <f>+'Proy. Mes'!AP34</f>
        <v>1688.1768325744486</v>
      </c>
      <c r="AF34" s="2469">
        <f t="shared" si="21"/>
        <v>185.14117533721938</v>
      </c>
      <c r="AG34" s="2475">
        <f t="shared" si="22"/>
        <v>6.9706326021630254</v>
      </c>
      <c r="AH34" s="2469">
        <f t="shared" si="23"/>
        <v>1669.862789266507</v>
      </c>
      <c r="AI34" s="2471" t="str">
        <f t="shared" si="24"/>
        <v>BOLAS</v>
      </c>
      <c r="AJ34" s="2473">
        <f t="shared" si="25"/>
        <v>181.98308665071124</v>
      </c>
      <c r="AK34" s="2473">
        <f t="shared" si="26"/>
        <v>259.88605863766509</v>
      </c>
      <c r="AL34" s="2474">
        <f>+'MCP PS'!AE27</f>
        <v>92.9736946194257</v>
      </c>
      <c r="AM34" s="2474">
        <f>+'MCP PS'!AF27</f>
        <v>91.694073439539451</v>
      </c>
      <c r="AN34" s="2474">
        <f>+'MCP PS'!AG27</f>
        <v>89.42587794508745</v>
      </c>
      <c r="AO34" s="2474">
        <f>+'MCP PS'!AH27</f>
        <v>87.111179065423656</v>
      </c>
      <c r="AP34" s="2474">
        <f>+'MCP PS'!AI27</f>
        <v>84.014480226278664</v>
      </c>
      <c r="AQ34" s="2474">
        <f>+'MCP PS'!AJ27</f>
        <v>82.929823407664628</v>
      </c>
      <c r="AR34" s="2474">
        <f>+'MCP PS'!AK27</f>
        <v>78.585681679877609</v>
      </c>
      <c r="AS34" s="2474">
        <f t="shared" si="27"/>
        <v>105.15452962547278</v>
      </c>
      <c r="AT34" s="2474">
        <f t="shared" si="28"/>
        <v>-8.817102726313035E-2</v>
      </c>
      <c r="AU34" s="2474">
        <f t="shared" si="2"/>
        <v>89.1088939309643</v>
      </c>
      <c r="AV34" s="2474">
        <f t="shared" si="29"/>
        <v>90.279694000087019</v>
      </c>
      <c r="AW34" s="2474">
        <f>+'MCP PS'!E27</f>
        <v>0.52363529808160525</v>
      </c>
      <c r="AX34" s="2474">
        <f>+'MCP PS'!AM27</f>
        <v>6.8932820887394426E-3</v>
      </c>
      <c r="AY34" s="2474">
        <f t="shared" si="30"/>
        <v>1</v>
      </c>
      <c r="AZ34" s="2474">
        <f t="shared" si="31"/>
        <v>90.279694000087019</v>
      </c>
      <c r="BA34" s="2474">
        <f>+'MCP PS'!O27</f>
        <v>1.1731805161772713</v>
      </c>
      <c r="BB34" s="2474">
        <f>+'MCP PS'!P27</f>
        <v>0.89167464184970369</v>
      </c>
      <c r="BC34" s="2476">
        <f>+'MCP PS'!Q27</f>
        <v>0.1052247254445184</v>
      </c>
      <c r="BD34" s="2474">
        <f>+'MCP PS'!R27</f>
        <v>4.7548962934469724E-2</v>
      </c>
      <c r="BE34" s="2474">
        <f t="shared" si="3"/>
        <v>20.032390012502926</v>
      </c>
      <c r="BF34" s="2474">
        <f t="shared" si="43"/>
        <v>24.27165034625893</v>
      </c>
      <c r="BG34" s="2474">
        <f t="shared" si="4"/>
        <v>25.145686229058668</v>
      </c>
      <c r="BH34" s="2471"/>
      <c r="BI34" s="2474">
        <f t="shared" si="5"/>
        <v>4.2965275272066039</v>
      </c>
      <c r="BJ34" s="2474">
        <f>+'MCP PS'!AL27/25.4</f>
        <v>3.9410295472165293</v>
      </c>
      <c r="BK34" s="2474">
        <f t="shared" si="32"/>
        <v>-0.3554979799900746</v>
      </c>
      <c r="BL34" s="2471"/>
      <c r="BM34" s="2473">
        <f t="shared" si="6"/>
        <v>181.98308665071124</v>
      </c>
      <c r="BN34" s="2473">
        <f>+'MCP PS'!T27</f>
        <v>185.11618718809515</v>
      </c>
      <c r="BO34" s="2474">
        <f t="shared" si="33"/>
        <v>3.1331005373839105</v>
      </c>
      <c r="BP34" s="2471"/>
      <c r="BQ34" s="2474">
        <f t="shared" si="34"/>
        <v>90.279694000087019</v>
      </c>
      <c r="BR34" s="2474">
        <f t="shared" si="60"/>
        <v>90.279694000087019</v>
      </c>
      <c r="BS34" s="2474">
        <f t="shared" si="35"/>
        <v>0</v>
      </c>
      <c r="BT34" s="2471"/>
      <c r="BU34" s="2474">
        <f t="shared" si="36"/>
        <v>20.032390012502926</v>
      </c>
      <c r="BV34" s="2474">
        <f t="shared" si="37"/>
        <v>24.27165034625893</v>
      </c>
      <c r="BW34" s="2474">
        <f t="shared" si="38"/>
        <v>4.239260333756004</v>
      </c>
      <c r="BX34" s="1134"/>
      <c r="BY34" s="362">
        <f>+'MCP PS'!AL27</f>
        <v>100.10215049929984</v>
      </c>
      <c r="BZ34" s="308">
        <f t="shared" si="62"/>
        <v>0</v>
      </c>
      <c r="CA34" s="1134">
        <f t="shared" si="40"/>
        <v>4504.5967724684924</v>
      </c>
      <c r="CB34" s="308" t="e">
        <f>+'MCP ST'!#REF!</f>
        <v>#REF!</v>
      </c>
      <c r="CC34" s="1134" t="e">
        <f t="shared" si="41"/>
        <v>#REF!</v>
      </c>
    </row>
    <row r="35" spans="1:81" s="362" customFormat="1">
      <c r="A35" s="2477">
        <f t="shared" si="42"/>
        <v>46108</v>
      </c>
      <c r="B35" s="2469">
        <f>+'MCP PS'!C28</f>
        <v>238000.00000006927</v>
      </c>
      <c r="C35" s="2470">
        <f>+'MCP PS'!M28</f>
        <v>12.456098282823257</v>
      </c>
      <c r="D35" s="2471">
        <f t="shared" si="0"/>
        <v>7.75</v>
      </c>
      <c r="E35" s="3911">
        <f>+'MCP PS'!U28</f>
        <v>37.442607675496227</v>
      </c>
      <c r="F35" s="3911">
        <f t="shared" si="8"/>
        <v>6.9463078586414291</v>
      </c>
      <c r="G35" s="2472">
        <f>+'MCP PS'!W28</f>
        <v>90.245413987786748</v>
      </c>
      <c r="H35" s="2473">
        <f>+'MCP PS'!X28</f>
        <v>28715.047089593176</v>
      </c>
      <c r="I35" s="2473">
        <f>+'MCP PS'!Y28</f>
        <v>0</v>
      </c>
      <c r="J35" s="2473">
        <f>+SUM('MCP PS'!Z28:AA28)</f>
        <v>188448.19631146872</v>
      </c>
      <c r="K35" s="2473">
        <f>+'MCP PS'!AC28</f>
        <v>6681.9919856568449</v>
      </c>
      <c r="L35" s="2473">
        <f>+'MCP PS'!AB28</f>
        <v>0</v>
      </c>
      <c r="M35" s="2473">
        <f>+'MCP PS'!AD28</f>
        <v>14154.725718410824</v>
      </c>
      <c r="N35" s="2473"/>
      <c r="O35" s="2473"/>
      <c r="P35" s="2474">
        <f t="shared" si="61"/>
        <v>106.84688301250995</v>
      </c>
      <c r="Q35" s="2474">
        <f t="shared" si="10"/>
        <v>4.2065701973429119</v>
      </c>
      <c r="R35" s="2470">
        <f t="shared" si="11"/>
        <v>15.062319966776016</v>
      </c>
      <c r="S35" s="2470">
        <f t="shared" si="12"/>
        <v>19.606037986175167</v>
      </c>
      <c r="T35" s="2470">
        <f t="shared" si="13"/>
        <v>6.0194678110142741</v>
      </c>
      <c r="U35" s="2469">
        <f t="shared" si="1"/>
        <v>41376</v>
      </c>
      <c r="V35" s="2469">
        <f t="shared" si="14"/>
        <v>6873.6973598049999</v>
      </c>
      <c r="W35" s="2469">
        <f>+'Proy. Mes'!AO35</f>
        <v>6895.128680814666</v>
      </c>
      <c r="X35" s="4025">
        <f t="shared" si="63"/>
        <v>181.66638158280179</v>
      </c>
      <c r="Y35" s="2469">
        <v>47500</v>
      </c>
      <c r="Z35" s="2475">
        <f t="shared" si="16"/>
        <v>6.8866471384712984</v>
      </c>
      <c r="AA35" s="2469">
        <f t="shared" si="17"/>
        <v>7260.4271708190099</v>
      </c>
      <c r="AB35" s="2471" t="str">
        <f t="shared" si="18"/>
        <v>SAG</v>
      </c>
      <c r="AC35" s="2470">
        <f t="shared" si="19"/>
        <v>8.4272549354199828</v>
      </c>
      <c r="AD35" s="2469">
        <f t="shared" si="20"/>
        <v>1769.1407361295153</v>
      </c>
      <c r="AE35" s="2469">
        <f>+'Proy. Mes'!AP35</f>
        <v>1769.1407361295153</v>
      </c>
      <c r="AF35" s="2469">
        <f t="shared" si="21"/>
        <v>195.38321593596362</v>
      </c>
      <c r="AG35" s="2475">
        <f t="shared" si="22"/>
        <v>6.6370833140127097</v>
      </c>
      <c r="AH35" s="2469">
        <f t="shared" si="23"/>
        <v>1753.7824145471786</v>
      </c>
      <c r="AI35" s="2471" t="str">
        <f t="shared" si="24"/>
        <v>BOLAS</v>
      </c>
      <c r="AJ35" s="2473">
        <f t="shared" si="25"/>
        <v>184.46719596854351</v>
      </c>
      <c r="AK35" s="2473">
        <f t="shared" si="26"/>
        <v>260.56045021403082</v>
      </c>
      <c r="AL35" s="2474">
        <f>+'MCP PS'!AE28</f>
        <v>91.434592140023895</v>
      </c>
      <c r="AM35" s="2474">
        <f>+'MCP PS'!AF28</f>
        <v>90.024953926830648</v>
      </c>
      <c r="AN35" s="2474">
        <f>+'MCP PS'!AG28</f>
        <v>87.61559539005178</v>
      </c>
      <c r="AO35" s="4023">
        <f>+'MCP PS'!AH28</f>
        <v>85.002647085290675</v>
      </c>
      <c r="AP35" s="2474">
        <f>+'MCP PS'!AI28</f>
        <v>81.88013077724257</v>
      </c>
      <c r="AQ35" s="2474">
        <f>+'MCP PS'!AJ28</f>
        <v>80.755590682806556</v>
      </c>
      <c r="AR35" s="2474">
        <f>+'MCP PS'!AK28</f>
        <v>74.879875509044396</v>
      </c>
      <c r="AS35" s="2474">
        <f t="shared" si="27"/>
        <v>105.2915896060568</v>
      </c>
      <c r="AT35" s="2474">
        <f t="shared" si="28"/>
        <v>-9.9146381548130255E-2</v>
      </c>
      <c r="AU35" s="2474">
        <f>+AJ35*AT35+AS35</f>
        <v>87.002334611445875</v>
      </c>
      <c r="AV35" s="2474">
        <f>+AU35*$AF$4+$AE$4</f>
        <v>89.165534775993734</v>
      </c>
      <c r="AW35" s="2474">
        <f>+'MCP PS'!E28</f>
        <v>0.52870026226391142</v>
      </c>
      <c r="AX35" s="2474">
        <f>+'MCP PS'!AM28</f>
        <v>8.9396382188749943E-3</v>
      </c>
      <c r="AY35" s="2474">
        <f t="shared" si="30"/>
        <v>1</v>
      </c>
      <c r="AZ35" s="2474">
        <f>+AY35*AV35</f>
        <v>89.165534775993734</v>
      </c>
      <c r="BA35" s="2474">
        <f>+'MCP PS'!O28</f>
        <v>0.9923988915088231</v>
      </c>
      <c r="BB35" s="2474">
        <f>+'MCP PS'!P28</f>
        <v>0.97990508076104421</v>
      </c>
      <c r="BC35" s="2476">
        <f>+'MCP PS'!Q28</f>
        <v>0.26324893557640711</v>
      </c>
      <c r="BD35" s="2474">
        <f>+'MCP PS'!R28</f>
        <v>2.4820635970263745E-2</v>
      </c>
      <c r="BE35" s="2474">
        <f t="shared" si="3"/>
        <v>19.596092783687116</v>
      </c>
      <c r="BF35" s="2474">
        <f t="shared" si="43"/>
        <v>25.009333034839045</v>
      </c>
      <c r="BG35" s="2474">
        <f t="shared" si="4"/>
        <v>25.811054113784454</v>
      </c>
      <c r="BH35" s="2471"/>
      <c r="BI35" s="2474">
        <f t="shared" si="5"/>
        <v>4.2065701973429119</v>
      </c>
      <c r="BJ35" s="2474">
        <f>+'MCP PS'!AL28/25.4</f>
        <v>3.9785729528224256</v>
      </c>
      <c r="BK35" s="2474">
        <f t="shared" si="32"/>
        <v>-0.22799724452048631</v>
      </c>
      <c r="BL35" s="2471"/>
      <c r="BM35" s="2473">
        <f t="shared" si="6"/>
        <v>184.46719596854351</v>
      </c>
      <c r="BN35" s="2473">
        <f>+'MCP PS'!T28</f>
        <v>192.08359066305587</v>
      </c>
      <c r="BO35" s="2474">
        <f t="shared" si="33"/>
        <v>7.6163946945123655</v>
      </c>
      <c r="BP35" s="2471"/>
      <c r="BQ35" s="2474">
        <f t="shared" si="34"/>
        <v>89.165534775993734</v>
      </c>
      <c r="BR35" s="2474">
        <f t="shared" si="60"/>
        <v>89.165534775993734</v>
      </c>
      <c r="BS35" s="2474">
        <f t="shared" si="35"/>
        <v>0</v>
      </c>
      <c r="BT35" s="2471"/>
      <c r="BU35" s="2474">
        <f t="shared" si="36"/>
        <v>19.596092783687116</v>
      </c>
      <c r="BV35" s="2474">
        <f t="shared" si="37"/>
        <v>25.009333034839045</v>
      </c>
      <c r="BW35" s="2474">
        <f t="shared" si="38"/>
        <v>5.4132402511519295</v>
      </c>
      <c r="BX35" s="1134"/>
      <c r="BY35" s="362">
        <f>+'MCP PS'!AL28</f>
        <v>101.05575300168961</v>
      </c>
      <c r="BZ35" s="308">
        <f t="shared" si="62"/>
        <v>0</v>
      </c>
      <c r="CA35" s="1134">
        <f t="shared" si="40"/>
        <v>4547.5088850760321</v>
      </c>
      <c r="CB35" s="308" t="e">
        <f>+'MCP ST'!#REF!</f>
        <v>#REF!</v>
      </c>
      <c r="CC35" s="1134" t="e">
        <f t="shared" si="41"/>
        <v>#REF!</v>
      </c>
    </row>
    <row r="36" spans="1:81" s="362" customFormat="1">
      <c r="A36" s="2477">
        <f t="shared" si="42"/>
        <v>46109</v>
      </c>
      <c r="B36" s="2469">
        <f>+'MCP PS'!C29</f>
        <v>180000.00000042227</v>
      </c>
      <c r="C36" s="2470">
        <f>+'MCP PS'!M29</f>
        <v>12.725140052569307</v>
      </c>
      <c r="D36" s="2471">
        <f t="shared" si="0"/>
        <v>7.75</v>
      </c>
      <c r="E36" s="3911">
        <f>+'MCP PS'!U29</f>
        <v>38.576705583348371</v>
      </c>
      <c r="F36" s="3911">
        <f t="shared" si="8"/>
        <v>6.7294343086447617</v>
      </c>
      <c r="G36" s="2472">
        <f>+'MCP PS'!W29</f>
        <v>85.281757195963152</v>
      </c>
      <c r="H36" s="2473">
        <f>+'MCP PS'!X29</f>
        <v>40689.090715417049</v>
      </c>
      <c r="I36" s="2473">
        <f>+'MCP PS'!Y29</f>
        <v>0</v>
      </c>
      <c r="J36" s="2473">
        <f>+SUM('MCP PS'!Z29:AA29)</f>
        <v>131235.05179451604</v>
      </c>
      <c r="K36" s="2473">
        <f>+'MCP PS'!AC29</f>
        <v>4519.0744112088887</v>
      </c>
      <c r="L36" s="2473">
        <f>+'MCP PS'!AB29</f>
        <v>0</v>
      </c>
      <c r="M36" s="2473">
        <f>+'MCP PS'!AD29</f>
        <v>3556.6128382976708</v>
      </c>
      <c r="N36" s="2473"/>
      <c r="O36" s="2473"/>
      <c r="P36" s="2474">
        <f t="shared" si="61"/>
        <v>106.12758499941739</v>
      </c>
      <c r="Q36" s="2474">
        <f t="shared" si="10"/>
        <v>4.1782513779298185</v>
      </c>
      <c r="R36" s="2470">
        <f t="shared" si="11"/>
        <v>14.911013683472749</v>
      </c>
      <c r="S36" s="2470">
        <f t="shared" si="12"/>
        <v>19.50664488867325</v>
      </c>
      <c r="T36" s="2470">
        <f t="shared" si="13"/>
        <v>5.8824774315612975</v>
      </c>
      <c r="U36" s="2469">
        <f t="shared" si="1"/>
        <v>41376</v>
      </c>
      <c r="V36" s="2469">
        <f t="shared" si="14"/>
        <v>7033.7711417310429</v>
      </c>
      <c r="W36" s="2469">
        <f>+'Proy. Mes'!AO36</f>
        <v>6970.717465428962</v>
      </c>
      <c r="X36" s="4025">
        <f t="shared" si="63"/>
        <v>179.6760372693596</v>
      </c>
      <c r="Y36" s="2469">
        <v>50000</v>
      </c>
      <c r="Z36" s="2475">
        <f t="shared" si="16"/>
        <v>7.0838906236171884</v>
      </c>
      <c r="AA36" s="2469">
        <f t="shared" si="17"/>
        <v>7058.2682111583645</v>
      </c>
      <c r="AB36" s="2471" t="str">
        <f t="shared" si="18"/>
        <v>SAG</v>
      </c>
      <c r="AC36" s="2470">
        <f t="shared" si="19"/>
        <v>8.2354684041858164</v>
      </c>
      <c r="AD36" s="2469">
        <f t="shared" si="20"/>
        <v>1810.3402585361446</v>
      </c>
      <c r="AE36" s="2469">
        <f>+'Proy. Mes'!AP36</f>
        <v>1810.3402585361443</v>
      </c>
      <c r="AF36" s="2469">
        <f t="shared" si="21"/>
        <v>209.58319486125094</v>
      </c>
      <c r="AG36" s="2475">
        <f t="shared" si="22"/>
        <v>6.4666261810788752</v>
      </c>
      <c r="AH36" s="2469">
        <f t="shared" si="23"/>
        <v>1800.0112692547837</v>
      </c>
      <c r="AI36" s="2471" t="str">
        <f t="shared" si="24"/>
        <v>BOLAS</v>
      </c>
      <c r="AJ36" s="2473">
        <f t="shared" si="25"/>
        <v>185.84182425185739</v>
      </c>
      <c r="AK36" s="2473">
        <f t="shared" si="26"/>
        <v>254.08517438156852</v>
      </c>
      <c r="AL36" s="2474">
        <f>+'MCP PS'!AE29</f>
        <v>90.410953828516256</v>
      </c>
      <c r="AM36" s="2474">
        <f>+'MCP PS'!AF29</f>
        <v>88.975120744462444</v>
      </c>
      <c r="AN36" s="2474">
        <f>+'MCP PS'!AG29</f>
        <v>86.734187514689324</v>
      </c>
      <c r="AO36" s="4023">
        <f>+'MCP PS'!AH29</f>
        <v>83.917740638720531</v>
      </c>
      <c r="AP36" s="2474">
        <f>+'MCP PS'!AI29</f>
        <v>80.844224002373011</v>
      </c>
      <c r="AQ36" s="2474">
        <f>+'MCP PS'!AJ29</f>
        <v>79.727976426741193</v>
      </c>
      <c r="AR36" s="2474">
        <f>+'MCP PS'!AK29</f>
        <v>74.641202910567472</v>
      </c>
      <c r="AS36" s="2474">
        <f t="shared" si="27"/>
        <v>103.69025127105323</v>
      </c>
      <c r="AT36" s="2474">
        <f t="shared" si="28"/>
        <v>-9.5828461371030974E-2</v>
      </c>
      <c r="AU36" s="2474">
        <f t="shared" si="2"/>
        <v>85.881315194612185</v>
      </c>
      <c r="AV36" s="2474">
        <f>+AU36*$AF$4+$AE$4</f>
        <v>88.572627606430387</v>
      </c>
      <c r="AW36" s="2474">
        <f>+'MCP PS'!E29</f>
        <v>0.60210373772341408</v>
      </c>
      <c r="AX36" s="2474">
        <f>+'MCP PS'!AM29</f>
        <v>1.2342036408866081E-2</v>
      </c>
      <c r="AY36" s="2474">
        <f t="shared" si="30"/>
        <v>1</v>
      </c>
      <c r="AZ36" s="2474">
        <f>+AY36*AV36</f>
        <v>88.572627606430387</v>
      </c>
      <c r="BA36" s="2474">
        <f>+'MCP PS'!O29</f>
        <v>0.87408893399649712</v>
      </c>
      <c r="BB36" s="2474">
        <f>+'MCP PS'!P29</f>
        <v>0.48697076681570517</v>
      </c>
      <c r="BC36" s="2476">
        <f>+'MCP PS'!Q29</f>
        <v>0.3016066401105576</v>
      </c>
      <c r="BD36" s="2474">
        <f>+'MCP PS'!R29</f>
        <v>0.10953211828931009</v>
      </c>
      <c r="BE36" s="2474">
        <f t="shared" si="3"/>
        <v>27.834859211506028</v>
      </c>
      <c r="BF36" s="2474">
        <f t="shared" si="43"/>
        <v>30.407251993552919</v>
      </c>
      <c r="BG36" s="2474">
        <f t="shared" si="4"/>
        <v>30.314583841702611</v>
      </c>
      <c r="BH36" s="2471"/>
      <c r="BI36" s="2474">
        <f t="shared" si="5"/>
        <v>4.1782513779298185</v>
      </c>
      <c r="BJ36" s="2474">
        <f>+'MCP PS'!AL29/25.4</f>
        <v>3.8839977487047235</v>
      </c>
      <c r="BK36" s="2474">
        <f t="shared" si="32"/>
        <v>-0.29425362922509501</v>
      </c>
      <c r="BL36" s="2471"/>
      <c r="BM36" s="2473">
        <f t="shared" si="6"/>
        <v>185.84182425185739</v>
      </c>
      <c r="BN36" s="2473">
        <f>+'MCP PS'!T29</f>
        <v>205.21416188885843</v>
      </c>
      <c r="BO36" s="2474">
        <f t="shared" si="33"/>
        <v>19.372337637001039</v>
      </c>
      <c r="BP36" s="2471"/>
      <c r="BQ36" s="2474">
        <f t="shared" si="34"/>
        <v>88.572627606430387</v>
      </c>
      <c r="BR36" s="2474">
        <f t="shared" si="60"/>
        <v>88.572627606430387</v>
      </c>
      <c r="BS36" s="2474">
        <f t="shared" si="35"/>
        <v>0</v>
      </c>
      <c r="BT36" s="2471"/>
      <c r="BU36" s="2474">
        <f t="shared" si="36"/>
        <v>27.834859211506028</v>
      </c>
      <c r="BV36" s="2474">
        <f t="shared" si="37"/>
        <v>30.407251993552919</v>
      </c>
      <c r="BW36" s="2474">
        <f t="shared" si="38"/>
        <v>2.5723927820468901</v>
      </c>
      <c r="BX36" s="1134"/>
      <c r="BY36" s="362">
        <f>+'MCP PS'!AL29</f>
        <v>98.653542817099975</v>
      </c>
      <c r="BZ36" s="308">
        <f t="shared" si="62"/>
        <v>0</v>
      </c>
      <c r="CA36" s="1134">
        <f t="shared" si="40"/>
        <v>4439.4094267694991</v>
      </c>
      <c r="CB36" s="308" t="e">
        <f>+'MCP ST'!#REF!</f>
        <v>#REF!</v>
      </c>
      <c r="CC36" s="1134" t="e">
        <f t="shared" si="41"/>
        <v>#REF!</v>
      </c>
    </row>
    <row r="37" spans="1:81" s="362" customFormat="1">
      <c r="A37" s="2477">
        <f t="shared" si="42"/>
        <v>46110</v>
      </c>
      <c r="B37" s="2469">
        <f>+'MCP PS'!C30</f>
        <v>237999.99999993708</v>
      </c>
      <c r="C37" s="2470">
        <f>+'MCP PS'!M30</f>
        <v>12.590706325053283</v>
      </c>
      <c r="D37" s="2471">
        <f t="shared" si="0"/>
        <v>7.75</v>
      </c>
      <c r="E37" s="3911">
        <f>+'MCP PS'!U30</f>
        <v>37.856345607601831</v>
      </c>
      <c r="F37" s="3911">
        <f t="shared" si="8"/>
        <v>6.8656356605331741</v>
      </c>
      <c r="G37" s="2472">
        <f>+'MCP PS'!W30</f>
        <v>79.837457058144906</v>
      </c>
      <c r="H37" s="2473">
        <f>+'MCP PS'!X30</f>
        <v>53666.807130286063</v>
      </c>
      <c r="I37" s="2473">
        <f>+'MCP PS'!Y30</f>
        <v>0</v>
      </c>
      <c r="J37" s="2473">
        <f>+SUM('MCP PS'!Z30:AA30)</f>
        <v>151547.50448452958</v>
      </c>
      <c r="K37" s="2473">
        <f>+'MCP PS'!AC30</f>
        <v>12244.201006841475</v>
      </c>
      <c r="L37" s="2473">
        <f>+'MCP PS'!AB30</f>
        <v>12515.002242147642</v>
      </c>
      <c r="M37" s="2473">
        <f>+'MCP PS'!AD30</f>
        <v>8026.8034143912901</v>
      </c>
      <c r="N37" s="2473"/>
      <c r="O37" s="2473"/>
      <c r="P37" s="2474">
        <f t="shared" si="61"/>
        <v>103.33872084256647</v>
      </c>
      <c r="Q37" s="2474">
        <f t="shared" ref="Q37:Q39" si="64">+P37/25.4</f>
        <v>4.0684535764789951</v>
      </c>
      <c r="R37" s="2470">
        <f t="shared" si="11"/>
        <v>14.683628608309998</v>
      </c>
      <c r="S37" s="2470">
        <f t="shared" si="12"/>
        <v>19.357275632798839</v>
      </c>
      <c r="T37" s="2470">
        <f t="shared" si="13"/>
        <v>5.8514425188790522</v>
      </c>
      <c r="U37" s="2469">
        <f t="shared" si="1"/>
        <v>41376</v>
      </c>
      <c r="V37" s="2469">
        <f t="shared" si="14"/>
        <v>7071.0768953988299</v>
      </c>
      <c r="W37" s="2469">
        <f>+'Proy. Mes'!AO37</f>
        <v>7093.1236208941218</v>
      </c>
      <c r="X37" s="4025">
        <f t="shared" si="63"/>
        <v>187.01471399630279</v>
      </c>
      <c r="Y37" s="2469">
        <v>48500</v>
      </c>
      <c r="Z37" s="2475">
        <f t="shared" si="16"/>
        <v>6.8359424511885951</v>
      </c>
      <c r="AA37" s="2469">
        <f t="shared" si="17"/>
        <v>7314.2804166390079</v>
      </c>
      <c r="AB37" s="2471" t="str">
        <f t="shared" si="18"/>
        <v>SAG</v>
      </c>
      <c r="AC37" s="2470">
        <f t="shared" si="19"/>
        <v>8.1920195264306734</v>
      </c>
      <c r="AD37" s="2469">
        <f t="shared" si="20"/>
        <v>1819.9419510534256</v>
      </c>
      <c r="AE37" s="2469">
        <f>+'Proy. Mes'!AP37</f>
        <v>1812</v>
      </c>
      <c r="AF37" s="2469">
        <f t="shared" si="21"/>
        <v>206.40480218639993</v>
      </c>
      <c r="AG37" s="2475">
        <f t="shared" si="22"/>
        <v>6.4650163916201713</v>
      </c>
      <c r="AH37" s="2469">
        <f t="shared" si="23"/>
        <v>1800.4594721658466</v>
      </c>
      <c r="AI37" s="2471" t="str">
        <f t="shared" si="24"/>
        <v>BOLAS</v>
      </c>
      <c r="AJ37" s="2473">
        <f t="shared" si="25"/>
        <v>190.96017745040004</v>
      </c>
      <c r="AK37" s="2473">
        <f t="shared" si="26"/>
        <v>267.49820961370165</v>
      </c>
      <c r="AL37" s="2474">
        <f>+'MCP PS'!AE30</f>
        <v>93.110816789654336</v>
      </c>
      <c r="AM37" s="2474">
        <f>+'MCP PS'!AF30</f>
        <v>91.765529496993366</v>
      </c>
      <c r="AN37" s="2474">
        <f>+'MCP PS'!AG30</f>
        <v>89.521160142696587</v>
      </c>
      <c r="AO37" s="2474">
        <f>+'MCP PS'!AH30</f>
        <v>86.783835703647412</v>
      </c>
      <c r="AP37" s="2474">
        <f>+'MCP PS'!AI30</f>
        <v>83.819051730864743</v>
      </c>
      <c r="AQ37" s="2474">
        <f>+'MCP PS'!AJ30</f>
        <v>82.75448773385132</v>
      </c>
      <c r="AR37" s="2474">
        <f>+'MCP PS'!AK30</f>
        <v>77.940171555724959</v>
      </c>
      <c r="AS37" s="2474">
        <f t="shared" ref="AS37:AS39" si="65">+INTERCEPT(AL37:AR37,$AL$7:$AR$7)</f>
        <v>105.91468414766354</v>
      </c>
      <c r="AT37" s="2474">
        <f t="shared" ref="AT37:AT39" si="66">+SLOPE(AL37:AR37,$AL$7:$AR$7)</f>
        <v>-9.2506977423457426E-2</v>
      </c>
      <c r="AU37" s="2474">
        <f t="shared" ref="AU37:AU39" si="67">+AJ37*AT37+AS37</f>
        <v>88.249535323479961</v>
      </c>
      <c r="AV37" s="2474">
        <f t="shared" ref="AV37:AV39" si="68">+AU37*$AF$4+$AE$4</f>
        <v>89.825179232588553</v>
      </c>
      <c r="AW37" s="2474">
        <f>+'MCP PS'!E30</f>
        <v>0.60253190135276002</v>
      </c>
      <c r="AX37" s="2474">
        <f>+'MCP PS'!AM30</f>
        <v>9.4261345932562558E-3</v>
      </c>
      <c r="AY37" s="2474">
        <f t="shared" ref="AY37:AY39" si="69">+IF(AX37&gt;$AE$6,(AW37-(AX37-$AE$6))/AW37,1)</f>
        <v>1</v>
      </c>
      <c r="AZ37" s="2474">
        <f t="shared" ref="AZ37:AZ39" si="70">+AY37*AV37</f>
        <v>89.825179232588553</v>
      </c>
      <c r="BA37" s="2474">
        <f>+'MCP PS'!O30</f>
        <v>0.97313256354260003</v>
      </c>
      <c r="BB37" s="2474">
        <f>+'MCP PS'!P30</f>
        <v>0.51617590483594589</v>
      </c>
      <c r="BC37" s="2476">
        <f>+'MCP PS'!Q30</f>
        <v>0.26316189120259864</v>
      </c>
      <c r="BD37" s="2474">
        <f>+'MCP PS'!R30</f>
        <v>0.11066732022860831</v>
      </c>
      <c r="BE37" s="2474">
        <f t="shared" si="3"/>
        <v>27.16664336276623</v>
      </c>
      <c r="BF37" s="2474">
        <f t="shared" ref="BF37:BF39" si="71">(-5.9445+1.1996/(0.027558+0.003094*(BA37/AW37)+0.003571*(BB37/AW37)-0.001979*(BC37/AW37)-0.005204*(BD37/AW37)))</f>
        <v>29.552860633358819</v>
      </c>
      <c r="BG37" s="2474">
        <f t="shared" ref="BG37:BG39" si="72">+$BG$6+$BI$6/($BG$1+$BG$2*(BA37/AW37)+$BG$3*(BB37/AW37)+$BG$4*(BC37/AW37)+$BG$5*(BD37/AW37))</f>
        <v>29.566707440864867</v>
      </c>
      <c r="BH37" s="2471"/>
      <c r="BI37" s="2474">
        <f t="shared" ref="BI37:BI39" si="73">+Q37</f>
        <v>4.0684535764789951</v>
      </c>
      <c r="BJ37" s="2474">
        <f>+'MCP PS'!AL30/25.4</f>
        <v>3.8354608843263702</v>
      </c>
      <c r="BK37" s="2474">
        <f t="shared" ref="BK37:BK39" si="74">+BJ37-BI37</f>
        <v>-0.23299269215262486</v>
      </c>
      <c r="BL37" s="2471"/>
      <c r="BM37" s="2473">
        <f t="shared" ref="BM37:BM39" si="75">+AJ37</f>
        <v>190.96017745040004</v>
      </c>
      <c r="BN37" s="2473">
        <f>+'MCP PS'!T30</f>
        <v>201.55741555961364</v>
      </c>
      <c r="BO37" s="2474">
        <f t="shared" ref="BO37:BO39" si="76">+BN37-BM37</f>
        <v>10.597238109213606</v>
      </c>
      <c r="BP37" s="2471"/>
      <c r="BQ37" s="2474">
        <f t="shared" ref="BQ37:BQ39" si="77">+AZ37</f>
        <v>89.825179232588553</v>
      </c>
      <c r="BR37" s="2474">
        <f t="shared" si="60"/>
        <v>89.825179232588553</v>
      </c>
      <c r="BS37" s="2474">
        <f t="shared" ref="BS37:BS39" si="78">+BR37-BQ37</f>
        <v>0</v>
      </c>
      <c r="BT37" s="2471"/>
      <c r="BU37" s="2474">
        <f t="shared" ref="BU37:BU39" si="79">+BE37</f>
        <v>27.16664336276623</v>
      </c>
      <c r="BV37" s="2474">
        <f t="shared" ref="BV37:BV39" si="80">+BF37</f>
        <v>29.552860633358819</v>
      </c>
      <c r="BW37" s="2474">
        <f t="shared" ref="BW37:BW39" si="81">+BV37-BU37</f>
        <v>2.3862172705925886</v>
      </c>
      <c r="BX37" s="1134"/>
      <c r="BY37" s="362">
        <f>+'MCP PS'!AL30</f>
        <v>97.420706461889793</v>
      </c>
      <c r="BZ37" s="308">
        <f t="shared" ref="BZ37:BZ39" si="82">+BY37*$CF$6</f>
        <v>0</v>
      </c>
      <c r="CA37" s="1134">
        <f t="shared" ref="CA37:CA39" si="83">+(BY37-BZ37)*45</f>
        <v>4383.9317907850409</v>
      </c>
      <c r="CB37" s="308" t="e">
        <f>+'MCP ST'!#REF!</f>
        <v>#REF!</v>
      </c>
      <c r="CC37" s="1134" t="e">
        <f t="shared" ref="CC37:CC39" si="84">+CB37+CA37</f>
        <v>#REF!</v>
      </c>
    </row>
    <row r="38" spans="1:81" s="362" customFormat="1">
      <c r="A38" s="2477">
        <f t="shared" si="42"/>
        <v>46111</v>
      </c>
      <c r="B38" s="2469">
        <f>+'MCP PS'!C31</f>
        <v>238000.00000004738</v>
      </c>
      <c r="C38" s="2470">
        <f>+'MCP PS'!M31</f>
        <v>12.492087929939807</v>
      </c>
      <c r="D38" s="2471">
        <f t="shared" si="0"/>
        <v>7.75</v>
      </c>
      <c r="E38" s="3911">
        <f>+'MCP PS'!U31</f>
        <v>37.61583478206861</v>
      </c>
      <c r="F38" s="3911">
        <f t="shared" si="8"/>
        <v>6.9123086081214344</v>
      </c>
      <c r="G38" s="2472">
        <f>+'MCP PS'!W31</f>
        <v>83.226583739130831</v>
      </c>
      <c r="H38" s="2473">
        <f>+'MCP PS'!X31</f>
        <v>50556.300098023275</v>
      </c>
      <c r="I38" s="2473">
        <f>+'MCP PS'!Y31</f>
        <v>0.70093457943925197</v>
      </c>
      <c r="J38" s="2473">
        <f>+SUM('MCP PS'!Z31:AA31)</f>
        <v>163890.60033443404</v>
      </c>
      <c r="K38" s="2473">
        <f>+'MCP PS'!AC31</f>
        <v>21.261682242990702</v>
      </c>
      <c r="L38" s="2473">
        <f>+'MCP PS'!AB31</f>
        <v>18855.578093336702</v>
      </c>
      <c r="M38" s="2473">
        <f>+'MCP PS'!AD31</f>
        <v>4675.7344359817762</v>
      </c>
      <c r="N38" s="2473"/>
      <c r="O38" s="2473"/>
      <c r="P38" s="2474">
        <f t="shared" si="61"/>
        <v>105.01396879110078</v>
      </c>
      <c r="Q38" s="2474">
        <f t="shared" si="64"/>
        <v>4.1344082201220784</v>
      </c>
      <c r="R38" s="2470">
        <f t="shared" si="11"/>
        <v>14.814279777564435</v>
      </c>
      <c r="S38" s="2470">
        <f t="shared" si="12"/>
        <v>19.443100385882079</v>
      </c>
      <c r="T38" s="2470">
        <f t="shared" si="13"/>
        <v>5.9379653510647037</v>
      </c>
      <c r="U38" s="2469">
        <f t="shared" si="1"/>
        <v>41376</v>
      </c>
      <c r="V38" s="2469">
        <f t="shared" si="14"/>
        <v>6968.0433538705474</v>
      </c>
      <c r="W38" s="2469">
        <f>+'Proy. Mes'!AO38</f>
        <v>7043.8420446998507</v>
      </c>
      <c r="X38" s="4025">
        <f t="shared" si="63"/>
        <v>183.42555828797072</v>
      </c>
      <c r="Y38" s="2469">
        <v>48000</v>
      </c>
      <c r="Z38" s="2475">
        <f t="shared" si="16"/>
        <v>6.8651119575562625</v>
      </c>
      <c r="AA38" s="2469">
        <f t="shared" si="17"/>
        <v>7283.2024166723477</v>
      </c>
      <c r="AB38" s="2471" t="str">
        <f t="shared" si="18"/>
        <v>SAG</v>
      </c>
      <c r="AC38" s="2470">
        <f t="shared" si="19"/>
        <v>8.3131514914905846</v>
      </c>
      <c r="AD38" s="2469">
        <f t="shared" si="20"/>
        <v>1793.4233503697105</v>
      </c>
      <c r="AE38" s="2469">
        <f>+'Proy. Mes'!AP38</f>
        <v>1793.4233503697101</v>
      </c>
      <c r="AF38" s="2469">
        <f t="shared" si="21"/>
        <v>200.56626553990108</v>
      </c>
      <c r="AG38" s="2475">
        <f t="shared" si="22"/>
        <v>6.5400288961853228</v>
      </c>
      <c r="AH38" s="2469">
        <f t="shared" si="23"/>
        <v>1779.8086498959349</v>
      </c>
      <c r="AI38" s="2471" t="str">
        <f t="shared" si="24"/>
        <v>BOLAS</v>
      </c>
      <c r="AJ38" s="2473">
        <f t="shared" si="25"/>
        <v>186.90407152178329</v>
      </c>
      <c r="AK38" s="2473">
        <f t="shared" si="26"/>
        <v>265.42082049814138</v>
      </c>
      <c r="AL38" s="2474">
        <f>+'MCP PS'!AE31</f>
        <v>93.997879114558287</v>
      </c>
      <c r="AM38" s="2474">
        <f>+'MCP PS'!AF31</f>
        <v>92.650640185664358</v>
      </c>
      <c r="AN38" s="2474">
        <f>+'MCP PS'!AG31</f>
        <v>90.517719625458952</v>
      </c>
      <c r="AO38" s="2474">
        <f>+'MCP PS'!AH31</f>
        <v>88.033660784728625</v>
      </c>
      <c r="AP38" s="2474">
        <f>+'MCP PS'!AI31</f>
        <v>85.322954573930431</v>
      </c>
      <c r="AQ38" s="2474">
        <f>+'MCP PS'!AJ31</f>
        <v>84.397387699751249</v>
      </c>
      <c r="AR38" s="2474">
        <f>+'MCP PS'!AK31</f>
        <v>79.403074677292651</v>
      </c>
      <c r="AS38" s="2474">
        <f t="shared" si="65"/>
        <v>106.13744994916925</v>
      </c>
      <c r="AT38" s="2474">
        <f t="shared" si="66"/>
        <v>-8.7688366041445281E-2</v>
      </c>
      <c r="AU38" s="2474">
        <f t="shared" si="67"/>
        <v>89.748137310930645</v>
      </c>
      <c r="AV38" s="2474">
        <f t="shared" si="68"/>
        <v>90.617789823751224</v>
      </c>
      <c r="AW38" s="2474">
        <f>+'MCP PS'!E31</f>
        <v>0.58079430880381111</v>
      </c>
      <c r="AX38" s="2474">
        <f>+'MCP PS'!AM31</f>
        <v>9.3434008226601657E-3</v>
      </c>
      <c r="AY38" s="2474">
        <f t="shared" si="69"/>
        <v>1</v>
      </c>
      <c r="AZ38" s="2474">
        <f t="shared" si="70"/>
        <v>90.617789823751224</v>
      </c>
      <c r="BA38" s="2474">
        <f>+'MCP PS'!O31</f>
        <v>1.0002966169885577</v>
      </c>
      <c r="BB38" s="2474">
        <f>+'MCP PS'!P31</f>
        <v>0.48290451785970223</v>
      </c>
      <c r="BC38" s="2476">
        <f>+'MCP PS'!Q31</f>
        <v>0.19243732244978651</v>
      </c>
      <c r="BD38" s="2474">
        <f>+'MCP PS'!R31</f>
        <v>0.11391577988837043</v>
      </c>
      <c r="BE38" s="2474">
        <f t="shared" si="3"/>
        <v>27.16417164263741</v>
      </c>
      <c r="BF38" s="2474">
        <f t="shared" si="71"/>
        <v>29.152580426684182</v>
      </c>
      <c r="BG38" s="2474">
        <f t="shared" si="72"/>
        <v>29.21975030707501</v>
      </c>
      <c r="BH38" s="2471"/>
      <c r="BI38" s="2474">
        <f t="shared" si="73"/>
        <v>4.1344082201220784</v>
      </c>
      <c r="BJ38" s="2474">
        <f>+'MCP PS'!AL31/25.4</f>
        <v>2.601331857394841</v>
      </c>
      <c r="BK38" s="2474">
        <f t="shared" si="74"/>
        <v>-1.5330763627272375</v>
      </c>
      <c r="BL38" s="2471"/>
      <c r="BM38" s="2473">
        <f t="shared" si="75"/>
        <v>186.90407152178329</v>
      </c>
      <c r="BN38" s="2473">
        <f>+'MCP PS'!T31</f>
        <v>196.48719837025718</v>
      </c>
      <c r="BO38" s="2474">
        <f t="shared" si="76"/>
        <v>9.5831268484738814</v>
      </c>
      <c r="BP38" s="2471"/>
      <c r="BQ38" s="2474">
        <f t="shared" si="77"/>
        <v>90.617789823751224</v>
      </c>
      <c r="BR38" s="2474">
        <f>+AZ38</f>
        <v>90.617789823751224</v>
      </c>
      <c r="BS38" s="2474">
        <f t="shared" si="78"/>
        <v>0</v>
      </c>
      <c r="BT38" s="2471"/>
      <c r="BU38" s="2474">
        <f t="shared" si="79"/>
        <v>27.16417164263741</v>
      </c>
      <c r="BV38" s="2474">
        <f t="shared" si="80"/>
        <v>29.152580426684182</v>
      </c>
      <c r="BW38" s="2474">
        <f t="shared" si="81"/>
        <v>1.9884087840467721</v>
      </c>
      <c r="BX38" s="1134"/>
      <c r="BY38" s="362">
        <f>+'MCP PS'!AL31</f>
        <v>66.073829177828955</v>
      </c>
      <c r="BZ38" s="308">
        <f t="shared" si="82"/>
        <v>0</v>
      </c>
      <c r="CA38" s="1134">
        <f t="shared" si="83"/>
        <v>2973.322313002303</v>
      </c>
      <c r="CB38" s="308" t="e">
        <f>+'MCP ST'!#REF!</f>
        <v>#REF!</v>
      </c>
      <c r="CC38" s="1134" t="e">
        <f t="shared" si="84"/>
        <v>#REF!</v>
      </c>
    </row>
    <row r="39" spans="1:81" s="362" customFormat="1" ht="13" thickBot="1">
      <c r="A39" s="2477">
        <f t="shared" si="42"/>
        <v>46112</v>
      </c>
      <c r="B39" s="2469">
        <f>+'MCP PS'!C32</f>
        <v>179999.99999979662</v>
      </c>
      <c r="C39" s="2470">
        <f>+'MCP PS'!M32</f>
        <v>12.668203936351865</v>
      </c>
      <c r="D39" s="2471">
        <f t="shared" si="0"/>
        <v>7.75</v>
      </c>
      <c r="E39" s="3911">
        <f>+'MCP PS'!U32</f>
        <v>38.842467620264443</v>
      </c>
      <c r="F39" s="3911">
        <f t="shared" si="8"/>
        <v>6.6805010495530706</v>
      </c>
      <c r="G39" s="2472">
        <f>+'MCP PS'!W32</f>
        <v>78.829288563837736</v>
      </c>
      <c r="H39" s="2473">
        <f>+'MCP PS'!X32</f>
        <v>54775.299450251179</v>
      </c>
      <c r="I39" s="2473">
        <f>+'MCP PS'!Y32</f>
        <v>0.70093457943925197</v>
      </c>
      <c r="J39" s="2473">
        <f>+SUM('MCP PS'!Z32:AA32)</f>
        <v>124827.71948903492</v>
      </c>
      <c r="K39" s="2473">
        <f>+'MCP PS'!AC32</f>
        <v>21.261682242990702</v>
      </c>
      <c r="L39" s="2473">
        <f>+'MCP PS'!AB32</f>
        <v>32.943925233644897</v>
      </c>
      <c r="M39" s="2473">
        <f>+'MCP PS'!AD32</f>
        <v>342.28971962616799</v>
      </c>
      <c r="N39" s="2473"/>
      <c r="O39" s="2473"/>
      <c r="P39" s="2474">
        <f t="shared" si="61"/>
        <v>103.99248559337272</v>
      </c>
      <c r="Q39" s="2474">
        <f t="shared" si="64"/>
        <v>4.0941923461957765</v>
      </c>
      <c r="R39" s="2470">
        <f t="shared" si="11"/>
        <v>14.768311553032101</v>
      </c>
      <c r="S39" s="2470">
        <f t="shared" si="12"/>
        <v>19.412903859186788</v>
      </c>
      <c r="T39" s="2470">
        <f t="shared" si="13"/>
        <v>5.7778930705738771</v>
      </c>
      <c r="U39" s="2469">
        <f t="shared" si="1"/>
        <v>41376</v>
      </c>
      <c r="V39" s="2469">
        <f t="shared" si="14"/>
        <v>7161.0878731423836</v>
      </c>
      <c r="W39" s="2469">
        <f>+'Proy. Mes'!AO39</f>
        <v>11223.660447111195</v>
      </c>
      <c r="X39" s="4025">
        <f t="shared" si="63"/>
        <v>183.57322685684608</v>
      </c>
      <c r="Y39" s="2469">
        <v>50000</v>
      </c>
      <c r="Z39" s="2475">
        <f t="shared" si="16"/>
        <v>6.9583982225192385</v>
      </c>
      <c r="AA39" s="2469">
        <f t="shared" si="17"/>
        <v>7185.5617343351551</v>
      </c>
      <c r="AB39" s="2471" t="str">
        <f t="shared" si="18"/>
        <v>SAG</v>
      </c>
      <c r="AC39" s="2470">
        <f t="shared" si="19"/>
        <v>8.0890502988034267</v>
      </c>
      <c r="AD39" s="2469">
        <f t="shared" si="20"/>
        <v>1843.1088260392464</v>
      </c>
      <c r="AE39" s="2469">
        <f>+'Proy. Mes'!AP39</f>
        <v>1812</v>
      </c>
      <c r="AF39" s="2469">
        <f t="shared" si="21"/>
        <v>208.40971083659377</v>
      </c>
      <c r="AG39" s="2475">
        <f t="shared" si="22"/>
        <v>6.4622937277403674</v>
      </c>
      <c r="AH39" s="2469">
        <f t="shared" si="23"/>
        <v>1801.2180334721634</v>
      </c>
      <c r="AI39" s="2471" t="str">
        <f t="shared" si="24"/>
        <v>BOLAS</v>
      </c>
      <c r="AJ39" s="2473">
        <f t="shared" si="25"/>
        <v>187.02558043370502</v>
      </c>
      <c r="AK39" s="2473">
        <f t="shared" si="26"/>
        <v>447.95439239156508</v>
      </c>
      <c r="AL39" s="2474">
        <f>+'MCP PS'!AE32</f>
        <v>93.86775172681071</v>
      </c>
      <c r="AM39" s="2474">
        <f>+'MCP PS'!AF32</f>
        <v>92.524833098144967</v>
      </c>
      <c r="AN39" s="2474">
        <f>+'MCP PS'!AG32</f>
        <v>90.630122366126542</v>
      </c>
      <c r="AO39" s="2474">
        <f>+'MCP PS'!AH32</f>
        <v>88.592584798228103</v>
      </c>
      <c r="AP39" s="2474">
        <f>+'MCP PS'!AI32</f>
        <v>85.998056760356164</v>
      </c>
      <c r="AQ39" s="2474">
        <f>+'MCP PS'!AJ32</f>
        <v>85.078747924536742</v>
      </c>
      <c r="AR39" s="2474">
        <f>+'MCP PS'!AK32</f>
        <v>80.850386575187486</v>
      </c>
      <c r="AS39" s="2474">
        <f t="shared" si="65"/>
        <v>104.61914887971122</v>
      </c>
      <c r="AT39" s="2474">
        <f t="shared" si="66"/>
        <v>-7.8249188076746995E-2</v>
      </c>
      <c r="AU39" s="2474">
        <f t="shared" si="67"/>
        <v>89.984549061191458</v>
      </c>
      <c r="AV39" s="2474">
        <f t="shared" si="68"/>
        <v>90.742827998464165</v>
      </c>
      <c r="AW39" s="2474">
        <f>+'MCP PS'!E32</f>
        <v>0.57187199432425428</v>
      </c>
      <c r="AX39" s="2474">
        <f>+'MCP PS'!AM32</f>
        <v>1.0929337198943229E-2</v>
      </c>
      <c r="AY39" s="2474">
        <f t="shared" si="69"/>
        <v>1</v>
      </c>
      <c r="AZ39" s="2474">
        <f t="shared" si="70"/>
        <v>90.742827998464165</v>
      </c>
      <c r="BA39" s="2474">
        <f>+'MCP PS'!O32</f>
        <v>0.95958453039088143</v>
      </c>
      <c r="BB39" s="2474">
        <f>+'MCP PS'!P32</f>
        <v>0.69862927824433696</v>
      </c>
      <c r="BC39" s="2476">
        <f>+'MCP PS'!Q32</f>
        <v>0.20755764098794055</v>
      </c>
      <c r="BD39" s="2474">
        <f>+'MCP PS'!R32</f>
        <v>0.15761878388550821</v>
      </c>
      <c r="BE39" s="2474">
        <f t="shared" si="3"/>
        <v>24.79359233732653</v>
      </c>
      <c r="BF39" s="2474">
        <f t="shared" si="71"/>
        <v>28.369415697549002</v>
      </c>
      <c r="BG39" s="2474">
        <f t="shared" si="72"/>
        <v>28.494089095777245</v>
      </c>
      <c r="BH39" s="2471"/>
      <c r="BI39" s="2474">
        <f t="shared" si="73"/>
        <v>4.0941923461957765</v>
      </c>
      <c r="BJ39" s="2474">
        <f>+'MCP PS'!AL32/25.4</f>
        <v>2.3435850165868293</v>
      </c>
      <c r="BK39" s="2474">
        <f t="shared" si="74"/>
        <v>-1.7506073296089473</v>
      </c>
      <c r="BL39" s="2471"/>
      <c r="BM39" s="2473">
        <f t="shared" si="75"/>
        <v>187.02558043370502</v>
      </c>
      <c r="BN39" s="2473">
        <f>+'MCP PS'!T32</f>
        <v>202.91617884366906</v>
      </c>
      <c r="BO39" s="2474">
        <f t="shared" si="76"/>
        <v>15.890598409964042</v>
      </c>
      <c r="BP39" s="2471"/>
      <c r="BQ39" s="2474">
        <f t="shared" si="77"/>
        <v>90.742827998464165</v>
      </c>
      <c r="BR39" s="2474">
        <f t="shared" si="60"/>
        <v>90.742827998464165</v>
      </c>
      <c r="BS39" s="2474">
        <f t="shared" si="78"/>
        <v>0</v>
      </c>
      <c r="BT39" s="2471"/>
      <c r="BU39" s="2474">
        <f t="shared" si="79"/>
        <v>24.79359233732653</v>
      </c>
      <c r="BV39" s="2474">
        <f t="shared" si="80"/>
        <v>28.369415697549002</v>
      </c>
      <c r="BW39" s="2474">
        <f t="shared" si="81"/>
        <v>3.575823360222472</v>
      </c>
      <c r="BX39" s="1134"/>
      <c r="BY39" s="362">
        <f>+'MCP PS'!AL32</f>
        <v>59.527059421305459</v>
      </c>
      <c r="BZ39" s="308">
        <f t="shared" si="82"/>
        <v>0</v>
      </c>
      <c r="CA39" s="1134">
        <f t="shared" si="83"/>
        <v>2678.7176739587458</v>
      </c>
      <c r="CB39" s="308" t="e">
        <f>+'MCP ST'!#REF!</f>
        <v>#REF!</v>
      </c>
      <c r="CC39" s="1134" t="e">
        <f t="shared" si="84"/>
        <v>#REF!</v>
      </c>
    </row>
    <row r="40" spans="1:81" s="2700" customFormat="1" ht="13" thickBot="1">
      <c r="A40" s="2687" t="s">
        <v>1434</v>
      </c>
      <c r="B40" s="2688">
        <f>+AVERAGE(B9:B39)</f>
        <v>195907.09320014305</v>
      </c>
      <c r="C40" s="2689">
        <f t="shared" ref="C40:Z40" si="85">+AVERAGE(C9:C39)</f>
        <v>12.654621040277867</v>
      </c>
      <c r="D40" s="2690">
        <f t="shared" si="85"/>
        <v>7.75</v>
      </c>
      <c r="E40" s="2691">
        <f t="shared" si="85"/>
        <v>37.863838206494918</v>
      </c>
      <c r="F40" s="2691">
        <f t="shared" si="85"/>
        <v>6.8681308874921578</v>
      </c>
      <c r="G40" s="2691">
        <f t="shared" si="85"/>
        <v>82.468553675302246</v>
      </c>
      <c r="H40" s="2692">
        <f t="shared" si="85"/>
        <v>48250.692078028311</v>
      </c>
      <c r="I40" s="2692">
        <f t="shared" si="85"/>
        <v>3.8670627304338332</v>
      </c>
      <c r="J40" s="2692">
        <f t="shared" si="85"/>
        <v>131818.02467602433</v>
      </c>
      <c r="K40" s="2692">
        <f t="shared" si="85"/>
        <v>2298.6898847531538</v>
      </c>
      <c r="L40" s="2692">
        <f t="shared" si="85"/>
        <v>8016.2789528589656</v>
      </c>
      <c r="M40" s="2692">
        <f t="shared" si="85"/>
        <v>5519.6584649856941</v>
      </c>
      <c r="N40" s="2692"/>
      <c r="O40" s="2693">
        <f t="shared" si="85"/>
        <v>51.284682509885243</v>
      </c>
      <c r="P40" s="2694">
        <f t="shared" si="85"/>
        <v>105.69607145408145</v>
      </c>
      <c r="Q40" s="2694">
        <f t="shared" si="85"/>
        <v>4.1612626556724983</v>
      </c>
      <c r="R40" s="2689">
        <f t="shared" si="85"/>
        <v>14.727952228723597</v>
      </c>
      <c r="S40" s="2689">
        <f t="shared" si="85"/>
        <v>19.38639181904853</v>
      </c>
      <c r="T40" s="2689">
        <f t="shared" si="85"/>
        <v>5.9444770155795217</v>
      </c>
      <c r="U40" s="2688">
        <f t="shared" si="85"/>
        <v>41376</v>
      </c>
      <c r="V40" s="2688">
        <f t="shared" si="85"/>
        <v>6965.9137380006023</v>
      </c>
      <c r="W40" s="2688">
        <f t="shared" si="85"/>
        <v>6921.6321317787024</v>
      </c>
      <c r="X40" s="2688">
        <f t="shared" si="85"/>
        <v>185.79854042981</v>
      </c>
      <c r="Y40" s="2688">
        <f t="shared" si="85"/>
        <v>53088.903225806454</v>
      </c>
      <c r="Z40" s="2695">
        <f t="shared" si="85"/>
        <v>6.9001628062939728</v>
      </c>
      <c r="AA40" s="2688"/>
      <c r="AB40" s="2690"/>
      <c r="AC40" s="2689"/>
      <c r="AD40" s="2688"/>
      <c r="AE40" s="2688"/>
      <c r="AF40" s="2688"/>
      <c r="AG40" s="2695"/>
      <c r="AH40" s="2688"/>
      <c r="AI40" s="2690"/>
      <c r="AJ40" s="2692"/>
      <c r="AK40" s="2692"/>
      <c r="AL40" s="2694"/>
      <c r="AM40" s="2694"/>
      <c r="AN40" s="2694"/>
      <c r="AO40" s="2694"/>
      <c r="AP40" s="2694"/>
      <c r="AQ40" s="2694"/>
      <c r="AR40" s="2694"/>
      <c r="AS40" s="2694"/>
      <c r="AT40" s="2694"/>
      <c r="AU40" s="2694"/>
      <c r="AV40" s="2694"/>
      <c r="AW40" s="2694"/>
      <c r="AX40" s="2694"/>
      <c r="AY40" s="2694"/>
      <c r="AZ40" s="2694"/>
      <c r="BA40" s="2694"/>
      <c r="BB40" s="2694"/>
      <c r="BC40" s="2696"/>
      <c r="BD40" s="2694"/>
      <c r="BE40" s="2694"/>
      <c r="BF40" s="2694"/>
      <c r="BG40" s="2474" t="e">
        <f t="shared" si="4"/>
        <v>#DIV/0!</v>
      </c>
      <c r="BH40" s="2690"/>
      <c r="BI40" s="2694"/>
      <c r="BJ40" s="2694"/>
      <c r="BK40" s="2694"/>
      <c r="BL40" s="2690"/>
      <c r="BM40" s="2692"/>
      <c r="BN40" s="2692"/>
      <c r="BO40" s="2694"/>
      <c r="BP40" s="2690"/>
      <c r="BQ40" s="2694"/>
      <c r="BR40" s="2694"/>
      <c r="BS40" s="2694"/>
      <c r="BT40" s="2690"/>
      <c r="BU40" s="2694"/>
      <c r="BV40" s="2694"/>
      <c r="BW40" s="2694"/>
      <c r="BX40" s="2697"/>
      <c r="BY40" s="2698"/>
      <c r="BZ40" s="2479"/>
      <c r="CA40" s="2699"/>
      <c r="CB40" s="2479"/>
      <c r="CC40" s="2699"/>
    </row>
    <row r="41" spans="1:81" s="362" customFormat="1">
      <c r="A41" s="2060"/>
      <c r="B41" s="219"/>
      <c r="C41" s="2027"/>
      <c r="D41"/>
      <c r="E41"/>
      <c r="F41"/>
      <c r="G41"/>
      <c r="H41"/>
      <c r="I41" s="2882"/>
      <c r="J41" s="331"/>
      <c r="K41" s="331"/>
      <c r="L41" s="331"/>
      <c r="M41" s="331"/>
      <c r="N41" s="331"/>
      <c r="O41" s="331"/>
      <c r="P41" s="331"/>
      <c r="Q41" s="331"/>
      <c r="R41" s="331"/>
      <c r="S41" s="331"/>
      <c r="T41" s="331"/>
      <c r="U41" s="331"/>
      <c r="V41" s="331"/>
      <c r="W41" s="331"/>
      <c r="X41" s="2680"/>
      <c r="Y41" s="2680"/>
      <c r="Z41" s="2685"/>
      <c r="AA41" s="2680"/>
      <c r="AB41" s="2682"/>
      <c r="AC41" s="2681"/>
      <c r="AD41" s="2680"/>
      <c r="AE41" s="2680"/>
      <c r="AF41" s="2680"/>
      <c r="AG41" s="2685"/>
      <c r="AH41" s="2680"/>
      <c r="AI41" s="2682"/>
      <c r="AJ41" s="2683"/>
      <c r="AK41" s="2683"/>
      <c r="AL41" s="2684"/>
      <c r="AM41" s="2684"/>
      <c r="AN41" s="2684"/>
      <c r="AO41" s="2684"/>
      <c r="AP41" s="2684"/>
      <c r="AQ41" s="2684"/>
      <c r="AR41" s="2684"/>
      <c r="AS41" s="2684"/>
      <c r="AT41" s="2684"/>
      <c r="AU41" s="2684"/>
      <c r="AV41" s="2684"/>
      <c r="AW41" s="2684"/>
      <c r="AX41" s="2684"/>
      <c r="AY41" s="2684"/>
      <c r="AZ41" s="2684"/>
      <c r="BA41" s="2684"/>
      <c r="BB41" s="2684"/>
      <c r="BC41" s="2686"/>
      <c r="BD41" s="2684"/>
      <c r="BE41" s="2684"/>
      <c r="BF41" s="2684"/>
      <c r="BG41" s="2474" t="e">
        <f t="shared" si="4"/>
        <v>#DIV/0!</v>
      </c>
      <c r="BH41" s="2682"/>
      <c r="BI41" s="2684"/>
      <c r="BJ41" s="2684"/>
      <c r="BK41" s="2684"/>
      <c r="BL41" s="2682"/>
      <c r="BM41" s="2683"/>
      <c r="BN41" s="2683"/>
      <c r="BO41" s="2684"/>
      <c r="BP41" s="2682"/>
      <c r="BQ41" s="2684"/>
      <c r="BR41" s="2684"/>
      <c r="BS41" s="2684"/>
      <c r="BT41" s="2682"/>
      <c r="BU41" s="2684"/>
      <c r="BV41" s="2684"/>
      <c r="BW41" s="2684"/>
      <c r="BX41" s="1134"/>
      <c r="BY41" s="331"/>
      <c r="BZ41" s="219"/>
      <c r="CA41" s="556"/>
      <c r="CB41" s="219"/>
      <c r="CC41" s="556"/>
    </row>
    <row r="42" spans="1:81" s="331" customFormat="1">
      <c r="A42" s="2060"/>
      <c r="B42" s="219"/>
      <c r="C42" s="2027"/>
      <c r="D42" t="s">
        <v>1874</v>
      </c>
      <c r="E42" t="s">
        <v>1873</v>
      </c>
      <c r="F42"/>
      <c r="G42"/>
      <c r="H42"/>
      <c r="I42" s="2882"/>
      <c r="BG42" s="2474" t="e">
        <f t="shared" si="4"/>
        <v>#DIV/0!</v>
      </c>
    </row>
    <row r="43" spans="1:81" s="331" customFormat="1">
      <c r="A43" s="2060"/>
      <c r="B43" s="219"/>
      <c r="C43" s="2027"/>
      <c r="D43" s="154">
        <f>+E28</f>
        <v>38.523613807334328</v>
      </c>
      <c r="E43">
        <v>37.831207029537204</v>
      </c>
      <c r="F43" s="409">
        <f>+G28</f>
        <v>84.725226719810948</v>
      </c>
      <c r="G43">
        <v>94.882705131702281</v>
      </c>
      <c r="H43" s="409">
        <f>+F43-G43</f>
        <v>-10.157478411891333</v>
      </c>
      <c r="I43" s="2882"/>
      <c r="Y43" s="331">
        <v>60000</v>
      </c>
      <c r="Z43" s="556" cm="1">
        <f t="array" ref="Z43:Z49">TRANSPOSE('Visualizacion PSvsST'!E18:K18)</f>
        <v>182.36834771802469</v>
      </c>
      <c r="AB43" s="331">
        <v>60000</v>
      </c>
      <c r="AC43" s="331">
        <v>193.43698514130787</v>
      </c>
    </row>
    <row r="44" spans="1:81" s="331" customFormat="1">
      <c r="A44" s="2060"/>
      <c r="B44" s="219"/>
      <c r="C44" s="2027"/>
      <c r="D44" s="154">
        <f t="shared" ref="D44:D54" si="86">+E29</f>
        <v>38.468991267239623</v>
      </c>
      <c r="E44">
        <v>36.152261349255689</v>
      </c>
      <c r="F44" s="409">
        <f t="shared" ref="F44:F54" si="87">+G29</f>
        <v>89.785191129797255</v>
      </c>
      <c r="G44">
        <v>92.23774481701308</v>
      </c>
      <c r="H44" s="409">
        <f t="shared" ref="H44:H54" si="88">+F44-G44</f>
        <v>-2.4525536872158256</v>
      </c>
      <c r="I44" s="2882"/>
      <c r="P44" s="219">
        <f>+'Plan mina PS'!N62</f>
        <v>204.8357736194902</v>
      </c>
      <c r="Y44" s="331">
        <v>59000</v>
      </c>
      <c r="Z44" s="556">
        <v>182.41508624975575</v>
      </c>
      <c r="AB44" s="331">
        <v>59000</v>
      </c>
      <c r="AC44" s="331">
        <v>198.33310648412902</v>
      </c>
    </row>
    <row r="45" spans="1:81" s="331" customFormat="1">
      <c r="A45" s="2060"/>
      <c r="B45" s="219"/>
      <c r="C45" s="2027"/>
      <c r="D45" s="154">
        <f t="shared" si="86"/>
        <v>39.31624955139938</v>
      </c>
      <c r="E45">
        <v>36.837072346157001</v>
      </c>
      <c r="F45" s="409">
        <f t="shared" si="87"/>
        <v>81.114557259309791</v>
      </c>
      <c r="G45">
        <v>94.785056199938552</v>
      </c>
      <c r="H45" s="409">
        <f t="shared" si="88"/>
        <v>-13.670498940628761</v>
      </c>
      <c r="I45" s="2882"/>
      <c r="Y45" s="331">
        <v>58000</v>
      </c>
      <c r="Z45" s="556">
        <v>191.81143729459416</v>
      </c>
      <c r="AA45" s="556"/>
      <c r="AB45" s="331">
        <v>58000</v>
      </c>
      <c r="AC45" s="331">
        <v>202.36269184879927</v>
      </c>
    </row>
    <row r="46" spans="1:81" s="331" customFormat="1">
      <c r="A46" s="2060"/>
      <c r="B46" s="219"/>
      <c r="C46" s="2027"/>
      <c r="D46" s="154">
        <f t="shared" si="86"/>
        <v>38.559717584585364</v>
      </c>
      <c r="E46">
        <v>36.355026368370282</v>
      </c>
      <c r="F46" s="409">
        <f t="shared" si="87"/>
        <v>84.076870053142514</v>
      </c>
      <c r="G46">
        <v>93.006760265208342</v>
      </c>
      <c r="H46" s="409">
        <f t="shared" si="88"/>
        <v>-8.9298902120658283</v>
      </c>
      <c r="I46" s="2882"/>
      <c r="Y46" s="331">
        <v>58000</v>
      </c>
      <c r="Z46" s="556">
        <v>186.9279204886916</v>
      </c>
      <c r="AA46" s="556"/>
      <c r="AB46" s="331">
        <v>58000</v>
      </c>
      <c r="AC46" s="331">
        <v>185.41133052165324</v>
      </c>
    </row>
    <row r="47" spans="1:81" s="331" customFormat="1">
      <c r="A47" s="2060"/>
      <c r="B47" s="219"/>
      <c r="C47" s="2027"/>
      <c r="D47" s="154">
        <f t="shared" si="86"/>
        <v>37.635390704304228</v>
      </c>
      <c r="E47">
        <v>37.37366346942364</v>
      </c>
      <c r="F47" s="409">
        <f t="shared" si="87"/>
        <v>87.543521444280415</v>
      </c>
      <c r="G47">
        <v>83.560410965114826</v>
      </c>
      <c r="H47" s="409">
        <f t="shared" si="88"/>
        <v>3.9831104791655889</v>
      </c>
      <c r="I47" s="2882"/>
      <c r="Y47" s="331">
        <v>58000</v>
      </c>
      <c r="Z47" s="556">
        <v>181.97937317159295</v>
      </c>
      <c r="AA47" s="556"/>
      <c r="AB47" s="331">
        <v>58000</v>
      </c>
      <c r="AC47" s="331">
        <v>189.1995088299519</v>
      </c>
    </row>
    <row r="48" spans="1:81" s="331" customFormat="1">
      <c r="A48" s="2060"/>
      <c r="B48" s="219"/>
      <c r="C48" s="2027"/>
      <c r="D48" s="154">
        <f t="shared" si="86"/>
        <v>36.531048012461845</v>
      </c>
      <c r="E48">
        <v>37.100089455925193</v>
      </c>
      <c r="F48" s="409">
        <f t="shared" si="87"/>
        <v>86.154996684978286</v>
      </c>
      <c r="G48">
        <v>74.705348359208827</v>
      </c>
      <c r="H48" s="409">
        <f t="shared" si="88"/>
        <v>11.449648325769459</v>
      </c>
      <c r="I48" s="2882"/>
      <c r="Y48" s="331">
        <v>58000</v>
      </c>
      <c r="Z48" s="556">
        <v>185.21879985276652</v>
      </c>
      <c r="AA48" s="556"/>
      <c r="AB48" s="331">
        <v>58000</v>
      </c>
      <c r="AC48" s="331">
        <v>191.40232690676496</v>
      </c>
    </row>
    <row r="49" spans="1:44" s="331" customFormat="1">
      <c r="A49" s="2060"/>
      <c r="B49" s="219"/>
      <c r="C49" s="2027"/>
      <c r="D49" s="154">
        <f t="shared" si="86"/>
        <v>35.81651261035524</v>
      </c>
      <c r="E49">
        <v>37.148098228593724</v>
      </c>
      <c r="F49" s="409">
        <f t="shared" si="87"/>
        <v>87.950575463139046</v>
      </c>
      <c r="G49">
        <v>69.620664398692853</v>
      </c>
      <c r="H49" s="409">
        <f t="shared" si="88"/>
        <v>18.329911064446193</v>
      </c>
      <c r="I49" s="2882"/>
      <c r="Y49" s="331">
        <v>58000</v>
      </c>
      <c r="Z49" s="556">
        <v>181.98308665071124</v>
      </c>
      <c r="AA49" s="556"/>
      <c r="AB49" s="331">
        <v>58000</v>
      </c>
      <c r="AC49" s="331">
        <v>197.22281814607848</v>
      </c>
    </row>
    <row r="50" spans="1:44" s="331" customFormat="1">
      <c r="A50" s="2060"/>
      <c r="D50" s="154">
        <f t="shared" si="86"/>
        <v>37.442607675496227</v>
      </c>
      <c r="E50">
        <v>39.057782088721687</v>
      </c>
      <c r="F50" s="409">
        <f t="shared" si="87"/>
        <v>90.245413987786748</v>
      </c>
      <c r="G50">
        <v>78.579167787525421</v>
      </c>
      <c r="H50" s="409">
        <f t="shared" si="88"/>
        <v>11.666246200261327</v>
      </c>
      <c r="I50" s="2882"/>
    </row>
    <row r="51" spans="1:44">
      <c r="A51" s="2060"/>
      <c r="D51" s="154">
        <f t="shared" si="86"/>
        <v>38.576705583348371</v>
      </c>
      <c r="E51">
        <v>40.074008752534851</v>
      </c>
      <c r="F51" s="409">
        <f t="shared" si="87"/>
        <v>85.281757195963152</v>
      </c>
      <c r="G51">
        <v>70.050570607737995</v>
      </c>
      <c r="H51" s="409">
        <f t="shared" si="88"/>
        <v>15.231186588225157</v>
      </c>
      <c r="I51" s="2882"/>
      <c r="J51" s="331"/>
      <c r="K51" s="331"/>
      <c r="L51" s="331"/>
      <c r="M51" s="331"/>
      <c r="N51" s="331"/>
      <c r="O51" s="331"/>
      <c r="P51" s="331"/>
      <c r="Q51" s="331"/>
      <c r="R51" s="331"/>
      <c r="S51" s="331"/>
      <c r="T51" s="2308"/>
      <c r="Y51" s="331"/>
      <c r="Z51" s="331"/>
      <c r="AA51" s="331"/>
      <c r="AB51" s="331"/>
      <c r="AC51" s="331"/>
      <c r="AD51" s="331"/>
      <c r="AE51" s="331"/>
      <c r="AF51" s="331"/>
      <c r="AG51" s="331"/>
      <c r="AH51" s="331"/>
      <c r="AI51" s="331"/>
      <c r="AJ51" s="331"/>
      <c r="AK51" s="331"/>
      <c r="AL51" s="331"/>
      <c r="AM51" s="331"/>
      <c r="AN51" s="331"/>
      <c r="AO51" s="331"/>
      <c r="AP51" s="331"/>
      <c r="AQ51" s="331"/>
      <c r="AR51" s="331"/>
    </row>
    <row r="52" spans="1:44">
      <c r="D52" s="154">
        <f t="shared" si="86"/>
        <v>37.856345607601831</v>
      </c>
      <c r="E52">
        <v>39.461790207852523</v>
      </c>
      <c r="F52" s="409">
        <f t="shared" si="87"/>
        <v>79.837457058144906</v>
      </c>
      <c r="G52">
        <v>78.391943949599408</v>
      </c>
      <c r="H52" s="409">
        <f t="shared" si="88"/>
        <v>1.445513108545498</v>
      </c>
      <c r="I52" s="2882"/>
      <c r="J52" s="331"/>
      <c r="K52" s="331"/>
      <c r="L52" s="331"/>
      <c r="M52" s="331"/>
      <c r="N52" s="331"/>
      <c r="O52" s="331"/>
      <c r="P52" s="331"/>
      <c r="Q52" s="331"/>
      <c r="R52" s="331"/>
      <c r="S52" s="331"/>
      <c r="T52" s="2308"/>
      <c r="Y52" s="331"/>
      <c r="Z52" s="331"/>
      <c r="AA52" s="331"/>
      <c r="AB52" s="331"/>
      <c r="AC52" s="331"/>
      <c r="AD52" s="331"/>
      <c r="AE52" s="331"/>
      <c r="AF52" s="331"/>
      <c r="AG52" s="331"/>
      <c r="AH52" s="331"/>
      <c r="AI52" s="331"/>
      <c r="AJ52" s="331"/>
      <c r="AK52" s="331"/>
      <c r="AL52" s="331"/>
      <c r="AM52" s="331"/>
      <c r="AN52" s="331"/>
      <c r="AO52" s="331"/>
      <c r="AP52" s="331"/>
      <c r="AQ52" s="331"/>
      <c r="AR52" s="331"/>
    </row>
    <row r="53" spans="1:44">
      <c r="D53" s="154">
        <f t="shared" si="86"/>
        <v>37.61583478206861</v>
      </c>
      <c r="E53">
        <v>39.051234898260368</v>
      </c>
      <c r="F53" s="409">
        <f t="shared" si="87"/>
        <v>83.226583739130831</v>
      </c>
      <c r="G53">
        <v>87.125693974853675</v>
      </c>
      <c r="H53" s="409">
        <f t="shared" si="88"/>
        <v>-3.8991102357228442</v>
      </c>
      <c r="I53" s="2882"/>
      <c r="J53" s="331"/>
      <c r="K53" s="331"/>
      <c r="L53" s="331"/>
      <c r="M53" s="331"/>
      <c r="N53" s="331"/>
      <c r="O53" s="331"/>
      <c r="P53" s="331"/>
      <c r="Q53" s="331"/>
      <c r="R53" s="331"/>
      <c r="S53" s="331"/>
      <c r="T53" s="2308"/>
      <c r="Y53" s="331"/>
      <c r="Z53" s="331"/>
      <c r="AA53" s="331"/>
      <c r="AB53" s="331"/>
      <c r="AC53" s="331"/>
      <c r="AD53" s="331"/>
      <c r="AE53" s="331"/>
      <c r="AF53" s="331"/>
      <c r="AG53" s="331"/>
      <c r="AH53" s="331"/>
      <c r="AI53" s="331"/>
      <c r="AJ53" s="331"/>
      <c r="AK53" s="331"/>
      <c r="AL53" s="331"/>
      <c r="AM53" s="331"/>
      <c r="AN53" s="331"/>
      <c r="AO53" s="331"/>
      <c r="AP53" s="331"/>
      <c r="AQ53" s="331"/>
      <c r="AR53" s="331"/>
    </row>
    <row r="54" spans="1:44">
      <c r="D54" s="154">
        <f t="shared" si="86"/>
        <v>38.842467620264443</v>
      </c>
      <c r="E54">
        <v>38.005042592630858</v>
      </c>
      <c r="F54" s="409">
        <f t="shared" si="87"/>
        <v>78.829288563837736</v>
      </c>
      <c r="G54">
        <v>89.626325445206248</v>
      </c>
      <c r="H54" s="409">
        <f t="shared" si="88"/>
        <v>-10.797036881368513</v>
      </c>
      <c r="I54" s="2882"/>
      <c r="J54" s="331"/>
      <c r="K54" s="331"/>
      <c r="L54" s="331"/>
      <c r="M54" s="331"/>
      <c r="N54" s="331"/>
      <c r="O54" s="331"/>
      <c r="P54" s="331"/>
      <c r="Q54" s="331"/>
      <c r="R54" s="331"/>
      <c r="S54" s="331"/>
      <c r="T54" s="2308"/>
      <c r="Y54" s="331"/>
      <c r="Z54" s="331"/>
      <c r="AA54" s="331"/>
      <c r="AB54" s="331"/>
      <c r="AC54" s="331"/>
      <c r="AD54" s="331"/>
      <c r="AE54" s="331"/>
      <c r="AF54" s="331"/>
      <c r="AG54" s="331"/>
      <c r="AH54" s="331"/>
      <c r="AI54" s="331"/>
      <c r="AJ54" s="331"/>
      <c r="AK54" s="331"/>
      <c r="AL54" s="331"/>
      <c r="AM54" s="331"/>
      <c r="AN54" s="331"/>
      <c r="AO54" s="331"/>
      <c r="AP54" s="331"/>
      <c r="AQ54" s="331"/>
    </row>
    <row r="55" spans="1:44">
      <c r="I55" s="2882"/>
      <c r="J55" s="331"/>
      <c r="K55" s="331"/>
      <c r="L55" s="331"/>
      <c r="M55" s="331"/>
      <c r="N55" s="331"/>
      <c r="O55" s="331"/>
      <c r="P55" s="331"/>
      <c r="Q55" s="331"/>
      <c r="R55" s="331"/>
      <c r="S55" s="331"/>
      <c r="T55" s="2308"/>
      <c r="Y55" s="331"/>
      <c r="Z55" s="331"/>
      <c r="AA55" s="331"/>
      <c r="AB55" s="331"/>
      <c r="AC55" s="331"/>
      <c r="AD55" s="331"/>
      <c r="AE55" s="331"/>
      <c r="AF55" s="331"/>
      <c r="AG55" s="331"/>
      <c r="AH55" s="331"/>
      <c r="AI55" s="331"/>
      <c r="AJ55" s="331"/>
      <c r="AK55" s="331"/>
      <c r="AL55" s="331"/>
      <c r="AM55" s="331"/>
      <c r="AN55" s="331"/>
      <c r="AO55" s="331"/>
      <c r="AP55" s="331"/>
      <c r="AQ55" s="331"/>
    </row>
    <row r="56" spans="1:44">
      <c r="I56" s="2882"/>
      <c r="J56" s="331"/>
      <c r="K56" s="331"/>
      <c r="L56" s="331"/>
      <c r="M56" s="331"/>
      <c r="N56" s="331"/>
      <c r="O56" s="331"/>
      <c r="P56" s="331"/>
      <c r="Q56" s="331"/>
      <c r="R56" s="331"/>
      <c r="S56" s="331"/>
      <c r="T56" s="2308"/>
      <c r="Y56" s="331"/>
      <c r="Z56" s="331"/>
      <c r="AA56" s="331"/>
      <c r="AB56" s="331"/>
      <c r="AC56" s="331"/>
      <c r="AD56" s="331"/>
      <c r="AE56" s="331"/>
      <c r="AF56" s="331"/>
      <c r="AG56" s="331"/>
      <c r="AH56" s="331"/>
      <c r="AI56" s="331"/>
      <c r="AJ56" s="331"/>
      <c r="AK56" s="331"/>
      <c r="AL56" s="331"/>
      <c r="AM56" s="331"/>
      <c r="AN56" s="331"/>
      <c r="AO56" s="331"/>
      <c r="AP56" s="331"/>
      <c r="AQ56" s="331"/>
    </row>
    <row r="57" spans="1:44">
      <c r="I57" s="2882"/>
      <c r="J57" s="331"/>
      <c r="K57" s="331"/>
      <c r="L57" s="331"/>
      <c r="M57" s="331"/>
      <c r="N57" s="331"/>
      <c r="O57" s="331"/>
      <c r="P57" s="331"/>
      <c r="Q57" s="331"/>
      <c r="R57" s="331"/>
      <c r="S57" s="331"/>
      <c r="T57" s="2308"/>
      <c r="Y57" s="331"/>
      <c r="Z57" s="331"/>
      <c r="AA57" s="331"/>
      <c r="AB57" s="331"/>
      <c r="AC57" s="331"/>
      <c r="AD57" s="331"/>
      <c r="AE57" s="331"/>
      <c r="AF57" s="331"/>
      <c r="AG57" s="331"/>
      <c r="AH57" s="331"/>
      <c r="AI57" s="331"/>
      <c r="AJ57" s="331"/>
      <c r="AK57" s="331"/>
      <c r="AL57" s="331"/>
      <c r="AM57" s="331"/>
      <c r="AN57" s="331"/>
      <c r="AO57" s="331"/>
      <c r="AP57" s="331"/>
      <c r="AQ57" s="331"/>
    </row>
    <row r="58" spans="1:44">
      <c r="I58" s="2882"/>
      <c r="J58" s="331"/>
      <c r="K58" s="331"/>
      <c r="L58" s="331"/>
      <c r="M58" s="331"/>
      <c r="N58" s="331"/>
      <c r="O58" s="331"/>
      <c r="P58" s="331"/>
      <c r="Q58" s="331"/>
      <c r="R58" s="331"/>
      <c r="S58" s="331"/>
      <c r="T58" s="2308"/>
    </row>
    <row r="59" spans="1:44">
      <c r="I59" s="2882"/>
      <c r="J59" s="331"/>
      <c r="K59" s="331"/>
      <c r="L59" s="331"/>
      <c r="M59" s="331"/>
      <c r="N59" s="331"/>
      <c r="O59" s="331"/>
      <c r="P59" s="331"/>
      <c r="Q59" s="331"/>
      <c r="R59" s="331"/>
      <c r="S59" s="331"/>
      <c r="T59" s="2308"/>
    </row>
    <row r="60" spans="1:44">
      <c r="I60" s="2882"/>
      <c r="J60" s="331"/>
      <c r="K60" s="331"/>
      <c r="L60" s="331"/>
      <c r="M60" s="331"/>
      <c r="N60" s="331"/>
      <c r="O60" s="331"/>
      <c r="P60" s="331"/>
      <c r="Q60" s="331"/>
      <c r="R60" s="331"/>
      <c r="S60" s="331"/>
      <c r="T60" s="2308"/>
    </row>
    <row r="71" spans="23:26">
      <c r="W71" s="3968" t="s">
        <v>1844</v>
      </c>
      <c r="X71" s="3968" t="s">
        <v>1845</v>
      </c>
      <c r="Y71" s="3968" t="s">
        <v>1846</v>
      </c>
      <c r="Z71" s="3968" t="s">
        <v>1847</v>
      </c>
    </row>
    <row r="72" spans="23:26">
      <c r="W72" s="3969" t="s">
        <v>1849</v>
      </c>
      <c r="X72" s="3969" t="s">
        <v>1854</v>
      </c>
      <c r="Y72" s="3970" t="s">
        <v>1851</v>
      </c>
      <c r="Z72" s="3969" t="s">
        <v>1848</v>
      </c>
    </row>
    <row r="73" spans="23:26">
      <c r="W73" s="3969" t="s">
        <v>1850</v>
      </c>
      <c r="X73" s="3969" t="s">
        <v>1854</v>
      </c>
      <c r="Y73" s="3970" t="s">
        <v>1852</v>
      </c>
      <c r="Z73" s="3969" t="s">
        <v>1853</v>
      </c>
    </row>
  </sheetData>
  <mergeCells count="1">
    <mergeCell ref="AS1:AV1"/>
  </mergeCells>
  <phoneticPr fontId="273"/>
  <pageMargins left="0.7" right="0.7" top="0.75" bottom="0.75" header="0.3" footer="0.3"/>
  <pageSetup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5">
    <tabColor indexed="13"/>
    <pageSetUpPr fitToPage="1"/>
  </sheetPr>
  <dimension ref="A1:CP56"/>
  <sheetViews>
    <sheetView topLeftCell="A4" zoomScale="85" zoomScaleNormal="85" workbookViewId="0">
      <selection activeCell="E46" sqref="E46"/>
    </sheetView>
  </sheetViews>
  <sheetFormatPr baseColWidth="10" defaultColWidth="11.453125" defaultRowHeight="13"/>
  <cols>
    <col min="1" max="1" width="3.453125" style="3" customWidth="1"/>
    <col min="2" max="4" width="10.54296875" style="3" customWidth="1"/>
    <col min="5" max="5" width="8" style="3" customWidth="1"/>
    <col min="6" max="6" width="10.54296875" style="3" bestFit="1" customWidth="1"/>
    <col min="7" max="7" width="9" style="3" customWidth="1"/>
    <col min="8" max="8" width="8.453125" style="3" bestFit="1" customWidth="1"/>
    <col min="9" max="10" width="8.453125" style="3" customWidth="1"/>
    <col min="11" max="11" width="12.54296875" style="3" customWidth="1"/>
    <col min="12" max="14" width="9.453125" style="3" customWidth="1"/>
    <col min="15" max="15" width="9.54296875" style="3" customWidth="1"/>
    <col min="16" max="16" width="11.81640625" style="3" customWidth="1"/>
    <col min="17" max="17" width="8.453125" style="3" customWidth="1"/>
    <col min="18" max="27" width="7.54296875" style="3" customWidth="1"/>
    <col min="28" max="28" width="11.54296875" style="3" customWidth="1"/>
    <col min="29" max="31" width="7.54296875" style="3" customWidth="1"/>
    <col min="32" max="33" width="9.453125" style="3" customWidth="1"/>
    <col min="34" max="34" width="7.54296875" style="3" customWidth="1"/>
    <col min="35" max="35" width="10.453125" style="3" customWidth="1"/>
    <col min="36" max="36" width="7.54296875" style="3" customWidth="1"/>
    <col min="37" max="39" width="10.453125" style="3" customWidth="1"/>
    <col min="40" max="40" width="5.453125" style="3" customWidth="1"/>
    <col min="41" max="41" width="2.54296875" style="3" customWidth="1"/>
    <col min="42" max="42" width="9.54296875" style="3" customWidth="1"/>
    <col min="43" max="46" width="6.54296875" style="18" customWidth="1"/>
    <col min="47" max="47" width="8.54296875" style="18" customWidth="1"/>
    <col min="48" max="48" width="8.453125" style="18" customWidth="1"/>
    <col min="49" max="49" width="2.54296875" style="18" customWidth="1"/>
    <col min="50" max="84" width="6.54296875" style="18" customWidth="1"/>
    <col min="85" max="85" width="2.54296875" style="3" customWidth="1"/>
    <col min="86" max="86" width="2" style="3" customWidth="1"/>
    <col min="87" max="87" width="30" style="3" customWidth="1"/>
    <col min="88" max="89" width="10.453125" style="3" customWidth="1"/>
    <col min="90" max="16384" width="11.453125" style="3"/>
  </cols>
  <sheetData>
    <row r="1" spans="1:94" ht="14">
      <c r="D1" s="4" t="s">
        <v>248</v>
      </c>
      <c r="E1" s="4"/>
      <c r="F1" s="4"/>
      <c r="G1" s="4"/>
      <c r="H1" s="4"/>
      <c r="I1" s="5" t="s">
        <v>4</v>
      </c>
      <c r="J1" s="4"/>
      <c r="K1" s="6" t="s">
        <v>882</v>
      </c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</row>
    <row r="2" spans="1:94" ht="14">
      <c r="D2" s="4" t="s">
        <v>249</v>
      </c>
      <c r="E2" s="4"/>
      <c r="F2" s="4"/>
      <c r="G2" s="4"/>
      <c r="H2" s="4"/>
      <c r="I2" s="4" t="s">
        <v>5</v>
      </c>
      <c r="J2" s="4"/>
      <c r="K2" s="45">
        <f>Factores!D2</f>
        <v>46082.791666666664</v>
      </c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</row>
    <row r="3" spans="1:94" ht="14">
      <c r="D3" s="4"/>
      <c r="E3" s="4"/>
      <c r="F3" s="4"/>
      <c r="G3" s="4"/>
      <c r="H3" s="4"/>
      <c r="I3" s="4" t="s">
        <v>0</v>
      </c>
      <c r="J3" s="4"/>
      <c r="K3" s="46">
        <f>Factores!D3</f>
        <v>46098.791666666664</v>
      </c>
      <c r="L3" s="44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</row>
    <row r="4" spans="1:94">
      <c r="AB4" s="187">
        <f>'ST Original'!AH4</f>
        <v>300</v>
      </c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</row>
    <row r="5" spans="1:94" s="243" customFormat="1" ht="14.15" customHeight="1">
      <c r="A5" s="4764" t="s">
        <v>250</v>
      </c>
      <c r="B5" s="1581"/>
      <c r="C5" s="4711" t="s">
        <v>251</v>
      </c>
      <c r="D5" s="4711"/>
      <c r="E5" s="4711" t="s">
        <v>252</v>
      </c>
      <c r="F5" s="4711"/>
      <c r="G5" s="1581" t="s">
        <v>23</v>
      </c>
      <c r="H5" s="1581"/>
      <c r="I5" s="4711" t="s">
        <v>253</v>
      </c>
      <c r="J5" s="4711"/>
      <c r="K5" s="4711"/>
      <c r="L5" s="4711"/>
      <c r="M5" s="4711"/>
      <c r="N5" s="4711"/>
      <c r="O5" s="4711"/>
      <c r="P5" s="4778" t="s">
        <v>254</v>
      </c>
      <c r="Q5" s="4779"/>
      <c r="R5" s="4779"/>
      <c r="S5" s="4779"/>
      <c r="T5" s="4779"/>
      <c r="U5" s="4779"/>
      <c r="V5" s="4779"/>
      <c r="W5" s="4779"/>
      <c r="X5" s="4779"/>
      <c r="Y5" s="4779"/>
      <c r="Z5" s="4779"/>
      <c r="AA5" s="4779"/>
      <c r="AB5" s="4780"/>
      <c r="AC5" s="4781" t="s">
        <v>255</v>
      </c>
      <c r="AD5" s="4787"/>
      <c r="AE5" s="4781" t="s">
        <v>256</v>
      </c>
      <c r="AF5" s="4787"/>
      <c r="AG5" s="4720" t="s">
        <v>375</v>
      </c>
      <c r="AH5" s="4720"/>
      <c r="AI5" s="4720"/>
      <c r="AJ5" s="596"/>
      <c r="AK5" s="4791" t="s">
        <v>883</v>
      </c>
      <c r="AL5" s="4783" t="s">
        <v>884</v>
      </c>
      <c r="AM5" s="4784"/>
      <c r="AO5" s="4764" t="s">
        <v>250</v>
      </c>
      <c r="AP5" s="1616"/>
      <c r="AQ5" s="4711" t="s">
        <v>370</v>
      </c>
      <c r="AR5" s="4711"/>
      <c r="AS5" s="4711" t="s">
        <v>371</v>
      </c>
      <c r="AT5" s="4711"/>
      <c r="AU5" s="4711" t="s">
        <v>372</v>
      </c>
      <c r="AV5" s="4711"/>
      <c r="AW5" s="349"/>
      <c r="AX5" s="4778" t="s">
        <v>373</v>
      </c>
      <c r="AY5" s="4779"/>
      <c r="AZ5" s="4779"/>
      <c r="BA5" s="4780"/>
      <c r="BB5" s="4778" t="s">
        <v>23</v>
      </c>
      <c r="BC5" s="4779"/>
      <c r="BD5" s="4779"/>
      <c r="BE5" s="4780"/>
      <c r="BF5" s="4721" t="s">
        <v>794</v>
      </c>
      <c r="BG5" s="4722"/>
      <c r="BH5" s="4723"/>
      <c r="BI5" s="4779" t="s">
        <v>374</v>
      </c>
      <c r="BJ5" s="4779"/>
      <c r="BK5" s="4779"/>
      <c r="BL5" s="4779"/>
      <c r="BM5" s="4779"/>
      <c r="BN5" s="4779"/>
      <c r="BO5" s="4779"/>
      <c r="BP5" s="4779"/>
      <c r="BQ5" s="4779"/>
      <c r="BR5" s="4779"/>
      <c r="BS5" s="4779"/>
      <c r="BT5" s="4779"/>
      <c r="BU5" s="4779"/>
      <c r="BV5" s="4779"/>
      <c r="BW5" s="4779"/>
      <c r="BX5" s="4779"/>
      <c r="BY5" s="4779"/>
      <c r="BZ5" s="4779"/>
      <c r="CA5" s="4779"/>
      <c r="CB5" s="4779"/>
      <c r="CC5" s="4779"/>
      <c r="CD5" s="4779"/>
      <c r="CE5" s="4779"/>
      <c r="CF5" s="4780"/>
      <c r="CI5" s="243" t="s">
        <v>257</v>
      </c>
      <c r="CJ5" s="481">
        <f>K2</f>
        <v>46082.791666666664</v>
      </c>
      <c r="CO5" s="4783" t="s">
        <v>76</v>
      </c>
      <c r="CP5" s="4784"/>
    </row>
    <row r="6" spans="1:94" s="243" customFormat="1" ht="14.15" customHeight="1">
      <c r="A6" s="4765"/>
      <c r="B6" s="597" t="s">
        <v>258</v>
      </c>
      <c r="C6" s="594" t="s">
        <v>259</v>
      </c>
      <c r="D6" s="594" t="s">
        <v>260</v>
      </c>
      <c r="E6" s="594" t="s">
        <v>343</v>
      </c>
      <c r="F6" s="594" t="s">
        <v>192</v>
      </c>
      <c r="G6" s="231" t="s">
        <v>344</v>
      </c>
      <c r="H6" s="231"/>
      <c r="I6" s="594" t="s">
        <v>267</v>
      </c>
      <c r="J6" s="594" t="s">
        <v>268</v>
      </c>
      <c r="K6" s="594" t="s">
        <v>269</v>
      </c>
      <c r="L6" s="4778" t="s">
        <v>270</v>
      </c>
      <c r="M6" s="4779"/>
      <c r="N6" s="4778" t="s">
        <v>271</v>
      </c>
      <c r="O6" s="4780"/>
      <c r="P6" s="231" t="s">
        <v>267</v>
      </c>
      <c r="Q6" s="231" t="s">
        <v>272</v>
      </c>
      <c r="R6" s="231" t="s">
        <v>273</v>
      </c>
      <c r="S6" s="414" t="s">
        <v>274</v>
      </c>
      <c r="T6" s="231" t="s">
        <v>269</v>
      </c>
      <c r="U6" s="4775" t="s">
        <v>275</v>
      </c>
      <c r="V6" s="4776"/>
      <c r="W6" s="4777"/>
      <c r="X6" s="4775" t="s">
        <v>276</v>
      </c>
      <c r="Y6" s="4777"/>
      <c r="Z6" s="4778" t="s">
        <v>850</v>
      </c>
      <c r="AA6" s="4779"/>
      <c r="AB6" s="4780"/>
      <c r="AC6" s="4788"/>
      <c r="AD6" s="4789"/>
      <c r="AE6" s="4788"/>
      <c r="AF6" s="4789"/>
      <c r="AG6" s="4720"/>
      <c r="AH6" s="4720"/>
      <c r="AI6" s="4720"/>
      <c r="AJ6" s="596"/>
      <c r="AK6" s="4791"/>
      <c r="AL6" s="4785"/>
      <c r="AM6" s="4786"/>
      <c r="AO6" s="4765"/>
      <c r="AP6" s="597" t="s">
        <v>258</v>
      </c>
      <c r="AQ6" s="594" t="s">
        <v>385</v>
      </c>
      <c r="AR6" s="594" t="s">
        <v>386</v>
      </c>
      <c r="AS6" s="594" t="s">
        <v>387</v>
      </c>
      <c r="AT6" s="594" t="s">
        <v>388</v>
      </c>
      <c r="AU6" s="594" t="s">
        <v>389</v>
      </c>
      <c r="AV6" s="594" t="s">
        <v>107</v>
      </c>
      <c r="AW6" s="349"/>
      <c r="AX6" s="4781" t="s">
        <v>885</v>
      </c>
      <c r="AY6" s="4790" t="s">
        <v>394</v>
      </c>
      <c r="AZ6" s="4790" t="s">
        <v>395</v>
      </c>
      <c r="BA6" s="4787" t="s">
        <v>396</v>
      </c>
      <c r="BB6" s="4781" t="s">
        <v>344</v>
      </c>
      <c r="BC6" s="4790" t="s">
        <v>397</v>
      </c>
      <c r="BD6" s="4790" t="s">
        <v>398</v>
      </c>
      <c r="BE6" s="4787" t="s">
        <v>399</v>
      </c>
      <c r="BF6" s="4775"/>
      <c r="BG6" s="4776"/>
      <c r="BH6" s="4777"/>
      <c r="BI6" s="4776" t="s">
        <v>401</v>
      </c>
      <c r="BJ6" s="4776"/>
      <c r="BK6" s="4776"/>
      <c r="BL6" s="4778" t="s">
        <v>795</v>
      </c>
      <c r="BM6" s="4779"/>
      <c r="BN6" s="4779"/>
      <c r="BO6" s="4779"/>
      <c r="BP6" s="4779"/>
      <c r="BQ6" s="4779"/>
      <c r="BR6" s="4779"/>
      <c r="BS6" s="4779"/>
      <c r="BT6" s="4780"/>
      <c r="BU6" s="4776" t="s">
        <v>403</v>
      </c>
      <c r="BV6" s="4776"/>
      <c r="BW6" s="4776"/>
      <c r="BX6" s="4778" t="s">
        <v>404</v>
      </c>
      <c r="BY6" s="4779"/>
      <c r="BZ6" s="4780"/>
      <c r="CA6" s="4778" t="s">
        <v>405</v>
      </c>
      <c r="CB6" s="4779"/>
      <c r="CC6" s="4780"/>
      <c r="CD6" s="4721" t="s">
        <v>869</v>
      </c>
      <c r="CE6" s="4722"/>
      <c r="CF6" s="4723"/>
      <c r="CI6" s="393"/>
      <c r="CJ6" s="594" t="s">
        <v>288</v>
      </c>
      <c r="CK6" s="594" t="s">
        <v>287</v>
      </c>
      <c r="CM6" s="477" t="s">
        <v>278</v>
      </c>
      <c r="CO6" s="4785"/>
      <c r="CP6" s="4786"/>
    </row>
    <row r="7" spans="1:94" s="243" customFormat="1" ht="14.15" customHeight="1">
      <c r="A7" s="4766"/>
      <c r="B7" s="231"/>
      <c r="C7" s="594" t="s">
        <v>291</v>
      </c>
      <c r="D7" s="594" t="s">
        <v>292</v>
      </c>
      <c r="E7" s="594" t="s">
        <v>291</v>
      </c>
      <c r="F7" s="594" t="s">
        <v>292</v>
      </c>
      <c r="G7" s="482" t="s">
        <v>48</v>
      </c>
      <c r="H7" s="482" t="s">
        <v>278</v>
      </c>
      <c r="I7" s="594" t="s">
        <v>293</v>
      </c>
      <c r="J7" s="594" t="s">
        <v>293</v>
      </c>
      <c r="K7" s="594" t="s">
        <v>293</v>
      </c>
      <c r="L7" s="594" t="s">
        <v>291</v>
      </c>
      <c r="M7" s="330" t="s">
        <v>192</v>
      </c>
      <c r="N7" s="594" t="s">
        <v>294</v>
      </c>
      <c r="O7" s="594" t="s">
        <v>192</v>
      </c>
      <c r="P7" s="1581" t="s">
        <v>295</v>
      </c>
      <c r="Q7" s="1581" t="s">
        <v>296</v>
      </c>
      <c r="R7" s="1581" t="s">
        <v>296</v>
      </c>
      <c r="S7" s="1581" t="s">
        <v>296</v>
      </c>
      <c r="T7" s="1581" t="s">
        <v>296</v>
      </c>
      <c r="U7" s="1581" t="s">
        <v>291</v>
      </c>
      <c r="V7" s="1581" t="s">
        <v>192</v>
      </c>
      <c r="W7" s="1581" t="s">
        <v>418</v>
      </c>
      <c r="X7" s="1581" t="s">
        <v>28</v>
      </c>
      <c r="Y7" s="1581" t="s">
        <v>192</v>
      </c>
      <c r="Z7" s="1581" t="s">
        <v>28</v>
      </c>
      <c r="AA7" s="1581" t="s">
        <v>192</v>
      </c>
      <c r="AB7" s="1617" t="s">
        <v>419</v>
      </c>
      <c r="AC7" s="597" t="s">
        <v>291</v>
      </c>
      <c r="AD7" s="597" t="s">
        <v>192</v>
      </c>
      <c r="AE7" s="1581" t="s">
        <v>28</v>
      </c>
      <c r="AF7" s="1581" t="s">
        <v>192</v>
      </c>
      <c r="AG7" s="594" t="s">
        <v>420</v>
      </c>
      <c r="AH7" s="594" t="s">
        <v>421</v>
      </c>
      <c r="AI7" s="594" t="s">
        <v>422</v>
      </c>
      <c r="AJ7" s="477"/>
      <c r="AK7" s="4791"/>
      <c r="AL7" s="1618" t="s">
        <v>871</v>
      </c>
      <c r="AM7" s="1618" t="s">
        <v>872</v>
      </c>
      <c r="AO7" s="4766"/>
      <c r="AP7" s="231"/>
      <c r="AQ7" s="1581" t="s">
        <v>424</v>
      </c>
      <c r="AR7" s="1581" t="s">
        <v>424</v>
      </c>
      <c r="AS7" s="1581" t="s">
        <v>424</v>
      </c>
      <c r="AT7" s="1581" t="s">
        <v>424</v>
      </c>
      <c r="AU7" s="1581" t="s">
        <v>424</v>
      </c>
      <c r="AV7" s="1581" t="s">
        <v>424</v>
      </c>
      <c r="AW7" s="349"/>
      <c r="AX7" s="4782"/>
      <c r="AY7" s="4791"/>
      <c r="AZ7" s="4791"/>
      <c r="BA7" s="4792"/>
      <c r="BB7" s="4782"/>
      <c r="BC7" s="4791"/>
      <c r="BD7" s="4791"/>
      <c r="BE7" s="4792"/>
      <c r="BF7" s="1607" t="s">
        <v>425</v>
      </c>
      <c r="BG7" s="595" t="s">
        <v>426</v>
      </c>
      <c r="BH7" s="1609" t="s">
        <v>427</v>
      </c>
      <c r="BI7" s="593" t="s">
        <v>425</v>
      </c>
      <c r="BJ7" s="594" t="s">
        <v>426</v>
      </c>
      <c r="BK7" s="330" t="s">
        <v>427</v>
      </c>
      <c r="BL7" s="1581" t="s">
        <v>346</v>
      </c>
      <c r="BM7" s="1581" t="s">
        <v>347</v>
      </c>
      <c r="BN7" s="1581" t="s">
        <v>348</v>
      </c>
      <c r="BO7" s="1581" t="s">
        <v>430</v>
      </c>
      <c r="BP7" s="1581" t="s">
        <v>431</v>
      </c>
      <c r="BQ7" s="1581" t="s">
        <v>432</v>
      </c>
      <c r="BR7" s="1581" t="s">
        <v>433</v>
      </c>
      <c r="BS7" s="1607" t="s">
        <v>434</v>
      </c>
      <c r="BT7" s="1581" t="s">
        <v>435</v>
      </c>
      <c r="BU7" s="1608" t="s">
        <v>346</v>
      </c>
      <c r="BV7" s="1608" t="s">
        <v>347</v>
      </c>
      <c r="BW7" s="1607" t="s">
        <v>348</v>
      </c>
      <c r="BX7" s="1607" t="s">
        <v>346</v>
      </c>
      <c r="BY7" s="1608" t="s">
        <v>347</v>
      </c>
      <c r="BZ7" s="1609" t="s">
        <v>348</v>
      </c>
      <c r="CA7" s="1607" t="s">
        <v>346</v>
      </c>
      <c r="CB7" s="1608" t="s">
        <v>347</v>
      </c>
      <c r="CC7" s="1609" t="s">
        <v>348</v>
      </c>
      <c r="CD7" s="1607" t="s">
        <v>346</v>
      </c>
      <c r="CE7" s="1608" t="s">
        <v>347</v>
      </c>
      <c r="CF7" s="593" t="s">
        <v>348</v>
      </c>
      <c r="CI7" s="410" t="s">
        <v>304</v>
      </c>
      <c r="CJ7" s="486">
        <f>Factores!$D$9</f>
        <v>2.899</v>
      </c>
      <c r="CK7" s="486">
        <f>Factores!$F$9</f>
        <v>2.899</v>
      </c>
      <c r="CO7" s="1618" t="s">
        <v>871</v>
      </c>
      <c r="CP7" s="1618" t="s">
        <v>872</v>
      </c>
    </row>
    <row r="8" spans="1:94" s="243" customFormat="1" ht="14.15" customHeight="1">
      <c r="A8" s="4764" t="s">
        <v>326</v>
      </c>
      <c r="B8" s="1595">
        <f>K2</f>
        <v>46082.791666666664</v>
      </c>
      <c r="C8" s="1587">
        <f>IF($K$3&gt;=$B8,Real!C9,'ST Original'!C8)</f>
        <v>178584.27719999998</v>
      </c>
      <c r="D8" s="1619">
        <f>IF($K$3&gt;=$B8,Real!D9,'ST Original'!D8)</f>
        <v>681321.42959999992</v>
      </c>
      <c r="E8" s="1587">
        <f>IF($K$3&gt;=$B8,Real!E9,'ST Original'!E8)</f>
        <v>98057.835933685317</v>
      </c>
      <c r="F8" s="1593">
        <f>+E8</f>
        <v>98057.835933685317</v>
      </c>
      <c r="G8" s="1596">
        <f>IF($K$3&gt;=$B8,Real!J9,'ST Original'!J8)</f>
        <v>91.259679515859375</v>
      </c>
      <c r="H8" s="1596">
        <f>CM8</f>
        <v>62.156635284423828</v>
      </c>
      <c r="I8" s="1620">
        <f>IF($K$3&gt;=$B8,Real!K9,'ST Original'!L8)</f>
        <v>0.57768797734094401</v>
      </c>
      <c r="J8" s="1596">
        <f>IF($K$3&gt;=$B8,Real!L9,'ST Original'!M8)</f>
        <v>91.162820073210312</v>
      </c>
      <c r="K8" s="1596">
        <f>IF($K$3&gt;=$B8,Real!M9,'ST Original'!N8)</f>
        <v>24.56</v>
      </c>
      <c r="L8" s="1587">
        <f>IF($K$3&gt;=$B8,IF(ISNUMBER(Real!N9),Real!N9,""),IF(ISNUMBER('ST Original'!O8),'ST Original'!O8,""))</f>
        <v>2102.6404868281052</v>
      </c>
      <c r="M8" s="1621">
        <f>+L8</f>
        <v>2102.6404868281052</v>
      </c>
      <c r="N8" s="1587">
        <f t="shared" ref="N8:N18" si="0">IF(ISNUMBER(L8),L8*K8/100,"")</f>
        <v>516.40850356498265</v>
      </c>
      <c r="O8" s="1593">
        <f>+N8</f>
        <v>516.40850356498265</v>
      </c>
      <c r="P8" s="1587">
        <f>IF($K$3&gt;=$B8,Real!R9,'ST Original'!W8)</f>
        <v>249.16097142540599</v>
      </c>
      <c r="Q8" s="1596">
        <f>IF($K$3&gt;=$B8,Real!S9,'ST Original'!X8)</f>
        <v>93.716144970833057</v>
      </c>
      <c r="R8" s="1596">
        <f>IF($K$3&gt;=$B8,Real!T9,'ST Original'!Y8)</f>
        <v>84.8</v>
      </c>
      <c r="S8" s="1596">
        <f>IF($K$3&gt;=$B8,Real!U9,'ST Original'!Z8)</f>
        <v>79.471290935266438</v>
      </c>
      <c r="T8" s="1596">
        <f>IF($K$3&gt;=$B8,Real!V9,'ST Original'!AA8)</f>
        <v>49.645088747180047</v>
      </c>
      <c r="U8" s="1596">
        <f>IF($K$3&gt;=$B8,Real!W9,'ST Original'!AB8)</f>
        <v>39.110763693637921</v>
      </c>
      <c r="V8" s="1621">
        <f>+U8</f>
        <v>39.110763693637921</v>
      </c>
      <c r="W8" s="1593">
        <f>Z8/(T8/100)</f>
        <v>46.826417500000098</v>
      </c>
      <c r="X8" s="1589">
        <f>IF(ISNUMBER(IF($K$3&gt;=$B8,Real!Y9,'ST Original'!AE8)),IF($K$3&gt;=$B8,Real!Y9,'ST Original'!AE8),0)</f>
        <v>19.41657334540642</v>
      </c>
      <c r="Y8" s="1621">
        <f>+X8</f>
        <v>19.41657334540642</v>
      </c>
      <c r="Z8" s="1587">
        <f>IF(ISNUMBER(IF($K$3&gt;=$B8,Real!AA9,'ST Original'!AG8)),IF($K$3&gt;=$B8,Real!AA9,'ST Original'!AG8),0)</f>
        <v>23.247016525000099</v>
      </c>
      <c r="AA8" s="1621">
        <f>Z8</f>
        <v>23.247016525000099</v>
      </c>
      <c r="AB8" s="1593" t="e">
        <f>IF($K$3&gt;=$B8,Real!#REF!,AB4+'Real+S.T.'!X8-'Real+S.T.'!Z8)</f>
        <v>#REF!</v>
      </c>
      <c r="AC8" s="1587">
        <f>IF(ISNUMBER(N8*$CJ$8+X8*$CJ$7*$CJ$9),N8*$CJ$8+X8*$CJ$7*$CJ$9,"")</f>
        <v>552.79218332720484</v>
      </c>
      <c r="AD8" s="1593">
        <f>+AC8</f>
        <v>552.79218332720484</v>
      </c>
      <c r="AE8" s="1622">
        <f>IF(ISNUMBER(N8*$CJ$8+Z8*$CJ$7*$CJ$9),N8*$CJ$8+Z8*$CJ$7*$CJ$9,"")</f>
        <v>563.84111583095864</v>
      </c>
      <c r="AF8" s="1623">
        <f>+AE8</f>
        <v>563.84111583095864</v>
      </c>
      <c r="AG8" s="1624">
        <f>IF(ISNUMBER(IF($K$3&gt;=$B8,Real!AO9,'ST Original'!AN8)),IF($K$3&gt;=$B8,Real!AO9,'ST Original'!AN8),0)</f>
        <v>1935.9126368102898</v>
      </c>
      <c r="AH8" s="283">
        <f>IF(ISNUMBER(IF($K$3&gt;=$B8,Real!AP9,'ST Original'!AO8)),IF($K$3&gt;=$B8,Real!AP9,'ST Original'!AO8),0)</f>
        <v>27.703726942107984</v>
      </c>
      <c r="AI8" s="265">
        <f>AG8*AH8/100</f>
        <v>536.31995073968528</v>
      </c>
      <c r="AJ8" s="333"/>
      <c r="AL8" s="1625">
        <f>IF($K$3&gt;=$B8,Real!AX9,'ST Original'!AZ8)</f>
        <v>237.86026000976563</v>
      </c>
      <c r="AM8" s="1591">
        <f>AL8</f>
        <v>237.86026000976563</v>
      </c>
      <c r="AO8" s="1380" t="s">
        <v>326</v>
      </c>
      <c r="AP8" s="1626">
        <f t="shared" ref="AP8:AP35" si="1">B8</f>
        <v>46082.791666666664</v>
      </c>
      <c r="AQ8" s="1611"/>
      <c r="AR8" s="1612"/>
      <c r="AS8" s="1612"/>
      <c r="AT8" s="1612"/>
      <c r="AU8" s="1625">
        <f>IF($K$3&gt;=$B8,Real!AE9,'ST Original'!BI8)</f>
        <v>17.034815264907841</v>
      </c>
      <c r="AV8" s="1591">
        <f>IF($K$3&gt;=$B8,Real!AF9,'ST Original'!BJ8)</f>
        <v>342.5</v>
      </c>
      <c r="AW8" s="303"/>
      <c r="AX8" s="1587">
        <f>IF($K$3&gt;=$B8,Real!AK9,'ST Original'!BT8)</f>
        <v>8954.10368648845</v>
      </c>
      <c r="AY8" s="1621"/>
      <c r="AZ8" s="1621"/>
      <c r="BA8" s="1593"/>
      <c r="BB8" s="1587">
        <f>IF($K$3&gt;=$B8,Real!H9,'ST Original'!CC8)</f>
        <v>89.286065673591693</v>
      </c>
      <c r="BC8" s="1621"/>
      <c r="BD8" s="1621"/>
      <c r="BE8" s="1621"/>
      <c r="BF8" s="1596"/>
      <c r="BG8" s="1589"/>
      <c r="BH8" s="1598"/>
      <c r="BI8" s="1597"/>
      <c r="BJ8" s="1621"/>
      <c r="BK8" s="1621"/>
      <c r="BL8" s="1587"/>
      <c r="BM8" s="1621"/>
      <c r="BN8" s="1621"/>
      <c r="BO8" s="1621"/>
      <c r="BP8" s="1621"/>
      <c r="BQ8" s="1621"/>
      <c r="BR8" s="1621"/>
      <c r="BS8" s="1621"/>
      <c r="BT8" s="1593"/>
      <c r="BU8" s="1621"/>
      <c r="BV8" s="1621"/>
      <c r="BW8" s="1621"/>
      <c r="BX8" s="1587"/>
      <c r="BY8" s="1597"/>
      <c r="BZ8" s="1598"/>
      <c r="CA8" s="1588"/>
      <c r="CB8" s="1597"/>
      <c r="CC8" s="1598"/>
      <c r="CD8" s="1588"/>
      <c r="CE8" s="1589"/>
      <c r="CF8" s="1590"/>
      <c r="CI8" s="410" t="s">
        <v>444</v>
      </c>
      <c r="CJ8" s="649">
        <f>Factores!$D$7</f>
        <v>0.96199999999999997</v>
      </c>
      <c r="CK8" s="649">
        <f>Factores!$F$7</f>
        <v>0.96199999999999997</v>
      </c>
      <c r="CM8" s="1619">
        <f>IF($K$3&gt;=$B8,Real!AD9,'ST Original'!K8)</f>
        <v>62.156635284423828</v>
      </c>
      <c r="CO8" s="1627">
        <f>IF($K$3&gt;=$B8,Real!AW9,'ST Original'!#REF!)</f>
        <v>393068.93229166669</v>
      </c>
      <c r="CP8" s="1628">
        <f>CO8</f>
        <v>393068.93229166669</v>
      </c>
    </row>
    <row r="9" spans="1:94" s="243" customFormat="1" ht="14.15" customHeight="1">
      <c r="A9" s="4765"/>
      <c r="B9" s="258">
        <f t="shared" ref="B9:B38" si="2">B8+1</f>
        <v>46083.791666666664</v>
      </c>
      <c r="C9" s="276">
        <f>IF($K$3&gt;=$B9,Real!C10,'ST Original'!C9)</f>
        <v>131187.14559999999</v>
      </c>
      <c r="D9" s="650">
        <f>IF($K$3&gt;=$B9,Real!D10,D8+C9-E9)</f>
        <v>641093.03720000002</v>
      </c>
      <c r="E9" s="276">
        <f>IF($K$3&gt;=$B9,Real!E10,'ST Original'!E9)</f>
        <v>170436.89745330811</v>
      </c>
      <c r="F9" s="279">
        <f>+F8+E9</f>
        <v>268494.73338699341</v>
      </c>
      <c r="G9" s="277">
        <f>IF($K$3&gt;=$B9,Real!J10,'ST Original'!J9)</f>
        <v>86.528962190124304</v>
      </c>
      <c r="H9" s="277">
        <f t="shared" ref="H9:H35" si="3">CM9</f>
        <v>87.753082275390625</v>
      </c>
      <c r="I9" s="472">
        <f>IF($K$3&gt;=$B9,Real!K10,'ST Original'!L9)</f>
        <v>0.55229968808243912</v>
      </c>
      <c r="J9" s="277">
        <f>IF($K$3&gt;=$B9,Real!L10,'ST Original'!M9)</f>
        <v>92.159479170723415</v>
      </c>
      <c r="K9" s="277">
        <f>IF($K$3&gt;=$B9,Real!M10,'ST Original'!N9)</f>
        <v>30.560018202104374</v>
      </c>
      <c r="L9" s="276">
        <f>IF($K$3&gt;=$B9,IF(ISNUMBER(Real!N10),Real!N10,""),IF(ISNUMBER('ST Original'!O9),'ST Original'!O9,""))</f>
        <v>2838.7347948412084</v>
      </c>
      <c r="M9" s="246">
        <f>IF(ISNUMBER(L9),+M8+L9,M8)</f>
        <v>4941.3752816693141</v>
      </c>
      <c r="N9" s="276">
        <f t="shared" si="0"/>
        <v>867.5178700129436</v>
      </c>
      <c r="O9" s="246">
        <f>IF(ISNUMBER(N9),+O8+N9,O8)</f>
        <v>1383.9263735779264</v>
      </c>
      <c r="P9" s="276">
        <f>IF($K$3&gt;=$B9,Real!R10,'ST Original'!W9)</f>
        <v>259.27553862179718</v>
      </c>
      <c r="Q9" s="277">
        <f>IF($K$3&gt;=$B9,Real!S10,'ST Original'!X9)</f>
        <v>91.151954632776594</v>
      </c>
      <c r="R9" s="277">
        <f>IF($K$3&gt;=$B9,Real!T10,'ST Original'!Y9)</f>
        <v>88.9</v>
      </c>
      <c r="S9" s="277">
        <f>IF($K$3&gt;=$B9,Real!U10,'ST Original'!Z9)</f>
        <v>81.03408766853839</v>
      </c>
      <c r="T9" s="277">
        <f>IF($K$3&gt;=$B9,Real!V10,'ST Original'!AA9)</f>
        <v>50.175218421570399</v>
      </c>
      <c r="U9" s="277">
        <f>IF($K$3&gt;=$B9,Real!W10,'ST Original'!AB9)</f>
        <v>71.36801871929363</v>
      </c>
      <c r="V9" s="280">
        <f>IF(ISNUMBER(U9),+V8+U9,V8)</f>
        <v>110.47878241293155</v>
      </c>
      <c r="W9" s="293">
        <f>Z9/(T9/100)</f>
        <v>48.376059999999903</v>
      </c>
      <c r="X9" s="244">
        <f>IF(ISNUMBER(IF($K$3&gt;=$B9,Real!Y10,'ST Original'!AE9)),IF($K$3&gt;=$B9,Real!Y10,'ST Original'!AE9),0)</f>
        <v>35.809059275552826</v>
      </c>
      <c r="Y9" s="280">
        <f t="shared" ref="Y9:Y35" si="4">IF(ISNUMBER(X9),+Y8+X9,Y8)</f>
        <v>55.225632620959246</v>
      </c>
      <c r="Z9" s="276">
        <f>IF(ISNUMBER(IF($K$3&gt;=$B9,Real!AA10,'ST Original'!AG9)),IF($K$3&gt;=$B9,Real!AA10,'ST Original'!AG9),0)</f>
        <v>24.272793768749899</v>
      </c>
      <c r="AA9" s="246">
        <f t="shared" ref="AA9:AA35" si="5">+AA8+Z9</f>
        <v>47.519810293749998</v>
      </c>
      <c r="AB9" s="1593" t="e">
        <f>IF($K$3&gt;=$B9,Real!#REF!,AB5+'Real+S.T.'!X9-'Real+S.T.'!Z9)</f>
        <v>#REF!</v>
      </c>
      <c r="AC9" s="276">
        <f t="shared" ref="AC9:AC35" si="6">IF(ISNUMBER(N9*$CJ$8+X9*$CJ$7*$CJ$9),N9*$CJ$8+X9*$CJ$7*$CJ$9,"")</f>
        <v>937.84360147808025</v>
      </c>
      <c r="AD9" s="279">
        <f>IF(ISNUMBER(AC9),+AD8+AC9,AD8)</f>
        <v>1490.6357848052851</v>
      </c>
      <c r="AE9" s="284">
        <f t="shared" ref="AE9:AE35" si="7">IF(ISNUMBER(N9*$CJ$8+Z9*$CJ$7*$CJ$9),N9*$CJ$8+Z9*$CJ$7*$CJ$9,"")</f>
        <v>904.56718594237964</v>
      </c>
      <c r="AF9" s="285">
        <f>IF(ISNUMBER(AE9),+AF8+AE9,AF8)</f>
        <v>1468.4083017733383</v>
      </c>
      <c r="AG9" s="267">
        <f>IF(ISNUMBER(IF($K$3&gt;=$B9,Real!AO10,'ST Original'!AN9)),IF($K$3&gt;=$B9,Real!AO10,'ST Original'!AN9),0)</f>
        <v>3701.3238304092597</v>
      </c>
      <c r="AH9" s="283">
        <f>IF(ISNUMBER(IF($K$3&gt;=$B9,Real!AP10,'ST Original'!AO9)),IF($K$3&gt;=$B9,Real!AP10,'ST Original'!AO9),0)</f>
        <v>28.229502212624933</v>
      </c>
      <c r="AI9" s="265">
        <f t="shared" ref="AI9:AI35" si="8">AG9*AH9/100</f>
        <v>1044.865292601796</v>
      </c>
      <c r="AJ9" s="333"/>
      <c r="AL9" s="334">
        <f>IF($K$3&gt;=$B9,Real!AX10,'ST Original'!AZ9)</f>
        <v>270.4515380859375</v>
      </c>
      <c r="AM9" s="278">
        <f>AM8+AL9</f>
        <v>508.31179809570313</v>
      </c>
      <c r="AO9" s="474"/>
      <c r="AP9" s="305">
        <f t="shared" si="1"/>
        <v>46083.791666666664</v>
      </c>
      <c r="AQ9" s="284"/>
      <c r="AR9" s="333"/>
      <c r="AS9" s="333"/>
      <c r="AT9" s="333"/>
      <c r="AU9" s="334">
        <f>IF($K$3&gt;=$B9,Real!AE10,'ST Original'!BI9)</f>
        <v>17.92604013467345</v>
      </c>
      <c r="AV9" s="278">
        <f>IF($K$3&gt;=$B9,Real!AF10,'ST Original'!BJ9)</f>
        <v>474.75</v>
      </c>
      <c r="AW9" s="303"/>
      <c r="AX9" s="276">
        <f>IF($K$3&gt;=$B9,Real!AK10,'ST Original'!BT9)</f>
        <v>8207.1218862929418</v>
      </c>
      <c r="AY9" s="246"/>
      <c r="AZ9" s="246"/>
      <c r="BA9" s="279"/>
      <c r="BB9" s="276">
        <f>IF($K$3&gt;=$B9,Real!H10,'ST Original'!CC9)</f>
        <v>83.487125596200372</v>
      </c>
      <c r="BC9" s="246"/>
      <c r="BD9" s="246"/>
      <c r="BE9" s="246"/>
      <c r="BF9" s="277"/>
      <c r="BG9" s="244"/>
      <c r="BH9" s="270"/>
      <c r="BI9" s="245"/>
      <c r="BJ9" s="246"/>
      <c r="BK9" s="246"/>
      <c r="BL9" s="276"/>
      <c r="BM9" s="246"/>
      <c r="BN9" s="246"/>
      <c r="BO9" s="246"/>
      <c r="BP9" s="246"/>
      <c r="BQ9" s="246"/>
      <c r="BR9" s="246"/>
      <c r="BS9" s="246"/>
      <c r="BT9" s="279"/>
      <c r="BU9" s="246"/>
      <c r="BV9" s="246"/>
      <c r="BW9" s="246"/>
      <c r="BX9" s="276"/>
      <c r="BY9" s="245"/>
      <c r="BZ9" s="270"/>
      <c r="CA9" s="269"/>
      <c r="CB9" s="245"/>
      <c r="CC9" s="270"/>
      <c r="CD9" s="269"/>
      <c r="CE9" s="245"/>
      <c r="CF9" s="270"/>
      <c r="CI9" s="410" t="s">
        <v>445</v>
      </c>
      <c r="CJ9" s="649">
        <f>Factores!$D$8</f>
        <v>0.995</v>
      </c>
      <c r="CK9" s="649">
        <f>Factores!$F$8</f>
        <v>0.995</v>
      </c>
      <c r="CM9" s="650">
        <f>IF($K$3&gt;=$B9,Real!AD10,'ST Original'!K9)</f>
        <v>87.753082275390625</v>
      </c>
      <c r="CO9" s="624">
        <f>IF($K$3&gt;=$B9,Real!AW10,'ST Original'!#REF!)</f>
        <v>404941.87239583331</v>
      </c>
      <c r="CP9" s="625">
        <f>CP8+CO9</f>
        <v>798010.8046875</v>
      </c>
    </row>
    <row r="10" spans="1:94" s="243" customFormat="1" ht="14.15" customHeight="1">
      <c r="A10" s="4765"/>
      <c r="B10" s="258">
        <f t="shared" si="2"/>
        <v>46084.791666666664</v>
      </c>
      <c r="C10" s="276">
        <f>IF($K$3&gt;=$B10,Real!C11,'ST Original'!C10)</f>
        <v>217133.84</v>
      </c>
      <c r="D10" s="650">
        <f>IF($K$3&gt;=$B10,Real!D11,D9+C10-E10)</f>
        <v>672529.5612</v>
      </c>
      <c r="E10" s="276">
        <f>IF($K$3&gt;=$B10,Real!E11,'ST Original'!E10)</f>
        <v>158186.81954193115</v>
      </c>
      <c r="F10" s="279">
        <f>+F9+E10</f>
        <v>426681.55292892456</v>
      </c>
      <c r="G10" s="277">
        <f>IF($K$3&gt;=$B10,Real!J11,'ST Original'!J10)</f>
        <v>72.810000000000102</v>
      </c>
      <c r="H10" s="277">
        <f t="shared" si="3"/>
        <v>87.695640563964844</v>
      </c>
      <c r="I10" s="472">
        <f>IF($K$3&gt;=$B10,Real!K11,'ST Original'!L10)</f>
        <v>0.53249797248699349</v>
      </c>
      <c r="J10" s="277">
        <f>IF($K$3&gt;=$B10,Real!L11,'ST Original'!M10)</f>
        <v>91.369201831492987</v>
      </c>
      <c r="K10" s="277">
        <f>IF($K$3&gt;=$B10,Real!M11,'ST Original'!N10)</f>
        <v>29.31537385710142</v>
      </c>
      <c r="L10" s="276">
        <f>IF($K$3&gt;=$B10,IF(ISNUMBER(Real!N11),Real!N11,""),IF(ISNUMBER('ST Original'!O10),'ST Original'!O10,""))</f>
        <v>2625.3828676434409</v>
      </c>
      <c r="M10" s="246">
        <f t="shared" ref="M10:M35" si="9">IF(ISNUMBER(L10),+M9+L10,M9)</f>
        <v>7566.7581493127545</v>
      </c>
      <c r="N10" s="276">
        <f t="shared" si="0"/>
        <v>769.64080282996485</v>
      </c>
      <c r="O10" s="279">
        <f t="shared" ref="O10:O35" si="10">IF(ISNUMBER(N10),+O9+N10,O9)</f>
        <v>2153.5671764078911</v>
      </c>
      <c r="P10" s="276">
        <f>IF($K$3&gt;=$B10,Real!R11,'ST Original'!W10)</f>
        <v>269.88477488477827</v>
      </c>
      <c r="Q10" s="277">
        <f>IF($K$3&gt;=$B10,Real!S11,'ST Original'!X10)</f>
        <v>88.881512615796723</v>
      </c>
      <c r="R10" s="277">
        <f>IF($K$3&gt;=$B10,Real!T11,'ST Original'!Y10)</f>
        <v>90.6</v>
      </c>
      <c r="S10" s="277">
        <f>IF($K$3&gt;=$B10,Real!U11,'ST Original'!Z10)</f>
        <v>80.526650429911825</v>
      </c>
      <c r="T10" s="277">
        <f>IF($K$3&gt;=$B10,Real!V11,'ST Original'!AA10)</f>
        <v>52.127496689047312</v>
      </c>
      <c r="U10" s="277">
        <f>IF($K$3&gt;=$B10,Real!W11,'ST Original'!AB10)</f>
        <v>65.951009080781958</v>
      </c>
      <c r="V10" s="246">
        <f t="shared" ref="V10:V35" si="11">IF(ISNUMBER(U10),+V9+U10,V9)</f>
        <v>176.42979149371351</v>
      </c>
      <c r="W10" s="279">
        <f t="shared" ref="W10:W35" si="12">Z10/(T10/100)</f>
        <v>116.03205262231501</v>
      </c>
      <c r="X10" s="244">
        <f>IF(ISNUMBER(IF($K$3&gt;=$B10,Real!Y11,'ST Original'!AE10)),IF($K$3&gt;=$B10,Real!Y11,'ST Original'!AE10),0)</f>
        <v>34.378610074977907</v>
      </c>
      <c r="Y10" s="246">
        <f t="shared" si="4"/>
        <v>89.60424269593716</v>
      </c>
      <c r="Z10" s="276">
        <f>IF(ISNUMBER(IF($K$3&gt;=$B10,Real!AA11,'ST Original'!AG10)),IF($K$3&gt;=$B10,Real!AA11,'ST Original'!AG10),0)</f>
        <v>60.48460438893089</v>
      </c>
      <c r="AA10" s="246">
        <f t="shared" si="5"/>
        <v>108.00441468268089</v>
      </c>
      <c r="AB10" s="279" t="e">
        <f>IF($K$3&gt;=$B10,Real!#REF!,AB9+'Real+S.T.'!X10-'Real+S.T.'!Z10)</f>
        <v>#REF!</v>
      </c>
      <c r="AC10" s="276">
        <f t="shared" si="6"/>
        <v>839.55972497675043</v>
      </c>
      <c r="AD10" s="279">
        <f t="shared" ref="AD10:AD35" si="13">IF(ISNUMBER(AC10),+AD9+AC10,AD9)</f>
        <v>2330.1955097820355</v>
      </c>
      <c r="AE10" s="284">
        <f t="shared" si="7"/>
        <v>914.86259610531931</v>
      </c>
      <c r="AF10" s="285">
        <f t="shared" ref="AF10:AF35" si="14">IF(ISNUMBER(AE10),+AF9+AE10,AF9)</f>
        <v>2383.2708978786577</v>
      </c>
      <c r="AG10" s="267">
        <f>IF(ISNUMBER(IF($K$3&gt;=$B10,Real!AO11,'ST Original'!AN10)),IF($K$3&gt;=$B10,Real!AO11,'ST Original'!AN10),0)</f>
        <v>2382.0728229587339</v>
      </c>
      <c r="AH10" s="283">
        <f>IF(ISNUMBER(IF($K$3&gt;=$B10,Real!AP11,'ST Original'!AO10)),IF($K$3&gt;=$B10,Real!AP11,'ST Original'!AO10),0)</f>
        <v>28.243913645658555</v>
      </c>
      <c r="AI10" s="265">
        <f t="shared" si="8"/>
        <v>672.79059109316586</v>
      </c>
      <c r="AJ10" s="333"/>
      <c r="AL10" s="334">
        <f>IF($K$3&gt;=$B10,Real!AX11,'ST Original'!AZ10)</f>
        <v>268.99571990966797</v>
      </c>
      <c r="AM10" s="278">
        <f t="shared" ref="AM10:AM35" si="15">AM9+AL10</f>
        <v>777.30751800537109</v>
      </c>
      <c r="AO10" s="474"/>
      <c r="AP10" s="305">
        <f t="shared" si="1"/>
        <v>46084.791666666664</v>
      </c>
      <c r="AQ10" s="284"/>
      <c r="AR10" s="333"/>
      <c r="AS10" s="333"/>
      <c r="AT10" s="333"/>
      <c r="AU10" s="334">
        <f>IF($K$3&gt;=$B10,Real!AE11,'ST Original'!BI10)</f>
        <v>15.503640437725355</v>
      </c>
      <c r="AV10" s="278">
        <f>IF($K$3&gt;=$B10,Real!AF11,'ST Original'!BJ10)</f>
        <v>670.75</v>
      </c>
      <c r="AW10" s="303"/>
      <c r="AX10" s="276">
        <f>IF($K$3&gt;=$B10,Real!AK11,'ST Original'!BT10)</f>
        <v>9052.4893296439895</v>
      </c>
      <c r="AY10" s="246"/>
      <c r="AZ10" s="246"/>
      <c r="BA10" s="279"/>
      <c r="BB10" s="276">
        <f>IF($K$3&gt;=$B10,Real!H11,'ST Original'!CC10)</f>
        <v>66.670344083649098</v>
      </c>
      <c r="BC10" s="246"/>
      <c r="BD10" s="246"/>
      <c r="BE10" s="246"/>
      <c r="BF10" s="277"/>
      <c r="BG10" s="244"/>
      <c r="BH10" s="270"/>
      <c r="BI10" s="245"/>
      <c r="BJ10" s="246"/>
      <c r="BK10" s="246"/>
      <c r="BL10" s="276"/>
      <c r="BM10" s="246"/>
      <c r="BN10" s="246"/>
      <c r="BO10" s="246"/>
      <c r="BP10" s="246"/>
      <c r="BQ10" s="246"/>
      <c r="BR10" s="246"/>
      <c r="BS10" s="246"/>
      <c r="BT10" s="279"/>
      <c r="BU10" s="246"/>
      <c r="BV10" s="246"/>
      <c r="BW10" s="246"/>
      <c r="BX10" s="276"/>
      <c r="BY10" s="245"/>
      <c r="BZ10" s="270"/>
      <c r="CA10" s="269"/>
      <c r="CB10" s="245"/>
      <c r="CC10" s="270"/>
      <c r="CD10" s="269"/>
      <c r="CE10" s="245"/>
      <c r="CF10" s="270"/>
      <c r="CM10" s="650">
        <f>IF($K$3&gt;=$B10,Real!AD11,'ST Original'!K10)</f>
        <v>87.695640563964844</v>
      </c>
      <c r="CO10" s="624">
        <f>IF($K$3&gt;=$B10,Real!AW11,'ST Original'!#REF!)</f>
        <v>419590.40234375</v>
      </c>
      <c r="CP10" s="625">
        <f t="shared" ref="CP10:CP35" si="16">CP9+CO10</f>
        <v>1217601.20703125</v>
      </c>
    </row>
    <row r="11" spans="1:94" s="243" customFormat="1" ht="14.15" customHeight="1">
      <c r="A11" s="4765"/>
      <c r="B11" s="258">
        <f t="shared" si="2"/>
        <v>46085.791666666664</v>
      </c>
      <c r="C11" s="276">
        <f>IF($K$3&gt;=$B11,Real!C12,'ST Original'!C11)</f>
        <v>132733.076</v>
      </c>
      <c r="D11" s="650">
        <f>IF($K$3&gt;=$B11,Real!D12,D10+C11-E11)</f>
        <v>646135.38919999998</v>
      </c>
      <c r="E11" s="276">
        <f>IF($K$3&gt;=$B11,Real!E12,'ST Original'!E11)</f>
        <v>156047.44256210327</v>
      </c>
      <c r="F11" s="279">
        <f>+F10+E11</f>
        <v>582728.99549102783</v>
      </c>
      <c r="G11" s="277">
        <f>IF($K$3&gt;=$B11,Real!J12,'ST Original'!J11)</f>
        <v>71.738517041137371</v>
      </c>
      <c r="H11" s="277">
        <f t="shared" si="3"/>
        <v>60.027790069580078</v>
      </c>
      <c r="I11" s="472">
        <f>IF($K$3&gt;=$B11,Real!K12,'ST Original'!L11)</f>
        <v>0.50968564255413329</v>
      </c>
      <c r="J11" s="277">
        <f>IF($K$3&gt;=$B11,Real!L12,'ST Original'!M11)</f>
        <v>89.989231510253532</v>
      </c>
      <c r="K11" s="277">
        <f>IF($K$3&gt;=$B11,Real!M12,'ST Original'!N11)</f>
        <v>26.130492122859852</v>
      </c>
      <c r="L11" s="276">
        <f>IF($K$3&gt;=$B11,IF(ISNUMBER(Real!N12),Real!N12,""),IF(ISNUMBER('ST Original'!O11),'ST Original'!O11,""))</f>
        <v>2739.0629253382481</v>
      </c>
      <c r="M11" s="246">
        <f t="shared" si="9"/>
        <v>10305.821074651003</v>
      </c>
      <c r="N11" s="276">
        <f t="shared" si="0"/>
        <v>715.73062194568558</v>
      </c>
      <c r="O11" s="279">
        <f t="shared" si="10"/>
        <v>2869.2977983535766</v>
      </c>
      <c r="P11" s="276">
        <f>IF($K$3&gt;=$B11,Real!R12,'ST Original'!W11)</f>
        <v>231.36382293887166</v>
      </c>
      <c r="Q11" s="277">
        <f>IF($K$3&gt;=$B11,Real!S12,'ST Original'!X11)</f>
        <v>86.43393509511337</v>
      </c>
      <c r="R11" s="277">
        <f>IF($K$3&gt;=$B11,Real!T12,'ST Original'!Y11)</f>
        <v>91.9</v>
      </c>
      <c r="S11" s="277">
        <f>IF($K$3&gt;=$B11,Real!U12,'ST Original'!Z11)</f>
        <v>79.432786352409195</v>
      </c>
      <c r="T11" s="277">
        <f>IF($K$3&gt;=$B11,Real!V12,'ST Original'!AA11)</f>
        <v>53.301272417593424</v>
      </c>
      <c r="U11" s="277">
        <f>IF($K$3&gt;=$B11,Real!W12,'ST Original'!AB11)</f>
        <v>53.8039707044625</v>
      </c>
      <c r="V11" s="246">
        <f t="shared" si="11"/>
        <v>230.23376219817601</v>
      </c>
      <c r="W11" s="279">
        <f t="shared" si="12"/>
        <v>99.81</v>
      </c>
      <c r="X11" s="244">
        <f>IF(ISNUMBER(IF($K$3&gt;=$B11,Real!Y12,'ST Original'!AE11)),IF($K$3&gt;=$B11,Real!Y12,'ST Original'!AE11),0)</f>
        <v>28.678200996667716</v>
      </c>
      <c r="Y11" s="246">
        <f t="shared" si="4"/>
        <v>118.28244369260487</v>
      </c>
      <c r="Z11" s="276">
        <f>IF(ISNUMBER(IF($K$3&gt;=$B11,Real!AA12,'ST Original'!AG11)),IF($K$3&gt;=$B11,Real!AA12,'ST Original'!AG11),0)</f>
        <v>53.2</v>
      </c>
      <c r="AA11" s="246">
        <f t="shared" si="5"/>
        <v>161.20441468268089</v>
      </c>
      <c r="AB11" s="279" t="e">
        <f>IF($K$3&gt;=$B11,Real!#REF!,AB10+'Real+S.T.'!X11-'Real+S.T.'!Z11)</f>
        <v>#REF!</v>
      </c>
      <c r="AC11" s="276">
        <f t="shared" si="6"/>
        <v>771.25527247764251</v>
      </c>
      <c r="AD11" s="279">
        <f t="shared" si="13"/>
        <v>3101.4507822596779</v>
      </c>
      <c r="AE11" s="284">
        <f t="shared" si="7"/>
        <v>841.98852431174942</v>
      </c>
      <c r="AF11" s="285">
        <f t="shared" si="14"/>
        <v>3225.2594221904073</v>
      </c>
      <c r="AG11" s="267">
        <f>IF(ISNUMBER(IF($K$3&gt;=$B11,Real!AO12,'ST Original'!AN11)),IF($K$3&gt;=$B11,Real!AO12,'ST Original'!AN11),0)</f>
        <v>3548.5994519746951</v>
      </c>
      <c r="AH11" s="283">
        <f>IF(ISNUMBER(IF($K$3&gt;=$B11,Real!AP12,'ST Original'!AO11)),IF($K$3&gt;=$B11,Real!AP12,'ST Original'!AO11),0)</f>
        <v>29.281493122561514</v>
      </c>
      <c r="AI11" s="265">
        <f t="shared" si="8"/>
        <v>1039.0829044772261</v>
      </c>
      <c r="AJ11" s="333"/>
      <c r="AL11" s="334">
        <f>IF($K$3&gt;=$B11,Real!AX12,'ST Original'!AZ11)</f>
        <v>207.69040743509927</v>
      </c>
      <c r="AM11" s="278">
        <f t="shared" si="15"/>
        <v>984.99792544047034</v>
      </c>
      <c r="AO11" s="474"/>
      <c r="AP11" s="305">
        <f t="shared" si="1"/>
        <v>46085.791666666664</v>
      </c>
      <c r="AQ11" s="284"/>
      <c r="AR11" s="333"/>
      <c r="AS11" s="333"/>
      <c r="AT11" s="333"/>
      <c r="AU11" s="334">
        <f>IF($K$3&gt;=$B11,Real!AE12,'ST Original'!BI11)</f>
        <v>29.562249012118791</v>
      </c>
      <c r="AV11" s="278">
        <f>IF($K$3&gt;=$B11,Real!AF12,'ST Original'!BJ11)</f>
        <v>1534.1666666666667</v>
      </c>
      <c r="AW11" s="303"/>
      <c r="AX11" s="276">
        <f>IF($K$3&gt;=$B11,Real!AK12,'ST Original'!BT11)</f>
        <v>9063.4390583966324</v>
      </c>
      <c r="AY11" s="246"/>
      <c r="AZ11" s="246"/>
      <c r="BA11" s="279"/>
      <c r="BB11" s="276">
        <f>IF($K$3&gt;=$B11,Real!H12,'ST Original'!CC11)</f>
        <v>66.501623076937662</v>
      </c>
      <c r="BC11" s="246"/>
      <c r="BD11" s="246"/>
      <c r="BE11" s="246"/>
      <c r="BF11" s="277"/>
      <c r="BG11" s="244"/>
      <c r="BH11" s="270"/>
      <c r="BI11" s="245"/>
      <c r="BJ11" s="246"/>
      <c r="BK11" s="246"/>
      <c r="BL11" s="276"/>
      <c r="BM11" s="246"/>
      <c r="BN11" s="246"/>
      <c r="BO11" s="246"/>
      <c r="BP11" s="246"/>
      <c r="BQ11" s="246"/>
      <c r="BR11" s="246"/>
      <c r="BS11" s="246"/>
      <c r="BT11" s="279"/>
      <c r="BU11" s="246"/>
      <c r="BV11" s="246"/>
      <c r="BW11" s="246"/>
      <c r="BX11" s="276"/>
      <c r="BY11" s="245"/>
      <c r="BZ11" s="270"/>
      <c r="CA11" s="269"/>
      <c r="CB11" s="245"/>
      <c r="CC11" s="270"/>
      <c r="CD11" s="269"/>
      <c r="CE11" s="245"/>
      <c r="CF11" s="270"/>
      <c r="CM11" s="650">
        <f>IF($K$3&gt;=$B11,Real!AD12,'ST Original'!K11)</f>
        <v>60.027790069580078</v>
      </c>
      <c r="CO11" s="624">
        <f>IF($K$3&gt;=$B11,Real!AW12,'ST Original'!#REF!)</f>
        <v>398361.19270833331</v>
      </c>
      <c r="CP11" s="625">
        <f t="shared" si="16"/>
        <v>1615962.3997395833</v>
      </c>
    </row>
    <row r="12" spans="1:94" s="243" customFormat="1" ht="14.15" customHeight="1">
      <c r="A12" s="4765"/>
      <c r="B12" s="258">
        <f t="shared" si="2"/>
        <v>46086.791666666664</v>
      </c>
      <c r="C12" s="276">
        <f>IF($K$3&gt;=$B12,Real!C13,'ST Original'!C12)</f>
        <v>194218.5</v>
      </c>
      <c r="D12" s="650">
        <f>IF($K$3&gt;=$B12,Real!D13,D11+C12-E12)</f>
        <v>675776.79680000001</v>
      </c>
      <c r="E12" s="276">
        <f>IF($K$3&gt;=$B12,Real!E13,'ST Original'!E12)</f>
        <v>164038.849609375</v>
      </c>
      <c r="F12" s="279">
        <f>+F11+E12</f>
        <v>746767.84510040283</v>
      </c>
      <c r="G12" s="277">
        <f>IF($K$3&gt;=$B12,Real!J13,'ST Original'!J12)</f>
        <v>72.810000000000102</v>
      </c>
      <c r="H12" s="277">
        <f t="shared" si="3"/>
        <v>57.888607025146484</v>
      </c>
      <c r="I12" s="472">
        <f>IF($K$3&gt;=$B12,Real!K13,'ST Original'!L12)</f>
        <v>0.50356762584558978</v>
      </c>
      <c r="J12" s="277">
        <f>IF($K$3&gt;=$B12,Real!L13,'ST Original'!M12)</f>
        <v>89.948819597781579</v>
      </c>
      <c r="K12" s="277">
        <f>IF($K$3&gt;=$B12,Real!M13,'ST Original'!N12)</f>
        <v>23.372671716380356</v>
      </c>
      <c r="L12" s="276">
        <f>IF($K$3&gt;=$B12,IF(ISNUMBER(Real!N13),Real!N13,""),IF(ISNUMBER('ST Original'!O12),'ST Original'!O12,""))</f>
        <v>3179.0080375598218</v>
      </c>
      <c r="M12" s="246">
        <f t="shared" si="9"/>
        <v>13484.829112210824</v>
      </c>
      <c r="N12" s="276">
        <f t="shared" si="0"/>
        <v>743.01911245620272</v>
      </c>
      <c r="O12" s="279">
        <f t="shared" si="10"/>
        <v>3612.3169108097791</v>
      </c>
      <c r="P12" s="276">
        <f>IF($K$3&gt;=$B12,Real!R13,'ST Original'!W12)</f>
        <v>223.67231341819254</v>
      </c>
      <c r="Q12" s="277">
        <f>IF($K$3&gt;=$B12,Real!S13,'ST Original'!X12)</f>
        <v>85.970100015671889</v>
      </c>
      <c r="R12" s="277">
        <f>IF($K$3&gt;=$B12,Real!T13,'ST Original'!Y12)</f>
        <v>80.8</v>
      </c>
      <c r="S12" s="277">
        <f>IF($K$3&gt;=$B12,Real!U13,'ST Original'!Z12)</f>
        <v>69.46384081266288</v>
      </c>
      <c r="T12" s="277">
        <f>IF($K$3&gt;=$B12,Real!V13,'ST Original'!AA12)</f>
        <v>51.0091743119266</v>
      </c>
      <c r="U12" s="277">
        <f>IF($K$3&gt;=$B12,Real!W13,'ST Original'!AB12)</f>
        <v>49.965408649951463</v>
      </c>
      <c r="V12" s="246">
        <f t="shared" si="11"/>
        <v>280.19917084812749</v>
      </c>
      <c r="W12" s="279">
        <f t="shared" si="12"/>
        <v>92.65</v>
      </c>
      <c r="X12" s="244">
        <f>IF(ISNUMBER(IF($K$3&gt;=$B12,Real!Y13,'ST Original'!AE12)),IF($K$3&gt;=$B12,Real!Y13,'ST Original'!AE12),0)</f>
        <v>25.486942393920195</v>
      </c>
      <c r="Y12" s="246">
        <f t="shared" si="4"/>
        <v>143.76938608652506</v>
      </c>
      <c r="Z12" s="276">
        <f>IF(ISNUMBER(IF($K$3&gt;=$B12,Real!AA13,'ST Original'!AG12)),IF($K$3&gt;=$B12,Real!AA13,'ST Original'!AG12),0)</f>
        <v>47.26</v>
      </c>
      <c r="AA12" s="246">
        <f t="shared" si="5"/>
        <v>208.46441468268088</v>
      </c>
      <c r="AB12" s="279" t="e">
        <f>IF($K$3&gt;=$B12,Real!#REF!,AB11+'Real+S.T.'!X12-'Real+S.T.'!Z12)</f>
        <v>#REF!</v>
      </c>
      <c r="AC12" s="276">
        <f t="shared" si="6"/>
        <v>788.3015989528418</v>
      </c>
      <c r="AD12" s="279">
        <f t="shared" si="13"/>
        <v>3889.7523812125196</v>
      </c>
      <c r="AE12" s="284">
        <f t="shared" si="7"/>
        <v>851.1060924828671</v>
      </c>
      <c r="AF12" s="285">
        <f t="shared" si="14"/>
        <v>4076.3655146732744</v>
      </c>
      <c r="AG12" s="267">
        <f>IF(ISNUMBER(IF($K$3&gt;=$B12,Real!AO13,'ST Original'!AN12)),IF($K$3&gt;=$B12,Real!AO13,'ST Original'!AN12),0)</f>
        <v>1591.4503938331845</v>
      </c>
      <c r="AH12" s="283">
        <f>IF(ISNUMBER(IF($K$3&gt;=$B12,Real!AP13,'ST Original'!AO12)),IF($K$3&gt;=$B12,Real!AP13,'ST Original'!AO12),0)</f>
        <v>28.164670517597706</v>
      </c>
      <c r="AI12" s="265">
        <f t="shared" si="8"/>
        <v>448.22675987412754</v>
      </c>
      <c r="AJ12" s="333"/>
      <c r="AL12" s="334">
        <f>IF($K$3&gt;=$B12,Real!AX13,'ST Original'!AZ12)</f>
        <v>212.32687822977701</v>
      </c>
      <c r="AM12" s="278">
        <f t="shared" si="15"/>
        <v>1197.3248036702473</v>
      </c>
      <c r="AO12" s="474"/>
      <c r="AP12" s="305">
        <f t="shared" si="1"/>
        <v>46086.791666666664</v>
      </c>
      <c r="AQ12" s="284"/>
      <c r="AR12" s="333"/>
      <c r="AS12" s="333"/>
      <c r="AT12" s="333"/>
      <c r="AU12" s="334">
        <f>IF($K$3&gt;=$B12,Real!AE13,'ST Original'!BI12)</f>
        <v>27.704608070403381</v>
      </c>
      <c r="AV12" s="278">
        <f>IF($K$3&gt;=$B12,Real!AF13,'ST Original'!BJ12)</f>
        <v>1680.5</v>
      </c>
      <c r="AW12" s="303"/>
      <c r="AX12" s="276">
        <f>IF($K$3&gt;=$B12,Real!AK13,'ST Original'!BT12)</f>
        <v>9387.3809463772595</v>
      </c>
      <c r="AY12" s="246"/>
      <c r="AZ12" s="246"/>
      <c r="BA12" s="279"/>
      <c r="BB12" s="276">
        <f>IF($K$3&gt;=$B12,Real!H13,'ST Original'!CC12)</f>
        <v>66.670344083649098</v>
      </c>
      <c r="BC12" s="246"/>
      <c r="BD12" s="246"/>
      <c r="BE12" s="246"/>
      <c r="BF12" s="277"/>
      <c r="BG12" s="244"/>
      <c r="BH12" s="270"/>
      <c r="BI12" s="245"/>
      <c r="BJ12" s="246"/>
      <c r="BK12" s="246"/>
      <c r="BL12" s="276"/>
      <c r="BM12" s="246"/>
      <c r="BN12" s="246"/>
      <c r="BO12" s="246"/>
      <c r="BP12" s="246"/>
      <c r="BQ12" s="246"/>
      <c r="BR12" s="246"/>
      <c r="BS12" s="246"/>
      <c r="BT12" s="279"/>
      <c r="BU12" s="246"/>
      <c r="BV12" s="246"/>
      <c r="BW12" s="246"/>
      <c r="BX12" s="276"/>
      <c r="BY12" s="245"/>
      <c r="BZ12" s="270"/>
      <c r="CA12" s="269"/>
      <c r="CB12" s="245"/>
      <c r="CC12" s="270"/>
      <c r="CD12" s="269"/>
      <c r="CE12" s="245"/>
      <c r="CF12" s="270"/>
      <c r="CM12" s="650">
        <f>IF($K$3&gt;=$B12,Real!AD13,'ST Original'!K12)</f>
        <v>57.888607025146484</v>
      </c>
      <c r="CO12" s="624">
        <f>IF($K$3&gt;=$B12,Real!AW13,'ST Original'!#REF!)</f>
        <v>404763.86458333331</v>
      </c>
      <c r="CP12" s="625">
        <f t="shared" si="16"/>
        <v>2020726.2643229165</v>
      </c>
    </row>
    <row r="13" spans="1:94" s="243" customFormat="1" ht="14.15" customHeight="1">
      <c r="A13" s="4765"/>
      <c r="B13" s="258">
        <f t="shared" si="2"/>
        <v>46087.791666666664</v>
      </c>
      <c r="C13" s="276">
        <f>IF($K$3&gt;=$B13,Real!C14,'ST Original'!C13)</f>
        <v>176980.69199999998</v>
      </c>
      <c r="D13" s="650">
        <f>IF($K$3&gt;=$B13,Real!D14,D12+C13-E13)</f>
        <v>699376.17680000002</v>
      </c>
      <c r="E13" s="276">
        <f>IF($K$3&gt;=$B13,Real!E14,'ST Original'!E13)</f>
        <v>152878.49609375</v>
      </c>
      <c r="F13" s="279">
        <f t="shared" ref="F13:F35" si="17">+F12+E13</f>
        <v>899646.34119415283</v>
      </c>
      <c r="G13" s="277">
        <f>IF($K$3&gt;=$B13,Real!J14,'ST Original'!J13)</f>
        <v>72.794432120961318</v>
      </c>
      <c r="H13" s="277">
        <f t="shared" si="3"/>
        <v>47.643745422363281</v>
      </c>
      <c r="I13" s="472">
        <f>IF($K$3&gt;=$B13,Real!K14,'ST Original'!L13)</f>
        <v>0.48054678130049139</v>
      </c>
      <c r="J13" s="277">
        <f>IF($K$3&gt;=$B13,Real!L14,'ST Original'!M13)</f>
        <v>90.812762789164807</v>
      </c>
      <c r="K13" s="277">
        <f>IF($K$3&gt;=$B13,Real!M14,'ST Original'!N13)</f>
        <v>22.58546180713488</v>
      </c>
      <c r="L13" s="276">
        <f>IF($K$3&gt;=$B13,IF(ISNUMBER(Real!N14),Real!N14,""),IF(ISNUMBER('ST Original'!O13),'ST Original'!O13,""))</f>
        <v>2953.9285601540573</v>
      </c>
      <c r="M13" s="246">
        <f t="shared" si="9"/>
        <v>16438.757672364882</v>
      </c>
      <c r="N13" s="276">
        <f t="shared" si="0"/>
        <v>667.15840676364382</v>
      </c>
      <c r="O13" s="279">
        <f t="shared" si="10"/>
        <v>4279.4753175734231</v>
      </c>
      <c r="P13" s="276">
        <f>IF($K$3&gt;=$B13,Real!R14,'ST Original'!W13)</f>
        <v>220.37776975596302</v>
      </c>
      <c r="Q13" s="277">
        <f>IF($K$3&gt;=$B13,Real!S14,'ST Original'!X13)</f>
        <v>89.303099454427908</v>
      </c>
      <c r="R13" s="277">
        <f>IF($K$3&gt;=$B13,Real!T14,'ST Original'!Y13)</f>
        <v>94.8</v>
      </c>
      <c r="S13" s="277">
        <f>IF($K$3&gt;=$B13,Real!U14,'ST Original'!Z13)</f>
        <v>84.659338282797648</v>
      </c>
      <c r="T13" s="277">
        <f>IF($K$3&gt;=$B13,Real!V14,'ST Original'!AA13)</f>
        <v>52.409793814433002</v>
      </c>
      <c r="U13" s="277">
        <f>IF($K$3&gt;=$B13,Real!W14,'ST Original'!AB13)</f>
        <v>54.422263895420684</v>
      </c>
      <c r="V13" s="246">
        <f t="shared" si="11"/>
        <v>334.62143474354821</v>
      </c>
      <c r="W13" s="279">
        <f t="shared" si="12"/>
        <v>77.59999999999998</v>
      </c>
      <c r="X13" s="244">
        <f>IF(ISNUMBER(IF($K$3&gt;=$B13,Real!Y14,'ST Original'!AE13)),IF($K$3&gt;=$B13,Real!Y14,'ST Original'!AE13),0)</f>
        <v>28.522596296736598</v>
      </c>
      <c r="Y13" s="246">
        <f t="shared" si="4"/>
        <v>172.29198238326165</v>
      </c>
      <c r="Z13" s="276">
        <f>IF(ISNUMBER(IF($K$3&gt;=$B13,Real!AA14,'ST Original'!AG13)),IF($K$3&gt;=$B13,Real!AA14,'ST Original'!AG13),0)</f>
        <v>40.67</v>
      </c>
      <c r="AA13" s="246">
        <f t="shared" si="5"/>
        <v>249.13441468268087</v>
      </c>
      <c r="AB13" s="279" t="e">
        <f>IF($K$3&gt;=$B13,Real!#REF!,AB12+'Real+S.T.'!X13-'Real+S.T.'!Z13)</f>
        <v>#REF!</v>
      </c>
      <c r="AC13" s="276">
        <f t="shared" si="6"/>
        <v>724.07995893754355</v>
      </c>
      <c r="AD13" s="279">
        <f t="shared" si="13"/>
        <v>4613.8323401500629</v>
      </c>
      <c r="AE13" s="284">
        <f t="shared" si="7"/>
        <v>759.11920565662535</v>
      </c>
      <c r="AF13" s="285">
        <f t="shared" si="14"/>
        <v>4835.4847203298996</v>
      </c>
      <c r="AG13" s="267">
        <f>IF(ISNUMBER(IF($K$3&gt;=$B13,Real!AO14,'ST Original'!AN13)),IF($K$3&gt;=$B13,Real!AO14,'ST Original'!AN13),0)</f>
        <v>3312.5036460227739</v>
      </c>
      <c r="AH13" s="283">
        <f>IF(ISNUMBER(IF($K$3&gt;=$B13,Real!AP14,'ST Original'!AO13)),IF($K$3&gt;=$B13,Real!AP14,'ST Original'!AO13),0)</f>
        <v>25.776449771180374</v>
      </c>
      <c r="AI13" s="265">
        <f t="shared" si="8"/>
        <v>853.84583848557884</v>
      </c>
      <c r="AJ13" s="333"/>
      <c r="AL13" s="334">
        <f>IF($K$3&gt;=$B13,Real!AX14,'ST Original'!AZ13)</f>
        <v>216.92421722412109</v>
      </c>
      <c r="AM13" s="278">
        <f t="shared" si="15"/>
        <v>1414.2490208943684</v>
      </c>
      <c r="AO13" s="474"/>
      <c r="AP13" s="305">
        <f t="shared" si="1"/>
        <v>46087.791666666664</v>
      </c>
      <c r="AQ13" s="284"/>
      <c r="AR13" s="333"/>
      <c r="AS13" s="333"/>
      <c r="AT13" s="333"/>
      <c r="AU13" s="334">
        <f>IF($K$3&gt;=$B13,Real!AE14,'ST Original'!BI13)</f>
        <v>19.997306590670725</v>
      </c>
      <c r="AV13" s="278">
        <f>IF($K$3&gt;=$B13,Real!AF14,'ST Original'!BJ13)</f>
        <v>1334.9166666666667</v>
      </c>
      <c r="AW13" s="303"/>
      <c r="AX13" s="276">
        <f>IF($K$3&gt;=$B13,Real!AK14,'ST Original'!BT13)</f>
        <v>8750.5831856133755</v>
      </c>
      <c r="AY13" s="246"/>
      <c r="AZ13" s="246"/>
      <c r="BA13" s="279"/>
      <c r="BB13" s="276">
        <f>IF($K$3&gt;=$B13,Real!H14,'ST Original'!CC13)</f>
        <v>66.651260889397165</v>
      </c>
      <c r="BC13" s="246"/>
      <c r="BD13" s="246"/>
      <c r="BE13" s="246"/>
      <c r="BF13" s="277"/>
      <c r="BG13" s="244"/>
      <c r="BH13" s="270"/>
      <c r="BI13" s="245"/>
      <c r="BJ13" s="246"/>
      <c r="BK13" s="246"/>
      <c r="BL13" s="276"/>
      <c r="BM13" s="246"/>
      <c r="BN13" s="246"/>
      <c r="BO13" s="246"/>
      <c r="BP13" s="246"/>
      <c r="BQ13" s="246"/>
      <c r="BR13" s="246"/>
      <c r="BS13" s="246"/>
      <c r="BT13" s="279"/>
      <c r="BU13" s="246"/>
      <c r="BV13" s="246"/>
      <c r="BW13" s="246"/>
      <c r="BX13" s="276"/>
      <c r="BY13" s="245"/>
      <c r="BZ13" s="270"/>
      <c r="CA13" s="269"/>
      <c r="CB13" s="245"/>
      <c r="CC13" s="270"/>
      <c r="CD13" s="269"/>
      <c r="CE13" s="245"/>
      <c r="CF13" s="270"/>
      <c r="CM13" s="650">
        <f>IF($K$3&gt;=$B13,Real!AD14,'ST Original'!K13)</f>
        <v>47.643745422363281</v>
      </c>
      <c r="CO13" s="624">
        <f>IF($K$3&gt;=$B13,Real!AW14,'ST Original'!#REF!)</f>
        <v>421171.46223958331</v>
      </c>
      <c r="CP13" s="625">
        <f t="shared" si="16"/>
        <v>2441897.7265625</v>
      </c>
    </row>
    <row r="14" spans="1:94" s="243" customFormat="1" ht="14.15" customHeight="1">
      <c r="A14" s="4766"/>
      <c r="B14" s="260">
        <f t="shared" si="2"/>
        <v>46088.791666666664</v>
      </c>
      <c r="C14" s="651">
        <f>IF($K$3&gt;=$B14,Real!C15,'ST Original'!C14)</f>
        <v>159283.6</v>
      </c>
      <c r="D14" s="652">
        <f>IF($K$3&gt;=$B14,Real!D15,D13+C14-E14)</f>
        <v>711982.05680000002</v>
      </c>
      <c r="E14" s="651">
        <f>IF($K$3&gt;=$B14,Real!E15,'ST Original'!E14)</f>
        <v>146198.26675415039</v>
      </c>
      <c r="F14" s="653">
        <f t="shared" si="17"/>
        <v>1045844.6079483032</v>
      </c>
      <c r="G14" s="654">
        <f>IF($K$3&gt;=$B14,Real!J15,'ST Original'!J14)</f>
        <v>73.342620777152064</v>
      </c>
      <c r="H14" s="654">
        <f t="shared" si="3"/>
        <v>69.931587219238281</v>
      </c>
      <c r="I14" s="655">
        <f>IF($K$3&gt;=$B14,Real!K15,'ST Original'!L14)</f>
        <v>0.49060469501399878</v>
      </c>
      <c r="J14" s="654">
        <f>IF($K$3&gt;=$B14,Real!L15,'ST Original'!M14)</f>
        <v>91.995220066034463</v>
      </c>
      <c r="K14" s="654">
        <f>IF($K$3&gt;=$B14,Real!M15,'ST Original'!N14)</f>
        <v>26.337203181109299</v>
      </c>
      <c r="L14" s="651">
        <f>IF($K$3&gt;=$B14,IF(ISNUMBER(Real!N15),Real!N15,""),IF(ISNUMBER('ST Original'!O14),'ST Original'!O14,""))</f>
        <v>2505.3564988938097</v>
      </c>
      <c r="M14" s="656">
        <f t="shared" si="9"/>
        <v>18944.11417125869</v>
      </c>
      <c r="N14" s="651">
        <f t="shared" si="0"/>
        <v>659.840831524789</v>
      </c>
      <c r="O14" s="653">
        <f t="shared" si="10"/>
        <v>4939.316149098212</v>
      </c>
      <c r="P14" s="651">
        <f>IF($K$3&gt;=$B14,Real!R15,'ST Original'!W14)</f>
        <v>254.95096306564102</v>
      </c>
      <c r="Q14" s="654">
        <f>IF($K$3&gt;=$B14,Real!S15,'ST Original'!X14)</f>
        <v>89.787635580070429</v>
      </c>
      <c r="R14" s="654">
        <f>IF($K$3&gt;=$B14,Real!T15,'ST Original'!Y14)</f>
        <v>91.9</v>
      </c>
      <c r="S14" s="654">
        <f>IF($K$3&gt;=$B14,Real!U15,'ST Original'!Z14)</f>
        <v>82.51483709808474</v>
      </c>
      <c r="T14" s="654">
        <f>IF($K$3&gt;=$B14,Real!V15,'ST Original'!AA14)</f>
        <v>52.620057463401281</v>
      </c>
      <c r="U14" s="654">
        <f>IF($K$3&gt;=$B14,Real!W15,'ST Original'!AB14)</f>
        <v>58.449339701594546</v>
      </c>
      <c r="V14" s="656">
        <f t="shared" si="11"/>
        <v>393.07077444514277</v>
      </c>
      <c r="W14" s="653">
        <f t="shared" si="12"/>
        <v>73.09</v>
      </c>
      <c r="X14" s="657">
        <f>IF(ISNUMBER(IF($K$3&gt;=$B14,Real!Y15,'ST Original'!AE14)),IF($K$3&gt;=$B14,Real!Y15,'ST Original'!AE14),0)</f>
        <v>30.75607613795767</v>
      </c>
      <c r="Y14" s="656">
        <f t="shared" si="4"/>
        <v>203.04805852121933</v>
      </c>
      <c r="Z14" s="651">
        <f>IF(ISNUMBER(IF($K$3&gt;=$B14,Real!AA15,'ST Original'!AG14)),IF($K$3&gt;=$B14,Real!AA15,'ST Original'!AG14),0)</f>
        <v>38.46</v>
      </c>
      <c r="AA14" s="656">
        <f t="shared" si="5"/>
        <v>287.59441468268085</v>
      </c>
      <c r="AB14" s="653" t="e">
        <f>IF($K$3&gt;=$B14,Real!#REF!,AB13+'Real+S.T.'!X14-'Real+S.T.'!Z14)</f>
        <v>#REF!</v>
      </c>
      <c r="AC14" s="651">
        <f t="shared" si="6"/>
        <v>723.48293532716662</v>
      </c>
      <c r="AD14" s="653">
        <f t="shared" si="13"/>
        <v>5337.3152754772291</v>
      </c>
      <c r="AE14" s="288">
        <f t="shared" si="7"/>
        <v>745.70494222684692</v>
      </c>
      <c r="AF14" s="289">
        <f t="shared" si="14"/>
        <v>5581.189662556746</v>
      </c>
      <c r="AG14" s="290">
        <f>IF(ISNUMBER(IF($K$3&gt;=$B14,Real!AO15,'ST Original'!AN14)),IF($K$3&gt;=$B14,Real!AO15,'ST Original'!AN14),0)</f>
        <v>4163.1529862503085</v>
      </c>
      <c r="AH14" s="291">
        <f>IF(ISNUMBER(IF($K$3&gt;=$B14,Real!AP15,'ST Original'!AO14)),IF($K$3&gt;=$B14,Real!AP15,'ST Original'!AO14),0)</f>
        <v>21.425165542232428</v>
      </c>
      <c r="AI14" s="292">
        <f t="shared" si="8"/>
        <v>891.96241908052139</v>
      </c>
      <c r="AJ14" s="333"/>
      <c r="AL14" s="335">
        <f>IF($K$3&gt;=$B14,Real!AX15,'ST Original'!AZ14)</f>
        <v>216.70269775390625</v>
      </c>
      <c r="AM14" s="336">
        <f t="shared" si="15"/>
        <v>1630.9517186482747</v>
      </c>
      <c r="AO14" s="474"/>
      <c r="AP14" s="307">
        <f t="shared" si="1"/>
        <v>46088.791666666664</v>
      </c>
      <c r="AQ14" s="288"/>
      <c r="AR14" s="337"/>
      <c r="AS14" s="337"/>
      <c r="AT14" s="337"/>
      <c r="AU14" s="334">
        <f>IF($K$3&gt;=$B14,Real!AE15,'ST Original'!BI14)</f>
        <v>10.436780522061136</v>
      </c>
      <c r="AV14" s="336">
        <f>IF($K$3&gt;=$B14,Real!AF15,'ST Original'!BJ14)</f>
        <v>857</v>
      </c>
      <c r="AW14" s="303"/>
      <c r="AX14" s="651">
        <f>IF($K$3&gt;=$B14,Real!AK15,'ST Original'!BT14)</f>
        <v>8305.6678143512345</v>
      </c>
      <c r="AY14" s="656"/>
      <c r="AZ14" s="656"/>
      <c r="BA14" s="653"/>
      <c r="BB14" s="651">
        <f>IF($K$3&gt;=$B14,Real!H15,'ST Original'!CC14)</f>
        <v>67.323233647325978</v>
      </c>
      <c r="BC14" s="656"/>
      <c r="BD14" s="656"/>
      <c r="BE14" s="656"/>
      <c r="BF14" s="277"/>
      <c r="BG14" s="244"/>
      <c r="BH14" s="270"/>
      <c r="BI14" s="245"/>
      <c r="BJ14" s="246"/>
      <c r="BK14" s="246"/>
      <c r="BL14" s="276"/>
      <c r="BM14" s="246"/>
      <c r="BN14" s="246"/>
      <c r="BO14" s="246"/>
      <c r="BP14" s="246"/>
      <c r="BQ14" s="246"/>
      <c r="BR14" s="246"/>
      <c r="BS14" s="246"/>
      <c r="BT14" s="279"/>
      <c r="BU14" s="246"/>
      <c r="BV14" s="246"/>
      <c r="BW14" s="246"/>
      <c r="BX14" s="276"/>
      <c r="BY14" s="245"/>
      <c r="BZ14" s="270"/>
      <c r="CA14" s="269"/>
      <c r="CB14" s="245"/>
      <c r="CC14" s="270"/>
      <c r="CD14" s="269"/>
      <c r="CE14" s="245"/>
      <c r="CF14" s="270"/>
      <c r="CM14" s="650">
        <f>IF($K$3&gt;=$B14,Real!AD15,'ST Original'!K14)</f>
        <v>69.931587219238281</v>
      </c>
      <c r="CO14" s="626">
        <f>IF($K$3&gt;=$B14,Real!AW15,'ST Original'!#REF!)</f>
        <v>423904.97005208331</v>
      </c>
      <c r="CP14" s="627">
        <f t="shared" si="16"/>
        <v>2865802.6966145835</v>
      </c>
    </row>
    <row r="15" spans="1:94" s="243" customFormat="1" ht="14.15" customHeight="1">
      <c r="A15" s="4764" t="s">
        <v>327</v>
      </c>
      <c r="B15" s="1595">
        <f t="shared" si="2"/>
        <v>46089.791666666664</v>
      </c>
      <c r="C15" s="1587">
        <f>IF($K$3&gt;=$B15,Real!C16,'ST Original'!C15)</f>
        <v>184593.08</v>
      </c>
      <c r="D15" s="650">
        <f>IF($K$3&gt;=$B15,Real!D16,D14+C15-E15)</f>
        <v>727616.27960000001</v>
      </c>
      <c r="E15" s="1587">
        <f>IF($K$3&gt;=$B15,Real!E16,'ST Original'!E15)</f>
        <v>168405.05169918062</v>
      </c>
      <c r="F15" s="1593">
        <f t="shared" si="17"/>
        <v>1214249.6596474838</v>
      </c>
      <c r="G15" s="1596">
        <f>IF($K$3&gt;=$B15,Real!J16,'ST Original'!J15)</f>
        <v>86.863706445214788</v>
      </c>
      <c r="H15" s="1596">
        <f t="shared" si="3"/>
        <v>65.60400390625</v>
      </c>
      <c r="I15" s="1620">
        <f>IF($K$3&gt;=$B15,Real!K16,'ST Original'!L15)</f>
        <v>0.45280785718900496</v>
      </c>
      <c r="J15" s="1596">
        <f>IF($K$3&gt;=$B15,Real!L16,'ST Original'!M15)</f>
        <v>89.265649751578508</v>
      </c>
      <c r="K15" s="1596">
        <f>IF($K$3&gt;=$B15,Real!M16,'ST Original'!N15)</f>
        <v>24.684469784139811</v>
      </c>
      <c r="L15" s="1587">
        <f>IF($K$3&gt;=$B15,IF(ISNUMBER(Real!N16),Real!N16,""),IF(ISNUMBER('ST Original'!O15),'ST Original'!O15,""))</f>
        <v>2757.5896259469755</v>
      </c>
      <c r="M15" s="1621">
        <f t="shared" si="9"/>
        <v>21701.703797205664</v>
      </c>
      <c r="N15" s="1587">
        <f t="shared" si="0"/>
        <v>680.69637798745521</v>
      </c>
      <c r="O15" s="1593">
        <f t="shared" si="10"/>
        <v>5620.012527085667</v>
      </c>
      <c r="P15" s="1587">
        <f>IF($K$3&gt;=$B15,Real!R16,'ST Original'!W15)</f>
        <v>216.85481365052408</v>
      </c>
      <c r="Q15" s="1596">
        <f>IF($K$3&gt;=$B15,Real!S16,'ST Original'!X15)</f>
        <v>90.239534700287507</v>
      </c>
      <c r="R15" s="1596">
        <f>IF($K$3&gt;=$B15,Real!T16,'ST Original'!Y15)</f>
        <v>93.529300057313378</v>
      </c>
      <c r="S15" s="1596">
        <f>IF($K$3&gt;=$B15,Real!U16,'ST Original'!Z15)</f>
        <v>84.400405180155317</v>
      </c>
      <c r="T15" s="1596">
        <f>IF($K$3&gt;=$B15,Real!V16,'ST Original'!AA15)</f>
        <v>51.078897864335502</v>
      </c>
      <c r="U15" s="1596">
        <f>IF($K$3&gt;=$B15,Real!W16,'ST Original'!AB15)</f>
        <v>60.343041392976247</v>
      </c>
      <c r="V15" s="1621">
        <f t="shared" si="11"/>
        <v>453.41381583811904</v>
      </c>
      <c r="W15" s="1593">
        <f t="shared" si="12"/>
        <v>90.37</v>
      </c>
      <c r="X15" s="1589">
        <f>IF(ISNUMBER(IF($K$3&gt;=$B15,Real!Y16,'ST Original'!AE15)),IF($K$3&gt;=$B15,Real!Y16,'ST Original'!AE15),0)</f>
        <v>30.822560481352035</v>
      </c>
      <c r="Y15" s="1621">
        <f t="shared" si="4"/>
        <v>233.87061900257137</v>
      </c>
      <c r="Z15" s="1587">
        <f>IF(ISNUMBER(IF($K$3&gt;=$B15,Real!AA16,'ST Original'!AG15)),IF($K$3&gt;=$B15,Real!AA16,'ST Original'!AG15),0)</f>
        <v>46.16</v>
      </c>
      <c r="AA15" s="1621">
        <f t="shared" si="5"/>
        <v>333.75441468268082</v>
      </c>
      <c r="AB15" s="1593" t="e">
        <f>IF($K$3&gt;=$B15,Real!#REF!,AB14+'Real+S.T.'!X15-'Real+S.T.'!Z15)</f>
        <v>#REF!</v>
      </c>
      <c r="AC15" s="1587">
        <f t="shared" si="6"/>
        <v>743.73774544519426</v>
      </c>
      <c r="AD15" s="1593">
        <f t="shared" si="13"/>
        <v>6081.0530209224235</v>
      </c>
      <c r="AE15" s="1611">
        <f t="shared" si="7"/>
        <v>787.97866642393194</v>
      </c>
      <c r="AF15" s="1623">
        <f t="shared" si="14"/>
        <v>6369.1683289806779</v>
      </c>
      <c r="AG15" s="267">
        <f>IF(ISNUMBER(IF($K$3&gt;=$B15,Real!AO16,'ST Original'!AN15)),IF($K$3&gt;=$B15,Real!AO16,'ST Original'!AN15),0)</f>
        <v>3526.0765367960466</v>
      </c>
      <c r="AH15" s="283">
        <f>IF(ISNUMBER(IF($K$3&gt;=$B15,Real!AP16,'ST Original'!AO15)),IF($K$3&gt;=$B15,Real!AP16,'ST Original'!AO15),0)</f>
        <v>26.053388472880567</v>
      </c>
      <c r="AI15" s="265">
        <f t="shared" si="8"/>
        <v>918.6624179825676</v>
      </c>
      <c r="AJ15" s="333"/>
      <c r="AL15" s="334">
        <f>IF($K$3&gt;=$B15,Real!AX16,'ST Original'!AZ15)</f>
        <v>217.65841674804688</v>
      </c>
      <c r="AM15" s="278">
        <f t="shared" si="15"/>
        <v>1848.6101353963215</v>
      </c>
      <c r="AO15" s="1380" t="s">
        <v>327</v>
      </c>
      <c r="AP15" s="1626">
        <f t="shared" si="1"/>
        <v>46089.791666666664</v>
      </c>
      <c r="AQ15" s="1611"/>
      <c r="AR15" s="1612"/>
      <c r="AS15" s="1612"/>
      <c r="AT15" s="1612"/>
      <c r="AU15" s="1625">
        <f>IF($K$3&gt;=$B15,Real!AE16,'ST Original'!BI15)</f>
        <v>15.06626195211736</v>
      </c>
      <c r="AV15" s="278">
        <f>IF($K$3&gt;=$B15,Real!AF16,'ST Original'!BJ15)</f>
        <v>1167.8333333333333</v>
      </c>
      <c r="AW15" s="1592"/>
      <c r="AX15" s="1587">
        <f>IF($K$3&gt;=$B15,Real!AK16,'ST Original'!BT15)</f>
        <v>8078.0310227241944</v>
      </c>
      <c r="AY15" s="1621"/>
      <c r="AZ15" s="1621"/>
      <c r="BA15" s="1593"/>
      <c r="BB15" s="1587">
        <f>IF($K$3&gt;=$B15,Real!H16,'ST Original'!CC15)</f>
        <v>84.2110752066218</v>
      </c>
      <c r="BC15" s="1621"/>
      <c r="BD15" s="1621"/>
      <c r="BE15" s="1621"/>
      <c r="BF15" s="1596"/>
      <c r="BG15" s="1589"/>
      <c r="BH15" s="1598"/>
      <c r="BI15" s="1597"/>
      <c r="BJ15" s="1621"/>
      <c r="BK15" s="1621"/>
      <c r="BL15" s="1587"/>
      <c r="BM15" s="1621"/>
      <c r="BN15" s="1621"/>
      <c r="BO15" s="1621"/>
      <c r="BP15" s="1621"/>
      <c r="BQ15" s="1621"/>
      <c r="BR15" s="1621"/>
      <c r="BS15" s="1621"/>
      <c r="BT15" s="1593"/>
      <c r="BU15" s="1621"/>
      <c r="BV15" s="1621"/>
      <c r="BW15" s="1621"/>
      <c r="BX15" s="1587"/>
      <c r="BY15" s="1597"/>
      <c r="BZ15" s="1598"/>
      <c r="CA15" s="1588"/>
      <c r="CB15" s="1597"/>
      <c r="CC15" s="1598"/>
      <c r="CD15" s="1588"/>
      <c r="CE15" s="1597"/>
      <c r="CF15" s="1598"/>
      <c r="CM15" s="650">
        <f>IF($K$3&gt;=$B15,Real!AD16,'ST Original'!K15)</f>
        <v>65.60400390625</v>
      </c>
      <c r="CO15" s="624">
        <f>IF($K$3&gt;=$B15,Real!AW16,'ST Original'!#REF!)</f>
        <v>407135.87369791669</v>
      </c>
      <c r="CP15" s="625">
        <f t="shared" si="16"/>
        <v>3272938.5703125</v>
      </c>
    </row>
    <row r="16" spans="1:94" s="243" customFormat="1" ht="14.15" customHeight="1">
      <c r="A16" s="4765"/>
      <c r="B16" s="258">
        <f t="shared" si="2"/>
        <v>46090.791666666664</v>
      </c>
      <c r="C16" s="276">
        <f>IF($K$3&gt;=$B16,Real!C17,'ST Original'!C16)</f>
        <v>206345.552</v>
      </c>
      <c r="D16" s="650">
        <f>IF($K$3&gt;=$B16,Real!D17,D15+C16-E16)</f>
        <v>725808.45959999994</v>
      </c>
      <c r="E16" s="276">
        <f>IF($K$3&gt;=$B16,Real!E17,'ST Original'!E16)</f>
        <v>178661.44506835938</v>
      </c>
      <c r="F16" s="279">
        <f t="shared" si="17"/>
        <v>1392911.1047158432</v>
      </c>
      <c r="G16" s="277">
        <f>IF($K$3&gt;=$B16,Real!J17,'ST Original'!J16)</f>
        <v>88.758791666666639</v>
      </c>
      <c r="H16" s="277">
        <f t="shared" si="3"/>
        <v>51.043968200683594</v>
      </c>
      <c r="I16" s="472">
        <f>IF($K$3&gt;=$B16,Real!K17,'ST Original'!L16)</f>
        <v>0.49214030023699734</v>
      </c>
      <c r="J16" s="277">
        <f>IF($K$3&gt;=$B16,Real!L17,'ST Original'!M16)</f>
        <v>90.683867345650697</v>
      </c>
      <c r="K16" s="277">
        <f>IF($K$3&gt;=$B16,Real!M17,'ST Original'!N16)</f>
        <v>23.722167919491373</v>
      </c>
      <c r="L16" s="276">
        <f>IF($K$3&gt;=$B16,IF(ISNUMBER(Real!N17),Real!N17,""),IF(ISNUMBER('ST Original'!O16),'ST Original'!O16,""))</f>
        <v>3361.2083165540448</v>
      </c>
      <c r="M16" s="246">
        <f t="shared" si="9"/>
        <v>25062.91211375971</v>
      </c>
      <c r="N16" s="276">
        <f t="shared" si="0"/>
        <v>797.35148097685965</v>
      </c>
      <c r="O16" s="279">
        <f t="shared" si="10"/>
        <v>6417.3640080625264</v>
      </c>
      <c r="P16" s="276">
        <f>IF($K$3&gt;=$B16,Real!R17,'ST Original'!W16)</f>
        <v>147.58360105483416</v>
      </c>
      <c r="Q16" s="277">
        <f>IF($K$3&gt;=$B16,Real!S17,'ST Original'!X16)</f>
        <v>88.333190120234391</v>
      </c>
      <c r="R16" s="277">
        <f>IF($K$3&gt;=$B16,Real!T17,'ST Original'!Y16)</f>
        <v>93.4</v>
      </c>
      <c r="S16" s="277">
        <f>IF($K$3&gt;=$B16,Real!U17,'ST Original'!Z16)</f>
        <v>82.503199572298925</v>
      </c>
      <c r="T16" s="277">
        <f>IF($K$3&gt;=$B16,Real!V17,'ST Original'!AA16)</f>
        <v>50.262116187011877</v>
      </c>
      <c r="U16" s="277">
        <f>IF($K$3&gt;=$B16,Real!W17,'ST Original'!AB16)</f>
        <v>43.28116746689934</v>
      </c>
      <c r="V16" s="246">
        <f t="shared" si="11"/>
        <v>496.69498330501835</v>
      </c>
      <c r="W16" s="279">
        <f t="shared" si="12"/>
        <v>93.47</v>
      </c>
      <c r="X16" s="244">
        <f>IF(ISNUMBER(IF($K$3&gt;=$B16,Real!Y17,'ST Original'!AE16)),IF($K$3&gt;=$B16,Real!Y17,'ST Original'!AE16),0)</f>
        <v>21.75403067930813</v>
      </c>
      <c r="Y16" s="246">
        <f t="shared" si="4"/>
        <v>255.6246496818795</v>
      </c>
      <c r="Z16" s="276">
        <f>IF(ISNUMBER(IF($K$3&gt;=$B16,Real!AA17,'ST Original'!AG16)),IF($K$3&gt;=$B16,Real!AA17,'ST Original'!AG16),0)</f>
        <v>46.98</v>
      </c>
      <c r="AA16" s="246">
        <f t="shared" si="5"/>
        <v>380.73441468268084</v>
      </c>
      <c r="AB16" s="279" t="e">
        <f>IF($K$3&gt;=$B16,Real!#REF!,AB15+'Real+S.T.'!X16-'Real+S.T.'!Z16)</f>
        <v>#REF!</v>
      </c>
      <c r="AC16" s="276">
        <f t="shared" si="6"/>
        <v>829.80173496435668</v>
      </c>
      <c r="AD16" s="279">
        <f t="shared" si="13"/>
        <v>6910.8547558867804</v>
      </c>
      <c r="AE16" s="284">
        <f t="shared" si="7"/>
        <v>902.56616959973894</v>
      </c>
      <c r="AF16" s="285">
        <f t="shared" si="14"/>
        <v>7271.7344985804166</v>
      </c>
      <c r="AG16" s="267">
        <f>IF(ISNUMBER(IF($K$3&gt;=$B16,Real!AO17,'ST Original'!AN16)),IF($K$3&gt;=$B16,Real!AO17,'ST Original'!AN16),0)</f>
        <v>2773.9461710604287</v>
      </c>
      <c r="AH16" s="283">
        <f>IF(ISNUMBER(IF($K$3&gt;=$B16,Real!AP17,'ST Original'!AO16)),IF($K$3&gt;=$B16,Real!AP17,'ST Original'!AO16),0)</f>
        <v>24.240734842676101</v>
      </c>
      <c r="AI16" s="265">
        <f t="shared" si="8"/>
        <v>672.42493600532498</v>
      </c>
      <c r="AJ16" s="333"/>
      <c r="AL16" s="334">
        <f>IF($K$3&gt;=$B16,Real!AX17,'ST Original'!AZ16)</f>
        <v>160.66615994771323</v>
      </c>
      <c r="AM16" s="278">
        <f t="shared" si="15"/>
        <v>2009.2762953440347</v>
      </c>
      <c r="AO16" s="474"/>
      <c r="AP16" s="305">
        <f t="shared" si="1"/>
        <v>46090.791666666664</v>
      </c>
      <c r="AQ16" s="284"/>
      <c r="AR16" s="333"/>
      <c r="AS16" s="333"/>
      <c r="AT16" s="333"/>
      <c r="AU16" s="334">
        <f>IF($K$3&gt;=$B16,Real!AE17,'ST Original'!BI16)</f>
        <v>10.905295760365252</v>
      </c>
      <c r="AV16" s="278">
        <f>IF($K$3&gt;=$B16,Real!AF17,'ST Original'!BJ16)</f>
        <v>1089.1666666666667</v>
      </c>
      <c r="AW16" s="303"/>
      <c r="AX16" s="276">
        <f>IF($K$3&gt;=$B16,Real!AK17,'ST Original'!BT16)</f>
        <v>8387.0304429166608</v>
      </c>
      <c r="AY16" s="246"/>
      <c r="AZ16" s="246"/>
      <c r="BA16" s="279"/>
      <c r="BB16" s="276">
        <f>IF($K$3&gt;=$B16,Real!H17,'ST Original'!CC16)</f>
        <v>86.220463191098972</v>
      </c>
      <c r="BC16" s="246"/>
      <c r="BD16" s="246"/>
      <c r="BE16" s="246"/>
      <c r="BF16" s="277"/>
      <c r="BG16" s="244"/>
      <c r="BH16" s="270"/>
      <c r="BI16" s="245"/>
      <c r="BJ16" s="246"/>
      <c r="BK16" s="246"/>
      <c r="BL16" s="276"/>
      <c r="BM16" s="246"/>
      <c r="BN16" s="246"/>
      <c r="BO16" s="246"/>
      <c r="BP16" s="246"/>
      <c r="BQ16" s="246"/>
      <c r="BR16" s="246"/>
      <c r="BS16" s="246"/>
      <c r="BT16" s="279"/>
      <c r="BU16" s="246"/>
      <c r="BV16" s="246"/>
      <c r="BW16" s="246"/>
      <c r="BX16" s="276"/>
      <c r="BY16" s="245"/>
      <c r="BZ16" s="270"/>
      <c r="CA16" s="269"/>
      <c r="CB16" s="245"/>
      <c r="CC16" s="270"/>
      <c r="CD16" s="269"/>
      <c r="CE16" s="245"/>
      <c r="CF16" s="270"/>
      <c r="CM16" s="650">
        <f>IF($K$3&gt;=$B16,Real!AD17,'ST Original'!K16)</f>
        <v>51.043968200683594</v>
      </c>
      <c r="CO16" s="624">
        <f>IF($K$3&gt;=$B16,Real!AW17,'ST Original'!#REF!)</f>
        <v>434888.16796875</v>
      </c>
      <c r="CP16" s="625">
        <f t="shared" si="16"/>
        <v>3707826.73828125</v>
      </c>
    </row>
    <row r="17" spans="1:94" s="243" customFormat="1" ht="14.15" customHeight="1">
      <c r="A17" s="4765"/>
      <c r="B17" s="258">
        <f t="shared" si="2"/>
        <v>46091.791666666664</v>
      </c>
      <c r="C17" s="276">
        <f>IF($K$3&gt;=$B17,Real!C18,'ST Original'!C17)</f>
        <v>93058.755999999994</v>
      </c>
      <c r="D17" s="650">
        <f>IF($K$3&gt;=$B17,Real!D18,D16+C17-E17)</f>
        <v>641426.26240000001</v>
      </c>
      <c r="E17" s="276">
        <f>IF($K$3&gt;=$B17,Real!E18,'ST Original'!E17)</f>
        <v>176859.1845703125</v>
      </c>
      <c r="F17" s="279">
        <f t="shared" si="17"/>
        <v>1569770.2892861557</v>
      </c>
      <c r="G17" s="277">
        <f>IF($K$3&gt;=$B17,Real!J18,'ST Original'!J17)</f>
        <v>93.041991648630784</v>
      </c>
      <c r="H17" s="277">
        <f t="shared" si="3"/>
        <v>54.683158874511719</v>
      </c>
      <c r="I17" s="472">
        <f>IF($K$3&gt;=$B17,Real!K18,'ST Original'!L17)</f>
        <v>0.46573363589994649</v>
      </c>
      <c r="J17" s="277">
        <f>IF($K$3&gt;=$B17,Real!L18,'ST Original'!M17)</f>
        <v>90.647679773231701</v>
      </c>
      <c r="K17" s="277">
        <f>IF($K$3&gt;=$B17,Real!M18,'ST Original'!N17)</f>
        <v>24.576180043199944</v>
      </c>
      <c r="L17" s="276">
        <f>IF($K$3&gt;=$B17,IF(ISNUMBER(Real!N18),Real!N18,""),IF(ISNUMBER('ST Original'!O17),'ST Original'!O17,""))</f>
        <v>3038.1382681057039</v>
      </c>
      <c r="M17" s="246">
        <f t="shared" si="9"/>
        <v>28101.050381865414</v>
      </c>
      <c r="N17" s="276">
        <f t="shared" si="0"/>
        <v>746.65833073101442</v>
      </c>
      <c r="O17" s="279">
        <f t="shared" si="10"/>
        <v>7164.0223387935412</v>
      </c>
      <c r="P17" s="276">
        <f>IF($K$3&gt;=$B17,Real!R18,'ST Original'!W17)</f>
        <v>143.07290563254753</v>
      </c>
      <c r="Q17" s="277">
        <f>IF($K$3&gt;=$B17,Real!S18,'ST Original'!X17)</f>
        <v>88.629088659903886</v>
      </c>
      <c r="R17" s="277">
        <f>IF($K$3&gt;=$B17,Real!T18,'ST Original'!Y17)</f>
        <v>92.941093161156758</v>
      </c>
      <c r="S17" s="277">
        <f>IF($K$3&gt;=$B17,Real!U18,'ST Original'!Z17)</f>
        <v>82.372843859285496</v>
      </c>
      <c r="T17" s="277">
        <f>IF($K$3&gt;=$B17,Real!V18,'ST Original'!AA17)</f>
        <v>49.53147877013177</v>
      </c>
      <c r="U17" s="277">
        <f>IF($K$3&gt;=$B17,Real!W18,'ST Original'!AB17)</f>
        <v>42.081167595184887</v>
      </c>
      <c r="V17" s="246">
        <f t="shared" si="11"/>
        <v>538.77615090020322</v>
      </c>
      <c r="W17" s="279">
        <f t="shared" si="12"/>
        <v>68.3</v>
      </c>
      <c r="X17" s="244">
        <f>IF(ISNUMBER(IF($K$3&gt;=$B17,Real!Y18,'ST Original'!AE17)),IF($K$3&gt;=$B17,Real!Y18,'ST Original'!AE17),0)</f>
        <v>20.843424593632573</v>
      </c>
      <c r="Y17" s="246">
        <f t="shared" si="4"/>
        <v>276.46807427551209</v>
      </c>
      <c r="Z17" s="276">
        <f>IF(ISNUMBER(IF($K$3&gt;=$B17,Real!AA18,'ST Original'!AG17)),IF($K$3&gt;=$B17,Real!AA18,'ST Original'!AG17),0)</f>
        <v>33.83</v>
      </c>
      <c r="AA17" s="246">
        <f t="shared" si="5"/>
        <v>414.56441468268082</v>
      </c>
      <c r="AB17" s="279" t="e">
        <f>IF($K$3&gt;=$B17,Real!#REF!,AB16+'Real+S.T.'!X17-'Real+S.T.'!Z17)</f>
        <v>#REF!</v>
      </c>
      <c r="AC17" s="276">
        <f t="shared" si="6"/>
        <v>778.40827662069194</v>
      </c>
      <c r="AD17" s="279">
        <f t="shared" si="13"/>
        <v>7689.2630325074724</v>
      </c>
      <c r="AE17" s="284">
        <f t="shared" si="7"/>
        <v>815.86811831323587</v>
      </c>
      <c r="AF17" s="285">
        <f t="shared" si="14"/>
        <v>8087.6026168936523</v>
      </c>
      <c r="AG17" s="267">
        <f>IF(ISNUMBER(IF($K$3&gt;=$B17,Real!AO18,'ST Original'!AN17)),IF($K$3&gt;=$B17,Real!AO18,'ST Original'!AN17),0)</f>
        <v>2291.124008847567</v>
      </c>
      <c r="AH17" s="283">
        <f>IF(ISNUMBER(IF($K$3&gt;=$B17,Real!AP18,'ST Original'!AO17)),IF($K$3&gt;=$B17,Real!AP18,'ST Original'!AO17),0)</f>
        <v>22.897542472365355</v>
      </c>
      <c r="AI17" s="265">
        <f t="shared" si="8"/>
        <v>524.61109302043144</v>
      </c>
      <c r="AJ17" s="333"/>
      <c r="AL17" s="334">
        <f>IF($K$3&gt;=$B17,Real!AX18,'ST Original'!AZ17)</f>
        <v>127.43731721242268</v>
      </c>
      <c r="AM17" s="278">
        <f t="shared" si="15"/>
        <v>2136.7136125564575</v>
      </c>
      <c r="AO17" s="474"/>
      <c r="AP17" s="305">
        <f t="shared" si="1"/>
        <v>46091.791666666664</v>
      </c>
      <c r="AQ17" s="284"/>
      <c r="AR17" s="333"/>
      <c r="AS17" s="333"/>
      <c r="AT17" s="333"/>
      <c r="AU17" s="334">
        <f>IF($K$3&gt;=$B17,Real!AE18,'ST Original'!BI17)</f>
        <v>6.6719571850409691</v>
      </c>
      <c r="AV17" s="278">
        <f>IF($K$3&gt;=$B17,Real!AF18,'ST Original'!BJ17)</f>
        <v>720.41666666666663</v>
      </c>
      <c r="AW17" s="303"/>
      <c r="AX17" s="276">
        <f>IF($K$3&gt;=$B17,Real!AK18,'ST Original'!BT17)</f>
        <v>7920.2224284481244</v>
      </c>
      <c r="AY17" s="246"/>
      <c r="AZ17" s="246"/>
      <c r="BA17" s="279"/>
      <c r="BB17" s="276">
        <f>IF($K$3&gt;=$B17,Real!H18,'ST Original'!CC17)</f>
        <v>91.470833975202908</v>
      </c>
      <c r="BC17" s="246"/>
      <c r="BD17" s="246"/>
      <c r="BE17" s="246"/>
      <c r="BF17" s="277"/>
      <c r="BG17" s="244"/>
      <c r="BH17" s="270"/>
      <c r="BI17" s="245"/>
      <c r="BJ17" s="246"/>
      <c r="BK17" s="246"/>
      <c r="BL17" s="276"/>
      <c r="BM17" s="246"/>
      <c r="BN17" s="246"/>
      <c r="BO17" s="246"/>
      <c r="BP17" s="246"/>
      <c r="BQ17" s="246"/>
      <c r="BR17" s="246"/>
      <c r="BS17" s="246"/>
      <c r="BT17" s="279"/>
      <c r="BU17" s="246"/>
      <c r="BV17" s="246"/>
      <c r="BW17" s="246"/>
      <c r="BX17" s="276"/>
      <c r="BY17" s="245"/>
      <c r="BZ17" s="270"/>
      <c r="CA17" s="269"/>
      <c r="CB17" s="245"/>
      <c r="CC17" s="270"/>
      <c r="CD17" s="269"/>
      <c r="CE17" s="245"/>
      <c r="CF17" s="270"/>
      <c r="CM17" s="650">
        <f>IF($K$3&gt;=$B17,Real!AD18,'ST Original'!K17)</f>
        <v>54.683158874511719</v>
      </c>
      <c r="CO17" s="624">
        <f>IF($K$3&gt;=$B17,Real!AW18,'ST Original'!#REF!)</f>
        <v>398963.47786458331</v>
      </c>
      <c r="CP17" s="625">
        <f t="shared" si="16"/>
        <v>4106790.2161458335</v>
      </c>
    </row>
    <row r="18" spans="1:94" s="243" customFormat="1" ht="14.15" customHeight="1">
      <c r="A18" s="4765"/>
      <c r="B18" s="258">
        <f t="shared" si="2"/>
        <v>46092.791666666664</v>
      </c>
      <c r="C18" s="276">
        <f>IF($K$3&gt;=$B18,Real!C19,'ST Original'!C18)</f>
        <v>47366.838400000001</v>
      </c>
      <c r="D18" s="650">
        <f>IF($K$3&gt;=$B18,Real!D19,D17+C18-E18)</f>
        <v>507401.32799999998</v>
      </c>
      <c r="E18" s="276">
        <f>IF($K$3&gt;=$B18,Real!E19,'ST Original'!E18)</f>
        <v>180799.115234375</v>
      </c>
      <c r="F18" s="279">
        <f t="shared" si="17"/>
        <v>1750569.4045205307</v>
      </c>
      <c r="G18" s="277">
        <f>IF($K$3&gt;=$B18,Real!J19,'ST Original'!J18)</f>
        <v>99.899182686389025</v>
      </c>
      <c r="H18" s="277">
        <f t="shared" si="3"/>
        <v>56.82244873046875</v>
      </c>
      <c r="I18" s="472">
        <f>IF($K$3&gt;=$B18,Real!K19,'ST Original'!L18)</f>
        <v>0.47658156517142597</v>
      </c>
      <c r="J18" s="277">
        <f>IF($K$3&gt;=$B18,Real!L19,'ST Original'!M18)</f>
        <v>90.386544993863694</v>
      </c>
      <c r="K18" s="277">
        <f>IF($K$3&gt;=$B18,Real!M19,'ST Original'!N18)</f>
        <v>26.432665827081919</v>
      </c>
      <c r="L18" s="276">
        <f>IF($K$3&gt;=$B18,IF(ISNUMBER(Real!N19),Real!N19,""),IF(ISNUMBER('ST Original'!O18),'ST Original'!O18,""))</f>
        <v>2946.4315790945502</v>
      </c>
      <c r="M18" s="246">
        <f t="shared" si="9"/>
        <v>31047.481960959965</v>
      </c>
      <c r="N18" s="276">
        <f t="shared" si="0"/>
        <v>778.82041312567537</v>
      </c>
      <c r="O18" s="279">
        <f t="shared" si="10"/>
        <v>7942.8427519192164</v>
      </c>
      <c r="P18" s="276">
        <f>IF($K$3&gt;=$B18,Real!R19,'ST Original'!W18)</f>
        <v>192.29128018995152</v>
      </c>
      <c r="Q18" s="277">
        <f>IF($K$3&gt;=$B18,Real!S19,'ST Original'!X18)</f>
        <v>90.065450522715977</v>
      </c>
      <c r="R18" s="277">
        <f>IF($K$3&gt;=$B18,Real!T19,'ST Original'!Y18)</f>
        <v>94.120160423021716</v>
      </c>
      <c r="S18" s="277">
        <f>IF($K$3&gt;=$B18,Real!U19,'ST Original'!Z18)</f>
        <v>84.769746517697527</v>
      </c>
      <c r="T18" s="277">
        <f>IF($K$3&gt;=$B18,Real!V19,'ST Original'!AA18)</f>
        <v>48.743532889874345</v>
      </c>
      <c r="U18" s="277">
        <f>IF($K$3&gt;=$B18,Real!W19,'ST Original'!AB18)</f>
        <v>60.461619088680386</v>
      </c>
      <c r="V18" s="246">
        <f t="shared" si="11"/>
        <v>599.23776998888366</v>
      </c>
      <c r="W18" s="279">
        <f t="shared" si="12"/>
        <v>54.120000000000005</v>
      </c>
      <c r="X18" s="244">
        <f>IF(ISNUMBER(IF($K$3&gt;=$B18,Real!Y19,'ST Original'!AE18)),IF($K$3&gt;=$B18,Real!Y19,'ST Original'!AE18),0)</f>
        <v>29.471129186241466</v>
      </c>
      <c r="Y18" s="246">
        <f t="shared" si="4"/>
        <v>305.93920346175355</v>
      </c>
      <c r="Z18" s="276">
        <f>IF(ISNUMBER(IF($K$3&gt;=$B18,Real!AA19,'ST Original'!AG18)),IF($K$3&gt;=$B18,Real!AA19,'ST Original'!AG18),0)</f>
        <v>26.38</v>
      </c>
      <c r="AA18" s="246">
        <f t="shared" si="5"/>
        <v>440.94441468268082</v>
      </c>
      <c r="AB18" s="279" t="e">
        <f>IF($K$3&gt;=$B18,Real!#REF!,AB17+'Real+S.T.'!X18-'Real+S.T.'!Z18)</f>
        <v>#REF!</v>
      </c>
      <c r="AC18" s="276">
        <f t="shared" si="6"/>
        <v>834.23485692025906</v>
      </c>
      <c r="AD18" s="279">
        <f t="shared" si="13"/>
        <v>8523.4978894277319</v>
      </c>
      <c r="AE18" s="284">
        <f t="shared" si="7"/>
        <v>825.31847932689959</v>
      </c>
      <c r="AF18" s="285">
        <f t="shared" si="14"/>
        <v>8912.9210962205525</v>
      </c>
      <c r="AG18" s="267">
        <f>IF(ISNUMBER(IF($K$3&gt;=$B18,Real!AO19,'ST Original'!AN18)),IF($K$3&gt;=$B18,Real!AO19,'ST Original'!AN18),0)</f>
        <v>3548.4114762561267</v>
      </c>
      <c r="AH18" s="283">
        <f>IF(ISNUMBER(IF($K$3&gt;=$B18,Real!AP19,'ST Original'!AO18)),IF($K$3&gt;=$B18,Real!AP19,'ST Original'!AO18),0)</f>
        <v>23.900516326378163</v>
      </c>
      <c r="AI18" s="265">
        <f t="shared" si="8"/>
        <v>848.08866420967195</v>
      </c>
      <c r="AJ18" s="333"/>
      <c r="AL18" s="334">
        <f>IF($K$3&gt;=$B18,Real!AX19,'ST Original'!AZ18)</f>
        <v>169.58137925465903</v>
      </c>
      <c r="AM18" s="278">
        <f t="shared" si="15"/>
        <v>2306.2949918111167</v>
      </c>
      <c r="AO18" s="474"/>
      <c r="AP18" s="305">
        <f t="shared" si="1"/>
        <v>46092.791666666664</v>
      </c>
      <c r="AQ18" s="284"/>
      <c r="AR18" s="333"/>
      <c r="AS18" s="333"/>
      <c r="AT18" s="333"/>
      <c r="AU18" s="334">
        <f>IF($K$3&gt;=$B18,Real!AE19,'ST Original'!BI18)</f>
        <v>8.9223053203658296</v>
      </c>
      <c r="AV18" s="278">
        <f>IF($K$3&gt;=$B18,Real!AF19,'ST Original'!BJ18)</f>
        <v>1109.1666666666667</v>
      </c>
      <c r="AW18" s="303"/>
      <c r="AX18" s="276">
        <f>IF($K$3&gt;=$B18,Real!AK19,'ST Original'!BT18)</f>
        <v>7540.8989998927682</v>
      </c>
      <c r="AY18" s="246"/>
      <c r="AZ18" s="246"/>
      <c r="BA18" s="279"/>
      <c r="BB18" s="276">
        <f>IF($K$3&gt;=$B18,Real!H19,'ST Original'!CC18)</f>
        <v>99.876417566271982</v>
      </c>
      <c r="BC18" s="246"/>
      <c r="BD18" s="246"/>
      <c r="BE18" s="246"/>
      <c r="BF18" s="277"/>
      <c r="BG18" s="244"/>
      <c r="BH18" s="270"/>
      <c r="BI18" s="245"/>
      <c r="BJ18" s="246"/>
      <c r="BK18" s="246"/>
      <c r="BL18" s="276"/>
      <c r="BM18" s="246"/>
      <c r="BN18" s="246"/>
      <c r="BO18" s="246"/>
      <c r="BP18" s="246"/>
      <c r="BQ18" s="246"/>
      <c r="BR18" s="246"/>
      <c r="BS18" s="246"/>
      <c r="BT18" s="279"/>
      <c r="BU18" s="246"/>
      <c r="BV18" s="246"/>
      <c r="BW18" s="246"/>
      <c r="BX18" s="276"/>
      <c r="BY18" s="245"/>
      <c r="BZ18" s="270"/>
      <c r="CA18" s="269"/>
      <c r="CB18" s="245"/>
      <c r="CC18" s="270"/>
      <c r="CD18" s="269"/>
      <c r="CE18" s="245"/>
      <c r="CF18" s="270"/>
      <c r="CM18" s="650">
        <f>IF($K$3&gt;=$B18,Real!AD19,'ST Original'!K18)</f>
        <v>56.82244873046875</v>
      </c>
      <c r="CO18" s="624">
        <f>IF($K$3&gt;=$B18,Real!AW19,'ST Original'!#REF!)</f>
        <v>354917.41927083331</v>
      </c>
      <c r="CP18" s="625">
        <f t="shared" si="16"/>
        <v>4461707.635416667</v>
      </c>
    </row>
    <row r="19" spans="1:94" s="243" customFormat="1" ht="14.15" customHeight="1">
      <c r="A19" s="4765"/>
      <c r="B19" s="258">
        <f t="shared" si="2"/>
        <v>46093.791666666664</v>
      </c>
      <c r="C19" s="276">
        <f>IF($K$3&gt;=$B19,Real!C20,'ST Original'!C19)</f>
        <v>164023.99719999998</v>
      </c>
      <c r="D19" s="650">
        <f>IF($K$3&gt;=$B19,Real!D20,D18+C19-E19)</f>
        <v>486208.7916</v>
      </c>
      <c r="E19" s="276">
        <f>IF($K$3&gt;=$B19,Real!E20,'ST Original'!E19)</f>
        <v>184089.18730926514</v>
      </c>
      <c r="F19" s="279">
        <f t="shared" si="17"/>
        <v>1934658.5918297959</v>
      </c>
      <c r="G19" s="277">
        <f>IF($K$3&gt;=$B19,Real!J20,'ST Original'!J19)</f>
        <v>96.07338856869977</v>
      </c>
      <c r="H19" s="277">
        <f t="shared" si="3"/>
        <v>43.550209045410156</v>
      </c>
      <c r="I19" s="472">
        <f>IF($K$3&gt;=$B19,Real!K20,'ST Original'!L19)</f>
        <v>0.50065835137126502</v>
      </c>
      <c r="J19" s="277">
        <f>IF($K$3&gt;=$B19,Real!L20,'ST Original'!M19)</f>
        <v>89.649250320746972</v>
      </c>
      <c r="K19" s="277">
        <f>IF($K$3&gt;=$B19,Real!M20,'ST Original'!N19)</f>
        <v>26.275214523599825</v>
      </c>
      <c r="L19" s="276">
        <f>IF($K$3&gt;=$B19,IF(ISNUMBER(Real!N20),Real!N20,""),IF(ISNUMBER('ST Original'!O19),'ST Original'!O19,""))</f>
        <v>3144.6342269664647</v>
      </c>
      <c r="M19" s="246">
        <f t="shared" si="9"/>
        <v>34192.116187926433</v>
      </c>
      <c r="N19" s="276">
        <f>IF(ISNUMBER(L19),L19*K19/100,"")</f>
        <v>826.25938911798369</v>
      </c>
      <c r="O19" s="279">
        <f t="shared" si="10"/>
        <v>8769.1021410371995</v>
      </c>
      <c r="P19" s="276">
        <f>IF($K$3&gt;=$B19,Real!R20,'ST Original'!W19)</f>
        <v>209.98560786847108</v>
      </c>
      <c r="Q19" s="277">
        <f>IF($K$3&gt;=$B19,Real!S20,'ST Original'!X19)</f>
        <v>88.766497764321159</v>
      </c>
      <c r="R19" s="277">
        <f>IF($K$3&gt;=$B19,Real!T20,'ST Original'!Y19)</f>
        <v>93.4</v>
      </c>
      <c r="S19" s="277">
        <f>IF($K$3&gt;=$B19,Real!U20,'ST Original'!Z19)</f>
        <v>82.907908911875964</v>
      </c>
      <c r="T19" s="277">
        <f>IF($K$3&gt;=$B19,Real!V20,'ST Original'!AA19)</f>
        <v>48.161876771353974</v>
      </c>
      <c r="U19" s="277">
        <f>IF($K$3&gt;=$B19,Real!W20,'ST Original'!AB19)</f>
        <v>66.544224727452089</v>
      </c>
      <c r="V19" s="246">
        <f t="shared" si="11"/>
        <v>665.7819947163357</v>
      </c>
      <c r="W19" s="279">
        <f t="shared" si="12"/>
        <v>54.676061026855962</v>
      </c>
      <c r="X19" s="244">
        <f>IF(ISNUMBER(IF($K$3&gt;=$B19,Real!Y20,'ST Original'!AE19)),IF($K$3&gt;=$B19,Real!Y20,'ST Original'!AE19),0)</f>
        <v>32.04894751168834</v>
      </c>
      <c r="Y19" s="246">
        <f t="shared" si="4"/>
        <v>337.98815097344186</v>
      </c>
      <c r="Z19" s="276">
        <f>IF(ISNUMBER(IF($K$3&gt;=$B19,Real!AA20,'ST Original'!AG19)),IF($K$3&gt;=$B19,Real!AA20,'ST Original'!AG19),0)</f>
        <v>26.333017135184665</v>
      </c>
      <c r="AA19" s="246">
        <f t="shared" si="5"/>
        <v>467.27743181786548</v>
      </c>
      <c r="AB19" s="279" t="e">
        <f>IF($K$3&gt;=$B19,Real!#REF!,AB18+'Real+S.T.'!X19-'Real+S.T.'!Z19)</f>
        <v>#REF!</v>
      </c>
      <c r="AC19" s="276">
        <f t="shared" si="6"/>
        <v>887.30688167370283</v>
      </c>
      <c r="AD19" s="279">
        <f t="shared" si="13"/>
        <v>9410.8047711014351</v>
      </c>
      <c r="AE19" s="284">
        <f t="shared" si="7"/>
        <v>870.81925192302606</v>
      </c>
      <c r="AF19" s="285">
        <f t="shared" si="14"/>
        <v>9783.7403481435795</v>
      </c>
      <c r="AG19" s="267">
        <f>IF(ISNUMBER(IF($K$3&gt;=$B19,Real!AO20,'ST Original'!AN19)),IF($K$3&gt;=$B19,Real!AO20,'ST Original'!AN19),0)</f>
        <v>1861.0586181049425</v>
      </c>
      <c r="AH19" s="283">
        <f>IF(ISNUMBER(IF($K$3&gt;=$B19,Real!AP20,'ST Original'!AO19)),IF($K$3&gt;=$B19,Real!AP20,'ST Original'!AO19),0)</f>
        <v>25.879253666727216</v>
      </c>
      <c r="AI19" s="265">
        <f t="shared" si="8"/>
        <v>481.62808066586621</v>
      </c>
      <c r="AJ19" s="333"/>
      <c r="AL19" s="334">
        <f>IF($K$3&gt;=$B19,Real!AX20,'ST Original'!AZ19)</f>
        <v>181.9344482421875</v>
      </c>
      <c r="AM19" s="278">
        <f t="shared" si="15"/>
        <v>2488.2294400533042</v>
      </c>
      <c r="AO19" s="474"/>
      <c r="AP19" s="305">
        <f t="shared" si="1"/>
        <v>46093.791666666664</v>
      </c>
      <c r="AQ19" s="284"/>
      <c r="AR19" s="333"/>
      <c r="AS19" s="333"/>
      <c r="AT19" s="333"/>
      <c r="AU19" s="334">
        <f>IF($K$3&gt;=$B19,Real!AE20,'ST Original'!BI19)</f>
        <v>21.273388437093605</v>
      </c>
      <c r="AV19" s="278">
        <f>IF($K$3&gt;=$B19,Real!AF20,'ST Original'!BJ19)</f>
        <v>992.08333333333337</v>
      </c>
      <c r="AW19" s="303"/>
      <c r="AX19" s="276">
        <f>IF($K$3&gt;=$B19,Real!AK20,'ST Original'!BT19)</f>
        <v>7983.8786981764551</v>
      </c>
      <c r="AY19" s="246"/>
      <c r="AZ19" s="246"/>
      <c r="BA19" s="279"/>
      <c r="BB19" s="276">
        <f>IF($K$3&gt;=$B19,Real!H20,'ST Original'!CC19)</f>
        <v>95.202418045694827</v>
      </c>
      <c r="BC19" s="246"/>
      <c r="BD19" s="246"/>
      <c r="BE19" s="246"/>
      <c r="BF19" s="277"/>
      <c r="BG19" s="244"/>
      <c r="BH19" s="270"/>
      <c r="BI19" s="245"/>
      <c r="BJ19" s="246"/>
      <c r="BK19" s="246"/>
      <c r="BL19" s="276"/>
      <c r="BM19" s="246"/>
      <c r="BN19" s="246"/>
      <c r="BO19" s="246"/>
      <c r="BP19" s="246"/>
      <c r="BQ19" s="246"/>
      <c r="BR19" s="246"/>
      <c r="BS19" s="246"/>
      <c r="BT19" s="279"/>
      <c r="BU19" s="246"/>
      <c r="BV19" s="246"/>
      <c r="BW19" s="246"/>
      <c r="BX19" s="276"/>
      <c r="BY19" s="245"/>
      <c r="BZ19" s="270"/>
      <c r="CA19" s="269"/>
      <c r="CB19" s="245"/>
      <c r="CC19" s="270"/>
      <c r="CD19" s="269"/>
      <c r="CE19" s="245"/>
      <c r="CF19" s="270"/>
      <c r="CM19" s="650">
        <f>IF($K$3&gt;=$B19,Real!AD20,'ST Original'!K19)</f>
        <v>43.550209045410156</v>
      </c>
      <c r="CO19" s="624">
        <f>IF($K$3&gt;=$B19,Real!AW20,'ST Original'!#REF!)</f>
        <v>399858.9375</v>
      </c>
      <c r="CP19" s="625">
        <f t="shared" si="16"/>
        <v>4861566.572916667</v>
      </c>
    </row>
    <row r="20" spans="1:94" s="243" customFormat="1" ht="14.15" customHeight="1">
      <c r="A20" s="4765"/>
      <c r="B20" s="258">
        <f t="shared" si="2"/>
        <v>46094.791666666664</v>
      </c>
      <c r="C20" s="276">
        <f>IF($K$3&gt;=$B20,Real!C21,'ST Original'!C20)</f>
        <v>207299.29919999998</v>
      </c>
      <c r="D20" s="650">
        <f>IF($K$3&gt;=$B20,Real!D21,D19+C20-E20)</f>
        <v>494549.1936</v>
      </c>
      <c r="E20" s="276">
        <f>IF($K$3&gt;=$B20,Real!E21,'ST Original'!E20)</f>
        <v>198001.22031784058</v>
      </c>
      <c r="F20" s="279">
        <f t="shared" si="17"/>
        <v>2132659.8121476364</v>
      </c>
      <c r="G20" s="277">
        <f>IF($K$3&gt;=$B20,Real!J21,'ST Original'!J20)</f>
        <v>99.841697526128087</v>
      </c>
      <c r="H20" s="277">
        <f t="shared" si="3"/>
        <v>57.050479888916016</v>
      </c>
      <c r="I20" s="472">
        <f>IF($K$3&gt;=$B20,Real!K21,'ST Original'!L20)</f>
        <v>0.46982106798898832</v>
      </c>
      <c r="J20" s="277">
        <f>IF($K$3&gt;=$B20,Real!L21,'ST Original'!M20)</f>
        <v>91.021522591440998</v>
      </c>
      <c r="K20" s="277">
        <f>IF($K$3&gt;=$B20,Real!M21,'ST Original'!N20)</f>
        <v>25.452571036761611</v>
      </c>
      <c r="L20" s="276">
        <f>IF($K$3&gt;=$B20,IF(ISNUMBER(Real!N21),Real!N21,""),IF(ISNUMBER('ST Original'!O20),'ST Original'!O20,""))</f>
        <v>3326.6935218862882</v>
      </c>
      <c r="M20" s="246">
        <f t="shared" si="9"/>
        <v>37518.809709812718</v>
      </c>
      <c r="N20" s="276">
        <f t="shared" ref="N20:N35" si="18">IF(ISNUMBER(L20),L20*K20/100,"")</f>
        <v>846.7290318334542</v>
      </c>
      <c r="O20" s="279">
        <f t="shared" si="10"/>
        <v>9615.831172870654</v>
      </c>
      <c r="P20" s="276">
        <f>IF($K$3&gt;=$B20,Real!R21,'ST Original'!W20)</f>
        <v>169.1222634558317</v>
      </c>
      <c r="Q20" s="277">
        <f>IF($K$3&gt;=$B20,Real!S21,'ST Original'!X20)</f>
        <v>88.048377209512722</v>
      </c>
      <c r="R20" s="277">
        <f>IF($K$3&gt;=$B20,Real!T21,'ST Original'!Y20)</f>
        <v>93.4</v>
      </c>
      <c r="S20" s="277">
        <f>IF($K$3&gt;=$B20,Real!U21,'ST Original'!Z20)</f>
        <v>82.237184313684878</v>
      </c>
      <c r="T20" s="277">
        <f>IF($K$3&gt;=$B20,Real!V21,'ST Original'!AA20)</f>
        <v>48.25854477840155</v>
      </c>
      <c r="U20" s="277">
        <f>IF($K$3&gt;=$B20,Real!W21,'ST Original'!AB20)</f>
        <v>57.064058971636747</v>
      </c>
      <c r="V20" s="246">
        <f t="shared" si="11"/>
        <v>722.84605368797247</v>
      </c>
      <c r="W20" s="279">
        <f t="shared" si="12"/>
        <v>31.370011631562029</v>
      </c>
      <c r="X20" s="244">
        <f>IF(ISNUMBER(IF($K$3&gt;=$B20,Real!Y21,'ST Original'!AE20)),IF($K$3&gt;=$B20,Real!Y21,'ST Original'!AE20),0)</f>
        <v>27.538284451200784</v>
      </c>
      <c r="Y20" s="246">
        <f t="shared" si="4"/>
        <v>365.52643542464267</v>
      </c>
      <c r="Z20" s="276">
        <f>IF(ISNUMBER(IF($K$3&gt;=$B20,Real!AA21,'ST Original'!AG20)),IF($K$3&gt;=$B20,Real!AA21,'ST Original'!AG20),0)</f>
        <v>15.138711110207137</v>
      </c>
      <c r="AA20" s="246">
        <f t="shared" si="5"/>
        <v>482.41614292807259</v>
      </c>
      <c r="AB20" s="279" t="e">
        <f>IF($K$3&gt;=$B20,Real!#REF!,AB19+'Real+S.T.'!X20-'Real+S.T.'!Z20)</f>
        <v>#REF!</v>
      </c>
      <c r="AC20" s="276">
        <f t="shared" si="6"/>
        <v>893.9876478146939</v>
      </c>
      <c r="AD20" s="279">
        <f t="shared" si="13"/>
        <v>10304.792418916129</v>
      </c>
      <c r="AE20" s="284">
        <f t="shared" si="7"/>
        <v>858.22101651473099</v>
      </c>
      <c r="AF20" s="285">
        <f t="shared" si="14"/>
        <v>10641.961364658311</v>
      </c>
      <c r="AG20" s="267">
        <f>IF(ISNUMBER(IF($K$3&gt;=$B20,Real!AO21,'ST Original'!AN20)),IF($K$3&gt;=$B20,Real!AO21,'ST Original'!AN20),0)</f>
        <v>2926.8109366210256</v>
      </c>
      <c r="AH20" s="283">
        <f>IF(ISNUMBER(IF($K$3&gt;=$B20,Real!AP21,'ST Original'!AO20)),IF($K$3&gt;=$B20,Real!AP21,'ST Original'!AO20),0)</f>
        <v>25.170484626978908</v>
      </c>
      <c r="AI20" s="265">
        <f t="shared" si="8"/>
        <v>736.69249686293256</v>
      </c>
      <c r="AJ20" s="333"/>
      <c r="AL20" s="334">
        <f>IF($K$3&gt;=$B20,Real!AX21,'ST Original'!AZ20)</f>
        <v>157.81404304504395</v>
      </c>
      <c r="AM20" s="278">
        <f t="shared" si="15"/>
        <v>2646.0434830983481</v>
      </c>
      <c r="AO20" s="474"/>
      <c r="AP20" s="305">
        <f t="shared" si="1"/>
        <v>46094.791666666664</v>
      </c>
      <c r="AQ20" s="284"/>
      <c r="AR20" s="333"/>
      <c r="AS20" s="333"/>
      <c r="AT20" s="333"/>
      <c r="AU20" s="334">
        <f>IF($K$3&gt;=$B20,Real!AE21,'ST Original'!BI20)</f>
        <v>22.070081928928818</v>
      </c>
      <c r="AV20" s="278">
        <f>IF($K$3&gt;=$B20,Real!AF21,'ST Original'!BJ20)</f>
        <v>620.91666666666663</v>
      </c>
      <c r="AW20" s="303"/>
      <c r="AX20" s="276">
        <f>IF($K$3&gt;=$B20,Real!AK21,'ST Original'!BT20)</f>
        <v>8263.1315883002626</v>
      </c>
      <c r="AY20" s="246"/>
      <c r="AZ20" s="246"/>
      <c r="BA20" s="279"/>
      <c r="BB20" s="276">
        <f>IF($K$3&gt;=$B20,Real!H21,'ST Original'!CC20)</f>
        <v>99.805951931413816</v>
      </c>
      <c r="BC20" s="246"/>
      <c r="BD20" s="246"/>
      <c r="BE20" s="246"/>
      <c r="BF20" s="277"/>
      <c r="BG20" s="244"/>
      <c r="BH20" s="270"/>
      <c r="BI20" s="245"/>
      <c r="BJ20" s="246"/>
      <c r="BK20" s="246"/>
      <c r="BL20" s="276"/>
      <c r="BM20" s="246"/>
      <c r="BN20" s="246"/>
      <c r="BO20" s="246"/>
      <c r="BP20" s="246"/>
      <c r="BQ20" s="246"/>
      <c r="BR20" s="246"/>
      <c r="BS20" s="246"/>
      <c r="BT20" s="279"/>
      <c r="BU20" s="246"/>
      <c r="BV20" s="246"/>
      <c r="BW20" s="246"/>
      <c r="BX20" s="276"/>
      <c r="BY20" s="245"/>
      <c r="BZ20" s="270"/>
      <c r="CA20" s="269"/>
      <c r="CB20" s="245"/>
      <c r="CC20" s="270"/>
      <c r="CD20" s="269"/>
      <c r="CE20" s="245"/>
      <c r="CF20" s="270"/>
      <c r="CM20" s="650">
        <f>IF($K$3&gt;=$B20,Real!AD21,'ST Original'!K20)</f>
        <v>57.050479888916016</v>
      </c>
      <c r="CO20" s="624">
        <f>IF($K$3&gt;=$B20,Real!AW21,'ST Original'!#REF!)</f>
        <v>462687.39583333331</v>
      </c>
      <c r="CP20" s="625">
        <f t="shared" si="16"/>
        <v>5324253.96875</v>
      </c>
    </row>
    <row r="21" spans="1:94" s="243" customFormat="1" ht="14.15" customHeight="1">
      <c r="A21" s="4766"/>
      <c r="B21" s="260">
        <f t="shared" si="2"/>
        <v>46095.791666666664</v>
      </c>
      <c r="C21" s="651">
        <f>IF($K$3&gt;=$B21,Real!C22,'ST Original'!C21)</f>
        <v>151402.48199999999</v>
      </c>
      <c r="D21" s="652">
        <f>IF($K$3&gt;=$B21,Real!D22,D20+C21-E21)</f>
        <v>455007.77279999998</v>
      </c>
      <c r="E21" s="651">
        <f>IF($K$3&gt;=$B21,Real!E22,'ST Original'!E21)</f>
        <v>188416.49098777771</v>
      </c>
      <c r="F21" s="653">
        <f t="shared" si="17"/>
        <v>2321076.3031354141</v>
      </c>
      <c r="G21" s="654">
        <f>IF($K$3&gt;=$B21,Real!J22,'ST Original'!J21)</f>
        <v>98.697736092431271</v>
      </c>
      <c r="H21" s="654">
        <f t="shared" si="3"/>
        <v>69.448814392089844</v>
      </c>
      <c r="I21" s="655">
        <f>IF($K$3&gt;=$B21,Real!K22,'ST Original'!L21)</f>
        <v>0.44887259686871089</v>
      </c>
      <c r="J21" s="654">
        <f>IF($K$3&gt;=$B21,Real!L22,'ST Original'!M21)</f>
        <v>91.060718516678335</v>
      </c>
      <c r="K21" s="654">
        <f>IF($K$3&gt;=$B21,Real!M22,'ST Original'!N21)</f>
        <v>26.857676001075948</v>
      </c>
      <c r="L21" s="651">
        <f>IF($K$3&gt;=$B21,IF(ISNUMBER(Real!N22),Real!N22,""),IF(ISNUMBER('ST Original'!O21),'ST Original'!O21,""))</f>
        <v>2867.5080569330084</v>
      </c>
      <c r="M21" s="656">
        <f t="shared" si="9"/>
        <v>40386.317766745728</v>
      </c>
      <c r="N21" s="651">
        <f t="shared" si="18"/>
        <v>770.14602323581585</v>
      </c>
      <c r="O21" s="653">
        <f t="shared" si="10"/>
        <v>10385.977196106469</v>
      </c>
      <c r="P21" s="651">
        <f>IF($K$3&gt;=$B21,Real!R22,'ST Original'!W21)</f>
        <v>265.11258551932724</v>
      </c>
      <c r="Q21" s="654">
        <f>IF($K$3&gt;=$B21,Real!S22,'ST Original'!X21)</f>
        <v>92.366651892299217</v>
      </c>
      <c r="R21" s="654">
        <f>IF($K$3&gt;=$B21,Real!T22,'ST Original'!Y21)</f>
        <v>91</v>
      </c>
      <c r="S21" s="654">
        <f>IF($K$3&gt;=$B21,Real!U22,'ST Original'!Z21)</f>
        <v>84.053653221992278</v>
      </c>
      <c r="T21" s="654">
        <f>IF($K$3&gt;=$B21,Real!V22,'ST Original'!AA21)</f>
        <v>48.270430461397723</v>
      </c>
      <c r="U21" s="654">
        <f>IF($K$3&gt;=$B21,Real!W22,'ST Original'!AB21)</f>
        <v>86.981056559552201</v>
      </c>
      <c r="V21" s="656">
        <f t="shared" si="11"/>
        <v>809.82711024752462</v>
      </c>
      <c r="W21" s="653">
        <f t="shared" si="12"/>
        <v>74.863275000000144</v>
      </c>
      <c r="X21" s="657">
        <f>IF(ISNUMBER(IF($K$3&gt;=$B21,Real!Y22,'ST Original'!AE21)),IF($K$3&gt;=$B21,Real!Y22,'ST Original'!AE21),0)</f>
        <v>41.986130421167665</v>
      </c>
      <c r="Y21" s="656">
        <f t="shared" si="4"/>
        <v>407.51256584581034</v>
      </c>
      <c r="Z21" s="651">
        <f>IF(ISNUMBER(IF($K$3&gt;=$B21,Real!AA22,'ST Original'!AG21)),IF($K$3&gt;=$B21,Real!AA22,'ST Original'!AG21),0)</f>
        <v>36.136825100000017</v>
      </c>
      <c r="AA21" s="656">
        <f t="shared" si="5"/>
        <v>518.55296802807266</v>
      </c>
      <c r="AB21" s="653" t="e">
        <f>IF($K$3&gt;=$B21,Real!#REF!,AB20+'Real+S.T.'!X21-'Real+S.T.'!Z21)</f>
        <v>#REF!</v>
      </c>
      <c r="AC21" s="651">
        <f t="shared" si="6"/>
        <v>861.98967748336497</v>
      </c>
      <c r="AD21" s="653">
        <f t="shared" si="13"/>
        <v>11166.782096399495</v>
      </c>
      <c r="AE21" s="288">
        <f t="shared" si="7"/>
        <v>845.11732703793029</v>
      </c>
      <c r="AF21" s="289">
        <f t="shared" si="14"/>
        <v>11487.078691696241</v>
      </c>
      <c r="AG21" s="290">
        <f>IF(ISNUMBER(IF($K$3&gt;=$B21,Real!AO22,'ST Original'!AN21)),IF($K$3&gt;=$B21,Real!AO22,'ST Original'!AN21),0)</f>
        <v>2665.0686157279829</v>
      </c>
      <c r="AH21" s="291">
        <f>IF(ISNUMBER(IF($K$3&gt;=$B21,Real!AP22,'ST Original'!AO21)),IF($K$3&gt;=$B21,Real!AP22,'ST Original'!AO21),0)</f>
        <v>25.52902971040816</v>
      </c>
      <c r="AI21" s="292">
        <f t="shared" si="8"/>
        <v>680.36615871196034</v>
      </c>
      <c r="AJ21" s="333"/>
      <c r="AL21" s="334">
        <f>IF($K$3&gt;=$B21,Real!AX22,'ST Original'!AZ21)</f>
        <v>271.62990125020343</v>
      </c>
      <c r="AM21" s="278">
        <f t="shared" si="15"/>
        <v>2917.6733843485517</v>
      </c>
      <c r="AO21" s="475"/>
      <c r="AP21" s="307">
        <f t="shared" si="1"/>
        <v>46095.791666666664</v>
      </c>
      <c r="AQ21" s="288"/>
      <c r="AR21" s="337"/>
      <c r="AS21" s="337"/>
      <c r="AT21" s="337"/>
      <c r="AU21" s="335">
        <f>IF($K$3&gt;=$B21,Real!AE22,'ST Original'!BI21)</f>
        <v>21.400749721323734</v>
      </c>
      <c r="AV21" s="278">
        <f>IF($K$3&gt;=$B21,Real!AF22,'ST Original'!BJ21)</f>
        <v>549.16666666666663</v>
      </c>
      <c r="AW21" s="306"/>
      <c r="AX21" s="651">
        <f>IF($K$3&gt;=$B21,Real!AK22,'ST Original'!BT21)</f>
        <v>7954.2727475922075</v>
      </c>
      <c r="AY21" s="656"/>
      <c r="AZ21" s="656"/>
      <c r="BA21" s="653"/>
      <c r="BB21" s="651">
        <f>IF($K$3&gt;=$B21,Real!H22,'ST Original'!CC21)</f>
        <v>98.842743710058812</v>
      </c>
      <c r="BC21" s="656"/>
      <c r="BD21" s="656"/>
      <c r="BE21" s="656"/>
      <c r="BF21" s="277"/>
      <c r="BG21" s="244"/>
      <c r="BH21" s="270"/>
      <c r="BI21" s="245"/>
      <c r="BJ21" s="246"/>
      <c r="BK21" s="246"/>
      <c r="BL21" s="276"/>
      <c r="BM21" s="246"/>
      <c r="BN21" s="246"/>
      <c r="BO21" s="246"/>
      <c r="BP21" s="246"/>
      <c r="BQ21" s="246"/>
      <c r="BR21" s="246"/>
      <c r="BS21" s="246"/>
      <c r="BT21" s="279"/>
      <c r="BU21" s="246"/>
      <c r="BV21" s="246"/>
      <c r="BW21" s="246"/>
      <c r="BX21" s="276"/>
      <c r="BY21" s="245"/>
      <c r="BZ21" s="270"/>
      <c r="CA21" s="269"/>
      <c r="CB21" s="245"/>
      <c r="CC21" s="270"/>
      <c r="CD21" s="269"/>
      <c r="CE21" s="245"/>
      <c r="CF21" s="270"/>
      <c r="CM21" s="650">
        <f>IF($K$3&gt;=$B21,Real!AD22,'ST Original'!K21)</f>
        <v>69.448814392089844</v>
      </c>
      <c r="CO21" s="624">
        <f>IF($K$3&gt;=$B21,Real!AW22,'ST Original'!#REF!)</f>
        <v>427993.1796875</v>
      </c>
      <c r="CP21" s="625">
        <f t="shared" si="16"/>
        <v>5752247.1484375</v>
      </c>
    </row>
    <row r="22" spans="1:94" s="243" customFormat="1" ht="14.15" customHeight="1">
      <c r="A22" s="4764" t="s">
        <v>328</v>
      </c>
      <c r="B22" s="1595">
        <f t="shared" si="2"/>
        <v>46096.791666666664</v>
      </c>
      <c r="C22" s="1587">
        <f>IF($K$3&gt;=$B22,Real!C23,'ST Original'!C22)</f>
        <v>199249.1256</v>
      </c>
      <c r="D22" s="650">
        <f>IF($K$3&gt;=$B22,Real!D23,D21+C22-E22)</f>
        <v>456144.25639999995</v>
      </c>
      <c r="E22" s="1587">
        <f>IF($K$3&gt;=$B22,Real!E23,'ST Original'!E22)</f>
        <v>196432.52658081055</v>
      </c>
      <c r="F22" s="1593">
        <f t="shared" si="17"/>
        <v>2517508.8297162247</v>
      </c>
      <c r="G22" s="1596">
        <f>IF($K$3&gt;=$B22,Real!J23,'ST Original'!J22)</f>
        <v>96.767497842506927</v>
      </c>
      <c r="H22" s="1596">
        <f t="shared" si="3"/>
        <v>56.61859130859375</v>
      </c>
      <c r="I22" s="1620">
        <f>IF($K$3&gt;=$B22,Real!K23,'ST Original'!L22)</f>
        <v>0.50152470580131181</v>
      </c>
      <c r="J22" s="1596">
        <f>IF($K$3&gt;=$B22,Real!L23,'ST Original'!M22)</f>
        <v>89.632065303415771</v>
      </c>
      <c r="K22" s="1596">
        <f>IF($K$3&gt;=$B22,Real!M23,'ST Original'!N22)</f>
        <v>27.739082253931837</v>
      </c>
      <c r="L22" s="1587">
        <f>IF($K$3&gt;=$B22,IF(ISNUMBER(Real!N23),Real!N23,""),IF(ISNUMBER('ST Original'!O22),'ST Original'!O22,""))</f>
        <v>3183.296192107724</v>
      </c>
      <c r="M22" s="1621">
        <f t="shared" si="9"/>
        <v>43569.61395885345</v>
      </c>
      <c r="N22" s="1587">
        <f t="shared" si="18"/>
        <v>883.01714911504155</v>
      </c>
      <c r="O22" s="1593">
        <f t="shared" si="10"/>
        <v>11268.99434522151</v>
      </c>
      <c r="P22" s="1587">
        <f>IF($K$3&gt;=$B22,Real!R23,'ST Original'!W22)</f>
        <v>248.15478246911778</v>
      </c>
      <c r="Q22" s="1596">
        <f>IF($K$3&gt;=$B22,Real!S23,'ST Original'!X22)</f>
        <v>89.485051903885761</v>
      </c>
      <c r="R22" s="1596">
        <f>IF($K$3&gt;=$B22,Real!T23,'ST Original'!Y22)</f>
        <v>91.8</v>
      </c>
      <c r="S22" s="1596">
        <f>IF($K$3&gt;=$B22,Real!U23,'ST Original'!Z22)</f>
        <v>82.147277647767126</v>
      </c>
      <c r="T22" s="1596">
        <f>IF($K$3&gt;=$B22,Real!V23,'ST Original'!AA22)</f>
        <v>48.391985391848749</v>
      </c>
      <c r="U22" s="1596">
        <f>IF($K$3&gt;=$B22,Real!W23,'ST Original'!AB22)</f>
        <v>82.747672562173008</v>
      </c>
      <c r="V22" s="1621">
        <f t="shared" si="11"/>
        <v>892.57478280969758</v>
      </c>
      <c r="W22" s="1593">
        <f t="shared" si="12"/>
        <v>80.503000000000014</v>
      </c>
      <c r="X22" s="1589">
        <f>IF(ISNUMBER(IF($K$3&gt;=$B22,Real!Y23,'ST Original'!AE22)),IF($K$3&gt;=$B22,Real!Y23,'ST Original'!AE22),0)</f>
        <v>40.0432416183816</v>
      </c>
      <c r="Y22" s="1621">
        <f t="shared" si="4"/>
        <v>447.55580746419196</v>
      </c>
      <c r="Z22" s="1587">
        <f>IF(ISNUMBER(IF($K$3&gt;=$B22,Real!AA23,'ST Original'!AG22)),IF($K$3&gt;=$B22,Real!AA23,'ST Original'!AG22),0)</f>
        <v>38.957000000000001</v>
      </c>
      <c r="AA22" s="1621">
        <f t="shared" si="5"/>
        <v>557.50996802807265</v>
      </c>
      <c r="AB22" s="1593" t="e">
        <f>IF($K$3&gt;=$B22,Real!#REF!,AB21+'Real+S.T.'!X22-'Real+S.T.'!Z22)</f>
        <v>#REF!</v>
      </c>
      <c r="AC22" s="1587">
        <f t="shared" si="6"/>
        <v>964.9674281130998</v>
      </c>
      <c r="AD22" s="1593">
        <f t="shared" si="13"/>
        <v>12131.749524512594</v>
      </c>
      <c r="AE22" s="1611">
        <f t="shared" si="7"/>
        <v>961.83415873366994</v>
      </c>
      <c r="AF22" s="1623">
        <f t="shared" si="14"/>
        <v>12448.912850429911</v>
      </c>
      <c r="AG22" s="267">
        <f>IF(ISNUMBER(IF($K$3&gt;=$B22,Real!AO23,'ST Original'!AN22)),IF($K$3&gt;=$B22,Real!AO23,'ST Original'!AN22),0)</f>
        <v>3466.0088072953054</v>
      </c>
      <c r="AH22" s="283">
        <f>IF(ISNUMBER(IF($K$3&gt;=$B22,Real!AP23,'ST Original'!AO22)),IF($K$3&gt;=$B22,Real!AP23,'ST Original'!AO22),0)</f>
        <v>25.593761048129746</v>
      </c>
      <c r="AI22" s="265">
        <f t="shared" si="8"/>
        <v>887.08201204629222</v>
      </c>
      <c r="AJ22" s="333"/>
      <c r="AL22" s="1625">
        <f>IF($K$3&gt;=$B22,Real!AX23,'ST Original'!AZ22)</f>
        <v>221.31625684102377</v>
      </c>
      <c r="AM22" s="1591">
        <f t="shared" si="15"/>
        <v>3138.9896411895757</v>
      </c>
      <c r="AO22" s="1380" t="s">
        <v>328</v>
      </c>
      <c r="AP22" s="1626">
        <f t="shared" si="1"/>
        <v>46096.791666666664</v>
      </c>
      <c r="AQ22" s="1611"/>
      <c r="AR22" s="1612"/>
      <c r="AS22" s="1612"/>
      <c r="AT22" s="1612"/>
      <c r="AU22" s="1625">
        <f>IF($K$3&gt;=$B22,Real!AE23,'ST Original'!BI22)</f>
        <v>19.068582309827722</v>
      </c>
      <c r="AV22" s="1591">
        <f>IF($K$3&gt;=$B22,Real!AF23,'ST Original'!BJ22)</f>
        <v>473.16666666666669</v>
      </c>
      <c r="AW22" s="1592"/>
      <c r="AX22" s="1587">
        <f>IF($K$3&gt;=$B22,Real!AK23,'ST Original'!BT22)</f>
        <v>8458.0967680436352</v>
      </c>
      <c r="AY22" s="1621"/>
      <c r="AZ22" s="1621"/>
      <c r="BA22" s="1593"/>
      <c r="BB22" s="1587">
        <f>IF($K$3&gt;=$B22,Real!H23,'ST Original'!CC22)</f>
        <v>96.037580556891996</v>
      </c>
      <c r="BC22" s="1621"/>
      <c r="BD22" s="1621"/>
      <c r="BE22" s="1621"/>
      <c r="BF22" s="1596"/>
      <c r="BG22" s="1589"/>
      <c r="BH22" s="1598"/>
      <c r="BI22" s="1597"/>
      <c r="BJ22" s="1621"/>
      <c r="BK22" s="1621"/>
      <c r="BL22" s="1587"/>
      <c r="BM22" s="1621"/>
      <c r="BN22" s="1621"/>
      <c r="BO22" s="1621"/>
      <c r="BP22" s="1621"/>
      <c r="BQ22" s="1621"/>
      <c r="BR22" s="1621"/>
      <c r="BS22" s="1621"/>
      <c r="BT22" s="1593"/>
      <c r="BU22" s="1621"/>
      <c r="BV22" s="1621"/>
      <c r="BW22" s="1621"/>
      <c r="BX22" s="1587"/>
      <c r="BY22" s="1597"/>
      <c r="BZ22" s="1598"/>
      <c r="CA22" s="1588"/>
      <c r="CB22" s="1597"/>
      <c r="CC22" s="1598"/>
      <c r="CD22" s="1588"/>
      <c r="CE22" s="1597"/>
      <c r="CF22" s="1598"/>
      <c r="CM22" s="650">
        <f>IF($K$3&gt;=$B22,Real!AD23,'ST Original'!K22)</f>
        <v>56.61859130859375</v>
      </c>
      <c r="CO22" s="1627">
        <f>IF($K$3&gt;=$B22,Real!AW23,'ST Original'!#REF!)</f>
        <v>408455.71744791669</v>
      </c>
      <c r="CP22" s="1628">
        <f t="shared" si="16"/>
        <v>6160702.865885417</v>
      </c>
    </row>
    <row r="23" spans="1:94" s="243" customFormat="1" ht="14.15" customHeight="1">
      <c r="A23" s="4765"/>
      <c r="B23" s="258">
        <f t="shared" si="2"/>
        <v>46097.791666666664</v>
      </c>
      <c r="C23" s="276">
        <f>IF($K$3&gt;=$B23,Real!C24,'ST Original'!C23)</f>
        <v>242801.95239999998</v>
      </c>
      <c r="D23" s="650">
        <f>IF($K$3&gt;=$B23,Real!D24,D22+C23-E23)</f>
        <v>495057.33759999997</v>
      </c>
      <c r="E23" s="276">
        <f>IF($K$3&gt;=$B23,Real!E24,'ST Original'!E23)</f>
        <v>202874.56951904297</v>
      </c>
      <c r="F23" s="279">
        <f t="shared" si="17"/>
        <v>2720383.3992352677</v>
      </c>
      <c r="G23" s="277">
        <f>IF($K$3&gt;=$B23,Real!J24,'ST Original'!J23)</f>
        <v>96.766366766644126</v>
      </c>
      <c r="H23" s="277">
        <f t="shared" si="3"/>
        <v>64.830177307128906</v>
      </c>
      <c r="I23" s="472">
        <f>IF($K$3&gt;=$B23,Real!K24,'ST Original'!L23)</f>
        <v>0.467733572529271</v>
      </c>
      <c r="J23" s="277">
        <f>IF($K$3&gt;=$B23,Real!L24,'ST Original'!M23)</f>
        <v>90.447779795990385</v>
      </c>
      <c r="K23" s="277">
        <f>IF($K$3&gt;=$B23,Real!M24,'ST Original'!N23)</f>
        <v>25.476195229938828</v>
      </c>
      <c r="L23" s="276">
        <f>IF($K$3&gt;=$B23,IF(ISNUMBER(Real!N24),Real!N24,""),IF(ISNUMBER('ST Original'!O23),'ST Original'!O23,""))</f>
        <v>3368.9106837660856</v>
      </c>
      <c r="M23" s="246">
        <f t="shared" si="9"/>
        <v>46938.524642619537</v>
      </c>
      <c r="N23" s="276">
        <f t="shared" si="18"/>
        <v>858.27026291851507</v>
      </c>
      <c r="O23" s="279">
        <f t="shared" si="10"/>
        <v>12127.264608140025</v>
      </c>
      <c r="P23" s="276">
        <f>IF($K$3&gt;=$B23,Real!R24,'ST Original'!W23)</f>
        <v>162.5607758546133</v>
      </c>
      <c r="Q23" s="277">
        <f>IF($K$3&gt;=$B23,Real!S24,'ST Original'!X23)</f>
        <v>87.920187059157087</v>
      </c>
      <c r="R23" s="277">
        <f>IF($K$3&gt;=$B23,Real!T24,'ST Original'!Y23)</f>
        <v>89.5</v>
      </c>
      <c r="S23" s="277">
        <f>IF($K$3&gt;=$B23,Real!U24,'ST Original'!Z23)</f>
        <v>78.688567417945592</v>
      </c>
      <c r="T23" s="277">
        <f>IF($K$3&gt;=$B23,Real!V24,'ST Original'!AA23)</f>
        <v>3.3742705090273684</v>
      </c>
      <c r="U23" s="277">
        <f>IF($K$3&gt;=$B23,Real!W24,'ST Original'!AB23)</f>
        <v>769.08637435690844</v>
      </c>
      <c r="V23" s="246">
        <f t="shared" si="11"/>
        <v>1661.661157166606</v>
      </c>
      <c r="W23" s="279">
        <f t="shared" si="12"/>
        <v>71.225774999999913</v>
      </c>
      <c r="X23" s="244">
        <f>IF(ISNUMBER(IF($K$3&gt;=$B23,Real!Y24,'ST Original'!AE23)),IF($K$3&gt;=$B23,Real!Y24,'ST Original'!AE23),0)</f>
        <v>25.951054718872989</v>
      </c>
      <c r="Y23" s="246">
        <f t="shared" si="4"/>
        <v>473.50686218306492</v>
      </c>
      <c r="Z23" s="276">
        <f>IF(ISNUMBER(IF($K$3&gt;=$B23,Real!AA24,'ST Original'!AG23)),IF($K$3&gt;=$B23,Real!AA24,'ST Original'!AG23),0)</f>
        <v>2.4033503206511853</v>
      </c>
      <c r="AA23" s="246">
        <f t="shared" si="5"/>
        <v>559.91331834872381</v>
      </c>
      <c r="AB23" s="279" t="e">
        <f>IF($K$3&gt;=$B23,Real!#REF!,AB22+'Real+S.T.'!X23-'Real+S.T.'!Z23)</f>
        <v>#REF!</v>
      </c>
      <c r="AC23" s="276">
        <f t="shared" si="6"/>
        <v>900.5119400194742</v>
      </c>
      <c r="AD23" s="279">
        <f t="shared" si="13"/>
        <v>13032.261464532068</v>
      </c>
      <c r="AE23" s="284">
        <f t="shared" si="7"/>
        <v>832.58846894428143</v>
      </c>
      <c r="AF23" s="285">
        <f t="shared" si="14"/>
        <v>13281.501319374192</v>
      </c>
      <c r="AG23" s="267">
        <f>IF(ISNUMBER(IF($K$3&gt;=$B23,Real!AO24,'ST Original'!AN23)),IF($K$3&gt;=$B23,Real!AO24,'ST Original'!AN23),0)</f>
        <v>2817.7501734203638</v>
      </c>
      <c r="AH23" s="283">
        <f>IF(ISNUMBER(IF($K$3&gt;=$B23,Real!AP24,'ST Original'!AO23)),IF($K$3&gt;=$B23,Real!AP24,'ST Original'!AO23),0)</f>
        <v>27.033858314670162</v>
      </c>
      <c r="AI23" s="265">
        <f t="shared" si="8"/>
        <v>761.74658954383403</v>
      </c>
      <c r="AJ23" s="333"/>
      <c r="AL23" s="334">
        <f>IF($K$3&gt;=$B23,Real!AX24,'ST Original'!AZ23)</f>
        <v>165.36261431376138</v>
      </c>
      <c r="AM23" s="278">
        <f t="shared" si="15"/>
        <v>3304.3522555033369</v>
      </c>
      <c r="AO23" s="474"/>
      <c r="AP23" s="305">
        <f t="shared" si="1"/>
        <v>46097.791666666664</v>
      </c>
      <c r="AQ23" s="284"/>
      <c r="AR23" s="333"/>
      <c r="AS23" s="333"/>
      <c r="AT23" s="333"/>
      <c r="AU23" s="334">
        <f>IF($K$3&gt;=$B23,Real!AE24,'ST Original'!BI23)</f>
        <v>23.478859918414088</v>
      </c>
      <c r="AV23" s="278">
        <f>IF($K$3&gt;=$B23,Real!AF24,'ST Original'!BJ23)</f>
        <v>586.25</v>
      </c>
      <c r="AW23" s="303"/>
      <c r="AX23" s="276">
        <f>IF($K$3&gt;=$B23,Real!AK24,'ST Original'!BT23)</f>
        <v>8735.5838043175227</v>
      </c>
      <c r="AY23" s="246"/>
      <c r="AZ23" s="246"/>
      <c r="BA23" s="279"/>
      <c r="BB23" s="276">
        <f>IF($K$3&gt;=$B23,Real!H24,'ST Original'!CC23)</f>
        <v>96.036194077696607</v>
      </c>
      <c r="BC23" s="246"/>
      <c r="BD23" s="246"/>
      <c r="BE23" s="246"/>
      <c r="BF23" s="277"/>
      <c r="BG23" s="244"/>
      <c r="BH23" s="270"/>
      <c r="BI23" s="245"/>
      <c r="BJ23" s="246"/>
      <c r="BK23" s="246"/>
      <c r="BL23" s="276"/>
      <c r="BM23" s="246"/>
      <c r="BN23" s="246"/>
      <c r="BO23" s="246"/>
      <c r="BP23" s="246"/>
      <c r="BQ23" s="246"/>
      <c r="BR23" s="246"/>
      <c r="BS23" s="246"/>
      <c r="BT23" s="279"/>
      <c r="BU23" s="246"/>
      <c r="BV23" s="246"/>
      <c r="BW23" s="246"/>
      <c r="BX23" s="276"/>
      <c r="BY23" s="245"/>
      <c r="BZ23" s="270"/>
      <c r="CA23" s="269"/>
      <c r="CB23" s="245"/>
      <c r="CC23" s="270"/>
      <c r="CD23" s="269"/>
      <c r="CE23" s="245"/>
      <c r="CF23" s="270"/>
      <c r="CM23" s="650">
        <f>IF($K$3&gt;=$B23,Real!AD24,'ST Original'!K23)</f>
        <v>64.830177307128906</v>
      </c>
      <c r="CO23" s="624">
        <f>IF($K$3&gt;=$B23,Real!AW24,'ST Original'!#REF!)</f>
        <v>413517.13671875</v>
      </c>
      <c r="CP23" s="625">
        <f t="shared" si="16"/>
        <v>6574220.002604167</v>
      </c>
    </row>
    <row r="24" spans="1:94" s="243" customFormat="1" ht="14.15" customHeight="1">
      <c r="A24" s="4765"/>
      <c r="B24" s="258">
        <f t="shared" si="2"/>
        <v>46098.791666666664</v>
      </c>
      <c r="C24" s="276">
        <f>IF($K$3&gt;=$B24,Real!C25,'ST Original'!C24)</f>
        <v>190294.06479999999</v>
      </c>
      <c r="D24" s="650">
        <f>IF($K$3&gt;=$B24,Real!D25,D23+C24-E24)</f>
        <v>485334.19759999996</v>
      </c>
      <c r="E24" s="276">
        <f>IF($K$3&gt;=$B24,Real!E25,'ST Original'!E24)</f>
        <v>198696.43357086182</v>
      </c>
      <c r="F24" s="279">
        <f t="shared" si="17"/>
        <v>2919079.8328061295</v>
      </c>
      <c r="G24" s="277">
        <f>IF($K$3&gt;=$B24,Real!J25,'ST Original'!J24)</f>
        <v>100</v>
      </c>
      <c r="H24" s="277">
        <f t="shared" si="3"/>
        <v>67.192497253417969</v>
      </c>
      <c r="I24" s="472">
        <f>IF($K$3&gt;=$B24,Real!K25,'ST Original'!L24)</f>
        <v>0.47046577768558123</v>
      </c>
      <c r="J24" s="277">
        <f>IF($K$3&gt;=$B24,Real!L25,'ST Original'!M24)</f>
        <v>90.617228026186297</v>
      </c>
      <c r="K24" s="277">
        <f>IF($K$3&gt;=$B24,Real!M25,'ST Original'!N24)</f>
        <v>27.374828607405782</v>
      </c>
      <c r="L24" s="276">
        <f>IF($K$3&gt;=$B24,IF(ISNUMBER(Real!N25),Real!N25,""),IF(ISNUMBER('ST Original'!O24),'ST Original'!O24,""))</f>
        <v>3094.4072787997325</v>
      </c>
      <c r="M24" s="246">
        <f t="shared" si="9"/>
        <v>50032.931921419273</v>
      </c>
      <c r="N24" s="276">
        <f t="shared" si="18"/>
        <v>847.08868898651588</v>
      </c>
      <c r="O24" s="279">
        <f t="shared" si="10"/>
        <v>12974.353297126541</v>
      </c>
      <c r="P24" s="276">
        <f>IF($K$3&gt;=$B24,Real!R25,'ST Original'!W24)</f>
        <v>142.93735238620241</v>
      </c>
      <c r="Q24" s="277">
        <f>IF($K$3&gt;=$B24,Real!S25,'ST Original'!X24)</f>
        <v>88.276168638074765</v>
      </c>
      <c r="R24" s="277">
        <f>IF($K$3&gt;=$B24,Real!T25,'ST Original'!Y24)</f>
        <v>87.1</v>
      </c>
      <c r="S24" s="277">
        <f>IF($K$3&gt;=$B24,Real!U25,'ST Original'!Z24)</f>
        <v>76.888542883763108</v>
      </c>
      <c r="T24" s="277">
        <f>IF($K$3&gt;=$B24,Real!V25,'ST Original'!AA24)</f>
        <v>54.799848811839958</v>
      </c>
      <c r="U24" s="277">
        <f>IF($K$3&gt;=$B24,Real!W25,'ST Original'!AB24)</f>
        <v>39.849059495096064</v>
      </c>
      <c r="V24" s="246">
        <f t="shared" si="11"/>
        <v>1701.5102166617021</v>
      </c>
      <c r="W24" s="279">
        <f t="shared" si="12"/>
        <v>15.56922948309686</v>
      </c>
      <c r="X24" s="244">
        <f>IF(ISNUMBER(IF($K$3&gt;=$B24,Real!Y25,'ST Original'!AE24)),IF($K$3&gt;=$B24,Real!Y25,'ST Original'!AE24),0)</f>
        <v>21.837224356252797</v>
      </c>
      <c r="Y24" s="246">
        <f t="shared" si="4"/>
        <v>495.34408653931774</v>
      </c>
      <c r="Z24" s="276">
        <f>IF(ISNUMBER(IF($K$3&gt;=$B24,Real!AA25,'ST Original'!AG24)),IF($K$3&gt;=$B24,Real!AA25,'ST Original'!AG24),0)</f>
        <v>8.5319142179054914</v>
      </c>
      <c r="AA24" s="246">
        <f t="shared" si="5"/>
        <v>568.44523256662933</v>
      </c>
      <c r="AB24" s="279" t="e">
        <f>IF($K$3&gt;=$B24,Real!#REF!,AB23+'Real+S.T.'!X24-'Real+S.T.'!Z24)</f>
        <v>#REF!</v>
      </c>
      <c r="AC24" s="276">
        <f t="shared" si="6"/>
        <v>877.88890164676116</v>
      </c>
      <c r="AD24" s="279">
        <f t="shared" si="13"/>
        <v>13910.15036617883</v>
      </c>
      <c r="AE24" s="284">
        <f t="shared" si="7"/>
        <v>839.50966802614766</v>
      </c>
      <c r="AF24" s="285">
        <f t="shared" si="14"/>
        <v>14121.010987400339</v>
      </c>
      <c r="AG24" s="267">
        <f>IF(ISNUMBER(IF($K$3&gt;=$B24,Real!AO25,'ST Original'!AN24)),IF($K$3&gt;=$B24,Real!AO25,'ST Original'!AN24),0)</f>
        <v>4229.7663880051159</v>
      </c>
      <c r="AH24" s="283">
        <f>IF(ISNUMBER(IF($K$3&gt;=$B24,Real!AP25,'ST Original'!AO24)),IF($K$3&gt;=$B24,Real!AP25,'ST Original'!AO24),0)</f>
        <v>25.952261538945066</v>
      </c>
      <c r="AI24" s="265">
        <f t="shared" si="8"/>
        <v>1097.7200355014777</v>
      </c>
      <c r="AJ24" s="333"/>
      <c r="AL24" s="334">
        <f>IF($K$3&gt;=$B24,Real!AX25,'ST Original'!AZ24)</f>
        <v>134.34304682413736</v>
      </c>
      <c r="AM24" s="278">
        <f t="shared" si="15"/>
        <v>3438.6953023274741</v>
      </c>
      <c r="AO24" s="474"/>
      <c r="AP24" s="305">
        <f t="shared" si="1"/>
        <v>46098.791666666664</v>
      </c>
      <c r="AQ24" s="284"/>
      <c r="AR24" s="333"/>
      <c r="AS24" s="333"/>
      <c r="AT24" s="333"/>
      <c r="AU24" s="334">
        <f>IF($K$3&gt;=$B24,Real!AE25,'ST Original'!BI24)</f>
        <v>19.184468234775274</v>
      </c>
      <c r="AV24" s="278">
        <f>IF($K$3&gt;=$B24,Real!AF25,'ST Original'!BJ24)</f>
        <v>761.25</v>
      </c>
      <c r="AW24" s="303"/>
      <c r="AX24" s="276">
        <f>IF($K$3&gt;=$B24,Real!AK25,'ST Original'!BT24)</f>
        <v>8279.0180654525757</v>
      </c>
      <c r="AY24" s="246"/>
      <c r="AZ24" s="246"/>
      <c r="BA24" s="279"/>
      <c r="BB24" s="276">
        <f>IF($K$3&gt;=$B24,Real!H25,'ST Original'!CC24)</f>
        <v>99.999999999999986</v>
      </c>
      <c r="BC24" s="246"/>
      <c r="BD24" s="246"/>
      <c r="BE24" s="246"/>
      <c r="BF24" s="277"/>
      <c r="BG24" s="244"/>
      <c r="BH24" s="270"/>
      <c r="BI24" s="245"/>
      <c r="BJ24" s="246"/>
      <c r="BK24" s="246"/>
      <c r="BL24" s="276"/>
      <c r="BM24" s="246"/>
      <c r="BN24" s="246"/>
      <c r="BO24" s="246"/>
      <c r="BP24" s="246"/>
      <c r="BQ24" s="246"/>
      <c r="BR24" s="246"/>
      <c r="BS24" s="246"/>
      <c r="BT24" s="279"/>
      <c r="BU24" s="246"/>
      <c r="BV24" s="246"/>
      <c r="BW24" s="246"/>
      <c r="BX24" s="276"/>
      <c r="BY24" s="245"/>
      <c r="BZ24" s="270"/>
      <c r="CA24" s="269"/>
      <c r="CB24" s="245"/>
      <c r="CC24" s="270"/>
      <c r="CD24" s="269"/>
      <c r="CE24" s="245"/>
      <c r="CF24" s="270"/>
      <c r="CM24" s="650">
        <f>IF($K$3&gt;=$B24,Real!AD25,'ST Original'!K24)</f>
        <v>67.192497253417969</v>
      </c>
      <c r="CO24" s="624">
        <f>IF($K$3&gt;=$B24,Real!AW25,'ST Original'!#REF!)</f>
        <v>454465.51953125</v>
      </c>
      <c r="CP24" s="625">
        <f t="shared" si="16"/>
        <v>7028685.522135417</v>
      </c>
    </row>
    <row r="25" spans="1:94" s="243" customFormat="1" ht="14.15" customHeight="1">
      <c r="A25" s="4765"/>
      <c r="B25" s="258">
        <f t="shared" si="2"/>
        <v>46099.791666666664</v>
      </c>
      <c r="C25" s="276">
        <f>IF($K$3&gt;=$B25,Real!C26,'ST Original'!C25)</f>
        <v>184999.99999976202</v>
      </c>
      <c r="D25" s="650">
        <f>IF($K$3&gt;=$B25,Real!D26,D24+C25-E25)</f>
        <v>477968.73797485279</v>
      </c>
      <c r="E25" s="276">
        <f>IF($K$3&gt;=$B25,Real!E26,'ST Original'!E25)</f>
        <v>192365.45962490924</v>
      </c>
      <c r="F25" s="279">
        <f t="shared" si="17"/>
        <v>3111445.2924310388</v>
      </c>
      <c r="G25" s="277">
        <f>IF($K$3&gt;=$B25,Real!J26,'ST Original'!J25)</f>
        <v>97.885672723806138</v>
      </c>
      <c r="H25" s="277">
        <f t="shared" si="3"/>
        <v>87.590883446912244</v>
      </c>
      <c r="I25" s="472">
        <f>IF($K$3&gt;=$B25,Real!K26,'ST Original'!L25)</f>
        <v>0.56886214340434216</v>
      </c>
      <c r="J25" s="277">
        <f>IF($K$3&gt;=$B25,Real!L26,'ST Original'!M25)</f>
        <v>90.926839648250052</v>
      </c>
      <c r="K25" s="277">
        <f>IF($K$3&gt;=$B25,Real!M26,'ST Original'!N25)</f>
        <v>27.392396331005557</v>
      </c>
      <c r="L25" s="276">
        <f>IF($K$3&gt;=$B25,IF(ISNUMBER(Real!N26),Real!N26,""),IF(ISNUMBER('ST Original'!O25),'ST Original'!O25,""))</f>
        <v>3632.4211664982063</v>
      </c>
      <c r="M25" s="246">
        <f t="shared" si="9"/>
        <v>53665.35308791748</v>
      </c>
      <c r="N25" s="276">
        <f t="shared" si="18"/>
        <v>995.00720233852394</v>
      </c>
      <c r="O25" s="279">
        <f t="shared" si="10"/>
        <v>13969.360499465065</v>
      </c>
      <c r="P25" s="276">
        <f>IF($K$3&gt;=$B25,Real!R26,'ST Original'!W25)</f>
        <v>215.69511239515333</v>
      </c>
      <c r="Q25" s="277">
        <f>IF($K$3&gt;=$B25,Real!S26,'ST Original'!X25)</f>
        <v>92.30338598366572</v>
      </c>
      <c r="R25" s="277">
        <f>IF($K$3&gt;=$B25,Real!T26,'ST Original'!Y25)</f>
        <v>86.892381009980454</v>
      </c>
      <c r="S25" s="277">
        <f>IF($K$3&gt;=$B25,Real!U26,'ST Original'!Z25)</f>
        <v>80.204609834039715</v>
      </c>
      <c r="T25" s="277">
        <f>IF($K$3&gt;=$B25,Real!V26,'ST Original'!AA25)</f>
        <v>50</v>
      </c>
      <c r="U25" s="277">
        <f>IF($K$3&gt;=$B25,Real!W26,'ST Original'!AB25)</f>
        <v>66.557457704687607</v>
      </c>
      <c r="V25" s="246">
        <f t="shared" si="11"/>
        <v>1768.0676743663896</v>
      </c>
      <c r="W25" s="279">
        <f t="shared" si="12"/>
        <v>66.557457704687607</v>
      </c>
      <c r="X25" s="244">
        <f>IF(ISNUMBER(IF($K$3&gt;=$B25,Real!Y26,'ST Original'!AE25)),IF($K$3&gt;=$B25,Real!Y26,'ST Original'!AE25),0)</f>
        <v>33.278728852343804</v>
      </c>
      <c r="Y25" s="246">
        <f t="shared" si="4"/>
        <v>528.62281539166156</v>
      </c>
      <c r="Z25" s="276">
        <f>IF(ISNUMBER(IF($K$3&gt;=$B25,Real!AA26,'ST Original'!AG25)),IF($K$3&gt;=$B25,Real!AA26,'ST Original'!AG25),0)</f>
        <v>33.278728852343804</v>
      </c>
      <c r="AA25" s="246">
        <f t="shared" si="5"/>
        <v>601.72396141897309</v>
      </c>
      <c r="AB25" s="279" t="e">
        <f>IF($K$3&gt;=$B25,Real!#REF!,AB24+'Real+S.T.'!X25-'Real+S.T.'!Z25)</f>
        <v>#REF!</v>
      </c>
      <c r="AC25" s="276">
        <f t="shared" si="6"/>
        <v>1053.18958841789</v>
      </c>
      <c r="AD25" s="279">
        <f t="shared" si="13"/>
        <v>14963.33995459672</v>
      </c>
      <c r="AE25" s="284">
        <f t="shared" si="7"/>
        <v>1053.18958841789</v>
      </c>
      <c r="AF25" s="285">
        <f t="shared" si="14"/>
        <v>15174.200575818229</v>
      </c>
      <c r="AG25" s="267">
        <f>IF(ISNUMBER(IF($K$3&gt;=$B25,Real!AO26,'ST Original'!AN25)),IF($K$3&gt;=$B25,Real!AO26,'ST Original'!AN25),0)</f>
        <v>2990</v>
      </c>
      <c r="AH25" s="283">
        <f>IF(ISNUMBER(IF($K$3&gt;=$B25,Real!AP26,'ST Original'!AO25)),IF($K$3&gt;=$B25,Real!AP26,'ST Original'!AO25),0)</f>
        <v>28.488910364507881</v>
      </c>
      <c r="AI25" s="265">
        <f t="shared" si="8"/>
        <v>851.81841989878569</v>
      </c>
      <c r="AJ25" s="333"/>
      <c r="AL25" s="334">
        <f>IF($K$3&gt;=$B25,Real!AX26,'ST Original'!AZ25)</f>
        <v>2.8638560982822594</v>
      </c>
      <c r="AM25" s="278">
        <f t="shared" si="15"/>
        <v>3441.5591584257563</v>
      </c>
      <c r="AO25" s="474"/>
      <c r="AP25" s="305">
        <f t="shared" si="1"/>
        <v>46099.791666666664</v>
      </c>
      <c r="AQ25" s="284"/>
      <c r="AR25" s="333"/>
      <c r="AS25" s="333"/>
      <c r="AT25" s="333"/>
      <c r="AU25" s="334">
        <f>IF($K$3&gt;=$B25,Real!AE26,'ST Original'!BI25)</f>
        <v>16.373163639706902</v>
      </c>
      <c r="AV25" s="278">
        <f>IF($K$3&gt;=$B25,Real!AF26,'ST Original'!BJ25)</f>
        <v>736.7923637868106</v>
      </c>
      <c r="AW25" s="303"/>
      <c r="AX25" s="276">
        <f>IF($K$3&gt;=$B25,Real!AK26,'ST Original'!BT25)</f>
        <v>8194.0464415609567</v>
      </c>
      <c r="AY25" s="246"/>
      <c r="AZ25" s="246"/>
      <c r="BA25" s="279"/>
      <c r="BB25" s="276">
        <f>IF($K$3&gt;=$B25,Real!H26,'ST Original'!CC25)</f>
        <v>98.056332111173901</v>
      </c>
      <c r="BC25" s="246"/>
      <c r="BD25" s="246"/>
      <c r="BE25" s="246"/>
      <c r="BF25" s="277"/>
      <c r="BG25" s="244"/>
      <c r="BH25" s="270"/>
      <c r="BI25" s="245"/>
      <c r="BJ25" s="246"/>
      <c r="BK25" s="246"/>
      <c r="BL25" s="276"/>
      <c r="BM25" s="246"/>
      <c r="BN25" s="246"/>
      <c r="BO25" s="246"/>
      <c r="BP25" s="246"/>
      <c r="BQ25" s="246"/>
      <c r="BR25" s="246"/>
      <c r="BS25" s="246"/>
      <c r="BT25" s="279"/>
      <c r="BU25" s="246"/>
      <c r="BV25" s="246"/>
      <c r="BW25" s="246"/>
      <c r="BX25" s="276"/>
      <c r="BY25" s="245"/>
      <c r="BZ25" s="270"/>
      <c r="CA25" s="269"/>
      <c r="CB25" s="245"/>
      <c r="CC25" s="270"/>
      <c r="CD25" s="269"/>
      <c r="CE25" s="245"/>
      <c r="CF25" s="270"/>
      <c r="CM25" s="650">
        <f>IF($K$3&gt;=$B25,Real!AD26,'ST Original'!K25)</f>
        <v>87.590883446912244</v>
      </c>
      <c r="CO25" s="624" t="e">
        <f>IF($K$3&gt;=$B25,Real!AW26,'ST Original'!#REF!)</f>
        <v>#REF!</v>
      </c>
      <c r="CP25" s="625" t="e">
        <f t="shared" si="16"/>
        <v>#REF!</v>
      </c>
    </row>
    <row r="26" spans="1:94" s="243" customFormat="1" ht="14.15" customHeight="1">
      <c r="A26" s="4765"/>
      <c r="B26" s="258">
        <f t="shared" si="2"/>
        <v>46100.791666666664</v>
      </c>
      <c r="C26" s="276">
        <f>IF($K$3&gt;=$B26,Real!C27,'ST Original'!C26)</f>
        <v>219999.99999969656</v>
      </c>
      <c r="D26" s="650">
        <f>IF($K$3&gt;=$B26,Real!D27,D25+C26-E26)</f>
        <v>503267.89861656813</v>
      </c>
      <c r="E26" s="276">
        <f>IF($K$3&gt;=$B26,Real!E27,'ST Original'!E26)</f>
        <v>194700.83935798128</v>
      </c>
      <c r="F26" s="279">
        <f t="shared" si="17"/>
        <v>3306146.1317890203</v>
      </c>
      <c r="G26" s="277">
        <f>IF($K$3&gt;=$B26,Real!J27,'ST Original'!J26)</f>
        <v>97.885672723806138</v>
      </c>
      <c r="H26" s="277">
        <f t="shared" si="3"/>
        <v>90.578700227860679</v>
      </c>
      <c r="I26" s="472">
        <f>IF($K$3&gt;=$B26,Real!K27,'ST Original'!L26)</f>
        <v>0.57285134895832379</v>
      </c>
      <c r="J26" s="277">
        <f>IF($K$3&gt;=$B26,Real!L27,'ST Original'!M26)</f>
        <v>90.59379882412091</v>
      </c>
      <c r="K26" s="277">
        <f>IF($K$3&gt;=$B26,Real!M27,'ST Original'!N26)</f>
        <v>27.98518896538231</v>
      </c>
      <c r="L26" s="276">
        <f>IF($K$3&gt;=$B26,IF(ISNUMBER(Real!N27),Real!N27,""),IF(ISNUMBER('ST Original'!O26),'ST Original'!O26,""))</f>
        <v>3610.6050996937756</v>
      </c>
      <c r="M26" s="246">
        <f t="shared" si="9"/>
        <v>57275.958187611257</v>
      </c>
      <c r="N26" s="276">
        <f t="shared" si="18"/>
        <v>1010.4346599430335</v>
      </c>
      <c r="O26" s="279">
        <f t="shared" si="10"/>
        <v>14979.795159408099</v>
      </c>
      <c r="P26" s="276">
        <f>IF($K$3&gt;=$B26,Real!R27,'ST Original'!W26)</f>
        <v>282.06358348329417</v>
      </c>
      <c r="Q26" s="277">
        <f>IF($K$3&gt;=$B26,Real!S27,'ST Original'!X26)</f>
        <v>93.244009250906288</v>
      </c>
      <c r="R26" s="277">
        <f>IF($K$3&gt;=$B26,Real!T27,'ST Original'!Y26)</f>
        <v>87.629658443736986</v>
      </c>
      <c r="S26" s="277">
        <f>IF($K$3&gt;=$B26,Real!U27,'ST Original'!Z26)</f>
        <v>81.709406825815691</v>
      </c>
      <c r="T26" s="277">
        <f>IF($K$3&gt;=$B26,Real!V27,'ST Original'!AA26)</f>
        <v>50</v>
      </c>
      <c r="U26" s="277">
        <f>IF($K$3&gt;=$B26,Real!W27,'ST Original'!AB26)</f>
        <v>89.746370974248421</v>
      </c>
      <c r="V26" s="246">
        <f t="shared" si="11"/>
        <v>1857.8140453406381</v>
      </c>
      <c r="W26" s="279">
        <f t="shared" si="12"/>
        <v>89.746370974248421</v>
      </c>
      <c r="X26" s="244">
        <f>IF(ISNUMBER(IF($K$3&gt;=$B26,Real!Y27,'ST Original'!AE26)),IF($K$3&gt;=$B26,Real!Y27,'ST Original'!AE26),0)</f>
        <v>44.873185487124211</v>
      </c>
      <c r="Y26" s="246">
        <f t="shared" si="4"/>
        <v>573.49600087878582</v>
      </c>
      <c r="Z26" s="276">
        <f>IF(ISNUMBER(IF($K$3&gt;=$B26,Real!AA27,'ST Original'!AG26)),IF($K$3&gt;=$B26,Real!AA27,'ST Original'!AG26),0)</f>
        <v>44.873185487124211</v>
      </c>
      <c r="AA26" s="246">
        <f t="shared" si="5"/>
        <v>646.59714690609735</v>
      </c>
      <c r="AB26" s="279" t="e">
        <f>IF($K$3&gt;=$B26,Real!#REF!,AB25+'Real+S.T.'!X26-'Real+S.T.'!Z26)</f>
        <v>#REF!</v>
      </c>
      <c r="AC26" s="276">
        <f t="shared" si="6"/>
        <v>1101.4750707687353</v>
      </c>
      <c r="AD26" s="279">
        <f t="shared" si="13"/>
        <v>16064.815025365457</v>
      </c>
      <c r="AE26" s="284">
        <f t="shared" si="7"/>
        <v>1101.4750707687353</v>
      </c>
      <c r="AF26" s="285">
        <f t="shared" si="14"/>
        <v>16275.675646586966</v>
      </c>
      <c r="AG26" s="267">
        <f>IF(ISNUMBER(IF($K$3&gt;=$B26,Real!AO27,'ST Original'!AN26)),IF($K$3&gt;=$B26,Real!AO27,'ST Original'!AN26),0)</f>
        <v>2990</v>
      </c>
      <c r="AH26" s="283">
        <f>IF(ISNUMBER(IF($K$3&gt;=$B26,Real!AP27,'ST Original'!AO26)),IF($K$3&gt;=$B26,Real!AP27,'ST Original'!AO26),0)</f>
        <v>27.911463669552148</v>
      </c>
      <c r="AI26" s="265">
        <f t="shared" si="8"/>
        <v>834.55276371960917</v>
      </c>
      <c r="AJ26" s="333"/>
      <c r="AL26" s="334">
        <f>IF($K$3&gt;=$B26,Real!AX27,'ST Original'!AZ26)</f>
        <v>3.096517410862305</v>
      </c>
      <c r="AM26" s="278">
        <f t="shared" si="15"/>
        <v>3444.6556758366187</v>
      </c>
      <c r="AO26" s="474"/>
      <c r="AP26" s="305">
        <f t="shared" si="1"/>
        <v>46100.791666666664</v>
      </c>
      <c r="AQ26" s="284"/>
      <c r="AR26" s="333"/>
      <c r="AS26" s="333"/>
      <c r="AT26" s="333"/>
      <c r="AU26" s="334">
        <f>IF($K$3&gt;=$B26,Real!AE27,'ST Original'!BI26)</f>
        <v>13.718164963383902</v>
      </c>
      <c r="AV26" s="278">
        <f>IF($K$3&gt;=$B26,Real!AF27,'ST Original'!BJ26)</f>
        <v>617.31742335227557</v>
      </c>
      <c r="AW26" s="303"/>
      <c r="AX26" s="276">
        <f>IF($K$3&gt;=$B26,Real!AK27,'ST Original'!BT26)</f>
        <v>8293.5248511922164</v>
      </c>
      <c r="AY26" s="246"/>
      <c r="AZ26" s="246"/>
      <c r="BA26" s="279"/>
      <c r="BB26" s="276">
        <f>IF($K$3&gt;=$B26,Real!H27,'ST Original'!CC26)</f>
        <v>98.056332111173901</v>
      </c>
      <c r="BC26" s="246"/>
      <c r="BD26" s="246"/>
      <c r="BE26" s="246"/>
      <c r="BF26" s="277"/>
      <c r="BG26" s="244"/>
      <c r="BH26" s="270"/>
      <c r="BI26" s="245"/>
      <c r="BJ26" s="246"/>
      <c r="BK26" s="246"/>
      <c r="BL26" s="276"/>
      <c r="BM26" s="246"/>
      <c r="BN26" s="246"/>
      <c r="BO26" s="246"/>
      <c r="BP26" s="246"/>
      <c r="BQ26" s="246"/>
      <c r="BR26" s="246"/>
      <c r="BS26" s="246"/>
      <c r="BT26" s="279"/>
      <c r="BU26" s="246"/>
      <c r="BV26" s="246"/>
      <c r="BW26" s="246"/>
      <c r="BX26" s="276"/>
      <c r="BY26" s="245"/>
      <c r="BZ26" s="270"/>
      <c r="CA26" s="269"/>
      <c r="CB26" s="245"/>
      <c r="CC26" s="270"/>
      <c r="CD26" s="269"/>
      <c r="CE26" s="245"/>
      <c r="CF26" s="270"/>
      <c r="CM26" s="650">
        <f>IF($K$3&gt;=$B26,Real!AD27,'ST Original'!K26)</f>
        <v>90.578700227860679</v>
      </c>
      <c r="CO26" s="624" t="e">
        <f>IF($K$3&gt;=$B26,Real!AW27,'ST Original'!#REF!)</f>
        <v>#REF!</v>
      </c>
      <c r="CP26" s="625" t="e">
        <f t="shared" si="16"/>
        <v>#REF!</v>
      </c>
    </row>
    <row r="27" spans="1:94" s="243" customFormat="1" ht="14.15" customHeight="1">
      <c r="A27" s="4765"/>
      <c r="B27" s="258">
        <f t="shared" si="2"/>
        <v>46101.791666666664</v>
      </c>
      <c r="C27" s="276">
        <f>IF($K$3&gt;=$B27,Real!C28,'ST Original'!C27)</f>
        <v>220000.03021743204</v>
      </c>
      <c r="D27" s="650">
        <f>IF($K$3&gt;=$B27,Real!D28,D26+C27-E27)</f>
        <v>526462.39902839018</v>
      </c>
      <c r="E27" s="276">
        <f>IF($K$3&gt;=$B27,Real!E28,'ST Original'!E27)</f>
        <v>196805.52980560993</v>
      </c>
      <c r="F27" s="279">
        <f t="shared" si="17"/>
        <v>3502951.6615946302</v>
      </c>
      <c r="G27" s="277">
        <f>IF($K$3&gt;=$B27,Real!J28,'ST Original'!J27)</f>
        <v>97.885672723806138</v>
      </c>
      <c r="H27" s="277">
        <f t="shared" si="3"/>
        <v>93.99288658928468</v>
      </c>
      <c r="I27" s="472">
        <f>IF($K$3&gt;=$B27,Real!K28,'ST Original'!L27)</f>
        <v>0.54156117360462053</v>
      </c>
      <c r="J27" s="277">
        <f>IF($K$3&gt;=$B27,Real!L28,'ST Original'!M27)</f>
        <v>90.626900611127141</v>
      </c>
      <c r="K27" s="277">
        <f>IF($K$3&gt;=$B27,Real!M28,'ST Original'!N27)</f>
        <v>28.477234564178254</v>
      </c>
      <c r="L27" s="276">
        <f>IF($K$3&gt;=$B27,IF(ISNUMBER(Real!N28),Real!N28,""),IF(ISNUMBER('ST Original'!O27),'ST Original'!O27,""))</f>
        <v>3391.9085359484216</v>
      </c>
      <c r="M27" s="246">
        <f t="shared" si="9"/>
        <v>60667.86672355968</v>
      </c>
      <c r="N27" s="276">
        <f t="shared" si="18"/>
        <v>965.92174998441658</v>
      </c>
      <c r="O27" s="279">
        <f t="shared" si="10"/>
        <v>15945.716909392515</v>
      </c>
      <c r="P27" s="276">
        <f>IF($K$3&gt;=$B27,Real!R28,'ST Original'!W27)</f>
        <v>278.04752238264018</v>
      </c>
      <c r="Q27" s="277">
        <f>IF($K$3&gt;=$B27,Real!S28,'ST Original'!X27)</f>
        <v>93.19372724003378</v>
      </c>
      <c r="R27" s="277">
        <f>IF($K$3&gt;=$B27,Real!T28,'ST Original'!Y27)</f>
        <v>87.590246499304698</v>
      </c>
      <c r="S27" s="277">
        <f>IF($K$3&gt;=$B27,Real!U28,'ST Original'!Z27)</f>
        <v>81.628615411435263</v>
      </c>
      <c r="T27" s="277">
        <f>IF($K$3&gt;=$B27,Real!V28,'ST Original'!AA27)</f>
        <v>50</v>
      </c>
      <c r="U27" s="277">
        <f>IF($K$3&gt;=$B27,Real!W28,'ST Original'!AB27)</f>
        <v>89.336462648887021</v>
      </c>
      <c r="V27" s="246">
        <f t="shared" si="11"/>
        <v>1947.1505079895251</v>
      </c>
      <c r="W27" s="279">
        <f t="shared" si="12"/>
        <v>89.336462648887021</v>
      </c>
      <c r="X27" s="244">
        <f>IF(ISNUMBER(IF($K$3&gt;=$B27,Real!Y28,'ST Original'!AE27)),IF($K$3&gt;=$B27,Real!Y28,'ST Original'!AE27),0)</f>
        <v>44.668231324443511</v>
      </c>
      <c r="Y27" s="246">
        <f t="shared" si="4"/>
        <v>618.16423220322929</v>
      </c>
      <c r="Z27" s="276">
        <f>IF(ISNUMBER(IF($K$3&gt;=$B27,Real!AA28,'ST Original'!AG27)),IF($K$3&gt;=$B27,Real!AA28,'ST Original'!AG27),0)</f>
        <v>44.668231324443511</v>
      </c>
      <c r="AA27" s="246">
        <f t="shared" si="5"/>
        <v>691.26537823054082</v>
      </c>
      <c r="AB27" s="279" t="e">
        <f>IF($K$3&gt;=$B27,Real!#REF!,AB26+'Real+S.T.'!X27-'Real+S.T.'!Z27)</f>
        <v>#REF!</v>
      </c>
      <c r="AC27" s="276">
        <f t="shared" si="6"/>
        <v>1058.0624600815227</v>
      </c>
      <c r="AD27" s="279">
        <f t="shared" si="13"/>
        <v>17122.877485446981</v>
      </c>
      <c r="AE27" s="284">
        <f t="shared" si="7"/>
        <v>1058.0624600815227</v>
      </c>
      <c r="AF27" s="285">
        <f t="shared" si="14"/>
        <v>17333.73810666849</v>
      </c>
      <c r="AG27" s="267">
        <f>IF(ISNUMBER(IF($K$3&gt;=$B27,Real!AO28,'ST Original'!AN27)),IF($K$3&gt;=$B27,Real!AO28,'ST Original'!AN27),0)</f>
        <v>2990</v>
      </c>
      <c r="AH27" s="283">
        <f>IF(ISNUMBER(IF($K$3&gt;=$B27,Real!AP28,'ST Original'!AO27)),IF($K$3&gt;=$B27,Real!AP28,'ST Original'!AO27),0)</f>
        <v>27.392396331005557</v>
      </c>
      <c r="AI27" s="265">
        <f t="shared" si="8"/>
        <v>819.03265029706608</v>
      </c>
      <c r="AJ27" s="333"/>
      <c r="AL27" s="334">
        <f>IF($K$3&gt;=$B27,Real!AX28,'ST Original'!AZ27)</f>
        <v>2.1118733473778781</v>
      </c>
      <c r="AM27" s="278">
        <f t="shared" si="15"/>
        <v>3446.7675491839964</v>
      </c>
      <c r="AO27" s="474"/>
      <c r="AP27" s="305">
        <f t="shared" si="1"/>
        <v>46101.791666666664</v>
      </c>
      <c r="AQ27" s="284"/>
      <c r="AR27" s="333"/>
      <c r="AS27" s="333"/>
      <c r="AT27" s="333"/>
      <c r="AU27" s="334">
        <f>IF($K$3&gt;=$B27,Real!AE28,'ST Original'!BI27)</f>
        <v>12.567823898950513</v>
      </c>
      <c r="AV27" s="278">
        <f>IF($K$3&gt;=$B27,Real!AF28,'ST Original'!BJ27)</f>
        <v>565.55207545277312</v>
      </c>
      <c r="AW27" s="303"/>
      <c r="AX27" s="276">
        <f>IF($K$3&gt;=$B27,Real!AK28,'ST Original'!BT27)</f>
        <v>8383.1767632693973</v>
      </c>
      <c r="AY27" s="246"/>
      <c r="AZ27" s="246"/>
      <c r="BA27" s="279"/>
      <c r="BB27" s="276">
        <f>IF($K$3&gt;=$B27,Real!H28,'ST Original'!CC27)</f>
        <v>98.056332111173901</v>
      </c>
      <c r="BC27" s="246"/>
      <c r="BD27" s="246"/>
      <c r="BE27" s="246"/>
      <c r="BF27" s="277"/>
      <c r="BG27" s="244"/>
      <c r="BH27" s="270"/>
      <c r="BI27" s="245"/>
      <c r="BJ27" s="246"/>
      <c r="BK27" s="246"/>
      <c r="BL27" s="276"/>
      <c r="BM27" s="246"/>
      <c r="BN27" s="246"/>
      <c r="BO27" s="246"/>
      <c r="BP27" s="246"/>
      <c r="BQ27" s="246"/>
      <c r="BR27" s="246"/>
      <c r="BS27" s="246"/>
      <c r="BT27" s="279"/>
      <c r="BU27" s="246"/>
      <c r="BV27" s="246"/>
      <c r="BW27" s="246"/>
      <c r="BX27" s="276"/>
      <c r="BY27" s="245"/>
      <c r="BZ27" s="270"/>
      <c r="CA27" s="269"/>
      <c r="CB27" s="245"/>
      <c r="CC27" s="270"/>
      <c r="CD27" s="269"/>
      <c r="CE27" s="245"/>
      <c r="CF27" s="270"/>
      <c r="CM27" s="650">
        <f>IF($K$3&gt;=$B27,Real!AD28,'ST Original'!K27)</f>
        <v>93.99288658928468</v>
      </c>
      <c r="CO27" s="624" t="e">
        <f>IF($K$3&gt;=$B27,Real!AW28,'ST Original'!#REF!)</f>
        <v>#REF!</v>
      </c>
      <c r="CP27" s="625" t="e">
        <f t="shared" si="16"/>
        <v>#REF!</v>
      </c>
    </row>
    <row r="28" spans="1:94" s="243" customFormat="1" ht="14.15" customHeight="1">
      <c r="A28" s="4766"/>
      <c r="B28" s="260">
        <f t="shared" si="2"/>
        <v>46102.791666666664</v>
      </c>
      <c r="C28" s="651">
        <f>IF($K$3&gt;=$B28,Real!C29,'ST Original'!C28)</f>
        <v>185000.02086318861</v>
      </c>
      <c r="D28" s="652">
        <f>IF($K$3&gt;=$B28,Real!D29,D27+C28-E28)</f>
        <v>518389.7358691867</v>
      </c>
      <c r="E28" s="651">
        <f>IF($K$3&gt;=$B28,Real!E29,'ST Original'!E28)</f>
        <v>193072.68402239218</v>
      </c>
      <c r="F28" s="653">
        <f t="shared" si="17"/>
        <v>3696024.3456170224</v>
      </c>
      <c r="G28" s="654">
        <f>IF($K$3&gt;=$B28,Real!J29,'ST Original'!J28)</f>
        <v>97.885672723806138</v>
      </c>
      <c r="H28" s="654">
        <f t="shared" si="3"/>
        <v>94.868711324936768</v>
      </c>
      <c r="I28" s="655">
        <f>IF($K$3&gt;=$B28,Real!K29,'ST Original'!L28)</f>
        <v>0.53439489892154024</v>
      </c>
      <c r="J28" s="654">
        <f>IF($K$3&gt;=$B28,Real!L29,'ST Original'!M28)</f>
        <v>90.95708040849614</v>
      </c>
      <c r="K28" s="654">
        <f>IF($K$3&gt;=$B28,Real!M29,'ST Original'!N28)</f>
        <v>27.716210748744583</v>
      </c>
      <c r="L28" s="651">
        <f>IF($K$3&gt;=$B28,IF(ISNUMBER(Real!N29),Real!N29,""),IF(ISNUMBER('ST Original'!O28),'ST Original'!O28,""))</f>
        <v>3385.9909628403943</v>
      </c>
      <c r="M28" s="656">
        <f t="shared" si="9"/>
        <v>64053.857686400072</v>
      </c>
      <c r="N28" s="651">
        <f t="shared" si="18"/>
        <v>938.46839119428955</v>
      </c>
      <c r="O28" s="653">
        <f t="shared" si="10"/>
        <v>16884.185300586803</v>
      </c>
      <c r="P28" s="651">
        <f>IF($K$3&gt;=$B28,Real!R29,'ST Original'!W28)</f>
        <v>272.5862418242171</v>
      </c>
      <c r="Q28" s="654">
        <f>IF($K$3&gt;=$B28,Real!S29,'ST Original'!X28)</f>
        <v>93.124172784071234</v>
      </c>
      <c r="R28" s="654">
        <f>IF($K$3&gt;=$B28,Real!T29,'ST Original'!Y28)</f>
        <v>90.243019036907583</v>
      </c>
      <c r="S28" s="654">
        <f>IF($K$3&gt;=$B28,Real!U29,'ST Original'!Z28)</f>
        <v>84.038064973492112</v>
      </c>
      <c r="T28" s="654">
        <f>IF($K$3&gt;=$B28,Real!V29,'ST Original'!AA28)</f>
        <v>50</v>
      </c>
      <c r="U28" s="654">
        <f>IF($K$3&gt;=$B28,Real!W29,'ST Original'!AB28)</f>
        <v>88.456714722770485</v>
      </c>
      <c r="V28" s="656">
        <f t="shared" si="11"/>
        <v>2035.6072227122957</v>
      </c>
      <c r="W28" s="653">
        <f t="shared" si="12"/>
        <v>88.456714722770485</v>
      </c>
      <c r="X28" s="657">
        <f>IF(ISNUMBER(IF($K$3&gt;=$B28,Real!Y29,'ST Original'!AE28)),IF($K$3&gt;=$B28,Real!Y29,'ST Original'!AE28),0)</f>
        <v>44.228357361385243</v>
      </c>
      <c r="Y28" s="656">
        <f t="shared" si="4"/>
        <v>662.39258956461458</v>
      </c>
      <c r="Z28" s="651">
        <f>IF(ISNUMBER(IF($K$3&gt;=$B28,Real!AA29,'ST Original'!AG28)),IF($K$3&gt;=$B28,Real!AA29,'ST Original'!AG28),0)</f>
        <v>44.228357361385243</v>
      </c>
      <c r="AA28" s="656">
        <f t="shared" si="5"/>
        <v>735.49373559192611</v>
      </c>
      <c r="AB28" s="653" t="e">
        <f>IF($K$3&gt;=$B28,Real!#REF!,AB27+'Real+S.T.'!X28-'Real+S.T.'!Z28)</f>
        <v>#REF!</v>
      </c>
      <c r="AC28" s="651">
        <f t="shared" si="6"/>
        <v>1030.383510279609</v>
      </c>
      <c r="AD28" s="653">
        <f t="shared" si="13"/>
        <v>18153.260995726589</v>
      </c>
      <c r="AE28" s="288">
        <f t="shared" si="7"/>
        <v>1030.383510279609</v>
      </c>
      <c r="AF28" s="289">
        <f t="shared" si="14"/>
        <v>18364.121616948098</v>
      </c>
      <c r="AG28" s="290">
        <f>IF(ISNUMBER(IF($K$3&gt;=$B28,Real!AO29,'ST Original'!AN28)),IF($K$3&gt;=$B28,Real!AO29,'ST Original'!AN28),0)</f>
        <v>2990</v>
      </c>
      <c r="AH28" s="291">
        <f>IF(ISNUMBER(IF($K$3&gt;=$B28,Real!AP29,'ST Original'!AO28)),IF($K$3&gt;=$B28,Real!AP29,'ST Original'!AO28),0)</f>
        <v>27.98518896538231</v>
      </c>
      <c r="AI28" s="292">
        <f t="shared" si="8"/>
        <v>836.75715006493101</v>
      </c>
      <c r="AJ28" s="333"/>
      <c r="AL28" s="335">
        <f>IF($K$3&gt;=$B28,Real!AX29,'ST Original'!AZ28)</f>
        <v>1.782782478636471</v>
      </c>
      <c r="AM28" s="336">
        <f t="shared" si="15"/>
        <v>3448.5503316626327</v>
      </c>
      <c r="AO28" s="475"/>
      <c r="AP28" s="307">
        <f t="shared" si="1"/>
        <v>46102.791666666664</v>
      </c>
      <c r="AQ28" s="288"/>
      <c r="AR28" s="337"/>
      <c r="AS28" s="337"/>
      <c r="AT28" s="337"/>
      <c r="AU28" s="335">
        <f>IF($K$3&gt;=$B28,Real!AE29,'ST Original'!BI28)</f>
        <v>17.786078626776714</v>
      </c>
      <c r="AV28" s="336">
        <f>IF($K$3&gt;=$B28,Real!AF29,'ST Original'!BJ28)</f>
        <v>800.37353820495218</v>
      </c>
      <c r="AW28" s="306"/>
      <c r="AX28" s="651">
        <f>IF($K$3&gt;=$B28,Real!AK29,'ST Original'!BT28)</f>
        <v>8224.1715459787647</v>
      </c>
      <c r="AY28" s="656"/>
      <c r="AZ28" s="656"/>
      <c r="BA28" s="653"/>
      <c r="BB28" s="651">
        <f>IF($K$3&gt;=$B28,Real!H29,'ST Original'!CC28)</f>
        <v>98.056332111173901</v>
      </c>
      <c r="BC28" s="656"/>
      <c r="BD28" s="656"/>
      <c r="BE28" s="656"/>
      <c r="BF28" s="277"/>
      <c r="BG28" s="244"/>
      <c r="BH28" s="270"/>
      <c r="BI28" s="245"/>
      <c r="BJ28" s="246"/>
      <c r="BK28" s="246"/>
      <c r="BL28" s="276"/>
      <c r="BM28" s="246"/>
      <c r="BN28" s="246"/>
      <c r="BO28" s="246"/>
      <c r="BP28" s="246"/>
      <c r="BQ28" s="246"/>
      <c r="BR28" s="246"/>
      <c r="BS28" s="246"/>
      <c r="BT28" s="279"/>
      <c r="BU28" s="246"/>
      <c r="BV28" s="246"/>
      <c r="BW28" s="246"/>
      <c r="BX28" s="276"/>
      <c r="BY28" s="245"/>
      <c r="BZ28" s="270"/>
      <c r="CA28" s="269"/>
      <c r="CB28" s="245"/>
      <c r="CC28" s="270"/>
      <c r="CD28" s="269"/>
      <c r="CE28" s="245"/>
      <c r="CF28" s="270"/>
      <c r="CM28" s="650">
        <f>IF($K$3&gt;=$B28,Real!AD29,'ST Original'!K28)</f>
        <v>94.868711324936768</v>
      </c>
      <c r="CO28" s="626" t="e">
        <f>IF($K$3&gt;=$B28,Real!AW29,'ST Original'!#REF!)</f>
        <v>#REF!</v>
      </c>
      <c r="CP28" s="627" t="e">
        <f t="shared" si="16"/>
        <v>#REF!</v>
      </c>
    </row>
    <row r="29" spans="1:94" s="243" customFormat="1" ht="14.15" customHeight="1">
      <c r="A29" s="4767" t="s">
        <v>329</v>
      </c>
      <c r="B29" s="1595">
        <f t="shared" si="2"/>
        <v>46103.791666666664</v>
      </c>
      <c r="C29" s="1587">
        <f>IF($K$3&gt;=$B29,Real!C30,'ST Original'!C29)</f>
        <v>199999.99999970043</v>
      </c>
      <c r="D29" s="1619">
        <f>IF($K$3&gt;=$B29,Real!D30,D28+C29-E29)</f>
        <v>523786.50526422082</v>
      </c>
      <c r="E29" s="1587">
        <f>IF($K$3&gt;=$B29,Real!E30,'ST Original'!E29)</f>
        <v>194603.23060466634</v>
      </c>
      <c r="F29" s="1593">
        <f t="shared" si="17"/>
        <v>3890627.5762216887</v>
      </c>
      <c r="G29" s="1596">
        <f>IF($K$3&gt;=$B29,Real!J30,'ST Original'!J29)</f>
        <v>97.885672723806138</v>
      </c>
      <c r="H29" s="1596">
        <f t="shared" si="3"/>
        <v>95.490523878590622</v>
      </c>
      <c r="I29" s="1620">
        <f>IF($K$3&gt;=$B29,Real!K30,'ST Original'!L29)</f>
        <v>0.59959530689926632</v>
      </c>
      <c r="J29" s="1596">
        <f>IF($K$3&gt;=$B29,Real!L30,'ST Original'!M29)</f>
        <v>90.956313421697885</v>
      </c>
      <c r="K29" s="1596">
        <f>IF($K$3&gt;=$B29,Real!M30,'ST Original'!N29)</f>
        <v>30.291011915290664</v>
      </c>
      <c r="L29" s="1587">
        <f>IF($K$3&gt;=$B29,IF(ISNUMBER(Real!N30),Real!N30,""),IF(ISNUMBER('ST Original'!O29),'ST Original'!O29,""))</f>
        <v>3503.7034300578671</v>
      </c>
      <c r="M29" s="1621">
        <f t="shared" si="9"/>
        <v>67557.561116457946</v>
      </c>
      <c r="N29" s="1587">
        <f t="shared" si="18"/>
        <v>1061.3072234752763</v>
      </c>
      <c r="O29" s="1593">
        <f t="shared" si="10"/>
        <v>17945.49252406208</v>
      </c>
      <c r="P29" s="1587">
        <f>IF($K$3&gt;=$B29,Real!R30,'ST Original'!W29)</f>
        <v>264.2633640477236</v>
      </c>
      <c r="Q29" s="1596">
        <f>IF($K$3&gt;=$B29,Real!S30,'ST Original'!X29)</f>
        <v>93.015446450445978</v>
      </c>
      <c r="R29" s="1596">
        <f>IF($K$3&gt;=$B29,Real!T30,'ST Original'!Y29)</f>
        <v>90.155161659883234</v>
      </c>
      <c r="S29" s="1596">
        <f>IF($K$3&gt;=$B29,Real!U30,'ST Original'!Z29)</f>
        <v>83.858226116061687</v>
      </c>
      <c r="T29" s="1596">
        <f>IF($K$3&gt;=$B29,Real!V30,'ST Original'!AA29)</f>
        <v>50</v>
      </c>
      <c r="U29" s="1596">
        <f>IF($K$3&gt;=$B29,Real!W30,'ST Original'!AB29)</f>
        <v>86.250708643312123</v>
      </c>
      <c r="V29" s="1621">
        <f t="shared" si="11"/>
        <v>2121.8579313556079</v>
      </c>
      <c r="W29" s="1593">
        <f t="shared" si="12"/>
        <v>50</v>
      </c>
      <c r="X29" s="1589">
        <f>IF(ISNUMBER(IF($K$3&gt;=$B29,Real!Y30,'ST Original'!AE29)),IF($K$3&gt;=$B29,Real!Y30,'ST Original'!AE29),0)</f>
        <v>43.125354321656062</v>
      </c>
      <c r="Y29" s="1621">
        <f t="shared" si="4"/>
        <v>705.51794388627059</v>
      </c>
      <c r="Z29" s="1587">
        <f>IF(ISNUMBER(IF($K$3&gt;=$B29,Real!AA30,'ST Original'!AG29)),IF($K$3&gt;=$B29,Real!AA30,'ST Original'!AG29),0)</f>
        <v>25</v>
      </c>
      <c r="AA29" s="1621">
        <f t="shared" si="5"/>
        <v>760.49373559192611</v>
      </c>
      <c r="AB29" s="1593" t="e">
        <f>IF($K$3&gt;=$B29,Real!#REF!,AB28+'Real+S.T.'!X29-'Real+S.T.'!Z29)</f>
        <v>#REF!</v>
      </c>
      <c r="AC29" s="1587">
        <f t="shared" si="6"/>
        <v>1145.3728491508041</v>
      </c>
      <c r="AD29" s="1593">
        <f t="shared" si="13"/>
        <v>19298.633844877393</v>
      </c>
      <c r="AE29" s="1611">
        <f t="shared" si="7"/>
        <v>1093.0901739832157</v>
      </c>
      <c r="AF29" s="1623">
        <f t="shared" si="14"/>
        <v>19457.211790931313</v>
      </c>
      <c r="AG29" s="1624">
        <f>IF(ISNUMBER(IF($K$3&gt;=$B29,Real!AO30,'ST Original'!AN29)),IF($K$3&gt;=$B29,Real!AO30,'ST Original'!AN29),0)</f>
        <v>4366</v>
      </c>
      <c r="AH29" s="1629">
        <f>IF(ISNUMBER(IF($K$3&gt;=$B29,Real!AP30,'ST Original'!AO29)),IF($K$3&gt;=$B29,Real!AP30,'ST Original'!AO29),0)</f>
        <v>28.477234564178254</v>
      </c>
      <c r="AI29" s="1630">
        <f t="shared" si="8"/>
        <v>1243.3160610720226</v>
      </c>
      <c r="AJ29" s="333"/>
      <c r="AL29" s="334">
        <f>IF($K$3&gt;=$B29,Real!AX30,'ST Original'!AZ29)</f>
        <v>1.53551784221249</v>
      </c>
      <c r="AM29" s="278">
        <f t="shared" si="15"/>
        <v>3450.0858495048451</v>
      </c>
      <c r="AO29" s="1380" t="s">
        <v>329</v>
      </c>
      <c r="AP29" s="1626">
        <f t="shared" si="1"/>
        <v>46103.791666666664</v>
      </c>
      <c r="AQ29" s="1611"/>
      <c r="AR29" s="1612"/>
      <c r="AS29" s="1612"/>
      <c r="AT29" s="1612"/>
      <c r="AU29" s="1625">
        <f>IF($K$3&gt;=$B29,Real!AE30,'ST Original'!BI29)</f>
        <v>14.221244023782493</v>
      </c>
      <c r="AV29" s="278">
        <f>IF($K$3&gt;=$B29,Real!AF30,'ST Original'!BJ29)</f>
        <v>639.95598107021215</v>
      </c>
      <c r="AW29" s="1592"/>
      <c r="AX29" s="1587">
        <f>IF($K$3&gt;=$B29,Real!AK30,'ST Original'!BT29)</f>
        <v>8289.3670847235117</v>
      </c>
      <c r="AY29" s="1621"/>
      <c r="AZ29" s="1621"/>
      <c r="BA29" s="1593"/>
      <c r="BB29" s="1587">
        <f>IF($K$3&gt;=$B29,Real!H30,'ST Original'!CC29)</f>
        <v>98.056332111173901</v>
      </c>
      <c r="BC29" s="1621"/>
      <c r="BD29" s="1621"/>
      <c r="BE29" s="1621"/>
      <c r="BF29" s="1596"/>
      <c r="BG29" s="1589"/>
      <c r="BH29" s="1598"/>
      <c r="BI29" s="1597"/>
      <c r="BJ29" s="1621"/>
      <c r="BK29" s="1621"/>
      <c r="BL29" s="1587"/>
      <c r="BM29" s="1621"/>
      <c r="BN29" s="1621"/>
      <c r="BO29" s="1621"/>
      <c r="BP29" s="1621"/>
      <c r="BQ29" s="1621"/>
      <c r="BR29" s="1621"/>
      <c r="BS29" s="1621"/>
      <c r="BT29" s="1593"/>
      <c r="BU29" s="1621"/>
      <c r="BV29" s="1621"/>
      <c r="BW29" s="1621"/>
      <c r="BX29" s="1587"/>
      <c r="BY29" s="1597"/>
      <c r="BZ29" s="1598"/>
      <c r="CA29" s="1588"/>
      <c r="CB29" s="1597"/>
      <c r="CC29" s="1598"/>
      <c r="CD29" s="1588"/>
      <c r="CE29" s="1597"/>
      <c r="CF29" s="1598"/>
      <c r="CM29" s="650">
        <f>IF($K$3&gt;=$B29,Real!AD30,'ST Original'!K29)</f>
        <v>95.490523878590622</v>
      </c>
      <c r="CO29" s="624" t="e">
        <f>IF($K$3&gt;=$B29,Real!AW30,'ST Original'!#REF!)</f>
        <v>#REF!</v>
      </c>
      <c r="CP29" s="625" t="e">
        <f t="shared" si="16"/>
        <v>#REF!</v>
      </c>
    </row>
    <row r="30" spans="1:94" s="243" customFormat="1" ht="14.15" customHeight="1">
      <c r="A30" s="4768"/>
      <c r="B30" s="258">
        <f t="shared" si="2"/>
        <v>46104.791666666664</v>
      </c>
      <c r="C30" s="276">
        <f>IF($K$3&gt;=$B30,Real!C31,'ST Original'!C30)</f>
        <v>200000.00000015847</v>
      </c>
      <c r="D30" s="650">
        <f>IF($K$3&gt;=$B30,Real!D31,D29+C30-E30)</f>
        <v>532279.67024677596</v>
      </c>
      <c r="E30" s="276">
        <f>IF($K$3&gt;=$B30,Real!E31,'ST Original'!E30)</f>
        <v>191506.83501760333</v>
      </c>
      <c r="F30" s="279">
        <f t="shared" si="17"/>
        <v>4082134.411239292</v>
      </c>
      <c r="G30" s="277">
        <f>IF($K$3&gt;=$B30,Real!J31,'ST Original'!J30)</f>
        <v>97.885672723806138</v>
      </c>
      <c r="H30" s="277">
        <f t="shared" si="3"/>
        <v>86.130475173307232</v>
      </c>
      <c r="I30" s="472">
        <f>IF($K$3&gt;=$B30,Real!K31,'ST Original'!L30)</f>
        <v>0.54611774227069232</v>
      </c>
      <c r="J30" s="277">
        <f>IF($K$3&gt;=$B30,Real!L31,'ST Original'!M30)</f>
        <v>90.781480861139713</v>
      </c>
      <c r="K30" s="277">
        <f>IF($K$3&gt;=$B30,Real!M31,'ST Original'!N30)</f>
        <v>29.00637430726275</v>
      </c>
      <c r="L30" s="276">
        <f>IF($K$3&gt;=$B30,IF(ISNUMBER(Real!N31),Real!N31,""),IF(ISNUMBER('ST Original'!O30),'ST Original'!O30,""))</f>
        <v>3273.2138555551828</v>
      </c>
      <c r="M30" s="246">
        <f t="shared" si="9"/>
        <v>70830.774972013125</v>
      </c>
      <c r="N30" s="276">
        <f t="shared" si="18"/>
        <v>949.44066281952303</v>
      </c>
      <c r="O30" s="279">
        <f t="shared" si="10"/>
        <v>18894.933186881604</v>
      </c>
      <c r="P30" s="276">
        <f>IF($K$3&gt;=$B30,Real!R31,'ST Original'!W30)</f>
        <v>165.72705465265955</v>
      </c>
      <c r="Q30" s="277">
        <f>IF($K$3&gt;=$B30,Real!S31,'ST Original'!X30)</f>
        <v>91.379392806824598</v>
      </c>
      <c r="R30" s="277">
        <f>IF($K$3&gt;=$B30,Real!T31,'ST Original'!Y30)</f>
        <v>88.833132515636464</v>
      </c>
      <c r="S30" s="277">
        <f>IF($K$3&gt;=$B30,Real!U31,'ST Original'!Z30)</f>
        <v>81.175177104070471</v>
      </c>
      <c r="T30" s="277">
        <f>IF($K$3&gt;=$B30,Real!V31,'ST Original'!AA30)</f>
        <v>50</v>
      </c>
      <c r="U30" s="277">
        <f>IF($K$3&gt;=$B30,Real!W31,'ST Original'!AB30)</f>
        <v>51.526534156672383</v>
      </c>
      <c r="V30" s="246">
        <f t="shared" si="11"/>
        <v>2173.3844655122803</v>
      </c>
      <c r="W30" s="279">
        <f t="shared" si="12"/>
        <v>50</v>
      </c>
      <c r="X30" s="244">
        <f>IF(ISNUMBER(IF($K$3&gt;=$B30,Real!Y31,'ST Original'!AE30)),IF($K$3&gt;=$B30,Real!Y31,'ST Original'!AE30),0)</f>
        <v>25.763267078336192</v>
      </c>
      <c r="Y30" s="246">
        <f t="shared" si="4"/>
        <v>731.28121096460677</v>
      </c>
      <c r="Z30" s="276">
        <f>IF(ISNUMBER(IF($K$3&gt;=$B30,Real!AA31,'ST Original'!AG30)),IF($K$3&gt;=$B30,Real!AA31,'ST Original'!AG30),0)</f>
        <v>25</v>
      </c>
      <c r="AA30" s="246">
        <f t="shared" si="5"/>
        <v>785.49373559192611</v>
      </c>
      <c r="AB30" s="279" t="e">
        <f>IF($K$3&gt;=$B30,Real!#REF!,AB29+'Real+S.T.'!X30-'Real+S.T.'!Z30)</f>
        <v>#REF!</v>
      </c>
      <c r="AC30" s="276">
        <f t="shared" si="6"/>
        <v>987.67619033617734</v>
      </c>
      <c r="AD30" s="279">
        <f t="shared" si="13"/>
        <v>20286.31003521357</v>
      </c>
      <c r="AE30" s="284">
        <f t="shared" si="7"/>
        <v>985.47454263238114</v>
      </c>
      <c r="AF30" s="285">
        <f t="shared" si="14"/>
        <v>20442.686333563695</v>
      </c>
      <c r="AG30" s="267">
        <f>IF(ISNUMBER(IF($K$3&gt;=$B30,Real!AO31,'ST Original'!AN30)),IF($K$3&gt;=$B30,Real!AO31,'ST Original'!AN30),0)</f>
        <v>4366</v>
      </c>
      <c r="AH30" s="283">
        <f>IF(ISNUMBER(IF($K$3&gt;=$B30,Real!AP31,'ST Original'!AO30)),IF($K$3&gt;=$B30,Real!AP31,'ST Original'!AO30),0)</f>
        <v>27.716210748744583</v>
      </c>
      <c r="AI30" s="265">
        <f t="shared" si="8"/>
        <v>1210.0897612901886</v>
      </c>
      <c r="AJ30" s="333"/>
      <c r="AL30" s="334">
        <f>IF($K$3&gt;=$B30,Real!AX31,'ST Original'!AZ30)</f>
        <v>4.4578530929984543</v>
      </c>
      <c r="AM30" s="278">
        <f t="shared" si="15"/>
        <v>3454.5437025978435</v>
      </c>
      <c r="AO30" s="474"/>
      <c r="AP30" s="305">
        <f t="shared" si="1"/>
        <v>46104.791666666664</v>
      </c>
      <c r="AQ30" s="284"/>
      <c r="AR30" s="333"/>
      <c r="AS30" s="333"/>
      <c r="AT30" s="333"/>
      <c r="AU30" s="334">
        <f>IF($K$3&gt;=$B30,Real!AE31,'ST Original'!BI30)</f>
        <v>23.299099515436758</v>
      </c>
      <c r="AV30" s="278">
        <f>IF($K$3&gt;=$B30,Real!AF31,'ST Original'!BJ30)</f>
        <v>1048.4594781946541</v>
      </c>
      <c r="AW30" s="303"/>
      <c r="AX30" s="276">
        <f>IF($K$3&gt;=$B30,Real!AK31,'ST Original'!BT30)</f>
        <v>8157.472256559915</v>
      </c>
      <c r="AY30" s="246"/>
      <c r="AZ30" s="246"/>
      <c r="BA30" s="279"/>
      <c r="BB30" s="276">
        <f>IF($K$3&gt;=$B30,Real!H31,'ST Original'!CC30)</f>
        <v>98.056332111173901</v>
      </c>
      <c r="BC30" s="246"/>
      <c r="BD30" s="246"/>
      <c r="BE30" s="246"/>
      <c r="BF30" s="277"/>
      <c r="BG30" s="244"/>
      <c r="BH30" s="270"/>
      <c r="BI30" s="245"/>
      <c r="BJ30" s="246"/>
      <c r="BK30" s="246"/>
      <c r="BL30" s="276"/>
      <c r="BM30" s="246"/>
      <c r="BN30" s="246"/>
      <c r="BO30" s="246"/>
      <c r="BP30" s="246"/>
      <c r="BQ30" s="246"/>
      <c r="BR30" s="246"/>
      <c r="BS30" s="246"/>
      <c r="BT30" s="279"/>
      <c r="BU30" s="246"/>
      <c r="BV30" s="246"/>
      <c r="BW30" s="246"/>
      <c r="BX30" s="276"/>
      <c r="BY30" s="245"/>
      <c r="BZ30" s="270"/>
      <c r="CA30" s="269"/>
      <c r="CB30" s="245"/>
      <c r="CC30" s="270"/>
      <c r="CD30" s="269"/>
      <c r="CE30" s="245"/>
      <c r="CF30" s="270"/>
      <c r="CM30" s="650">
        <f>IF($K$3&gt;=$B30,Real!AD31,'ST Original'!K30)</f>
        <v>86.130475173307232</v>
      </c>
      <c r="CO30" s="624" t="e">
        <f>IF($K$3&gt;=$B30,Real!AW31,'ST Original'!#REF!)</f>
        <v>#REF!</v>
      </c>
      <c r="CP30" s="625" t="e">
        <f t="shared" si="16"/>
        <v>#REF!</v>
      </c>
    </row>
    <row r="31" spans="1:94" s="243" customFormat="1" ht="14.15" customHeight="1">
      <c r="A31" s="4768"/>
      <c r="B31" s="258">
        <f t="shared" si="2"/>
        <v>46105.791666666664</v>
      </c>
      <c r="C31" s="276">
        <f>IF($K$3&gt;=$B31,Real!C32,'ST Original'!C31)</f>
        <v>184999.99999984697</v>
      </c>
      <c r="D31" s="650">
        <f>IF($K$3&gt;=$B31,Real!D32,D30+C31-E31)</f>
        <v>518144.28457256977</v>
      </c>
      <c r="E31" s="276">
        <f>IF($K$3&gt;=$B31,Real!E32,'ST Original'!E31)</f>
        <v>199135.38567405319</v>
      </c>
      <c r="F31" s="279">
        <f t="shared" si="17"/>
        <v>4281269.7969133453</v>
      </c>
      <c r="G31" s="277">
        <f>IF($K$3&gt;=$B31,Real!J32,'ST Original'!J31)</f>
        <v>97.885672723806138</v>
      </c>
      <c r="H31" s="277">
        <f t="shared" si="3"/>
        <v>64.591307583795782</v>
      </c>
      <c r="I31" s="472">
        <f>IF($K$3&gt;=$B31,Real!K32,'ST Original'!L31)</f>
        <v>0.55160275711999007</v>
      </c>
      <c r="J31" s="277">
        <f>IF($K$3&gt;=$B31,Real!L32,'ST Original'!M31)</f>
        <v>90.381180349036981</v>
      </c>
      <c r="K31" s="277">
        <f>IF($K$3&gt;=$B31,Real!M32,'ST Original'!N31)</f>
        <v>26.705241224231788</v>
      </c>
      <c r="L31" s="276">
        <f>IF($K$3&gt;=$B31,IF(ISNUMBER(Real!N32),Real!N32,""),IF(ISNUMBER('ST Original'!O31),'ST Original'!O31,""))</f>
        <v>3717.5461734395567</v>
      </c>
      <c r="M31" s="246">
        <f t="shared" si="9"/>
        <v>74548.321145452675</v>
      </c>
      <c r="N31" s="276">
        <f t="shared" si="18"/>
        <v>992.7796732392319</v>
      </c>
      <c r="O31" s="279">
        <f t="shared" si="10"/>
        <v>19887.712860120835</v>
      </c>
      <c r="P31" s="276">
        <f>IF($K$3&gt;=$B31,Real!R32,'ST Original'!W31)</f>
        <v>116.04786880043868</v>
      </c>
      <c r="Q31" s="277">
        <f>IF($K$3&gt;=$B31,Real!S32,'ST Original'!X31)</f>
        <v>90.129959905640135</v>
      </c>
      <c r="R31" s="277">
        <f>IF($K$3&gt;=$B31,Real!T32,'ST Original'!Y31)</f>
        <v>87.82351604273741</v>
      </c>
      <c r="S31" s="277">
        <f>IF($K$3&gt;=$B31,Real!U32,'ST Original'!Z31)</f>
        <v>79.155299797042659</v>
      </c>
      <c r="T31" s="277">
        <f>IF($K$3&gt;=$B31,Real!V32,'ST Original'!AA31)</f>
        <v>50</v>
      </c>
      <c r="U31" s="277">
        <f>IF($K$3&gt;=$B31,Real!W32,'ST Original'!AB31)</f>
        <v>36.584371830819684</v>
      </c>
      <c r="V31" s="246">
        <f t="shared" si="11"/>
        <v>2209.9688373430999</v>
      </c>
      <c r="W31" s="279">
        <f t="shared" si="12"/>
        <v>50</v>
      </c>
      <c r="X31" s="244">
        <f>IF(ISNUMBER(IF($K$3&gt;=$B31,Real!Y32,'ST Original'!AE31)),IF($K$3&gt;=$B31,Real!Y32,'ST Original'!AE31),0)</f>
        <v>18.292185915409842</v>
      </c>
      <c r="Y31" s="246">
        <f t="shared" si="4"/>
        <v>749.57339688001662</v>
      </c>
      <c r="Z31" s="276">
        <f>IF(ISNUMBER(IF($K$3&gt;=$B31,Real!AA32,'ST Original'!AG31)),IF($K$3&gt;=$B31,Real!AA32,'ST Original'!AG31),0)</f>
        <v>25</v>
      </c>
      <c r="AA31" s="246">
        <f t="shared" si="5"/>
        <v>810.49373559192611</v>
      </c>
      <c r="AB31" s="279" t="e">
        <f>IF($K$3&gt;=$B31,Real!#REF!,AB30+'Real+S.T.'!X31-'Real+S.T.'!Z31)</f>
        <v>#REF!</v>
      </c>
      <c r="AC31" s="276">
        <f t="shared" si="6"/>
        <v>1007.8179473900703</v>
      </c>
      <c r="AD31" s="279">
        <f t="shared" si="13"/>
        <v>21294.127982603641</v>
      </c>
      <c r="AE31" s="284">
        <f t="shared" si="7"/>
        <v>1027.1666706561412</v>
      </c>
      <c r="AF31" s="285">
        <f t="shared" si="14"/>
        <v>21469.853004219836</v>
      </c>
      <c r="AG31" s="267">
        <f>IF(ISNUMBER(IF($K$3&gt;=$B31,Real!AO32,'ST Original'!AN31)),IF($K$3&gt;=$B31,Real!AO32,'ST Original'!AN31),0)</f>
        <v>4366</v>
      </c>
      <c r="AH31" s="283">
        <f>IF(ISNUMBER(IF($K$3&gt;=$B31,Real!AP32,'ST Original'!AO31)),IF($K$3&gt;=$B31,Real!AP32,'ST Original'!AO31),0)</f>
        <v>30.291011915290664</v>
      </c>
      <c r="AI31" s="265">
        <f t="shared" si="8"/>
        <v>1322.5055802215904</v>
      </c>
      <c r="AJ31" s="333"/>
      <c r="AL31" s="334">
        <f>IF($K$3&gt;=$B31,Real!AX32,'ST Original'!AZ31)</f>
        <v>8.4162492796094117</v>
      </c>
      <c r="AM31" s="278">
        <f t="shared" si="15"/>
        <v>3462.959951877453</v>
      </c>
      <c r="AO31" s="474"/>
      <c r="AP31" s="305">
        <f t="shared" si="1"/>
        <v>46105.791666666664</v>
      </c>
      <c r="AQ31" s="284"/>
      <c r="AR31" s="333"/>
      <c r="AS31" s="333"/>
      <c r="AT31" s="333"/>
      <c r="AU31" s="334">
        <f>IF($K$3&gt;=$B31,Real!AE32,'ST Original'!BI31)</f>
        <v>32.725416577674395</v>
      </c>
      <c r="AV31" s="278">
        <f>IF($K$3&gt;=$B31,Real!AF32,'ST Original'!BJ31)</f>
        <v>1472.6437459953477</v>
      </c>
      <c r="AW31" s="303"/>
      <c r="AX31" s="276">
        <f>IF($K$3&gt;=$B31,Real!AK32,'ST Original'!BT31)</f>
        <v>8482.4198770040184</v>
      </c>
      <c r="AY31" s="246"/>
      <c r="AZ31" s="246"/>
      <c r="BA31" s="279"/>
      <c r="BB31" s="276">
        <f>IF($K$3&gt;=$B31,Real!H32,'ST Original'!CC31)</f>
        <v>98.056332111173901</v>
      </c>
      <c r="BC31" s="246"/>
      <c r="BD31" s="246"/>
      <c r="BE31" s="246"/>
      <c r="BF31" s="277"/>
      <c r="BG31" s="244"/>
      <c r="BH31" s="270"/>
      <c r="BI31" s="245"/>
      <c r="BJ31" s="246"/>
      <c r="BK31" s="246"/>
      <c r="BL31" s="276"/>
      <c r="BM31" s="246"/>
      <c r="BN31" s="246"/>
      <c r="BO31" s="246"/>
      <c r="BP31" s="246"/>
      <c r="BQ31" s="246"/>
      <c r="BR31" s="246"/>
      <c r="BS31" s="246"/>
      <c r="BT31" s="279"/>
      <c r="BU31" s="246"/>
      <c r="BV31" s="246"/>
      <c r="BW31" s="246"/>
      <c r="BX31" s="276"/>
      <c r="BY31" s="245"/>
      <c r="BZ31" s="270"/>
      <c r="CA31" s="269"/>
      <c r="CB31" s="245"/>
      <c r="CC31" s="270"/>
      <c r="CD31" s="269"/>
      <c r="CE31" s="245"/>
      <c r="CF31" s="270"/>
      <c r="CM31" s="650">
        <f>IF($K$3&gt;=$B31,Real!AD32,'ST Original'!K31)</f>
        <v>64.591307583795782</v>
      </c>
      <c r="CO31" s="624" t="e">
        <f>IF($K$3&gt;=$B31,Real!AW32,'ST Original'!#REF!)</f>
        <v>#REF!</v>
      </c>
      <c r="CP31" s="625" t="e">
        <f t="shared" si="16"/>
        <v>#REF!</v>
      </c>
    </row>
    <row r="32" spans="1:94" s="243" customFormat="1" ht="14.15" customHeight="1">
      <c r="A32" s="4768"/>
      <c r="B32" s="258">
        <f t="shared" si="2"/>
        <v>46106.791666666664</v>
      </c>
      <c r="C32" s="276">
        <f>IF($K$3&gt;=$B32,Real!C33,'ST Original'!C32)</f>
        <v>220000.00000043112</v>
      </c>
      <c r="D32" s="650">
        <f>IF($K$3&gt;=$B32,Real!D33,D31+C32-E32)</f>
        <v>536892.62664420123</v>
      </c>
      <c r="E32" s="276">
        <f>IF($K$3&gt;=$B32,Real!E33,'ST Original'!E32)</f>
        <v>201251.65792879966</v>
      </c>
      <c r="F32" s="279">
        <f t="shared" si="17"/>
        <v>4482521.4548421446</v>
      </c>
      <c r="G32" s="277">
        <f>IF($K$3&gt;=$B32,Real!J33,'ST Original'!J32)</f>
        <v>97.885672723806138</v>
      </c>
      <c r="H32" s="277">
        <f t="shared" si="3"/>
        <v>56.193647233444196</v>
      </c>
      <c r="I32" s="472">
        <f>IF($K$3&gt;=$B32,Real!K33,'ST Original'!L32)</f>
        <v>0.50905603115424403</v>
      </c>
      <c r="J32" s="277">
        <f>IF($K$3&gt;=$B32,Real!L33,'ST Original'!M32)</f>
        <v>87.707388126030864</v>
      </c>
      <c r="K32" s="277">
        <f>IF($K$3&gt;=$B32,Real!M33,'ST Original'!N32)</f>
        <v>24.113319660599188</v>
      </c>
      <c r="L32" s="276">
        <f>IF($K$3&gt;=$B32,IF(ISNUMBER(Real!N33),Real!N33,""),IF(ISNUMBER('ST Original'!O32),'ST Original'!O32,""))</f>
        <v>3726.3550181943365</v>
      </c>
      <c r="M32" s="246">
        <f t="shared" si="9"/>
        <v>78274.676163647018</v>
      </c>
      <c r="N32" s="276">
        <f t="shared" si="18"/>
        <v>898.54789722597934</v>
      </c>
      <c r="O32" s="279">
        <f t="shared" si="10"/>
        <v>20786.260757346816</v>
      </c>
      <c r="P32" s="276">
        <f>IF($K$3&gt;=$B32,Real!R33,'ST Original'!W32)</f>
        <v>80.170312557958326</v>
      </c>
      <c r="Q32" s="277">
        <f>IF($K$3&gt;=$B32,Real!S33,'ST Original'!X32)</f>
        <v>87.333156641235632</v>
      </c>
      <c r="R32" s="277">
        <f>IF($K$3&gt;=$B32,Real!T33,'ST Original'!Y32)</f>
        <v>86.775621484645612</v>
      </c>
      <c r="S32" s="277">
        <f>IF($K$3&gt;=$B32,Real!U33,'ST Original'!Z32)</f>
        <v>75.78388943759127</v>
      </c>
      <c r="T32" s="277">
        <f>IF($K$3&gt;=$B32,Real!V33,'ST Original'!AA32)</f>
        <v>50</v>
      </c>
      <c r="U32" s="277">
        <f>IF($K$3&gt;=$B32,Real!W33,'ST Original'!AB32)</f>
        <v>24.454564323699106</v>
      </c>
      <c r="V32" s="246">
        <f t="shared" si="11"/>
        <v>2234.4234016667992</v>
      </c>
      <c r="W32" s="279">
        <f t="shared" si="12"/>
        <v>50</v>
      </c>
      <c r="X32" s="244">
        <f>IF(ISNUMBER(IF($K$3&gt;=$B32,Real!Y33,'ST Original'!AE32)),IF($K$3&gt;=$B32,Real!Y33,'ST Original'!AE32),0)</f>
        <v>12.227282161849553</v>
      </c>
      <c r="Y32" s="246">
        <f t="shared" si="4"/>
        <v>761.80067904186615</v>
      </c>
      <c r="Z32" s="276">
        <f>IF(ISNUMBER(IF($K$3&gt;=$B32,Real!AA33,'ST Original'!AG32)),IF($K$3&gt;=$B32,Real!AA33,'ST Original'!AG32),0)</f>
        <v>25</v>
      </c>
      <c r="AA32" s="246">
        <f t="shared" si="5"/>
        <v>835.49373559192611</v>
      </c>
      <c r="AB32" s="279" t="e">
        <f>IF($K$3&gt;=$B32,Real!#REF!,AB31+'Real+S.T.'!X32-'Real+S.T.'!Z32)</f>
        <v>#REF!</v>
      </c>
      <c r="AC32" s="276">
        <f t="shared" si="6"/>
        <v>899.67273366365794</v>
      </c>
      <c r="AD32" s="279">
        <f t="shared" si="13"/>
        <v>22193.800716267298</v>
      </c>
      <c r="AE32" s="284">
        <f t="shared" si="7"/>
        <v>936.51570213139212</v>
      </c>
      <c r="AF32" s="285">
        <f t="shared" si="14"/>
        <v>22406.36870635123</v>
      </c>
      <c r="AG32" s="267">
        <f>IF(ISNUMBER(IF($K$3&gt;=$B32,Real!AO33,'ST Original'!AN32)),IF($K$3&gt;=$B32,Real!AO33,'ST Original'!AN32),0)</f>
        <v>4366</v>
      </c>
      <c r="AH32" s="283">
        <f>IF(ISNUMBER(IF($K$3&gt;=$B32,Real!AP33,'ST Original'!AO32)),IF($K$3&gt;=$B32,Real!AP33,'ST Original'!AO32),0)</f>
        <v>29.00637430726275</v>
      </c>
      <c r="AI32" s="265">
        <f t="shared" si="8"/>
        <v>1266.4183022550917</v>
      </c>
      <c r="AJ32" s="333"/>
      <c r="AL32" s="334">
        <f>IF($K$3&gt;=$B32,Real!AX33,'ST Original'!AZ32)</f>
        <v>11.119020477338058</v>
      </c>
      <c r="AM32" s="278">
        <f t="shared" si="15"/>
        <v>3474.0789723547909</v>
      </c>
      <c r="AO32" s="474"/>
      <c r="AP32" s="305">
        <f t="shared" si="1"/>
        <v>46106.791666666664</v>
      </c>
      <c r="AQ32" s="284"/>
      <c r="AR32" s="333"/>
      <c r="AS32" s="333"/>
      <c r="AT32" s="333"/>
      <c r="AU32" s="334">
        <f>IF($K$3&gt;=$B32,Real!AE33,'ST Original'!BI32)</f>
        <v>35.841282935384321</v>
      </c>
      <c r="AV32" s="278">
        <f>IF($K$3&gt;=$B32,Real!AF33,'ST Original'!BJ32)</f>
        <v>1612.8577320922943</v>
      </c>
      <c r="AW32" s="303"/>
      <c r="AX32" s="276">
        <f>IF($K$3&gt;=$B32,Real!AK33,'ST Original'!BT32)</f>
        <v>8572.565130586403</v>
      </c>
      <c r="AY32" s="246"/>
      <c r="AZ32" s="246"/>
      <c r="BA32" s="279"/>
      <c r="BB32" s="276">
        <f>IF($K$3&gt;=$B32,Real!H33,'ST Original'!CC32)</f>
        <v>98.056332111173901</v>
      </c>
      <c r="BC32" s="246"/>
      <c r="BD32" s="246"/>
      <c r="BE32" s="246"/>
      <c r="BF32" s="277"/>
      <c r="BG32" s="244"/>
      <c r="BH32" s="270"/>
      <c r="BI32" s="245"/>
      <c r="BJ32" s="246"/>
      <c r="BK32" s="246"/>
      <c r="BL32" s="276"/>
      <c r="BM32" s="246"/>
      <c r="BN32" s="246"/>
      <c r="BO32" s="246"/>
      <c r="BP32" s="246"/>
      <c r="BQ32" s="246"/>
      <c r="BR32" s="246"/>
      <c r="BS32" s="246"/>
      <c r="BT32" s="279"/>
      <c r="BU32" s="246"/>
      <c r="BV32" s="246"/>
      <c r="BW32" s="246"/>
      <c r="BX32" s="276"/>
      <c r="BY32" s="245"/>
      <c r="BZ32" s="270"/>
      <c r="CA32" s="269"/>
      <c r="CB32" s="245"/>
      <c r="CC32" s="270"/>
      <c r="CD32" s="269"/>
      <c r="CE32" s="245"/>
      <c r="CF32" s="270"/>
      <c r="CM32" s="650">
        <f>IF($K$3&gt;=$B32,Real!AD33,'ST Original'!K32)</f>
        <v>56.193647233444196</v>
      </c>
      <c r="CO32" s="624" t="e">
        <f>IF($K$3&gt;=$B32,Real!AW33,'ST Original'!#REF!)</f>
        <v>#REF!</v>
      </c>
      <c r="CP32" s="625" t="e">
        <f t="shared" si="16"/>
        <v>#REF!</v>
      </c>
    </row>
    <row r="33" spans="1:94" s="243" customFormat="1" ht="14.15" customHeight="1">
      <c r="A33" s="4768"/>
      <c r="B33" s="258">
        <f t="shared" si="2"/>
        <v>46107.791666666664</v>
      </c>
      <c r="C33" s="276">
        <f>IF($K$3&gt;=$B33,Real!C34,'ST Original'!C33)</f>
        <v>220000.00000017299</v>
      </c>
      <c r="D33" s="650">
        <f>IF($K$3&gt;=$B33,Real!D34,D32+C33-E33)</f>
        <v>547725.03833905561</v>
      </c>
      <c r="E33" s="276">
        <f>IF($K$3&gt;=$B33,Real!E34,'ST Original'!E33)</f>
        <v>209167.58830531855</v>
      </c>
      <c r="F33" s="279">
        <f t="shared" si="17"/>
        <v>4691689.0431474634</v>
      </c>
      <c r="G33" s="277">
        <f>IF($K$3&gt;=$B33,Real!J34,'ST Original'!J33)</f>
        <v>97.885672723806138</v>
      </c>
      <c r="H33" s="277">
        <f t="shared" si="3"/>
        <v>64.433085598601608</v>
      </c>
      <c r="I33" s="472">
        <f>IF($K$3&gt;=$B33,Real!K34,'ST Original'!L33)</f>
        <v>0.53298775612561489</v>
      </c>
      <c r="J33" s="277">
        <f>IF($K$3&gt;=$B33,Real!L34,'ST Original'!M33)</f>
        <v>90.469439382451938</v>
      </c>
      <c r="K33" s="277">
        <f>IF($K$3&gt;=$B33,Real!M34,'ST Original'!N33)</f>
        <v>25.237979789437635</v>
      </c>
      <c r="L33" s="276">
        <f>IF($K$3&gt;=$B33,IF(ISNUMBER(Real!N34),Real!N34,""),IF(ISNUMBER('ST Original'!O33),'ST Original'!O33,""))</f>
        <v>3996.3078155678249</v>
      </c>
      <c r="M33" s="246">
        <f t="shared" si="9"/>
        <v>82270.983979214841</v>
      </c>
      <c r="N33" s="276">
        <f t="shared" si="18"/>
        <v>1008.5873588167243</v>
      </c>
      <c r="O33" s="279">
        <f t="shared" si="10"/>
        <v>21794.848116163539</v>
      </c>
      <c r="P33" s="276">
        <f>IF($K$3&gt;=$B33,Real!R34,'ST Original'!W33)</f>
        <v>99.511122211505906</v>
      </c>
      <c r="Q33" s="277">
        <f>IF($K$3&gt;=$B33,Real!S34,'ST Original'!X33)</f>
        <v>88.090924663621166</v>
      </c>
      <c r="R33" s="277">
        <f>IF($K$3&gt;=$B33,Real!T34,'ST Original'!Y33)</f>
        <v>87.387943344676103</v>
      </c>
      <c r="S33" s="277">
        <f>IF($K$3&gt;=$B33,Real!U34,'ST Original'!Z33)</f>
        <v>76.98084733684658</v>
      </c>
      <c r="T33" s="277">
        <f>IF($K$3&gt;=$B33,Real!V34,'ST Original'!AA33)</f>
        <v>50</v>
      </c>
      <c r="U33" s="277">
        <f>IF($K$3&gt;=$B33,Real!W34,'ST Original'!AB33)</f>
        <v>32.046359158809516</v>
      </c>
      <c r="V33" s="246">
        <f t="shared" si="11"/>
        <v>2266.4697608256088</v>
      </c>
      <c r="W33" s="279">
        <f t="shared" si="12"/>
        <v>50</v>
      </c>
      <c r="X33" s="244">
        <f>IF(ISNUMBER(IF($K$3&gt;=$B33,Real!Y34,'ST Original'!AE33)),IF($K$3&gt;=$B33,Real!Y34,'ST Original'!AE33),0)</f>
        <v>16.023179579404758</v>
      </c>
      <c r="Y33" s="246">
        <f t="shared" si="4"/>
        <v>777.82385862127092</v>
      </c>
      <c r="Z33" s="276">
        <f>IF(ISNUMBER(IF($K$3&gt;=$B33,Real!AA34,'ST Original'!AG33)),IF($K$3&gt;=$B33,Real!AA34,'ST Original'!AG33),0)</f>
        <v>25</v>
      </c>
      <c r="AA33" s="246">
        <f t="shared" si="5"/>
        <v>860.49373559192611</v>
      </c>
      <c r="AB33" s="279" t="e">
        <f>IF($K$3&gt;=$B33,Real!#REF!,AB32+'Real+S.T.'!X33-'Real+S.T.'!Z33)</f>
        <v>#REF!</v>
      </c>
      <c r="AC33" s="276">
        <f t="shared" si="6"/>
        <v>1016.4799807943797</v>
      </c>
      <c r="AD33" s="279">
        <f t="shared" si="13"/>
        <v>23210.280697061677</v>
      </c>
      <c r="AE33" s="284">
        <f t="shared" si="7"/>
        <v>1042.3736641816888</v>
      </c>
      <c r="AF33" s="285">
        <f t="shared" si="14"/>
        <v>23448.74237053292</v>
      </c>
      <c r="AG33" s="267">
        <f>IF(ISNUMBER(IF($K$3&gt;=$B33,Real!AO34,'ST Original'!AN33)),IF($K$3&gt;=$B33,Real!AO34,'ST Original'!AN33),0)</f>
        <v>4366</v>
      </c>
      <c r="AH33" s="283">
        <f>IF(ISNUMBER(IF($K$3&gt;=$B33,Real!AP34,'ST Original'!AO33)),IF($K$3&gt;=$B33,Real!AP34,'ST Original'!AO33),0)</f>
        <v>26.705241224231788</v>
      </c>
      <c r="AI33" s="265">
        <f t="shared" si="8"/>
        <v>1165.9508318499597</v>
      </c>
      <c r="AJ33" s="333"/>
      <c r="AL33" s="334">
        <f>IF($K$3&gt;=$B33,Real!AX34,'ST Original'!AZ33)</f>
        <v>10.809148306665374</v>
      </c>
      <c r="AM33" s="278">
        <f t="shared" si="15"/>
        <v>3484.8881206614565</v>
      </c>
      <c r="AO33" s="474"/>
      <c r="AP33" s="305">
        <f t="shared" si="1"/>
        <v>46107.791666666664</v>
      </c>
      <c r="AQ33" s="284"/>
      <c r="AR33" s="333"/>
      <c r="AS33" s="333"/>
      <c r="AT33" s="333"/>
      <c r="AU33" s="334">
        <f>IF($K$3&gt;=$B33,Real!AE34,'ST Original'!BI33)</f>
        <v>41.877634288827736</v>
      </c>
      <c r="AV33" s="278">
        <f>IF($K$3&gt;=$B33,Real!AF34,'ST Original'!BJ33)</f>
        <v>1884.4935429972481</v>
      </c>
      <c r="AW33" s="303"/>
      <c r="AX33" s="276">
        <f>IF($K$3&gt;=$B33,Real!AK34,'ST Original'!BT33)</f>
        <v>8909.7540482841814</v>
      </c>
      <c r="AY33" s="246"/>
      <c r="AZ33" s="246"/>
      <c r="BA33" s="279"/>
      <c r="BB33" s="276">
        <f>IF($K$3&gt;=$B33,Real!H34,'ST Original'!CC33)</f>
        <v>98.056332111173901</v>
      </c>
      <c r="BC33" s="246"/>
      <c r="BD33" s="246"/>
      <c r="BE33" s="246"/>
      <c r="BF33" s="277"/>
      <c r="BG33" s="244"/>
      <c r="BH33" s="270"/>
      <c r="BI33" s="245"/>
      <c r="BJ33" s="246"/>
      <c r="BK33" s="246"/>
      <c r="BL33" s="276"/>
      <c r="BM33" s="246"/>
      <c r="BN33" s="246"/>
      <c r="BO33" s="246"/>
      <c r="BP33" s="246"/>
      <c r="BQ33" s="246"/>
      <c r="BR33" s="246"/>
      <c r="BS33" s="246"/>
      <c r="BT33" s="279"/>
      <c r="BU33" s="246"/>
      <c r="BV33" s="246"/>
      <c r="BW33" s="246"/>
      <c r="BX33" s="276"/>
      <c r="BY33" s="245"/>
      <c r="BZ33" s="270"/>
      <c r="CA33" s="269"/>
      <c r="CB33" s="245"/>
      <c r="CC33" s="270"/>
      <c r="CD33" s="269"/>
      <c r="CE33" s="245"/>
      <c r="CF33" s="270"/>
      <c r="CM33" s="650">
        <f>IF($K$3&gt;=$B33,Real!AD34,'ST Original'!K33)</f>
        <v>64.433085598601608</v>
      </c>
      <c r="CO33" s="624" t="e">
        <f>IF($K$3&gt;=$B33,Real!AW34,'ST Original'!#REF!)</f>
        <v>#REF!</v>
      </c>
      <c r="CP33" s="625" t="e">
        <f t="shared" si="16"/>
        <v>#REF!</v>
      </c>
    </row>
    <row r="34" spans="1:94" s="243" customFormat="1" ht="14.15" customHeight="1">
      <c r="A34" s="4768"/>
      <c r="B34" s="258">
        <f t="shared" si="2"/>
        <v>46108.791666666664</v>
      </c>
      <c r="C34" s="276">
        <f>IF($K$3&gt;=$B34,Real!C35,'ST Original'!C34)</f>
        <v>200000.00000007878</v>
      </c>
      <c r="D34" s="650">
        <f>IF($K$3&gt;=$B34,Real!D35,D33+C34-E34)</f>
        <v>538176.16339287395</v>
      </c>
      <c r="E34" s="276">
        <f>IF($K$3&gt;=$B34,Real!E35,'ST Original'!E34)</f>
        <v>209548.87494626042</v>
      </c>
      <c r="F34" s="279">
        <f t="shared" si="17"/>
        <v>4901237.9180937242</v>
      </c>
      <c r="G34" s="277">
        <f>IF($K$3&gt;=$B34,Real!J35,'ST Original'!J34)</f>
        <v>97.885672723806138</v>
      </c>
      <c r="H34" s="277">
        <f t="shared" si="3"/>
        <v>60.938995065387836</v>
      </c>
      <c r="I34" s="472">
        <f>IF($K$3&gt;=$B34,Real!K35,'ST Original'!L34)</f>
        <v>0.58620307725686216</v>
      </c>
      <c r="J34" s="277">
        <f>IF($K$3&gt;=$B34,Real!L35,'ST Original'!M34)</f>
        <v>90.218317494085895</v>
      </c>
      <c r="K34" s="277">
        <f>IF($K$3&gt;=$B34,Real!M35,'ST Original'!N34)</f>
        <v>26.753175806139513</v>
      </c>
      <c r="L34" s="276">
        <f>IF($K$3&gt;=$B34,IF(ISNUMBER(Real!N35),Real!N35,""),IF(ISNUMBER('ST Original'!O34),'ST Original'!O34,""))</f>
        <v>4142.4073862917176</v>
      </c>
      <c r="M34" s="246">
        <f t="shared" si="9"/>
        <v>86413.391365506555</v>
      </c>
      <c r="N34" s="276">
        <f t="shared" si="18"/>
        <v>1108.2255306611319</v>
      </c>
      <c r="O34" s="279">
        <f t="shared" si="10"/>
        <v>22903.073646824672</v>
      </c>
      <c r="P34" s="276">
        <f>IF($K$3&gt;=$B34,Real!R35,'ST Original'!W34)</f>
        <v>112.14130337017447</v>
      </c>
      <c r="Q34" s="277">
        <f>IF($K$3&gt;=$B34,Real!S35,'ST Original'!X34)</f>
        <v>88.509893482860562</v>
      </c>
      <c r="R34" s="277">
        <f>IF($K$3&gt;=$B34,Real!T35,'ST Original'!Y34)</f>
        <v>87.726495195787237</v>
      </c>
      <c r="S34" s="277">
        <f>IF($K$3&gt;=$B34,Real!U35,'ST Original'!Z34)</f>
        <v>77.646627454038068</v>
      </c>
      <c r="T34" s="277">
        <f>IF($K$3&gt;=$B34,Real!V35,'ST Original'!AA34)</f>
        <v>50</v>
      </c>
      <c r="U34" s="277">
        <f>IF($K$3&gt;=$B34,Real!W35,'ST Original'!AB34)</f>
        <v>36.492492349206955</v>
      </c>
      <c r="V34" s="246">
        <f t="shared" si="11"/>
        <v>2302.9622531748159</v>
      </c>
      <c r="W34" s="279">
        <f t="shared" si="12"/>
        <v>50</v>
      </c>
      <c r="X34" s="244">
        <f>IF(ISNUMBER(IF($K$3&gt;=$B34,Real!Y35,'ST Original'!AE34)),IF($K$3&gt;=$B34,Real!Y35,'ST Original'!AE34),0)</f>
        <v>18.246246174603478</v>
      </c>
      <c r="Y34" s="246">
        <f t="shared" si="4"/>
        <v>796.07010479587439</v>
      </c>
      <c r="Z34" s="276">
        <f>IF(ISNUMBER(IF($K$3&gt;=$B34,Real!AA35,'ST Original'!AG34)),IF($K$3&gt;=$B34,Real!AA35,'ST Original'!AG34),0)</f>
        <v>25</v>
      </c>
      <c r="AA34" s="246">
        <f t="shared" si="5"/>
        <v>885.49373559192611</v>
      </c>
      <c r="AB34" s="279" t="e">
        <f>IF($K$3&gt;=$B34,Real!#REF!,AB33+'Real+S.T.'!X34-'Real+S.T.'!Z34)</f>
        <v>#REF!</v>
      </c>
      <c r="AC34" s="276">
        <f t="shared" si="6"/>
        <v>1118.7443488178833</v>
      </c>
      <c r="AD34" s="279">
        <f t="shared" si="13"/>
        <v>24329.02504587956</v>
      </c>
      <c r="AE34" s="284">
        <f t="shared" si="7"/>
        <v>1138.2255854960088</v>
      </c>
      <c r="AF34" s="285">
        <f t="shared" si="14"/>
        <v>24586.96795602893</v>
      </c>
      <c r="AG34" s="267">
        <f>IF(ISNUMBER(IF($K$3&gt;=$B34,Real!AO35,'ST Original'!AN34)),IF($K$3&gt;=$B34,Real!AO35,'ST Original'!AN34),0)</f>
        <v>4366</v>
      </c>
      <c r="AH34" s="283">
        <f>IF(ISNUMBER(IF($K$3&gt;=$B34,Real!AP35,'ST Original'!AO34)),IF($K$3&gt;=$B34,Real!AP35,'ST Original'!AO34),0)</f>
        <v>24.113319660599188</v>
      </c>
      <c r="AI34" s="265">
        <f t="shared" si="8"/>
        <v>1052.7875363817607</v>
      </c>
      <c r="AJ34" s="333"/>
      <c r="AL34" s="334">
        <f>IF($K$3&gt;=$B34,Real!AX35,'ST Original'!AZ34)</f>
        <v>8.7386528305975517</v>
      </c>
      <c r="AM34" s="278">
        <f t="shared" si="15"/>
        <v>3493.6267734920539</v>
      </c>
      <c r="AO34" s="474"/>
      <c r="AP34" s="305">
        <f t="shared" si="1"/>
        <v>46108.791666666664</v>
      </c>
      <c r="AQ34" s="284"/>
      <c r="AR34" s="333"/>
      <c r="AS34" s="333"/>
      <c r="AT34" s="333"/>
      <c r="AU34" s="334">
        <f>IF($K$3&gt;=$B34,Real!AE35,'ST Original'!BI34)</f>
        <v>49.395080981495639</v>
      </c>
      <c r="AV34" s="278">
        <f>IF($K$3&gt;=$B34,Real!AF35,'ST Original'!BJ34)</f>
        <v>2222.7786441673038</v>
      </c>
      <c r="AW34" s="303"/>
      <c r="AX34" s="276">
        <f>IF($K$3&gt;=$B34,Real!AK35,'ST Original'!BT34)</f>
        <v>8925.9954278411788</v>
      </c>
      <c r="AY34" s="246"/>
      <c r="AZ34" s="246"/>
      <c r="BA34" s="279"/>
      <c r="BB34" s="276">
        <f>IF($K$3&gt;=$B34,Real!H35,'ST Original'!CC34)</f>
        <v>98.056332111173901</v>
      </c>
      <c r="BC34" s="246"/>
      <c r="BD34" s="246"/>
      <c r="BE34" s="246"/>
      <c r="BF34" s="277"/>
      <c r="BG34" s="244"/>
      <c r="BH34" s="270"/>
      <c r="BI34" s="245"/>
      <c r="BJ34" s="246"/>
      <c r="BK34" s="246"/>
      <c r="BL34" s="276"/>
      <c r="BM34" s="246"/>
      <c r="BN34" s="246"/>
      <c r="BO34" s="246"/>
      <c r="BP34" s="246"/>
      <c r="BQ34" s="246"/>
      <c r="BR34" s="246"/>
      <c r="BS34" s="246"/>
      <c r="BT34" s="279"/>
      <c r="BU34" s="246"/>
      <c r="BV34" s="246"/>
      <c r="BW34" s="246"/>
      <c r="BX34" s="276"/>
      <c r="BY34" s="245"/>
      <c r="BZ34" s="270"/>
      <c r="CA34" s="269"/>
      <c r="CB34" s="245"/>
      <c r="CC34" s="270"/>
      <c r="CD34" s="269"/>
      <c r="CE34" s="245"/>
      <c r="CF34" s="270"/>
      <c r="CM34" s="650">
        <f>IF($K$3&gt;=$B34,Real!AD35,'ST Original'!K34)</f>
        <v>60.938995065387836</v>
      </c>
      <c r="CO34" s="624" t="e">
        <f>IF($K$3&gt;=$B34,Real!AW35,'ST Original'!#REF!)</f>
        <v>#REF!</v>
      </c>
      <c r="CP34" s="625" t="e">
        <f t="shared" si="16"/>
        <v>#REF!</v>
      </c>
    </row>
    <row r="35" spans="1:94" s="243" customFormat="1" ht="14.15" customHeight="1">
      <c r="A35" s="474"/>
      <c r="B35" s="258">
        <f t="shared" si="2"/>
        <v>46109.791666666664</v>
      </c>
      <c r="C35" s="276">
        <f>IF($K$3&gt;=$B35,Real!C36,'ST Original'!C35)</f>
        <v>185000.00000020902</v>
      </c>
      <c r="D35" s="650">
        <f>IF($K$3&gt;=$B35,Real!D36,D34+C35-E35)</f>
        <v>507583.07507112285</v>
      </c>
      <c r="E35" s="276">
        <f>IF($K$3&gt;=$B35,Real!E36,'ST Original'!E35)</f>
        <v>215593.08832196021</v>
      </c>
      <c r="F35" s="279">
        <f t="shared" si="17"/>
        <v>5116831.0064156847</v>
      </c>
      <c r="G35" s="277">
        <f>IF($K$3&gt;=$B35,Real!J36,'ST Original'!J35)</f>
        <v>97.885672723806138</v>
      </c>
      <c r="H35" s="277">
        <f t="shared" si="3"/>
        <v>44.153437527899392</v>
      </c>
      <c r="I35" s="472">
        <f>IF($K$3&gt;=$B35,Real!K36,'ST Original'!L35)</f>
        <v>0.58702891178295702</v>
      </c>
      <c r="J35" s="277">
        <f>IF($K$3&gt;=$B35,Real!L36,'ST Original'!M35)</f>
        <v>89.583309455896881</v>
      </c>
      <c r="K35" s="277">
        <f>IF($K$3&gt;=$B35,Real!M36,'ST Original'!N35)</f>
        <v>25.41389590416216</v>
      </c>
      <c r="L35" s="276">
        <f>IF($K$3&gt;=$B35,IF(ISNUMBER(Real!N36),Real!N36,""),IF(ISNUMBER('ST Original'!O35),'ST Original'!O35,""))</f>
        <v>4461.1844597926402</v>
      </c>
      <c r="M35" s="246">
        <f t="shared" si="9"/>
        <v>90874.575825299195</v>
      </c>
      <c r="N35" s="276">
        <f t="shared" si="18"/>
        <v>1133.7607747043605</v>
      </c>
      <c r="O35" s="279">
        <f t="shared" si="10"/>
        <v>24036.834421529034</v>
      </c>
      <c r="P35" s="276">
        <f>IF($K$3&gt;=$B35,Real!R36,'ST Original'!W35)</f>
        <v>79.320162188502493</v>
      </c>
      <c r="Q35" s="277">
        <f>IF($K$3&gt;=$B35,Real!S36,'ST Original'!X35)</f>
        <v>87.295776221145999</v>
      </c>
      <c r="R35" s="277">
        <f>IF($K$3&gt;=$B35,Real!T36,'ST Original'!Y35)</f>
        <v>86.74541587068218</v>
      </c>
      <c r="S35" s="277">
        <f>IF($K$3&gt;=$B35,Real!U36,'ST Original'!Z35)</f>
        <v>75.725084120573186</v>
      </c>
      <c r="T35" s="277">
        <f>IF($K$3&gt;=$B35,Real!V36,'ST Original'!AA35)</f>
        <v>50</v>
      </c>
      <c r="U35" s="277">
        <f>IF($K$3&gt;=$B35,Real!W36,'ST Original'!AB35)</f>
        <v>25.899309610961517</v>
      </c>
      <c r="V35" s="246">
        <f t="shared" si="11"/>
        <v>2328.8615627857776</v>
      </c>
      <c r="W35" s="279">
        <f t="shared" si="12"/>
        <v>50</v>
      </c>
      <c r="X35" s="244">
        <f>IF(ISNUMBER(IF($K$3&gt;=$B35,Real!Y36,'ST Original'!AE35)),IF($K$3&gt;=$B35,Real!Y36,'ST Original'!AE35),0)</f>
        <v>12.949654805480758</v>
      </c>
      <c r="Y35" s="246">
        <f t="shared" si="4"/>
        <v>809.01975960135519</v>
      </c>
      <c r="Z35" s="276">
        <f>IF(ISNUMBER(IF($K$3&gt;=$B35,Real!AA36,'ST Original'!AG35)),IF($K$3&gt;=$B35,Real!AA36,'ST Original'!AG35),0)</f>
        <v>25</v>
      </c>
      <c r="AA35" s="246">
        <f t="shared" si="5"/>
        <v>910.49373559192611</v>
      </c>
      <c r="AB35" s="279" t="e">
        <f>IF($K$3&gt;=$B35,Real!#REF!,AB34+'Real+S.T.'!X35-'Real+S.T.'!Z35)</f>
        <v>#REF!</v>
      </c>
      <c r="AC35" s="276">
        <f t="shared" si="6"/>
        <v>1128.0312093002781</v>
      </c>
      <c r="AD35" s="279">
        <f t="shared" si="13"/>
        <v>25457.056255179839</v>
      </c>
      <c r="AE35" s="284">
        <f t="shared" si="7"/>
        <v>1162.7904902655948</v>
      </c>
      <c r="AF35" s="285">
        <f t="shared" si="14"/>
        <v>25749.758446294523</v>
      </c>
      <c r="AG35" s="267">
        <f>IF(ISNUMBER(IF($K$3&gt;=$B35,Real!AO36,'ST Original'!AN35)),IF($K$3&gt;=$B35,Real!AO36,'ST Original'!AN35),0)</f>
        <v>4366</v>
      </c>
      <c r="AH35" s="283">
        <f>IF(ISNUMBER(IF($K$3&gt;=$B35,Real!AP36,'ST Original'!AO35)),IF($K$3&gt;=$B35,Real!AP36,'ST Original'!AO35),0)</f>
        <v>25.237979789437635</v>
      </c>
      <c r="AI35" s="265">
        <f t="shared" si="8"/>
        <v>1101.8901976068471</v>
      </c>
      <c r="AJ35" s="333"/>
      <c r="AL35" s="334">
        <f>IF($K$3&gt;=$B35,Real!AX36,'ST Original'!AZ35)</f>
        <v>10.589780880680918</v>
      </c>
      <c r="AM35" s="278">
        <f t="shared" si="15"/>
        <v>3504.2165543727347</v>
      </c>
      <c r="AO35" s="474"/>
      <c r="AP35" s="305">
        <f t="shared" si="1"/>
        <v>46109.791666666664</v>
      </c>
      <c r="AQ35" s="284"/>
      <c r="AR35" s="333"/>
      <c r="AS35" s="333"/>
      <c r="AT35" s="333"/>
      <c r="AU35" s="334">
        <f>IF($K$3&gt;=$B35,Real!AE36,'ST Original'!BI35)</f>
        <v>29.582279762370987</v>
      </c>
      <c r="AV35" s="278">
        <f>IF($K$3&gt;=$B35,Real!AF36,'ST Original'!BJ35)</f>
        <v>1331.2025893066943</v>
      </c>
      <c r="AW35" s="303"/>
      <c r="AX35" s="276">
        <f>IF($K$3&gt;=$B35,Real!AK36,'ST Original'!BT35)</f>
        <v>9183.4562277153309</v>
      </c>
      <c r="AY35" s="246"/>
      <c r="AZ35" s="246"/>
      <c r="BA35" s="279"/>
      <c r="BB35" s="276">
        <f>IF($K$3&gt;=$B35,Real!H36,'ST Original'!CC35)</f>
        <v>98.056332111173901</v>
      </c>
      <c r="BC35" s="246"/>
      <c r="BD35" s="246"/>
      <c r="BE35" s="246"/>
      <c r="BF35" s="277"/>
      <c r="BG35" s="244"/>
      <c r="BH35" s="270"/>
      <c r="BI35" s="245"/>
      <c r="BJ35" s="246"/>
      <c r="BK35" s="246"/>
      <c r="BL35" s="276"/>
      <c r="BM35" s="246"/>
      <c r="BN35" s="246"/>
      <c r="BO35" s="246"/>
      <c r="BP35" s="246"/>
      <c r="BQ35" s="246"/>
      <c r="BR35" s="246"/>
      <c r="BS35" s="246"/>
      <c r="BT35" s="279"/>
      <c r="BU35" s="246"/>
      <c r="BV35" s="246"/>
      <c r="BW35" s="246"/>
      <c r="BX35" s="276"/>
      <c r="BY35" s="245"/>
      <c r="BZ35" s="270"/>
      <c r="CA35" s="269"/>
      <c r="CB35" s="245"/>
      <c r="CC35" s="270"/>
      <c r="CD35" s="269"/>
      <c r="CE35" s="245"/>
      <c r="CF35" s="270"/>
      <c r="CM35" s="650">
        <f>IF($K$3&gt;=$B35,Real!AD36,'ST Original'!K35)</f>
        <v>44.153437527899392</v>
      </c>
      <c r="CO35" s="624" t="e">
        <f>IF($K$3&gt;=$B35,Real!AW36,'ST Original'!#REF!)</f>
        <v>#REF!</v>
      </c>
      <c r="CP35" s="625" t="e">
        <f t="shared" si="16"/>
        <v>#REF!</v>
      </c>
    </row>
    <row r="36" spans="1:94" s="243" customFormat="1" ht="14.15" customHeight="1">
      <c r="A36" s="474"/>
      <c r="B36" s="258">
        <f t="shared" si="2"/>
        <v>46110.791666666664</v>
      </c>
      <c r="C36" s="276">
        <f>IF($K$3&gt;=$B36,Real!C37,'ST Original'!C36)</f>
        <v>219999.99999977328</v>
      </c>
      <c r="D36" s="650">
        <f>IF($K$3&gt;=$B36,Real!D37,D35+C36-E36)</f>
        <v>516957.1457728637</v>
      </c>
      <c r="E36" s="276">
        <f>IF($K$3&gt;=$B36,Real!E37,'ST Original'!E36)</f>
        <v>210625.92929803248</v>
      </c>
      <c r="F36" s="279">
        <f>+F35+E36</f>
        <v>5327456.9357137168</v>
      </c>
      <c r="G36" s="277">
        <f>IF($K$3&gt;=$B36,Real!J37,'ST Original'!J36)</f>
        <v>97.885672723806138</v>
      </c>
      <c r="H36" s="277">
        <f>CM36</f>
        <v>70.841381451589641</v>
      </c>
      <c r="I36" s="472">
        <f>IF($K$3&gt;=$B36,Real!K37,'ST Original'!L36)</f>
        <v>0.58110873305710664</v>
      </c>
      <c r="J36" s="277">
        <f>IF($K$3&gt;=$B36,Real!L37,'ST Original'!M36)</f>
        <v>89.976839205924364</v>
      </c>
      <c r="K36" s="277">
        <f>IF($K$3&gt;=$B36,Real!M37,'ST Original'!N36)</f>
        <v>26.613948682597318</v>
      </c>
      <c r="L36" s="276">
        <f>IF($K$3&gt;=$B36,IF(ISNUMBER(Real!N37),Real!N37,""),IF(ISNUMBER('ST Original'!O36),'ST Original'!O36,""))</f>
        <v>4138.0015993722654</v>
      </c>
      <c r="M36" s="246">
        <f>IF(ISNUMBER(L36),+M35+L36,M35)</f>
        <v>95012.577424671457</v>
      </c>
      <c r="N36" s="276">
        <f>IF(ISNUMBER(L36),L36*K36/100,"")</f>
        <v>1101.2856221419911</v>
      </c>
      <c r="O36" s="279">
        <f>IF(ISNUMBER(N36),+O35+N36,O35)</f>
        <v>25138.120043671024</v>
      </c>
      <c r="P36" s="276">
        <f>IF($K$3&gt;=$B36,Real!R37,'ST Original'!W36)</f>
        <v>81.246285404785922</v>
      </c>
      <c r="Q36" s="277">
        <f>IF($K$3&gt;=$B36,Real!S37,'ST Original'!X36)</f>
        <v>87.379902013387337</v>
      </c>
      <c r="R36" s="277">
        <f>IF($K$3&gt;=$B36,Real!T37,'ST Original'!Y36)</f>
        <v>86.813394539694372</v>
      </c>
      <c r="S36" s="277">
        <f>IF($K$3&gt;=$B36,Real!U37,'ST Original'!Z36)</f>
        <v>75.85745908328029</v>
      </c>
      <c r="T36" s="277">
        <f>IF($K$3&gt;=$B36,Real!V37,'ST Original'!AA36)</f>
        <v>50</v>
      </c>
      <c r="U36" s="277">
        <f>IF($K$3&gt;=$B36,Real!W37,'ST Original'!AB36)</f>
        <v>25.962328194652681</v>
      </c>
      <c r="V36" s="246">
        <f>IF(ISNUMBER(U36),+V35+U36,V35)</f>
        <v>2354.8238909804304</v>
      </c>
      <c r="W36" s="279">
        <f>Z36/(T36/100)</f>
        <v>50</v>
      </c>
      <c r="X36" s="244">
        <f>IF(ISNUMBER(IF($K$3&gt;=$B36,Real!Y37,'ST Original'!AE36)),IF($K$3&gt;=$B36,Real!Y37,'ST Original'!AE36),0)</f>
        <v>12.98116409732634</v>
      </c>
      <c r="Y36" s="246">
        <f>IF(ISNUMBER(X36),+Y35+X36,Y35)</f>
        <v>822.0009236986815</v>
      </c>
      <c r="Z36" s="276">
        <f>IF(ISNUMBER(IF($K$3&gt;=$B36,Real!AA37,'ST Original'!AG36)),IF($K$3&gt;=$B36,Real!AA37,'ST Original'!AG36),0)</f>
        <v>25</v>
      </c>
      <c r="AA36" s="246">
        <f>+AA35+Z36</f>
        <v>935.49373559192611</v>
      </c>
      <c r="AB36" s="279" t="e">
        <f>IF($K$3&gt;=$B36,Real!#REF!,AB35+'Real+S.T.'!X36-'Real+S.T.'!Z36)</f>
        <v>#REF!</v>
      </c>
      <c r="AC36" s="276">
        <f>IF(ISNUMBER(N36*$CJ$8+X36*$CJ$7*$CJ$9),N36*$CJ$8+X36*$CJ$7*$CJ$9,"")</f>
        <v>1096.8810012451538</v>
      </c>
      <c r="AD36" s="279">
        <f>IF(ISNUMBER(AC36),+AD35+AC36,AD35)</f>
        <v>26553.937256424993</v>
      </c>
      <c r="AE36" s="284">
        <f>IF(ISNUMBER(N36*$CJ$8+Z36*$CJ$7*$CJ$9),N36*$CJ$8+Z36*$CJ$7*$CJ$9,"")</f>
        <v>1131.5493935005954</v>
      </c>
      <c r="AF36" s="285">
        <f>IF(ISNUMBER(AE36),+AF35+AE36,AF35)</f>
        <v>26881.307839795118</v>
      </c>
      <c r="AG36" s="267">
        <f>IF(ISNUMBER(IF($K$3&gt;=$B36,Real!AO37,'ST Original'!AN36)),IF($K$3&gt;=$B36,Real!AO37,'ST Original'!AN36),0)</f>
        <v>4366</v>
      </c>
      <c r="AH36" s="283">
        <f>IF(ISNUMBER(IF($K$3&gt;=$B36,Real!AP37,'ST Original'!AO36)),IF($K$3&gt;=$B36,Real!AP37,'ST Original'!AO36),0)</f>
        <v>26.753175806139513</v>
      </c>
      <c r="AI36" s="265">
        <f>AG36*AH36/100</f>
        <v>1168.0436556960512</v>
      </c>
      <c r="AJ36" s="333"/>
      <c r="AL36" s="334">
        <f>IF($K$3&gt;=$B36,Real!AX37,'ST Original'!AZ36)</f>
        <v>8.4777408915590264</v>
      </c>
      <c r="AM36" s="278">
        <f>AM35+AL36</f>
        <v>3512.6942952642935</v>
      </c>
      <c r="AO36" s="474"/>
      <c r="AP36" s="305">
        <f>B36</f>
        <v>46110.791666666664</v>
      </c>
      <c r="AQ36" s="284"/>
      <c r="AR36" s="333"/>
      <c r="AS36" s="333"/>
      <c r="AT36" s="333"/>
      <c r="AU36" s="334">
        <f>IF($K$3&gt;=$B36,Real!AE37,'ST Original'!BI36)</f>
        <v>39.292126131271907</v>
      </c>
      <c r="AV36" s="278">
        <f>IF($K$3&gt;=$B36,Real!AF37,'ST Original'!BJ36)</f>
        <v>1768.1456759072357</v>
      </c>
      <c r="AW36" s="303"/>
      <c r="AX36" s="276">
        <f>IF($K$3&gt;=$B36,Real!AK37,'ST Original'!BT36)</f>
        <v>8971.8738999728921</v>
      </c>
      <c r="AY36" s="246"/>
      <c r="AZ36" s="246"/>
      <c r="BA36" s="279"/>
      <c r="BB36" s="276">
        <f>IF($K$3&gt;=$B36,Real!H37,'ST Original'!CC36)</f>
        <v>98.056332111173901</v>
      </c>
      <c r="BC36" s="246"/>
      <c r="BD36" s="246"/>
      <c r="BE36" s="246"/>
      <c r="BF36" s="277"/>
      <c r="BG36" s="244"/>
      <c r="BH36" s="270"/>
      <c r="BI36" s="245"/>
      <c r="BJ36" s="246"/>
      <c r="BK36" s="246"/>
      <c r="BL36" s="276"/>
      <c r="BM36" s="246"/>
      <c r="BN36" s="246"/>
      <c r="BO36" s="246"/>
      <c r="BP36" s="246"/>
      <c r="BQ36" s="246"/>
      <c r="BR36" s="246"/>
      <c r="BS36" s="246"/>
      <c r="BT36" s="279"/>
      <c r="BU36" s="246"/>
      <c r="BV36" s="246"/>
      <c r="BW36" s="246"/>
      <c r="BX36" s="276"/>
      <c r="BY36" s="245"/>
      <c r="BZ36" s="270"/>
      <c r="CA36" s="269"/>
      <c r="CB36" s="245"/>
      <c r="CC36" s="270"/>
      <c r="CD36" s="269"/>
      <c r="CE36" s="245"/>
      <c r="CF36" s="270"/>
      <c r="CM36" s="650">
        <f>IF($K$3&gt;=$B36,Real!AD37,'ST Original'!K36)</f>
        <v>70.841381451589641</v>
      </c>
      <c r="CO36" s="624" t="e">
        <f>IF($K$3&gt;=$B36,Real!AW37,'ST Original'!#REF!)</f>
        <v>#REF!</v>
      </c>
      <c r="CP36" s="625" t="e">
        <f>CP35+CO36</f>
        <v>#REF!</v>
      </c>
    </row>
    <row r="37" spans="1:94" s="243" customFormat="1" ht="14.15" customHeight="1">
      <c r="A37" s="474"/>
      <c r="B37" s="258">
        <f t="shared" si="2"/>
        <v>46111.791666666664</v>
      </c>
      <c r="C37" s="276">
        <f>IF($K$3&gt;=$B37,Real!C38,'ST Original'!C37)</f>
        <v>219999.9999998819</v>
      </c>
      <c r="D37" s="650">
        <f>IF($K$3&gt;=$B37,Real!D38,D36+C37-E37)</f>
        <v>531268.11869595549</v>
      </c>
      <c r="E37" s="276">
        <f>IF($K$3&gt;=$B37,Real!E38,'ST Original'!E37)</f>
        <v>205689.02707679011</v>
      </c>
      <c r="F37" s="279">
        <f>+F36+E37</f>
        <v>5533145.9627905069</v>
      </c>
      <c r="G37" s="277">
        <f>IF($K$3&gt;=$B37,Real!J38,'ST Original'!J37)</f>
        <v>97.885672723806138</v>
      </c>
      <c r="H37" s="277">
        <f>CM37</f>
        <v>70.841381451589641</v>
      </c>
      <c r="I37" s="472">
        <f>IF($K$3&gt;=$B37,Real!K38,'ST Original'!L37)</f>
        <v>0.56194335962321529</v>
      </c>
      <c r="J37" s="277">
        <f>IF($K$3&gt;=$B37,Real!L38,'ST Original'!M37)</f>
        <v>90.285434666516934</v>
      </c>
      <c r="K37" s="277">
        <f>IF($K$3&gt;=$B37,Real!M38,'ST Original'!N37)</f>
        <v>27.633995175069714</v>
      </c>
      <c r="L37" s="276">
        <f>IF($K$3&gt;=$B37,IF(ISNUMBER(Real!N38),Real!N38,""),IF(ISNUMBER('ST Original'!O37),'ST Original'!O37,""))</f>
        <v>3776.3973426152384</v>
      </c>
      <c r="M37" s="246">
        <f>IF(ISNUMBER(L37),+M36+L37,M36)</f>
        <v>98788.974767286694</v>
      </c>
      <c r="N37" s="276">
        <f>IF(ISNUMBER(L37),L37*K37/100,"")</f>
        <v>1043.5694594497559</v>
      </c>
      <c r="O37" s="279">
        <f>IF(ISNUMBER(N37),+O36+N37,O36)</f>
        <v>26181.689503120779</v>
      </c>
      <c r="P37" s="276">
        <f>IF($K$3&gt;=$B37,Real!R38,'ST Original'!W37)</f>
        <v>73.450913666676442</v>
      </c>
      <c r="Q37" s="277">
        <f>IF($K$3&gt;=$B37,Real!S38,'ST Original'!X37)</f>
        <v>87.026229385706785</v>
      </c>
      <c r="R37" s="277">
        <f>IF($K$3&gt;=$B37,Real!T38,'ST Original'!Y37)</f>
        <v>86.527605914645932</v>
      </c>
      <c r="S37" s="277">
        <f>IF($K$3&gt;=$B37,Real!U38,'ST Original'!Z37)</f>
        <v>75.301712805240157</v>
      </c>
      <c r="T37" s="277">
        <f>IF($K$3&gt;=$B37,Real!V38,'ST Original'!AA37)</f>
        <v>50</v>
      </c>
      <c r="U37" s="277">
        <f>IF($K$3&gt;=$B37,Real!W38,'ST Original'!AB37)</f>
        <v>22.753236279660349</v>
      </c>
      <c r="V37" s="246">
        <f>IF(ISNUMBER(U37),+V36+U37,V36)</f>
        <v>2377.5771272600909</v>
      </c>
      <c r="W37" s="279">
        <f>Z37/(T37/100)</f>
        <v>50</v>
      </c>
      <c r="X37" s="244">
        <f>IF(ISNUMBER(IF($K$3&gt;=$B37,Real!Y38,'ST Original'!AE37)),IF($K$3&gt;=$B37,Real!Y38,'ST Original'!AE37),0)</f>
        <v>11.376618139830175</v>
      </c>
      <c r="Y37" s="246">
        <f>IF(ISNUMBER(X37),+Y36+X37,Y36)</f>
        <v>833.37754183851166</v>
      </c>
      <c r="Z37" s="276">
        <f>IF(ISNUMBER(IF($K$3&gt;=$B37,Real!AA38,'ST Original'!AG37)),IF($K$3&gt;=$B37,Real!AA38,'ST Original'!AG37),0)</f>
        <v>25</v>
      </c>
      <c r="AA37" s="246">
        <f>+AA36+Z37</f>
        <v>960.49373559192611</v>
      </c>
      <c r="AB37" s="279" t="e">
        <f>IF($K$3&gt;=$B37,Real!#REF!,AB36+'Real+S.T.'!X37-'Real+S.T.'!Z37)</f>
        <v>#REF!</v>
      </c>
      <c r="AC37" s="276">
        <f>IF(ISNUMBER(N37*$CJ$8+X37*$CJ$7*$CJ$9),N37*$CJ$8+X37*$CJ$7*$CJ$9,"")</f>
        <v>1036.7297318980959</v>
      </c>
      <c r="AD37" s="279">
        <f>IF(ISNUMBER(AC37),+AD36+AC37,AD36)</f>
        <v>27590.66698832309</v>
      </c>
      <c r="AE37" s="284">
        <f>IF(ISNUMBER(N37*$CJ$8+Z37*$CJ$7*$CJ$9),N37*$CJ$8+Z37*$CJ$7*$CJ$9,"")</f>
        <v>1076.0264449906651</v>
      </c>
      <c r="AF37" s="285">
        <f>IF(ISNUMBER(AE37),+AF36+AE37,AF36)</f>
        <v>27957.334284785782</v>
      </c>
      <c r="AG37" s="267">
        <f>IF(ISNUMBER(IF($K$3&gt;=$B37,Real!AO38,'ST Original'!AN37)),IF($K$3&gt;=$B37,Real!AO38,'ST Original'!AN37),0)</f>
        <v>4366</v>
      </c>
      <c r="AH37" s="283">
        <f>IF(ISNUMBER(IF($K$3&gt;=$B37,Real!AP38,'ST Original'!AO37)),IF($K$3&gt;=$B37,Real!AP38,'ST Original'!AO37),0)</f>
        <v>25.41389590416216</v>
      </c>
      <c r="AI37" s="265">
        <f>AG37*AH37/100</f>
        <v>1109.5706951757199</v>
      </c>
      <c r="AJ37" s="333"/>
      <c r="AL37" s="334">
        <f>IF($K$3&gt;=$B37,Real!AX38,'ST Original'!AZ37)</f>
        <v>7.8452234254684257</v>
      </c>
      <c r="AM37" s="278">
        <f>AM36+AL37</f>
        <v>3520.5395186897617</v>
      </c>
      <c r="AO37" s="474"/>
      <c r="AP37" s="305">
        <f>B37</f>
        <v>46111.791666666664</v>
      </c>
      <c r="AQ37" s="284"/>
      <c r="AR37" s="333"/>
      <c r="AS37" s="333"/>
      <c r="AT37" s="333"/>
      <c r="AU37" s="334">
        <f>IF($K$3&gt;=$B37,Real!AE38,'ST Original'!BI37)</f>
        <v>34.676861667214887</v>
      </c>
      <c r="AV37" s="278">
        <f>IF($K$3&gt;=$B37,Real!AF38,'ST Original'!BJ37)</f>
        <v>1560.4587750246699</v>
      </c>
      <c r="AW37" s="303"/>
      <c r="AX37" s="276">
        <f>IF($K$3&gt;=$B37,Real!AK38,'ST Original'!BT37)</f>
        <v>8761.580398441045</v>
      </c>
      <c r="AY37" s="246"/>
      <c r="AZ37" s="246"/>
      <c r="BA37" s="279"/>
      <c r="BB37" s="276">
        <f>IF($K$3&gt;=$B37,Real!H38,'ST Original'!CC37)</f>
        <v>98.056332111173901</v>
      </c>
      <c r="BC37" s="246"/>
      <c r="BD37" s="246"/>
      <c r="BE37" s="246"/>
      <c r="BF37" s="277"/>
      <c r="BG37" s="244"/>
      <c r="BH37" s="270"/>
      <c r="BI37" s="245"/>
      <c r="BJ37" s="246"/>
      <c r="BK37" s="246"/>
      <c r="BL37" s="276"/>
      <c r="BM37" s="246"/>
      <c r="BN37" s="246"/>
      <c r="BO37" s="246"/>
      <c r="BP37" s="246"/>
      <c r="BQ37" s="246"/>
      <c r="BR37" s="246"/>
      <c r="BS37" s="246"/>
      <c r="BT37" s="279"/>
      <c r="BU37" s="246"/>
      <c r="BV37" s="246"/>
      <c r="BW37" s="246"/>
      <c r="BX37" s="276"/>
      <c r="BY37" s="245"/>
      <c r="BZ37" s="270"/>
      <c r="CA37" s="269"/>
      <c r="CB37" s="245"/>
      <c r="CC37" s="270"/>
      <c r="CD37" s="269"/>
      <c r="CE37" s="245"/>
      <c r="CF37" s="270"/>
      <c r="CM37" s="650">
        <f>IF($K$3&gt;=$B37,Real!AD38,'ST Original'!K37)</f>
        <v>70.841381451589641</v>
      </c>
      <c r="CO37" s="624" t="e">
        <f>IF($K$3&gt;=$B37,Real!AW38,'ST Original'!#REF!)</f>
        <v>#REF!</v>
      </c>
      <c r="CP37" s="625" t="e">
        <f>CP36+CO37</f>
        <v>#REF!</v>
      </c>
    </row>
    <row r="38" spans="1:94" s="243" customFormat="1" ht="14.15" customHeight="1">
      <c r="A38" s="474"/>
      <c r="B38" s="258">
        <f t="shared" si="2"/>
        <v>46112.791666666664</v>
      </c>
      <c r="C38" s="276">
        <f>IF($K$3&gt;=$B38,Real!C39,'ST Original'!C38)</f>
        <v>185000.0000001291</v>
      </c>
      <c r="D38" s="650">
        <f>IF($K$3&gt;=$B38,Real!D39,D37+C38-E38)</f>
        <v>406978.60943649098</v>
      </c>
      <c r="E38" s="276">
        <f>IF($K$3&gt;=$B38,Real!E39,'ST Original'!E38)</f>
        <v>309289.50925959361</v>
      </c>
      <c r="F38" s="279">
        <f>+F37+E38</f>
        <v>5842435.4720501006</v>
      </c>
      <c r="G38" s="277">
        <f>IF($K$3&gt;=$B38,Real!J39,'ST Original'!J38)</f>
        <v>98.590784338949973</v>
      </c>
      <c r="H38" s="277">
        <f>CM38</f>
        <v>70.841381451589641</v>
      </c>
      <c r="I38" s="472">
        <f>IF($K$3&gt;=$B38,Real!K39,'ST Original'!L38)</f>
        <v>0.56149614023378414</v>
      </c>
      <c r="J38" s="277">
        <f>IF($K$3&gt;=$B38,Real!L39,'ST Original'!M38)</f>
        <v>90.45774167981746</v>
      </c>
      <c r="K38" s="277">
        <f>IF($K$3&gt;=$B38,Real!M39,'ST Original'!N38)</f>
        <v>27.614292362477695</v>
      </c>
      <c r="L38" s="276">
        <f>IF($K$3&gt;=$B38,IF(ISNUMBER(Real!N39),Real!N39,""),IF(ISNUMBER('ST Original'!O38),'ST Original'!O38,""))</f>
        <v>5688.8408911197957</v>
      </c>
      <c r="M38" s="246">
        <f>IF(ISNUMBER(L38),+M37+L38,M37)</f>
        <v>104477.81565840649</v>
      </c>
      <c r="N38" s="276">
        <f>IF(ISNUMBER(L38),L38*K38/100,"")</f>
        <v>1570.933155710002</v>
      </c>
      <c r="O38" s="279">
        <f>IF(ISNUMBER(N38),+O37+N38,O37)</f>
        <v>27752.62265883078</v>
      </c>
      <c r="P38" s="276">
        <f>IF($K$3&gt;=$B38,Real!R39,'ST Original'!W38)</f>
        <v>73.462412059144683</v>
      </c>
      <c r="Q38" s="277">
        <f>IF($K$3&gt;=$B38,Real!S39,'ST Original'!X38)</f>
        <v>87.026778237397323</v>
      </c>
      <c r="R38" s="277">
        <f>IF($K$3&gt;=$B38,Real!T39,'ST Original'!Y38)</f>
        <v>86.528049419621212</v>
      </c>
      <c r="S38" s="277">
        <f>IF($K$3&gt;=$B38,Real!U39,'ST Original'!Z38)</f>
        <v>75.302573681559309</v>
      </c>
      <c r="T38" s="277">
        <f>IF($K$3&gt;=$B38,Real!V39,'ST Original'!AA38)</f>
        <v>50</v>
      </c>
      <c r="U38" s="277">
        <f>IF($K$3&gt;=$B38,Real!W39,'ST Original'!AB38)</f>
        <v>34.219226522716106</v>
      </c>
      <c r="V38" s="246">
        <f>IF(ISNUMBER(U38),+V37+U38,V37)</f>
        <v>2411.7963537828073</v>
      </c>
      <c r="W38" s="279">
        <f>Z38/(T38/100)</f>
        <v>80</v>
      </c>
      <c r="X38" s="244">
        <f>IF(ISNUMBER(IF($K$3&gt;=$B38,Real!Y39,'ST Original'!AE38)),IF($K$3&gt;=$B38,Real!Y39,'ST Original'!AE38),0)</f>
        <v>17.109613261358053</v>
      </c>
      <c r="Y38" s="246">
        <f>IF(ISNUMBER(X38),+Y37+X38,Y37)</f>
        <v>850.48715509986971</v>
      </c>
      <c r="Z38" s="276">
        <f>IF(ISNUMBER(IF($K$3&gt;=$B38,Real!AA39,'ST Original'!AG38)),IF($K$3&gt;=$B38,Real!AA39,'ST Original'!AG38),0)</f>
        <v>40</v>
      </c>
      <c r="AA38" s="246">
        <f>+AA37+Z38</f>
        <v>1000.4937355919261</v>
      </c>
      <c r="AB38" s="279" t="e">
        <f>IF($K$3&gt;=$B38,Real!#REF!,AB37+'Real+S.T.'!X38-'Real+S.T.'!Z38)</f>
        <v>#REF!</v>
      </c>
      <c r="AC38" s="276">
        <f>IF(ISNUMBER(N38*$CJ$8+X38*$CJ$7*$CJ$9),N38*$CJ$8+X38*$CJ$7*$CJ$9,"")</f>
        <v>1560.5904607934756</v>
      </c>
      <c r="AD38" s="279">
        <f>IF(ISNUMBER(AC38),+AD37+AC38,AD37)</f>
        <v>29151.257449116565</v>
      </c>
      <c r="AE38" s="284">
        <f>IF(ISNUMBER(N38*$CJ$8+Z38*$CJ$7*$CJ$9),N38*$CJ$8+Z38*$CJ$7*$CJ$9,"")</f>
        <v>1626.6178957930219</v>
      </c>
      <c r="AF38" s="285">
        <f>IF(ISNUMBER(AE38),+AF37+AE38,AF37)</f>
        <v>29583.952180578803</v>
      </c>
      <c r="AG38" s="267">
        <f>IF(ISNUMBER(IF($K$3&gt;=$B38,Real!AO39,'ST Original'!AN38)),IF($K$3&gt;=$B38,Real!AO39,'ST Original'!AN38),0)</f>
        <v>6500</v>
      </c>
      <c r="AH38" s="283">
        <f>IF(ISNUMBER(IF($K$3&gt;=$B38,Real!AP39,'ST Original'!AO38)),IF($K$3&gt;=$B38,Real!AP39,'ST Original'!AO38),0)</f>
        <v>26.613948682597318</v>
      </c>
      <c r="AI38" s="265">
        <f>AG38*AH38/100</f>
        <v>1729.9066643688257</v>
      </c>
      <c r="AJ38" s="333"/>
      <c r="AL38" s="334">
        <f>IF($K$3&gt;=$B38,Real!AX39,'ST Original'!AZ38)</f>
        <v>6.8002717499619125</v>
      </c>
      <c r="AM38" s="278">
        <f>AM37+AL38</f>
        <v>3527.3397904397239</v>
      </c>
      <c r="AO38" s="474"/>
      <c r="AP38" s="305">
        <f>B38</f>
        <v>46112.791666666664</v>
      </c>
      <c r="AQ38" s="284"/>
      <c r="AR38" s="333"/>
      <c r="AS38" s="333"/>
      <c r="AT38" s="333"/>
      <c r="AU38" s="334">
        <f>IF($K$3&gt;=$B38,Real!AE39,'ST Original'!BI38)</f>
        <v>15.826001958554642</v>
      </c>
      <c r="AV38" s="278">
        <f>IF($K$3&gt;=$B38,Real!AF39,'ST Original'!BJ38)</f>
        <v>712.17008813495886</v>
      </c>
      <c r="AW38" s="303"/>
      <c r="AX38" s="276">
        <f>IF($K$3&gt;=$B38,Real!AK39,'ST Original'!BT38)</f>
        <v>8718.2130111556362</v>
      </c>
      <c r="AY38" s="246"/>
      <c r="AZ38" s="246"/>
      <c r="BA38" s="279"/>
      <c r="BB38" s="276">
        <f>IF($K$3&gt;=$B38,Real!H39,'ST Original'!CC38)</f>
        <v>98.704497284024981</v>
      </c>
      <c r="BC38" s="246"/>
      <c r="BD38" s="246"/>
      <c r="BE38" s="246"/>
      <c r="BF38" s="277"/>
      <c r="BG38" s="244"/>
      <c r="BH38" s="270"/>
      <c r="BI38" s="245"/>
      <c r="BJ38" s="246"/>
      <c r="BK38" s="246"/>
      <c r="BL38" s="276"/>
      <c r="BM38" s="246"/>
      <c r="BN38" s="246"/>
      <c r="BO38" s="246"/>
      <c r="BP38" s="246"/>
      <c r="BQ38" s="246"/>
      <c r="BR38" s="246"/>
      <c r="BS38" s="246"/>
      <c r="BT38" s="279"/>
      <c r="BU38" s="246"/>
      <c r="BV38" s="246"/>
      <c r="BW38" s="246"/>
      <c r="BX38" s="276"/>
      <c r="BY38" s="245"/>
      <c r="BZ38" s="270"/>
      <c r="CA38" s="269"/>
      <c r="CB38" s="245"/>
      <c r="CC38" s="270"/>
      <c r="CD38" s="269"/>
      <c r="CE38" s="245"/>
      <c r="CF38" s="270"/>
      <c r="CM38" s="650">
        <f>IF($K$3&gt;=$B38,Real!AD39,'ST Original'!K38)</f>
        <v>70.841381451589641</v>
      </c>
      <c r="CO38" s="624" t="e">
        <f>IF($K$3&gt;=$B38,Real!AW39,'ST Original'!#REF!)</f>
        <v>#REF!</v>
      </c>
      <c r="CP38" s="625" t="e">
        <f>CP37+CO38</f>
        <v>#REF!</v>
      </c>
    </row>
    <row r="39" spans="1:94" s="243" customFormat="1" ht="14.15" customHeight="1">
      <c r="A39" s="390" t="s">
        <v>330</v>
      </c>
      <c r="B39" s="324"/>
      <c r="C39" s="391">
        <f>AVERAGE(C8:C38)</f>
        <v>184566.33320904715</v>
      </c>
      <c r="D39" s="578">
        <f>+SUM(C8:C38)</f>
        <v>5721556.3294804618</v>
      </c>
      <c r="E39" s="391">
        <f>AVERAGE(E8:E38)</f>
        <v>188465.66038871292</v>
      </c>
      <c r="F39" s="578">
        <f>+SUM(E8:E38)</f>
        <v>5842435.4720501006</v>
      </c>
      <c r="G39" s="484">
        <f>+SUM(G8:G38)/COUNT(B8:B38)</f>
        <v>92.551583891515378</v>
      </c>
      <c r="H39" s="484">
        <f>SUMPRODUCT(E8:E38,H8:H38)/F39</f>
        <v>68.318784490992357</v>
      </c>
      <c r="I39" s="445">
        <f>SUMPRODUCT(I8:I38,E8:E38)/SUM(F39)</f>
        <v>0.52521337819978431</v>
      </c>
      <c r="J39" s="484">
        <f>O39*100/(F39*I39/100)</f>
        <v>90.442868173189026</v>
      </c>
      <c r="K39" s="484">
        <f>J39*F39*I39/(100*M39)</f>
        <v>26.563172750059064</v>
      </c>
      <c r="L39" s="392">
        <f>+SUM(L8:L38)</f>
        <v>104477.81565840649</v>
      </c>
      <c r="M39" s="392">
        <f>SUM(L8:L38)</f>
        <v>104477.81565840649</v>
      </c>
      <c r="N39" s="391">
        <f>+SUM(N8:N38)</f>
        <v>27752.62265883078</v>
      </c>
      <c r="O39" s="578">
        <f>+SUM(N8:N38)</f>
        <v>27752.62265883078</v>
      </c>
      <c r="P39" s="392">
        <f>+SUMPRODUCT(P8:P38,E8:E38)/F39</f>
        <v>180.19463900957621</v>
      </c>
      <c r="Q39" s="484">
        <f>SUMPRODUCT(E8:E38,P8:P38,Q8:Q38)/SUMPRODUCT(E8:E38,P8:P38)</f>
        <v>90.070561377173078</v>
      </c>
      <c r="R39" s="484">
        <f>SUMPRODUCT(E8:E38,P8:P38,Q8:Q38,R8:R38)/SUMPRODUCT(E8:E38,P8:P38,Q8:Q38)</f>
        <v>89.691048038564801</v>
      </c>
      <c r="S39" s="484">
        <f>SUMPRODUCT(E8:E38,P8:P38,S8:S38)/SUMPRODUCT(E8:E38,P8:P38)</f>
        <v>80.785230473405292</v>
      </c>
      <c r="T39" s="484">
        <f>SUMPRODUCT(T8:T38,E8:E38)/SUM(E8:E38)</f>
        <v>48.60535063406752</v>
      </c>
      <c r="U39" s="392">
        <f>SUM(U8:U38)</f>
        <v>2411.7963537828073</v>
      </c>
      <c r="V39" s="392">
        <f>+SUM(U8:U38)</f>
        <v>2411.7963537828073</v>
      </c>
      <c r="W39" s="578">
        <f>SUM(W8:W38)</f>
        <v>2052.9488883144236</v>
      </c>
      <c r="X39" s="392">
        <f>SUM(X8:X38)</f>
        <v>850.48715509986971</v>
      </c>
      <c r="Y39" s="392">
        <f>+SUM(X8:X38)</f>
        <v>850.48715509986971</v>
      </c>
      <c r="Z39" s="392">
        <f>SUM(Z8:Z38)</f>
        <v>1000.4937355919261</v>
      </c>
      <c r="AA39" s="392">
        <f>+SUM(Z8:Z38)</f>
        <v>1000.4937355919261</v>
      </c>
      <c r="AB39" s="392"/>
      <c r="AC39" s="392">
        <f>SUM(AC8:AC38)</f>
        <v>29151.257449116565</v>
      </c>
      <c r="AD39" s="578">
        <f>+SUM(AC8:AC38)</f>
        <v>29151.257449116565</v>
      </c>
      <c r="AE39" s="327">
        <f>SUM(AE8:AE38)</f>
        <v>29583.952180578803</v>
      </c>
      <c r="AF39" s="328">
        <f>+SUM(AE8:AE38)</f>
        <v>29583.952180578803</v>
      </c>
      <c r="AG39" s="658">
        <f>SUM(AG8:AG38)</f>
        <v>108495.03750039416</v>
      </c>
      <c r="AH39" s="659">
        <f>AI39/AG39*100</f>
        <v>26.55306378478025</v>
      </c>
      <c r="AI39" s="660">
        <f>SUM(AI8:AI38)</f>
        <v>28808.756510800915</v>
      </c>
      <c r="AJ39" s="333"/>
      <c r="AL39" s="483">
        <f>SUM(AL8:AL38)</f>
        <v>3527.3397904397239</v>
      </c>
      <c r="AM39" s="483">
        <f>AL39</f>
        <v>3527.3397904397239</v>
      </c>
      <c r="AO39" s="390" t="s">
        <v>330</v>
      </c>
      <c r="AP39" s="324"/>
      <c r="AQ39" s="391"/>
      <c r="AR39" s="392"/>
      <c r="AS39" s="392"/>
      <c r="AT39" s="392"/>
      <c r="AU39" s="656">
        <f>SUMPRODUCT(AU8:AU38,E8:E38)/SUM(E8:E38)</f>
        <v>22.476141132146484</v>
      </c>
      <c r="AV39" s="578">
        <f>SUMPRODUCT(AV8:AV38,L8:L38)/SUM(L8:L38)</f>
        <v>1062.7080286186972</v>
      </c>
      <c r="AW39" s="484"/>
      <c r="AX39" s="391">
        <f>F39/(24*COUNT(B8:B38)*BB39/100)</f>
        <v>8608.8406300662737</v>
      </c>
      <c r="AY39" s="392"/>
      <c r="AZ39" s="392"/>
      <c r="BA39" s="578"/>
      <c r="BB39" s="485">
        <f>SUM(BB8:BB38)/COUNT($AP8:$AP38)</f>
        <v>91.217112581967413</v>
      </c>
      <c r="BC39" s="484"/>
      <c r="BD39" s="484"/>
      <c r="BE39" s="484"/>
      <c r="BF39" s="485"/>
      <c r="BG39" s="484"/>
      <c r="BH39" s="455"/>
      <c r="BI39" s="484"/>
      <c r="BJ39" s="484"/>
      <c r="BK39" s="484"/>
      <c r="BL39" s="485"/>
      <c r="BM39" s="484"/>
      <c r="BN39" s="484"/>
      <c r="BO39" s="484"/>
      <c r="BP39" s="484"/>
      <c r="BQ39" s="484"/>
      <c r="BR39" s="484"/>
      <c r="BS39" s="484"/>
      <c r="BT39" s="455"/>
      <c r="BU39" s="484"/>
      <c r="BV39" s="484"/>
      <c r="BW39" s="484"/>
      <c r="BX39" s="485"/>
      <c r="BY39" s="484"/>
      <c r="BZ39" s="455"/>
      <c r="CA39" s="485"/>
      <c r="CB39" s="484"/>
      <c r="CC39" s="455"/>
      <c r="CD39" s="485"/>
      <c r="CE39" s="484"/>
      <c r="CF39" s="455"/>
      <c r="CM39" s="343">
        <f>SUMPRODUCT(CM8:CM38,E8:E38)/SUM(E8:E38)</f>
        <v>68.318784490992357</v>
      </c>
      <c r="CO39" s="623" t="e">
        <f>SUM(CO8:CO38)</f>
        <v>#REF!</v>
      </c>
      <c r="CP39" s="623" t="e">
        <f>CO39</f>
        <v>#REF!</v>
      </c>
    </row>
    <row r="40" spans="1:94" s="243" customFormat="1" ht="6" customHeight="1">
      <c r="A40" s="1605"/>
      <c r="B40" s="1605"/>
      <c r="C40" s="1621"/>
      <c r="D40" s="1621"/>
      <c r="E40" s="246"/>
      <c r="F40" s="246"/>
      <c r="G40" s="246"/>
      <c r="H40" s="246"/>
      <c r="I40" s="245"/>
      <c r="J40" s="244"/>
      <c r="K40" s="244"/>
      <c r="L40" s="246"/>
      <c r="M40" s="246"/>
      <c r="N40" s="246"/>
      <c r="O40" s="246"/>
      <c r="P40" s="246"/>
      <c r="Q40" s="244"/>
      <c r="R40" s="244"/>
      <c r="S40" s="244"/>
      <c r="T40" s="246"/>
      <c r="U40" s="246"/>
      <c r="V40" s="246"/>
      <c r="W40" s="246"/>
      <c r="X40" s="246"/>
      <c r="Y40" s="246"/>
      <c r="Z40" s="246"/>
      <c r="AA40" s="246"/>
      <c r="AB40" s="246"/>
      <c r="AC40" s="1621"/>
      <c r="AD40" s="1621"/>
      <c r="AQ40" s="333"/>
      <c r="AR40" s="333"/>
      <c r="AS40" s="333"/>
      <c r="AT40" s="333"/>
      <c r="AU40" s="333"/>
      <c r="AV40" s="333"/>
      <c r="AW40" s="333"/>
      <c r="AX40" s="246"/>
      <c r="AY40" s="333"/>
      <c r="AZ40" s="333"/>
      <c r="BA40" s="333"/>
      <c r="BB40" s="333"/>
      <c r="BC40" s="333"/>
      <c r="BD40" s="333"/>
      <c r="BE40" s="333"/>
      <c r="BF40" s="333"/>
      <c r="BG40" s="333"/>
      <c r="BH40" s="245"/>
      <c r="BI40" s="245"/>
      <c r="BJ40" s="245"/>
      <c r="BK40" s="245"/>
      <c r="BL40" s="245"/>
      <c r="BM40" s="245"/>
      <c r="BN40" s="245"/>
      <c r="BO40" s="245"/>
      <c r="BP40" s="245"/>
      <c r="BQ40" s="245"/>
      <c r="BR40" s="333"/>
      <c r="BS40" s="333"/>
      <c r="BT40" s="333"/>
      <c r="BU40" s="333"/>
      <c r="BV40" s="333"/>
      <c r="BW40" s="333"/>
      <c r="BX40" s="333"/>
      <c r="BY40" s="333"/>
      <c r="BZ40" s="333"/>
      <c r="CA40" s="333"/>
      <c r="CB40" s="333"/>
      <c r="CC40" s="333"/>
      <c r="CD40" s="333"/>
      <c r="CE40" s="304"/>
      <c r="CF40" s="304"/>
    </row>
    <row r="41" spans="1:94" s="243" customFormat="1" ht="14.15" customHeight="1">
      <c r="A41" s="4734" t="s">
        <v>331</v>
      </c>
      <c r="B41" s="4735"/>
      <c r="C41" s="1587">
        <f>AVERAGE(C8:C14)</f>
        <v>170017.30439999999</v>
      </c>
      <c r="D41" s="1593">
        <f>SUM(C8:C14)</f>
        <v>1190121.1307999999</v>
      </c>
      <c r="E41" s="1587">
        <f>AVERAGE(E8:E14)</f>
        <v>149406.37256404333</v>
      </c>
      <c r="F41" s="1621">
        <f>SUM(E8:E14)</f>
        <v>1045844.6079483032</v>
      </c>
      <c r="G41" s="1594">
        <f>+SUM(G8:G14)/COUNT(B8:B14)</f>
        <v>77.326315949319238</v>
      </c>
      <c r="H41" s="1589"/>
      <c r="I41" s="1631">
        <f>SUMPRODUCT(E8:E14,I8:I14)/SUM(E8:E14)</f>
        <v>0.51857021123261393</v>
      </c>
      <c r="J41" s="1589">
        <f>O41*100/(F41*I41/100)</f>
        <v>91.07351479623</v>
      </c>
      <c r="K41" s="1589">
        <f>J41*F41*I41/(100*M41)</f>
        <v>26.073091116564111</v>
      </c>
      <c r="L41" s="1621">
        <f>AVERAGE(L8:L14)</f>
        <v>2706.3020244655272</v>
      </c>
      <c r="M41" s="1621">
        <f>+SUM(L8:L14)</f>
        <v>18944.11417125869</v>
      </c>
      <c r="N41" s="1621">
        <f>AVERAGE(N8:N14)</f>
        <v>705.61659272831605</v>
      </c>
      <c r="O41" s="1593">
        <f>+SUM(N8:N14)</f>
        <v>4939.316149098212</v>
      </c>
      <c r="P41" s="1587">
        <f>SUMPRODUCT(E8:E14,P8:P14)/SUM(E8:E14)</f>
        <v>243.892456931461</v>
      </c>
      <c r="Q41" s="1597"/>
      <c r="R41" s="1621"/>
      <c r="S41" s="1589">
        <f>+AA41*100000000/(F41*P41)</f>
        <v>112.7495759181129</v>
      </c>
      <c r="T41" s="1621"/>
      <c r="U41" s="1621">
        <f>AVERAGE(U8:U14)</f>
        <v>56.152967777877542</v>
      </c>
      <c r="V41" s="1621">
        <f>+SUM(U8:U14)</f>
        <v>393.07077444514277</v>
      </c>
      <c r="W41" s="1621"/>
      <c r="X41" s="1621"/>
      <c r="Y41" s="1621"/>
      <c r="Z41" s="1621">
        <f>AVERAGE(Z8:Z14)</f>
        <v>41.08491638324012</v>
      </c>
      <c r="AA41" s="1593">
        <f>+SUM(Z8:Z14)</f>
        <v>287.59441468268085</v>
      </c>
      <c r="AB41" s="1621"/>
      <c r="AC41" s="1621">
        <f>AVERAGE(AC8:AC14)</f>
        <v>762.47361078246126</v>
      </c>
      <c r="AD41" s="1593">
        <f>+SUM(AC8:AC14)</f>
        <v>5337.3152754772291</v>
      </c>
      <c r="AQ41" s="333"/>
      <c r="AR41" s="333"/>
      <c r="AS41" s="333"/>
      <c r="AT41" s="333"/>
      <c r="AU41" s="333"/>
    </row>
    <row r="42" spans="1:94" s="243" customFormat="1" ht="14.15" customHeight="1">
      <c r="A42" s="4712" t="s">
        <v>332</v>
      </c>
      <c r="B42" s="4713"/>
      <c r="C42" s="276">
        <f>AVERAGE(C15:C21)</f>
        <v>150584.28640000001</v>
      </c>
      <c r="D42" s="279">
        <f>SUM(C15:C21)</f>
        <v>1054090.0048</v>
      </c>
      <c r="E42" s="276">
        <f>AVERAGE(E15:E21)</f>
        <v>182175.95645530155</v>
      </c>
      <c r="F42" s="246">
        <f>SUM(E15:E21)</f>
        <v>1275231.6951871109</v>
      </c>
      <c r="G42" s="296">
        <f>+SUM(G15:G21)/COUNT(B15:B21)</f>
        <v>94.739499233451482</v>
      </c>
      <c r="H42" s="244"/>
      <c r="I42" s="250">
        <f>SUMPRODUCT(E15:E21,I15:I21)/SUM(E15:E21)</f>
        <v>0.47244932815069618</v>
      </c>
      <c r="J42" s="244">
        <f>O42*100/(F42*I42/100)</f>
        <v>90.40366042344219</v>
      </c>
      <c r="K42" s="244">
        <f>J42*F42*I42/(100*M42)</f>
        <v>25.401591878152956</v>
      </c>
      <c r="L42" s="246">
        <f>AVERAGE(L15:L21)</f>
        <v>3063.1719422124338</v>
      </c>
      <c r="M42" s="246">
        <f>+SUM(L15:L21)</f>
        <v>21442.203595487037</v>
      </c>
      <c r="N42" s="246">
        <f>AVERAGE(N15:N21)</f>
        <v>778.09443528689394</v>
      </c>
      <c r="O42" s="279">
        <f>+SUM(N15:N21)</f>
        <v>5446.6610470082578</v>
      </c>
      <c r="P42" s="276">
        <f>SUMPRODUCT(E15:E21,P15:P21)/SUM(E15:E21)</f>
        <v>192.16184379529545</v>
      </c>
      <c r="Q42" s="246"/>
      <c r="R42" s="246"/>
      <c r="S42" s="244">
        <f>+AA42*100000000/(F42*P42)</f>
        <v>94.249226599903025</v>
      </c>
      <c r="T42" s="246"/>
      <c r="U42" s="246">
        <f>AVERAGE(U15:U21)</f>
        <v>59.536619400340271</v>
      </c>
      <c r="V42" s="246">
        <f>+SUM(U15:U21)</f>
        <v>416.7563358023819</v>
      </c>
      <c r="W42" s="246"/>
      <c r="X42" s="246"/>
      <c r="Y42" s="246"/>
      <c r="Z42" s="246">
        <f>AVERAGE(Z15:Z21)</f>
        <v>32.994079049341686</v>
      </c>
      <c r="AA42" s="279">
        <f>+SUM(Z15:Z21)</f>
        <v>230.95855334539181</v>
      </c>
      <c r="AB42" s="246"/>
      <c r="AC42" s="246">
        <f>AVERAGE(AC15:AC21)</f>
        <v>832.78097441746627</v>
      </c>
      <c r="AD42" s="279">
        <f>+SUM(AC15:AC21)</f>
        <v>5829.4668209222637</v>
      </c>
      <c r="AQ42" s="333"/>
      <c r="AR42" s="333"/>
      <c r="AS42" s="333"/>
      <c r="AT42" s="333"/>
      <c r="AU42" s="333"/>
    </row>
    <row r="43" spans="1:94" s="243" customFormat="1" ht="14.15" customHeight="1">
      <c r="A43" s="4712" t="s">
        <v>333</v>
      </c>
      <c r="B43" s="4713"/>
      <c r="C43" s="276">
        <f>AVERAGE(C22:C28)</f>
        <v>206049.31341143991</v>
      </c>
      <c r="D43" s="279">
        <f>SUM(C22:C28)</f>
        <v>1442345.1938800793</v>
      </c>
      <c r="E43" s="276">
        <f>AVERAGE(E22:E28)</f>
        <v>196421.148925944</v>
      </c>
      <c r="F43" s="246">
        <f>SUM(E22:E28)</f>
        <v>1374948.042481608</v>
      </c>
      <c r="G43" s="296">
        <f>+SUM(G22:G28)/COUNT(B22:B28)</f>
        <v>97.86807935776794</v>
      </c>
      <c r="H43" s="244"/>
      <c r="I43" s="250">
        <f>SUMPRODUCT(E22:E28,I22:I28)/SUM(E22:E28)</f>
        <v>0.52191807948799795</v>
      </c>
      <c r="J43" s="244">
        <f>O43*100/(F43*I43/100)</f>
        <v>90.553447075039841</v>
      </c>
      <c r="K43" s="244">
        <f>J43*F43*I43/(100*M43)</f>
        <v>27.456204263477336</v>
      </c>
      <c r="L43" s="246">
        <f>AVERAGE(L22:L28)</f>
        <v>3381.0771313791915</v>
      </c>
      <c r="M43" s="246">
        <f>+SUM(L22:L28)</f>
        <v>23667.53991965434</v>
      </c>
      <c r="N43" s="246">
        <f>AVERAGE(N22:N28)</f>
        <v>928.31544349719081</v>
      </c>
      <c r="O43" s="279">
        <f>+SUM(N22:N28)</f>
        <v>6498.2081044803354</v>
      </c>
      <c r="P43" s="276">
        <f>SUMPRODUCT(E22:E28,P22:P28)/SUM(E22:E28)</f>
        <v>228.28994547595337</v>
      </c>
      <c r="Q43" s="246"/>
      <c r="R43" s="246"/>
      <c r="S43" s="244">
        <f>+AA43*100000000/(F43*P43)</f>
        <v>69.114329793248515</v>
      </c>
      <c r="T43" s="246"/>
      <c r="U43" s="246">
        <f>AVERAGE(U22:U28)</f>
        <v>175.11144463782443</v>
      </c>
      <c r="V43" s="246">
        <f>+SUM(U22:U28)</f>
        <v>1225.780112464771</v>
      </c>
      <c r="W43" s="246"/>
      <c r="X43" s="246"/>
      <c r="Y43" s="246"/>
      <c r="Z43" s="246">
        <f>AVERAGE(Z22:Z28)</f>
        <v>30.991538223407638</v>
      </c>
      <c r="AA43" s="279">
        <f>+SUM(Z22:Z28)</f>
        <v>216.94076756385346</v>
      </c>
      <c r="AB43" s="246"/>
      <c r="AC43" s="246">
        <f>AVERAGE(AC22:AC28)</f>
        <v>998.06841418958459</v>
      </c>
      <c r="AD43" s="279">
        <f>+SUM(AC22:AC28)</f>
        <v>6986.4788993270922</v>
      </c>
      <c r="AQ43" s="333"/>
      <c r="AR43" s="333"/>
      <c r="AS43" s="333"/>
      <c r="AT43" s="333"/>
      <c r="AU43" s="333"/>
    </row>
    <row r="44" spans="1:94" s="243" customFormat="1" ht="14.15" customHeight="1">
      <c r="A44" s="4714" t="s">
        <v>334</v>
      </c>
      <c r="B44" s="4715"/>
      <c r="C44" s="651">
        <f>AVERAGE(C29:C38)</f>
        <v>203500.00000003824</v>
      </c>
      <c r="D44" s="653">
        <f>SUM(C29:C38)</f>
        <v>2035000.0000003823</v>
      </c>
      <c r="E44" s="651">
        <f>AVERAGE(E29:E38)</f>
        <v>214641.11264330777</v>
      </c>
      <c r="F44" s="656">
        <f>SUM(E29:E38)</f>
        <v>2146411.1264330777</v>
      </c>
      <c r="G44" s="661">
        <f>+SUM(G29:G38)/COUNT(B29:B38)</f>
        <v>97.956183885320527</v>
      </c>
      <c r="H44" s="657"/>
      <c r="I44" s="662">
        <f>SUMPRODUCT(E29:E38,I29:I38)/SUM(E29:E38)</f>
        <v>0.56190950453109345</v>
      </c>
      <c r="J44" s="657">
        <f>O44*100/(F44*I44/100)</f>
        <v>90.113076623673678</v>
      </c>
      <c r="K44" s="657">
        <f>J44*F44*I44/(100*M44)</f>
        <v>26.886128680844081</v>
      </c>
      <c r="L44" s="656">
        <f>AVERAGE(L29:L38)</f>
        <v>4042.3957972006428</v>
      </c>
      <c r="M44" s="656">
        <f>+SUM(L29:L38)</f>
        <v>40423.957972006428</v>
      </c>
      <c r="N44" s="656">
        <f>AVERAGE(N29:N38)</f>
        <v>1086.8437358243978</v>
      </c>
      <c r="O44" s="653">
        <f>+SUM(N29:N38)</f>
        <v>10868.437358243977</v>
      </c>
      <c r="P44" s="651">
        <f>SUMPRODUCT(E29:E38,P29:P38)/SUM(E29:E38)</f>
        <v>111.23882531992271</v>
      </c>
      <c r="Q44" s="656"/>
      <c r="R44" s="656"/>
      <c r="S44" s="657">
        <f>+AA44*100000000/(F44*P44)</f>
        <v>110.98813887877644</v>
      </c>
      <c r="T44" s="656"/>
      <c r="U44" s="656">
        <f>AVERAGE(U29:U38)</f>
        <v>37.618913107051043</v>
      </c>
      <c r="V44" s="656">
        <f>+SUM(U29:U38)</f>
        <v>376.18913107051043</v>
      </c>
      <c r="W44" s="656"/>
      <c r="X44" s="656"/>
      <c r="Y44" s="656"/>
      <c r="Z44" s="656">
        <f>AVERAGE(Z29:Z38)</f>
        <v>26.5</v>
      </c>
      <c r="AA44" s="653">
        <f>+SUM(Z29:Z38)</f>
        <v>265</v>
      </c>
      <c r="AB44" s="656"/>
      <c r="AC44" s="656">
        <f>AVERAGE(AC29:AC38)</f>
        <v>1099.7996453389976</v>
      </c>
      <c r="AD44" s="653">
        <f>+SUM(AC29:AC38)</f>
        <v>10997.996453389977</v>
      </c>
      <c r="AQ44" s="333"/>
      <c r="AR44" s="333"/>
      <c r="AS44" s="333"/>
      <c r="AT44" s="333"/>
      <c r="AU44" s="333"/>
    </row>
    <row r="45" spans="1:94" s="243" customFormat="1" ht="14.15" customHeight="1" thickBot="1">
      <c r="C45" s="246"/>
      <c r="D45" s="246"/>
      <c r="E45" s="246"/>
      <c r="F45" s="246"/>
      <c r="G45" s="246"/>
      <c r="H45" s="246"/>
      <c r="I45" s="250"/>
      <c r="J45" s="246"/>
      <c r="K45" s="246"/>
      <c r="L45" s="246"/>
      <c r="M45" s="246"/>
      <c r="N45" s="246"/>
      <c r="O45" s="246"/>
      <c r="P45" s="246"/>
      <c r="Q45" s="246"/>
      <c r="R45" s="246"/>
      <c r="S45" s="246"/>
      <c r="T45" s="246"/>
      <c r="U45" s="246"/>
      <c r="V45" s="246"/>
      <c r="W45" s="246"/>
      <c r="X45" s="246"/>
      <c r="Y45" s="246"/>
      <c r="Z45" s="246"/>
      <c r="AA45" s="246"/>
      <c r="AB45" s="246"/>
      <c r="AC45" s="246"/>
      <c r="AD45" s="246"/>
      <c r="AQ45" s="333"/>
      <c r="AR45" s="333"/>
      <c r="AS45" s="333"/>
      <c r="AT45" s="333"/>
      <c r="AU45" s="333"/>
      <c r="AV45" s="333"/>
      <c r="AW45" s="333"/>
      <c r="AX45" s="333"/>
      <c r="AY45" s="333"/>
      <c r="AZ45" s="333"/>
      <c r="BA45" s="333"/>
      <c r="BB45" s="333"/>
      <c r="BC45" s="333"/>
      <c r="BD45" s="333"/>
      <c r="BE45" s="333"/>
      <c r="BF45" s="333"/>
      <c r="BG45" s="333"/>
      <c r="BH45" s="333"/>
      <c r="BI45" s="333"/>
      <c r="BJ45" s="333"/>
      <c r="BK45" s="333"/>
      <c r="BL45" s="333"/>
      <c r="BM45" s="333"/>
      <c r="BN45" s="333"/>
      <c r="BO45" s="333"/>
      <c r="BP45" s="333"/>
      <c r="BQ45" s="333"/>
      <c r="BR45" s="333"/>
      <c r="BS45" s="333"/>
      <c r="BT45" s="333"/>
      <c r="BU45" s="333"/>
      <c r="BV45" s="333"/>
      <c r="BW45" s="333"/>
      <c r="BX45" s="333"/>
      <c r="BY45" s="333"/>
      <c r="BZ45" s="333"/>
      <c r="CA45" s="333"/>
      <c r="CB45" s="333"/>
      <c r="CC45" s="333"/>
      <c r="CD45" s="333"/>
      <c r="CE45" s="333"/>
      <c r="CF45" s="333"/>
    </row>
    <row r="46" spans="1:94" ht="14.15" customHeight="1">
      <c r="A46" s="4769" t="s">
        <v>288</v>
      </c>
      <c r="B46" s="4770"/>
      <c r="C46" s="663"/>
      <c r="D46" s="664"/>
      <c r="E46" s="663" t="e">
        <f>'ST Original'!#REF!</f>
        <v>#REF!</v>
      </c>
      <c r="F46" s="663" t="e">
        <f>'ST Original'!#REF!</f>
        <v>#REF!</v>
      </c>
      <c r="G46" s="665" t="e">
        <f>'ST Original'!#REF!</f>
        <v>#REF!</v>
      </c>
      <c r="H46" s="666"/>
      <c r="I46" s="667" t="e">
        <f>'ST Original'!#REF!</f>
        <v>#REF!</v>
      </c>
      <c r="J46" s="666" t="e">
        <f>'ST Original'!#REF!</f>
        <v>#REF!</v>
      </c>
      <c r="K46" s="666" t="e">
        <f>'ST Original'!#REF!</f>
        <v>#REF!</v>
      </c>
      <c r="L46" s="664"/>
      <c r="M46" s="664" t="e">
        <f>'ST Original'!#REF!</f>
        <v>#REF!</v>
      </c>
      <c r="N46" s="664"/>
      <c r="O46" s="664" t="e">
        <f>'ST Original'!#REF!</f>
        <v>#REF!</v>
      </c>
      <c r="P46" s="663" t="e">
        <f>'ST Original'!#REF!</f>
        <v>#REF!</v>
      </c>
      <c r="Q46" s="664"/>
      <c r="R46" s="664"/>
      <c r="S46" s="666" t="e">
        <f>'ST Original'!#REF!</f>
        <v>#REF!</v>
      </c>
      <c r="T46" s="666" t="e">
        <f>'ST Original'!#REF!</f>
        <v>#REF!</v>
      </c>
      <c r="U46" s="664"/>
      <c r="V46" s="664" t="e">
        <f>'ST Original'!#REF!</f>
        <v>#REF!</v>
      </c>
      <c r="W46" s="664"/>
      <c r="X46" s="664"/>
      <c r="Y46" s="664"/>
      <c r="Z46" s="664"/>
      <c r="AA46" s="668" t="e">
        <f>'ST Original'!#REF!</f>
        <v>#REF!</v>
      </c>
      <c r="AB46" s="664"/>
      <c r="AC46" s="195"/>
      <c r="AD46" s="664" t="e">
        <f>+O46*$CJ$8+AA46*$CJ$7*$CJ$9</f>
        <v>#REF!</v>
      </c>
      <c r="AE46" s="195"/>
      <c r="AF46" s="195"/>
      <c r="AG46" s="195"/>
      <c r="AH46" s="195"/>
      <c r="AI46" s="195"/>
      <c r="AJ46" s="195"/>
      <c r="AK46" s="195"/>
      <c r="AL46" s="195"/>
      <c r="AM46" s="201" t="e">
        <f>'ST Original'!#REF!</f>
        <v>#REF!</v>
      </c>
      <c r="AN46" s="195"/>
      <c r="AO46" s="4763"/>
      <c r="AP46" s="4763"/>
      <c r="AQ46" s="201"/>
      <c r="AR46" s="201"/>
      <c r="AS46" s="201"/>
      <c r="AT46" s="201"/>
      <c r="AU46" s="201" t="e">
        <f>'ST Original'!#REF!</f>
        <v>#REF!</v>
      </c>
      <c r="AV46" s="197" t="e">
        <f>'ST Original'!#REF!</f>
        <v>#REF!</v>
      </c>
      <c r="AW46" s="466"/>
      <c r="AX46" s="201"/>
      <c r="AY46" s="201"/>
      <c r="AZ46" s="201"/>
      <c r="BA46" s="201"/>
      <c r="BB46" s="201"/>
      <c r="BC46" s="201"/>
      <c r="BD46" s="201"/>
      <c r="BE46" s="201"/>
      <c r="BF46" s="201"/>
      <c r="BG46" s="201"/>
      <c r="BH46" s="201"/>
      <c r="BI46" s="201"/>
      <c r="BJ46" s="201"/>
      <c r="BK46" s="201"/>
      <c r="BL46" s="201"/>
      <c r="BM46" s="201"/>
      <c r="BN46" s="201"/>
      <c r="BO46" s="201"/>
      <c r="BP46" s="201"/>
      <c r="BQ46" s="201"/>
      <c r="BR46" s="201"/>
      <c r="BS46" s="201"/>
      <c r="BT46" s="201"/>
      <c r="BU46" s="201"/>
      <c r="BV46" s="201"/>
      <c r="BW46" s="201"/>
      <c r="BX46" s="201"/>
      <c r="BY46" s="201"/>
      <c r="BZ46" s="201"/>
      <c r="CA46" s="201"/>
      <c r="CB46" s="201"/>
      <c r="CC46" s="201"/>
      <c r="CD46" s="201"/>
      <c r="CE46" s="201"/>
      <c r="CF46" s="201"/>
      <c r="CG46" s="195"/>
      <c r="CH46" s="195"/>
      <c r="CI46" s="195"/>
      <c r="CJ46" s="195"/>
      <c r="CK46" s="195"/>
      <c r="CL46" s="195"/>
      <c r="CM46" s="195"/>
      <c r="CN46" s="195"/>
      <c r="CO46" s="195"/>
      <c r="CP46" s="197" t="e">
        <f>'ST Original'!#REF!</f>
        <v>#REF!</v>
      </c>
    </row>
    <row r="47" spans="1:94" ht="14.15" customHeight="1">
      <c r="A47" s="4771" t="s">
        <v>446</v>
      </c>
      <c r="B47" s="4772"/>
      <c r="C47" s="19"/>
      <c r="D47" s="20"/>
      <c r="E47" s="19" t="e">
        <f>'ST Original'!#REF!</f>
        <v>#REF!</v>
      </c>
      <c r="F47" s="19" t="e">
        <f>'ST Original'!#REF!</f>
        <v>#REF!</v>
      </c>
      <c r="G47" s="547" t="e">
        <f>'ST Original'!#REF!</f>
        <v>#REF!</v>
      </c>
      <c r="H47" s="22"/>
      <c r="I47" s="557" t="e">
        <f>'ST Original'!#REF!</f>
        <v>#REF!</v>
      </c>
      <c r="J47" s="22" t="e">
        <f>'ST Original'!#REF!</f>
        <v>#REF!</v>
      </c>
      <c r="K47" s="22" t="e">
        <f>'ST Original'!#REF!</f>
        <v>#REF!</v>
      </c>
      <c r="L47" s="20"/>
      <c r="M47" s="20" t="e">
        <f>'ST Original'!#REF!</f>
        <v>#REF!</v>
      </c>
      <c r="N47" s="20"/>
      <c r="O47" s="20" t="e">
        <f>'ST Original'!#REF!</f>
        <v>#REF!</v>
      </c>
      <c r="P47" s="19" t="e">
        <f>'ST Original'!#REF!</f>
        <v>#REF!</v>
      </c>
      <c r="Q47" s="20"/>
      <c r="R47" s="20"/>
      <c r="S47" s="22" t="e">
        <f>'ST Original'!#REF!</f>
        <v>#REF!</v>
      </c>
      <c r="T47" s="22" t="e">
        <f>'ST Original'!#REF!</f>
        <v>#REF!</v>
      </c>
      <c r="U47" s="20"/>
      <c r="V47" s="20" t="e">
        <f>'ST Original'!#REF!</f>
        <v>#REF!</v>
      </c>
      <c r="W47" s="20"/>
      <c r="X47" s="20"/>
      <c r="Y47" s="20"/>
      <c r="Z47" s="20"/>
      <c r="AA47" s="21" t="e">
        <f>'ST Original'!#REF!</f>
        <v>#REF!</v>
      </c>
      <c r="AB47" s="20"/>
      <c r="AD47" s="20" t="e">
        <f>+O47*$CK$8+AA47*$CK$7*$CK$9</f>
        <v>#REF!</v>
      </c>
      <c r="AM47" s="18" t="e">
        <f>'ST Original'!#REF!</f>
        <v>#REF!</v>
      </c>
      <c r="AO47" s="4751"/>
      <c r="AP47" s="4751"/>
      <c r="AU47" s="18" t="e">
        <f>'ST Original'!#REF!</f>
        <v>#REF!</v>
      </c>
      <c r="AV47" s="198" t="e">
        <f>'ST Original'!#REF!</f>
        <v>#REF!</v>
      </c>
      <c r="AW47" s="467"/>
      <c r="CP47" s="198" t="e">
        <f>'ST Original'!#REF!</f>
        <v>#REF!</v>
      </c>
    </row>
    <row r="48" spans="1:94" s="54" customFormat="1" ht="14.15" customHeight="1" thickBot="1">
      <c r="A48" s="4773" t="s">
        <v>886</v>
      </c>
      <c r="B48" s="4774"/>
      <c r="C48" s="669">
        <f>C39</f>
        <v>184566.33320904715</v>
      </c>
      <c r="D48" s="670">
        <f>D39</f>
        <v>5721556.3294804618</v>
      </c>
      <c r="E48" s="669">
        <f>+E39</f>
        <v>188465.66038871292</v>
      </c>
      <c r="F48" s="669">
        <f>+F39/1000</f>
        <v>5842.4354720501005</v>
      </c>
      <c r="G48" s="671">
        <f>+G39</f>
        <v>92.551583891515378</v>
      </c>
      <c r="H48" s="672"/>
      <c r="I48" s="673">
        <f>+I39</f>
        <v>0.52521337819978431</v>
      </c>
      <c r="J48" s="674">
        <f>+J39</f>
        <v>90.442868173189026</v>
      </c>
      <c r="K48" s="674">
        <f>+K39</f>
        <v>26.563172750059064</v>
      </c>
      <c r="L48" s="670"/>
      <c r="M48" s="670">
        <f>+M39</f>
        <v>104477.81565840649</v>
      </c>
      <c r="N48" s="670"/>
      <c r="O48" s="670">
        <f>+O39</f>
        <v>27752.62265883078</v>
      </c>
      <c r="P48" s="669">
        <f>+P39</f>
        <v>180.19463900957621</v>
      </c>
      <c r="Q48" s="674">
        <f>Q39</f>
        <v>90.070561377173078</v>
      </c>
      <c r="R48" s="674">
        <f>R39</f>
        <v>89.691048038564801</v>
      </c>
      <c r="S48" s="674">
        <f>+S39</f>
        <v>80.785230473405292</v>
      </c>
      <c r="T48" s="674">
        <f>T39</f>
        <v>48.60535063406752</v>
      </c>
      <c r="U48" s="670"/>
      <c r="V48" s="670">
        <f>+V39</f>
        <v>2411.7963537828073</v>
      </c>
      <c r="W48" s="670"/>
      <c r="X48" s="675"/>
      <c r="Y48" s="670">
        <f>$Y$39</f>
        <v>850.48715509986971</v>
      </c>
      <c r="Z48" s="670"/>
      <c r="AA48" s="676">
        <f>+AA39</f>
        <v>1000.4937355919261</v>
      </c>
      <c r="AB48" s="670"/>
      <c r="AC48" s="196"/>
      <c r="AD48" s="670">
        <f>+O48*$CK$8+Y48*$CK$7*$CK$9</f>
        <v>29151.257449116558</v>
      </c>
      <c r="AE48" s="196"/>
      <c r="AF48" s="196"/>
      <c r="AG48" s="196"/>
      <c r="AH48" s="196"/>
      <c r="AI48" s="196"/>
      <c r="AJ48" s="196"/>
      <c r="AK48" s="196"/>
      <c r="AL48" s="196"/>
      <c r="AM48" s="202">
        <f>AM39/1000</f>
        <v>3.5273397904397239</v>
      </c>
      <c r="AN48" s="196"/>
      <c r="AO48" s="4762"/>
      <c r="AP48" s="4762"/>
      <c r="AQ48" s="203"/>
      <c r="AR48" s="203"/>
      <c r="AS48" s="203"/>
      <c r="AT48" s="203"/>
      <c r="AU48" s="203">
        <f>AU39</f>
        <v>22.476141132146484</v>
      </c>
      <c r="AV48" s="204">
        <f>AV39</f>
        <v>1062.7080286186972</v>
      </c>
      <c r="AW48" s="468"/>
      <c r="AX48" s="203"/>
      <c r="AY48" s="203"/>
      <c r="AZ48" s="203"/>
      <c r="BA48" s="203"/>
      <c r="BB48" s="203"/>
      <c r="BC48" s="203"/>
      <c r="BD48" s="203"/>
      <c r="BE48" s="203"/>
      <c r="BF48" s="203"/>
      <c r="BG48" s="203"/>
      <c r="BH48" s="203"/>
      <c r="BI48" s="203"/>
      <c r="BJ48" s="203"/>
      <c r="BK48" s="203"/>
      <c r="BL48" s="203"/>
      <c r="BM48" s="203"/>
      <c r="BN48" s="203"/>
      <c r="BO48" s="203"/>
      <c r="BP48" s="203"/>
      <c r="BQ48" s="203"/>
      <c r="BR48" s="203"/>
      <c r="BS48" s="203"/>
      <c r="BT48" s="203"/>
      <c r="BU48" s="203"/>
      <c r="BV48" s="203"/>
      <c r="BW48" s="203"/>
      <c r="BX48" s="203"/>
      <c r="BY48" s="203"/>
      <c r="BZ48" s="203"/>
      <c r="CA48" s="203"/>
      <c r="CB48" s="203"/>
      <c r="CC48" s="203"/>
      <c r="CD48" s="203"/>
      <c r="CE48" s="203"/>
      <c r="CF48" s="203"/>
      <c r="CG48" s="196"/>
      <c r="CH48" s="196"/>
      <c r="CI48" s="196"/>
      <c r="CJ48" s="196"/>
      <c r="CK48" s="196"/>
      <c r="CL48" s="196"/>
      <c r="CM48" s="196"/>
      <c r="CN48" s="196"/>
      <c r="CO48" s="196"/>
      <c r="CP48" s="628" t="e">
        <f>CP39/1000</f>
        <v>#REF!</v>
      </c>
    </row>
    <row r="49" spans="1:30" ht="14.15" customHeight="1">
      <c r="C49" s="20"/>
      <c r="D49" s="20"/>
      <c r="E49" s="20"/>
      <c r="F49" s="20"/>
      <c r="G49" s="20"/>
      <c r="H49" s="20"/>
      <c r="I49" s="20"/>
      <c r="J49" s="22"/>
      <c r="K49" s="22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spans="1:30" ht="14.15" customHeight="1">
      <c r="A50" s="4558" t="s">
        <v>887</v>
      </c>
      <c r="B50" s="4558"/>
      <c r="C50" s="1601"/>
      <c r="D50" s="1632"/>
      <c r="E50" s="1601" t="e">
        <f t="shared" ref="E50:K50" si="19">+E48-E47</f>
        <v>#REF!</v>
      </c>
      <c r="F50" s="1601" t="e">
        <f t="shared" si="19"/>
        <v>#REF!</v>
      </c>
      <c r="G50" s="1601" t="e">
        <f t="shared" si="19"/>
        <v>#REF!</v>
      </c>
      <c r="H50" s="1601"/>
      <c r="I50" s="1632" t="e">
        <f>+I48-I47</f>
        <v>#REF!</v>
      </c>
      <c r="J50" s="1632" t="e">
        <f t="shared" si="19"/>
        <v>#REF!</v>
      </c>
      <c r="K50" s="1632" t="e">
        <f t="shared" si="19"/>
        <v>#REF!</v>
      </c>
      <c r="L50" s="1632"/>
      <c r="M50" s="1632" t="e">
        <f>+M48-M47</f>
        <v>#REF!</v>
      </c>
      <c r="N50" s="1632"/>
      <c r="O50" s="1632" t="e">
        <f>+O48-O47</f>
        <v>#REF!</v>
      </c>
      <c r="P50" s="1601" t="e">
        <f>+P48-P47</f>
        <v>#REF!</v>
      </c>
      <c r="Q50" s="1632"/>
      <c r="R50" s="1632"/>
      <c r="S50" s="1632" t="e">
        <f>+S48-S47</f>
        <v>#REF!</v>
      </c>
      <c r="T50" s="1632"/>
      <c r="U50" s="1632"/>
      <c r="V50" s="1632" t="e">
        <f>+V48-V47</f>
        <v>#REF!</v>
      </c>
      <c r="W50" s="1632"/>
      <c r="X50" s="1632"/>
      <c r="Y50" s="1632"/>
      <c r="Z50" s="1632"/>
      <c r="AA50" s="1632" t="e">
        <f>+AA48-AA47</f>
        <v>#REF!</v>
      </c>
      <c r="AB50" s="1632"/>
      <c r="AC50" s="1632" t="e">
        <f>+AD48-AD47</f>
        <v>#REF!</v>
      </c>
      <c r="AD50" s="1604"/>
    </row>
    <row r="51" spans="1:30" ht="14.15" customHeight="1">
      <c r="A51" s="4558" t="s">
        <v>888</v>
      </c>
      <c r="B51" s="4558"/>
      <c r="C51" s="19"/>
      <c r="D51" s="20"/>
      <c r="E51" s="677" t="e">
        <f t="shared" ref="E51:K51" si="20">+E50/E46</f>
        <v>#REF!</v>
      </c>
      <c r="F51" s="677" t="e">
        <f t="shared" si="20"/>
        <v>#REF!</v>
      </c>
      <c r="G51" s="677" t="e">
        <f t="shared" si="20"/>
        <v>#REF!</v>
      </c>
      <c r="H51" s="677"/>
      <c r="I51" s="678" t="e">
        <f>+I50/I46</f>
        <v>#REF!</v>
      </c>
      <c r="J51" s="678" t="e">
        <f t="shared" si="20"/>
        <v>#REF!</v>
      </c>
      <c r="K51" s="678" t="e">
        <f t="shared" si="20"/>
        <v>#REF!</v>
      </c>
      <c r="L51" s="678"/>
      <c r="M51" s="678" t="e">
        <f>+M50/M46</f>
        <v>#REF!</v>
      </c>
      <c r="N51" s="678"/>
      <c r="O51" s="678" t="e">
        <f>+O50/O46</f>
        <v>#REF!</v>
      </c>
      <c r="P51" s="677" t="e">
        <f>+P50/P46</f>
        <v>#REF!</v>
      </c>
      <c r="Q51" s="20"/>
      <c r="R51" s="20"/>
      <c r="S51" s="678" t="e">
        <f>+S50/S46</f>
        <v>#REF!</v>
      </c>
      <c r="T51" s="20"/>
      <c r="U51" s="678"/>
      <c r="V51" s="678" t="e">
        <f>+V50/V46</f>
        <v>#REF!</v>
      </c>
      <c r="W51" s="678"/>
      <c r="X51" s="678"/>
      <c r="Y51" s="678"/>
      <c r="Z51" s="678"/>
      <c r="AA51" s="678" t="e">
        <f>+AA50/AA46</f>
        <v>#REF!</v>
      </c>
      <c r="AB51" s="678"/>
      <c r="AC51" s="678" t="e">
        <f>+AC50/AD46</f>
        <v>#REF!</v>
      </c>
      <c r="AD51" s="21"/>
    </row>
    <row r="52" spans="1:30" ht="14.15" customHeight="1">
      <c r="A52" s="37" t="s">
        <v>878</v>
      </c>
      <c r="B52" s="10"/>
      <c r="C52" s="271"/>
      <c r="D52" s="38"/>
      <c r="E52" s="47" t="e">
        <f t="shared" ref="E52:K52" si="21">+E48/E47</f>
        <v>#REF!</v>
      </c>
      <c r="F52" s="47" t="e">
        <f t="shared" si="21"/>
        <v>#REF!</v>
      </c>
      <c r="G52" s="47" t="e">
        <f t="shared" si="21"/>
        <v>#REF!</v>
      </c>
      <c r="H52" s="47"/>
      <c r="I52" s="48" t="e">
        <f t="shared" si="21"/>
        <v>#REF!</v>
      </c>
      <c r="J52" s="48" t="e">
        <f t="shared" si="21"/>
        <v>#REF!</v>
      </c>
      <c r="K52" s="48" t="e">
        <f t="shared" si="21"/>
        <v>#REF!</v>
      </c>
      <c r="L52" s="48"/>
      <c r="M52" s="48" t="e">
        <f>+M48/M47</f>
        <v>#REF!</v>
      </c>
      <c r="N52" s="48"/>
      <c r="O52" s="48" t="e">
        <f>+O48/O47</f>
        <v>#REF!</v>
      </c>
      <c r="P52" s="47" t="e">
        <f>+P48/P47</f>
        <v>#REF!</v>
      </c>
      <c r="Q52" s="38"/>
      <c r="R52" s="38"/>
      <c r="S52" s="48" t="e">
        <f>+S48/S47</f>
        <v>#REF!</v>
      </c>
      <c r="T52" s="38"/>
      <c r="U52" s="48"/>
      <c r="V52" s="48" t="e">
        <f>+V48/V47</f>
        <v>#REF!</v>
      </c>
      <c r="W52" s="48"/>
      <c r="X52" s="48"/>
      <c r="Y52" s="48"/>
      <c r="Z52" s="48"/>
      <c r="AA52" s="48" t="e">
        <f>+AA48/AA47</f>
        <v>#REF!</v>
      </c>
      <c r="AB52" s="48"/>
      <c r="AC52" s="48" t="e">
        <f>+AD48/AD47</f>
        <v>#REF!</v>
      </c>
      <c r="AD52" s="310"/>
    </row>
    <row r="53" spans="1:30" ht="14.15" customHeight="1">
      <c r="C53" s="20"/>
      <c r="D53" s="20"/>
      <c r="E53" s="20"/>
      <c r="F53" s="20"/>
      <c r="G53" s="20"/>
      <c r="H53" s="20"/>
      <c r="I53" s="20"/>
      <c r="J53" s="22"/>
      <c r="K53" s="22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 spans="1:30" ht="14.15" customHeight="1">
      <c r="A54" s="4558" t="s">
        <v>889</v>
      </c>
      <c r="B54" s="4558"/>
      <c r="C54" s="1601"/>
      <c r="D54" s="1632"/>
      <c r="E54" s="1601" t="e">
        <f t="shared" ref="E54:K54" si="22">+E48-E46</f>
        <v>#REF!</v>
      </c>
      <c r="F54" s="1601" t="e">
        <f t="shared" si="22"/>
        <v>#REF!</v>
      </c>
      <c r="G54" s="1633" t="e">
        <f t="shared" si="22"/>
        <v>#REF!</v>
      </c>
      <c r="H54" s="1603"/>
      <c r="I54" s="1603" t="e">
        <f t="shared" si="22"/>
        <v>#REF!</v>
      </c>
      <c r="J54" s="1602" t="e">
        <f t="shared" si="22"/>
        <v>#REF!</v>
      </c>
      <c r="K54" s="1602" t="e">
        <f t="shared" si="22"/>
        <v>#REF!</v>
      </c>
      <c r="L54" s="1632"/>
      <c r="M54" s="1632" t="e">
        <f>+M48-M46</f>
        <v>#REF!</v>
      </c>
      <c r="N54" s="1632"/>
      <c r="O54" s="1632" t="e">
        <f>+O48-O46</f>
        <v>#REF!</v>
      </c>
      <c r="P54" s="1601" t="e">
        <f>+P48-P46</f>
        <v>#REF!</v>
      </c>
      <c r="Q54" s="1632"/>
      <c r="R54" s="1632"/>
      <c r="S54" s="1632" t="e">
        <f>+S48-S46</f>
        <v>#REF!</v>
      </c>
      <c r="T54" s="1632"/>
      <c r="U54" s="1632"/>
      <c r="V54" s="1632" t="e">
        <f>+V48-V46</f>
        <v>#REF!</v>
      </c>
      <c r="W54" s="1632"/>
      <c r="X54" s="1632"/>
      <c r="Y54" s="1632"/>
      <c r="Z54" s="1632"/>
      <c r="AA54" s="1632" t="e">
        <f>+AA48-AA46</f>
        <v>#REF!</v>
      </c>
      <c r="AB54" s="1632"/>
      <c r="AC54" s="1632" t="e">
        <f>+AD48-AD46</f>
        <v>#REF!</v>
      </c>
      <c r="AD54" s="1604"/>
    </row>
    <row r="55" spans="1:30" ht="14.15" customHeight="1">
      <c r="A55" s="4558" t="s">
        <v>890</v>
      </c>
      <c r="B55" s="4558"/>
      <c r="C55" s="19"/>
      <c r="D55" s="20"/>
      <c r="E55" s="677" t="e">
        <f t="shared" ref="E55:K55" si="23">+E54/E46</f>
        <v>#REF!</v>
      </c>
      <c r="F55" s="677" t="e">
        <f t="shared" si="23"/>
        <v>#REF!</v>
      </c>
      <c r="G55" s="679" t="e">
        <f t="shared" si="23"/>
        <v>#REF!</v>
      </c>
      <c r="H55" s="678"/>
      <c r="I55" s="678" t="e">
        <f t="shared" si="23"/>
        <v>#REF!</v>
      </c>
      <c r="J55" s="678" t="e">
        <f t="shared" si="23"/>
        <v>#REF!</v>
      </c>
      <c r="K55" s="678" t="e">
        <f t="shared" si="23"/>
        <v>#REF!</v>
      </c>
      <c r="L55" s="678"/>
      <c r="M55" s="678" t="e">
        <f>+M54/M46</f>
        <v>#REF!</v>
      </c>
      <c r="N55" s="678"/>
      <c r="O55" s="678" t="e">
        <f>+O54/O46</f>
        <v>#REF!</v>
      </c>
      <c r="P55" s="677" t="e">
        <f>+P54/P46</f>
        <v>#REF!</v>
      </c>
      <c r="Q55" s="20"/>
      <c r="R55" s="20"/>
      <c r="S55" s="678" t="e">
        <f>+S54/S46</f>
        <v>#REF!</v>
      </c>
      <c r="T55" s="20"/>
      <c r="U55" s="678"/>
      <c r="V55" s="678" t="e">
        <f>+V54/V46</f>
        <v>#REF!</v>
      </c>
      <c r="W55" s="678"/>
      <c r="X55" s="678"/>
      <c r="Y55" s="678"/>
      <c r="Z55" s="678"/>
      <c r="AA55" s="678" t="e">
        <f>+AA54/AA46</f>
        <v>#REF!</v>
      </c>
      <c r="AB55" s="678"/>
      <c r="AC55" s="678" t="e">
        <f>+AC54/AD46</f>
        <v>#REF!</v>
      </c>
      <c r="AD55" s="21"/>
    </row>
    <row r="56" spans="1:30" ht="14.15" customHeight="1">
      <c r="A56" s="37" t="s">
        <v>881</v>
      </c>
      <c r="B56" s="10"/>
      <c r="C56" s="271"/>
      <c r="D56" s="38"/>
      <c r="E56" s="47" t="e">
        <f t="shared" ref="E56:K56" si="24">+E48/E46</f>
        <v>#REF!</v>
      </c>
      <c r="F56" s="47" t="e">
        <f t="shared" si="24"/>
        <v>#REF!</v>
      </c>
      <c r="G56" s="49" t="e">
        <f t="shared" si="24"/>
        <v>#REF!</v>
      </c>
      <c r="H56" s="48"/>
      <c r="I56" s="48" t="e">
        <f t="shared" si="24"/>
        <v>#REF!</v>
      </c>
      <c r="J56" s="48" t="e">
        <f t="shared" si="24"/>
        <v>#REF!</v>
      </c>
      <c r="K56" s="48" t="e">
        <f t="shared" si="24"/>
        <v>#REF!</v>
      </c>
      <c r="L56" s="48"/>
      <c r="M56" s="48" t="e">
        <f>+M48/M46</f>
        <v>#REF!</v>
      </c>
      <c r="N56" s="48"/>
      <c r="O56" s="48" t="e">
        <f>+O48/O46</f>
        <v>#REF!</v>
      </c>
      <c r="P56" s="47" t="e">
        <f>+P48/P46</f>
        <v>#REF!</v>
      </c>
      <c r="Q56" s="38"/>
      <c r="R56" s="38"/>
      <c r="S56" s="48" t="e">
        <f>+S48/S46</f>
        <v>#REF!</v>
      </c>
      <c r="T56" s="38"/>
      <c r="U56" s="48"/>
      <c r="V56" s="48" t="e">
        <f>+V48/V46</f>
        <v>#REF!</v>
      </c>
      <c r="W56" s="48"/>
      <c r="X56" s="48"/>
      <c r="Y56" s="48"/>
      <c r="Z56" s="48"/>
      <c r="AA56" s="48" t="e">
        <f>+AA48/AA46</f>
        <v>#REF!</v>
      </c>
      <c r="AB56" s="48"/>
      <c r="AC56" s="48" t="e">
        <f>+AD48/AD46</f>
        <v>#REF!</v>
      </c>
      <c r="AD56" s="310"/>
    </row>
  </sheetData>
  <mergeCells count="56">
    <mergeCell ref="CO5:CP6"/>
    <mergeCell ref="BU6:BW6"/>
    <mergeCell ref="CD6:CF6"/>
    <mergeCell ref="AG5:AI6"/>
    <mergeCell ref="BB5:BE5"/>
    <mergeCell ref="BX6:BZ6"/>
    <mergeCell ref="BB6:BB7"/>
    <mergeCell ref="BI5:CF5"/>
    <mergeCell ref="BF5:BH6"/>
    <mergeCell ref="BI6:BK6"/>
    <mergeCell ref="CA6:CC6"/>
    <mergeCell ref="BL6:BT6"/>
    <mergeCell ref="BA6:BA7"/>
    <mergeCell ref="BE6:BE7"/>
    <mergeCell ref="AY6:AY7"/>
    <mergeCell ref="AK5:AK7"/>
    <mergeCell ref="BD6:BD7"/>
    <mergeCell ref="BC6:BC7"/>
    <mergeCell ref="AX5:BA5"/>
    <mergeCell ref="AZ6:AZ7"/>
    <mergeCell ref="AU5:AV5"/>
    <mergeCell ref="AS5:AT5"/>
    <mergeCell ref="AQ5:AR5"/>
    <mergeCell ref="AX6:AX7"/>
    <mergeCell ref="Z6:AB6"/>
    <mergeCell ref="AO5:AO7"/>
    <mergeCell ref="P5:AB5"/>
    <mergeCell ref="AL5:AM6"/>
    <mergeCell ref="AC5:AD6"/>
    <mergeCell ref="AE5:AF6"/>
    <mergeCell ref="A15:A21"/>
    <mergeCell ref="U6:W6"/>
    <mergeCell ref="C5:D5"/>
    <mergeCell ref="X6:Y6"/>
    <mergeCell ref="A5:A7"/>
    <mergeCell ref="E5:F5"/>
    <mergeCell ref="L6:M6"/>
    <mergeCell ref="I5:O5"/>
    <mergeCell ref="N6:O6"/>
    <mergeCell ref="A8:A14"/>
    <mergeCell ref="A55:B55"/>
    <mergeCell ref="A51:B51"/>
    <mergeCell ref="A46:B46"/>
    <mergeCell ref="A50:B50"/>
    <mergeCell ref="A47:B47"/>
    <mergeCell ref="A48:B48"/>
    <mergeCell ref="A54:B54"/>
    <mergeCell ref="AO48:AP48"/>
    <mergeCell ref="AO46:AP46"/>
    <mergeCell ref="AO47:AP47"/>
    <mergeCell ref="A43:B43"/>
    <mergeCell ref="A22:A28"/>
    <mergeCell ref="A42:B42"/>
    <mergeCell ref="A44:B44"/>
    <mergeCell ref="A41:B41"/>
    <mergeCell ref="A29:A34"/>
  </mergeCells>
  <phoneticPr fontId="98" type="noConversion"/>
  <conditionalFormatting sqref="F12 M12:O12 V12:W12 Y12 AA12 AC12:AD12">
    <cfRule type="expression" dxfId="125" priority="145" stopIfTrue="1">
      <formula>$B12&lt;$K$3</formula>
    </cfRule>
  </conditionalFormatting>
  <conditionalFormatting sqref="H8:H38">
    <cfRule type="cellIs" dxfId="124" priority="1" stopIfTrue="1" operator="greaterThan">
      <formula>30</formula>
    </cfRule>
  </conditionalFormatting>
  <conditionalFormatting sqref="I8:I38">
    <cfRule type="cellIs" dxfId="123" priority="2" stopIfTrue="1" operator="lessThan">
      <formula>0.6</formula>
    </cfRule>
  </conditionalFormatting>
  <conditionalFormatting sqref="J8:J38">
    <cfRule type="cellIs" dxfId="122" priority="3" stopIfTrue="1" operator="lessThan">
      <formula>88</formula>
    </cfRule>
  </conditionalFormatting>
  <conditionalFormatting sqref="K8:K38">
    <cfRule type="cellIs" dxfId="121" priority="4" stopIfTrue="1" operator="lessThan">
      <formula>30</formula>
    </cfRule>
  </conditionalFormatting>
  <conditionalFormatting sqref="U8:U38">
    <cfRule type="cellIs" dxfId="120" priority="5" stopIfTrue="1" operator="greaterThan">
      <formula>70</formula>
    </cfRule>
  </conditionalFormatting>
  <conditionalFormatting sqref="X8:X38">
    <cfRule type="cellIs" dxfId="119" priority="6" stopIfTrue="1" operator="greaterThan">
      <formula>38</formula>
    </cfRule>
  </conditionalFormatting>
  <conditionalFormatting sqref="Z8">
    <cfRule type="cellIs" dxfId="118" priority="151" stopIfTrue="1" operator="greaterThan">
      <formula>38</formula>
    </cfRule>
  </conditionalFormatting>
  <conditionalFormatting sqref="Z9:Z38">
    <cfRule type="cellIs" dxfId="117" priority="7" stopIfTrue="1" operator="greaterThan">
      <formula>38</formula>
    </cfRule>
  </conditionalFormatting>
  <conditionalFormatting sqref="AB8:AB38">
    <cfRule type="cellIs" dxfId="116" priority="8" stopIfTrue="1" operator="notBetween">
      <formula>200</formula>
      <formula>400</formula>
    </cfRule>
  </conditionalFormatting>
  <printOptions horizontalCentered="1" verticalCentered="1" headings="1"/>
  <pageMargins left="0.19685039370078741" right="0.19685039370078741" top="0.23622047244094491" bottom="0.19685039370078741" header="0" footer="0"/>
  <pageSetup paperSize="17" scale="81" orientation="landscape" verticalDpi="300" r:id="rId1"/>
  <headerFooter alignWithMargins="0"/>
  <ignoredErrors>
    <ignoredError sqref="AE8:AE35 N8:N35" formula="1"/>
  </ignoredError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D387-98BA-49DF-8C4E-DC6E24915F72}">
  <sheetPr codeName="Hoja15">
    <tabColor theme="5" tint="0.59999389629810485"/>
  </sheetPr>
  <dimension ref="A1"/>
  <sheetViews>
    <sheetView topLeftCell="A13" workbookViewId="0"/>
  </sheetViews>
  <sheetFormatPr baseColWidth="10" defaultRowHeight="12.5"/>
  <sheetData/>
  <phoneticPr fontId="273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59F8-4924-4F74-B2BD-E7EBD2A764E0}">
  <sheetPr codeName="Hoja19"/>
  <dimension ref="A1:BL474"/>
  <sheetViews>
    <sheetView zoomScale="5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G447" sqref="BG447"/>
    </sheetView>
  </sheetViews>
  <sheetFormatPr baseColWidth="10" defaultColWidth="11.453125" defaultRowHeight="12.5"/>
  <cols>
    <col min="2" max="2" width="10.81640625" bestFit="1" customWidth="1"/>
    <col min="3" max="3" width="28.81640625" bestFit="1" customWidth="1"/>
    <col min="4" max="4" width="5.1796875" customWidth="1"/>
    <col min="5" max="5" width="6.81640625" customWidth="1"/>
    <col min="6" max="6" width="4.81640625" hidden="1" customWidth="1"/>
    <col min="7" max="7" width="12.453125" hidden="1" customWidth="1"/>
    <col min="8" max="8" width="4.54296875" hidden="1" customWidth="1"/>
    <col min="9" max="9" width="9.81640625" hidden="1" customWidth="1"/>
    <col min="10" max="10" width="7.1796875" hidden="1" customWidth="1"/>
    <col min="11" max="11" width="9.1796875" hidden="1" customWidth="1"/>
    <col min="12" max="13" width="7.1796875" hidden="1" customWidth="1"/>
    <col min="14" max="14" width="9.54296875" hidden="1" customWidth="1"/>
    <col min="15" max="15" width="8.1796875" hidden="1" customWidth="1"/>
    <col min="16" max="17" width="9.1796875" hidden="1" customWidth="1"/>
    <col min="18" max="22" width="7.1796875" hidden="1" customWidth="1"/>
    <col min="23" max="23" width="8.1796875" hidden="1" customWidth="1"/>
    <col min="24" max="26" width="9.1796875" hidden="1" customWidth="1"/>
    <col min="27" max="27" width="10.1796875" hidden="1" customWidth="1"/>
    <col min="28" max="28" width="9.1796875" hidden="1" customWidth="1"/>
    <col min="29" max="29" width="8.1796875" hidden="1" customWidth="1"/>
    <col min="30" max="30" width="9.1796875" hidden="1" customWidth="1"/>
    <col min="31" max="31" width="8.1796875" hidden="1" customWidth="1"/>
    <col min="32" max="32" width="14.1796875" hidden="1" customWidth="1"/>
    <col min="33" max="37" width="8.1796875" hidden="1" customWidth="1"/>
    <col min="38" max="40" width="7.1796875" hidden="1" customWidth="1"/>
    <col min="41" max="41" width="9.1796875" hidden="1" customWidth="1"/>
    <col min="42" max="47" width="8.1796875" hidden="1" customWidth="1"/>
    <col min="48" max="48" width="15.453125" hidden="1" customWidth="1"/>
    <col min="49" max="49" width="12.81640625" bestFit="1" customWidth="1"/>
    <col min="50" max="52" width="12.1796875" bestFit="1" customWidth="1"/>
    <col min="53" max="55" width="11.1796875" bestFit="1" customWidth="1"/>
    <col min="56" max="56" width="9.81640625" bestFit="1" customWidth="1"/>
    <col min="59" max="64" width="12.1796875" bestFit="1" customWidth="1"/>
  </cols>
  <sheetData>
    <row r="1" spans="1:64">
      <c r="A1" t="s">
        <v>549</v>
      </c>
      <c r="B1" t="s">
        <v>550</v>
      </c>
      <c r="C1" t="s">
        <v>551</v>
      </c>
      <c r="D1" t="s">
        <v>552</v>
      </c>
      <c r="E1" t="s">
        <v>553</v>
      </c>
      <c r="F1" t="s">
        <v>554</v>
      </c>
      <c r="G1" t="s">
        <v>555</v>
      </c>
      <c r="H1" t="s">
        <v>556</v>
      </c>
      <c r="I1" t="s">
        <v>557</v>
      </c>
      <c r="J1" t="s">
        <v>558</v>
      </c>
      <c r="K1" t="s">
        <v>559</v>
      </c>
      <c r="L1" t="s">
        <v>560</v>
      </c>
      <c r="M1" t="s">
        <v>561</v>
      </c>
      <c r="N1" t="s">
        <v>562</v>
      </c>
      <c r="O1" t="s">
        <v>563</v>
      </c>
      <c r="P1" t="s">
        <v>564</v>
      </c>
      <c r="Q1" t="s">
        <v>290</v>
      </c>
      <c r="R1" t="s">
        <v>565</v>
      </c>
      <c r="S1" t="s">
        <v>566</v>
      </c>
      <c r="T1" t="s">
        <v>567</v>
      </c>
      <c r="U1" t="s">
        <v>568</v>
      </c>
      <c r="V1" t="s">
        <v>569</v>
      </c>
      <c r="W1" t="s">
        <v>570</v>
      </c>
      <c r="X1" t="s">
        <v>571</v>
      </c>
      <c r="Y1" t="s">
        <v>572</v>
      </c>
      <c r="Z1" t="s">
        <v>573</v>
      </c>
      <c r="AA1" t="s">
        <v>574</v>
      </c>
      <c r="AB1" t="s">
        <v>575</v>
      </c>
      <c r="AC1" t="s">
        <v>576</v>
      </c>
      <c r="AD1" t="s">
        <v>577</v>
      </c>
      <c r="AE1" t="s">
        <v>578</v>
      </c>
      <c r="AF1" t="s">
        <v>579</v>
      </c>
      <c r="AG1" t="s">
        <v>580</v>
      </c>
      <c r="AH1" t="s">
        <v>581</v>
      </c>
      <c r="AI1" t="s">
        <v>582</v>
      </c>
      <c r="AJ1" t="s">
        <v>583</v>
      </c>
      <c r="AK1" t="s">
        <v>584</v>
      </c>
      <c r="AL1" t="s">
        <v>585</v>
      </c>
      <c r="AM1" t="s">
        <v>586</v>
      </c>
      <c r="AN1" t="s">
        <v>587</v>
      </c>
      <c r="AO1" t="s">
        <v>83</v>
      </c>
      <c r="AP1" t="s">
        <v>588</v>
      </c>
      <c r="AQ1" t="s">
        <v>589</v>
      </c>
      <c r="AR1" t="s">
        <v>590</v>
      </c>
      <c r="AS1" t="s">
        <v>591</v>
      </c>
      <c r="AT1" t="s">
        <v>592</v>
      </c>
      <c r="AU1" t="s">
        <v>593</v>
      </c>
      <c r="AV1" t="s">
        <v>594</v>
      </c>
      <c r="AW1" t="s">
        <v>595</v>
      </c>
      <c r="AX1" t="s">
        <v>596</v>
      </c>
      <c r="AY1" t="s">
        <v>597</v>
      </c>
      <c r="AZ1" t="s">
        <v>598</v>
      </c>
      <c r="BA1" t="s">
        <v>524</v>
      </c>
      <c r="BB1" t="s">
        <v>525</v>
      </c>
      <c r="BC1" t="s">
        <v>526</v>
      </c>
      <c r="BD1" t="s">
        <v>527</v>
      </c>
      <c r="BE1" t="s">
        <v>528</v>
      </c>
      <c r="BF1" t="s">
        <v>529</v>
      </c>
      <c r="BG1" t="s">
        <v>599</v>
      </c>
      <c r="BH1" t="s">
        <v>600</v>
      </c>
      <c r="BI1" t="s">
        <v>601</v>
      </c>
      <c r="BJ1" t="s">
        <v>602</v>
      </c>
      <c r="BK1" t="s">
        <v>603</v>
      </c>
      <c r="BL1" t="s">
        <v>604</v>
      </c>
    </row>
    <row r="2" spans="1:64">
      <c r="A2" t="str">
        <f>+MID(C2,22,2)</f>
        <v>01</v>
      </c>
      <c r="B2" t="s">
        <v>605</v>
      </c>
      <c r="C2" t="s">
        <v>606</v>
      </c>
      <c r="D2">
        <v>6</v>
      </c>
      <c r="E2">
        <v>4</v>
      </c>
      <c r="F2">
        <v>6</v>
      </c>
      <c r="G2">
        <v>2</v>
      </c>
      <c r="H2">
        <v>100</v>
      </c>
      <c r="I2" t="s">
        <v>607</v>
      </c>
      <c r="J2">
        <v>0.52539999999999998</v>
      </c>
      <c r="K2">
        <v>263.72250000000003</v>
      </c>
      <c r="L2">
        <v>2.9100000000000001E-2</v>
      </c>
      <c r="M2">
        <v>1.0314000000000001</v>
      </c>
      <c r="N2">
        <v>28.720800000000001</v>
      </c>
      <c r="O2">
        <v>92.020499999999998</v>
      </c>
      <c r="P2">
        <v>205.73920000000001</v>
      </c>
      <c r="Q2">
        <v>177.12299999999999</v>
      </c>
      <c r="R2">
        <v>0.15709999999999999</v>
      </c>
      <c r="S2">
        <v>1.5172000000000001</v>
      </c>
      <c r="T2">
        <v>0</v>
      </c>
      <c r="U2">
        <v>3.0200000000000001E-2</v>
      </c>
      <c r="V2">
        <v>0.62029999999999996</v>
      </c>
      <c r="W2">
        <v>14.1449</v>
      </c>
      <c r="X2">
        <v>342.01229999999998</v>
      </c>
      <c r="Y2">
        <v>314.67140000000001</v>
      </c>
      <c r="Z2">
        <v>359.93830000000003</v>
      </c>
      <c r="AA2">
        <v>1096.7652</v>
      </c>
      <c r="AB2">
        <v>10.705500000000001</v>
      </c>
      <c r="AC2">
        <v>30.4909</v>
      </c>
      <c r="AD2">
        <v>99.298699999999997</v>
      </c>
      <c r="AE2">
        <v>10.920299999999999</v>
      </c>
      <c r="AF2">
        <v>5961.6827000000003</v>
      </c>
      <c r="AG2">
        <v>99.973799999999997</v>
      </c>
      <c r="AH2">
        <v>14.7813</v>
      </c>
      <c r="AI2">
        <v>91.231999999999999</v>
      </c>
      <c r="AJ2">
        <v>84.045000000000002</v>
      </c>
      <c r="AK2">
        <v>85.940200000000004</v>
      </c>
      <c r="AL2">
        <v>1.3460000000000001</v>
      </c>
      <c r="AM2">
        <v>2.1023999999999998</v>
      </c>
      <c r="AN2">
        <v>4.7000000000000002E-3</v>
      </c>
      <c r="AO2">
        <v>112.785</v>
      </c>
      <c r="AP2">
        <v>95.501099999999994</v>
      </c>
      <c r="AQ2">
        <v>94.593299999999999</v>
      </c>
      <c r="AR2">
        <v>93.234800000000007</v>
      </c>
      <c r="AS2">
        <v>88.517700000000005</v>
      </c>
      <c r="AT2">
        <v>87.739000000000004</v>
      </c>
      <c r="AU2">
        <v>84.036799999999999</v>
      </c>
      <c r="AV2">
        <v>24642.973000000002</v>
      </c>
      <c r="AW2">
        <v>65097.896399999998</v>
      </c>
      <c r="AX2">
        <f>+AC2*AW2</f>
        <v>1984893.44934276</v>
      </c>
      <c r="AY2">
        <f>+AG2*AW2</f>
        <v>6508084.07511432</v>
      </c>
      <c r="AZ2">
        <f>+W2*AW2</f>
        <v>920803.23478835996</v>
      </c>
      <c r="BA2">
        <f>+IF($E2=1,$AW2,0)</f>
        <v>0</v>
      </c>
      <c r="BB2">
        <f>+IF($E2=2,$AW2,0)</f>
        <v>0</v>
      </c>
      <c r="BC2">
        <f>+IF($E2=3,$AW2,IF($E2=4,$AW2,0))</f>
        <v>65097.896399999998</v>
      </c>
      <c r="BD2">
        <f>+IF($E2=7,$AW2,0)</f>
        <v>0</v>
      </c>
      <c r="BE2">
        <f>+IF($E2=5,$AW2,0)</f>
        <v>0</v>
      </c>
      <c r="BF2">
        <f>+IF($E2=8,$AW2,0)</f>
        <v>0</v>
      </c>
      <c r="BG2">
        <f t="shared" ref="BG2:BL2" si="0">+$X2*AP2</f>
        <v>32662.550863529996</v>
      </c>
      <c r="BH2">
        <f t="shared" si="0"/>
        <v>32352.072097589997</v>
      </c>
      <c r="BI2">
        <f t="shared" si="0"/>
        <v>31887.44838804</v>
      </c>
      <c r="BJ2">
        <f t="shared" si="0"/>
        <v>30274.142167710001</v>
      </c>
      <c r="BK2">
        <f t="shared" si="0"/>
        <v>30007.817189699999</v>
      </c>
      <c r="BL2">
        <f t="shared" si="0"/>
        <v>28741.619252639997</v>
      </c>
    </row>
    <row r="3" spans="1:64">
      <c r="A3" t="str">
        <f t="shared" ref="A3:A66" si="1">+MID(C3,22,2)</f>
        <v>02</v>
      </c>
      <c r="B3" t="s">
        <v>605</v>
      </c>
      <c r="C3" t="s">
        <v>608</v>
      </c>
      <c r="D3">
        <v>6</v>
      </c>
      <c r="E3">
        <v>4</v>
      </c>
      <c r="F3">
        <v>6</v>
      </c>
      <c r="G3">
        <v>2</v>
      </c>
      <c r="H3">
        <v>100</v>
      </c>
      <c r="I3" t="s">
        <v>609</v>
      </c>
      <c r="J3">
        <v>0.33660000000000001</v>
      </c>
      <c r="K3">
        <v>185.6396</v>
      </c>
      <c r="L3">
        <v>3.1600000000000003E-2</v>
      </c>
      <c r="M3">
        <v>1.3057000000000001</v>
      </c>
      <c r="N3">
        <v>30.880099999999999</v>
      </c>
      <c r="O3">
        <v>91.351200000000006</v>
      </c>
      <c r="P3">
        <v>216.27619999999999</v>
      </c>
      <c r="Q3">
        <v>177.0352</v>
      </c>
      <c r="R3">
        <v>3.78E-2</v>
      </c>
      <c r="S3">
        <v>1.4633</v>
      </c>
      <c r="T3">
        <v>0</v>
      </c>
      <c r="U3">
        <v>3.7100000000000001E-2</v>
      </c>
      <c r="V3">
        <v>0.40239999999999998</v>
      </c>
      <c r="W3">
        <v>14.062200000000001</v>
      </c>
      <c r="X3">
        <v>8.8956</v>
      </c>
      <c r="Y3">
        <v>8.1262000000000008</v>
      </c>
      <c r="Z3">
        <v>9.4131</v>
      </c>
      <c r="AA3">
        <v>26.315300000000001</v>
      </c>
      <c r="AB3">
        <v>12.0824</v>
      </c>
      <c r="AC3">
        <v>30.626300000000001</v>
      </c>
      <c r="AD3">
        <v>99.020200000000003</v>
      </c>
      <c r="AE3">
        <v>0.442</v>
      </c>
      <c r="AF3">
        <v>5978.0733</v>
      </c>
      <c r="AG3">
        <v>99.827500000000001</v>
      </c>
      <c r="AH3">
        <v>0.41270000000000001</v>
      </c>
      <c r="AI3">
        <v>90.380600000000001</v>
      </c>
      <c r="AJ3">
        <v>84.63</v>
      </c>
      <c r="AK3">
        <v>84.128900000000002</v>
      </c>
      <c r="AL3">
        <v>1.3681000000000001</v>
      </c>
      <c r="AM3">
        <v>2.1046</v>
      </c>
      <c r="AN3">
        <v>5.0000000000000001E-3</v>
      </c>
      <c r="AO3">
        <v>112.62260000000001</v>
      </c>
      <c r="AP3">
        <v>94.712900000000005</v>
      </c>
      <c r="AQ3">
        <v>93.558800000000005</v>
      </c>
      <c r="AR3">
        <v>91.327699999999993</v>
      </c>
      <c r="AS3">
        <v>85.413700000000006</v>
      </c>
      <c r="AT3">
        <v>84.429699999999997</v>
      </c>
      <c r="AU3">
        <v>79.990399999999994</v>
      </c>
      <c r="AV3">
        <v>997.19600000000003</v>
      </c>
      <c r="AW3">
        <v>2642.4058</v>
      </c>
      <c r="AX3">
        <f t="shared" ref="AX3:AX66" si="2">+AC3*AW3</f>
        <v>80927.112752540008</v>
      </c>
      <c r="AY3">
        <f t="shared" ref="AY3:AY66" si="3">+AG3*AW3</f>
        <v>263784.76499950001</v>
      </c>
      <c r="AZ3">
        <f t="shared" ref="AZ3:AZ66" si="4">+W3*AW3</f>
        <v>37158.038840760004</v>
      </c>
      <c r="BA3">
        <f t="shared" ref="BA3:BA66" si="5">+IF($E3=1,$AW3,0)</f>
        <v>0</v>
      </c>
      <c r="BB3">
        <f t="shared" ref="BB3:BB66" si="6">+IF($E3=2,$AW3,0)</f>
        <v>0</v>
      </c>
      <c r="BC3">
        <f t="shared" ref="BC3:BC66" si="7">+IF($E3=3,$AW3,IF($E3=4,$AW3,0))</f>
        <v>2642.4058</v>
      </c>
      <c r="BD3">
        <f t="shared" ref="BD3:BD66" si="8">+IF($E3=7,$AW3,0)</f>
        <v>0</v>
      </c>
      <c r="BE3">
        <f t="shared" ref="BE3:BE66" si="9">+IF($E3=5,$AW3,0)</f>
        <v>0</v>
      </c>
      <c r="BF3">
        <f t="shared" ref="BF3:BF66" si="10">+IF($E3=8,$AW3,0)</f>
        <v>0</v>
      </c>
      <c r="BG3">
        <f t="shared" ref="BG3:BG66" si="11">+$X3*AP3</f>
        <v>842.52807324000003</v>
      </c>
      <c r="BH3">
        <f t="shared" ref="BH3:BH66" si="12">+$X3*AQ3</f>
        <v>832.26166128</v>
      </c>
      <c r="BI3">
        <f t="shared" ref="BI3:BI66" si="13">+$X3*AR3</f>
        <v>812.41468811999994</v>
      </c>
      <c r="BJ3">
        <f t="shared" ref="BJ3:BJ66" si="14">+$X3*AS3</f>
        <v>759.80610971999999</v>
      </c>
      <c r="BK3">
        <f t="shared" ref="BK3:BK66" si="15">+$X3*AT3</f>
        <v>751.05283931999998</v>
      </c>
      <c r="BL3">
        <f t="shared" ref="BL3:BL66" si="16">+$X3*AU3</f>
        <v>711.56260223999993</v>
      </c>
    </row>
    <row r="4" spans="1:64">
      <c r="A4" t="str">
        <f t="shared" si="1"/>
        <v>02</v>
      </c>
      <c r="B4" t="s">
        <v>605</v>
      </c>
      <c r="C4" t="s">
        <v>608</v>
      </c>
      <c r="D4">
        <v>6</v>
      </c>
      <c r="E4">
        <v>4</v>
      </c>
      <c r="F4">
        <v>6</v>
      </c>
      <c r="G4">
        <v>2</v>
      </c>
      <c r="H4">
        <v>100</v>
      </c>
      <c r="I4" t="s">
        <v>607</v>
      </c>
      <c r="J4">
        <v>0.53129999999999999</v>
      </c>
      <c r="K4">
        <v>334.04700000000003</v>
      </c>
      <c r="L4">
        <v>2.98E-2</v>
      </c>
      <c r="M4">
        <v>1.2222999999999999</v>
      </c>
      <c r="N4">
        <v>27.805900000000001</v>
      </c>
      <c r="O4">
        <v>91.632199999999997</v>
      </c>
      <c r="P4">
        <v>220.2474</v>
      </c>
      <c r="Q4">
        <v>174.74870000000001</v>
      </c>
      <c r="R4">
        <v>0.21879999999999999</v>
      </c>
      <c r="S4">
        <v>1.4915</v>
      </c>
      <c r="T4">
        <v>0</v>
      </c>
      <c r="U4">
        <v>3.6400000000000002E-2</v>
      </c>
      <c r="V4">
        <v>0.65</v>
      </c>
      <c r="W4">
        <v>14.0749</v>
      </c>
      <c r="X4">
        <v>324.54349999999999</v>
      </c>
      <c r="Y4">
        <v>297.39929999999998</v>
      </c>
      <c r="Z4">
        <v>354.9633</v>
      </c>
      <c r="AA4">
        <v>1071.816</v>
      </c>
      <c r="AB4">
        <v>16.338100000000001</v>
      </c>
      <c r="AC4">
        <v>30.111999999999998</v>
      </c>
      <c r="AD4">
        <v>98.141900000000007</v>
      </c>
      <c r="AE4">
        <v>10.3712</v>
      </c>
      <c r="AF4">
        <v>5925.6310000000003</v>
      </c>
      <c r="AG4">
        <v>99.812799999999996</v>
      </c>
      <c r="AH4">
        <v>17.8522</v>
      </c>
      <c r="AI4">
        <v>91.834500000000006</v>
      </c>
      <c r="AJ4">
        <v>84.63</v>
      </c>
      <c r="AK4">
        <v>87.230900000000005</v>
      </c>
      <c r="AL4">
        <v>1.3887</v>
      </c>
      <c r="AM4">
        <v>2.1114999999999999</v>
      </c>
      <c r="AN4">
        <v>4.4999999999999997E-3</v>
      </c>
      <c r="AO4">
        <v>112.9379</v>
      </c>
      <c r="AP4">
        <v>95.056799999999996</v>
      </c>
      <c r="AQ4">
        <v>93.931899999999999</v>
      </c>
      <c r="AR4">
        <v>91.846299999999999</v>
      </c>
      <c r="AS4">
        <v>86.195400000000006</v>
      </c>
      <c r="AT4">
        <v>85.260999999999996</v>
      </c>
      <c r="AU4">
        <v>81.033100000000005</v>
      </c>
      <c r="AV4">
        <v>23306.325499999999</v>
      </c>
      <c r="AW4">
        <v>61453.5072</v>
      </c>
      <c r="AX4">
        <f t="shared" si="2"/>
        <v>1850488.0088064</v>
      </c>
      <c r="AY4">
        <f t="shared" si="3"/>
        <v>6133846.6234521596</v>
      </c>
      <c r="AZ4">
        <f t="shared" si="4"/>
        <v>864951.96848927997</v>
      </c>
      <c r="BA4">
        <f t="shared" si="5"/>
        <v>0</v>
      </c>
      <c r="BB4">
        <f t="shared" si="6"/>
        <v>0</v>
      </c>
      <c r="BC4">
        <f t="shared" si="7"/>
        <v>61453.5072</v>
      </c>
      <c r="BD4">
        <f t="shared" si="8"/>
        <v>0</v>
      </c>
      <c r="BE4">
        <f t="shared" si="9"/>
        <v>0</v>
      </c>
      <c r="BF4">
        <f t="shared" si="10"/>
        <v>0</v>
      </c>
      <c r="BG4">
        <f t="shared" si="11"/>
        <v>30850.066570799998</v>
      </c>
      <c r="BH4">
        <f t="shared" si="12"/>
        <v>30484.987587649997</v>
      </c>
      <c r="BI4">
        <f t="shared" si="13"/>
        <v>29808.119664049998</v>
      </c>
      <c r="BJ4">
        <f t="shared" si="14"/>
        <v>27974.1567999</v>
      </c>
      <c r="BK4">
        <f t="shared" si="15"/>
        <v>27670.903353499998</v>
      </c>
      <c r="BL4">
        <f t="shared" si="16"/>
        <v>26298.765889850001</v>
      </c>
    </row>
    <row r="5" spans="1:64">
      <c r="A5" t="str">
        <f t="shared" si="1"/>
        <v>03</v>
      </c>
      <c r="B5" t="s">
        <v>605</v>
      </c>
      <c r="C5" t="s">
        <v>610</v>
      </c>
      <c r="D5">
        <v>6</v>
      </c>
      <c r="E5">
        <v>4</v>
      </c>
      <c r="F5">
        <v>6</v>
      </c>
      <c r="G5">
        <v>2</v>
      </c>
      <c r="H5">
        <v>100</v>
      </c>
      <c r="I5" t="s">
        <v>607</v>
      </c>
      <c r="J5">
        <v>0.53300000000000003</v>
      </c>
      <c r="K5">
        <v>297.63130000000001</v>
      </c>
      <c r="L5">
        <v>3.3700000000000001E-2</v>
      </c>
      <c r="M5">
        <v>1.4621</v>
      </c>
      <c r="N5">
        <v>31.2789</v>
      </c>
      <c r="O5">
        <v>91.082099999999997</v>
      </c>
      <c r="P5">
        <v>245.65790000000001</v>
      </c>
      <c r="Q5">
        <v>171.03530000000001</v>
      </c>
      <c r="R5">
        <v>6.2E-2</v>
      </c>
      <c r="S5">
        <v>1.3154999999999999</v>
      </c>
      <c r="T5">
        <v>0</v>
      </c>
      <c r="U5">
        <v>0.13089999999999999</v>
      </c>
      <c r="V5">
        <v>0.62890000000000001</v>
      </c>
      <c r="W5">
        <v>13.8986</v>
      </c>
      <c r="X5">
        <v>337.61779999999999</v>
      </c>
      <c r="Y5">
        <v>307.52319999999997</v>
      </c>
      <c r="Z5">
        <v>353.7475</v>
      </c>
      <c r="AA5">
        <v>986.55330000000004</v>
      </c>
      <c r="AB5">
        <v>26.670400000000001</v>
      </c>
      <c r="AC5">
        <v>29.400099999999998</v>
      </c>
      <c r="AD5">
        <v>98.019000000000005</v>
      </c>
      <c r="AE5">
        <v>10.7812</v>
      </c>
      <c r="AF5">
        <v>5911.5870000000004</v>
      </c>
      <c r="AG5">
        <v>96.213499999999996</v>
      </c>
      <c r="AH5">
        <v>14.967000000000001</v>
      </c>
      <c r="AI5">
        <v>91.269800000000004</v>
      </c>
      <c r="AJ5">
        <v>84.63</v>
      </c>
      <c r="AK5">
        <v>86.024000000000001</v>
      </c>
      <c r="AL5">
        <v>1.3661000000000001</v>
      </c>
      <c r="AM5">
        <v>2.0659999999999998</v>
      </c>
      <c r="AN5">
        <v>2.3999999999999998E-3</v>
      </c>
      <c r="AO5">
        <v>111.60039999999999</v>
      </c>
      <c r="AP5">
        <v>93.746600000000001</v>
      </c>
      <c r="AQ5">
        <v>92.463999999999999</v>
      </c>
      <c r="AR5">
        <v>89.813599999999994</v>
      </c>
      <c r="AS5">
        <v>84.227999999999994</v>
      </c>
      <c r="AT5">
        <v>83.405600000000007</v>
      </c>
      <c r="AU5">
        <v>78.2303</v>
      </c>
      <c r="AV5">
        <v>24092.2202</v>
      </c>
      <c r="AW5">
        <v>63729.2834</v>
      </c>
      <c r="AX5">
        <f t="shared" si="2"/>
        <v>1873647.3048883399</v>
      </c>
      <c r="AY5">
        <f t="shared" si="3"/>
        <v>6131617.4084059</v>
      </c>
      <c r="AZ5">
        <f t="shared" si="4"/>
        <v>885747.81826324004</v>
      </c>
      <c r="BA5">
        <f t="shared" si="5"/>
        <v>0</v>
      </c>
      <c r="BB5">
        <f t="shared" si="6"/>
        <v>0</v>
      </c>
      <c r="BC5">
        <f t="shared" si="7"/>
        <v>63729.2834</v>
      </c>
      <c r="BD5">
        <f t="shared" si="8"/>
        <v>0</v>
      </c>
      <c r="BE5">
        <f t="shared" si="9"/>
        <v>0</v>
      </c>
      <c r="BF5">
        <f t="shared" si="10"/>
        <v>0</v>
      </c>
      <c r="BG5">
        <f t="shared" si="11"/>
        <v>31650.520849479999</v>
      </c>
      <c r="BH5">
        <f t="shared" si="12"/>
        <v>31217.4922592</v>
      </c>
      <c r="BI5">
        <f t="shared" si="13"/>
        <v>30322.670042079997</v>
      </c>
      <c r="BJ5">
        <f t="shared" si="14"/>
        <v>28436.872058399997</v>
      </c>
      <c r="BK5">
        <f t="shared" si="15"/>
        <v>28159.215179680003</v>
      </c>
      <c r="BL5">
        <f t="shared" si="16"/>
        <v>26411.941779339999</v>
      </c>
    </row>
    <row r="6" spans="1:64">
      <c r="A6" t="str">
        <f t="shared" si="1"/>
        <v>04</v>
      </c>
      <c r="B6" t="s">
        <v>605</v>
      </c>
      <c r="C6" t="s">
        <v>611</v>
      </c>
      <c r="D6">
        <v>6</v>
      </c>
      <c r="E6">
        <v>4</v>
      </c>
      <c r="F6">
        <v>6</v>
      </c>
      <c r="G6">
        <v>2</v>
      </c>
      <c r="H6">
        <v>100</v>
      </c>
      <c r="I6" t="s">
        <v>607</v>
      </c>
      <c r="J6">
        <v>0.55010000000000003</v>
      </c>
      <c r="K6">
        <v>258.88</v>
      </c>
      <c r="L6">
        <v>3.2500000000000001E-2</v>
      </c>
      <c r="M6">
        <v>1.6432</v>
      </c>
      <c r="N6">
        <v>31.436900000000001</v>
      </c>
      <c r="O6">
        <v>90.412300000000002</v>
      </c>
      <c r="P6">
        <v>273.84320000000002</v>
      </c>
      <c r="Q6">
        <v>173.65870000000001</v>
      </c>
      <c r="R6">
        <v>3.2800000000000003E-2</v>
      </c>
      <c r="S6">
        <v>1.397</v>
      </c>
      <c r="T6">
        <v>0</v>
      </c>
      <c r="U6">
        <v>9.0899999999999995E-2</v>
      </c>
      <c r="V6">
        <v>0.65490000000000004</v>
      </c>
      <c r="W6">
        <v>14.5778</v>
      </c>
      <c r="X6">
        <v>353.41910000000001</v>
      </c>
      <c r="Y6">
        <v>319.58449999999999</v>
      </c>
      <c r="Z6">
        <v>365.07409999999999</v>
      </c>
      <c r="AA6">
        <v>1017.5409</v>
      </c>
      <c r="AB6">
        <v>9.4541000000000004</v>
      </c>
      <c r="AC6">
        <v>28.5581</v>
      </c>
      <c r="AD6">
        <v>100.495</v>
      </c>
      <c r="AE6">
        <v>10.8987</v>
      </c>
      <c r="AF6">
        <v>5839.8216000000002</v>
      </c>
      <c r="AG6">
        <v>95.224800000000002</v>
      </c>
      <c r="AH6">
        <v>14.885</v>
      </c>
      <c r="AI6">
        <v>91.319199999999995</v>
      </c>
      <c r="AJ6">
        <v>84.594099999999997</v>
      </c>
      <c r="AK6">
        <v>86.125600000000006</v>
      </c>
      <c r="AL6">
        <v>1.2634000000000001</v>
      </c>
      <c r="AM6">
        <v>1.9976</v>
      </c>
      <c r="AN6">
        <v>1.1999999999999999E-3</v>
      </c>
      <c r="AO6">
        <v>111.6814</v>
      </c>
      <c r="AP6">
        <v>92.322699999999998</v>
      </c>
      <c r="AQ6">
        <v>90.905900000000003</v>
      </c>
      <c r="AR6">
        <v>88.1006</v>
      </c>
      <c r="AS6">
        <v>83.368799999999993</v>
      </c>
      <c r="AT6">
        <v>82.764799999999994</v>
      </c>
      <c r="AU6">
        <v>77.758700000000005</v>
      </c>
      <c r="AV6">
        <v>24049.892800000001</v>
      </c>
      <c r="AW6">
        <v>63641.893499999998</v>
      </c>
      <c r="AX6">
        <f t="shared" si="2"/>
        <v>1817491.5587623499</v>
      </c>
      <c r="AY6">
        <f t="shared" si="3"/>
        <v>6060286.5801587999</v>
      </c>
      <c r="AZ6">
        <f t="shared" si="4"/>
        <v>927758.79506429995</v>
      </c>
      <c r="BA6">
        <f t="shared" si="5"/>
        <v>0</v>
      </c>
      <c r="BB6">
        <f t="shared" si="6"/>
        <v>0</v>
      </c>
      <c r="BC6">
        <f t="shared" si="7"/>
        <v>63641.893499999998</v>
      </c>
      <c r="BD6">
        <f t="shared" si="8"/>
        <v>0</v>
      </c>
      <c r="BE6">
        <f t="shared" si="9"/>
        <v>0</v>
      </c>
      <c r="BF6">
        <f t="shared" si="10"/>
        <v>0</v>
      </c>
      <c r="BG6">
        <f t="shared" si="11"/>
        <v>32628.60554357</v>
      </c>
      <c r="BH6">
        <f t="shared" si="12"/>
        <v>32127.881362690001</v>
      </c>
      <c r="BI6">
        <f t="shared" si="13"/>
        <v>31136.434761460001</v>
      </c>
      <c r="BJ6">
        <f t="shared" si="14"/>
        <v>29464.126264079998</v>
      </c>
      <c r="BK6">
        <f t="shared" si="15"/>
        <v>29250.661127679999</v>
      </c>
      <c r="BL6">
        <f t="shared" si="16"/>
        <v>27481.409771170001</v>
      </c>
    </row>
    <row r="7" spans="1:64">
      <c r="A7" t="str">
        <f t="shared" si="1"/>
        <v>05</v>
      </c>
      <c r="B7" t="s">
        <v>605</v>
      </c>
      <c r="C7" t="s">
        <v>612</v>
      </c>
      <c r="D7">
        <v>6</v>
      </c>
      <c r="E7">
        <v>4</v>
      </c>
      <c r="F7">
        <v>6</v>
      </c>
      <c r="G7">
        <v>2</v>
      </c>
      <c r="H7">
        <v>100</v>
      </c>
      <c r="I7" t="s">
        <v>607</v>
      </c>
      <c r="J7">
        <v>0.52649999999999997</v>
      </c>
      <c r="K7">
        <v>266.0557</v>
      </c>
      <c r="L7">
        <v>3.4599999999999999E-2</v>
      </c>
      <c r="M7">
        <v>1.7504</v>
      </c>
      <c r="N7">
        <v>31.877300000000002</v>
      </c>
      <c r="O7">
        <v>89.8797</v>
      </c>
      <c r="P7">
        <v>288.0557</v>
      </c>
      <c r="Q7">
        <v>178.3022</v>
      </c>
      <c r="R7">
        <v>2.92E-2</v>
      </c>
      <c r="S7">
        <v>1.3924000000000001</v>
      </c>
      <c r="T7">
        <v>0</v>
      </c>
      <c r="U7">
        <v>0.1414</v>
      </c>
      <c r="V7">
        <v>0.64100000000000001</v>
      </c>
      <c r="W7">
        <v>15.0367</v>
      </c>
      <c r="X7">
        <v>346.78629999999998</v>
      </c>
      <c r="Y7">
        <v>311.7278</v>
      </c>
      <c r="Z7">
        <v>359.47430000000003</v>
      </c>
      <c r="AA7">
        <v>978.77769999999998</v>
      </c>
      <c r="AB7">
        <v>8.6669</v>
      </c>
      <c r="AC7">
        <v>28.6447</v>
      </c>
      <c r="AD7">
        <v>100.3556</v>
      </c>
      <c r="AE7">
        <v>11.0085</v>
      </c>
      <c r="AF7">
        <v>5849.5794999999998</v>
      </c>
      <c r="AG7">
        <v>95.177199999999999</v>
      </c>
      <c r="AH7">
        <v>15.4055</v>
      </c>
      <c r="AI7">
        <v>91.389499999999998</v>
      </c>
      <c r="AJ7">
        <v>76.072199999999995</v>
      </c>
      <c r="AK7">
        <v>86.274900000000002</v>
      </c>
      <c r="AL7">
        <v>1.2163999999999999</v>
      </c>
      <c r="AM7">
        <v>1.9728000000000001</v>
      </c>
      <c r="AN7">
        <v>2.8999999999999998E-3</v>
      </c>
      <c r="AO7">
        <v>111.60290000000001</v>
      </c>
      <c r="AP7">
        <v>91.393199999999993</v>
      </c>
      <c r="AQ7">
        <v>89.838899999999995</v>
      </c>
      <c r="AR7">
        <v>87.131900000000002</v>
      </c>
      <c r="AS7">
        <v>82.690399999999997</v>
      </c>
      <c r="AT7">
        <v>82.137699999999995</v>
      </c>
      <c r="AU7">
        <v>77.542900000000003</v>
      </c>
      <c r="AV7">
        <v>24402.353200000001</v>
      </c>
      <c r="AW7">
        <v>64385.044000000002</v>
      </c>
      <c r="AX7">
        <f t="shared" si="2"/>
        <v>1844290.2698668002</v>
      </c>
      <c r="AY7">
        <f t="shared" si="3"/>
        <v>6127988.2097968003</v>
      </c>
      <c r="AZ7">
        <f t="shared" si="4"/>
        <v>968138.59111479996</v>
      </c>
      <c r="BA7">
        <f t="shared" si="5"/>
        <v>0</v>
      </c>
      <c r="BB7">
        <f t="shared" si="6"/>
        <v>0</v>
      </c>
      <c r="BC7">
        <f t="shared" si="7"/>
        <v>64385.044000000002</v>
      </c>
      <c r="BD7">
        <f t="shared" si="8"/>
        <v>0</v>
      </c>
      <c r="BE7">
        <f t="shared" si="9"/>
        <v>0</v>
      </c>
      <c r="BF7">
        <f t="shared" si="10"/>
        <v>0</v>
      </c>
      <c r="BG7">
        <f t="shared" si="11"/>
        <v>31693.909673159997</v>
      </c>
      <c r="BH7">
        <f t="shared" si="12"/>
        <v>31154.899727069998</v>
      </c>
      <c r="BI7">
        <f t="shared" si="13"/>
        <v>30216.149212969998</v>
      </c>
      <c r="BJ7">
        <f t="shared" si="14"/>
        <v>28675.897861519996</v>
      </c>
      <c r="BK7">
        <f t="shared" si="15"/>
        <v>28484.229073509996</v>
      </c>
      <c r="BL7">
        <f t="shared" si="16"/>
        <v>26890.815382270001</v>
      </c>
    </row>
    <row r="8" spans="1:64">
      <c r="A8" t="str">
        <f t="shared" si="1"/>
        <v>06</v>
      </c>
      <c r="B8" t="s">
        <v>605</v>
      </c>
      <c r="C8" t="s">
        <v>613</v>
      </c>
      <c r="D8">
        <v>6</v>
      </c>
      <c r="E8">
        <v>4</v>
      </c>
      <c r="F8">
        <v>6</v>
      </c>
      <c r="G8">
        <v>2</v>
      </c>
      <c r="H8">
        <v>100</v>
      </c>
      <c r="I8" t="s">
        <v>607</v>
      </c>
      <c r="J8">
        <v>0.60050000000000003</v>
      </c>
      <c r="K8">
        <v>316.76369999999997</v>
      </c>
      <c r="L8">
        <v>4.2099999999999999E-2</v>
      </c>
      <c r="M8">
        <v>1.7917000000000001</v>
      </c>
      <c r="N8">
        <v>32.568600000000004</v>
      </c>
      <c r="O8">
        <v>90.198700000000002</v>
      </c>
      <c r="P8">
        <v>259.31299999999999</v>
      </c>
      <c r="Q8">
        <v>175.24600000000001</v>
      </c>
      <c r="R8">
        <v>2.76E-2</v>
      </c>
      <c r="S8">
        <v>1.3912</v>
      </c>
      <c r="T8">
        <v>0</v>
      </c>
      <c r="U8">
        <v>0.24160000000000001</v>
      </c>
      <c r="V8">
        <v>0.72489999999999999</v>
      </c>
      <c r="W8">
        <v>13.975</v>
      </c>
      <c r="X8">
        <v>378.40129999999999</v>
      </c>
      <c r="Y8">
        <v>341.26459999999997</v>
      </c>
      <c r="Z8">
        <v>395.25389999999999</v>
      </c>
      <c r="AA8">
        <v>1047.2566999999999</v>
      </c>
      <c r="AB8">
        <v>12.781700000000001</v>
      </c>
      <c r="AC8">
        <v>30.043800000000001</v>
      </c>
      <c r="AD8">
        <v>102.2657</v>
      </c>
      <c r="AE8">
        <v>10.402799999999999</v>
      </c>
      <c r="AF8">
        <v>5997.6704</v>
      </c>
      <c r="AG8">
        <v>95.080699999999993</v>
      </c>
      <c r="AH8">
        <v>17.316600000000001</v>
      </c>
      <c r="AI8">
        <v>91.728099999999998</v>
      </c>
      <c r="AJ8">
        <v>73.22</v>
      </c>
      <c r="AK8">
        <v>87.001999999999995</v>
      </c>
      <c r="AL8">
        <v>1.2221</v>
      </c>
      <c r="AM8">
        <v>2.0072999999999999</v>
      </c>
      <c r="AN8">
        <v>1.6000000000000001E-3</v>
      </c>
      <c r="AO8">
        <v>110.6103</v>
      </c>
      <c r="AP8">
        <v>92.116799999999998</v>
      </c>
      <c r="AQ8">
        <v>90.595699999999994</v>
      </c>
      <c r="AR8">
        <v>87.935400000000001</v>
      </c>
      <c r="AS8">
        <v>82.452299999999994</v>
      </c>
      <c r="AT8">
        <v>81.647800000000004</v>
      </c>
      <c r="AU8">
        <v>76.9512</v>
      </c>
      <c r="AV8">
        <v>23582.4434</v>
      </c>
      <c r="AW8">
        <v>62389.488299999997</v>
      </c>
      <c r="AX8">
        <f t="shared" si="2"/>
        <v>1874417.3085875399</v>
      </c>
      <c r="AY8">
        <f t="shared" si="3"/>
        <v>5932036.220205809</v>
      </c>
      <c r="AZ8">
        <f t="shared" si="4"/>
        <v>871893.09899249999</v>
      </c>
      <c r="BA8">
        <f t="shared" si="5"/>
        <v>0</v>
      </c>
      <c r="BB8">
        <f t="shared" si="6"/>
        <v>0</v>
      </c>
      <c r="BC8">
        <f t="shared" si="7"/>
        <v>62389.488299999997</v>
      </c>
      <c r="BD8">
        <f t="shared" si="8"/>
        <v>0</v>
      </c>
      <c r="BE8">
        <f t="shared" si="9"/>
        <v>0</v>
      </c>
      <c r="BF8">
        <f t="shared" si="10"/>
        <v>0</v>
      </c>
      <c r="BG8">
        <f t="shared" si="11"/>
        <v>34857.11687184</v>
      </c>
      <c r="BH8">
        <f t="shared" si="12"/>
        <v>34281.530654409995</v>
      </c>
      <c r="BI8">
        <f t="shared" si="13"/>
        <v>33274.869676019996</v>
      </c>
      <c r="BJ8">
        <f t="shared" si="14"/>
        <v>31200.057507989997</v>
      </c>
      <c r="BK8">
        <f t="shared" si="15"/>
        <v>30895.633662140001</v>
      </c>
      <c r="BL8">
        <f t="shared" si="16"/>
        <v>29118.434116559998</v>
      </c>
    </row>
    <row r="9" spans="1:64">
      <c r="A9" t="str">
        <f t="shared" si="1"/>
        <v>07</v>
      </c>
      <c r="B9" t="s">
        <v>605</v>
      </c>
      <c r="C9" t="s">
        <v>614</v>
      </c>
      <c r="D9">
        <v>6</v>
      </c>
      <c r="E9">
        <v>4</v>
      </c>
      <c r="F9">
        <v>6</v>
      </c>
      <c r="G9">
        <v>2</v>
      </c>
      <c r="H9">
        <v>100</v>
      </c>
      <c r="I9" t="s">
        <v>607</v>
      </c>
      <c r="J9">
        <v>0.61499999999999999</v>
      </c>
      <c r="K9">
        <v>270.40570000000002</v>
      </c>
      <c r="L9">
        <v>5.1900000000000002E-2</v>
      </c>
      <c r="M9">
        <v>1.7276</v>
      </c>
      <c r="N9">
        <v>32.916200000000003</v>
      </c>
      <c r="O9">
        <v>90.250200000000007</v>
      </c>
      <c r="P9">
        <v>251.56110000000001</v>
      </c>
      <c r="Q9">
        <v>176.83359999999999</v>
      </c>
      <c r="R9">
        <v>2.5999999999999999E-2</v>
      </c>
      <c r="S9">
        <v>1.3192999999999999</v>
      </c>
      <c r="T9">
        <v>0</v>
      </c>
      <c r="U9">
        <v>0.28199999999999997</v>
      </c>
      <c r="V9">
        <v>0.72119999999999995</v>
      </c>
      <c r="W9">
        <v>13.7479</v>
      </c>
      <c r="X9">
        <v>392.42160000000001</v>
      </c>
      <c r="Y9">
        <v>354.17129999999997</v>
      </c>
      <c r="Z9">
        <v>396.85329999999999</v>
      </c>
      <c r="AA9">
        <v>1076.1013</v>
      </c>
      <c r="AB9">
        <v>19.165400000000002</v>
      </c>
      <c r="AC9">
        <v>30.843900000000001</v>
      </c>
      <c r="AD9">
        <v>103.97069999999999</v>
      </c>
      <c r="AE9">
        <v>10.3505</v>
      </c>
      <c r="AF9">
        <v>6082.4080999999996</v>
      </c>
      <c r="AG9">
        <v>94.954300000000003</v>
      </c>
      <c r="AH9">
        <v>14.4655</v>
      </c>
      <c r="AI9">
        <v>91.196100000000001</v>
      </c>
      <c r="AJ9">
        <v>73.2</v>
      </c>
      <c r="AK9">
        <v>85.867699999999999</v>
      </c>
      <c r="AL9">
        <v>1.2365999999999999</v>
      </c>
      <c r="AM9">
        <v>1.966</v>
      </c>
      <c r="AN9">
        <v>3.3E-3</v>
      </c>
      <c r="AO9">
        <v>110.04949999999999</v>
      </c>
      <c r="AP9">
        <v>92.594800000000006</v>
      </c>
      <c r="AQ9">
        <v>91.124899999999997</v>
      </c>
      <c r="AR9">
        <v>88.453000000000003</v>
      </c>
      <c r="AS9">
        <v>81.763499999999993</v>
      </c>
      <c r="AT9">
        <v>80.579700000000003</v>
      </c>
      <c r="AU9">
        <v>75.753200000000007</v>
      </c>
      <c r="AV9">
        <v>23797.631799999999</v>
      </c>
      <c r="AW9">
        <v>62954.602800000001</v>
      </c>
      <c r="AX9">
        <f t="shared" si="2"/>
        <v>1941765.4733029201</v>
      </c>
      <c r="AY9">
        <f t="shared" si="3"/>
        <v>5977810.2406520406</v>
      </c>
      <c r="AZ9">
        <f t="shared" si="4"/>
        <v>865493.58383411996</v>
      </c>
      <c r="BA9">
        <f t="shared" si="5"/>
        <v>0</v>
      </c>
      <c r="BB9">
        <f t="shared" si="6"/>
        <v>0</v>
      </c>
      <c r="BC9">
        <f t="shared" si="7"/>
        <v>62954.602800000001</v>
      </c>
      <c r="BD9">
        <f t="shared" si="8"/>
        <v>0</v>
      </c>
      <c r="BE9">
        <f t="shared" si="9"/>
        <v>0</v>
      </c>
      <c r="BF9">
        <f t="shared" si="10"/>
        <v>0</v>
      </c>
      <c r="BG9">
        <f t="shared" si="11"/>
        <v>36336.199567680007</v>
      </c>
      <c r="BH9">
        <f t="shared" si="12"/>
        <v>35759.37905784</v>
      </c>
      <c r="BI9">
        <f t="shared" si="13"/>
        <v>34710.867784800001</v>
      </c>
      <c r="BJ9">
        <f t="shared" si="14"/>
        <v>32085.763491599999</v>
      </c>
      <c r="BK9">
        <f t="shared" si="15"/>
        <v>31621.214801520004</v>
      </c>
      <c r="BL9">
        <f t="shared" si="16"/>
        <v>29727.191949120002</v>
      </c>
    </row>
    <row r="10" spans="1:64">
      <c r="A10" t="str">
        <f t="shared" si="1"/>
        <v>01</v>
      </c>
      <c r="B10" t="s">
        <v>605</v>
      </c>
      <c r="C10" t="s">
        <v>615</v>
      </c>
      <c r="D10">
        <v>55</v>
      </c>
      <c r="E10">
        <v>1</v>
      </c>
      <c r="F10">
        <v>6</v>
      </c>
      <c r="G10">
        <v>2</v>
      </c>
      <c r="H10">
        <v>100</v>
      </c>
      <c r="I10" t="s">
        <v>607</v>
      </c>
      <c r="J10">
        <v>0.51190000000000002</v>
      </c>
      <c r="K10">
        <v>231.24629999999999</v>
      </c>
      <c r="L10">
        <v>5.5399999999999998E-2</v>
      </c>
      <c r="M10">
        <v>1.0529999999999999</v>
      </c>
      <c r="N10">
        <v>30.348299999999998</v>
      </c>
      <c r="O10">
        <v>87.050799999999995</v>
      </c>
      <c r="P10">
        <v>346.54579999999999</v>
      </c>
      <c r="Q10">
        <v>233.22389999999999</v>
      </c>
      <c r="R10">
        <v>0.27839999999999998</v>
      </c>
      <c r="S10">
        <v>1.3028</v>
      </c>
      <c r="T10">
        <v>0.1802</v>
      </c>
      <c r="U10">
        <v>3.1199999999999999E-2</v>
      </c>
      <c r="V10">
        <v>0.62490000000000001</v>
      </c>
      <c r="W10">
        <v>11.4239</v>
      </c>
      <c r="X10">
        <v>135.4145</v>
      </c>
      <c r="Y10">
        <v>120.00749999999999</v>
      </c>
      <c r="Z10">
        <v>134.1942</v>
      </c>
      <c r="AA10">
        <v>395.13490000000002</v>
      </c>
      <c r="AB10">
        <v>14.3064</v>
      </c>
      <c r="AC10">
        <v>50.119399999999999</v>
      </c>
      <c r="AD10">
        <v>52.781999999999996</v>
      </c>
      <c r="AE10">
        <v>3.0177999999999998</v>
      </c>
      <c r="AF10">
        <v>8296.3086000000003</v>
      </c>
      <c r="AG10">
        <v>74.871200000000002</v>
      </c>
      <c r="AH10">
        <v>4.8291000000000004</v>
      </c>
      <c r="AI10">
        <v>90.793099999999995</v>
      </c>
      <c r="AJ10">
        <v>73.2</v>
      </c>
      <c r="AK10">
        <v>85.009299999999996</v>
      </c>
      <c r="AL10">
        <v>1.4954000000000001</v>
      </c>
      <c r="AM10">
        <v>0.05</v>
      </c>
      <c r="AN10">
        <v>1.14E-2</v>
      </c>
      <c r="AO10">
        <v>98.098699999999994</v>
      </c>
      <c r="AP10">
        <v>93.853800000000007</v>
      </c>
      <c r="AQ10">
        <v>92.332999999999998</v>
      </c>
      <c r="AR10">
        <v>90.147900000000007</v>
      </c>
      <c r="AS10">
        <v>84.573700000000002</v>
      </c>
      <c r="AT10">
        <v>83.505799999999994</v>
      </c>
      <c r="AU10">
        <v>78.829899999999995</v>
      </c>
      <c r="AV10">
        <v>9847.5385999999999</v>
      </c>
      <c r="AW10">
        <v>25026.040199999999</v>
      </c>
      <c r="AX10">
        <f t="shared" si="2"/>
        <v>1254290.1191998799</v>
      </c>
      <c r="AY10">
        <f t="shared" si="3"/>
        <v>1873729.6610222401</v>
      </c>
      <c r="AZ10">
        <f t="shared" si="4"/>
        <v>285894.98064078001</v>
      </c>
      <c r="BA10">
        <f t="shared" si="5"/>
        <v>25026.040199999999</v>
      </c>
      <c r="BB10">
        <f t="shared" si="6"/>
        <v>0</v>
      </c>
      <c r="BC10">
        <f t="shared" si="7"/>
        <v>0</v>
      </c>
      <c r="BD10">
        <f t="shared" si="8"/>
        <v>0</v>
      </c>
      <c r="BE10">
        <f t="shared" si="9"/>
        <v>0</v>
      </c>
      <c r="BF10">
        <f t="shared" si="10"/>
        <v>0</v>
      </c>
      <c r="BG10">
        <f t="shared" si="11"/>
        <v>12709.165400100001</v>
      </c>
      <c r="BH10">
        <f t="shared" si="12"/>
        <v>12503.2270285</v>
      </c>
      <c r="BI10">
        <f t="shared" si="13"/>
        <v>12207.332804550002</v>
      </c>
      <c r="BJ10">
        <f t="shared" si="14"/>
        <v>11452.505298650001</v>
      </c>
      <c r="BK10">
        <f t="shared" si="15"/>
        <v>11307.896154099999</v>
      </c>
      <c r="BL10">
        <f t="shared" si="16"/>
        <v>10674.711493549999</v>
      </c>
    </row>
    <row r="11" spans="1:64">
      <c r="A11" t="str">
        <f t="shared" si="1"/>
        <v>01</v>
      </c>
      <c r="B11" t="s">
        <v>605</v>
      </c>
      <c r="C11" t="s">
        <v>615</v>
      </c>
      <c r="D11">
        <v>55</v>
      </c>
      <c r="E11">
        <v>1</v>
      </c>
      <c r="F11">
        <v>6</v>
      </c>
      <c r="G11">
        <v>4</v>
      </c>
      <c r="H11">
        <v>100</v>
      </c>
      <c r="I11" t="s">
        <v>607</v>
      </c>
      <c r="J11">
        <v>0.4909</v>
      </c>
      <c r="K11">
        <v>277.34379999999999</v>
      </c>
      <c r="L11">
        <v>6.3799999999999996E-2</v>
      </c>
      <c r="M11">
        <v>1.3206</v>
      </c>
      <c r="N11">
        <v>28.6676</v>
      </c>
      <c r="O11">
        <v>88.852900000000005</v>
      </c>
      <c r="P11">
        <v>345.24630000000002</v>
      </c>
      <c r="Q11">
        <v>227.30070000000001</v>
      </c>
      <c r="R11">
        <v>0.2666</v>
      </c>
      <c r="S11">
        <v>0.96819999999999995</v>
      </c>
      <c r="T11">
        <v>0.1148</v>
      </c>
      <c r="U11">
        <v>2.8400000000000002E-2</v>
      </c>
      <c r="V11">
        <v>0.54079999999999995</v>
      </c>
      <c r="W11">
        <v>11.290800000000001</v>
      </c>
      <c r="X11">
        <v>7.1642000000000001</v>
      </c>
      <c r="Y11">
        <v>6.3655999999999997</v>
      </c>
      <c r="Z11">
        <v>7.5061999999999998</v>
      </c>
      <c r="AA11">
        <v>22.204999999999998</v>
      </c>
      <c r="AB11">
        <v>26.336200000000002</v>
      </c>
      <c r="AC11">
        <v>49.1023</v>
      </c>
      <c r="AD11">
        <v>52.7562</v>
      </c>
      <c r="AE11">
        <v>0.19750000000000001</v>
      </c>
      <c r="AF11">
        <v>8157.4120999999996</v>
      </c>
      <c r="AG11">
        <v>76.801500000000004</v>
      </c>
      <c r="AH11">
        <v>0.35809999999999997</v>
      </c>
      <c r="AI11">
        <v>91.220100000000002</v>
      </c>
      <c r="AJ11">
        <v>73.2</v>
      </c>
      <c r="AK11">
        <v>85.912499999999994</v>
      </c>
      <c r="AL11">
        <v>1.4373</v>
      </c>
      <c r="AM11">
        <v>0.05</v>
      </c>
      <c r="AN11">
        <v>1.0800000000000001E-2</v>
      </c>
      <c r="AO11">
        <v>99.293499999999995</v>
      </c>
      <c r="AP11">
        <v>93.988200000000006</v>
      </c>
      <c r="AQ11">
        <v>92.268000000000001</v>
      </c>
      <c r="AR11">
        <v>89.793800000000005</v>
      </c>
      <c r="AS11">
        <v>83.716999999999999</v>
      </c>
      <c r="AT11">
        <v>82.448099999999997</v>
      </c>
      <c r="AU11">
        <v>77.831599999999995</v>
      </c>
      <c r="AV11">
        <v>634.17359999999996</v>
      </c>
      <c r="AW11">
        <v>1611.4638</v>
      </c>
      <c r="AX11">
        <f t="shared" si="2"/>
        <v>79126.578946740003</v>
      </c>
      <c r="AY11">
        <f t="shared" si="3"/>
        <v>123762.83703570001</v>
      </c>
      <c r="AZ11">
        <f t="shared" si="4"/>
        <v>18194.71547304</v>
      </c>
      <c r="BA11">
        <f t="shared" si="5"/>
        <v>1611.4638</v>
      </c>
      <c r="BB11">
        <f t="shared" si="6"/>
        <v>0</v>
      </c>
      <c r="BC11">
        <f t="shared" si="7"/>
        <v>0</v>
      </c>
      <c r="BD11">
        <f t="shared" si="8"/>
        <v>0</v>
      </c>
      <c r="BE11">
        <f t="shared" si="9"/>
        <v>0</v>
      </c>
      <c r="BF11">
        <f t="shared" si="10"/>
        <v>0</v>
      </c>
      <c r="BG11">
        <f t="shared" si="11"/>
        <v>673.35026244000005</v>
      </c>
      <c r="BH11">
        <f t="shared" si="12"/>
        <v>661.02640559999998</v>
      </c>
      <c r="BI11">
        <f t="shared" si="13"/>
        <v>643.3007419600001</v>
      </c>
      <c r="BJ11">
        <f t="shared" si="14"/>
        <v>599.76533140000004</v>
      </c>
      <c r="BK11">
        <f t="shared" si="15"/>
        <v>590.67467801999999</v>
      </c>
      <c r="BL11">
        <f t="shared" si="16"/>
        <v>557.60114871999997</v>
      </c>
    </row>
    <row r="12" spans="1:64">
      <c r="A12" t="str">
        <f t="shared" si="1"/>
        <v>01</v>
      </c>
      <c r="B12" t="s">
        <v>605</v>
      </c>
      <c r="C12" t="s">
        <v>615</v>
      </c>
      <c r="D12">
        <v>55</v>
      </c>
      <c r="E12">
        <v>1</v>
      </c>
      <c r="F12">
        <v>6</v>
      </c>
      <c r="G12">
        <v>4</v>
      </c>
      <c r="H12">
        <v>200</v>
      </c>
      <c r="I12" t="s">
        <v>607</v>
      </c>
      <c r="J12">
        <v>0.4405</v>
      </c>
      <c r="K12">
        <v>441.23820000000001</v>
      </c>
      <c r="L12">
        <v>4.5499999999999999E-2</v>
      </c>
      <c r="M12">
        <v>0.90239999999999998</v>
      </c>
      <c r="N12">
        <v>29.555399999999999</v>
      </c>
      <c r="O12">
        <v>89.004999999999995</v>
      </c>
      <c r="P12">
        <v>340.50920000000002</v>
      </c>
      <c r="Q12">
        <v>227.79859999999999</v>
      </c>
      <c r="R12">
        <v>0.2611</v>
      </c>
      <c r="S12">
        <v>1.0127999999999999</v>
      </c>
      <c r="T12">
        <v>0.13900000000000001</v>
      </c>
      <c r="U12">
        <v>3.32E-2</v>
      </c>
      <c r="V12">
        <v>0.48609999999999998</v>
      </c>
      <c r="W12">
        <v>11.3203</v>
      </c>
      <c r="X12">
        <v>3.3999999999999998E-3</v>
      </c>
      <c r="Y12">
        <v>3.0000000000000001E-3</v>
      </c>
      <c r="Z12">
        <v>3.7000000000000002E-3</v>
      </c>
      <c r="AA12">
        <v>1.01E-2</v>
      </c>
      <c r="AB12">
        <v>15.321</v>
      </c>
      <c r="AC12">
        <v>49.143999999999998</v>
      </c>
      <c r="AD12">
        <v>53.332999999999998</v>
      </c>
      <c r="AE12">
        <v>1E-4</v>
      </c>
      <c r="AF12">
        <v>8160.2578999999996</v>
      </c>
      <c r="AG12">
        <v>76.850399999999993</v>
      </c>
      <c r="AH12">
        <v>2.0000000000000001E-4</v>
      </c>
      <c r="AI12">
        <v>91.456800000000001</v>
      </c>
      <c r="AJ12">
        <v>73.2</v>
      </c>
      <c r="AK12">
        <v>86.418499999999995</v>
      </c>
      <c r="AL12">
        <v>1.4944</v>
      </c>
      <c r="AM12">
        <v>0.05</v>
      </c>
      <c r="AN12">
        <v>6.1000000000000004E-3</v>
      </c>
      <c r="AO12">
        <v>99.308300000000003</v>
      </c>
      <c r="AP12">
        <v>94.114000000000004</v>
      </c>
      <c r="AQ12">
        <v>92.355900000000005</v>
      </c>
      <c r="AR12">
        <v>90.126099999999994</v>
      </c>
      <c r="AS12">
        <v>84.21</v>
      </c>
      <c r="AT12">
        <v>82.839399999999998</v>
      </c>
      <c r="AU12">
        <v>78.329700000000003</v>
      </c>
      <c r="AV12">
        <v>0.34760000000000002</v>
      </c>
      <c r="AW12">
        <v>0.88429999999999997</v>
      </c>
      <c r="AX12">
        <f t="shared" si="2"/>
        <v>43.458039199999995</v>
      </c>
      <c r="AY12">
        <f t="shared" si="3"/>
        <v>67.958808719999993</v>
      </c>
      <c r="AZ12">
        <f t="shared" si="4"/>
        <v>10.010541289999999</v>
      </c>
      <c r="BA12">
        <f t="shared" si="5"/>
        <v>0.88429999999999997</v>
      </c>
      <c r="BB12">
        <f t="shared" si="6"/>
        <v>0</v>
      </c>
      <c r="BC12">
        <f t="shared" si="7"/>
        <v>0</v>
      </c>
      <c r="BD12">
        <f t="shared" si="8"/>
        <v>0</v>
      </c>
      <c r="BE12">
        <f t="shared" si="9"/>
        <v>0</v>
      </c>
      <c r="BF12">
        <f t="shared" si="10"/>
        <v>0</v>
      </c>
      <c r="BG12">
        <f t="shared" si="11"/>
        <v>0.31998759999999998</v>
      </c>
      <c r="BH12">
        <f t="shared" si="12"/>
        <v>0.31401005999999998</v>
      </c>
      <c r="BI12">
        <f t="shared" si="13"/>
        <v>0.30642873999999998</v>
      </c>
      <c r="BJ12">
        <f t="shared" si="14"/>
        <v>0.28631399999999996</v>
      </c>
      <c r="BK12">
        <f t="shared" si="15"/>
        <v>0.28165395999999998</v>
      </c>
      <c r="BL12">
        <f t="shared" si="16"/>
        <v>0.26632097999999998</v>
      </c>
    </row>
    <row r="13" spans="1:64">
      <c r="A13" t="str">
        <f t="shared" si="1"/>
        <v>01</v>
      </c>
      <c r="B13" t="s">
        <v>605</v>
      </c>
      <c r="C13" t="s">
        <v>615</v>
      </c>
      <c r="D13">
        <v>55</v>
      </c>
      <c r="E13">
        <v>2</v>
      </c>
      <c r="F13">
        <v>10</v>
      </c>
      <c r="G13">
        <v>2</v>
      </c>
      <c r="H13">
        <v>100</v>
      </c>
      <c r="I13" t="s">
        <v>607</v>
      </c>
      <c r="J13">
        <v>0.60189999999999999</v>
      </c>
      <c r="K13">
        <v>212.05709999999999</v>
      </c>
      <c r="L13">
        <v>6.1400000000000003E-2</v>
      </c>
      <c r="M13">
        <v>1.2202999999999999</v>
      </c>
      <c r="N13">
        <v>31.0501</v>
      </c>
      <c r="O13">
        <v>87.179699999999997</v>
      </c>
      <c r="P13">
        <v>336.73579999999998</v>
      </c>
      <c r="Q13">
        <v>229.49</v>
      </c>
      <c r="R13">
        <v>0.27510000000000001</v>
      </c>
      <c r="S13">
        <v>1.2230000000000001</v>
      </c>
      <c r="T13">
        <v>0.2145</v>
      </c>
      <c r="U13">
        <v>2.3199999999999998E-2</v>
      </c>
      <c r="V13">
        <v>0.6694</v>
      </c>
      <c r="W13">
        <v>11.540900000000001</v>
      </c>
      <c r="X13">
        <v>311.30889999999999</v>
      </c>
      <c r="Y13">
        <v>276.27780000000001</v>
      </c>
      <c r="Z13">
        <v>298.36419999999998</v>
      </c>
      <c r="AA13">
        <v>889.10969999999998</v>
      </c>
      <c r="AB13">
        <v>12.8035</v>
      </c>
      <c r="AC13">
        <v>49.168799999999997</v>
      </c>
      <c r="AD13">
        <v>50.691699999999997</v>
      </c>
      <c r="AE13">
        <v>6.4118000000000004</v>
      </c>
      <c r="AF13">
        <v>8097.1776</v>
      </c>
      <c r="AG13">
        <v>76.791899999999998</v>
      </c>
      <c r="AH13">
        <v>8.3402999999999992</v>
      </c>
      <c r="AI13">
        <v>90.383099999999999</v>
      </c>
      <c r="AJ13">
        <v>73.2</v>
      </c>
      <c r="AK13">
        <v>84.138000000000005</v>
      </c>
      <c r="AL13">
        <v>1.4991000000000001</v>
      </c>
      <c r="AM13">
        <v>0.05</v>
      </c>
      <c r="AN13">
        <v>1.17E-2</v>
      </c>
      <c r="AO13">
        <v>100.8485</v>
      </c>
      <c r="AP13">
        <v>93.830600000000004</v>
      </c>
      <c r="AQ13">
        <v>92.378299999999996</v>
      </c>
      <c r="AR13">
        <v>90.037499999999994</v>
      </c>
      <c r="AS13">
        <v>84.462400000000002</v>
      </c>
      <c r="AT13">
        <v>83.438000000000002</v>
      </c>
      <c r="AU13">
        <v>78.552000000000007</v>
      </c>
      <c r="AV13">
        <v>20563.079399999999</v>
      </c>
      <c r="AW13">
        <v>51910.332199999997</v>
      </c>
      <c r="AX13">
        <f t="shared" si="2"/>
        <v>2552368.7418753598</v>
      </c>
      <c r="AY13">
        <f t="shared" si="3"/>
        <v>3986293.0392691796</v>
      </c>
      <c r="AZ13">
        <f t="shared" si="4"/>
        <v>599091.95288698003</v>
      </c>
      <c r="BA13">
        <f t="shared" si="5"/>
        <v>0</v>
      </c>
      <c r="BB13">
        <f t="shared" si="6"/>
        <v>51910.332199999997</v>
      </c>
      <c r="BC13">
        <f t="shared" si="7"/>
        <v>0</v>
      </c>
      <c r="BD13">
        <f t="shared" si="8"/>
        <v>0</v>
      </c>
      <c r="BE13">
        <f t="shared" si="9"/>
        <v>0</v>
      </c>
      <c r="BF13">
        <f t="shared" si="10"/>
        <v>0</v>
      </c>
      <c r="BG13">
        <f t="shared" si="11"/>
        <v>29210.300872340002</v>
      </c>
      <c r="BH13">
        <f t="shared" si="12"/>
        <v>28758.186956869999</v>
      </c>
      <c r="BI13">
        <f t="shared" si="13"/>
        <v>28029.475083749996</v>
      </c>
      <c r="BJ13">
        <f t="shared" si="14"/>
        <v>26293.896835359999</v>
      </c>
      <c r="BK13">
        <f t="shared" si="15"/>
        <v>25974.991998199999</v>
      </c>
      <c r="BL13">
        <f t="shared" si="16"/>
        <v>24453.936712800001</v>
      </c>
    </row>
    <row r="14" spans="1:64">
      <c r="A14" t="str">
        <f t="shared" si="1"/>
        <v>01</v>
      </c>
      <c r="B14" t="s">
        <v>605</v>
      </c>
      <c r="C14" t="s">
        <v>615</v>
      </c>
      <c r="D14">
        <v>55</v>
      </c>
      <c r="E14">
        <v>2</v>
      </c>
      <c r="F14">
        <v>10</v>
      </c>
      <c r="G14">
        <v>4</v>
      </c>
      <c r="H14">
        <v>100</v>
      </c>
      <c r="I14" t="s">
        <v>607</v>
      </c>
      <c r="J14">
        <v>0.53500000000000003</v>
      </c>
      <c r="K14">
        <v>227.18729999999999</v>
      </c>
      <c r="L14">
        <v>7.0599999999999996E-2</v>
      </c>
      <c r="M14">
        <v>1.4992000000000001</v>
      </c>
      <c r="N14">
        <v>32.701599999999999</v>
      </c>
      <c r="O14">
        <v>86.680400000000006</v>
      </c>
      <c r="P14">
        <v>288.91390000000001</v>
      </c>
      <c r="Q14">
        <v>233.87280000000001</v>
      </c>
      <c r="R14">
        <v>5.0900000000000001E-2</v>
      </c>
      <c r="S14">
        <v>1.3778999999999999</v>
      </c>
      <c r="T14">
        <v>9.8100000000000007E-2</v>
      </c>
      <c r="U14">
        <v>2.8000000000000001E-2</v>
      </c>
      <c r="V14">
        <v>0.62470000000000003</v>
      </c>
      <c r="W14">
        <v>11.5268</v>
      </c>
      <c r="X14">
        <v>24.050699999999999</v>
      </c>
      <c r="Y14">
        <v>20.978400000000001</v>
      </c>
      <c r="Z14">
        <v>23.490400000000001</v>
      </c>
      <c r="AA14">
        <v>64.114099999999993</v>
      </c>
      <c r="AB14">
        <v>18.1966</v>
      </c>
      <c r="AC14">
        <v>50.509</v>
      </c>
      <c r="AD14">
        <v>50.8825</v>
      </c>
      <c r="AE14">
        <v>0.54159999999999997</v>
      </c>
      <c r="AF14">
        <v>8220.7351999999992</v>
      </c>
      <c r="AG14">
        <v>76.8292</v>
      </c>
      <c r="AH14">
        <v>0.85260000000000002</v>
      </c>
      <c r="AI14">
        <v>90.848200000000006</v>
      </c>
      <c r="AJ14">
        <v>73.2</v>
      </c>
      <c r="AK14">
        <v>85.121099999999998</v>
      </c>
      <c r="AL14">
        <v>1.4801</v>
      </c>
      <c r="AM14">
        <v>0.05</v>
      </c>
      <c r="AN14">
        <v>1.2500000000000001E-2</v>
      </c>
      <c r="AO14">
        <v>100.56440000000001</v>
      </c>
      <c r="AP14">
        <v>92.894099999999995</v>
      </c>
      <c r="AQ14">
        <v>90.911600000000007</v>
      </c>
      <c r="AR14">
        <v>87.241500000000002</v>
      </c>
      <c r="AS14">
        <v>80.146299999999997</v>
      </c>
      <c r="AT14">
        <v>78.782499999999999</v>
      </c>
      <c r="AU14">
        <v>72.868499999999997</v>
      </c>
      <c r="AV14">
        <v>1767.1498999999999</v>
      </c>
      <c r="AW14">
        <v>4451.4431999999997</v>
      </c>
      <c r="AX14">
        <f t="shared" si="2"/>
        <v>224837.94458879999</v>
      </c>
      <c r="AY14">
        <f t="shared" si="3"/>
        <v>342000.81990144</v>
      </c>
      <c r="AZ14">
        <f t="shared" si="4"/>
        <v>51310.895477759994</v>
      </c>
      <c r="BA14">
        <f t="shared" si="5"/>
        <v>0</v>
      </c>
      <c r="BB14">
        <f t="shared" si="6"/>
        <v>4451.4431999999997</v>
      </c>
      <c r="BC14">
        <f t="shared" si="7"/>
        <v>0</v>
      </c>
      <c r="BD14">
        <f t="shared" si="8"/>
        <v>0</v>
      </c>
      <c r="BE14">
        <f t="shared" si="9"/>
        <v>0</v>
      </c>
      <c r="BF14">
        <f t="shared" si="10"/>
        <v>0</v>
      </c>
      <c r="BG14">
        <f t="shared" si="11"/>
        <v>2234.1681308699999</v>
      </c>
      <c r="BH14">
        <f t="shared" si="12"/>
        <v>2186.4876181200002</v>
      </c>
      <c r="BI14">
        <f t="shared" si="13"/>
        <v>2098.2191440500001</v>
      </c>
      <c r="BJ14">
        <f t="shared" si="14"/>
        <v>1927.5746174099997</v>
      </c>
      <c r="BK14">
        <f t="shared" si="15"/>
        <v>1894.7742727499999</v>
      </c>
      <c r="BL14">
        <f t="shared" si="16"/>
        <v>1752.5384329499998</v>
      </c>
    </row>
    <row r="15" spans="1:64">
      <c r="A15" t="str">
        <f t="shared" si="1"/>
        <v>01</v>
      </c>
      <c r="B15" t="s">
        <v>605</v>
      </c>
      <c r="C15" t="s">
        <v>615</v>
      </c>
      <c r="D15">
        <v>66</v>
      </c>
      <c r="E15">
        <v>3</v>
      </c>
      <c r="F15">
        <v>6</v>
      </c>
      <c r="G15">
        <v>4</v>
      </c>
      <c r="H15">
        <v>100</v>
      </c>
      <c r="I15" t="s">
        <v>607</v>
      </c>
      <c r="J15">
        <v>0.46160000000000001</v>
      </c>
      <c r="K15">
        <v>254.245</v>
      </c>
      <c r="L15">
        <v>6.3799999999999996E-2</v>
      </c>
      <c r="M15">
        <v>1.3206</v>
      </c>
      <c r="N15">
        <v>33.376399999999997</v>
      </c>
      <c r="O15">
        <v>88.197999999999993</v>
      </c>
      <c r="P15">
        <v>325.88650000000001</v>
      </c>
      <c r="Q15">
        <v>208.04839999999999</v>
      </c>
      <c r="R15">
        <v>4.7500000000000001E-2</v>
      </c>
      <c r="S15">
        <v>1.4683999999999999</v>
      </c>
      <c r="T15">
        <v>0.13200000000000001</v>
      </c>
      <c r="U15">
        <v>3.73E-2</v>
      </c>
      <c r="V15">
        <v>0.55779999999999996</v>
      </c>
      <c r="W15">
        <v>12.7873</v>
      </c>
      <c r="X15">
        <v>3.6917</v>
      </c>
      <c r="Y15">
        <v>3.3275000000000001</v>
      </c>
      <c r="Z15">
        <v>3.8978999999999999</v>
      </c>
      <c r="AA15">
        <v>9.9695999999999998</v>
      </c>
      <c r="AB15">
        <v>46.425899999999999</v>
      </c>
      <c r="AC15">
        <v>38.720599999999997</v>
      </c>
      <c r="AD15">
        <v>93.313800000000001</v>
      </c>
      <c r="AE15">
        <v>0.1106</v>
      </c>
      <c r="AF15">
        <v>7230.3316000000004</v>
      </c>
      <c r="AG15">
        <v>76.739800000000002</v>
      </c>
      <c r="AH15">
        <v>0.1804</v>
      </c>
      <c r="AI15">
        <v>91.255899999999997</v>
      </c>
      <c r="AJ15">
        <v>73.2</v>
      </c>
      <c r="AK15">
        <v>85.988799999999998</v>
      </c>
      <c r="AL15">
        <v>1.4132</v>
      </c>
      <c r="AM15">
        <v>0.05</v>
      </c>
      <c r="AN15">
        <v>1.6400000000000001E-2</v>
      </c>
      <c r="AO15">
        <v>97.154200000000003</v>
      </c>
      <c r="AP15">
        <v>95.232100000000003</v>
      </c>
      <c r="AQ15">
        <v>93.614199999999997</v>
      </c>
      <c r="AR15">
        <v>91.526799999999994</v>
      </c>
      <c r="AS15">
        <v>86.146100000000004</v>
      </c>
      <c r="AT15">
        <v>85.101900000000001</v>
      </c>
      <c r="AU15">
        <v>80.046300000000002</v>
      </c>
      <c r="AV15">
        <v>321.55360000000002</v>
      </c>
      <c r="AW15">
        <v>799.78129999999999</v>
      </c>
      <c r="AX15">
        <f t="shared" si="2"/>
        <v>30968.011804779999</v>
      </c>
      <c r="AY15">
        <f>+AG15*AW15</f>
        <v>61375.057005740004</v>
      </c>
      <c r="AZ15">
        <f t="shared" si="4"/>
        <v>10227.04341749</v>
      </c>
      <c r="BA15">
        <f t="shared" si="5"/>
        <v>0</v>
      </c>
      <c r="BB15">
        <f t="shared" si="6"/>
        <v>0</v>
      </c>
      <c r="BC15">
        <f t="shared" si="7"/>
        <v>799.78129999999999</v>
      </c>
      <c r="BD15">
        <f t="shared" si="8"/>
        <v>0</v>
      </c>
      <c r="BE15">
        <f t="shared" si="9"/>
        <v>0</v>
      </c>
      <c r="BF15">
        <f t="shared" si="10"/>
        <v>0</v>
      </c>
      <c r="BG15">
        <f t="shared" si="11"/>
        <v>351.56834357000002</v>
      </c>
      <c r="BH15">
        <f t="shared" si="12"/>
        <v>345.59554213999996</v>
      </c>
      <c r="BI15">
        <f t="shared" si="13"/>
        <v>337.88948755999996</v>
      </c>
      <c r="BJ15">
        <f t="shared" si="14"/>
        <v>318.02555737</v>
      </c>
      <c r="BK15">
        <f t="shared" si="15"/>
        <v>314.17068423000001</v>
      </c>
      <c r="BL15">
        <f t="shared" si="16"/>
        <v>295.50692571000002</v>
      </c>
    </row>
    <row r="16" spans="1:64">
      <c r="A16" t="str">
        <f t="shared" si="1"/>
        <v>02</v>
      </c>
      <c r="B16" t="s">
        <v>605</v>
      </c>
      <c r="C16" t="s">
        <v>616</v>
      </c>
      <c r="D16">
        <v>55</v>
      </c>
      <c r="E16">
        <v>1</v>
      </c>
      <c r="F16">
        <v>6</v>
      </c>
      <c r="G16">
        <v>2</v>
      </c>
      <c r="H16">
        <v>100</v>
      </c>
      <c r="I16" t="s">
        <v>607</v>
      </c>
      <c r="J16">
        <v>0.47539999999999999</v>
      </c>
      <c r="K16">
        <v>330.49270000000001</v>
      </c>
      <c r="L16">
        <v>5.6399999999999999E-2</v>
      </c>
      <c r="M16">
        <v>1.0621</v>
      </c>
      <c r="N16">
        <v>29.3628</v>
      </c>
      <c r="O16">
        <v>88.800700000000006</v>
      </c>
      <c r="P16">
        <v>361.52069999999998</v>
      </c>
      <c r="Q16">
        <v>228.19200000000001</v>
      </c>
      <c r="R16">
        <v>0.26919999999999999</v>
      </c>
      <c r="S16">
        <v>0.99660000000000004</v>
      </c>
      <c r="T16">
        <v>0.14019999999999999</v>
      </c>
      <c r="U16">
        <v>2.9700000000000001E-2</v>
      </c>
      <c r="V16">
        <v>0.53849999999999998</v>
      </c>
      <c r="W16">
        <v>11.3287</v>
      </c>
      <c r="X16">
        <v>4.0955000000000004</v>
      </c>
      <c r="Y16">
        <v>3.6371000000000002</v>
      </c>
      <c r="Z16">
        <v>4.3093000000000004</v>
      </c>
      <c r="AA16">
        <v>12.3873</v>
      </c>
      <c r="AB16">
        <v>17.875800000000002</v>
      </c>
      <c r="AC16">
        <v>49.2425</v>
      </c>
      <c r="AD16">
        <v>53.029800000000002</v>
      </c>
      <c r="AE16">
        <v>0.1138</v>
      </c>
      <c r="AF16">
        <v>8166.6458000000002</v>
      </c>
      <c r="AG16">
        <v>76.980199999999996</v>
      </c>
      <c r="AH16">
        <v>0.21</v>
      </c>
      <c r="AI16">
        <v>91.259699999999995</v>
      </c>
      <c r="AJ16">
        <v>73.2</v>
      </c>
      <c r="AK16">
        <v>85.996899999999997</v>
      </c>
      <c r="AL16">
        <v>1.4521999999999999</v>
      </c>
      <c r="AM16">
        <v>0.05</v>
      </c>
      <c r="AN16">
        <v>7.1000000000000004E-3</v>
      </c>
      <c r="AO16">
        <v>99.350499999999997</v>
      </c>
      <c r="AP16">
        <v>93.823099999999997</v>
      </c>
      <c r="AQ16">
        <v>92.108900000000006</v>
      </c>
      <c r="AR16">
        <v>89.847700000000003</v>
      </c>
      <c r="AS16">
        <v>83.753299999999996</v>
      </c>
      <c r="AT16">
        <v>82.447699999999998</v>
      </c>
      <c r="AU16">
        <v>77.703699999999998</v>
      </c>
      <c r="AV16">
        <v>365.04649999999998</v>
      </c>
      <c r="AW16">
        <v>929.39509999999996</v>
      </c>
      <c r="AX16">
        <f t="shared" si="2"/>
        <v>45765.738211749995</v>
      </c>
      <c r="AY16">
        <f t="shared" si="3"/>
        <v>71545.020677019987</v>
      </c>
      <c r="AZ16">
        <f t="shared" si="4"/>
        <v>10528.838269369999</v>
      </c>
      <c r="BA16">
        <f t="shared" si="5"/>
        <v>929.39509999999996</v>
      </c>
      <c r="BB16">
        <f t="shared" si="6"/>
        <v>0</v>
      </c>
      <c r="BC16">
        <f t="shared" si="7"/>
        <v>0</v>
      </c>
      <c r="BD16">
        <f t="shared" si="8"/>
        <v>0</v>
      </c>
      <c r="BE16">
        <f t="shared" si="9"/>
        <v>0</v>
      </c>
      <c r="BF16">
        <f t="shared" si="10"/>
        <v>0</v>
      </c>
      <c r="BG16">
        <f t="shared" si="11"/>
        <v>384.25250605000002</v>
      </c>
      <c r="BH16">
        <f t="shared" si="12"/>
        <v>377.23199995000004</v>
      </c>
      <c r="BI16">
        <f t="shared" si="13"/>
        <v>367.97125535000004</v>
      </c>
      <c r="BJ16">
        <f t="shared" si="14"/>
        <v>343.01164015000001</v>
      </c>
      <c r="BK16">
        <f t="shared" si="15"/>
        <v>337.66455535</v>
      </c>
      <c r="BL16">
        <f t="shared" si="16"/>
        <v>318.23550335000004</v>
      </c>
    </row>
    <row r="17" spans="1:64">
      <c r="A17" t="str">
        <f t="shared" si="1"/>
        <v>02</v>
      </c>
      <c r="B17" t="s">
        <v>605</v>
      </c>
      <c r="C17" t="s">
        <v>616</v>
      </c>
      <c r="D17">
        <v>55</v>
      </c>
      <c r="E17">
        <v>1</v>
      </c>
      <c r="F17">
        <v>6</v>
      </c>
      <c r="G17">
        <v>4</v>
      </c>
      <c r="H17">
        <v>100</v>
      </c>
      <c r="I17" t="s">
        <v>607</v>
      </c>
      <c r="J17">
        <v>0.51019999999999999</v>
      </c>
      <c r="K17">
        <v>261.416</v>
      </c>
      <c r="L17">
        <v>6.6799999999999998E-2</v>
      </c>
      <c r="M17">
        <v>1.3516999999999999</v>
      </c>
      <c r="N17">
        <v>30.3994</v>
      </c>
      <c r="O17">
        <v>88.711100000000002</v>
      </c>
      <c r="P17">
        <v>337.08769999999998</v>
      </c>
      <c r="Q17">
        <v>229.19800000000001</v>
      </c>
      <c r="R17">
        <v>0.1651</v>
      </c>
      <c r="S17">
        <v>1.0447</v>
      </c>
      <c r="T17">
        <v>9.5500000000000002E-2</v>
      </c>
      <c r="U17">
        <v>2.75E-2</v>
      </c>
      <c r="V17">
        <v>0.57899999999999996</v>
      </c>
      <c r="W17">
        <v>11.4072</v>
      </c>
      <c r="X17">
        <v>38.359200000000001</v>
      </c>
      <c r="Y17">
        <v>34.023600000000002</v>
      </c>
      <c r="Z17">
        <v>39.3202</v>
      </c>
      <c r="AA17">
        <v>111.736</v>
      </c>
      <c r="AB17">
        <v>46.777999999999999</v>
      </c>
      <c r="AC17">
        <v>49.225200000000001</v>
      </c>
      <c r="AD17">
        <v>52.974600000000002</v>
      </c>
      <c r="AE17">
        <v>0.96709999999999996</v>
      </c>
      <c r="AF17">
        <v>8169.2879000000003</v>
      </c>
      <c r="AG17">
        <v>76.782499999999999</v>
      </c>
      <c r="AH17">
        <v>1.7038</v>
      </c>
      <c r="AI17">
        <v>91.147800000000004</v>
      </c>
      <c r="AJ17">
        <v>73.2</v>
      </c>
      <c r="AK17">
        <v>85.758200000000002</v>
      </c>
      <c r="AL17">
        <v>1.4582999999999999</v>
      </c>
      <c r="AM17">
        <v>0.05</v>
      </c>
      <c r="AN17">
        <v>1.01E-2</v>
      </c>
      <c r="AO17">
        <v>99.255499999999998</v>
      </c>
      <c r="AP17">
        <v>93.700599999999994</v>
      </c>
      <c r="AQ17">
        <v>92.022599999999997</v>
      </c>
      <c r="AR17">
        <v>89.402799999999999</v>
      </c>
      <c r="AS17">
        <v>83.563500000000005</v>
      </c>
      <c r="AT17">
        <v>82.385999999999996</v>
      </c>
      <c r="AU17">
        <v>77.912499999999994</v>
      </c>
      <c r="AV17">
        <v>3114.4596000000001</v>
      </c>
      <c r="AW17">
        <v>7900.1175000000003</v>
      </c>
      <c r="AX17">
        <f t="shared" si="2"/>
        <v>388884.863961</v>
      </c>
      <c r="AY17">
        <f t="shared" si="3"/>
        <v>606590.77194374998</v>
      </c>
      <c r="AZ17">
        <f t="shared" si="4"/>
        <v>90118.220346000002</v>
      </c>
      <c r="BA17">
        <f t="shared" si="5"/>
        <v>7900.1175000000003</v>
      </c>
      <c r="BB17">
        <f t="shared" si="6"/>
        <v>0</v>
      </c>
      <c r="BC17">
        <f t="shared" si="7"/>
        <v>0</v>
      </c>
      <c r="BD17">
        <f t="shared" si="8"/>
        <v>0</v>
      </c>
      <c r="BE17">
        <f t="shared" si="9"/>
        <v>0</v>
      </c>
      <c r="BF17">
        <f t="shared" si="10"/>
        <v>0</v>
      </c>
      <c r="BG17">
        <f t="shared" si="11"/>
        <v>3594.2800555199997</v>
      </c>
      <c r="BH17">
        <f t="shared" si="12"/>
        <v>3529.9133179199998</v>
      </c>
      <c r="BI17">
        <f t="shared" si="13"/>
        <v>3429.4198857599999</v>
      </c>
      <c r="BJ17">
        <f t="shared" si="14"/>
        <v>3205.4290092000001</v>
      </c>
      <c r="BK17">
        <f t="shared" si="15"/>
        <v>3160.2610512000001</v>
      </c>
      <c r="BL17">
        <f t="shared" si="16"/>
        <v>2988.6611699999999</v>
      </c>
    </row>
    <row r="18" spans="1:64">
      <c r="A18" t="str">
        <f t="shared" si="1"/>
        <v>02</v>
      </c>
      <c r="B18" t="s">
        <v>605</v>
      </c>
      <c r="C18" t="s">
        <v>616</v>
      </c>
      <c r="D18">
        <v>55</v>
      </c>
      <c r="E18">
        <v>1</v>
      </c>
      <c r="F18">
        <v>6</v>
      </c>
      <c r="G18">
        <v>4</v>
      </c>
      <c r="H18">
        <v>200</v>
      </c>
      <c r="I18" t="s">
        <v>609</v>
      </c>
      <c r="J18">
        <v>0.3488</v>
      </c>
      <c r="K18">
        <v>319.97669999999999</v>
      </c>
      <c r="L18">
        <v>5.62E-2</v>
      </c>
      <c r="M18">
        <v>1.1534</v>
      </c>
      <c r="N18">
        <v>33.865499999999997</v>
      </c>
      <c r="O18">
        <v>88.524900000000002</v>
      </c>
      <c r="P18">
        <v>341.6157</v>
      </c>
      <c r="Q18">
        <v>227.69470000000001</v>
      </c>
      <c r="R18">
        <v>4.2500000000000003E-2</v>
      </c>
      <c r="S18">
        <v>0.98199999999999998</v>
      </c>
      <c r="T18">
        <v>0.1143</v>
      </c>
      <c r="U18">
        <v>3.6400000000000002E-2</v>
      </c>
      <c r="V18">
        <v>0.4194</v>
      </c>
      <c r="W18">
        <v>11.356400000000001</v>
      </c>
      <c r="X18">
        <v>16.776800000000001</v>
      </c>
      <c r="Y18">
        <v>14.851599999999999</v>
      </c>
      <c r="Z18">
        <v>20.0458</v>
      </c>
      <c r="AA18">
        <v>43.854799999999997</v>
      </c>
      <c r="AB18">
        <v>108.6259</v>
      </c>
      <c r="AC18">
        <v>48.95</v>
      </c>
      <c r="AD18">
        <v>53.3842</v>
      </c>
      <c r="AE18">
        <v>0.68169999999999997</v>
      </c>
      <c r="AF18">
        <v>8148.0015999999996</v>
      </c>
      <c r="AG18">
        <v>76.578599999999994</v>
      </c>
      <c r="AH18">
        <v>1.5006999999999999</v>
      </c>
      <c r="AI18">
        <v>91.685699999999997</v>
      </c>
      <c r="AJ18">
        <v>73.2</v>
      </c>
      <c r="AK18">
        <v>86.909599999999998</v>
      </c>
      <c r="AL18">
        <v>1.4265000000000001</v>
      </c>
      <c r="AM18">
        <v>0.05</v>
      </c>
      <c r="AN18">
        <v>5.0000000000000001E-3</v>
      </c>
      <c r="AO18">
        <v>99.217299999999994</v>
      </c>
      <c r="AP18">
        <v>93.963200000000001</v>
      </c>
      <c r="AQ18">
        <v>92.029200000000003</v>
      </c>
      <c r="AR18">
        <v>89.547899999999998</v>
      </c>
      <c r="AS18">
        <v>82.839200000000005</v>
      </c>
      <c r="AT18">
        <v>81.324600000000004</v>
      </c>
      <c r="AU18">
        <v>76.281999999999996</v>
      </c>
      <c r="AV18">
        <v>2189.8119999999999</v>
      </c>
      <c r="AW18">
        <v>5554.7493999999997</v>
      </c>
      <c r="AX18">
        <f t="shared" si="2"/>
        <v>271904.98313000001</v>
      </c>
      <c r="AY18">
        <f t="shared" si="3"/>
        <v>425374.93240283994</v>
      </c>
      <c r="AZ18">
        <f t="shared" si="4"/>
        <v>63081.956086160004</v>
      </c>
      <c r="BA18">
        <f t="shared" si="5"/>
        <v>5554.7493999999997</v>
      </c>
      <c r="BB18">
        <f t="shared" si="6"/>
        <v>0</v>
      </c>
      <c r="BC18">
        <f t="shared" si="7"/>
        <v>0</v>
      </c>
      <c r="BD18">
        <f t="shared" si="8"/>
        <v>0</v>
      </c>
      <c r="BE18">
        <f t="shared" si="9"/>
        <v>0</v>
      </c>
      <c r="BF18">
        <f t="shared" si="10"/>
        <v>0</v>
      </c>
      <c r="BG18">
        <f t="shared" si="11"/>
        <v>1576.4018137600001</v>
      </c>
      <c r="BH18">
        <f t="shared" si="12"/>
        <v>1543.9554825600003</v>
      </c>
      <c r="BI18">
        <f t="shared" si="13"/>
        <v>1502.32720872</v>
      </c>
      <c r="BJ18">
        <f t="shared" si="14"/>
        <v>1389.7766905600001</v>
      </c>
      <c r="BK18">
        <f t="shared" si="15"/>
        <v>1364.3665492800001</v>
      </c>
      <c r="BL18">
        <f t="shared" si="16"/>
        <v>1279.7678576000001</v>
      </c>
    </row>
    <row r="19" spans="1:64">
      <c r="A19" t="str">
        <f t="shared" si="1"/>
        <v>02</v>
      </c>
      <c r="B19" t="s">
        <v>605</v>
      </c>
      <c r="C19" t="s">
        <v>616</v>
      </c>
      <c r="D19">
        <v>55</v>
      </c>
      <c r="E19">
        <v>1</v>
      </c>
      <c r="F19">
        <v>6</v>
      </c>
      <c r="G19">
        <v>4</v>
      </c>
      <c r="H19">
        <v>200</v>
      </c>
      <c r="I19" t="s">
        <v>617</v>
      </c>
      <c r="J19">
        <v>0.37630000000000002</v>
      </c>
      <c r="K19">
        <v>296.30309999999997</v>
      </c>
      <c r="L19">
        <v>5.62E-2</v>
      </c>
      <c r="M19">
        <v>1.1534</v>
      </c>
      <c r="N19">
        <v>33.635399999999997</v>
      </c>
      <c r="O19">
        <v>88.563999999999993</v>
      </c>
      <c r="P19">
        <v>345.33940000000001</v>
      </c>
      <c r="Q19">
        <v>226.49549999999999</v>
      </c>
      <c r="R19">
        <v>4.3499999999999997E-2</v>
      </c>
      <c r="S19">
        <v>0.79200000000000004</v>
      </c>
      <c r="T19">
        <v>9.5000000000000001E-2</v>
      </c>
      <c r="U19">
        <v>2.6599999999999999E-2</v>
      </c>
      <c r="V19">
        <v>0.44219999999999998</v>
      </c>
      <c r="W19">
        <v>11.2699</v>
      </c>
      <c r="X19">
        <v>19.8264</v>
      </c>
      <c r="Y19">
        <v>17.559100000000001</v>
      </c>
      <c r="Z19">
        <v>22.280999999999999</v>
      </c>
      <c r="AA19">
        <v>52.2042</v>
      </c>
      <c r="AB19">
        <v>58.9709</v>
      </c>
      <c r="AC19">
        <v>48.935600000000001</v>
      </c>
      <c r="AD19">
        <v>52.886800000000001</v>
      </c>
      <c r="AE19">
        <v>0.71950000000000003</v>
      </c>
      <c r="AF19">
        <v>8143.4712</v>
      </c>
      <c r="AG19">
        <v>76.726399999999998</v>
      </c>
      <c r="AH19">
        <v>1.4016</v>
      </c>
      <c r="AI19">
        <v>91.395600000000002</v>
      </c>
      <c r="AJ19">
        <v>73.2</v>
      </c>
      <c r="AK19">
        <v>86.287599999999998</v>
      </c>
      <c r="AL19">
        <v>1.4777</v>
      </c>
      <c r="AM19">
        <v>0.05</v>
      </c>
      <c r="AN19">
        <v>5.5999999999999999E-3</v>
      </c>
      <c r="AO19">
        <v>99.294799999999995</v>
      </c>
      <c r="AP19">
        <v>93.884699999999995</v>
      </c>
      <c r="AQ19">
        <v>91.984800000000007</v>
      </c>
      <c r="AR19">
        <v>89.491</v>
      </c>
      <c r="AS19">
        <v>82.826300000000003</v>
      </c>
      <c r="AT19">
        <v>81.325999999999993</v>
      </c>
      <c r="AU19">
        <v>76.275700000000001</v>
      </c>
      <c r="AV19">
        <v>2310.547</v>
      </c>
      <c r="AW19">
        <v>5859.5775999999996</v>
      </c>
      <c r="AX19">
        <f t="shared" si="2"/>
        <v>286741.94560256001</v>
      </c>
      <c r="AY19">
        <f t="shared" si="3"/>
        <v>449584.29476863996</v>
      </c>
      <c r="AZ19">
        <f t="shared" si="4"/>
        <v>66036.85359423999</v>
      </c>
      <c r="BA19">
        <f t="shared" si="5"/>
        <v>5859.5775999999996</v>
      </c>
      <c r="BB19">
        <f t="shared" si="6"/>
        <v>0</v>
      </c>
      <c r="BC19">
        <f t="shared" si="7"/>
        <v>0</v>
      </c>
      <c r="BD19">
        <f t="shared" si="8"/>
        <v>0</v>
      </c>
      <c r="BE19">
        <f t="shared" si="9"/>
        <v>0</v>
      </c>
      <c r="BF19">
        <f t="shared" si="10"/>
        <v>0</v>
      </c>
      <c r="BG19">
        <f t="shared" si="11"/>
        <v>1861.3956160799999</v>
      </c>
      <c r="BH19">
        <f t="shared" si="12"/>
        <v>1823.72743872</v>
      </c>
      <c r="BI19">
        <f t="shared" si="13"/>
        <v>1774.2843624</v>
      </c>
      <c r="BJ19">
        <f t="shared" si="14"/>
        <v>1642.14735432</v>
      </c>
      <c r="BK19">
        <f t="shared" si="15"/>
        <v>1612.4018063999999</v>
      </c>
      <c r="BL19">
        <f t="shared" si="16"/>
        <v>1512.2725384799999</v>
      </c>
    </row>
    <row r="20" spans="1:64">
      <c r="A20" t="str">
        <f t="shared" si="1"/>
        <v>02</v>
      </c>
      <c r="B20" t="s">
        <v>605</v>
      </c>
      <c r="C20" t="s">
        <v>616</v>
      </c>
      <c r="D20">
        <v>55</v>
      </c>
      <c r="E20">
        <v>1</v>
      </c>
      <c r="F20">
        <v>6</v>
      </c>
      <c r="G20">
        <v>4</v>
      </c>
      <c r="H20">
        <v>200</v>
      </c>
      <c r="I20" t="s">
        <v>607</v>
      </c>
      <c r="J20">
        <v>0.42209999999999998</v>
      </c>
      <c r="K20">
        <v>344.64060000000001</v>
      </c>
      <c r="L20">
        <v>4.48E-2</v>
      </c>
      <c r="M20">
        <v>0.89149999999999996</v>
      </c>
      <c r="N20">
        <v>29.842300000000002</v>
      </c>
      <c r="O20">
        <v>88.883200000000002</v>
      </c>
      <c r="P20">
        <v>341.19839999999999</v>
      </c>
      <c r="Q20">
        <v>227.32579999999999</v>
      </c>
      <c r="R20">
        <v>0.25</v>
      </c>
      <c r="S20">
        <v>0.96030000000000004</v>
      </c>
      <c r="T20">
        <v>0.14180000000000001</v>
      </c>
      <c r="U20">
        <v>3.2199999999999999E-2</v>
      </c>
      <c r="V20">
        <v>0.4824</v>
      </c>
      <c r="W20">
        <v>11.3065</v>
      </c>
      <c r="X20">
        <v>60.344999999999999</v>
      </c>
      <c r="Y20">
        <v>53.642099999999999</v>
      </c>
      <c r="Z20">
        <v>67.2136</v>
      </c>
      <c r="AA20">
        <v>180.02979999999999</v>
      </c>
      <c r="AB20">
        <v>15.623100000000001</v>
      </c>
      <c r="AC20">
        <v>49.042099999999998</v>
      </c>
      <c r="AD20">
        <v>54.064500000000002</v>
      </c>
      <c r="AE20">
        <v>1.9806999999999999</v>
      </c>
      <c r="AF20">
        <v>8153.6260000000002</v>
      </c>
      <c r="AG20">
        <v>76.716200000000001</v>
      </c>
      <c r="AH20">
        <v>4.0575000000000001</v>
      </c>
      <c r="AI20">
        <v>91.489099999999993</v>
      </c>
      <c r="AJ20">
        <v>73.2</v>
      </c>
      <c r="AK20">
        <v>86.489199999999997</v>
      </c>
      <c r="AL20">
        <v>1.4904999999999999</v>
      </c>
      <c r="AM20">
        <v>0.05</v>
      </c>
      <c r="AN20">
        <v>5.5999999999999999E-3</v>
      </c>
      <c r="AO20">
        <v>99.264899999999997</v>
      </c>
      <c r="AP20">
        <v>94.1053</v>
      </c>
      <c r="AQ20">
        <v>92.273799999999994</v>
      </c>
      <c r="AR20">
        <v>89.995699999999999</v>
      </c>
      <c r="AS20">
        <v>83.784300000000002</v>
      </c>
      <c r="AT20">
        <v>82.306399999999996</v>
      </c>
      <c r="AU20">
        <v>77.688500000000005</v>
      </c>
      <c r="AV20">
        <v>6345.0802999999996</v>
      </c>
      <c r="AW20">
        <v>16150.2017</v>
      </c>
      <c r="AX20">
        <f t="shared" si="2"/>
        <v>792039.80679156992</v>
      </c>
      <c r="AY20">
        <f t="shared" si="3"/>
        <v>1238982.1036575399</v>
      </c>
      <c r="AZ20">
        <f t="shared" si="4"/>
        <v>182602.25552104998</v>
      </c>
      <c r="BA20">
        <f t="shared" si="5"/>
        <v>16150.2017</v>
      </c>
      <c r="BB20">
        <f t="shared" si="6"/>
        <v>0</v>
      </c>
      <c r="BC20">
        <f t="shared" si="7"/>
        <v>0</v>
      </c>
      <c r="BD20">
        <f t="shared" si="8"/>
        <v>0</v>
      </c>
      <c r="BE20">
        <f t="shared" si="9"/>
        <v>0</v>
      </c>
      <c r="BF20">
        <f t="shared" si="10"/>
        <v>0</v>
      </c>
      <c r="BG20">
        <f t="shared" si="11"/>
        <v>5678.7843284999999</v>
      </c>
      <c r="BH20">
        <f t="shared" si="12"/>
        <v>5568.2624609999993</v>
      </c>
      <c r="BI20">
        <f t="shared" si="13"/>
        <v>5430.7905165000002</v>
      </c>
      <c r="BJ20">
        <f t="shared" si="14"/>
        <v>5055.9635834999999</v>
      </c>
      <c r="BK20">
        <f t="shared" si="15"/>
        <v>4966.779708</v>
      </c>
      <c r="BL20">
        <f t="shared" si="16"/>
        <v>4688.1125325000003</v>
      </c>
    </row>
    <row r="21" spans="1:64">
      <c r="A21" t="str">
        <f t="shared" si="1"/>
        <v>02</v>
      </c>
      <c r="B21" t="s">
        <v>605</v>
      </c>
      <c r="C21" t="s">
        <v>616</v>
      </c>
      <c r="D21">
        <v>55</v>
      </c>
      <c r="E21">
        <v>2</v>
      </c>
      <c r="F21">
        <v>10</v>
      </c>
      <c r="G21">
        <v>2</v>
      </c>
      <c r="H21">
        <v>100</v>
      </c>
      <c r="I21" t="s">
        <v>607</v>
      </c>
      <c r="J21">
        <v>0.4703</v>
      </c>
      <c r="K21">
        <v>190.471</v>
      </c>
      <c r="L21">
        <v>6.3899999999999998E-2</v>
      </c>
      <c r="M21">
        <v>1.2604</v>
      </c>
      <c r="N21">
        <v>31.340699999999998</v>
      </c>
      <c r="O21">
        <v>87.091399999999993</v>
      </c>
      <c r="P21">
        <v>311.67590000000001</v>
      </c>
      <c r="Q21">
        <v>238.27010000000001</v>
      </c>
      <c r="R21">
        <v>0.1196</v>
      </c>
      <c r="S21">
        <v>1.2361</v>
      </c>
      <c r="T21">
        <v>9.2999999999999999E-2</v>
      </c>
      <c r="U21">
        <v>2.3300000000000001E-2</v>
      </c>
      <c r="V21">
        <v>0.54</v>
      </c>
      <c r="W21">
        <v>11.650499999999999</v>
      </c>
      <c r="X21">
        <v>29.037500000000001</v>
      </c>
      <c r="Y21">
        <v>25.276599999999998</v>
      </c>
      <c r="Z21">
        <v>28.177099999999999</v>
      </c>
      <c r="AA21">
        <v>80.788499999999999</v>
      </c>
      <c r="AB21">
        <v>10.570399999999999</v>
      </c>
      <c r="AC21">
        <v>51.344799999999999</v>
      </c>
      <c r="AD21">
        <v>50.849600000000002</v>
      </c>
      <c r="AE21">
        <v>0.74619999999999997</v>
      </c>
      <c r="AF21">
        <v>8297.9688999999998</v>
      </c>
      <c r="AG21">
        <v>76.835499999999996</v>
      </c>
      <c r="AH21">
        <v>0.99409999999999998</v>
      </c>
      <c r="AI21">
        <v>90.431600000000003</v>
      </c>
      <c r="AJ21">
        <v>73.2</v>
      </c>
      <c r="AK21">
        <v>84.2376</v>
      </c>
      <c r="AL21">
        <v>1.5611999999999999</v>
      </c>
      <c r="AM21">
        <v>0.05</v>
      </c>
      <c r="AN21">
        <v>7.0000000000000001E-3</v>
      </c>
      <c r="AO21">
        <v>100.38339999999999</v>
      </c>
      <c r="AP21">
        <v>92.955500000000001</v>
      </c>
      <c r="AQ21">
        <v>91.022499999999994</v>
      </c>
      <c r="AR21">
        <v>87.436099999999996</v>
      </c>
      <c r="AS21">
        <v>80.582899999999995</v>
      </c>
      <c r="AT21">
        <v>79.2911</v>
      </c>
      <c r="AU21">
        <v>73.230699999999999</v>
      </c>
      <c r="AV21">
        <v>2458.1617999999999</v>
      </c>
      <c r="AW21">
        <v>6191.5976000000001</v>
      </c>
      <c r="AX21">
        <f t="shared" si="2"/>
        <v>317906.34045248001</v>
      </c>
      <c r="AY21">
        <f t="shared" si="3"/>
        <v>475734.49739479995</v>
      </c>
      <c r="AZ21">
        <f t="shared" si="4"/>
        <v>72135.207838799994</v>
      </c>
      <c r="BA21">
        <f t="shared" si="5"/>
        <v>0</v>
      </c>
      <c r="BB21">
        <f t="shared" si="6"/>
        <v>6191.5976000000001</v>
      </c>
      <c r="BC21">
        <f t="shared" si="7"/>
        <v>0</v>
      </c>
      <c r="BD21">
        <f t="shared" si="8"/>
        <v>0</v>
      </c>
      <c r="BE21">
        <f t="shared" si="9"/>
        <v>0</v>
      </c>
      <c r="BF21">
        <f t="shared" si="10"/>
        <v>0</v>
      </c>
      <c r="BG21">
        <f t="shared" si="11"/>
        <v>2699.19533125</v>
      </c>
      <c r="BH21">
        <f t="shared" si="12"/>
        <v>2643.0658437500001</v>
      </c>
      <c r="BI21">
        <f t="shared" si="13"/>
        <v>2538.9257537499998</v>
      </c>
      <c r="BJ21">
        <f t="shared" si="14"/>
        <v>2339.9259587500001</v>
      </c>
      <c r="BK21">
        <f t="shared" si="15"/>
        <v>2302.4153162500002</v>
      </c>
      <c r="BL21">
        <f t="shared" si="16"/>
        <v>2126.4364512500001</v>
      </c>
    </row>
    <row r="22" spans="1:64">
      <c r="A22" t="str">
        <f t="shared" si="1"/>
        <v>02</v>
      </c>
      <c r="B22" t="s">
        <v>605</v>
      </c>
      <c r="C22" t="s">
        <v>616</v>
      </c>
      <c r="D22">
        <v>55</v>
      </c>
      <c r="E22">
        <v>2</v>
      </c>
      <c r="F22">
        <v>10</v>
      </c>
      <c r="G22">
        <v>4</v>
      </c>
      <c r="H22">
        <v>100</v>
      </c>
      <c r="I22" t="s">
        <v>607</v>
      </c>
      <c r="J22">
        <v>0.54469999999999996</v>
      </c>
      <c r="K22">
        <v>287.69819999999999</v>
      </c>
      <c r="L22">
        <v>7.0499999999999993E-2</v>
      </c>
      <c r="M22">
        <v>1.4648000000000001</v>
      </c>
      <c r="N22">
        <v>32.585099999999997</v>
      </c>
      <c r="O22">
        <v>86.773200000000003</v>
      </c>
      <c r="P22">
        <v>303.83769999999998</v>
      </c>
      <c r="Q22">
        <v>233.8391</v>
      </c>
      <c r="R22">
        <v>5.1400000000000001E-2</v>
      </c>
      <c r="S22">
        <v>1.3595999999999999</v>
      </c>
      <c r="T22">
        <v>9.2299999999999993E-2</v>
      </c>
      <c r="U22">
        <v>2.8199999999999999E-2</v>
      </c>
      <c r="V22">
        <v>0.65780000000000005</v>
      </c>
      <c r="W22">
        <v>11.5441</v>
      </c>
      <c r="X22">
        <v>55.684699999999999</v>
      </c>
      <c r="Y22">
        <v>48.608499999999999</v>
      </c>
      <c r="Z22">
        <v>56.464100000000002</v>
      </c>
      <c r="AA22">
        <v>149.07669999999999</v>
      </c>
      <c r="AB22">
        <v>23.0075</v>
      </c>
      <c r="AC22">
        <v>50.433500000000002</v>
      </c>
      <c r="AD22">
        <v>50.850299999999997</v>
      </c>
      <c r="AE22">
        <v>1.2359</v>
      </c>
      <c r="AF22">
        <v>8213.8259999999991</v>
      </c>
      <c r="AG22">
        <v>76.826400000000007</v>
      </c>
      <c r="AH22">
        <v>2.5099999999999998</v>
      </c>
      <c r="AI22">
        <v>91.373599999999996</v>
      </c>
      <c r="AJ22">
        <v>73.2</v>
      </c>
      <c r="AK22">
        <v>86.246499999999997</v>
      </c>
      <c r="AL22">
        <v>1.4867999999999999</v>
      </c>
      <c r="AM22">
        <v>0.05</v>
      </c>
      <c r="AN22">
        <v>1.14E-2</v>
      </c>
      <c r="AO22">
        <v>100.57899999999999</v>
      </c>
      <c r="AP22">
        <v>92.964600000000004</v>
      </c>
      <c r="AQ22">
        <v>90.974599999999995</v>
      </c>
      <c r="AR22">
        <v>87.394900000000007</v>
      </c>
      <c r="AS22">
        <v>80.380600000000001</v>
      </c>
      <c r="AT22">
        <v>79.038700000000006</v>
      </c>
      <c r="AU22">
        <v>73.131100000000004</v>
      </c>
      <c r="AV22">
        <v>4026.9504000000002</v>
      </c>
      <c r="AW22">
        <v>10150.2727</v>
      </c>
      <c r="AX22">
        <f t="shared" si="2"/>
        <v>511913.77821545</v>
      </c>
      <c r="AY22">
        <f t="shared" si="3"/>
        <v>779808.91055928008</v>
      </c>
      <c r="AZ22">
        <f t="shared" si="4"/>
        <v>117175.76307607</v>
      </c>
      <c r="BA22">
        <f t="shared" si="5"/>
        <v>0</v>
      </c>
      <c r="BB22">
        <f t="shared" si="6"/>
        <v>10150.2727</v>
      </c>
      <c r="BC22">
        <f t="shared" si="7"/>
        <v>0</v>
      </c>
      <c r="BD22">
        <f t="shared" si="8"/>
        <v>0</v>
      </c>
      <c r="BE22">
        <f t="shared" si="9"/>
        <v>0</v>
      </c>
      <c r="BF22">
        <f t="shared" si="10"/>
        <v>0</v>
      </c>
      <c r="BG22">
        <f t="shared" si="11"/>
        <v>5176.7058616200002</v>
      </c>
      <c r="BH22">
        <f t="shared" si="12"/>
        <v>5065.8933086199995</v>
      </c>
      <c r="BI22">
        <f t="shared" si="13"/>
        <v>4866.55878803</v>
      </c>
      <c r="BJ22">
        <f t="shared" si="14"/>
        <v>4475.9695968200003</v>
      </c>
      <c r="BK22">
        <f t="shared" si="15"/>
        <v>4401.2462978900003</v>
      </c>
      <c r="BL22">
        <f t="shared" si="16"/>
        <v>4072.2833641700004</v>
      </c>
    </row>
    <row r="23" spans="1:64">
      <c r="A23" t="str">
        <f t="shared" si="1"/>
        <v>02</v>
      </c>
      <c r="B23" t="s">
        <v>605</v>
      </c>
      <c r="C23" t="s">
        <v>616</v>
      </c>
      <c r="D23">
        <v>66</v>
      </c>
      <c r="E23">
        <v>3</v>
      </c>
      <c r="F23">
        <v>6</v>
      </c>
      <c r="G23">
        <v>4</v>
      </c>
      <c r="H23">
        <v>100</v>
      </c>
      <c r="I23" t="s">
        <v>607</v>
      </c>
      <c r="J23">
        <v>0.45390000000000003</v>
      </c>
      <c r="K23">
        <v>202.0001</v>
      </c>
      <c r="L23">
        <v>6.3700000000000007E-2</v>
      </c>
      <c r="M23">
        <v>1.3914</v>
      </c>
      <c r="N23">
        <v>33.192300000000003</v>
      </c>
      <c r="O23">
        <v>89.770399999999995</v>
      </c>
      <c r="P23">
        <v>328.59199999999998</v>
      </c>
      <c r="Q23">
        <v>208.30869999999999</v>
      </c>
      <c r="R23">
        <v>4.6800000000000001E-2</v>
      </c>
      <c r="S23">
        <v>1.1746000000000001</v>
      </c>
      <c r="T23">
        <v>0.10589999999999999</v>
      </c>
      <c r="U23">
        <v>3.2500000000000001E-2</v>
      </c>
      <c r="V23">
        <v>0.52759999999999996</v>
      </c>
      <c r="W23">
        <v>12.780099999999999</v>
      </c>
      <c r="X23">
        <v>82.133899999999997</v>
      </c>
      <c r="Y23">
        <v>74.157300000000006</v>
      </c>
      <c r="Z23">
        <v>83.478300000000004</v>
      </c>
      <c r="AA23">
        <v>223.4435</v>
      </c>
      <c r="AB23">
        <v>80.252300000000005</v>
      </c>
      <c r="AC23">
        <v>38.796300000000002</v>
      </c>
      <c r="AD23">
        <v>92.031400000000005</v>
      </c>
      <c r="AE23">
        <v>2.4992000000000001</v>
      </c>
      <c r="AF23">
        <v>7239.6890999999996</v>
      </c>
      <c r="AG23">
        <v>76.654200000000003</v>
      </c>
      <c r="AH23">
        <v>3.1297000000000001</v>
      </c>
      <c r="AI23">
        <v>90.583699999999993</v>
      </c>
      <c r="AJ23">
        <v>73.2</v>
      </c>
      <c r="AK23">
        <v>84.561000000000007</v>
      </c>
      <c r="AL23">
        <v>1.4300999999999999</v>
      </c>
      <c r="AM23">
        <v>0.05</v>
      </c>
      <c r="AN23">
        <v>1.14E-2</v>
      </c>
      <c r="AO23">
        <v>97.082800000000006</v>
      </c>
      <c r="AP23">
        <v>95.183400000000006</v>
      </c>
      <c r="AQ23">
        <v>93.580399999999997</v>
      </c>
      <c r="AR23">
        <v>91.480400000000003</v>
      </c>
      <c r="AS23">
        <v>86.0976</v>
      </c>
      <c r="AT23">
        <v>85.067899999999995</v>
      </c>
      <c r="AU23">
        <v>80.076499999999996</v>
      </c>
      <c r="AV23">
        <v>7275.6057000000001</v>
      </c>
      <c r="AW23">
        <v>18093.713400000001</v>
      </c>
      <c r="AX23">
        <f t="shared" si="2"/>
        <v>701969.13318042003</v>
      </c>
      <c r="AY23">
        <f t="shared" si="3"/>
        <v>1386959.1257062801</v>
      </c>
      <c r="AZ23">
        <f t="shared" si="4"/>
        <v>231239.46662333998</v>
      </c>
      <c r="BA23">
        <f t="shared" si="5"/>
        <v>0</v>
      </c>
      <c r="BB23">
        <f t="shared" si="6"/>
        <v>0</v>
      </c>
      <c r="BC23">
        <f t="shared" si="7"/>
        <v>18093.713400000001</v>
      </c>
      <c r="BD23">
        <f t="shared" si="8"/>
        <v>0</v>
      </c>
      <c r="BE23">
        <f t="shared" si="9"/>
        <v>0</v>
      </c>
      <c r="BF23">
        <f t="shared" si="10"/>
        <v>0</v>
      </c>
      <c r="BG23">
        <f t="shared" si="11"/>
        <v>7817.7838572600003</v>
      </c>
      <c r="BH23">
        <f t="shared" si="12"/>
        <v>7686.1232155599992</v>
      </c>
      <c r="BI23">
        <f t="shared" si="13"/>
        <v>7513.6420255599996</v>
      </c>
      <c r="BJ23">
        <f t="shared" si="14"/>
        <v>7071.5316686400001</v>
      </c>
      <c r="BK23">
        <f t="shared" si="15"/>
        <v>6986.9583918099997</v>
      </c>
      <c r="BL23">
        <f t="shared" si="16"/>
        <v>6576.9952433499993</v>
      </c>
    </row>
    <row r="24" spans="1:64">
      <c r="A24" t="str">
        <f t="shared" si="1"/>
        <v>02</v>
      </c>
      <c r="B24" t="s">
        <v>605</v>
      </c>
      <c r="C24" t="s">
        <v>616</v>
      </c>
      <c r="D24">
        <v>66</v>
      </c>
      <c r="E24">
        <v>3</v>
      </c>
      <c r="F24">
        <v>6</v>
      </c>
      <c r="G24">
        <v>4</v>
      </c>
      <c r="H24">
        <v>200</v>
      </c>
      <c r="I24" t="s">
        <v>609</v>
      </c>
      <c r="J24">
        <v>0.31950000000000001</v>
      </c>
      <c r="K24">
        <v>178.2809</v>
      </c>
      <c r="L24">
        <v>5.5100000000000003E-2</v>
      </c>
      <c r="M24">
        <v>1.1447000000000001</v>
      </c>
      <c r="N24">
        <v>33.557699999999997</v>
      </c>
      <c r="O24">
        <v>90.255399999999995</v>
      </c>
      <c r="P24">
        <v>338.88650000000001</v>
      </c>
      <c r="Q24">
        <v>209.8877</v>
      </c>
      <c r="R24">
        <v>4.2200000000000001E-2</v>
      </c>
      <c r="S24">
        <v>0.85399999999999998</v>
      </c>
      <c r="T24">
        <v>9.4299999999999995E-2</v>
      </c>
      <c r="U24">
        <v>3.1300000000000001E-2</v>
      </c>
      <c r="V24">
        <v>0.38329999999999997</v>
      </c>
      <c r="W24">
        <v>12.758800000000001</v>
      </c>
      <c r="X24">
        <v>11.3855</v>
      </c>
      <c r="Y24">
        <v>10.276</v>
      </c>
      <c r="Z24">
        <v>11.946</v>
      </c>
      <c r="AA24">
        <v>30.622199999999999</v>
      </c>
      <c r="AB24">
        <v>70.8352</v>
      </c>
      <c r="AC24">
        <v>39.225900000000003</v>
      </c>
      <c r="AD24">
        <v>89.364199999999997</v>
      </c>
      <c r="AE24">
        <v>0.4889</v>
      </c>
      <c r="AF24">
        <v>7287.2281999999996</v>
      </c>
      <c r="AG24">
        <v>76.418700000000001</v>
      </c>
      <c r="AH24">
        <v>0.53310000000000002</v>
      </c>
      <c r="AI24">
        <v>90.275000000000006</v>
      </c>
      <c r="AJ24">
        <v>73.2</v>
      </c>
      <c r="AK24">
        <v>83.906000000000006</v>
      </c>
      <c r="AL24">
        <v>1.4422999999999999</v>
      </c>
      <c r="AM24">
        <v>0.05</v>
      </c>
      <c r="AN24">
        <v>4.5999999999999999E-3</v>
      </c>
      <c r="AO24">
        <v>96.804599999999994</v>
      </c>
      <c r="AP24">
        <v>95.078199999999995</v>
      </c>
      <c r="AQ24">
        <v>93.507400000000004</v>
      </c>
      <c r="AR24">
        <v>91.339600000000004</v>
      </c>
      <c r="AS24">
        <v>85.993200000000002</v>
      </c>
      <c r="AT24">
        <v>85.015600000000006</v>
      </c>
      <c r="AU24">
        <v>80.082400000000007</v>
      </c>
      <c r="AV24">
        <v>1437.2692999999999</v>
      </c>
      <c r="AW24">
        <v>3563.0423999999998</v>
      </c>
      <c r="AX24">
        <f t="shared" si="2"/>
        <v>139763.54487816</v>
      </c>
      <c r="AY24">
        <f t="shared" si="3"/>
        <v>272283.06825288001</v>
      </c>
      <c r="AZ24">
        <f t="shared" si="4"/>
        <v>45460.145373120002</v>
      </c>
      <c r="BA24">
        <f t="shared" si="5"/>
        <v>0</v>
      </c>
      <c r="BB24">
        <f t="shared" si="6"/>
        <v>0</v>
      </c>
      <c r="BC24">
        <f t="shared" si="7"/>
        <v>3563.0423999999998</v>
      </c>
      <c r="BD24">
        <f t="shared" si="8"/>
        <v>0</v>
      </c>
      <c r="BE24">
        <f t="shared" si="9"/>
        <v>0</v>
      </c>
      <c r="BF24">
        <f t="shared" si="10"/>
        <v>0</v>
      </c>
      <c r="BG24">
        <f t="shared" si="11"/>
        <v>1082.5128460999999</v>
      </c>
      <c r="BH24">
        <f t="shared" si="12"/>
        <v>1064.6285027000001</v>
      </c>
      <c r="BI24">
        <f t="shared" si="13"/>
        <v>1039.9470158000001</v>
      </c>
      <c r="BJ24">
        <f t="shared" si="14"/>
        <v>979.07557860000009</v>
      </c>
      <c r="BK24">
        <f t="shared" si="15"/>
        <v>967.94511380000006</v>
      </c>
      <c r="BL24">
        <f t="shared" si="16"/>
        <v>911.7781652000001</v>
      </c>
    </row>
    <row r="25" spans="1:64">
      <c r="A25" t="str">
        <f t="shared" si="1"/>
        <v>02</v>
      </c>
      <c r="B25" t="s">
        <v>605</v>
      </c>
      <c r="C25" t="s">
        <v>616</v>
      </c>
      <c r="D25">
        <v>66</v>
      </c>
      <c r="E25">
        <v>3</v>
      </c>
      <c r="F25">
        <v>6</v>
      </c>
      <c r="G25">
        <v>4</v>
      </c>
      <c r="H25">
        <v>200</v>
      </c>
      <c r="I25" t="s">
        <v>617</v>
      </c>
      <c r="J25">
        <v>0.37869999999999998</v>
      </c>
      <c r="K25">
        <v>186.84010000000001</v>
      </c>
      <c r="L25">
        <v>5.5199999999999999E-2</v>
      </c>
      <c r="M25">
        <v>1.1206</v>
      </c>
      <c r="N25">
        <v>33.327800000000003</v>
      </c>
      <c r="O25">
        <v>90.300799999999995</v>
      </c>
      <c r="P25">
        <v>339.61349999999999</v>
      </c>
      <c r="Q25">
        <v>209.24639999999999</v>
      </c>
      <c r="R25">
        <v>4.3799999999999999E-2</v>
      </c>
      <c r="S25">
        <v>0.84360000000000002</v>
      </c>
      <c r="T25">
        <v>8.8400000000000006E-2</v>
      </c>
      <c r="U25">
        <v>2.8000000000000001E-2</v>
      </c>
      <c r="V25">
        <v>0.44569999999999999</v>
      </c>
      <c r="W25">
        <v>12.765700000000001</v>
      </c>
      <c r="X25">
        <v>27.939</v>
      </c>
      <c r="Y25">
        <v>25.229099999999999</v>
      </c>
      <c r="Z25">
        <v>28.764299999999999</v>
      </c>
      <c r="AA25">
        <v>75.700299999999999</v>
      </c>
      <c r="AB25">
        <v>114.0643</v>
      </c>
      <c r="AC25">
        <v>39.058100000000003</v>
      </c>
      <c r="AD25">
        <v>90.589399999999998</v>
      </c>
      <c r="AE25">
        <v>1.0150999999999999</v>
      </c>
      <c r="AF25">
        <v>7268.1364000000003</v>
      </c>
      <c r="AG25">
        <v>76.534899999999993</v>
      </c>
      <c r="AH25">
        <v>1.1604000000000001</v>
      </c>
      <c r="AI25">
        <v>90.389499999999998</v>
      </c>
      <c r="AJ25">
        <v>73.2</v>
      </c>
      <c r="AK25">
        <v>84.148300000000006</v>
      </c>
      <c r="AL25">
        <v>1.4624999999999999</v>
      </c>
      <c r="AM25">
        <v>0.05</v>
      </c>
      <c r="AN25">
        <v>5.0000000000000001E-3</v>
      </c>
      <c r="AO25">
        <v>96.924899999999994</v>
      </c>
      <c r="AP25">
        <v>95.137100000000004</v>
      </c>
      <c r="AQ25">
        <v>93.550200000000004</v>
      </c>
      <c r="AR25">
        <v>91.416399999999996</v>
      </c>
      <c r="AS25">
        <v>86.042000000000002</v>
      </c>
      <c r="AT25">
        <v>85.036000000000001</v>
      </c>
      <c r="AU25">
        <v>80.084800000000001</v>
      </c>
      <c r="AV25">
        <v>2973.4834999999998</v>
      </c>
      <c r="AW25">
        <v>7377.7812000000004</v>
      </c>
      <c r="AX25">
        <f t="shared" si="2"/>
        <v>288162.11588772002</v>
      </c>
      <c r="AY25">
        <f t="shared" si="3"/>
        <v>564657.74636388</v>
      </c>
      <c r="AZ25">
        <f t="shared" si="4"/>
        <v>94182.541464840004</v>
      </c>
      <c r="BA25">
        <f t="shared" si="5"/>
        <v>0</v>
      </c>
      <c r="BB25">
        <f t="shared" si="6"/>
        <v>0</v>
      </c>
      <c r="BC25">
        <f t="shared" si="7"/>
        <v>7377.7812000000004</v>
      </c>
      <c r="BD25">
        <f t="shared" si="8"/>
        <v>0</v>
      </c>
      <c r="BE25">
        <f t="shared" si="9"/>
        <v>0</v>
      </c>
      <c r="BF25">
        <f t="shared" si="10"/>
        <v>0</v>
      </c>
      <c r="BG25">
        <f t="shared" si="11"/>
        <v>2658.0354369000001</v>
      </c>
      <c r="BH25">
        <f t="shared" si="12"/>
        <v>2613.6990378</v>
      </c>
      <c r="BI25">
        <f t="shared" si="13"/>
        <v>2554.0827995999998</v>
      </c>
      <c r="BJ25">
        <f t="shared" si="14"/>
        <v>2403.9274380000002</v>
      </c>
      <c r="BK25">
        <f t="shared" si="15"/>
        <v>2375.820804</v>
      </c>
      <c r="BL25">
        <f t="shared" si="16"/>
        <v>2237.4892272000002</v>
      </c>
    </row>
    <row r="26" spans="1:64">
      <c r="A26" t="str">
        <f t="shared" si="1"/>
        <v>03</v>
      </c>
      <c r="B26" t="s">
        <v>605</v>
      </c>
      <c r="C26" t="s">
        <v>618</v>
      </c>
      <c r="D26">
        <v>55</v>
      </c>
      <c r="E26">
        <v>1</v>
      </c>
      <c r="F26">
        <v>6</v>
      </c>
      <c r="G26">
        <v>2</v>
      </c>
      <c r="H26">
        <v>100</v>
      </c>
      <c r="I26" t="s">
        <v>607</v>
      </c>
      <c r="J26">
        <v>0.53139999999999998</v>
      </c>
      <c r="K26">
        <v>533.39059999999995</v>
      </c>
      <c r="L26">
        <v>6.2E-2</v>
      </c>
      <c r="M26">
        <v>1.2623</v>
      </c>
      <c r="N26">
        <v>31.816400000000002</v>
      </c>
      <c r="O26">
        <v>88.742599999999996</v>
      </c>
      <c r="P26">
        <v>348.51</v>
      </c>
      <c r="Q26">
        <v>237.12</v>
      </c>
      <c r="R26">
        <v>0.11899999999999999</v>
      </c>
      <c r="S26">
        <v>1.4146000000000001</v>
      </c>
      <c r="T26">
        <v>0.1177</v>
      </c>
      <c r="U26">
        <v>3.1E-2</v>
      </c>
      <c r="V26">
        <v>0.75629999999999997</v>
      </c>
      <c r="W26">
        <v>11.652100000000001</v>
      </c>
      <c r="X26">
        <v>127.77419999999999</v>
      </c>
      <c r="Y26">
        <v>113.3772</v>
      </c>
      <c r="Z26">
        <v>152.98179999999999</v>
      </c>
      <c r="AA26">
        <v>355.98630000000003</v>
      </c>
      <c r="AB26">
        <v>34.208199999999998</v>
      </c>
      <c r="AC26">
        <v>50.268900000000002</v>
      </c>
      <c r="AD26">
        <v>52.667900000000003</v>
      </c>
      <c r="AE26">
        <v>2.8144</v>
      </c>
      <c r="AF26">
        <v>8339.6543000000001</v>
      </c>
      <c r="AG26">
        <v>73.587500000000006</v>
      </c>
      <c r="AH26">
        <v>11.4438</v>
      </c>
      <c r="AI26">
        <v>91.965199999999996</v>
      </c>
      <c r="AJ26">
        <v>73.2</v>
      </c>
      <c r="AK26">
        <v>87.591499999999996</v>
      </c>
      <c r="AL26">
        <v>1.6077999999999999</v>
      </c>
      <c r="AM26">
        <v>0.05</v>
      </c>
      <c r="AN26">
        <v>6.1999999999999998E-3</v>
      </c>
      <c r="AO26">
        <v>97.422899999999998</v>
      </c>
      <c r="AP26">
        <v>93.318899999999999</v>
      </c>
      <c r="AQ26">
        <v>91.932400000000001</v>
      </c>
      <c r="AR26">
        <v>89.463399999999993</v>
      </c>
      <c r="AS26">
        <v>84.592200000000005</v>
      </c>
      <c r="AT26">
        <v>83.740099999999998</v>
      </c>
      <c r="AU26">
        <v>79.374399999999994</v>
      </c>
      <c r="AV26">
        <v>9222.8485000000001</v>
      </c>
      <c r="AW26">
        <v>23456.659899999999</v>
      </c>
      <c r="AX26">
        <f t="shared" si="2"/>
        <v>1179140.49084711</v>
      </c>
      <c r="AY26">
        <f t="shared" si="3"/>
        <v>1726116.96039125</v>
      </c>
      <c r="AZ26">
        <f t="shared" si="4"/>
        <v>273319.34682079003</v>
      </c>
      <c r="BA26">
        <f t="shared" si="5"/>
        <v>23456.659899999999</v>
      </c>
      <c r="BB26">
        <f t="shared" si="6"/>
        <v>0</v>
      </c>
      <c r="BC26">
        <f t="shared" si="7"/>
        <v>0</v>
      </c>
      <c r="BD26">
        <f t="shared" si="8"/>
        <v>0</v>
      </c>
      <c r="BE26">
        <f t="shared" si="9"/>
        <v>0</v>
      </c>
      <c r="BF26">
        <f t="shared" si="10"/>
        <v>0</v>
      </c>
      <c r="BG26">
        <f t="shared" si="11"/>
        <v>11923.74779238</v>
      </c>
      <c r="BH26">
        <f t="shared" si="12"/>
        <v>11746.58886408</v>
      </c>
      <c r="BI26">
        <f t="shared" si="13"/>
        <v>11431.114364279998</v>
      </c>
      <c r="BJ26">
        <f t="shared" si="14"/>
        <v>10808.70068124</v>
      </c>
      <c r="BK26">
        <f t="shared" si="15"/>
        <v>10699.82428542</v>
      </c>
      <c r="BL26">
        <f t="shared" si="16"/>
        <v>10142.000460479998</v>
      </c>
    </row>
    <row r="27" spans="1:64">
      <c r="A27" t="str">
        <f t="shared" si="1"/>
        <v>03</v>
      </c>
      <c r="B27" t="s">
        <v>605</v>
      </c>
      <c r="C27" t="s">
        <v>618</v>
      </c>
      <c r="D27">
        <v>55</v>
      </c>
      <c r="E27">
        <v>1</v>
      </c>
      <c r="F27">
        <v>6</v>
      </c>
      <c r="G27">
        <v>4</v>
      </c>
      <c r="H27">
        <v>100</v>
      </c>
      <c r="I27" t="s">
        <v>607</v>
      </c>
      <c r="J27">
        <v>0.53210000000000002</v>
      </c>
      <c r="K27">
        <v>243.33510000000001</v>
      </c>
      <c r="L27">
        <v>7.0300000000000001E-2</v>
      </c>
      <c r="M27">
        <v>1.3869</v>
      </c>
      <c r="N27">
        <v>32.365299999999998</v>
      </c>
      <c r="O27">
        <v>88.550200000000004</v>
      </c>
      <c r="P27">
        <v>327.8263</v>
      </c>
      <c r="Q27">
        <v>231.3518</v>
      </c>
      <c r="R27">
        <v>0.05</v>
      </c>
      <c r="S27">
        <v>1.1315</v>
      </c>
      <c r="T27">
        <v>7.3700000000000002E-2</v>
      </c>
      <c r="U27">
        <v>2.64E-2</v>
      </c>
      <c r="V27">
        <v>0.62250000000000005</v>
      </c>
      <c r="W27">
        <v>11.539300000000001</v>
      </c>
      <c r="X27">
        <v>11.3553</v>
      </c>
      <c r="Y27">
        <v>10.055099999999999</v>
      </c>
      <c r="Z27">
        <v>11.3955</v>
      </c>
      <c r="AA27">
        <v>31.067599999999999</v>
      </c>
      <c r="AB27">
        <v>69.983199999999997</v>
      </c>
      <c r="AC27">
        <v>49.364699999999999</v>
      </c>
      <c r="AD27">
        <v>53.2226</v>
      </c>
      <c r="AE27">
        <v>0.26079999999999998</v>
      </c>
      <c r="AF27">
        <v>8182.7690000000002</v>
      </c>
      <c r="AG27">
        <v>76.760900000000007</v>
      </c>
      <c r="AH27">
        <v>0.44450000000000001</v>
      </c>
      <c r="AI27">
        <v>91.065700000000007</v>
      </c>
      <c r="AJ27">
        <v>73.2</v>
      </c>
      <c r="AK27">
        <v>85.582999999999998</v>
      </c>
      <c r="AL27">
        <v>1.4822</v>
      </c>
      <c r="AM27">
        <v>0.05</v>
      </c>
      <c r="AN27">
        <v>9.4000000000000004E-3</v>
      </c>
      <c r="AO27">
        <v>99.212400000000002</v>
      </c>
      <c r="AP27">
        <v>93.374200000000002</v>
      </c>
      <c r="AQ27">
        <v>91.744100000000003</v>
      </c>
      <c r="AR27">
        <v>88.959000000000003</v>
      </c>
      <c r="AS27">
        <v>83.389200000000002</v>
      </c>
      <c r="AT27">
        <v>82.315600000000003</v>
      </c>
      <c r="AU27">
        <v>78.004400000000004</v>
      </c>
      <c r="AV27">
        <v>843.0376</v>
      </c>
      <c r="AW27">
        <v>2134.1988000000001</v>
      </c>
      <c r="AX27">
        <f t="shared" si="2"/>
        <v>105354.08350236001</v>
      </c>
      <c r="AY27">
        <f t="shared" si="3"/>
        <v>163823.02066692003</v>
      </c>
      <c r="AZ27">
        <f t="shared" si="4"/>
        <v>24627.160212840005</v>
      </c>
      <c r="BA27">
        <f t="shared" si="5"/>
        <v>2134.1988000000001</v>
      </c>
      <c r="BB27">
        <f t="shared" si="6"/>
        <v>0</v>
      </c>
      <c r="BC27">
        <f t="shared" si="7"/>
        <v>0</v>
      </c>
      <c r="BD27">
        <f t="shared" si="8"/>
        <v>0</v>
      </c>
      <c r="BE27">
        <f t="shared" si="9"/>
        <v>0</v>
      </c>
      <c r="BF27">
        <f t="shared" si="10"/>
        <v>0</v>
      </c>
      <c r="BG27">
        <f t="shared" si="11"/>
        <v>1060.2920532600001</v>
      </c>
      <c r="BH27">
        <f t="shared" si="12"/>
        <v>1041.78177873</v>
      </c>
      <c r="BI27">
        <f t="shared" si="13"/>
        <v>1010.1561327000001</v>
      </c>
      <c r="BJ27">
        <f t="shared" si="14"/>
        <v>946.90938275999997</v>
      </c>
      <c r="BK27">
        <f t="shared" si="15"/>
        <v>934.71833268</v>
      </c>
      <c r="BL27">
        <f t="shared" si="16"/>
        <v>885.76336332000005</v>
      </c>
    </row>
    <row r="28" spans="1:64">
      <c r="A28" t="str">
        <f t="shared" si="1"/>
        <v>03</v>
      </c>
      <c r="B28" t="s">
        <v>605</v>
      </c>
      <c r="C28" t="s">
        <v>618</v>
      </c>
      <c r="D28">
        <v>55</v>
      </c>
      <c r="E28">
        <v>2</v>
      </c>
      <c r="F28">
        <v>10</v>
      </c>
      <c r="G28">
        <v>2</v>
      </c>
      <c r="H28">
        <v>100</v>
      </c>
      <c r="I28" t="s">
        <v>617</v>
      </c>
      <c r="J28">
        <v>0.40889999999999999</v>
      </c>
      <c r="K28">
        <v>113.8805</v>
      </c>
      <c r="L28">
        <v>5.1900000000000002E-2</v>
      </c>
      <c r="M28">
        <v>0.93979999999999997</v>
      </c>
      <c r="N28">
        <v>29.5381</v>
      </c>
      <c r="O28">
        <v>89.280799999999999</v>
      </c>
      <c r="P28">
        <v>358.1046</v>
      </c>
      <c r="Q28">
        <v>231.58019999999999</v>
      </c>
      <c r="R28">
        <v>0.2472</v>
      </c>
      <c r="S28">
        <v>1.0307999999999999</v>
      </c>
      <c r="T28">
        <v>0.13300000000000001</v>
      </c>
      <c r="U28">
        <v>1.9800000000000002E-2</v>
      </c>
      <c r="V28">
        <v>0.43790000000000001</v>
      </c>
      <c r="W28">
        <v>11.628500000000001</v>
      </c>
      <c r="X28">
        <v>27.263200000000001</v>
      </c>
      <c r="Y28">
        <v>24.341100000000001</v>
      </c>
      <c r="Z28">
        <v>25.9114</v>
      </c>
      <c r="AA28">
        <v>82.408100000000005</v>
      </c>
      <c r="AB28">
        <v>6.4968000000000004</v>
      </c>
      <c r="AC28">
        <v>48.368000000000002</v>
      </c>
      <c r="AD28">
        <v>50.356699999999996</v>
      </c>
      <c r="AE28">
        <v>0.83230000000000004</v>
      </c>
      <c r="AF28">
        <v>8232.3894</v>
      </c>
      <c r="AG28">
        <v>67.192800000000005</v>
      </c>
      <c r="AH28">
        <v>0.63619999999999999</v>
      </c>
      <c r="AI28">
        <v>89.1434</v>
      </c>
      <c r="AJ28">
        <v>73.2</v>
      </c>
      <c r="AK28">
        <v>81.534099999999995</v>
      </c>
      <c r="AL28">
        <v>1.5701000000000001</v>
      </c>
      <c r="AM28">
        <v>0.05</v>
      </c>
      <c r="AN28">
        <v>5.1000000000000004E-3</v>
      </c>
      <c r="AO28">
        <v>96.223399999999998</v>
      </c>
      <c r="AP28">
        <v>93.412999999999997</v>
      </c>
      <c r="AQ28">
        <v>92.250900000000001</v>
      </c>
      <c r="AR28">
        <v>90.207300000000004</v>
      </c>
      <c r="AS28">
        <v>85.606800000000007</v>
      </c>
      <c r="AT28">
        <v>84.949399999999997</v>
      </c>
      <c r="AU28">
        <v>80.536799999999999</v>
      </c>
      <c r="AV28">
        <v>2695.4443000000001</v>
      </c>
      <c r="AW28">
        <v>6851.3806999999997</v>
      </c>
      <c r="AX28">
        <f t="shared" si="2"/>
        <v>331387.58169760002</v>
      </c>
      <c r="AY28">
        <f t="shared" si="3"/>
        <v>460363.45309896005</v>
      </c>
      <c r="AZ28">
        <f t="shared" si="4"/>
        <v>79671.280469949997</v>
      </c>
      <c r="BA28">
        <f t="shared" si="5"/>
        <v>0</v>
      </c>
      <c r="BB28">
        <f t="shared" si="6"/>
        <v>6851.3806999999997</v>
      </c>
      <c r="BC28">
        <f t="shared" si="7"/>
        <v>0</v>
      </c>
      <c r="BD28">
        <f t="shared" si="8"/>
        <v>0</v>
      </c>
      <c r="BE28">
        <f t="shared" si="9"/>
        <v>0</v>
      </c>
      <c r="BF28">
        <f t="shared" si="10"/>
        <v>0</v>
      </c>
      <c r="BG28">
        <f t="shared" si="11"/>
        <v>2546.7373016000001</v>
      </c>
      <c r="BH28">
        <f t="shared" si="12"/>
        <v>2515.0547368800003</v>
      </c>
      <c r="BI28">
        <f t="shared" si="13"/>
        <v>2459.3396613600003</v>
      </c>
      <c r="BJ28">
        <f t="shared" si="14"/>
        <v>2333.9153097600001</v>
      </c>
      <c r="BK28">
        <f t="shared" si="15"/>
        <v>2315.9924820800002</v>
      </c>
      <c r="BL28">
        <f t="shared" si="16"/>
        <v>2195.6908857600001</v>
      </c>
    </row>
    <row r="29" spans="1:64">
      <c r="A29" t="str">
        <f t="shared" si="1"/>
        <v>03</v>
      </c>
      <c r="B29" t="s">
        <v>605</v>
      </c>
      <c r="C29" t="s">
        <v>618</v>
      </c>
      <c r="D29">
        <v>55</v>
      </c>
      <c r="E29">
        <v>2</v>
      </c>
      <c r="F29">
        <v>10</v>
      </c>
      <c r="G29">
        <v>2</v>
      </c>
      <c r="H29">
        <v>100</v>
      </c>
      <c r="I29" t="s">
        <v>607</v>
      </c>
      <c r="J29">
        <v>0.43409999999999999</v>
      </c>
      <c r="K29">
        <v>162.3493</v>
      </c>
      <c r="L29">
        <v>6.2899999999999998E-2</v>
      </c>
      <c r="M29">
        <v>1.2864</v>
      </c>
      <c r="N29">
        <v>30.963100000000001</v>
      </c>
      <c r="O29">
        <v>88.178600000000003</v>
      </c>
      <c r="P29">
        <v>347.38220000000001</v>
      </c>
      <c r="Q29">
        <v>236.0598</v>
      </c>
      <c r="R29">
        <v>0.1447</v>
      </c>
      <c r="S29">
        <v>1.2555000000000001</v>
      </c>
      <c r="T29">
        <v>0.1013</v>
      </c>
      <c r="U29">
        <v>2.4400000000000002E-2</v>
      </c>
      <c r="V29">
        <v>0.49969999999999998</v>
      </c>
      <c r="W29">
        <v>11.677199999999999</v>
      </c>
      <c r="X29">
        <v>82.171800000000005</v>
      </c>
      <c r="Y29">
        <v>72.450400000000002</v>
      </c>
      <c r="Z29">
        <v>79.533100000000005</v>
      </c>
      <c r="AA29">
        <v>234.92859999999999</v>
      </c>
      <c r="AB29">
        <v>11.8696</v>
      </c>
      <c r="AC29">
        <v>50.590899999999998</v>
      </c>
      <c r="AD29">
        <v>50.681699999999999</v>
      </c>
      <c r="AE29">
        <v>2.2673999999999999</v>
      </c>
      <c r="AF29">
        <v>8228.8788000000004</v>
      </c>
      <c r="AG29">
        <v>76.806299999999993</v>
      </c>
      <c r="AH29">
        <v>2.5261999999999998</v>
      </c>
      <c r="AI29">
        <v>89.978800000000007</v>
      </c>
      <c r="AJ29">
        <v>73.2</v>
      </c>
      <c r="AK29">
        <v>83.285600000000002</v>
      </c>
      <c r="AL29">
        <v>1.5898000000000001</v>
      </c>
      <c r="AM29">
        <v>0.05</v>
      </c>
      <c r="AN29">
        <v>6.1999999999999998E-3</v>
      </c>
      <c r="AO29">
        <v>100.5326</v>
      </c>
      <c r="AP29">
        <v>93.226600000000005</v>
      </c>
      <c r="AQ29">
        <v>91.667699999999996</v>
      </c>
      <c r="AR29">
        <v>88.856399999999994</v>
      </c>
      <c r="AS29">
        <v>83.128600000000006</v>
      </c>
      <c r="AT29">
        <v>82.114199999999997</v>
      </c>
      <c r="AU29">
        <v>76.959500000000006</v>
      </c>
      <c r="AV29">
        <v>7343.2726000000002</v>
      </c>
      <c r="AW29">
        <v>18656.499</v>
      </c>
      <c r="AX29">
        <f t="shared" si="2"/>
        <v>943849.07525909995</v>
      </c>
      <c r="AY29">
        <f t="shared" si="3"/>
        <v>1432936.6591436998</v>
      </c>
      <c r="AZ29">
        <f t="shared" si="4"/>
        <v>217855.67012279999</v>
      </c>
      <c r="BA29">
        <f t="shared" si="5"/>
        <v>0</v>
      </c>
      <c r="BB29">
        <f t="shared" si="6"/>
        <v>18656.499</v>
      </c>
      <c r="BC29">
        <f t="shared" si="7"/>
        <v>0</v>
      </c>
      <c r="BD29">
        <f t="shared" si="8"/>
        <v>0</v>
      </c>
      <c r="BE29">
        <f t="shared" si="9"/>
        <v>0</v>
      </c>
      <c r="BF29">
        <f t="shared" si="10"/>
        <v>0</v>
      </c>
      <c r="BG29">
        <f t="shared" si="11"/>
        <v>7660.5975298800013</v>
      </c>
      <c r="BH29">
        <f t="shared" si="12"/>
        <v>7532.4999108600005</v>
      </c>
      <c r="BI29">
        <f t="shared" si="13"/>
        <v>7301.4903295200002</v>
      </c>
      <c r="BJ29">
        <f t="shared" si="14"/>
        <v>6830.8266934800013</v>
      </c>
      <c r="BK29">
        <f t="shared" si="15"/>
        <v>6747.4716195600004</v>
      </c>
      <c r="BL29">
        <f t="shared" si="16"/>
        <v>6323.9006421000004</v>
      </c>
    </row>
    <row r="30" spans="1:64">
      <c r="A30" t="str">
        <f t="shared" si="1"/>
        <v>03</v>
      </c>
      <c r="B30" t="s">
        <v>605</v>
      </c>
      <c r="C30" t="s">
        <v>618</v>
      </c>
      <c r="D30">
        <v>55</v>
      </c>
      <c r="E30">
        <v>2</v>
      </c>
      <c r="F30">
        <v>10</v>
      </c>
      <c r="G30">
        <v>2</v>
      </c>
      <c r="H30">
        <v>200</v>
      </c>
      <c r="I30" t="s">
        <v>609</v>
      </c>
      <c r="J30">
        <v>0.34789999999999999</v>
      </c>
      <c r="K30">
        <v>115.1134</v>
      </c>
      <c r="L30">
        <v>5.5599999999999997E-2</v>
      </c>
      <c r="M30">
        <v>1.085</v>
      </c>
      <c r="N30">
        <v>28.7133</v>
      </c>
      <c r="O30">
        <v>88.981899999999996</v>
      </c>
      <c r="P30">
        <v>358.1216</v>
      </c>
      <c r="Q30">
        <v>233.1157</v>
      </c>
      <c r="R30">
        <v>0.2366</v>
      </c>
      <c r="S30">
        <v>1.0367999999999999</v>
      </c>
      <c r="T30">
        <v>9.3299999999999994E-2</v>
      </c>
      <c r="U30">
        <v>2.1600000000000001E-2</v>
      </c>
      <c r="V30">
        <v>0.38850000000000001</v>
      </c>
      <c r="W30">
        <v>11.599399999999999</v>
      </c>
      <c r="X30">
        <v>6.0000000000000001E-3</v>
      </c>
      <c r="Y30">
        <v>5.4000000000000003E-3</v>
      </c>
      <c r="Z30">
        <v>5.7999999999999996E-3</v>
      </c>
      <c r="AA30">
        <v>1.8700000000000001E-2</v>
      </c>
      <c r="AB30">
        <v>35.211100000000002</v>
      </c>
      <c r="AC30">
        <v>48.952300000000001</v>
      </c>
      <c r="AD30">
        <v>50.1858</v>
      </c>
      <c r="AE30">
        <v>2.0000000000000001E-4</v>
      </c>
      <c r="AF30">
        <v>8280.5208000000002</v>
      </c>
      <c r="AG30">
        <v>67.497900000000001</v>
      </c>
      <c r="AH30">
        <v>2.0000000000000001E-4</v>
      </c>
      <c r="AI30">
        <v>89.1708</v>
      </c>
      <c r="AJ30">
        <v>73.2</v>
      </c>
      <c r="AK30">
        <v>81.591099999999997</v>
      </c>
      <c r="AL30">
        <v>1.5513999999999999</v>
      </c>
      <c r="AM30">
        <v>0.05</v>
      </c>
      <c r="AN30">
        <v>0</v>
      </c>
      <c r="AO30">
        <v>96.235500000000002</v>
      </c>
      <c r="AP30">
        <v>93.032200000000003</v>
      </c>
      <c r="AQ30">
        <v>91.805400000000006</v>
      </c>
      <c r="AR30">
        <v>89.456500000000005</v>
      </c>
      <c r="AS30">
        <v>84.832300000000004</v>
      </c>
      <c r="AT30">
        <v>84.104200000000006</v>
      </c>
      <c r="AU30">
        <v>80.189700000000002</v>
      </c>
      <c r="AV30">
        <v>0.68220000000000003</v>
      </c>
      <c r="AW30">
        <v>1.7326999999999999</v>
      </c>
      <c r="AX30">
        <f t="shared" si="2"/>
        <v>84.819650209999992</v>
      </c>
      <c r="AY30">
        <f t="shared" si="3"/>
        <v>116.95361133</v>
      </c>
      <c r="AZ30">
        <f t="shared" si="4"/>
        <v>20.098280379999999</v>
      </c>
      <c r="BA30">
        <f t="shared" si="5"/>
        <v>0</v>
      </c>
      <c r="BB30">
        <f t="shared" si="6"/>
        <v>1.7326999999999999</v>
      </c>
      <c r="BC30">
        <f t="shared" si="7"/>
        <v>0</v>
      </c>
      <c r="BD30">
        <f t="shared" si="8"/>
        <v>0</v>
      </c>
      <c r="BE30">
        <f t="shared" si="9"/>
        <v>0</v>
      </c>
      <c r="BF30">
        <f t="shared" si="10"/>
        <v>0</v>
      </c>
      <c r="BG30">
        <f t="shared" si="11"/>
        <v>0.55819320000000006</v>
      </c>
      <c r="BH30">
        <f t="shared" si="12"/>
        <v>0.5508324</v>
      </c>
      <c r="BI30">
        <f t="shared" si="13"/>
        <v>0.53673900000000008</v>
      </c>
      <c r="BJ30">
        <f t="shared" si="14"/>
        <v>0.50899380000000005</v>
      </c>
      <c r="BK30">
        <f t="shared" si="15"/>
        <v>0.5046252</v>
      </c>
      <c r="BL30">
        <f t="shared" si="16"/>
        <v>0.48113820000000002</v>
      </c>
    </row>
    <row r="31" spans="1:64">
      <c r="A31" t="str">
        <f t="shared" si="1"/>
        <v>03</v>
      </c>
      <c r="B31" t="s">
        <v>605</v>
      </c>
      <c r="C31" t="s">
        <v>618</v>
      </c>
      <c r="D31">
        <v>55</v>
      </c>
      <c r="E31">
        <v>2</v>
      </c>
      <c r="F31">
        <v>10</v>
      </c>
      <c r="G31">
        <v>2</v>
      </c>
      <c r="H31">
        <v>200</v>
      </c>
      <c r="I31" t="s">
        <v>617</v>
      </c>
      <c r="J31">
        <v>0.37519999999999998</v>
      </c>
      <c r="K31">
        <v>113.38509999999999</v>
      </c>
      <c r="L31">
        <v>5.5599999999999997E-2</v>
      </c>
      <c r="M31">
        <v>1.085</v>
      </c>
      <c r="N31">
        <v>29.161999999999999</v>
      </c>
      <c r="O31">
        <v>88.864699999999999</v>
      </c>
      <c r="P31">
        <v>349.05419999999998</v>
      </c>
      <c r="Q31">
        <v>233.22409999999999</v>
      </c>
      <c r="R31">
        <v>0.23380000000000001</v>
      </c>
      <c r="S31">
        <v>1.1274999999999999</v>
      </c>
      <c r="T31">
        <v>0.1022</v>
      </c>
      <c r="U31">
        <v>2.29E-2</v>
      </c>
      <c r="V31">
        <v>0.40260000000000001</v>
      </c>
      <c r="W31">
        <v>11.635400000000001</v>
      </c>
      <c r="X31">
        <v>38.148200000000003</v>
      </c>
      <c r="Y31">
        <v>33.901299999999999</v>
      </c>
      <c r="Z31">
        <v>36.416899999999998</v>
      </c>
      <c r="AA31">
        <v>116.2593</v>
      </c>
      <c r="AB31">
        <v>14.177300000000001</v>
      </c>
      <c r="AC31">
        <v>49.614899999999999</v>
      </c>
      <c r="AD31">
        <v>50.406799999999997</v>
      </c>
      <c r="AE31">
        <v>1.2837000000000001</v>
      </c>
      <c r="AF31">
        <v>8195.4392000000007</v>
      </c>
      <c r="AG31">
        <v>74.196899999999999</v>
      </c>
      <c r="AH31">
        <v>0.97230000000000005</v>
      </c>
      <c r="AI31">
        <v>89.132000000000005</v>
      </c>
      <c r="AJ31">
        <v>73.2</v>
      </c>
      <c r="AK31">
        <v>81.510300000000001</v>
      </c>
      <c r="AL31">
        <v>1.5415000000000001</v>
      </c>
      <c r="AM31">
        <v>0.05</v>
      </c>
      <c r="AN31">
        <v>6.1000000000000004E-3</v>
      </c>
      <c r="AO31">
        <v>99.441999999999993</v>
      </c>
      <c r="AP31">
        <v>93.208699999999993</v>
      </c>
      <c r="AQ31">
        <v>91.929699999999997</v>
      </c>
      <c r="AR31">
        <v>89.524600000000007</v>
      </c>
      <c r="AS31">
        <v>84.631900000000002</v>
      </c>
      <c r="AT31">
        <v>83.8185</v>
      </c>
      <c r="AU31">
        <v>79.309600000000003</v>
      </c>
      <c r="AV31">
        <v>4126.4088000000002</v>
      </c>
      <c r="AW31">
        <v>10520.3262</v>
      </c>
      <c r="AX31">
        <f t="shared" si="2"/>
        <v>521964.93238037993</v>
      </c>
      <c r="AY31">
        <f t="shared" si="3"/>
        <v>780575.59102877998</v>
      </c>
      <c r="AZ31">
        <f t="shared" si="4"/>
        <v>122408.20346747999</v>
      </c>
      <c r="BA31">
        <f t="shared" si="5"/>
        <v>0</v>
      </c>
      <c r="BB31">
        <f t="shared" si="6"/>
        <v>10520.3262</v>
      </c>
      <c r="BC31">
        <f t="shared" si="7"/>
        <v>0</v>
      </c>
      <c r="BD31">
        <f t="shared" si="8"/>
        <v>0</v>
      </c>
      <c r="BE31">
        <f t="shared" si="9"/>
        <v>0</v>
      </c>
      <c r="BF31">
        <f t="shared" si="10"/>
        <v>0</v>
      </c>
      <c r="BG31">
        <f t="shared" si="11"/>
        <v>3555.7441293400002</v>
      </c>
      <c r="BH31">
        <f t="shared" si="12"/>
        <v>3506.9525815400002</v>
      </c>
      <c r="BI31">
        <f t="shared" si="13"/>
        <v>3415.2023457200007</v>
      </c>
      <c r="BJ31">
        <f t="shared" si="14"/>
        <v>3228.5546475800002</v>
      </c>
      <c r="BK31">
        <f t="shared" si="15"/>
        <v>3197.5249017000001</v>
      </c>
      <c r="BL31">
        <f t="shared" si="16"/>
        <v>3025.5184827200005</v>
      </c>
    </row>
    <row r="32" spans="1:64">
      <c r="A32" t="str">
        <f t="shared" si="1"/>
        <v>03</v>
      </c>
      <c r="B32" t="s">
        <v>605</v>
      </c>
      <c r="C32" t="s">
        <v>618</v>
      </c>
      <c r="D32">
        <v>55</v>
      </c>
      <c r="E32">
        <v>2</v>
      </c>
      <c r="F32">
        <v>10</v>
      </c>
      <c r="G32">
        <v>4</v>
      </c>
      <c r="H32">
        <v>100</v>
      </c>
      <c r="I32" t="s">
        <v>607</v>
      </c>
      <c r="J32">
        <v>0.52070000000000005</v>
      </c>
      <c r="K32">
        <v>401.92939999999999</v>
      </c>
      <c r="L32">
        <v>7.0300000000000001E-2</v>
      </c>
      <c r="M32">
        <v>1.3869</v>
      </c>
      <c r="N32">
        <v>32.195999999999998</v>
      </c>
      <c r="O32">
        <v>86.475300000000004</v>
      </c>
      <c r="P32">
        <v>314.10980000000001</v>
      </c>
      <c r="Q32">
        <v>237.178</v>
      </c>
      <c r="R32">
        <v>5.33E-2</v>
      </c>
      <c r="S32">
        <v>1.3374999999999999</v>
      </c>
      <c r="T32">
        <v>7.5399999999999995E-2</v>
      </c>
      <c r="U32">
        <v>2.7E-2</v>
      </c>
      <c r="V32">
        <v>0.67859999999999998</v>
      </c>
      <c r="W32">
        <v>11.6325</v>
      </c>
      <c r="X32">
        <v>14.3072</v>
      </c>
      <c r="Y32">
        <v>12.372199999999999</v>
      </c>
      <c r="Z32">
        <v>15.6526</v>
      </c>
      <c r="AA32">
        <v>38.427799999999998</v>
      </c>
      <c r="AB32">
        <v>30.227399999999999</v>
      </c>
      <c r="AC32">
        <v>51.087800000000001</v>
      </c>
      <c r="AD32">
        <v>50.843899999999998</v>
      </c>
      <c r="AE32">
        <v>0.33210000000000001</v>
      </c>
      <c r="AF32">
        <v>8274.2528999999995</v>
      </c>
      <c r="AG32">
        <v>76.837599999999995</v>
      </c>
      <c r="AH32">
        <v>0.97529999999999994</v>
      </c>
      <c r="AI32">
        <v>92.336200000000005</v>
      </c>
      <c r="AJ32">
        <v>73.2</v>
      </c>
      <c r="AK32">
        <v>88.311999999999998</v>
      </c>
      <c r="AL32">
        <v>1.5224</v>
      </c>
      <c r="AM32">
        <v>0.05</v>
      </c>
      <c r="AN32">
        <v>6.7000000000000002E-3</v>
      </c>
      <c r="AO32">
        <v>100.438</v>
      </c>
      <c r="AP32">
        <v>92.714399999999998</v>
      </c>
      <c r="AQ32">
        <v>90.482399999999998</v>
      </c>
      <c r="AR32">
        <v>86.453199999999995</v>
      </c>
      <c r="AS32">
        <v>78.858699999999999</v>
      </c>
      <c r="AT32">
        <v>77.427000000000007</v>
      </c>
      <c r="AU32">
        <v>70.626400000000004</v>
      </c>
      <c r="AV32">
        <v>1091.6534999999999</v>
      </c>
      <c r="AW32">
        <v>2747.634</v>
      </c>
      <c r="AX32">
        <f t="shared" si="2"/>
        <v>140370.57626520001</v>
      </c>
      <c r="AY32">
        <f t="shared" si="3"/>
        <v>211121.6022384</v>
      </c>
      <c r="AZ32">
        <f t="shared" si="4"/>
        <v>31961.852505000003</v>
      </c>
      <c r="BA32">
        <f t="shared" si="5"/>
        <v>0</v>
      </c>
      <c r="BB32">
        <f t="shared" si="6"/>
        <v>2747.634</v>
      </c>
      <c r="BC32">
        <f t="shared" si="7"/>
        <v>0</v>
      </c>
      <c r="BD32">
        <f t="shared" si="8"/>
        <v>0</v>
      </c>
      <c r="BE32">
        <f t="shared" si="9"/>
        <v>0</v>
      </c>
      <c r="BF32">
        <f t="shared" si="10"/>
        <v>0</v>
      </c>
      <c r="BG32">
        <f t="shared" si="11"/>
        <v>1326.4834636799999</v>
      </c>
      <c r="BH32">
        <f t="shared" si="12"/>
        <v>1294.5497932799999</v>
      </c>
      <c r="BI32">
        <f t="shared" si="13"/>
        <v>1236.9032230399998</v>
      </c>
      <c r="BJ32">
        <f t="shared" si="14"/>
        <v>1128.2471926399999</v>
      </c>
      <c r="BK32">
        <f t="shared" si="15"/>
        <v>1107.7635744000002</v>
      </c>
      <c r="BL32">
        <f t="shared" si="16"/>
        <v>1010.46603008</v>
      </c>
    </row>
    <row r="33" spans="1:64">
      <c r="A33" t="str">
        <f t="shared" si="1"/>
        <v>03</v>
      </c>
      <c r="B33" t="s">
        <v>605</v>
      </c>
      <c r="C33" t="s">
        <v>618</v>
      </c>
      <c r="D33">
        <v>66</v>
      </c>
      <c r="E33">
        <v>3</v>
      </c>
      <c r="F33">
        <v>6</v>
      </c>
      <c r="G33">
        <v>2</v>
      </c>
      <c r="H33">
        <v>100</v>
      </c>
      <c r="I33" t="s">
        <v>607</v>
      </c>
      <c r="J33">
        <v>0.45750000000000002</v>
      </c>
      <c r="K33">
        <v>183.70650000000001</v>
      </c>
      <c r="L33">
        <v>6.4199999999999993E-2</v>
      </c>
      <c r="M33">
        <v>1.3935999999999999</v>
      </c>
      <c r="N33">
        <v>32.542700000000004</v>
      </c>
      <c r="O33">
        <v>90.363200000000006</v>
      </c>
      <c r="P33">
        <v>338.52550000000002</v>
      </c>
      <c r="Q33">
        <v>206.09710000000001</v>
      </c>
      <c r="R33">
        <v>5.0299999999999997E-2</v>
      </c>
      <c r="S33">
        <v>1.4300999999999999</v>
      </c>
      <c r="T33">
        <v>8.6499999999999994E-2</v>
      </c>
      <c r="U33">
        <v>4.4299999999999999E-2</v>
      </c>
      <c r="V33">
        <v>0.5232</v>
      </c>
      <c r="W33">
        <v>12.8332</v>
      </c>
      <c r="X33">
        <v>0.11119999999999999</v>
      </c>
      <c r="Y33">
        <v>0.10050000000000001</v>
      </c>
      <c r="Z33">
        <v>0.1113</v>
      </c>
      <c r="AA33">
        <v>0.30890000000000001</v>
      </c>
      <c r="AB33">
        <v>45.602800000000002</v>
      </c>
      <c r="AC33">
        <v>38.097299999999997</v>
      </c>
      <c r="AD33">
        <v>88.584400000000002</v>
      </c>
      <c r="AE33">
        <v>3.3999999999999998E-3</v>
      </c>
      <c r="AF33">
        <v>7171.0297</v>
      </c>
      <c r="AG33">
        <v>76.633899999999997</v>
      </c>
      <c r="AH33">
        <v>3.8E-3</v>
      </c>
      <c r="AI33">
        <v>90.354100000000003</v>
      </c>
      <c r="AJ33">
        <v>73.2</v>
      </c>
      <c r="AK33">
        <v>84.072900000000004</v>
      </c>
      <c r="AL33">
        <v>1.5105</v>
      </c>
      <c r="AM33">
        <v>0.05</v>
      </c>
      <c r="AN33">
        <v>0</v>
      </c>
      <c r="AO33">
        <v>97.340999999999994</v>
      </c>
      <c r="AP33">
        <v>95.118799999999993</v>
      </c>
      <c r="AQ33">
        <v>93.498199999999997</v>
      </c>
      <c r="AR33">
        <v>91.408600000000007</v>
      </c>
      <c r="AS33">
        <v>85.778499999999994</v>
      </c>
      <c r="AT33">
        <v>84.6858</v>
      </c>
      <c r="AU33">
        <v>79.895399999999995</v>
      </c>
      <c r="AV33">
        <v>9.7466000000000008</v>
      </c>
      <c r="AW33">
        <v>24.316500000000001</v>
      </c>
      <c r="AX33">
        <f t="shared" si="2"/>
        <v>926.39299544999994</v>
      </c>
      <c r="AY33">
        <f t="shared" si="3"/>
        <v>1863.46822935</v>
      </c>
      <c r="AZ33">
        <f t="shared" si="4"/>
        <v>312.05850780000003</v>
      </c>
      <c r="BA33">
        <f t="shared" si="5"/>
        <v>0</v>
      </c>
      <c r="BB33">
        <f t="shared" si="6"/>
        <v>0</v>
      </c>
      <c r="BC33">
        <f t="shared" si="7"/>
        <v>24.316500000000001</v>
      </c>
      <c r="BD33">
        <f t="shared" si="8"/>
        <v>0</v>
      </c>
      <c r="BE33">
        <f t="shared" si="9"/>
        <v>0</v>
      </c>
      <c r="BF33">
        <f t="shared" si="10"/>
        <v>0</v>
      </c>
      <c r="BG33">
        <f t="shared" si="11"/>
        <v>10.577210559999999</v>
      </c>
      <c r="BH33">
        <f t="shared" si="12"/>
        <v>10.396999839999999</v>
      </c>
      <c r="BI33">
        <f t="shared" si="13"/>
        <v>10.16463632</v>
      </c>
      <c r="BJ33">
        <f t="shared" si="14"/>
        <v>9.5385691999999995</v>
      </c>
      <c r="BK33">
        <f t="shared" si="15"/>
        <v>9.4170609599999988</v>
      </c>
      <c r="BL33">
        <f t="shared" si="16"/>
        <v>8.8843684799999991</v>
      </c>
    </row>
    <row r="34" spans="1:64">
      <c r="A34" t="str">
        <f t="shared" si="1"/>
        <v>03</v>
      </c>
      <c r="B34" t="s">
        <v>605</v>
      </c>
      <c r="C34" t="s">
        <v>618</v>
      </c>
      <c r="D34">
        <v>66</v>
      </c>
      <c r="E34">
        <v>3</v>
      </c>
      <c r="F34">
        <v>6</v>
      </c>
      <c r="G34">
        <v>4</v>
      </c>
      <c r="H34">
        <v>100</v>
      </c>
      <c r="I34" t="s">
        <v>607</v>
      </c>
      <c r="J34">
        <v>0.45400000000000001</v>
      </c>
      <c r="K34">
        <v>178.32740000000001</v>
      </c>
      <c r="L34">
        <v>6.6100000000000006E-2</v>
      </c>
      <c r="M34">
        <v>1.4527000000000001</v>
      </c>
      <c r="N34">
        <v>32.6967</v>
      </c>
      <c r="O34">
        <v>90.345699999999994</v>
      </c>
      <c r="P34">
        <v>345.77379999999999</v>
      </c>
      <c r="Q34">
        <v>207.3261</v>
      </c>
      <c r="R34">
        <v>4.8399999999999999E-2</v>
      </c>
      <c r="S34">
        <v>1.1738</v>
      </c>
      <c r="T34">
        <v>8.4400000000000003E-2</v>
      </c>
      <c r="U34">
        <v>3.3099999999999997E-2</v>
      </c>
      <c r="V34">
        <v>0.51770000000000005</v>
      </c>
      <c r="W34">
        <v>12.824</v>
      </c>
      <c r="X34">
        <v>66.605000000000004</v>
      </c>
      <c r="Y34">
        <v>60.174599999999998</v>
      </c>
      <c r="Z34">
        <v>66.431200000000004</v>
      </c>
      <c r="AA34">
        <v>184.0147</v>
      </c>
      <c r="AB34">
        <v>57.230600000000003</v>
      </c>
      <c r="AC34">
        <v>38.427999999999997</v>
      </c>
      <c r="AD34">
        <v>90.284599999999998</v>
      </c>
      <c r="AE34">
        <v>2.0367000000000002</v>
      </c>
      <c r="AF34">
        <v>7203.6620000000003</v>
      </c>
      <c r="AG34">
        <v>76.638000000000005</v>
      </c>
      <c r="AH34">
        <v>2.1964000000000001</v>
      </c>
      <c r="AI34">
        <v>90.262699999999995</v>
      </c>
      <c r="AJ34">
        <v>73.2</v>
      </c>
      <c r="AK34">
        <v>83.880899999999997</v>
      </c>
      <c r="AL34">
        <v>1.466</v>
      </c>
      <c r="AM34">
        <v>0.05</v>
      </c>
      <c r="AN34">
        <v>4.0000000000000001E-3</v>
      </c>
      <c r="AO34">
        <v>97.215299999999999</v>
      </c>
      <c r="AP34">
        <v>95.170199999999994</v>
      </c>
      <c r="AQ34">
        <v>93.546800000000005</v>
      </c>
      <c r="AR34">
        <v>91.451999999999998</v>
      </c>
      <c r="AS34">
        <v>85.889499999999998</v>
      </c>
      <c r="AT34">
        <v>84.8108</v>
      </c>
      <c r="AU34">
        <v>79.915199999999999</v>
      </c>
      <c r="AV34">
        <v>5887.9744000000001</v>
      </c>
      <c r="AW34">
        <v>14671.3698</v>
      </c>
      <c r="AX34">
        <f t="shared" si="2"/>
        <v>563791.39867439994</v>
      </c>
      <c r="AY34">
        <f t="shared" si="3"/>
        <v>1124384.4387324001</v>
      </c>
      <c r="AZ34">
        <f t="shared" si="4"/>
        <v>188145.64631519999</v>
      </c>
      <c r="BA34">
        <f t="shared" si="5"/>
        <v>0</v>
      </c>
      <c r="BB34">
        <f t="shared" si="6"/>
        <v>0</v>
      </c>
      <c r="BC34">
        <f t="shared" si="7"/>
        <v>14671.3698</v>
      </c>
      <c r="BD34">
        <f t="shared" si="8"/>
        <v>0</v>
      </c>
      <c r="BE34">
        <f t="shared" si="9"/>
        <v>0</v>
      </c>
      <c r="BF34">
        <f t="shared" si="10"/>
        <v>0</v>
      </c>
      <c r="BG34">
        <f t="shared" si="11"/>
        <v>6338.8111710000003</v>
      </c>
      <c r="BH34">
        <f t="shared" si="12"/>
        <v>6230.6846140000007</v>
      </c>
      <c r="BI34">
        <f t="shared" si="13"/>
        <v>6091.1604600000001</v>
      </c>
      <c r="BJ34">
        <f t="shared" si="14"/>
        <v>5720.6701475</v>
      </c>
      <c r="BK34">
        <f t="shared" si="15"/>
        <v>5648.8233340000006</v>
      </c>
      <c r="BL34">
        <f t="shared" si="16"/>
        <v>5322.7518960000007</v>
      </c>
    </row>
    <row r="35" spans="1:64">
      <c r="A35" t="str">
        <f t="shared" si="1"/>
        <v>03</v>
      </c>
      <c r="B35" t="s">
        <v>605</v>
      </c>
      <c r="C35" t="s">
        <v>618</v>
      </c>
      <c r="D35">
        <v>66</v>
      </c>
      <c r="E35">
        <v>3</v>
      </c>
      <c r="F35">
        <v>6</v>
      </c>
      <c r="G35">
        <v>4</v>
      </c>
      <c r="H35">
        <v>200</v>
      </c>
      <c r="I35" t="s">
        <v>617</v>
      </c>
      <c r="J35">
        <v>0.38140000000000002</v>
      </c>
      <c r="K35">
        <v>160.32820000000001</v>
      </c>
      <c r="L35">
        <v>5.1400000000000001E-2</v>
      </c>
      <c r="M35">
        <v>0.99860000000000004</v>
      </c>
      <c r="N35">
        <v>33.259700000000002</v>
      </c>
      <c r="O35">
        <v>90.299700000000001</v>
      </c>
      <c r="P35">
        <v>341.72890000000001</v>
      </c>
      <c r="Q35">
        <v>209.1386</v>
      </c>
      <c r="R35">
        <v>4.3200000000000002E-2</v>
      </c>
      <c r="S35">
        <v>0.91900000000000004</v>
      </c>
      <c r="T35">
        <v>8.9499999999999996E-2</v>
      </c>
      <c r="U35">
        <v>3.0599999999999999E-2</v>
      </c>
      <c r="V35">
        <v>0.43830000000000002</v>
      </c>
      <c r="W35">
        <v>12.764200000000001</v>
      </c>
      <c r="X35">
        <v>7.5797999999999996</v>
      </c>
      <c r="Y35">
        <v>6.8445</v>
      </c>
      <c r="Z35">
        <v>7.6161000000000003</v>
      </c>
      <c r="AA35">
        <v>20.579000000000001</v>
      </c>
      <c r="AB35">
        <v>46.728000000000002</v>
      </c>
      <c r="AC35">
        <v>39.029000000000003</v>
      </c>
      <c r="AD35">
        <v>89.439099999999996</v>
      </c>
      <c r="AE35">
        <v>0.27350000000000002</v>
      </c>
      <c r="AF35">
        <v>7266.5577999999996</v>
      </c>
      <c r="AG35">
        <v>76.476900000000001</v>
      </c>
      <c r="AH35">
        <v>0.2656</v>
      </c>
      <c r="AI35">
        <v>90.009500000000003</v>
      </c>
      <c r="AJ35">
        <v>73.2</v>
      </c>
      <c r="AK35">
        <v>83.346400000000003</v>
      </c>
      <c r="AL35">
        <v>1.4595</v>
      </c>
      <c r="AM35">
        <v>0.05</v>
      </c>
      <c r="AN35">
        <v>5.0000000000000001E-3</v>
      </c>
      <c r="AO35">
        <v>96.906599999999997</v>
      </c>
      <c r="AP35">
        <v>95.094200000000001</v>
      </c>
      <c r="AQ35">
        <v>93.523399999999995</v>
      </c>
      <c r="AR35">
        <v>91.394900000000007</v>
      </c>
      <c r="AS35">
        <v>86.026899999999998</v>
      </c>
      <c r="AT35">
        <v>85.027100000000004</v>
      </c>
      <c r="AU35">
        <v>80.153499999999994</v>
      </c>
      <c r="AV35">
        <v>800.99300000000005</v>
      </c>
      <c r="AW35">
        <v>1987.3575000000001</v>
      </c>
      <c r="AX35">
        <f t="shared" si="2"/>
        <v>77564.575867500011</v>
      </c>
      <c r="AY35">
        <f t="shared" si="3"/>
        <v>151986.94079175001</v>
      </c>
      <c r="AZ35">
        <f t="shared" si="4"/>
        <v>25367.028601500002</v>
      </c>
      <c r="BA35">
        <f t="shared" si="5"/>
        <v>0</v>
      </c>
      <c r="BB35">
        <f t="shared" si="6"/>
        <v>0</v>
      </c>
      <c r="BC35">
        <f t="shared" si="7"/>
        <v>1987.3575000000001</v>
      </c>
      <c r="BD35">
        <f t="shared" si="8"/>
        <v>0</v>
      </c>
      <c r="BE35">
        <f t="shared" si="9"/>
        <v>0</v>
      </c>
      <c r="BF35">
        <f t="shared" si="10"/>
        <v>0</v>
      </c>
      <c r="BG35">
        <f t="shared" si="11"/>
        <v>720.79501715999993</v>
      </c>
      <c r="BH35">
        <f t="shared" si="12"/>
        <v>708.88866731999997</v>
      </c>
      <c r="BI35">
        <f t="shared" si="13"/>
        <v>692.75506301999997</v>
      </c>
      <c r="BJ35">
        <f t="shared" si="14"/>
        <v>652.0666966199999</v>
      </c>
      <c r="BK35">
        <f t="shared" si="15"/>
        <v>644.48841258000004</v>
      </c>
      <c r="BL35">
        <f t="shared" si="16"/>
        <v>607.54749929999991</v>
      </c>
    </row>
    <row r="36" spans="1:64">
      <c r="A36" t="str">
        <f t="shared" si="1"/>
        <v>04</v>
      </c>
      <c r="B36" t="s">
        <v>605</v>
      </c>
      <c r="C36" t="s">
        <v>619</v>
      </c>
      <c r="D36">
        <v>55</v>
      </c>
      <c r="E36">
        <v>1</v>
      </c>
      <c r="F36">
        <v>6</v>
      </c>
      <c r="G36">
        <v>2</v>
      </c>
      <c r="H36">
        <v>100</v>
      </c>
      <c r="I36" t="s">
        <v>607</v>
      </c>
      <c r="J36">
        <v>0.51859999999999995</v>
      </c>
      <c r="K36">
        <v>434.24689999999998</v>
      </c>
      <c r="L36">
        <v>4.9599999999999998E-2</v>
      </c>
      <c r="M36">
        <v>1.0130999999999999</v>
      </c>
      <c r="N36">
        <v>31.409500000000001</v>
      </c>
      <c r="O36">
        <v>88.7911</v>
      </c>
      <c r="P36">
        <v>372.81650000000002</v>
      </c>
      <c r="Q36">
        <v>242.5522</v>
      </c>
      <c r="R36">
        <v>0.1875</v>
      </c>
      <c r="S36">
        <v>1.1964999999999999</v>
      </c>
      <c r="T36">
        <v>0.16139999999999999</v>
      </c>
      <c r="U36">
        <v>2.64E-2</v>
      </c>
      <c r="V36">
        <v>0.7077</v>
      </c>
      <c r="W36">
        <v>11.5761</v>
      </c>
      <c r="X36">
        <v>144.80510000000001</v>
      </c>
      <c r="Y36">
        <v>128.52950000000001</v>
      </c>
      <c r="Z36">
        <v>164.83109999999999</v>
      </c>
      <c r="AA36">
        <v>408.02870000000001</v>
      </c>
      <c r="AB36">
        <v>28.767700000000001</v>
      </c>
      <c r="AC36">
        <v>51.628500000000003</v>
      </c>
      <c r="AD36">
        <v>52.539700000000003</v>
      </c>
      <c r="AE36">
        <v>3.1572</v>
      </c>
      <c r="AF36">
        <v>8568.3667999999998</v>
      </c>
      <c r="AG36">
        <v>69.165099999999995</v>
      </c>
      <c r="AH36">
        <v>10.7156</v>
      </c>
      <c r="AI36">
        <v>90.893600000000006</v>
      </c>
      <c r="AJ36">
        <v>73.2</v>
      </c>
      <c r="AK36">
        <v>85.302099999999996</v>
      </c>
      <c r="AL36">
        <v>1.6054999999999999</v>
      </c>
      <c r="AM36">
        <v>0.05</v>
      </c>
      <c r="AN36">
        <v>6.1000000000000004E-3</v>
      </c>
      <c r="AO36">
        <v>94.910600000000002</v>
      </c>
      <c r="AP36">
        <v>93.479100000000003</v>
      </c>
      <c r="AQ36">
        <v>92.207099999999997</v>
      </c>
      <c r="AR36">
        <v>90.099500000000006</v>
      </c>
      <c r="AS36">
        <v>85.239599999999996</v>
      </c>
      <c r="AT36">
        <v>84.434299999999993</v>
      </c>
      <c r="AU36">
        <v>79.914500000000004</v>
      </c>
      <c r="AV36">
        <v>10589.419</v>
      </c>
      <c r="AW36">
        <v>27039.272000000001</v>
      </c>
      <c r="AX36">
        <f t="shared" si="2"/>
        <v>1395997.0544520002</v>
      </c>
      <c r="AY36">
        <f t="shared" si="3"/>
        <v>1870173.9518072</v>
      </c>
      <c r="AZ36">
        <f t="shared" si="4"/>
        <v>313009.31659920001</v>
      </c>
      <c r="BA36">
        <f t="shared" si="5"/>
        <v>27039.272000000001</v>
      </c>
      <c r="BB36">
        <f t="shared" si="6"/>
        <v>0</v>
      </c>
      <c r="BC36">
        <f t="shared" si="7"/>
        <v>0</v>
      </c>
      <c r="BD36">
        <f t="shared" si="8"/>
        <v>0</v>
      </c>
      <c r="BE36">
        <f t="shared" si="9"/>
        <v>0</v>
      </c>
      <c r="BF36">
        <f t="shared" si="10"/>
        <v>0</v>
      </c>
      <c r="BG36">
        <f t="shared" si="11"/>
        <v>13536.250423410002</v>
      </c>
      <c r="BH36">
        <f t="shared" si="12"/>
        <v>13352.058336210001</v>
      </c>
      <c r="BI36">
        <f t="shared" si="13"/>
        <v>13046.867107450002</v>
      </c>
      <c r="BJ36">
        <f t="shared" si="14"/>
        <v>12343.12880196</v>
      </c>
      <c r="BK36">
        <f t="shared" si="15"/>
        <v>12226.51725493</v>
      </c>
      <c r="BL36">
        <f t="shared" si="16"/>
        <v>11572.027163950001</v>
      </c>
    </row>
    <row r="37" spans="1:64">
      <c r="A37" t="str">
        <f t="shared" si="1"/>
        <v>04</v>
      </c>
      <c r="B37" t="s">
        <v>605</v>
      </c>
      <c r="C37" t="s">
        <v>619</v>
      </c>
      <c r="D37">
        <v>55</v>
      </c>
      <c r="E37">
        <v>1</v>
      </c>
      <c r="F37">
        <v>6</v>
      </c>
      <c r="G37">
        <v>2</v>
      </c>
      <c r="H37">
        <v>200</v>
      </c>
      <c r="I37" t="s">
        <v>607</v>
      </c>
      <c r="J37">
        <v>0.43319999999999997</v>
      </c>
      <c r="K37">
        <v>124.54049999999999</v>
      </c>
      <c r="L37">
        <v>4.8399999999999999E-2</v>
      </c>
      <c r="M37">
        <v>0.9284</v>
      </c>
      <c r="N37">
        <v>29.0733</v>
      </c>
      <c r="O37">
        <v>88.697900000000004</v>
      </c>
      <c r="P37">
        <v>354.1823</v>
      </c>
      <c r="Q37">
        <v>243.91499999999999</v>
      </c>
      <c r="R37">
        <v>0.2379</v>
      </c>
      <c r="S37">
        <v>0.91910000000000003</v>
      </c>
      <c r="T37">
        <v>0.11600000000000001</v>
      </c>
      <c r="U37">
        <v>1.7299999999999999E-2</v>
      </c>
      <c r="V37">
        <v>0.47749999999999998</v>
      </c>
      <c r="W37">
        <v>11.5327</v>
      </c>
      <c r="X37">
        <v>17.308900000000001</v>
      </c>
      <c r="Y37">
        <v>15.352600000000001</v>
      </c>
      <c r="Z37">
        <v>16.3689</v>
      </c>
      <c r="AA37">
        <v>52.8065</v>
      </c>
      <c r="AB37">
        <v>7.9013999999999998</v>
      </c>
      <c r="AC37">
        <v>51.9178</v>
      </c>
      <c r="AD37">
        <v>52.695500000000003</v>
      </c>
      <c r="AE37">
        <v>0.46200000000000002</v>
      </c>
      <c r="AF37">
        <v>8647.9395999999997</v>
      </c>
      <c r="AG37">
        <v>66.828699999999998</v>
      </c>
      <c r="AH37">
        <v>0.40799999999999997</v>
      </c>
      <c r="AI37">
        <v>89.37</v>
      </c>
      <c r="AJ37">
        <v>73.2</v>
      </c>
      <c r="AK37">
        <v>82.006399999999999</v>
      </c>
      <c r="AL37">
        <v>1.5104</v>
      </c>
      <c r="AM37">
        <v>0.05</v>
      </c>
      <c r="AN37">
        <v>5.4000000000000003E-3</v>
      </c>
      <c r="AO37">
        <v>93.676400000000001</v>
      </c>
      <c r="AP37">
        <v>93.418800000000005</v>
      </c>
      <c r="AQ37">
        <v>92.275099999999995</v>
      </c>
      <c r="AR37">
        <v>90.249600000000001</v>
      </c>
      <c r="AS37">
        <v>85.267899999999997</v>
      </c>
      <c r="AT37">
        <v>84.565200000000004</v>
      </c>
      <c r="AU37">
        <v>79.474000000000004</v>
      </c>
      <c r="AV37">
        <v>1563.9457</v>
      </c>
      <c r="AW37">
        <v>3995.2211000000002</v>
      </c>
      <c r="AX37">
        <f t="shared" si="2"/>
        <v>207423.09002558002</v>
      </c>
      <c r="AY37">
        <f t="shared" si="3"/>
        <v>266995.43232557003</v>
      </c>
      <c r="AZ37">
        <f t="shared" si="4"/>
        <v>46075.68637997</v>
      </c>
      <c r="BA37">
        <f t="shared" si="5"/>
        <v>3995.2211000000002</v>
      </c>
      <c r="BB37">
        <f t="shared" si="6"/>
        <v>0</v>
      </c>
      <c r="BC37">
        <f t="shared" si="7"/>
        <v>0</v>
      </c>
      <c r="BD37">
        <f t="shared" si="8"/>
        <v>0</v>
      </c>
      <c r="BE37">
        <f t="shared" si="9"/>
        <v>0</v>
      </c>
      <c r="BF37">
        <f t="shared" si="10"/>
        <v>0</v>
      </c>
      <c r="BG37">
        <f t="shared" si="11"/>
        <v>1616.9766673200002</v>
      </c>
      <c r="BH37">
        <f t="shared" si="12"/>
        <v>1597.18047839</v>
      </c>
      <c r="BI37">
        <f t="shared" si="13"/>
        <v>1562.12130144</v>
      </c>
      <c r="BJ37">
        <f t="shared" si="14"/>
        <v>1475.8935543100001</v>
      </c>
      <c r="BK37">
        <f t="shared" si="15"/>
        <v>1463.7305902800001</v>
      </c>
      <c r="BL37">
        <f t="shared" si="16"/>
        <v>1375.6075186000003</v>
      </c>
    </row>
    <row r="38" spans="1:64">
      <c r="A38" t="str">
        <f t="shared" si="1"/>
        <v>04</v>
      </c>
      <c r="B38" t="s">
        <v>605</v>
      </c>
      <c r="C38" t="s">
        <v>619</v>
      </c>
      <c r="D38">
        <v>55</v>
      </c>
      <c r="E38">
        <v>2</v>
      </c>
      <c r="F38">
        <v>10</v>
      </c>
      <c r="G38">
        <v>2</v>
      </c>
      <c r="H38">
        <v>100</v>
      </c>
      <c r="I38" t="s">
        <v>617</v>
      </c>
      <c r="J38">
        <v>0.4002</v>
      </c>
      <c r="K38">
        <v>117.7189</v>
      </c>
      <c r="L38">
        <v>4.82E-2</v>
      </c>
      <c r="M38">
        <v>1.0233000000000001</v>
      </c>
      <c r="N38">
        <v>29.165400000000002</v>
      </c>
      <c r="O38">
        <v>89.331999999999994</v>
      </c>
      <c r="P38">
        <v>362.93290000000002</v>
      </c>
      <c r="Q38">
        <v>227.005</v>
      </c>
      <c r="R38">
        <v>0.2399</v>
      </c>
      <c r="S38">
        <v>0.96450000000000002</v>
      </c>
      <c r="T38">
        <v>0.1164</v>
      </c>
      <c r="U38">
        <v>2.01E-2</v>
      </c>
      <c r="V38">
        <v>0.44500000000000001</v>
      </c>
      <c r="W38">
        <v>11.5647</v>
      </c>
      <c r="X38">
        <v>29.682600000000001</v>
      </c>
      <c r="Y38">
        <v>26.517499999999998</v>
      </c>
      <c r="Z38">
        <v>28.282599999999999</v>
      </c>
      <c r="AA38">
        <v>90.912599999999998</v>
      </c>
      <c r="AB38">
        <v>25.9772</v>
      </c>
      <c r="AC38">
        <v>47.302199999999999</v>
      </c>
      <c r="AD38">
        <v>50.3033</v>
      </c>
      <c r="AE38">
        <v>0.90469999999999995</v>
      </c>
      <c r="AF38">
        <v>8128.8657000000003</v>
      </c>
      <c r="AG38">
        <v>67.311300000000003</v>
      </c>
      <c r="AH38">
        <v>0.70740000000000003</v>
      </c>
      <c r="AI38">
        <v>89.227099999999993</v>
      </c>
      <c r="AJ38">
        <v>73.2</v>
      </c>
      <c r="AK38">
        <v>81.708399999999997</v>
      </c>
      <c r="AL38">
        <v>1.5694999999999999</v>
      </c>
      <c r="AM38">
        <v>0.05</v>
      </c>
      <c r="AN38">
        <v>4.1000000000000003E-3</v>
      </c>
      <c r="AO38">
        <v>96.545699999999997</v>
      </c>
      <c r="AP38">
        <v>93.236400000000003</v>
      </c>
      <c r="AQ38">
        <v>92.035600000000002</v>
      </c>
      <c r="AR38">
        <v>89.922499999999999</v>
      </c>
      <c r="AS38">
        <v>85.364699999999999</v>
      </c>
      <c r="AT38">
        <v>84.673299999999998</v>
      </c>
      <c r="AU38">
        <v>80.346999999999994</v>
      </c>
      <c r="AV38">
        <v>2893.2999</v>
      </c>
      <c r="AW38">
        <v>7353.9191000000001</v>
      </c>
      <c r="AX38">
        <f t="shared" si="2"/>
        <v>347856.55205201998</v>
      </c>
      <c r="AY38">
        <f t="shared" si="3"/>
        <v>495001.85471583001</v>
      </c>
      <c r="AZ38">
        <f t="shared" si="4"/>
        <v>85045.86821577001</v>
      </c>
      <c r="BA38">
        <f t="shared" si="5"/>
        <v>0</v>
      </c>
      <c r="BB38">
        <f t="shared" si="6"/>
        <v>7353.9191000000001</v>
      </c>
      <c r="BC38">
        <f t="shared" si="7"/>
        <v>0</v>
      </c>
      <c r="BD38">
        <f t="shared" si="8"/>
        <v>0</v>
      </c>
      <c r="BE38">
        <f t="shared" si="9"/>
        <v>0</v>
      </c>
      <c r="BF38">
        <f t="shared" si="10"/>
        <v>0</v>
      </c>
      <c r="BG38">
        <f t="shared" si="11"/>
        <v>2767.4987666400002</v>
      </c>
      <c r="BH38">
        <f t="shared" si="12"/>
        <v>2731.85590056</v>
      </c>
      <c r="BI38">
        <f t="shared" si="13"/>
        <v>2669.1335985000001</v>
      </c>
      <c r="BJ38">
        <f t="shared" si="14"/>
        <v>2533.8462442200002</v>
      </c>
      <c r="BK38">
        <f t="shared" si="15"/>
        <v>2513.3236945799999</v>
      </c>
      <c r="BL38">
        <f t="shared" si="16"/>
        <v>2384.9078621999997</v>
      </c>
    </row>
    <row r="39" spans="1:64">
      <c r="A39" t="str">
        <f t="shared" si="1"/>
        <v>04</v>
      </c>
      <c r="B39" t="s">
        <v>605</v>
      </c>
      <c r="C39" t="s">
        <v>619</v>
      </c>
      <c r="D39">
        <v>55</v>
      </c>
      <c r="E39">
        <v>2</v>
      </c>
      <c r="F39">
        <v>10</v>
      </c>
      <c r="G39">
        <v>2</v>
      </c>
      <c r="H39">
        <v>100</v>
      </c>
      <c r="I39" t="s">
        <v>607</v>
      </c>
      <c r="J39">
        <v>0.54079999999999995</v>
      </c>
      <c r="K39">
        <v>134.83250000000001</v>
      </c>
      <c r="L39">
        <v>6.3399999999999998E-2</v>
      </c>
      <c r="M39">
        <v>1.4365000000000001</v>
      </c>
      <c r="N39">
        <v>29.2119</v>
      </c>
      <c r="O39">
        <v>88.6785</v>
      </c>
      <c r="P39">
        <v>370.77589999999998</v>
      </c>
      <c r="Q39">
        <v>231.6799</v>
      </c>
      <c r="R39">
        <v>0.23250000000000001</v>
      </c>
      <c r="S39">
        <v>1.3755999999999999</v>
      </c>
      <c r="T39">
        <v>8.3799999999999999E-2</v>
      </c>
      <c r="U39">
        <v>3.8100000000000002E-2</v>
      </c>
      <c r="V39">
        <v>0.58899999999999997</v>
      </c>
      <c r="W39">
        <v>11.657299999999999</v>
      </c>
      <c r="X39">
        <v>28.4054</v>
      </c>
      <c r="Y39">
        <v>25.1861</v>
      </c>
      <c r="Z39">
        <v>26.527999999999999</v>
      </c>
      <c r="AA39">
        <v>86.084599999999995</v>
      </c>
      <c r="AB39">
        <v>49.381799999999998</v>
      </c>
      <c r="AC39">
        <v>49.366300000000003</v>
      </c>
      <c r="AD39">
        <v>50.233400000000003</v>
      </c>
      <c r="AE39">
        <v>0.64700000000000002</v>
      </c>
      <c r="AF39">
        <v>8118.0433999999996</v>
      </c>
      <c r="AG39">
        <v>76.681100000000001</v>
      </c>
      <c r="AH39">
        <v>0.58389999999999997</v>
      </c>
      <c r="AI39">
        <v>89.558899999999994</v>
      </c>
      <c r="AJ39">
        <v>73.2</v>
      </c>
      <c r="AK39">
        <v>82.401899999999998</v>
      </c>
      <c r="AL39">
        <v>1.5751999999999999</v>
      </c>
      <c r="AM39">
        <v>0.05</v>
      </c>
      <c r="AN39">
        <v>0</v>
      </c>
      <c r="AO39">
        <v>100.7423</v>
      </c>
      <c r="AP39">
        <v>92.878299999999996</v>
      </c>
      <c r="AQ39">
        <v>91.485500000000002</v>
      </c>
      <c r="AR39">
        <v>88.755600000000001</v>
      </c>
      <c r="AS39">
        <v>83.898899999999998</v>
      </c>
      <c r="AT39">
        <v>83.043499999999995</v>
      </c>
      <c r="AU39">
        <v>78.993899999999996</v>
      </c>
      <c r="AV39">
        <v>2065.2195999999999</v>
      </c>
      <c r="AW39">
        <v>5252.6187</v>
      </c>
      <c r="AX39">
        <f t="shared" si="2"/>
        <v>259302.35052981001</v>
      </c>
      <c r="AY39">
        <f t="shared" si="3"/>
        <v>402776.57979657</v>
      </c>
      <c r="AZ39">
        <f t="shared" si="4"/>
        <v>61231.351971509997</v>
      </c>
      <c r="BA39">
        <f t="shared" si="5"/>
        <v>0</v>
      </c>
      <c r="BB39">
        <f t="shared" si="6"/>
        <v>5252.6187</v>
      </c>
      <c r="BC39">
        <f t="shared" si="7"/>
        <v>0</v>
      </c>
      <c r="BD39">
        <f t="shared" si="8"/>
        <v>0</v>
      </c>
      <c r="BE39">
        <f t="shared" si="9"/>
        <v>0</v>
      </c>
      <c r="BF39">
        <f t="shared" si="10"/>
        <v>0</v>
      </c>
      <c r="BG39">
        <f t="shared" si="11"/>
        <v>2638.2452628199999</v>
      </c>
      <c r="BH39">
        <f t="shared" si="12"/>
        <v>2598.6822216999999</v>
      </c>
      <c r="BI39">
        <f t="shared" si="13"/>
        <v>2521.1383202400002</v>
      </c>
      <c r="BJ39">
        <f t="shared" si="14"/>
        <v>2383.1818140599999</v>
      </c>
      <c r="BK39">
        <f t="shared" si="15"/>
        <v>2358.8838348999998</v>
      </c>
      <c r="BL39">
        <f t="shared" si="16"/>
        <v>2243.8533270600001</v>
      </c>
    </row>
    <row r="40" spans="1:64">
      <c r="A40" t="str">
        <f t="shared" si="1"/>
        <v>04</v>
      </c>
      <c r="B40" t="s">
        <v>605</v>
      </c>
      <c r="C40" t="s">
        <v>619</v>
      </c>
      <c r="D40">
        <v>55</v>
      </c>
      <c r="E40">
        <v>2</v>
      </c>
      <c r="F40">
        <v>10</v>
      </c>
      <c r="G40">
        <v>2</v>
      </c>
      <c r="H40">
        <v>200</v>
      </c>
      <c r="I40" t="s">
        <v>609</v>
      </c>
      <c r="J40">
        <v>0.34639999999999999</v>
      </c>
      <c r="K40">
        <v>115.9928</v>
      </c>
      <c r="L40">
        <v>5.5100000000000003E-2</v>
      </c>
      <c r="M40">
        <v>1.0755999999999999</v>
      </c>
      <c r="N40">
        <v>28.653199999999998</v>
      </c>
      <c r="O40">
        <v>88.983599999999996</v>
      </c>
      <c r="P40">
        <v>357.76749999999998</v>
      </c>
      <c r="Q40">
        <v>232.9539</v>
      </c>
      <c r="R40">
        <v>0.2364</v>
      </c>
      <c r="S40">
        <v>1.0265</v>
      </c>
      <c r="T40">
        <v>9.1999999999999998E-2</v>
      </c>
      <c r="U40">
        <v>2.1399999999999999E-2</v>
      </c>
      <c r="V40">
        <v>0.38729999999999998</v>
      </c>
      <c r="W40">
        <v>11.6028</v>
      </c>
      <c r="X40">
        <v>22.238800000000001</v>
      </c>
      <c r="Y40">
        <v>19.788799999999998</v>
      </c>
      <c r="Z40">
        <v>21.411100000000001</v>
      </c>
      <c r="AA40">
        <v>69.058899999999994</v>
      </c>
      <c r="AB40">
        <v>37.456899999999997</v>
      </c>
      <c r="AC40">
        <v>48.891800000000003</v>
      </c>
      <c r="AD40">
        <v>50.174999999999997</v>
      </c>
      <c r="AE40">
        <v>0.77590000000000003</v>
      </c>
      <c r="AF40">
        <v>8275.0519999999997</v>
      </c>
      <c r="AG40">
        <v>67.487899999999996</v>
      </c>
      <c r="AH40">
        <v>0.60799999999999998</v>
      </c>
      <c r="AI40">
        <v>89.1892</v>
      </c>
      <c r="AJ40">
        <v>73.2</v>
      </c>
      <c r="AK40">
        <v>81.629400000000004</v>
      </c>
      <c r="AL40">
        <v>1.5512999999999999</v>
      </c>
      <c r="AM40">
        <v>0.05</v>
      </c>
      <c r="AN40">
        <v>0</v>
      </c>
      <c r="AO40">
        <v>96.244900000000001</v>
      </c>
      <c r="AP40">
        <v>93.021900000000002</v>
      </c>
      <c r="AQ40">
        <v>91.7941</v>
      </c>
      <c r="AR40">
        <v>89.444800000000001</v>
      </c>
      <c r="AS40">
        <v>84.824200000000005</v>
      </c>
      <c r="AT40">
        <v>84.097700000000003</v>
      </c>
      <c r="AU40">
        <v>80.185400000000001</v>
      </c>
      <c r="AV40">
        <v>2528.2831999999999</v>
      </c>
      <c r="AW40">
        <v>6420.6791999999996</v>
      </c>
      <c r="AX40">
        <f t="shared" si="2"/>
        <v>313918.56331056001</v>
      </c>
      <c r="AY40">
        <f t="shared" si="3"/>
        <v>433318.15578167996</v>
      </c>
      <c r="AZ40">
        <f t="shared" si="4"/>
        <v>74497.856621760002</v>
      </c>
      <c r="BA40">
        <f t="shared" si="5"/>
        <v>0</v>
      </c>
      <c r="BB40">
        <f t="shared" si="6"/>
        <v>6420.6791999999996</v>
      </c>
      <c r="BC40">
        <f t="shared" si="7"/>
        <v>0</v>
      </c>
      <c r="BD40">
        <f t="shared" si="8"/>
        <v>0</v>
      </c>
      <c r="BE40">
        <f t="shared" si="9"/>
        <v>0</v>
      </c>
      <c r="BF40">
        <f t="shared" si="10"/>
        <v>0</v>
      </c>
      <c r="BG40">
        <f t="shared" si="11"/>
        <v>2068.69542972</v>
      </c>
      <c r="BH40">
        <f t="shared" si="12"/>
        <v>2041.39063108</v>
      </c>
      <c r="BI40">
        <f t="shared" si="13"/>
        <v>1989.1450182400001</v>
      </c>
      <c r="BJ40">
        <f t="shared" si="14"/>
        <v>1886.3884189600003</v>
      </c>
      <c r="BK40">
        <f t="shared" si="15"/>
        <v>1870.2319307600001</v>
      </c>
      <c r="BL40">
        <f t="shared" si="16"/>
        <v>1783.2270735200002</v>
      </c>
    </row>
    <row r="41" spans="1:64">
      <c r="A41" t="str">
        <f t="shared" si="1"/>
        <v>04</v>
      </c>
      <c r="B41" t="s">
        <v>605</v>
      </c>
      <c r="C41" t="s">
        <v>619</v>
      </c>
      <c r="D41">
        <v>55</v>
      </c>
      <c r="E41">
        <v>2</v>
      </c>
      <c r="F41">
        <v>10</v>
      </c>
      <c r="G41">
        <v>2</v>
      </c>
      <c r="H41">
        <v>200</v>
      </c>
      <c r="I41" t="s">
        <v>617</v>
      </c>
      <c r="J41">
        <v>0.38300000000000001</v>
      </c>
      <c r="K41">
        <v>114.535</v>
      </c>
      <c r="L41">
        <v>5.1200000000000002E-2</v>
      </c>
      <c r="M41">
        <v>0.99009999999999998</v>
      </c>
      <c r="N41">
        <v>28.7592</v>
      </c>
      <c r="O41">
        <v>89.075999999999993</v>
      </c>
      <c r="P41">
        <v>354.74799999999999</v>
      </c>
      <c r="Q41">
        <v>230.26230000000001</v>
      </c>
      <c r="R41">
        <v>0.2374</v>
      </c>
      <c r="S41">
        <v>1.0185</v>
      </c>
      <c r="T41">
        <v>9.9199999999999997E-2</v>
      </c>
      <c r="U41">
        <v>2.1000000000000001E-2</v>
      </c>
      <c r="V41">
        <v>0.42299999999999999</v>
      </c>
      <c r="W41">
        <v>11.5939</v>
      </c>
      <c r="X41">
        <v>71.750100000000003</v>
      </c>
      <c r="Y41">
        <v>63.912100000000002</v>
      </c>
      <c r="Z41">
        <v>68.345399999999998</v>
      </c>
      <c r="AA41">
        <v>222.29900000000001</v>
      </c>
      <c r="AB41">
        <v>19.561199999999999</v>
      </c>
      <c r="AC41">
        <v>48.364899999999999</v>
      </c>
      <c r="AD41">
        <v>50.286499999999997</v>
      </c>
      <c r="AE41">
        <v>2.2913999999999999</v>
      </c>
      <c r="AF41">
        <v>8183.6505999999999</v>
      </c>
      <c r="AG41">
        <v>69.393500000000003</v>
      </c>
      <c r="AH41">
        <v>1.7519</v>
      </c>
      <c r="AI41">
        <v>89.156400000000005</v>
      </c>
      <c r="AJ41">
        <v>73.2</v>
      </c>
      <c r="AK41">
        <v>81.561199999999999</v>
      </c>
      <c r="AL41">
        <v>1.532</v>
      </c>
      <c r="AM41">
        <v>0.05</v>
      </c>
      <c r="AN41">
        <v>4.0000000000000001E-3</v>
      </c>
      <c r="AO41">
        <v>97.328299999999999</v>
      </c>
      <c r="AP41">
        <v>93.154300000000006</v>
      </c>
      <c r="AQ41">
        <v>91.919600000000003</v>
      </c>
      <c r="AR41">
        <v>89.647400000000005</v>
      </c>
      <c r="AS41">
        <v>84.907399999999996</v>
      </c>
      <c r="AT41">
        <v>84.164299999999997</v>
      </c>
      <c r="AU41">
        <v>79.891999999999996</v>
      </c>
      <c r="AV41">
        <v>7369.1188000000002</v>
      </c>
      <c r="AW41">
        <v>18751.774700000002</v>
      </c>
      <c r="AX41">
        <f t="shared" si="2"/>
        <v>906927.70818803005</v>
      </c>
      <c r="AY41">
        <f t="shared" si="3"/>
        <v>1301251.2776444501</v>
      </c>
      <c r="AZ41">
        <f t="shared" si="4"/>
        <v>217406.20069433001</v>
      </c>
      <c r="BA41">
        <f t="shared" si="5"/>
        <v>0</v>
      </c>
      <c r="BB41">
        <f t="shared" si="6"/>
        <v>18751.774700000002</v>
      </c>
      <c r="BC41">
        <f t="shared" si="7"/>
        <v>0</v>
      </c>
      <c r="BD41">
        <f t="shared" si="8"/>
        <v>0</v>
      </c>
      <c r="BE41">
        <f t="shared" si="9"/>
        <v>0</v>
      </c>
      <c r="BF41">
        <f t="shared" si="10"/>
        <v>0</v>
      </c>
      <c r="BG41">
        <f t="shared" si="11"/>
        <v>6683.8303404300004</v>
      </c>
      <c r="BH41">
        <f t="shared" si="12"/>
        <v>6595.2404919600003</v>
      </c>
      <c r="BI41">
        <f t="shared" si="13"/>
        <v>6432.2099147400004</v>
      </c>
      <c r="BJ41">
        <f t="shared" si="14"/>
        <v>6092.1144407399997</v>
      </c>
      <c r="BK41">
        <f t="shared" si="15"/>
        <v>6038.7969414300005</v>
      </c>
      <c r="BL41">
        <f t="shared" si="16"/>
        <v>5732.2589891999996</v>
      </c>
    </row>
    <row r="42" spans="1:64">
      <c r="A42" t="str">
        <f t="shared" si="1"/>
        <v>04</v>
      </c>
      <c r="B42" t="s">
        <v>605</v>
      </c>
      <c r="C42" t="s">
        <v>619</v>
      </c>
      <c r="D42">
        <v>66</v>
      </c>
      <c r="E42">
        <v>3</v>
      </c>
      <c r="F42">
        <v>6</v>
      </c>
      <c r="G42">
        <v>2</v>
      </c>
      <c r="H42">
        <v>100</v>
      </c>
      <c r="I42" t="s">
        <v>607</v>
      </c>
      <c r="J42">
        <v>0.45750000000000002</v>
      </c>
      <c r="K42">
        <v>183.70650000000001</v>
      </c>
      <c r="L42">
        <v>6.4199999999999993E-2</v>
      </c>
      <c r="M42">
        <v>1.3935999999999999</v>
      </c>
      <c r="N42">
        <v>32.542700000000004</v>
      </c>
      <c r="O42">
        <v>90.363200000000006</v>
      </c>
      <c r="P42">
        <v>338.52550000000002</v>
      </c>
      <c r="Q42">
        <v>206.09710000000001</v>
      </c>
      <c r="R42">
        <v>5.0299999999999997E-2</v>
      </c>
      <c r="S42">
        <v>1.4300999999999999</v>
      </c>
      <c r="T42">
        <v>8.6499999999999994E-2</v>
      </c>
      <c r="U42">
        <v>4.4299999999999999E-2</v>
      </c>
      <c r="V42">
        <v>0.5232</v>
      </c>
      <c r="W42">
        <v>12.8332</v>
      </c>
      <c r="X42">
        <v>14.9499</v>
      </c>
      <c r="Y42">
        <v>13.5092</v>
      </c>
      <c r="Z42">
        <v>14.9581</v>
      </c>
      <c r="AA42">
        <v>41.5122</v>
      </c>
      <c r="AB42">
        <v>45.602800000000002</v>
      </c>
      <c r="AC42">
        <v>38.097299999999997</v>
      </c>
      <c r="AD42">
        <v>88.584400000000002</v>
      </c>
      <c r="AE42">
        <v>0.45569999999999999</v>
      </c>
      <c r="AF42">
        <v>7171.0297</v>
      </c>
      <c r="AG42">
        <v>76.633899999999997</v>
      </c>
      <c r="AH42">
        <v>0.50470000000000004</v>
      </c>
      <c r="AI42">
        <v>90.354100000000003</v>
      </c>
      <c r="AJ42">
        <v>73.2</v>
      </c>
      <c r="AK42">
        <v>84.072900000000004</v>
      </c>
      <c r="AL42">
        <v>1.5105</v>
      </c>
      <c r="AM42">
        <v>0.05</v>
      </c>
      <c r="AN42">
        <v>0</v>
      </c>
      <c r="AO42">
        <v>97.340999999999994</v>
      </c>
      <c r="AP42">
        <v>95.118799999999993</v>
      </c>
      <c r="AQ42">
        <v>93.498199999999997</v>
      </c>
      <c r="AR42">
        <v>91.408600000000007</v>
      </c>
      <c r="AS42">
        <v>85.778499999999994</v>
      </c>
      <c r="AT42">
        <v>84.6858</v>
      </c>
      <c r="AU42">
        <v>79.895399999999995</v>
      </c>
      <c r="AV42">
        <v>1309.8388</v>
      </c>
      <c r="AW42">
        <v>3267.8937999999998</v>
      </c>
      <c r="AX42">
        <f t="shared" si="2"/>
        <v>124497.93046673998</v>
      </c>
      <c r="AY42">
        <f t="shared" si="3"/>
        <v>250431.44667981999</v>
      </c>
      <c r="AZ42">
        <f t="shared" si="4"/>
        <v>41937.53471416</v>
      </c>
      <c r="BA42">
        <f t="shared" si="5"/>
        <v>0</v>
      </c>
      <c r="BB42">
        <f t="shared" si="6"/>
        <v>0</v>
      </c>
      <c r="BC42">
        <f t="shared" si="7"/>
        <v>3267.8937999999998</v>
      </c>
      <c r="BD42">
        <f t="shared" si="8"/>
        <v>0</v>
      </c>
      <c r="BE42">
        <f t="shared" si="9"/>
        <v>0</v>
      </c>
      <c r="BF42">
        <f t="shared" si="10"/>
        <v>0</v>
      </c>
      <c r="BG42">
        <f t="shared" si="11"/>
        <v>1422.0165481199999</v>
      </c>
      <c r="BH42">
        <f t="shared" si="12"/>
        <v>1397.7887401799999</v>
      </c>
      <c r="BI42">
        <f t="shared" si="13"/>
        <v>1366.54942914</v>
      </c>
      <c r="BJ42">
        <f t="shared" si="14"/>
        <v>1282.3799971499998</v>
      </c>
      <c r="BK42">
        <f t="shared" si="15"/>
        <v>1266.0442414199999</v>
      </c>
      <c r="BL42">
        <f t="shared" si="16"/>
        <v>1194.4282404599999</v>
      </c>
    </row>
    <row r="43" spans="1:64">
      <c r="A43" t="str">
        <f t="shared" si="1"/>
        <v>04</v>
      </c>
      <c r="B43" t="s">
        <v>605</v>
      </c>
      <c r="C43" t="s">
        <v>619</v>
      </c>
      <c r="D43">
        <v>66</v>
      </c>
      <c r="E43">
        <v>3</v>
      </c>
      <c r="F43">
        <v>6</v>
      </c>
      <c r="G43">
        <v>4</v>
      </c>
      <c r="H43">
        <v>100</v>
      </c>
      <c r="I43" t="s">
        <v>607</v>
      </c>
      <c r="J43">
        <v>0.45390000000000003</v>
      </c>
      <c r="K43">
        <v>157.66030000000001</v>
      </c>
      <c r="L43">
        <v>5.1900000000000002E-2</v>
      </c>
      <c r="M43">
        <v>1.3448</v>
      </c>
      <c r="N43">
        <v>32.811799999999998</v>
      </c>
      <c r="O43">
        <v>90.334999999999994</v>
      </c>
      <c r="P43">
        <v>353.51819999999998</v>
      </c>
      <c r="Q43">
        <v>207.04079999999999</v>
      </c>
      <c r="R43">
        <v>4.6100000000000002E-2</v>
      </c>
      <c r="S43">
        <v>1.1507000000000001</v>
      </c>
      <c r="T43">
        <v>8.5599999999999996E-2</v>
      </c>
      <c r="U43">
        <v>3.5999999999999997E-2</v>
      </c>
      <c r="V43">
        <v>0.50980000000000003</v>
      </c>
      <c r="W43">
        <v>12.832800000000001</v>
      </c>
      <c r="X43">
        <v>46.411499999999997</v>
      </c>
      <c r="Y43">
        <v>41.925899999999999</v>
      </c>
      <c r="Z43">
        <v>45.570399999999999</v>
      </c>
      <c r="AA43">
        <v>127.7835</v>
      </c>
      <c r="AB43">
        <v>30.848199999999999</v>
      </c>
      <c r="AC43">
        <v>38.323300000000003</v>
      </c>
      <c r="AD43">
        <v>88.664299999999997</v>
      </c>
      <c r="AE43">
        <v>1.4212</v>
      </c>
      <c r="AF43">
        <v>7195.2017999999998</v>
      </c>
      <c r="AG43">
        <v>76.553200000000004</v>
      </c>
      <c r="AH43">
        <v>1.3426</v>
      </c>
      <c r="AI43">
        <v>89.958600000000004</v>
      </c>
      <c r="AJ43">
        <v>73.2</v>
      </c>
      <c r="AK43">
        <v>83.239900000000006</v>
      </c>
      <c r="AL43">
        <v>1.4646999999999999</v>
      </c>
      <c r="AM43">
        <v>0.05</v>
      </c>
      <c r="AN43">
        <v>2.8E-3</v>
      </c>
      <c r="AO43">
        <v>97.212699999999998</v>
      </c>
      <c r="AP43">
        <v>95.148200000000003</v>
      </c>
      <c r="AQ43">
        <v>93.525800000000004</v>
      </c>
      <c r="AR43">
        <v>91.427700000000002</v>
      </c>
      <c r="AS43">
        <v>85.795400000000001</v>
      </c>
      <c r="AT43">
        <v>84.7</v>
      </c>
      <c r="AU43">
        <v>79.880799999999994</v>
      </c>
      <c r="AV43">
        <v>4102.9494000000004</v>
      </c>
      <c r="AW43">
        <v>10225.8958</v>
      </c>
      <c r="AX43">
        <f t="shared" si="2"/>
        <v>391890.07251214003</v>
      </c>
      <c r="AY43">
        <f t="shared" si="3"/>
        <v>782825.04635656008</v>
      </c>
      <c r="AZ43">
        <f t="shared" si="4"/>
        <v>131226.87562224001</v>
      </c>
      <c r="BA43">
        <f t="shared" si="5"/>
        <v>0</v>
      </c>
      <c r="BB43">
        <f t="shared" si="6"/>
        <v>0</v>
      </c>
      <c r="BC43">
        <f t="shared" si="7"/>
        <v>10225.8958</v>
      </c>
      <c r="BD43">
        <f t="shared" si="8"/>
        <v>0</v>
      </c>
      <c r="BE43">
        <f t="shared" si="9"/>
        <v>0</v>
      </c>
      <c r="BF43">
        <f t="shared" si="10"/>
        <v>0</v>
      </c>
      <c r="BG43">
        <f t="shared" si="11"/>
        <v>4415.9706842999994</v>
      </c>
      <c r="BH43">
        <f t="shared" si="12"/>
        <v>4340.6726667000003</v>
      </c>
      <c r="BI43">
        <f t="shared" si="13"/>
        <v>4243.2966985499997</v>
      </c>
      <c r="BJ43">
        <f t="shared" si="14"/>
        <v>3981.8932070999999</v>
      </c>
      <c r="BK43">
        <f t="shared" si="15"/>
        <v>3931.0540499999997</v>
      </c>
      <c r="BL43">
        <f t="shared" si="16"/>
        <v>3707.3877491999992</v>
      </c>
    </row>
    <row r="44" spans="1:64">
      <c r="A44" t="str">
        <f t="shared" si="1"/>
        <v>04</v>
      </c>
      <c r="B44" t="s">
        <v>605</v>
      </c>
      <c r="C44" t="s">
        <v>619</v>
      </c>
      <c r="D44">
        <v>66</v>
      </c>
      <c r="E44">
        <v>3</v>
      </c>
      <c r="F44">
        <v>6</v>
      </c>
      <c r="G44">
        <v>4</v>
      </c>
      <c r="H44">
        <v>200</v>
      </c>
      <c r="I44" t="s">
        <v>617</v>
      </c>
      <c r="J44">
        <v>0.3785</v>
      </c>
      <c r="K44">
        <v>140.94980000000001</v>
      </c>
      <c r="L44">
        <v>5.1400000000000001E-2</v>
      </c>
      <c r="M44">
        <v>0.99860000000000004</v>
      </c>
      <c r="N44">
        <v>33.200299999999999</v>
      </c>
      <c r="O44">
        <v>90.317099999999996</v>
      </c>
      <c r="P44">
        <v>344.59649999999999</v>
      </c>
      <c r="Q44">
        <v>208.5076</v>
      </c>
      <c r="R44">
        <v>4.1700000000000001E-2</v>
      </c>
      <c r="S44">
        <v>0.89980000000000004</v>
      </c>
      <c r="T44">
        <v>8.5000000000000006E-2</v>
      </c>
      <c r="U44">
        <v>0.03</v>
      </c>
      <c r="V44">
        <v>0.42809999999999998</v>
      </c>
      <c r="W44">
        <v>12.809100000000001</v>
      </c>
      <c r="X44">
        <v>2.6855000000000002</v>
      </c>
      <c r="Y44">
        <v>2.4253999999999998</v>
      </c>
      <c r="Z44">
        <v>2.6554000000000002</v>
      </c>
      <c r="AA44">
        <v>7.3053999999999997</v>
      </c>
      <c r="AB44">
        <v>25.3218</v>
      </c>
      <c r="AC44">
        <v>38.7363</v>
      </c>
      <c r="AD44">
        <v>88.443700000000007</v>
      </c>
      <c r="AE44">
        <v>9.8000000000000004E-2</v>
      </c>
      <c r="AF44">
        <v>7239.5860000000002</v>
      </c>
      <c r="AG44">
        <v>76.391400000000004</v>
      </c>
      <c r="AH44">
        <v>8.2699999999999996E-2</v>
      </c>
      <c r="AI44">
        <v>89.671000000000006</v>
      </c>
      <c r="AJ44">
        <v>73.2</v>
      </c>
      <c r="AK44">
        <v>82.636499999999998</v>
      </c>
      <c r="AL44">
        <v>1.4478</v>
      </c>
      <c r="AM44">
        <v>0.05</v>
      </c>
      <c r="AN44">
        <v>5.0000000000000001E-3</v>
      </c>
      <c r="AO44">
        <v>96.974100000000007</v>
      </c>
      <c r="AP44">
        <v>95.061099999999996</v>
      </c>
      <c r="AQ44">
        <v>93.501000000000005</v>
      </c>
      <c r="AR44">
        <v>91.376800000000003</v>
      </c>
      <c r="AS44">
        <v>86.006699999999995</v>
      </c>
      <c r="AT44">
        <v>85.009299999999996</v>
      </c>
      <c r="AU44">
        <v>80.2</v>
      </c>
      <c r="AV44">
        <v>285.85169999999999</v>
      </c>
      <c r="AW44">
        <v>709.56290000000001</v>
      </c>
      <c r="AX44">
        <f t="shared" si="2"/>
        <v>27485.841363269999</v>
      </c>
      <c r="AY44">
        <f t="shared" si="3"/>
        <v>54204.503319060001</v>
      </c>
      <c r="AZ44">
        <f t="shared" si="4"/>
        <v>9088.8621423900004</v>
      </c>
      <c r="BA44">
        <f t="shared" si="5"/>
        <v>0</v>
      </c>
      <c r="BB44">
        <f t="shared" si="6"/>
        <v>0</v>
      </c>
      <c r="BC44">
        <f t="shared" si="7"/>
        <v>709.56290000000001</v>
      </c>
      <c r="BD44">
        <f t="shared" si="8"/>
        <v>0</v>
      </c>
      <c r="BE44">
        <f t="shared" si="9"/>
        <v>0</v>
      </c>
      <c r="BF44">
        <f t="shared" si="10"/>
        <v>0</v>
      </c>
      <c r="BG44">
        <f t="shared" si="11"/>
        <v>255.28658405000002</v>
      </c>
      <c r="BH44">
        <f t="shared" si="12"/>
        <v>251.09693550000003</v>
      </c>
      <c r="BI44">
        <f t="shared" si="13"/>
        <v>245.39239640000002</v>
      </c>
      <c r="BJ44">
        <f t="shared" si="14"/>
        <v>230.97099285000002</v>
      </c>
      <c r="BK44">
        <f t="shared" si="15"/>
        <v>228.29247515</v>
      </c>
      <c r="BL44">
        <f t="shared" si="16"/>
        <v>215.37710000000001</v>
      </c>
    </row>
    <row r="45" spans="1:64">
      <c r="A45" t="str">
        <f t="shared" si="1"/>
        <v>05</v>
      </c>
      <c r="B45" t="s">
        <v>605</v>
      </c>
      <c r="C45" t="s">
        <v>620</v>
      </c>
      <c r="D45">
        <v>55</v>
      </c>
      <c r="E45">
        <v>1</v>
      </c>
      <c r="F45">
        <v>6</v>
      </c>
      <c r="G45">
        <v>2</v>
      </c>
      <c r="H45">
        <v>100</v>
      </c>
      <c r="I45" t="s">
        <v>607</v>
      </c>
      <c r="J45">
        <v>0.53480000000000005</v>
      </c>
      <c r="K45">
        <v>129.9117</v>
      </c>
      <c r="L45">
        <v>0.04</v>
      </c>
      <c r="M45">
        <v>0.86019999999999996</v>
      </c>
      <c r="N45">
        <v>32.074399999999997</v>
      </c>
      <c r="O45">
        <v>88.390500000000003</v>
      </c>
      <c r="P45">
        <v>376.33929999999998</v>
      </c>
      <c r="Q45">
        <v>248.4254</v>
      </c>
      <c r="R45">
        <v>0.22750000000000001</v>
      </c>
      <c r="S45">
        <v>1.0247999999999999</v>
      </c>
      <c r="T45">
        <v>0.22170000000000001</v>
      </c>
      <c r="U45">
        <v>1.6E-2</v>
      </c>
      <c r="V45">
        <v>0.59840000000000004</v>
      </c>
      <c r="W45">
        <v>11.639699999999999</v>
      </c>
      <c r="X45">
        <v>228.40860000000001</v>
      </c>
      <c r="Y45">
        <v>201.90459999999999</v>
      </c>
      <c r="Z45">
        <v>213.0138</v>
      </c>
      <c r="AA45">
        <v>630.15549999999996</v>
      </c>
      <c r="AB45">
        <v>13.632899999999999</v>
      </c>
      <c r="AC45">
        <v>52.710900000000002</v>
      </c>
      <c r="AD45">
        <v>50.616999999999997</v>
      </c>
      <c r="AE45">
        <v>4.7603</v>
      </c>
      <c r="AF45">
        <v>8747.9766</v>
      </c>
      <c r="AG45">
        <v>65.762799999999999</v>
      </c>
      <c r="AH45">
        <v>4.7736000000000001</v>
      </c>
      <c r="AI45">
        <v>89.624799999999993</v>
      </c>
      <c r="AJ45">
        <v>73.2</v>
      </c>
      <c r="AK45">
        <v>82.540199999999999</v>
      </c>
      <c r="AL45">
        <v>1.4881</v>
      </c>
      <c r="AM45">
        <v>0.05</v>
      </c>
      <c r="AN45">
        <v>6.8999999999999999E-3</v>
      </c>
      <c r="AO45">
        <v>92.980400000000003</v>
      </c>
      <c r="AP45">
        <v>93.693100000000001</v>
      </c>
      <c r="AQ45">
        <v>92.498099999999994</v>
      </c>
      <c r="AR45">
        <v>90.591999999999999</v>
      </c>
      <c r="AS45">
        <v>84.9482</v>
      </c>
      <c r="AT45">
        <v>84.049800000000005</v>
      </c>
      <c r="AU45">
        <v>78.590999999999994</v>
      </c>
      <c r="AV45">
        <v>16324.993200000001</v>
      </c>
      <c r="AW45">
        <v>41642.509299999998</v>
      </c>
      <c r="AX45">
        <f t="shared" si="2"/>
        <v>2195014.1434613699</v>
      </c>
      <c r="AY45">
        <f t="shared" si="3"/>
        <v>2738528.0105940397</v>
      </c>
      <c r="AZ45">
        <f t="shared" si="4"/>
        <v>484706.31549920997</v>
      </c>
      <c r="BA45">
        <f t="shared" si="5"/>
        <v>41642.509299999998</v>
      </c>
      <c r="BB45">
        <f t="shared" si="6"/>
        <v>0</v>
      </c>
      <c r="BC45">
        <f t="shared" si="7"/>
        <v>0</v>
      </c>
      <c r="BD45">
        <f t="shared" si="8"/>
        <v>0</v>
      </c>
      <c r="BE45">
        <f t="shared" si="9"/>
        <v>0</v>
      </c>
      <c r="BF45">
        <f t="shared" si="10"/>
        <v>0</v>
      </c>
      <c r="BG45">
        <f t="shared" si="11"/>
        <v>21400.309800660001</v>
      </c>
      <c r="BH45">
        <f t="shared" si="12"/>
        <v>21127.361523659998</v>
      </c>
      <c r="BI45">
        <f t="shared" si="13"/>
        <v>20691.991891199999</v>
      </c>
      <c r="BJ45">
        <f t="shared" si="14"/>
        <v>19402.899434520001</v>
      </c>
      <c r="BK45">
        <f t="shared" si="15"/>
        <v>19197.69714828</v>
      </c>
      <c r="BL45">
        <f t="shared" si="16"/>
        <v>17950.860282599999</v>
      </c>
    </row>
    <row r="46" spans="1:64">
      <c r="A46" t="str">
        <f t="shared" si="1"/>
        <v>05</v>
      </c>
      <c r="B46" t="s">
        <v>605</v>
      </c>
      <c r="C46" t="s">
        <v>620</v>
      </c>
      <c r="D46">
        <v>55</v>
      </c>
      <c r="E46">
        <v>1</v>
      </c>
      <c r="F46">
        <v>6</v>
      </c>
      <c r="G46">
        <v>2</v>
      </c>
      <c r="H46">
        <v>200</v>
      </c>
      <c r="I46" t="s">
        <v>617</v>
      </c>
      <c r="J46">
        <v>0.3836</v>
      </c>
      <c r="K46">
        <v>151.71969999999999</v>
      </c>
      <c r="L46">
        <v>4.0599999999999997E-2</v>
      </c>
      <c r="M46">
        <v>0.54790000000000005</v>
      </c>
      <c r="N46">
        <v>29.538799999999998</v>
      </c>
      <c r="O46">
        <v>87.720399999999998</v>
      </c>
      <c r="P46">
        <v>363.23140000000001</v>
      </c>
      <c r="Q46">
        <v>245.18180000000001</v>
      </c>
      <c r="R46">
        <v>0.2271</v>
      </c>
      <c r="S46">
        <v>1.1898</v>
      </c>
      <c r="T46">
        <v>0.1103</v>
      </c>
      <c r="U46">
        <v>1.8599999999999998E-2</v>
      </c>
      <c r="V46">
        <v>0.43880000000000002</v>
      </c>
      <c r="W46">
        <v>11.701700000000001</v>
      </c>
      <c r="X46">
        <v>0.43440000000000001</v>
      </c>
      <c r="Y46">
        <v>0.38109999999999999</v>
      </c>
      <c r="Z46">
        <v>0.42209999999999998</v>
      </c>
      <c r="AA46">
        <v>1.29</v>
      </c>
      <c r="AB46">
        <v>7.6173999999999999</v>
      </c>
      <c r="AC46">
        <v>51.649500000000003</v>
      </c>
      <c r="AD46">
        <v>49.824800000000003</v>
      </c>
      <c r="AE46">
        <v>1.3100000000000001E-2</v>
      </c>
      <c r="AF46">
        <v>8620.7621999999992</v>
      </c>
      <c r="AG46">
        <v>66.916200000000003</v>
      </c>
      <c r="AH46">
        <v>1.43E-2</v>
      </c>
      <c r="AI46">
        <v>89.869799999999998</v>
      </c>
      <c r="AJ46">
        <v>73.2</v>
      </c>
      <c r="AK46">
        <v>83.052700000000002</v>
      </c>
      <c r="AL46">
        <v>1.4945999999999999</v>
      </c>
      <c r="AM46">
        <v>0.05</v>
      </c>
      <c r="AN46">
        <v>0</v>
      </c>
      <c r="AO46">
        <v>93.776300000000006</v>
      </c>
      <c r="AP46">
        <v>92.833299999999994</v>
      </c>
      <c r="AQ46">
        <v>91.439400000000006</v>
      </c>
      <c r="AR46">
        <v>89.081999999999994</v>
      </c>
      <c r="AS46">
        <v>82.961500000000001</v>
      </c>
      <c r="AT46">
        <v>81.959199999999996</v>
      </c>
      <c r="AU46">
        <v>76.302899999999994</v>
      </c>
      <c r="AV46">
        <v>44.159399999999998</v>
      </c>
      <c r="AW46">
        <v>113.2546</v>
      </c>
      <c r="AX46">
        <f t="shared" si="2"/>
        <v>5849.5434627000004</v>
      </c>
      <c r="AY46">
        <f t="shared" si="3"/>
        <v>7578.5674645199997</v>
      </c>
      <c r="AZ46">
        <f t="shared" si="4"/>
        <v>1325.2713528199999</v>
      </c>
      <c r="BA46">
        <f t="shared" si="5"/>
        <v>113.2546</v>
      </c>
      <c r="BB46">
        <f t="shared" si="6"/>
        <v>0</v>
      </c>
      <c r="BC46">
        <f t="shared" si="7"/>
        <v>0</v>
      </c>
      <c r="BD46">
        <f t="shared" si="8"/>
        <v>0</v>
      </c>
      <c r="BE46">
        <f t="shared" si="9"/>
        <v>0</v>
      </c>
      <c r="BF46">
        <f t="shared" si="10"/>
        <v>0</v>
      </c>
      <c r="BG46">
        <f t="shared" si="11"/>
        <v>40.326785520000001</v>
      </c>
      <c r="BH46">
        <f t="shared" si="12"/>
        <v>39.72127536</v>
      </c>
      <c r="BI46">
        <f t="shared" si="13"/>
        <v>38.697220799999997</v>
      </c>
      <c r="BJ46">
        <f t="shared" si="14"/>
        <v>36.038475599999998</v>
      </c>
      <c r="BK46">
        <f t="shared" si="15"/>
        <v>35.603076479999999</v>
      </c>
      <c r="BL46">
        <f t="shared" si="16"/>
        <v>33.145979759999996</v>
      </c>
    </row>
    <row r="47" spans="1:64">
      <c r="A47" t="str">
        <f t="shared" si="1"/>
        <v>05</v>
      </c>
      <c r="B47" t="s">
        <v>605</v>
      </c>
      <c r="C47" t="s">
        <v>620</v>
      </c>
      <c r="D47">
        <v>55</v>
      </c>
      <c r="E47">
        <v>1</v>
      </c>
      <c r="F47">
        <v>6</v>
      </c>
      <c r="G47">
        <v>2</v>
      </c>
      <c r="H47">
        <v>200</v>
      </c>
      <c r="I47" t="s">
        <v>607</v>
      </c>
      <c r="J47">
        <v>0.504</v>
      </c>
      <c r="K47">
        <v>126.959</v>
      </c>
      <c r="L47">
        <v>4.1399999999999999E-2</v>
      </c>
      <c r="M47">
        <v>0.81240000000000001</v>
      </c>
      <c r="N47">
        <v>30.4147</v>
      </c>
      <c r="O47">
        <v>88.219700000000003</v>
      </c>
      <c r="P47">
        <v>356.63290000000001</v>
      </c>
      <c r="Q47">
        <v>245.18209999999999</v>
      </c>
      <c r="R47">
        <v>0.22420000000000001</v>
      </c>
      <c r="S47">
        <v>1.1687000000000001</v>
      </c>
      <c r="T47">
        <v>0.14660000000000001</v>
      </c>
      <c r="U47">
        <v>2.0500000000000001E-2</v>
      </c>
      <c r="V47">
        <v>0.55110000000000003</v>
      </c>
      <c r="W47">
        <v>11.5632</v>
      </c>
      <c r="X47">
        <v>100.5689</v>
      </c>
      <c r="Y47">
        <v>88.725200000000001</v>
      </c>
      <c r="Z47">
        <v>93.515000000000001</v>
      </c>
      <c r="AA47">
        <v>291.46570000000003</v>
      </c>
      <c r="AB47">
        <v>10.4963</v>
      </c>
      <c r="AC47">
        <v>52.1464</v>
      </c>
      <c r="AD47">
        <v>51.069400000000002</v>
      </c>
      <c r="AE47">
        <v>2.2926000000000002</v>
      </c>
      <c r="AF47">
        <v>8675.0993999999992</v>
      </c>
      <c r="AG47">
        <v>66.5886</v>
      </c>
      <c r="AH47">
        <v>2.0735999999999999</v>
      </c>
      <c r="AI47">
        <v>89.412199999999999</v>
      </c>
      <c r="AJ47">
        <v>73.2</v>
      </c>
      <c r="AK47">
        <v>82.094800000000006</v>
      </c>
      <c r="AL47">
        <v>1.5033000000000001</v>
      </c>
      <c r="AM47">
        <v>0.05</v>
      </c>
      <c r="AN47">
        <v>4.3E-3</v>
      </c>
      <c r="AO47">
        <v>93.508899999999997</v>
      </c>
      <c r="AP47">
        <v>93.2881</v>
      </c>
      <c r="AQ47">
        <v>92.046700000000001</v>
      </c>
      <c r="AR47">
        <v>89.9619</v>
      </c>
      <c r="AS47">
        <v>84.243700000000004</v>
      </c>
      <c r="AT47">
        <v>83.345500000000001</v>
      </c>
      <c r="AU47">
        <v>77.7821</v>
      </c>
      <c r="AV47">
        <v>7811.0542999999998</v>
      </c>
      <c r="AW47">
        <v>19888.1113</v>
      </c>
      <c r="AX47">
        <f t="shared" si="2"/>
        <v>1037093.40709432</v>
      </c>
      <c r="AY47">
        <f t="shared" si="3"/>
        <v>1324321.48811118</v>
      </c>
      <c r="AZ47">
        <f t="shared" si="4"/>
        <v>229970.20858416002</v>
      </c>
      <c r="BA47">
        <f t="shared" si="5"/>
        <v>19888.1113</v>
      </c>
      <c r="BB47">
        <f t="shared" si="6"/>
        <v>0</v>
      </c>
      <c r="BC47">
        <f t="shared" si="7"/>
        <v>0</v>
      </c>
      <c r="BD47">
        <f t="shared" si="8"/>
        <v>0</v>
      </c>
      <c r="BE47">
        <f t="shared" si="9"/>
        <v>0</v>
      </c>
      <c r="BF47">
        <f t="shared" si="10"/>
        <v>0</v>
      </c>
      <c r="BG47">
        <f t="shared" si="11"/>
        <v>9381.8816000900006</v>
      </c>
      <c r="BH47">
        <f t="shared" si="12"/>
        <v>9257.0353676300001</v>
      </c>
      <c r="BI47">
        <f t="shared" si="13"/>
        <v>9047.3693249099997</v>
      </c>
      <c r="BJ47">
        <f t="shared" si="14"/>
        <v>8472.2962409299998</v>
      </c>
      <c r="BK47">
        <f t="shared" si="15"/>
        <v>8381.9652549500006</v>
      </c>
      <c r="BL47">
        <f t="shared" si="16"/>
        <v>7822.4602366899999</v>
      </c>
    </row>
    <row r="48" spans="1:64">
      <c r="A48" t="str">
        <f t="shared" si="1"/>
        <v>05</v>
      </c>
      <c r="B48" t="s">
        <v>605</v>
      </c>
      <c r="C48" t="s">
        <v>620</v>
      </c>
      <c r="D48">
        <v>55</v>
      </c>
      <c r="E48">
        <v>2</v>
      </c>
      <c r="F48">
        <v>10</v>
      </c>
      <c r="G48">
        <v>2</v>
      </c>
      <c r="H48">
        <v>100</v>
      </c>
      <c r="I48" t="s">
        <v>617</v>
      </c>
      <c r="J48">
        <v>0.39389999999999997</v>
      </c>
      <c r="K48">
        <v>120.6336</v>
      </c>
      <c r="L48">
        <v>5.9299999999999999E-2</v>
      </c>
      <c r="M48">
        <v>1.4066000000000001</v>
      </c>
      <c r="N48">
        <v>28.684000000000001</v>
      </c>
      <c r="O48">
        <v>88.909899999999993</v>
      </c>
      <c r="P48">
        <v>358.81029999999998</v>
      </c>
      <c r="Q48">
        <v>232.1182</v>
      </c>
      <c r="R48">
        <v>0.23400000000000001</v>
      </c>
      <c r="S48">
        <v>1.0845</v>
      </c>
      <c r="T48">
        <v>8.5000000000000006E-2</v>
      </c>
      <c r="U48">
        <v>2.6200000000000001E-2</v>
      </c>
      <c r="V48">
        <v>0.43659999999999999</v>
      </c>
      <c r="W48">
        <v>11.6693</v>
      </c>
      <c r="X48">
        <v>8.3699999999999997E-2</v>
      </c>
      <c r="Y48">
        <v>7.4499999999999997E-2</v>
      </c>
      <c r="Z48">
        <v>7.9799999999999996E-2</v>
      </c>
      <c r="AA48">
        <v>0.2596</v>
      </c>
      <c r="AB48">
        <v>68.410200000000003</v>
      </c>
      <c r="AC48">
        <v>48.485900000000001</v>
      </c>
      <c r="AD48">
        <v>50.170699999999997</v>
      </c>
      <c r="AE48">
        <v>2.5999999999999999E-3</v>
      </c>
      <c r="AF48">
        <v>8221.6893</v>
      </c>
      <c r="AG48">
        <v>68.152299999999997</v>
      </c>
      <c r="AH48">
        <v>2.0999999999999999E-3</v>
      </c>
      <c r="AI48">
        <v>89.289299999999997</v>
      </c>
      <c r="AJ48">
        <v>73.2</v>
      </c>
      <c r="AK48">
        <v>81.838099999999997</v>
      </c>
      <c r="AL48">
        <v>1.5564</v>
      </c>
      <c r="AM48">
        <v>0.05</v>
      </c>
      <c r="AN48">
        <v>0</v>
      </c>
      <c r="AO48">
        <v>96.6738</v>
      </c>
      <c r="AP48">
        <v>92.804500000000004</v>
      </c>
      <c r="AQ48">
        <v>91.557000000000002</v>
      </c>
      <c r="AR48">
        <v>89.101100000000002</v>
      </c>
      <c r="AS48">
        <v>84.559200000000004</v>
      </c>
      <c r="AT48">
        <v>83.869699999999995</v>
      </c>
      <c r="AU48">
        <v>80.040099999999995</v>
      </c>
      <c r="AV48">
        <v>8.3760999999999992</v>
      </c>
      <c r="AW48">
        <v>21.2607</v>
      </c>
      <c r="AX48">
        <f t="shared" si="2"/>
        <v>1030.8441741300001</v>
      </c>
      <c r="AY48">
        <f t="shared" si="3"/>
        <v>1448.9656046099999</v>
      </c>
      <c r="AZ48">
        <f t="shared" si="4"/>
        <v>248.09748650999998</v>
      </c>
      <c r="BA48">
        <f t="shared" si="5"/>
        <v>0</v>
      </c>
      <c r="BB48">
        <f t="shared" si="6"/>
        <v>21.2607</v>
      </c>
      <c r="BC48">
        <f t="shared" si="7"/>
        <v>0</v>
      </c>
      <c r="BD48">
        <f t="shared" si="8"/>
        <v>0</v>
      </c>
      <c r="BE48">
        <f t="shared" si="9"/>
        <v>0</v>
      </c>
      <c r="BF48">
        <f t="shared" si="10"/>
        <v>0</v>
      </c>
      <c r="BG48">
        <f t="shared" si="11"/>
        <v>7.7677366499999998</v>
      </c>
      <c r="BH48">
        <f t="shared" si="12"/>
        <v>7.6633208999999995</v>
      </c>
      <c r="BI48">
        <f t="shared" si="13"/>
        <v>7.4577620700000002</v>
      </c>
      <c r="BJ48">
        <f t="shared" si="14"/>
        <v>7.0776050399999999</v>
      </c>
      <c r="BK48">
        <f t="shared" si="15"/>
        <v>7.0198938899999996</v>
      </c>
      <c r="BL48">
        <f t="shared" si="16"/>
        <v>6.6993563699999994</v>
      </c>
    </row>
    <row r="49" spans="1:64">
      <c r="A49" t="str">
        <f t="shared" si="1"/>
        <v>05</v>
      </c>
      <c r="B49" t="s">
        <v>605</v>
      </c>
      <c r="C49" t="s">
        <v>620</v>
      </c>
      <c r="D49">
        <v>55</v>
      </c>
      <c r="E49">
        <v>2</v>
      </c>
      <c r="F49">
        <v>10</v>
      </c>
      <c r="G49">
        <v>2</v>
      </c>
      <c r="H49">
        <v>200</v>
      </c>
      <c r="I49" t="s">
        <v>609</v>
      </c>
      <c r="J49">
        <v>0.32679999999999998</v>
      </c>
      <c r="K49">
        <v>127.1267</v>
      </c>
      <c r="L49">
        <v>4.9399999999999999E-2</v>
      </c>
      <c r="M49">
        <v>0.95760000000000001</v>
      </c>
      <c r="N49">
        <v>27.8918</v>
      </c>
      <c r="O49">
        <v>89.005200000000002</v>
      </c>
      <c r="P49">
        <v>353.28399999999999</v>
      </c>
      <c r="Q49">
        <v>230.9051</v>
      </c>
      <c r="R49">
        <v>0.2334</v>
      </c>
      <c r="S49">
        <v>0.89590000000000003</v>
      </c>
      <c r="T49">
        <v>7.5600000000000001E-2</v>
      </c>
      <c r="U49">
        <v>1.9400000000000001E-2</v>
      </c>
      <c r="V49">
        <v>0.37190000000000001</v>
      </c>
      <c r="W49">
        <v>11.646800000000001</v>
      </c>
      <c r="X49">
        <v>5.3277000000000001</v>
      </c>
      <c r="Y49">
        <v>4.742</v>
      </c>
      <c r="Z49">
        <v>5.2239000000000004</v>
      </c>
      <c r="AA49">
        <v>17.001300000000001</v>
      </c>
      <c r="AB49">
        <v>65.893100000000004</v>
      </c>
      <c r="AC49">
        <v>48.126199999999997</v>
      </c>
      <c r="AD49">
        <v>50.038600000000002</v>
      </c>
      <c r="AE49">
        <v>0.19869999999999999</v>
      </c>
      <c r="AF49">
        <v>8205.8078999999998</v>
      </c>
      <c r="AG49">
        <v>67.361500000000007</v>
      </c>
      <c r="AH49">
        <v>0.17019999999999999</v>
      </c>
      <c r="AI49">
        <v>89.4221</v>
      </c>
      <c r="AJ49">
        <v>73.2</v>
      </c>
      <c r="AK49">
        <v>82.115099999999998</v>
      </c>
      <c r="AL49">
        <v>1.5501</v>
      </c>
      <c r="AM49">
        <v>0.05</v>
      </c>
      <c r="AN49">
        <v>0</v>
      </c>
      <c r="AO49">
        <v>96.364000000000004</v>
      </c>
      <c r="AP49">
        <v>92.891400000000004</v>
      </c>
      <c r="AQ49">
        <v>91.650999999999996</v>
      </c>
      <c r="AR49">
        <v>89.296300000000002</v>
      </c>
      <c r="AS49">
        <v>84.722300000000004</v>
      </c>
      <c r="AT49">
        <v>84.015500000000003</v>
      </c>
      <c r="AU49">
        <v>80.131399999999999</v>
      </c>
      <c r="AV49">
        <v>642.41189999999995</v>
      </c>
      <c r="AW49">
        <v>1630.1011000000001</v>
      </c>
      <c r="AX49">
        <f t="shared" si="2"/>
        <v>78450.571558819996</v>
      </c>
      <c r="AY49">
        <f t="shared" si="3"/>
        <v>109806.05524765002</v>
      </c>
      <c r="AZ49">
        <f t="shared" si="4"/>
        <v>18985.46149148</v>
      </c>
      <c r="BA49">
        <f t="shared" si="5"/>
        <v>0</v>
      </c>
      <c r="BB49">
        <f t="shared" si="6"/>
        <v>1630.1011000000001</v>
      </c>
      <c r="BC49">
        <f t="shared" si="7"/>
        <v>0</v>
      </c>
      <c r="BD49">
        <f t="shared" si="8"/>
        <v>0</v>
      </c>
      <c r="BE49">
        <f t="shared" si="9"/>
        <v>0</v>
      </c>
      <c r="BF49">
        <f t="shared" si="10"/>
        <v>0</v>
      </c>
      <c r="BG49">
        <f t="shared" si="11"/>
        <v>494.89751178000006</v>
      </c>
      <c r="BH49">
        <f t="shared" si="12"/>
        <v>488.28903270000001</v>
      </c>
      <c r="BI49">
        <f t="shared" si="13"/>
        <v>475.74389751000001</v>
      </c>
      <c r="BJ49">
        <f t="shared" si="14"/>
        <v>451.37499771000006</v>
      </c>
      <c r="BK49">
        <f t="shared" si="15"/>
        <v>447.60937935000004</v>
      </c>
      <c r="BL49">
        <f t="shared" si="16"/>
        <v>426.91605978000001</v>
      </c>
    </row>
    <row r="50" spans="1:64">
      <c r="A50" t="str">
        <f t="shared" si="1"/>
        <v>05</v>
      </c>
      <c r="B50" t="s">
        <v>605</v>
      </c>
      <c r="C50" t="s">
        <v>620</v>
      </c>
      <c r="D50">
        <v>55</v>
      </c>
      <c r="E50">
        <v>2</v>
      </c>
      <c r="F50">
        <v>10</v>
      </c>
      <c r="G50">
        <v>2</v>
      </c>
      <c r="H50">
        <v>200</v>
      </c>
      <c r="I50" t="s">
        <v>617</v>
      </c>
      <c r="J50">
        <v>0.37490000000000001</v>
      </c>
      <c r="K50">
        <v>135.22319999999999</v>
      </c>
      <c r="L50">
        <v>4.6399999999999997E-2</v>
      </c>
      <c r="M50">
        <v>0.84319999999999995</v>
      </c>
      <c r="N50">
        <v>28.354900000000001</v>
      </c>
      <c r="O50">
        <v>88.975099999999998</v>
      </c>
      <c r="P50">
        <v>354.83679999999998</v>
      </c>
      <c r="Q50">
        <v>227.2167</v>
      </c>
      <c r="R50">
        <v>0.2296</v>
      </c>
      <c r="S50">
        <v>0.9093</v>
      </c>
      <c r="T50">
        <v>8.9300000000000004E-2</v>
      </c>
      <c r="U50">
        <v>1.7000000000000001E-2</v>
      </c>
      <c r="V50">
        <v>0.42309999999999998</v>
      </c>
      <c r="W50">
        <v>11.567500000000001</v>
      </c>
      <c r="X50">
        <v>44.048400000000001</v>
      </c>
      <c r="Y50">
        <v>39.195399999999999</v>
      </c>
      <c r="Z50">
        <v>42.812199999999997</v>
      </c>
      <c r="AA50">
        <v>138.3434</v>
      </c>
      <c r="AB50">
        <v>21.481300000000001</v>
      </c>
      <c r="AC50">
        <v>47.322099999999999</v>
      </c>
      <c r="AD50">
        <v>49.987400000000001</v>
      </c>
      <c r="AE50">
        <v>1.4440999999999999</v>
      </c>
      <c r="AF50">
        <v>8136.5099</v>
      </c>
      <c r="AG50">
        <v>67.065299999999993</v>
      </c>
      <c r="AH50">
        <v>1.3102</v>
      </c>
      <c r="AI50">
        <v>89.5702</v>
      </c>
      <c r="AJ50">
        <v>73.2</v>
      </c>
      <c r="AK50">
        <v>82.425399999999996</v>
      </c>
      <c r="AL50">
        <v>1.5236000000000001</v>
      </c>
      <c r="AM50">
        <v>0.05</v>
      </c>
      <c r="AN50">
        <v>0</v>
      </c>
      <c r="AO50">
        <v>96.414199999999994</v>
      </c>
      <c r="AP50">
        <v>93.035700000000006</v>
      </c>
      <c r="AQ50">
        <v>91.815700000000007</v>
      </c>
      <c r="AR50">
        <v>89.597499999999997</v>
      </c>
      <c r="AS50">
        <v>84.439899999999994</v>
      </c>
      <c r="AT50">
        <v>83.7042</v>
      </c>
      <c r="AU50">
        <v>78.758399999999995</v>
      </c>
      <c r="AV50">
        <v>4615.0779000000002</v>
      </c>
      <c r="AW50">
        <v>11750.1248</v>
      </c>
      <c r="AX50">
        <f t="shared" si="2"/>
        <v>556040.58079807996</v>
      </c>
      <c r="AY50">
        <f t="shared" si="3"/>
        <v>788025.6447494399</v>
      </c>
      <c r="AZ50">
        <f t="shared" si="4"/>
        <v>135919.56862400001</v>
      </c>
      <c r="BA50">
        <f t="shared" si="5"/>
        <v>0</v>
      </c>
      <c r="BB50">
        <f t="shared" si="6"/>
        <v>11750.1248</v>
      </c>
      <c r="BC50">
        <f t="shared" si="7"/>
        <v>0</v>
      </c>
      <c r="BD50">
        <f t="shared" si="8"/>
        <v>0</v>
      </c>
      <c r="BE50">
        <f t="shared" si="9"/>
        <v>0</v>
      </c>
      <c r="BF50">
        <f t="shared" si="10"/>
        <v>0</v>
      </c>
      <c r="BG50">
        <f t="shared" si="11"/>
        <v>4098.0737278800007</v>
      </c>
      <c r="BH50">
        <f t="shared" si="12"/>
        <v>4044.3346798800003</v>
      </c>
      <c r="BI50">
        <f t="shared" si="13"/>
        <v>3946.6265189999999</v>
      </c>
      <c r="BJ50">
        <f t="shared" si="14"/>
        <v>3719.4424911599999</v>
      </c>
      <c r="BK50">
        <f t="shared" si="15"/>
        <v>3687.0360832800002</v>
      </c>
      <c r="BL50">
        <f t="shared" si="16"/>
        <v>3469.1815065599999</v>
      </c>
    </row>
    <row r="51" spans="1:64">
      <c r="A51" t="str">
        <f t="shared" si="1"/>
        <v>05</v>
      </c>
      <c r="B51" t="s">
        <v>605</v>
      </c>
      <c r="C51" t="s">
        <v>620</v>
      </c>
      <c r="D51">
        <v>55</v>
      </c>
      <c r="E51">
        <v>2</v>
      </c>
      <c r="F51">
        <v>10</v>
      </c>
      <c r="G51">
        <v>2</v>
      </c>
      <c r="H51">
        <v>200</v>
      </c>
      <c r="I51" t="s">
        <v>607</v>
      </c>
      <c r="J51">
        <v>0.42599999999999999</v>
      </c>
      <c r="K51">
        <v>139.61940000000001</v>
      </c>
      <c r="L51">
        <v>4.0599999999999997E-2</v>
      </c>
      <c r="M51">
        <v>0.79949999999999999</v>
      </c>
      <c r="N51">
        <v>28.754799999999999</v>
      </c>
      <c r="O51">
        <v>88.667199999999994</v>
      </c>
      <c r="P51">
        <v>353.01639999999998</v>
      </c>
      <c r="Q51">
        <v>228.5454</v>
      </c>
      <c r="R51">
        <v>0.22009999999999999</v>
      </c>
      <c r="S51">
        <v>0.879</v>
      </c>
      <c r="T51">
        <v>9.5699999999999993E-2</v>
      </c>
      <c r="U51">
        <v>1.5699999999999999E-2</v>
      </c>
      <c r="V51">
        <v>0.47599999999999998</v>
      </c>
      <c r="W51">
        <v>11.598000000000001</v>
      </c>
      <c r="X51">
        <v>25.4451</v>
      </c>
      <c r="Y51">
        <v>22.561399999999999</v>
      </c>
      <c r="Z51">
        <v>24.395099999999999</v>
      </c>
      <c r="AA51">
        <v>78.461399999999998</v>
      </c>
      <c r="AB51">
        <v>8.8795999999999999</v>
      </c>
      <c r="AC51">
        <v>47.545499999999997</v>
      </c>
      <c r="AD51">
        <v>49.942500000000003</v>
      </c>
      <c r="AE51">
        <v>0.73140000000000005</v>
      </c>
      <c r="AF51">
        <v>8166.7308000000003</v>
      </c>
      <c r="AG51">
        <v>66.670699999999997</v>
      </c>
      <c r="AH51">
        <v>0.68899999999999995</v>
      </c>
      <c r="AI51">
        <v>89.659400000000005</v>
      </c>
      <c r="AJ51">
        <v>73.2</v>
      </c>
      <c r="AK51">
        <v>82.611400000000003</v>
      </c>
      <c r="AL51">
        <v>1.5056</v>
      </c>
      <c r="AM51">
        <v>0.05</v>
      </c>
      <c r="AN51">
        <v>0</v>
      </c>
      <c r="AO51">
        <v>96.160300000000007</v>
      </c>
      <c r="AP51">
        <v>93.006299999999996</v>
      </c>
      <c r="AQ51">
        <v>91.753699999999995</v>
      </c>
      <c r="AR51">
        <v>89.490600000000001</v>
      </c>
      <c r="AS51">
        <v>83.702100000000002</v>
      </c>
      <c r="AT51">
        <v>82.841700000000003</v>
      </c>
      <c r="AU51">
        <v>77.447299999999998</v>
      </c>
      <c r="AV51">
        <v>2343.75</v>
      </c>
      <c r="AW51">
        <v>5973.3734000000004</v>
      </c>
      <c r="AX51">
        <f t="shared" si="2"/>
        <v>284007.0249897</v>
      </c>
      <c r="AY51">
        <f t="shared" si="3"/>
        <v>398248.98593938001</v>
      </c>
      <c r="AZ51">
        <f t="shared" si="4"/>
        <v>69279.184693200004</v>
      </c>
      <c r="BA51">
        <f t="shared" si="5"/>
        <v>0</v>
      </c>
      <c r="BB51">
        <f t="shared" si="6"/>
        <v>5973.3734000000004</v>
      </c>
      <c r="BC51">
        <f t="shared" si="7"/>
        <v>0</v>
      </c>
      <c r="BD51">
        <f t="shared" si="8"/>
        <v>0</v>
      </c>
      <c r="BE51">
        <f t="shared" si="9"/>
        <v>0</v>
      </c>
      <c r="BF51">
        <f t="shared" si="10"/>
        <v>0</v>
      </c>
      <c r="BG51">
        <f t="shared" si="11"/>
        <v>2366.5546041299999</v>
      </c>
      <c r="BH51">
        <f t="shared" si="12"/>
        <v>2334.6820718700001</v>
      </c>
      <c r="BI51">
        <f t="shared" si="13"/>
        <v>2277.09726606</v>
      </c>
      <c r="BJ51">
        <f t="shared" si="14"/>
        <v>2129.8083047099999</v>
      </c>
      <c r="BK51">
        <f t="shared" si="15"/>
        <v>2107.9153406700002</v>
      </c>
      <c r="BL51">
        <f t="shared" si="16"/>
        <v>1970.6542932299999</v>
      </c>
    </row>
    <row r="52" spans="1:64">
      <c r="A52" t="str">
        <f t="shared" si="1"/>
        <v>06</v>
      </c>
      <c r="B52" t="s">
        <v>605</v>
      </c>
      <c r="C52" t="s">
        <v>621</v>
      </c>
      <c r="D52">
        <v>55</v>
      </c>
      <c r="E52">
        <v>1</v>
      </c>
      <c r="F52">
        <v>6</v>
      </c>
      <c r="G52">
        <v>2</v>
      </c>
      <c r="H52">
        <v>100</v>
      </c>
      <c r="I52" t="s">
        <v>607</v>
      </c>
      <c r="J52">
        <v>0.53510000000000002</v>
      </c>
      <c r="K52">
        <v>131.22739999999999</v>
      </c>
      <c r="L52">
        <v>4.5999999999999999E-2</v>
      </c>
      <c r="M52">
        <v>0.8851</v>
      </c>
      <c r="N52">
        <v>32.067399999999999</v>
      </c>
      <c r="O52">
        <v>88.159000000000006</v>
      </c>
      <c r="P52">
        <v>387.4665</v>
      </c>
      <c r="Q52">
        <v>245.79140000000001</v>
      </c>
      <c r="R52">
        <v>0.25729999999999997</v>
      </c>
      <c r="S52">
        <v>1.0049999999999999</v>
      </c>
      <c r="T52">
        <v>0.25230000000000002</v>
      </c>
      <c r="U52">
        <v>1.0800000000000001E-2</v>
      </c>
      <c r="V52">
        <v>0.59660000000000002</v>
      </c>
      <c r="W52">
        <v>11.7379</v>
      </c>
      <c r="X52">
        <v>423.71530000000001</v>
      </c>
      <c r="Y52">
        <v>373.59070000000003</v>
      </c>
      <c r="Z52">
        <v>392.62040000000002</v>
      </c>
      <c r="AA52">
        <v>1163.4813999999999</v>
      </c>
      <c r="AB52">
        <v>10.6005</v>
      </c>
      <c r="AC52">
        <v>51.637300000000003</v>
      </c>
      <c r="AD52">
        <v>49.012700000000002</v>
      </c>
      <c r="AE52">
        <v>8.9443000000000001</v>
      </c>
      <c r="AF52">
        <v>8630.1687000000002</v>
      </c>
      <c r="AG52">
        <v>66.485100000000003</v>
      </c>
      <c r="AH52">
        <v>8.4321000000000002</v>
      </c>
      <c r="AI52">
        <v>89.504300000000001</v>
      </c>
      <c r="AJ52">
        <v>73.2</v>
      </c>
      <c r="AK52">
        <v>82.288399999999996</v>
      </c>
      <c r="AL52">
        <v>1.4699</v>
      </c>
      <c r="AM52">
        <v>0.05</v>
      </c>
      <c r="AN52">
        <v>6.1999999999999998E-3</v>
      </c>
      <c r="AO52">
        <v>93.565100000000001</v>
      </c>
      <c r="AP52">
        <v>93.3489</v>
      </c>
      <c r="AQ52">
        <v>92.019800000000004</v>
      </c>
      <c r="AR52">
        <v>89.912499999999994</v>
      </c>
      <c r="AS52">
        <v>84.130300000000005</v>
      </c>
      <c r="AT52">
        <v>83.171199999999999</v>
      </c>
      <c r="AU52">
        <v>77.624600000000001</v>
      </c>
      <c r="AV52">
        <v>30244.511900000001</v>
      </c>
      <c r="AW52">
        <v>77188.276599999997</v>
      </c>
      <c r="AX52">
        <f t="shared" si="2"/>
        <v>3985794.1952771801</v>
      </c>
      <c r="AY52">
        <f t="shared" si="3"/>
        <v>5131870.2885786602</v>
      </c>
      <c r="AZ52">
        <f t="shared" si="4"/>
        <v>906028.27190314</v>
      </c>
      <c r="BA52">
        <f t="shared" si="5"/>
        <v>77188.276599999997</v>
      </c>
      <c r="BB52">
        <f t="shared" si="6"/>
        <v>0</v>
      </c>
      <c r="BC52">
        <f t="shared" si="7"/>
        <v>0</v>
      </c>
      <c r="BD52">
        <f t="shared" si="8"/>
        <v>0</v>
      </c>
      <c r="BE52">
        <f t="shared" si="9"/>
        <v>0</v>
      </c>
      <c r="BF52">
        <f t="shared" si="10"/>
        <v>0</v>
      </c>
      <c r="BG52">
        <f t="shared" si="11"/>
        <v>39553.357168170005</v>
      </c>
      <c r="BH52">
        <f t="shared" si="12"/>
        <v>38990.19716294</v>
      </c>
      <c r="BI52">
        <f t="shared" si="13"/>
        <v>38097.301911249997</v>
      </c>
      <c r="BJ52">
        <f t="shared" si="14"/>
        <v>35647.295303590006</v>
      </c>
      <c r="BK52">
        <f t="shared" si="15"/>
        <v>35240.909959360004</v>
      </c>
      <c r="BL52">
        <f t="shared" si="16"/>
        <v>32890.730676380001</v>
      </c>
    </row>
    <row r="53" spans="1:64">
      <c r="A53" t="str">
        <f t="shared" si="1"/>
        <v>06</v>
      </c>
      <c r="B53" t="s">
        <v>605</v>
      </c>
      <c r="C53" t="s">
        <v>621</v>
      </c>
      <c r="D53">
        <v>55</v>
      </c>
      <c r="E53">
        <v>1</v>
      </c>
      <c r="F53">
        <v>6</v>
      </c>
      <c r="G53">
        <v>2</v>
      </c>
      <c r="H53">
        <v>200</v>
      </c>
      <c r="I53" t="s">
        <v>617</v>
      </c>
      <c r="J53">
        <v>0.38629999999999998</v>
      </c>
      <c r="K53">
        <v>144.9667</v>
      </c>
      <c r="L53">
        <v>4.0599999999999997E-2</v>
      </c>
      <c r="M53">
        <v>0.54790000000000005</v>
      </c>
      <c r="N53">
        <v>28.470300000000002</v>
      </c>
      <c r="O53">
        <v>87.667100000000005</v>
      </c>
      <c r="P53">
        <v>363.7253</v>
      </c>
      <c r="Q53">
        <v>246.29900000000001</v>
      </c>
      <c r="R53">
        <v>0.23419999999999999</v>
      </c>
      <c r="S53">
        <v>0.99609999999999999</v>
      </c>
      <c r="T53">
        <v>9.3600000000000003E-2</v>
      </c>
      <c r="U53">
        <v>1.55E-2</v>
      </c>
      <c r="V53">
        <v>0.43890000000000001</v>
      </c>
      <c r="W53">
        <v>11.7293</v>
      </c>
      <c r="X53">
        <v>14.367699999999999</v>
      </c>
      <c r="Y53">
        <v>12.595700000000001</v>
      </c>
      <c r="Z53">
        <v>13.8552</v>
      </c>
      <c r="AA53">
        <v>44.303600000000003</v>
      </c>
      <c r="AB53">
        <v>9.3842999999999996</v>
      </c>
      <c r="AC53">
        <v>51.875300000000003</v>
      </c>
      <c r="AD53">
        <v>49.865200000000002</v>
      </c>
      <c r="AE53">
        <v>0.4304</v>
      </c>
      <c r="AF53">
        <v>8641.6553999999996</v>
      </c>
      <c r="AG53">
        <v>66.924300000000002</v>
      </c>
      <c r="AH53">
        <v>0.4466</v>
      </c>
      <c r="AI53">
        <v>89.752200000000002</v>
      </c>
      <c r="AJ53">
        <v>73.2</v>
      </c>
      <c r="AK53">
        <v>82.806100000000001</v>
      </c>
      <c r="AL53">
        <v>1.5024999999999999</v>
      </c>
      <c r="AM53">
        <v>0.05</v>
      </c>
      <c r="AN53">
        <v>0</v>
      </c>
      <c r="AO53">
        <v>93.7333</v>
      </c>
      <c r="AP53">
        <v>92.843199999999996</v>
      </c>
      <c r="AQ53">
        <v>91.4435</v>
      </c>
      <c r="AR53">
        <v>89.0672</v>
      </c>
      <c r="AS53">
        <v>82.936099999999996</v>
      </c>
      <c r="AT53">
        <v>81.934600000000003</v>
      </c>
      <c r="AU53">
        <v>76.284199999999998</v>
      </c>
      <c r="AV53">
        <v>1450.2226000000001</v>
      </c>
      <c r="AW53">
        <v>3719.7703000000001</v>
      </c>
      <c r="AX53">
        <f t="shared" si="2"/>
        <v>192964.20024359002</v>
      </c>
      <c r="AY53">
        <f t="shared" si="3"/>
        <v>248943.02348829003</v>
      </c>
      <c r="AZ53">
        <f t="shared" si="4"/>
        <v>43630.301779790003</v>
      </c>
      <c r="BA53">
        <f t="shared" si="5"/>
        <v>3719.7703000000001</v>
      </c>
      <c r="BB53">
        <f t="shared" si="6"/>
        <v>0</v>
      </c>
      <c r="BC53">
        <f t="shared" si="7"/>
        <v>0</v>
      </c>
      <c r="BD53">
        <f t="shared" si="8"/>
        <v>0</v>
      </c>
      <c r="BE53">
        <f t="shared" si="9"/>
        <v>0</v>
      </c>
      <c r="BF53">
        <f t="shared" si="10"/>
        <v>0</v>
      </c>
      <c r="BG53">
        <f t="shared" si="11"/>
        <v>1333.9432446399999</v>
      </c>
      <c r="BH53">
        <f t="shared" si="12"/>
        <v>1313.8327749499999</v>
      </c>
      <c r="BI53">
        <f t="shared" si="13"/>
        <v>1279.6908094399998</v>
      </c>
      <c r="BJ53">
        <f t="shared" si="14"/>
        <v>1191.60100397</v>
      </c>
      <c r="BK53">
        <f t="shared" si="15"/>
        <v>1177.21175242</v>
      </c>
      <c r="BL53">
        <f t="shared" si="16"/>
        <v>1096.0285003399999</v>
      </c>
    </row>
    <row r="54" spans="1:64">
      <c r="A54" t="str">
        <f t="shared" si="1"/>
        <v>06</v>
      </c>
      <c r="B54" t="s">
        <v>605</v>
      </c>
      <c r="C54" t="s">
        <v>621</v>
      </c>
      <c r="D54">
        <v>55</v>
      </c>
      <c r="E54">
        <v>2</v>
      </c>
      <c r="F54">
        <v>10</v>
      </c>
      <c r="G54">
        <v>2</v>
      </c>
      <c r="H54">
        <v>200</v>
      </c>
      <c r="I54" t="s">
        <v>617</v>
      </c>
      <c r="J54">
        <v>0.36309999999999998</v>
      </c>
      <c r="K54">
        <v>149.7543</v>
      </c>
      <c r="L54">
        <v>4.0800000000000003E-2</v>
      </c>
      <c r="M54">
        <v>0.60919999999999996</v>
      </c>
      <c r="N54">
        <v>29.833100000000002</v>
      </c>
      <c r="O54">
        <v>88.377600000000001</v>
      </c>
      <c r="P54">
        <v>356.45100000000002</v>
      </c>
      <c r="Q54">
        <v>228.73750000000001</v>
      </c>
      <c r="R54">
        <v>0.2137</v>
      </c>
      <c r="S54">
        <v>1.1924999999999999</v>
      </c>
      <c r="T54">
        <v>0.1113</v>
      </c>
      <c r="U54">
        <v>2.0400000000000001E-2</v>
      </c>
      <c r="V54">
        <v>0.41720000000000002</v>
      </c>
      <c r="W54">
        <v>11.6196</v>
      </c>
      <c r="X54">
        <v>4.7100000000000003E-2</v>
      </c>
      <c r="Y54">
        <v>4.1599999999999998E-2</v>
      </c>
      <c r="Z54">
        <v>4.6300000000000001E-2</v>
      </c>
      <c r="AA54">
        <v>0.13950000000000001</v>
      </c>
      <c r="AB54">
        <v>4.6139999999999999</v>
      </c>
      <c r="AC54">
        <v>47.545499999999997</v>
      </c>
      <c r="AD54">
        <v>49.743200000000002</v>
      </c>
      <c r="AE54">
        <v>1.6000000000000001E-3</v>
      </c>
      <c r="AF54">
        <v>8162.3581000000004</v>
      </c>
      <c r="AG54">
        <v>66.8613</v>
      </c>
      <c r="AH54">
        <v>1.6000000000000001E-3</v>
      </c>
      <c r="AI54">
        <v>89.836799999999997</v>
      </c>
      <c r="AJ54">
        <v>73.2</v>
      </c>
      <c r="AK54">
        <v>82.983400000000003</v>
      </c>
      <c r="AL54">
        <v>1.5222</v>
      </c>
      <c r="AM54">
        <v>0.05</v>
      </c>
      <c r="AN54">
        <v>0</v>
      </c>
      <c r="AO54">
        <v>96.255799999999994</v>
      </c>
      <c r="AP54">
        <v>92.773899999999998</v>
      </c>
      <c r="AQ54">
        <v>91.387</v>
      </c>
      <c r="AR54">
        <v>89.039500000000004</v>
      </c>
      <c r="AS54">
        <v>82.959100000000007</v>
      </c>
      <c r="AT54">
        <v>81.962400000000002</v>
      </c>
      <c r="AU54">
        <v>76.311700000000002</v>
      </c>
      <c r="AV54">
        <v>5.0930999999999997</v>
      </c>
      <c r="AW54">
        <v>12.966900000000001</v>
      </c>
      <c r="AX54">
        <f t="shared" si="2"/>
        <v>616.51774394999995</v>
      </c>
      <c r="AY54">
        <f t="shared" si="3"/>
        <v>866.98379097000009</v>
      </c>
      <c r="AZ54">
        <f t="shared" si="4"/>
        <v>150.67019124000001</v>
      </c>
      <c r="BA54">
        <f t="shared" si="5"/>
        <v>0</v>
      </c>
      <c r="BB54">
        <f t="shared" si="6"/>
        <v>12.966900000000001</v>
      </c>
      <c r="BC54">
        <f t="shared" si="7"/>
        <v>0</v>
      </c>
      <c r="BD54">
        <f t="shared" si="8"/>
        <v>0</v>
      </c>
      <c r="BE54">
        <f t="shared" si="9"/>
        <v>0</v>
      </c>
      <c r="BF54">
        <f t="shared" si="10"/>
        <v>0</v>
      </c>
      <c r="BG54">
        <f t="shared" si="11"/>
        <v>4.3696506900000003</v>
      </c>
      <c r="BH54">
        <f t="shared" si="12"/>
        <v>4.3043277</v>
      </c>
      <c r="BI54">
        <f t="shared" si="13"/>
        <v>4.1937604500000001</v>
      </c>
      <c r="BJ54">
        <f t="shared" si="14"/>
        <v>3.9073736100000005</v>
      </c>
      <c r="BK54">
        <f t="shared" si="15"/>
        <v>3.8604290400000005</v>
      </c>
      <c r="BL54">
        <f t="shared" si="16"/>
        <v>3.5942810700000005</v>
      </c>
    </row>
    <row r="55" spans="1:64">
      <c r="A55" t="str">
        <f t="shared" si="1"/>
        <v>07</v>
      </c>
      <c r="B55" t="s">
        <v>605</v>
      </c>
      <c r="C55" t="s">
        <v>622</v>
      </c>
      <c r="D55">
        <v>55</v>
      </c>
      <c r="E55">
        <v>1</v>
      </c>
      <c r="F55">
        <v>6</v>
      </c>
      <c r="G55">
        <v>2</v>
      </c>
      <c r="H55">
        <v>100</v>
      </c>
      <c r="I55" t="s">
        <v>607</v>
      </c>
      <c r="J55">
        <v>0.58679999999999999</v>
      </c>
      <c r="K55">
        <v>114.91849999999999</v>
      </c>
      <c r="L55">
        <v>3.95E-2</v>
      </c>
      <c r="M55">
        <v>0.87549999999999994</v>
      </c>
      <c r="N55">
        <v>31.719799999999999</v>
      </c>
      <c r="O55">
        <v>87.971400000000003</v>
      </c>
      <c r="P55">
        <v>361.39620000000002</v>
      </c>
      <c r="Q55">
        <v>240.44499999999999</v>
      </c>
      <c r="R55">
        <v>0.28739999999999999</v>
      </c>
      <c r="S55">
        <v>1.1853</v>
      </c>
      <c r="T55">
        <v>0.27360000000000001</v>
      </c>
      <c r="U55">
        <v>9.1000000000000004E-3</v>
      </c>
      <c r="V55">
        <v>0.66969999999999996</v>
      </c>
      <c r="W55">
        <v>11.7683</v>
      </c>
      <c r="X55">
        <v>210.9579</v>
      </c>
      <c r="Y55">
        <v>185.62139999999999</v>
      </c>
      <c r="Z55">
        <v>190.7116</v>
      </c>
      <c r="AA55">
        <v>585.13530000000003</v>
      </c>
      <c r="AB55">
        <v>12.7811</v>
      </c>
      <c r="AC55">
        <v>49.696100000000001</v>
      </c>
      <c r="AD55">
        <v>53.196399999999997</v>
      </c>
      <c r="AE55">
        <v>3.9405999999999999</v>
      </c>
      <c r="AF55">
        <v>8497.7021999999997</v>
      </c>
      <c r="AG55">
        <v>64.4358</v>
      </c>
      <c r="AH55">
        <v>3.0432000000000001</v>
      </c>
      <c r="AI55">
        <v>89.084500000000006</v>
      </c>
      <c r="AJ55">
        <v>73.2</v>
      </c>
      <c r="AK55">
        <v>81.412000000000006</v>
      </c>
      <c r="AL55">
        <v>1.3431</v>
      </c>
      <c r="AM55">
        <v>0.05</v>
      </c>
      <c r="AN55">
        <v>7.1000000000000004E-3</v>
      </c>
      <c r="AO55">
        <v>92.961100000000002</v>
      </c>
      <c r="AP55">
        <v>92.865200000000002</v>
      </c>
      <c r="AQ55">
        <v>91.326300000000003</v>
      </c>
      <c r="AR55">
        <v>89.172799999999995</v>
      </c>
      <c r="AS55">
        <v>83.107100000000003</v>
      </c>
      <c r="AT55">
        <v>81.990600000000001</v>
      </c>
      <c r="AU55">
        <v>76.486800000000002</v>
      </c>
      <c r="AV55">
        <v>13188.656800000001</v>
      </c>
      <c r="AW55">
        <v>33484.739500000003</v>
      </c>
      <c r="AX55">
        <f t="shared" si="2"/>
        <v>1664060.9626659502</v>
      </c>
      <c r="AY55">
        <f t="shared" si="3"/>
        <v>2157615.9774741004</v>
      </c>
      <c r="AZ55">
        <f t="shared" si="4"/>
        <v>394058.45985785004</v>
      </c>
      <c r="BA55">
        <f t="shared" si="5"/>
        <v>33484.739500000003</v>
      </c>
      <c r="BB55">
        <f t="shared" si="6"/>
        <v>0</v>
      </c>
      <c r="BC55">
        <f t="shared" si="7"/>
        <v>0</v>
      </c>
      <c r="BD55">
        <f t="shared" si="8"/>
        <v>0</v>
      </c>
      <c r="BE55">
        <f t="shared" si="9"/>
        <v>0</v>
      </c>
      <c r="BF55">
        <f t="shared" si="10"/>
        <v>0</v>
      </c>
      <c r="BG55">
        <f t="shared" si="11"/>
        <v>19590.647575079998</v>
      </c>
      <c r="BH55">
        <f t="shared" si="12"/>
        <v>19266.004462770001</v>
      </c>
      <c r="BI55">
        <f t="shared" si="13"/>
        <v>18811.706625119998</v>
      </c>
      <c r="BJ55">
        <f t="shared" si="14"/>
        <v>17532.099291089999</v>
      </c>
      <c r="BK55">
        <f t="shared" si="15"/>
        <v>17296.56479574</v>
      </c>
      <c r="BL55">
        <f t="shared" si="16"/>
        <v>16135.494705720001</v>
      </c>
    </row>
    <row r="56" spans="1:64">
      <c r="A56" t="str">
        <f t="shared" si="1"/>
        <v>07</v>
      </c>
      <c r="B56" t="s">
        <v>605</v>
      </c>
      <c r="C56" t="s">
        <v>622</v>
      </c>
      <c r="D56">
        <v>55</v>
      </c>
      <c r="E56">
        <v>1</v>
      </c>
      <c r="F56">
        <v>6</v>
      </c>
      <c r="G56">
        <v>2</v>
      </c>
      <c r="H56">
        <v>200</v>
      </c>
      <c r="I56" t="s">
        <v>607</v>
      </c>
      <c r="J56">
        <v>0.42930000000000001</v>
      </c>
      <c r="K56">
        <v>187.36080000000001</v>
      </c>
      <c r="L56">
        <v>4.1099999999999998E-2</v>
      </c>
      <c r="M56">
        <v>0.83189999999999997</v>
      </c>
      <c r="N56">
        <v>28.0046</v>
      </c>
      <c r="O56">
        <v>88.710999999999999</v>
      </c>
      <c r="P56">
        <v>336.41480000000001</v>
      </c>
      <c r="Q56">
        <v>228.43029999999999</v>
      </c>
      <c r="R56">
        <v>0.3029</v>
      </c>
      <c r="S56">
        <v>0.86080000000000001</v>
      </c>
      <c r="T56">
        <v>0.12520000000000001</v>
      </c>
      <c r="U56">
        <v>3.0200000000000001E-2</v>
      </c>
      <c r="V56">
        <v>0.47060000000000002</v>
      </c>
      <c r="W56">
        <v>11.222</v>
      </c>
      <c r="X56">
        <v>3.7913000000000001</v>
      </c>
      <c r="Y56">
        <v>3.3633000000000002</v>
      </c>
      <c r="Z56">
        <v>3.7928000000000002</v>
      </c>
      <c r="AA56">
        <v>12.0097</v>
      </c>
      <c r="AB56">
        <v>14.018599999999999</v>
      </c>
      <c r="AC56">
        <v>49.654400000000003</v>
      </c>
      <c r="AD56">
        <v>55.233899999999998</v>
      </c>
      <c r="AE56">
        <v>0.1142</v>
      </c>
      <c r="AF56">
        <v>8216.1329000000005</v>
      </c>
      <c r="AG56">
        <v>76.4666</v>
      </c>
      <c r="AH56">
        <v>0.14369999999999999</v>
      </c>
      <c r="AI56">
        <v>90.335499999999996</v>
      </c>
      <c r="AJ56">
        <v>73.2</v>
      </c>
      <c r="AK56">
        <v>84.033600000000007</v>
      </c>
      <c r="AL56">
        <v>1.5027999999999999</v>
      </c>
      <c r="AM56">
        <v>0.05</v>
      </c>
      <c r="AN56">
        <v>5.4999999999999997E-3</v>
      </c>
      <c r="AO56">
        <v>98.998699999999999</v>
      </c>
      <c r="AP56">
        <v>94.0428</v>
      </c>
      <c r="AQ56">
        <v>92.104900000000001</v>
      </c>
      <c r="AR56">
        <v>89.9499</v>
      </c>
      <c r="AS56">
        <v>83.475499999999997</v>
      </c>
      <c r="AT56">
        <v>81.850499999999997</v>
      </c>
      <c r="AU56">
        <v>76.936800000000005</v>
      </c>
      <c r="AV56">
        <v>368.38319999999999</v>
      </c>
      <c r="AW56">
        <v>937.9751</v>
      </c>
      <c r="AX56">
        <f t="shared" si="2"/>
        <v>46574.590805439999</v>
      </c>
      <c r="AY56">
        <f t="shared" si="3"/>
        <v>71723.766781660001</v>
      </c>
      <c r="AZ56">
        <f t="shared" si="4"/>
        <v>10525.956572199999</v>
      </c>
      <c r="BA56">
        <f t="shared" si="5"/>
        <v>937.9751</v>
      </c>
      <c r="BB56">
        <f t="shared" si="6"/>
        <v>0</v>
      </c>
      <c r="BC56">
        <f t="shared" si="7"/>
        <v>0</v>
      </c>
      <c r="BD56">
        <f t="shared" si="8"/>
        <v>0</v>
      </c>
      <c r="BE56">
        <f t="shared" si="9"/>
        <v>0</v>
      </c>
      <c r="BF56">
        <f t="shared" si="10"/>
        <v>0</v>
      </c>
      <c r="BG56">
        <f t="shared" si="11"/>
        <v>356.54446763999999</v>
      </c>
      <c r="BH56">
        <f t="shared" si="12"/>
        <v>349.19730737000003</v>
      </c>
      <c r="BI56">
        <f t="shared" si="13"/>
        <v>341.02705587000003</v>
      </c>
      <c r="BJ56">
        <f t="shared" si="14"/>
        <v>316.48066315</v>
      </c>
      <c r="BK56">
        <f t="shared" si="15"/>
        <v>310.31980064999999</v>
      </c>
      <c r="BL56">
        <f t="shared" si="16"/>
        <v>291.69048984000005</v>
      </c>
    </row>
    <row r="57" spans="1:64">
      <c r="A57" t="str">
        <f t="shared" si="1"/>
        <v>07</v>
      </c>
      <c r="B57" t="s">
        <v>605</v>
      </c>
      <c r="C57" t="s">
        <v>622</v>
      </c>
      <c r="D57">
        <v>55</v>
      </c>
      <c r="E57">
        <v>1</v>
      </c>
      <c r="F57">
        <v>6</v>
      </c>
      <c r="G57">
        <v>4</v>
      </c>
      <c r="H57">
        <v>200</v>
      </c>
      <c r="I57" t="s">
        <v>609</v>
      </c>
      <c r="J57">
        <v>0.3488</v>
      </c>
      <c r="K57">
        <v>319.97669999999999</v>
      </c>
      <c r="L57">
        <v>5.62E-2</v>
      </c>
      <c r="M57">
        <v>1.1534</v>
      </c>
      <c r="N57">
        <v>33.865499999999997</v>
      </c>
      <c r="O57">
        <v>88.524900000000002</v>
      </c>
      <c r="P57">
        <v>341.6157</v>
      </c>
      <c r="Q57">
        <v>227.69470000000001</v>
      </c>
      <c r="R57">
        <v>4.2500000000000003E-2</v>
      </c>
      <c r="S57">
        <v>0.98199999999999998</v>
      </c>
      <c r="T57">
        <v>0.1143</v>
      </c>
      <c r="U57">
        <v>3.6400000000000002E-2</v>
      </c>
      <c r="V57">
        <v>0.4194</v>
      </c>
      <c r="W57">
        <v>11.356400000000001</v>
      </c>
      <c r="X57">
        <v>0.7722</v>
      </c>
      <c r="Y57">
        <v>0.68359999999999999</v>
      </c>
      <c r="Z57">
        <v>0.92259999999999998</v>
      </c>
      <c r="AA57">
        <v>2.0184000000000002</v>
      </c>
      <c r="AB57">
        <v>108.6259</v>
      </c>
      <c r="AC57">
        <v>48.95</v>
      </c>
      <c r="AD57">
        <v>53.3842</v>
      </c>
      <c r="AE57">
        <v>3.1399999999999997E-2</v>
      </c>
      <c r="AF57">
        <v>8148.0015999999996</v>
      </c>
      <c r="AG57">
        <v>76.578599999999994</v>
      </c>
      <c r="AH57">
        <v>6.9099999999999995E-2</v>
      </c>
      <c r="AI57">
        <v>91.685699999999997</v>
      </c>
      <c r="AJ57">
        <v>73.2</v>
      </c>
      <c r="AK57">
        <v>86.909599999999998</v>
      </c>
      <c r="AL57">
        <v>1.4265000000000001</v>
      </c>
      <c r="AM57">
        <v>0.05</v>
      </c>
      <c r="AN57">
        <v>5.0000000000000001E-3</v>
      </c>
      <c r="AO57">
        <v>99.217299999999994</v>
      </c>
      <c r="AP57">
        <v>93.963200000000001</v>
      </c>
      <c r="AQ57">
        <v>92.029200000000003</v>
      </c>
      <c r="AR57">
        <v>89.547899999999998</v>
      </c>
      <c r="AS57">
        <v>82.839200000000005</v>
      </c>
      <c r="AT57">
        <v>81.324600000000004</v>
      </c>
      <c r="AU57">
        <v>76.281999999999996</v>
      </c>
      <c r="AV57">
        <v>100.78700000000001</v>
      </c>
      <c r="AW57">
        <v>255.65969999999999</v>
      </c>
      <c r="AX57">
        <f t="shared" si="2"/>
        <v>12514.542315000001</v>
      </c>
      <c r="AY57">
        <f t="shared" si="3"/>
        <v>19578.061902419999</v>
      </c>
      <c r="AZ57">
        <f t="shared" si="4"/>
        <v>2903.3738170800002</v>
      </c>
      <c r="BA57">
        <f t="shared" si="5"/>
        <v>255.65969999999999</v>
      </c>
      <c r="BB57">
        <f t="shared" si="6"/>
        <v>0</v>
      </c>
      <c r="BC57">
        <f t="shared" si="7"/>
        <v>0</v>
      </c>
      <c r="BD57">
        <f t="shared" si="8"/>
        <v>0</v>
      </c>
      <c r="BE57">
        <f t="shared" si="9"/>
        <v>0</v>
      </c>
      <c r="BF57">
        <f t="shared" si="10"/>
        <v>0</v>
      </c>
      <c r="BG57">
        <f t="shared" si="11"/>
        <v>72.558383039999995</v>
      </c>
      <c r="BH57">
        <f t="shared" si="12"/>
        <v>71.064948240000007</v>
      </c>
      <c r="BI57">
        <f t="shared" si="13"/>
        <v>69.148888380000002</v>
      </c>
      <c r="BJ57">
        <f t="shared" si="14"/>
        <v>63.968430240000004</v>
      </c>
      <c r="BK57">
        <f t="shared" si="15"/>
        <v>62.798856120000004</v>
      </c>
      <c r="BL57">
        <f t="shared" si="16"/>
        <v>58.9049604</v>
      </c>
    </row>
    <row r="58" spans="1:64">
      <c r="A58" t="str">
        <f t="shared" si="1"/>
        <v>07</v>
      </c>
      <c r="B58" t="s">
        <v>605</v>
      </c>
      <c r="C58" t="s">
        <v>622</v>
      </c>
      <c r="D58">
        <v>55</v>
      </c>
      <c r="E58">
        <v>1</v>
      </c>
      <c r="F58">
        <v>6</v>
      </c>
      <c r="G58">
        <v>4</v>
      </c>
      <c r="H58">
        <v>200</v>
      </c>
      <c r="I58" t="s">
        <v>607</v>
      </c>
      <c r="J58">
        <v>0.37330000000000002</v>
      </c>
      <c r="K58">
        <v>275.18349999999998</v>
      </c>
      <c r="L58">
        <v>4.1099999999999998E-2</v>
      </c>
      <c r="M58">
        <v>0.83189999999999997</v>
      </c>
      <c r="N58">
        <v>33.248399999999997</v>
      </c>
      <c r="O58">
        <v>88.712900000000005</v>
      </c>
      <c r="P58">
        <v>342.43639999999999</v>
      </c>
      <c r="Q58">
        <v>226.8416</v>
      </c>
      <c r="R58">
        <v>8.1699999999999995E-2</v>
      </c>
      <c r="S58">
        <v>0.89549999999999996</v>
      </c>
      <c r="T58">
        <v>0.11990000000000001</v>
      </c>
      <c r="U58">
        <v>3.2199999999999999E-2</v>
      </c>
      <c r="V58">
        <v>0.497</v>
      </c>
      <c r="W58">
        <v>11.272</v>
      </c>
      <c r="X58">
        <v>26.812000000000001</v>
      </c>
      <c r="Y58">
        <v>23.789100000000001</v>
      </c>
      <c r="Z58">
        <v>30.976099999999999</v>
      </c>
      <c r="AA58">
        <v>72.114599999999996</v>
      </c>
      <c r="AB58">
        <v>39.759300000000003</v>
      </c>
      <c r="AC58">
        <v>49.004300000000001</v>
      </c>
      <c r="AD58">
        <v>54.626899999999999</v>
      </c>
      <c r="AE58">
        <v>0.88690000000000002</v>
      </c>
      <c r="AF58">
        <v>8154.7115000000003</v>
      </c>
      <c r="AG58">
        <v>76.502399999999994</v>
      </c>
      <c r="AH58">
        <v>2.1063000000000001</v>
      </c>
      <c r="AI58">
        <v>91.810199999999995</v>
      </c>
      <c r="AJ58">
        <v>73.2</v>
      </c>
      <c r="AK58">
        <v>87.181100000000001</v>
      </c>
      <c r="AL58">
        <v>1.4468000000000001</v>
      </c>
      <c r="AM58">
        <v>0.05</v>
      </c>
      <c r="AN58">
        <v>5.5999999999999999E-3</v>
      </c>
      <c r="AO58">
        <v>99.166499999999999</v>
      </c>
      <c r="AP58">
        <v>94.124600000000001</v>
      </c>
      <c r="AQ58">
        <v>92.169799999999995</v>
      </c>
      <c r="AR58">
        <v>89.834100000000007</v>
      </c>
      <c r="AS58">
        <v>83.231899999999996</v>
      </c>
      <c r="AT58">
        <v>81.622600000000006</v>
      </c>
      <c r="AU58">
        <v>76.770700000000005</v>
      </c>
      <c r="AV58">
        <v>2833.712</v>
      </c>
      <c r="AW58">
        <v>7232.1527999999998</v>
      </c>
      <c r="AX58">
        <f t="shared" si="2"/>
        <v>354406.58545704</v>
      </c>
      <c r="AY58">
        <f t="shared" si="3"/>
        <v>553277.04636671999</v>
      </c>
      <c r="AZ58">
        <f t="shared" si="4"/>
        <v>81520.826361600004</v>
      </c>
      <c r="BA58">
        <f t="shared" si="5"/>
        <v>7232.1527999999998</v>
      </c>
      <c r="BB58">
        <f t="shared" si="6"/>
        <v>0</v>
      </c>
      <c r="BC58">
        <f t="shared" si="7"/>
        <v>0</v>
      </c>
      <c r="BD58">
        <f t="shared" si="8"/>
        <v>0</v>
      </c>
      <c r="BE58">
        <f t="shared" si="9"/>
        <v>0</v>
      </c>
      <c r="BF58">
        <f t="shared" si="10"/>
        <v>0</v>
      </c>
      <c r="BG58">
        <f t="shared" si="11"/>
        <v>2523.6687752000003</v>
      </c>
      <c r="BH58">
        <f t="shared" si="12"/>
        <v>2471.2566775999999</v>
      </c>
      <c r="BI58">
        <f t="shared" si="13"/>
        <v>2408.6318892000004</v>
      </c>
      <c r="BJ58">
        <f t="shared" si="14"/>
        <v>2231.6137027999998</v>
      </c>
      <c r="BK58">
        <f t="shared" si="15"/>
        <v>2188.4651512</v>
      </c>
      <c r="BL58">
        <f t="shared" si="16"/>
        <v>2058.3760084</v>
      </c>
    </row>
    <row r="59" spans="1:64">
      <c r="A59" t="str">
        <f t="shared" si="1"/>
        <v>07</v>
      </c>
      <c r="B59" t="s">
        <v>605</v>
      </c>
      <c r="C59" t="s">
        <v>622</v>
      </c>
      <c r="D59">
        <v>66</v>
      </c>
      <c r="E59">
        <v>3</v>
      </c>
      <c r="F59">
        <v>6</v>
      </c>
      <c r="G59">
        <v>2</v>
      </c>
      <c r="H59">
        <v>200</v>
      </c>
      <c r="I59" t="s">
        <v>617</v>
      </c>
      <c r="J59">
        <v>0.37459999999999999</v>
      </c>
      <c r="K59">
        <v>116.32340000000001</v>
      </c>
      <c r="L59">
        <v>3.2599999999999997E-2</v>
      </c>
      <c r="M59">
        <v>1.0663</v>
      </c>
      <c r="N59">
        <v>34.008600000000001</v>
      </c>
      <c r="O59">
        <v>90.302599999999998</v>
      </c>
      <c r="P59">
        <v>353.18119999999999</v>
      </c>
      <c r="Q59">
        <v>207.51509999999999</v>
      </c>
      <c r="R59">
        <v>4.0500000000000001E-2</v>
      </c>
      <c r="S59">
        <v>0.89910000000000001</v>
      </c>
      <c r="T59">
        <v>7.9200000000000007E-2</v>
      </c>
      <c r="U59">
        <v>0.1467</v>
      </c>
      <c r="V59">
        <v>0.41499999999999998</v>
      </c>
      <c r="W59">
        <v>12.789</v>
      </c>
      <c r="X59">
        <v>10.662800000000001</v>
      </c>
      <c r="Y59">
        <v>9.6288</v>
      </c>
      <c r="Z59">
        <v>10.321099999999999</v>
      </c>
      <c r="AA59">
        <v>28.312799999999999</v>
      </c>
      <c r="AB59">
        <v>16.1219</v>
      </c>
      <c r="AC59">
        <v>38.529400000000003</v>
      </c>
      <c r="AD59">
        <v>86.322900000000004</v>
      </c>
      <c r="AE59">
        <v>0.39410000000000001</v>
      </c>
      <c r="AF59">
        <v>7222.2885999999999</v>
      </c>
      <c r="AG59">
        <v>76.250799999999998</v>
      </c>
      <c r="AH59">
        <v>0.27029999999999998</v>
      </c>
      <c r="AI59">
        <v>89.197199999999995</v>
      </c>
      <c r="AJ59">
        <v>73.2</v>
      </c>
      <c r="AK59">
        <v>81.646199999999993</v>
      </c>
      <c r="AL59">
        <v>1.4292</v>
      </c>
      <c r="AM59">
        <v>0.05</v>
      </c>
      <c r="AN59">
        <v>0</v>
      </c>
      <c r="AO59">
        <v>96.981800000000007</v>
      </c>
      <c r="AP59">
        <v>95.086799999999997</v>
      </c>
      <c r="AQ59">
        <v>93.490700000000004</v>
      </c>
      <c r="AR59">
        <v>91.378200000000007</v>
      </c>
      <c r="AS59">
        <v>85.747500000000002</v>
      </c>
      <c r="AT59">
        <v>84.664699999999996</v>
      </c>
      <c r="AU59">
        <v>79.948300000000003</v>
      </c>
      <c r="AV59">
        <v>1145.5835999999999</v>
      </c>
      <c r="AW59">
        <v>2846.4681999999998</v>
      </c>
      <c r="AX59">
        <f t="shared" si="2"/>
        <v>109672.71186508</v>
      </c>
      <c r="AY59">
        <f t="shared" si="3"/>
        <v>217045.47742455997</v>
      </c>
      <c r="AZ59">
        <f t="shared" si="4"/>
        <v>36403.481809799996</v>
      </c>
      <c r="BA59">
        <f t="shared" si="5"/>
        <v>0</v>
      </c>
      <c r="BB59">
        <f t="shared" si="6"/>
        <v>0</v>
      </c>
      <c r="BC59">
        <f t="shared" si="7"/>
        <v>2846.4681999999998</v>
      </c>
      <c r="BD59">
        <f t="shared" si="8"/>
        <v>0</v>
      </c>
      <c r="BE59">
        <f t="shared" si="9"/>
        <v>0</v>
      </c>
      <c r="BF59">
        <f t="shared" si="10"/>
        <v>0</v>
      </c>
      <c r="BG59">
        <f t="shared" si="11"/>
        <v>1013.89153104</v>
      </c>
      <c r="BH59">
        <f t="shared" si="12"/>
        <v>996.87263596000014</v>
      </c>
      <c r="BI59">
        <f t="shared" si="13"/>
        <v>974.34747096000012</v>
      </c>
      <c r="BJ59">
        <f t="shared" si="14"/>
        <v>914.30844300000012</v>
      </c>
      <c r="BK59">
        <f t="shared" si="15"/>
        <v>902.76276316000008</v>
      </c>
      <c r="BL59">
        <f t="shared" si="16"/>
        <v>852.47273324000014</v>
      </c>
    </row>
    <row r="60" spans="1:64">
      <c r="A60" t="str">
        <f t="shared" si="1"/>
        <v>07</v>
      </c>
      <c r="B60" t="s">
        <v>605</v>
      </c>
      <c r="C60" t="s">
        <v>622</v>
      </c>
      <c r="D60">
        <v>66</v>
      </c>
      <c r="E60">
        <v>3</v>
      </c>
      <c r="F60">
        <v>6</v>
      </c>
      <c r="G60">
        <v>4</v>
      </c>
      <c r="H60">
        <v>100</v>
      </c>
      <c r="I60" t="s">
        <v>607</v>
      </c>
      <c r="J60">
        <v>0.42299999999999999</v>
      </c>
      <c r="K60">
        <v>142.1935</v>
      </c>
      <c r="L60">
        <v>3.8300000000000001E-2</v>
      </c>
      <c r="M60">
        <v>1.1938</v>
      </c>
      <c r="N60">
        <v>32.998600000000003</v>
      </c>
      <c r="O60">
        <v>90.327100000000002</v>
      </c>
      <c r="P60">
        <v>355.98649999999998</v>
      </c>
      <c r="Q60">
        <v>207.05019999999999</v>
      </c>
      <c r="R60">
        <v>4.4600000000000001E-2</v>
      </c>
      <c r="S60">
        <v>1.1798</v>
      </c>
      <c r="T60">
        <v>9.3200000000000005E-2</v>
      </c>
      <c r="U60">
        <v>3.8300000000000001E-2</v>
      </c>
      <c r="V60">
        <v>0.47310000000000002</v>
      </c>
      <c r="W60">
        <v>12.8088</v>
      </c>
      <c r="X60">
        <v>16.403099999999998</v>
      </c>
      <c r="Y60">
        <v>14.8165</v>
      </c>
      <c r="Z60">
        <v>16.034400000000002</v>
      </c>
      <c r="AA60">
        <v>44.9039</v>
      </c>
      <c r="AB60">
        <v>18.677299999999999</v>
      </c>
      <c r="AC60">
        <v>38.383800000000001</v>
      </c>
      <c r="AD60">
        <v>87.437700000000007</v>
      </c>
      <c r="AE60">
        <v>0.53839999999999999</v>
      </c>
      <c r="AF60">
        <v>7202.8236999999999</v>
      </c>
      <c r="AG60">
        <v>76.479100000000003</v>
      </c>
      <c r="AH60">
        <v>0.45610000000000001</v>
      </c>
      <c r="AI60">
        <v>89.7042</v>
      </c>
      <c r="AJ60">
        <v>73.2</v>
      </c>
      <c r="AK60">
        <v>82.705399999999997</v>
      </c>
      <c r="AL60">
        <v>1.4575</v>
      </c>
      <c r="AM60">
        <v>0.05</v>
      </c>
      <c r="AN60">
        <v>8.9999999999999998E-4</v>
      </c>
      <c r="AO60">
        <v>97.152199999999993</v>
      </c>
      <c r="AP60">
        <v>95.114699999999999</v>
      </c>
      <c r="AQ60">
        <v>93.504800000000003</v>
      </c>
      <c r="AR60">
        <v>91.402900000000002</v>
      </c>
      <c r="AS60">
        <v>85.770200000000003</v>
      </c>
      <c r="AT60">
        <v>84.680199999999999</v>
      </c>
      <c r="AU60">
        <v>79.9208</v>
      </c>
      <c r="AV60">
        <v>1556.8052</v>
      </c>
      <c r="AW60">
        <v>3877.7908000000002</v>
      </c>
      <c r="AX60">
        <f t="shared" si="2"/>
        <v>148844.34650904001</v>
      </c>
      <c r="AY60">
        <f t="shared" si="3"/>
        <v>296569.95037228003</v>
      </c>
      <c r="AZ60">
        <f t="shared" si="4"/>
        <v>49669.846799040002</v>
      </c>
      <c r="BA60">
        <f t="shared" si="5"/>
        <v>0</v>
      </c>
      <c r="BB60">
        <f t="shared" si="6"/>
        <v>0</v>
      </c>
      <c r="BC60">
        <f t="shared" si="7"/>
        <v>3877.7908000000002</v>
      </c>
      <c r="BD60">
        <f t="shared" si="8"/>
        <v>0</v>
      </c>
      <c r="BE60">
        <f t="shared" si="9"/>
        <v>0</v>
      </c>
      <c r="BF60">
        <f t="shared" si="10"/>
        <v>0</v>
      </c>
      <c r="BG60">
        <f t="shared" si="11"/>
        <v>1560.1759355699999</v>
      </c>
      <c r="BH60">
        <f t="shared" si="12"/>
        <v>1533.7685848799999</v>
      </c>
      <c r="BI60">
        <f t="shared" si="13"/>
        <v>1499.2909089899999</v>
      </c>
      <c r="BJ60">
        <f t="shared" si="14"/>
        <v>1406.8971676199999</v>
      </c>
      <c r="BK60">
        <f t="shared" si="15"/>
        <v>1389.0177886199999</v>
      </c>
      <c r="BL60">
        <f t="shared" si="16"/>
        <v>1310.9488744799999</v>
      </c>
    </row>
    <row r="61" spans="1:64">
      <c r="A61" t="str">
        <f t="shared" si="1"/>
        <v>07</v>
      </c>
      <c r="B61" t="s">
        <v>605</v>
      </c>
      <c r="C61" t="s">
        <v>622</v>
      </c>
      <c r="D61">
        <v>66</v>
      </c>
      <c r="E61">
        <v>3</v>
      </c>
      <c r="F61">
        <v>6</v>
      </c>
      <c r="G61">
        <v>4</v>
      </c>
      <c r="H61">
        <v>200</v>
      </c>
      <c r="I61" t="s">
        <v>609</v>
      </c>
      <c r="J61">
        <v>0.32569999999999999</v>
      </c>
      <c r="K61">
        <v>171.9083</v>
      </c>
      <c r="L61">
        <v>4.7800000000000002E-2</v>
      </c>
      <c r="M61">
        <v>1.0395000000000001</v>
      </c>
      <c r="N61">
        <v>33.484299999999998</v>
      </c>
      <c r="O61">
        <v>90.274000000000001</v>
      </c>
      <c r="P61">
        <v>342.96159999999998</v>
      </c>
      <c r="Q61">
        <v>208.96420000000001</v>
      </c>
      <c r="R61">
        <v>4.0800000000000003E-2</v>
      </c>
      <c r="S61">
        <v>0.81910000000000005</v>
      </c>
      <c r="T61">
        <v>8.8499999999999995E-2</v>
      </c>
      <c r="U61">
        <v>3.1E-2</v>
      </c>
      <c r="V61">
        <v>0.38669999999999999</v>
      </c>
      <c r="W61">
        <v>12.785500000000001</v>
      </c>
      <c r="X61">
        <v>72.884500000000003</v>
      </c>
      <c r="Y61">
        <v>65.795699999999997</v>
      </c>
      <c r="Z61">
        <v>75.781000000000006</v>
      </c>
      <c r="AA61">
        <v>196.52590000000001</v>
      </c>
      <c r="AB61">
        <v>44.208599999999997</v>
      </c>
      <c r="AC61">
        <v>38.9116</v>
      </c>
      <c r="AD61">
        <v>88.045699999999997</v>
      </c>
      <c r="AE61">
        <v>3.0870000000000002</v>
      </c>
      <c r="AF61">
        <v>7257.8308999999999</v>
      </c>
      <c r="AG61">
        <v>76.348699999999994</v>
      </c>
      <c r="AH61">
        <v>3.2273000000000001</v>
      </c>
      <c r="AI61">
        <v>90.150199999999998</v>
      </c>
      <c r="AJ61">
        <v>73.2</v>
      </c>
      <c r="AK61">
        <v>83.645099999999999</v>
      </c>
      <c r="AL61">
        <v>1.3900999999999999</v>
      </c>
      <c r="AM61">
        <v>0.05</v>
      </c>
      <c r="AN61">
        <v>3.5999999999999999E-3</v>
      </c>
      <c r="AO61">
        <v>96.886499999999998</v>
      </c>
      <c r="AP61">
        <v>95.025599999999997</v>
      </c>
      <c r="AQ61">
        <v>93.469899999999996</v>
      </c>
      <c r="AR61">
        <v>91.289699999999996</v>
      </c>
      <c r="AS61">
        <v>85.954599999999999</v>
      </c>
      <c r="AT61">
        <v>84.991600000000005</v>
      </c>
      <c r="AU61">
        <v>80.110799999999998</v>
      </c>
      <c r="AV61">
        <v>9035.1461999999992</v>
      </c>
      <c r="AW61">
        <v>22404.591899999999</v>
      </c>
      <c r="AX61">
        <f t="shared" si="2"/>
        <v>871798.51817604003</v>
      </c>
      <c r="AY61">
        <f t="shared" si="3"/>
        <v>1710561.4655955299</v>
      </c>
      <c r="AZ61">
        <f t="shared" si="4"/>
        <v>286453.90973745001</v>
      </c>
      <c r="BA61">
        <f t="shared" si="5"/>
        <v>0</v>
      </c>
      <c r="BB61">
        <f t="shared" si="6"/>
        <v>0</v>
      </c>
      <c r="BC61">
        <f t="shared" si="7"/>
        <v>22404.591899999999</v>
      </c>
      <c r="BD61">
        <f t="shared" si="8"/>
        <v>0</v>
      </c>
      <c r="BE61">
        <f t="shared" si="9"/>
        <v>0</v>
      </c>
      <c r="BF61">
        <f t="shared" si="10"/>
        <v>0</v>
      </c>
      <c r="BG61">
        <f t="shared" si="11"/>
        <v>6925.8933432000003</v>
      </c>
      <c r="BH61">
        <f t="shared" si="12"/>
        <v>6812.5069265499997</v>
      </c>
      <c r="BI61">
        <f t="shared" si="13"/>
        <v>6653.6041396500004</v>
      </c>
      <c r="BJ61">
        <f t="shared" si="14"/>
        <v>6264.7580437000006</v>
      </c>
      <c r="BK61">
        <f t="shared" si="15"/>
        <v>6194.5702702000008</v>
      </c>
      <c r="BL61">
        <f t="shared" si="16"/>
        <v>5838.8356026000001</v>
      </c>
    </row>
    <row r="62" spans="1:64">
      <c r="A62" t="str">
        <f t="shared" si="1"/>
        <v>07</v>
      </c>
      <c r="B62" t="s">
        <v>605</v>
      </c>
      <c r="C62" t="s">
        <v>622</v>
      </c>
      <c r="D62">
        <v>66</v>
      </c>
      <c r="E62">
        <v>3</v>
      </c>
      <c r="F62">
        <v>6</v>
      </c>
      <c r="G62">
        <v>4</v>
      </c>
      <c r="H62">
        <v>200</v>
      </c>
      <c r="I62" t="s">
        <v>617</v>
      </c>
      <c r="J62">
        <v>0.37809999999999999</v>
      </c>
      <c r="K62">
        <v>138.80160000000001</v>
      </c>
      <c r="L62">
        <v>5.1400000000000001E-2</v>
      </c>
      <c r="M62">
        <v>0.99860000000000004</v>
      </c>
      <c r="N62">
        <v>33.193899999999999</v>
      </c>
      <c r="O62">
        <v>90.318899999999999</v>
      </c>
      <c r="P62">
        <v>344.9151</v>
      </c>
      <c r="Q62">
        <v>208.43770000000001</v>
      </c>
      <c r="R62">
        <v>4.1500000000000002E-2</v>
      </c>
      <c r="S62">
        <v>0.89759999999999995</v>
      </c>
      <c r="T62">
        <v>8.4500000000000006E-2</v>
      </c>
      <c r="U62">
        <v>2.9899999999999999E-2</v>
      </c>
      <c r="V62">
        <v>0.42699999999999999</v>
      </c>
      <c r="W62">
        <v>12.8141</v>
      </c>
      <c r="X62">
        <v>27.484300000000001</v>
      </c>
      <c r="Y62">
        <v>24.823499999999999</v>
      </c>
      <c r="Z62">
        <v>27.1279</v>
      </c>
      <c r="AA62">
        <v>74.783100000000005</v>
      </c>
      <c r="AB62">
        <v>22.9328</v>
      </c>
      <c r="AC62">
        <v>38.703899999999997</v>
      </c>
      <c r="AD62">
        <v>88.331000000000003</v>
      </c>
      <c r="AE62">
        <v>1.0044</v>
      </c>
      <c r="AF62">
        <v>7236.5996999999998</v>
      </c>
      <c r="AG62">
        <v>76.381799999999998</v>
      </c>
      <c r="AH62">
        <v>0.83340000000000003</v>
      </c>
      <c r="AI62">
        <v>89.633399999999995</v>
      </c>
      <c r="AJ62">
        <v>73.2</v>
      </c>
      <c r="AK62">
        <v>82.5578</v>
      </c>
      <c r="AL62">
        <v>1.4463999999999999</v>
      </c>
      <c r="AM62">
        <v>0.05</v>
      </c>
      <c r="AN62">
        <v>5.0000000000000001E-3</v>
      </c>
      <c r="AO62">
        <v>96.981499999999997</v>
      </c>
      <c r="AP62">
        <v>95.057299999999998</v>
      </c>
      <c r="AQ62">
        <v>93.498500000000007</v>
      </c>
      <c r="AR62">
        <v>91.374700000000004</v>
      </c>
      <c r="AS62">
        <v>86.004400000000004</v>
      </c>
      <c r="AT62">
        <v>85.007300000000001</v>
      </c>
      <c r="AU62">
        <v>80.205200000000005</v>
      </c>
      <c r="AV62">
        <v>2928.0095999999999</v>
      </c>
      <c r="AW62">
        <v>7268.5129999999999</v>
      </c>
      <c r="AX62">
        <f t="shared" si="2"/>
        <v>281319.80030069995</v>
      </c>
      <c r="AY62">
        <f t="shared" si="3"/>
        <v>555182.10626339994</v>
      </c>
      <c r="AZ62">
        <f t="shared" si="4"/>
        <v>93139.452433300001</v>
      </c>
      <c r="BA62">
        <f t="shared" si="5"/>
        <v>0</v>
      </c>
      <c r="BB62">
        <f t="shared" si="6"/>
        <v>0</v>
      </c>
      <c r="BC62">
        <f t="shared" si="7"/>
        <v>7268.5129999999999</v>
      </c>
      <c r="BD62">
        <f t="shared" si="8"/>
        <v>0</v>
      </c>
      <c r="BE62">
        <f t="shared" si="9"/>
        <v>0</v>
      </c>
      <c r="BF62">
        <f t="shared" si="10"/>
        <v>0</v>
      </c>
      <c r="BG62">
        <f t="shared" si="11"/>
        <v>2612.5833503899999</v>
      </c>
      <c r="BH62">
        <f t="shared" si="12"/>
        <v>2569.7408235500002</v>
      </c>
      <c r="BI62">
        <f t="shared" si="13"/>
        <v>2511.36966721</v>
      </c>
      <c r="BJ62">
        <f t="shared" si="14"/>
        <v>2363.77073092</v>
      </c>
      <c r="BK62">
        <f t="shared" si="15"/>
        <v>2336.3661353900002</v>
      </c>
      <c r="BL62">
        <f t="shared" si="16"/>
        <v>2204.3837783600002</v>
      </c>
    </row>
    <row r="63" spans="1:64">
      <c r="A63" t="str">
        <f t="shared" si="1"/>
        <v>01</v>
      </c>
      <c r="B63" t="s">
        <v>605</v>
      </c>
      <c r="C63" t="s">
        <v>623</v>
      </c>
      <c r="D63">
        <v>55</v>
      </c>
      <c r="E63">
        <v>1</v>
      </c>
      <c r="F63">
        <v>6</v>
      </c>
      <c r="G63">
        <v>2</v>
      </c>
      <c r="H63">
        <v>100</v>
      </c>
      <c r="I63" t="s">
        <v>609</v>
      </c>
      <c r="J63">
        <v>0.30399999999999999</v>
      </c>
      <c r="K63">
        <v>23.566700000000001</v>
      </c>
      <c r="L63">
        <v>9.9000000000000008E-3</v>
      </c>
      <c r="M63">
        <v>0.5353</v>
      </c>
      <c r="N63">
        <v>24.630199999999999</v>
      </c>
      <c r="O63">
        <v>89.416399999999996</v>
      </c>
      <c r="P63">
        <v>416.34269999999998</v>
      </c>
      <c r="Q63">
        <v>218.7655</v>
      </c>
      <c r="R63">
        <v>0.70030000000000003</v>
      </c>
      <c r="S63">
        <v>0.60750000000000004</v>
      </c>
      <c r="T63">
        <v>0.29980000000000001</v>
      </c>
      <c r="U63">
        <v>5.1999999999999998E-3</v>
      </c>
      <c r="V63">
        <v>0.44409999999999999</v>
      </c>
      <c r="W63">
        <v>12.666600000000001</v>
      </c>
      <c r="X63">
        <v>1.4033</v>
      </c>
      <c r="Y63">
        <v>1.2547999999999999</v>
      </c>
      <c r="Z63">
        <v>1.2515000000000001</v>
      </c>
      <c r="AA63">
        <v>5.0945</v>
      </c>
      <c r="AB63">
        <v>6.8566000000000003</v>
      </c>
      <c r="AC63">
        <v>41.082700000000003</v>
      </c>
      <c r="AD63">
        <v>54.886299999999999</v>
      </c>
      <c r="AE63">
        <v>4.2900000000000001E-2</v>
      </c>
      <c r="AF63">
        <v>7604.3507</v>
      </c>
      <c r="AG63">
        <v>67.122399999999999</v>
      </c>
      <c r="AH63">
        <v>1.0699999999999999E-2</v>
      </c>
      <c r="AI63">
        <v>86.663300000000007</v>
      </c>
      <c r="AJ63">
        <v>73.2</v>
      </c>
      <c r="AK63">
        <v>76.453199999999995</v>
      </c>
      <c r="AL63">
        <v>1.9581999999999999</v>
      </c>
      <c r="AM63">
        <v>0.05</v>
      </c>
      <c r="AN63">
        <v>9.5999999999999992E-3</v>
      </c>
      <c r="AO63">
        <v>96.682400000000001</v>
      </c>
      <c r="AP63">
        <v>91.267099999999999</v>
      </c>
      <c r="AQ63">
        <v>90.577799999999996</v>
      </c>
      <c r="AR63">
        <v>89.213499999999996</v>
      </c>
      <c r="AS63">
        <v>85.194000000000003</v>
      </c>
      <c r="AT63">
        <v>84.523700000000005</v>
      </c>
      <c r="AU63">
        <v>81.142300000000006</v>
      </c>
      <c r="AV63">
        <v>128.56979999999999</v>
      </c>
      <c r="AW63">
        <v>326.322</v>
      </c>
      <c r="AX63">
        <f t="shared" si="2"/>
        <v>13406.188829400002</v>
      </c>
      <c r="AY63">
        <f t="shared" si="3"/>
        <v>21903.5158128</v>
      </c>
      <c r="AZ63">
        <f t="shared" si="4"/>
        <v>4133.3902452000002</v>
      </c>
      <c r="BA63">
        <f t="shared" si="5"/>
        <v>326.322</v>
      </c>
      <c r="BB63">
        <f t="shared" si="6"/>
        <v>0</v>
      </c>
      <c r="BC63">
        <f t="shared" si="7"/>
        <v>0</v>
      </c>
      <c r="BD63">
        <f t="shared" si="8"/>
        <v>0</v>
      </c>
      <c r="BE63">
        <f t="shared" si="9"/>
        <v>0</v>
      </c>
      <c r="BF63">
        <f t="shared" si="10"/>
        <v>0</v>
      </c>
      <c r="BG63">
        <f t="shared" si="11"/>
        <v>128.07512143</v>
      </c>
      <c r="BH63">
        <f t="shared" si="12"/>
        <v>127.10782673999999</v>
      </c>
      <c r="BI63">
        <f t="shared" si="13"/>
        <v>125.19330454999999</v>
      </c>
      <c r="BJ63">
        <f t="shared" si="14"/>
        <v>119.5527402</v>
      </c>
      <c r="BK63">
        <f t="shared" si="15"/>
        <v>118.61210821</v>
      </c>
      <c r="BL63">
        <f t="shared" si="16"/>
        <v>113.86698959</v>
      </c>
    </row>
    <row r="64" spans="1:64">
      <c r="A64" t="str">
        <f t="shared" si="1"/>
        <v>01</v>
      </c>
      <c r="B64" t="s">
        <v>605</v>
      </c>
      <c r="C64" t="s">
        <v>623</v>
      </c>
      <c r="D64">
        <v>55</v>
      </c>
      <c r="E64">
        <v>1</v>
      </c>
      <c r="F64">
        <v>6</v>
      </c>
      <c r="G64">
        <v>2</v>
      </c>
      <c r="H64">
        <v>100</v>
      </c>
      <c r="I64" t="s">
        <v>617</v>
      </c>
      <c r="J64">
        <v>0.44390000000000002</v>
      </c>
      <c r="K64">
        <v>37.207999999999998</v>
      </c>
      <c r="L64">
        <v>7.7999999999999996E-3</v>
      </c>
      <c r="M64">
        <v>0.37980000000000003</v>
      </c>
      <c r="N64">
        <v>22.154</v>
      </c>
      <c r="O64">
        <v>78.239500000000007</v>
      </c>
      <c r="P64">
        <v>642.69650000000001</v>
      </c>
      <c r="Q64">
        <v>226.83189999999999</v>
      </c>
      <c r="R64">
        <v>1.0487</v>
      </c>
      <c r="S64">
        <v>0.56499999999999995</v>
      </c>
      <c r="T64">
        <v>0.31519999999999998</v>
      </c>
      <c r="U64">
        <v>6.6E-3</v>
      </c>
      <c r="V64">
        <v>0.4395</v>
      </c>
      <c r="W64">
        <v>12.6394</v>
      </c>
      <c r="X64">
        <v>31.740500000000001</v>
      </c>
      <c r="Y64">
        <v>28.228300000000001</v>
      </c>
      <c r="Z64">
        <v>27.851099999999999</v>
      </c>
      <c r="AA64">
        <v>131.39269999999999</v>
      </c>
      <c r="AB64">
        <v>17.697399999999998</v>
      </c>
      <c r="AC64">
        <v>43.098700000000001</v>
      </c>
      <c r="AD64">
        <v>57.919600000000003</v>
      </c>
      <c r="AE64">
        <v>0.94179999999999997</v>
      </c>
      <c r="AF64">
        <v>7835.1845999999996</v>
      </c>
      <c r="AG64">
        <v>65.678399999999996</v>
      </c>
      <c r="AH64">
        <v>0.16039999999999999</v>
      </c>
      <c r="AI64">
        <v>85.691699999999997</v>
      </c>
      <c r="AJ64">
        <v>73.2</v>
      </c>
      <c r="AK64">
        <v>74.506900000000002</v>
      </c>
      <c r="AL64">
        <v>1.917</v>
      </c>
      <c r="AM64">
        <v>0.05</v>
      </c>
      <c r="AN64">
        <v>2.23E-2</v>
      </c>
      <c r="AO64">
        <v>95.316000000000003</v>
      </c>
      <c r="AP64">
        <v>91.930199999999999</v>
      </c>
      <c r="AQ64">
        <v>91.041700000000006</v>
      </c>
      <c r="AR64">
        <v>89.261300000000006</v>
      </c>
      <c r="AS64">
        <v>84.713499999999996</v>
      </c>
      <c r="AT64">
        <v>83.962400000000002</v>
      </c>
      <c r="AU64">
        <v>80.542000000000002</v>
      </c>
      <c r="AV64">
        <v>2902.4074000000001</v>
      </c>
      <c r="AW64">
        <v>7379.2105000000001</v>
      </c>
      <c r="AX64">
        <f t="shared" si="2"/>
        <v>318034.37957635004</v>
      </c>
      <c r="AY64">
        <f t="shared" si="3"/>
        <v>484654.73890319996</v>
      </c>
      <c r="AZ64">
        <f t="shared" si="4"/>
        <v>93268.79319370001</v>
      </c>
      <c r="BA64">
        <f t="shared" si="5"/>
        <v>7379.2105000000001</v>
      </c>
      <c r="BB64">
        <f t="shared" si="6"/>
        <v>0</v>
      </c>
      <c r="BC64">
        <f t="shared" si="7"/>
        <v>0</v>
      </c>
      <c r="BD64">
        <f t="shared" si="8"/>
        <v>0</v>
      </c>
      <c r="BE64">
        <f t="shared" si="9"/>
        <v>0</v>
      </c>
      <c r="BF64">
        <f t="shared" si="10"/>
        <v>0</v>
      </c>
      <c r="BG64">
        <f t="shared" si="11"/>
        <v>2917.9105131000001</v>
      </c>
      <c r="BH64">
        <f t="shared" si="12"/>
        <v>2889.7090788500004</v>
      </c>
      <c r="BI64">
        <f t="shared" si="13"/>
        <v>2833.1982926500004</v>
      </c>
      <c r="BJ64">
        <f t="shared" si="14"/>
        <v>2688.8488467500001</v>
      </c>
      <c r="BK64">
        <f t="shared" si="15"/>
        <v>2665.0085572000003</v>
      </c>
      <c r="BL64">
        <f t="shared" si="16"/>
        <v>2556.4433509999999</v>
      </c>
    </row>
    <row r="65" spans="1:64">
      <c r="A65" t="str">
        <f t="shared" si="1"/>
        <v>01</v>
      </c>
      <c r="B65" t="s">
        <v>605</v>
      </c>
      <c r="C65" t="s">
        <v>623</v>
      </c>
      <c r="D65">
        <v>55</v>
      </c>
      <c r="E65">
        <v>1</v>
      </c>
      <c r="F65">
        <v>6</v>
      </c>
      <c r="G65">
        <v>2</v>
      </c>
      <c r="H65">
        <v>100</v>
      </c>
      <c r="I65" t="s">
        <v>624</v>
      </c>
      <c r="J65">
        <v>0.66990000000000005</v>
      </c>
      <c r="K65">
        <v>31.55</v>
      </c>
      <c r="L65">
        <v>7.9000000000000008E-3</v>
      </c>
      <c r="M65">
        <v>0.30349999999999999</v>
      </c>
      <c r="N65">
        <v>17.881</v>
      </c>
      <c r="O65">
        <v>83.592500000000001</v>
      </c>
      <c r="P65">
        <v>928.63760000000002</v>
      </c>
      <c r="Q65">
        <v>236.52590000000001</v>
      </c>
      <c r="R65">
        <v>1.6114999999999999</v>
      </c>
      <c r="S65">
        <v>0.57030000000000003</v>
      </c>
      <c r="T65">
        <v>0.35</v>
      </c>
      <c r="U65">
        <v>7.9000000000000008E-3</v>
      </c>
      <c r="V65">
        <v>0.4385</v>
      </c>
      <c r="W65">
        <v>12.803599999999999</v>
      </c>
      <c r="X65">
        <v>2.1107</v>
      </c>
      <c r="Y65">
        <v>1.8761000000000001</v>
      </c>
      <c r="Z65">
        <v>1.8484</v>
      </c>
      <c r="AA65">
        <v>10.4924</v>
      </c>
      <c r="AB65">
        <v>68.150400000000005</v>
      </c>
      <c r="AC65">
        <v>45.214199999999998</v>
      </c>
      <c r="AD65">
        <v>61.5167</v>
      </c>
      <c r="AE65">
        <v>6.1199999999999997E-2</v>
      </c>
      <c r="AF65">
        <v>8028.7092000000002</v>
      </c>
      <c r="AG65">
        <v>66.167299999999997</v>
      </c>
      <c r="AH65">
        <v>0.01</v>
      </c>
      <c r="AI65">
        <v>85.533100000000005</v>
      </c>
      <c r="AJ65">
        <v>73.2</v>
      </c>
      <c r="AK65">
        <v>74.191299999999998</v>
      </c>
      <c r="AL65">
        <v>2.0327999999999999</v>
      </c>
      <c r="AM65">
        <v>0.05</v>
      </c>
      <c r="AN65">
        <v>2.0299999999999999E-2</v>
      </c>
      <c r="AO65">
        <v>94.947999999999993</v>
      </c>
      <c r="AP65">
        <v>92.661500000000004</v>
      </c>
      <c r="AQ65">
        <v>91.618399999999994</v>
      </c>
      <c r="AR65">
        <v>89.526200000000003</v>
      </c>
      <c r="AS65">
        <v>84.684600000000003</v>
      </c>
      <c r="AT65">
        <v>83.8994</v>
      </c>
      <c r="AU65">
        <v>80.614800000000002</v>
      </c>
      <c r="AV65">
        <v>191.32159999999999</v>
      </c>
      <c r="AW65">
        <v>491.23360000000002</v>
      </c>
      <c r="AX65">
        <f t="shared" si="2"/>
        <v>22210.734237119999</v>
      </c>
      <c r="AY65">
        <f t="shared" si="3"/>
        <v>32503.60098128</v>
      </c>
      <c r="AZ65">
        <f t="shared" si="4"/>
        <v>6289.5585209600004</v>
      </c>
      <c r="BA65">
        <f t="shared" si="5"/>
        <v>491.23360000000002</v>
      </c>
      <c r="BB65">
        <f t="shared" si="6"/>
        <v>0</v>
      </c>
      <c r="BC65">
        <f t="shared" si="7"/>
        <v>0</v>
      </c>
      <c r="BD65">
        <f t="shared" si="8"/>
        <v>0</v>
      </c>
      <c r="BE65">
        <f t="shared" si="9"/>
        <v>0</v>
      </c>
      <c r="BF65">
        <f t="shared" si="10"/>
        <v>0</v>
      </c>
      <c r="BG65">
        <f t="shared" si="11"/>
        <v>195.58062805</v>
      </c>
      <c r="BH65">
        <f t="shared" si="12"/>
        <v>193.37895687999998</v>
      </c>
      <c r="BI65">
        <f t="shared" si="13"/>
        <v>188.96295034000002</v>
      </c>
      <c r="BJ65">
        <f t="shared" si="14"/>
        <v>178.74378522000001</v>
      </c>
      <c r="BK65">
        <f t="shared" si="15"/>
        <v>177.08646358000001</v>
      </c>
      <c r="BL65">
        <f t="shared" si="16"/>
        <v>170.15365836000001</v>
      </c>
    </row>
    <row r="66" spans="1:64">
      <c r="A66" t="str">
        <f t="shared" si="1"/>
        <v>01</v>
      </c>
      <c r="B66" t="s">
        <v>605</v>
      </c>
      <c r="C66" t="s">
        <v>623</v>
      </c>
      <c r="D66">
        <v>55</v>
      </c>
      <c r="E66">
        <v>1</v>
      </c>
      <c r="F66">
        <v>6</v>
      </c>
      <c r="G66">
        <v>2</v>
      </c>
      <c r="H66">
        <v>100</v>
      </c>
      <c r="I66" t="s">
        <v>607</v>
      </c>
      <c r="J66">
        <v>0.46960000000000002</v>
      </c>
      <c r="K66">
        <v>28.256399999999999</v>
      </c>
      <c r="L66">
        <v>9.1000000000000004E-3</v>
      </c>
      <c r="M66">
        <v>0.45269999999999999</v>
      </c>
      <c r="N66">
        <v>22.3672</v>
      </c>
      <c r="O66">
        <v>82.513999999999996</v>
      </c>
      <c r="P66">
        <v>647.82230000000004</v>
      </c>
      <c r="Q66">
        <v>225.25319999999999</v>
      </c>
      <c r="R66">
        <v>1.0866</v>
      </c>
      <c r="S66">
        <v>0.63480000000000003</v>
      </c>
      <c r="T66">
        <v>0.34620000000000001</v>
      </c>
      <c r="U66">
        <v>7.0000000000000001E-3</v>
      </c>
      <c r="V66">
        <v>0.48930000000000001</v>
      </c>
      <c r="W66">
        <v>12.686299999999999</v>
      </c>
      <c r="X66">
        <v>102.4289</v>
      </c>
      <c r="Y66">
        <v>91.243399999999994</v>
      </c>
      <c r="Z66">
        <v>89.997799999999998</v>
      </c>
      <c r="AA66">
        <v>423.43950000000001</v>
      </c>
      <c r="AB66">
        <v>21.9084</v>
      </c>
      <c r="AC66">
        <v>42.649099999999997</v>
      </c>
      <c r="AD66">
        <v>57.779899999999998</v>
      </c>
      <c r="AE66">
        <v>2.7530000000000001</v>
      </c>
      <c r="AF66">
        <v>7769.8951999999999</v>
      </c>
      <c r="AG66">
        <v>66.588999999999999</v>
      </c>
      <c r="AH66">
        <v>0.51160000000000005</v>
      </c>
      <c r="AI66">
        <v>85.883600000000001</v>
      </c>
      <c r="AJ66">
        <v>73.2</v>
      </c>
      <c r="AK66">
        <v>74.8917</v>
      </c>
      <c r="AL66">
        <v>1.9109</v>
      </c>
      <c r="AM66">
        <v>0.05</v>
      </c>
      <c r="AN66">
        <v>0.02</v>
      </c>
      <c r="AO66">
        <v>95.919399999999996</v>
      </c>
      <c r="AP66">
        <v>91.775499999999994</v>
      </c>
      <c r="AQ66">
        <v>90.941800000000001</v>
      </c>
      <c r="AR66">
        <v>89.246300000000005</v>
      </c>
      <c r="AS66">
        <v>84.812299999999993</v>
      </c>
      <c r="AT66">
        <v>84.079599999999999</v>
      </c>
      <c r="AU66">
        <v>80.657700000000006</v>
      </c>
      <c r="AV66">
        <v>8401.5843999999997</v>
      </c>
      <c r="AW66">
        <v>21385.375700000001</v>
      </c>
      <c r="AX66">
        <f t="shared" si="2"/>
        <v>912067.02676686994</v>
      </c>
      <c r="AY66">
        <f t="shared" si="3"/>
        <v>1424030.7824873</v>
      </c>
      <c r="AZ66">
        <f t="shared" si="4"/>
        <v>271301.29174290999</v>
      </c>
      <c r="BA66">
        <f t="shared" si="5"/>
        <v>21385.375700000001</v>
      </c>
      <c r="BB66">
        <f t="shared" si="6"/>
        <v>0</v>
      </c>
      <c r="BC66">
        <f t="shared" si="7"/>
        <v>0</v>
      </c>
      <c r="BD66">
        <f t="shared" si="8"/>
        <v>0</v>
      </c>
      <c r="BE66">
        <f t="shared" si="9"/>
        <v>0</v>
      </c>
      <c r="BF66">
        <f t="shared" si="10"/>
        <v>0</v>
      </c>
      <c r="BG66">
        <f t="shared" si="11"/>
        <v>9400.4635119499999</v>
      </c>
      <c r="BH66">
        <f t="shared" si="12"/>
        <v>9315.0685380199993</v>
      </c>
      <c r="BI66">
        <f t="shared" si="13"/>
        <v>9141.4003380699996</v>
      </c>
      <c r="BJ66">
        <f t="shared" si="14"/>
        <v>8687.2305954699987</v>
      </c>
      <c r="BK66">
        <f t="shared" si="15"/>
        <v>8612.1809404399992</v>
      </c>
      <c r="BL66">
        <f t="shared" si="16"/>
        <v>8261.6794875300002</v>
      </c>
    </row>
    <row r="67" spans="1:64">
      <c r="A67" t="str">
        <f t="shared" ref="A67:A130" si="17">+MID(C67,22,2)</f>
        <v>02</v>
      </c>
      <c r="B67" t="s">
        <v>605</v>
      </c>
      <c r="C67" t="s">
        <v>625</v>
      </c>
      <c r="D67">
        <v>55</v>
      </c>
      <c r="E67">
        <v>1</v>
      </c>
      <c r="F67">
        <v>6</v>
      </c>
      <c r="G67">
        <v>2</v>
      </c>
      <c r="H67">
        <v>100</v>
      </c>
      <c r="I67" t="s">
        <v>609</v>
      </c>
      <c r="J67">
        <v>0.32150000000000001</v>
      </c>
      <c r="K67">
        <v>21.477799999999998</v>
      </c>
      <c r="L67">
        <v>8.2000000000000007E-3</v>
      </c>
      <c r="M67">
        <v>0.52010000000000001</v>
      </c>
      <c r="N67">
        <v>23.383299999999998</v>
      </c>
      <c r="O67">
        <v>89.349599999999995</v>
      </c>
      <c r="P67">
        <v>487.97660000000002</v>
      </c>
      <c r="Q67">
        <v>220.8416</v>
      </c>
      <c r="R67">
        <v>0.84370000000000001</v>
      </c>
      <c r="S67">
        <v>0.57930000000000004</v>
      </c>
      <c r="T67">
        <v>0.29060000000000002</v>
      </c>
      <c r="U67">
        <v>5.1999999999999998E-3</v>
      </c>
      <c r="V67">
        <v>0.41820000000000002</v>
      </c>
      <c r="W67">
        <v>12.6348</v>
      </c>
      <c r="X67">
        <v>45.311199999999999</v>
      </c>
      <c r="Y67">
        <v>40.485399999999998</v>
      </c>
      <c r="Z67">
        <v>40.166200000000003</v>
      </c>
      <c r="AA67">
        <v>174.3648</v>
      </c>
      <c r="AB67">
        <v>8.7116000000000007</v>
      </c>
      <c r="AC67">
        <v>41.649900000000002</v>
      </c>
      <c r="AD67">
        <v>55.439300000000003</v>
      </c>
      <c r="AE67">
        <v>1.4507000000000001</v>
      </c>
      <c r="AF67">
        <v>7673.4431999999997</v>
      </c>
      <c r="AG67">
        <v>66.539100000000005</v>
      </c>
      <c r="AH67">
        <v>0.2883</v>
      </c>
      <c r="AI67">
        <v>86.052700000000002</v>
      </c>
      <c r="AJ67">
        <v>73.2</v>
      </c>
      <c r="AK67">
        <v>75.230800000000002</v>
      </c>
      <c r="AL67">
        <v>1.9582999999999999</v>
      </c>
      <c r="AM67">
        <v>0.05</v>
      </c>
      <c r="AN67">
        <v>1.21E-2</v>
      </c>
      <c r="AO67">
        <v>96.204700000000003</v>
      </c>
      <c r="AP67">
        <v>91.645799999999994</v>
      </c>
      <c r="AQ67">
        <v>90.854500000000002</v>
      </c>
      <c r="AR67">
        <v>89.322400000000002</v>
      </c>
      <c r="AS67">
        <v>85.041899999999998</v>
      </c>
      <c r="AT67">
        <v>84.313299999999998</v>
      </c>
      <c r="AU67">
        <v>80.828800000000001</v>
      </c>
      <c r="AV67">
        <v>4385.4219999999996</v>
      </c>
      <c r="AW67">
        <v>11131.5016</v>
      </c>
      <c r="AX67">
        <f t="shared" ref="AX67:AX80" si="18">+AC67*AW67</f>
        <v>463625.92848984001</v>
      </c>
      <c r="AY67">
        <f t="shared" ref="AY67:AY80" si="19">+AG67*AW67</f>
        <v>740680.09811255999</v>
      </c>
      <c r="AZ67">
        <f t="shared" ref="AZ67:AZ80" si="20">+W67*AW67</f>
        <v>140644.29641568</v>
      </c>
      <c r="BA67">
        <f t="shared" ref="BA67:BA130" si="21">+IF($E67=1,$AW67,0)</f>
        <v>11131.5016</v>
      </c>
      <c r="BB67">
        <f t="shared" ref="BB67:BB130" si="22">+IF($E67=2,$AW67,0)</f>
        <v>0</v>
      </c>
      <c r="BC67">
        <f t="shared" ref="BC67:BC130" si="23">+IF($E67=3,$AW67,IF($E67=4,$AW67,0))</f>
        <v>0</v>
      </c>
      <c r="BD67">
        <f t="shared" ref="BD67:BD130" si="24">+IF($E67=7,$AW67,0)</f>
        <v>0</v>
      </c>
      <c r="BE67">
        <f t="shared" ref="BE67:BE130" si="25">+IF($E67=5,$AW67,0)</f>
        <v>0</v>
      </c>
      <c r="BF67">
        <f t="shared" ref="BF67:BF130" si="26">+IF($E67=8,$AW67,0)</f>
        <v>0</v>
      </c>
      <c r="BG67">
        <f t="shared" ref="BG67:BG80" si="27">+$X67*AP67</f>
        <v>4152.58117296</v>
      </c>
      <c r="BH67">
        <f t="shared" ref="BH67:BH80" si="28">+$X67*AQ67</f>
        <v>4116.7264204000003</v>
      </c>
      <c r="BI67">
        <f t="shared" ref="BI67:BI80" si="29">+$X67*AR67</f>
        <v>4047.30513088</v>
      </c>
      <c r="BJ67">
        <f t="shared" ref="BJ67:BJ80" si="30">+$X67*AS67</f>
        <v>3853.3505392799998</v>
      </c>
      <c r="BK67">
        <f t="shared" ref="BK67:BK80" si="31">+$X67*AT67</f>
        <v>3820.3367989599997</v>
      </c>
      <c r="BL67">
        <f t="shared" ref="BL67:BL80" si="32">+$X67*AU67</f>
        <v>3662.4499225600002</v>
      </c>
    </row>
    <row r="68" spans="1:64">
      <c r="A68" t="str">
        <f t="shared" si="17"/>
        <v>02</v>
      </c>
      <c r="B68" t="s">
        <v>605</v>
      </c>
      <c r="C68" t="s">
        <v>625</v>
      </c>
      <c r="D68">
        <v>55</v>
      </c>
      <c r="E68">
        <v>1</v>
      </c>
      <c r="F68">
        <v>6</v>
      </c>
      <c r="G68">
        <v>2</v>
      </c>
      <c r="H68">
        <v>100</v>
      </c>
      <c r="I68" t="s">
        <v>617</v>
      </c>
      <c r="J68">
        <v>0.41410000000000002</v>
      </c>
      <c r="K68">
        <v>29.2819</v>
      </c>
      <c r="L68">
        <v>7.3000000000000001E-3</v>
      </c>
      <c r="M68">
        <v>0.4506</v>
      </c>
      <c r="N68">
        <v>18.290800000000001</v>
      </c>
      <c r="O68">
        <v>83.523799999999994</v>
      </c>
      <c r="P68">
        <v>901.21500000000003</v>
      </c>
      <c r="Q68">
        <v>226.80600000000001</v>
      </c>
      <c r="R68">
        <v>1.5706</v>
      </c>
      <c r="S68">
        <v>0.53220000000000001</v>
      </c>
      <c r="T68">
        <v>0.29120000000000001</v>
      </c>
      <c r="U68">
        <v>6.1000000000000004E-3</v>
      </c>
      <c r="V68">
        <v>0.4022</v>
      </c>
      <c r="W68">
        <v>12.610900000000001</v>
      </c>
      <c r="X68">
        <v>50.977600000000002</v>
      </c>
      <c r="Y68">
        <v>45.441099999999999</v>
      </c>
      <c r="Z68">
        <v>44.802399999999999</v>
      </c>
      <c r="AA68">
        <v>249.67769999999999</v>
      </c>
      <c r="AB68">
        <v>26.688099999999999</v>
      </c>
      <c r="AC68">
        <v>43.201099999999997</v>
      </c>
      <c r="AD68">
        <v>58.040100000000002</v>
      </c>
      <c r="AE68">
        <v>1.6506000000000001</v>
      </c>
      <c r="AF68">
        <v>7841.6648999999998</v>
      </c>
      <c r="AG68">
        <v>65.821700000000007</v>
      </c>
      <c r="AH68">
        <v>0.25</v>
      </c>
      <c r="AI68">
        <v>85.406099999999995</v>
      </c>
      <c r="AJ68">
        <v>73.2</v>
      </c>
      <c r="AK68">
        <v>73.939700000000002</v>
      </c>
      <c r="AL68">
        <v>1.9615</v>
      </c>
      <c r="AM68">
        <v>0.05</v>
      </c>
      <c r="AN68">
        <v>1.8100000000000002E-2</v>
      </c>
      <c r="AO68">
        <v>95.360600000000005</v>
      </c>
      <c r="AP68">
        <v>92.025099999999995</v>
      </c>
      <c r="AQ68">
        <v>91.107500000000002</v>
      </c>
      <c r="AR68">
        <v>89.315299999999993</v>
      </c>
      <c r="AS68">
        <v>84.802199999999999</v>
      </c>
      <c r="AT68">
        <v>84.042699999999996</v>
      </c>
      <c r="AU68">
        <v>80.686300000000003</v>
      </c>
      <c r="AV68">
        <v>5089.7736999999997</v>
      </c>
      <c r="AW68">
        <v>12941.8704</v>
      </c>
      <c r="AX68">
        <f t="shared" si="18"/>
        <v>559103.03733743995</v>
      </c>
      <c r="AY68">
        <f t="shared" si="19"/>
        <v>851855.91090768005</v>
      </c>
      <c r="AZ68">
        <f t="shared" si="20"/>
        <v>163208.63342736001</v>
      </c>
      <c r="BA68">
        <f t="shared" si="21"/>
        <v>12941.8704</v>
      </c>
      <c r="BB68">
        <f t="shared" si="22"/>
        <v>0</v>
      </c>
      <c r="BC68">
        <f t="shared" si="23"/>
        <v>0</v>
      </c>
      <c r="BD68">
        <f t="shared" si="24"/>
        <v>0</v>
      </c>
      <c r="BE68">
        <f t="shared" si="25"/>
        <v>0</v>
      </c>
      <c r="BF68">
        <f t="shared" si="26"/>
        <v>0</v>
      </c>
      <c r="BG68">
        <f t="shared" si="27"/>
        <v>4691.2187377600003</v>
      </c>
      <c r="BH68">
        <f t="shared" si="28"/>
        <v>4644.4416920000003</v>
      </c>
      <c r="BI68">
        <f t="shared" si="29"/>
        <v>4553.0796372799996</v>
      </c>
      <c r="BJ68">
        <f t="shared" si="30"/>
        <v>4323.0126307199998</v>
      </c>
      <c r="BK68">
        <f t="shared" si="31"/>
        <v>4284.2951435200002</v>
      </c>
      <c r="BL68">
        <f t="shared" si="32"/>
        <v>4113.1939268800006</v>
      </c>
    </row>
    <row r="69" spans="1:64">
      <c r="A69" t="str">
        <f t="shared" si="17"/>
        <v>02</v>
      </c>
      <c r="B69" t="s">
        <v>605</v>
      </c>
      <c r="C69" t="s">
        <v>625</v>
      </c>
      <c r="D69">
        <v>55</v>
      </c>
      <c r="E69">
        <v>1</v>
      </c>
      <c r="F69">
        <v>6</v>
      </c>
      <c r="G69">
        <v>2</v>
      </c>
      <c r="H69">
        <v>100</v>
      </c>
      <c r="I69" t="s">
        <v>624</v>
      </c>
      <c r="J69">
        <v>0.67</v>
      </c>
      <c r="K69">
        <v>31.372699999999998</v>
      </c>
      <c r="L69">
        <v>7.9000000000000008E-3</v>
      </c>
      <c r="M69">
        <v>0.30370000000000003</v>
      </c>
      <c r="N69">
        <v>17.881</v>
      </c>
      <c r="O69">
        <v>83.5685</v>
      </c>
      <c r="P69">
        <v>928.63760000000002</v>
      </c>
      <c r="Q69">
        <v>236.59219999999999</v>
      </c>
      <c r="R69">
        <v>1.6117999999999999</v>
      </c>
      <c r="S69">
        <v>0.56989999999999996</v>
      </c>
      <c r="T69">
        <v>0.35010000000000002</v>
      </c>
      <c r="U69">
        <v>7.9000000000000008E-3</v>
      </c>
      <c r="V69">
        <v>0.43859999999999999</v>
      </c>
      <c r="W69">
        <v>12.804600000000001</v>
      </c>
      <c r="X69">
        <v>9.9473000000000003</v>
      </c>
      <c r="Y69">
        <v>8.8415999999999997</v>
      </c>
      <c r="Z69">
        <v>8.7102000000000004</v>
      </c>
      <c r="AA69">
        <v>49.446800000000003</v>
      </c>
      <c r="AB69">
        <v>68.120999999999995</v>
      </c>
      <c r="AC69">
        <v>45.228499999999997</v>
      </c>
      <c r="AD69">
        <v>61.548999999999999</v>
      </c>
      <c r="AE69">
        <v>0.28820000000000001</v>
      </c>
      <c r="AF69">
        <v>8030.1540000000005</v>
      </c>
      <c r="AG69">
        <v>66.164199999999994</v>
      </c>
      <c r="AH69">
        <v>4.6800000000000001E-2</v>
      </c>
      <c r="AI69">
        <v>85.520600000000002</v>
      </c>
      <c r="AJ69">
        <v>73.2</v>
      </c>
      <c r="AK69">
        <v>74.166600000000003</v>
      </c>
      <c r="AL69">
        <v>2.0324</v>
      </c>
      <c r="AM69">
        <v>0.05</v>
      </c>
      <c r="AN69">
        <v>2.0299999999999999E-2</v>
      </c>
      <c r="AO69">
        <v>94.942599999999999</v>
      </c>
      <c r="AP69">
        <v>92.667299999999997</v>
      </c>
      <c r="AQ69">
        <v>91.622900000000001</v>
      </c>
      <c r="AR69">
        <v>89.526399999999995</v>
      </c>
      <c r="AS69">
        <v>84.681799999999996</v>
      </c>
      <c r="AT69">
        <v>83.8964</v>
      </c>
      <c r="AU69">
        <v>80.611000000000004</v>
      </c>
      <c r="AV69">
        <v>901.42550000000006</v>
      </c>
      <c r="AW69">
        <v>2314.3292999999999</v>
      </c>
      <c r="AX69">
        <f t="shared" si="18"/>
        <v>104673.64274504999</v>
      </c>
      <c r="AY69">
        <f t="shared" si="19"/>
        <v>153125.74667105998</v>
      </c>
      <c r="AZ69">
        <f t="shared" si="20"/>
        <v>29634.060954780001</v>
      </c>
      <c r="BA69">
        <f t="shared" si="21"/>
        <v>2314.3292999999999</v>
      </c>
      <c r="BB69">
        <f t="shared" si="22"/>
        <v>0</v>
      </c>
      <c r="BC69">
        <f t="shared" si="23"/>
        <v>0</v>
      </c>
      <c r="BD69">
        <f t="shared" si="24"/>
        <v>0</v>
      </c>
      <c r="BE69">
        <f t="shared" si="25"/>
        <v>0</v>
      </c>
      <c r="BF69">
        <f t="shared" si="26"/>
        <v>0</v>
      </c>
      <c r="BG69">
        <f t="shared" si="27"/>
        <v>921.78943329000003</v>
      </c>
      <c r="BH69">
        <f t="shared" si="28"/>
        <v>911.40047317000005</v>
      </c>
      <c r="BI69">
        <f t="shared" si="29"/>
        <v>890.54595871999993</v>
      </c>
      <c r="BJ69">
        <f t="shared" si="30"/>
        <v>842.35526914000002</v>
      </c>
      <c r="BK69">
        <f t="shared" si="31"/>
        <v>834.54265972000007</v>
      </c>
      <c r="BL69">
        <f t="shared" si="32"/>
        <v>801.86180030000003</v>
      </c>
    </row>
    <row r="70" spans="1:64">
      <c r="A70" t="str">
        <f t="shared" si="17"/>
        <v>02</v>
      </c>
      <c r="B70" t="s">
        <v>605</v>
      </c>
      <c r="C70" t="s">
        <v>625</v>
      </c>
      <c r="D70">
        <v>55</v>
      </c>
      <c r="E70">
        <v>1</v>
      </c>
      <c r="F70">
        <v>6</v>
      </c>
      <c r="G70">
        <v>2</v>
      </c>
      <c r="H70">
        <v>100</v>
      </c>
      <c r="I70" t="s">
        <v>607</v>
      </c>
      <c r="J70">
        <v>0.48370000000000002</v>
      </c>
      <c r="K70">
        <v>27.948599999999999</v>
      </c>
      <c r="L70">
        <v>9.1999999999999998E-3</v>
      </c>
      <c r="M70">
        <v>0.45100000000000001</v>
      </c>
      <c r="N70">
        <v>23.014900000000001</v>
      </c>
      <c r="O70">
        <v>85.456800000000001</v>
      </c>
      <c r="P70">
        <v>601.85379999999998</v>
      </c>
      <c r="Q70">
        <v>224.4067</v>
      </c>
      <c r="R70">
        <v>1.0189999999999999</v>
      </c>
      <c r="S70">
        <v>0.62760000000000005</v>
      </c>
      <c r="T70">
        <v>0.33960000000000001</v>
      </c>
      <c r="U70">
        <v>6.6E-3</v>
      </c>
      <c r="V70">
        <v>0.4803</v>
      </c>
      <c r="W70">
        <v>12.648</v>
      </c>
      <c r="X70">
        <v>22.889700000000001</v>
      </c>
      <c r="Y70">
        <v>20.412400000000002</v>
      </c>
      <c r="Z70">
        <v>20.162299999999998</v>
      </c>
      <c r="AA70">
        <v>91.157300000000006</v>
      </c>
      <c r="AB70">
        <v>28.237500000000001</v>
      </c>
      <c r="AC70">
        <v>42.523299999999999</v>
      </c>
      <c r="AD70">
        <v>57.599400000000003</v>
      </c>
      <c r="AE70">
        <v>0.62829999999999997</v>
      </c>
      <c r="AF70">
        <v>7762.6655000000001</v>
      </c>
      <c r="AG70">
        <v>66.366600000000005</v>
      </c>
      <c r="AH70">
        <v>0.122</v>
      </c>
      <c r="AI70">
        <v>85.984700000000004</v>
      </c>
      <c r="AJ70">
        <v>73.2</v>
      </c>
      <c r="AK70">
        <v>75.093900000000005</v>
      </c>
      <c r="AL70">
        <v>1.9428000000000001</v>
      </c>
      <c r="AM70">
        <v>0.05</v>
      </c>
      <c r="AN70">
        <v>1.8100000000000002E-2</v>
      </c>
      <c r="AO70">
        <v>95.851699999999994</v>
      </c>
      <c r="AP70">
        <v>91.719399999999993</v>
      </c>
      <c r="AQ70">
        <v>90.901700000000005</v>
      </c>
      <c r="AR70">
        <v>89.249700000000004</v>
      </c>
      <c r="AS70">
        <v>84.898499999999999</v>
      </c>
      <c r="AT70">
        <v>84.177599999999998</v>
      </c>
      <c r="AU70">
        <v>80.790800000000004</v>
      </c>
      <c r="AV70">
        <v>1911.9567</v>
      </c>
      <c r="AW70">
        <v>4875.2304000000004</v>
      </c>
      <c r="AX70">
        <f t="shared" si="18"/>
        <v>207310.88486832002</v>
      </c>
      <c r="AY70">
        <f t="shared" si="19"/>
        <v>323552.46586464008</v>
      </c>
      <c r="AZ70">
        <f t="shared" si="20"/>
        <v>61661.914099200003</v>
      </c>
      <c r="BA70">
        <f t="shared" si="21"/>
        <v>4875.2304000000004</v>
      </c>
      <c r="BB70">
        <f t="shared" si="22"/>
        <v>0</v>
      </c>
      <c r="BC70">
        <f t="shared" si="23"/>
        <v>0</v>
      </c>
      <c r="BD70">
        <f t="shared" si="24"/>
        <v>0</v>
      </c>
      <c r="BE70">
        <f t="shared" si="25"/>
        <v>0</v>
      </c>
      <c r="BF70">
        <f t="shared" si="26"/>
        <v>0</v>
      </c>
      <c r="BG70">
        <f t="shared" si="27"/>
        <v>2099.4295501799998</v>
      </c>
      <c r="BH70">
        <f t="shared" si="28"/>
        <v>2080.7126424900002</v>
      </c>
      <c r="BI70">
        <f t="shared" si="29"/>
        <v>2042.8988580900002</v>
      </c>
      <c r="BJ70">
        <f t="shared" si="30"/>
        <v>1943.30119545</v>
      </c>
      <c r="BK70">
        <f t="shared" si="31"/>
        <v>1926.80001072</v>
      </c>
      <c r="BL70">
        <f t="shared" si="32"/>
        <v>1849.2771747600002</v>
      </c>
    </row>
    <row r="71" spans="1:64">
      <c r="A71" t="str">
        <f t="shared" si="17"/>
        <v>03</v>
      </c>
      <c r="B71" t="s">
        <v>605</v>
      </c>
      <c r="C71" t="s">
        <v>626</v>
      </c>
      <c r="D71">
        <v>55</v>
      </c>
      <c r="E71">
        <v>1</v>
      </c>
      <c r="F71">
        <v>6</v>
      </c>
      <c r="G71">
        <v>2</v>
      </c>
      <c r="H71">
        <v>100</v>
      </c>
      <c r="I71" t="s">
        <v>609</v>
      </c>
      <c r="J71">
        <v>0.30630000000000002</v>
      </c>
      <c r="K71">
        <v>26.020199999999999</v>
      </c>
      <c r="L71">
        <v>9.4000000000000004E-3</v>
      </c>
      <c r="M71">
        <v>0.55920000000000003</v>
      </c>
      <c r="N71">
        <v>22.142399999999999</v>
      </c>
      <c r="O71">
        <v>89.539100000000005</v>
      </c>
      <c r="P71">
        <v>483.05919999999998</v>
      </c>
      <c r="Q71">
        <v>218.29429999999999</v>
      </c>
      <c r="R71">
        <v>0.84940000000000004</v>
      </c>
      <c r="S71">
        <v>0.54159999999999997</v>
      </c>
      <c r="T71">
        <v>0.26329999999999998</v>
      </c>
      <c r="U71">
        <v>4.0000000000000001E-3</v>
      </c>
      <c r="V71">
        <v>0.38340000000000002</v>
      </c>
      <c r="W71">
        <v>12.6454</v>
      </c>
      <c r="X71">
        <v>99.064599999999999</v>
      </c>
      <c r="Y71">
        <v>88.695400000000006</v>
      </c>
      <c r="Z71">
        <v>88.063999999999993</v>
      </c>
      <c r="AA71">
        <v>403.024</v>
      </c>
      <c r="AB71">
        <v>8.1601999999999997</v>
      </c>
      <c r="AC71">
        <v>40.971899999999998</v>
      </c>
      <c r="AD71">
        <v>54.82</v>
      </c>
      <c r="AE71">
        <v>3.4935999999999998</v>
      </c>
      <c r="AF71">
        <v>7604.5905000000002</v>
      </c>
      <c r="AG71">
        <v>66.627300000000005</v>
      </c>
      <c r="AH71">
        <v>0.64949999999999997</v>
      </c>
      <c r="AI71">
        <v>85.890699999999995</v>
      </c>
      <c r="AJ71">
        <v>67.684700000000007</v>
      </c>
      <c r="AK71">
        <v>74.908699999999996</v>
      </c>
      <c r="AL71">
        <v>1.9575</v>
      </c>
      <c r="AM71">
        <v>0.05</v>
      </c>
      <c r="AN71">
        <v>1.06E-2</v>
      </c>
      <c r="AO71">
        <v>96.474900000000005</v>
      </c>
      <c r="AP71">
        <v>91.7102</v>
      </c>
      <c r="AQ71">
        <v>90.959299999999999</v>
      </c>
      <c r="AR71">
        <v>89.544499999999999</v>
      </c>
      <c r="AS71">
        <v>85.420900000000003</v>
      </c>
      <c r="AT71">
        <v>84.733099999999993</v>
      </c>
      <c r="AU71">
        <v>81.283699999999996</v>
      </c>
      <c r="AV71">
        <v>10417.4694</v>
      </c>
      <c r="AW71">
        <v>26565.519199999999</v>
      </c>
      <c r="AX71">
        <f t="shared" si="18"/>
        <v>1088439.7961104799</v>
      </c>
      <c r="AY71">
        <f t="shared" si="19"/>
        <v>1769988.81739416</v>
      </c>
      <c r="AZ71">
        <f t="shared" si="20"/>
        <v>335931.61649167998</v>
      </c>
      <c r="BA71">
        <f t="shared" si="21"/>
        <v>26565.519199999999</v>
      </c>
      <c r="BB71">
        <f t="shared" si="22"/>
        <v>0</v>
      </c>
      <c r="BC71">
        <f t="shared" si="23"/>
        <v>0</v>
      </c>
      <c r="BD71">
        <f t="shared" si="24"/>
        <v>0</v>
      </c>
      <c r="BE71">
        <f t="shared" si="25"/>
        <v>0</v>
      </c>
      <c r="BF71">
        <f t="shared" si="26"/>
        <v>0</v>
      </c>
      <c r="BG71">
        <f t="shared" si="27"/>
        <v>9085.2342789199993</v>
      </c>
      <c r="BH71">
        <f t="shared" si="28"/>
        <v>9010.8466707799998</v>
      </c>
      <c r="BI71">
        <f t="shared" si="29"/>
        <v>8870.6900747</v>
      </c>
      <c r="BJ71">
        <f t="shared" si="30"/>
        <v>8462.1872901400002</v>
      </c>
      <c r="BK71">
        <f t="shared" si="31"/>
        <v>8394.0506582599992</v>
      </c>
      <c r="BL71">
        <f t="shared" si="32"/>
        <v>8052.3372270199998</v>
      </c>
    </row>
    <row r="72" spans="1:64">
      <c r="A72" t="str">
        <f t="shared" si="17"/>
        <v>03</v>
      </c>
      <c r="B72" t="s">
        <v>605</v>
      </c>
      <c r="C72" t="s">
        <v>626</v>
      </c>
      <c r="D72">
        <v>55</v>
      </c>
      <c r="E72">
        <v>1</v>
      </c>
      <c r="F72">
        <v>6</v>
      </c>
      <c r="G72">
        <v>2</v>
      </c>
      <c r="H72">
        <v>100</v>
      </c>
      <c r="I72" t="s">
        <v>617</v>
      </c>
      <c r="J72">
        <v>0.35170000000000001</v>
      </c>
      <c r="K72">
        <v>44.975299999999997</v>
      </c>
      <c r="L72">
        <v>1.0999999999999999E-2</v>
      </c>
      <c r="M72">
        <v>0.63239999999999996</v>
      </c>
      <c r="N72">
        <v>22.822099999999999</v>
      </c>
      <c r="O72">
        <v>88.981499999999997</v>
      </c>
      <c r="P72">
        <v>401.23250000000002</v>
      </c>
      <c r="Q72">
        <v>213.25319999999999</v>
      </c>
      <c r="R72">
        <v>0.74380000000000002</v>
      </c>
      <c r="S72">
        <v>0.56389999999999996</v>
      </c>
      <c r="T72">
        <v>0.27050000000000002</v>
      </c>
      <c r="U72">
        <v>3.8E-3</v>
      </c>
      <c r="V72">
        <v>0.39439999999999997</v>
      </c>
      <c r="W72">
        <v>12.5276</v>
      </c>
      <c r="X72">
        <v>15.7193</v>
      </c>
      <c r="Y72">
        <v>14.006500000000001</v>
      </c>
      <c r="Z72">
        <v>13.9694</v>
      </c>
      <c r="AA72">
        <v>61.367100000000001</v>
      </c>
      <c r="AB72">
        <v>8.0098000000000003</v>
      </c>
      <c r="AC72">
        <v>40.039700000000003</v>
      </c>
      <c r="AD72">
        <v>54.383000000000003</v>
      </c>
      <c r="AE72">
        <v>0.54800000000000004</v>
      </c>
      <c r="AF72">
        <v>7510.4807000000001</v>
      </c>
      <c r="AG72">
        <v>66.712400000000002</v>
      </c>
      <c r="AH72">
        <v>0.11899999999999999</v>
      </c>
      <c r="AI72">
        <v>86.372100000000003</v>
      </c>
      <c r="AJ72">
        <v>73.2</v>
      </c>
      <c r="AK72">
        <v>75.867199999999997</v>
      </c>
      <c r="AL72">
        <v>2.0070000000000001</v>
      </c>
      <c r="AM72">
        <v>0.05</v>
      </c>
      <c r="AN72">
        <v>1.52E-2</v>
      </c>
      <c r="AO72">
        <v>96.835999999999999</v>
      </c>
      <c r="AP72">
        <v>91.254499999999993</v>
      </c>
      <c r="AQ72">
        <v>90.5</v>
      </c>
      <c r="AR72">
        <v>89.177700000000002</v>
      </c>
      <c r="AS72">
        <v>85.262799999999999</v>
      </c>
      <c r="AT72">
        <v>84.607900000000001</v>
      </c>
      <c r="AU72">
        <v>81.381799999999998</v>
      </c>
      <c r="AV72">
        <v>1605.4327000000001</v>
      </c>
      <c r="AW72">
        <v>4115.6629999999996</v>
      </c>
      <c r="AX72">
        <f t="shared" si="18"/>
        <v>164789.91182109999</v>
      </c>
      <c r="AY72">
        <f t="shared" si="19"/>
        <v>274565.75632119999</v>
      </c>
      <c r="AZ72">
        <f t="shared" si="20"/>
        <v>51559.379798799993</v>
      </c>
      <c r="BA72">
        <f t="shared" si="21"/>
        <v>4115.6629999999996</v>
      </c>
      <c r="BB72">
        <f t="shared" si="22"/>
        <v>0</v>
      </c>
      <c r="BC72">
        <f t="shared" si="23"/>
        <v>0</v>
      </c>
      <c r="BD72">
        <f t="shared" si="24"/>
        <v>0</v>
      </c>
      <c r="BE72">
        <f t="shared" si="25"/>
        <v>0</v>
      </c>
      <c r="BF72">
        <f t="shared" si="26"/>
        <v>0</v>
      </c>
      <c r="BG72">
        <f t="shared" si="27"/>
        <v>1434.45686185</v>
      </c>
      <c r="BH72">
        <f t="shared" si="28"/>
        <v>1422.59665</v>
      </c>
      <c r="BI72">
        <f t="shared" si="29"/>
        <v>1401.8110196100001</v>
      </c>
      <c r="BJ72">
        <f t="shared" si="30"/>
        <v>1340.27153204</v>
      </c>
      <c r="BK72">
        <f t="shared" si="31"/>
        <v>1329.97696247</v>
      </c>
      <c r="BL72">
        <f t="shared" si="32"/>
        <v>1279.26492874</v>
      </c>
    </row>
    <row r="73" spans="1:64">
      <c r="A73" t="str">
        <f t="shared" si="17"/>
        <v>03</v>
      </c>
      <c r="B73" t="s">
        <v>605</v>
      </c>
      <c r="C73" t="s">
        <v>626</v>
      </c>
      <c r="D73">
        <v>55</v>
      </c>
      <c r="E73">
        <v>1</v>
      </c>
      <c r="F73">
        <v>6</v>
      </c>
      <c r="G73">
        <v>2</v>
      </c>
      <c r="H73">
        <v>100</v>
      </c>
      <c r="I73" t="s">
        <v>607</v>
      </c>
      <c r="J73">
        <v>0.4088</v>
      </c>
      <c r="K73">
        <v>30.982299999999999</v>
      </c>
      <c r="L73">
        <v>1.0800000000000001E-2</v>
      </c>
      <c r="M73">
        <v>0.61339999999999995</v>
      </c>
      <c r="N73">
        <v>25.2562</v>
      </c>
      <c r="O73">
        <v>88.971599999999995</v>
      </c>
      <c r="P73">
        <v>403.1771</v>
      </c>
      <c r="Q73">
        <v>215.20429999999999</v>
      </c>
      <c r="R73">
        <v>0.70469999999999999</v>
      </c>
      <c r="S73">
        <v>0.66020000000000001</v>
      </c>
      <c r="T73">
        <v>0.3175</v>
      </c>
      <c r="U73">
        <v>5.4000000000000003E-3</v>
      </c>
      <c r="V73">
        <v>0.49209999999999998</v>
      </c>
      <c r="W73">
        <v>12.4938</v>
      </c>
      <c r="X73">
        <v>12.1823</v>
      </c>
      <c r="Y73">
        <v>10.8994</v>
      </c>
      <c r="Z73">
        <v>10.829000000000001</v>
      </c>
      <c r="AA73">
        <v>43.157800000000002</v>
      </c>
      <c r="AB73">
        <v>7.3688000000000002</v>
      </c>
      <c r="AC73">
        <v>40.728000000000002</v>
      </c>
      <c r="AD73">
        <v>54.862699999999997</v>
      </c>
      <c r="AE73">
        <v>0.33689999999999998</v>
      </c>
      <c r="AF73">
        <v>7560.5754999999999</v>
      </c>
      <c r="AG73">
        <v>67.510099999999994</v>
      </c>
      <c r="AH73">
        <v>8.1699999999999995E-2</v>
      </c>
      <c r="AI73">
        <v>86.617500000000007</v>
      </c>
      <c r="AJ73">
        <v>73.2</v>
      </c>
      <c r="AK73">
        <v>76.360900000000001</v>
      </c>
      <c r="AL73">
        <v>1.9397</v>
      </c>
      <c r="AM73">
        <v>0.05</v>
      </c>
      <c r="AN73">
        <v>1.4200000000000001E-2</v>
      </c>
      <c r="AO73">
        <v>96.997100000000003</v>
      </c>
      <c r="AP73">
        <v>90.975999999999999</v>
      </c>
      <c r="AQ73">
        <v>90.311999999999998</v>
      </c>
      <c r="AR73">
        <v>89.021500000000003</v>
      </c>
      <c r="AS73">
        <v>85.2624</v>
      </c>
      <c r="AT73">
        <v>84.624899999999997</v>
      </c>
      <c r="AU73">
        <v>81.441299999999998</v>
      </c>
      <c r="AV73">
        <v>1003.3259</v>
      </c>
      <c r="AW73">
        <v>2546.9879000000001</v>
      </c>
      <c r="AX73">
        <f t="shared" si="18"/>
        <v>103733.72319120001</v>
      </c>
      <c r="AY73">
        <f t="shared" si="19"/>
        <v>171947.40782778998</v>
      </c>
      <c r="AZ73">
        <f t="shared" si="20"/>
        <v>31821.557425020001</v>
      </c>
      <c r="BA73">
        <f t="shared" si="21"/>
        <v>2546.9879000000001</v>
      </c>
      <c r="BB73">
        <f t="shared" si="22"/>
        <v>0</v>
      </c>
      <c r="BC73">
        <f t="shared" si="23"/>
        <v>0</v>
      </c>
      <c r="BD73">
        <f t="shared" si="24"/>
        <v>0</v>
      </c>
      <c r="BE73">
        <f t="shared" si="25"/>
        <v>0</v>
      </c>
      <c r="BF73">
        <f t="shared" si="26"/>
        <v>0</v>
      </c>
      <c r="BG73">
        <f t="shared" si="27"/>
        <v>1108.2969247999999</v>
      </c>
      <c r="BH73">
        <f t="shared" si="28"/>
        <v>1100.2078775999998</v>
      </c>
      <c r="BI73">
        <f t="shared" si="29"/>
        <v>1084.48661945</v>
      </c>
      <c r="BJ73">
        <f t="shared" si="30"/>
        <v>1038.69213552</v>
      </c>
      <c r="BK73">
        <f t="shared" si="31"/>
        <v>1030.9259192699999</v>
      </c>
      <c r="BL73">
        <f t="shared" si="32"/>
        <v>992.14234898999996</v>
      </c>
    </row>
    <row r="74" spans="1:64">
      <c r="A74" t="str">
        <f t="shared" si="17"/>
        <v>04</v>
      </c>
      <c r="B74" t="s">
        <v>605</v>
      </c>
      <c r="C74" t="s">
        <v>627</v>
      </c>
      <c r="D74">
        <v>55</v>
      </c>
      <c r="E74">
        <v>1</v>
      </c>
      <c r="F74">
        <v>6</v>
      </c>
      <c r="G74">
        <v>2</v>
      </c>
      <c r="H74">
        <v>100</v>
      </c>
      <c r="I74" t="s">
        <v>609</v>
      </c>
      <c r="J74">
        <v>0.32240000000000002</v>
      </c>
      <c r="K74">
        <v>21.774000000000001</v>
      </c>
      <c r="L74">
        <v>1.0800000000000001E-2</v>
      </c>
      <c r="M74">
        <v>0.51859999999999995</v>
      </c>
      <c r="N74">
        <v>21.2605</v>
      </c>
      <c r="O74">
        <v>89.530699999999996</v>
      </c>
      <c r="P74">
        <v>497.8603</v>
      </c>
      <c r="Q74">
        <v>214.28620000000001</v>
      </c>
      <c r="R74">
        <v>0.82099999999999995</v>
      </c>
      <c r="S74">
        <v>0.48759999999999998</v>
      </c>
      <c r="T74">
        <v>0.23980000000000001</v>
      </c>
      <c r="U74">
        <v>2.5999999999999999E-3</v>
      </c>
      <c r="V74">
        <v>0.33900000000000002</v>
      </c>
      <c r="W74">
        <v>12.456200000000001</v>
      </c>
      <c r="X74">
        <v>93.005799999999994</v>
      </c>
      <c r="Y74">
        <v>83.494399999999999</v>
      </c>
      <c r="Z74">
        <v>82.289100000000005</v>
      </c>
      <c r="AA74">
        <v>394.0752</v>
      </c>
      <c r="AB74">
        <v>6.9610000000000003</v>
      </c>
      <c r="AC74">
        <v>40.527500000000003</v>
      </c>
      <c r="AD74">
        <v>54.802999999999997</v>
      </c>
      <c r="AE74">
        <v>3.7065999999999999</v>
      </c>
      <c r="AF74">
        <v>7556.5406000000003</v>
      </c>
      <c r="AG74">
        <v>66.81</v>
      </c>
      <c r="AH74">
        <v>0.45100000000000001</v>
      </c>
      <c r="AI74">
        <v>84.929500000000004</v>
      </c>
      <c r="AJ74">
        <v>57.3444</v>
      </c>
      <c r="AK74">
        <v>73.000299999999996</v>
      </c>
      <c r="AL74">
        <v>2.0789</v>
      </c>
      <c r="AM74">
        <v>0.05</v>
      </c>
      <c r="AN74">
        <v>1.32E-2</v>
      </c>
      <c r="AO74">
        <v>96.717100000000002</v>
      </c>
      <c r="AP74">
        <v>92.473600000000005</v>
      </c>
      <c r="AQ74">
        <v>91.562899999999999</v>
      </c>
      <c r="AR74">
        <v>89.952699999999993</v>
      </c>
      <c r="AS74">
        <v>85.551100000000005</v>
      </c>
      <c r="AT74">
        <v>84.826800000000006</v>
      </c>
      <c r="AU74">
        <v>81.386200000000002</v>
      </c>
      <c r="AV74">
        <v>10870.121999999999</v>
      </c>
      <c r="AW74">
        <v>28007.845099999999</v>
      </c>
      <c r="AX74">
        <f t="shared" si="18"/>
        <v>1135087.94229025</v>
      </c>
      <c r="AY74">
        <f t="shared" si="19"/>
        <v>1871204.1311309999</v>
      </c>
      <c r="AZ74">
        <f t="shared" si="20"/>
        <v>348871.32013462001</v>
      </c>
      <c r="BA74">
        <f t="shared" si="21"/>
        <v>28007.845099999999</v>
      </c>
      <c r="BB74">
        <f t="shared" si="22"/>
        <v>0</v>
      </c>
      <c r="BC74">
        <f t="shared" si="23"/>
        <v>0</v>
      </c>
      <c r="BD74">
        <f t="shared" si="24"/>
        <v>0</v>
      </c>
      <c r="BE74">
        <f t="shared" si="25"/>
        <v>0</v>
      </c>
      <c r="BF74">
        <f t="shared" si="26"/>
        <v>0</v>
      </c>
      <c r="BG74">
        <f t="shared" si="27"/>
        <v>8600.5811468800002</v>
      </c>
      <c r="BH74">
        <f t="shared" si="28"/>
        <v>8515.88076482</v>
      </c>
      <c r="BI74">
        <f t="shared" si="29"/>
        <v>8366.1228256599989</v>
      </c>
      <c r="BJ74">
        <f t="shared" si="30"/>
        <v>7956.7484963799998</v>
      </c>
      <c r="BK74">
        <f t="shared" si="31"/>
        <v>7889.3843954399999</v>
      </c>
      <c r="BL74">
        <f t="shared" si="32"/>
        <v>7569.3886399599996</v>
      </c>
    </row>
    <row r="75" spans="1:64">
      <c r="A75" t="str">
        <f t="shared" si="17"/>
        <v>04</v>
      </c>
      <c r="B75" t="s">
        <v>605</v>
      </c>
      <c r="C75" t="s">
        <v>627</v>
      </c>
      <c r="D75">
        <v>55</v>
      </c>
      <c r="E75">
        <v>1</v>
      </c>
      <c r="F75">
        <v>6</v>
      </c>
      <c r="G75">
        <v>2</v>
      </c>
      <c r="H75">
        <v>100</v>
      </c>
      <c r="I75" t="s">
        <v>617</v>
      </c>
      <c r="J75">
        <v>0.35049999999999998</v>
      </c>
      <c r="K75">
        <v>43.993000000000002</v>
      </c>
      <c r="L75">
        <v>1.09E-2</v>
      </c>
      <c r="M75">
        <v>0.62139999999999995</v>
      </c>
      <c r="N75">
        <v>22.540600000000001</v>
      </c>
      <c r="O75">
        <v>88.154799999999994</v>
      </c>
      <c r="P75">
        <v>428.791</v>
      </c>
      <c r="Q75">
        <v>213.2534</v>
      </c>
      <c r="R75">
        <v>0.79290000000000005</v>
      </c>
      <c r="S75">
        <v>0.55730000000000002</v>
      </c>
      <c r="T75">
        <v>0.26800000000000002</v>
      </c>
      <c r="U75">
        <v>3.7000000000000002E-3</v>
      </c>
      <c r="V75">
        <v>0.39090000000000003</v>
      </c>
      <c r="W75">
        <v>12.5191</v>
      </c>
      <c r="X75">
        <v>4.6794000000000002</v>
      </c>
      <c r="Y75">
        <v>4.1681999999999997</v>
      </c>
      <c r="Z75">
        <v>4.1584000000000003</v>
      </c>
      <c r="AA75">
        <v>18.5151</v>
      </c>
      <c r="AB75">
        <v>8.0143000000000004</v>
      </c>
      <c r="AC75">
        <v>40.067599999999999</v>
      </c>
      <c r="AD75">
        <v>54.425400000000003</v>
      </c>
      <c r="AE75">
        <v>0.1646</v>
      </c>
      <c r="AF75">
        <v>7512.7098999999998</v>
      </c>
      <c r="AG75">
        <v>66.735799999999998</v>
      </c>
      <c r="AH75">
        <v>3.5799999999999998E-2</v>
      </c>
      <c r="AI75">
        <v>86.372399999999999</v>
      </c>
      <c r="AJ75">
        <v>72.215699999999998</v>
      </c>
      <c r="AK75">
        <v>75.867800000000003</v>
      </c>
      <c r="AL75">
        <v>2.0179999999999998</v>
      </c>
      <c r="AM75">
        <v>0.05</v>
      </c>
      <c r="AN75">
        <v>1.5599999999999999E-2</v>
      </c>
      <c r="AO75">
        <v>96.837999999999994</v>
      </c>
      <c r="AP75">
        <v>91.367500000000007</v>
      </c>
      <c r="AQ75">
        <v>90.596800000000002</v>
      </c>
      <c r="AR75">
        <v>89.244600000000005</v>
      </c>
      <c r="AS75">
        <v>85.282200000000003</v>
      </c>
      <c r="AT75">
        <v>84.620400000000004</v>
      </c>
      <c r="AU75">
        <v>81.383799999999994</v>
      </c>
      <c r="AV75">
        <v>482.10149999999999</v>
      </c>
      <c r="AW75">
        <v>1236.4333999999999</v>
      </c>
      <c r="AX75">
        <f t="shared" si="18"/>
        <v>49540.918897839991</v>
      </c>
      <c r="AY75">
        <f t="shared" si="19"/>
        <v>82514.372095719984</v>
      </c>
      <c r="AZ75">
        <f t="shared" si="20"/>
        <v>15479.033377939999</v>
      </c>
      <c r="BA75">
        <f t="shared" si="21"/>
        <v>1236.4333999999999</v>
      </c>
      <c r="BB75">
        <f t="shared" si="22"/>
        <v>0</v>
      </c>
      <c r="BC75">
        <f t="shared" si="23"/>
        <v>0</v>
      </c>
      <c r="BD75">
        <f t="shared" si="24"/>
        <v>0</v>
      </c>
      <c r="BE75">
        <f t="shared" si="25"/>
        <v>0</v>
      </c>
      <c r="BF75">
        <f t="shared" si="26"/>
        <v>0</v>
      </c>
      <c r="BG75">
        <f t="shared" si="27"/>
        <v>427.54507950000004</v>
      </c>
      <c r="BH75">
        <f t="shared" si="28"/>
        <v>423.93866592000001</v>
      </c>
      <c r="BI75">
        <f t="shared" si="29"/>
        <v>417.61118124000006</v>
      </c>
      <c r="BJ75">
        <f t="shared" si="30"/>
        <v>399.06952668000002</v>
      </c>
      <c r="BK75">
        <f t="shared" si="31"/>
        <v>395.97269976000001</v>
      </c>
      <c r="BL75">
        <f t="shared" si="32"/>
        <v>380.82735371999996</v>
      </c>
    </row>
    <row r="76" spans="1:64">
      <c r="A76" t="str">
        <f t="shared" si="17"/>
        <v>04</v>
      </c>
      <c r="B76" t="s">
        <v>605</v>
      </c>
      <c r="C76" t="s">
        <v>627</v>
      </c>
      <c r="D76">
        <v>55</v>
      </c>
      <c r="E76">
        <v>1</v>
      </c>
      <c r="F76">
        <v>6</v>
      </c>
      <c r="G76">
        <v>2</v>
      </c>
      <c r="H76">
        <v>200</v>
      </c>
      <c r="I76" t="s">
        <v>609</v>
      </c>
      <c r="J76">
        <v>0.29759999999999998</v>
      </c>
      <c r="K76">
        <v>36.678199999999997</v>
      </c>
      <c r="L76">
        <v>1.23E-2</v>
      </c>
      <c r="M76">
        <v>0.55169999999999997</v>
      </c>
      <c r="N76">
        <v>22.271999999999998</v>
      </c>
      <c r="O76">
        <v>86.307100000000005</v>
      </c>
      <c r="P76">
        <v>407.87990000000002</v>
      </c>
      <c r="Q76">
        <v>211.1284</v>
      </c>
      <c r="R76">
        <v>0.73070000000000002</v>
      </c>
      <c r="S76">
        <v>0.51639999999999997</v>
      </c>
      <c r="T76">
        <v>0.25669999999999998</v>
      </c>
      <c r="U76">
        <v>2.3E-3</v>
      </c>
      <c r="V76">
        <v>0.38429999999999997</v>
      </c>
      <c r="W76">
        <v>12.3162</v>
      </c>
      <c r="X76">
        <v>6.7859999999999996</v>
      </c>
      <c r="Y76">
        <v>6.0324</v>
      </c>
      <c r="Z76">
        <v>5.9897999999999998</v>
      </c>
      <c r="AA76">
        <v>27.085100000000001</v>
      </c>
      <c r="AB76">
        <v>13.1029</v>
      </c>
      <c r="AC76">
        <v>40.115299999999998</v>
      </c>
      <c r="AD76">
        <v>55.031399999999998</v>
      </c>
      <c r="AE76">
        <v>0.24149999999999999</v>
      </c>
      <c r="AF76">
        <v>7519.7664999999997</v>
      </c>
      <c r="AG76">
        <v>66.633700000000005</v>
      </c>
      <c r="AH76">
        <v>4.4299999999999999E-2</v>
      </c>
      <c r="AI76">
        <v>85.968100000000007</v>
      </c>
      <c r="AJ76">
        <v>73.2</v>
      </c>
      <c r="AK76">
        <v>75.0578</v>
      </c>
      <c r="AL76">
        <v>2.0002</v>
      </c>
      <c r="AM76">
        <v>0.05</v>
      </c>
      <c r="AN76">
        <v>1.6199999999999999E-2</v>
      </c>
      <c r="AO76">
        <v>96.769900000000007</v>
      </c>
      <c r="AP76">
        <v>91.411100000000005</v>
      </c>
      <c r="AQ76">
        <v>90.531199999999998</v>
      </c>
      <c r="AR76">
        <v>89.106200000000001</v>
      </c>
      <c r="AS76">
        <v>85.201800000000006</v>
      </c>
      <c r="AT76">
        <v>84.533699999999996</v>
      </c>
      <c r="AU76">
        <v>81.256799999999998</v>
      </c>
      <c r="AV76">
        <v>708.26530000000002</v>
      </c>
      <c r="AW76">
        <v>1815.6894</v>
      </c>
      <c r="AX76">
        <f t="shared" si="18"/>
        <v>72836.924987819992</v>
      </c>
      <c r="AY76">
        <f t="shared" si="19"/>
        <v>120986.10277278001</v>
      </c>
      <c r="AZ76">
        <f t="shared" si="20"/>
        <v>22362.393788280002</v>
      </c>
      <c r="BA76">
        <f t="shared" si="21"/>
        <v>1815.6894</v>
      </c>
      <c r="BB76">
        <f t="shared" si="22"/>
        <v>0</v>
      </c>
      <c r="BC76">
        <f t="shared" si="23"/>
        <v>0</v>
      </c>
      <c r="BD76">
        <f t="shared" si="24"/>
        <v>0</v>
      </c>
      <c r="BE76">
        <f t="shared" si="25"/>
        <v>0</v>
      </c>
      <c r="BF76">
        <f t="shared" si="26"/>
        <v>0</v>
      </c>
      <c r="BG76">
        <f t="shared" si="27"/>
        <v>620.31572459999995</v>
      </c>
      <c r="BH76">
        <f t="shared" si="28"/>
        <v>614.34472319999998</v>
      </c>
      <c r="BI76">
        <f t="shared" si="29"/>
        <v>604.67467319999992</v>
      </c>
      <c r="BJ76">
        <f t="shared" si="30"/>
        <v>578.17941480000002</v>
      </c>
      <c r="BK76">
        <f t="shared" si="31"/>
        <v>573.6456882</v>
      </c>
      <c r="BL76">
        <f t="shared" si="32"/>
        <v>551.40864479999993</v>
      </c>
    </row>
    <row r="77" spans="1:64">
      <c r="A77" t="str">
        <f t="shared" si="17"/>
        <v>05</v>
      </c>
      <c r="B77" t="s">
        <v>605</v>
      </c>
      <c r="C77" t="s">
        <v>628</v>
      </c>
      <c r="D77">
        <v>55</v>
      </c>
      <c r="E77">
        <v>1</v>
      </c>
      <c r="F77">
        <v>6</v>
      </c>
      <c r="G77">
        <v>2</v>
      </c>
      <c r="H77">
        <v>100</v>
      </c>
      <c r="I77" t="s">
        <v>609</v>
      </c>
      <c r="J77">
        <v>0.31440000000000001</v>
      </c>
      <c r="K77">
        <v>20.165800000000001</v>
      </c>
      <c r="L77">
        <v>9.7999999999999997E-3</v>
      </c>
      <c r="M77">
        <v>0.43740000000000001</v>
      </c>
      <c r="N77">
        <v>19.087199999999999</v>
      </c>
      <c r="O77">
        <v>85.306100000000001</v>
      </c>
      <c r="P77">
        <v>774.23440000000005</v>
      </c>
      <c r="Q77">
        <v>213.84690000000001</v>
      </c>
      <c r="R77">
        <v>1.3744000000000001</v>
      </c>
      <c r="S77">
        <v>0.44419999999999998</v>
      </c>
      <c r="T77">
        <v>0.224</v>
      </c>
      <c r="U77">
        <v>2.3999999999999998E-3</v>
      </c>
      <c r="V77">
        <v>0.31830000000000003</v>
      </c>
      <c r="W77">
        <v>12.36</v>
      </c>
      <c r="X77">
        <v>31.946100000000001</v>
      </c>
      <c r="Y77">
        <v>28.689599999999999</v>
      </c>
      <c r="Z77">
        <v>28.310600000000001</v>
      </c>
      <c r="AA77">
        <v>150.87280000000001</v>
      </c>
      <c r="AB77">
        <v>6.9903000000000004</v>
      </c>
      <c r="AC77">
        <v>40.741</v>
      </c>
      <c r="AD77">
        <v>55.485799999999998</v>
      </c>
      <c r="AE77">
        <v>1.3549</v>
      </c>
      <c r="AF77">
        <v>7569.9138999999996</v>
      </c>
      <c r="AG77">
        <v>67.151799999999994</v>
      </c>
      <c r="AH77">
        <v>0.16420000000000001</v>
      </c>
      <c r="AI77">
        <v>84.927800000000005</v>
      </c>
      <c r="AJ77">
        <v>54.247799999999998</v>
      </c>
      <c r="AK77">
        <v>72.996099999999998</v>
      </c>
      <c r="AL77">
        <v>2.1118000000000001</v>
      </c>
      <c r="AM77">
        <v>0.05</v>
      </c>
      <c r="AN77">
        <v>1.55E-2</v>
      </c>
      <c r="AO77">
        <v>96.814400000000006</v>
      </c>
      <c r="AP77">
        <v>92.892099999999999</v>
      </c>
      <c r="AQ77">
        <v>91.875699999999995</v>
      </c>
      <c r="AR77">
        <v>90.055599999999998</v>
      </c>
      <c r="AS77">
        <v>85.407899999999998</v>
      </c>
      <c r="AT77">
        <v>84.632300000000001</v>
      </c>
      <c r="AU77">
        <v>81.163899999999998</v>
      </c>
      <c r="AV77">
        <v>3981.5518999999999</v>
      </c>
      <c r="AW77">
        <v>10256.2438</v>
      </c>
      <c r="AX77">
        <f t="shared" si="18"/>
        <v>417849.62865580001</v>
      </c>
      <c r="AY77">
        <f t="shared" si="19"/>
        <v>688725.23240883998</v>
      </c>
      <c r="AZ77">
        <f t="shared" si="20"/>
        <v>126767.173368</v>
      </c>
      <c r="BA77">
        <f t="shared" si="21"/>
        <v>10256.2438</v>
      </c>
      <c r="BB77">
        <f t="shared" si="22"/>
        <v>0</v>
      </c>
      <c r="BC77">
        <f t="shared" si="23"/>
        <v>0</v>
      </c>
      <c r="BD77">
        <f t="shared" si="24"/>
        <v>0</v>
      </c>
      <c r="BE77">
        <f t="shared" si="25"/>
        <v>0</v>
      </c>
      <c r="BF77">
        <f t="shared" si="26"/>
        <v>0</v>
      </c>
      <c r="BG77">
        <f t="shared" si="27"/>
        <v>2967.5403158100003</v>
      </c>
      <c r="BH77">
        <f t="shared" si="28"/>
        <v>2935.07029977</v>
      </c>
      <c r="BI77">
        <f t="shared" si="29"/>
        <v>2876.9252031599999</v>
      </c>
      <c r="BJ77">
        <f t="shared" si="30"/>
        <v>2728.4493141900002</v>
      </c>
      <c r="BK77">
        <f t="shared" si="31"/>
        <v>2703.67191903</v>
      </c>
      <c r="BL77">
        <f t="shared" si="32"/>
        <v>2592.8700657899999</v>
      </c>
    </row>
    <row r="78" spans="1:64">
      <c r="A78" t="str">
        <f t="shared" si="17"/>
        <v>05</v>
      </c>
      <c r="B78" t="s">
        <v>605</v>
      </c>
      <c r="C78" t="s">
        <v>628</v>
      </c>
      <c r="D78">
        <v>55</v>
      </c>
      <c r="E78">
        <v>1</v>
      </c>
      <c r="F78">
        <v>6</v>
      </c>
      <c r="G78">
        <v>2</v>
      </c>
      <c r="H78">
        <v>100</v>
      </c>
      <c r="I78" t="s">
        <v>617</v>
      </c>
      <c r="J78">
        <v>0.35110000000000002</v>
      </c>
      <c r="K78">
        <v>22.9224</v>
      </c>
      <c r="L78">
        <v>8.8000000000000005E-3</v>
      </c>
      <c r="M78">
        <v>0.41870000000000002</v>
      </c>
      <c r="N78">
        <v>17.898099999999999</v>
      </c>
      <c r="O78">
        <v>73.093100000000007</v>
      </c>
      <c r="P78">
        <v>926.7731</v>
      </c>
      <c r="Q78">
        <v>212.83789999999999</v>
      </c>
      <c r="R78">
        <v>1.6845000000000001</v>
      </c>
      <c r="S78">
        <v>0.46179999999999999</v>
      </c>
      <c r="T78">
        <v>0.23280000000000001</v>
      </c>
      <c r="U78">
        <v>2.5999999999999999E-3</v>
      </c>
      <c r="V78">
        <v>0.34889999999999999</v>
      </c>
      <c r="W78">
        <v>12.335599999999999</v>
      </c>
      <c r="X78">
        <v>19.5503</v>
      </c>
      <c r="Y78">
        <v>17.288499999999999</v>
      </c>
      <c r="Z78">
        <v>17.3109</v>
      </c>
      <c r="AA78">
        <v>96.604100000000003</v>
      </c>
      <c r="AB78">
        <v>9.2055000000000007</v>
      </c>
      <c r="AC78">
        <v>40.586799999999997</v>
      </c>
      <c r="AD78">
        <v>55.366599999999998</v>
      </c>
      <c r="AE78">
        <v>0.76959999999999995</v>
      </c>
      <c r="AF78">
        <v>7548.0137000000004</v>
      </c>
      <c r="AG78">
        <v>67.449100000000001</v>
      </c>
      <c r="AH78">
        <v>0.1648</v>
      </c>
      <c r="AI78">
        <v>86.326899999999995</v>
      </c>
      <c r="AJ78">
        <v>54.21</v>
      </c>
      <c r="AK78">
        <v>75.776399999999995</v>
      </c>
      <c r="AL78">
        <v>2.1987999999999999</v>
      </c>
      <c r="AM78">
        <v>0.05</v>
      </c>
      <c r="AN78">
        <v>2.3400000000000001E-2</v>
      </c>
      <c r="AO78">
        <v>97.014600000000002</v>
      </c>
      <c r="AP78">
        <v>93.222399999999993</v>
      </c>
      <c r="AQ78">
        <v>92.175899999999999</v>
      </c>
      <c r="AR78">
        <v>90.297799999999995</v>
      </c>
      <c r="AS78">
        <v>85.557299999999998</v>
      </c>
      <c r="AT78">
        <v>84.773200000000003</v>
      </c>
      <c r="AU78">
        <v>81.343900000000005</v>
      </c>
      <c r="AV78">
        <v>2255.5154000000002</v>
      </c>
      <c r="AW78">
        <v>5808.6287000000002</v>
      </c>
      <c r="AX78">
        <f t="shared" si="18"/>
        <v>235753.65132116</v>
      </c>
      <c r="AY78">
        <f t="shared" si="19"/>
        <v>391786.77804917004</v>
      </c>
      <c r="AZ78">
        <f t="shared" si="20"/>
        <v>71652.920191719997</v>
      </c>
      <c r="BA78">
        <f t="shared" si="21"/>
        <v>5808.6287000000002</v>
      </c>
      <c r="BB78">
        <f t="shared" si="22"/>
        <v>0</v>
      </c>
      <c r="BC78">
        <f t="shared" si="23"/>
        <v>0</v>
      </c>
      <c r="BD78">
        <f t="shared" si="24"/>
        <v>0</v>
      </c>
      <c r="BE78">
        <f t="shared" si="25"/>
        <v>0</v>
      </c>
      <c r="BF78">
        <f t="shared" si="26"/>
        <v>0</v>
      </c>
      <c r="BG78">
        <f t="shared" si="27"/>
        <v>1822.5258867199998</v>
      </c>
      <c r="BH78">
        <f t="shared" si="28"/>
        <v>1802.0664977700001</v>
      </c>
      <c r="BI78">
        <f t="shared" si="29"/>
        <v>1765.3490793399999</v>
      </c>
      <c r="BJ78">
        <f t="shared" si="30"/>
        <v>1672.6708821899999</v>
      </c>
      <c r="BK78">
        <f t="shared" si="31"/>
        <v>1657.34149196</v>
      </c>
      <c r="BL78">
        <f t="shared" si="32"/>
        <v>1590.29764817</v>
      </c>
    </row>
    <row r="79" spans="1:64">
      <c r="A79" t="str">
        <f t="shared" si="17"/>
        <v>05</v>
      </c>
      <c r="B79" t="s">
        <v>605</v>
      </c>
      <c r="C79" t="s">
        <v>628</v>
      </c>
      <c r="D79">
        <v>55</v>
      </c>
      <c r="E79">
        <v>1</v>
      </c>
      <c r="F79">
        <v>6</v>
      </c>
      <c r="G79">
        <v>2</v>
      </c>
      <c r="H79">
        <v>200</v>
      </c>
      <c r="I79" t="s">
        <v>609</v>
      </c>
      <c r="J79">
        <v>0.33339999999999997</v>
      </c>
      <c r="K79">
        <v>19.884399999999999</v>
      </c>
      <c r="L79">
        <v>1.03E-2</v>
      </c>
      <c r="M79">
        <v>0.4975</v>
      </c>
      <c r="N79">
        <v>17.881</v>
      </c>
      <c r="O79">
        <v>86.442800000000005</v>
      </c>
      <c r="P79">
        <v>928.63760000000002</v>
      </c>
      <c r="Q79">
        <v>211.48670000000001</v>
      </c>
      <c r="R79">
        <v>1.6847000000000001</v>
      </c>
      <c r="S79">
        <v>0.47689999999999999</v>
      </c>
      <c r="T79">
        <v>0.25209999999999999</v>
      </c>
      <c r="U79">
        <v>1.5E-3</v>
      </c>
      <c r="V79">
        <v>0.34200000000000003</v>
      </c>
      <c r="W79">
        <v>12.2431</v>
      </c>
      <c r="X79">
        <v>8.4280000000000008</v>
      </c>
      <c r="Y79">
        <v>7.5780000000000003</v>
      </c>
      <c r="Z79">
        <v>7.4672000000000001</v>
      </c>
      <c r="AA79">
        <v>42.380200000000002</v>
      </c>
      <c r="AB79">
        <v>5.8905000000000003</v>
      </c>
      <c r="AC79">
        <v>40.503799999999998</v>
      </c>
      <c r="AD79">
        <v>56.047499999999999</v>
      </c>
      <c r="AE79">
        <v>0.33339999999999997</v>
      </c>
      <c r="AF79">
        <v>7542.4688999999998</v>
      </c>
      <c r="AG79">
        <v>67.331299999999999</v>
      </c>
      <c r="AH79">
        <v>4.0599999999999997E-2</v>
      </c>
      <c r="AI79">
        <v>84.988500000000002</v>
      </c>
      <c r="AJ79">
        <v>54.21</v>
      </c>
      <c r="AK79">
        <v>73.113200000000006</v>
      </c>
      <c r="AL79">
        <v>2.2492999999999999</v>
      </c>
      <c r="AM79">
        <v>0.05</v>
      </c>
      <c r="AN79">
        <v>1.6799999999999999E-2</v>
      </c>
      <c r="AO79">
        <v>96.984099999999998</v>
      </c>
      <c r="AP79">
        <v>93.284099999999995</v>
      </c>
      <c r="AQ79">
        <v>92.149299999999997</v>
      </c>
      <c r="AR79">
        <v>90.166300000000007</v>
      </c>
      <c r="AS79">
        <v>85.359099999999998</v>
      </c>
      <c r="AT79">
        <v>84.574399999999997</v>
      </c>
      <c r="AU79">
        <v>81.231999999999999</v>
      </c>
      <c r="AV79">
        <v>987.35220000000004</v>
      </c>
      <c r="AW79">
        <v>2514.7854000000002</v>
      </c>
      <c r="AX79">
        <f t="shared" si="18"/>
        <v>101858.36488452001</v>
      </c>
      <c r="AY79">
        <f t="shared" si="19"/>
        <v>169323.77020302002</v>
      </c>
      <c r="AZ79">
        <f t="shared" si="20"/>
        <v>30788.769130740002</v>
      </c>
      <c r="BA79">
        <f t="shared" si="21"/>
        <v>2514.7854000000002</v>
      </c>
      <c r="BB79">
        <f t="shared" si="22"/>
        <v>0</v>
      </c>
      <c r="BC79">
        <f t="shared" si="23"/>
        <v>0</v>
      </c>
      <c r="BD79">
        <f t="shared" si="24"/>
        <v>0</v>
      </c>
      <c r="BE79">
        <f t="shared" si="25"/>
        <v>0</v>
      </c>
      <c r="BF79">
        <f t="shared" si="26"/>
        <v>0</v>
      </c>
      <c r="BG79">
        <f t="shared" si="27"/>
        <v>786.19839480000007</v>
      </c>
      <c r="BH79">
        <f t="shared" si="28"/>
        <v>776.63430040000003</v>
      </c>
      <c r="BI79">
        <f t="shared" si="29"/>
        <v>759.92157640000016</v>
      </c>
      <c r="BJ79">
        <f t="shared" si="30"/>
        <v>719.40649480000002</v>
      </c>
      <c r="BK79">
        <f t="shared" si="31"/>
        <v>712.79304320000006</v>
      </c>
      <c r="BL79">
        <f t="shared" si="32"/>
        <v>684.6232960000001</v>
      </c>
    </row>
    <row r="80" spans="1:64">
      <c r="A80" t="str">
        <f t="shared" si="17"/>
        <v>05</v>
      </c>
      <c r="B80" t="s">
        <v>605</v>
      </c>
      <c r="C80" t="s">
        <v>628</v>
      </c>
      <c r="D80">
        <v>55</v>
      </c>
      <c r="E80">
        <v>1</v>
      </c>
      <c r="F80">
        <v>6</v>
      </c>
      <c r="G80">
        <v>2</v>
      </c>
      <c r="H80">
        <v>200</v>
      </c>
      <c r="I80" t="s">
        <v>617</v>
      </c>
      <c r="J80">
        <v>0.36059999999999998</v>
      </c>
      <c r="K80">
        <v>17.3354</v>
      </c>
      <c r="L80">
        <v>1.03E-2</v>
      </c>
      <c r="M80">
        <v>0.4975</v>
      </c>
      <c r="N80">
        <v>17.881</v>
      </c>
      <c r="O80">
        <v>80.218800000000002</v>
      </c>
      <c r="P80">
        <v>928.63760000000002</v>
      </c>
      <c r="Q80">
        <v>212.46170000000001</v>
      </c>
      <c r="R80">
        <v>1.782</v>
      </c>
      <c r="S80">
        <v>0.4541</v>
      </c>
      <c r="T80">
        <v>0.24590000000000001</v>
      </c>
      <c r="U80">
        <v>1.6999999999999999E-3</v>
      </c>
      <c r="V80">
        <v>0.34689999999999999</v>
      </c>
      <c r="W80">
        <v>12.227399999999999</v>
      </c>
      <c r="X80">
        <v>1.9905999999999999</v>
      </c>
      <c r="Y80">
        <v>1.7679</v>
      </c>
      <c r="Z80">
        <v>1.736</v>
      </c>
      <c r="AA80">
        <v>9.8872</v>
      </c>
      <c r="AB80">
        <v>6.8052999999999999</v>
      </c>
      <c r="AC80">
        <v>40.823500000000003</v>
      </c>
      <c r="AD80">
        <v>57.006</v>
      </c>
      <c r="AE80">
        <v>7.7100000000000002E-2</v>
      </c>
      <c r="AF80">
        <v>7569.9987000000001</v>
      </c>
      <c r="AG80">
        <v>67.5107</v>
      </c>
      <c r="AH80">
        <v>7.9000000000000008E-3</v>
      </c>
      <c r="AI80">
        <v>84.560500000000005</v>
      </c>
      <c r="AJ80">
        <v>54.21</v>
      </c>
      <c r="AK80">
        <v>72.2714</v>
      </c>
      <c r="AL80">
        <v>2.3172999999999999</v>
      </c>
      <c r="AM80">
        <v>0.05</v>
      </c>
      <c r="AN80">
        <v>1.9699999999999999E-2</v>
      </c>
      <c r="AO80">
        <v>96.964500000000001</v>
      </c>
      <c r="AP80">
        <v>93.075999999999993</v>
      </c>
      <c r="AQ80">
        <v>91.907600000000002</v>
      </c>
      <c r="AR80">
        <v>89.805000000000007</v>
      </c>
      <c r="AS80">
        <v>84.943100000000001</v>
      </c>
      <c r="AT80">
        <v>84.1267</v>
      </c>
      <c r="AU80">
        <v>80.748999999999995</v>
      </c>
      <c r="AV80">
        <v>229.81129999999999</v>
      </c>
      <c r="AW80">
        <v>583.61279999999999</v>
      </c>
      <c r="AX80">
        <f t="shared" si="18"/>
        <v>23825.117140800001</v>
      </c>
      <c r="AY80">
        <f t="shared" si="19"/>
        <v>39400.108656960001</v>
      </c>
      <c r="AZ80">
        <f t="shared" si="20"/>
        <v>7136.0671507199995</v>
      </c>
      <c r="BA80">
        <f t="shared" si="21"/>
        <v>583.61279999999999</v>
      </c>
      <c r="BB80">
        <f t="shared" si="22"/>
        <v>0</v>
      </c>
      <c r="BC80">
        <f t="shared" si="23"/>
        <v>0</v>
      </c>
      <c r="BD80">
        <f t="shared" si="24"/>
        <v>0</v>
      </c>
      <c r="BE80">
        <f t="shared" si="25"/>
        <v>0</v>
      </c>
      <c r="BF80">
        <f t="shared" si="26"/>
        <v>0</v>
      </c>
      <c r="BG80">
        <f t="shared" si="27"/>
        <v>185.27708559999999</v>
      </c>
      <c r="BH80">
        <f t="shared" si="28"/>
        <v>182.95126855999999</v>
      </c>
      <c r="BI80">
        <f t="shared" si="29"/>
        <v>178.76583300000001</v>
      </c>
      <c r="BJ80">
        <f t="shared" si="30"/>
        <v>169.08773485999998</v>
      </c>
      <c r="BK80">
        <f t="shared" si="31"/>
        <v>167.46260902</v>
      </c>
      <c r="BL80">
        <f t="shared" si="32"/>
        <v>160.73895939999997</v>
      </c>
    </row>
    <row r="81" spans="1:64">
      <c r="A81" t="str">
        <f t="shared" si="17"/>
        <v>08</v>
      </c>
      <c r="B81" t="s">
        <v>605</v>
      </c>
      <c r="C81" t="s">
        <v>629</v>
      </c>
      <c r="D81">
        <v>6</v>
      </c>
      <c r="E81">
        <v>4</v>
      </c>
      <c r="F81">
        <v>6</v>
      </c>
      <c r="G81">
        <v>2</v>
      </c>
      <c r="H81">
        <v>100</v>
      </c>
      <c r="I81" t="s">
        <v>607</v>
      </c>
      <c r="J81">
        <v>0.60299999999999998</v>
      </c>
      <c r="K81">
        <v>220.32220000000001</v>
      </c>
      <c r="L81">
        <v>5.6500000000000002E-2</v>
      </c>
      <c r="M81">
        <v>1.7137</v>
      </c>
      <c r="N81">
        <v>33.487000000000002</v>
      </c>
      <c r="O81">
        <v>90.318799999999996</v>
      </c>
      <c r="P81">
        <v>255.0266</v>
      </c>
      <c r="Q81">
        <v>174.1789</v>
      </c>
      <c r="R81">
        <v>2.4199999999999999E-2</v>
      </c>
      <c r="S81">
        <v>1.2155</v>
      </c>
      <c r="T81">
        <v>0</v>
      </c>
      <c r="U81">
        <v>0.36130000000000001</v>
      </c>
      <c r="V81">
        <v>0.6986</v>
      </c>
      <c r="W81">
        <v>13.282299999999999</v>
      </c>
      <c r="X81">
        <v>367.65539999999999</v>
      </c>
      <c r="Y81">
        <v>332.01830000000001</v>
      </c>
      <c r="Z81">
        <v>365.2799</v>
      </c>
      <c r="AA81">
        <v>990.48990000000003</v>
      </c>
      <c r="AB81">
        <v>18.599799999999998</v>
      </c>
      <c r="AC81">
        <v>31.2532</v>
      </c>
      <c r="AD81">
        <v>104.057</v>
      </c>
      <c r="AE81">
        <v>9.7650000000000006</v>
      </c>
      <c r="AF81">
        <v>6125.9552999999996</v>
      </c>
      <c r="AG81">
        <v>94.857100000000003</v>
      </c>
      <c r="AH81">
        <v>11.787699999999999</v>
      </c>
      <c r="AI81">
        <v>90.917699999999996</v>
      </c>
      <c r="AJ81">
        <v>73.2</v>
      </c>
      <c r="AK81">
        <v>85.268900000000002</v>
      </c>
      <c r="AL81">
        <v>1.1145</v>
      </c>
      <c r="AM81">
        <v>1.9272</v>
      </c>
      <c r="AN81">
        <v>6.1000000000000004E-3</v>
      </c>
      <c r="AO81">
        <v>109.76009999999999</v>
      </c>
      <c r="AP81">
        <v>92.637600000000006</v>
      </c>
      <c r="AQ81">
        <v>91.24</v>
      </c>
      <c r="AR81">
        <v>88.275000000000006</v>
      </c>
      <c r="AS81">
        <v>81.0929</v>
      </c>
      <c r="AT81">
        <v>79.804299999999998</v>
      </c>
      <c r="AU81">
        <v>74.872799999999998</v>
      </c>
      <c r="AV81">
        <v>22606.122299999999</v>
      </c>
      <c r="AW81">
        <v>59816.193399999996</v>
      </c>
      <c r="AX81">
        <f t="shared" ref="AX81:AX144" si="33">+AC81*AW81</f>
        <v>1869447.4555688798</v>
      </c>
      <c r="AY81">
        <f t="shared" ref="AY81:AY144" si="34">+AG81*AW81</f>
        <v>5673990.6389631396</v>
      </c>
      <c r="AZ81">
        <f t="shared" ref="AZ81:AZ144" si="35">+W81*AW81</f>
        <v>794496.62559681991</v>
      </c>
      <c r="BA81">
        <f t="shared" si="21"/>
        <v>0</v>
      </c>
      <c r="BB81">
        <f t="shared" si="22"/>
        <v>0</v>
      </c>
      <c r="BC81">
        <f t="shared" si="23"/>
        <v>59816.193399999996</v>
      </c>
      <c r="BD81">
        <f t="shared" si="24"/>
        <v>0</v>
      </c>
      <c r="BE81">
        <f t="shared" si="25"/>
        <v>0</v>
      </c>
      <c r="BF81">
        <f t="shared" si="26"/>
        <v>0</v>
      </c>
      <c r="BG81">
        <f t="shared" ref="BG81:BG144" si="36">+$X81*AP81</f>
        <v>34058.71388304</v>
      </c>
      <c r="BH81">
        <f t="shared" ref="BH81:BH144" si="37">+$X81*AQ81</f>
        <v>33544.878696</v>
      </c>
      <c r="BI81">
        <f t="shared" ref="BI81:BI144" si="38">+$X81*AR81</f>
        <v>32454.780435000001</v>
      </c>
      <c r="BJ81">
        <f t="shared" ref="BJ81:BJ144" si="39">+$X81*AS81</f>
        <v>29814.242586659999</v>
      </c>
      <c r="BK81">
        <f t="shared" ref="BK81:BK144" si="40">+$X81*AT81</f>
        <v>29340.481838219999</v>
      </c>
      <c r="BL81">
        <f t="shared" ref="BL81:BL144" si="41">+$X81*AU81</f>
        <v>27527.389233119997</v>
      </c>
    </row>
    <row r="82" spans="1:64">
      <c r="A82" t="str">
        <f t="shared" si="17"/>
        <v>09</v>
      </c>
      <c r="B82" t="s">
        <v>605</v>
      </c>
      <c r="C82" t="s">
        <v>630</v>
      </c>
      <c r="D82">
        <v>6</v>
      </c>
      <c r="E82">
        <v>4</v>
      </c>
      <c r="F82">
        <v>6</v>
      </c>
      <c r="G82">
        <v>2</v>
      </c>
      <c r="H82">
        <v>100</v>
      </c>
      <c r="I82" t="s">
        <v>607</v>
      </c>
      <c r="J82">
        <v>0.58730000000000004</v>
      </c>
      <c r="K82">
        <v>236.96799999999999</v>
      </c>
      <c r="L82">
        <v>5.9499999999999997E-2</v>
      </c>
      <c r="M82">
        <v>1.8766</v>
      </c>
      <c r="N82">
        <v>33.970199999999998</v>
      </c>
      <c r="O82">
        <v>90.143000000000001</v>
      </c>
      <c r="P82">
        <v>248.48679999999999</v>
      </c>
      <c r="Q82">
        <v>174.52359999999999</v>
      </c>
      <c r="R82">
        <v>2.4799999999999999E-2</v>
      </c>
      <c r="S82">
        <v>1.1029</v>
      </c>
      <c r="T82">
        <v>0</v>
      </c>
      <c r="U82">
        <v>0.42709999999999998</v>
      </c>
      <c r="V82">
        <v>0.67789999999999995</v>
      </c>
      <c r="W82">
        <v>12.9192</v>
      </c>
      <c r="X82">
        <v>326.88889999999998</v>
      </c>
      <c r="Y82">
        <v>294.61329999999998</v>
      </c>
      <c r="Z82">
        <v>326.18650000000002</v>
      </c>
      <c r="AA82">
        <v>866.08820000000003</v>
      </c>
      <c r="AB82">
        <v>11.925800000000001</v>
      </c>
      <c r="AC82">
        <v>32.132800000000003</v>
      </c>
      <c r="AD82">
        <v>101.04170000000001</v>
      </c>
      <c r="AE82">
        <v>8.8706999999999994</v>
      </c>
      <c r="AF82">
        <v>6217.1945999999998</v>
      </c>
      <c r="AG82">
        <v>94.755899999999997</v>
      </c>
      <c r="AH82">
        <v>11.000400000000001</v>
      </c>
      <c r="AI82">
        <v>90.940600000000003</v>
      </c>
      <c r="AJ82">
        <v>73.2</v>
      </c>
      <c r="AK82">
        <v>85.317999999999998</v>
      </c>
      <c r="AL82">
        <v>1.1346000000000001</v>
      </c>
      <c r="AM82">
        <v>1.9023000000000001</v>
      </c>
      <c r="AN82">
        <v>7.6E-3</v>
      </c>
      <c r="AO82">
        <v>109.209</v>
      </c>
      <c r="AP82">
        <v>92.581000000000003</v>
      </c>
      <c r="AQ82">
        <v>91.164299999999997</v>
      </c>
      <c r="AR82">
        <v>87.625</v>
      </c>
      <c r="AS82">
        <v>80.367999999999995</v>
      </c>
      <c r="AT82">
        <v>79.179900000000004</v>
      </c>
      <c r="AU82">
        <v>73.823400000000007</v>
      </c>
      <c r="AV82">
        <v>20824.838800000001</v>
      </c>
      <c r="AW82">
        <v>55145.707799999996</v>
      </c>
      <c r="AX82">
        <f t="shared" si="33"/>
        <v>1771985.99959584</v>
      </c>
      <c r="AY82">
        <f t="shared" si="34"/>
        <v>5225381.1737260194</v>
      </c>
      <c r="AZ82">
        <f t="shared" si="35"/>
        <v>712438.42820975999</v>
      </c>
      <c r="BA82">
        <f t="shared" si="21"/>
        <v>0</v>
      </c>
      <c r="BB82">
        <f t="shared" si="22"/>
        <v>0</v>
      </c>
      <c r="BC82">
        <f t="shared" si="23"/>
        <v>55145.707799999996</v>
      </c>
      <c r="BD82">
        <f t="shared" si="24"/>
        <v>0</v>
      </c>
      <c r="BE82">
        <f t="shared" si="25"/>
        <v>0</v>
      </c>
      <c r="BF82">
        <f t="shared" si="26"/>
        <v>0</v>
      </c>
      <c r="BG82">
        <f t="shared" si="36"/>
        <v>30263.701250899998</v>
      </c>
      <c r="BH82">
        <f t="shared" si="37"/>
        <v>29800.597746269996</v>
      </c>
      <c r="BI82">
        <f t="shared" si="38"/>
        <v>28643.639862499997</v>
      </c>
      <c r="BJ82">
        <f t="shared" si="39"/>
        <v>26271.407115199996</v>
      </c>
      <c r="BK82">
        <f t="shared" si="40"/>
        <v>25883.030413109998</v>
      </c>
      <c r="BL82">
        <f t="shared" si="41"/>
        <v>24132.050020260001</v>
      </c>
    </row>
    <row r="83" spans="1:64">
      <c r="A83" t="str">
        <f t="shared" si="17"/>
        <v>10</v>
      </c>
      <c r="B83" t="s">
        <v>605</v>
      </c>
      <c r="C83" t="s">
        <v>631</v>
      </c>
      <c r="D83">
        <v>6</v>
      </c>
      <c r="E83">
        <v>4</v>
      </c>
      <c r="F83">
        <v>6</v>
      </c>
      <c r="G83">
        <v>2</v>
      </c>
      <c r="H83">
        <v>100</v>
      </c>
      <c r="I83" t="s">
        <v>607</v>
      </c>
      <c r="J83">
        <v>0.57220000000000004</v>
      </c>
      <c r="K83">
        <v>195.96129999999999</v>
      </c>
      <c r="L83">
        <v>5.4800000000000001E-2</v>
      </c>
      <c r="M83">
        <v>1.9064000000000001</v>
      </c>
      <c r="N83">
        <v>34.210099999999997</v>
      </c>
      <c r="O83">
        <v>89.823599999999999</v>
      </c>
      <c r="P83">
        <v>242.25919999999999</v>
      </c>
      <c r="Q83">
        <v>180.08109999999999</v>
      </c>
      <c r="R83">
        <v>2.7099999999999999E-2</v>
      </c>
      <c r="S83">
        <v>1.0021</v>
      </c>
      <c r="T83">
        <v>0</v>
      </c>
      <c r="U83">
        <v>0.44690000000000002</v>
      </c>
      <c r="V83">
        <v>0.63380000000000003</v>
      </c>
      <c r="W83">
        <v>12.795199999999999</v>
      </c>
      <c r="X83">
        <v>307.36239999999998</v>
      </c>
      <c r="Y83">
        <v>275.98849999999999</v>
      </c>
      <c r="Z83">
        <v>295.04149999999998</v>
      </c>
      <c r="AA83">
        <v>805.64139999999998</v>
      </c>
      <c r="AB83">
        <v>9.0147999999999993</v>
      </c>
      <c r="AC83">
        <v>33.695399999999999</v>
      </c>
      <c r="AD83">
        <v>96.032300000000006</v>
      </c>
      <c r="AE83">
        <v>8.4061000000000003</v>
      </c>
      <c r="AF83">
        <v>6375.5010000000002</v>
      </c>
      <c r="AG83">
        <v>94.681700000000006</v>
      </c>
      <c r="AH83">
        <v>7.5410000000000004</v>
      </c>
      <c r="AI83">
        <v>90.100099999999998</v>
      </c>
      <c r="AJ83">
        <v>73.2</v>
      </c>
      <c r="AK83">
        <v>83.539000000000001</v>
      </c>
      <c r="AL83">
        <v>1.2204999999999999</v>
      </c>
      <c r="AM83">
        <v>1.8967000000000001</v>
      </c>
      <c r="AN83">
        <v>7.7999999999999996E-3</v>
      </c>
      <c r="AO83">
        <v>108.34950000000001</v>
      </c>
      <c r="AP83">
        <v>92.816999999999993</v>
      </c>
      <c r="AQ83">
        <v>91.3536</v>
      </c>
      <c r="AR83">
        <v>87.298400000000001</v>
      </c>
      <c r="AS83">
        <v>80.047399999999996</v>
      </c>
      <c r="AT83">
        <v>79.046800000000005</v>
      </c>
      <c r="AU83">
        <v>73.147300000000001</v>
      </c>
      <c r="AV83">
        <v>20275.2834</v>
      </c>
      <c r="AW83">
        <v>53585.611799999999</v>
      </c>
      <c r="AX83">
        <f t="shared" si="33"/>
        <v>1805588.62384572</v>
      </c>
      <c r="AY83">
        <f t="shared" si="34"/>
        <v>5073576.8207640601</v>
      </c>
      <c r="AZ83">
        <f t="shared" si="35"/>
        <v>685638.62010335992</v>
      </c>
      <c r="BA83">
        <f t="shared" si="21"/>
        <v>0</v>
      </c>
      <c r="BB83">
        <f t="shared" si="22"/>
        <v>0</v>
      </c>
      <c r="BC83">
        <f t="shared" si="23"/>
        <v>53585.611799999999</v>
      </c>
      <c r="BD83">
        <f t="shared" si="24"/>
        <v>0</v>
      </c>
      <c r="BE83">
        <f t="shared" si="25"/>
        <v>0</v>
      </c>
      <c r="BF83">
        <f t="shared" si="26"/>
        <v>0</v>
      </c>
      <c r="BG83">
        <f t="shared" si="36"/>
        <v>28528.455880799997</v>
      </c>
      <c r="BH83">
        <f t="shared" si="37"/>
        <v>28078.661744639998</v>
      </c>
      <c r="BI83">
        <f t="shared" si="38"/>
        <v>26832.245740159997</v>
      </c>
      <c r="BJ83">
        <f t="shared" si="39"/>
        <v>24603.560977759997</v>
      </c>
      <c r="BK83">
        <f t="shared" si="40"/>
        <v>24296.014160319999</v>
      </c>
      <c r="BL83">
        <f t="shared" si="41"/>
        <v>22482.729681519999</v>
      </c>
    </row>
    <row r="84" spans="1:64">
      <c r="A84" t="str">
        <f t="shared" si="17"/>
        <v>11</v>
      </c>
      <c r="B84" t="s">
        <v>605</v>
      </c>
      <c r="C84" t="s">
        <v>632</v>
      </c>
      <c r="D84">
        <v>6</v>
      </c>
      <c r="E84">
        <v>4</v>
      </c>
      <c r="F84">
        <v>6</v>
      </c>
      <c r="G84">
        <v>2</v>
      </c>
      <c r="H84">
        <v>100</v>
      </c>
      <c r="I84" t="s">
        <v>607</v>
      </c>
      <c r="J84">
        <v>0.6069</v>
      </c>
      <c r="K84">
        <v>187.3871</v>
      </c>
      <c r="L84">
        <v>5.6300000000000003E-2</v>
      </c>
      <c r="M84">
        <v>1.9630000000000001</v>
      </c>
      <c r="N84">
        <v>34.764299999999999</v>
      </c>
      <c r="O84">
        <v>89.465800000000002</v>
      </c>
      <c r="P84">
        <v>242.54140000000001</v>
      </c>
      <c r="Q84">
        <v>184.7784</v>
      </c>
      <c r="R84">
        <v>2.9399999999999999E-2</v>
      </c>
      <c r="S84">
        <v>0.87460000000000004</v>
      </c>
      <c r="T84">
        <v>0</v>
      </c>
      <c r="U84">
        <v>0.52159999999999995</v>
      </c>
      <c r="V84">
        <v>0.65739999999999998</v>
      </c>
      <c r="W84">
        <v>12.7318</v>
      </c>
      <c r="X84">
        <v>327.15460000000002</v>
      </c>
      <c r="Y84">
        <v>292.64170000000001</v>
      </c>
      <c r="Z84">
        <v>314.09309999999999</v>
      </c>
      <c r="AA84">
        <v>841.45870000000002</v>
      </c>
      <c r="AB84">
        <v>8.4418000000000006</v>
      </c>
      <c r="AC84">
        <v>34.986800000000002</v>
      </c>
      <c r="AD84">
        <v>90.542000000000002</v>
      </c>
      <c r="AE84">
        <v>8.4983000000000004</v>
      </c>
      <c r="AF84">
        <v>6496.4026000000003</v>
      </c>
      <c r="AG84">
        <v>95.095200000000006</v>
      </c>
      <c r="AH84">
        <v>8.3239999999999998</v>
      </c>
      <c r="AI84">
        <v>90.240899999999996</v>
      </c>
      <c r="AJ84">
        <v>73.2</v>
      </c>
      <c r="AK84">
        <v>83.837299999999999</v>
      </c>
      <c r="AL84">
        <v>1.1958</v>
      </c>
      <c r="AM84">
        <v>1.9670000000000001</v>
      </c>
      <c r="AN84">
        <v>8.3000000000000001E-3</v>
      </c>
      <c r="AO84">
        <v>107.925</v>
      </c>
      <c r="AP84">
        <v>92.907799999999995</v>
      </c>
      <c r="AQ84">
        <v>91.344200000000001</v>
      </c>
      <c r="AR84">
        <v>86.9739</v>
      </c>
      <c r="AS84">
        <v>79.333500000000001</v>
      </c>
      <c r="AT84">
        <v>78.396000000000001</v>
      </c>
      <c r="AU84">
        <v>72.148300000000006</v>
      </c>
      <c r="AV84">
        <v>20936.653300000002</v>
      </c>
      <c r="AW84">
        <v>55206.097900000001</v>
      </c>
      <c r="AX84">
        <f t="shared" si="33"/>
        <v>1931484.7060077202</v>
      </c>
      <c r="AY84">
        <f t="shared" si="34"/>
        <v>5249834.9210200803</v>
      </c>
      <c r="AZ84">
        <f t="shared" si="35"/>
        <v>702872.99724321999</v>
      </c>
      <c r="BA84">
        <f t="shared" si="21"/>
        <v>0</v>
      </c>
      <c r="BB84">
        <f t="shared" si="22"/>
        <v>0</v>
      </c>
      <c r="BC84">
        <f t="shared" si="23"/>
        <v>55206.097900000001</v>
      </c>
      <c r="BD84">
        <f t="shared" si="24"/>
        <v>0</v>
      </c>
      <c r="BE84">
        <f t="shared" si="25"/>
        <v>0</v>
      </c>
      <c r="BF84">
        <f t="shared" si="26"/>
        <v>0</v>
      </c>
      <c r="BG84">
        <f t="shared" si="36"/>
        <v>30395.21414588</v>
      </c>
      <c r="BH84">
        <f t="shared" si="37"/>
        <v>29883.675213320003</v>
      </c>
      <c r="BI84">
        <f t="shared" si="38"/>
        <v>28453.91146494</v>
      </c>
      <c r="BJ84">
        <f t="shared" si="39"/>
        <v>25954.319459100003</v>
      </c>
      <c r="BK84">
        <f t="shared" si="40"/>
        <v>25647.612021600002</v>
      </c>
      <c r="BL84">
        <f t="shared" si="41"/>
        <v>23603.648227180001</v>
      </c>
    </row>
    <row r="85" spans="1:64">
      <c r="A85" t="str">
        <f t="shared" si="17"/>
        <v>12</v>
      </c>
      <c r="B85" t="s">
        <v>605</v>
      </c>
      <c r="C85" t="s">
        <v>633</v>
      </c>
      <c r="D85">
        <v>6</v>
      </c>
      <c r="E85">
        <v>4</v>
      </c>
      <c r="F85">
        <v>6</v>
      </c>
      <c r="G85">
        <v>2</v>
      </c>
      <c r="H85">
        <v>100</v>
      </c>
      <c r="I85" t="s">
        <v>607</v>
      </c>
      <c r="J85">
        <v>0.60360000000000003</v>
      </c>
      <c r="K85">
        <v>185.53360000000001</v>
      </c>
      <c r="L85">
        <v>5.4800000000000001E-2</v>
      </c>
      <c r="M85">
        <v>1.9942</v>
      </c>
      <c r="N85">
        <v>35.114600000000003</v>
      </c>
      <c r="O85">
        <v>89.131399999999999</v>
      </c>
      <c r="P85">
        <v>245.30510000000001</v>
      </c>
      <c r="Q85">
        <v>186.94560000000001</v>
      </c>
      <c r="R85">
        <v>3.0800000000000001E-2</v>
      </c>
      <c r="S85">
        <v>0.7853</v>
      </c>
      <c r="T85">
        <v>0</v>
      </c>
      <c r="U85">
        <v>0.56389999999999996</v>
      </c>
      <c r="V85">
        <v>0.64880000000000004</v>
      </c>
      <c r="W85">
        <v>12.6805</v>
      </c>
      <c r="X85">
        <v>334.37689999999998</v>
      </c>
      <c r="Y85">
        <v>298.01830000000001</v>
      </c>
      <c r="Z85">
        <v>314.90219999999999</v>
      </c>
      <c r="AA85">
        <v>848.68309999999997</v>
      </c>
      <c r="AB85">
        <v>10.615</v>
      </c>
      <c r="AC85">
        <v>35.6616</v>
      </c>
      <c r="AD85">
        <v>86.515699999999995</v>
      </c>
      <c r="AE85">
        <v>8.5878999999999994</v>
      </c>
      <c r="AF85">
        <v>6557.0047000000004</v>
      </c>
      <c r="AG85">
        <v>95.418000000000006</v>
      </c>
      <c r="AH85">
        <v>7.1738</v>
      </c>
      <c r="AI85">
        <v>89.859200000000001</v>
      </c>
      <c r="AJ85">
        <v>73.2</v>
      </c>
      <c r="AK85">
        <v>83.032600000000002</v>
      </c>
      <c r="AL85">
        <v>1.2129000000000001</v>
      </c>
      <c r="AM85">
        <v>1.9790000000000001</v>
      </c>
      <c r="AN85">
        <v>7.3000000000000001E-3</v>
      </c>
      <c r="AO85">
        <v>107.77679999999999</v>
      </c>
      <c r="AP85">
        <v>92.840299999999999</v>
      </c>
      <c r="AQ85">
        <v>91.110799999999998</v>
      </c>
      <c r="AR85">
        <v>86.569800000000001</v>
      </c>
      <c r="AS85">
        <v>78.250100000000003</v>
      </c>
      <c r="AT85">
        <v>77.290300000000002</v>
      </c>
      <c r="AU85">
        <v>70.849999999999994</v>
      </c>
      <c r="AV85">
        <v>21336.814200000001</v>
      </c>
      <c r="AW85">
        <v>56309.997799999997</v>
      </c>
      <c r="AX85">
        <f t="shared" si="33"/>
        <v>2008104.6175444799</v>
      </c>
      <c r="AY85">
        <f t="shared" si="34"/>
        <v>5372987.3700804003</v>
      </c>
      <c r="AZ85">
        <f t="shared" si="35"/>
        <v>714038.92710289999</v>
      </c>
      <c r="BA85">
        <f t="shared" si="21"/>
        <v>0</v>
      </c>
      <c r="BB85">
        <f t="shared" si="22"/>
        <v>0</v>
      </c>
      <c r="BC85">
        <f t="shared" si="23"/>
        <v>56309.997799999997</v>
      </c>
      <c r="BD85">
        <f t="shared" si="24"/>
        <v>0</v>
      </c>
      <c r="BE85">
        <f t="shared" si="25"/>
        <v>0</v>
      </c>
      <c r="BF85">
        <f t="shared" si="26"/>
        <v>0</v>
      </c>
      <c r="BG85">
        <f t="shared" si="36"/>
        <v>31043.651709069996</v>
      </c>
      <c r="BH85">
        <f t="shared" si="37"/>
        <v>30465.346860519996</v>
      </c>
      <c r="BI85">
        <f t="shared" si="38"/>
        <v>28946.941357619999</v>
      </c>
      <c r="BJ85">
        <f t="shared" si="39"/>
        <v>26165.025862689999</v>
      </c>
      <c r="BK85">
        <f t="shared" si="40"/>
        <v>25844.090914069999</v>
      </c>
      <c r="BL85">
        <f t="shared" si="41"/>
        <v>23690.603364999995</v>
      </c>
    </row>
    <row r="86" spans="1:64">
      <c r="A86" t="str">
        <f t="shared" si="17"/>
        <v>08</v>
      </c>
      <c r="B86" t="s">
        <v>605</v>
      </c>
      <c r="C86" t="s">
        <v>634</v>
      </c>
      <c r="D86">
        <v>55</v>
      </c>
      <c r="E86">
        <v>1</v>
      </c>
      <c r="F86">
        <v>6</v>
      </c>
      <c r="G86">
        <v>2</v>
      </c>
      <c r="H86">
        <v>200</v>
      </c>
      <c r="I86" t="s">
        <v>607</v>
      </c>
      <c r="J86">
        <v>0.42930000000000001</v>
      </c>
      <c r="K86">
        <v>187.36080000000001</v>
      </c>
      <c r="L86">
        <v>4.1099999999999998E-2</v>
      </c>
      <c r="M86">
        <v>0.83189999999999997</v>
      </c>
      <c r="N86">
        <v>28.0046</v>
      </c>
      <c r="O86">
        <v>88.710999999999999</v>
      </c>
      <c r="P86">
        <v>336.41480000000001</v>
      </c>
      <c r="Q86">
        <v>228.43029999999999</v>
      </c>
      <c r="R86">
        <v>0.3029</v>
      </c>
      <c r="S86">
        <v>0.86080000000000001</v>
      </c>
      <c r="T86">
        <v>0.12520000000000001</v>
      </c>
      <c r="U86">
        <v>3.0200000000000001E-2</v>
      </c>
      <c r="V86">
        <v>0.47060000000000002</v>
      </c>
      <c r="W86">
        <v>11.222</v>
      </c>
      <c r="X86">
        <v>5.0804999999999998</v>
      </c>
      <c r="Y86">
        <v>4.5068999999999999</v>
      </c>
      <c r="Z86">
        <v>5.0826000000000002</v>
      </c>
      <c r="AA86">
        <v>16.093599999999999</v>
      </c>
      <c r="AB86">
        <v>14.018599999999999</v>
      </c>
      <c r="AC86">
        <v>49.654400000000003</v>
      </c>
      <c r="AD86">
        <v>55.233899999999998</v>
      </c>
      <c r="AE86">
        <v>0.153</v>
      </c>
      <c r="AF86">
        <v>8216.1329000000005</v>
      </c>
      <c r="AG86">
        <v>76.4666</v>
      </c>
      <c r="AH86">
        <v>0.19259999999999999</v>
      </c>
      <c r="AI86">
        <v>90.335499999999996</v>
      </c>
      <c r="AJ86">
        <v>73.2</v>
      </c>
      <c r="AK86">
        <v>84.033600000000007</v>
      </c>
      <c r="AL86">
        <v>1.5027999999999999</v>
      </c>
      <c r="AM86">
        <v>0.05</v>
      </c>
      <c r="AN86">
        <v>5.4999999999999997E-3</v>
      </c>
      <c r="AO86">
        <v>98.998699999999999</v>
      </c>
      <c r="AP86">
        <v>94.0428</v>
      </c>
      <c r="AQ86">
        <v>92.104900000000001</v>
      </c>
      <c r="AR86">
        <v>89.9499</v>
      </c>
      <c r="AS86">
        <v>83.475499999999997</v>
      </c>
      <c r="AT86">
        <v>81.850499999999997</v>
      </c>
      <c r="AU86">
        <v>76.936800000000005</v>
      </c>
      <c r="AV86">
        <v>493.65260000000001</v>
      </c>
      <c r="AW86">
        <v>1256.9354000000001</v>
      </c>
      <c r="AX86">
        <f t="shared" si="33"/>
        <v>62412.373125760008</v>
      </c>
      <c r="AY86">
        <f t="shared" si="34"/>
        <v>96113.576457640011</v>
      </c>
      <c r="AZ86">
        <f t="shared" si="35"/>
        <v>14105.3290588</v>
      </c>
      <c r="BA86">
        <f t="shared" si="21"/>
        <v>1256.9354000000001</v>
      </c>
      <c r="BB86">
        <f t="shared" si="22"/>
        <v>0</v>
      </c>
      <c r="BC86">
        <f t="shared" si="23"/>
        <v>0</v>
      </c>
      <c r="BD86">
        <f t="shared" si="24"/>
        <v>0</v>
      </c>
      <c r="BE86">
        <f t="shared" si="25"/>
        <v>0</v>
      </c>
      <c r="BF86">
        <f t="shared" si="26"/>
        <v>0</v>
      </c>
      <c r="BG86">
        <f t="shared" si="36"/>
        <v>477.78444539999998</v>
      </c>
      <c r="BH86">
        <f t="shared" si="37"/>
        <v>467.93894445000001</v>
      </c>
      <c r="BI86">
        <f t="shared" si="38"/>
        <v>456.99046694999998</v>
      </c>
      <c r="BJ86">
        <f t="shared" si="39"/>
        <v>424.09727774999999</v>
      </c>
      <c r="BK86">
        <f t="shared" si="40"/>
        <v>415.84146524999994</v>
      </c>
      <c r="BL86">
        <f t="shared" si="41"/>
        <v>390.87741240000003</v>
      </c>
    </row>
    <row r="87" spans="1:64">
      <c r="A87" t="str">
        <f t="shared" si="17"/>
        <v>08</v>
      </c>
      <c r="B87" t="s">
        <v>605</v>
      </c>
      <c r="C87" t="s">
        <v>634</v>
      </c>
      <c r="D87">
        <v>55</v>
      </c>
      <c r="E87">
        <v>1</v>
      </c>
      <c r="F87">
        <v>6</v>
      </c>
      <c r="G87">
        <v>4</v>
      </c>
      <c r="H87">
        <v>200</v>
      </c>
      <c r="I87" t="s">
        <v>607</v>
      </c>
      <c r="J87">
        <v>0.3493</v>
      </c>
      <c r="K87">
        <v>293.37430000000001</v>
      </c>
      <c r="L87">
        <v>4.1099999999999998E-2</v>
      </c>
      <c r="M87">
        <v>0.83189999999999997</v>
      </c>
      <c r="N87">
        <v>34.168500000000002</v>
      </c>
      <c r="O87">
        <v>88.480500000000006</v>
      </c>
      <c r="P87">
        <v>341.74849999999998</v>
      </c>
      <c r="Q87">
        <v>227.52940000000001</v>
      </c>
      <c r="R87">
        <v>4.1300000000000003E-2</v>
      </c>
      <c r="S87">
        <v>0.84670000000000001</v>
      </c>
      <c r="T87">
        <v>0.1138</v>
      </c>
      <c r="U87">
        <v>3.2199999999999999E-2</v>
      </c>
      <c r="V87">
        <v>0.48509999999999998</v>
      </c>
      <c r="W87">
        <v>11.272500000000001</v>
      </c>
      <c r="X87">
        <v>11.6309</v>
      </c>
      <c r="Y87">
        <v>10.2911</v>
      </c>
      <c r="Z87">
        <v>13.8909</v>
      </c>
      <c r="AA87">
        <v>30.1187</v>
      </c>
      <c r="AB87">
        <v>65.877399999999994</v>
      </c>
      <c r="AC87">
        <v>49.197899999999997</v>
      </c>
      <c r="AD87">
        <v>54.146599999999999</v>
      </c>
      <c r="AE87">
        <v>0.40739999999999998</v>
      </c>
      <c r="AF87">
        <v>8173.9715999999999</v>
      </c>
      <c r="AG87">
        <v>76.447800000000001</v>
      </c>
      <c r="AH87">
        <v>1.04</v>
      </c>
      <c r="AI87">
        <v>92.031400000000005</v>
      </c>
      <c r="AJ87">
        <v>73.2</v>
      </c>
      <c r="AK87">
        <v>87.653400000000005</v>
      </c>
      <c r="AL87">
        <v>1.4246000000000001</v>
      </c>
      <c r="AM87">
        <v>0.05</v>
      </c>
      <c r="AN87">
        <v>5.7000000000000002E-3</v>
      </c>
      <c r="AO87">
        <v>99.093999999999994</v>
      </c>
      <c r="AP87">
        <v>94.137500000000003</v>
      </c>
      <c r="AQ87">
        <v>92.080100000000002</v>
      </c>
      <c r="AR87">
        <v>89.689700000000002</v>
      </c>
      <c r="AS87">
        <v>82.691699999999997</v>
      </c>
      <c r="AT87">
        <v>80.966399999999993</v>
      </c>
      <c r="AU87">
        <v>75.692300000000003</v>
      </c>
      <c r="AV87">
        <v>1302.6511</v>
      </c>
      <c r="AW87">
        <v>3329.8145</v>
      </c>
      <c r="AX87">
        <f t="shared" si="33"/>
        <v>163819.88078954999</v>
      </c>
      <c r="AY87">
        <f t="shared" si="34"/>
        <v>254556.9929331</v>
      </c>
      <c r="AZ87">
        <f t="shared" si="35"/>
        <v>37535.333951250002</v>
      </c>
      <c r="BA87">
        <f t="shared" si="21"/>
        <v>3329.8145</v>
      </c>
      <c r="BB87">
        <f t="shared" si="22"/>
        <v>0</v>
      </c>
      <c r="BC87">
        <f t="shared" si="23"/>
        <v>0</v>
      </c>
      <c r="BD87">
        <f t="shared" si="24"/>
        <v>0</v>
      </c>
      <c r="BE87">
        <f t="shared" si="25"/>
        <v>0</v>
      </c>
      <c r="BF87">
        <f t="shared" si="26"/>
        <v>0</v>
      </c>
      <c r="BG87">
        <f t="shared" si="36"/>
        <v>1094.9038487500002</v>
      </c>
      <c r="BH87">
        <f t="shared" si="37"/>
        <v>1070.97443509</v>
      </c>
      <c r="BI87">
        <f t="shared" si="38"/>
        <v>1043.1719317300001</v>
      </c>
      <c r="BJ87">
        <f t="shared" si="39"/>
        <v>961.77889353</v>
      </c>
      <c r="BK87">
        <f t="shared" si="40"/>
        <v>941.71210176</v>
      </c>
      <c r="BL87">
        <f t="shared" si="41"/>
        <v>880.36957207000012</v>
      </c>
    </row>
    <row r="88" spans="1:64">
      <c r="A88" t="str">
        <f t="shared" si="17"/>
        <v>08</v>
      </c>
      <c r="B88" t="s">
        <v>605</v>
      </c>
      <c r="C88" t="s">
        <v>634</v>
      </c>
      <c r="D88">
        <v>66</v>
      </c>
      <c r="E88">
        <v>3</v>
      </c>
      <c r="F88">
        <v>6</v>
      </c>
      <c r="G88">
        <v>2</v>
      </c>
      <c r="H88">
        <v>200</v>
      </c>
      <c r="I88" t="s">
        <v>609</v>
      </c>
      <c r="J88">
        <v>0.3417</v>
      </c>
      <c r="K88">
        <v>143.2876</v>
      </c>
      <c r="L88">
        <v>3.61E-2</v>
      </c>
      <c r="M88">
        <v>0.87270000000000003</v>
      </c>
      <c r="N88">
        <v>33.963999999999999</v>
      </c>
      <c r="O88">
        <v>90.0565</v>
      </c>
      <c r="P88">
        <v>351.40929999999997</v>
      </c>
      <c r="Q88">
        <v>211.86089999999999</v>
      </c>
      <c r="R88">
        <v>3.6200000000000003E-2</v>
      </c>
      <c r="S88">
        <v>0.69130000000000003</v>
      </c>
      <c r="T88">
        <v>8.6800000000000002E-2</v>
      </c>
      <c r="U88">
        <v>3.5799999999999998E-2</v>
      </c>
      <c r="V88">
        <v>0.39240000000000003</v>
      </c>
      <c r="W88">
        <v>12.510400000000001</v>
      </c>
      <c r="X88">
        <v>2.1861999999999999</v>
      </c>
      <c r="Y88">
        <v>1.9688000000000001</v>
      </c>
      <c r="Z88">
        <v>2.1886999999999999</v>
      </c>
      <c r="AA88">
        <v>5.7967000000000004</v>
      </c>
      <c r="AB88">
        <v>5.6952999999999996</v>
      </c>
      <c r="AC88">
        <v>40.398899999999998</v>
      </c>
      <c r="AD88">
        <v>80.645399999999995</v>
      </c>
      <c r="AE88">
        <v>8.6300000000000002E-2</v>
      </c>
      <c r="AF88">
        <v>7411.4670999999998</v>
      </c>
      <c r="AG88">
        <v>76.001800000000003</v>
      </c>
      <c r="AH88">
        <v>7.5800000000000006E-2</v>
      </c>
      <c r="AI88">
        <v>89.724999999999994</v>
      </c>
      <c r="AJ88">
        <v>73.2</v>
      </c>
      <c r="AK88">
        <v>82.748999999999995</v>
      </c>
      <c r="AL88">
        <v>1.3468</v>
      </c>
      <c r="AM88">
        <v>0.05</v>
      </c>
      <c r="AN88">
        <v>5.0000000000000001E-3</v>
      </c>
      <c r="AO88">
        <v>96.176100000000005</v>
      </c>
      <c r="AP88">
        <v>94.736500000000007</v>
      </c>
      <c r="AQ88">
        <v>93.233999999999995</v>
      </c>
      <c r="AR88">
        <v>90.924199999999999</v>
      </c>
      <c r="AS88">
        <v>85.706599999999995</v>
      </c>
      <c r="AT88">
        <v>84.860500000000002</v>
      </c>
      <c r="AU88">
        <v>79.996700000000004</v>
      </c>
      <c r="AV88">
        <v>255.5823</v>
      </c>
      <c r="AW88">
        <v>639.70799999999997</v>
      </c>
      <c r="AX88">
        <f t="shared" si="33"/>
        <v>25843.499521199996</v>
      </c>
      <c r="AY88">
        <f t="shared" si="34"/>
        <v>48618.959474399999</v>
      </c>
      <c r="AZ88">
        <f t="shared" si="35"/>
        <v>8003.0029631999996</v>
      </c>
      <c r="BA88">
        <f t="shared" si="21"/>
        <v>0</v>
      </c>
      <c r="BB88">
        <f t="shared" si="22"/>
        <v>0</v>
      </c>
      <c r="BC88">
        <f t="shared" si="23"/>
        <v>639.70799999999997</v>
      </c>
      <c r="BD88">
        <f t="shared" si="24"/>
        <v>0</v>
      </c>
      <c r="BE88">
        <f t="shared" si="25"/>
        <v>0</v>
      </c>
      <c r="BF88">
        <f t="shared" si="26"/>
        <v>0</v>
      </c>
      <c r="BG88">
        <f t="shared" si="36"/>
        <v>207.1129363</v>
      </c>
      <c r="BH88">
        <f t="shared" si="37"/>
        <v>203.82817079999998</v>
      </c>
      <c r="BI88">
        <f t="shared" si="38"/>
        <v>198.77848603999999</v>
      </c>
      <c r="BJ88">
        <f t="shared" si="39"/>
        <v>187.37176891999999</v>
      </c>
      <c r="BK88">
        <f t="shared" si="40"/>
        <v>185.52202510000001</v>
      </c>
      <c r="BL88">
        <f t="shared" si="41"/>
        <v>174.88878554000001</v>
      </c>
    </row>
    <row r="89" spans="1:64">
      <c r="A89" t="str">
        <f t="shared" si="17"/>
        <v>08</v>
      </c>
      <c r="B89" t="s">
        <v>605</v>
      </c>
      <c r="C89" t="s">
        <v>634</v>
      </c>
      <c r="D89">
        <v>66</v>
      </c>
      <c r="E89">
        <v>3</v>
      </c>
      <c r="F89">
        <v>6</v>
      </c>
      <c r="G89">
        <v>2</v>
      </c>
      <c r="H89">
        <v>200</v>
      </c>
      <c r="I89" t="s">
        <v>617</v>
      </c>
      <c r="J89">
        <v>0.442</v>
      </c>
      <c r="K89">
        <v>164.69130000000001</v>
      </c>
      <c r="L89">
        <v>3.3300000000000003E-2</v>
      </c>
      <c r="M89">
        <v>0.72019999999999995</v>
      </c>
      <c r="N89">
        <v>34.762</v>
      </c>
      <c r="O89">
        <v>89.734300000000005</v>
      </c>
      <c r="P89">
        <v>339.71940000000001</v>
      </c>
      <c r="Q89">
        <v>220.167</v>
      </c>
      <c r="R89">
        <v>4.0599999999999997E-2</v>
      </c>
      <c r="S89">
        <v>0.84830000000000005</v>
      </c>
      <c r="T89">
        <v>0.1343</v>
      </c>
      <c r="U89">
        <v>3.4799999999999998E-2</v>
      </c>
      <c r="V89">
        <v>0.39489999999999997</v>
      </c>
      <c r="W89">
        <v>12.794600000000001</v>
      </c>
      <c r="X89">
        <v>8.4467999999999996</v>
      </c>
      <c r="Y89">
        <v>7.5796000000000001</v>
      </c>
      <c r="Z89">
        <v>8.5084</v>
      </c>
      <c r="AA89">
        <v>21.804400000000001</v>
      </c>
      <c r="AB89">
        <v>149.9194</v>
      </c>
      <c r="AC89">
        <v>40.387599999999999</v>
      </c>
      <c r="AD89">
        <v>80.921899999999994</v>
      </c>
      <c r="AE89">
        <v>0.32319999999999999</v>
      </c>
      <c r="AF89">
        <v>7670.9306999999999</v>
      </c>
      <c r="AG89">
        <v>65.113900000000001</v>
      </c>
      <c r="AH89">
        <v>0.31359999999999999</v>
      </c>
      <c r="AI89">
        <v>89.878699999999995</v>
      </c>
      <c r="AJ89">
        <v>73.2</v>
      </c>
      <c r="AK89">
        <v>83.071399999999997</v>
      </c>
      <c r="AL89">
        <v>1.4717</v>
      </c>
      <c r="AM89">
        <v>0.05</v>
      </c>
      <c r="AN89">
        <v>5.0000000000000001E-3</v>
      </c>
      <c r="AO89">
        <v>90.722899999999996</v>
      </c>
      <c r="AP89">
        <v>94.714200000000005</v>
      </c>
      <c r="AQ89">
        <v>93.203800000000001</v>
      </c>
      <c r="AR89">
        <v>90.833600000000004</v>
      </c>
      <c r="AS89">
        <v>85.673199999999994</v>
      </c>
      <c r="AT89">
        <v>84.863299999999995</v>
      </c>
      <c r="AU89">
        <v>79.870500000000007</v>
      </c>
      <c r="AV89">
        <v>985.1386</v>
      </c>
      <c r="AW89">
        <v>2479.5414000000001</v>
      </c>
      <c r="AX89">
        <f t="shared" si="33"/>
        <v>100142.72624664</v>
      </c>
      <c r="AY89">
        <f t="shared" si="34"/>
        <v>161452.61076546001</v>
      </c>
      <c r="AZ89">
        <f t="shared" si="35"/>
        <v>31724.740396440004</v>
      </c>
      <c r="BA89">
        <f t="shared" si="21"/>
        <v>0</v>
      </c>
      <c r="BB89">
        <f t="shared" si="22"/>
        <v>0</v>
      </c>
      <c r="BC89">
        <f t="shared" si="23"/>
        <v>2479.5414000000001</v>
      </c>
      <c r="BD89">
        <f t="shared" si="24"/>
        <v>0</v>
      </c>
      <c r="BE89">
        <f t="shared" si="25"/>
        <v>0</v>
      </c>
      <c r="BF89">
        <f t="shared" si="26"/>
        <v>0</v>
      </c>
      <c r="BG89">
        <f t="shared" si="36"/>
        <v>800.03190456000004</v>
      </c>
      <c r="BH89">
        <f t="shared" si="37"/>
        <v>787.27385784000001</v>
      </c>
      <c r="BI89">
        <f t="shared" si="38"/>
        <v>767.25325248000001</v>
      </c>
      <c r="BJ89">
        <f t="shared" si="39"/>
        <v>723.66438575999996</v>
      </c>
      <c r="BK89">
        <f t="shared" si="40"/>
        <v>716.82332243999997</v>
      </c>
      <c r="BL89">
        <f t="shared" si="41"/>
        <v>674.65013940000006</v>
      </c>
    </row>
    <row r="90" spans="1:64">
      <c r="A90" t="str">
        <f t="shared" si="17"/>
        <v>08</v>
      </c>
      <c r="B90" t="s">
        <v>605</v>
      </c>
      <c r="C90" t="s">
        <v>634</v>
      </c>
      <c r="D90">
        <v>66</v>
      </c>
      <c r="E90">
        <v>3</v>
      </c>
      <c r="F90">
        <v>6</v>
      </c>
      <c r="G90">
        <v>2</v>
      </c>
      <c r="H90">
        <v>200</v>
      </c>
      <c r="I90" t="s">
        <v>607</v>
      </c>
      <c r="J90">
        <v>0.38300000000000001</v>
      </c>
      <c r="K90">
        <v>173.0772</v>
      </c>
      <c r="L90">
        <v>3.6900000000000002E-2</v>
      </c>
      <c r="M90">
        <v>0.89610000000000001</v>
      </c>
      <c r="N90">
        <v>34.099699999999999</v>
      </c>
      <c r="O90">
        <v>90.129199999999997</v>
      </c>
      <c r="P90">
        <v>346.03129999999999</v>
      </c>
      <c r="Q90">
        <v>211.1611</v>
      </c>
      <c r="R90">
        <v>3.85E-2</v>
      </c>
      <c r="S90">
        <v>0.79900000000000004</v>
      </c>
      <c r="T90">
        <v>9.6799999999999997E-2</v>
      </c>
      <c r="U90">
        <v>5.91E-2</v>
      </c>
      <c r="V90">
        <v>0.43419999999999997</v>
      </c>
      <c r="W90">
        <v>12.761100000000001</v>
      </c>
      <c r="X90">
        <v>164.51130000000001</v>
      </c>
      <c r="Y90">
        <v>148.2817</v>
      </c>
      <c r="Z90">
        <v>168.14580000000001</v>
      </c>
      <c r="AA90">
        <v>434.99119999999999</v>
      </c>
      <c r="AB90">
        <v>52.518999999999998</v>
      </c>
      <c r="AC90">
        <v>39.447899999999997</v>
      </c>
      <c r="AD90">
        <v>83.794899999999998</v>
      </c>
      <c r="AE90">
        <v>6.0533000000000001</v>
      </c>
      <c r="AF90">
        <v>7328.6921000000002</v>
      </c>
      <c r="AG90">
        <v>75.571600000000004</v>
      </c>
      <c r="AH90">
        <v>6.5800999999999998</v>
      </c>
      <c r="AI90">
        <v>90.139600000000002</v>
      </c>
      <c r="AJ90">
        <v>73.2</v>
      </c>
      <c r="AK90">
        <v>83.627200000000002</v>
      </c>
      <c r="AL90">
        <v>1.3525</v>
      </c>
      <c r="AM90">
        <v>0.05</v>
      </c>
      <c r="AN90">
        <v>4.4999999999999997E-3</v>
      </c>
      <c r="AO90">
        <v>96.303600000000003</v>
      </c>
      <c r="AP90">
        <v>94.870199999999997</v>
      </c>
      <c r="AQ90">
        <v>93.342100000000002</v>
      </c>
      <c r="AR90">
        <v>91.093000000000004</v>
      </c>
      <c r="AS90">
        <v>85.792299999999997</v>
      </c>
      <c r="AT90">
        <v>84.8827</v>
      </c>
      <c r="AU90">
        <v>80.039900000000003</v>
      </c>
      <c r="AV90">
        <v>17795.984499999999</v>
      </c>
      <c r="AW90">
        <v>44353.312100000003</v>
      </c>
      <c r="AX90">
        <f t="shared" si="33"/>
        <v>1749645.0203895899</v>
      </c>
      <c r="AY90">
        <f t="shared" si="34"/>
        <v>3351850.7606963604</v>
      </c>
      <c r="AZ90">
        <f t="shared" si="35"/>
        <v>565997.05103931006</v>
      </c>
      <c r="BA90">
        <f t="shared" si="21"/>
        <v>0</v>
      </c>
      <c r="BB90">
        <f t="shared" si="22"/>
        <v>0</v>
      </c>
      <c r="BC90">
        <f t="shared" si="23"/>
        <v>44353.312100000003</v>
      </c>
      <c r="BD90">
        <f t="shared" si="24"/>
        <v>0</v>
      </c>
      <c r="BE90">
        <f t="shared" si="25"/>
        <v>0</v>
      </c>
      <c r="BF90">
        <f t="shared" si="26"/>
        <v>0</v>
      </c>
      <c r="BG90">
        <f t="shared" si="36"/>
        <v>15607.219933259999</v>
      </c>
      <c r="BH90">
        <f t="shared" si="37"/>
        <v>15355.83021573</v>
      </c>
      <c r="BI90">
        <f t="shared" si="38"/>
        <v>14985.827850900001</v>
      </c>
      <c r="BJ90">
        <f t="shared" si="39"/>
        <v>14113.80280299</v>
      </c>
      <c r="BK90">
        <f t="shared" si="40"/>
        <v>13964.16332451</v>
      </c>
      <c r="BL90">
        <f t="shared" si="41"/>
        <v>13167.468000870002</v>
      </c>
    </row>
    <row r="91" spans="1:64">
      <c r="A91" t="str">
        <f t="shared" si="17"/>
        <v>08</v>
      </c>
      <c r="B91" t="s">
        <v>605</v>
      </c>
      <c r="C91" t="s">
        <v>634</v>
      </c>
      <c r="D91">
        <v>66</v>
      </c>
      <c r="E91">
        <v>3</v>
      </c>
      <c r="F91">
        <v>6</v>
      </c>
      <c r="G91">
        <v>4</v>
      </c>
      <c r="H91">
        <v>200</v>
      </c>
      <c r="I91" t="s">
        <v>609</v>
      </c>
      <c r="J91">
        <v>0.33700000000000002</v>
      </c>
      <c r="K91">
        <v>138.89400000000001</v>
      </c>
      <c r="L91">
        <v>4.8500000000000001E-2</v>
      </c>
      <c r="M91">
        <v>1.0168999999999999</v>
      </c>
      <c r="N91">
        <v>33.286299999999997</v>
      </c>
      <c r="O91">
        <v>90.2864</v>
      </c>
      <c r="P91">
        <v>346.49079999999998</v>
      </c>
      <c r="Q91">
        <v>208.70189999999999</v>
      </c>
      <c r="R91">
        <v>3.95E-2</v>
      </c>
      <c r="S91">
        <v>0.749</v>
      </c>
      <c r="T91">
        <v>7.6999999999999999E-2</v>
      </c>
      <c r="U91">
        <v>2.8000000000000001E-2</v>
      </c>
      <c r="V91">
        <v>0.38600000000000001</v>
      </c>
      <c r="W91">
        <v>12.800800000000001</v>
      </c>
      <c r="X91">
        <v>13.7066</v>
      </c>
      <c r="Y91">
        <v>12.3752</v>
      </c>
      <c r="Z91">
        <v>13.72</v>
      </c>
      <c r="AA91">
        <v>37.178199999999997</v>
      </c>
      <c r="AB91">
        <v>22.063400000000001</v>
      </c>
      <c r="AC91">
        <v>38.793199999999999</v>
      </c>
      <c r="AD91">
        <v>87.226299999999995</v>
      </c>
      <c r="AE91">
        <v>0.56110000000000004</v>
      </c>
      <c r="AF91">
        <v>7248.1495999999997</v>
      </c>
      <c r="AG91">
        <v>76.259600000000006</v>
      </c>
      <c r="AH91">
        <v>0.46689999999999998</v>
      </c>
      <c r="AI91">
        <v>89.608500000000006</v>
      </c>
      <c r="AJ91">
        <v>73.2</v>
      </c>
      <c r="AK91">
        <v>82.507400000000004</v>
      </c>
      <c r="AL91">
        <v>1.3788</v>
      </c>
      <c r="AM91">
        <v>0.05</v>
      </c>
      <c r="AN91">
        <v>5.0000000000000001E-3</v>
      </c>
      <c r="AO91">
        <v>96.886099999999999</v>
      </c>
      <c r="AP91">
        <v>95.007800000000003</v>
      </c>
      <c r="AQ91">
        <v>93.461799999999997</v>
      </c>
      <c r="AR91">
        <v>91.299199999999999</v>
      </c>
      <c r="AS91">
        <v>85.951800000000006</v>
      </c>
      <c r="AT91">
        <v>84.981899999999996</v>
      </c>
      <c r="AU91">
        <v>80.178799999999995</v>
      </c>
      <c r="AV91">
        <v>1641.248</v>
      </c>
      <c r="AW91">
        <v>4066.7510000000002</v>
      </c>
      <c r="AX91">
        <f t="shared" si="33"/>
        <v>157762.28489320001</v>
      </c>
      <c r="AY91">
        <f t="shared" si="34"/>
        <v>310128.80455960002</v>
      </c>
      <c r="AZ91">
        <f t="shared" si="35"/>
        <v>52057.666200800006</v>
      </c>
      <c r="BA91">
        <f t="shared" si="21"/>
        <v>0</v>
      </c>
      <c r="BB91">
        <f t="shared" si="22"/>
        <v>0</v>
      </c>
      <c r="BC91">
        <f t="shared" si="23"/>
        <v>4066.7510000000002</v>
      </c>
      <c r="BD91">
        <f t="shared" si="24"/>
        <v>0</v>
      </c>
      <c r="BE91">
        <f t="shared" si="25"/>
        <v>0</v>
      </c>
      <c r="BF91">
        <f t="shared" si="26"/>
        <v>0</v>
      </c>
      <c r="BG91">
        <f t="shared" si="36"/>
        <v>1302.23391148</v>
      </c>
      <c r="BH91">
        <f t="shared" si="37"/>
        <v>1281.0435078799999</v>
      </c>
      <c r="BI91">
        <f t="shared" si="38"/>
        <v>1251.40161472</v>
      </c>
      <c r="BJ91">
        <f t="shared" si="39"/>
        <v>1178.10694188</v>
      </c>
      <c r="BK91">
        <f t="shared" si="40"/>
        <v>1164.8129105399998</v>
      </c>
      <c r="BL91">
        <f t="shared" si="41"/>
        <v>1098.9787400799999</v>
      </c>
    </row>
    <row r="92" spans="1:64">
      <c r="A92" t="str">
        <f t="shared" si="17"/>
        <v>08</v>
      </c>
      <c r="B92" t="s">
        <v>605</v>
      </c>
      <c r="C92" t="s">
        <v>634</v>
      </c>
      <c r="D92">
        <v>66</v>
      </c>
      <c r="E92">
        <v>3</v>
      </c>
      <c r="F92">
        <v>6</v>
      </c>
      <c r="G92">
        <v>4</v>
      </c>
      <c r="H92">
        <v>200</v>
      </c>
      <c r="I92" t="s">
        <v>607</v>
      </c>
      <c r="J92">
        <v>0.35460000000000003</v>
      </c>
      <c r="K92">
        <v>174.13499999999999</v>
      </c>
      <c r="L92">
        <v>4.3799999999999999E-2</v>
      </c>
      <c r="M92">
        <v>1.0266</v>
      </c>
      <c r="N92">
        <v>33.709499999999998</v>
      </c>
      <c r="O92">
        <v>90.210899999999995</v>
      </c>
      <c r="P92">
        <v>346.7029</v>
      </c>
      <c r="Q92">
        <v>209.78559999999999</v>
      </c>
      <c r="R92">
        <v>3.9699999999999999E-2</v>
      </c>
      <c r="S92">
        <v>0.79469999999999996</v>
      </c>
      <c r="T92">
        <v>9.1899999999999996E-2</v>
      </c>
      <c r="U92">
        <v>3.3099999999999997E-2</v>
      </c>
      <c r="V92">
        <v>0.41489999999999999</v>
      </c>
      <c r="W92">
        <v>12.7844</v>
      </c>
      <c r="X92">
        <v>71.897999999999996</v>
      </c>
      <c r="Y92">
        <v>64.859700000000004</v>
      </c>
      <c r="Z92">
        <v>73.916200000000003</v>
      </c>
      <c r="AA92">
        <v>192.4281</v>
      </c>
      <c r="AB92">
        <v>29.8261</v>
      </c>
      <c r="AC92">
        <v>39.105200000000004</v>
      </c>
      <c r="AD92">
        <v>85.819000000000003</v>
      </c>
      <c r="AE92">
        <v>2.8</v>
      </c>
      <c r="AF92">
        <v>7279.9332000000004</v>
      </c>
      <c r="AG92">
        <v>76.213200000000001</v>
      </c>
      <c r="AH92">
        <v>2.9748000000000001</v>
      </c>
      <c r="AI92">
        <v>90.209400000000002</v>
      </c>
      <c r="AJ92">
        <v>73.2</v>
      </c>
      <c r="AK92">
        <v>83.768100000000004</v>
      </c>
      <c r="AL92">
        <v>1.3213999999999999</v>
      </c>
      <c r="AM92">
        <v>0.05</v>
      </c>
      <c r="AN92">
        <v>2.5000000000000001E-3</v>
      </c>
      <c r="AO92">
        <v>96.746200000000002</v>
      </c>
      <c r="AP92">
        <v>94.935400000000001</v>
      </c>
      <c r="AQ92">
        <v>93.400999999999996</v>
      </c>
      <c r="AR92">
        <v>91.18</v>
      </c>
      <c r="AS92">
        <v>85.878299999999996</v>
      </c>
      <c r="AT92">
        <v>84.951300000000003</v>
      </c>
      <c r="AU92">
        <v>80.097899999999996</v>
      </c>
      <c r="AV92">
        <v>8210.2808000000005</v>
      </c>
      <c r="AW92">
        <v>20383.8236</v>
      </c>
      <c r="AX92">
        <f t="shared" si="33"/>
        <v>797113.49864272005</v>
      </c>
      <c r="AY92">
        <f t="shared" si="34"/>
        <v>1553516.42479152</v>
      </c>
      <c r="AZ92">
        <f t="shared" si="35"/>
        <v>260594.95443183999</v>
      </c>
      <c r="BA92">
        <f t="shared" si="21"/>
        <v>0</v>
      </c>
      <c r="BB92">
        <f t="shared" si="22"/>
        <v>0</v>
      </c>
      <c r="BC92">
        <f t="shared" si="23"/>
        <v>20383.8236</v>
      </c>
      <c r="BD92">
        <f t="shared" si="24"/>
        <v>0</v>
      </c>
      <c r="BE92">
        <f t="shared" si="25"/>
        <v>0</v>
      </c>
      <c r="BF92">
        <f t="shared" si="26"/>
        <v>0</v>
      </c>
      <c r="BG92">
        <f t="shared" si="36"/>
        <v>6825.6653891999995</v>
      </c>
      <c r="BH92">
        <f t="shared" si="37"/>
        <v>6715.3450979999998</v>
      </c>
      <c r="BI92">
        <f t="shared" si="38"/>
        <v>6555.6596399999999</v>
      </c>
      <c r="BJ92">
        <f t="shared" si="39"/>
        <v>6174.4780133999993</v>
      </c>
      <c r="BK92">
        <f t="shared" si="40"/>
        <v>6107.8285673999999</v>
      </c>
      <c r="BL92">
        <f t="shared" si="41"/>
        <v>5758.8788141999994</v>
      </c>
    </row>
    <row r="93" spans="1:64">
      <c r="A93" t="str">
        <f t="shared" si="17"/>
        <v>09</v>
      </c>
      <c r="B93" t="s">
        <v>605</v>
      </c>
      <c r="C93" t="s">
        <v>635</v>
      </c>
      <c r="D93">
        <v>1</v>
      </c>
      <c r="E93">
        <v>1</v>
      </c>
      <c r="F93">
        <v>1</v>
      </c>
      <c r="G93">
        <v>2</v>
      </c>
      <c r="H93">
        <v>100</v>
      </c>
      <c r="I93" t="s">
        <v>607</v>
      </c>
      <c r="J93">
        <v>0.43080000000000002</v>
      </c>
      <c r="K93">
        <v>170.13300000000001</v>
      </c>
      <c r="L93">
        <v>2.3300000000000001E-2</v>
      </c>
      <c r="M93">
        <v>0.94089999999999996</v>
      </c>
      <c r="N93">
        <v>28.2973</v>
      </c>
      <c r="O93">
        <v>89.173900000000003</v>
      </c>
      <c r="P93">
        <v>382.87970000000001</v>
      </c>
      <c r="Q93">
        <v>243.5162</v>
      </c>
      <c r="R93">
        <v>0.44569999999999999</v>
      </c>
      <c r="S93">
        <v>0.60440000000000005</v>
      </c>
      <c r="T93">
        <v>0.27039999999999997</v>
      </c>
      <c r="U93">
        <v>5.3E-3</v>
      </c>
      <c r="V93">
        <v>0.49230000000000002</v>
      </c>
      <c r="W93">
        <v>0</v>
      </c>
      <c r="X93">
        <v>32.593299999999999</v>
      </c>
      <c r="Y93">
        <v>29.071300000000001</v>
      </c>
      <c r="Z93">
        <v>32.156999999999996</v>
      </c>
      <c r="AA93">
        <v>102.64660000000001</v>
      </c>
      <c r="AB93">
        <v>33.996200000000002</v>
      </c>
      <c r="AC93">
        <v>50.413699999999999</v>
      </c>
      <c r="AD93">
        <v>64.257099999999994</v>
      </c>
      <c r="AE93">
        <v>0.87129999999999996</v>
      </c>
      <c r="AF93">
        <v>8682.5529000000006</v>
      </c>
      <c r="AG93">
        <v>65.357600000000005</v>
      </c>
      <c r="AH93">
        <v>1.0775999999999999</v>
      </c>
      <c r="AI93">
        <v>90.159899999999993</v>
      </c>
      <c r="AJ93">
        <v>73.2</v>
      </c>
      <c r="AK93">
        <v>83.663200000000003</v>
      </c>
      <c r="AL93">
        <v>1.6882999999999999</v>
      </c>
      <c r="AM93">
        <v>0.05</v>
      </c>
      <c r="AN93">
        <v>0</v>
      </c>
      <c r="AO93">
        <v>90.476900000000001</v>
      </c>
      <c r="AP93">
        <v>92.850999999999999</v>
      </c>
      <c r="AQ93">
        <v>91.679000000000002</v>
      </c>
      <c r="AR93">
        <v>90.280299999999997</v>
      </c>
      <c r="AS93">
        <v>86.378799999999998</v>
      </c>
      <c r="AT93">
        <v>85.608699999999999</v>
      </c>
      <c r="AU93">
        <v>81.432100000000005</v>
      </c>
      <c r="AV93">
        <v>4111.4648999999999</v>
      </c>
      <c r="AW93">
        <v>7565.0955999999996</v>
      </c>
      <c r="AX93">
        <f t="shared" si="33"/>
        <v>381384.46004971996</v>
      </c>
      <c r="AY93">
        <f t="shared" si="34"/>
        <v>494436.49218656</v>
      </c>
      <c r="AZ93">
        <f t="shared" si="35"/>
        <v>0</v>
      </c>
      <c r="BA93">
        <f t="shared" si="21"/>
        <v>7565.0955999999996</v>
      </c>
      <c r="BB93">
        <f t="shared" si="22"/>
        <v>0</v>
      </c>
      <c r="BC93">
        <f t="shared" si="23"/>
        <v>0</v>
      </c>
      <c r="BD93">
        <f t="shared" si="24"/>
        <v>0</v>
      </c>
      <c r="BE93">
        <f t="shared" si="25"/>
        <v>0</v>
      </c>
      <c r="BF93">
        <f t="shared" si="26"/>
        <v>0</v>
      </c>
      <c r="BG93">
        <f t="shared" si="36"/>
        <v>3026.3204983000001</v>
      </c>
      <c r="BH93">
        <f t="shared" si="37"/>
        <v>2988.1211506999998</v>
      </c>
      <c r="BI93">
        <f t="shared" si="38"/>
        <v>2942.53290199</v>
      </c>
      <c r="BJ93">
        <f t="shared" si="39"/>
        <v>2815.3701420399998</v>
      </c>
      <c r="BK93">
        <f t="shared" si="40"/>
        <v>2790.27004171</v>
      </c>
      <c r="BL93">
        <f t="shared" si="41"/>
        <v>2654.1408649300001</v>
      </c>
    </row>
    <row r="94" spans="1:64">
      <c r="A94" t="str">
        <f t="shared" si="17"/>
        <v>09</v>
      </c>
      <c r="B94" t="s">
        <v>605</v>
      </c>
      <c r="C94" t="s">
        <v>635</v>
      </c>
      <c r="D94">
        <v>1</v>
      </c>
      <c r="E94">
        <v>1</v>
      </c>
      <c r="F94">
        <v>1</v>
      </c>
      <c r="G94">
        <v>2</v>
      </c>
      <c r="H94">
        <v>200</v>
      </c>
      <c r="I94" t="s">
        <v>607</v>
      </c>
      <c r="J94">
        <v>0.42149999999999999</v>
      </c>
      <c r="K94">
        <v>183.7268</v>
      </c>
      <c r="L94">
        <v>2.1299999999999999E-2</v>
      </c>
      <c r="M94">
        <v>1.0875999999999999</v>
      </c>
      <c r="N94">
        <v>27.4803</v>
      </c>
      <c r="O94">
        <v>89.113399999999999</v>
      </c>
      <c r="P94">
        <v>393.59739999999999</v>
      </c>
      <c r="Q94">
        <v>243.1748</v>
      </c>
      <c r="R94">
        <v>0.46750000000000003</v>
      </c>
      <c r="S94">
        <v>0.70960000000000001</v>
      </c>
      <c r="T94">
        <v>0.2447</v>
      </c>
      <c r="U94">
        <v>6.8999999999999999E-3</v>
      </c>
      <c r="V94">
        <v>0.48859999999999998</v>
      </c>
      <c r="W94">
        <v>0</v>
      </c>
      <c r="X94">
        <v>96.732699999999994</v>
      </c>
      <c r="Y94">
        <v>86.201899999999995</v>
      </c>
      <c r="Z94">
        <v>96.747299999999996</v>
      </c>
      <c r="AA94">
        <v>313.64260000000002</v>
      </c>
      <c r="AB94">
        <v>54.741100000000003</v>
      </c>
      <c r="AC94">
        <v>49.167900000000003</v>
      </c>
      <c r="AD94">
        <v>62.902200000000001</v>
      </c>
      <c r="AE94">
        <v>2.6797</v>
      </c>
      <c r="AF94">
        <v>8563.6263999999992</v>
      </c>
      <c r="AG94">
        <v>65.377899999999997</v>
      </c>
      <c r="AH94">
        <v>3.5619999999999998</v>
      </c>
      <c r="AI94">
        <v>90.342699999999994</v>
      </c>
      <c r="AJ94">
        <v>73.2</v>
      </c>
      <c r="AK94">
        <v>84.050299999999993</v>
      </c>
      <c r="AL94">
        <v>1.6693</v>
      </c>
      <c r="AM94">
        <v>0.05</v>
      </c>
      <c r="AN94">
        <v>0</v>
      </c>
      <c r="AO94">
        <v>90.770200000000003</v>
      </c>
      <c r="AP94">
        <v>93.329599999999999</v>
      </c>
      <c r="AQ94">
        <v>92.159899999999993</v>
      </c>
      <c r="AR94">
        <v>90.713499999999996</v>
      </c>
      <c r="AS94">
        <v>86.403099999999995</v>
      </c>
      <c r="AT94">
        <v>85.648700000000005</v>
      </c>
      <c r="AU94">
        <v>80.519499999999994</v>
      </c>
      <c r="AV94">
        <v>12471.197700000001</v>
      </c>
      <c r="AW94">
        <v>22947.004199999999</v>
      </c>
      <c r="AX94">
        <f t="shared" si="33"/>
        <v>1128256.00780518</v>
      </c>
      <c r="AY94">
        <f t="shared" si="34"/>
        <v>1500226.9458871798</v>
      </c>
      <c r="AZ94">
        <f t="shared" si="35"/>
        <v>0</v>
      </c>
      <c r="BA94">
        <f t="shared" si="21"/>
        <v>22947.004199999999</v>
      </c>
      <c r="BB94">
        <f t="shared" si="22"/>
        <v>0</v>
      </c>
      <c r="BC94">
        <f t="shared" si="23"/>
        <v>0</v>
      </c>
      <c r="BD94">
        <f t="shared" si="24"/>
        <v>0</v>
      </c>
      <c r="BE94">
        <f t="shared" si="25"/>
        <v>0</v>
      </c>
      <c r="BF94">
        <f t="shared" si="26"/>
        <v>0</v>
      </c>
      <c r="BG94">
        <f t="shared" si="36"/>
        <v>9028.02419792</v>
      </c>
      <c r="BH94">
        <f t="shared" si="37"/>
        <v>8914.8759587299992</v>
      </c>
      <c r="BI94">
        <f t="shared" si="38"/>
        <v>8774.9617814499998</v>
      </c>
      <c r="BJ94">
        <f t="shared" si="39"/>
        <v>8358.0051513699982</v>
      </c>
      <c r="BK94">
        <f t="shared" si="40"/>
        <v>8285.0300024900007</v>
      </c>
      <c r="BL94">
        <f t="shared" si="41"/>
        <v>7788.8686376499991</v>
      </c>
    </row>
    <row r="95" spans="1:64">
      <c r="A95" t="str">
        <f t="shared" si="17"/>
        <v>09</v>
      </c>
      <c r="B95" t="s">
        <v>605</v>
      </c>
      <c r="C95" t="s">
        <v>635</v>
      </c>
      <c r="D95">
        <v>55</v>
      </c>
      <c r="E95">
        <v>1</v>
      </c>
      <c r="F95">
        <v>6</v>
      </c>
      <c r="G95">
        <v>2</v>
      </c>
      <c r="H95">
        <v>100</v>
      </c>
      <c r="I95" t="s">
        <v>607</v>
      </c>
      <c r="J95">
        <v>0.67120000000000002</v>
      </c>
      <c r="K95">
        <v>128.61850000000001</v>
      </c>
      <c r="L95">
        <v>2.2800000000000001E-2</v>
      </c>
      <c r="M95">
        <v>0.86050000000000004</v>
      </c>
      <c r="N95">
        <v>29.8125</v>
      </c>
      <c r="O95">
        <v>85.121099999999998</v>
      </c>
      <c r="P95">
        <v>410.14620000000002</v>
      </c>
      <c r="Q95">
        <v>248.8742</v>
      </c>
      <c r="R95">
        <v>0.41449999999999998</v>
      </c>
      <c r="S95">
        <v>0.74180000000000001</v>
      </c>
      <c r="T95">
        <v>0.29470000000000002</v>
      </c>
      <c r="U95">
        <v>5.4999999999999997E-3</v>
      </c>
      <c r="V95">
        <v>0.66839999999999999</v>
      </c>
      <c r="W95">
        <v>11.4871</v>
      </c>
      <c r="X95">
        <v>316.75659999999999</v>
      </c>
      <c r="Y95">
        <v>280.13330000000002</v>
      </c>
      <c r="Z95">
        <v>292.9504</v>
      </c>
      <c r="AA95">
        <v>939.6386</v>
      </c>
      <c r="AB95">
        <v>16.653500000000001</v>
      </c>
      <c r="AC95">
        <v>53.402700000000003</v>
      </c>
      <c r="AD95">
        <v>63.536200000000001</v>
      </c>
      <c r="AE95">
        <v>5.8094999999999999</v>
      </c>
      <c r="AF95">
        <v>8825.0923999999995</v>
      </c>
      <c r="AG95">
        <v>65.227999999999994</v>
      </c>
      <c r="AH95">
        <v>5.9413</v>
      </c>
      <c r="AI95">
        <v>89.590299999999999</v>
      </c>
      <c r="AJ95">
        <v>73.2</v>
      </c>
      <c r="AK95">
        <v>82.472099999999998</v>
      </c>
      <c r="AL95">
        <v>1.9115</v>
      </c>
      <c r="AM95">
        <v>0.05</v>
      </c>
      <c r="AN95">
        <v>9.7000000000000003E-3</v>
      </c>
      <c r="AO95">
        <v>92.585499999999996</v>
      </c>
      <c r="AP95">
        <v>92.777699999999996</v>
      </c>
      <c r="AQ95">
        <v>91.587599999999995</v>
      </c>
      <c r="AR95">
        <v>90.207999999999998</v>
      </c>
      <c r="AS95">
        <v>86.211200000000005</v>
      </c>
      <c r="AT95">
        <v>85.366200000000006</v>
      </c>
      <c r="AU95">
        <v>81.188599999999994</v>
      </c>
      <c r="AV95">
        <v>20180.7978</v>
      </c>
      <c r="AW95">
        <v>51252.07</v>
      </c>
      <c r="AX95">
        <f t="shared" si="33"/>
        <v>2736998.9185890001</v>
      </c>
      <c r="AY95">
        <f t="shared" si="34"/>
        <v>3343070.0219599996</v>
      </c>
      <c r="AZ95">
        <f t="shared" si="35"/>
        <v>588737.65329699998</v>
      </c>
      <c r="BA95">
        <f t="shared" si="21"/>
        <v>51252.07</v>
      </c>
      <c r="BB95">
        <f t="shared" si="22"/>
        <v>0</v>
      </c>
      <c r="BC95">
        <f t="shared" si="23"/>
        <v>0</v>
      </c>
      <c r="BD95">
        <f t="shared" si="24"/>
        <v>0</v>
      </c>
      <c r="BE95">
        <f t="shared" si="25"/>
        <v>0</v>
      </c>
      <c r="BF95">
        <f t="shared" si="26"/>
        <v>0</v>
      </c>
      <c r="BG95">
        <f t="shared" si="36"/>
        <v>29387.948807819997</v>
      </c>
      <c r="BH95">
        <f t="shared" si="37"/>
        <v>29010.976778159999</v>
      </c>
      <c r="BI95">
        <f t="shared" si="38"/>
        <v>28573.9793728</v>
      </c>
      <c r="BJ95">
        <f t="shared" si="39"/>
        <v>27307.966593920002</v>
      </c>
      <c r="BK95">
        <f t="shared" si="40"/>
        <v>27040.307266920001</v>
      </c>
      <c r="BL95">
        <f t="shared" si="41"/>
        <v>25717.024894759998</v>
      </c>
    </row>
    <row r="96" spans="1:64">
      <c r="A96" t="str">
        <f t="shared" si="17"/>
        <v>10</v>
      </c>
      <c r="B96" t="s">
        <v>605</v>
      </c>
      <c r="C96" t="s">
        <v>636</v>
      </c>
      <c r="D96">
        <v>1</v>
      </c>
      <c r="E96">
        <v>1</v>
      </c>
      <c r="F96">
        <v>1</v>
      </c>
      <c r="G96">
        <v>2</v>
      </c>
      <c r="H96">
        <v>100</v>
      </c>
      <c r="I96" t="s">
        <v>607</v>
      </c>
      <c r="J96">
        <v>0.40960000000000002</v>
      </c>
      <c r="K96">
        <v>111.79859999999999</v>
      </c>
      <c r="L96">
        <v>1.77E-2</v>
      </c>
      <c r="M96">
        <v>0.89970000000000006</v>
      </c>
      <c r="N96">
        <v>25.870899999999999</v>
      </c>
      <c r="O96">
        <v>89.166300000000007</v>
      </c>
      <c r="P96">
        <v>376.08420000000001</v>
      </c>
      <c r="Q96">
        <v>237.88570000000001</v>
      </c>
      <c r="R96">
        <v>0.56210000000000004</v>
      </c>
      <c r="S96">
        <v>0.59179999999999999</v>
      </c>
      <c r="T96">
        <v>0.26690000000000003</v>
      </c>
      <c r="U96">
        <v>4.5999999999999999E-3</v>
      </c>
      <c r="V96">
        <v>0.44900000000000001</v>
      </c>
      <c r="W96">
        <v>0</v>
      </c>
      <c r="X96">
        <v>15.5518</v>
      </c>
      <c r="Y96">
        <v>13.867599999999999</v>
      </c>
      <c r="Z96">
        <v>14.704000000000001</v>
      </c>
      <c r="AA96">
        <v>53.548699999999997</v>
      </c>
      <c r="AB96">
        <v>19.9742</v>
      </c>
      <c r="AC96">
        <v>48.4848</v>
      </c>
      <c r="AD96">
        <v>63.604100000000003</v>
      </c>
      <c r="AE96">
        <v>0.44550000000000001</v>
      </c>
      <c r="AF96">
        <v>8524.5668000000005</v>
      </c>
      <c r="AG96">
        <v>64.357500000000002</v>
      </c>
      <c r="AH96">
        <v>0.34710000000000002</v>
      </c>
      <c r="AI96">
        <v>88.952299999999994</v>
      </c>
      <c r="AJ96">
        <v>73.2</v>
      </c>
      <c r="AK96">
        <v>81.145700000000005</v>
      </c>
      <c r="AL96">
        <v>1.6845000000000001</v>
      </c>
      <c r="AM96">
        <v>0.05</v>
      </c>
      <c r="AN96">
        <v>0</v>
      </c>
      <c r="AO96">
        <v>90.4238</v>
      </c>
      <c r="AP96">
        <v>92.8065</v>
      </c>
      <c r="AQ96">
        <v>91.298400000000001</v>
      </c>
      <c r="AR96">
        <v>89.985600000000005</v>
      </c>
      <c r="AS96">
        <v>85.961500000000001</v>
      </c>
      <c r="AT96">
        <v>85.119299999999996</v>
      </c>
      <c r="AU96">
        <v>80.861000000000004</v>
      </c>
      <c r="AV96">
        <v>2063.7078999999999</v>
      </c>
      <c r="AW96">
        <v>3797.2226999999998</v>
      </c>
      <c r="AX96">
        <f t="shared" si="33"/>
        <v>184107.58316496</v>
      </c>
      <c r="AY96">
        <f t="shared" si="34"/>
        <v>244379.75991525</v>
      </c>
      <c r="AZ96">
        <f t="shared" si="35"/>
        <v>0</v>
      </c>
      <c r="BA96">
        <f t="shared" si="21"/>
        <v>3797.2226999999998</v>
      </c>
      <c r="BB96">
        <f t="shared" si="22"/>
        <v>0</v>
      </c>
      <c r="BC96">
        <f t="shared" si="23"/>
        <v>0</v>
      </c>
      <c r="BD96">
        <f t="shared" si="24"/>
        <v>0</v>
      </c>
      <c r="BE96">
        <f t="shared" si="25"/>
        <v>0</v>
      </c>
      <c r="BF96">
        <f t="shared" si="26"/>
        <v>0</v>
      </c>
      <c r="BG96">
        <f t="shared" si="36"/>
        <v>1443.3081267</v>
      </c>
      <c r="BH96">
        <f t="shared" si="37"/>
        <v>1419.85445712</v>
      </c>
      <c r="BI96">
        <f t="shared" si="38"/>
        <v>1399.43805408</v>
      </c>
      <c r="BJ96">
        <f t="shared" si="39"/>
        <v>1336.8560557000001</v>
      </c>
      <c r="BK96">
        <f t="shared" si="40"/>
        <v>1323.7583297399999</v>
      </c>
      <c r="BL96">
        <f t="shared" si="41"/>
        <v>1257.5340998000001</v>
      </c>
    </row>
    <row r="97" spans="1:64">
      <c r="A97" t="str">
        <f t="shared" si="17"/>
        <v>10</v>
      </c>
      <c r="B97" t="s">
        <v>605</v>
      </c>
      <c r="C97" t="s">
        <v>636</v>
      </c>
      <c r="D97">
        <v>1</v>
      </c>
      <c r="E97">
        <v>1</v>
      </c>
      <c r="F97">
        <v>1</v>
      </c>
      <c r="G97">
        <v>2</v>
      </c>
      <c r="H97">
        <v>200</v>
      </c>
      <c r="I97" t="s">
        <v>607</v>
      </c>
      <c r="J97">
        <v>0.42249999999999999</v>
      </c>
      <c r="K97">
        <v>179.76419999999999</v>
      </c>
      <c r="L97">
        <v>1.9E-2</v>
      </c>
      <c r="M97">
        <v>0.73950000000000005</v>
      </c>
      <c r="N97">
        <v>25.736599999999999</v>
      </c>
      <c r="O97">
        <v>89.094099999999997</v>
      </c>
      <c r="P97">
        <v>397.48099999999999</v>
      </c>
      <c r="Q97">
        <v>239.32339999999999</v>
      </c>
      <c r="R97">
        <v>0.53149999999999997</v>
      </c>
      <c r="S97">
        <v>0.67310000000000003</v>
      </c>
      <c r="T97">
        <v>0.23100000000000001</v>
      </c>
      <c r="U97">
        <v>8.0000000000000002E-3</v>
      </c>
      <c r="V97">
        <v>0.48780000000000001</v>
      </c>
      <c r="W97">
        <v>0</v>
      </c>
      <c r="X97">
        <v>136.19139999999999</v>
      </c>
      <c r="Y97">
        <v>121.342</v>
      </c>
      <c r="Z97">
        <v>135.6532</v>
      </c>
      <c r="AA97">
        <v>470.80180000000001</v>
      </c>
      <c r="AB97">
        <v>10.6806</v>
      </c>
      <c r="AC97">
        <v>47.962499999999999</v>
      </c>
      <c r="AD97">
        <v>63.684100000000001</v>
      </c>
      <c r="AE97">
        <v>3.8098999999999998</v>
      </c>
      <c r="AF97">
        <v>8461.4771000000001</v>
      </c>
      <c r="AG97">
        <v>64.871200000000002</v>
      </c>
      <c r="AH97">
        <v>4.8739999999999997</v>
      </c>
      <c r="AI97">
        <v>90.226299999999995</v>
      </c>
      <c r="AJ97">
        <v>73.2</v>
      </c>
      <c r="AK97">
        <v>83.808199999999999</v>
      </c>
      <c r="AL97">
        <v>1.8097000000000001</v>
      </c>
      <c r="AM97">
        <v>0.05</v>
      </c>
      <c r="AN97">
        <v>0</v>
      </c>
      <c r="AO97">
        <v>90.8035</v>
      </c>
      <c r="AP97">
        <v>93.293599999999998</v>
      </c>
      <c r="AQ97">
        <v>91.940700000000007</v>
      </c>
      <c r="AR97">
        <v>90.520499999999998</v>
      </c>
      <c r="AS97">
        <v>86.104299999999995</v>
      </c>
      <c r="AT97">
        <v>85.313699999999997</v>
      </c>
      <c r="AU97">
        <v>79.953400000000002</v>
      </c>
      <c r="AV97">
        <v>17519.497899999998</v>
      </c>
      <c r="AW97">
        <v>32235.876700000001</v>
      </c>
      <c r="AX97">
        <f t="shared" si="33"/>
        <v>1546113.23622375</v>
      </c>
      <c r="AY97">
        <f t="shared" si="34"/>
        <v>2091180.00458104</v>
      </c>
      <c r="AZ97">
        <f t="shared" si="35"/>
        <v>0</v>
      </c>
      <c r="BA97">
        <f t="shared" si="21"/>
        <v>32235.876700000001</v>
      </c>
      <c r="BB97">
        <f t="shared" si="22"/>
        <v>0</v>
      </c>
      <c r="BC97">
        <f t="shared" si="23"/>
        <v>0</v>
      </c>
      <c r="BD97">
        <f t="shared" si="24"/>
        <v>0</v>
      </c>
      <c r="BE97">
        <f t="shared" si="25"/>
        <v>0</v>
      </c>
      <c r="BF97">
        <f t="shared" si="26"/>
        <v>0</v>
      </c>
      <c r="BG97">
        <f t="shared" si="36"/>
        <v>12705.785995039998</v>
      </c>
      <c r="BH97">
        <f t="shared" si="37"/>
        <v>12521.532649979999</v>
      </c>
      <c r="BI97">
        <f t="shared" si="38"/>
        <v>12328.113623699999</v>
      </c>
      <c r="BJ97">
        <f t="shared" si="39"/>
        <v>11726.665163019998</v>
      </c>
      <c r="BK97">
        <f t="shared" si="40"/>
        <v>11618.992242179998</v>
      </c>
      <c r="BL97">
        <f t="shared" si="41"/>
        <v>10888.96548076</v>
      </c>
    </row>
    <row r="98" spans="1:64">
      <c r="A98" t="str">
        <f t="shared" si="17"/>
        <v>10</v>
      </c>
      <c r="B98" t="s">
        <v>605</v>
      </c>
      <c r="C98" t="s">
        <v>636</v>
      </c>
      <c r="D98">
        <v>55</v>
      </c>
      <c r="E98">
        <v>1</v>
      </c>
      <c r="F98">
        <v>6</v>
      </c>
      <c r="G98">
        <v>2</v>
      </c>
      <c r="H98">
        <v>100</v>
      </c>
      <c r="I98" t="s">
        <v>607</v>
      </c>
      <c r="J98">
        <v>0.56330000000000002</v>
      </c>
      <c r="K98">
        <v>102.1272</v>
      </c>
      <c r="L98">
        <v>1.84E-2</v>
      </c>
      <c r="M98">
        <v>0.79459999999999997</v>
      </c>
      <c r="N98">
        <v>27.907800000000002</v>
      </c>
      <c r="O98">
        <v>86.625100000000003</v>
      </c>
      <c r="P98">
        <v>397.78129999999999</v>
      </c>
      <c r="Q98">
        <v>242.00800000000001</v>
      </c>
      <c r="R98">
        <v>0.48720000000000002</v>
      </c>
      <c r="S98">
        <v>0.64390000000000003</v>
      </c>
      <c r="T98">
        <v>0.28289999999999998</v>
      </c>
      <c r="U98">
        <v>4.1999999999999997E-3</v>
      </c>
      <c r="V98">
        <v>0.57879999999999998</v>
      </c>
      <c r="W98">
        <v>11.3027</v>
      </c>
      <c r="X98">
        <v>225.76650000000001</v>
      </c>
      <c r="Y98">
        <v>199.7302</v>
      </c>
      <c r="Z98">
        <v>205.65469999999999</v>
      </c>
      <c r="AA98">
        <v>715.09690000000001</v>
      </c>
      <c r="AB98">
        <v>18.134699999999999</v>
      </c>
      <c r="AC98">
        <v>52.043300000000002</v>
      </c>
      <c r="AD98">
        <v>65.248800000000003</v>
      </c>
      <c r="AE98">
        <v>4.7760999999999996</v>
      </c>
      <c r="AF98">
        <v>8705.1363999999994</v>
      </c>
      <c r="AG98">
        <v>64.923599999999993</v>
      </c>
      <c r="AH98">
        <v>3.3919999999999999</v>
      </c>
      <c r="AI98">
        <v>88.755600000000001</v>
      </c>
      <c r="AJ98">
        <v>73.2</v>
      </c>
      <c r="AK98">
        <v>80.733900000000006</v>
      </c>
      <c r="AL98">
        <v>2.0745</v>
      </c>
      <c r="AM98">
        <v>0.05</v>
      </c>
      <c r="AN98">
        <v>4.1999999999999997E-3</v>
      </c>
      <c r="AO98">
        <v>92.720299999999995</v>
      </c>
      <c r="AP98">
        <v>92.052300000000002</v>
      </c>
      <c r="AQ98">
        <v>90.524500000000003</v>
      </c>
      <c r="AR98">
        <v>89.118300000000005</v>
      </c>
      <c r="AS98">
        <v>85.3018</v>
      </c>
      <c r="AT98">
        <v>84.404700000000005</v>
      </c>
      <c r="AU98">
        <v>80.429500000000004</v>
      </c>
      <c r="AV98">
        <v>16282.0684</v>
      </c>
      <c r="AW98">
        <v>41548.707499999997</v>
      </c>
      <c r="AX98">
        <f t="shared" si="33"/>
        <v>2162331.8490347499</v>
      </c>
      <c r="AY98">
        <f t="shared" si="34"/>
        <v>2697491.6662469995</v>
      </c>
      <c r="AZ98">
        <f t="shared" si="35"/>
        <v>469612.57626024995</v>
      </c>
      <c r="BA98">
        <f t="shared" si="21"/>
        <v>41548.707499999997</v>
      </c>
      <c r="BB98">
        <f t="shared" si="22"/>
        <v>0</v>
      </c>
      <c r="BC98">
        <f t="shared" si="23"/>
        <v>0</v>
      </c>
      <c r="BD98">
        <f t="shared" si="24"/>
        <v>0</v>
      </c>
      <c r="BE98">
        <f t="shared" si="25"/>
        <v>0</v>
      </c>
      <c r="BF98">
        <f t="shared" si="26"/>
        <v>0</v>
      </c>
      <c r="BG98">
        <f t="shared" si="36"/>
        <v>20782.325587950003</v>
      </c>
      <c r="BH98">
        <f t="shared" si="37"/>
        <v>20437.39952925</v>
      </c>
      <c r="BI98">
        <f t="shared" si="38"/>
        <v>20119.926676950003</v>
      </c>
      <c r="BJ98">
        <f t="shared" si="39"/>
        <v>19258.288829699999</v>
      </c>
      <c r="BK98">
        <f t="shared" si="40"/>
        <v>19055.753702550002</v>
      </c>
      <c r="BL98">
        <f t="shared" si="41"/>
        <v>18158.286711750003</v>
      </c>
    </row>
    <row r="99" spans="1:64">
      <c r="A99" t="str">
        <f t="shared" si="17"/>
        <v>10</v>
      </c>
      <c r="B99" t="s">
        <v>605</v>
      </c>
      <c r="C99" t="s">
        <v>636</v>
      </c>
      <c r="D99">
        <v>55</v>
      </c>
      <c r="E99">
        <v>1</v>
      </c>
      <c r="F99">
        <v>6</v>
      </c>
      <c r="G99">
        <v>4</v>
      </c>
      <c r="H99">
        <v>100</v>
      </c>
      <c r="I99" t="s">
        <v>607</v>
      </c>
      <c r="J99">
        <v>0.48220000000000002</v>
      </c>
      <c r="K99">
        <v>72.096500000000006</v>
      </c>
      <c r="L99">
        <v>1.7299999999999999E-2</v>
      </c>
      <c r="M99">
        <v>0.79559999999999997</v>
      </c>
      <c r="N99">
        <v>28.390599999999999</v>
      </c>
      <c r="O99">
        <v>89.259900000000002</v>
      </c>
      <c r="P99">
        <v>349.89580000000001</v>
      </c>
      <c r="Q99">
        <v>234.61709999999999</v>
      </c>
      <c r="R99">
        <v>0.53979999999999995</v>
      </c>
      <c r="S99">
        <v>0.64419999999999999</v>
      </c>
      <c r="T99">
        <v>0.33850000000000002</v>
      </c>
      <c r="U99">
        <v>2E-3</v>
      </c>
      <c r="V99">
        <v>0.50680000000000003</v>
      </c>
      <c r="W99">
        <v>11.070399999999999</v>
      </c>
      <c r="X99">
        <v>14.2255</v>
      </c>
      <c r="Y99">
        <v>12.6976</v>
      </c>
      <c r="Z99">
        <v>12.894</v>
      </c>
      <c r="AA99">
        <v>44.707700000000003</v>
      </c>
      <c r="AB99">
        <v>17.902699999999999</v>
      </c>
      <c r="AC99">
        <v>50.774299999999997</v>
      </c>
      <c r="AD99">
        <v>65.737799999999993</v>
      </c>
      <c r="AE99">
        <v>0.34399999999999997</v>
      </c>
      <c r="AF99">
        <v>8575.8526000000002</v>
      </c>
      <c r="AG99">
        <v>65.388099999999994</v>
      </c>
      <c r="AH99">
        <v>0.16830000000000001</v>
      </c>
      <c r="AI99">
        <v>87.985600000000005</v>
      </c>
      <c r="AJ99">
        <v>73.2</v>
      </c>
      <c r="AK99">
        <v>79.142200000000003</v>
      </c>
      <c r="AL99">
        <v>2.0785</v>
      </c>
      <c r="AM99">
        <v>0.05</v>
      </c>
      <c r="AN99">
        <v>0</v>
      </c>
      <c r="AO99">
        <v>93.1982</v>
      </c>
      <c r="AP99">
        <v>92.221100000000007</v>
      </c>
      <c r="AQ99">
        <v>90.763000000000005</v>
      </c>
      <c r="AR99">
        <v>89.485100000000003</v>
      </c>
      <c r="AS99">
        <v>85.965500000000006</v>
      </c>
      <c r="AT99">
        <v>85.097999999999999</v>
      </c>
      <c r="AU99">
        <v>81.371499999999997</v>
      </c>
      <c r="AV99">
        <v>1150.3884</v>
      </c>
      <c r="AW99">
        <v>2949.8737000000001</v>
      </c>
      <c r="AX99">
        <f t="shared" si="33"/>
        <v>149777.77220591001</v>
      </c>
      <c r="AY99">
        <f t="shared" si="34"/>
        <v>192886.63648297</v>
      </c>
      <c r="AZ99">
        <f t="shared" si="35"/>
        <v>32656.281808479998</v>
      </c>
      <c r="BA99">
        <f t="shared" si="21"/>
        <v>2949.8737000000001</v>
      </c>
      <c r="BB99">
        <f t="shared" si="22"/>
        <v>0</v>
      </c>
      <c r="BC99">
        <f t="shared" si="23"/>
        <v>0</v>
      </c>
      <c r="BD99">
        <f t="shared" si="24"/>
        <v>0</v>
      </c>
      <c r="BE99">
        <f t="shared" si="25"/>
        <v>0</v>
      </c>
      <c r="BF99">
        <f t="shared" si="26"/>
        <v>0</v>
      </c>
      <c r="BG99">
        <f t="shared" si="36"/>
        <v>1311.89125805</v>
      </c>
      <c r="BH99">
        <f t="shared" si="37"/>
        <v>1291.1490565000001</v>
      </c>
      <c r="BI99">
        <f t="shared" si="38"/>
        <v>1272.9702900500001</v>
      </c>
      <c r="BJ99">
        <f t="shared" si="39"/>
        <v>1222.90222025</v>
      </c>
      <c r="BK99">
        <f t="shared" si="40"/>
        <v>1210.5615990000001</v>
      </c>
      <c r="BL99">
        <f t="shared" si="41"/>
        <v>1157.5502732499999</v>
      </c>
    </row>
    <row r="100" spans="1:64">
      <c r="A100" t="str">
        <f t="shared" si="17"/>
        <v>11</v>
      </c>
      <c r="B100" t="s">
        <v>605</v>
      </c>
      <c r="C100" t="s">
        <v>637</v>
      </c>
      <c r="D100">
        <v>1</v>
      </c>
      <c r="E100">
        <v>1</v>
      </c>
      <c r="F100">
        <v>1</v>
      </c>
      <c r="G100">
        <v>2</v>
      </c>
      <c r="H100">
        <v>100</v>
      </c>
      <c r="I100" t="s">
        <v>607</v>
      </c>
      <c r="J100">
        <v>0.48280000000000001</v>
      </c>
      <c r="K100">
        <v>91.652000000000001</v>
      </c>
      <c r="L100">
        <v>1.66E-2</v>
      </c>
      <c r="M100">
        <v>0.88849999999999996</v>
      </c>
      <c r="N100">
        <v>26.364799999999999</v>
      </c>
      <c r="O100">
        <v>89.331699999999998</v>
      </c>
      <c r="P100">
        <v>386.52019999999999</v>
      </c>
      <c r="Q100">
        <v>235.96799999999999</v>
      </c>
      <c r="R100">
        <v>0.60619999999999996</v>
      </c>
      <c r="S100">
        <v>0.6966</v>
      </c>
      <c r="T100">
        <v>0.29949999999999999</v>
      </c>
      <c r="U100">
        <v>5.0000000000000001E-3</v>
      </c>
      <c r="V100">
        <v>0.51449999999999996</v>
      </c>
      <c r="W100">
        <v>0</v>
      </c>
      <c r="X100">
        <v>48.532899999999998</v>
      </c>
      <c r="Y100">
        <v>43.356099999999998</v>
      </c>
      <c r="Z100">
        <v>44.659300000000002</v>
      </c>
      <c r="AA100">
        <v>163.7628</v>
      </c>
      <c r="AB100">
        <v>9.5344999999999995</v>
      </c>
      <c r="AC100">
        <v>47.562399999999997</v>
      </c>
      <c r="AD100">
        <v>62.287599999999998</v>
      </c>
      <c r="AE100">
        <v>1.1897</v>
      </c>
      <c r="AF100">
        <v>8449.8647000000001</v>
      </c>
      <c r="AG100">
        <v>63.836399999999998</v>
      </c>
      <c r="AH100">
        <v>0.74080000000000001</v>
      </c>
      <c r="AI100">
        <v>88.589200000000005</v>
      </c>
      <c r="AJ100">
        <v>73.2</v>
      </c>
      <c r="AK100">
        <v>80.385099999999994</v>
      </c>
      <c r="AL100">
        <v>1.7574000000000001</v>
      </c>
      <c r="AM100">
        <v>0.05</v>
      </c>
      <c r="AN100">
        <v>0</v>
      </c>
      <c r="AO100">
        <v>90.382000000000005</v>
      </c>
      <c r="AP100">
        <v>93.236400000000003</v>
      </c>
      <c r="AQ100">
        <v>91.821299999999994</v>
      </c>
      <c r="AR100">
        <v>90.602199999999996</v>
      </c>
      <c r="AS100">
        <v>86.241500000000002</v>
      </c>
      <c r="AT100">
        <v>85.4114</v>
      </c>
      <c r="AU100">
        <v>80.903599999999997</v>
      </c>
      <c r="AV100">
        <v>5463.4142000000002</v>
      </c>
      <c r="AW100">
        <v>10052.6823</v>
      </c>
      <c r="AX100">
        <f t="shared" si="33"/>
        <v>478129.69662552001</v>
      </c>
      <c r="AY100">
        <f t="shared" si="34"/>
        <v>641727.04837572004</v>
      </c>
      <c r="AZ100">
        <f t="shared" si="35"/>
        <v>0</v>
      </c>
      <c r="BA100">
        <f t="shared" si="21"/>
        <v>10052.6823</v>
      </c>
      <c r="BB100">
        <f t="shared" si="22"/>
        <v>0</v>
      </c>
      <c r="BC100">
        <f t="shared" si="23"/>
        <v>0</v>
      </c>
      <c r="BD100">
        <f t="shared" si="24"/>
        <v>0</v>
      </c>
      <c r="BE100">
        <f t="shared" si="25"/>
        <v>0</v>
      </c>
      <c r="BF100">
        <f t="shared" si="26"/>
        <v>0</v>
      </c>
      <c r="BG100">
        <f t="shared" si="36"/>
        <v>4525.0328775600001</v>
      </c>
      <c r="BH100">
        <f t="shared" si="37"/>
        <v>4456.3539707699993</v>
      </c>
      <c r="BI100">
        <f t="shared" si="38"/>
        <v>4397.18751238</v>
      </c>
      <c r="BJ100">
        <f t="shared" si="39"/>
        <v>4185.5500953499995</v>
      </c>
      <c r="BK100">
        <f t="shared" si="40"/>
        <v>4145.26293506</v>
      </c>
      <c r="BL100">
        <f t="shared" si="41"/>
        <v>3926.4863284399999</v>
      </c>
    </row>
    <row r="101" spans="1:64">
      <c r="A101" t="str">
        <f t="shared" si="17"/>
        <v>11</v>
      </c>
      <c r="B101" t="s">
        <v>605</v>
      </c>
      <c r="C101" t="s">
        <v>637</v>
      </c>
      <c r="D101">
        <v>1</v>
      </c>
      <c r="E101">
        <v>1</v>
      </c>
      <c r="F101">
        <v>1</v>
      </c>
      <c r="G101">
        <v>2</v>
      </c>
      <c r="H101">
        <v>200</v>
      </c>
      <c r="I101" t="s">
        <v>607</v>
      </c>
      <c r="J101">
        <v>0.45839999999999997</v>
      </c>
      <c r="K101">
        <v>163.16759999999999</v>
      </c>
      <c r="L101">
        <v>1.7100000000000001E-2</v>
      </c>
      <c r="M101">
        <v>0.86199999999999999</v>
      </c>
      <c r="N101">
        <v>25.703199999999999</v>
      </c>
      <c r="O101">
        <v>89.215400000000002</v>
      </c>
      <c r="P101">
        <v>406.43290000000002</v>
      </c>
      <c r="Q101">
        <v>236.71449999999999</v>
      </c>
      <c r="R101">
        <v>0.59940000000000004</v>
      </c>
      <c r="S101">
        <v>0.67810000000000004</v>
      </c>
      <c r="T101">
        <v>0.26879999999999998</v>
      </c>
      <c r="U101">
        <v>7.3000000000000001E-3</v>
      </c>
      <c r="V101">
        <v>0.5171</v>
      </c>
      <c r="W101">
        <v>0</v>
      </c>
      <c r="X101">
        <v>48.839599999999997</v>
      </c>
      <c r="Y101">
        <v>43.576599999999999</v>
      </c>
      <c r="Z101">
        <v>47.579700000000003</v>
      </c>
      <c r="AA101">
        <v>169.4025</v>
      </c>
      <c r="AB101">
        <v>10.3775</v>
      </c>
      <c r="AC101">
        <v>47.001800000000003</v>
      </c>
      <c r="AD101">
        <v>62.466000000000001</v>
      </c>
      <c r="AE101">
        <v>1.2697000000000001</v>
      </c>
      <c r="AF101">
        <v>8392.0334999999995</v>
      </c>
      <c r="AG101">
        <v>63.985199999999999</v>
      </c>
      <c r="AH101">
        <v>1.4519</v>
      </c>
      <c r="AI101">
        <v>90.017899999999997</v>
      </c>
      <c r="AJ101">
        <v>73.2</v>
      </c>
      <c r="AK101">
        <v>83.366699999999994</v>
      </c>
      <c r="AL101">
        <v>1.9903999999999999</v>
      </c>
      <c r="AM101">
        <v>0.05</v>
      </c>
      <c r="AN101">
        <v>0</v>
      </c>
      <c r="AO101">
        <v>90.597300000000004</v>
      </c>
      <c r="AP101">
        <v>93.433099999999996</v>
      </c>
      <c r="AQ101">
        <v>92.1</v>
      </c>
      <c r="AR101">
        <v>90.799599999999998</v>
      </c>
      <c r="AS101">
        <v>86.212199999999996</v>
      </c>
      <c r="AT101">
        <v>85.405799999999999</v>
      </c>
      <c r="AU101">
        <v>79.906899999999993</v>
      </c>
      <c r="AV101">
        <v>5790.89</v>
      </c>
      <c r="AW101">
        <v>10655.237800000001</v>
      </c>
      <c r="AX101">
        <f t="shared" si="33"/>
        <v>500815.35602804006</v>
      </c>
      <c r="AY101">
        <f t="shared" si="34"/>
        <v>681777.52168056008</v>
      </c>
      <c r="AZ101">
        <f t="shared" si="35"/>
        <v>0</v>
      </c>
      <c r="BA101">
        <f t="shared" si="21"/>
        <v>10655.237800000001</v>
      </c>
      <c r="BB101">
        <f t="shared" si="22"/>
        <v>0</v>
      </c>
      <c r="BC101">
        <f t="shared" si="23"/>
        <v>0</v>
      </c>
      <c r="BD101">
        <f t="shared" si="24"/>
        <v>0</v>
      </c>
      <c r="BE101">
        <f t="shared" si="25"/>
        <v>0</v>
      </c>
      <c r="BF101">
        <f t="shared" si="26"/>
        <v>0</v>
      </c>
      <c r="BG101">
        <f t="shared" si="36"/>
        <v>4563.2352307599995</v>
      </c>
      <c r="BH101">
        <f t="shared" si="37"/>
        <v>4498.1271599999991</v>
      </c>
      <c r="BI101">
        <f t="shared" si="38"/>
        <v>4434.6161441599997</v>
      </c>
      <c r="BJ101">
        <f t="shared" si="39"/>
        <v>4210.5693631199993</v>
      </c>
      <c r="BK101">
        <f t="shared" si="40"/>
        <v>4171.1851096800001</v>
      </c>
      <c r="BL101">
        <f t="shared" si="41"/>
        <v>3902.6210332399996</v>
      </c>
    </row>
    <row r="102" spans="1:64">
      <c r="A102" t="str">
        <f t="shared" si="17"/>
        <v>11</v>
      </c>
      <c r="B102" t="s">
        <v>605</v>
      </c>
      <c r="C102" t="s">
        <v>637</v>
      </c>
      <c r="D102">
        <v>55</v>
      </c>
      <c r="E102">
        <v>1</v>
      </c>
      <c r="F102">
        <v>6</v>
      </c>
      <c r="G102">
        <v>2</v>
      </c>
      <c r="H102">
        <v>100</v>
      </c>
      <c r="I102" t="s">
        <v>607</v>
      </c>
      <c r="J102">
        <v>0.50429999999999997</v>
      </c>
      <c r="K102">
        <v>92.291200000000003</v>
      </c>
      <c r="L102">
        <v>1.7100000000000001E-2</v>
      </c>
      <c r="M102">
        <v>0.81030000000000002</v>
      </c>
      <c r="N102">
        <v>27.370100000000001</v>
      </c>
      <c r="O102">
        <v>89.038799999999995</v>
      </c>
      <c r="P102">
        <v>399.80700000000002</v>
      </c>
      <c r="Q102">
        <v>231.65819999999999</v>
      </c>
      <c r="R102">
        <v>0.59109999999999996</v>
      </c>
      <c r="S102">
        <v>0.63449999999999995</v>
      </c>
      <c r="T102">
        <v>0.33679999999999999</v>
      </c>
      <c r="U102">
        <v>3.0000000000000001E-3</v>
      </c>
      <c r="V102">
        <v>0.53480000000000005</v>
      </c>
      <c r="W102">
        <v>11.327999999999999</v>
      </c>
      <c r="X102">
        <v>179.3955</v>
      </c>
      <c r="Y102">
        <v>160.32769999999999</v>
      </c>
      <c r="Z102">
        <v>164.79490000000001</v>
      </c>
      <c r="AA102">
        <v>585.78449999999998</v>
      </c>
      <c r="AB102">
        <v>11.487399999999999</v>
      </c>
      <c r="AC102">
        <v>48.852600000000002</v>
      </c>
      <c r="AD102">
        <v>61.816800000000001</v>
      </c>
      <c r="AE102">
        <v>4.2443999999999997</v>
      </c>
      <c r="AF102">
        <v>8409.9802</v>
      </c>
      <c r="AG102">
        <v>64.715800000000002</v>
      </c>
      <c r="AH102">
        <v>2.6469999999999998</v>
      </c>
      <c r="AI102">
        <v>88.590500000000006</v>
      </c>
      <c r="AJ102">
        <v>73.2</v>
      </c>
      <c r="AK102">
        <v>80.388800000000003</v>
      </c>
      <c r="AL102">
        <v>2.1208999999999998</v>
      </c>
      <c r="AM102">
        <v>0.05</v>
      </c>
      <c r="AN102">
        <v>5.9999999999999995E-4</v>
      </c>
      <c r="AO102">
        <v>93.3172</v>
      </c>
      <c r="AP102">
        <v>92.762900000000002</v>
      </c>
      <c r="AQ102">
        <v>91.390100000000004</v>
      </c>
      <c r="AR102">
        <v>90.121899999999997</v>
      </c>
      <c r="AS102">
        <v>86.111900000000006</v>
      </c>
      <c r="AT102">
        <v>85.2744</v>
      </c>
      <c r="AU102">
        <v>81.428600000000003</v>
      </c>
      <c r="AV102">
        <v>13974.7745</v>
      </c>
      <c r="AW102">
        <v>35676.354299999999</v>
      </c>
      <c r="AX102">
        <f t="shared" si="33"/>
        <v>1742882.6660761801</v>
      </c>
      <c r="AY102">
        <f t="shared" si="34"/>
        <v>2308823.8096079398</v>
      </c>
      <c r="AZ102">
        <f t="shared" si="35"/>
        <v>404141.74151039997</v>
      </c>
      <c r="BA102">
        <f t="shared" si="21"/>
        <v>35676.354299999999</v>
      </c>
      <c r="BB102">
        <f t="shared" si="22"/>
        <v>0</v>
      </c>
      <c r="BC102">
        <f t="shared" si="23"/>
        <v>0</v>
      </c>
      <c r="BD102">
        <f t="shared" si="24"/>
        <v>0</v>
      </c>
      <c r="BE102">
        <f t="shared" si="25"/>
        <v>0</v>
      </c>
      <c r="BF102">
        <f t="shared" si="26"/>
        <v>0</v>
      </c>
      <c r="BG102">
        <f t="shared" si="36"/>
        <v>16641.246826949999</v>
      </c>
      <c r="BH102">
        <f t="shared" si="37"/>
        <v>16394.972684550001</v>
      </c>
      <c r="BI102">
        <f t="shared" si="38"/>
        <v>16167.463311449999</v>
      </c>
      <c r="BJ102">
        <f t="shared" si="39"/>
        <v>15448.087356450002</v>
      </c>
      <c r="BK102">
        <f t="shared" si="40"/>
        <v>15297.843625199999</v>
      </c>
      <c r="BL102">
        <f t="shared" si="41"/>
        <v>14607.9244113</v>
      </c>
    </row>
    <row r="103" spans="1:64">
      <c r="A103" t="str">
        <f t="shared" si="17"/>
        <v>11</v>
      </c>
      <c r="B103" t="s">
        <v>605</v>
      </c>
      <c r="C103" t="s">
        <v>637</v>
      </c>
      <c r="D103">
        <v>55</v>
      </c>
      <c r="E103">
        <v>1</v>
      </c>
      <c r="F103">
        <v>6</v>
      </c>
      <c r="G103">
        <v>4</v>
      </c>
      <c r="H103">
        <v>100</v>
      </c>
      <c r="I103" t="s">
        <v>607</v>
      </c>
      <c r="J103">
        <v>0.47649999999999998</v>
      </c>
      <c r="K103">
        <v>87.512799999999999</v>
      </c>
      <c r="L103">
        <v>1.67E-2</v>
      </c>
      <c r="M103">
        <v>0.76649999999999996</v>
      </c>
      <c r="N103">
        <v>28.0365</v>
      </c>
      <c r="O103">
        <v>89.382300000000001</v>
      </c>
      <c r="P103">
        <v>395.63350000000003</v>
      </c>
      <c r="Q103">
        <v>235.3613</v>
      </c>
      <c r="R103">
        <v>0.55289999999999995</v>
      </c>
      <c r="S103">
        <v>0.60240000000000005</v>
      </c>
      <c r="T103">
        <v>0.34039999999999998</v>
      </c>
      <c r="U103">
        <v>2E-3</v>
      </c>
      <c r="V103">
        <v>0.50649999999999995</v>
      </c>
      <c r="W103">
        <v>11.0816</v>
      </c>
      <c r="X103">
        <v>107.1356</v>
      </c>
      <c r="Y103">
        <v>95.771799999999999</v>
      </c>
      <c r="Z103">
        <v>98.4345</v>
      </c>
      <c r="AA103">
        <v>341.22469999999998</v>
      </c>
      <c r="AB103">
        <v>14.9399</v>
      </c>
      <c r="AC103">
        <v>51.063099999999999</v>
      </c>
      <c r="AD103">
        <v>60.9375</v>
      </c>
      <c r="AE103">
        <v>2.6214</v>
      </c>
      <c r="AF103">
        <v>8582.2656999999999</v>
      </c>
      <c r="AG103">
        <v>66.227000000000004</v>
      </c>
      <c r="AH103">
        <v>1.5797000000000001</v>
      </c>
      <c r="AI103">
        <v>88.429299999999998</v>
      </c>
      <c r="AJ103">
        <v>73.2</v>
      </c>
      <c r="AK103">
        <v>80.057699999999997</v>
      </c>
      <c r="AL103">
        <v>2.0177</v>
      </c>
      <c r="AM103">
        <v>0.05</v>
      </c>
      <c r="AN103">
        <v>0</v>
      </c>
      <c r="AO103">
        <v>93.563100000000006</v>
      </c>
      <c r="AP103">
        <v>92.433899999999994</v>
      </c>
      <c r="AQ103">
        <v>91.161799999999999</v>
      </c>
      <c r="AR103">
        <v>89.978300000000004</v>
      </c>
      <c r="AS103">
        <v>86.2727</v>
      </c>
      <c r="AT103">
        <v>85.4756</v>
      </c>
      <c r="AU103">
        <v>81.767300000000006</v>
      </c>
      <c r="AV103">
        <v>8801.7996999999996</v>
      </c>
      <c r="AW103">
        <v>22492.349900000001</v>
      </c>
      <c r="AX103">
        <f t="shared" si="33"/>
        <v>1148529.11217869</v>
      </c>
      <c r="AY103">
        <f t="shared" si="34"/>
        <v>1489600.8568273</v>
      </c>
      <c r="AZ103">
        <f t="shared" si="35"/>
        <v>249251.22465184002</v>
      </c>
      <c r="BA103">
        <f t="shared" si="21"/>
        <v>22492.349900000001</v>
      </c>
      <c r="BB103">
        <f t="shared" si="22"/>
        <v>0</v>
      </c>
      <c r="BC103">
        <f t="shared" si="23"/>
        <v>0</v>
      </c>
      <c r="BD103">
        <f t="shared" si="24"/>
        <v>0</v>
      </c>
      <c r="BE103">
        <f t="shared" si="25"/>
        <v>0</v>
      </c>
      <c r="BF103">
        <f t="shared" si="26"/>
        <v>0</v>
      </c>
      <c r="BG103">
        <f t="shared" si="36"/>
        <v>9902.9613368399987</v>
      </c>
      <c r="BH103">
        <f t="shared" si="37"/>
        <v>9766.6741400800001</v>
      </c>
      <c r="BI103">
        <f t="shared" si="38"/>
        <v>9639.8791574799998</v>
      </c>
      <c r="BJ103">
        <f t="shared" si="39"/>
        <v>9242.8774781199991</v>
      </c>
      <c r="BK103">
        <f t="shared" si="40"/>
        <v>9157.4796913600003</v>
      </c>
      <c r="BL103">
        <f t="shared" si="41"/>
        <v>8760.1887458800011</v>
      </c>
    </row>
    <row r="104" spans="1:64">
      <c r="A104" t="str">
        <f t="shared" si="17"/>
        <v>12</v>
      </c>
      <c r="B104" t="s">
        <v>605</v>
      </c>
      <c r="C104" t="s">
        <v>638</v>
      </c>
      <c r="D104">
        <v>55</v>
      </c>
      <c r="E104">
        <v>1</v>
      </c>
      <c r="F104">
        <v>6</v>
      </c>
      <c r="G104">
        <v>2</v>
      </c>
      <c r="H104">
        <v>100</v>
      </c>
      <c r="I104" t="s">
        <v>607</v>
      </c>
      <c r="J104">
        <v>0.54569999999999996</v>
      </c>
      <c r="K104">
        <v>90.551900000000003</v>
      </c>
      <c r="L104">
        <v>1.5800000000000002E-2</v>
      </c>
      <c r="M104">
        <v>0.72350000000000003</v>
      </c>
      <c r="N104">
        <v>28.432200000000002</v>
      </c>
      <c r="O104">
        <v>84.050899999999999</v>
      </c>
      <c r="P104">
        <v>471.34750000000003</v>
      </c>
      <c r="Q104">
        <v>244.02019999999999</v>
      </c>
      <c r="R104">
        <v>0.52690000000000003</v>
      </c>
      <c r="S104">
        <v>0.68869999999999998</v>
      </c>
      <c r="T104">
        <v>0.3332</v>
      </c>
      <c r="U104">
        <v>3.3E-3</v>
      </c>
      <c r="V104">
        <v>0.58379999999999999</v>
      </c>
      <c r="W104">
        <v>11.290800000000001</v>
      </c>
      <c r="X104">
        <v>435.3329</v>
      </c>
      <c r="Y104">
        <v>384.23099999999999</v>
      </c>
      <c r="Z104">
        <v>392.08210000000003</v>
      </c>
      <c r="AA104">
        <v>1342.2079000000001</v>
      </c>
      <c r="AB104">
        <v>14.965400000000001</v>
      </c>
      <c r="AC104">
        <v>52.9146</v>
      </c>
      <c r="AD104">
        <v>59.203899999999997</v>
      </c>
      <c r="AE104">
        <v>9.0137</v>
      </c>
      <c r="AF104">
        <v>8752.7401000000009</v>
      </c>
      <c r="AG104">
        <v>66.238399999999999</v>
      </c>
      <c r="AH104">
        <v>5.5938999999999997</v>
      </c>
      <c r="AI104">
        <v>88.472899999999996</v>
      </c>
      <c r="AJ104">
        <v>73.2</v>
      </c>
      <c r="AK104">
        <v>80.146900000000002</v>
      </c>
      <c r="AL104">
        <v>1.8332999999999999</v>
      </c>
      <c r="AM104">
        <v>0.05</v>
      </c>
      <c r="AN104">
        <v>1.0500000000000001E-2</v>
      </c>
      <c r="AO104">
        <v>93.243499999999997</v>
      </c>
      <c r="AP104">
        <v>92.410200000000003</v>
      </c>
      <c r="AQ104">
        <v>91.321600000000004</v>
      </c>
      <c r="AR104">
        <v>90.177599999999998</v>
      </c>
      <c r="AS104">
        <v>86.048199999999994</v>
      </c>
      <c r="AT104">
        <v>85.238600000000005</v>
      </c>
      <c r="AU104">
        <v>81.310400000000001</v>
      </c>
      <c r="AV104">
        <v>30885.124199999998</v>
      </c>
      <c r="AW104">
        <v>78736.251000000004</v>
      </c>
      <c r="AX104">
        <f t="shared" si="33"/>
        <v>4166297.2271646</v>
      </c>
      <c r="AY104">
        <f t="shared" si="34"/>
        <v>5215363.2882384006</v>
      </c>
      <c r="AZ104">
        <f t="shared" si="35"/>
        <v>888995.26279080007</v>
      </c>
      <c r="BA104">
        <f t="shared" si="21"/>
        <v>78736.251000000004</v>
      </c>
      <c r="BB104">
        <f t="shared" si="22"/>
        <v>0</v>
      </c>
      <c r="BC104">
        <f t="shared" si="23"/>
        <v>0</v>
      </c>
      <c r="BD104">
        <f t="shared" si="24"/>
        <v>0</v>
      </c>
      <c r="BE104">
        <f t="shared" si="25"/>
        <v>0</v>
      </c>
      <c r="BF104">
        <f t="shared" si="26"/>
        <v>0</v>
      </c>
      <c r="BG104">
        <f t="shared" si="36"/>
        <v>40229.200355580004</v>
      </c>
      <c r="BH104">
        <f t="shared" si="37"/>
        <v>39755.29696064</v>
      </c>
      <c r="BI104">
        <f t="shared" si="38"/>
        <v>39257.276123039999</v>
      </c>
      <c r="BJ104">
        <f t="shared" si="39"/>
        <v>37459.612445779996</v>
      </c>
      <c r="BK104">
        <f t="shared" si="40"/>
        <v>37107.166929940002</v>
      </c>
      <c r="BL104">
        <f t="shared" si="41"/>
        <v>35397.092232160001</v>
      </c>
    </row>
    <row r="105" spans="1:64">
      <c r="A105" t="str">
        <f t="shared" si="17"/>
        <v>12</v>
      </c>
      <c r="B105" t="s">
        <v>605</v>
      </c>
      <c r="C105" t="s">
        <v>638</v>
      </c>
      <c r="D105">
        <v>55</v>
      </c>
      <c r="E105">
        <v>1</v>
      </c>
      <c r="F105">
        <v>6</v>
      </c>
      <c r="G105">
        <v>4</v>
      </c>
      <c r="H105">
        <v>100</v>
      </c>
      <c r="I105" t="s">
        <v>607</v>
      </c>
      <c r="J105">
        <v>0.46310000000000001</v>
      </c>
      <c r="K105">
        <v>87.942300000000003</v>
      </c>
      <c r="L105">
        <v>1.5299999999999999E-2</v>
      </c>
      <c r="M105">
        <v>0.7046</v>
      </c>
      <c r="N105">
        <v>27.234000000000002</v>
      </c>
      <c r="O105">
        <v>89.290099999999995</v>
      </c>
      <c r="P105">
        <v>411.56470000000002</v>
      </c>
      <c r="Q105">
        <v>239.3152</v>
      </c>
      <c r="R105">
        <v>0.54620000000000002</v>
      </c>
      <c r="S105">
        <v>0.53700000000000003</v>
      </c>
      <c r="T105">
        <v>0.3125</v>
      </c>
      <c r="U105">
        <v>1.8E-3</v>
      </c>
      <c r="V105">
        <v>0.49280000000000002</v>
      </c>
      <c r="W105">
        <v>11.1713</v>
      </c>
      <c r="X105">
        <v>20.807700000000001</v>
      </c>
      <c r="Y105">
        <v>18.579799999999999</v>
      </c>
      <c r="Z105">
        <v>19.139399999999998</v>
      </c>
      <c r="AA105">
        <v>68.223799999999997</v>
      </c>
      <c r="AB105">
        <v>13.1</v>
      </c>
      <c r="AC105">
        <v>51.971899999999998</v>
      </c>
      <c r="AD105">
        <v>59.610999999999997</v>
      </c>
      <c r="AE105">
        <v>0.52010000000000001</v>
      </c>
      <c r="AF105">
        <v>8652.6777000000002</v>
      </c>
      <c r="AG105">
        <v>66.830200000000005</v>
      </c>
      <c r="AH105">
        <v>0.31780000000000003</v>
      </c>
      <c r="AI105">
        <v>88.427199999999999</v>
      </c>
      <c r="AJ105">
        <v>73.2</v>
      </c>
      <c r="AK105">
        <v>80.054500000000004</v>
      </c>
      <c r="AL105">
        <v>1.8635999999999999</v>
      </c>
      <c r="AM105">
        <v>0.05</v>
      </c>
      <c r="AN105">
        <v>0</v>
      </c>
      <c r="AO105">
        <v>93.673400000000001</v>
      </c>
      <c r="AP105">
        <v>92.312600000000003</v>
      </c>
      <c r="AQ105">
        <v>91.164400000000001</v>
      </c>
      <c r="AR105">
        <v>90.046800000000005</v>
      </c>
      <c r="AS105">
        <v>86.296400000000006</v>
      </c>
      <c r="AT105">
        <v>85.549199999999999</v>
      </c>
      <c r="AU105">
        <v>81.831900000000005</v>
      </c>
      <c r="AV105">
        <v>1766.5619999999999</v>
      </c>
      <c r="AW105">
        <v>4499.6115</v>
      </c>
      <c r="AX105">
        <f t="shared" si="33"/>
        <v>233853.35891685</v>
      </c>
      <c r="AY105">
        <f t="shared" si="34"/>
        <v>300709.93646729999</v>
      </c>
      <c r="AZ105">
        <f t="shared" si="35"/>
        <v>50266.509949949999</v>
      </c>
      <c r="BA105">
        <f t="shared" si="21"/>
        <v>4499.6115</v>
      </c>
      <c r="BB105">
        <f t="shared" si="22"/>
        <v>0</v>
      </c>
      <c r="BC105">
        <f t="shared" si="23"/>
        <v>0</v>
      </c>
      <c r="BD105">
        <f t="shared" si="24"/>
        <v>0</v>
      </c>
      <c r="BE105">
        <f t="shared" si="25"/>
        <v>0</v>
      </c>
      <c r="BF105">
        <f t="shared" si="26"/>
        <v>0</v>
      </c>
      <c r="BG105">
        <f t="shared" si="36"/>
        <v>1920.8128870200001</v>
      </c>
      <c r="BH105">
        <f t="shared" si="37"/>
        <v>1896.9214858800001</v>
      </c>
      <c r="BI105">
        <f t="shared" si="38"/>
        <v>1873.6668003600003</v>
      </c>
      <c r="BJ105">
        <f t="shared" si="39"/>
        <v>1795.6296022800002</v>
      </c>
      <c r="BK105">
        <f t="shared" si="40"/>
        <v>1780.0820888400001</v>
      </c>
      <c r="BL105">
        <f t="shared" si="41"/>
        <v>1702.7336256300002</v>
      </c>
    </row>
    <row r="106" spans="1:64">
      <c r="A106" t="str">
        <f t="shared" si="17"/>
        <v>13</v>
      </c>
      <c r="B106" t="s">
        <v>605</v>
      </c>
      <c r="C106" t="s">
        <v>639</v>
      </c>
      <c r="D106">
        <v>55</v>
      </c>
      <c r="E106">
        <v>1</v>
      </c>
      <c r="F106">
        <v>6</v>
      </c>
      <c r="G106">
        <v>2</v>
      </c>
      <c r="H106">
        <v>100</v>
      </c>
      <c r="I106" t="s">
        <v>607</v>
      </c>
      <c r="J106">
        <v>0.57509999999999994</v>
      </c>
      <c r="K106">
        <v>85.954499999999996</v>
      </c>
      <c r="L106">
        <v>1.5299999999999999E-2</v>
      </c>
      <c r="M106">
        <v>0.68430000000000002</v>
      </c>
      <c r="N106">
        <v>30.139299999999999</v>
      </c>
      <c r="O106">
        <v>81.710499999999996</v>
      </c>
      <c r="P106">
        <v>511.41160000000002</v>
      </c>
      <c r="Q106">
        <v>247.27340000000001</v>
      </c>
      <c r="R106">
        <v>0.49490000000000001</v>
      </c>
      <c r="S106">
        <v>0.70179999999999998</v>
      </c>
      <c r="T106">
        <v>0.3841</v>
      </c>
      <c r="U106">
        <v>3.0000000000000001E-3</v>
      </c>
      <c r="V106">
        <v>0.6159</v>
      </c>
      <c r="W106">
        <v>11.5008</v>
      </c>
      <c r="X106">
        <v>502.983</v>
      </c>
      <c r="Y106">
        <v>442.47609999999997</v>
      </c>
      <c r="Z106">
        <v>450.24829999999997</v>
      </c>
      <c r="AA106">
        <v>1459.9989</v>
      </c>
      <c r="AB106">
        <v>15.5525</v>
      </c>
      <c r="AC106">
        <v>53.1676</v>
      </c>
      <c r="AD106">
        <v>58.627299999999998</v>
      </c>
      <c r="AE106">
        <v>9.8407</v>
      </c>
      <c r="AF106">
        <v>8755.0941999999995</v>
      </c>
      <c r="AG106">
        <v>67.149199999999993</v>
      </c>
      <c r="AH106">
        <v>6.1086</v>
      </c>
      <c r="AI106">
        <v>88.470500000000001</v>
      </c>
      <c r="AJ106">
        <v>73.2</v>
      </c>
      <c r="AK106">
        <v>80.142099999999999</v>
      </c>
      <c r="AL106">
        <v>1.7798</v>
      </c>
      <c r="AM106">
        <v>0.05</v>
      </c>
      <c r="AN106">
        <v>1.6400000000000001E-2</v>
      </c>
      <c r="AO106">
        <v>93.639700000000005</v>
      </c>
      <c r="AP106">
        <v>92.705799999999996</v>
      </c>
      <c r="AQ106">
        <v>91.499600000000001</v>
      </c>
      <c r="AR106">
        <v>90.220100000000002</v>
      </c>
      <c r="AS106">
        <v>85.523300000000006</v>
      </c>
      <c r="AT106">
        <v>84.527600000000007</v>
      </c>
      <c r="AU106">
        <v>80.533100000000005</v>
      </c>
      <c r="AV106">
        <v>33533.796399999999</v>
      </c>
      <c r="AW106">
        <v>85988.614700000006</v>
      </c>
      <c r="AX106">
        <f t="shared" si="33"/>
        <v>4571808.2709237207</v>
      </c>
      <c r="AY106">
        <f t="shared" si="34"/>
        <v>5774066.68621324</v>
      </c>
      <c r="AZ106">
        <f t="shared" si="35"/>
        <v>988937.85994176008</v>
      </c>
      <c r="BA106">
        <f t="shared" si="21"/>
        <v>85988.614700000006</v>
      </c>
      <c r="BB106">
        <f t="shared" si="22"/>
        <v>0</v>
      </c>
      <c r="BC106">
        <f t="shared" si="23"/>
        <v>0</v>
      </c>
      <c r="BD106">
        <f t="shared" si="24"/>
        <v>0</v>
      </c>
      <c r="BE106">
        <f t="shared" si="25"/>
        <v>0</v>
      </c>
      <c r="BF106">
        <f t="shared" si="26"/>
        <v>0</v>
      </c>
      <c r="BG106">
        <f t="shared" si="36"/>
        <v>46629.441401399999</v>
      </c>
      <c r="BH106">
        <f t="shared" si="37"/>
        <v>46022.743306800003</v>
      </c>
      <c r="BI106">
        <f t="shared" si="38"/>
        <v>45379.176558300001</v>
      </c>
      <c r="BJ106">
        <f t="shared" si="39"/>
        <v>43016.766003900004</v>
      </c>
      <c r="BK106">
        <f t="shared" si="40"/>
        <v>42515.945830800003</v>
      </c>
      <c r="BL106">
        <f t="shared" si="41"/>
        <v>40506.780237300001</v>
      </c>
    </row>
    <row r="107" spans="1:64">
      <c r="A107" t="str">
        <f t="shared" si="17"/>
        <v>14</v>
      </c>
      <c r="B107" t="s">
        <v>605</v>
      </c>
      <c r="C107" t="s">
        <v>640</v>
      </c>
      <c r="D107">
        <v>55</v>
      </c>
      <c r="E107">
        <v>1</v>
      </c>
      <c r="F107">
        <v>6</v>
      </c>
      <c r="G107">
        <v>2</v>
      </c>
      <c r="H107">
        <v>100</v>
      </c>
      <c r="I107" t="s">
        <v>607</v>
      </c>
      <c r="J107">
        <v>0.625</v>
      </c>
      <c r="K107">
        <v>97.636300000000006</v>
      </c>
      <c r="L107">
        <v>1.4800000000000001E-2</v>
      </c>
      <c r="M107">
        <v>0.64659999999999995</v>
      </c>
      <c r="N107">
        <v>32.060499999999998</v>
      </c>
      <c r="O107">
        <v>81.243899999999996</v>
      </c>
      <c r="P107">
        <v>502.25479999999999</v>
      </c>
      <c r="Q107">
        <v>243.39099999999999</v>
      </c>
      <c r="R107">
        <v>0.4869</v>
      </c>
      <c r="S107">
        <v>0.72089999999999999</v>
      </c>
      <c r="T107">
        <v>0.47570000000000001</v>
      </c>
      <c r="U107">
        <v>3.3E-3</v>
      </c>
      <c r="V107">
        <v>0.67600000000000005</v>
      </c>
      <c r="W107">
        <v>11.6911</v>
      </c>
      <c r="X107">
        <v>553.01</v>
      </c>
      <c r="Y107">
        <v>485.51190000000003</v>
      </c>
      <c r="Z107">
        <v>494.42779999999999</v>
      </c>
      <c r="AA107">
        <v>1507.5355</v>
      </c>
      <c r="AB107">
        <v>15.800599999999999</v>
      </c>
      <c r="AC107">
        <v>51.337299999999999</v>
      </c>
      <c r="AD107">
        <v>56.954099999999997</v>
      </c>
      <c r="AE107">
        <v>10.0778</v>
      </c>
      <c r="AF107">
        <v>8570.5800999999992</v>
      </c>
      <c r="AG107">
        <v>67.728200000000001</v>
      </c>
      <c r="AH107">
        <v>6.8045999999999998</v>
      </c>
      <c r="AI107">
        <v>88.717200000000005</v>
      </c>
      <c r="AJ107">
        <v>73.2</v>
      </c>
      <c r="AK107">
        <v>80.652000000000001</v>
      </c>
      <c r="AL107">
        <v>1.7692000000000001</v>
      </c>
      <c r="AM107">
        <v>0.05</v>
      </c>
      <c r="AN107">
        <v>1.83E-2</v>
      </c>
      <c r="AO107">
        <v>94.306200000000004</v>
      </c>
      <c r="AP107">
        <v>92.578299999999999</v>
      </c>
      <c r="AQ107">
        <v>91.116900000000001</v>
      </c>
      <c r="AR107">
        <v>89.350300000000004</v>
      </c>
      <c r="AS107">
        <v>84.260300000000001</v>
      </c>
      <c r="AT107">
        <v>83.289199999999994</v>
      </c>
      <c r="AU107">
        <v>79.254199999999997</v>
      </c>
      <c r="AV107">
        <v>33680.286500000002</v>
      </c>
      <c r="AW107">
        <v>86209.102599999998</v>
      </c>
      <c r="AX107">
        <f t="shared" si="33"/>
        <v>4425742.5629069796</v>
      </c>
      <c r="AY107">
        <f t="shared" si="34"/>
        <v>5838787.3427133197</v>
      </c>
      <c r="AZ107">
        <f t="shared" si="35"/>
        <v>1007879.23940686</v>
      </c>
      <c r="BA107">
        <f t="shared" si="21"/>
        <v>86209.102599999998</v>
      </c>
      <c r="BB107">
        <f t="shared" si="22"/>
        <v>0</v>
      </c>
      <c r="BC107">
        <f t="shared" si="23"/>
        <v>0</v>
      </c>
      <c r="BD107">
        <f t="shared" si="24"/>
        <v>0</v>
      </c>
      <c r="BE107">
        <f t="shared" si="25"/>
        <v>0</v>
      </c>
      <c r="BF107">
        <f t="shared" si="26"/>
        <v>0</v>
      </c>
      <c r="BG107">
        <f t="shared" si="36"/>
        <v>51196.725682999997</v>
      </c>
      <c r="BH107">
        <f t="shared" si="37"/>
        <v>50388.556869</v>
      </c>
      <c r="BI107">
        <f t="shared" si="38"/>
        <v>49411.609403000002</v>
      </c>
      <c r="BJ107">
        <f t="shared" si="39"/>
        <v>46596.788502999996</v>
      </c>
      <c r="BK107">
        <f t="shared" si="40"/>
        <v>46059.760491999994</v>
      </c>
      <c r="BL107">
        <f t="shared" si="41"/>
        <v>43828.365141999995</v>
      </c>
    </row>
    <row r="108" spans="1:64">
      <c r="A108" t="str">
        <f t="shared" si="17"/>
        <v>10</v>
      </c>
      <c r="B108" t="s">
        <v>605</v>
      </c>
      <c r="C108" t="s">
        <v>641</v>
      </c>
      <c r="D108">
        <v>55</v>
      </c>
      <c r="E108">
        <v>1</v>
      </c>
      <c r="F108">
        <v>6</v>
      </c>
      <c r="G108">
        <v>2</v>
      </c>
      <c r="H108">
        <v>100</v>
      </c>
      <c r="I108" t="s">
        <v>607</v>
      </c>
      <c r="J108">
        <v>0.58179999999999998</v>
      </c>
      <c r="K108">
        <v>65.778999999999996</v>
      </c>
      <c r="L108">
        <v>3.49E-2</v>
      </c>
      <c r="M108">
        <v>1.2484</v>
      </c>
      <c r="N108">
        <v>23.81</v>
      </c>
      <c r="O108">
        <v>89.130099999999999</v>
      </c>
      <c r="P108">
        <v>402.4504</v>
      </c>
      <c r="Q108">
        <v>214.65600000000001</v>
      </c>
      <c r="R108">
        <v>0.64</v>
      </c>
      <c r="S108">
        <v>1.2789999999999999</v>
      </c>
      <c r="T108">
        <v>0.1288</v>
      </c>
      <c r="U108">
        <v>8.6E-3</v>
      </c>
      <c r="V108">
        <v>0.63129999999999997</v>
      </c>
      <c r="W108">
        <v>11.025499999999999</v>
      </c>
      <c r="X108">
        <v>22.872399999999999</v>
      </c>
      <c r="Y108">
        <v>20.386700000000001</v>
      </c>
      <c r="Z108">
        <v>20.382400000000001</v>
      </c>
      <c r="AA108">
        <v>85.615600000000001</v>
      </c>
      <c r="AB108">
        <v>5.7396000000000003</v>
      </c>
      <c r="AC108">
        <v>44.3431</v>
      </c>
      <c r="AD108">
        <v>55.234999999999999</v>
      </c>
      <c r="AE108">
        <v>0.46150000000000002</v>
      </c>
      <c r="AF108">
        <v>8125.5798999999997</v>
      </c>
      <c r="AG108">
        <v>58.745800000000003</v>
      </c>
      <c r="AH108">
        <v>0.18629999999999999</v>
      </c>
      <c r="AI108">
        <v>87.656599999999997</v>
      </c>
      <c r="AJ108">
        <v>54.21</v>
      </c>
      <c r="AK108">
        <v>78.468900000000005</v>
      </c>
      <c r="AL108">
        <v>1.8378000000000001</v>
      </c>
      <c r="AM108">
        <v>0.05</v>
      </c>
      <c r="AN108">
        <v>7.1999999999999998E-3</v>
      </c>
      <c r="AO108">
        <v>91.474800000000002</v>
      </c>
      <c r="AP108">
        <v>92.142399999999995</v>
      </c>
      <c r="AQ108">
        <v>90.889300000000006</v>
      </c>
      <c r="AR108">
        <v>88.856499999999997</v>
      </c>
      <c r="AS108">
        <v>83.5702</v>
      </c>
      <c r="AT108">
        <v>82.479299999999995</v>
      </c>
      <c r="AU108">
        <v>78.598100000000002</v>
      </c>
      <c r="AV108">
        <v>1508.1327000000001</v>
      </c>
      <c r="AW108">
        <v>3750.1772999999998</v>
      </c>
      <c r="AX108">
        <f t="shared" si="33"/>
        <v>166294.48703162998</v>
      </c>
      <c r="AY108">
        <f t="shared" si="34"/>
        <v>220307.16563033999</v>
      </c>
      <c r="AZ108">
        <f t="shared" si="35"/>
        <v>41347.579821149993</v>
      </c>
      <c r="BA108">
        <f t="shared" si="21"/>
        <v>3750.1772999999998</v>
      </c>
      <c r="BB108">
        <f t="shared" si="22"/>
        <v>0</v>
      </c>
      <c r="BC108">
        <f t="shared" si="23"/>
        <v>0</v>
      </c>
      <c r="BD108">
        <f t="shared" si="24"/>
        <v>0</v>
      </c>
      <c r="BE108">
        <f t="shared" si="25"/>
        <v>0</v>
      </c>
      <c r="BF108">
        <f t="shared" si="26"/>
        <v>0</v>
      </c>
      <c r="BG108">
        <f t="shared" si="36"/>
        <v>2107.5178297599996</v>
      </c>
      <c r="BH108">
        <f t="shared" si="37"/>
        <v>2078.8564253200002</v>
      </c>
      <c r="BI108">
        <f t="shared" si="38"/>
        <v>2032.3614105999998</v>
      </c>
      <c r="BJ108">
        <f t="shared" si="39"/>
        <v>1911.4510424799998</v>
      </c>
      <c r="BK108">
        <f t="shared" si="40"/>
        <v>1886.4995413199997</v>
      </c>
      <c r="BL108">
        <f t="shared" si="41"/>
        <v>1797.72718244</v>
      </c>
    </row>
    <row r="109" spans="1:64">
      <c r="A109" t="str">
        <f t="shared" si="17"/>
        <v>10</v>
      </c>
      <c r="B109" t="s">
        <v>605</v>
      </c>
      <c r="C109" t="s">
        <v>641</v>
      </c>
      <c r="D109">
        <v>55</v>
      </c>
      <c r="E109">
        <v>2</v>
      </c>
      <c r="F109">
        <v>10</v>
      </c>
      <c r="G109">
        <v>2</v>
      </c>
      <c r="H109">
        <v>100</v>
      </c>
      <c r="I109" t="s">
        <v>607</v>
      </c>
      <c r="J109">
        <v>0.56259999999999999</v>
      </c>
      <c r="K109">
        <v>57.2134</v>
      </c>
      <c r="L109">
        <v>3.7100000000000001E-2</v>
      </c>
      <c r="M109">
        <v>1.2912999999999999</v>
      </c>
      <c r="N109">
        <v>23.247699999999998</v>
      </c>
      <c r="O109">
        <v>88.131</v>
      </c>
      <c r="P109">
        <v>369.76220000000001</v>
      </c>
      <c r="Q109">
        <v>228.02619999999999</v>
      </c>
      <c r="R109">
        <v>0.62680000000000002</v>
      </c>
      <c r="S109">
        <v>1.3005</v>
      </c>
      <c r="T109">
        <v>9.3100000000000002E-2</v>
      </c>
      <c r="U109">
        <v>1.1599999999999999E-2</v>
      </c>
      <c r="V109">
        <v>0.58919999999999995</v>
      </c>
      <c r="W109">
        <v>11.2834</v>
      </c>
      <c r="X109">
        <v>134.155</v>
      </c>
      <c r="Y109">
        <v>118.24169999999999</v>
      </c>
      <c r="Z109">
        <v>118.3266</v>
      </c>
      <c r="AA109">
        <v>508.57409999999999</v>
      </c>
      <c r="AB109">
        <v>6.4321999999999999</v>
      </c>
      <c r="AC109">
        <v>47.581400000000002</v>
      </c>
      <c r="AD109">
        <v>49.119500000000002</v>
      </c>
      <c r="AE109">
        <v>2.8214000000000001</v>
      </c>
      <c r="AF109">
        <v>8361.3346000000001</v>
      </c>
      <c r="AG109">
        <v>58.692100000000003</v>
      </c>
      <c r="AH109">
        <v>1.1092</v>
      </c>
      <c r="AI109">
        <v>87.508399999999995</v>
      </c>
      <c r="AJ109">
        <v>54.21</v>
      </c>
      <c r="AK109">
        <v>78.167500000000004</v>
      </c>
      <c r="AL109">
        <v>1.8131999999999999</v>
      </c>
      <c r="AM109">
        <v>0.05</v>
      </c>
      <c r="AN109">
        <v>5.3E-3</v>
      </c>
      <c r="AO109">
        <v>92.153300000000002</v>
      </c>
      <c r="AP109">
        <v>91.669899999999998</v>
      </c>
      <c r="AQ109">
        <v>90.300600000000003</v>
      </c>
      <c r="AR109">
        <v>88.018900000000002</v>
      </c>
      <c r="AS109">
        <v>82.232299999999995</v>
      </c>
      <c r="AT109">
        <v>81.115600000000001</v>
      </c>
      <c r="AU109">
        <v>76.241200000000006</v>
      </c>
      <c r="AV109">
        <v>9494.3192999999992</v>
      </c>
      <c r="AW109">
        <v>23590.476200000001</v>
      </c>
      <c r="AX109">
        <f t="shared" si="33"/>
        <v>1122467.8842626801</v>
      </c>
      <c r="AY109">
        <f t="shared" si="34"/>
        <v>1384574.5881780202</v>
      </c>
      <c r="AZ109">
        <f t="shared" si="35"/>
        <v>266180.77915508003</v>
      </c>
      <c r="BA109">
        <f t="shared" si="21"/>
        <v>0</v>
      </c>
      <c r="BB109">
        <f t="shared" si="22"/>
        <v>23590.476200000001</v>
      </c>
      <c r="BC109">
        <f t="shared" si="23"/>
        <v>0</v>
      </c>
      <c r="BD109">
        <f t="shared" si="24"/>
        <v>0</v>
      </c>
      <c r="BE109">
        <f t="shared" si="25"/>
        <v>0</v>
      </c>
      <c r="BF109">
        <f t="shared" si="26"/>
        <v>0</v>
      </c>
      <c r="BG109">
        <f t="shared" si="36"/>
        <v>12297.9754345</v>
      </c>
      <c r="BH109">
        <f t="shared" si="37"/>
        <v>12114.276993000001</v>
      </c>
      <c r="BI109">
        <f t="shared" si="38"/>
        <v>11808.1755295</v>
      </c>
      <c r="BJ109">
        <f t="shared" si="39"/>
        <v>11031.874206499999</v>
      </c>
      <c r="BK109">
        <f t="shared" si="40"/>
        <v>10882.063318</v>
      </c>
      <c r="BL109">
        <f t="shared" si="41"/>
        <v>10228.138186</v>
      </c>
    </row>
    <row r="110" spans="1:64">
      <c r="A110" t="str">
        <f t="shared" si="17"/>
        <v>10</v>
      </c>
      <c r="B110" t="s">
        <v>605</v>
      </c>
      <c r="C110" t="s">
        <v>641</v>
      </c>
      <c r="D110">
        <v>66</v>
      </c>
      <c r="E110">
        <v>3</v>
      </c>
      <c r="F110">
        <v>6</v>
      </c>
      <c r="G110">
        <v>2</v>
      </c>
      <c r="H110">
        <v>100</v>
      </c>
      <c r="I110" t="s">
        <v>607</v>
      </c>
      <c r="J110">
        <v>0.49459999999999998</v>
      </c>
      <c r="K110">
        <v>35.880200000000002</v>
      </c>
      <c r="L110">
        <v>5.62E-2</v>
      </c>
      <c r="M110">
        <v>1.5575000000000001</v>
      </c>
      <c r="N110">
        <v>24.273</v>
      </c>
      <c r="O110">
        <v>90.837599999999995</v>
      </c>
      <c r="P110">
        <v>342.96019999999999</v>
      </c>
      <c r="Q110">
        <v>208.50550000000001</v>
      </c>
      <c r="R110">
        <v>0.52839999999999998</v>
      </c>
      <c r="S110">
        <v>1.1389</v>
      </c>
      <c r="T110">
        <v>0</v>
      </c>
      <c r="U110">
        <v>0.21479999999999999</v>
      </c>
      <c r="V110">
        <v>0.50609999999999999</v>
      </c>
      <c r="W110">
        <v>12.515700000000001</v>
      </c>
      <c r="X110">
        <v>1.732</v>
      </c>
      <c r="Y110">
        <v>1.5732999999999999</v>
      </c>
      <c r="Z110">
        <v>1.5544</v>
      </c>
      <c r="AA110">
        <v>6.4816000000000003</v>
      </c>
      <c r="AB110">
        <v>6.8901000000000003</v>
      </c>
      <c r="AC110">
        <v>37.524700000000003</v>
      </c>
      <c r="AD110">
        <v>74.638300000000001</v>
      </c>
      <c r="AE110">
        <v>4.6399999999999997E-2</v>
      </c>
      <c r="AF110">
        <v>7539.1597000000002</v>
      </c>
      <c r="AG110">
        <v>59.011800000000001</v>
      </c>
      <c r="AH110">
        <v>9.4999999999999998E-3</v>
      </c>
      <c r="AI110">
        <v>86.2196</v>
      </c>
      <c r="AJ110">
        <v>54.21</v>
      </c>
      <c r="AK110">
        <v>75.561199999999999</v>
      </c>
      <c r="AL110">
        <v>1.7790999999999999</v>
      </c>
      <c r="AM110">
        <v>0.05</v>
      </c>
      <c r="AN110">
        <v>5.0000000000000001E-3</v>
      </c>
      <c r="AO110">
        <v>88.736400000000003</v>
      </c>
      <c r="AP110">
        <v>94.780600000000007</v>
      </c>
      <c r="AQ110">
        <v>93.781499999999994</v>
      </c>
      <c r="AR110">
        <v>92.360500000000002</v>
      </c>
      <c r="AS110">
        <v>87.769800000000004</v>
      </c>
      <c r="AT110">
        <v>87.014300000000006</v>
      </c>
      <c r="AU110">
        <v>83.530799999999999</v>
      </c>
      <c r="AV110">
        <v>154.87880000000001</v>
      </c>
      <c r="AW110">
        <v>350.18090000000001</v>
      </c>
      <c r="AX110">
        <f t="shared" si="33"/>
        <v>13140.43321823</v>
      </c>
      <c r="AY110">
        <f t="shared" si="34"/>
        <v>20664.805234620002</v>
      </c>
      <c r="AZ110">
        <f t="shared" si="35"/>
        <v>4382.75909013</v>
      </c>
      <c r="BA110">
        <f t="shared" si="21"/>
        <v>0</v>
      </c>
      <c r="BB110">
        <f t="shared" si="22"/>
        <v>0</v>
      </c>
      <c r="BC110">
        <f t="shared" si="23"/>
        <v>350.18090000000001</v>
      </c>
      <c r="BD110">
        <f t="shared" si="24"/>
        <v>0</v>
      </c>
      <c r="BE110">
        <f t="shared" si="25"/>
        <v>0</v>
      </c>
      <c r="BF110">
        <f t="shared" si="26"/>
        <v>0</v>
      </c>
      <c r="BG110">
        <f t="shared" si="36"/>
        <v>164.15999920000002</v>
      </c>
      <c r="BH110">
        <f t="shared" si="37"/>
        <v>162.42955799999999</v>
      </c>
      <c r="BI110">
        <f t="shared" si="38"/>
        <v>159.96838600000001</v>
      </c>
      <c r="BJ110">
        <f t="shared" si="39"/>
        <v>152.01729360000002</v>
      </c>
      <c r="BK110">
        <f t="shared" si="40"/>
        <v>150.70876760000002</v>
      </c>
      <c r="BL110">
        <f t="shared" si="41"/>
        <v>144.67534559999999</v>
      </c>
    </row>
    <row r="111" spans="1:64">
      <c r="A111" t="str">
        <f t="shared" si="17"/>
        <v>10</v>
      </c>
      <c r="B111" t="s">
        <v>605</v>
      </c>
      <c r="C111" t="s">
        <v>641</v>
      </c>
      <c r="D111">
        <v>66</v>
      </c>
      <c r="E111">
        <v>3</v>
      </c>
      <c r="F111">
        <v>10</v>
      </c>
      <c r="G111">
        <v>2</v>
      </c>
      <c r="H111">
        <v>100</v>
      </c>
      <c r="I111" t="s">
        <v>607</v>
      </c>
      <c r="J111">
        <v>0.56469999999999998</v>
      </c>
      <c r="K111">
        <v>46.5413</v>
      </c>
      <c r="L111">
        <v>3.7900000000000003E-2</v>
      </c>
      <c r="M111">
        <v>1.5412999999999999</v>
      </c>
      <c r="N111">
        <v>22.915500000000002</v>
      </c>
      <c r="O111">
        <v>91.521799999999999</v>
      </c>
      <c r="P111">
        <v>352.70069999999998</v>
      </c>
      <c r="Q111">
        <v>203.863</v>
      </c>
      <c r="R111">
        <v>0.58560000000000001</v>
      </c>
      <c r="S111">
        <v>1.5289999999999999</v>
      </c>
      <c r="T111">
        <v>0</v>
      </c>
      <c r="U111">
        <v>4.2200000000000001E-2</v>
      </c>
      <c r="V111">
        <v>0.56530000000000002</v>
      </c>
      <c r="W111">
        <v>11.986800000000001</v>
      </c>
      <c r="X111">
        <v>102.6403</v>
      </c>
      <c r="Y111">
        <v>93.945700000000002</v>
      </c>
      <c r="Z111">
        <v>93.670400000000001</v>
      </c>
      <c r="AA111">
        <v>410.2722</v>
      </c>
      <c r="AB111">
        <v>5.7888000000000002</v>
      </c>
      <c r="AC111">
        <v>37.860900000000001</v>
      </c>
      <c r="AD111">
        <v>71.113900000000001</v>
      </c>
      <c r="AE111">
        <v>2.4714999999999998</v>
      </c>
      <c r="AF111">
        <v>7584.3710000000001</v>
      </c>
      <c r="AG111">
        <v>58.615499999999997</v>
      </c>
      <c r="AH111">
        <v>0.7913</v>
      </c>
      <c r="AI111">
        <v>87.230199999999996</v>
      </c>
      <c r="AJ111">
        <v>54.21</v>
      </c>
      <c r="AK111">
        <v>77.602999999999994</v>
      </c>
      <c r="AL111">
        <v>1.8292999999999999</v>
      </c>
      <c r="AM111">
        <v>0.05</v>
      </c>
      <c r="AN111">
        <v>5.1000000000000004E-3</v>
      </c>
      <c r="AO111">
        <v>88.403800000000004</v>
      </c>
      <c r="AP111">
        <v>95.073300000000003</v>
      </c>
      <c r="AQ111">
        <v>94.337900000000005</v>
      </c>
      <c r="AR111">
        <v>93.181899999999999</v>
      </c>
      <c r="AS111">
        <v>89.902299999999997</v>
      </c>
      <c r="AT111">
        <v>89.172600000000003</v>
      </c>
      <c r="AU111">
        <v>85.920299999999997</v>
      </c>
      <c r="AV111">
        <v>8085.2574000000004</v>
      </c>
      <c r="AW111">
        <v>18744.278900000001</v>
      </c>
      <c r="AX111">
        <f t="shared" si="33"/>
        <v>709675.26900501002</v>
      </c>
      <c r="AY111">
        <f t="shared" si="34"/>
        <v>1098705.2798629501</v>
      </c>
      <c r="AZ111">
        <f t="shared" si="35"/>
        <v>224683.92231852002</v>
      </c>
      <c r="BA111">
        <f t="shared" si="21"/>
        <v>0</v>
      </c>
      <c r="BB111">
        <f t="shared" si="22"/>
        <v>0</v>
      </c>
      <c r="BC111">
        <f t="shared" si="23"/>
        <v>18744.278900000001</v>
      </c>
      <c r="BD111">
        <f t="shared" si="24"/>
        <v>0</v>
      </c>
      <c r="BE111">
        <f t="shared" si="25"/>
        <v>0</v>
      </c>
      <c r="BF111">
        <f t="shared" si="26"/>
        <v>0</v>
      </c>
      <c r="BG111">
        <f t="shared" si="36"/>
        <v>9758.3520339900006</v>
      </c>
      <c r="BH111">
        <f t="shared" si="37"/>
        <v>9682.8703573700004</v>
      </c>
      <c r="BI111">
        <f t="shared" si="38"/>
        <v>9564.2181705700004</v>
      </c>
      <c r="BJ111">
        <f t="shared" si="39"/>
        <v>9227.5990426899989</v>
      </c>
      <c r="BK111">
        <f t="shared" si="40"/>
        <v>9152.7024157800006</v>
      </c>
      <c r="BL111">
        <f t="shared" si="41"/>
        <v>8818.8853680899992</v>
      </c>
    </row>
    <row r="112" spans="1:64">
      <c r="A112" t="str">
        <f t="shared" si="17"/>
        <v>10</v>
      </c>
      <c r="B112" t="s">
        <v>605</v>
      </c>
      <c r="C112" t="s">
        <v>642</v>
      </c>
      <c r="D112">
        <v>55</v>
      </c>
      <c r="E112">
        <v>1</v>
      </c>
      <c r="F112">
        <v>6</v>
      </c>
      <c r="G112">
        <v>2</v>
      </c>
      <c r="H112">
        <v>100</v>
      </c>
      <c r="I112" t="s">
        <v>607</v>
      </c>
      <c r="J112">
        <v>0.45</v>
      </c>
      <c r="K112">
        <v>63</v>
      </c>
      <c r="L112">
        <v>4.9299999999999997E-2</v>
      </c>
      <c r="M112">
        <v>2.1393</v>
      </c>
      <c r="N112">
        <v>31.935400000000001</v>
      </c>
      <c r="O112">
        <v>86.941100000000006</v>
      </c>
      <c r="P112">
        <v>505.84219999999999</v>
      </c>
      <c r="Q112">
        <v>274.68400000000003</v>
      </c>
      <c r="R112">
        <v>0.3387</v>
      </c>
      <c r="S112">
        <v>1.3419000000000001</v>
      </c>
      <c r="T112">
        <v>0.37109999999999999</v>
      </c>
      <c r="U112">
        <v>0.23519999999999999</v>
      </c>
      <c r="V112">
        <v>0.94669999999999999</v>
      </c>
      <c r="W112">
        <v>11.8474</v>
      </c>
      <c r="X112">
        <v>50.386000000000003</v>
      </c>
      <c r="Y112">
        <v>43.882800000000003</v>
      </c>
      <c r="Z112">
        <v>44.677300000000002</v>
      </c>
      <c r="AA112">
        <v>137.41849999999999</v>
      </c>
      <c r="AB112">
        <v>10</v>
      </c>
      <c r="AC112">
        <v>52.158200000000001</v>
      </c>
      <c r="AD112">
        <v>55.633099999999999</v>
      </c>
      <c r="AE112">
        <v>0.52329999999999999</v>
      </c>
      <c r="AF112">
        <v>9207</v>
      </c>
      <c r="AG112">
        <v>34.160299999999999</v>
      </c>
      <c r="AH112">
        <v>0.61209999999999998</v>
      </c>
      <c r="AI112">
        <v>89.596100000000007</v>
      </c>
      <c r="AJ112">
        <v>73.2</v>
      </c>
      <c r="AK112">
        <v>81.370599999999996</v>
      </c>
      <c r="AL112">
        <v>2.0579000000000001</v>
      </c>
      <c r="AM112">
        <v>0.05</v>
      </c>
      <c r="AN112">
        <v>1.8700000000000001E-2</v>
      </c>
      <c r="AO112">
        <v>83.227900000000005</v>
      </c>
      <c r="AP112">
        <v>91.246499999999997</v>
      </c>
      <c r="AQ112">
        <v>90.528199999999998</v>
      </c>
      <c r="AR112">
        <v>88.917299999999997</v>
      </c>
      <c r="AS112">
        <v>84.473699999999994</v>
      </c>
      <c r="AT112">
        <v>83.7089</v>
      </c>
      <c r="AU112">
        <v>80.455600000000004</v>
      </c>
      <c r="AV112">
        <v>2535.8308999999999</v>
      </c>
      <c r="AW112">
        <v>4818.0787</v>
      </c>
      <c r="AX112">
        <f t="shared" si="33"/>
        <v>251302.31245034002</v>
      </c>
      <c r="AY112">
        <f t="shared" si="34"/>
        <v>164587.01381561</v>
      </c>
      <c r="AZ112">
        <f t="shared" si="35"/>
        <v>57081.705590379999</v>
      </c>
      <c r="BA112">
        <f t="shared" si="21"/>
        <v>4818.0787</v>
      </c>
      <c r="BB112">
        <f t="shared" si="22"/>
        <v>0</v>
      </c>
      <c r="BC112">
        <f t="shared" si="23"/>
        <v>0</v>
      </c>
      <c r="BD112">
        <f t="shared" si="24"/>
        <v>0</v>
      </c>
      <c r="BE112">
        <f t="shared" si="25"/>
        <v>0</v>
      </c>
      <c r="BF112">
        <f t="shared" si="26"/>
        <v>0</v>
      </c>
      <c r="BG112">
        <f t="shared" si="36"/>
        <v>4597.5461489999998</v>
      </c>
      <c r="BH112">
        <f t="shared" si="37"/>
        <v>4561.3538852000001</v>
      </c>
      <c r="BI112">
        <f t="shared" si="38"/>
        <v>4480.1870778000002</v>
      </c>
      <c r="BJ112">
        <f t="shared" si="39"/>
        <v>4256.2918481999995</v>
      </c>
      <c r="BK112">
        <f t="shared" si="40"/>
        <v>4217.7566354000001</v>
      </c>
      <c r="BL112">
        <f t="shared" si="41"/>
        <v>4053.8358616000005</v>
      </c>
    </row>
    <row r="113" spans="1:64">
      <c r="A113" t="str">
        <f t="shared" si="17"/>
        <v>10</v>
      </c>
      <c r="B113" t="s">
        <v>605</v>
      </c>
      <c r="C113" t="s">
        <v>642</v>
      </c>
      <c r="D113">
        <v>55</v>
      </c>
      <c r="E113">
        <v>1</v>
      </c>
      <c r="F113">
        <v>6</v>
      </c>
      <c r="G113">
        <v>4</v>
      </c>
      <c r="H113">
        <v>100</v>
      </c>
      <c r="I113" t="s">
        <v>607</v>
      </c>
      <c r="J113">
        <v>0.80559999999999998</v>
      </c>
      <c r="K113">
        <v>50.558999999999997</v>
      </c>
      <c r="L113">
        <v>6.0699999999999997E-2</v>
      </c>
      <c r="M113">
        <v>2.0078999999999998</v>
      </c>
      <c r="N113">
        <v>28.669699999999999</v>
      </c>
      <c r="O113">
        <v>87.320599999999999</v>
      </c>
      <c r="P113">
        <v>352.07170000000002</v>
      </c>
      <c r="Q113">
        <v>257.4984</v>
      </c>
      <c r="R113">
        <v>0.4819</v>
      </c>
      <c r="S113">
        <v>1.3013999999999999</v>
      </c>
      <c r="T113">
        <v>0.1484</v>
      </c>
      <c r="U113">
        <v>0.25580000000000003</v>
      </c>
      <c r="V113">
        <v>0.82640000000000002</v>
      </c>
      <c r="W113">
        <v>12.0588</v>
      </c>
      <c r="X113">
        <v>4.4541000000000004</v>
      </c>
      <c r="Y113">
        <v>3.8894000000000002</v>
      </c>
      <c r="Z113">
        <v>3.8525999999999998</v>
      </c>
      <c r="AA113">
        <v>13.5661</v>
      </c>
      <c r="AB113">
        <v>7.9622999999999999</v>
      </c>
      <c r="AC113">
        <v>52.857599999999998</v>
      </c>
      <c r="AD113">
        <v>52.578000000000003</v>
      </c>
      <c r="AE113">
        <v>6.1899999999999997E-2</v>
      </c>
      <c r="AF113">
        <v>8934.3163000000004</v>
      </c>
      <c r="AG113">
        <v>58.992199999999997</v>
      </c>
      <c r="AH113">
        <v>2.6100000000000002E-2</v>
      </c>
      <c r="AI113">
        <v>87.535200000000003</v>
      </c>
      <c r="AJ113">
        <v>73.2</v>
      </c>
      <c r="AK113">
        <v>78.221199999999996</v>
      </c>
      <c r="AL113">
        <v>1.6406000000000001</v>
      </c>
      <c r="AM113">
        <v>0.05</v>
      </c>
      <c r="AN113">
        <v>1.15E-2</v>
      </c>
      <c r="AO113">
        <v>89.557299999999998</v>
      </c>
      <c r="AP113">
        <v>91.701400000000007</v>
      </c>
      <c r="AQ113">
        <v>90.554500000000004</v>
      </c>
      <c r="AR113">
        <v>88.466800000000006</v>
      </c>
      <c r="AS113">
        <v>82.987399999999994</v>
      </c>
      <c r="AT113">
        <v>81.909700000000001</v>
      </c>
      <c r="AU113">
        <v>77.037899999999993</v>
      </c>
      <c r="AV113">
        <v>244.5436</v>
      </c>
      <c r="AW113">
        <v>552.91300000000001</v>
      </c>
      <c r="AX113">
        <f t="shared" si="33"/>
        <v>29225.654188799999</v>
      </c>
      <c r="AY113">
        <f t="shared" si="34"/>
        <v>32617.554278600001</v>
      </c>
      <c r="AZ113">
        <f t="shared" si="35"/>
        <v>6667.4672843999997</v>
      </c>
      <c r="BA113">
        <f t="shared" si="21"/>
        <v>552.91300000000001</v>
      </c>
      <c r="BB113">
        <f t="shared" si="22"/>
        <v>0</v>
      </c>
      <c r="BC113">
        <f t="shared" si="23"/>
        <v>0</v>
      </c>
      <c r="BD113">
        <f t="shared" si="24"/>
        <v>0</v>
      </c>
      <c r="BE113">
        <f t="shared" si="25"/>
        <v>0</v>
      </c>
      <c r="BF113">
        <f t="shared" si="26"/>
        <v>0</v>
      </c>
      <c r="BG113">
        <f t="shared" si="36"/>
        <v>408.44720574000007</v>
      </c>
      <c r="BH113">
        <f t="shared" si="37"/>
        <v>403.33879845000007</v>
      </c>
      <c r="BI113">
        <f t="shared" si="38"/>
        <v>394.03997388000005</v>
      </c>
      <c r="BJ113">
        <f t="shared" si="39"/>
        <v>369.63417834000001</v>
      </c>
      <c r="BK113">
        <f t="shared" si="40"/>
        <v>364.83399477000006</v>
      </c>
      <c r="BL113">
        <f t="shared" si="41"/>
        <v>343.13451039</v>
      </c>
    </row>
    <row r="114" spans="1:64">
      <c r="A114" t="str">
        <f t="shared" si="17"/>
        <v>10</v>
      </c>
      <c r="B114" t="s">
        <v>605</v>
      </c>
      <c r="C114" t="s">
        <v>642</v>
      </c>
      <c r="D114">
        <v>55</v>
      </c>
      <c r="E114">
        <v>1</v>
      </c>
      <c r="F114">
        <v>10</v>
      </c>
      <c r="G114">
        <v>2</v>
      </c>
      <c r="H114">
        <v>100</v>
      </c>
      <c r="I114" t="s">
        <v>607</v>
      </c>
      <c r="J114">
        <v>0.45</v>
      </c>
      <c r="K114">
        <v>63</v>
      </c>
      <c r="L114">
        <v>4.9299999999999997E-2</v>
      </c>
      <c r="M114">
        <v>2.1393</v>
      </c>
      <c r="N114">
        <v>31.819900000000001</v>
      </c>
      <c r="O114">
        <v>86.990499999999997</v>
      </c>
      <c r="P114">
        <v>505.84219999999999</v>
      </c>
      <c r="Q114">
        <v>274.13299999999998</v>
      </c>
      <c r="R114">
        <v>0.3634</v>
      </c>
      <c r="S114">
        <v>1.1458999999999999</v>
      </c>
      <c r="T114">
        <v>0.3337</v>
      </c>
      <c r="U114">
        <v>0.20300000000000001</v>
      </c>
      <c r="V114">
        <v>0.81020000000000003</v>
      </c>
      <c r="W114">
        <v>11.782400000000001</v>
      </c>
      <c r="X114">
        <v>68.253500000000003</v>
      </c>
      <c r="Y114">
        <v>59.587899999999998</v>
      </c>
      <c r="Z114">
        <v>59.724699999999999</v>
      </c>
      <c r="AA114">
        <v>187.26580000000001</v>
      </c>
      <c r="AB114">
        <v>10</v>
      </c>
      <c r="AC114">
        <v>52.213500000000003</v>
      </c>
      <c r="AD114">
        <v>56.283499999999997</v>
      </c>
      <c r="AE114">
        <v>0.79210000000000003</v>
      </c>
      <c r="AF114">
        <v>9207</v>
      </c>
      <c r="AG114">
        <v>34.160299999999999</v>
      </c>
      <c r="AH114">
        <v>0.5837</v>
      </c>
      <c r="AI114">
        <v>80.613699999999994</v>
      </c>
      <c r="AJ114">
        <v>73.2</v>
      </c>
      <c r="AK114">
        <v>67.396600000000007</v>
      </c>
      <c r="AL114">
        <v>2.1497000000000002</v>
      </c>
      <c r="AM114">
        <v>0.05</v>
      </c>
      <c r="AN114">
        <v>2.3099999999999999E-2</v>
      </c>
      <c r="AO114">
        <v>83.227900000000005</v>
      </c>
      <c r="AP114">
        <v>91.106300000000005</v>
      </c>
      <c r="AQ114">
        <v>90.402299999999997</v>
      </c>
      <c r="AR114">
        <v>88.822000000000003</v>
      </c>
      <c r="AS114">
        <v>84.485900000000001</v>
      </c>
      <c r="AT114">
        <v>83.733900000000006</v>
      </c>
      <c r="AU114">
        <v>80.633099999999999</v>
      </c>
      <c r="AV114">
        <v>3838.3627000000001</v>
      </c>
      <c r="AW114">
        <v>7292.8891000000003</v>
      </c>
      <c r="AX114">
        <f t="shared" si="33"/>
        <v>380787.26502285001</v>
      </c>
      <c r="AY114">
        <f t="shared" si="34"/>
        <v>249127.27952273001</v>
      </c>
      <c r="AZ114">
        <f t="shared" si="35"/>
        <v>85927.736531840012</v>
      </c>
      <c r="BA114">
        <f t="shared" si="21"/>
        <v>7292.8891000000003</v>
      </c>
      <c r="BB114">
        <f t="shared" si="22"/>
        <v>0</v>
      </c>
      <c r="BC114">
        <f t="shared" si="23"/>
        <v>0</v>
      </c>
      <c r="BD114">
        <f t="shared" si="24"/>
        <v>0</v>
      </c>
      <c r="BE114">
        <f t="shared" si="25"/>
        <v>0</v>
      </c>
      <c r="BF114">
        <f t="shared" si="26"/>
        <v>0</v>
      </c>
      <c r="BG114">
        <f t="shared" si="36"/>
        <v>6218.3238470500009</v>
      </c>
      <c r="BH114">
        <f t="shared" si="37"/>
        <v>6170.2733830500001</v>
      </c>
      <c r="BI114">
        <f t="shared" si="38"/>
        <v>6062.4123770000006</v>
      </c>
      <c r="BJ114">
        <f t="shared" si="39"/>
        <v>5766.4583756500006</v>
      </c>
      <c r="BK114">
        <f t="shared" si="40"/>
        <v>5715.1317436500003</v>
      </c>
      <c r="BL114">
        <f t="shared" si="41"/>
        <v>5503.49129085</v>
      </c>
    </row>
    <row r="115" spans="1:64">
      <c r="A115" t="str">
        <f t="shared" si="17"/>
        <v>10</v>
      </c>
      <c r="B115" t="s">
        <v>605</v>
      </c>
      <c r="C115" t="s">
        <v>642</v>
      </c>
      <c r="D115">
        <v>55</v>
      </c>
      <c r="E115">
        <v>2</v>
      </c>
      <c r="F115">
        <v>10</v>
      </c>
      <c r="G115">
        <v>2</v>
      </c>
      <c r="H115">
        <v>100</v>
      </c>
      <c r="I115" t="s">
        <v>607</v>
      </c>
      <c r="J115">
        <v>0.62560000000000004</v>
      </c>
      <c r="K115">
        <v>35.700200000000002</v>
      </c>
      <c r="L115">
        <v>6.0199999999999997E-2</v>
      </c>
      <c r="M115">
        <v>1.9835</v>
      </c>
      <c r="N115">
        <v>26.776900000000001</v>
      </c>
      <c r="O115">
        <v>87.916200000000003</v>
      </c>
      <c r="P115">
        <v>329.53739999999999</v>
      </c>
      <c r="Q115">
        <v>238.44370000000001</v>
      </c>
      <c r="R115">
        <v>0.5504</v>
      </c>
      <c r="S115">
        <v>1.4537</v>
      </c>
      <c r="T115">
        <v>7.5499999999999998E-2</v>
      </c>
      <c r="U115">
        <v>0.26129999999999998</v>
      </c>
      <c r="V115">
        <v>0.68269999999999997</v>
      </c>
      <c r="W115">
        <v>11.796200000000001</v>
      </c>
      <c r="X115">
        <v>48.047899999999998</v>
      </c>
      <c r="Y115">
        <v>42.2393</v>
      </c>
      <c r="Z115">
        <v>42.074599999999997</v>
      </c>
      <c r="AA115">
        <v>157.7688</v>
      </c>
      <c r="AB115">
        <v>6.6477000000000004</v>
      </c>
      <c r="AC115">
        <v>48.673200000000001</v>
      </c>
      <c r="AD115">
        <v>49.064100000000003</v>
      </c>
      <c r="AE115">
        <v>0.85740000000000005</v>
      </c>
      <c r="AF115">
        <v>8466.7052000000003</v>
      </c>
      <c r="AG115">
        <v>58.646900000000002</v>
      </c>
      <c r="AH115">
        <v>0.34499999999999997</v>
      </c>
      <c r="AI115">
        <v>87.551500000000004</v>
      </c>
      <c r="AJ115">
        <v>73.2</v>
      </c>
      <c r="AK115">
        <v>78.254400000000004</v>
      </c>
      <c r="AL115">
        <v>1.7882</v>
      </c>
      <c r="AM115">
        <v>0.05</v>
      </c>
      <c r="AN115">
        <v>8.3000000000000001E-3</v>
      </c>
      <c r="AO115">
        <v>91.865799999999993</v>
      </c>
      <c r="AP115">
        <v>91.576400000000007</v>
      </c>
      <c r="AQ115">
        <v>90.371300000000005</v>
      </c>
      <c r="AR115">
        <v>88.246300000000005</v>
      </c>
      <c r="AS115">
        <v>82.709299999999999</v>
      </c>
      <c r="AT115">
        <v>81.639200000000002</v>
      </c>
      <c r="AU115">
        <v>76.881100000000004</v>
      </c>
      <c r="AV115">
        <v>3210.7453999999998</v>
      </c>
      <c r="AW115">
        <v>7259.4951000000001</v>
      </c>
      <c r="AX115">
        <f t="shared" si="33"/>
        <v>353342.85690131999</v>
      </c>
      <c r="AY115">
        <f t="shared" si="34"/>
        <v>425746.88318018999</v>
      </c>
      <c r="AZ115">
        <f t="shared" si="35"/>
        <v>85634.456098620009</v>
      </c>
      <c r="BA115">
        <f t="shared" si="21"/>
        <v>0</v>
      </c>
      <c r="BB115">
        <f t="shared" si="22"/>
        <v>7259.4951000000001</v>
      </c>
      <c r="BC115">
        <f t="shared" si="23"/>
        <v>0</v>
      </c>
      <c r="BD115">
        <f t="shared" si="24"/>
        <v>0</v>
      </c>
      <c r="BE115">
        <f t="shared" si="25"/>
        <v>0</v>
      </c>
      <c r="BF115">
        <f t="shared" si="26"/>
        <v>0</v>
      </c>
      <c r="BG115">
        <f t="shared" si="36"/>
        <v>4400.0537095600002</v>
      </c>
      <c r="BH115">
        <f t="shared" si="37"/>
        <v>4342.1511852700005</v>
      </c>
      <c r="BI115">
        <f t="shared" si="38"/>
        <v>4240.0493977699998</v>
      </c>
      <c r="BJ115">
        <f t="shared" si="39"/>
        <v>3974.00817547</v>
      </c>
      <c r="BK115">
        <f t="shared" si="40"/>
        <v>3922.5921176799998</v>
      </c>
      <c r="BL115">
        <f t="shared" si="41"/>
        <v>3693.9754046900002</v>
      </c>
    </row>
    <row r="116" spans="1:64">
      <c r="A116" t="str">
        <f t="shared" si="17"/>
        <v>10</v>
      </c>
      <c r="B116" t="s">
        <v>605</v>
      </c>
      <c r="C116" t="s">
        <v>642</v>
      </c>
      <c r="D116">
        <v>55</v>
      </c>
      <c r="E116">
        <v>2</v>
      </c>
      <c r="F116">
        <v>10</v>
      </c>
      <c r="G116">
        <v>4</v>
      </c>
      <c r="H116">
        <v>100</v>
      </c>
      <c r="I116" t="s">
        <v>607</v>
      </c>
      <c r="J116">
        <v>0.74380000000000002</v>
      </c>
      <c r="K116">
        <v>42.038600000000002</v>
      </c>
      <c r="L116">
        <v>6.0100000000000001E-2</v>
      </c>
      <c r="M116">
        <v>1.9858</v>
      </c>
      <c r="N116">
        <v>28.5138</v>
      </c>
      <c r="O116">
        <v>87.717299999999994</v>
      </c>
      <c r="P116">
        <v>365.70769999999999</v>
      </c>
      <c r="Q116">
        <v>241.57419999999999</v>
      </c>
      <c r="R116">
        <v>0.50600000000000001</v>
      </c>
      <c r="S116">
        <v>1.3543000000000001</v>
      </c>
      <c r="T116">
        <v>0.15310000000000001</v>
      </c>
      <c r="U116">
        <v>0.25609999999999999</v>
      </c>
      <c r="V116">
        <v>0.79830000000000001</v>
      </c>
      <c r="W116">
        <v>11.952299999999999</v>
      </c>
      <c r="X116">
        <v>42.678400000000003</v>
      </c>
      <c r="Y116">
        <v>37.489899999999999</v>
      </c>
      <c r="Z116">
        <v>37.168799999999997</v>
      </c>
      <c r="AA116">
        <v>131.4906</v>
      </c>
      <c r="AB116">
        <v>6.8768000000000002</v>
      </c>
      <c r="AC116">
        <v>49.004199999999997</v>
      </c>
      <c r="AD116">
        <v>48.785499999999999</v>
      </c>
      <c r="AE116">
        <v>0.64600000000000002</v>
      </c>
      <c r="AF116">
        <v>8496.9526999999998</v>
      </c>
      <c r="AG116">
        <v>58.697499999999998</v>
      </c>
      <c r="AH116">
        <v>0.26029999999999998</v>
      </c>
      <c r="AI116">
        <v>87.546700000000001</v>
      </c>
      <c r="AJ116">
        <v>73.2</v>
      </c>
      <c r="AK116">
        <v>78.244500000000002</v>
      </c>
      <c r="AL116">
        <v>1.6755</v>
      </c>
      <c r="AM116">
        <v>0.05</v>
      </c>
      <c r="AN116">
        <v>1.09E-2</v>
      </c>
      <c r="AO116">
        <v>91.812899999999999</v>
      </c>
      <c r="AP116">
        <v>91.5869</v>
      </c>
      <c r="AQ116">
        <v>90.441599999999994</v>
      </c>
      <c r="AR116">
        <v>88.3476</v>
      </c>
      <c r="AS116">
        <v>82.904899999999998</v>
      </c>
      <c r="AT116">
        <v>81.840400000000002</v>
      </c>
      <c r="AU116">
        <v>77.007499999999993</v>
      </c>
      <c r="AV116">
        <v>2427.5138000000002</v>
      </c>
      <c r="AW116">
        <v>5488.6084000000001</v>
      </c>
      <c r="AX116">
        <f t="shared" si="33"/>
        <v>268964.86375527998</v>
      </c>
      <c r="AY116">
        <f t="shared" si="34"/>
        <v>322167.59155900002</v>
      </c>
      <c r="AZ116">
        <f t="shared" si="35"/>
        <v>65601.494179319998</v>
      </c>
      <c r="BA116">
        <f t="shared" si="21"/>
        <v>0</v>
      </c>
      <c r="BB116">
        <f t="shared" si="22"/>
        <v>5488.6084000000001</v>
      </c>
      <c r="BC116">
        <f t="shared" si="23"/>
        <v>0</v>
      </c>
      <c r="BD116">
        <f t="shared" si="24"/>
        <v>0</v>
      </c>
      <c r="BE116">
        <f t="shared" si="25"/>
        <v>0</v>
      </c>
      <c r="BF116">
        <f t="shared" si="26"/>
        <v>0</v>
      </c>
      <c r="BG116">
        <f t="shared" si="36"/>
        <v>3908.7823529600005</v>
      </c>
      <c r="BH116">
        <f t="shared" si="37"/>
        <v>3859.9027814400001</v>
      </c>
      <c r="BI116">
        <f t="shared" si="38"/>
        <v>3770.5342118400004</v>
      </c>
      <c r="BJ116">
        <f t="shared" si="39"/>
        <v>3538.2484841600003</v>
      </c>
      <c r="BK116">
        <f t="shared" si="40"/>
        <v>3492.8173273600005</v>
      </c>
      <c r="BL116">
        <f t="shared" si="41"/>
        <v>3286.5568880000001</v>
      </c>
    </row>
    <row r="117" spans="1:64">
      <c r="A117" t="str">
        <f t="shared" si="17"/>
        <v>10</v>
      </c>
      <c r="B117" t="s">
        <v>605</v>
      </c>
      <c r="C117" t="s">
        <v>642</v>
      </c>
      <c r="D117">
        <v>66</v>
      </c>
      <c r="E117">
        <v>3</v>
      </c>
      <c r="F117">
        <v>6</v>
      </c>
      <c r="G117">
        <v>2</v>
      </c>
      <c r="H117">
        <v>100</v>
      </c>
      <c r="I117" t="s">
        <v>607</v>
      </c>
      <c r="J117">
        <v>0.49459999999999998</v>
      </c>
      <c r="K117">
        <v>35.880200000000002</v>
      </c>
      <c r="L117">
        <v>5.62E-2</v>
      </c>
      <c r="M117">
        <v>1.5575000000000001</v>
      </c>
      <c r="N117">
        <v>24.273</v>
      </c>
      <c r="O117">
        <v>90.837599999999995</v>
      </c>
      <c r="P117">
        <v>342.96019999999999</v>
      </c>
      <c r="Q117">
        <v>208.50550000000001</v>
      </c>
      <c r="R117">
        <v>0.52839999999999998</v>
      </c>
      <c r="S117">
        <v>1.1389</v>
      </c>
      <c r="T117">
        <v>0</v>
      </c>
      <c r="U117">
        <v>0.21479999999999999</v>
      </c>
      <c r="V117">
        <v>0.50609999999999999</v>
      </c>
      <c r="W117">
        <v>12.515700000000001</v>
      </c>
      <c r="X117">
        <v>1.4913000000000001</v>
      </c>
      <c r="Y117">
        <v>1.3546</v>
      </c>
      <c r="Z117">
        <v>1.3383</v>
      </c>
      <c r="AA117">
        <v>5.5808</v>
      </c>
      <c r="AB117">
        <v>6.8901000000000003</v>
      </c>
      <c r="AC117">
        <v>37.524700000000003</v>
      </c>
      <c r="AD117">
        <v>74.638300000000001</v>
      </c>
      <c r="AE117">
        <v>0.04</v>
      </c>
      <c r="AF117">
        <v>7539.1597000000002</v>
      </c>
      <c r="AG117">
        <v>59.011800000000001</v>
      </c>
      <c r="AH117">
        <v>8.2000000000000007E-3</v>
      </c>
      <c r="AI117">
        <v>86.2196</v>
      </c>
      <c r="AJ117">
        <v>54.21</v>
      </c>
      <c r="AK117">
        <v>75.561199999999999</v>
      </c>
      <c r="AL117">
        <v>1.7790999999999999</v>
      </c>
      <c r="AM117">
        <v>0.05</v>
      </c>
      <c r="AN117">
        <v>5.0000000000000001E-3</v>
      </c>
      <c r="AO117">
        <v>88.736400000000003</v>
      </c>
      <c r="AP117">
        <v>94.780600000000007</v>
      </c>
      <c r="AQ117">
        <v>93.781499999999994</v>
      </c>
      <c r="AR117">
        <v>92.360500000000002</v>
      </c>
      <c r="AS117">
        <v>87.769800000000004</v>
      </c>
      <c r="AT117">
        <v>87.014300000000006</v>
      </c>
      <c r="AU117">
        <v>83.530799999999999</v>
      </c>
      <c r="AV117">
        <v>133.35409999999999</v>
      </c>
      <c r="AW117">
        <v>301.5136</v>
      </c>
      <c r="AX117">
        <f t="shared" si="33"/>
        <v>11314.207385920001</v>
      </c>
      <c r="AY117">
        <f t="shared" si="34"/>
        <v>17792.86026048</v>
      </c>
      <c r="AZ117">
        <f t="shared" si="35"/>
        <v>3773.6537635200002</v>
      </c>
      <c r="BA117">
        <f t="shared" si="21"/>
        <v>0</v>
      </c>
      <c r="BB117">
        <f t="shared" si="22"/>
        <v>0</v>
      </c>
      <c r="BC117">
        <f t="shared" si="23"/>
        <v>301.5136</v>
      </c>
      <c r="BD117">
        <f t="shared" si="24"/>
        <v>0</v>
      </c>
      <c r="BE117">
        <f t="shared" si="25"/>
        <v>0</v>
      </c>
      <c r="BF117">
        <f t="shared" si="26"/>
        <v>0</v>
      </c>
      <c r="BG117">
        <f t="shared" si="36"/>
        <v>141.34630878000002</v>
      </c>
      <c r="BH117">
        <f t="shared" si="37"/>
        <v>139.85635095000001</v>
      </c>
      <c r="BI117">
        <f t="shared" si="38"/>
        <v>137.73721365</v>
      </c>
      <c r="BJ117">
        <f t="shared" si="39"/>
        <v>130.89110274000001</v>
      </c>
      <c r="BK117">
        <f t="shared" si="40"/>
        <v>129.76442559</v>
      </c>
      <c r="BL117">
        <f t="shared" si="41"/>
        <v>124.56948204000001</v>
      </c>
    </row>
    <row r="118" spans="1:64">
      <c r="A118" t="str">
        <f t="shared" si="17"/>
        <v>10</v>
      </c>
      <c r="B118" t="s">
        <v>605</v>
      </c>
      <c r="C118" t="s">
        <v>642</v>
      </c>
      <c r="D118">
        <v>66</v>
      </c>
      <c r="E118">
        <v>3</v>
      </c>
      <c r="F118">
        <v>6</v>
      </c>
      <c r="G118">
        <v>4</v>
      </c>
      <c r="H118">
        <v>100</v>
      </c>
      <c r="I118" t="s">
        <v>607</v>
      </c>
      <c r="J118">
        <v>0.55369999999999997</v>
      </c>
      <c r="K118">
        <v>42.1357</v>
      </c>
      <c r="L118">
        <v>6.0199999999999997E-2</v>
      </c>
      <c r="M118">
        <v>1.986</v>
      </c>
      <c r="N118">
        <v>27.025099999999998</v>
      </c>
      <c r="O118">
        <v>90.915099999999995</v>
      </c>
      <c r="P118">
        <v>366.2337</v>
      </c>
      <c r="Q118">
        <v>209.42080000000001</v>
      </c>
      <c r="R118">
        <v>0.52700000000000002</v>
      </c>
      <c r="S118">
        <v>1.1778</v>
      </c>
      <c r="T118">
        <v>0.1192</v>
      </c>
      <c r="U118">
        <v>0.21579999999999999</v>
      </c>
      <c r="V118">
        <v>0.52090000000000003</v>
      </c>
      <c r="W118">
        <v>12.569599999999999</v>
      </c>
      <c r="X118">
        <v>29.949200000000001</v>
      </c>
      <c r="Y118">
        <v>27.228200000000001</v>
      </c>
      <c r="Z118">
        <v>27.0122</v>
      </c>
      <c r="AA118">
        <v>100.75020000000001</v>
      </c>
      <c r="AB118">
        <v>7.1128999999999998</v>
      </c>
      <c r="AC118">
        <v>37.557099999999998</v>
      </c>
      <c r="AD118">
        <v>75.288700000000006</v>
      </c>
      <c r="AE118">
        <v>0.78220000000000001</v>
      </c>
      <c r="AF118">
        <v>7550.6675999999998</v>
      </c>
      <c r="AG118">
        <v>58.704500000000003</v>
      </c>
      <c r="AH118">
        <v>0.19359999999999999</v>
      </c>
      <c r="AI118">
        <v>86.669399999999996</v>
      </c>
      <c r="AJ118">
        <v>73.2</v>
      </c>
      <c r="AK118">
        <v>76.465400000000002</v>
      </c>
      <c r="AL118">
        <v>1.7381</v>
      </c>
      <c r="AM118">
        <v>0.05</v>
      </c>
      <c r="AN118">
        <v>0</v>
      </c>
      <c r="AO118">
        <v>88.569299999999998</v>
      </c>
      <c r="AP118">
        <v>94.904200000000003</v>
      </c>
      <c r="AQ118">
        <v>93.925700000000006</v>
      </c>
      <c r="AR118">
        <v>92.525199999999998</v>
      </c>
      <c r="AS118">
        <v>88.084800000000001</v>
      </c>
      <c r="AT118">
        <v>87.346900000000005</v>
      </c>
      <c r="AU118">
        <v>83.958399999999997</v>
      </c>
      <c r="AV118">
        <v>2612.2094000000002</v>
      </c>
      <c r="AW118">
        <v>5906.2052000000003</v>
      </c>
      <c r="AX118">
        <f t="shared" si="33"/>
        <v>221819.93931692</v>
      </c>
      <c r="AY118">
        <f t="shared" si="34"/>
        <v>346720.82316340005</v>
      </c>
      <c r="AZ118">
        <f t="shared" si="35"/>
        <v>74238.63688192</v>
      </c>
      <c r="BA118">
        <f t="shared" si="21"/>
        <v>0</v>
      </c>
      <c r="BB118">
        <f t="shared" si="22"/>
        <v>0</v>
      </c>
      <c r="BC118">
        <f t="shared" si="23"/>
        <v>5906.2052000000003</v>
      </c>
      <c r="BD118">
        <f t="shared" si="24"/>
        <v>0</v>
      </c>
      <c r="BE118">
        <f t="shared" si="25"/>
        <v>0</v>
      </c>
      <c r="BF118">
        <f t="shared" si="26"/>
        <v>0</v>
      </c>
      <c r="BG118">
        <f t="shared" si="36"/>
        <v>2842.30486664</v>
      </c>
      <c r="BH118">
        <f t="shared" si="37"/>
        <v>2812.9995744400003</v>
      </c>
      <c r="BI118">
        <f t="shared" si="38"/>
        <v>2771.0557198400002</v>
      </c>
      <c r="BJ118">
        <f t="shared" si="39"/>
        <v>2638.0692921600003</v>
      </c>
      <c r="BK118">
        <f t="shared" si="40"/>
        <v>2615.9697774800002</v>
      </c>
      <c r="BL118">
        <f t="shared" si="41"/>
        <v>2514.48691328</v>
      </c>
    </row>
    <row r="119" spans="1:64">
      <c r="A119" t="str">
        <f t="shared" si="17"/>
        <v>10</v>
      </c>
      <c r="B119" t="s">
        <v>605</v>
      </c>
      <c r="C119" t="s">
        <v>642</v>
      </c>
      <c r="D119">
        <v>66</v>
      </c>
      <c r="E119">
        <v>3</v>
      </c>
      <c r="F119">
        <v>10</v>
      </c>
      <c r="G119">
        <v>2</v>
      </c>
      <c r="H119">
        <v>100</v>
      </c>
      <c r="I119" t="s">
        <v>607</v>
      </c>
      <c r="J119">
        <v>0.5696</v>
      </c>
      <c r="K119">
        <v>42.228000000000002</v>
      </c>
      <c r="L119">
        <v>3.8199999999999998E-2</v>
      </c>
      <c r="M119">
        <v>1.6378999999999999</v>
      </c>
      <c r="N119">
        <v>24.163499999999999</v>
      </c>
      <c r="O119">
        <v>91.245400000000004</v>
      </c>
      <c r="P119">
        <v>352.14339999999999</v>
      </c>
      <c r="Q119">
        <v>206.374</v>
      </c>
      <c r="R119">
        <v>0.5554</v>
      </c>
      <c r="S119">
        <v>1.2209000000000001</v>
      </c>
      <c r="T119">
        <v>0</v>
      </c>
      <c r="U119">
        <v>0.2094</v>
      </c>
      <c r="V119">
        <v>0.54630000000000001</v>
      </c>
      <c r="W119">
        <v>12.246</v>
      </c>
      <c r="X119">
        <v>44.963500000000003</v>
      </c>
      <c r="Y119">
        <v>41.0306</v>
      </c>
      <c r="Z119">
        <v>40.833300000000001</v>
      </c>
      <c r="AA119">
        <v>169.85239999999999</v>
      </c>
      <c r="AB119">
        <v>6.6879</v>
      </c>
      <c r="AC119">
        <v>37.727899999999998</v>
      </c>
      <c r="AD119">
        <v>72.443799999999996</v>
      </c>
      <c r="AE119">
        <v>1.1205000000000001</v>
      </c>
      <c r="AF119">
        <v>7570.0706</v>
      </c>
      <c r="AG119">
        <v>58.638399999999997</v>
      </c>
      <c r="AH119">
        <v>0.32529999999999998</v>
      </c>
      <c r="AI119">
        <v>86.98</v>
      </c>
      <c r="AJ119">
        <v>54.21</v>
      </c>
      <c r="AK119">
        <v>77.097099999999998</v>
      </c>
      <c r="AL119">
        <v>1.8089</v>
      </c>
      <c r="AM119">
        <v>0.05</v>
      </c>
      <c r="AN119">
        <v>6.3E-3</v>
      </c>
      <c r="AO119">
        <v>88.467699999999994</v>
      </c>
      <c r="AP119">
        <v>94.924300000000002</v>
      </c>
      <c r="AQ119">
        <v>94.099100000000007</v>
      </c>
      <c r="AR119">
        <v>92.867500000000007</v>
      </c>
      <c r="AS119">
        <v>89.075999999999993</v>
      </c>
      <c r="AT119">
        <v>88.344899999999996</v>
      </c>
      <c r="AU119">
        <v>85.037499999999994</v>
      </c>
      <c r="AV119">
        <v>3751.4441999999999</v>
      </c>
      <c r="AW119">
        <v>8482.0151000000005</v>
      </c>
      <c r="AX119">
        <f t="shared" si="33"/>
        <v>320008.61749129003</v>
      </c>
      <c r="AY119">
        <f t="shared" si="34"/>
        <v>497371.79423984</v>
      </c>
      <c r="AZ119">
        <f t="shared" si="35"/>
        <v>103870.75691460002</v>
      </c>
      <c r="BA119">
        <f t="shared" si="21"/>
        <v>0</v>
      </c>
      <c r="BB119">
        <f t="shared" si="22"/>
        <v>0</v>
      </c>
      <c r="BC119">
        <f t="shared" si="23"/>
        <v>8482.0151000000005</v>
      </c>
      <c r="BD119">
        <f t="shared" si="24"/>
        <v>0</v>
      </c>
      <c r="BE119">
        <f t="shared" si="25"/>
        <v>0</v>
      </c>
      <c r="BF119">
        <f t="shared" si="26"/>
        <v>0</v>
      </c>
      <c r="BG119">
        <f t="shared" si="36"/>
        <v>4268.1287630500001</v>
      </c>
      <c r="BH119">
        <f t="shared" si="37"/>
        <v>4231.0248828500007</v>
      </c>
      <c r="BI119">
        <f t="shared" si="38"/>
        <v>4175.6478362500002</v>
      </c>
      <c r="BJ119">
        <f t="shared" si="39"/>
        <v>4005.1687259999999</v>
      </c>
      <c r="BK119">
        <f t="shared" si="40"/>
        <v>3972.2959111499999</v>
      </c>
      <c r="BL119">
        <f t="shared" si="41"/>
        <v>3823.5836312500001</v>
      </c>
    </row>
    <row r="120" spans="1:64">
      <c r="A120" t="str">
        <f t="shared" si="17"/>
        <v>11</v>
      </c>
      <c r="B120" t="s">
        <v>605</v>
      </c>
      <c r="C120" t="s">
        <v>643</v>
      </c>
      <c r="D120">
        <v>55</v>
      </c>
      <c r="E120">
        <v>1</v>
      </c>
      <c r="F120">
        <v>6</v>
      </c>
      <c r="G120">
        <v>2</v>
      </c>
      <c r="H120">
        <v>100</v>
      </c>
      <c r="I120" t="s">
        <v>607</v>
      </c>
      <c r="J120">
        <v>0.62619999999999998</v>
      </c>
      <c r="K120">
        <v>60.055799999999998</v>
      </c>
      <c r="L120">
        <v>5.6500000000000002E-2</v>
      </c>
      <c r="M120">
        <v>1.7988</v>
      </c>
      <c r="N120">
        <v>28.386299999999999</v>
      </c>
      <c r="O120">
        <v>87.275800000000004</v>
      </c>
      <c r="P120">
        <v>311.05340000000001</v>
      </c>
      <c r="Q120">
        <v>259.98739999999998</v>
      </c>
      <c r="R120">
        <v>0.4662</v>
      </c>
      <c r="S120">
        <v>1.1104000000000001</v>
      </c>
      <c r="T120">
        <v>0.14319999999999999</v>
      </c>
      <c r="U120">
        <v>0.23780000000000001</v>
      </c>
      <c r="V120">
        <v>0.64690000000000003</v>
      </c>
      <c r="W120">
        <v>12.0398</v>
      </c>
      <c r="X120">
        <v>0.56520000000000004</v>
      </c>
      <c r="Y120">
        <v>0.49330000000000002</v>
      </c>
      <c r="Z120">
        <v>0.49220000000000003</v>
      </c>
      <c r="AA120">
        <v>1.7379</v>
      </c>
      <c r="AB120">
        <v>8.2425999999999995</v>
      </c>
      <c r="AC120">
        <v>53.6614</v>
      </c>
      <c r="AD120">
        <v>51.031300000000002</v>
      </c>
      <c r="AE120">
        <v>0.01</v>
      </c>
      <c r="AF120">
        <v>9011.8634999999995</v>
      </c>
      <c r="AG120">
        <v>58.9101</v>
      </c>
      <c r="AH120">
        <v>4.1999999999999997E-3</v>
      </c>
      <c r="AI120">
        <v>87.523600000000002</v>
      </c>
      <c r="AJ120">
        <v>54.21</v>
      </c>
      <c r="AK120">
        <v>78.197400000000002</v>
      </c>
      <c r="AL120">
        <v>1.6191</v>
      </c>
      <c r="AM120">
        <v>0.05</v>
      </c>
      <c r="AN120">
        <v>9.2999999999999992E-3</v>
      </c>
      <c r="AO120">
        <v>89.357799999999997</v>
      </c>
      <c r="AP120">
        <v>92.024199999999993</v>
      </c>
      <c r="AQ120">
        <v>90.8416</v>
      </c>
      <c r="AR120">
        <v>88.714399999999998</v>
      </c>
      <c r="AS120">
        <v>83.1327</v>
      </c>
      <c r="AT120">
        <v>82.032899999999998</v>
      </c>
      <c r="AU120">
        <v>77.084999999999994</v>
      </c>
      <c r="AV120">
        <v>39.9223</v>
      </c>
      <c r="AW120">
        <v>90.264399999999995</v>
      </c>
      <c r="AX120">
        <f t="shared" si="33"/>
        <v>4843.7140741599997</v>
      </c>
      <c r="AY120">
        <f t="shared" si="34"/>
        <v>5317.4848304399993</v>
      </c>
      <c r="AZ120">
        <f t="shared" si="35"/>
        <v>1086.7653231199999</v>
      </c>
      <c r="BA120">
        <f t="shared" si="21"/>
        <v>90.264399999999995</v>
      </c>
      <c r="BB120">
        <f t="shared" si="22"/>
        <v>0</v>
      </c>
      <c r="BC120">
        <f t="shared" si="23"/>
        <v>0</v>
      </c>
      <c r="BD120">
        <f t="shared" si="24"/>
        <v>0</v>
      </c>
      <c r="BE120">
        <f t="shared" si="25"/>
        <v>0</v>
      </c>
      <c r="BF120">
        <f t="shared" si="26"/>
        <v>0</v>
      </c>
      <c r="BG120">
        <f t="shared" si="36"/>
        <v>52.012077839999996</v>
      </c>
      <c r="BH120">
        <f t="shared" si="37"/>
        <v>51.343672320000003</v>
      </c>
      <c r="BI120">
        <f t="shared" si="38"/>
        <v>50.141378880000005</v>
      </c>
      <c r="BJ120">
        <f t="shared" si="39"/>
        <v>46.986602040000001</v>
      </c>
      <c r="BK120">
        <f t="shared" si="40"/>
        <v>46.36499508</v>
      </c>
      <c r="BL120">
        <f t="shared" si="41"/>
        <v>43.568441999999997</v>
      </c>
    </row>
    <row r="121" spans="1:64">
      <c r="A121" t="str">
        <f t="shared" si="17"/>
        <v>11</v>
      </c>
      <c r="B121" t="s">
        <v>605</v>
      </c>
      <c r="C121" t="s">
        <v>643</v>
      </c>
      <c r="D121">
        <v>66</v>
      </c>
      <c r="E121">
        <v>3</v>
      </c>
      <c r="F121">
        <v>6</v>
      </c>
      <c r="G121">
        <v>2</v>
      </c>
      <c r="H121">
        <v>100</v>
      </c>
      <c r="I121" t="s">
        <v>607</v>
      </c>
      <c r="J121">
        <v>0.48570000000000002</v>
      </c>
      <c r="K121">
        <v>44.655700000000003</v>
      </c>
      <c r="L121">
        <v>5.5599999999999997E-2</v>
      </c>
      <c r="M121">
        <v>1.6244000000000001</v>
      </c>
      <c r="N121">
        <v>24.6096</v>
      </c>
      <c r="O121">
        <v>90.529200000000003</v>
      </c>
      <c r="P121">
        <v>325.50729999999999</v>
      </c>
      <c r="Q121">
        <v>210.9211</v>
      </c>
      <c r="R121">
        <v>0.51729999999999998</v>
      </c>
      <c r="S121">
        <v>1.0427</v>
      </c>
      <c r="T121">
        <v>3.0200000000000001E-2</v>
      </c>
      <c r="U121">
        <v>0.20649999999999999</v>
      </c>
      <c r="V121">
        <v>0.49969999999999998</v>
      </c>
      <c r="W121">
        <v>12.661799999999999</v>
      </c>
      <c r="X121">
        <v>148.49029999999999</v>
      </c>
      <c r="Y121">
        <v>134.42509999999999</v>
      </c>
      <c r="Z121">
        <v>133.71610000000001</v>
      </c>
      <c r="AA121">
        <v>547.71870000000001</v>
      </c>
      <c r="AB121">
        <v>7.2747999999999999</v>
      </c>
      <c r="AC121">
        <v>37.698999999999998</v>
      </c>
      <c r="AD121">
        <v>74.894400000000005</v>
      </c>
      <c r="AE121">
        <v>4.0496999999999996</v>
      </c>
      <c r="AF121">
        <v>7557.6068999999998</v>
      </c>
      <c r="AG121">
        <v>58.994399999999999</v>
      </c>
      <c r="AH121">
        <v>1.0494000000000001</v>
      </c>
      <c r="AI121">
        <v>86.725200000000001</v>
      </c>
      <c r="AJ121">
        <v>55.284300000000002</v>
      </c>
      <c r="AK121">
        <v>76.581100000000006</v>
      </c>
      <c r="AL121">
        <v>1.7645999999999999</v>
      </c>
      <c r="AM121">
        <v>0.05</v>
      </c>
      <c r="AN121">
        <v>4.1000000000000003E-3</v>
      </c>
      <c r="AO121">
        <v>88.657799999999995</v>
      </c>
      <c r="AP121">
        <v>94.819599999999994</v>
      </c>
      <c r="AQ121">
        <v>93.662700000000001</v>
      </c>
      <c r="AR121">
        <v>92.0501</v>
      </c>
      <c r="AS121">
        <v>86.862300000000005</v>
      </c>
      <c r="AT121">
        <v>86.079499999999996</v>
      </c>
      <c r="AU121">
        <v>82.446600000000004</v>
      </c>
      <c r="AV121">
        <v>12043.696400000001</v>
      </c>
      <c r="AW121">
        <v>30606.266100000001</v>
      </c>
      <c r="AX121">
        <f t="shared" si="33"/>
        <v>1153825.6257038999</v>
      </c>
      <c r="AY121">
        <f t="shared" si="34"/>
        <v>1805598.3048098399</v>
      </c>
      <c r="AZ121">
        <f t="shared" si="35"/>
        <v>387530.42010498</v>
      </c>
      <c r="BA121">
        <f t="shared" si="21"/>
        <v>0</v>
      </c>
      <c r="BB121">
        <f t="shared" si="22"/>
        <v>0</v>
      </c>
      <c r="BC121">
        <f t="shared" si="23"/>
        <v>30606.266100000001</v>
      </c>
      <c r="BD121">
        <f t="shared" si="24"/>
        <v>0</v>
      </c>
      <c r="BE121">
        <f t="shared" si="25"/>
        <v>0</v>
      </c>
      <c r="BF121">
        <f t="shared" si="26"/>
        <v>0</v>
      </c>
      <c r="BG121">
        <f t="shared" si="36"/>
        <v>14079.790849879999</v>
      </c>
      <c r="BH121">
        <f t="shared" si="37"/>
        <v>13908.002421809999</v>
      </c>
      <c r="BI121">
        <f t="shared" si="38"/>
        <v>13668.54696403</v>
      </c>
      <c r="BJ121">
        <f t="shared" si="39"/>
        <v>12898.20898569</v>
      </c>
      <c r="BK121">
        <f t="shared" si="40"/>
        <v>12781.970778849998</v>
      </c>
      <c r="BL121">
        <f t="shared" si="41"/>
        <v>12242.52036798</v>
      </c>
    </row>
    <row r="122" spans="1:64">
      <c r="A122" t="str">
        <f t="shared" si="17"/>
        <v>11</v>
      </c>
      <c r="B122" t="s">
        <v>605</v>
      </c>
      <c r="C122" t="s">
        <v>643</v>
      </c>
      <c r="D122">
        <v>66</v>
      </c>
      <c r="E122">
        <v>3</v>
      </c>
      <c r="F122">
        <v>6</v>
      </c>
      <c r="G122">
        <v>4</v>
      </c>
      <c r="H122">
        <v>100</v>
      </c>
      <c r="I122" t="s">
        <v>607</v>
      </c>
      <c r="J122">
        <v>0.52300000000000002</v>
      </c>
      <c r="K122">
        <v>41.722299999999997</v>
      </c>
      <c r="L122">
        <v>6.0699999999999997E-2</v>
      </c>
      <c r="M122">
        <v>2.0078999999999998</v>
      </c>
      <c r="N122">
        <v>27.5456</v>
      </c>
      <c r="O122">
        <v>90.783900000000003</v>
      </c>
      <c r="P122">
        <v>346.7715</v>
      </c>
      <c r="Q122">
        <v>210.5206</v>
      </c>
      <c r="R122">
        <v>0.49630000000000002</v>
      </c>
      <c r="S122">
        <v>1.1443000000000001</v>
      </c>
      <c r="T122">
        <v>0.1268</v>
      </c>
      <c r="U122">
        <v>0.21909999999999999</v>
      </c>
      <c r="V122">
        <v>0.53390000000000004</v>
      </c>
      <c r="W122">
        <v>12.707800000000001</v>
      </c>
      <c r="X122">
        <v>6.0900000000000003E-2</v>
      </c>
      <c r="Y122">
        <v>5.5300000000000002E-2</v>
      </c>
      <c r="Z122">
        <v>5.4800000000000001E-2</v>
      </c>
      <c r="AA122">
        <v>0.2009</v>
      </c>
      <c r="AB122">
        <v>6.3022999999999998</v>
      </c>
      <c r="AC122">
        <v>37.468299999999999</v>
      </c>
      <c r="AD122">
        <v>76.292100000000005</v>
      </c>
      <c r="AE122">
        <v>1.6000000000000001E-3</v>
      </c>
      <c r="AF122">
        <v>7534.3966</v>
      </c>
      <c r="AG122">
        <v>58.971600000000002</v>
      </c>
      <c r="AH122">
        <v>4.0000000000000002E-4</v>
      </c>
      <c r="AI122">
        <v>86.601500000000001</v>
      </c>
      <c r="AJ122">
        <v>73.2</v>
      </c>
      <c r="AK122">
        <v>76.328699999999998</v>
      </c>
      <c r="AL122">
        <v>1.7013</v>
      </c>
      <c r="AM122">
        <v>0.05</v>
      </c>
      <c r="AN122">
        <v>0</v>
      </c>
      <c r="AO122">
        <v>88.739099999999993</v>
      </c>
      <c r="AP122">
        <v>95.011700000000005</v>
      </c>
      <c r="AQ122">
        <v>93.937899999999999</v>
      </c>
      <c r="AR122">
        <v>92.443799999999996</v>
      </c>
      <c r="AS122">
        <v>87.637900000000002</v>
      </c>
      <c r="AT122">
        <v>86.907700000000006</v>
      </c>
      <c r="AU122">
        <v>83.489400000000003</v>
      </c>
      <c r="AV122">
        <v>5.1795999999999998</v>
      </c>
      <c r="AW122">
        <v>11.711</v>
      </c>
      <c r="AX122">
        <f t="shared" si="33"/>
        <v>438.79126130000003</v>
      </c>
      <c r="AY122">
        <f t="shared" si="34"/>
        <v>690.6164076</v>
      </c>
      <c r="AZ122">
        <f t="shared" si="35"/>
        <v>148.82104580000001</v>
      </c>
      <c r="BA122">
        <f t="shared" si="21"/>
        <v>0</v>
      </c>
      <c r="BB122">
        <f t="shared" si="22"/>
        <v>0</v>
      </c>
      <c r="BC122">
        <f t="shared" si="23"/>
        <v>11.711</v>
      </c>
      <c r="BD122">
        <f t="shared" si="24"/>
        <v>0</v>
      </c>
      <c r="BE122">
        <f t="shared" si="25"/>
        <v>0</v>
      </c>
      <c r="BF122">
        <f t="shared" si="26"/>
        <v>0</v>
      </c>
      <c r="BG122">
        <f t="shared" si="36"/>
        <v>5.7862125300000002</v>
      </c>
      <c r="BH122">
        <f t="shared" si="37"/>
        <v>5.7208181100000006</v>
      </c>
      <c r="BI122">
        <f t="shared" si="38"/>
        <v>5.6298274199999998</v>
      </c>
      <c r="BJ122">
        <f t="shared" si="39"/>
        <v>5.3371481100000002</v>
      </c>
      <c r="BK122">
        <f t="shared" si="40"/>
        <v>5.292678930000001</v>
      </c>
      <c r="BL122">
        <f t="shared" si="41"/>
        <v>5.0845044600000007</v>
      </c>
    </row>
    <row r="123" spans="1:64">
      <c r="A123" t="str">
        <f t="shared" si="17"/>
        <v>11</v>
      </c>
      <c r="B123" t="s">
        <v>605</v>
      </c>
      <c r="C123" t="s">
        <v>643</v>
      </c>
      <c r="D123">
        <v>66</v>
      </c>
      <c r="E123">
        <v>3</v>
      </c>
      <c r="F123">
        <v>10</v>
      </c>
      <c r="G123">
        <v>2</v>
      </c>
      <c r="H123">
        <v>100</v>
      </c>
      <c r="I123" t="s">
        <v>607</v>
      </c>
      <c r="J123">
        <v>0.50690000000000002</v>
      </c>
      <c r="K123">
        <v>43.026000000000003</v>
      </c>
      <c r="L123">
        <v>5.62E-2</v>
      </c>
      <c r="M123">
        <v>1.5575000000000001</v>
      </c>
      <c r="N123">
        <v>23.6494</v>
      </c>
      <c r="O123">
        <v>90.961399999999998</v>
      </c>
      <c r="P123">
        <v>352.64030000000002</v>
      </c>
      <c r="Q123">
        <v>207.74340000000001</v>
      </c>
      <c r="R123">
        <v>0.5343</v>
      </c>
      <c r="S123">
        <v>1.0589</v>
      </c>
      <c r="T123">
        <v>0</v>
      </c>
      <c r="U123">
        <v>0.19869999999999999</v>
      </c>
      <c r="V123">
        <v>0.52080000000000004</v>
      </c>
      <c r="W123">
        <v>12.3786</v>
      </c>
      <c r="X123">
        <v>17.9176</v>
      </c>
      <c r="Y123">
        <v>16.298100000000002</v>
      </c>
      <c r="Z123">
        <v>16.1706</v>
      </c>
      <c r="AA123">
        <v>68.915499999999994</v>
      </c>
      <c r="AB123">
        <v>7.6516000000000002</v>
      </c>
      <c r="AC123">
        <v>37.730499999999999</v>
      </c>
      <c r="AD123">
        <v>72.9803</v>
      </c>
      <c r="AE123">
        <v>0.46760000000000002</v>
      </c>
      <c r="AF123">
        <v>7560.1662999999999</v>
      </c>
      <c r="AG123">
        <v>59.020299999999999</v>
      </c>
      <c r="AH123">
        <v>0.1163</v>
      </c>
      <c r="AI123">
        <v>86.679400000000001</v>
      </c>
      <c r="AJ123">
        <v>54.21</v>
      </c>
      <c r="AK123">
        <v>76.485699999999994</v>
      </c>
      <c r="AL123">
        <v>1.8527</v>
      </c>
      <c r="AM123">
        <v>0.05</v>
      </c>
      <c r="AN123">
        <v>5.0000000000000001E-3</v>
      </c>
      <c r="AO123">
        <v>88.658100000000005</v>
      </c>
      <c r="AP123">
        <v>94.791799999999995</v>
      </c>
      <c r="AQ123">
        <v>93.844700000000003</v>
      </c>
      <c r="AR123">
        <v>92.478399999999993</v>
      </c>
      <c r="AS123">
        <v>88.164699999999996</v>
      </c>
      <c r="AT123">
        <v>87.4251</v>
      </c>
      <c r="AU123">
        <v>84.031899999999993</v>
      </c>
      <c r="AV123">
        <v>1359.6329000000001</v>
      </c>
      <c r="AW123">
        <v>3535.0081</v>
      </c>
      <c r="AX123">
        <f t="shared" si="33"/>
        <v>133377.62311705001</v>
      </c>
      <c r="AY123">
        <f t="shared" si="34"/>
        <v>208637.23856443001</v>
      </c>
      <c r="AZ123">
        <f t="shared" si="35"/>
        <v>43758.451266659999</v>
      </c>
      <c r="BA123">
        <f t="shared" si="21"/>
        <v>0</v>
      </c>
      <c r="BB123">
        <f t="shared" si="22"/>
        <v>0</v>
      </c>
      <c r="BC123">
        <f t="shared" si="23"/>
        <v>3535.0081</v>
      </c>
      <c r="BD123">
        <f t="shared" si="24"/>
        <v>0</v>
      </c>
      <c r="BE123">
        <f t="shared" si="25"/>
        <v>0</v>
      </c>
      <c r="BF123">
        <f t="shared" si="26"/>
        <v>0</v>
      </c>
      <c r="BG123">
        <f t="shared" si="36"/>
        <v>1698.44155568</v>
      </c>
      <c r="BH123">
        <f t="shared" si="37"/>
        <v>1681.4717967200002</v>
      </c>
      <c r="BI123">
        <f t="shared" si="38"/>
        <v>1656.9909798399999</v>
      </c>
      <c r="BJ123">
        <f t="shared" si="39"/>
        <v>1579.6998287199999</v>
      </c>
      <c r="BK123">
        <f t="shared" si="40"/>
        <v>1566.44797176</v>
      </c>
      <c r="BL123">
        <f t="shared" si="41"/>
        <v>1505.6499714399999</v>
      </c>
    </row>
    <row r="124" spans="1:64">
      <c r="A124" t="str">
        <f t="shared" si="17"/>
        <v>11</v>
      </c>
      <c r="B124" t="s">
        <v>605</v>
      </c>
      <c r="C124" t="s">
        <v>644</v>
      </c>
      <c r="D124">
        <v>5</v>
      </c>
      <c r="E124">
        <v>1</v>
      </c>
      <c r="F124">
        <v>6</v>
      </c>
      <c r="G124">
        <v>2</v>
      </c>
      <c r="H124">
        <v>100</v>
      </c>
      <c r="I124" t="s">
        <v>607</v>
      </c>
      <c r="J124">
        <v>0.45</v>
      </c>
      <c r="K124">
        <v>63</v>
      </c>
      <c r="L124">
        <v>0.05</v>
      </c>
      <c r="M124">
        <v>1.9294</v>
      </c>
      <c r="N124">
        <v>32.228000000000002</v>
      </c>
      <c r="O124">
        <v>86.935699999999997</v>
      </c>
      <c r="P124">
        <v>505.84219999999999</v>
      </c>
      <c r="Q124">
        <v>276.7602</v>
      </c>
      <c r="R124">
        <v>0.27989999999999998</v>
      </c>
      <c r="S124">
        <v>1.2967</v>
      </c>
      <c r="T124">
        <v>0.38169999999999998</v>
      </c>
      <c r="U124">
        <v>0.2457</v>
      </c>
      <c r="V124">
        <v>0.9153</v>
      </c>
      <c r="W124">
        <v>11.7303</v>
      </c>
      <c r="X124">
        <v>2.8931</v>
      </c>
      <c r="Y124">
        <v>2.5133999999999999</v>
      </c>
      <c r="Z124">
        <v>2.4744000000000002</v>
      </c>
      <c r="AA124">
        <v>7.7994000000000003</v>
      </c>
      <c r="AB124">
        <v>10</v>
      </c>
      <c r="AC124">
        <v>53.155099999999997</v>
      </c>
      <c r="AD124">
        <v>52.942300000000003</v>
      </c>
      <c r="AE124">
        <v>3.2300000000000002E-2</v>
      </c>
      <c r="AF124">
        <v>9207</v>
      </c>
      <c r="AG124">
        <v>42.0565</v>
      </c>
      <c r="AH124">
        <v>1.2800000000000001E-2</v>
      </c>
      <c r="AI124">
        <v>72.7684</v>
      </c>
      <c r="AJ124">
        <v>73.2</v>
      </c>
      <c r="AK124">
        <v>55.620800000000003</v>
      </c>
      <c r="AL124">
        <v>1.9484999999999999</v>
      </c>
      <c r="AM124">
        <v>0.05</v>
      </c>
      <c r="AN124">
        <v>1.5900000000000001E-2</v>
      </c>
      <c r="AO124">
        <v>83.227900000000005</v>
      </c>
      <c r="AP124">
        <v>91.301699999999997</v>
      </c>
      <c r="AQ124">
        <v>90.571100000000001</v>
      </c>
      <c r="AR124">
        <v>88.924000000000007</v>
      </c>
      <c r="AS124">
        <v>84.602099999999993</v>
      </c>
      <c r="AT124">
        <v>83.846299999999999</v>
      </c>
      <c r="AU124">
        <v>80.569000000000003</v>
      </c>
      <c r="AV124">
        <v>156.5933</v>
      </c>
      <c r="AW124">
        <v>297.52719999999999</v>
      </c>
      <c r="AX124">
        <f t="shared" si="33"/>
        <v>15815.088068719999</v>
      </c>
      <c r="AY124">
        <f t="shared" si="34"/>
        <v>12512.952686799999</v>
      </c>
      <c r="AZ124">
        <f t="shared" si="35"/>
        <v>3490.0833141599996</v>
      </c>
      <c r="BA124">
        <f t="shared" si="21"/>
        <v>297.52719999999999</v>
      </c>
      <c r="BB124">
        <f t="shared" si="22"/>
        <v>0</v>
      </c>
      <c r="BC124">
        <f t="shared" si="23"/>
        <v>0</v>
      </c>
      <c r="BD124">
        <f t="shared" si="24"/>
        <v>0</v>
      </c>
      <c r="BE124">
        <f t="shared" si="25"/>
        <v>0</v>
      </c>
      <c r="BF124">
        <f t="shared" si="26"/>
        <v>0</v>
      </c>
      <c r="BG124">
        <f t="shared" si="36"/>
        <v>264.14494826999999</v>
      </c>
      <c r="BH124">
        <f t="shared" si="37"/>
        <v>262.03124940999999</v>
      </c>
      <c r="BI124">
        <f t="shared" si="38"/>
        <v>257.26602439999999</v>
      </c>
      <c r="BJ124">
        <f t="shared" si="39"/>
        <v>244.76233550999999</v>
      </c>
      <c r="BK124">
        <f t="shared" si="40"/>
        <v>242.57573052999999</v>
      </c>
      <c r="BL124">
        <f t="shared" si="41"/>
        <v>233.09417390000002</v>
      </c>
    </row>
    <row r="125" spans="1:64">
      <c r="A125" t="str">
        <f t="shared" si="17"/>
        <v>11</v>
      </c>
      <c r="B125" t="s">
        <v>605</v>
      </c>
      <c r="C125" t="s">
        <v>644</v>
      </c>
      <c r="D125">
        <v>55</v>
      </c>
      <c r="E125">
        <v>1</v>
      </c>
      <c r="F125">
        <v>6</v>
      </c>
      <c r="G125">
        <v>2</v>
      </c>
      <c r="H125">
        <v>100</v>
      </c>
      <c r="I125" t="s">
        <v>607</v>
      </c>
      <c r="J125">
        <v>0.6119</v>
      </c>
      <c r="K125">
        <v>61.448099999999997</v>
      </c>
      <c r="L125">
        <v>5.6500000000000002E-2</v>
      </c>
      <c r="M125">
        <v>2.0209000000000001</v>
      </c>
      <c r="N125">
        <v>30.8659</v>
      </c>
      <c r="O125">
        <v>85.878</v>
      </c>
      <c r="P125">
        <v>398.53660000000002</v>
      </c>
      <c r="Q125">
        <v>265.61290000000002</v>
      </c>
      <c r="R125">
        <v>0.40939999999999999</v>
      </c>
      <c r="S125">
        <v>1.1912</v>
      </c>
      <c r="T125">
        <v>0.29709999999999998</v>
      </c>
      <c r="U125">
        <v>0.24279999999999999</v>
      </c>
      <c r="V125">
        <v>0.81469999999999998</v>
      </c>
      <c r="W125">
        <v>11.960100000000001</v>
      </c>
      <c r="X125">
        <v>225.7834</v>
      </c>
      <c r="Y125">
        <v>196.1225</v>
      </c>
      <c r="Z125">
        <v>194.3502</v>
      </c>
      <c r="AA125">
        <v>631.70669999999996</v>
      </c>
      <c r="AB125">
        <v>9.5760000000000005</v>
      </c>
      <c r="AC125">
        <v>52.959800000000001</v>
      </c>
      <c r="AD125">
        <v>51.957000000000001</v>
      </c>
      <c r="AE125">
        <v>2.8479999999999999</v>
      </c>
      <c r="AF125">
        <v>9081.0026999999991</v>
      </c>
      <c r="AG125">
        <v>49.153100000000002</v>
      </c>
      <c r="AH125">
        <v>1.3373999999999999</v>
      </c>
      <c r="AI125">
        <v>83.406599999999997</v>
      </c>
      <c r="AJ125">
        <v>69.644599999999997</v>
      </c>
      <c r="AK125">
        <v>71.809100000000001</v>
      </c>
      <c r="AL125">
        <v>1.7598</v>
      </c>
      <c r="AM125">
        <v>0.05</v>
      </c>
      <c r="AN125">
        <v>1.7600000000000001E-2</v>
      </c>
      <c r="AO125">
        <v>86.900800000000004</v>
      </c>
      <c r="AP125">
        <v>91.618799999999993</v>
      </c>
      <c r="AQ125">
        <v>90.642300000000006</v>
      </c>
      <c r="AR125">
        <v>88.736500000000007</v>
      </c>
      <c r="AS125">
        <v>83.691699999999997</v>
      </c>
      <c r="AT125">
        <v>82.736999999999995</v>
      </c>
      <c r="AU125">
        <v>78.547399999999996</v>
      </c>
      <c r="AV125">
        <v>12312.9046</v>
      </c>
      <c r="AW125">
        <v>25859.724200000001</v>
      </c>
      <c r="AX125">
        <f t="shared" si="33"/>
        <v>1369525.8216871601</v>
      </c>
      <c r="AY125">
        <f t="shared" si="34"/>
        <v>1271085.6095750201</v>
      </c>
      <c r="AZ125">
        <f t="shared" si="35"/>
        <v>309284.88740442001</v>
      </c>
      <c r="BA125">
        <f t="shared" si="21"/>
        <v>25859.724200000001</v>
      </c>
      <c r="BB125">
        <f t="shared" si="22"/>
        <v>0</v>
      </c>
      <c r="BC125">
        <f t="shared" si="23"/>
        <v>0</v>
      </c>
      <c r="BD125">
        <f t="shared" si="24"/>
        <v>0</v>
      </c>
      <c r="BE125">
        <f t="shared" si="25"/>
        <v>0</v>
      </c>
      <c r="BF125">
        <f t="shared" si="26"/>
        <v>0</v>
      </c>
      <c r="BG125">
        <f t="shared" si="36"/>
        <v>20686.004167919997</v>
      </c>
      <c r="BH125">
        <f t="shared" si="37"/>
        <v>20465.526677820002</v>
      </c>
      <c r="BI125">
        <f t="shared" si="38"/>
        <v>20035.228674100003</v>
      </c>
      <c r="BJ125">
        <f t="shared" si="39"/>
        <v>18896.19657778</v>
      </c>
      <c r="BK125">
        <f t="shared" si="40"/>
        <v>18680.6411658</v>
      </c>
      <c r="BL125">
        <f t="shared" si="41"/>
        <v>17734.699033159999</v>
      </c>
    </row>
    <row r="126" spans="1:64">
      <c r="A126" t="str">
        <f t="shared" si="17"/>
        <v>11</v>
      </c>
      <c r="B126" t="s">
        <v>605</v>
      </c>
      <c r="C126" t="s">
        <v>644</v>
      </c>
      <c r="D126">
        <v>55</v>
      </c>
      <c r="E126">
        <v>1</v>
      </c>
      <c r="F126">
        <v>6</v>
      </c>
      <c r="G126">
        <v>2</v>
      </c>
      <c r="H126">
        <v>200</v>
      </c>
      <c r="I126" t="s">
        <v>607</v>
      </c>
      <c r="J126">
        <v>0.62109999999999999</v>
      </c>
      <c r="K126">
        <v>58.874400000000001</v>
      </c>
      <c r="L126">
        <v>5.9799999999999999E-2</v>
      </c>
      <c r="M126">
        <v>1.9238</v>
      </c>
      <c r="N126">
        <v>30.592199999999998</v>
      </c>
      <c r="O126">
        <v>86.250200000000007</v>
      </c>
      <c r="P126">
        <v>382.02940000000001</v>
      </c>
      <c r="Q126">
        <v>265.15969999999999</v>
      </c>
      <c r="R126">
        <v>0.4012</v>
      </c>
      <c r="S126">
        <v>1.1773</v>
      </c>
      <c r="T126">
        <v>0.23330000000000001</v>
      </c>
      <c r="U126">
        <v>0.26090000000000002</v>
      </c>
      <c r="V126">
        <v>0.75080000000000002</v>
      </c>
      <c r="W126">
        <v>11.967499999999999</v>
      </c>
      <c r="X126">
        <v>57.192599999999999</v>
      </c>
      <c r="Y126">
        <v>49.660899999999998</v>
      </c>
      <c r="Z126">
        <v>49.0443</v>
      </c>
      <c r="AA126">
        <v>161.55940000000001</v>
      </c>
      <c r="AB126">
        <v>10.993</v>
      </c>
      <c r="AC126">
        <v>53.018099999999997</v>
      </c>
      <c r="AD126">
        <v>50.628</v>
      </c>
      <c r="AE126">
        <v>0.76119999999999999</v>
      </c>
      <c r="AF126">
        <v>9087.3331999999991</v>
      </c>
      <c r="AG126">
        <v>47.886200000000002</v>
      </c>
      <c r="AH126">
        <v>0.29459999999999997</v>
      </c>
      <c r="AI126">
        <v>81.466999999999999</v>
      </c>
      <c r="AJ126">
        <v>73.2</v>
      </c>
      <c r="AK126">
        <v>68.855999999999995</v>
      </c>
      <c r="AL126">
        <v>1.8198000000000001</v>
      </c>
      <c r="AM126">
        <v>0.05</v>
      </c>
      <c r="AN126">
        <v>1.8700000000000001E-2</v>
      </c>
      <c r="AO126">
        <v>87.084699999999998</v>
      </c>
      <c r="AP126">
        <v>91.819599999999994</v>
      </c>
      <c r="AQ126">
        <v>90.829499999999996</v>
      </c>
      <c r="AR126">
        <v>88.872100000000003</v>
      </c>
      <c r="AS126">
        <v>83.887200000000007</v>
      </c>
      <c r="AT126">
        <v>82.936199999999999</v>
      </c>
      <c r="AU126">
        <v>78.788499999999999</v>
      </c>
      <c r="AV126">
        <v>3274.0603000000001</v>
      </c>
      <c r="AW126">
        <v>6916.6316999999999</v>
      </c>
      <c r="AX126">
        <f t="shared" si="33"/>
        <v>366706.67113376997</v>
      </c>
      <c r="AY126">
        <f t="shared" si="34"/>
        <v>331211.20891253999</v>
      </c>
      <c r="AZ126">
        <f t="shared" si="35"/>
        <v>82774.789869749991</v>
      </c>
      <c r="BA126">
        <f t="shared" si="21"/>
        <v>6916.6316999999999</v>
      </c>
      <c r="BB126">
        <f t="shared" si="22"/>
        <v>0</v>
      </c>
      <c r="BC126">
        <f t="shared" si="23"/>
        <v>0</v>
      </c>
      <c r="BD126">
        <f t="shared" si="24"/>
        <v>0</v>
      </c>
      <c r="BE126">
        <f t="shared" si="25"/>
        <v>0</v>
      </c>
      <c r="BF126">
        <f t="shared" si="26"/>
        <v>0</v>
      </c>
      <c r="BG126">
        <f t="shared" si="36"/>
        <v>5251.4016549599992</v>
      </c>
      <c r="BH126">
        <f t="shared" si="37"/>
        <v>5194.7752616999996</v>
      </c>
      <c r="BI126">
        <f t="shared" si="38"/>
        <v>5082.8264664600001</v>
      </c>
      <c r="BJ126">
        <f t="shared" si="39"/>
        <v>4797.72707472</v>
      </c>
      <c r="BK126">
        <f t="shared" si="40"/>
        <v>4743.3369121200003</v>
      </c>
      <c r="BL126">
        <f t="shared" si="41"/>
        <v>4506.1191650999999</v>
      </c>
    </row>
    <row r="127" spans="1:64">
      <c r="A127" t="str">
        <f t="shared" si="17"/>
        <v>11</v>
      </c>
      <c r="B127" t="s">
        <v>605</v>
      </c>
      <c r="C127" t="s">
        <v>644</v>
      </c>
      <c r="D127">
        <v>55</v>
      </c>
      <c r="E127">
        <v>1</v>
      </c>
      <c r="F127">
        <v>6</v>
      </c>
      <c r="G127">
        <v>4</v>
      </c>
      <c r="H127">
        <v>100</v>
      </c>
      <c r="I127" t="s">
        <v>607</v>
      </c>
      <c r="J127">
        <v>0.80559999999999998</v>
      </c>
      <c r="K127">
        <v>50.558999999999997</v>
      </c>
      <c r="L127">
        <v>6.0699999999999997E-2</v>
      </c>
      <c r="M127">
        <v>2.0078999999999998</v>
      </c>
      <c r="N127">
        <v>28.669699999999999</v>
      </c>
      <c r="O127">
        <v>87.320599999999999</v>
      </c>
      <c r="P127">
        <v>352.07170000000002</v>
      </c>
      <c r="Q127">
        <v>257.4984</v>
      </c>
      <c r="R127">
        <v>0.4819</v>
      </c>
      <c r="S127">
        <v>1.3013999999999999</v>
      </c>
      <c r="T127">
        <v>0.1484</v>
      </c>
      <c r="U127">
        <v>0.25580000000000003</v>
      </c>
      <c r="V127">
        <v>0.82640000000000002</v>
      </c>
      <c r="W127">
        <v>12.0588</v>
      </c>
      <c r="X127">
        <v>38.234999999999999</v>
      </c>
      <c r="Y127">
        <v>33.387</v>
      </c>
      <c r="Z127">
        <v>33.071399999999997</v>
      </c>
      <c r="AA127">
        <v>116.4539</v>
      </c>
      <c r="AB127">
        <v>7.9622999999999999</v>
      </c>
      <c r="AC127">
        <v>52.857599999999998</v>
      </c>
      <c r="AD127">
        <v>52.578000000000003</v>
      </c>
      <c r="AE127">
        <v>0.53120000000000001</v>
      </c>
      <c r="AF127">
        <v>8934.3163000000004</v>
      </c>
      <c r="AG127">
        <v>58.992199999999997</v>
      </c>
      <c r="AH127">
        <v>0.224</v>
      </c>
      <c r="AI127">
        <v>87.535200000000003</v>
      </c>
      <c r="AJ127">
        <v>73.2</v>
      </c>
      <c r="AK127">
        <v>78.221199999999996</v>
      </c>
      <c r="AL127">
        <v>1.6406000000000001</v>
      </c>
      <c r="AM127">
        <v>0.05</v>
      </c>
      <c r="AN127">
        <v>1.15E-2</v>
      </c>
      <c r="AO127">
        <v>89.557299999999998</v>
      </c>
      <c r="AP127">
        <v>91.701400000000007</v>
      </c>
      <c r="AQ127">
        <v>90.554500000000004</v>
      </c>
      <c r="AR127">
        <v>88.466800000000006</v>
      </c>
      <c r="AS127">
        <v>82.987399999999994</v>
      </c>
      <c r="AT127">
        <v>81.909700000000001</v>
      </c>
      <c r="AU127">
        <v>77.037899999999993</v>
      </c>
      <c r="AV127">
        <v>2099.2064</v>
      </c>
      <c r="AW127">
        <v>4746.3055999999997</v>
      </c>
      <c r="AX127">
        <f t="shared" si="33"/>
        <v>250878.32288255997</v>
      </c>
      <c r="AY127">
        <f t="shared" si="34"/>
        <v>279995.00921631994</v>
      </c>
      <c r="AZ127">
        <f t="shared" si="35"/>
        <v>57234.749969279997</v>
      </c>
      <c r="BA127">
        <f t="shared" si="21"/>
        <v>4746.3055999999997</v>
      </c>
      <c r="BB127">
        <f t="shared" si="22"/>
        <v>0</v>
      </c>
      <c r="BC127">
        <f t="shared" si="23"/>
        <v>0</v>
      </c>
      <c r="BD127">
        <f t="shared" si="24"/>
        <v>0</v>
      </c>
      <c r="BE127">
        <f t="shared" si="25"/>
        <v>0</v>
      </c>
      <c r="BF127">
        <f t="shared" si="26"/>
        <v>0</v>
      </c>
      <c r="BG127">
        <f t="shared" si="36"/>
        <v>3506.2030290000002</v>
      </c>
      <c r="BH127">
        <f t="shared" si="37"/>
        <v>3462.3513075000001</v>
      </c>
      <c r="BI127">
        <f t="shared" si="38"/>
        <v>3382.5280980000002</v>
      </c>
      <c r="BJ127">
        <f t="shared" si="39"/>
        <v>3173.0232389999996</v>
      </c>
      <c r="BK127">
        <f t="shared" si="40"/>
        <v>3131.8173794999998</v>
      </c>
      <c r="BL127">
        <f t="shared" si="41"/>
        <v>2945.5441064999995</v>
      </c>
    </row>
    <row r="128" spans="1:64">
      <c r="A128" t="str">
        <f t="shared" si="17"/>
        <v>11</v>
      </c>
      <c r="B128" t="s">
        <v>605</v>
      </c>
      <c r="C128" t="s">
        <v>644</v>
      </c>
      <c r="D128">
        <v>55</v>
      </c>
      <c r="E128">
        <v>1</v>
      </c>
      <c r="F128">
        <v>10</v>
      </c>
      <c r="G128">
        <v>2</v>
      </c>
      <c r="H128">
        <v>100</v>
      </c>
      <c r="I128" t="s">
        <v>607</v>
      </c>
      <c r="J128">
        <v>0.45</v>
      </c>
      <c r="K128">
        <v>63</v>
      </c>
      <c r="L128">
        <v>4.9299999999999997E-2</v>
      </c>
      <c r="M128">
        <v>2.1393</v>
      </c>
      <c r="N128">
        <v>31.826000000000001</v>
      </c>
      <c r="O128">
        <v>87.010300000000001</v>
      </c>
      <c r="P128">
        <v>505.84219999999999</v>
      </c>
      <c r="Q128">
        <v>274.24560000000002</v>
      </c>
      <c r="R128">
        <v>0.3634</v>
      </c>
      <c r="S128">
        <v>1.1415999999999999</v>
      </c>
      <c r="T128">
        <v>0.33329999999999999</v>
      </c>
      <c r="U128">
        <v>0.2046</v>
      </c>
      <c r="V128">
        <v>0.79849999999999999</v>
      </c>
      <c r="W128">
        <v>11.7066</v>
      </c>
      <c r="X128">
        <v>1.5112000000000001</v>
      </c>
      <c r="Y128">
        <v>1.3172999999999999</v>
      </c>
      <c r="Z128">
        <v>1.3180000000000001</v>
      </c>
      <c r="AA128">
        <v>4.1391</v>
      </c>
      <c r="AB128">
        <v>10</v>
      </c>
      <c r="AC128">
        <v>52.497900000000001</v>
      </c>
      <c r="AD128">
        <v>55.717500000000001</v>
      </c>
      <c r="AE128">
        <v>1.7399999999999999E-2</v>
      </c>
      <c r="AF128">
        <v>9207</v>
      </c>
      <c r="AG128">
        <v>34.160299999999999</v>
      </c>
      <c r="AH128">
        <v>1.23E-2</v>
      </c>
      <c r="AI128">
        <v>74.650300000000001</v>
      </c>
      <c r="AJ128">
        <v>73.2</v>
      </c>
      <c r="AK128">
        <v>58.133299999999998</v>
      </c>
      <c r="AL128">
        <v>2.0667</v>
      </c>
      <c r="AM128">
        <v>0.05</v>
      </c>
      <c r="AN128">
        <v>2.23E-2</v>
      </c>
      <c r="AO128">
        <v>83.227900000000005</v>
      </c>
      <c r="AP128">
        <v>91.007900000000006</v>
      </c>
      <c r="AQ128">
        <v>90.309200000000004</v>
      </c>
      <c r="AR128">
        <v>88.7376</v>
      </c>
      <c r="AS128">
        <v>84.474699999999999</v>
      </c>
      <c r="AT128">
        <v>83.720299999999995</v>
      </c>
      <c r="AU128">
        <v>80.768900000000002</v>
      </c>
      <c r="AV128">
        <v>84.524000000000001</v>
      </c>
      <c r="AW128">
        <v>160.59559999999999</v>
      </c>
      <c r="AX128">
        <f t="shared" si="33"/>
        <v>8430.9317492400005</v>
      </c>
      <c r="AY128">
        <f t="shared" si="34"/>
        <v>5485.9938746799999</v>
      </c>
      <c r="AZ128">
        <f t="shared" si="35"/>
        <v>1880.0284509599999</v>
      </c>
      <c r="BA128">
        <f t="shared" si="21"/>
        <v>160.59559999999999</v>
      </c>
      <c r="BB128">
        <f t="shared" si="22"/>
        <v>0</v>
      </c>
      <c r="BC128">
        <f t="shared" si="23"/>
        <v>0</v>
      </c>
      <c r="BD128">
        <f t="shared" si="24"/>
        <v>0</v>
      </c>
      <c r="BE128">
        <f t="shared" si="25"/>
        <v>0</v>
      </c>
      <c r="BF128">
        <f t="shared" si="26"/>
        <v>0</v>
      </c>
      <c r="BG128">
        <f t="shared" si="36"/>
        <v>137.53113848000001</v>
      </c>
      <c r="BH128">
        <f t="shared" si="37"/>
        <v>136.47526304000002</v>
      </c>
      <c r="BI128">
        <f t="shared" si="38"/>
        <v>134.10026112</v>
      </c>
      <c r="BJ128">
        <f t="shared" si="39"/>
        <v>127.65816664</v>
      </c>
      <c r="BK128">
        <f t="shared" si="40"/>
        <v>126.51811736000001</v>
      </c>
      <c r="BL128">
        <f t="shared" si="41"/>
        <v>122.05796168000001</v>
      </c>
    </row>
    <row r="129" spans="1:64">
      <c r="A129" t="str">
        <f t="shared" si="17"/>
        <v>11</v>
      </c>
      <c r="B129" t="s">
        <v>605</v>
      </c>
      <c r="C129" t="s">
        <v>644</v>
      </c>
      <c r="D129">
        <v>55</v>
      </c>
      <c r="E129">
        <v>2</v>
      </c>
      <c r="F129">
        <v>10</v>
      </c>
      <c r="G129">
        <v>4</v>
      </c>
      <c r="H129">
        <v>100</v>
      </c>
      <c r="I129" t="s">
        <v>607</v>
      </c>
      <c r="J129">
        <v>0.87860000000000005</v>
      </c>
      <c r="K129">
        <v>53.607500000000002</v>
      </c>
      <c r="L129">
        <v>5.7700000000000001E-2</v>
      </c>
      <c r="M129">
        <v>2.0495000000000001</v>
      </c>
      <c r="N129">
        <v>32.792099999999998</v>
      </c>
      <c r="O129">
        <v>83.793800000000005</v>
      </c>
      <c r="P129">
        <v>342.41449999999998</v>
      </c>
      <c r="Q129">
        <v>239.50720000000001</v>
      </c>
      <c r="R129">
        <v>0.45019999999999999</v>
      </c>
      <c r="S129">
        <v>1.1895</v>
      </c>
      <c r="T129">
        <v>0.40210000000000001</v>
      </c>
      <c r="U129">
        <v>0.2422</v>
      </c>
      <c r="V129">
        <v>0.90410000000000001</v>
      </c>
      <c r="W129">
        <v>12.120900000000001</v>
      </c>
      <c r="X129">
        <v>45.179900000000004</v>
      </c>
      <c r="Y129">
        <v>39.523699999999998</v>
      </c>
      <c r="Z129">
        <v>39.023200000000003</v>
      </c>
      <c r="AA129">
        <v>120.52809999999999</v>
      </c>
      <c r="AB129">
        <v>11.9763</v>
      </c>
      <c r="AC129">
        <v>47.8262</v>
      </c>
      <c r="AD129">
        <v>48.483600000000003</v>
      </c>
      <c r="AE129">
        <v>0.60970000000000002</v>
      </c>
      <c r="AF129">
        <v>8381.1335999999992</v>
      </c>
      <c r="AG129">
        <v>58.838000000000001</v>
      </c>
      <c r="AH129">
        <v>0.2319</v>
      </c>
      <c r="AI129">
        <v>87.442099999999996</v>
      </c>
      <c r="AJ129">
        <v>73.2</v>
      </c>
      <c r="AK129">
        <v>78.031400000000005</v>
      </c>
      <c r="AL129">
        <v>1.5238</v>
      </c>
      <c r="AM129">
        <v>0.05</v>
      </c>
      <c r="AN129">
        <v>1.9199999999999998E-2</v>
      </c>
      <c r="AO129">
        <v>92.165199999999999</v>
      </c>
      <c r="AP129">
        <v>91.707400000000007</v>
      </c>
      <c r="AQ129">
        <v>90.612499999999997</v>
      </c>
      <c r="AR129">
        <v>88.547600000000003</v>
      </c>
      <c r="AS129">
        <v>83.204300000000003</v>
      </c>
      <c r="AT129">
        <v>82.142600000000002</v>
      </c>
      <c r="AU129">
        <v>77.370999999999995</v>
      </c>
      <c r="AV129">
        <v>2259.9861999999998</v>
      </c>
      <c r="AW129">
        <v>5109.8287</v>
      </c>
      <c r="AX129">
        <f t="shared" si="33"/>
        <v>244383.68937194001</v>
      </c>
      <c r="AY129">
        <f t="shared" si="34"/>
        <v>300652.1010506</v>
      </c>
      <c r="AZ129">
        <f t="shared" si="35"/>
        <v>61935.722689830007</v>
      </c>
      <c r="BA129">
        <f t="shared" si="21"/>
        <v>0</v>
      </c>
      <c r="BB129">
        <f t="shared" si="22"/>
        <v>5109.8287</v>
      </c>
      <c r="BC129">
        <f t="shared" si="23"/>
        <v>0</v>
      </c>
      <c r="BD129">
        <f t="shared" si="24"/>
        <v>0</v>
      </c>
      <c r="BE129">
        <f t="shared" si="25"/>
        <v>0</v>
      </c>
      <c r="BF129">
        <f t="shared" si="26"/>
        <v>0</v>
      </c>
      <c r="BG129">
        <f t="shared" si="36"/>
        <v>4143.331161260001</v>
      </c>
      <c r="BH129">
        <f t="shared" si="37"/>
        <v>4093.8636887500002</v>
      </c>
      <c r="BI129">
        <f t="shared" si="38"/>
        <v>4000.5717132400005</v>
      </c>
      <c r="BJ129">
        <f t="shared" si="39"/>
        <v>3759.1619535700006</v>
      </c>
      <c r="BK129">
        <f t="shared" si="40"/>
        <v>3711.1944537400004</v>
      </c>
      <c r="BL129">
        <f t="shared" si="41"/>
        <v>3495.6140429000002</v>
      </c>
    </row>
    <row r="130" spans="1:64">
      <c r="A130" t="str">
        <f t="shared" si="17"/>
        <v>11</v>
      </c>
      <c r="B130" t="s">
        <v>605</v>
      </c>
      <c r="C130" t="s">
        <v>644</v>
      </c>
      <c r="D130">
        <v>66</v>
      </c>
      <c r="E130">
        <v>3</v>
      </c>
      <c r="F130">
        <v>6</v>
      </c>
      <c r="G130">
        <v>2</v>
      </c>
      <c r="H130">
        <v>100</v>
      </c>
      <c r="I130" t="s">
        <v>607</v>
      </c>
      <c r="J130">
        <v>0.50590000000000002</v>
      </c>
      <c r="K130">
        <v>42.490299999999998</v>
      </c>
      <c r="L130">
        <v>5.9200000000000003E-2</v>
      </c>
      <c r="M130">
        <v>1.897</v>
      </c>
      <c r="N130">
        <v>26.884699999999999</v>
      </c>
      <c r="O130">
        <v>90.52</v>
      </c>
      <c r="P130">
        <v>332.77429999999998</v>
      </c>
      <c r="Q130">
        <v>211.34110000000001</v>
      </c>
      <c r="R130">
        <v>0.49180000000000001</v>
      </c>
      <c r="S130">
        <v>1.0628</v>
      </c>
      <c r="T130">
        <v>0.10440000000000001</v>
      </c>
      <c r="U130">
        <v>0.21149999999999999</v>
      </c>
      <c r="V130">
        <v>0.51519999999999999</v>
      </c>
      <c r="W130">
        <v>12.7209</v>
      </c>
      <c r="X130">
        <v>26.8261</v>
      </c>
      <c r="Y130">
        <v>24.282499999999999</v>
      </c>
      <c r="Z130">
        <v>24.095199999999998</v>
      </c>
      <c r="AA130">
        <v>90.488900000000001</v>
      </c>
      <c r="AB130">
        <v>7.0246000000000004</v>
      </c>
      <c r="AC130">
        <v>37.622300000000003</v>
      </c>
      <c r="AD130">
        <v>76.017799999999994</v>
      </c>
      <c r="AE130">
        <v>0.70850000000000002</v>
      </c>
      <c r="AF130">
        <v>7552.2429000000002</v>
      </c>
      <c r="AG130">
        <v>58.898699999999998</v>
      </c>
      <c r="AH130">
        <v>0.17399999999999999</v>
      </c>
      <c r="AI130">
        <v>86.593400000000003</v>
      </c>
      <c r="AJ130">
        <v>66.871700000000004</v>
      </c>
      <c r="AK130">
        <v>76.315600000000003</v>
      </c>
      <c r="AL130">
        <v>1.7049000000000001</v>
      </c>
      <c r="AM130">
        <v>0.05</v>
      </c>
      <c r="AN130">
        <v>8.9999999999999998E-4</v>
      </c>
      <c r="AO130">
        <v>88.6404</v>
      </c>
      <c r="AP130">
        <v>94.821600000000004</v>
      </c>
      <c r="AQ130">
        <v>93.668300000000002</v>
      </c>
      <c r="AR130">
        <v>92.083100000000002</v>
      </c>
      <c r="AS130">
        <v>86.867599999999996</v>
      </c>
      <c r="AT130">
        <v>86.078900000000004</v>
      </c>
      <c r="AU130">
        <v>82.436099999999996</v>
      </c>
      <c r="AV130">
        <v>2313.8040999999998</v>
      </c>
      <c r="AW130">
        <v>5350.9647000000004</v>
      </c>
      <c r="AX130">
        <f t="shared" si="33"/>
        <v>201315.59923281003</v>
      </c>
      <c r="AY130">
        <f t="shared" si="34"/>
        <v>315164.86457589001</v>
      </c>
      <c r="AZ130">
        <f t="shared" si="35"/>
        <v>68069.086852230001</v>
      </c>
      <c r="BA130">
        <f t="shared" si="21"/>
        <v>0</v>
      </c>
      <c r="BB130">
        <f t="shared" si="22"/>
        <v>0</v>
      </c>
      <c r="BC130">
        <f t="shared" si="23"/>
        <v>5350.9647000000004</v>
      </c>
      <c r="BD130">
        <f t="shared" si="24"/>
        <v>0</v>
      </c>
      <c r="BE130">
        <f t="shared" si="25"/>
        <v>0</v>
      </c>
      <c r="BF130">
        <f t="shared" si="26"/>
        <v>0</v>
      </c>
      <c r="BG130">
        <f t="shared" si="36"/>
        <v>2543.69372376</v>
      </c>
      <c r="BH130">
        <f t="shared" si="37"/>
        <v>2512.75518263</v>
      </c>
      <c r="BI130">
        <f t="shared" si="38"/>
        <v>2470.2304489100002</v>
      </c>
      <c r="BJ130">
        <f t="shared" si="39"/>
        <v>2330.31892436</v>
      </c>
      <c r="BK130">
        <f t="shared" si="40"/>
        <v>2309.1611792900003</v>
      </c>
      <c r="BL130">
        <f t="shared" si="41"/>
        <v>2211.43906221</v>
      </c>
    </row>
    <row r="131" spans="1:64">
      <c r="A131" t="str">
        <f t="shared" ref="A131:A194" si="42">+MID(C131,22,2)</f>
        <v>11</v>
      </c>
      <c r="B131" t="s">
        <v>605</v>
      </c>
      <c r="C131" t="s">
        <v>644</v>
      </c>
      <c r="D131">
        <v>66</v>
      </c>
      <c r="E131">
        <v>3</v>
      </c>
      <c r="F131">
        <v>6</v>
      </c>
      <c r="G131">
        <v>4</v>
      </c>
      <c r="H131">
        <v>100</v>
      </c>
      <c r="I131" t="s">
        <v>607</v>
      </c>
      <c r="J131">
        <v>0.52300000000000002</v>
      </c>
      <c r="K131">
        <v>41.722299999999997</v>
      </c>
      <c r="L131">
        <v>6.0699999999999997E-2</v>
      </c>
      <c r="M131">
        <v>2.0078999999999998</v>
      </c>
      <c r="N131">
        <v>27.5456</v>
      </c>
      <c r="O131">
        <v>90.783900000000003</v>
      </c>
      <c r="P131">
        <v>346.7715</v>
      </c>
      <c r="Q131">
        <v>210.5206</v>
      </c>
      <c r="R131">
        <v>0.49630000000000002</v>
      </c>
      <c r="S131">
        <v>1.1443000000000001</v>
      </c>
      <c r="T131">
        <v>0.1268</v>
      </c>
      <c r="U131">
        <v>0.21909999999999999</v>
      </c>
      <c r="V131">
        <v>0.53390000000000004</v>
      </c>
      <c r="W131">
        <v>12.707800000000001</v>
      </c>
      <c r="X131">
        <v>24.3567</v>
      </c>
      <c r="Y131">
        <v>22.111999999999998</v>
      </c>
      <c r="Z131">
        <v>21.9056</v>
      </c>
      <c r="AA131">
        <v>80.274199999999993</v>
      </c>
      <c r="AB131">
        <v>6.3022999999999998</v>
      </c>
      <c r="AC131">
        <v>37.468299999999999</v>
      </c>
      <c r="AD131">
        <v>76.292100000000005</v>
      </c>
      <c r="AE131">
        <v>0.62119999999999997</v>
      </c>
      <c r="AF131">
        <v>7534.3966</v>
      </c>
      <c r="AG131">
        <v>58.971600000000002</v>
      </c>
      <c r="AH131">
        <v>0.14910000000000001</v>
      </c>
      <c r="AI131">
        <v>86.601500000000001</v>
      </c>
      <c r="AJ131">
        <v>73.2</v>
      </c>
      <c r="AK131">
        <v>76.328699999999998</v>
      </c>
      <c r="AL131">
        <v>1.7013</v>
      </c>
      <c r="AM131">
        <v>0.05</v>
      </c>
      <c r="AN131">
        <v>0</v>
      </c>
      <c r="AO131">
        <v>88.739099999999993</v>
      </c>
      <c r="AP131">
        <v>95.011700000000005</v>
      </c>
      <c r="AQ131">
        <v>93.937899999999999</v>
      </c>
      <c r="AR131">
        <v>92.443799999999996</v>
      </c>
      <c r="AS131">
        <v>87.637900000000002</v>
      </c>
      <c r="AT131">
        <v>86.907700000000006</v>
      </c>
      <c r="AU131">
        <v>83.489400000000003</v>
      </c>
      <c r="AV131">
        <v>2070.1109999999999</v>
      </c>
      <c r="AW131">
        <v>4680.5209000000004</v>
      </c>
      <c r="AX131">
        <f t="shared" si="33"/>
        <v>175371.16123747002</v>
      </c>
      <c r="AY131">
        <f t="shared" si="34"/>
        <v>276017.80630644003</v>
      </c>
      <c r="AZ131">
        <f t="shared" si="35"/>
        <v>59479.123493020008</v>
      </c>
      <c r="BA131">
        <f t="shared" ref="BA131:BA194" si="43">+IF($E131=1,$AW131,0)</f>
        <v>0</v>
      </c>
      <c r="BB131">
        <f t="shared" ref="BB131:BB194" si="44">+IF($E131=2,$AW131,0)</f>
        <v>0</v>
      </c>
      <c r="BC131">
        <f t="shared" ref="BC131:BC194" si="45">+IF($E131=3,$AW131,IF($E131=4,$AW131,0))</f>
        <v>4680.5209000000004</v>
      </c>
      <c r="BD131">
        <f t="shared" ref="BD131:BD194" si="46">+IF($E131=7,$AW131,0)</f>
        <v>0</v>
      </c>
      <c r="BE131">
        <f t="shared" ref="BE131:BE194" si="47">+IF($E131=5,$AW131,0)</f>
        <v>0</v>
      </c>
      <c r="BF131">
        <f t="shared" ref="BF131:BF194" si="48">+IF($E131=8,$AW131,0)</f>
        <v>0</v>
      </c>
      <c r="BG131">
        <f t="shared" si="36"/>
        <v>2314.1714733900003</v>
      </c>
      <c r="BH131">
        <f t="shared" si="37"/>
        <v>2288.0172489299998</v>
      </c>
      <c r="BI131">
        <f t="shared" si="38"/>
        <v>2251.6259034599998</v>
      </c>
      <c r="BJ131">
        <f t="shared" si="39"/>
        <v>2134.57003893</v>
      </c>
      <c r="BK131">
        <f t="shared" si="40"/>
        <v>2116.7847765900001</v>
      </c>
      <c r="BL131">
        <f t="shared" si="41"/>
        <v>2033.5262689800002</v>
      </c>
    </row>
    <row r="132" spans="1:64">
      <c r="A132" t="str">
        <f t="shared" si="42"/>
        <v>12</v>
      </c>
      <c r="B132" t="s">
        <v>605</v>
      </c>
      <c r="C132" t="s">
        <v>645</v>
      </c>
      <c r="D132">
        <v>55</v>
      </c>
      <c r="E132">
        <v>1</v>
      </c>
      <c r="F132">
        <v>6</v>
      </c>
      <c r="G132">
        <v>2</v>
      </c>
      <c r="H132">
        <v>100</v>
      </c>
      <c r="I132" t="s">
        <v>607</v>
      </c>
      <c r="J132">
        <v>0.53700000000000003</v>
      </c>
      <c r="K132">
        <v>59.7988</v>
      </c>
      <c r="L132">
        <v>5.8999999999999997E-2</v>
      </c>
      <c r="M132">
        <v>1.7881</v>
      </c>
      <c r="N132">
        <v>26.433800000000002</v>
      </c>
      <c r="O132">
        <v>87.723200000000006</v>
      </c>
      <c r="P132">
        <v>268.88479999999998</v>
      </c>
      <c r="Q132">
        <v>255.62190000000001</v>
      </c>
      <c r="R132">
        <v>0.4652</v>
      </c>
      <c r="S132">
        <v>1.0770999999999999</v>
      </c>
      <c r="T132">
        <v>4.9200000000000001E-2</v>
      </c>
      <c r="U132">
        <v>0.24510000000000001</v>
      </c>
      <c r="V132">
        <v>0.5575</v>
      </c>
      <c r="W132">
        <v>11.975099999999999</v>
      </c>
      <c r="X132">
        <v>27.525300000000001</v>
      </c>
      <c r="Y132">
        <v>24.148800000000001</v>
      </c>
      <c r="Z132">
        <v>24.216000000000001</v>
      </c>
      <c r="AA132">
        <v>91.729799999999997</v>
      </c>
      <c r="AB132">
        <v>7.0445000000000002</v>
      </c>
      <c r="AC132">
        <v>52.6389</v>
      </c>
      <c r="AD132">
        <v>49.477600000000002</v>
      </c>
      <c r="AE132">
        <v>0.57520000000000004</v>
      </c>
      <c r="AF132">
        <v>8911.9608000000007</v>
      </c>
      <c r="AG132">
        <v>59.060200000000002</v>
      </c>
      <c r="AH132">
        <v>0.23960000000000001</v>
      </c>
      <c r="AI132">
        <v>87.512699999999995</v>
      </c>
      <c r="AJ132">
        <v>54.21</v>
      </c>
      <c r="AK132">
        <v>78.175200000000004</v>
      </c>
      <c r="AL132">
        <v>1.6811</v>
      </c>
      <c r="AM132">
        <v>0.05</v>
      </c>
      <c r="AN132">
        <v>9.7000000000000003E-3</v>
      </c>
      <c r="AO132">
        <v>89.635499999999993</v>
      </c>
      <c r="AP132">
        <v>92.290400000000005</v>
      </c>
      <c r="AQ132">
        <v>91.077200000000005</v>
      </c>
      <c r="AR132">
        <v>89.002899999999997</v>
      </c>
      <c r="AS132">
        <v>83.715199999999996</v>
      </c>
      <c r="AT132">
        <v>82.710499999999996</v>
      </c>
      <c r="AU132">
        <v>78.158199999999994</v>
      </c>
      <c r="AV132">
        <v>2267.1851999999999</v>
      </c>
      <c r="AW132">
        <v>5126.1055999999999</v>
      </c>
      <c r="AX132">
        <f t="shared" si="33"/>
        <v>269832.56006783998</v>
      </c>
      <c r="AY132">
        <f t="shared" si="34"/>
        <v>302748.82195711997</v>
      </c>
      <c r="AZ132">
        <f t="shared" si="35"/>
        <v>61385.627170559994</v>
      </c>
      <c r="BA132">
        <f t="shared" si="43"/>
        <v>5126.1055999999999</v>
      </c>
      <c r="BB132">
        <f t="shared" si="44"/>
        <v>0</v>
      </c>
      <c r="BC132">
        <f t="shared" si="45"/>
        <v>0</v>
      </c>
      <c r="BD132">
        <f t="shared" si="46"/>
        <v>0</v>
      </c>
      <c r="BE132">
        <f t="shared" si="47"/>
        <v>0</v>
      </c>
      <c r="BF132">
        <f t="shared" si="48"/>
        <v>0</v>
      </c>
      <c r="BG132">
        <f t="shared" si="36"/>
        <v>2540.3209471200003</v>
      </c>
      <c r="BH132">
        <f t="shared" si="37"/>
        <v>2506.9272531600004</v>
      </c>
      <c r="BI132">
        <f t="shared" si="38"/>
        <v>2449.83152337</v>
      </c>
      <c r="BJ132">
        <f t="shared" si="39"/>
        <v>2304.2859945599998</v>
      </c>
      <c r="BK132">
        <f t="shared" si="40"/>
        <v>2276.6313256500002</v>
      </c>
      <c r="BL132">
        <f t="shared" si="41"/>
        <v>2151.3279024600001</v>
      </c>
    </row>
    <row r="133" spans="1:64">
      <c r="A133" t="str">
        <f t="shared" si="42"/>
        <v>12</v>
      </c>
      <c r="B133" t="s">
        <v>605</v>
      </c>
      <c r="C133" t="s">
        <v>645</v>
      </c>
      <c r="D133">
        <v>66</v>
      </c>
      <c r="E133">
        <v>3</v>
      </c>
      <c r="F133">
        <v>6</v>
      </c>
      <c r="G133">
        <v>2</v>
      </c>
      <c r="H133">
        <v>100</v>
      </c>
      <c r="I133" t="s">
        <v>607</v>
      </c>
      <c r="J133">
        <v>0.47039999999999998</v>
      </c>
      <c r="K133">
        <v>60.584200000000003</v>
      </c>
      <c r="L133">
        <v>5.3999999999999999E-2</v>
      </c>
      <c r="M133">
        <v>1.6408</v>
      </c>
      <c r="N133">
        <v>23.364699999999999</v>
      </c>
      <c r="O133">
        <v>90.029499999999999</v>
      </c>
      <c r="P133">
        <v>279.40570000000002</v>
      </c>
      <c r="Q133">
        <v>213.96539999999999</v>
      </c>
      <c r="R133">
        <v>0.5111</v>
      </c>
      <c r="S133">
        <v>0.94289999999999996</v>
      </c>
      <c r="T133">
        <v>1E-4</v>
      </c>
      <c r="U133">
        <v>0.19850000000000001</v>
      </c>
      <c r="V133">
        <v>0.49049999999999999</v>
      </c>
      <c r="W133">
        <v>12.873900000000001</v>
      </c>
      <c r="X133">
        <v>220.17160000000001</v>
      </c>
      <c r="Y133">
        <v>198.221</v>
      </c>
      <c r="Z133">
        <v>199.73779999999999</v>
      </c>
      <c r="AA133">
        <v>848.47059999999999</v>
      </c>
      <c r="AB133">
        <v>6.7278000000000002</v>
      </c>
      <c r="AC133">
        <v>37.856400000000001</v>
      </c>
      <c r="AD133">
        <v>71.656800000000004</v>
      </c>
      <c r="AE133">
        <v>6.1845999999999997</v>
      </c>
      <c r="AF133">
        <v>7571.1336000000001</v>
      </c>
      <c r="AG133">
        <v>59.095300000000002</v>
      </c>
      <c r="AH133">
        <v>2.2204999999999999</v>
      </c>
      <c r="AI133">
        <v>87.529600000000002</v>
      </c>
      <c r="AJ133">
        <v>54.21</v>
      </c>
      <c r="AK133">
        <v>78.210800000000006</v>
      </c>
      <c r="AL133">
        <v>1.7404999999999999</v>
      </c>
      <c r="AM133">
        <v>0.05</v>
      </c>
      <c r="AN133">
        <v>3.5000000000000001E-3</v>
      </c>
      <c r="AO133">
        <v>88.645799999999994</v>
      </c>
      <c r="AP133">
        <v>94.563500000000005</v>
      </c>
      <c r="AQ133">
        <v>93.271799999999999</v>
      </c>
      <c r="AR133">
        <v>91.408199999999994</v>
      </c>
      <c r="AS133">
        <v>85.563900000000004</v>
      </c>
      <c r="AT133">
        <v>84.7042</v>
      </c>
      <c r="AU133">
        <v>80.710599999999999</v>
      </c>
      <c r="AV133">
        <v>18018.8403</v>
      </c>
      <c r="AW133">
        <v>46824.373299999999</v>
      </c>
      <c r="AX133">
        <f t="shared" si="33"/>
        <v>1772602.20539412</v>
      </c>
      <c r="AY133">
        <f t="shared" si="34"/>
        <v>2767100.3874754901</v>
      </c>
      <c r="AZ133">
        <f t="shared" si="35"/>
        <v>602812.29942687007</v>
      </c>
      <c r="BA133">
        <f t="shared" si="43"/>
        <v>0</v>
      </c>
      <c r="BB133">
        <f t="shared" si="44"/>
        <v>0</v>
      </c>
      <c r="BC133">
        <f t="shared" si="45"/>
        <v>46824.373299999999</v>
      </c>
      <c r="BD133">
        <f t="shared" si="46"/>
        <v>0</v>
      </c>
      <c r="BE133">
        <f t="shared" si="47"/>
        <v>0</v>
      </c>
      <c r="BF133">
        <f t="shared" si="48"/>
        <v>0</v>
      </c>
      <c r="BG133">
        <f t="shared" si="36"/>
        <v>20820.197096600001</v>
      </c>
      <c r="BH133">
        <f t="shared" si="37"/>
        <v>20535.801440880001</v>
      </c>
      <c r="BI133">
        <f t="shared" si="38"/>
        <v>20125.489647120001</v>
      </c>
      <c r="BJ133">
        <f t="shared" si="39"/>
        <v>18838.740765240003</v>
      </c>
      <c r="BK133">
        <f t="shared" si="40"/>
        <v>18649.45924072</v>
      </c>
      <c r="BL133">
        <f t="shared" si="41"/>
        <v>17770.181938960002</v>
      </c>
    </row>
    <row r="134" spans="1:64">
      <c r="A134" t="str">
        <f t="shared" si="42"/>
        <v>12</v>
      </c>
      <c r="B134" t="s">
        <v>605</v>
      </c>
      <c r="C134" t="s">
        <v>646</v>
      </c>
      <c r="D134">
        <v>55</v>
      </c>
      <c r="E134">
        <v>1</v>
      </c>
      <c r="F134">
        <v>6</v>
      </c>
      <c r="G134">
        <v>2</v>
      </c>
      <c r="H134">
        <v>100</v>
      </c>
      <c r="I134" t="s">
        <v>607</v>
      </c>
      <c r="J134">
        <v>0.51259999999999994</v>
      </c>
      <c r="K134">
        <v>60.765599999999999</v>
      </c>
      <c r="L134">
        <v>6.0199999999999997E-2</v>
      </c>
      <c r="M134">
        <v>2.1131000000000002</v>
      </c>
      <c r="N134">
        <v>29.8383</v>
      </c>
      <c r="O134">
        <v>86.816000000000003</v>
      </c>
      <c r="P134">
        <v>364.7638</v>
      </c>
      <c r="Q134">
        <v>260.98910000000001</v>
      </c>
      <c r="R134">
        <v>0.39329999999999998</v>
      </c>
      <c r="S134">
        <v>0.98809999999999998</v>
      </c>
      <c r="T134">
        <v>0.21310000000000001</v>
      </c>
      <c r="U134">
        <v>0.2311</v>
      </c>
      <c r="V134">
        <v>0.64170000000000005</v>
      </c>
      <c r="W134">
        <v>11.7813</v>
      </c>
      <c r="X134">
        <v>148.30459999999999</v>
      </c>
      <c r="Y134">
        <v>129.4622</v>
      </c>
      <c r="Z134">
        <v>129.05420000000001</v>
      </c>
      <c r="AA134">
        <v>430.5754</v>
      </c>
      <c r="AB134">
        <v>8.6199999999999992</v>
      </c>
      <c r="AC134">
        <v>52.231900000000003</v>
      </c>
      <c r="AD134">
        <v>48.410699999999999</v>
      </c>
      <c r="AE134">
        <v>2.4817999999999998</v>
      </c>
      <c r="AF134">
        <v>9028.0480000000007</v>
      </c>
      <c r="AG134">
        <v>47.9236</v>
      </c>
      <c r="AH134">
        <v>1.0829</v>
      </c>
      <c r="AI134">
        <v>82.716700000000003</v>
      </c>
      <c r="AJ134">
        <v>68.249200000000002</v>
      </c>
      <c r="AK134">
        <v>70.681799999999996</v>
      </c>
      <c r="AL134">
        <v>1.8294999999999999</v>
      </c>
      <c r="AM134">
        <v>0.05</v>
      </c>
      <c r="AN134">
        <v>1.43E-2</v>
      </c>
      <c r="AO134">
        <v>87.051199999999994</v>
      </c>
      <c r="AP134">
        <v>92.312200000000004</v>
      </c>
      <c r="AQ134">
        <v>91.2423</v>
      </c>
      <c r="AR134">
        <v>89.212500000000006</v>
      </c>
      <c r="AS134">
        <v>84.081900000000005</v>
      </c>
      <c r="AT134">
        <v>83.179400000000001</v>
      </c>
      <c r="AU134">
        <v>78.738699999999994</v>
      </c>
      <c r="AV134">
        <v>10670.020500000001</v>
      </c>
      <c r="AW134">
        <v>22399.799599999998</v>
      </c>
      <c r="AX134">
        <f t="shared" si="33"/>
        <v>1169984.0927272399</v>
      </c>
      <c r="AY134">
        <f t="shared" si="34"/>
        <v>1073479.0361105599</v>
      </c>
      <c r="AZ134">
        <f t="shared" si="35"/>
        <v>263898.75902747997</v>
      </c>
      <c r="BA134">
        <f t="shared" si="43"/>
        <v>22399.799599999998</v>
      </c>
      <c r="BB134">
        <f t="shared" si="44"/>
        <v>0</v>
      </c>
      <c r="BC134">
        <f t="shared" si="45"/>
        <v>0</v>
      </c>
      <c r="BD134">
        <f t="shared" si="46"/>
        <v>0</v>
      </c>
      <c r="BE134">
        <f t="shared" si="47"/>
        <v>0</v>
      </c>
      <c r="BF134">
        <f t="shared" si="48"/>
        <v>0</v>
      </c>
      <c r="BG134">
        <f t="shared" si="36"/>
        <v>13690.32389612</v>
      </c>
      <c r="BH134">
        <f t="shared" si="37"/>
        <v>13531.652804579999</v>
      </c>
      <c r="BI134">
        <f t="shared" si="38"/>
        <v>13230.624127500001</v>
      </c>
      <c r="BJ134">
        <f t="shared" si="39"/>
        <v>12469.732546740001</v>
      </c>
      <c r="BK134">
        <f t="shared" si="40"/>
        <v>12335.88764524</v>
      </c>
      <c r="BL134">
        <f t="shared" si="41"/>
        <v>11677.311408019999</v>
      </c>
    </row>
    <row r="135" spans="1:64">
      <c r="A135" t="str">
        <f t="shared" si="42"/>
        <v>12</v>
      </c>
      <c r="B135" t="s">
        <v>605</v>
      </c>
      <c r="C135" t="s">
        <v>646</v>
      </c>
      <c r="D135">
        <v>55</v>
      </c>
      <c r="E135">
        <v>1</v>
      </c>
      <c r="F135">
        <v>6</v>
      </c>
      <c r="G135">
        <v>2</v>
      </c>
      <c r="H135">
        <v>200</v>
      </c>
      <c r="I135" t="s">
        <v>607</v>
      </c>
      <c r="J135">
        <v>0.54330000000000001</v>
      </c>
      <c r="K135">
        <v>59.965400000000002</v>
      </c>
      <c r="L135">
        <v>5.8799999999999998E-2</v>
      </c>
      <c r="M135">
        <v>1.9420999999999999</v>
      </c>
      <c r="N135">
        <v>30.857099999999999</v>
      </c>
      <c r="O135">
        <v>87.1477</v>
      </c>
      <c r="P135">
        <v>396.57339999999999</v>
      </c>
      <c r="Q135">
        <v>263.81580000000002</v>
      </c>
      <c r="R135">
        <v>0.37530000000000002</v>
      </c>
      <c r="S135">
        <v>1.0749</v>
      </c>
      <c r="T135">
        <v>0.25540000000000002</v>
      </c>
      <c r="U135">
        <v>0.25109999999999999</v>
      </c>
      <c r="V135">
        <v>0.72170000000000001</v>
      </c>
      <c r="W135">
        <v>11.872400000000001</v>
      </c>
      <c r="X135">
        <v>95.42</v>
      </c>
      <c r="Y135">
        <v>83.136200000000002</v>
      </c>
      <c r="Z135">
        <v>82.456400000000002</v>
      </c>
      <c r="AA135">
        <v>268.0745</v>
      </c>
      <c r="AB135">
        <v>10.072699999999999</v>
      </c>
      <c r="AC135">
        <v>52.0809</v>
      </c>
      <c r="AD135">
        <v>49.5075</v>
      </c>
      <c r="AE135">
        <v>1.3914</v>
      </c>
      <c r="AF135">
        <v>9050.0514999999996</v>
      </c>
      <c r="AG135">
        <v>43.8902</v>
      </c>
      <c r="AH135">
        <v>0.5857</v>
      </c>
      <c r="AI135">
        <v>81.745699999999999</v>
      </c>
      <c r="AJ135">
        <v>73.2</v>
      </c>
      <c r="AK135">
        <v>69.129300000000001</v>
      </c>
      <c r="AL135">
        <v>1.8851</v>
      </c>
      <c r="AM135">
        <v>0.05</v>
      </c>
      <c r="AN135">
        <v>1.7000000000000001E-2</v>
      </c>
      <c r="AO135">
        <v>86.4011</v>
      </c>
      <c r="AP135">
        <v>91.978899999999996</v>
      </c>
      <c r="AQ135">
        <v>90.997799999999998</v>
      </c>
      <c r="AR135">
        <v>89.013900000000007</v>
      </c>
      <c r="AS135">
        <v>84.001199999999997</v>
      </c>
      <c r="AT135">
        <v>83.084100000000007</v>
      </c>
      <c r="AU135">
        <v>78.895899999999997</v>
      </c>
      <c r="AV135">
        <v>6100.8441000000003</v>
      </c>
      <c r="AW135">
        <v>12587.873600000001</v>
      </c>
      <c r="AX135">
        <f t="shared" si="33"/>
        <v>655587.78617424006</v>
      </c>
      <c r="AY135">
        <f t="shared" si="34"/>
        <v>552484.28987872007</v>
      </c>
      <c r="AZ135">
        <f t="shared" si="35"/>
        <v>149448.27052864002</v>
      </c>
      <c r="BA135">
        <f t="shared" si="43"/>
        <v>12587.873600000001</v>
      </c>
      <c r="BB135">
        <f t="shared" si="44"/>
        <v>0</v>
      </c>
      <c r="BC135">
        <f t="shared" si="45"/>
        <v>0</v>
      </c>
      <c r="BD135">
        <f t="shared" si="46"/>
        <v>0</v>
      </c>
      <c r="BE135">
        <f t="shared" si="47"/>
        <v>0</v>
      </c>
      <c r="BF135">
        <f t="shared" si="48"/>
        <v>0</v>
      </c>
      <c r="BG135">
        <f t="shared" si="36"/>
        <v>8776.6266379999997</v>
      </c>
      <c r="BH135">
        <f t="shared" si="37"/>
        <v>8683.0100760000005</v>
      </c>
      <c r="BI135">
        <f t="shared" si="38"/>
        <v>8493.706338</v>
      </c>
      <c r="BJ135">
        <f t="shared" si="39"/>
        <v>8015.3945039999999</v>
      </c>
      <c r="BK135">
        <f t="shared" si="40"/>
        <v>7927.8848220000009</v>
      </c>
      <c r="BL135">
        <f t="shared" si="41"/>
        <v>7528.2467779999997</v>
      </c>
    </row>
    <row r="136" spans="1:64">
      <c r="A136" t="str">
        <f t="shared" si="42"/>
        <v>12</v>
      </c>
      <c r="B136" t="s">
        <v>605</v>
      </c>
      <c r="C136" t="s">
        <v>646</v>
      </c>
      <c r="D136">
        <v>66</v>
      </c>
      <c r="E136">
        <v>3</v>
      </c>
      <c r="F136">
        <v>6</v>
      </c>
      <c r="G136">
        <v>2</v>
      </c>
      <c r="H136">
        <v>100</v>
      </c>
      <c r="I136" t="s">
        <v>607</v>
      </c>
      <c r="J136">
        <v>0.48299999999999998</v>
      </c>
      <c r="K136">
        <v>59.865000000000002</v>
      </c>
      <c r="L136">
        <v>6.0299999999999999E-2</v>
      </c>
      <c r="M136">
        <v>1.7822</v>
      </c>
      <c r="N136">
        <v>25.203299999999999</v>
      </c>
      <c r="O136">
        <v>89.8399</v>
      </c>
      <c r="P136">
        <v>236.58340000000001</v>
      </c>
      <c r="Q136">
        <v>216.5111</v>
      </c>
      <c r="R136">
        <v>0.47149999999999997</v>
      </c>
      <c r="S136">
        <v>1.0852999999999999</v>
      </c>
      <c r="T136">
        <v>0</v>
      </c>
      <c r="U136">
        <v>0.2417</v>
      </c>
      <c r="V136">
        <v>0.50309999999999999</v>
      </c>
      <c r="W136">
        <v>13.1172</v>
      </c>
      <c r="X136">
        <v>2.5754000000000001</v>
      </c>
      <c r="Y136">
        <v>2.3138000000000001</v>
      </c>
      <c r="Z136">
        <v>2.3277999999999999</v>
      </c>
      <c r="AA136">
        <v>9.1804000000000006</v>
      </c>
      <c r="AB136">
        <v>5.5202</v>
      </c>
      <c r="AC136">
        <v>37.806600000000003</v>
      </c>
      <c r="AD136">
        <v>69.292100000000005</v>
      </c>
      <c r="AE136">
        <v>7.0499999999999993E-2</v>
      </c>
      <c r="AF136">
        <v>7563.3732</v>
      </c>
      <c r="AG136">
        <v>59.195</v>
      </c>
      <c r="AH136">
        <v>2.5000000000000001E-2</v>
      </c>
      <c r="AI136">
        <v>87.515500000000003</v>
      </c>
      <c r="AJ136">
        <v>54.21</v>
      </c>
      <c r="AK136">
        <v>78.180999999999997</v>
      </c>
      <c r="AL136">
        <v>1.8199000000000001</v>
      </c>
      <c r="AM136">
        <v>0.05</v>
      </c>
      <c r="AN136">
        <v>0</v>
      </c>
      <c r="AO136">
        <v>88.715299999999999</v>
      </c>
      <c r="AP136">
        <v>94.528999999999996</v>
      </c>
      <c r="AQ136">
        <v>93.208200000000005</v>
      </c>
      <c r="AR136">
        <v>91.302099999999996</v>
      </c>
      <c r="AS136">
        <v>85.228800000000007</v>
      </c>
      <c r="AT136">
        <v>84.316400000000002</v>
      </c>
      <c r="AU136">
        <v>80.180300000000003</v>
      </c>
      <c r="AV136">
        <v>235.81030000000001</v>
      </c>
      <c r="AW136">
        <v>533.1671</v>
      </c>
      <c r="AX136">
        <f t="shared" si="33"/>
        <v>20157.235282860001</v>
      </c>
      <c r="AY136">
        <f t="shared" si="34"/>
        <v>31560.826484500001</v>
      </c>
      <c r="AZ136">
        <f t="shared" si="35"/>
        <v>6993.6594841200003</v>
      </c>
      <c r="BA136">
        <f t="shared" si="43"/>
        <v>0</v>
      </c>
      <c r="BB136">
        <f t="shared" si="44"/>
        <v>0</v>
      </c>
      <c r="BC136">
        <f t="shared" si="45"/>
        <v>533.1671</v>
      </c>
      <c r="BD136">
        <f t="shared" si="46"/>
        <v>0</v>
      </c>
      <c r="BE136">
        <f t="shared" si="47"/>
        <v>0</v>
      </c>
      <c r="BF136">
        <f t="shared" si="48"/>
        <v>0</v>
      </c>
      <c r="BG136">
        <f t="shared" si="36"/>
        <v>243.44998660000002</v>
      </c>
      <c r="BH136">
        <f t="shared" si="37"/>
        <v>240.04839828000001</v>
      </c>
      <c r="BI136">
        <f t="shared" si="38"/>
        <v>235.13942833999999</v>
      </c>
      <c r="BJ136">
        <f t="shared" si="39"/>
        <v>219.49825152000003</v>
      </c>
      <c r="BK136">
        <f t="shared" si="40"/>
        <v>217.14845656000003</v>
      </c>
      <c r="BL136">
        <f t="shared" si="41"/>
        <v>206.49634462000003</v>
      </c>
    </row>
    <row r="137" spans="1:64">
      <c r="A137" t="str">
        <f t="shared" si="42"/>
        <v>13</v>
      </c>
      <c r="B137" t="s">
        <v>605</v>
      </c>
      <c r="C137" t="s">
        <v>647</v>
      </c>
      <c r="D137">
        <v>66</v>
      </c>
      <c r="E137">
        <v>3</v>
      </c>
      <c r="F137">
        <v>6</v>
      </c>
      <c r="G137">
        <v>2</v>
      </c>
      <c r="H137">
        <v>100</v>
      </c>
      <c r="I137" t="s">
        <v>617</v>
      </c>
      <c r="J137">
        <v>0.38240000000000002</v>
      </c>
      <c r="K137">
        <v>46.575000000000003</v>
      </c>
      <c r="L137">
        <v>5.96E-2</v>
      </c>
      <c r="M137">
        <v>1.76</v>
      </c>
      <c r="N137">
        <v>22.592700000000001</v>
      </c>
      <c r="O137">
        <v>89.558000000000007</v>
      </c>
      <c r="P137">
        <v>262.55900000000003</v>
      </c>
      <c r="Q137">
        <v>219.3904</v>
      </c>
      <c r="R137">
        <v>0.51429999999999998</v>
      </c>
      <c r="S137">
        <v>0.8488</v>
      </c>
      <c r="T137">
        <v>0</v>
      </c>
      <c r="U137">
        <v>0.1802</v>
      </c>
      <c r="V137">
        <v>0.39779999999999999</v>
      </c>
      <c r="W137">
        <v>13.0602</v>
      </c>
      <c r="X137">
        <v>23.642700000000001</v>
      </c>
      <c r="Y137">
        <v>21.1739</v>
      </c>
      <c r="Z137">
        <v>21.2759</v>
      </c>
      <c r="AA137">
        <v>93.720100000000002</v>
      </c>
      <c r="AB137">
        <v>8.2437000000000005</v>
      </c>
      <c r="AC137">
        <v>38.687199999999997</v>
      </c>
      <c r="AD137">
        <v>62.384900000000002</v>
      </c>
      <c r="AE137">
        <v>0.80830000000000002</v>
      </c>
      <c r="AF137">
        <v>7649.8202000000001</v>
      </c>
      <c r="AG137">
        <v>59.340200000000003</v>
      </c>
      <c r="AH137">
        <v>0.22140000000000001</v>
      </c>
      <c r="AI137">
        <v>86.88</v>
      </c>
      <c r="AJ137">
        <v>54.21</v>
      </c>
      <c r="AK137">
        <v>76.890799999999999</v>
      </c>
      <c r="AL137">
        <v>1.6871</v>
      </c>
      <c r="AM137">
        <v>0.05</v>
      </c>
      <c r="AN137">
        <v>5.0000000000000001E-3</v>
      </c>
      <c r="AO137">
        <v>88.446200000000005</v>
      </c>
      <c r="AP137">
        <v>94.380200000000002</v>
      </c>
      <c r="AQ137">
        <v>93.010300000000001</v>
      </c>
      <c r="AR137">
        <v>90.914699999999996</v>
      </c>
      <c r="AS137">
        <v>84.744200000000006</v>
      </c>
      <c r="AT137">
        <v>83.808800000000005</v>
      </c>
      <c r="AU137">
        <v>79.505099999999999</v>
      </c>
      <c r="AV137">
        <v>2343.498</v>
      </c>
      <c r="AW137">
        <v>6183.0695999999998</v>
      </c>
      <c r="AX137">
        <f t="shared" si="33"/>
        <v>239205.65022911999</v>
      </c>
      <c r="AY137">
        <f t="shared" si="34"/>
        <v>366904.58667792002</v>
      </c>
      <c r="AZ137">
        <f t="shared" si="35"/>
        <v>80752.125589920004</v>
      </c>
      <c r="BA137">
        <f t="shared" si="43"/>
        <v>0</v>
      </c>
      <c r="BB137">
        <f t="shared" si="44"/>
        <v>0</v>
      </c>
      <c r="BC137">
        <f t="shared" si="45"/>
        <v>6183.0695999999998</v>
      </c>
      <c r="BD137">
        <f t="shared" si="46"/>
        <v>0</v>
      </c>
      <c r="BE137">
        <f t="shared" si="47"/>
        <v>0</v>
      </c>
      <c r="BF137">
        <f t="shared" si="48"/>
        <v>0</v>
      </c>
      <c r="BG137">
        <f t="shared" si="36"/>
        <v>2231.4027545400004</v>
      </c>
      <c r="BH137">
        <f t="shared" si="37"/>
        <v>2199.0146198100001</v>
      </c>
      <c r="BI137">
        <f t="shared" si="38"/>
        <v>2149.46897769</v>
      </c>
      <c r="BJ137">
        <f t="shared" si="39"/>
        <v>2003.5816973400003</v>
      </c>
      <c r="BK137">
        <f t="shared" si="40"/>
        <v>1981.4663157600003</v>
      </c>
      <c r="BL137">
        <f t="shared" si="41"/>
        <v>1879.7152277700002</v>
      </c>
    </row>
    <row r="138" spans="1:64">
      <c r="A138" t="str">
        <f t="shared" si="42"/>
        <v>13</v>
      </c>
      <c r="B138" t="s">
        <v>605</v>
      </c>
      <c r="C138" t="s">
        <v>647</v>
      </c>
      <c r="D138">
        <v>66</v>
      </c>
      <c r="E138">
        <v>3</v>
      </c>
      <c r="F138">
        <v>6</v>
      </c>
      <c r="G138">
        <v>2</v>
      </c>
      <c r="H138">
        <v>100</v>
      </c>
      <c r="I138" t="s">
        <v>607</v>
      </c>
      <c r="J138">
        <v>0.42859999999999998</v>
      </c>
      <c r="K138">
        <v>52.533200000000001</v>
      </c>
      <c r="L138">
        <v>5.5199999999999999E-2</v>
      </c>
      <c r="M138">
        <v>1.5767</v>
      </c>
      <c r="N138">
        <v>23.0777</v>
      </c>
      <c r="O138">
        <v>89.705799999999996</v>
      </c>
      <c r="P138">
        <v>260.98039999999997</v>
      </c>
      <c r="Q138">
        <v>217.11429999999999</v>
      </c>
      <c r="R138">
        <v>0.51619999999999999</v>
      </c>
      <c r="S138">
        <v>0.90810000000000002</v>
      </c>
      <c r="T138">
        <v>0</v>
      </c>
      <c r="U138">
        <v>0.1953</v>
      </c>
      <c r="V138">
        <v>0.44600000000000001</v>
      </c>
      <c r="W138">
        <v>12.989100000000001</v>
      </c>
      <c r="X138">
        <v>219.124</v>
      </c>
      <c r="Y138">
        <v>196.57579999999999</v>
      </c>
      <c r="Z138">
        <v>197.6318</v>
      </c>
      <c r="AA138">
        <v>852.09490000000005</v>
      </c>
      <c r="AB138">
        <v>7.6266999999999996</v>
      </c>
      <c r="AC138">
        <v>38.327399999999997</v>
      </c>
      <c r="AD138">
        <v>65.835899999999995</v>
      </c>
      <c r="AE138">
        <v>6.7154999999999996</v>
      </c>
      <c r="AF138">
        <v>7614.1441999999997</v>
      </c>
      <c r="AG138">
        <v>59.296199999999999</v>
      </c>
      <c r="AH138">
        <v>2.0842999999999998</v>
      </c>
      <c r="AI138">
        <v>87.145300000000006</v>
      </c>
      <c r="AJ138">
        <v>55.030099999999997</v>
      </c>
      <c r="AK138">
        <v>77.430499999999995</v>
      </c>
      <c r="AL138">
        <v>1.7418</v>
      </c>
      <c r="AM138">
        <v>0.05</v>
      </c>
      <c r="AN138">
        <v>3.7000000000000002E-3</v>
      </c>
      <c r="AO138">
        <v>88.562700000000007</v>
      </c>
      <c r="AP138">
        <v>94.432299999999998</v>
      </c>
      <c r="AQ138">
        <v>93.066699999999997</v>
      </c>
      <c r="AR138">
        <v>91.032600000000002</v>
      </c>
      <c r="AS138">
        <v>84.912000000000006</v>
      </c>
      <c r="AT138">
        <v>83.982900000000001</v>
      </c>
      <c r="AU138">
        <v>79.789400000000001</v>
      </c>
      <c r="AV138">
        <v>20001.3825</v>
      </c>
      <c r="AW138">
        <v>51132.403899999998</v>
      </c>
      <c r="AX138">
        <f t="shared" si="33"/>
        <v>1959772.0972368598</v>
      </c>
      <c r="AY138">
        <f t="shared" si="34"/>
        <v>3031957.2481351797</v>
      </c>
      <c r="AZ138">
        <f t="shared" si="35"/>
        <v>664163.90749748994</v>
      </c>
      <c r="BA138">
        <f t="shared" si="43"/>
        <v>0</v>
      </c>
      <c r="BB138">
        <f t="shared" si="44"/>
        <v>0</v>
      </c>
      <c r="BC138">
        <f t="shared" si="45"/>
        <v>51132.403899999998</v>
      </c>
      <c r="BD138">
        <f t="shared" si="46"/>
        <v>0</v>
      </c>
      <c r="BE138">
        <f t="shared" si="47"/>
        <v>0</v>
      </c>
      <c r="BF138">
        <f t="shared" si="48"/>
        <v>0</v>
      </c>
      <c r="BG138">
        <f t="shared" si="36"/>
        <v>20692.383305200001</v>
      </c>
      <c r="BH138">
        <f t="shared" si="37"/>
        <v>20393.1475708</v>
      </c>
      <c r="BI138">
        <f t="shared" si="38"/>
        <v>19947.4274424</v>
      </c>
      <c r="BJ138">
        <f t="shared" si="39"/>
        <v>18606.257088000002</v>
      </c>
      <c r="BK138">
        <f t="shared" si="40"/>
        <v>18402.668979599999</v>
      </c>
      <c r="BL138">
        <f t="shared" si="41"/>
        <v>17483.772485599999</v>
      </c>
    </row>
    <row r="139" spans="1:64">
      <c r="A139" t="str">
        <f t="shared" si="42"/>
        <v>13</v>
      </c>
      <c r="B139" t="s">
        <v>605</v>
      </c>
      <c r="C139" t="s">
        <v>648</v>
      </c>
      <c r="D139">
        <v>55</v>
      </c>
      <c r="E139">
        <v>1</v>
      </c>
      <c r="F139">
        <v>6</v>
      </c>
      <c r="G139">
        <v>2</v>
      </c>
      <c r="H139">
        <v>100</v>
      </c>
      <c r="I139" t="s">
        <v>607</v>
      </c>
      <c r="J139">
        <v>0.53290000000000004</v>
      </c>
      <c r="K139">
        <v>67.477500000000006</v>
      </c>
      <c r="L139">
        <v>6.83E-2</v>
      </c>
      <c r="M139">
        <v>2.5177</v>
      </c>
      <c r="N139">
        <v>31.126999999999999</v>
      </c>
      <c r="O139">
        <v>83.412700000000001</v>
      </c>
      <c r="P139">
        <v>378.53969999999998</v>
      </c>
      <c r="Q139">
        <v>258.94510000000002</v>
      </c>
      <c r="R139">
        <v>0.3619</v>
      </c>
      <c r="S139">
        <v>0.95889999999999997</v>
      </c>
      <c r="T139">
        <v>0.26100000000000001</v>
      </c>
      <c r="U139">
        <v>0.23699999999999999</v>
      </c>
      <c r="V139">
        <v>0.68069999999999997</v>
      </c>
      <c r="W139">
        <v>11.582100000000001</v>
      </c>
      <c r="X139">
        <v>158.3965</v>
      </c>
      <c r="Y139">
        <v>137.63550000000001</v>
      </c>
      <c r="Z139">
        <v>137.82820000000001</v>
      </c>
      <c r="AA139">
        <v>440.56439999999998</v>
      </c>
      <c r="AB139">
        <v>9.9471000000000007</v>
      </c>
      <c r="AC139">
        <v>51.678600000000003</v>
      </c>
      <c r="AD139">
        <v>46.0075</v>
      </c>
      <c r="AE139">
        <v>2.4615</v>
      </c>
      <c r="AF139">
        <v>9051.1312999999991</v>
      </c>
      <c r="AG139">
        <v>44.071100000000001</v>
      </c>
      <c r="AH139">
        <v>1.3158000000000001</v>
      </c>
      <c r="AI139">
        <v>83.282700000000006</v>
      </c>
      <c r="AJ139">
        <v>73.2</v>
      </c>
      <c r="AK139">
        <v>71.578100000000006</v>
      </c>
      <c r="AL139">
        <v>1.7705</v>
      </c>
      <c r="AM139">
        <v>0.05</v>
      </c>
      <c r="AN139">
        <v>1.8599999999999998E-2</v>
      </c>
      <c r="AO139">
        <v>86.431799999999996</v>
      </c>
      <c r="AP139">
        <v>92.5929</v>
      </c>
      <c r="AQ139">
        <v>91.505499999999998</v>
      </c>
      <c r="AR139">
        <v>89.374499999999998</v>
      </c>
      <c r="AS139">
        <v>84.295299999999997</v>
      </c>
      <c r="AT139">
        <v>83.459100000000007</v>
      </c>
      <c r="AU139">
        <v>78.994</v>
      </c>
      <c r="AV139">
        <v>10805.046</v>
      </c>
      <c r="AW139">
        <v>22272.255799999999</v>
      </c>
      <c r="AX139">
        <f t="shared" si="33"/>
        <v>1150998.99858588</v>
      </c>
      <c r="AY139">
        <f t="shared" si="34"/>
        <v>981562.81258737994</v>
      </c>
      <c r="AZ139">
        <f t="shared" si="35"/>
        <v>257959.49390117999</v>
      </c>
      <c r="BA139">
        <f t="shared" si="43"/>
        <v>22272.255799999999</v>
      </c>
      <c r="BB139">
        <f t="shared" si="44"/>
        <v>0</v>
      </c>
      <c r="BC139">
        <f t="shared" si="45"/>
        <v>0</v>
      </c>
      <c r="BD139">
        <f t="shared" si="46"/>
        <v>0</v>
      </c>
      <c r="BE139">
        <f t="shared" si="47"/>
        <v>0</v>
      </c>
      <c r="BF139">
        <f t="shared" si="48"/>
        <v>0</v>
      </c>
      <c r="BG139">
        <f t="shared" si="36"/>
        <v>14666.39128485</v>
      </c>
      <c r="BH139">
        <f t="shared" si="37"/>
        <v>14494.15093075</v>
      </c>
      <c r="BI139">
        <f t="shared" si="38"/>
        <v>14156.60798925</v>
      </c>
      <c r="BJ139">
        <f t="shared" si="39"/>
        <v>13352.080486450001</v>
      </c>
      <c r="BK139">
        <f t="shared" si="40"/>
        <v>13219.629333150002</v>
      </c>
      <c r="BL139">
        <f t="shared" si="41"/>
        <v>12512.373121000001</v>
      </c>
    </row>
    <row r="140" spans="1:64">
      <c r="A140" t="str">
        <f t="shared" si="42"/>
        <v>13</v>
      </c>
      <c r="B140" t="s">
        <v>605</v>
      </c>
      <c r="C140" t="s">
        <v>648</v>
      </c>
      <c r="D140">
        <v>66</v>
      </c>
      <c r="E140">
        <v>3</v>
      </c>
      <c r="F140">
        <v>6</v>
      </c>
      <c r="G140">
        <v>2</v>
      </c>
      <c r="H140">
        <v>100</v>
      </c>
      <c r="I140" t="s">
        <v>607</v>
      </c>
      <c r="J140">
        <v>0.47060000000000002</v>
      </c>
      <c r="K140">
        <v>73.499399999999994</v>
      </c>
      <c r="L140">
        <v>7.0099999999999996E-2</v>
      </c>
      <c r="M140">
        <v>2.5049000000000001</v>
      </c>
      <c r="N140">
        <v>26.133800000000001</v>
      </c>
      <c r="O140">
        <v>89.829499999999996</v>
      </c>
      <c r="P140">
        <v>239.52959999999999</v>
      </c>
      <c r="Q140">
        <v>217.49029999999999</v>
      </c>
      <c r="R140">
        <v>0.46429999999999999</v>
      </c>
      <c r="S140">
        <v>1.2031000000000001</v>
      </c>
      <c r="T140">
        <v>0</v>
      </c>
      <c r="U140">
        <v>0.28370000000000001</v>
      </c>
      <c r="V140">
        <v>0.49459999999999998</v>
      </c>
      <c r="W140">
        <v>13.2851</v>
      </c>
      <c r="X140">
        <v>35.723500000000001</v>
      </c>
      <c r="Y140">
        <v>32.090299999999999</v>
      </c>
      <c r="Z140">
        <v>32.654000000000003</v>
      </c>
      <c r="AA140">
        <v>122.7971</v>
      </c>
      <c r="AB140">
        <v>9.5450999999999997</v>
      </c>
      <c r="AC140">
        <v>37.590000000000003</v>
      </c>
      <c r="AD140">
        <v>68.649799999999999</v>
      </c>
      <c r="AE140">
        <v>1.0088999999999999</v>
      </c>
      <c r="AF140">
        <v>7538.9723000000004</v>
      </c>
      <c r="AG140">
        <v>59.273299999999999</v>
      </c>
      <c r="AH140">
        <v>0.443</v>
      </c>
      <c r="AI140">
        <v>88.031300000000002</v>
      </c>
      <c r="AJ140">
        <v>72.873400000000004</v>
      </c>
      <c r="AK140">
        <v>79.236099999999993</v>
      </c>
      <c r="AL140">
        <v>1.7456</v>
      </c>
      <c r="AM140">
        <v>0.05</v>
      </c>
      <c r="AN140">
        <v>0</v>
      </c>
      <c r="AO140">
        <v>88.841099999999997</v>
      </c>
      <c r="AP140">
        <v>94.543599999999998</v>
      </c>
      <c r="AQ140">
        <v>93.235200000000006</v>
      </c>
      <c r="AR140">
        <v>91.296899999999994</v>
      </c>
      <c r="AS140">
        <v>85.350899999999996</v>
      </c>
      <c r="AT140">
        <v>84.430300000000003</v>
      </c>
      <c r="AU140">
        <v>80.204599999999999</v>
      </c>
      <c r="AV140">
        <v>3363.9229999999998</v>
      </c>
      <c r="AW140">
        <v>7605.8297000000002</v>
      </c>
      <c r="AX140">
        <f t="shared" si="33"/>
        <v>285903.13842300005</v>
      </c>
      <c r="AY140">
        <f t="shared" si="34"/>
        <v>450822.62555701</v>
      </c>
      <c r="AZ140">
        <f t="shared" si="35"/>
        <v>101044.20814747</v>
      </c>
      <c r="BA140">
        <f t="shared" si="43"/>
        <v>0</v>
      </c>
      <c r="BB140">
        <f t="shared" si="44"/>
        <v>0</v>
      </c>
      <c r="BC140">
        <f t="shared" si="45"/>
        <v>7605.8297000000002</v>
      </c>
      <c r="BD140">
        <f t="shared" si="46"/>
        <v>0</v>
      </c>
      <c r="BE140">
        <f t="shared" si="47"/>
        <v>0</v>
      </c>
      <c r="BF140">
        <f t="shared" si="48"/>
        <v>0</v>
      </c>
      <c r="BG140">
        <f t="shared" si="36"/>
        <v>3377.4282945999998</v>
      </c>
      <c r="BH140">
        <f t="shared" si="37"/>
        <v>3330.6876672000003</v>
      </c>
      <c r="BI140">
        <f t="shared" si="38"/>
        <v>3261.4448071500001</v>
      </c>
      <c r="BJ140">
        <f t="shared" si="39"/>
        <v>3049.03287615</v>
      </c>
      <c r="BK140">
        <f t="shared" si="40"/>
        <v>3016.1458220500003</v>
      </c>
      <c r="BL140">
        <f t="shared" si="41"/>
        <v>2865.1890281000001</v>
      </c>
    </row>
    <row r="141" spans="1:64">
      <c r="A141" t="str">
        <f t="shared" si="42"/>
        <v>14</v>
      </c>
      <c r="B141" t="s">
        <v>605</v>
      </c>
      <c r="C141" t="s">
        <v>649</v>
      </c>
      <c r="D141">
        <v>66</v>
      </c>
      <c r="E141">
        <v>3</v>
      </c>
      <c r="F141">
        <v>6</v>
      </c>
      <c r="G141">
        <v>2</v>
      </c>
      <c r="H141">
        <v>100</v>
      </c>
      <c r="I141" t="s">
        <v>617</v>
      </c>
      <c r="J141">
        <v>0.38290000000000002</v>
      </c>
      <c r="K141">
        <v>38.270800000000001</v>
      </c>
      <c r="L141">
        <v>5.3199999999999997E-2</v>
      </c>
      <c r="M141">
        <v>1.4156</v>
      </c>
      <c r="N141">
        <v>23.4254</v>
      </c>
      <c r="O141">
        <v>89.733000000000004</v>
      </c>
      <c r="P141">
        <v>286.76650000000001</v>
      </c>
      <c r="Q141">
        <v>212.68790000000001</v>
      </c>
      <c r="R141">
        <v>0.53310000000000002</v>
      </c>
      <c r="S141">
        <v>0.91439999999999999</v>
      </c>
      <c r="T141">
        <v>0</v>
      </c>
      <c r="U141">
        <v>0.2276</v>
      </c>
      <c r="V141">
        <v>0.39529999999999998</v>
      </c>
      <c r="W141">
        <v>12.9857</v>
      </c>
      <c r="X141">
        <v>2.2210000000000001</v>
      </c>
      <c r="Y141">
        <v>1.9928999999999999</v>
      </c>
      <c r="Z141">
        <v>1.9873000000000001</v>
      </c>
      <c r="AA141">
        <v>8.5076999999999998</v>
      </c>
      <c r="AB141">
        <v>7.0129999999999999</v>
      </c>
      <c r="AC141">
        <v>37.290700000000001</v>
      </c>
      <c r="AD141">
        <v>67.919200000000004</v>
      </c>
      <c r="AE141">
        <v>7.7299999999999994E-2</v>
      </c>
      <c r="AF141">
        <v>7501.0717000000004</v>
      </c>
      <c r="AG141">
        <v>59.5381</v>
      </c>
      <c r="AH141">
        <v>1.6799999999999999E-2</v>
      </c>
      <c r="AI141">
        <v>86.382800000000003</v>
      </c>
      <c r="AJ141">
        <v>54.21</v>
      </c>
      <c r="AK141">
        <v>75.8887</v>
      </c>
      <c r="AL141">
        <v>1.9983</v>
      </c>
      <c r="AM141">
        <v>0.05</v>
      </c>
      <c r="AN141">
        <v>5.0000000000000001E-3</v>
      </c>
      <c r="AO141">
        <v>89.095299999999995</v>
      </c>
      <c r="AP141">
        <v>93.909899999999993</v>
      </c>
      <c r="AQ141">
        <v>92.543199999999999</v>
      </c>
      <c r="AR141">
        <v>90.412800000000004</v>
      </c>
      <c r="AS141">
        <v>84.703199999999995</v>
      </c>
      <c r="AT141">
        <v>83.755600000000001</v>
      </c>
      <c r="AU141">
        <v>79.683899999999994</v>
      </c>
      <c r="AV141">
        <v>219.5427</v>
      </c>
      <c r="AW141">
        <v>580.05629999999996</v>
      </c>
      <c r="AX141">
        <f t="shared" si="33"/>
        <v>21630.70546641</v>
      </c>
      <c r="AY141">
        <f t="shared" si="34"/>
        <v>34535.449995030001</v>
      </c>
      <c r="AZ141">
        <f t="shared" si="35"/>
        <v>7532.4370949099994</v>
      </c>
      <c r="BA141">
        <f t="shared" si="43"/>
        <v>0</v>
      </c>
      <c r="BB141">
        <f t="shared" si="44"/>
        <v>0</v>
      </c>
      <c r="BC141">
        <f t="shared" si="45"/>
        <v>580.05629999999996</v>
      </c>
      <c r="BD141">
        <f t="shared" si="46"/>
        <v>0</v>
      </c>
      <c r="BE141">
        <f t="shared" si="47"/>
        <v>0</v>
      </c>
      <c r="BF141">
        <f t="shared" si="48"/>
        <v>0</v>
      </c>
      <c r="BG141">
        <f t="shared" si="36"/>
        <v>208.57388789999999</v>
      </c>
      <c r="BH141">
        <f t="shared" si="37"/>
        <v>205.53844720000001</v>
      </c>
      <c r="BI141">
        <f t="shared" si="38"/>
        <v>200.80682880000001</v>
      </c>
      <c r="BJ141">
        <f t="shared" si="39"/>
        <v>188.1258072</v>
      </c>
      <c r="BK141">
        <f t="shared" si="40"/>
        <v>186.02118760000002</v>
      </c>
      <c r="BL141">
        <f t="shared" si="41"/>
        <v>176.97794189999999</v>
      </c>
    </row>
    <row r="142" spans="1:64">
      <c r="A142" t="str">
        <f t="shared" si="42"/>
        <v>14</v>
      </c>
      <c r="B142" t="s">
        <v>605</v>
      </c>
      <c r="C142" t="s">
        <v>649</v>
      </c>
      <c r="D142">
        <v>66</v>
      </c>
      <c r="E142">
        <v>3</v>
      </c>
      <c r="F142">
        <v>6</v>
      </c>
      <c r="G142">
        <v>2</v>
      </c>
      <c r="H142">
        <v>100</v>
      </c>
      <c r="I142" t="s">
        <v>607</v>
      </c>
      <c r="J142">
        <v>0.42330000000000001</v>
      </c>
      <c r="K142">
        <v>50.987400000000001</v>
      </c>
      <c r="L142">
        <v>5.74E-2</v>
      </c>
      <c r="M142">
        <v>1.6460999999999999</v>
      </c>
      <c r="N142">
        <v>23.656199999999998</v>
      </c>
      <c r="O142">
        <v>89.691800000000001</v>
      </c>
      <c r="P142">
        <v>274.73399999999998</v>
      </c>
      <c r="Q142">
        <v>216.5617</v>
      </c>
      <c r="R142">
        <v>0.51749999999999996</v>
      </c>
      <c r="S142">
        <v>0.88849999999999996</v>
      </c>
      <c r="T142">
        <v>1.6400000000000001E-2</v>
      </c>
      <c r="U142">
        <v>0.20849999999999999</v>
      </c>
      <c r="V142">
        <v>0.44030000000000002</v>
      </c>
      <c r="W142">
        <v>13.1167</v>
      </c>
      <c r="X142">
        <v>250.14070000000001</v>
      </c>
      <c r="Y142">
        <v>224.3665</v>
      </c>
      <c r="Z142">
        <v>225.4076</v>
      </c>
      <c r="AA142">
        <v>949.59259999999995</v>
      </c>
      <c r="AB142">
        <v>10.286799999999999</v>
      </c>
      <c r="AC142">
        <v>37.852200000000003</v>
      </c>
      <c r="AD142">
        <v>65.310100000000006</v>
      </c>
      <c r="AE142">
        <v>7.8140999999999998</v>
      </c>
      <c r="AF142">
        <v>7562.0267000000003</v>
      </c>
      <c r="AG142">
        <v>59.419400000000003</v>
      </c>
      <c r="AH142">
        <v>2.3359000000000001</v>
      </c>
      <c r="AI142">
        <v>87.030500000000004</v>
      </c>
      <c r="AJ142">
        <v>56.392499999999998</v>
      </c>
      <c r="AK142">
        <v>77.200100000000006</v>
      </c>
      <c r="AL142">
        <v>1.6678999999999999</v>
      </c>
      <c r="AM142">
        <v>0.05</v>
      </c>
      <c r="AN142">
        <v>3.3E-3</v>
      </c>
      <c r="AO142">
        <v>88.811899999999994</v>
      </c>
      <c r="AP142">
        <v>94.2239</v>
      </c>
      <c r="AQ142">
        <v>92.878200000000007</v>
      </c>
      <c r="AR142">
        <v>90.796400000000006</v>
      </c>
      <c r="AS142">
        <v>84.917500000000004</v>
      </c>
      <c r="AT142">
        <v>83.980900000000005</v>
      </c>
      <c r="AU142">
        <v>79.771699999999996</v>
      </c>
      <c r="AV142">
        <v>22520.295399999999</v>
      </c>
      <c r="AW142">
        <v>59088.239399999999</v>
      </c>
      <c r="AX142">
        <f t="shared" si="33"/>
        <v>2236619.8554166802</v>
      </c>
      <c r="AY142">
        <f t="shared" si="34"/>
        <v>3510987.73220436</v>
      </c>
      <c r="AZ142">
        <f t="shared" si="35"/>
        <v>775042.70973797992</v>
      </c>
      <c r="BA142">
        <f t="shared" si="43"/>
        <v>0</v>
      </c>
      <c r="BB142">
        <f t="shared" si="44"/>
        <v>0</v>
      </c>
      <c r="BC142">
        <f t="shared" si="45"/>
        <v>59088.239399999999</v>
      </c>
      <c r="BD142">
        <f t="shared" si="46"/>
        <v>0</v>
      </c>
      <c r="BE142">
        <f t="shared" si="47"/>
        <v>0</v>
      </c>
      <c r="BF142">
        <f t="shared" si="48"/>
        <v>0</v>
      </c>
      <c r="BG142">
        <f t="shared" si="36"/>
        <v>23569.232302730001</v>
      </c>
      <c r="BH142">
        <f t="shared" si="37"/>
        <v>23232.617962740002</v>
      </c>
      <c r="BI142">
        <f t="shared" si="38"/>
        <v>22711.875053480002</v>
      </c>
      <c r="BJ142">
        <f t="shared" si="39"/>
        <v>21241.322892250002</v>
      </c>
      <c r="BK142">
        <f t="shared" si="40"/>
        <v>21007.041112630002</v>
      </c>
      <c r="BL142">
        <f t="shared" si="41"/>
        <v>19954.148878190001</v>
      </c>
    </row>
    <row r="143" spans="1:64">
      <c r="A143" t="str">
        <f t="shared" si="42"/>
        <v>14</v>
      </c>
      <c r="B143" t="s">
        <v>605</v>
      </c>
      <c r="C143" t="s">
        <v>650</v>
      </c>
      <c r="D143">
        <v>55</v>
      </c>
      <c r="E143">
        <v>1</v>
      </c>
      <c r="F143">
        <v>6</v>
      </c>
      <c r="G143">
        <v>2</v>
      </c>
      <c r="H143">
        <v>100</v>
      </c>
      <c r="I143" t="s">
        <v>607</v>
      </c>
      <c r="J143">
        <v>0.51539999999999997</v>
      </c>
      <c r="K143">
        <v>74.129000000000005</v>
      </c>
      <c r="L143">
        <v>8.2600000000000007E-2</v>
      </c>
      <c r="M143">
        <v>2.8231000000000002</v>
      </c>
      <c r="N143">
        <v>30.0609</v>
      </c>
      <c r="O143">
        <v>86.269400000000005</v>
      </c>
      <c r="P143">
        <v>385.89440000000002</v>
      </c>
      <c r="Q143">
        <v>255.13380000000001</v>
      </c>
      <c r="R143">
        <v>0.37519999999999998</v>
      </c>
      <c r="S143">
        <v>0.88970000000000005</v>
      </c>
      <c r="T143">
        <v>0.16869999999999999</v>
      </c>
      <c r="U143">
        <v>0.249</v>
      </c>
      <c r="V143">
        <v>0.61660000000000004</v>
      </c>
      <c r="W143">
        <v>11.491199999999999</v>
      </c>
      <c r="X143">
        <v>151.39449999999999</v>
      </c>
      <c r="Y143">
        <v>132.47200000000001</v>
      </c>
      <c r="Z143">
        <v>134.0213</v>
      </c>
      <c r="AA143">
        <v>439.892</v>
      </c>
      <c r="AB143">
        <v>30.9331</v>
      </c>
      <c r="AC143">
        <v>51.0212</v>
      </c>
      <c r="AD143">
        <v>44.411299999999997</v>
      </c>
      <c r="AE143">
        <v>2.6294</v>
      </c>
      <c r="AF143">
        <v>9028.3664000000008</v>
      </c>
      <c r="AG143">
        <v>45.454000000000001</v>
      </c>
      <c r="AH143">
        <v>1.6246</v>
      </c>
      <c r="AI143">
        <v>84.987099999999998</v>
      </c>
      <c r="AJ143">
        <v>73.2</v>
      </c>
      <c r="AK143">
        <v>74.326700000000002</v>
      </c>
      <c r="AL143">
        <v>1.6577999999999999</v>
      </c>
      <c r="AM143">
        <v>0.05</v>
      </c>
      <c r="AN143">
        <v>1.77E-2</v>
      </c>
      <c r="AO143">
        <v>86.571299999999994</v>
      </c>
      <c r="AP143">
        <v>92.775400000000005</v>
      </c>
      <c r="AQ143">
        <v>91.627399999999994</v>
      </c>
      <c r="AR143">
        <v>89.384600000000006</v>
      </c>
      <c r="AS143">
        <v>84.360500000000002</v>
      </c>
      <c r="AT143">
        <v>83.575699999999998</v>
      </c>
      <c r="AU143">
        <v>79.0244</v>
      </c>
      <c r="AV143">
        <v>11471.3575</v>
      </c>
      <c r="AW143">
        <v>23730.2111</v>
      </c>
      <c r="AX143">
        <f t="shared" si="33"/>
        <v>1210743.84657532</v>
      </c>
      <c r="AY143">
        <f t="shared" si="34"/>
        <v>1078633.0153393999</v>
      </c>
      <c r="AZ143">
        <f t="shared" si="35"/>
        <v>272688.60179231997</v>
      </c>
      <c r="BA143">
        <f t="shared" si="43"/>
        <v>23730.2111</v>
      </c>
      <c r="BB143">
        <f t="shared" si="44"/>
        <v>0</v>
      </c>
      <c r="BC143">
        <f t="shared" si="45"/>
        <v>0</v>
      </c>
      <c r="BD143">
        <f t="shared" si="46"/>
        <v>0</v>
      </c>
      <c r="BE143">
        <f t="shared" si="47"/>
        <v>0</v>
      </c>
      <c r="BF143">
        <f t="shared" si="48"/>
        <v>0</v>
      </c>
      <c r="BG143">
        <f t="shared" si="36"/>
        <v>14045.6852953</v>
      </c>
      <c r="BH143">
        <f t="shared" si="37"/>
        <v>13871.884409299999</v>
      </c>
      <c r="BI143">
        <f t="shared" si="38"/>
        <v>13532.3368247</v>
      </c>
      <c r="BJ143">
        <f t="shared" si="39"/>
        <v>12771.715717249999</v>
      </c>
      <c r="BK143">
        <f t="shared" si="40"/>
        <v>12652.90131365</v>
      </c>
      <c r="BL143">
        <f t="shared" si="41"/>
        <v>11963.859525799999</v>
      </c>
    </row>
    <row r="144" spans="1:64">
      <c r="A144" t="str">
        <f t="shared" si="42"/>
        <v>14</v>
      </c>
      <c r="B144" t="s">
        <v>605</v>
      </c>
      <c r="C144" t="s">
        <v>650</v>
      </c>
      <c r="D144">
        <v>66</v>
      </c>
      <c r="E144">
        <v>3</v>
      </c>
      <c r="F144">
        <v>6</v>
      </c>
      <c r="G144">
        <v>2</v>
      </c>
      <c r="H144">
        <v>100</v>
      </c>
      <c r="I144" t="s">
        <v>607</v>
      </c>
      <c r="J144">
        <v>0.4622</v>
      </c>
      <c r="K144">
        <v>77.952299999999994</v>
      </c>
      <c r="L144">
        <v>8.0199999999999994E-2</v>
      </c>
      <c r="M144">
        <v>2.5005999999999999</v>
      </c>
      <c r="N144">
        <v>27.5656</v>
      </c>
      <c r="O144">
        <v>89.885099999999994</v>
      </c>
      <c r="P144">
        <v>266.3569</v>
      </c>
      <c r="Q144">
        <v>216.96600000000001</v>
      </c>
      <c r="R144">
        <v>0.47160000000000002</v>
      </c>
      <c r="S144">
        <v>0.89749999999999996</v>
      </c>
      <c r="T144">
        <v>0.13289999999999999</v>
      </c>
      <c r="U144">
        <v>0.22189999999999999</v>
      </c>
      <c r="V144">
        <v>0.4884</v>
      </c>
      <c r="W144">
        <v>13.3559</v>
      </c>
      <c r="X144">
        <v>25.4711</v>
      </c>
      <c r="Y144">
        <v>22.8947</v>
      </c>
      <c r="Z144">
        <v>23.395499999999998</v>
      </c>
      <c r="AA144">
        <v>83.120500000000007</v>
      </c>
      <c r="AB144">
        <v>13.505699999999999</v>
      </c>
      <c r="AC144">
        <v>37.285299999999999</v>
      </c>
      <c r="AD144">
        <v>67.985299999999995</v>
      </c>
      <c r="AE144">
        <v>0.73480000000000001</v>
      </c>
      <c r="AF144">
        <v>7504.7003000000004</v>
      </c>
      <c r="AG144">
        <v>59.378900000000002</v>
      </c>
      <c r="AH144">
        <v>0.34200000000000003</v>
      </c>
      <c r="AI144">
        <v>88.183400000000006</v>
      </c>
      <c r="AJ144">
        <v>73.2</v>
      </c>
      <c r="AK144">
        <v>79.548400000000001</v>
      </c>
      <c r="AL144">
        <v>1.6069</v>
      </c>
      <c r="AM144">
        <v>0.05</v>
      </c>
      <c r="AN144">
        <v>0</v>
      </c>
      <c r="AO144">
        <v>89.017799999999994</v>
      </c>
      <c r="AP144">
        <v>94.438199999999995</v>
      </c>
      <c r="AQ144">
        <v>93.166300000000007</v>
      </c>
      <c r="AR144">
        <v>91.226399999999998</v>
      </c>
      <c r="AS144">
        <v>85.538499999999999</v>
      </c>
      <c r="AT144">
        <v>84.613299999999995</v>
      </c>
      <c r="AU144">
        <v>80.441100000000006</v>
      </c>
      <c r="AV144">
        <v>2299.078</v>
      </c>
      <c r="AW144">
        <v>5514.5481</v>
      </c>
      <c r="AX144">
        <f t="shared" si="33"/>
        <v>205611.58027293</v>
      </c>
      <c r="AY144">
        <f t="shared" si="34"/>
        <v>327447.80017509003</v>
      </c>
      <c r="AZ144">
        <f t="shared" si="35"/>
        <v>73651.752968789995</v>
      </c>
      <c r="BA144">
        <f t="shared" si="43"/>
        <v>0</v>
      </c>
      <c r="BB144">
        <f t="shared" si="44"/>
        <v>0</v>
      </c>
      <c r="BC144">
        <f t="shared" si="45"/>
        <v>5514.5481</v>
      </c>
      <c r="BD144">
        <f t="shared" si="46"/>
        <v>0</v>
      </c>
      <c r="BE144">
        <f t="shared" si="47"/>
        <v>0</v>
      </c>
      <c r="BF144">
        <f t="shared" si="48"/>
        <v>0</v>
      </c>
      <c r="BG144">
        <f t="shared" si="36"/>
        <v>2405.4448360199999</v>
      </c>
      <c r="BH144">
        <f t="shared" si="37"/>
        <v>2373.0481439300002</v>
      </c>
      <c r="BI144">
        <f t="shared" si="38"/>
        <v>2323.6367570399998</v>
      </c>
      <c r="BJ144">
        <f t="shared" si="39"/>
        <v>2178.7596873500001</v>
      </c>
      <c r="BK144">
        <f t="shared" si="40"/>
        <v>2155.19382563</v>
      </c>
      <c r="BL144">
        <f t="shared" si="41"/>
        <v>2048.9233022100002</v>
      </c>
    </row>
    <row r="145" spans="1:64">
      <c r="A145" t="str">
        <f t="shared" si="42"/>
        <v>15</v>
      </c>
      <c r="B145" t="s">
        <v>605</v>
      </c>
      <c r="C145" t="s">
        <v>651</v>
      </c>
      <c r="D145">
        <v>6</v>
      </c>
      <c r="E145">
        <v>4</v>
      </c>
      <c r="F145">
        <v>6</v>
      </c>
      <c r="G145">
        <v>2</v>
      </c>
      <c r="H145">
        <v>100</v>
      </c>
      <c r="I145" t="s">
        <v>607</v>
      </c>
      <c r="J145">
        <v>0.64700000000000002</v>
      </c>
      <c r="K145">
        <v>127.12439999999999</v>
      </c>
      <c r="L145">
        <v>0.12130000000000001</v>
      </c>
      <c r="M145">
        <v>2.9489000000000001</v>
      </c>
      <c r="N145">
        <v>35.739899999999999</v>
      </c>
      <c r="O145">
        <v>90.277600000000007</v>
      </c>
      <c r="P145">
        <v>277.96519999999998</v>
      </c>
      <c r="Q145">
        <v>194.47120000000001</v>
      </c>
      <c r="R145">
        <v>2.8500000000000001E-2</v>
      </c>
      <c r="S145">
        <v>0.73150000000000004</v>
      </c>
      <c r="T145">
        <v>5.0633885898799998E-5</v>
      </c>
      <c r="U145">
        <v>0.66449999999999998</v>
      </c>
      <c r="V145">
        <v>0.75209999999999999</v>
      </c>
      <c r="W145">
        <v>13.1896</v>
      </c>
      <c r="X145">
        <v>565.91099999999994</v>
      </c>
      <c r="Y145">
        <v>515.80669999999998</v>
      </c>
      <c r="Z145">
        <v>528.61749999999995</v>
      </c>
      <c r="AA145">
        <v>1465.0183999999999</v>
      </c>
      <c r="AB145">
        <v>38.537500000000001</v>
      </c>
      <c r="AC145">
        <v>35.313800000000001</v>
      </c>
      <c r="AD145">
        <v>79.748199999999997</v>
      </c>
      <c r="AE145">
        <v>10.3507</v>
      </c>
      <c r="AF145">
        <v>6570.6707999999999</v>
      </c>
      <c r="AG145">
        <v>96.935299999999998</v>
      </c>
      <c r="AH145">
        <v>8.1059999999999999</v>
      </c>
      <c r="AI145">
        <v>89.572999999999993</v>
      </c>
      <c r="AJ145">
        <v>79.7346</v>
      </c>
      <c r="AK145">
        <v>80.848399999999998</v>
      </c>
      <c r="AL145">
        <v>1.1085</v>
      </c>
      <c r="AM145">
        <v>1.7713000000000001</v>
      </c>
      <c r="AN145">
        <v>1.35E-2</v>
      </c>
      <c r="AO145">
        <v>103.9085</v>
      </c>
      <c r="AP145">
        <v>94.343800000000002</v>
      </c>
      <c r="AQ145">
        <v>93.770700000000005</v>
      </c>
      <c r="AR145">
        <v>92.1614</v>
      </c>
      <c r="AS145">
        <v>88.391099999999994</v>
      </c>
      <c r="AT145">
        <v>87.731099999999998</v>
      </c>
      <c r="AU145">
        <v>83.799000000000007</v>
      </c>
      <c r="AV145">
        <v>30079.8469</v>
      </c>
      <c r="AW145">
        <v>67994.684800000003</v>
      </c>
      <c r="AX145">
        <f t="shared" ref="AX145:AX208" si="49">+AC145*AW145</f>
        <v>2401150.7000902402</v>
      </c>
      <c r="AY145">
        <f t="shared" ref="AY145:AY208" si="50">+AG145*AW145</f>
        <v>6591085.1694934405</v>
      </c>
      <c r="AZ145">
        <f t="shared" ref="AZ145:AZ208" si="51">+W145*AW145</f>
        <v>896822.69463808008</v>
      </c>
      <c r="BA145">
        <f t="shared" si="43"/>
        <v>0</v>
      </c>
      <c r="BB145">
        <f t="shared" si="44"/>
        <v>0</v>
      </c>
      <c r="BC145">
        <f t="shared" si="45"/>
        <v>67994.684800000003</v>
      </c>
      <c r="BD145">
        <f t="shared" si="46"/>
        <v>0</v>
      </c>
      <c r="BE145">
        <f t="shared" si="47"/>
        <v>0</v>
      </c>
      <c r="BF145">
        <f t="shared" si="48"/>
        <v>0</v>
      </c>
      <c r="BG145">
        <f t="shared" ref="BG145:BG208" si="52">+$X145*AP145</f>
        <v>53390.194201799997</v>
      </c>
      <c r="BH145">
        <f t="shared" ref="BH145:BH208" si="53">+$X145*AQ145</f>
        <v>53065.870607699995</v>
      </c>
      <c r="BI145">
        <f t="shared" ref="BI145:BI208" si="54">+$X145*AR145</f>
        <v>52155.150035399995</v>
      </c>
      <c r="BJ145">
        <f t="shared" ref="BJ145:BJ208" si="55">+$X145*AS145</f>
        <v>50021.495792099995</v>
      </c>
      <c r="BK145">
        <f t="shared" ref="BK145:BK208" si="56">+$X145*AT145</f>
        <v>49647.99453209999</v>
      </c>
      <c r="BL145">
        <f t="shared" ref="BL145:BL208" si="57">+$X145*AU145</f>
        <v>47422.775888999997</v>
      </c>
    </row>
    <row r="146" spans="1:64">
      <c r="A146" t="str">
        <f t="shared" si="42"/>
        <v>16</v>
      </c>
      <c r="B146" t="s">
        <v>605</v>
      </c>
      <c r="C146" t="s">
        <v>652</v>
      </c>
      <c r="D146">
        <v>6</v>
      </c>
      <c r="E146">
        <v>4</v>
      </c>
      <c r="F146">
        <v>6</v>
      </c>
      <c r="G146">
        <v>2</v>
      </c>
      <c r="H146">
        <v>100</v>
      </c>
      <c r="I146" t="s">
        <v>607</v>
      </c>
      <c r="J146">
        <v>0.59950000000000003</v>
      </c>
      <c r="K146">
        <v>102.53100000000001</v>
      </c>
      <c r="L146">
        <v>8.8999999999999996E-2</v>
      </c>
      <c r="M146">
        <v>2.5470999999999999</v>
      </c>
      <c r="N146">
        <v>35.571599999999997</v>
      </c>
      <c r="O146">
        <v>90.204099999999997</v>
      </c>
      <c r="P146">
        <v>277.25279999999998</v>
      </c>
      <c r="Q146">
        <v>192.4341</v>
      </c>
      <c r="R146">
        <v>3.5099999999999999E-2</v>
      </c>
      <c r="S146">
        <v>0.64870000000000005</v>
      </c>
      <c r="T146">
        <v>5.9206909050020001E-5</v>
      </c>
      <c r="U146">
        <v>0.5958</v>
      </c>
      <c r="V146">
        <v>0.63939999999999997</v>
      </c>
      <c r="W146">
        <v>12.7902</v>
      </c>
      <c r="X146">
        <v>443.67309999999998</v>
      </c>
      <c r="Y146">
        <v>401.11099999999999</v>
      </c>
      <c r="Z146">
        <v>403.86810000000003</v>
      </c>
      <c r="AA146">
        <v>1134.9163000000001</v>
      </c>
      <c r="AB146">
        <v>18.316099999999999</v>
      </c>
      <c r="AC146">
        <v>36.4268</v>
      </c>
      <c r="AD146">
        <v>78.681299999999993</v>
      </c>
      <c r="AE146">
        <v>10.2226</v>
      </c>
      <c r="AF146">
        <v>6640.6720999999998</v>
      </c>
      <c r="AG146">
        <v>96.285600000000002</v>
      </c>
      <c r="AH146">
        <v>4.4112</v>
      </c>
      <c r="AI146">
        <v>88.347399999999993</v>
      </c>
      <c r="AJ146">
        <v>79.981499999999997</v>
      </c>
      <c r="AK146">
        <v>78.541300000000007</v>
      </c>
      <c r="AL146">
        <v>1.1003000000000001</v>
      </c>
      <c r="AM146">
        <v>1.802</v>
      </c>
      <c r="AN146">
        <v>8.2000000000000007E-3</v>
      </c>
      <c r="AO146">
        <v>106.2668</v>
      </c>
      <c r="AP146">
        <v>93.535799999999995</v>
      </c>
      <c r="AQ146">
        <v>92.520099999999999</v>
      </c>
      <c r="AR146">
        <v>89.6798</v>
      </c>
      <c r="AS146">
        <v>84.202399999999997</v>
      </c>
      <c r="AT146">
        <v>83.479100000000003</v>
      </c>
      <c r="AU146">
        <v>78.497699999999995</v>
      </c>
      <c r="AV146">
        <v>27288.775000000001</v>
      </c>
      <c r="AW146">
        <v>67864.332500000004</v>
      </c>
      <c r="AX146">
        <f t="shared" si="49"/>
        <v>2472080.4671110003</v>
      </c>
      <c r="AY146">
        <f t="shared" si="50"/>
        <v>6534357.9733620007</v>
      </c>
      <c r="AZ146">
        <f t="shared" si="51"/>
        <v>867998.38554150006</v>
      </c>
      <c r="BA146">
        <f t="shared" si="43"/>
        <v>0</v>
      </c>
      <c r="BB146">
        <f t="shared" si="44"/>
        <v>0</v>
      </c>
      <c r="BC146">
        <f t="shared" si="45"/>
        <v>67864.332500000004</v>
      </c>
      <c r="BD146">
        <f t="shared" si="46"/>
        <v>0</v>
      </c>
      <c r="BE146">
        <f t="shared" si="47"/>
        <v>0</v>
      </c>
      <c r="BF146">
        <f t="shared" si="48"/>
        <v>0</v>
      </c>
      <c r="BG146">
        <f t="shared" si="52"/>
        <v>41499.318346979999</v>
      </c>
      <c r="BH146">
        <f t="shared" si="53"/>
        <v>41048.679579309995</v>
      </c>
      <c r="BI146">
        <f t="shared" si="54"/>
        <v>39788.514873380002</v>
      </c>
      <c r="BJ146">
        <f t="shared" si="55"/>
        <v>37358.339835439998</v>
      </c>
      <c r="BK146">
        <f t="shared" si="56"/>
        <v>37037.431082210001</v>
      </c>
      <c r="BL146">
        <f t="shared" si="57"/>
        <v>34827.317901869996</v>
      </c>
    </row>
    <row r="147" spans="1:64">
      <c r="A147" t="str">
        <f t="shared" si="42"/>
        <v>17</v>
      </c>
      <c r="B147" t="s">
        <v>605</v>
      </c>
      <c r="C147" t="s">
        <v>653</v>
      </c>
      <c r="D147">
        <v>6</v>
      </c>
      <c r="E147">
        <v>4</v>
      </c>
      <c r="F147">
        <v>6</v>
      </c>
      <c r="G147">
        <v>2</v>
      </c>
      <c r="H147">
        <v>100</v>
      </c>
      <c r="I147" t="s">
        <v>607</v>
      </c>
      <c r="J147">
        <v>0.58420000000000005</v>
      </c>
      <c r="K147">
        <v>91.916200000000003</v>
      </c>
      <c r="L147">
        <v>5.9700000000000003E-2</v>
      </c>
      <c r="M147">
        <v>2.0838000000000001</v>
      </c>
      <c r="N147">
        <v>35.1922</v>
      </c>
      <c r="O147">
        <v>88.982600000000005</v>
      </c>
      <c r="P147">
        <v>283.58229999999998</v>
      </c>
      <c r="Q147">
        <v>190.00739999999999</v>
      </c>
      <c r="R147">
        <v>3.9199999999999999E-2</v>
      </c>
      <c r="S147">
        <v>0.66990000000000005</v>
      </c>
      <c r="T147">
        <v>0</v>
      </c>
      <c r="U147">
        <v>0.55720000000000003</v>
      </c>
      <c r="V147">
        <v>0.59870000000000001</v>
      </c>
      <c r="W147">
        <v>12.4217</v>
      </c>
      <c r="X147">
        <v>427.15929999999997</v>
      </c>
      <c r="Y147">
        <v>380.12450000000001</v>
      </c>
      <c r="Z147">
        <v>384.6866</v>
      </c>
      <c r="AA147">
        <v>1080.0999999999999</v>
      </c>
      <c r="AB147">
        <v>7.5473999999999997</v>
      </c>
      <c r="AC147">
        <v>37.128900000000002</v>
      </c>
      <c r="AD147">
        <v>80.151399999999995</v>
      </c>
      <c r="AE147">
        <v>11.1754</v>
      </c>
      <c r="AF147">
        <v>6690.8499000000002</v>
      </c>
      <c r="AG147">
        <v>95.882499999999993</v>
      </c>
      <c r="AH147">
        <v>4.6924000000000001</v>
      </c>
      <c r="AI147">
        <v>88.195300000000003</v>
      </c>
      <c r="AJ147">
        <v>73.662000000000006</v>
      </c>
      <c r="AK147">
        <v>79.573899999999995</v>
      </c>
      <c r="AL147">
        <v>1.1180000000000001</v>
      </c>
      <c r="AM147">
        <v>1.8874</v>
      </c>
      <c r="AN147">
        <v>7.9000000000000008E-3</v>
      </c>
      <c r="AO147">
        <v>107.4011</v>
      </c>
      <c r="AP147">
        <v>92.505899999999997</v>
      </c>
      <c r="AQ147">
        <v>90.834299999999999</v>
      </c>
      <c r="AR147">
        <v>86.589799999999997</v>
      </c>
      <c r="AS147">
        <v>78.4756</v>
      </c>
      <c r="AT147">
        <v>77.589200000000005</v>
      </c>
      <c r="AU147">
        <v>71.383799999999994</v>
      </c>
      <c r="AV147">
        <v>28304.9378</v>
      </c>
      <c r="AW147">
        <v>74741.530199999994</v>
      </c>
      <c r="AX147">
        <f t="shared" si="49"/>
        <v>2775070.80064278</v>
      </c>
      <c r="AY147">
        <f t="shared" si="50"/>
        <v>7166404.7694014991</v>
      </c>
      <c r="AZ147">
        <f t="shared" si="51"/>
        <v>928416.8656853399</v>
      </c>
      <c r="BA147">
        <f t="shared" si="43"/>
        <v>0</v>
      </c>
      <c r="BB147">
        <f t="shared" si="44"/>
        <v>0</v>
      </c>
      <c r="BC147">
        <f t="shared" si="45"/>
        <v>74741.530199999994</v>
      </c>
      <c r="BD147">
        <f t="shared" si="46"/>
        <v>0</v>
      </c>
      <c r="BE147">
        <f t="shared" si="47"/>
        <v>0</v>
      </c>
      <c r="BF147">
        <f t="shared" si="48"/>
        <v>0</v>
      </c>
      <c r="BG147">
        <f t="shared" si="52"/>
        <v>39514.755489869996</v>
      </c>
      <c r="BH147">
        <f t="shared" si="53"/>
        <v>38800.716003989997</v>
      </c>
      <c r="BI147">
        <f t="shared" si="54"/>
        <v>36987.638355139999</v>
      </c>
      <c r="BJ147">
        <f t="shared" si="55"/>
        <v>33521.582363080001</v>
      </c>
      <c r="BK147">
        <f t="shared" si="56"/>
        <v>33142.948359560003</v>
      </c>
      <c r="BL147">
        <f t="shared" si="57"/>
        <v>30492.254039339994</v>
      </c>
    </row>
    <row r="148" spans="1:64">
      <c r="A148" t="str">
        <f t="shared" si="42"/>
        <v>18</v>
      </c>
      <c r="B148" t="s">
        <v>605</v>
      </c>
      <c r="C148" t="s">
        <v>654</v>
      </c>
      <c r="D148">
        <v>6</v>
      </c>
      <c r="E148">
        <v>4</v>
      </c>
      <c r="F148">
        <v>6</v>
      </c>
      <c r="G148">
        <v>2</v>
      </c>
      <c r="H148">
        <v>100</v>
      </c>
      <c r="I148" t="s">
        <v>607</v>
      </c>
      <c r="J148">
        <v>0.57430000000000003</v>
      </c>
      <c r="K148">
        <v>125.61199999999999</v>
      </c>
      <c r="L148">
        <v>0.06</v>
      </c>
      <c r="M148">
        <v>2.0154999999999998</v>
      </c>
      <c r="N148">
        <v>35.033999999999999</v>
      </c>
      <c r="O148">
        <v>88.529399999999995</v>
      </c>
      <c r="P148">
        <v>274.59350000000001</v>
      </c>
      <c r="Q148">
        <v>192.93199999999999</v>
      </c>
      <c r="R148">
        <v>3.7199999999999997E-2</v>
      </c>
      <c r="S148">
        <v>0.71579999999999999</v>
      </c>
      <c r="T148">
        <v>0</v>
      </c>
      <c r="U148">
        <v>0.5383</v>
      </c>
      <c r="V148">
        <v>0.63280000000000003</v>
      </c>
      <c r="W148">
        <v>12.5106</v>
      </c>
      <c r="X148">
        <v>454.45080000000002</v>
      </c>
      <c r="Y148">
        <v>402.33539999999999</v>
      </c>
      <c r="Z148">
        <v>415.62569999999999</v>
      </c>
      <c r="AA148">
        <v>1148.3150000000001</v>
      </c>
      <c r="AB148">
        <v>9.4315999999999995</v>
      </c>
      <c r="AC148">
        <v>37.5991</v>
      </c>
      <c r="AD148">
        <v>81.834699999999998</v>
      </c>
      <c r="AE148">
        <v>11.388299999999999</v>
      </c>
      <c r="AF148">
        <v>6740.6364000000003</v>
      </c>
      <c r="AG148">
        <v>95.661699999999996</v>
      </c>
      <c r="AH148">
        <v>7.1889000000000003</v>
      </c>
      <c r="AI148">
        <v>89.116299999999995</v>
      </c>
      <c r="AJ148">
        <v>73.2</v>
      </c>
      <c r="AK148">
        <v>81.480800000000002</v>
      </c>
      <c r="AL148">
        <v>1.1314</v>
      </c>
      <c r="AM148">
        <v>1.8797999999999999</v>
      </c>
      <c r="AN148">
        <v>6.3E-3</v>
      </c>
      <c r="AO148">
        <v>107.0894</v>
      </c>
      <c r="AP148">
        <v>92.689800000000005</v>
      </c>
      <c r="AQ148">
        <v>90.720500000000001</v>
      </c>
      <c r="AR148">
        <v>86.332099999999997</v>
      </c>
      <c r="AS148">
        <v>77.045000000000002</v>
      </c>
      <c r="AT148">
        <v>76.077399999999997</v>
      </c>
      <c r="AU148">
        <v>69.348799999999997</v>
      </c>
      <c r="AV148">
        <v>29043.125599999999</v>
      </c>
      <c r="AW148">
        <v>76744.797600000005</v>
      </c>
      <c r="AX148">
        <f t="shared" si="49"/>
        <v>2885535.3194421604</v>
      </c>
      <c r="AY148">
        <f t="shared" si="50"/>
        <v>7341537.8045719201</v>
      </c>
      <c r="AZ148">
        <f t="shared" si="51"/>
        <v>960123.46485456009</v>
      </c>
      <c r="BA148">
        <f t="shared" si="43"/>
        <v>0</v>
      </c>
      <c r="BB148">
        <f t="shared" si="44"/>
        <v>0</v>
      </c>
      <c r="BC148">
        <f t="shared" si="45"/>
        <v>76744.797600000005</v>
      </c>
      <c r="BD148">
        <f t="shared" si="46"/>
        <v>0</v>
      </c>
      <c r="BE148">
        <f t="shared" si="47"/>
        <v>0</v>
      </c>
      <c r="BF148">
        <f t="shared" si="48"/>
        <v>0</v>
      </c>
      <c r="BG148">
        <f t="shared" si="52"/>
        <v>42122.953761840006</v>
      </c>
      <c r="BH148">
        <f t="shared" si="53"/>
        <v>41228.003801400002</v>
      </c>
      <c r="BI148">
        <f t="shared" si="54"/>
        <v>39233.691910679998</v>
      </c>
      <c r="BJ148">
        <f t="shared" si="55"/>
        <v>35013.161886000002</v>
      </c>
      <c r="BK148">
        <f t="shared" si="56"/>
        <v>34573.435291920003</v>
      </c>
      <c r="BL148">
        <f t="shared" si="57"/>
        <v>31515.61763904</v>
      </c>
    </row>
    <row r="149" spans="1:64">
      <c r="A149" t="str">
        <f t="shared" si="42"/>
        <v>19</v>
      </c>
      <c r="B149" t="s">
        <v>605</v>
      </c>
      <c r="C149" t="s">
        <v>655</v>
      </c>
      <c r="D149">
        <v>6</v>
      </c>
      <c r="E149">
        <v>4</v>
      </c>
      <c r="F149">
        <v>6</v>
      </c>
      <c r="G149">
        <v>2</v>
      </c>
      <c r="H149">
        <v>100</v>
      </c>
      <c r="I149" t="s">
        <v>607</v>
      </c>
      <c r="J149">
        <v>0.7026</v>
      </c>
      <c r="K149">
        <v>259.79059999999998</v>
      </c>
      <c r="L149">
        <v>5.1999999999999998E-2</v>
      </c>
      <c r="M149">
        <v>2.0977999999999999</v>
      </c>
      <c r="N149">
        <v>35.1783</v>
      </c>
      <c r="O149">
        <v>88.808599999999998</v>
      </c>
      <c r="P149">
        <v>234.95930000000001</v>
      </c>
      <c r="Q149">
        <v>193.35069999999999</v>
      </c>
      <c r="R149">
        <v>3.3700000000000001E-2</v>
      </c>
      <c r="S149">
        <v>0.85819999999999996</v>
      </c>
      <c r="T149">
        <v>0</v>
      </c>
      <c r="U149">
        <v>0.63439999999999996</v>
      </c>
      <c r="V149">
        <v>0.81169999999999998</v>
      </c>
      <c r="W149">
        <v>12.688700000000001</v>
      </c>
      <c r="X149">
        <v>528.62199999999996</v>
      </c>
      <c r="Y149">
        <v>469.43639999999999</v>
      </c>
      <c r="Z149">
        <v>515.42700000000002</v>
      </c>
      <c r="AA149">
        <v>1334.1210000000001</v>
      </c>
      <c r="AB149">
        <v>13.194800000000001</v>
      </c>
      <c r="AC149">
        <v>37.230400000000003</v>
      </c>
      <c r="AD149">
        <v>82.633899999999997</v>
      </c>
      <c r="AE149">
        <v>11.0199</v>
      </c>
      <c r="AF149">
        <v>6704.8059999999996</v>
      </c>
      <c r="AG149">
        <v>95.684299999999993</v>
      </c>
      <c r="AH149">
        <v>16.393999999999998</v>
      </c>
      <c r="AI149">
        <v>90.997299999999996</v>
      </c>
      <c r="AJ149">
        <v>73.2</v>
      </c>
      <c r="AK149">
        <v>85.450999999999993</v>
      </c>
      <c r="AL149">
        <v>1.1569</v>
      </c>
      <c r="AM149">
        <v>1.9113</v>
      </c>
      <c r="AN149">
        <v>9.4000000000000004E-3</v>
      </c>
      <c r="AO149">
        <v>107.2436</v>
      </c>
      <c r="AP149">
        <v>93.246799999999993</v>
      </c>
      <c r="AQ149">
        <v>91.3613</v>
      </c>
      <c r="AR149">
        <v>87.081299999999999</v>
      </c>
      <c r="AS149">
        <v>78.000900000000001</v>
      </c>
      <c r="AT149">
        <v>76.979500000000002</v>
      </c>
      <c r="AU149">
        <v>70.158900000000003</v>
      </c>
      <c r="AV149">
        <v>27959.953799999999</v>
      </c>
      <c r="AW149">
        <v>73876.185200000007</v>
      </c>
      <c r="AX149">
        <f t="shared" si="49"/>
        <v>2750439.9254700807</v>
      </c>
      <c r="AY149">
        <f t="shared" si="50"/>
        <v>7068791.0675323606</v>
      </c>
      <c r="AZ149">
        <f t="shared" si="51"/>
        <v>937392.75114724017</v>
      </c>
      <c r="BA149">
        <f t="shared" si="43"/>
        <v>0</v>
      </c>
      <c r="BB149">
        <f t="shared" si="44"/>
        <v>0</v>
      </c>
      <c r="BC149">
        <f t="shared" si="45"/>
        <v>73876.185200000007</v>
      </c>
      <c r="BD149">
        <f t="shared" si="46"/>
        <v>0</v>
      </c>
      <c r="BE149">
        <f t="shared" si="47"/>
        <v>0</v>
      </c>
      <c r="BF149">
        <f t="shared" si="48"/>
        <v>0</v>
      </c>
      <c r="BG149">
        <f t="shared" si="52"/>
        <v>49292.309909599993</v>
      </c>
      <c r="BH149">
        <f t="shared" si="53"/>
        <v>48295.593128599998</v>
      </c>
      <c r="BI149">
        <f t="shared" si="54"/>
        <v>46033.090968599994</v>
      </c>
      <c r="BJ149">
        <f t="shared" si="55"/>
        <v>41232.991759799996</v>
      </c>
      <c r="BK149">
        <f t="shared" si="56"/>
        <v>40693.057248999998</v>
      </c>
      <c r="BL149">
        <f t="shared" si="57"/>
        <v>37087.538035799997</v>
      </c>
    </row>
    <row r="150" spans="1:64">
      <c r="A150" t="str">
        <f t="shared" si="42"/>
        <v>20</v>
      </c>
      <c r="B150" t="s">
        <v>605</v>
      </c>
      <c r="C150" t="s">
        <v>656</v>
      </c>
      <c r="D150">
        <v>6</v>
      </c>
      <c r="E150">
        <v>4</v>
      </c>
      <c r="F150">
        <v>6</v>
      </c>
      <c r="G150">
        <v>2</v>
      </c>
      <c r="H150">
        <v>100</v>
      </c>
      <c r="I150" t="s">
        <v>607</v>
      </c>
      <c r="J150">
        <v>0.74729999999999996</v>
      </c>
      <c r="K150">
        <v>359.21080000000001</v>
      </c>
      <c r="L150">
        <v>5.28E-2</v>
      </c>
      <c r="M150">
        <v>2.1886999999999999</v>
      </c>
      <c r="N150">
        <v>35.102400000000003</v>
      </c>
      <c r="O150">
        <v>89.211200000000005</v>
      </c>
      <c r="P150">
        <v>213.16739999999999</v>
      </c>
      <c r="Q150">
        <v>190.65549999999999</v>
      </c>
      <c r="R150">
        <v>3.1600000000000003E-2</v>
      </c>
      <c r="S150">
        <v>0.97829999999999995</v>
      </c>
      <c r="T150">
        <v>0</v>
      </c>
      <c r="U150">
        <v>0.66779999999999995</v>
      </c>
      <c r="V150">
        <v>0.88480000000000003</v>
      </c>
      <c r="W150">
        <v>12.710100000000001</v>
      </c>
      <c r="X150">
        <v>454.20319999999998</v>
      </c>
      <c r="Y150">
        <v>405.09030000000001</v>
      </c>
      <c r="Z150">
        <v>463.90410000000003</v>
      </c>
      <c r="AA150">
        <v>1153.8005000000001</v>
      </c>
      <c r="AB150">
        <v>9.6856000000000009</v>
      </c>
      <c r="AC150">
        <v>36.515700000000002</v>
      </c>
      <c r="AD150">
        <v>86.233800000000002</v>
      </c>
      <c r="AE150">
        <v>9.1470000000000002</v>
      </c>
      <c r="AF150">
        <v>6634.3549999999996</v>
      </c>
      <c r="AG150">
        <v>95.753200000000007</v>
      </c>
      <c r="AH150">
        <v>19.170400000000001</v>
      </c>
      <c r="AI150">
        <v>91.904600000000002</v>
      </c>
      <c r="AJ150">
        <v>73.2</v>
      </c>
      <c r="AK150">
        <v>87.390799999999999</v>
      </c>
      <c r="AL150">
        <v>1.1938</v>
      </c>
      <c r="AM150">
        <v>1.9902</v>
      </c>
      <c r="AN150">
        <v>5.8999999999999999E-3</v>
      </c>
      <c r="AO150">
        <v>107.57210000000001</v>
      </c>
      <c r="AP150">
        <v>93.496399999999994</v>
      </c>
      <c r="AQ150">
        <v>91.792699999999996</v>
      </c>
      <c r="AR150">
        <v>87.506600000000006</v>
      </c>
      <c r="AS150">
        <v>78.945700000000002</v>
      </c>
      <c r="AT150">
        <v>77.887200000000007</v>
      </c>
      <c r="AU150">
        <v>71.427999999999997</v>
      </c>
      <c r="AV150">
        <v>23085.9866</v>
      </c>
      <c r="AW150">
        <v>60682.0625</v>
      </c>
      <c r="AX150">
        <f t="shared" si="49"/>
        <v>2215847.98963125</v>
      </c>
      <c r="AY150">
        <f t="shared" si="50"/>
        <v>5810501.6669750009</v>
      </c>
      <c r="AZ150">
        <f t="shared" si="51"/>
        <v>771275.08258125</v>
      </c>
      <c r="BA150">
        <f t="shared" si="43"/>
        <v>0</v>
      </c>
      <c r="BB150">
        <f t="shared" si="44"/>
        <v>0</v>
      </c>
      <c r="BC150">
        <f t="shared" si="45"/>
        <v>60682.0625</v>
      </c>
      <c r="BD150">
        <f t="shared" si="46"/>
        <v>0</v>
      </c>
      <c r="BE150">
        <f t="shared" si="47"/>
        <v>0</v>
      </c>
      <c r="BF150">
        <f t="shared" si="48"/>
        <v>0</v>
      </c>
      <c r="BG150">
        <f t="shared" si="52"/>
        <v>42466.364068479998</v>
      </c>
      <c r="BH150">
        <f t="shared" si="53"/>
        <v>41692.538076639998</v>
      </c>
      <c r="BI150">
        <f t="shared" si="54"/>
        <v>39745.77774112</v>
      </c>
      <c r="BJ150">
        <f t="shared" si="55"/>
        <v>35857.389566240003</v>
      </c>
      <c r="BK150">
        <f t="shared" si="56"/>
        <v>35376.615479040003</v>
      </c>
      <c r="BL150">
        <f t="shared" si="57"/>
        <v>32442.826169599997</v>
      </c>
    </row>
    <row r="151" spans="1:64">
      <c r="A151" t="str">
        <f t="shared" si="42"/>
        <v>15</v>
      </c>
      <c r="B151" t="s">
        <v>605</v>
      </c>
      <c r="C151" t="s">
        <v>657</v>
      </c>
      <c r="D151">
        <v>55</v>
      </c>
      <c r="E151">
        <v>1</v>
      </c>
      <c r="F151">
        <v>6</v>
      </c>
      <c r="G151">
        <v>2</v>
      </c>
      <c r="H151">
        <v>100</v>
      </c>
      <c r="I151" t="s">
        <v>607</v>
      </c>
      <c r="J151">
        <v>0.48280000000000001</v>
      </c>
      <c r="K151">
        <v>196.63030000000001</v>
      </c>
      <c r="L151">
        <v>3.2099999999999997E-2</v>
      </c>
      <c r="M151">
        <v>0.58460000000000001</v>
      </c>
      <c r="N151">
        <v>35.119500000000002</v>
      </c>
      <c r="O151">
        <v>88.214699999999993</v>
      </c>
      <c r="P151">
        <v>360.26100000000002</v>
      </c>
      <c r="Q151">
        <v>232.4598</v>
      </c>
      <c r="R151">
        <v>3.85E-2</v>
      </c>
      <c r="S151">
        <v>1.0029999999999999</v>
      </c>
      <c r="T151">
        <v>0.16350000000000001</v>
      </c>
      <c r="U151">
        <v>4.4600000000000001E-2</v>
      </c>
      <c r="V151">
        <v>0.44090000000000001</v>
      </c>
      <c r="W151">
        <v>11.046799999999999</v>
      </c>
      <c r="X151">
        <v>6.0632000000000001</v>
      </c>
      <c r="Y151">
        <v>5.3487</v>
      </c>
      <c r="Z151">
        <v>5.8387000000000002</v>
      </c>
      <c r="AA151">
        <v>15.229799999999999</v>
      </c>
      <c r="AB151">
        <v>238.36490000000001</v>
      </c>
      <c r="AC151">
        <v>50.103999999999999</v>
      </c>
      <c r="AD151">
        <v>54.645800000000001</v>
      </c>
      <c r="AE151">
        <v>0.1817</v>
      </c>
      <c r="AF151">
        <v>8536.0120000000006</v>
      </c>
      <c r="AG151">
        <v>64.442700000000002</v>
      </c>
      <c r="AH151">
        <v>0.1779</v>
      </c>
      <c r="AI151">
        <v>89.645700000000005</v>
      </c>
      <c r="AJ151">
        <v>73.2</v>
      </c>
      <c r="AK151">
        <v>82.582700000000003</v>
      </c>
      <c r="AL151">
        <v>1.4393</v>
      </c>
      <c r="AM151">
        <v>0.05</v>
      </c>
      <c r="AN151">
        <v>5.0000000000000001E-3</v>
      </c>
      <c r="AO151">
        <v>92.870999999999995</v>
      </c>
      <c r="AP151">
        <v>94.190700000000007</v>
      </c>
      <c r="AQ151">
        <v>92.077100000000002</v>
      </c>
      <c r="AR151">
        <v>89.912000000000006</v>
      </c>
      <c r="AS151">
        <v>82.620800000000003</v>
      </c>
      <c r="AT151">
        <v>80.778300000000002</v>
      </c>
      <c r="AU151">
        <v>75.240099999999998</v>
      </c>
      <c r="AV151">
        <v>607.45979999999997</v>
      </c>
      <c r="AW151">
        <v>1550.9060999999999</v>
      </c>
      <c r="AX151">
        <f t="shared" si="49"/>
        <v>77706.599234399997</v>
      </c>
      <c r="AY151">
        <f t="shared" si="50"/>
        <v>99944.576530470003</v>
      </c>
      <c r="AZ151">
        <f t="shared" si="51"/>
        <v>17132.549505479998</v>
      </c>
      <c r="BA151">
        <f t="shared" si="43"/>
        <v>1550.9060999999999</v>
      </c>
      <c r="BB151">
        <f t="shared" si="44"/>
        <v>0</v>
      </c>
      <c r="BC151">
        <f t="shared" si="45"/>
        <v>0</v>
      </c>
      <c r="BD151">
        <f t="shared" si="46"/>
        <v>0</v>
      </c>
      <c r="BE151">
        <f t="shared" si="47"/>
        <v>0</v>
      </c>
      <c r="BF151">
        <f t="shared" si="48"/>
        <v>0</v>
      </c>
      <c r="BG151">
        <f t="shared" si="52"/>
        <v>571.09705224000004</v>
      </c>
      <c r="BH151">
        <f t="shared" si="53"/>
        <v>558.28187272000002</v>
      </c>
      <c r="BI151">
        <f t="shared" si="54"/>
        <v>545.1544384</v>
      </c>
      <c r="BJ151">
        <f t="shared" si="55"/>
        <v>500.94643456</v>
      </c>
      <c r="BK151">
        <f t="shared" si="56"/>
        <v>489.77498856</v>
      </c>
      <c r="BL151">
        <f t="shared" si="57"/>
        <v>456.19577432</v>
      </c>
    </row>
    <row r="152" spans="1:64">
      <c r="A152" t="str">
        <f t="shared" si="42"/>
        <v>15</v>
      </c>
      <c r="B152" t="s">
        <v>605</v>
      </c>
      <c r="C152" t="s">
        <v>657</v>
      </c>
      <c r="D152">
        <v>66</v>
      </c>
      <c r="E152">
        <v>3</v>
      </c>
      <c r="F152">
        <v>6</v>
      </c>
      <c r="G152">
        <v>2</v>
      </c>
      <c r="H152">
        <v>100</v>
      </c>
      <c r="I152" t="s">
        <v>607</v>
      </c>
      <c r="J152">
        <v>0.39400000000000002</v>
      </c>
      <c r="K152">
        <v>280.74860000000001</v>
      </c>
      <c r="L152">
        <v>3.2099999999999997E-2</v>
      </c>
      <c r="M152">
        <v>0.58460000000000001</v>
      </c>
      <c r="N152">
        <v>34.773499999999999</v>
      </c>
      <c r="O152">
        <v>89.602699999999999</v>
      </c>
      <c r="P152">
        <v>366.4676</v>
      </c>
      <c r="Q152">
        <v>222.6223</v>
      </c>
      <c r="R152">
        <v>3.7699999999999997E-2</v>
      </c>
      <c r="S152">
        <v>0.74970000000000003</v>
      </c>
      <c r="T152">
        <v>0.1191</v>
      </c>
      <c r="U152">
        <v>3.8199999999999998E-2</v>
      </c>
      <c r="V152">
        <v>0.44769999999999999</v>
      </c>
      <c r="W152">
        <v>12.5709</v>
      </c>
      <c r="X152">
        <v>8.2796000000000003</v>
      </c>
      <c r="Y152">
        <v>7.4187000000000003</v>
      </c>
      <c r="Z152">
        <v>9.3831000000000007</v>
      </c>
      <c r="AA152">
        <v>21.334399999999999</v>
      </c>
      <c r="AB152">
        <v>123.6508</v>
      </c>
      <c r="AC152">
        <v>41.683199999999999</v>
      </c>
      <c r="AD152">
        <v>76.623199999999997</v>
      </c>
      <c r="AE152">
        <v>0.30880000000000002</v>
      </c>
      <c r="AF152">
        <v>7801.5029000000004</v>
      </c>
      <c r="AG152">
        <v>65.025700000000001</v>
      </c>
      <c r="AH152">
        <v>0.58409999999999995</v>
      </c>
      <c r="AI152">
        <v>91.427800000000005</v>
      </c>
      <c r="AJ152">
        <v>73.2</v>
      </c>
      <c r="AK152">
        <v>86.356499999999997</v>
      </c>
      <c r="AL152">
        <v>1.4387000000000001</v>
      </c>
      <c r="AM152">
        <v>0.05</v>
      </c>
      <c r="AN152">
        <v>5.0000000000000001E-3</v>
      </c>
      <c r="AO152">
        <v>90.243200000000002</v>
      </c>
      <c r="AP152">
        <v>94.585800000000006</v>
      </c>
      <c r="AQ152">
        <v>93.093800000000002</v>
      </c>
      <c r="AR152">
        <v>90.692499999999995</v>
      </c>
      <c r="AS152">
        <v>85.571899999999999</v>
      </c>
      <c r="AT152">
        <v>84.802000000000007</v>
      </c>
      <c r="AU152">
        <v>79.829300000000003</v>
      </c>
      <c r="AV152">
        <v>954.54560000000004</v>
      </c>
      <c r="AW152">
        <v>2409.2138</v>
      </c>
      <c r="AX152">
        <f t="shared" si="49"/>
        <v>100423.74066816</v>
      </c>
      <c r="AY152">
        <f t="shared" si="50"/>
        <v>156660.81379466</v>
      </c>
      <c r="AZ152">
        <f t="shared" si="51"/>
        <v>30285.98575842</v>
      </c>
      <c r="BA152">
        <f t="shared" si="43"/>
        <v>0</v>
      </c>
      <c r="BB152">
        <f t="shared" si="44"/>
        <v>0</v>
      </c>
      <c r="BC152">
        <f t="shared" si="45"/>
        <v>2409.2138</v>
      </c>
      <c r="BD152">
        <f t="shared" si="46"/>
        <v>0</v>
      </c>
      <c r="BE152">
        <f t="shared" si="47"/>
        <v>0</v>
      </c>
      <c r="BF152">
        <f t="shared" si="48"/>
        <v>0</v>
      </c>
      <c r="BG152">
        <f t="shared" si="52"/>
        <v>783.13258968000002</v>
      </c>
      <c r="BH152">
        <f t="shared" si="53"/>
        <v>770.7794264800001</v>
      </c>
      <c r="BI152">
        <f t="shared" si="54"/>
        <v>750.89762299999995</v>
      </c>
      <c r="BJ152">
        <f t="shared" si="55"/>
        <v>708.50110324000002</v>
      </c>
      <c r="BK152">
        <f t="shared" si="56"/>
        <v>702.12663920000011</v>
      </c>
      <c r="BL152">
        <f t="shared" si="57"/>
        <v>660.95467228000007</v>
      </c>
    </row>
    <row r="153" spans="1:64">
      <c r="A153" t="str">
        <f t="shared" si="42"/>
        <v>15</v>
      </c>
      <c r="B153" t="s">
        <v>605</v>
      </c>
      <c r="C153" t="s">
        <v>657</v>
      </c>
      <c r="D153">
        <v>66</v>
      </c>
      <c r="E153">
        <v>3</v>
      </c>
      <c r="F153">
        <v>6</v>
      </c>
      <c r="G153">
        <v>2</v>
      </c>
      <c r="H153">
        <v>200</v>
      </c>
      <c r="I153" t="s">
        <v>609</v>
      </c>
      <c r="J153">
        <v>0.33090000000000003</v>
      </c>
      <c r="K153">
        <v>148.8605</v>
      </c>
      <c r="L153">
        <v>3.6999999999999998E-2</v>
      </c>
      <c r="M153">
        <v>0.91979999999999995</v>
      </c>
      <c r="N153">
        <v>33.9146</v>
      </c>
      <c r="O153">
        <v>90.048100000000005</v>
      </c>
      <c r="P153">
        <v>351.20819999999998</v>
      </c>
      <c r="Q153">
        <v>212.25880000000001</v>
      </c>
      <c r="R153">
        <v>3.6600000000000001E-2</v>
      </c>
      <c r="S153">
        <v>0.69289999999999996</v>
      </c>
      <c r="T153">
        <v>8.5699999999999998E-2</v>
      </c>
      <c r="U153">
        <v>3.6299999999999999E-2</v>
      </c>
      <c r="V153">
        <v>0.38369999999999999</v>
      </c>
      <c r="W153">
        <v>12.5442</v>
      </c>
      <c r="X153">
        <v>25.271100000000001</v>
      </c>
      <c r="Y153">
        <v>22.7563</v>
      </c>
      <c r="Z153">
        <v>25.5503</v>
      </c>
      <c r="AA153">
        <v>67.094999999999999</v>
      </c>
      <c r="AB153">
        <v>6.4828000000000001</v>
      </c>
      <c r="AC153">
        <v>40.398800000000001</v>
      </c>
      <c r="AD153">
        <v>80.686199999999999</v>
      </c>
      <c r="AE153">
        <v>1.0302</v>
      </c>
      <c r="AF153">
        <v>7412.0380999999998</v>
      </c>
      <c r="AG153">
        <v>75.975999999999999</v>
      </c>
      <c r="AH153">
        <v>0.94299999999999995</v>
      </c>
      <c r="AI153">
        <v>89.818799999999996</v>
      </c>
      <c r="AJ153">
        <v>73.2</v>
      </c>
      <c r="AK153">
        <v>82.945800000000006</v>
      </c>
      <c r="AL153">
        <v>1.3043</v>
      </c>
      <c r="AM153">
        <v>0.05</v>
      </c>
      <c r="AN153">
        <v>5.0000000000000001E-3</v>
      </c>
      <c r="AO153">
        <v>96.163200000000003</v>
      </c>
      <c r="AP153">
        <v>94.746099999999998</v>
      </c>
      <c r="AQ153">
        <v>93.244399999999999</v>
      </c>
      <c r="AR153">
        <v>90.944299999999998</v>
      </c>
      <c r="AS153">
        <v>85.715699999999998</v>
      </c>
      <c r="AT153">
        <v>84.862399999999994</v>
      </c>
      <c r="AU153">
        <v>80.018100000000004</v>
      </c>
      <c r="AV153">
        <v>3052.4461000000001</v>
      </c>
      <c r="AW153">
        <v>7636.1911</v>
      </c>
      <c r="AX153">
        <f t="shared" si="49"/>
        <v>308492.95701067999</v>
      </c>
      <c r="AY153">
        <f t="shared" si="50"/>
        <v>580167.25501359999</v>
      </c>
      <c r="AZ153">
        <f t="shared" si="51"/>
        <v>95789.908396619998</v>
      </c>
      <c r="BA153">
        <f t="shared" si="43"/>
        <v>0</v>
      </c>
      <c r="BB153">
        <f t="shared" si="44"/>
        <v>0</v>
      </c>
      <c r="BC153">
        <f t="shared" si="45"/>
        <v>7636.1911</v>
      </c>
      <c r="BD153">
        <f t="shared" si="46"/>
        <v>0</v>
      </c>
      <c r="BE153">
        <f t="shared" si="47"/>
        <v>0</v>
      </c>
      <c r="BF153">
        <f t="shared" si="48"/>
        <v>0</v>
      </c>
      <c r="BG153">
        <f t="shared" si="52"/>
        <v>2394.3381677100001</v>
      </c>
      <c r="BH153">
        <f t="shared" si="53"/>
        <v>2356.3885568400001</v>
      </c>
      <c r="BI153">
        <f t="shared" si="54"/>
        <v>2298.2624997299999</v>
      </c>
      <c r="BJ153">
        <f t="shared" si="55"/>
        <v>2166.1300262700001</v>
      </c>
      <c r="BK153">
        <f t="shared" si="56"/>
        <v>2144.5661966399998</v>
      </c>
      <c r="BL153">
        <f t="shared" si="57"/>
        <v>2022.1454069100002</v>
      </c>
    </row>
    <row r="154" spans="1:64">
      <c r="A154" t="str">
        <f t="shared" si="42"/>
        <v>15</v>
      </c>
      <c r="B154" t="s">
        <v>605</v>
      </c>
      <c r="C154" t="s">
        <v>657</v>
      </c>
      <c r="D154">
        <v>66</v>
      </c>
      <c r="E154">
        <v>3</v>
      </c>
      <c r="F154">
        <v>6</v>
      </c>
      <c r="G154">
        <v>2</v>
      </c>
      <c r="H154">
        <v>200</v>
      </c>
      <c r="I154" t="s">
        <v>617</v>
      </c>
      <c r="J154">
        <v>0.37990000000000002</v>
      </c>
      <c r="K154">
        <v>163.86680000000001</v>
      </c>
      <c r="L154">
        <v>3.6900000000000002E-2</v>
      </c>
      <c r="M154">
        <v>0.92159999999999997</v>
      </c>
      <c r="N154">
        <v>34.718499999999999</v>
      </c>
      <c r="O154">
        <v>89.941599999999994</v>
      </c>
      <c r="P154">
        <v>343.69909999999999</v>
      </c>
      <c r="Q154">
        <v>215.98859999999999</v>
      </c>
      <c r="R154">
        <v>3.4599999999999999E-2</v>
      </c>
      <c r="S154">
        <v>0.7177</v>
      </c>
      <c r="T154">
        <v>9.3799999999999994E-2</v>
      </c>
      <c r="U154">
        <v>0.1019</v>
      </c>
      <c r="V154">
        <v>0.40510000000000002</v>
      </c>
      <c r="W154">
        <v>12.8268</v>
      </c>
      <c r="X154">
        <v>14.268700000000001</v>
      </c>
      <c r="Y154">
        <v>12.8338</v>
      </c>
      <c r="Z154">
        <v>14.4649</v>
      </c>
      <c r="AA154">
        <v>36.965699999999998</v>
      </c>
      <c r="AB154">
        <v>56.947299999999998</v>
      </c>
      <c r="AC154">
        <v>40.113500000000002</v>
      </c>
      <c r="AD154">
        <v>81.898300000000006</v>
      </c>
      <c r="AE154">
        <v>0.54910000000000003</v>
      </c>
      <c r="AF154">
        <v>7467.0676000000003</v>
      </c>
      <c r="AG154">
        <v>72.508799999999994</v>
      </c>
      <c r="AH154">
        <v>0.5464</v>
      </c>
      <c r="AI154">
        <v>90.002399999999994</v>
      </c>
      <c r="AJ154">
        <v>73.2</v>
      </c>
      <c r="AK154">
        <v>83.331599999999995</v>
      </c>
      <c r="AL154">
        <v>1.2518</v>
      </c>
      <c r="AM154">
        <v>0.05</v>
      </c>
      <c r="AN154">
        <v>5.0000000000000001E-3</v>
      </c>
      <c r="AO154">
        <v>94.525400000000005</v>
      </c>
      <c r="AP154">
        <v>94.809399999999997</v>
      </c>
      <c r="AQ154">
        <v>93.3001</v>
      </c>
      <c r="AR154">
        <v>91.028899999999993</v>
      </c>
      <c r="AS154">
        <v>85.769599999999997</v>
      </c>
      <c r="AT154">
        <v>84.889099999999999</v>
      </c>
      <c r="AU154">
        <v>80.069699999999997</v>
      </c>
      <c r="AV154">
        <v>1641.8258000000001</v>
      </c>
      <c r="AW154">
        <v>4098.4812000000002</v>
      </c>
      <c r="AX154">
        <f t="shared" si="49"/>
        <v>164404.42561620002</v>
      </c>
      <c r="AY154">
        <f t="shared" si="50"/>
        <v>297175.95363455999</v>
      </c>
      <c r="AZ154">
        <f t="shared" si="51"/>
        <v>52570.398656160003</v>
      </c>
      <c r="BA154">
        <f t="shared" si="43"/>
        <v>0</v>
      </c>
      <c r="BB154">
        <f t="shared" si="44"/>
        <v>0</v>
      </c>
      <c r="BC154">
        <f t="shared" si="45"/>
        <v>4098.4812000000002</v>
      </c>
      <c r="BD154">
        <f t="shared" si="46"/>
        <v>0</v>
      </c>
      <c r="BE154">
        <f t="shared" si="47"/>
        <v>0</v>
      </c>
      <c r="BF154">
        <f t="shared" si="48"/>
        <v>0</v>
      </c>
      <c r="BG154">
        <f t="shared" si="52"/>
        <v>1352.8068857800001</v>
      </c>
      <c r="BH154">
        <f t="shared" si="53"/>
        <v>1331.2711368700002</v>
      </c>
      <c r="BI154">
        <f t="shared" si="54"/>
        <v>1298.86406543</v>
      </c>
      <c r="BJ154">
        <f t="shared" si="55"/>
        <v>1223.8206915200001</v>
      </c>
      <c r="BK154">
        <f t="shared" si="56"/>
        <v>1211.2571011700002</v>
      </c>
      <c r="BL154">
        <f t="shared" si="57"/>
        <v>1142.49052839</v>
      </c>
    </row>
    <row r="155" spans="1:64">
      <c r="A155" t="str">
        <f t="shared" si="42"/>
        <v>15</v>
      </c>
      <c r="B155" t="s">
        <v>605</v>
      </c>
      <c r="C155" t="s">
        <v>657</v>
      </c>
      <c r="D155">
        <v>66</v>
      </c>
      <c r="E155">
        <v>3</v>
      </c>
      <c r="F155">
        <v>6</v>
      </c>
      <c r="G155">
        <v>2</v>
      </c>
      <c r="H155">
        <v>200</v>
      </c>
      <c r="I155" t="s">
        <v>607</v>
      </c>
      <c r="J155">
        <v>0.38600000000000001</v>
      </c>
      <c r="K155">
        <v>175.64859999999999</v>
      </c>
      <c r="L155">
        <v>3.6900000000000002E-2</v>
      </c>
      <c r="M155">
        <v>0.87790000000000001</v>
      </c>
      <c r="N155">
        <v>34.253700000000002</v>
      </c>
      <c r="O155">
        <v>90.032799999999995</v>
      </c>
      <c r="P155">
        <v>348.25029999999998</v>
      </c>
      <c r="Q155">
        <v>213.40029999999999</v>
      </c>
      <c r="R155">
        <v>3.6200000000000003E-2</v>
      </c>
      <c r="S155">
        <v>0.73370000000000002</v>
      </c>
      <c r="T155">
        <v>0.09</v>
      </c>
      <c r="U155">
        <v>7.0400000000000004E-2</v>
      </c>
      <c r="V155">
        <v>0.43780000000000002</v>
      </c>
      <c r="W155">
        <v>12.696899999999999</v>
      </c>
      <c r="X155">
        <v>56.298200000000001</v>
      </c>
      <c r="Y155">
        <v>50.693300000000001</v>
      </c>
      <c r="Z155">
        <v>57.375599999999999</v>
      </c>
      <c r="AA155">
        <v>148.00909999999999</v>
      </c>
      <c r="AB155">
        <v>50.664099999999998</v>
      </c>
      <c r="AC155">
        <v>39.869999999999997</v>
      </c>
      <c r="AD155">
        <v>81.797300000000007</v>
      </c>
      <c r="AE155">
        <v>2.0215000000000001</v>
      </c>
      <c r="AF155">
        <v>7438.2435999999998</v>
      </c>
      <c r="AG155">
        <v>72.712199999999996</v>
      </c>
      <c r="AH155">
        <v>2.2210000000000001</v>
      </c>
      <c r="AI155">
        <v>90.153599999999997</v>
      </c>
      <c r="AJ155">
        <v>73.2</v>
      </c>
      <c r="AK155">
        <v>83.655500000000004</v>
      </c>
      <c r="AL155">
        <v>1.3109999999999999</v>
      </c>
      <c r="AM155">
        <v>0.05</v>
      </c>
      <c r="AN155">
        <v>5.0000000000000001E-3</v>
      </c>
      <c r="AO155">
        <v>94.722099999999998</v>
      </c>
      <c r="AP155">
        <v>94.8035</v>
      </c>
      <c r="AQ155">
        <v>93.292100000000005</v>
      </c>
      <c r="AR155">
        <v>91.025000000000006</v>
      </c>
      <c r="AS155">
        <v>85.766499999999994</v>
      </c>
      <c r="AT155">
        <v>84.885099999999994</v>
      </c>
      <c r="AU155">
        <v>80.066199999999995</v>
      </c>
      <c r="AV155">
        <v>6022.1688999999997</v>
      </c>
      <c r="AW155">
        <v>15027.1446</v>
      </c>
      <c r="AX155">
        <f t="shared" si="49"/>
        <v>599132.25520199991</v>
      </c>
      <c r="AY155">
        <f t="shared" si="50"/>
        <v>1092656.7435841199</v>
      </c>
      <c r="AZ155">
        <f t="shared" si="51"/>
        <v>190798.15227173999</v>
      </c>
      <c r="BA155">
        <f t="shared" si="43"/>
        <v>0</v>
      </c>
      <c r="BB155">
        <f t="shared" si="44"/>
        <v>0</v>
      </c>
      <c r="BC155">
        <f t="shared" si="45"/>
        <v>15027.1446</v>
      </c>
      <c r="BD155">
        <f t="shared" si="46"/>
        <v>0</v>
      </c>
      <c r="BE155">
        <f t="shared" si="47"/>
        <v>0</v>
      </c>
      <c r="BF155">
        <f t="shared" si="48"/>
        <v>0</v>
      </c>
      <c r="BG155">
        <f t="shared" si="52"/>
        <v>5337.2664037000004</v>
      </c>
      <c r="BH155">
        <f t="shared" si="53"/>
        <v>5252.1773042200002</v>
      </c>
      <c r="BI155">
        <f t="shared" si="54"/>
        <v>5124.5436550000004</v>
      </c>
      <c r="BJ155">
        <f t="shared" si="55"/>
        <v>4828.4995702999995</v>
      </c>
      <c r="BK155">
        <f t="shared" si="56"/>
        <v>4778.8783368200002</v>
      </c>
      <c r="BL155">
        <f t="shared" si="57"/>
        <v>4507.5829408399995</v>
      </c>
    </row>
    <row r="156" spans="1:64">
      <c r="A156" t="str">
        <f t="shared" si="42"/>
        <v>16</v>
      </c>
      <c r="B156" t="s">
        <v>605</v>
      </c>
      <c r="C156" t="s">
        <v>658</v>
      </c>
      <c r="D156">
        <v>55</v>
      </c>
      <c r="E156">
        <v>1</v>
      </c>
      <c r="F156">
        <v>6</v>
      </c>
      <c r="G156">
        <v>2</v>
      </c>
      <c r="H156">
        <v>100</v>
      </c>
      <c r="I156" t="s">
        <v>607</v>
      </c>
      <c r="J156">
        <v>0.42649999999999999</v>
      </c>
      <c r="K156">
        <v>236.1371</v>
      </c>
      <c r="L156">
        <v>3.2099999999999997E-2</v>
      </c>
      <c r="M156">
        <v>0.58460000000000001</v>
      </c>
      <c r="N156">
        <v>34.9741</v>
      </c>
      <c r="O156">
        <v>87.754900000000006</v>
      </c>
      <c r="P156">
        <v>344.17169999999999</v>
      </c>
      <c r="Q156">
        <v>235.82079999999999</v>
      </c>
      <c r="R156">
        <v>3.78E-2</v>
      </c>
      <c r="S156">
        <v>0.76749999999999996</v>
      </c>
      <c r="T156">
        <v>0.1303</v>
      </c>
      <c r="U156">
        <v>3.8300000000000001E-2</v>
      </c>
      <c r="V156">
        <v>0.46029999999999999</v>
      </c>
      <c r="W156">
        <v>10.9824</v>
      </c>
      <c r="X156">
        <v>15.146599999999999</v>
      </c>
      <c r="Y156">
        <v>13.2936</v>
      </c>
      <c r="Z156">
        <v>15.696400000000001</v>
      </c>
      <c r="AA156">
        <v>38.001899999999999</v>
      </c>
      <c r="AB156">
        <v>148.59520000000001</v>
      </c>
      <c r="AC156">
        <v>51.462899999999998</v>
      </c>
      <c r="AD156">
        <v>54.054499999999997</v>
      </c>
      <c r="AE156">
        <v>0.4637</v>
      </c>
      <c r="AF156">
        <v>8645.6576000000005</v>
      </c>
      <c r="AG156">
        <v>65.172399999999996</v>
      </c>
      <c r="AH156">
        <v>0.75329999999999997</v>
      </c>
      <c r="AI156">
        <v>90.628200000000007</v>
      </c>
      <c r="AJ156">
        <v>73.2</v>
      </c>
      <c r="AK156">
        <v>84.665499999999994</v>
      </c>
      <c r="AL156">
        <v>1.4278</v>
      </c>
      <c r="AM156">
        <v>0.05</v>
      </c>
      <c r="AN156">
        <v>5.0000000000000001E-3</v>
      </c>
      <c r="AO156">
        <v>92.944699999999997</v>
      </c>
      <c r="AP156">
        <v>94.059899999999999</v>
      </c>
      <c r="AQ156">
        <v>91.880700000000004</v>
      </c>
      <c r="AR156">
        <v>89.539500000000004</v>
      </c>
      <c r="AS156">
        <v>81.876300000000001</v>
      </c>
      <c r="AT156">
        <v>80.005200000000002</v>
      </c>
      <c r="AU156">
        <v>74.063500000000005</v>
      </c>
      <c r="AV156">
        <v>1551.5335</v>
      </c>
      <c r="AW156">
        <v>4008.5309000000002</v>
      </c>
      <c r="AX156">
        <f t="shared" si="49"/>
        <v>206290.62485361</v>
      </c>
      <c r="AY156">
        <f t="shared" si="50"/>
        <v>261245.57922715999</v>
      </c>
      <c r="AZ156">
        <f t="shared" si="51"/>
        <v>44023.289756160004</v>
      </c>
      <c r="BA156">
        <f t="shared" si="43"/>
        <v>4008.5309000000002</v>
      </c>
      <c r="BB156">
        <f t="shared" si="44"/>
        <v>0</v>
      </c>
      <c r="BC156">
        <f t="shared" si="45"/>
        <v>0</v>
      </c>
      <c r="BD156">
        <f t="shared" si="46"/>
        <v>0</v>
      </c>
      <c r="BE156">
        <f t="shared" si="47"/>
        <v>0</v>
      </c>
      <c r="BF156">
        <f t="shared" si="48"/>
        <v>0</v>
      </c>
      <c r="BG156">
        <f t="shared" si="52"/>
        <v>1424.6876813399999</v>
      </c>
      <c r="BH156">
        <f t="shared" si="53"/>
        <v>1391.68021062</v>
      </c>
      <c r="BI156">
        <f t="shared" si="54"/>
        <v>1356.2189906999999</v>
      </c>
      <c r="BJ156">
        <f t="shared" si="55"/>
        <v>1240.14756558</v>
      </c>
      <c r="BK156">
        <f t="shared" si="56"/>
        <v>1211.80676232</v>
      </c>
      <c r="BL156">
        <f t="shared" si="57"/>
        <v>1121.8102091000001</v>
      </c>
    </row>
    <row r="157" spans="1:64">
      <c r="A157" t="str">
        <f t="shared" si="42"/>
        <v>16</v>
      </c>
      <c r="B157" t="s">
        <v>605</v>
      </c>
      <c r="C157" t="s">
        <v>658</v>
      </c>
      <c r="D157">
        <v>55</v>
      </c>
      <c r="E157">
        <v>1</v>
      </c>
      <c r="F157">
        <v>6</v>
      </c>
      <c r="G157">
        <v>2</v>
      </c>
      <c r="H157">
        <v>200</v>
      </c>
      <c r="I157" t="s">
        <v>609</v>
      </c>
      <c r="J157">
        <v>0.29620000000000002</v>
      </c>
      <c r="K157">
        <v>146.9315</v>
      </c>
      <c r="L157">
        <v>3.3300000000000003E-2</v>
      </c>
      <c r="M157">
        <v>0.42630000000000001</v>
      </c>
      <c r="N157">
        <v>34.6858</v>
      </c>
      <c r="O157">
        <v>87.865700000000004</v>
      </c>
      <c r="P157">
        <v>330.51639999999998</v>
      </c>
      <c r="Q157">
        <v>236.2449</v>
      </c>
      <c r="R157">
        <v>3.2500000000000001E-2</v>
      </c>
      <c r="S157">
        <v>0.60419999999999996</v>
      </c>
      <c r="T157">
        <v>9.4100000000000003E-2</v>
      </c>
      <c r="U157">
        <v>3.7600000000000001E-2</v>
      </c>
      <c r="V157">
        <v>0.34949999999999998</v>
      </c>
      <c r="W157">
        <v>11.105600000000001</v>
      </c>
      <c r="X157">
        <v>3.0999999999999999E-3</v>
      </c>
      <c r="Y157">
        <v>2.7000000000000001E-3</v>
      </c>
      <c r="Z157">
        <v>3.0999999999999999E-3</v>
      </c>
      <c r="AA157">
        <v>7.7999999999999996E-3</v>
      </c>
      <c r="AB157">
        <v>7.3792</v>
      </c>
      <c r="AC157">
        <v>52.364400000000003</v>
      </c>
      <c r="AD157">
        <v>51.456800000000001</v>
      </c>
      <c r="AE157">
        <v>1E-4</v>
      </c>
      <c r="AF157">
        <v>8483.2456999999995</v>
      </c>
      <c r="AG157">
        <v>75.744699999999995</v>
      </c>
      <c r="AH157">
        <v>1E-4</v>
      </c>
      <c r="AI157">
        <v>89.788600000000002</v>
      </c>
      <c r="AJ157">
        <v>73.2</v>
      </c>
      <c r="AK157">
        <v>82.882300000000001</v>
      </c>
      <c r="AL157">
        <v>1.4061999999999999</v>
      </c>
      <c r="AM157">
        <v>0.05</v>
      </c>
      <c r="AN157">
        <v>5.0000000000000001E-3</v>
      </c>
      <c r="AO157">
        <v>98.053200000000004</v>
      </c>
      <c r="AP157">
        <v>94.077100000000002</v>
      </c>
      <c r="AQ157">
        <v>91.980900000000005</v>
      </c>
      <c r="AR157">
        <v>89.487799999999993</v>
      </c>
      <c r="AS157">
        <v>82.311199999999999</v>
      </c>
      <c r="AT157">
        <v>80.740700000000004</v>
      </c>
      <c r="AU157">
        <v>74.598500000000001</v>
      </c>
      <c r="AV157">
        <v>0.40310000000000001</v>
      </c>
      <c r="AW157">
        <v>1.0347999999999999</v>
      </c>
      <c r="AX157">
        <f t="shared" si="49"/>
        <v>54.186681120000003</v>
      </c>
      <c r="AY157">
        <f t="shared" si="50"/>
        <v>78.380615559999995</v>
      </c>
      <c r="AZ157">
        <f t="shared" si="51"/>
        <v>11.492074880000001</v>
      </c>
      <c r="BA157">
        <f t="shared" si="43"/>
        <v>1.0347999999999999</v>
      </c>
      <c r="BB157">
        <f t="shared" si="44"/>
        <v>0</v>
      </c>
      <c r="BC157">
        <f t="shared" si="45"/>
        <v>0</v>
      </c>
      <c r="BD157">
        <f t="shared" si="46"/>
        <v>0</v>
      </c>
      <c r="BE157">
        <f t="shared" si="47"/>
        <v>0</v>
      </c>
      <c r="BF157">
        <f t="shared" si="48"/>
        <v>0</v>
      </c>
      <c r="BG157">
        <f t="shared" si="52"/>
        <v>0.29163900999999998</v>
      </c>
      <c r="BH157">
        <f t="shared" si="53"/>
        <v>0.28514079000000003</v>
      </c>
      <c r="BI157">
        <f t="shared" si="54"/>
        <v>0.27741217999999995</v>
      </c>
      <c r="BJ157">
        <f t="shared" si="55"/>
        <v>0.25516472000000001</v>
      </c>
      <c r="BK157">
        <f t="shared" si="56"/>
        <v>0.25029616999999998</v>
      </c>
      <c r="BL157">
        <f t="shared" si="57"/>
        <v>0.23125535</v>
      </c>
    </row>
    <row r="158" spans="1:64">
      <c r="A158" t="str">
        <f t="shared" si="42"/>
        <v>16</v>
      </c>
      <c r="B158" t="s">
        <v>605</v>
      </c>
      <c r="C158" t="s">
        <v>658</v>
      </c>
      <c r="D158">
        <v>55</v>
      </c>
      <c r="E158">
        <v>1</v>
      </c>
      <c r="F158">
        <v>6</v>
      </c>
      <c r="G158">
        <v>2</v>
      </c>
      <c r="H158">
        <v>200</v>
      </c>
      <c r="I158" t="s">
        <v>607</v>
      </c>
      <c r="J158">
        <v>0.31840000000000002</v>
      </c>
      <c r="K158">
        <v>274.88389999999998</v>
      </c>
      <c r="L158">
        <v>3.3300000000000003E-2</v>
      </c>
      <c r="M158">
        <v>0.42630000000000001</v>
      </c>
      <c r="N158">
        <v>34.871899999999997</v>
      </c>
      <c r="O158">
        <v>87.515100000000004</v>
      </c>
      <c r="P158">
        <v>332.78219999999999</v>
      </c>
      <c r="Q158">
        <v>238.50540000000001</v>
      </c>
      <c r="R158">
        <v>3.39E-2</v>
      </c>
      <c r="S158">
        <v>0.62649999999999995</v>
      </c>
      <c r="T158">
        <v>0.104</v>
      </c>
      <c r="U158">
        <v>3.5700000000000003E-2</v>
      </c>
      <c r="V158">
        <v>0.41799999999999998</v>
      </c>
      <c r="W158">
        <v>11.0121</v>
      </c>
      <c r="X158">
        <v>2.5377999999999998</v>
      </c>
      <c r="Y158">
        <v>2.2210000000000001</v>
      </c>
      <c r="Z158">
        <v>2.8732000000000002</v>
      </c>
      <c r="AA158">
        <v>6.3689</v>
      </c>
      <c r="AB158">
        <v>10.469200000000001</v>
      </c>
      <c r="AC158">
        <v>52.245699999999999</v>
      </c>
      <c r="AD158">
        <v>52.6175</v>
      </c>
      <c r="AE158">
        <v>9.2899999999999996E-2</v>
      </c>
      <c r="AF158">
        <v>8700.8024000000005</v>
      </c>
      <c r="AG158">
        <v>65.914500000000004</v>
      </c>
      <c r="AH158">
        <v>0.19170000000000001</v>
      </c>
      <c r="AI158">
        <v>91.374300000000005</v>
      </c>
      <c r="AJ158">
        <v>73.2</v>
      </c>
      <c r="AK158">
        <v>86.242099999999994</v>
      </c>
      <c r="AL158">
        <v>1.4389000000000001</v>
      </c>
      <c r="AM158">
        <v>0.05</v>
      </c>
      <c r="AN158">
        <v>5.0000000000000001E-3</v>
      </c>
      <c r="AO158">
        <v>93.150599999999997</v>
      </c>
      <c r="AP158">
        <v>93.949600000000004</v>
      </c>
      <c r="AQ158">
        <v>91.776399999999995</v>
      </c>
      <c r="AR158">
        <v>89.286000000000001</v>
      </c>
      <c r="AS158">
        <v>81.623500000000007</v>
      </c>
      <c r="AT158">
        <v>79.920599999999993</v>
      </c>
      <c r="AU158">
        <v>73.715199999999996</v>
      </c>
      <c r="AV158">
        <v>309.17720000000003</v>
      </c>
      <c r="AW158">
        <v>808.65629999999999</v>
      </c>
      <c r="AX158">
        <f t="shared" si="49"/>
        <v>42248.814452909995</v>
      </c>
      <c r="AY158">
        <f t="shared" si="50"/>
        <v>53302.175686350005</v>
      </c>
      <c r="AZ158">
        <f t="shared" si="51"/>
        <v>8905.0040412300004</v>
      </c>
      <c r="BA158">
        <f t="shared" si="43"/>
        <v>808.65629999999999</v>
      </c>
      <c r="BB158">
        <f t="shared" si="44"/>
        <v>0</v>
      </c>
      <c r="BC158">
        <f t="shared" si="45"/>
        <v>0</v>
      </c>
      <c r="BD158">
        <f t="shared" si="46"/>
        <v>0</v>
      </c>
      <c r="BE158">
        <f t="shared" si="47"/>
        <v>0</v>
      </c>
      <c r="BF158">
        <f t="shared" si="48"/>
        <v>0</v>
      </c>
      <c r="BG158">
        <f t="shared" si="52"/>
        <v>238.42529488</v>
      </c>
      <c r="BH158">
        <f t="shared" si="53"/>
        <v>232.91014791999999</v>
      </c>
      <c r="BI158">
        <f t="shared" si="54"/>
        <v>226.59001079999999</v>
      </c>
      <c r="BJ158">
        <f t="shared" si="55"/>
        <v>207.1441183</v>
      </c>
      <c r="BK158">
        <f t="shared" si="56"/>
        <v>202.82249867999997</v>
      </c>
      <c r="BL158">
        <f t="shared" si="57"/>
        <v>187.07443455999999</v>
      </c>
    </row>
    <row r="159" spans="1:64">
      <c r="A159" t="str">
        <f t="shared" si="42"/>
        <v>16</v>
      </c>
      <c r="B159" t="s">
        <v>605</v>
      </c>
      <c r="C159" t="s">
        <v>658</v>
      </c>
      <c r="D159">
        <v>66</v>
      </c>
      <c r="E159">
        <v>3</v>
      </c>
      <c r="F159">
        <v>6</v>
      </c>
      <c r="G159">
        <v>2</v>
      </c>
      <c r="H159">
        <v>100</v>
      </c>
      <c r="I159" t="s">
        <v>607</v>
      </c>
      <c r="J159">
        <v>0.39400000000000002</v>
      </c>
      <c r="K159">
        <v>280.74860000000001</v>
      </c>
      <c r="L159">
        <v>3.2099999999999997E-2</v>
      </c>
      <c r="M159">
        <v>0.58460000000000001</v>
      </c>
      <c r="N159">
        <v>34.773499999999999</v>
      </c>
      <c r="O159">
        <v>89.602699999999999</v>
      </c>
      <c r="P159">
        <v>366.4676</v>
      </c>
      <c r="Q159">
        <v>222.6223</v>
      </c>
      <c r="R159">
        <v>3.7699999999999997E-2</v>
      </c>
      <c r="S159">
        <v>0.74970000000000003</v>
      </c>
      <c r="T159">
        <v>0.1191</v>
      </c>
      <c r="U159">
        <v>3.8199999999999998E-2</v>
      </c>
      <c r="V159">
        <v>0.44769999999999999</v>
      </c>
      <c r="W159">
        <v>12.5709</v>
      </c>
      <c r="X159">
        <v>10.721500000000001</v>
      </c>
      <c r="Y159">
        <v>9.6067999999999998</v>
      </c>
      <c r="Z159">
        <v>12.150499999999999</v>
      </c>
      <c r="AA159">
        <v>27.626799999999999</v>
      </c>
      <c r="AB159">
        <v>123.6508</v>
      </c>
      <c r="AC159">
        <v>41.683199999999999</v>
      </c>
      <c r="AD159">
        <v>76.623199999999997</v>
      </c>
      <c r="AE159">
        <v>0.39989999999999998</v>
      </c>
      <c r="AF159">
        <v>7801.5029000000004</v>
      </c>
      <c r="AG159">
        <v>65.025700000000001</v>
      </c>
      <c r="AH159">
        <v>0.75639999999999996</v>
      </c>
      <c r="AI159">
        <v>91.427800000000005</v>
      </c>
      <c r="AJ159">
        <v>73.2</v>
      </c>
      <c r="AK159">
        <v>86.356499999999997</v>
      </c>
      <c r="AL159">
        <v>1.4387000000000001</v>
      </c>
      <c r="AM159">
        <v>0.05</v>
      </c>
      <c r="AN159">
        <v>5.0000000000000001E-3</v>
      </c>
      <c r="AO159">
        <v>90.243200000000002</v>
      </c>
      <c r="AP159">
        <v>94.585800000000006</v>
      </c>
      <c r="AQ159">
        <v>93.093800000000002</v>
      </c>
      <c r="AR159">
        <v>90.692499999999995</v>
      </c>
      <c r="AS159">
        <v>85.571899999999999</v>
      </c>
      <c r="AT159">
        <v>84.802000000000007</v>
      </c>
      <c r="AU159">
        <v>79.829300000000003</v>
      </c>
      <c r="AV159">
        <v>1236.0778</v>
      </c>
      <c r="AW159">
        <v>3119.7836000000002</v>
      </c>
      <c r="AX159">
        <f t="shared" si="49"/>
        <v>130042.56375552001</v>
      </c>
      <c r="AY159">
        <f t="shared" si="50"/>
        <v>202866.11243852001</v>
      </c>
      <c r="AZ159">
        <f t="shared" si="51"/>
        <v>39218.487657240003</v>
      </c>
      <c r="BA159">
        <f t="shared" si="43"/>
        <v>0</v>
      </c>
      <c r="BB159">
        <f t="shared" si="44"/>
        <v>0</v>
      </c>
      <c r="BC159">
        <f t="shared" si="45"/>
        <v>3119.7836000000002</v>
      </c>
      <c r="BD159">
        <f t="shared" si="46"/>
        <v>0</v>
      </c>
      <c r="BE159">
        <f t="shared" si="47"/>
        <v>0</v>
      </c>
      <c r="BF159">
        <f t="shared" si="48"/>
        <v>0</v>
      </c>
      <c r="BG159">
        <f t="shared" si="52"/>
        <v>1014.1016547000002</v>
      </c>
      <c r="BH159">
        <f t="shared" si="53"/>
        <v>998.10517670000013</v>
      </c>
      <c r="BI159">
        <f t="shared" si="54"/>
        <v>972.35963875000004</v>
      </c>
      <c r="BJ159">
        <f t="shared" si="55"/>
        <v>917.45912585000008</v>
      </c>
      <c r="BK159">
        <f t="shared" si="56"/>
        <v>909.20464300000015</v>
      </c>
      <c r="BL159">
        <f t="shared" si="57"/>
        <v>855.88983995000012</v>
      </c>
    </row>
    <row r="160" spans="1:64">
      <c r="A160" t="str">
        <f t="shared" si="42"/>
        <v>16</v>
      </c>
      <c r="B160" t="s">
        <v>605</v>
      </c>
      <c r="C160" t="s">
        <v>658</v>
      </c>
      <c r="D160">
        <v>66</v>
      </c>
      <c r="E160">
        <v>3</v>
      </c>
      <c r="F160">
        <v>6</v>
      </c>
      <c r="G160">
        <v>2</v>
      </c>
      <c r="H160">
        <v>200</v>
      </c>
      <c r="I160" t="s">
        <v>609</v>
      </c>
      <c r="J160">
        <v>0.30830000000000002</v>
      </c>
      <c r="K160">
        <v>147.67439999999999</v>
      </c>
      <c r="L160">
        <v>3.6999999999999998E-2</v>
      </c>
      <c r="M160">
        <v>0.7208</v>
      </c>
      <c r="N160">
        <v>34.2866</v>
      </c>
      <c r="O160">
        <v>90.010900000000007</v>
      </c>
      <c r="P160">
        <v>360.96629999999999</v>
      </c>
      <c r="Q160">
        <v>212.7638</v>
      </c>
      <c r="R160">
        <v>3.4099999999999998E-2</v>
      </c>
      <c r="S160">
        <v>0.62619999999999998</v>
      </c>
      <c r="T160">
        <v>8.1199999999999994E-2</v>
      </c>
      <c r="U160">
        <v>5.8999999999999997E-2</v>
      </c>
      <c r="V160">
        <v>0.36059999999999998</v>
      </c>
      <c r="W160">
        <v>12.5379</v>
      </c>
      <c r="X160">
        <v>45.906599999999997</v>
      </c>
      <c r="Y160">
        <v>41.322400000000002</v>
      </c>
      <c r="Z160">
        <v>46.817999999999998</v>
      </c>
      <c r="AA160">
        <v>120.5171</v>
      </c>
      <c r="AB160">
        <v>12.087899999999999</v>
      </c>
      <c r="AC160">
        <v>40.537500000000001</v>
      </c>
      <c r="AD160">
        <v>79.6661</v>
      </c>
      <c r="AE160">
        <v>2.0047000000000001</v>
      </c>
      <c r="AF160">
        <v>7427.6158999999998</v>
      </c>
      <c r="AG160">
        <v>75.884200000000007</v>
      </c>
      <c r="AH160">
        <v>1.8231999999999999</v>
      </c>
      <c r="AI160">
        <v>89.799000000000007</v>
      </c>
      <c r="AJ160">
        <v>73.2</v>
      </c>
      <c r="AK160">
        <v>82.904300000000006</v>
      </c>
      <c r="AL160">
        <v>1.2703</v>
      </c>
      <c r="AM160">
        <v>0.05</v>
      </c>
      <c r="AN160">
        <v>4.7000000000000002E-3</v>
      </c>
      <c r="AO160">
        <v>96.069900000000004</v>
      </c>
      <c r="AP160">
        <v>94.708799999999997</v>
      </c>
      <c r="AQ160">
        <v>93.221199999999996</v>
      </c>
      <c r="AR160">
        <v>90.896799999999999</v>
      </c>
      <c r="AS160">
        <v>85.654200000000003</v>
      </c>
      <c r="AT160">
        <v>84.807400000000001</v>
      </c>
      <c r="AU160">
        <v>79.978200000000001</v>
      </c>
      <c r="AV160">
        <v>5945.3653999999997</v>
      </c>
      <c r="AW160">
        <v>14890.098</v>
      </c>
      <c r="AX160">
        <f t="shared" si="49"/>
        <v>603607.34767499997</v>
      </c>
      <c r="AY160">
        <f t="shared" si="50"/>
        <v>1129923.1746516002</v>
      </c>
      <c r="AZ160">
        <f t="shared" si="51"/>
        <v>186690.5597142</v>
      </c>
      <c r="BA160">
        <f t="shared" si="43"/>
        <v>0</v>
      </c>
      <c r="BB160">
        <f t="shared" si="44"/>
        <v>0</v>
      </c>
      <c r="BC160">
        <f t="shared" si="45"/>
        <v>14890.098</v>
      </c>
      <c r="BD160">
        <f t="shared" si="46"/>
        <v>0</v>
      </c>
      <c r="BE160">
        <f t="shared" si="47"/>
        <v>0</v>
      </c>
      <c r="BF160">
        <f t="shared" si="48"/>
        <v>0</v>
      </c>
      <c r="BG160">
        <f t="shared" si="52"/>
        <v>4347.7589980799994</v>
      </c>
      <c r="BH160">
        <f t="shared" si="53"/>
        <v>4279.4683399199994</v>
      </c>
      <c r="BI160">
        <f t="shared" si="54"/>
        <v>4172.7630388799998</v>
      </c>
      <c r="BJ160">
        <f t="shared" si="55"/>
        <v>3932.0930977200001</v>
      </c>
      <c r="BK160">
        <f t="shared" si="56"/>
        <v>3893.2193888399997</v>
      </c>
      <c r="BL160">
        <f t="shared" si="57"/>
        <v>3671.52723612</v>
      </c>
    </row>
    <row r="161" spans="1:64">
      <c r="A161" t="str">
        <f t="shared" si="42"/>
        <v>16</v>
      </c>
      <c r="B161" t="s">
        <v>605</v>
      </c>
      <c r="C161" t="s">
        <v>658</v>
      </c>
      <c r="D161">
        <v>66</v>
      </c>
      <c r="E161">
        <v>3</v>
      </c>
      <c r="F161">
        <v>6</v>
      </c>
      <c r="G161">
        <v>2</v>
      </c>
      <c r="H161">
        <v>200</v>
      </c>
      <c r="I161" t="s">
        <v>617</v>
      </c>
      <c r="J161">
        <v>0.35160000000000002</v>
      </c>
      <c r="K161">
        <v>163.49010000000001</v>
      </c>
      <c r="L161">
        <v>3.8600000000000002E-2</v>
      </c>
      <c r="M161">
        <v>1.0136000000000001</v>
      </c>
      <c r="N161">
        <v>34.698599999999999</v>
      </c>
      <c r="O161">
        <v>90.036299999999997</v>
      </c>
      <c r="P161">
        <v>345.51710000000003</v>
      </c>
      <c r="Q161">
        <v>214.0797</v>
      </c>
      <c r="R161">
        <v>3.1899999999999998E-2</v>
      </c>
      <c r="S161">
        <v>0.65800000000000003</v>
      </c>
      <c r="T161">
        <v>7.5300000000000006E-2</v>
      </c>
      <c r="U161">
        <v>0.1326</v>
      </c>
      <c r="V161">
        <v>0.4098</v>
      </c>
      <c r="W161">
        <v>12.8415</v>
      </c>
      <c r="X161">
        <v>9.6936999999999998</v>
      </c>
      <c r="Y161">
        <v>8.7279</v>
      </c>
      <c r="Z161">
        <v>9.8547999999999991</v>
      </c>
      <c r="AA161">
        <v>25.153400000000001</v>
      </c>
      <c r="AB161">
        <v>14.474600000000001</v>
      </c>
      <c r="AC161">
        <v>39.988300000000002</v>
      </c>
      <c r="AD161">
        <v>82.344300000000004</v>
      </c>
      <c r="AE161">
        <v>0.37390000000000001</v>
      </c>
      <c r="AF161">
        <v>7373.9362000000001</v>
      </c>
      <c r="AG161">
        <v>75.887100000000004</v>
      </c>
      <c r="AH161">
        <v>0.37619999999999998</v>
      </c>
      <c r="AI161">
        <v>90.058899999999994</v>
      </c>
      <c r="AJ161">
        <v>73.2</v>
      </c>
      <c r="AK161">
        <v>83.450400000000002</v>
      </c>
      <c r="AL161">
        <v>1.1514</v>
      </c>
      <c r="AM161">
        <v>0.05</v>
      </c>
      <c r="AN161">
        <v>5.0000000000000001E-3</v>
      </c>
      <c r="AO161">
        <v>96.262500000000003</v>
      </c>
      <c r="AP161">
        <v>94.852900000000005</v>
      </c>
      <c r="AQ161">
        <v>93.344099999999997</v>
      </c>
      <c r="AR161">
        <v>91.118099999999998</v>
      </c>
      <c r="AS161">
        <v>85.813599999999994</v>
      </c>
      <c r="AT161">
        <v>84.900899999999993</v>
      </c>
      <c r="AU161">
        <v>80.160700000000006</v>
      </c>
      <c r="AV161">
        <v>1108.6994999999999</v>
      </c>
      <c r="AW161">
        <v>2757.3051999999998</v>
      </c>
      <c r="AX161">
        <f t="shared" si="49"/>
        <v>110259.94752916</v>
      </c>
      <c r="AY161">
        <f t="shared" si="50"/>
        <v>209243.89544291998</v>
      </c>
      <c r="AZ161">
        <f t="shared" si="51"/>
        <v>35407.934725799998</v>
      </c>
      <c r="BA161">
        <f t="shared" si="43"/>
        <v>0</v>
      </c>
      <c r="BB161">
        <f t="shared" si="44"/>
        <v>0</v>
      </c>
      <c r="BC161">
        <f t="shared" si="45"/>
        <v>2757.3051999999998</v>
      </c>
      <c r="BD161">
        <f t="shared" si="46"/>
        <v>0</v>
      </c>
      <c r="BE161">
        <f t="shared" si="47"/>
        <v>0</v>
      </c>
      <c r="BF161">
        <f t="shared" si="48"/>
        <v>0</v>
      </c>
      <c r="BG161">
        <f t="shared" si="52"/>
        <v>919.47555672999999</v>
      </c>
      <c r="BH161">
        <f t="shared" si="53"/>
        <v>904.84970217</v>
      </c>
      <c r="BI161">
        <f t="shared" si="54"/>
        <v>883.27152596999997</v>
      </c>
      <c r="BJ161">
        <f t="shared" si="55"/>
        <v>831.85129431999997</v>
      </c>
      <c r="BK161">
        <f t="shared" si="56"/>
        <v>823.00385432999997</v>
      </c>
      <c r="BL161">
        <f t="shared" si="57"/>
        <v>777.05377758999998</v>
      </c>
    </row>
    <row r="162" spans="1:64">
      <c r="A162" t="str">
        <f t="shared" si="42"/>
        <v>16</v>
      </c>
      <c r="B162" t="s">
        <v>605</v>
      </c>
      <c r="C162" t="s">
        <v>658</v>
      </c>
      <c r="D162">
        <v>66</v>
      </c>
      <c r="E162">
        <v>3</v>
      </c>
      <c r="F162">
        <v>6</v>
      </c>
      <c r="G162">
        <v>2</v>
      </c>
      <c r="H162">
        <v>200</v>
      </c>
      <c r="I162" t="s">
        <v>607</v>
      </c>
      <c r="J162">
        <v>0.378</v>
      </c>
      <c r="K162">
        <v>210.078</v>
      </c>
      <c r="L162">
        <v>3.4500000000000003E-2</v>
      </c>
      <c r="M162">
        <v>0.64500000000000002</v>
      </c>
      <c r="N162">
        <v>34.465400000000002</v>
      </c>
      <c r="O162">
        <v>89.929900000000004</v>
      </c>
      <c r="P162">
        <v>335.70659999999998</v>
      </c>
      <c r="Q162">
        <v>215.44220000000001</v>
      </c>
      <c r="R162">
        <v>3.3799999999999997E-2</v>
      </c>
      <c r="S162">
        <v>0.6704</v>
      </c>
      <c r="T162">
        <v>8.7499999999999994E-2</v>
      </c>
      <c r="U162">
        <v>7.0900000000000005E-2</v>
      </c>
      <c r="V162">
        <v>0.44619999999999999</v>
      </c>
      <c r="W162">
        <v>12.6534</v>
      </c>
      <c r="X162">
        <v>25.619299999999999</v>
      </c>
      <c r="Y162">
        <v>23.0428</v>
      </c>
      <c r="Z162">
        <v>26.9511</v>
      </c>
      <c r="AA162">
        <v>66.860600000000005</v>
      </c>
      <c r="AB162">
        <v>37.143599999999999</v>
      </c>
      <c r="AC162">
        <v>40.167099999999998</v>
      </c>
      <c r="AD162">
        <v>79.579300000000003</v>
      </c>
      <c r="AE162">
        <v>0.91979999999999995</v>
      </c>
      <c r="AF162">
        <v>7538.6804000000002</v>
      </c>
      <c r="AG162">
        <v>69.726100000000002</v>
      </c>
      <c r="AH162">
        <v>1.2383</v>
      </c>
      <c r="AI162">
        <v>90.554400000000001</v>
      </c>
      <c r="AJ162">
        <v>73.2</v>
      </c>
      <c r="AK162">
        <v>84.506399999999999</v>
      </c>
      <c r="AL162">
        <v>1.3267</v>
      </c>
      <c r="AM162">
        <v>0.05</v>
      </c>
      <c r="AN162">
        <v>5.0000000000000001E-3</v>
      </c>
      <c r="AO162">
        <v>93.12</v>
      </c>
      <c r="AP162">
        <v>94.726900000000001</v>
      </c>
      <c r="AQ162">
        <v>93.225200000000001</v>
      </c>
      <c r="AR162">
        <v>90.928299999999993</v>
      </c>
      <c r="AS162">
        <v>85.7029</v>
      </c>
      <c r="AT162">
        <v>84.851500000000001</v>
      </c>
      <c r="AU162">
        <v>80.023700000000005</v>
      </c>
      <c r="AV162">
        <v>2767.4958000000001</v>
      </c>
      <c r="AW162">
        <v>6928.7159000000001</v>
      </c>
      <c r="AX162">
        <f t="shared" si="49"/>
        <v>278306.42442688998</v>
      </c>
      <c r="AY162">
        <f t="shared" si="50"/>
        <v>483112.33771499002</v>
      </c>
      <c r="AZ162">
        <f t="shared" si="51"/>
        <v>87671.813769059998</v>
      </c>
      <c r="BA162">
        <f t="shared" si="43"/>
        <v>0</v>
      </c>
      <c r="BB162">
        <f t="shared" si="44"/>
        <v>0</v>
      </c>
      <c r="BC162">
        <f t="shared" si="45"/>
        <v>6928.7159000000001</v>
      </c>
      <c r="BD162">
        <f t="shared" si="46"/>
        <v>0</v>
      </c>
      <c r="BE162">
        <f t="shared" si="47"/>
        <v>0</v>
      </c>
      <c r="BF162">
        <f t="shared" si="48"/>
        <v>0</v>
      </c>
      <c r="BG162">
        <f t="shared" si="52"/>
        <v>2426.8368691699998</v>
      </c>
      <c r="BH162">
        <f t="shared" si="53"/>
        <v>2388.3643663600001</v>
      </c>
      <c r="BI162">
        <f t="shared" si="54"/>
        <v>2329.51939619</v>
      </c>
      <c r="BJ162">
        <f t="shared" si="55"/>
        <v>2195.6483059699999</v>
      </c>
      <c r="BK162">
        <f t="shared" si="56"/>
        <v>2173.83603395</v>
      </c>
      <c r="BL162">
        <f t="shared" si="57"/>
        <v>2050.1511774099999</v>
      </c>
    </row>
    <row r="163" spans="1:64">
      <c r="A163" t="str">
        <f t="shared" si="42"/>
        <v>19</v>
      </c>
      <c r="B163" t="s">
        <v>605</v>
      </c>
      <c r="C163" t="s">
        <v>659</v>
      </c>
      <c r="D163">
        <v>55</v>
      </c>
      <c r="E163">
        <v>1</v>
      </c>
      <c r="F163">
        <v>6</v>
      </c>
      <c r="G163">
        <v>2</v>
      </c>
      <c r="H163">
        <v>100</v>
      </c>
      <c r="I163" t="s">
        <v>609</v>
      </c>
      <c r="J163">
        <v>0.31680000000000003</v>
      </c>
      <c r="K163">
        <v>266.87329999999997</v>
      </c>
      <c r="L163">
        <v>3.09E-2</v>
      </c>
      <c r="M163">
        <v>0.39650000000000002</v>
      </c>
      <c r="N163">
        <v>35.058500000000002</v>
      </c>
      <c r="O163">
        <v>87.2376</v>
      </c>
      <c r="P163">
        <v>323.19670000000002</v>
      </c>
      <c r="Q163">
        <v>241.3304</v>
      </c>
      <c r="R163">
        <v>3.3799999999999997E-2</v>
      </c>
      <c r="S163">
        <v>0.52729999999999999</v>
      </c>
      <c r="T163">
        <v>9.7199999999999995E-2</v>
      </c>
      <c r="U163">
        <v>3.2899999999999999E-2</v>
      </c>
      <c r="V163">
        <v>0.40489999999999998</v>
      </c>
      <c r="W163">
        <v>11.0009</v>
      </c>
      <c r="X163">
        <v>0.28670000000000001</v>
      </c>
      <c r="Y163">
        <v>0.25009999999999999</v>
      </c>
      <c r="Z163">
        <v>0.32390000000000002</v>
      </c>
      <c r="AA163">
        <v>0.71340000000000003</v>
      </c>
      <c r="AB163">
        <v>13.039899999999999</v>
      </c>
      <c r="AC163">
        <v>53.328000000000003</v>
      </c>
      <c r="AD163">
        <v>52.331200000000003</v>
      </c>
      <c r="AE163">
        <v>1.0800000000000001E-2</v>
      </c>
      <c r="AF163">
        <v>8768.0506999999998</v>
      </c>
      <c r="AG163">
        <v>67.290099999999995</v>
      </c>
      <c r="AH163">
        <v>2.1700000000000001E-2</v>
      </c>
      <c r="AI163">
        <v>91.299499999999995</v>
      </c>
      <c r="AJ163">
        <v>73.2</v>
      </c>
      <c r="AK163">
        <v>86.081999999999994</v>
      </c>
      <c r="AL163">
        <v>1.4416</v>
      </c>
      <c r="AM163">
        <v>0.05</v>
      </c>
      <c r="AN163">
        <v>5.0000000000000001E-3</v>
      </c>
      <c r="AO163">
        <v>93.622900000000001</v>
      </c>
      <c r="AP163">
        <v>93.824600000000004</v>
      </c>
      <c r="AQ163">
        <v>91.6541</v>
      </c>
      <c r="AR163">
        <v>89.130200000000002</v>
      </c>
      <c r="AS163">
        <v>81.273200000000003</v>
      </c>
      <c r="AT163">
        <v>79.461200000000005</v>
      </c>
      <c r="AU163">
        <v>73.245400000000004</v>
      </c>
      <c r="AV163">
        <v>36.421799999999998</v>
      </c>
      <c r="AW163">
        <v>94.409400000000005</v>
      </c>
      <c r="AX163">
        <f t="shared" si="49"/>
        <v>5034.6644832000002</v>
      </c>
      <c r="AY163">
        <f t="shared" si="50"/>
        <v>6352.8179669399997</v>
      </c>
      <c r="AZ163">
        <f t="shared" si="51"/>
        <v>1038.5883684600001</v>
      </c>
      <c r="BA163">
        <f t="shared" si="43"/>
        <v>94.409400000000005</v>
      </c>
      <c r="BB163">
        <f t="shared" si="44"/>
        <v>0</v>
      </c>
      <c r="BC163">
        <f t="shared" si="45"/>
        <v>0</v>
      </c>
      <c r="BD163">
        <f t="shared" si="46"/>
        <v>0</v>
      </c>
      <c r="BE163">
        <f t="shared" si="47"/>
        <v>0</v>
      </c>
      <c r="BF163">
        <f t="shared" si="48"/>
        <v>0</v>
      </c>
      <c r="BG163">
        <f t="shared" si="52"/>
        <v>26.899512820000002</v>
      </c>
      <c r="BH163">
        <f t="shared" si="53"/>
        <v>26.277230469999999</v>
      </c>
      <c r="BI163">
        <f t="shared" si="54"/>
        <v>25.553628340000003</v>
      </c>
      <c r="BJ163">
        <f t="shared" si="55"/>
        <v>23.301026440000001</v>
      </c>
      <c r="BK163">
        <f t="shared" si="56"/>
        <v>22.781526040000003</v>
      </c>
      <c r="BL163">
        <f t="shared" si="57"/>
        <v>20.999456180000003</v>
      </c>
    </row>
    <row r="164" spans="1:64">
      <c r="A164" t="str">
        <f t="shared" si="42"/>
        <v>19</v>
      </c>
      <c r="B164" t="s">
        <v>605</v>
      </c>
      <c r="C164" t="s">
        <v>659</v>
      </c>
      <c r="D164">
        <v>55</v>
      </c>
      <c r="E164">
        <v>1</v>
      </c>
      <c r="F164">
        <v>6</v>
      </c>
      <c r="G164">
        <v>2</v>
      </c>
      <c r="H164">
        <v>100</v>
      </c>
      <c r="I164" t="s">
        <v>607</v>
      </c>
      <c r="J164">
        <v>0.40510000000000002</v>
      </c>
      <c r="K164">
        <v>244.81370000000001</v>
      </c>
      <c r="L164">
        <v>3.2199999999999999E-2</v>
      </c>
      <c r="M164">
        <v>0.57269999999999999</v>
      </c>
      <c r="N164">
        <v>34.991999999999997</v>
      </c>
      <c r="O164">
        <v>87.618799999999993</v>
      </c>
      <c r="P164">
        <v>342.07240000000002</v>
      </c>
      <c r="Q164">
        <v>237.25649999999999</v>
      </c>
      <c r="R164">
        <v>3.7499999999999999E-2</v>
      </c>
      <c r="S164">
        <v>0.68489999999999995</v>
      </c>
      <c r="T164">
        <v>0.1208</v>
      </c>
      <c r="U164">
        <v>3.6200000000000003E-2</v>
      </c>
      <c r="V164">
        <v>0.46460000000000001</v>
      </c>
      <c r="W164">
        <v>10.955500000000001</v>
      </c>
      <c r="X164">
        <v>24.014500000000002</v>
      </c>
      <c r="Y164">
        <v>21.042999999999999</v>
      </c>
      <c r="Z164">
        <v>25.458100000000002</v>
      </c>
      <c r="AA164">
        <v>60.125900000000001</v>
      </c>
      <c r="AB164">
        <v>109.6785</v>
      </c>
      <c r="AC164">
        <v>52.040399999999998</v>
      </c>
      <c r="AD164">
        <v>53.833399999999997</v>
      </c>
      <c r="AE164">
        <v>0.74180000000000001</v>
      </c>
      <c r="AF164">
        <v>8692.4722999999994</v>
      </c>
      <c r="AG164">
        <v>65.472099999999998</v>
      </c>
      <c r="AH164">
        <v>1.353</v>
      </c>
      <c r="AI164">
        <v>90.929299999999998</v>
      </c>
      <c r="AJ164">
        <v>73.2</v>
      </c>
      <c r="AK164">
        <v>85.303200000000004</v>
      </c>
      <c r="AL164">
        <v>1.4256</v>
      </c>
      <c r="AM164">
        <v>0.05</v>
      </c>
      <c r="AN164">
        <v>5.0000000000000001E-3</v>
      </c>
      <c r="AO164">
        <v>92.971500000000006</v>
      </c>
      <c r="AP164">
        <v>94.009600000000006</v>
      </c>
      <c r="AQ164">
        <v>91.8202</v>
      </c>
      <c r="AR164">
        <v>89.427000000000007</v>
      </c>
      <c r="AS164">
        <v>81.708100000000002</v>
      </c>
      <c r="AT164">
        <v>79.849299999999999</v>
      </c>
      <c r="AU164">
        <v>73.824600000000004</v>
      </c>
      <c r="AV164">
        <v>2487.3640999999998</v>
      </c>
      <c r="AW164">
        <v>6447.6918999999998</v>
      </c>
      <c r="AX164">
        <f t="shared" si="49"/>
        <v>335540.46555276</v>
      </c>
      <c r="AY164">
        <f t="shared" si="50"/>
        <v>422143.92884598998</v>
      </c>
      <c r="AZ164">
        <f t="shared" si="51"/>
        <v>70637.688610450001</v>
      </c>
      <c r="BA164">
        <f t="shared" si="43"/>
        <v>6447.6918999999998</v>
      </c>
      <c r="BB164">
        <f t="shared" si="44"/>
        <v>0</v>
      </c>
      <c r="BC164">
        <f t="shared" si="45"/>
        <v>0</v>
      </c>
      <c r="BD164">
        <f t="shared" si="46"/>
        <v>0</v>
      </c>
      <c r="BE164">
        <f t="shared" si="47"/>
        <v>0</v>
      </c>
      <c r="BF164">
        <f t="shared" si="48"/>
        <v>0</v>
      </c>
      <c r="BG164">
        <f t="shared" si="52"/>
        <v>2257.5935392000001</v>
      </c>
      <c r="BH164">
        <f t="shared" si="53"/>
        <v>2205.0161929000001</v>
      </c>
      <c r="BI164">
        <f t="shared" si="54"/>
        <v>2147.5446915000002</v>
      </c>
      <c r="BJ164">
        <f t="shared" si="55"/>
        <v>1962.1791674500003</v>
      </c>
      <c r="BK164">
        <f t="shared" si="56"/>
        <v>1917.5410148500002</v>
      </c>
      <c r="BL164">
        <f t="shared" si="57"/>
        <v>1772.8608567000001</v>
      </c>
    </row>
    <row r="165" spans="1:64">
      <c r="A165" t="str">
        <f t="shared" si="42"/>
        <v>19</v>
      </c>
      <c r="B165" t="s">
        <v>605</v>
      </c>
      <c r="C165" t="s">
        <v>659</v>
      </c>
      <c r="D165">
        <v>55</v>
      </c>
      <c r="E165">
        <v>1</v>
      </c>
      <c r="F165">
        <v>6</v>
      </c>
      <c r="G165">
        <v>2</v>
      </c>
      <c r="H165">
        <v>200</v>
      </c>
      <c r="I165" t="s">
        <v>609</v>
      </c>
      <c r="J165">
        <v>0.29409999999999997</v>
      </c>
      <c r="K165">
        <v>146.6737</v>
      </c>
      <c r="L165">
        <v>3.5200000000000002E-2</v>
      </c>
      <c r="M165">
        <v>0.44419999999999998</v>
      </c>
      <c r="N165">
        <v>34.618499999999997</v>
      </c>
      <c r="O165">
        <v>87.874200000000002</v>
      </c>
      <c r="P165">
        <v>343.32400000000001</v>
      </c>
      <c r="Q165">
        <v>236.56039999999999</v>
      </c>
      <c r="R165">
        <v>3.2500000000000001E-2</v>
      </c>
      <c r="S165">
        <v>0.60429999999999995</v>
      </c>
      <c r="T165">
        <v>9.2299999999999993E-2</v>
      </c>
      <c r="U165">
        <v>3.7699999999999997E-2</v>
      </c>
      <c r="V165">
        <v>0.3473</v>
      </c>
      <c r="W165">
        <v>11.119199999999999</v>
      </c>
      <c r="X165">
        <v>15.0397</v>
      </c>
      <c r="Y165">
        <v>13.215999999999999</v>
      </c>
      <c r="Z165">
        <v>15.120100000000001</v>
      </c>
      <c r="AA165">
        <v>38.1753</v>
      </c>
      <c r="AB165">
        <v>8.0414999999999992</v>
      </c>
      <c r="AC165">
        <v>52.404400000000003</v>
      </c>
      <c r="AD165">
        <v>51.256500000000003</v>
      </c>
      <c r="AE165">
        <v>0.60250000000000004</v>
      </c>
      <c r="AF165">
        <v>8487.2562999999991</v>
      </c>
      <c r="AG165">
        <v>75.7303</v>
      </c>
      <c r="AH165">
        <v>0.62160000000000004</v>
      </c>
      <c r="AI165">
        <v>89.784099999999995</v>
      </c>
      <c r="AJ165">
        <v>73.2</v>
      </c>
      <c r="AK165">
        <v>82.873000000000005</v>
      </c>
      <c r="AL165">
        <v>1.3720000000000001</v>
      </c>
      <c r="AM165">
        <v>0.05</v>
      </c>
      <c r="AN165">
        <v>5.0000000000000001E-3</v>
      </c>
      <c r="AO165">
        <v>98.037899999999993</v>
      </c>
      <c r="AP165">
        <v>94.084900000000005</v>
      </c>
      <c r="AQ165">
        <v>91.993300000000005</v>
      </c>
      <c r="AR165">
        <v>89.5017</v>
      </c>
      <c r="AS165">
        <v>82.382999999999996</v>
      </c>
      <c r="AT165">
        <v>80.832800000000006</v>
      </c>
      <c r="AU165">
        <v>74.680899999999994</v>
      </c>
      <c r="AV165">
        <v>1995.3577</v>
      </c>
      <c r="AW165">
        <v>5113.4296999999997</v>
      </c>
      <c r="AX165">
        <f t="shared" si="49"/>
        <v>267966.21537067997</v>
      </c>
      <c r="AY165">
        <f t="shared" si="50"/>
        <v>387241.56520990998</v>
      </c>
      <c r="AZ165">
        <f t="shared" si="51"/>
        <v>56857.247520239995</v>
      </c>
      <c r="BA165">
        <f t="shared" si="43"/>
        <v>5113.4296999999997</v>
      </c>
      <c r="BB165">
        <f t="shared" si="44"/>
        <v>0</v>
      </c>
      <c r="BC165">
        <f t="shared" si="45"/>
        <v>0</v>
      </c>
      <c r="BD165">
        <f t="shared" si="46"/>
        <v>0</v>
      </c>
      <c r="BE165">
        <f t="shared" si="47"/>
        <v>0</v>
      </c>
      <c r="BF165">
        <f t="shared" si="48"/>
        <v>0</v>
      </c>
      <c r="BG165">
        <f t="shared" si="52"/>
        <v>1415.00867053</v>
      </c>
      <c r="BH165">
        <f t="shared" si="53"/>
        <v>1383.55163401</v>
      </c>
      <c r="BI165">
        <f t="shared" si="54"/>
        <v>1346.0787174899999</v>
      </c>
      <c r="BJ165">
        <f t="shared" si="55"/>
        <v>1239.0156050999999</v>
      </c>
      <c r="BK165">
        <f t="shared" si="56"/>
        <v>1215.70106216</v>
      </c>
      <c r="BL165">
        <f t="shared" si="57"/>
        <v>1123.1783317299999</v>
      </c>
    </row>
    <row r="166" spans="1:64">
      <c r="A166" t="str">
        <f t="shared" si="42"/>
        <v>19</v>
      </c>
      <c r="B166" t="s">
        <v>605</v>
      </c>
      <c r="C166" t="s">
        <v>659</v>
      </c>
      <c r="D166">
        <v>55</v>
      </c>
      <c r="E166">
        <v>1</v>
      </c>
      <c r="F166">
        <v>6</v>
      </c>
      <c r="G166">
        <v>2</v>
      </c>
      <c r="H166">
        <v>200</v>
      </c>
      <c r="I166" t="s">
        <v>607</v>
      </c>
      <c r="J166">
        <v>0.31840000000000002</v>
      </c>
      <c r="K166">
        <v>274.88389999999998</v>
      </c>
      <c r="L166">
        <v>3.3300000000000003E-2</v>
      </c>
      <c r="M166">
        <v>0.42630000000000001</v>
      </c>
      <c r="N166">
        <v>34.871899999999997</v>
      </c>
      <c r="O166">
        <v>87.515100000000004</v>
      </c>
      <c r="P166">
        <v>332.78219999999999</v>
      </c>
      <c r="Q166">
        <v>238.50540000000001</v>
      </c>
      <c r="R166">
        <v>3.39E-2</v>
      </c>
      <c r="S166">
        <v>0.62649999999999995</v>
      </c>
      <c r="T166">
        <v>0.104</v>
      </c>
      <c r="U166">
        <v>3.5700000000000003E-2</v>
      </c>
      <c r="V166">
        <v>0.41799999999999998</v>
      </c>
      <c r="W166">
        <v>11.0121</v>
      </c>
      <c r="X166">
        <v>14.5243</v>
      </c>
      <c r="Y166">
        <v>12.710900000000001</v>
      </c>
      <c r="Z166">
        <v>16.4435</v>
      </c>
      <c r="AA166">
        <v>36.450400000000002</v>
      </c>
      <c r="AB166">
        <v>10.469200000000001</v>
      </c>
      <c r="AC166">
        <v>52.245699999999999</v>
      </c>
      <c r="AD166">
        <v>52.6175</v>
      </c>
      <c r="AE166">
        <v>0.53190000000000004</v>
      </c>
      <c r="AF166">
        <v>8700.8024000000005</v>
      </c>
      <c r="AG166">
        <v>65.914500000000004</v>
      </c>
      <c r="AH166">
        <v>1.0972</v>
      </c>
      <c r="AI166">
        <v>91.374300000000005</v>
      </c>
      <c r="AJ166">
        <v>73.2</v>
      </c>
      <c r="AK166">
        <v>86.242099999999994</v>
      </c>
      <c r="AL166">
        <v>1.4389000000000001</v>
      </c>
      <c r="AM166">
        <v>0.05</v>
      </c>
      <c r="AN166">
        <v>5.0000000000000001E-3</v>
      </c>
      <c r="AO166">
        <v>93.150599999999997</v>
      </c>
      <c r="AP166">
        <v>93.949600000000004</v>
      </c>
      <c r="AQ166">
        <v>91.776399999999995</v>
      </c>
      <c r="AR166">
        <v>89.286000000000001</v>
      </c>
      <c r="AS166">
        <v>81.623500000000007</v>
      </c>
      <c r="AT166">
        <v>79.920599999999993</v>
      </c>
      <c r="AU166">
        <v>73.715199999999996</v>
      </c>
      <c r="AV166">
        <v>1769.4722999999999</v>
      </c>
      <c r="AW166">
        <v>4628.0740999999998</v>
      </c>
      <c r="AX166">
        <f t="shared" si="49"/>
        <v>241796.97100636997</v>
      </c>
      <c r="AY166">
        <f t="shared" si="50"/>
        <v>305057.19026444998</v>
      </c>
      <c r="AZ166">
        <f t="shared" si="51"/>
        <v>50964.81479661</v>
      </c>
      <c r="BA166">
        <f t="shared" si="43"/>
        <v>4628.0740999999998</v>
      </c>
      <c r="BB166">
        <f t="shared" si="44"/>
        <v>0</v>
      </c>
      <c r="BC166">
        <f t="shared" si="45"/>
        <v>0</v>
      </c>
      <c r="BD166">
        <f t="shared" si="46"/>
        <v>0</v>
      </c>
      <c r="BE166">
        <f t="shared" si="47"/>
        <v>0</v>
      </c>
      <c r="BF166">
        <f t="shared" si="48"/>
        <v>0</v>
      </c>
      <c r="BG166">
        <f t="shared" si="52"/>
        <v>1364.55217528</v>
      </c>
      <c r="BH166">
        <f t="shared" si="53"/>
        <v>1332.9879665199999</v>
      </c>
      <c r="BI166">
        <f t="shared" si="54"/>
        <v>1296.8166498000001</v>
      </c>
      <c r="BJ166">
        <f t="shared" si="55"/>
        <v>1185.5242010500001</v>
      </c>
      <c r="BK166">
        <f t="shared" si="56"/>
        <v>1160.7907705799998</v>
      </c>
      <c r="BL166">
        <f t="shared" si="57"/>
        <v>1070.6616793599999</v>
      </c>
    </row>
    <row r="167" spans="1:64">
      <c r="A167" t="str">
        <f t="shared" si="42"/>
        <v>19</v>
      </c>
      <c r="B167" t="s">
        <v>605</v>
      </c>
      <c r="C167" t="s">
        <v>659</v>
      </c>
      <c r="D167">
        <v>66</v>
      </c>
      <c r="E167">
        <v>3</v>
      </c>
      <c r="F167">
        <v>6</v>
      </c>
      <c r="G167">
        <v>2</v>
      </c>
      <c r="H167">
        <v>200</v>
      </c>
      <c r="I167" t="s">
        <v>609</v>
      </c>
      <c r="J167">
        <v>0.30330000000000001</v>
      </c>
      <c r="K167">
        <v>150.33330000000001</v>
      </c>
      <c r="L167">
        <v>3.8399999999999997E-2</v>
      </c>
      <c r="M167">
        <v>0.69869999999999999</v>
      </c>
      <c r="N167">
        <v>34.543799999999997</v>
      </c>
      <c r="O167">
        <v>90.023700000000005</v>
      </c>
      <c r="P167">
        <v>356.5215</v>
      </c>
      <c r="Q167">
        <v>212.12129999999999</v>
      </c>
      <c r="R167">
        <v>3.2199999999999999E-2</v>
      </c>
      <c r="S167">
        <v>0.58609999999999995</v>
      </c>
      <c r="T167">
        <v>7.2700000000000001E-2</v>
      </c>
      <c r="U167">
        <v>9.5200000000000007E-2</v>
      </c>
      <c r="V167">
        <v>0.35659999999999997</v>
      </c>
      <c r="W167">
        <v>12.5375</v>
      </c>
      <c r="X167">
        <v>46.300600000000003</v>
      </c>
      <c r="Y167">
        <v>41.684800000000003</v>
      </c>
      <c r="Z167">
        <v>47.48</v>
      </c>
      <c r="AA167">
        <v>120.6735</v>
      </c>
      <c r="AB167">
        <v>19.151299999999999</v>
      </c>
      <c r="AC167">
        <v>40.357799999999997</v>
      </c>
      <c r="AD167">
        <v>79.770600000000002</v>
      </c>
      <c r="AE167">
        <v>2.0594999999999999</v>
      </c>
      <c r="AF167">
        <v>7413.1953000000003</v>
      </c>
      <c r="AG167">
        <v>75.746499999999997</v>
      </c>
      <c r="AH167">
        <v>1.9052</v>
      </c>
      <c r="AI167">
        <v>89.843199999999996</v>
      </c>
      <c r="AJ167">
        <v>73.2</v>
      </c>
      <c r="AK167">
        <v>82.997200000000007</v>
      </c>
      <c r="AL167">
        <v>1.2168000000000001</v>
      </c>
      <c r="AM167">
        <v>0.05</v>
      </c>
      <c r="AN167">
        <v>3.3E-3</v>
      </c>
      <c r="AO167">
        <v>96.063199999999995</v>
      </c>
      <c r="AP167">
        <v>94.711399999999998</v>
      </c>
      <c r="AQ167">
        <v>93.243899999999996</v>
      </c>
      <c r="AR167">
        <v>90.890799999999999</v>
      </c>
      <c r="AS167">
        <v>85.586799999999997</v>
      </c>
      <c r="AT167">
        <v>84.725300000000004</v>
      </c>
      <c r="AU167">
        <v>79.930700000000002</v>
      </c>
      <c r="AV167">
        <v>6104.3576000000003</v>
      </c>
      <c r="AW167">
        <v>15266.8922</v>
      </c>
      <c r="AX167">
        <f t="shared" si="49"/>
        <v>616138.18202915997</v>
      </c>
      <c r="AY167">
        <f t="shared" si="50"/>
        <v>1156413.6500273</v>
      </c>
      <c r="AZ167">
        <f t="shared" si="51"/>
        <v>191408.66095749999</v>
      </c>
      <c r="BA167">
        <f t="shared" si="43"/>
        <v>0</v>
      </c>
      <c r="BB167">
        <f t="shared" si="44"/>
        <v>0</v>
      </c>
      <c r="BC167">
        <f t="shared" si="45"/>
        <v>15266.8922</v>
      </c>
      <c r="BD167">
        <f t="shared" si="46"/>
        <v>0</v>
      </c>
      <c r="BE167">
        <f t="shared" si="47"/>
        <v>0</v>
      </c>
      <c r="BF167">
        <f t="shared" si="48"/>
        <v>0</v>
      </c>
      <c r="BG167">
        <f t="shared" si="52"/>
        <v>4385.1946468400001</v>
      </c>
      <c r="BH167">
        <f t="shared" si="53"/>
        <v>4317.2485163399997</v>
      </c>
      <c r="BI167">
        <f t="shared" si="54"/>
        <v>4208.2985744799998</v>
      </c>
      <c r="BJ167">
        <f t="shared" si="55"/>
        <v>3962.7201920800003</v>
      </c>
      <c r="BK167">
        <f t="shared" si="56"/>
        <v>3922.8322251800005</v>
      </c>
      <c r="BL167">
        <f t="shared" si="57"/>
        <v>3700.8393684200005</v>
      </c>
    </row>
    <row r="168" spans="1:64">
      <c r="A168" t="str">
        <f t="shared" si="42"/>
        <v>19</v>
      </c>
      <c r="B168" t="s">
        <v>605</v>
      </c>
      <c r="C168" t="s">
        <v>659</v>
      </c>
      <c r="D168">
        <v>66</v>
      </c>
      <c r="E168">
        <v>3</v>
      </c>
      <c r="F168">
        <v>6</v>
      </c>
      <c r="G168">
        <v>2</v>
      </c>
      <c r="H168">
        <v>200</v>
      </c>
      <c r="I168" t="s">
        <v>617</v>
      </c>
      <c r="J168">
        <v>0.35160000000000002</v>
      </c>
      <c r="K168">
        <v>163.49010000000001</v>
      </c>
      <c r="L168">
        <v>3.8600000000000002E-2</v>
      </c>
      <c r="M168">
        <v>1.0136000000000001</v>
      </c>
      <c r="N168">
        <v>34.698599999999999</v>
      </c>
      <c r="O168">
        <v>90.036299999999997</v>
      </c>
      <c r="P168">
        <v>345.51710000000003</v>
      </c>
      <c r="Q168">
        <v>214.0797</v>
      </c>
      <c r="R168">
        <v>3.1899999999999998E-2</v>
      </c>
      <c r="S168">
        <v>0.65800000000000003</v>
      </c>
      <c r="T168">
        <v>7.5300000000000006E-2</v>
      </c>
      <c r="U168">
        <v>0.1326</v>
      </c>
      <c r="V168">
        <v>0.4098</v>
      </c>
      <c r="W168">
        <v>12.8415</v>
      </c>
      <c r="X168">
        <v>0.34389999999999998</v>
      </c>
      <c r="Y168">
        <v>0.30959999999999999</v>
      </c>
      <c r="Z168">
        <v>0.34960000000000002</v>
      </c>
      <c r="AA168">
        <v>0.89219999999999999</v>
      </c>
      <c r="AB168">
        <v>14.474600000000001</v>
      </c>
      <c r="AC168">
        <v>39.988300000000002</v>
      </c>
      <c r="AD168">
        <v>82.344300000000004</v>
      </c>
      <c r="AE168">
        <v>1.3299999999999999E-2</v>
      </c>
      <c r="AF168">
        <v>7373.9362000000001</v>
      </c>
      <c r="AG168">
        <v>75.887100000000004</v>
      </c>
      <c r="AH168">
        <v>1.3299999999999999E-2</v>
      </c>
      <c r="AI168">
        <v>90.058899999999994</v>
      </c>
      <c r="AJ168">
        <v>73.2</v>
      </c>
      <c r="AK168">
        <v>83.450400000000002</v>
      </c>
      <c r="AL168">
        <v>1.1514</v>
      </c>
      <c r="AM168">
        <v>0.05</v>
      </c>
      <c r="AN168">
        <v>5.0000000000000001E-3</v>
      </c>
      <c r="AO168">
        <v>96.262500000000003</v>
      </c>
      <c r="AP168">
        <v>94.852900000000005</v>
      </c>
      <c r="AQ168">
        <v>93.344099999999997</v>
      </c>
      <c r="AR168">
        <v>91.118099999999998</v>
      </c>
      <c r="AS168">
        <v>85.813599999999994</v>
      </c>
      <c r="AT168">
        <v>84.900899999999993</v>
      </c>
      <c r="AU168">
        <v>80.160700000000006</v>
      </c>
      <c r="AV168">
        <v>39.327599999999997</v>
      </c>
      <c r="AW168">
        <v>97.806600000000003</v>
      </c>
      <c r="AX168">
        <f t="shared" si="49"/>
        <v>3911.1196627800005</v>
      </c>
      <c r="AY168">
        <f t="shared" si="50"/>
        <v>7422.259234860001</v>
      </c>
      <c r="AZ168">
        <f t="shared" si="51"/>
        <v>1255.9834539000001</v>
      </c>
      <c r="BA168">
        <f t="shared" si="43"/>
        <v>0</v>
      </c>
      <c r="BB168">
        <f t="shared" si="44"/>
        <v>0</v>
      </c>
      <c r="BC168">
        <f t="shared" si="45"/>
        <v>97.806600000000003</v>
      </c>
      <c r="BD168">
        <f t="shared" si="46"/>
        <v>0</v>
      </c>
      <c r="BE168">
        <f t="shared" si="47"/>
        <v>0</v>
      </c>
      <c r="BF168">
        <f t="shared" si="48"/>
        <v>0</v>
      </c>
      <c r="BG168">
        <f t="shared" si="52"/>
        <v>32.619912310000004</v>
      </c>
      <c r="BH168">
        <f t="shared" si="53"/>
        <v>32.10103599</v>
      </c>
      <c r="BI168">
        <f t="shared" si="54"/>
        <v>31.335514589999999</v>
      </c>
      <c r="BJ168">
        <f t="shared" si="55"/>
        <v>29.511297039999995</v>
      </c>
      <c r="BK168">
        <f t="shared" si="56"/>
        <v>29.197419509999996</v>
      </c>
      <c r="BL168">
        <f t="shared" si="57"/>
        <v>27.567264730000002</v>
      </c>
    </row>
    <row r="169" spans="1:64">
      <c r="A169" t="str">
        <f t="shared" si="42"/>
        <v>19</v>
      </c>
      <c r="B169" t="s">
        <v>605</v>
      </c>
      <c r="C169" t="s">
        <v>659</v>
      </c>
      <c r="D169">
        <v>66</v>
      </c>
      <c r="E169">
        <v>3</v>
      </c>
      <c r="F169">
        <v>6</v>
      </c>
      <c r="G169">
        <v>2</v>
      </c>
      <c r="H169">
        <v>200</v>
      </c>
      <c r="I169" t="s">
        <v>607</v>
      </c>
      <c r="J169">
        <v>0.39579999999999999</v>
      </c>
      <c r="K169">
        <v>129.77090000000001</v>
      </c>
      <c r="L169">
        <v>3.6200000000000003E-2</v>
      </c>
      <c r="M169">
        <v>0.98309999999999997</v>
      </c>
      <c r="N169">
        <v>34.461399999999998</v>
      </c>
      <c r="O169">
        <v>90.205500000000001</v>
      </c>
      <c r="P169">
        <v>351.91309999999999</v>
      </c>
      <c r="Q169">
        <v>210.1583</v>
      </c>
      <c r="R169">
        <v>3.2300000000000002E-2</v>
      </c>
      <c r="S169">
        <v>0.69259999999999999</v>
      </c>
      <c r="T169">
        <v>7.3099999999999998E-2</v>
      </c>
      <c r="U169">
        <v>0.12709999999999999</v>
      </c>
      <c r="V169">
        <v>0.44130000000000003</v>
      </c>
      <c r="W169">
        <v>12.846399999999999</v>
      </c>
      <c r="X169">
        <v>2.2410000000000001</v>
      </c>
      <c r="Y169">
        <v>2.0215000000000001</v>
      </c>
      <c r="Z169">
        <v>2.1808000000000001</v>
      </c>
      <c r="AA169">
        <v>5.8659999999999997</v>
      </c>
      <c r="AB169">
        <v>21.713200000000001</v>
      </c>
      <c r="AC169">
        <v>38.982700000000001</v>
      </c>
      <c r="AD169">
        <v>82.879900000000006</v>
      </c>
      <c r="AE169">
        <v>7.7799999999999994E-2</v>
      </c>
      <c r="AF169">
        <v>7276.1813000000002</v>
      </c>
      <c r="AG169">
        <v>75.840999999999994</v>
      </c>
      <c r="AH169">
        <v>6.0400000000000002E-2</v>
      </c>
      <c r="AI169">
        <v>89.474199999999996</v>
      </c>
      <c r="AJ169">
        <v>73.2</v>
      </c>
      <c r="AK169">
        <v>82.2239</v>
      </c>
      <c r="AL169">
        <v>1.1456999999999999</v>
      </c>
      <c r="AM169">
        <v>0.05</v>
      </c>
      <c r="AN169">
        <v>5.0000000000000001E-3</v>
      </c>
      <c r="AO169">
        <v>96.605199999999996</v>
      </c>
      <c r="AP169">
        <v>94.905100000000004</v>
      </c>
      <c r="AQ169">
        <v>93.389099999999999</v>
      </c>
      <c r="AR169">
        <v>91.212500000000006</v>
      </c>
      <c r="AS169">
        <v>85.865700000000004</v>
      </c>
      <c r="AT169">
        <v>84.917299999999997</v>
      </c>
      <c r="AU169">
        <v>80.250399999999999</v>
      </c>
      <c r="AV169">
        <v>228.32560000000001</v>
      </c>
      <c r="AW169">
        <v>566.15959999999995</v>
      </c>
      <c r="AX169">
        <f t="shared" si="49"/>
        <v>22070.429838919998</v>
      </c>
      <c r="AY169">
        <f t="shared" si="50"/>
        <v>42938.110223599993</v>
      </c>
      <c r="AZ169">
        <f t="shared" si="51"/>
        <v>7273.112685439999</v>
      </c>
      <c r="BA169">
        <f t="shared" si="43"/>
        <v>0</v>
      </c>
      <c r="BB169">
        <f t="shared" si="44"/>
        <v>0</v>
      </c>
      <c r="BC169">
        <f t="shared" si="45"/>
        <v>566.15959999999995</v>
      </c>
      <c r="BD169">
        <f t="shared" si="46"/>
        <v>0</v>
      </c>
      <c r="BE169">
        <f t="shared" si="47"/>
        <v>0</v>
      </c>
      <c r="BF169">
        <f t="shared" si="48"/>
        <v>0</v>
      </c>
      <c r="BG169">
        <f t="shared" si="52"/>
        <v>212.68232910000003</v>
      </c>
      <c r="BH169">
        <f t="shared" si="53"/>
        <v>209.2849731</v>
      </c>
      <c r="BI169">
        <f t="shared" si="54"/>
        <v>204.40721250000001</v>
      </c>
      <c r="BJ169">
        <f t="shared" si="55"/>
        <v>192.42503370000003</v>
      </c>
      <c r="BK169">
        <f t="shared" si="56"/>
        <v>190.29966930000001</v>
      </c>
      <c r="BL169">
        <f t="shared" si="57"/>
        <v>179.84114640000001</v>
      </c>
    </row>
    <row r="170" spans="1:64">
      <c r="A170" t="str">
        <f t="shared" si="42"/>
        <v>20</v>
      </c>
      <c r="B170" t="s">
        <v>605</v>
      </c>
      <c r="C170" t="s">
        <v>660</v>
      </c>
      <c r="D170">
        <v>55</v>
      </c>
      <c r="E170">
        <v>1</v>
      </c>
      <c r="F170">
        <v>6</v>
      </c>
      <c r="G170">
        <v>2</v>
      </c>
      <c r="H170">
        <v>100</v>
      </c>
      <c r="I170" t="s">
        <v>609</v>
      </c>
      <c r="J170">
        <v>0.30609999999999998</v>
      </c>
      <c r="K170">
        <v>225.92179999999999</v>
      </c>
      <c r="L170">
        <v>3.09E-2</v>
      </c>
      <c r="M170">
        <v>0.39650000000000002</v>
      </c>
      <c r="N170">
        <v>35.007399999999997</v>
      </c>
      <c r="O170">
        <v>87.245199999999997</v>
      </c>
      <c r="P170">
        <v>342.02760000000001</v>
      </c>
      <c r="Q170">
        <v>241.66730000000001</v>
      </c>
      <c r="R170">
        <v>3.3700000000000001E-2</v>
      </c>
      <c r="S170">
        <v>0.52229999999999999</v>
      </c>
      <c r="T170">
        <v>9.5100000000000004E-2</v>
      </c>
      <c r="U170">
        <v>3.3700000000000001E-2</v>
      </c>
      <c r="V170">
        <v>0.3831</v>
      </c>
      <c r="W170">
        <v>11.026999999999999</v>
      </c>
      <c r="X170">
        <v>20.070499999999999</v>
      </c>
      <c r="Y170">
        <v>17.5105</v>
      </c>
      <c r="Z170">
        <v>21.8383</v>
      </c>
      <c r="AA170">
        <v>50.017699999999998</v>
      </c>
      <c r="AB170">
        <v>10.778</v>
      </c>
      <c r="AC170">
        <v>53.324800000000003</v>
      </c>
      <c r="AD170">
        <v>51.7605</v>
      </c>
      <c r="AE170">
        <v>0.76780000000000004</v>
      </c>
      <c r="AF170">
        <v>8767.6236000000008</v>
      </c>
      <c r="AG170">
        <v>67.295199999999994</v>
      </c>
      <c r="AH170">
        <v>1.2976000000000001</v>
      </c>
      <c r="AI170">
        <v>90.809700000000007</v>
      </c>
      <c r="AJ170">
        <v>73.2</v>
      </c>
      <c r="AK170">
        <v>85.043000000000006</v>
      </c>
      <c r="AL170">
        <v>1.43</v>
      </c>
      <c r="AM170">
        <v>0.05</v>
      </c>
      <c r="AN170">
        <v>5.0000000000000001E-3</v>
      </c>
      <c r="AO170">
        <v>93.626099999999994</v>
      </c>
      <c r="AP170">
        <v>93.840199999999996</v>
      </c>
      <c r="AQ170">
        <v>91.666200000000003</v>
      </c>
      <c r="AR170">
        <v>89.139499999999998</v>
      </c>
      <c r="AS170">
        <v>81.369699999999995</v>
      </c>
      <c r="AT170">
        <v>79.598200000000006</v>
      </c>
      <c r="AU170">
        <v>73.296099999999996</v>
      </c>
      <c r="AV170">
        <v>2612.2755000000002</v>
      </c>
      <c r="AW170">
        <v>6731.3774000000003</v>
      </c>
      <c r="AX170">
        <f t="shared" si="49"/>
        <v>358949.35357952002</v>
      </c>
      <c r="AY170">
        <f t="shared" si="50"/>
        <v>452989.38840847998</v>
      </c>
      <c r="AZ170">
        <f t="shared" si="51"/>
        <v>74226.898589799996</v>
      </c>
      <c r="BA170">
        <f t="shared" si="43"/>
        <v>6731.3774000000003</v>
      </c>
      <c r="BB170">
        <f t="shared" si="44"/>
        <v>0</v>
      </c>
      <c r="BC170">
        <f t="shared" si="45"/>
        <v>0</v>
      </c>
      <c r="BD170">
        <f t="shared" si="46"/>
        <v>0</v>
      </c>
      <c r="BE170">
        <f t="shared" si="47"/>
        <v>0</v>
      </c>
      <c r="BF170">
        <f t="shared" si="48"/>
        <v>0</v>
      </c>
      <c r="BG170">
        <f t="shared" si="52"/>
        <v>1883.4197340999999</v>
      </c>
      <c r="BH170">
        <f t="shared" si="53"/>
        <v>1839.7864671</v>
      </c>
      <c r="BI170">
        <f t="shared" si="54"/>
        <v>1789.0743347499999</v>
      </c>
      <c r="BJ170">
        <f t="shared" si="55"/>
        <v>1633.1305638499998</v>
      </c>
      <c r="BK170">
        <f t="shared" si="56"/>
        <v>1597.5756731000001</v>
      </c>
      <c r="BL170">
        <f t="shared" si="57"/>
        <v>1471.0893750499999</v>
      </c>
    </row>
    <row r="171" spans="1:64">
      <c r="A171" t="str">
        <f t="shared" si="42"/>
        <v>20</v>
      </c>
      <c r="B171" t="s">
        <v>605</v>
      </c>
      <c r="C171" t="s">
        <v>660</v>
      </c>
      <c r="D171">
        <v>55</v>
      </c>
      <c r="E171">
        <v>1</v>
      </c>
      <c r="F171">
        <v>6</v>
      </c>
      <c r="G171">
        <v>2</v>
      </c>
      <c r="H171">
        <v>100</v>
      </c>
      <c r="I171" t="s">
        <v>607</v>
      </c>
      <c r="J171">
        <v>0.39400000000000002</v>
      </c>
      <c r="K171">
        <v>232.2611</v>
      </c>
      <c r="L171">
        <v>3.3000000000000002E-2</v>
      </c>
      <c r="M171">
        <v>0.4924</v>
      </c>
      <c r="N171">
        <v>35.3611</v>
      </c>
      <c r="O171">
        <v>87.784899999999993</v>
      </c>
      <c r="P171">
        <v>359.65309999999999</v>
      </c>
      <c r="Q171">
        <v>238.6806</v>
      </c>
      <c r="R171">
        <v>3.7199999999999997E-2</v>
      </c>
      <c r="S171">
        <v>0.6633</v>
      </c>
      <c r="T171">
        <v>0.12939999999999999</v>
      </c>
      <c r="U171">
        <v>3.5999999999999997E-2</v>
      </c>
      <c r="V171">
        <v>0.45190000000000002</v>
      </c>
      <c r="W171">
        <v>10.941700000000001</v>
      </c>
      <c r="X171">
        <v>26.789300000000001</v>
      </c>
      <c r="Y171">
        <v>23.519500000000001</v>
      </c>
      <c r="Z171">
        <v>28.250499999999999</v>
      </c>
      <c r="AA171">
        <v>66.497600000000006</v>
      </c>
      <c r="AB171">
        <v>50.092799999999997</v>
      </c>
      <c r="AC171">
        <v>52.579099999999997</v>
      </c>
      <c r="AD171">
        <v>53.702399999999997</v>
      </c>
      <c r="AE171">
        <v>0.84079999999999999</v>
      </c>
      <c r="AF171">
        <v>8733.3214000000007</v>
      </c>
      <c r="AG171">
        <v>65.856399999999994</v>
      </c>
      <c r="AH171">
        <v>1.4587000000000001</v>
      </c>
      <c r="AI171">
        <v>90.826999999999998</v>
      </c>
      <c r="AJ171">
        <v>73.2</v>
      </c>
      <c r="AK171">
        <v>85.083299999999994</v>
      </c>
      <c r="AL171">
        <v>1.4404999999999999</v>
      </c>
      <c r="AM171">
        <v>0.05</v>
      </c>
      <c r="AN171">
        <v>5.0000000000000001E-3</v>
      </c>
      <c r="AO171">
        <v>93.053799999999995</v>
      </c>
      <c r="AP171">
        <v>93.985799999999998</v>
      </c>
      <c r="AQ171">
        <v>91.882400000000004</v>
      </c>
      <c r="AR171">
        <v>89.544499999999999</v>
      </c>
      <c r="AS171">
        <v>82.2958</v>
      </c>
      <c r="AT171">
        <v>80.583600000000004</v>
      </c>
      <c r="AU171">
        <v>74.895300000000006</v>
      </c>
      <c r="AV171">
        <v>2847.4585000000002</v>
      </c>
      <c r="AW171">
        <v>7343.3100999999997</v>
      </c>
      <c r="AX171">
        <f t="shared" si="49"/>
        <v>386104.63607890997</v>
      </c>
      <c r="AY171">
        <f t="shared" si="50"/>
        <v>483603.96726963995</v>
      </c>
      <c r="AZ171">
        <f t="shared" si="51"/>
        <v>80348.296121170002</v>
      </c>
      <c r="BA171">
        <f t="shared" si="43"/>
        <v>7343.3100999999997</v>
      </c>
      <c r="BB171">
        <f t="shared" si="44"/>
        <v>0</v>
      </c>
      <c r="BC171">
        <f t="shared" si="45"/>
        <v>0</v>
      </c>
      <c r="BD171">
        <f t="shared" si="46"/>
        <v>0</v>
      </c>
      <c r="BE171">
        <f t="shared" si="47"/>
        <v>0</v>
      </c>
      <c r="BF171">
        <f t="shared" si="48"/>
        <v>0</v>
      </c>
      <c r="BG171">
        <f t="shared" si="52"/>
        <v>2517.8137919400001</v>
      </c>
      <c r="BH171">
        <f t="shared" si="53"/>
        <v>2461.4651783200002</v>
      </c>
      <c r="BI171">
        <f t="shared" si="54"/>
        <v>2398.83447385</v>
      </c>
      <c r="BJ171">
        <f t="shared" si="55"/>
        <v>2204.6468749400001</v>
      </c>
      <c r="BK171">
        <f t="shared" si="56"/>
        <v>2158.7782354800001</v>
      </c>
      <c r="BL171">
        <f t="shared" si="57"/>
        <v>2006.3926602900003</v>
      </c>
    </row>
    <row r="172" spans="1:64">
      <c r="A172" t="str">
        <f t="shared" si="42"/>
        <v>20</v>
      </c>
      <c r="B172" t="s">
        <v>605</v>
      </c>
      <c r="C172" t="s">
        <v>660</v>
      </c>
      <c r="D172">
        <v>55</v>
      </c>
      <c r="E172">
        <v>1</v>
      </c>
      <c r="F172">
        <v>6</v>
      </c>
      <c r="G172">
        <v>2</v>
      </c>
      <c r="H172">
        <v>200</v>
      </c>
      <c r="I172" t="s">
        <v>609</v>
      </c>
      <c r="J172">
        <v>0.29039999999999999</v>
      </c>
      <c r="K172">
        <v>146.73910000000001</v>
      </c>
      <c r="L172">
        <v>3.7999999999999999E-2</v>
      </c>
      <c r="M172">
        <v>0.50090000000000001</v>
      </c>
      <c r="N172">
        <v>34.560600000000001</v>
      </c>
      <c r="O172">
        <v>87.821399999999997</v>
      </c>
      <c r="P172">
        <v>358.95699999999999</v>
      </c>
      <c r="Q172">
        <v>237.44880000000001</v>
      </c>
      <c r="R172">
        <v>3.2399999999999998E-2</v>
      </c>
      <c r="S172">
        <v>0.59750000000000003</v>
      </c>
      <c r="T172">
        <v>8.9899999999999994E-2</v>
      </c>
      <c r="U172">
        <v>3.7499999999999999E-2</v>
      </c>
      <c r="V172">
        <v>0.34370000000000001</v>
      </c>
      <c r="W172">
        <v>11.1364</v>
      </c>
      <c r="X172">
        <v>18.812100000000001</v>
      </c>
      <c r="Y172">
        <v>16.521599999999999</v>
      </c>
      <c r="Z172">
        <v>18.942399999999999</v>
      </c>
      <c r="AA172">
        <v>47.805399999999999</v>
      </c>
      <c r="AB172">
        <v>9.0625999999999998</v>
      </c>
      <c r="AC172">
        <v>52.526699999999998</v>
      </c>
      <c r="AD172">
        <v>50.962800000000001</v>
      </c>
      <c r="AE172">
        <v>0.76080000000000003</v>
      </c>
      <c r="AF172">
        <v>8513.9050000000007</v>
      </c>
      <c r="AG172">
        <v>75.065200000000004</v>
      </c>
      <c r="AH172">
        <v>0.78769999999999996</v>
      </c>
      <c r="AI172">
        <v>89.785200000000003</v>
      </c>
      <c r="AJ172">
        <v>73.2</v>
      </c>
      <c r="AK172">
        <v>82.875100000000003</v>
      </c>
      <c r="AL172">
        <v>1.3311999999999999</v>
      </c>
      <c r="AM172">
        <v>0.05</v>
      </c>
      <c r="AN172">
        <v>5.0000000000000001E-3</v>
      </c>
      <c r="AO172">
        <v>97.679900000000004</v>
      </c>
      <c r="AP172">
        <v>94.048500000000004</v>
      </c>
      <c r="AQ172">
        <v>91.959299999999999</v>
      </c>
      <c r="AR172">
        <v>89.461699999999993</v>
      </c>
      <c r="AS172">
        <v>82.374499999999998</v>
      </c>
      <c r="AT172">
        <v>80.837299999999999</v>
      </c>
      <c r="AU172">
        <v>74.647499999999994</v>
      </c>
      <c r="AV172">
        <v>2532.8742000000002</v>
      </c>
      <c r="AW172">
        <v>6476.9731000000002</v>
      </c>
      <c r="AX172">
        <f t="shared" si="49"/>
        <v>340214.02293177001</v>
      </c>
      <c r="AY172">
        <f t="shared" si="50"/>
        <v>486195.28114612005</v>
      </c>
      <c r="AZ172">
        <f t="shared" si="51"/>
        <v>72130.16323084</v>
      </c>
      <c r="BA172">
        <f t="shared" si="43"/>
        <v>6476.9731000000002</v>
      </c>
      <c r="BB172">
        <f t="shared" si="44"/>
        <v>0</v>
      </c>
      <c r="BC172">
        <f t="shared" si="45"/>
        <v>0</v>
      </c>
      <c r="BD172">
        <f t="shared" si="46"/>
        <v>0</v>
      </c>
      <c r="BE172">
        <f t="shared" si="47"/>
        <v>0</v>
      </c>
      <c r="BF172">
        <f t="shared" si="48"/>
        <v>0</v>
      </c>
      <c r="BG172">
        <f t="shared" si="52"/>
        <v>1769.2497868500002</v>
      </c>
      <c r="BH172">
        <f t="shared" si="53"/>
        <v>1729.9475475300001</v>
      </c>
      <c r="BI172">
        <f t="shared" si="54"/>
        <v>1682.9624465699999</v>
      </c>
      <c r="BJ172">
        <f t="shared" si="55"/>
        <v>1549.6373314499999</v>
      </c>
      <c r="BK172">
        <f t="shared" si="56"/>
        <v>1520.7193713300001</v>
      </c>
      <c r="BL172">
        <f t="shared" si="57"/>
        <v>1404.27623475</v>
      </c>
    </row>
    <row r="173" spans="1:64">
      <c r="A173" t="str">
        <f t="shared" si="42"/>
        <v>20</v>
      </c>
      <c r="B173" t="s">
        <v>605</v>
      </c>
      <c r="C173" t="s">
        <v>660</v>
      </c>
      <c r="D173">
        <v>55</v>
      </c>
      <c r="E173">
        <v>1</v>
      </c>
      <c r="F173">
        <v>6</v>
      </c>
      <c r="G173">
        <v>2</v>
      </c>
      <c r="H173">
        <v>200</v>
      </c>
      <c r="I173" t="s">
        <v>607</v>
      </c>
      <c r="J173">
        <v>0.31840000000000002</v>
      </c>
      <c r="K173">
        <v>274.88389999999998</v>
      </c>
      <c r="L173">
        <v>3.3300000000000003E-2</v>
      </c>
      <c r="M173">
        <v>0.42630000000000001</v>
      </c>
      <c r="N173">
        <v>34.871899999999997</v>
      </c>
      <c r="O173">
        <v>87.515100000000004</v>
      </c>
      <c r="P173">
        <v>332.78219999999999</v>
      </c>
      <c r="Q173">
        <v>238.50540000000001</v>
      </c>
      <c r="R173">
        <v>3.39E-2</v>
      </c>
      <c r="S173">
        <v>0.62649999999999995</v>
      </c>
      <c r="T173">
        <v>0.104</v>
      </c>
      <c r="U173">
        <v>3.5700000000000003E-2</v>
      </c>
      <c r="V173">
        <v>0.41799999999999998</v>
      </c>
      <c r="W173">
        <v>11.0121</v>
      </c>
      <c r="X173">
        <v>1.0353000000000001</v>
      </c>
      <c r="Y173">
        <v>0.90600000000000003</v>
      </c>
      <c r="Z173">
        <v>1.1720999999999999</v>
      </c>
      <c r="AA173">
        <v>2.5981000000000001</v>
      </c>
      <c r="AB173">
        <v>10.469200000000001</v>
      </c>
      <c r="AC173">
        <v>52.245699999999999</v>
      </c>
      <c r="AD173">
        <v>52.6175</v>
      </c>
      <c r="AE173">
        <v>3.7900000000000003E-2</v>
      </c>
      <c r="AF173">
        <v>8700.8024000000005</v>
      </c>
      <c r="AG173">
        <v>65.914500000000004</v>
      </c>
      <c r="AH173">
        <v>7.8200000000000006E-2</v>
      </c>
      <c r="AI173">
        <v>91.374300000000005</v>
      </c>
      <c r="AJ173">
        <v>73.2</v>
      </c>
      <c r="AK173">
        <v>86.242099999999994</v>
      </c>
      <c r="AL173">
        <v>1.4389000000000001</v>
      </c>
      <c r="AM173">
        <v>0.05</v>
      </c>
      <c r="AN173">
        <v>5.0000000000000001E-3</v>
      </c>
      <c r="AO173">
        <v>93.150599999999997</v>
      </c>
      <c r="AP173">
        <v>93.949600000000004</v>
      </c>
      <c r="AQ173">
        <v>91.776399999999995</v>
      </c>
      <c r="AR173">
        <v>89.286000000000001</v>
      </c>
      <c r="AS173">
        <v>81.623500000000007</v>
      </c>
      <c r="AT173">
        <v>79.920599999999993</v>
      </c>
      <c r="AU173">
        <v>73.715199999999996</v>
      </c>
      <c r="AV173">
        <v>126.1247</v>
      </c>
      <c r="AW173">
        <v>329.88040000000001</v>
      </c>
      <c r="AX173">
        <f t="shared" si="49"/>
        <v>17234.832414280001</v>
      </c>
      <c r="AY173">
        <f t="shared" si="50"/>
        <v>21743.901625800001</v>
      </c>
      <c r="AZ173">
        <f t="shared" si="51"/>
        <v>3632.6759528400003</v>
      </c>
      <c r="BA173">
        <f t="shared" si="43"/>
        <v>329.88040000000001</v>
      </c>
      <c r="BB173">
        <f t="shared" si="44"/>
        <v>0</v>
      </c>
      <c r="BC173">
        <f t="shared" si="45"/>
        <v>0</v>
      </c>
      <c r="BD173">
        <f t="shared" si="46"/>
        <v>0</v>
      </c>
      <c r="BE173">
        <f t="shared" si="47"/>
        <v>0</v>
      </c>
      <c r="BF173">
        <f t="shared" si="48"/>
        <v>0</v>
      </c>
      <c r="BG173">
        <f t="shared" si="52"/>
        <v>97.266020880000013</v>
      </c>
      <c r="BH173">
        <f t="shared" si="53"/>
        <v>95.016106919999999</v>
      </c>
      <c r="BI173">
        <f t="shared" si="54"/>
        <v>92.437795800000018</v>
      </c>
      <c r="BJ173">
        <f t="shared" si="55"/>
        <v>84.504809550000019</v>
      </c>
      <c r="BK173">
        <f t="shared" si="56"/>
        <v>82.741797180000006</v>
      </c>
      <c r="BL173">
        <f t="shared" si="57"/>
        <v>76.317346560000004</v>
      </c>
    </row>
    <row r="174" spans="1:64">
      <c r="A174" t="str">
        <f t="shared" si="42"/>
        <v>20</v>
      </c>
      <c r="B174" t="s">
        <v>605</v>
      </c>
      <c r="C174" t="s">
        <v>660</v>
      </c>
      <c r="D174">
        <v>66</v>
      </c>
      <c r="E174">
        <v>3</v>
      </c>
      <c r="F174">
        <v>6</v>
      </c>
      <c r="G174">
        <v>2</v>
      </c>
      <c r="H174">
        <v>200</v>
      </c>
      <c r="I174" t="s">
        <v>609</v>
      </c>
      <c r="J174">
        <v>0.29949999999999999</v>
      </c>
      <c r="K174">
        <v>157.6121</v>
      </c>
      <c r="L174">
        <v>3.9899999999999998E-2</v>
      </c>
      <c r="M174">
        <v>0.73119999999999996</v>
      </c>
      <c r="N174">
        <v>34.932499999999997</v>
      </c>
      <c r="O174">
        <v>89.980599999999995</v>
      </c>
      <c r="P174">
        <v>352.16399999999999</v>
      </c>
      <c r="Q174">
        <v>212.34950000000001</v>
      </c>
      <c r="R174">
        <v>3.0099999999999998E-2</v>
      </c>
      <c r="S174">
        <v>0.53720000000000001</v>
      </c>
      <c r="T174">
        <v>7.0000000000000007E-2</v>
      </c>
      <c r="U174">
        <v>0.1169</v>
      </c>
      <c r="V174">
        <v>0.3548</v>
      </c>
      <c r="W174">
        <v>12.5296</v>
      </c>
      <c r="X174">
        <v>28.906600000000001</v>
      </c>
      <c r="Y174">
        <v>26.011399999999998</v>
      </c>
      <c r="Z174">
        <v>29.936699999999998</v>
      </c>
      <c r="AA174">
        <v>74.492599999999996</v>
      </c>
      <c r="AB174">
        <v>23.206</v>
      </c>
      <c r="AC174">
        <v>40.427500000000002</v>
      </c>
      <c r="AD174">
        <v>78.980199999999996</v>
      </c>
      <c r="AE174">
        <v>1.3039000000000001</v>
      </c>
      <c r="AF174">
        <v>7422.4354000000003</v>
      </c>
      <c r="AG174">
        <v>75.639300000000006</v>
      </c>
      <c r="AH174">
        <v>1.27</v>
      </c>
      <c r="AI174">
        <v>89.9649</v>
      </c>
      <c r="AJ174">
        <v>73.2</v>
      </c>
      <c r="AK174">
        <v>83.252700000000004</v>
      </c>
      <c r="AL174">
        <v>1.2142999999999999</v>
      </c>
      <c r="AM174">
        <v>0.05</v>
      </c>
      <c r="AN174">
        <v>2E-3</v>
      </c>
      <c r="AO174">
        <v>95.985100000000003</v>
      </c>
      <c r="AP174">
        <v>94.723299999999995</v>
      </c>
      <c r="AQ174">
        <v>93.2714</v>
      </c>
      <c r="AR174">
        <v>90.846400000000003</v>
      </c>
      <c r="AS174">
        <v>85.4529</v>
      </c>
      <c r="AT174">
        <v>84.587100000000007</v>
      </c>
      <c r="AU174">
        <v>79.727800000000002</v>
      </c>
      <c r="AV174">
        <v>3862.0101</v>
      </c>
      <c r="AW174">
        <v>9678.2160000000003</v>
      </c>
      <c r="AX174">
        <f t="shared" si="49"/>
        <v>391266.07734000002</v>
      </c>
      <c r="AY174">
        <f t="shared" si="50"/>
        <v>732053.48348880012</v>
      </c>
      <c r="AZ174">
        <f t="shared" si="51"/>
        <v>121264.17519360001</v>
      </c>
      <c r="BA174">
        <f t="shared" si="43"/>
        <v>0</v>
      </c>
      <c r="BB174">
        <f t="shared" si="44"/>
        <v>0</v>
      </c>
      <c r="BC174">
        <f t="shared" si="45"/>
        <v>9678.2160000000003</v>
      </c>
      <c r="BD174">
        <f t="shared" si="46"/>
        <v>0</v>
      </c>
      <c r="BE174">
        <f t="shared" si="47"/>
        <v>0</v>
      </c>
      <c r="BF174">
        <f t="shared" si="48"/>
        <v>0</v>
      </c>
      <c r="BG174">
        <f t="shared" si="52"/>
        <v>2738.1285437799997</v>
      </c>
      <c r="BH174">
        <f t="shared" si="53"/>
        <v>2696.1590512400003</v>
      </c>
      <c r="BI174">
        <f t="shared" si="54"/>
        <v>2626.0605462400003</v>
      </c>
      <c r="BJ174">
        <f t="shared" si="55"/>
        <v>2470.1527991400003</v>
      </c>
      <c r="BK174">
        <f t="shared" si="56"/>
        <v>2445.1254648600002</v>
      </c>
      <c r="BL174">
        <f t="shared" si="57"/>
        <v>2304.6596234799999</v>
      </c>
    </row>
    <row r="175" spans="1:64">
      <c r="A175" t="str">
        <f t="shared" si="42"/>
        <v>21</v>
      </c>
      <c r="B175" t="s">
        <v>605</v>
      </c>
      <c r="C175" t="s">
        <v>661</v>
      </c>
      <c r="D175">
        <v>55</v>
      </c>
      <c r="E175">
        <v>1</v>
      </c>
      <c r="F175">
        <v>6</v>
      </c>
      <c r="G175">
        <v>2</v>
      </c>
      <c r="H175">
        <v>100</v>
      </c>
      <c r="I175" t="s">
        <v>609</v>
      </c>
      <c r="J175">
        <v>0.29899999999999999</v>
      </c>
      <c r="K175">
        <v>212.92930000000001</v>
      </c>
      <c r="L175">
        <v>3.09E-2</v>
      </c>
      <c r="M175">
        <v>0.39650000000000002</v>
      </c>
      <c r="N175">
        <v>35.293199999999999</v>
      </c>
      <c r="O175">
        <v>87.314400000000006</v>
      </c>
      <c r="P175">
        <v>349.79430000000002</v>
      </c>
      <c r="Q175">
        <v>242.68790000000001</v>
      </c>
      <c r="R175">
        <v>3.3700000000000001E-2</v>
      </c>
      <c r="S175">
        <v>0.54600000000000004</v>
      </c>
      <c r="T175">
        <v>0.1057</v>
      </c>
      <c r="U175">
        <v>3.5000000000000003E-2</v>
      </c>
      <c r="V175">
        <v>0.37680000000000002</v>
      </c>
      <c r="W175">
        <v>11.0197</v>
      </c>
      <c r="X175">
        <v>30.6264</v>
      </c>
      <c r="Y175">
        <v>26.7422</v>
      </c>
      <c r="Z175">
        <v>32.907899999999998</v>
      </c>
      <c r="AA175">
        <v>75.766800000000003</v>
      </c>
      <c r="AB175">
        <v>12.281499999999999</v>
      </c>
      <c r="AC175">
        <v>53.6404</v>
      </c>
      <c r="AD175">
        <v>51.412500000000001</v>
      </c>
      <c r="AE175">
        <v>1.171</v>
      </c>
      <c r="AF175">
        <v>8802.5288999999993</v>
      </c>
      <c r="AG175">
        <v>67.064599999999999</v>
      </c>
      <c r="AH175">
        <v>1.8652</v>
      </c>
      <c r="AI175">
        <v>90.672899999999998</v>
      </c>
      <c r="AJ175">
        <v>73.2</v>
      </c>
      <c r="AK175">
        <v>84.751400000000004</v>
      </c>
      <c r="AL175">
        <v>1.4217</v>
      </c>
      <c r="AM175">
        <v>0.05</v>
      </c>
      <c r="AN175">
        <v>5.0000000000000001E-3</v>
      </c>
      <c r="AO175">
        <v>93.449200000000005</v>
      </c>
      <c r="AP175">
        <v>93.638900000000007</v>
      </c>
      <c r="AQ175">
        <v>91.548400000000001</v>
      </c>
      <c r="AR175">
        <v>89.078599999999994</v>
      </c>
      <c r="AS175">
        <v>81.649100000000004</v>
      </c>
      <c r="AT175">
        <v>80.007000000000005</v>
      </c>
      <c r="AU175">
        <v>73.918099999999995</v>
      </c>
      <c r="AV175">
        <v>4038.8589000000002</v>
      </c>
      <c r="AW175">
        <v>10307.4108</v>
      </c>
      <c r="AX175">
        <f t="shared" si="49"/>
        <v>552893.63827631995</v>
      </c>
      <c r="AY175">
        <f t="shared" si="50"/>
        <v>691262.38233767997</v>
      </c>
      <c r="AZ175">
        <f t="shared" si="51"/>
        <v>113584.57479276</v>
      </c>
      <c r="BA175">
        <f t="shared" si="43"/>
        <v>10307.4108</v>
      </c>
      <c r="BB175">
        <f t="shared" si="44"/>
        <v>0</v>
      </c>
      <c r="BC175">
        <f t="shared" si="45"/>
        <v>0</v>
      </c>
      <c r="BD175">
        <f t="shared" si="46"/>
        <v>0</v>
      </c>
      <c r="BE175">
        <f t="shared" si="47"/>
        <v>0</v>
      </c>
      <c r="BF175">
        <f t="shared" si="48"/>
        <v>0</v>
      </c>
      <c r="BG175">
        <f t="shared" si="52"/>
        <v>2867.8224069600001</v>
      </c>
      <c r="BH175">
        <f t="shared" si="53"/>
        <v>2803.79791776</v>
      </c>
      <c r="BI175">
        <f t="shared" si="54"/>
        <v>2728.1568350399998</v>
      </c>
      <c r="BJ175">
        <f t="shared" si="55"/>
        <v>2500.6179962400001</v>
      </c>
      <c r="BK175">
        <f t="shared" si="56"/>
        <v>2450.3263848000001</v>
      </c>
      <c r="BL175">
        <f t="shared" si="57"/>
        <v>2263.8452978400001</v>
      </c>
    </row>
    <row r="176" spans="1:64">
      <c r="A176" t="str">
        <f t="shared" si="42"/>
        <v>21</v>
      </c>
      <c r="B176" t="s">
        <v>605</v>
      </c>
      <c r="C176" t="s">
        <v>661</v>
      </c>
      <c r="D176">
        <v>55</v>
      </c>
      <c r="E176">
        <v>1</v>
      </c>
      <c r="F176">
        <v>6</v>
      </c>
      <c r="G176">
        <v>2</v>
      </c>
      <c r="H176">
        <v>100</v>
      </c>
      <c r="I176" t="s">
        <v>607</v>
      </c>
      <c r="J176">
        <v>0.37380000000000002</v>
      </c>
      <c r="K176">
        <v>221.34829999999999</v>
      </c>
      <c r="L176">
        <v>3.3000000000000002E-2</v>
      </c>
      <c r="M176">
        <v>0.4924</v>
      </c>
      <c r="N176">
        <v>35.803899999999999</v>
      </c>
      <c r="O176">
        <v>87.647400000000005</v>
      </c>
      <c r="P176">
        <v>334.60239999999999</v>
      </c>
      <c r="Q176">
        <v>240.50299999999999</v>
      </c>
      <c r="R176">
        <v>3.6900000000000002E-2</v>
      </c>
      <c r="S176">
        <v>0.63380000000000003</v>
      </c>
      <c r="T176">
        <v>0.13750000000000001</v>
      </c>
      <c r="U176">
        <v>3.4500000000000003E-2</v>
      </c>
      <c r="V176">
        <v>0.435</v>
      </c>
      <c r="W176">
        <v>10.940200000000001</v>
      </c>
      <c r="X176">
        <v>25.914200000000001</v>
      </c>
      <c r="Y176">
        <v>22.720600000000001</v>
      </c>
      <c r="Z176">
        <v>27.386199999999999</v>
      </c>
      <c r="AA176">
        <v>63.456099999999999</v>
      </c>
      <c r="AB176">
        <v>33.098199999999999</v>
      </c>
      <c r="AC176">
        <v>53.115499999999997</v>
      </c>
      <c r="AD176">
        <v>53.3611</v>
      </c>
      <c r="AE176">
        <v>0.84260000000000002</v>
      </c>
      <c r="AF176">
        <v>8788.8587000000007</v>
      </c>
      <c r="AG176">
        <v>65.631799999999998</v>
      </c>
      <c r="AH176">
        <v>1.4341999999999999</v>
      </c>
      <c r="AI176">
        <v>90.815899999999999</v>
      </c>
      <c r="AJ176">
        <v>73.2</v>
      </c>
      <c r="AK176">
        <v>85.056399999999996</v>
      </c>
      <c r="AL176">
        <v>1.4393</v>
      </c>
      <c r="AM176">
        <v>0.05</v>
      </c>
      <c r="AN176">
        <v>5.0000000000000001E-3</v>
      </c>
      <c r="AO176">
        <v>92.834299999999999</v>
      </c>
      <c r="AP176">
        <v>93.810599999999994</v>
      </c>
      <c r="AQ176">
        <v>91.754000000000005</v>
      </c>
      <c r="AR176">
        <v>89.427499999999995</v>
      </c>
      <c r="AS176">
        <v>82.165099999999995</v>
      </c>
      <c r="AT176">
        <v>80.458500000000001</v>
      </c>
      <c r="AU176">
        <v>74.778700000000001</v>
      </c>
      <c r="AV176">
        <v>2896.6684</v>
      </c>
      <c r="AW176">
        <v>7405.7210999999998</v>
      </c>
      <c r="AX176">
        <f t="shared" si="49"/>
        <v>393358.57908704999</v>
      </c>
      <c r="AY176">
        <f t="shared" si="50"/>
        <v>486050.80609097995</v>
      </c>
      <c r="AZ176">
        <f t="shared" si="51"/>
        <v>81020.06997822001</v>
      </c>
      <c r="BA176">
        <f t="shared" si="43"/>
        <v>7405.7210999999998</v>
      </c>
      <c r="BB176">
        <f t="shared" si="44"/>
        <v>0</v>
      </c>
      <c r="BC176">
        <f t="shared" si="45"/>
        <v>0</v>
      </c>
      <c r="BD176">
        <f t="shared" si="46"/>
        <v>0</v>
      </c>
      <c r="BE176">
        <f t="shared" si="47"/>
        <v>0</v>
      </c>
      <c r="BF176">
        <f t="shared" si="48"/>
        <v>0</v>
      </c>
      <c r="BG176">
        <f t="shared" si="52"/>
        <v>2431.0266505199997</v>
      </c>
      <c r="BH176">
        <f t="shared" si="53"/>
        <v>2377.7315068000003</v>
      </c>
      <c r="BI176">
        <f t="shared" si="54"/>
        <v>2317.4421204999999</v>
      </c>
      <c r="BJ176">
        <f t="shared" si="55"/>
        <v>2129.2428344199998</v>
      </c>
      <c r="BK176">
        <f t="shared" si="56"/>
        <v>2085.0176607000003</v>
      </c>
      <c r="BL176">
        <f t="shared" si="57"/>
        <v>1937.83018754</v>
      </c>
    </row>
    <row r="177" spans="1:64">
      <c r="A177" t="str">
        <f t="shared" si="42"/>
        <v>21</v>
      </c>
      <c r="B177" t="s">
        <v>605</v>
      </c>
      <c r="C177" t="s">
        <v>661</v>
      </c>
      <c r="D177">
        <v>55</v>
      </c>
      <c r="E177">
        <v>1</v>
      </c>
      <c r="F177">
        <v>6</v>
      </c>
      <c r="G177">
        <v>2</v>
      </c>
      <c r="H177">
        <v>200</v>
      </c>
      <c r="I177" t="s">
        <v>609</v>
      </c>
      <c r="J177">
        <v>0.27800000000000002</v>
      </c>
      <c r="K177">
        <v>151.56440000000001</v>
      </c>
      <c r="L177">
        <v>4.3099999999999999E-2</v>
      </c>
      <c r="M177">
        <v>0.8831</v>
      </c>
      <c r="N177">
        <v>34.829500000000003</v>
      </c>
      <c r="O177">
        <v>87.1387</v>
      </c>
      <c r="P177">
        <v>362.75479999999999</v>
      </c>
      <c r="Q177">
        <v>243.07400000000001</v>
      </c>
      <c r="R177">
        <v>3.0200000000000001E-2</v>
      </c>
      <c r="S177">
        <v>0.52739999999999998</v>
      </c>
      <c r="T177">
        <v>8.7499999999999994E-2</v>
      </c>
      <c r="U177">
        <v>3.3500000000000002E-2</v>
      </c>
      <c r="V177">
        <v>0.33350000000000002</v>
      </c>
      <c r="W177">
        <v>11.1425</v>
      </c>
      <c r="X177">
        <v>14.546099999999999</v>
      </c>
      <c r="Y177">
        <v>12.6755</v>
      </c>
      <c r="Z177">
        <v>14.739800000000001</v>
      </c>
      <c r="AA177">
        <v>36.3947</v>
      </c>
      <c r="AB177">
        <v>11.8954</v>
      </c>
      <c r="AC177">
        <v>53.380200000000002</v>
      </c>
      <c r="AD177">
        <v>50.3294</v>
      </c>
      <c r="AE177">
        <v>0.5978</v>
      </c>
      <c r="AF177">
        <v>8754.0908999999992</v>
      </c>
      <c r="AG177">
        <v>68.086100000000002</v>
      </c>
      <c r="AH177">
        <v>0.65869999999999995</v>
      </c>
      <c r="AI177">
        <v>89.866500000000002</v>
      </c>
      <c r="AJ177">
        <v>73.2</v>
      </c>
      <c r="AK177">
        <v>83.0458</v>
      </c>
      <c r="AL177">
        <v>1.3309</v>
      </c>
      <c r="AM177">
        <v>0.05</v>
      </c>
      <c r="AN177">
        <v>5.0000000000000001E-3</v>
      </c>
      <c r="AO177">
        <v>94.011899999999997</v>
      </c>
      <c r="AP177">
        <v>93.530600000000007</v>
      </c>
      <c r="AQ177">
        <v>91.414299999999997</v>
      </c>
      <c r="AR177">
        <v>88.836500000000001</v>
      </c>
      <c r="AS177">
        <v>81.3626</v>
      </c>
      <c r="AT177">
        <v>79.714200000000005</v>
      </c>
      <c r="AU177">
        <v>73.256</v>
      </c>
      <c r="AV177">
        <v>2048.4452000000001</v>
      </c>
      <c r="AW177">
        <v>5232.8276999999998</v>
      </c>
      <c r="AX177">
        <f t="shared" si="49"/>
        <v>279329.38919154002</v>
      </c>
      <c r="AY177">
        <f t="shared" si="50"/>
        <v>356282.83006497001</v>
      </c>
      <c r="AZ177">
        <f t="shared" si="51"/>
        <v>58306.782647250002</v>
      </c>
      <c r="BA177">
        <f t="shared" si="43"/>
        <v>5232.8276999999998</v>
      </c>
      <c r="BB177">
        <f t="shared" si="44"/>
        <v>0</v>
      </c>
      <c r="BC177">
        <f t="shared" si="45"/>
        <v>0</v>
      </c>
      <c r="BD177">
        <f t="shared" si="46"/>
        <v>0</v>
      </c>
      <c r="BE177">
        <f t="shared" si="47"/>
        <v>0</v>
      </c>
      <c r="BF177">
        <f t="shared" si="48"/>
        <v>0</v>
      </c>
      <c r="BG177">
        <f t="shared" si="52"/>
        <v>1360.5054606599999</v>
      </c>
      <c r="BH177">
        <f t="shared" si="53"/>
        <v>1329.7215492299999</v>
      </c>
      <c r="BI177">
        <f t="shared" si="54"/>
        <v>1292.2246126499999</v>
      </c>
      <c r="BJ177">
        <f t="shared" si="55"/>
        <v>1183.50851586</v>
      </c>
      <c r="BK177">
        <f t="shared" si="56"/>
        <v>1159.53072462</v>
      </c>
      <c r="BL177">
        <f t="shared" si="57"/>
        <v>1065.5891016</v>
      </c>
    </row>
    <row r="178" spans="1:64">
      <c r="A178" t="str">
        <f t="shared" si="42"/>
        <v>21</v>
      </c>
      <c r="B178" t="s">
        <v>605</v>
      </c>
      <c r="C178" t="s">
        <v>661</v>
      </c>
      <c r="D178">
        <v>66</v>
      </c>
      <c r="E178">
        <v>3</v>
      </c>
      <c r="F178">
        <v>6</v>
      </c>
      <c r="G178">
        <v>2</v>
      </c>
      <c r="H178">
        <v>200</v>
      </c>
      <c r="I178" t="s">
        <v>609</v>
      </c>
      <c r="J178">
        <v>0.29330000000000001</v>
      </c>
      <c r="K178">
        <v>160.88419999999999</v>
      </c>
      <c r="L178">
        <v>4.2299999999999997E-2</v>
      </c>
      <c r="M178">
        <v>0.77800000000000002</v>
      </c>
      <c r="N178">
        <v>35.270400000000002</v>
      </c>
      <c r="O178">
        <v>89.894099999999995</v>
      </c>
      <c r="P178">
        <v>354.81830000000002</v>
      </c>
      <c r="Q178">
        <v>213.92949999999999</v>
      </c>
      <c r="R178">
        <v>2.9000000000000001E-2</v>
      </c>
      <c r="S178">
        <v>0.50749999999999995</v>
      </c>
      <c r="T178">
        <v>7.3999999999999996E-2</v>
      </c>
      <c r="U178">
        <v>0.1188</v>
      </c>
      <c r="V178">
        <v>0.34920000000000001</v>
      </c>
      <c r="W178">
        <v>12.4969</v>
      </c>
      <c r="X178">
        <v>29.910699999999999</v>
      </c>
      <c r="Y178">
        <v>26.8888</v>
      </c>
      <c r="Z178">
        <v>31.183399999999999</v>
      </c>
      <c r="AA178">
        <v>76.263000000000005</v>
      </c>
      <c r="AB178">
        <v>21.616800000000001</v>
      </c>
      <c r="AC178">
        <v>40.754199999999997</v>
      </c>
      <c r="AD178">
        <v>77.585499999999996</v>
      </c>
      <c r="AE178">
        <v>1.3689</v>
      </c>
      <c r="AF178">
        <v>7490.0228999999999</v>
      </c>
      <c r="AG178">
        <v>74.135199999999998</v>
      </c>
      <c r="AH178">
        <v>1.3751</v>
      </c>
      <c r="AI178">
        <v>90.014499999999998</v>
      </c>
      <c r="AJ178">
        <v>73.2</v>
      </c>
      <c r="AK178">
        <v>83.357100000000003</v>
      </c>
      <c r="AL178">
        <v>1.2302999999999999</v>
      </c>
      <c r="AM178">
        <v>0.05</v>
      </c>
      <c r="AN178">
        <v>2.5000000000000001E-3</v>
      </c>
      <c r="AO178">
        <v>95.118799999999993</v>
      </c>
      <c r="AP178">
        <v>94.775000000000006</v>
      </c>
      <c r="AQ178">
        <v>93.331100000000006</v>
      </c>
      <c r="AR178">
        <v>90.837299999999999</v>
      </c>
      <c r="AS178">
        <v>85.358500000000006</v>
      </c>
      <c r="AT178">
        <v>84.503699999999995</v>
      </c>
      <c r="AU178">
        <v>79.486500000000007</v>
      </c>
      <c r="AV178">
        <v>4071.6145000000001</v>
      </c>
      <c r="AW178">
        <v>10251.511500000001</v>
      </c>
      <c r="AX178">
        <f t="shared" si="49"/>
        <v>417792.14997329999</v>
      </c>
      <c r="AY178">
        <f t="shared" si="50"/>
        <v>759997.85535480001</v>
      </c>
      <c r="AZ178">
        <f t="shared" si="51"/>
        <v>128112.11406435001</v>
      </c>
      <c r="BA178">
        <f t="shared" si="43"/>
        <v>0</v>
      </c>
      <c r="BB178">
        <f t="shared" si="44"/>
        <v>0</v>
      </c>
      <c r="BC178">
        <f t="shared" si="45"/>
        <v>10251.511500000001</v>
      </c>
      <c r="BD178">
        <f t="shared" si="46"/>
        <v>0</v>
      </c>
      <c r="BE178">
        <f t="shared" si="47"/>
        <v>0</v>
      </c>
      <c r="BF178">
        <f t="shared" si="48"/>
        <v>0</v>
      </c>
      <c r="BG178">
        <f t="shared" si="52"/>
        <v>2834.7865925000001</v>
      </c>
      <c r="BH178">
        <f t="shared" si="53"/>
        <v>2791.59853277</v>
      </c>
      <c r="BI178">
        <f t="shared" si="54"/>
        <v>2717.00722911</v>
      </c>
      <c r="BJ178">
        <f t="shared" si="55"/>
        <v>2553.13248595</v>
      </c>
      <c r="BK178">
        <f t="shared" si="56"/>
        <v>2527.5648195899998</v>
      </c>
      <c r="BL178">
        <f t="shared" si="57"/>
        <v>2377.49685555</v>
      </c>
    </row>
    <row r="179" spans="1:64">
      <c r="A179" t="str">
        <f t="shared" si="42"/>
        <v>15</v>
      </c>
      <c r="B179" t="s">
        <v>605</v>
      </c>
      <c r="C179" t="s">
        <v>662</v>
      </c>
      <c r="D179">
        <v>55</v>
      </c>
      <c r="E179">
        <v>1</v>
      </c>
      <c r="F179">
        <v>6</v>
      </c>
      <c r="G179">
        <v>2</v>
      </c>
      <c r="H179">
        <v>100</v>
      </c>
      <c r="I179" t="s">
        <v>609</v>
      </c>
      <c r="J179">
        <v>0.32419999999999999</v>
      </c>
      <c r="K179">
        <v>18.283100000000001</v>
      </c>
      <c r="L179">
        <v>5.8999999999999999E-3</v>
      </c>
      <c r="M179">
        <v>0.33429999999999999</v>
      </c>
      <c r="N179">
        <v>17.881</v>
      </c>
      <c r="O179">
        <v>87.850700000000003</v>
      </c>
      <c r="P179">
        <v>2948.1028000000001</v>
      </c>
      <c r="Q179">
        <v>220.6234</v>
      </c>
      <c r="R179">
        <v>1.921</v>
      </c>
      <c r="S179">
        <v>0.79749999999999999</v>
      </c>
      <c r="T179">
        <v>0</v>
      </c>
      <c r="U179">
        <v>7.7999999999999996E-3</v>
      </c>
      <c r="V179">
        <v>0.35730000000000001</v>
      </c>
      <c r="W179">
        <v>12.234400000000001</v>
      </c>
      <c r="X179">
        <v>3.3309000000000002</v>
      </c>
      <c r="Y179">
        <v>2.9596</v>
      </c>
      <c r="Z179">
        <v>2.9036</v>
      </c>
      <c r="AA179">
        <v>16.5518</v>
      </c>
      <c r="AB179">
        <v>17.4543</v>
      </c>
      <c r="AC179">
        <v>42.6905</v>
      </c>
      <c r="AD179">
        <v>60.3765</v>
      </c>
      <c r="AE179">
        <v>0.12139999999999999</v>
      </c>
      <c r="AF179">
        <v>7804.1601000000001</v>
      </c>
      <c r="AG179">
        <v>65.301299999999998</v>
      </c>
      <c r="AH179">
        <v>1.2500000000000001E-2</v>
      </c>
      <c r="AI179">
        <v>84.507599999999996</v>
      </c>
      <c r="AJ179">
        <v>54.21</v>
      </c>
      <c r="AK179">
        <v>72.167699999999996</v>
      </c>
      <c r="AL179">
        <v>2.4962</v>
      </c>
      <c r="AM179">
        <v>0.05</v>
      </c>
      <c r="AN179">
        <v>1.7600000000000001E-2</v>
      </c>
      <c r="AO179">
        <v>95.251999999999995</v>
      </c>
      <c r="AP179">
        <v>91.685000000000002</v>
      </c>
      <c r="AQ179">
        <v>90.199600000000004</v>
      </c>
      <c r="AR179">
        <v>88.254199999999997</v>
      </c>
      <c r="AS179">
        <v>83.493200000000002</v>
      </c>
      <c r="AT179">
        <v>82.514200000000002</v>
      </c>
      <c r="AU179">
        <v>78.704599999999999</v>
      </c>
      <c r="AV179">
        <v>373.0154</v>
      </c>
      <c r="AW179">
        <v>947.32730000000004</v>
      </c>
      <c r="AX179">
        <f t="shared" si="49"/>
        <v>40441.876100649999</v>
      </c>
      <c r="AY179">
        <f t="shared" si="50"/>
        <v>61861.704215489997</v>
      </c>
      <c r="AZ179">
        <f t="shared" si="51"/>
        <v>11589.981119120001</v>
      </c>
      <c r="BA179">
        <f t="shared" si="43"/>
        <v>947.32730000000004</v>
      </c>
      <c r="BB179">
        <f t="shared" si="44"/>
        <v>0</v>
      </c>
      <c r="BC179">
        <f t="shared" si="45"/>
        <v>0</v>
      </c>
      <c r="BD179">
        <f t="shared" si="46"/>
        <v>0</v>
      </c>
      <c r="BE179">
        <f t="shared" si="47"/>
        <v>0</v>
      </c>
      <c r="BF179">
        <f t="shared" si="48"/>
        <v>0</v>
      </c>
      <c r="BG179">
        <f t="shared" si="52"/>
        <v>305.39356650000002</v>
      </c>
      <c r="BH179">
        <f t="shared" si="53"/>
        <v>300.44584764000001</v>
      </c>
      <c r="BI179">
        <f t="shared" si="54"/>
        <v>293.96591477999999</v>
      </c>
      <c r="BJ179">
        <f t="shared" si="55"/>
        <v>278.10749988000003</v>
      </c>
      <c r="BK179">
        <f t="shared" si="56"/>
        <v>274.84654878000003</v>
      </c>
      <c r="BL179">
        <f t="shared" si="57"/>
        <v>262.15715213999999</v>
      </c>
    </row>
    <row r="180" spans="1:64">
      <c r="A180" t="str">
        <f t="shared" si="42"/>
        <v>15</v>
      </c>
      <c r="B180" t="s">
        <v>605</v>
      </c>
      <c r="C180" t="s">
        <v>662</v>
      </c>
      <c r="D180">
        <v>55</v>
      </c>
      <c r="E180">
        <v>1</v>
      </c>
      <c r="F180">
        <v>6</v>
      </c>
      <c r="G180">
        <v>2</v>
      </c>
      <c r="H180">
        <v>100</v>
      </c>
      <c r="I180" t="s">
        <v>617</v>
      </c>
      <c r="J180">
        <v>0.35339999999999999</v>
      </c>
      <c r="K180">
        <v>19.0288</v>
      </c>
      <c r="L180">
        <v>5.7999999999999996E-3</v>
      </c>
      <c r="M180">
        <v>0.32400000000000001</v>
      </c>
      <c r="N180">
        <v>17.881</v>
      </c>
      <c r="O180">
        <v>84.002600000000001</v>
      </c>
      <c r="P180">
        <v>2948.1028000000001</v>
      </c>
      <c r="Q180">
        <v>220.7859</v>
      </c>
      <c r="R180">
        <v>1.887</v>
      </c>
      <c r="S180">
        <v>0.32640000000000002</v>
      </c>
      <c r="T180">
        <v>0.2195</v>
      </c>
      <c r="U180">
        <v>3.2000000000000002E-3</v>
      </c>
      <c r="V180">
        <v>0.39579999999999999</v>
      </c>
      <c r="W180">
        <v>12.258800000000001</v>
      </c>
      <c r="X180">
        <v>2.7130000000000001</v>
      </c>
      <c r="Y180">
        <v>2.4085000000000001</v>
      </c>
      <c r="Z180">
        <v>2.3603999999999998</v>
      </c>
      <c r="AA180">
        <v>13.469799999999999</v>
      </c>
      <c r="AB180">
        <v>27.090499999999999</v>
      </c>
      <c r="AC180">
        <v>42.6922</v>
      </c>
      <c r="AD180">
        <v>60.603099999999998</v>
      </c>
      <c r="AE180">
        <v>8.9200000000000002E-2</v>
      </c>
      <c r="AF180">
        <v>7797.107</v>
      </c>
      <c r="AG180">
        <v>65.610900000000001</v>
      </c>
      <c r="AH180">
        <v>9.4999999999999998E-3</v>
      </c>
      <c r="AI180">
        <v>84.589699999999993</v>
      </c>
      <c r="AJ180">
        <v>54.21</v>
      </c>
      <c r="AK180">
        <v>72.328800000000001</v>
      </c>
      <c r="AL180">
        <v>2.5527000000000002</v>
      </c>
      <c r="AM180">
        <v>0.05</v>
      </c>
      <c r="AN180">
        <v>3.4099999999999998E-2</v>
      </c>
      <c r="AO180">
        <v>95.406099999999995</v>
      </c>
      <c r="AP180">
        <v>91.842100000000002</v>
      </c>
      <c r="AQ180">
        <v>90.280500000000004</v>
      </c>
      <c r="AR180">
        <v>88.255300000000005</v>
      </c>
      <c r="AS180">
        <v>83.259799999999998</v>
      </c>
      <c r="AT180">
        <v>82.216700000000003</v>
      </c>
      <c r="AU180">
        <v>78.199399999999997</v>
      </c>
      <c r="AV180">
        <v>274.01859999999999</v>
      </c>
      <c r="AW180">
        <v>695.88499999999999</v>
      </c>
      <c r="AX180">
        <f t="shared" si="49"/>
        <v>29708.861596999999</v>
      </c>
      <c r="AY180">
        <f t="shared" si="50"/>
        <v>45657.641146499998</v>
      </c>
      <c r="AZ180">
        <f t="shared" si="51"/>
        <v>8530.7150380000003</v>
      </c>
      <c r="BA180">
        <f t="shared" si="43"/>
        <v>695.88499999999999</v>
      </c>
      <c r="BB180">
        <f t="shared" si="44"/>
        <v>0</v>
      </c>
      <c r="BC180">
        <f t="shared" si="45"/>
        <v>0</v>
      </c>
      <c r="BD180">
        <f t="shared" si="46"/>
        <v>0</v>
      </c>
      <c r="BE180">
        <f t="shared" si="47"/>
        <v>0</v>
      </c>
      <c r="BF180">
        <f t="shared" si="48"/>
        <v>0</v>
      </c>
      <c r="BG180">
        <f t="shared" si="52"/>
        <v>249.16761730000002</v>
      </c>
      <c r="BH180">
        <f t="shared" si="53"/>
        <v>244.93099650000002</v>
      </c>
      <c r="BI180">
        <f t="shared" si="54"/>
        <v>239.43662890000002</v>
      </c>
      <c r="BJ180">
        <f t="shared" si="55"/>
        <v>225.8838374</v>
      </c>
      <c r="BK180">
        <f t="shared" si="56"/>
        <v>223.0539071</v>
      </c>
      <c r="BL180">
        <f t="shared" si="57"/>
        <v>212.1549722</v>
      </c>
    </row>
    <row r="181" spans="1:64">
      <c r="A181" t="str">
        <f t="shared" si="42"/>
        <v>15</v>
      </c>
      <c r="B181" t="s">
        <v>605</v>
      </c>
      <c r="C181" t="s">
        <v>662</v>
      </c>
      <c r="D181">
        <v>55</v>
      </c>
      <c r="E181">
        <v>1</v>
      </c>
      <c r="F181">
        <v>6</v>
      </c>
      <c r="G181">
        <v>2</v>
      </c>
      <c r="H181">
        <v>100</v>
      </c>
      <c r="I181" t="s">
        <v>607</v>
      </c>
      <c r="J181">
        <v>0.37659999999999999</v>
      </c>
      <c r="K181">
        <v>26.512</v>
      </c>
      <c r="L181">
        <v>6.3E-3</v>
      </c>
      <c r="M181">
        <v>0.35460000000000003</v>
      </c>
      <c r="N181">
        <v>17.881</v>
      </c>
      <c r="O181">
        <v>87.431799999999996</v>
      </c>
      <c r="P181">
        <v>2948.1028000000001</v>
      </c>
      <c r="Q181">
        <v>219.25980000000001</v>
      </c>
      <c r="R181">
        <v>1.7137</v>
      </c>
      <c r="S181">
        <v>0.52729999999999999</v>
      </c>
      <c r="T181">
        <v>0.1341</v>
      </c>
      <c r="U181">
        <v>5.0000000000000001E-3</v>
      </c>
      <c r="V181">
        <v>0.45689999999999997</v>
      </c>
      <c r="W181">
        <v>12.278</v>
      </c>
      <c r="X181">
        <v>6.8437999999999999</v>
      </c>
      <c r="Y181">
        <v>6.0955000000000004</v>
      </c>
      <c r="Z181">
        <v>5.9843000000000002</v>
      </c>
      <c r="AA181">
        <v>34.089199999999998</v>
      </c>
      <c r="AB181">
        <v>22.166899999999998</v>
      </c>
      <c r="AC181">
        <v>42.246400000000001</v>
      </c>
      <c r="AD181">
        <v>60.681100000000001</v>
      </c>
      <c r="AE181">
        <v>0.19650000000000001</v>
      </c>
      <c r="AF181">
        <v>7749.8356000000003</v>
      </c>
      <c r="AG181">
        <v>65.767099999999999</v>
      </c>
      <c r="AH181">
        <v>2.6800000000000001E-2</v>
      </c>
      <c r="AI181">
        <v>85.132099999999994</v>
      </c>
      <c r="AJ181">
        <v>54.21</v>
      </c>
      <c r="AK181">
        <v>73.400599999999997</v>
      </c>
      <c r="AL181">
        <v>2.4588000000000001</v>
      </c>
      <c r="AM181">
        <v>0.05</v>
      </c>
      <c r="AN181">
        <v>2.2100000000000002E-2</v>
      </c>
      <c r="AO181">
        <v>95.624099999999999</v>
      </c>
      <c r="AP181">
        <v>92.913499999999999</v>
      </c>
      <c r="AQ181">
        <v>91.287899999999993</v>
      </c>
      <c r="AR181">
        <v>88.919200000000004</v>
      </c>
      <c r="AS181">
        <v>83.6464</v>
      </c>
      <c r="AT181">
        <v>82.604900000000001</v>
      </c>
      <c r="AU181">
        <v>78.641099999999994</v>
      </c>
      <c r="AV181">
        <v>599.09730000000002</v>
      </c>
      <c r="AW181">
        <v>1523.1627000000001</v>
      </c>
      <c r="AX181">
        <f t="shared" si="49"/>
        <v>64348.140689280008</v>
      </c>
      <c r="AY181">
        <f t="shared" si="50"/>
        <v>100173.99360717001</v>
      </c>
      <c r="AZ181">
        <f t="shared" si="51"/>
        <v>18701.391630600003</v>
      </c>
      <c r="BA181">
        <f t="shared" si="43"/>
        <v>1523.1627000000001</v>
      </c>
      <c r="BB181">
        <f t="shared" si="44"/>
        <v>0</v>
      </c>
      <c r="BC181">
        <f t="shared" si="45"/>
        <v>0</v>
      </c>
      <c r="BD181">
        <f t="shared" si="46"/>
        <v>0</v>
      </c>
      <c r="BE181">
        <f t="shared" si="47"/>
        <v>0</v>
      </c>
      <c r="BF181">
        <f t="shared" si="48"/>
        <v>0</v>
      </c>
      <c r="BG181">
        <f t="shared" si="52"/>
        <v>635.88141129999997</v>
      </c>
      <c r="BH181">
        <f t="shared" si="53"/>
        <v>624.75613002</v>
      </c>
      <c r="BI181">
        <f t="shared" si="54"/>
        <v>608.54522096000005</v>
      </c>
      <c r="BJ181">
        <f t="shared" si="55"/>
        <v>572.45923231999996</v>
      </c>
      <c r="BK181">
        <f t="shared" si="56"/>
        <v>565.33141462000003</v>
      </c>
      <c r="BL181">
        <f t="shared" si="57"/>
        <v>538.20396017999997</v>
      </c>
    </row>
    <row r="182" spans="1:64">
      <c r="A182" t="str">
        <f t="shared" si="42"/>
        <v>15</v>
      </c>
      <c r="B182" t="s">
        <v>605</v>
      </c>
      <c r="C182" t="s">
        <v>662</v>
      </c>
      <c r="D182">
        <v>55</v>
      </c>
      <c r="E182">
        <v>1</v>
      </c>
      <c r="F182">
        <v>6</v>
      </c>
      <c r="G182">
        <v>2</v>
      </c>
      <c r="H182">
        <v>200</v>
      </c>
      <c r="I182" t="s">
        <v>609</v>
      </c>
      <c r="J182">
        <v>0.33260000000000001</v>
      </c>
      <c r="K182">
        <v>16.0884</v>
      </c>
      <c r="L182">
        <v>6.1999999999999998E-3</v>
      </c>
      <c r="M182">
        <v>0.36309999999999998</v>
      </c>
      <c r="N182">
        <v>17.881</v>
      </c>
      <c r="O182">
        <v>87.005700000000004</v>
      </c>
      <c r="P182">
        <v>2948.1028000000001</v>
      </c>
      <c r="Q182">
        <v>217.53530000000001</v>
      </c>
      <c r="R182">
        <v>1.8935</v>
      </c>
      <c r="S182">
        <v>0.75980000000000003</v>
      </c>
      <c r="T182">
        <v>0</v>
      </c>
      <c r="U182">
        <v>5.5999999999999999E-3</v>
      </c>
      <c r="V182">
        <v>0.3826</v>
      </c>
      <c r="W182">
        <v>12.214600000000001</v>
      </c>
      <c r="X182">
        <v>5.7942999999999998</v>
      </c>
      <c r="Y182">
        <v>5.1540999999999997</v>
      </c>
      <c r="Z182">
        <v>5.0449000000000002</v>
      </c>
      <c r="AA182">
        <v>28.8245</v>
      </c>
      <c r="AB182">
        <v>19.272200000000002</v>
      </c>
      <c r="AC182">
        <v>42.0075</v>
      </c>
      <c r="AD182">
        <v>60.5199</v>
      </c>
      <c r="AE182">
        <v>0.1988</v>
      </c>
      <c r="AF182">
        <v>7723.2480999999998</v>
      </c>
      <c r="AG182">
        <v>65.904300000000006</v>
      </c>
      <c r="AH182">
        <v>1.8700000000000001E-2</v>
      </c>
      <c r="AI182">
        <v>84.317899999999995</v>
      </c>
      <c r="AJ182">
        <v>54.21</v>
      </c>
      <c r="AK182">
        <v>71.796700000000001</v>
      </c>
      <c r="AL182">
        <v>2.4483000000000001</v>
      </c>
      <c r="AM182">
        <v>0.05</v>
      </c>
      <c r="AN182">
        <v>1.9400000000000001E-2</v>
      </c>
      <c r="AO182">
        <v>95.769400000000005</v>
      </c>
      <c r="AP182">
        <v>91.601699999999994</v>
      </c>
      <c r="AQ182">
        <v>90.147499999999994</v>
      </c>
      <c r="AR182">
        <v>88.181700000000006</v>
      </c>
      <c r="AS182">
        <v>83.494600000000005</v>
      </c>
      <c r="AT182">
        <v>82.566699999999997</v>
      </c>
      <c r="AU182">
        <v>78.872200000000007</v>
      </c>
      <c r="AV182">
        <v>605.00459999999998</v>
      </c>
      <c r="AW182">
        <v>1535.5018</v>
      </c>
      <c r="AX182">
        <f t="shared" si="49"/>
        <v>64502.591863499998</v>
      </c>
      <c r="AY182">
        <f t="shared" si="50"/>
        <v>101196.17127774001</v>
      </c>
      <c r="AZ182">
        <f t="shared" si="51"/>
        <v>18755.54028628</v>
      </c>
      <c r="BA182">
        <f t="shared" si="43"/>
        <v>1535.5018</v>
      </c>
      <c r="BB182">
        <f t="shared" si="44"/>
        <v>0</v>
      </c>
      <c r="BC182">
        <f t="shared" si="45"/>
        <v>0</v>
      </c>
      <c r="BD182">
        <f t="shared" si="46"/>
        <v>0</v>
      </c>
      <c r="BE182">
        <f t="shared" si="47"/>
        <v>0</v>
      </c>
      <c r="BF182">
        <f t="shared" si="48"/>
        <v>0</v>
      </c>
      <c r="BG182">
        <f t="shared" si="52"/>
        <v>530.76773030999993</v>
      </c>
      <c r="BH182">
        <f t="shared" si="53"/>
        <v>522.34165924999991</v>
      </c>
      <c r="BI182">
        <f t="shared" si="54"/>
        <v>510.95122431000004</v>
      </c>
      <c r="BJ182">
        <f t="shared" si="55"/>
        <v>483.79276078000004</v>
      </c>
      <c r="BK182">
        <f t="shared" si="56"/>
        <v>478.41622980999995</v>
      </c>
      <c r="BL182">
        <f t="shared" si="57"/>
        <v>457.00918846000002</v>
      </c>
    </row>
    <row r="183" spans="1:64">
      <c r="A183" t="str">
        <f t="shared" si="42"/>
        <v>15</v>
      </c>
      <c r="B183" t="s">
        <v>605</v>
      </c>
      <c r="C183" t="s">
        <v>662</v>
      </c>
      <c r="D183">
        <v>55</v>
      </c>
      <c r="E183">
        <v>1</v>
      </c>
      <c r="F183">
        <v>6</v>
      </c>
      <c r="G183">
        <v>2</v>
      </c>
      <c r="H183">
        <v>200</v>
      </c>
      <c r="I183" t="s">
        <v>607</v>
      </c>
      <c r="J183">
        <v>0.42409999999999998</v>
      </c>
      <c r="K183">
        <v>23.3751</v>
      </c>
      <c r="L183">
        <v>6.7999999999999996E-3</v>
      </c>
      <c r="M183">
        <v>0.37980000000000003</v>
      </c>
      <c r="N183">
        <v>17.881</v>
      </c>
      <c r="O183">
        <v>85.446399999999997</v>
      </c>
      <c r="P183">
        <v>2948.1028000000001</v>
      </c>
      <c r="Q183">
        <v>218.05459999999999</v>
      </c>
      <c r="R183">
        <v>1.7148000000000001</v>
      </c>
      <c r="S183">
        <v>0.48130000000000001</v>
      </c>
      <c r="T183">
        <v>0.13650000000000001</v>
      </c>
      <c r="U183">
        <v>3.3E-3</v>
      </c>
      <c r="V183">
        <v>0.4763</v>
      </c>
      <c r="W183">
        <v>12.2682</v>
      </c>
      <c r="X183">
        <v>21.511900000000001</v>
      </c>
      <c r="Y183">
        <v>19.161799999999999</v>
      </c>
      <c r="Z183">
        <v>18.747800000000002</v>
      </c>
      <c r="AA183">
        <v>107.163</v>
      </c>
      <c r="AB183">
        <v>14.2521</v>
      </c>
      <c r="AC183">
        <v>42.023299999999999</v>
      </c>
      <c r="AD183">
        <v>60.4895</v>
      </c>
      <c r="AE183">
        <v>0.59330000000000005</v>
      </c>
      <c r="AF183">
        <v>7715.2267000000002</v>
      </c>
      <c r="AG183">
        <v>66.317599999999999</v>
      </c>
      <c r="AH183">
        <v>6.7400000000000002E-2</v>
      </c>
      <c r="AI183">
        <v>84.720299999999995</v>
      </c>
      <c r="AJ183">
        <v>54.21</v>
      </c>
      <c r="AK183">
        <v>72.588300000000004</v>
      </c>
      <c r="AL183">
        <v>2.3822000000000001</v>
      </c>
      <c r="AM183">
        <v>0.05</v>
      </c>
      <c r="AN183">
        <v>2.5499999999999998E-2</v>
      </c>
      <c r="AO183">
        <v>95.971100000000007</v>
      </c>
      <c r="AP183">
        <v>92.687700000000007</v>
      </c>
      <c r="AQ183">
        <v>91.097399999999993</v>
      </c>
      <c r="AR183">
        <v>88.761799999999994</v>
      </c>
      <c r="AS183">
        <v>83.536100000000005</v>
      </c>
      <c r="AT183">
        <v>82.514300000000006</v>
      </c>
      <c r="AU183">
        <v>78.829800000000006</v>
      </c>
      <c r="AV183">
        <v>1803.3755000000001</v>
      </c>
      <c r="AW183">
        <v>4577.68</v>
      </c>
      <c r="AX183">
        <f t="shared" si="49"/>
        <v>192369.21994400001</v>
      </c>
      <c r="AY183">
        <f t="shared" si="50"/>
        <v>303580.75116799999</v>
      </c>
      <c r="AZ183">
        <f t="shared" si="51"/>
        <v>56159.893776000004</v>
      </c>
      <c r="BA183">
        <f t="shared" si="43"/>
        <v>4577.68</v>
      </c>
      <c r="BB183">
        <f t="shared" si="44"/>
        <v>0</v>
      </c>
      <c r="BC183">
        <f t="shared" si="45"/>
        <v>0</v>
      </c>
      <c r="BD183">
        <f t="shared" si="46"/>
        <v>0</v>
      </c>
      <c r="BE183">
        <f t="shared" si="47"/>
        <v>0</v>
      </c>
      <c r="BF183">
        <f t="shared" si="48"/>
        <v>0</v>
      </c>
      <c r="BG183">
        <f t="shared" si="52"/>
        <v>1993.8885336300002</v>
      </c>
      <c r="BH183">
        <f t="shared" si="53"/>
        <v>1959.6781590599999</v>
      </c>
      <c r="BI183">
        <f t="shared" si="54"/>
        <v>1909.43496542</v>
      </c>
      <c r="BJ183">
        <f t="shared" si="55"/>
        <v>1797.0202295900001</v>
      </c>
      <c r="BK183">
        <f t="shared" si="56"/>
        <v>1775.0393701700002</v>
      </c>
      <c r="BL183">
        <f t="shared" si="57"/>
        <v>1695.7787746200001</v>
      </c>
    </row>
    <row r="184" spans="1:64">
      <c r="A184" t="str">
        <f t="shared" si="42"/>
        <v>15</v>
      </c>
      <c r="B184" t="s">
        <v>605</v>
      </c>
      <c r="C184" t="s">
        <v>662</v>
      </c>
      <c r="D184">
        <v>555</v>
      </c>
      <c r="E184">
        <v>1</v>
      </c>
      <c r="F184">
        <v>6</v>
      </c>
      <c r="G184">
        <v>2</v>
      </c>
      <c r="H184">
        <v>100</v>
      </c>
      <c r="I184" t="s">
        <v>609</v>
      </c>
      <c r="J184">
        <v>0.23569999999999999</v>
      </c>
      <c r="K184">
        <v>15.9626</v>
      </c>
      <c r="L184">
        <v>5.7999999999999996E-3</v>
      </c>
      <c r="M184">
        <v>0.2823</v>
      </c>
      <c r="N184">
        <v>17.881</v>
      </c>
      <c r="O184">
        <v>64.096800000000002</v>
      </c>
      <c r="P184">
        <v>2948.1028000000001</v>
      </c>
      <c r="Q184">
        <v>220.00370000000001</v>
      </c>
      <c r="R184">
        <v>2.0558999999999998</v>
      </c>
      <c r="S184">
        <v>0.6855</v>
      </c>
      <c r="T184">
        <v>0</v>
      </c>
      <c r="U184">
        <v>5.7000000000000002E-3</v>
      </c>
      <c r="V184">
        <v>0.24310000000000001</v>
      </c>
      <c r="W184">
        <v>12.178000000000001</v>
      </c>
      <c r="X184">
        <v>5.9999999999999995E-4</v>
      </c>
      <c r="Y184">
        <v>4.0000000000000002E-4</v>
      </c>
      <c r="Z184">
        <v>4.0000000000000002E-4</v>
      </c>
      <c r="AA184">
        <v>2E-3</v>
      </c>
      <c r="AB184">
        <v>33.921900000000001</v>
      </c>
      <c r="AC184">
        <v>42.604300000000002</v>
      </c>
      <c r="AD184">
        <v>59.871299999999998</v>
      </c>
      <c r="AE184">
        <v>3.0899598587919998E-5</v>
      </c>
      <c r="AF184">
        <v>7816.0452999999998</v>
      </c>
      <c r="AG184">
        <v>64.437600000000003</v>
      </c>
      <c r="AH184">
        <v>2.9774475346879999E-6</v>
      </c>
      <c r="AI184">
        <v>84.351600000000005</v>
      </c>
      <c r="AJ184">
        <v>54.21</v>
      </c>
      <c r="AK184">
        <v>71.862300000000005</v>
      </c>
      <c r="AL184">
        <v>2.5402999999999998</v>
      </c>
      <c r="AM184">
        <v>0.05</v>
      </c>
      <c r="AN184">
        <v>0</v>
      </c>
      <c r="AO184">
        <v>94.845299999999995</v>
      </c>
      <c r="AP184">
        <v>31.096</v>
      </c>
      <c r="AQ184">
        <v>29.931000000000001</v>
      </c>
      <c r="AR184">
        <v>27.419</v>
      </c>
      <c r="AS184">
        <v>21.302</v>
      </c>
      <c r="AT184">
        <v>19.989999999999998</v>
      </c>
      <c r="AU184">
        <v>17.315000000000001</v>
      </c>
      <c r="AV184">
        <v>9.3200000000000005E-2</v>
      </c>
      <c r="AW184">
        <v>0.24149999999999999</v>
      </c>
      <c r="AX184">
        <f t="shared" si="49"/>
        <v>10.28893845</v>
      </c>
      <c r="AY184">
        <f t="shared" si="50"/>
        <v>15.5616804</v>
      </c>
      <c r="AZ184">
        <f t="shared" si="51"/>
        <v>2.9409870000000002</v>
      </c>
      <c r="BA184">
        <f t="shared" si="43"/>
        <v>0.24149999999999999</v>
      </c>
      <c r="BB184">
        <f t="shared" si="44"/>
        <v>0</v>
      </c>
      <c r="BC184">
        <f t="shared" si="45"/>
        <v>0</v>
      </c>
      <c r="BD184">
        <f t="shared" si="46"/>
        <v>0</v>
      </c>
      <c r="BE184">
        <f t="shared" si="47"/>
        <v>0</v>
      </c>
      <c r="BF184">
        <f t="shared" si="48"/>
        <v>0</v>
      </c>
      <c r="BG184">
        <f t="shared" si="52"/>
        <v>1.86576E-2</v>
      </c>
      <c r="BH184">
        <f t="shared" si="53"/>
        <v>1.7958599999999998E-2</v>
      </c>
      <c r="BI184">
        <f t="shared" si="54"/>
        <v>1.6451399999999998E-2</v>
      </c>
      <c r="BJ184">
        <f t="shared" si="55"/>
        <v>1.27812E-2</v>
      </c>
      <c r="BK184">
        <f t="shared" si="56"/>
        <v>1.1993999999999998E-2</v>
      </c>
      <c r="BL184">
        <f t="shared" si="57"/>
        <v>1.0389000000000001E-2</v>
      </c>
    </row>
    <row r="185" spans="1:64">
      <c r="A185" t="str">
        <f t="shared" si="42"/>
        <v>15</v>
      </c>
      <c r="B185" t="s">
        <v>605</v>
      </c>
      <c r="C185" t="s">
        <v>662</v>
      </c>
      <c r="D185">
        <v>555</v>
      </c>
      <c r="E185">
        <v>1</v>
      </c>
      <c r="F185">
        <v>6</v>
      </c>
      <c r="G185">
        <v>2</v>
      </c>
      <c r="H185">
        <v>200</v>
      </c>
      <c r="I185" t="s">
        <v>609</v>
      </c>
      <c r="J185">
        <v>0.2316</v>
      </c>
      <c r="K185">
        <v>15.293900000000001</v>
      </c>
      <c r="L185">
        <v>6.8999999999999999E-3</v>
      </c>
      <c r="M185">
        <v>0.3533</v>
      </c>
      <c r="N185">
        <v>17.881</v>
      </c>
      <c r="O185">
        <v>87.968100000000007</v>
      </c>
      <c r="P185">
        <v>2948.1028000000001</v>
      </c>
      <c r="Q185">
        <v>216.28890000000001</v>
      </c>
      <c r="R185">
        <v>1.758</v>
      </c>
      <c r="S185">
        <v>0.7429</v>
      </c>
      <c r="T185">
        <v>0</v>
      </c>
      <c r="U185">
        <v>4.1000000000000003E-3</v>
      </c>
      <c r="V185">
        <v>0.23749999999999999</v>
      </c>
      <c r="W185">
        <v>12.190799999999999</v>
      </c>
      <c r="X185">
        <v>0.47739999999999999</v>
      </c>
      <c r="Y185">
        <v>0.42009999999999997</v>
      </c>
      <c r="Z185">
        <v>0.41589999999999999</v>
      </c>
      <c r="AA185">
        <v>2.3492000000000002</v>
      </c>
      <c r="AB185">
        <v>13.1121</v>
      </c>
      <c r="AC185">
        <v>41.847799999999999</v>
      </c>
      <c r="AD185">
        <v>60.457500000000003</v>
      </c>
      <c r="AE185">
        <v>2.6800000000000001E-2</v>
      </c>
      <c r="AF185">
        <v>7688.4681</v>
      </c>
      <c r="AG185">
        <v>66.732699999999994</v>
      </c>
      <c r="AH185">
        <v>2.8E-3</v>
      </c>
      <c r="AI185">
        <v>84.552599999999998</v>
      </c>
      <c r="AJ185">
        <v>54.21</v>
      </c>
      <c r="AK185">
        <v>72.255899999999997</v>
      </c>
      <c r="AL185">
        <v>2.3540000000000001</v>
      </c>
      <c r="AM185">
        <v>0.05</v>
      </c>
      <c r="AN185">
        <v>0</v>
      </c>
      <c r="AO185">
        <v>96.235500000000002</v>
      </c>
      <c r="AP185">
        <v>89.0655</v>
      </c>
      <c r="AQ185">
        <v>87.671499999999995</v>
      </c>
      <c r="AR185">
        <v>85.631200000000007</v>
      </c>
      <c r="AS185">
        <v>80.835999999999999</v>
      </c>
      <c r="AT185">
        <v>79.893600000000006</v>
      </c>
      <c r="AU185">
        <v>76.617900000000006</v>
      </c>
      <c r="AV185">
        <v>79.316699999999997</v>
      </c>
      <c r="AW185">
        <v>206.09960000000001</v>
      </c>
      <c r="AX185">
        <f t="shared" si="49"/>
        <v>8624.8148408800007</v>
      </c>
      <c r="AY185">
        <f t="shared" si="50"/>
        <v>13753.582776919999</v>
      </c>
      <c r="AZ185">
        <f t="shared" si="51"/>
        <v>2512.51900368</v>
      </c>
      <c r="BA185">
        <f t="shared" si="43"/>
        <v>206.09960000000001</v>
      </c>
      <c r="BB185">
        <f t="shared" si="44"/>
        <v>0</v>
      </c>
      <c r="BC185">
        <f t="shared" si="45"/>
        <v>0</v>
      </c>
      <c r="BD185">
        <f t="shared" si="46"/>
        <v>0</v>
      </c>
      <c r="BE185">
        <f t="shared" si="47"/>
        <v>0</v>
      </c>
      <c r="BF185">
        <f t="shared" si="48"/>
        <v>0</v>
      </c>
      <c r="BG185">
        <f t="shared" si="52"/>
        <v>42.519869700000001</v>
      </c>
      <c r="BH185">
        <f t="shared" si="53"/>
        <v>41.854374099999994</v>
      </c>
      <c r="BI185">
        <f t="shared" si="54"/>
        <v>40.880334879999999</v>
      </c>
      <c r="BJ185">
        <f t="shared" si="55"/>
        <v>38.591106400000001</v>
      </c>
      <c r="BK185">
        <f t="shared" si="56"/>
        <v>38.141204640000005</v>
      </c>
      <c r="BL185">
        <f t="shared" si="57"/>
        <v>36.577385460000002</v>
      </c>
    </row>
    <row r="186" spans="1:64">
      <c r="A186" t="str">
        <f t="shared" si="42"/>
        <v>16</v>
      </c>
      <c r="B186" t="s">
        <v>605</v>
      </c>
      <c r="C186" t="s">
        <v>663</v>
      </c>
      <c r="D186">
        <v>55</v>
      </c>
      <c r="E186">
        <v>1</v>
      </c>
      <c r="F186">
        <v>6</v>
      </c>
      <c r="G186">
        <v>2</v>
      </c>
      <c r="H186">
        <v>100</v>
      </c>
      <c r="I186" t="s">
        <v>617</v>
      </c>
      <c r="J186">
        <v>0.4506</v>
      </c>
      <c r="K186">
        <v>37.061700000000002</v>
      </c>
      <c r="L186">
        <v>8.8000000000000005E-3</v>
      </c>
      <c r="M186">
        <v>0.43830000000000002</v>
      </c>
      <c r="N186">
        <v>24.521100000000001</v>
      </c>
      <c r="O186">
        <v>89.072999999999993</v>
      </c>
      <c r="P186">
        <v>365.2824</v>
      </c>
      <c r="Q186">
        <v>226.08600000000001</v>
      </c>
      <c r="R186">
        <v>0.66649999999999998</v>
      </c>
      <c r="S186">
        <v>0.53359999999999996</v>
      </c>
      <c r="T186">
        <v>0.29049999999999998</v>
      </c>
      <c r="U186">
        <v>1.6000000000000001E-3</v>
      </c>
      <c r="V186">
        <v>0.39739999999999998</v>
      </c>
      <c r="W186">
        <v>12.430400000000001</v>
      </c>
      <c r="X186">
        <v>1.0661</v>
      </c>
      <c r="Y186">
        <v>0.9496</v>
      </c>
      <c r="Z186">
        <v>0.94179999999999997</v>
      </c>
      <c r="AA186">
        <v>3.8727</v>
      </c>
      <c r="AB186">
        <v>19.250299999999999</v>
      </c>
      <c r="AC186">
        <v>43.256</v>
      </c>
      <c r="AD186">
        <v>60.731900000000003</v>
      </c>
      <c r="AE186">
        <v>3.4799999999999998E-2</v>
      </c>
      <c r="AF186">
        <v>7911.3224</v>
      </c>
      <c r="AG186">
        <v>63.116500000000002</v>
      </c>
      <c r="AH186">
        <v>6.7000000000000002E-3</v>
      </c>
      <c r="AI186">
        <v>85.951599999999999</v>
      </c>
      <c r="AJ186">
        <v>54.21</v>
      </c>
      <c r="AK186">
        <v>75.024900000000002</v>
      </c>
      <c r="AL186">
        <v>2.2191999999999998</v>
      </c>
      <c r="AM186">
        <v>0.05</v>
      </c>
      <c r="AN186">
        <v>0</v>
      </c>
      <c r="AO186">
        <v>93.983500000000006</v>
      </c>
      <c r="AP186">
        <v>94.119100000000003</v>
      </c>
      <c r="AQ186">
        <v>92.418300000000002</v>
      </c>
      <c r="AR186">
        <v>89.673699999999997</v>
      </c>
      <c r="AS186">
        <v>84.141800000000003</v>
      </c>
      <c r="AT186">
        <v>83.095699999999994</v>
      </c>
      <c r="AU186">
        <v>79.014899999999997</v>
      </c>
      <c r="AV186">
        <v>107.6808</v>
      </c>
      <c r="AW186">
        <v>275.54250000000002</v>
      </c>
      <c r="AX186">
        <f t="shared" si="49"/>
        <v>11918.866380000001</v>
      </c>
      <c r="AY186">
        <f t="shared" si="50"/>
        <v>17391.278201250003</v>
      </c>
      <c r="AZ186">
        <f t="shared" si="51"/>
        <v>3425.1034920000002</v>
      </c>
      <c r="BA186">
        <f t="shared" si="43"/>
        <v>275.54250000000002</v>
      </c>
      <c r="BB186">
        <f t="shared" si="44"/>
        <v>0</v>
      </c>
      <c r="BC186">
        <f t="shared" si="45"/>
        <v>0</v>
      </c>
      <c r="BD186">
        <f t="shared" si="46"/>
        <v>0</v>
      </c>
      <c r="BE186">
        <f t="shared" si="47"/>
        <v>0</v>
      </c>
      <c r="BF186">
        <f t="shared" si="48"/>
        <v>0</v>
      </c>
      <c r="BG186">
        <f t="shared" si="52"/>
        <v>100.34037251000001</v>
      </c>
      <c r="BH186">
        <f t="shared" si="53"/>
        <v>98.527149630000011</v>
      </c>
      <c r="BI186">
        <f t="shared" si="54"/>
        <v>95.601131570000007</v>
      </c>
      <c r="BJ186">
        <f t="shared" si="55"/>
        <v>89.703572980000004</v>
      </c>
      <c r="BK186">
        <f t="shared" si="56"/>
        <v>88.588325769999997</v>
      </c>
      <c r="BL186">
        <f t="shared" si="57"/>
        <v>84.23778489</v>
      </c>
    </row>
    <row r="187" spans="1:64">
      <c r="A187" t="str">
        <f t="shared" si="42"/>
        <v>16</v>
      </c>
      <c r="B187" t="s">
        <v>605</v>
      </c>
      <c r="C187" t="s">
        <v>663</v>
      </c>
      <c r="D187">
        <v>55</v>
      </c>
      <c r="E187">
        <v>1</v>
      </c>
      <c r="F187">
        <v>6</v>
      </c>
      <c r="G187">
        <v>2</v>
      </c>
      <c r="H187">
        <v>100</v>
      </c>
      <c r="I187" t="s">
        <v>607</v>
      </c>
      <c r="J187">
        <v>0.44579999999999997</v>
      </c>
      <c r="K187">
        <v>35.904000000000003</v>
      </c>
      <c r="L187">
        <v>8.6999999999999994E-3</v>
      </c>
      <c r="M187">
        <v>0.43490000000000001</v>
      </c>
      <c r="N187">
        <v>24.403099999999998</v>
      </c>
      <c r="O187">
        <v>89.117900000000006</v>
      </c>
      <c r="P187">
        <v>437.16719999999998</v>
      </c>
      <c r="Q187">
        <v>223.1266</v>
      </c>
      <c r="R187">
        <v>0.72689999999999999</v>
      </c>
      <c r="S187">
        <v>0.57250000000000001</v>
      </c>
      <c r="T187">
        <v>0.2969</v>
      </c>
      <c r="U187">
        <v>1.2999999999999999E-3</v>
      </c>
      <c r="V187">
        <v>0.4239</v>
      </c>
      <c r="W187">
        <v>12.4171</v>
      </c>
      <c r="X187">
        <v>18.2135</v>
      </c>
      <c r="Y187">
        <v>16.239799999999999</v>
      </c>
      <c r="Z187">
        <v>16.004799999999999</v>
      </c>
      <c r="AA187">
        <v>67.0518</v>
      </c>
      <c r="AB187">
        <v>12.051</v>
      </c>
      <c r="AC187">
        <v>42.726300000000002</v>
      </c>
      <c r="AD187">
        <v>59.496200000000002</v>
      </c>
      <c r="AE187">
        <v>0.56110000000000004</v>
      </c>
      <c r="AF187">
        <v>7817.3814000000002</v>
      </c>
      <c r="AG187">
        <v>64.888800000000003</v>
      </c>
      <c r="AH187">
        <v>8.7599999999999997E-2</v>
      </c>
      <c r="AI187">
        <v>85.4923</v>
      </c>
      <c r="AJ187">
        <v>54.21</v>
      </c>
      <c r="AK187">
        <v>74.110299999999995</v>
      </c>
      <c r="AL187">
        <v>2.2982</v>
      </c>
      <c r="AM187">
        <v>0.05</v>
      </c>
      <c r="AN187">
        <v>5.9999999999999995E-4</v>
      </c>
      <c r="AO187">
        <v>95.033799999999999</v>
      </c>
      <c r="AP187">
        <v>94.752799999999993</v>
      </c>
      <c r="AQ187">
        <v>92.869799999999998</v>
      </c>
      <c r="AR187">
        <v>89.879499999999993</v>
      </c>
      <c r="AS187">
        <v>83.870999999999995</v>
      </c>
      <c r="AT187">
        <v>82.730199999999996</v>
      </c>
      <c r="AU187">
        <v>78.614800000000002</v>
      </c>
      <c r="AV187">
        <v>1707.1926000000001</v>
      </c>
      <c r="AW187">
        <v>4386.0178999999998</v>
      </c>
      <c r="AX187">
        <f t="shared" si="49"/>
        <v>187398.31660076999</v>
      </c>
      <c r="AY187">
        <f t="shared" si="50"/>
        <v>284603.43830952002</v>
      </c>
      <c r="AZ187">
        <f t="shared" si="51"/>
        <v>54461.622866089994</v>
      </c>
      <c r="BA187">
        <f t="shared" si="43"/>
        <v>4386.0178999999998</v>
      </c>
      <c r="BB187">
        <f t="shared" si="44"/>
        <v>0</v>
      </c>
      <c r="BC187">
        <f t="shared" si="45"/>
        <v>0</v>
      </c>
      <c r="BD187">
        <f t="shared" si="46"/>
        <v>0</v>
      </c>
      <c r="BE187">
        <f t="shared" si="47"/>
        <v>0</v>
      </c>
      <c r="BF187">
        <f t="shared" si="48"/>
        <v>0</v>
      </c>
      <c r="BG187">
        <f t="shared" si="52"/>
        <v>1725.7801227999998</v>
      </c>
      <c r="BH187">
        <f t="shared" si="53"/>
        <v>1691.4841022999999</v>
      </c>
      <c r="BI187">
        <f t="shared" si="54"/>
        <v>1637.0202732499999</v>
      </c>
      <c r="BJ187">
        <f t="shared" si="55"/>
        <v>1527.5844585</v>
      </c>
      <c r="BK187">
        <f t="shared" si="56"/>
        <v>1506.8064976999999</v>
      </c>
      <c r="BL187">
        <f t="shared" si="57"/>
        <v>1431.8506598000001</v>
      </c>
    </row>
    <row r="188" spans="1:64">
      <c r="A188" t="str">
        <f t="shared" si="42"/>
        <v>16</v>
      </c>
      <c r="B188" t="s">
        <v>605</v>
      </c>
      <c r="C188" t="s">
        <v>663</v>
      </c>
      <c r="D188">
        <v>55</v>
      </c>
      <c r="E188">
        <v>1</v>
      </c>
      <c r="F188">
        <v>6</v>
      </c>
      <c r="G188">
        <v>2</v>
      </c>
      <c r="H188">
        <v>200</v>
      </c>
      <c r="I188" t="s">
        <v>607</v>
      </c>
      <c r="J188">
        <v>0.52170000000000005</v>
      </c>
      <c r="K188">
        <v>30.847999999999999</v>
      </c>
      <c r="L188">
        <v>8.8000000000000005E-3</v>
      </c>
      <c r="M188">
        <v>0.43280000000000002</v>
      </c>
      <c r="N188">
        <v>18.183800000000002</v>
      </c>
      <c r="O188">
        <v>84.505300000000005</v>
      </c>
      <c r="P188">
        <v>2206.0243999999998</v>
      </c>
      <c r="Q188">
        <v>219.0762</v>
      </c>
      <c r="R188">
        <v>1.5609</v>
      </c>
      <c r="S188">
        <v>0.47789999999999999</v>
      </c>
      <c r="T188">
        <v>0.2215</v>
      </c>
      <c r="U188">
        <v>1.4E-3</v>
      </c>
      <c r="V188">
        <v>0.50649999999999995</v>
      </c>
      <c r="W188">
        <v>12.2668</v>
      </c>
      <c r="X188">
        <v>73.491600000000005</v>
      </c>
      <c r="Y188">
        <v>65.561599999999999</v>
      </c>
      <c r="Z188">
        <v>64.130099999999999</v>
      </c>
      <c r="AA188">
        <v>362.52409999999998</v>
      </c>
      <c r="AB188">
        <v>17.5624</v>
      </c>
      <c r="AC188">
        <v>42.289099999999998</v>
      </c>
      <c r="AD188">
        <v>59.979199999999999</v>
      </c>
      <c r="AE188">
        <v>1.8991</v>
      </c>
      <c r="AF188">
        <v>7742.7560000000003</v>
      </c>
      <c r="AG188">
        <v>66.254599999999996</v>
      </c>
      <c r="AH188">
        <v>0.22670000000000001</v>
      </c>
      <c r="AI188">
        <v>84.855800000000002</v>
      </c>
      <c r="AJ188">
        <v>54.21</v>
      </c>
      <c r="AK188">
        <v>72.853200000000001</v>
      </c>
      <c r="AL188">
        <v>2.3079999999999998</v>
      </c>
      <c r="AM188">
        <v>0.05</v>
      </c>
      <c r="AN188">
        <v>2.4500000000000001E-2</v>
      </c>
      <c r="AO188">
        <v>95.855099999999993</v>
      </c>
      <c r="AP188">
        <v>93.807400000000001</v>
      </c>
      <c r="AQ188">
        <v>92.100899999999996</v>
      </c>
      <c r="AR188">
        <v>89.4148</v>
      </c>
      <c r="AS188">
        <v>83.764899999999997</v>
      </c>
      <c r="AT188">
        <v>82.691900000000004</v>
      </c>
      <c r="AU188">
        <v>78.860600000000005</v>
      </c>
      <c r="AV188">
        <v>5781.0048999999999</v>
      </c>
      <c r="AW188">
        <v>14703.706200000001</v>
      </c>
      <c r="AX188">
        <f t="shared" si="49"/>
        <v>621806.50186242</v>
      </c>
      <c r="AY188">
        <f t="shared" si="50"/>
        <v>974188.17279851995</v>
      </c>
      <c r="AZ188">
        <f t="shared" si="51"/>
        <v>180367.42321415999</v>
      </c>
      <c r="BA188">
        <f t="shared" si="43"/>
        <v>14703.706200000001</v>
      </c>
      <c r="BB188">
        <f t="shared" si="44"/>
        <v>0</v>
      </c>
      <c r="BC188">
        <f t="shared" si="45"/>
        <v>0</v>
      </c>
      <c r="BD188">
        <f t="shared" si="46"/>
        <v>0</v>
      </c>
      <c r="BE188">
        <f t="shared" si="47"/>
        <v>0</v>
      </c>
      <c r="BF188">
        <f t="shared" si="48"/>
        <v>0</v>
      </c>
      <c r="BG188">
        <f t="shared" si="52"/>
        <v>6894.0559178400008</v>
      </c>
      <c r="BH188">
        <f t="shared" si="53"/>
        <v>6768.6425024400005</v>
      </c>
      <c r="BI188">
        <f t="shared" si="54"/>
        <v>6571.2367156800001</v>
      </c>
      <c r="BJ188">
        <f t="shared" si="55"/>
        <v>6156.0165248399999</v>
      </c>
      <c r="BK188">
        <f t="shared" si="56"/>
        <v>6077.1600380400005</v>
      </c>
      <c r="BL188">
        <f t="shared" si="57"/>
        <v>5795.5916709600006</v>
      </c>
    </row>
    <row r="189" spans="1:64">
      <c r="A189" t="str">
        <f t="shared" si="42"/>
        <v>17</v>
      </c>
      <c r="B189" t="s">
        <v>605</v>
      </c>
      <c r="C189" t="s">
        <v>664</v>
      </c>
      <c r="D189">
        <v>55</v>
      </c>
      <c r="E189">
        <v>1</v>
      </c>
      <c r="F189">
        <v>6</v>
      </c>
      <c r="G189">
        <v>2</v>
      </c>
      <c r="H189">
        <v>100</v>
      </c>
      <c r="I189" t="s">
        <v>617</v>
      </c>
      <c r="J189">
        <v>0.45129999999999998</v>
      </c>
      <c r="K189">
        <v>39.0886</v>
      </c>
      <c r="L189">
        <v>9.1000000000000004E-3</v>
      </c>
      <c r="M189">
        <v>0.4274</v>
      </c>
      <c r="N189">
        <v>24.265499999999999</v>
      </c>
      <c r="O189">
        <v>89.065600000000003</v>
      </c>
      <c r="P189">
        <v>364.50599999999997</v>
      </c>
      <c r="Q189">
        <v>226.1611</v>
      </c>
      <c r="R189">
        <v>0.6653</v>
      </c>
      <c r="S189">
        <v>0.51739999999999997</v>
      </c>
      <c r="T189">
        <v>0.28489999999999999</v>
      </c>
      <c r="U189">
        <v>1.4E-3</v>
      </c>
      <c r="V189">
        <v>0.39800000000000002</v>
      </c>
      <c r="W189">
        <v>12.4156</v>
      </c>
      <c r="X189">
        <v>9.2774999999999999</v>
      </c>
      <c r="Y189">
        <v>8.2630999999999997</v>
      </c>
      <c r="Z189">
        <v>8.2006999999999994</v>
      </c>
      <c r="AA189">
        <v>34.068300000000001</v>
      </c>
      <c r="AB189">
        <v>19.985099999999999</v>
      </c>
      <c r="AC189">
        <v>43.332700000000003</v>
      </c>
      <c r="AD189">
        <v>60.979599999999998</v>
      </c>
      <c r="AE189">
        <v>0.30259999999999998</v>
      </c>
      <c r="AF189">
        <v>7916.9928</v>
      </c>
      <c r="AG189">
        <v>63.1922</v>
      </c>
      <c r="AH189">
        <v>5.96E-2</v>
      </c>
      <c r="AI189">
        <v>86.011499999999998</v>
      </c>
      <c r="AJ189">
        <v>54.21</v>
      </c>
      <c r="AK189">
        <v>75.144800000000004</v>
      </c>
      <c r="AL189">
        <v>2.2084999999999999</v>
      </c>
      <c r="AM189">
        <v>0.05</v>
      </c>
      <c r="AN189">
        <v>0</v>
      </c>
      <c r="AO189">
        <v>93.998500000000007</v>
      </c>
      <c r="AP189">
        <v>93.924400000000006</v>
      </c>
      <c r="AQ189">
        <v>92.272199999999998</v>
      </c>
      <c r="AR189">
        <v>89.583299999999994</v>
      </c>
      <c r="AS189">
        <v>84.178600000000003</v>
      </c>
      <c r="AT189">
        <v>83.156999999999996</v>
      </c>
      <c r="AU189">
        <v>79.104900000000001</v>
      </c>
      <c r="AV189">
        <v>937.15750000000003</v>
      </c>
      <c r="AW189">
        <v>2395.8036000000002</v>
      </c>
      <c r="AX189">
        <f t="shared" si="49"/>
        <v>103816.63865772002</v>
      </c>
      <c r="AY189">
        <f t="shared" si="50"/>
        <v>151396.10025192</v>
      </c>
      <c r="AZ189">
        <f t="shared" si="51"/>
        <v>29745.33917616</v>
      </c>
      <c r="BA189">
        <f t="shared" si="43"/>
        <v>2395.8036000000002</v>
      </c>
      <c r="BB189">
        <f t="shared" si="44"/>
        <v>0</v>
      </c>
      <c r="BC189">
        <f t="shared" si="45"/>
        <v>0</v>
      </c>
      <c r="BD189">
        <f t="shared" si="46"/>
        <v>0</v>
      </c>
      <c r="BE189">
        <f t="shared" si="47"/>
        <v>0</v>
      </c>
      <c r="BF189">
        <f t="shared" si="48"/>
        <v>0</v>
      </c>
      <c r="BG189">
        <f t="shared" si="52"/>
        <v>871.38362100000006</v>
      </c>
      <c r="BH189">
        <f t="shared" si="53"/>
        <v>856.05533549999996</v>
      </c>
      <c r="BI189">
        <f t="shared" si="54"/>
        <v>831.1090657499999</v>
      </c>
      <c r="BJ189">
        <f t="shared" si="55"/>
        <v>780.96696150000002</v>
      </c>
      <c r="BK189">
        <f t="shared" si="56"/>
        <v>771.48906749999992</v>
      </c>
      <c r="BL189">
        <f t="shared" si="57"/>
        <v>733.89570975000004</v>
      </c>
    </row>
    <row r="190" spans="1:64">
      <c r="A190" t="str">
        <f t="shared" si="42"/>
        <v>17</v>
      </c>
      <c r="B190" t="s">
        <v>605</v>
      </c>
      <c r="C190" t="s">
        <v>664</v>
      </c>
      <c r="D190">
        <v>55</v>
      </c>
      <c r="E190">
        <v>1</v>
      </c>
      <c r="F190">
        <v>6</v>
      </c>
      <c r="G190">
        <v>2</v>
      </c>
      <c r="H190">
        <v>100</v>
      </c>
      <c r="I190" t="s">
        <v>607</v>
      </c>
      <c r="J190">
        <v>0.44090000000000001</v>
      </c>
      <c r="K190">
        <v>45.5413</v>
      </c>
      <c r="L190">
        <v>8.9999999999999993E-3</v>
      </c>
      <c r="M190">
        <v>0.43099999999999999</v>
      </c>
      <c r="N190">
        <v>24.031500000000001</v>
      </c>
      <c r="O190">
        <v>89.1143</v>
      </c>
      <c r="P190">
        <v>431.99360000000001</v>
      </c>
      <c r="Q190">
        <v>223.16059999999999</v>
      </c>
      <c r="R190">
        <v>0.67610000000000003</v>
      </c>
      <c r="S190">
        <v>0.52759999999999996</v>
      </c>
      <c r="T190">
        <v>0.28139999999999998</v>
      </c>
      <c r="U190">
        <v>1.1999999999999999E-3</v>
      </c>
      <c r="V190">
        <v>0.41610000000000003</v>
      </c>
      <c r="W190">
        <v>12.383100000000001</v>
      </c>
      <c r="X190">
        <v>15.7067</v>
      </c>
      <c r="Y190">
        <v>13.9969</v>
      </c>
      <c r="Z190">
        <v>13.8851</v>
      </c>
      <c r="AA190">
        <v>58.245899999999999</v>
      </c>
      <c r="AB190">
        <v>16.048999999999999</v>
      </c>
      <c r="AC190">
        <v>42.839500000000001</v>
      </c>
      <c r="AD190">
        <v>60.483499999999999</v>
      </c>
      <c r="AE190">
        <v>0.49530000000000002</v>
      </c>
      <c r="AF190">
        <v>7829.0769</v>
      </c>
      <c r="AG190">
        <v>64.861000000000004</v>
      </c>
      <c r="AH190">
        <v>9.9299999999999999E-2</v>
      </c>
      <c r="AI190">
        <v>86.0749</v>
      </c>
      <c r="AJ190">
        <v>54.21</v>
      </c>
      <c r="AK190">
        <v>75.272099999999995</v>
      </c>
      <c r="AL190">
        <v>2.2212999999999998</v>
      </c>
      <c r="AM190">
        <v>0.05</v>
      </c>
      <c r="AN190">
        <v>0</v>
      </c>
      <c r="AO190">
        <v>94.984999999999999</v>
      </c>
      <c r="AP190">
        <v>93.938100000000006</v>
      </c>
      <c r="AQ190">
        <v>92.202799999999996</v>
      </c>
      <c r="AR190">
        <v>89.466200000000001</v>
      </c>
      <c r="AS190">
        <v>83.985100000000003</v>
      </c>
      <c r="AT190">
        <v>82.951599999999999</v>
      </c>
      <c r="AU190">
        <v>78.884900000000002</v>
      </c>
      <c r="AV190">
        <v>1503.9522999999999</v>
      </c>
      <c r="AW190">
        <v>3877.6462000000001</v>
      </c>
      <c r="AX190">
        <f t="shared" si="49"/>
        <v>166116.42438490002</v>
      </c>
      <c r="AY190">
        <f t="shared" si="50"/>
        <v>251508.01017820003</v>
      </c>
      <c r="AZ190">
        <f t="shared" si="51"/>
        <v>48017.280659220007</v>
      </c>
      <c r="BA190">
        <f t="shared" si="43"/>
        <v>3877.6462000000001</v>
      </c>
      <c r="BB190">
        <f t="shared" si="44"/>
        <v>0</v>
      </c>
      <c r="BC190">
        <f t="shared" si="45"/>
        <v>0</v>
      </c>
      <c r="BD190">
        <f t="shared" si="46"/>
        <v>0</v>
      </c>
      <c r="BE190">
        <f t="shared" si="47"/>
        <v>0</v>
      </c>
      <c r="BF190">
        <f t="shared" si="48"/>
        <v>0</v>
      </c>
      <c r="BG190">
        <f t="shared" si="52"/>
        <v>1475.4575552700001</v>
      </c>
      <c r="BH190">
        <f t="shared" si="53"/>
        <v>1448.2017187599999</v>
      </c>
      <c r="BI190">
        <f t="shared" si="54"/>
        <v>1405.2187635400001</v>
      </c>
      <c r="BJ190">
        <f t="shared" si="55"/>
        <v>1319.1287701700001</v>
      </c>
      <c r="BK190">
        <f t="shared" si="56"/>
        <v>1302.89589572</v>
      </c>
      <c r="BL190">
        <f t="shared" si="57"/>
        <v>1239.02145883</v>
      </c>
    </row>
    <row r="191" spans="1:64">
      <c r="A191" t="str">
        <f t="shared" si="42"/>
        <v>17</v>
      </c>
      <c r="B191" t="s">
        <v>605</v>
      </c>
      <c r="C191" t="s">
        <v>664</v>
      </c>
      <c r="D191">
        <v>55</v>
      </c>
      <c r="E191">
        <v>1</v>
      </c>
      <c r="F191">
        <v>6</v>
      </c>
      <c r="G191">
        <v>2</v>
      </c>
      <c r="H191">
        <v>200</v>
      </c>
      <c r="I191" t="s">
        <v>617</v>
      </c>
      <c r="J191">
        <v>0.40500000000000003</v>
      </c>
      <c r="K191">
        <v>38.927399999999999</v>
      </c>
      <c r="L191">
        <v>1.0500000000000001E-2</v>
      </c>
      <c r="M191">
        <v>0.44309999999999999</v>
      </c>
      <c r="N191">
        <v>17.881</v>
      </c>
      <c r="O191">
        <v>89.204800000000006</v>
      </c>
      <c r="P191">
        <v>2948.1028000000001</v>
      </c>
      <c r="Q191">
        <v>218.0138</v>
      </c>
      <c r="R191">
        <v>1.675</v>
      </c>
      <c r="S191">
        <v>0.6845</v>
      </c>
      <c r="T191">
        <v>0.17050000000000001</v>
      </c>
      <c r="U191">
        <v>5.9999999999999995E-4</v>
      </c>
      <c r="V191">
        <v>0.39910000000000001</v>
      </c>
      <c r="W191">
        <v>12.1608</v>
      </c>
      <c r="X191">
        <v>4.5404999999999998</v>
      </c>
      <c r="Y191">
        <v>4.0503999999999998</v>
      </c>
      <c r="Z191">
        <v>3.9895999999999998</v>
      </c>
      <c r="AA191">
        <v>22.651800000000001</v>
      </c>
      <c r="AB191">
        <v>12.861599999999999</v>
      </c>
      <c r="AC191">
        <v>42.438099999999999</v>
      </c>
      <c r="AD191">
        <v>59.234299999999998</v>
      </c>
      <c r="AE191">
        <v>0.15</v>
      </c>
      <c r="AF191">
        <v>7738.0038000000004</v>
      </c>
      <c r="AG191">
        <v>67.092600000000004</v>
      </c>
      <c r="AH191">
        <v>2.1299999999999999E-2</v>
      </c>
      <c r="AI191">
        <v>85.291899999999998</v>
      </c>
      <c r="AJ191">
        <v>54.21</v>
      </c>
      <c r="AK191">
        <v>73.712900000000005</v>
      </c>
      <c r="AL191">
        <v>2.2751999999999999</v>
      </c>
      <c r="AM191">
        <v>0.05</v>
      </c>
      <c r="AN191">
        <v>0</v>
      </c>
      <c r="AO191">
        <v>96.227900000000005</v>
      </c>
      <c r="AP191">
        <v>92.925700000000006</v>
      </c>
      <c r="AQ191">
        <v>91.462999999999994</v>
      </c>
      <c r="AR191">
        <v>89.081800000000001</v>
      </c>
      <c r="AS191">
        <v>83.902500000000003</v>
      </c>
      <c r="AT191">
        <v>82.958699999999993</v>
      </c>
      <c r="AU191">
        <v>79.193100000000001</v>
      </c>
      <c r="AV191">
        <v>457.28320000000002</v>
      </c>
      <c r="AW191">
        <v>1160.5849000000001</v>
      </c>
      <c r="AX191">
        <f t="shared" si="49"/>
        <v>49253.018044689998</v>
      </c>
      <c r="AY191">
        <f t="shared" si="50"/>
        <v>77866.658461740008</v>
      </c>
      <c r="AZ191">
        <f t="shared" si="51"/>
        <v>14113.640851920001</v>
      </c>
      <c r="BA191">
        <f t="shared" si="43"/>
        <v>1160.5849000000001</v>
      </c>
      <c r="BB191">
        <f t="shared" si="44"/>
        <v>0</v>
      </c>
      <c r="BC191">
        <f t="shared" si="45"/>
        <v>0</v>
      </c>
      <c r="BD191">
        <f t="shared" si="46"/>
        <v>0</v>
      </c>
      <c r="BE191">
        <f t="shared" si="47"/>
        <v>0</v>
      </c>
      <c r="BF191">
        <f t="shared" si="48"/>
        <v>0</v>
      </c>
      <c r="BG191">
        <f t="shared" si="52"/>
        <v>421.92914085000001</v>
      </c>
      <c r="BH191">
        <f t="shared" si="53"/>
        <v>415.28775149999996</v>
      </c>
      <c r="BI191">
        <f t="shared" si="54"/>
        <v>404.47591289999997</v>
      </c>
      <c r="BJ191">
        <f t="shared" si="55"/>
        <v>380.95930125000001</v>
      </c>
      <c r="BK191">
        <f t="shared" si="56"/>
        <v>376.67397734999997</v>
      </c>
      <c r="BL191">
        <f t="shared" si="57"/>
        <v>359.57627055</v>
      </c>
    </row>
    <row r="192" spans="1:64">
      <c r="A192" t="str">
        <f t="shared" si="42"/>
        <v>17</v>
      </c>
      <c r="B192" t="s">
        <v>605</v>
      </c>
      <c r="C192" t="s">
        <v>664</v>
      </c>
      <c r="D192">
        <v>55</v>
      </c>
      <c r="E192">
        <v>1</v>
      </c>
      <c r="F192">
        <v>6</v>
      </c>
      <c r="G192">
        <v>2</v>
      </c>
      <c r="H192">
        <v>200</v>
      </c>
      <c r="I192" t="s">
        <v>607</v>
      </c>
      <c r="J192">
        <v>0.43540000000000001</v>
      </c>
      <c r="K192">
        <v>41.101799999999997</v>
      </c>
      <c r="L192">
        <v>9.9000000000000008E-3</v>
      </c>
      <c r="M192">
        <v>0.44340000000000002</v>
      </c>
      <c r="N192">
        <v>20.219100000000001</v>
      </c>
      <c r="O192">
        <v>89.231700000000004</v>
      </c>
      <c r="P192">
        <v>1974.8744999999999</v>
      </c>
      <c r="Q192">
        <v>219.4239</v>
      </c>
      <c r="R192">
        <v>1.2098</v>
      </c>
      <c r="S192">
        <v>0.52370000000000005</v>
      </c>
      <c r="T192">
        <v>0.2281</v>
      </c>
      <c r="U192">
        <v>8.0000000000000004E-4</v>
      </c>
      <c r="V192">
        <v>0.42780000000000001</v>
      </c>
      <c r="W192">
        <v>12.2416</v>
      </c>
      <c r="X192">
        <v>55.374499999999998</v>
      </c>
      <c r="Y192">
        <v>49.411900000000003</v>
      </c>
      <c r="Z192">
        <v>48.743400000000001</v>
      </c>
      <c r="AA192">
        <v>248.57980000000001</v>
      </c>
      <c r="AB192">
        <v>11.805199999999999</v>
      </c>
      <c r="AC192">
        <v>42.477400000000003</v>
      </c>
      <c r="AD192">
        <v>60.044600000000003</v>
      </c>
      <c r="AE192">
        <v>1.7047000000000001</v>
      </c>
      <c r="AF192">
        <v>7757.6925000000001</v>
      </c>
      <c r="AG192">
        <v>66.405100000000004</v>
      </c>
      <c r="AH192">
        <v>0.27860000000000001</v>
      </c>
      <c r="AI192">
        <v>85.569199999999995</v>
      </c>
      <c r="AJ192">
        <v>54.21</v>
      </c>
      <c r="AK192">
        <v>74.266300000000001</v>
      </c>
      <c r="AL192">
        <v>2.2088999999999999</v>
      </c>
      <c r="AM192">
        <v>0.05</v>
      </c>
      <c r="AN192">
        <v>0</v>
      </c>
      <c r="AO192">
        <v>95.871300000000005</v>
      </c>
      <c r="AP192">
        <v>93.534099999999995</v>
      </c>
      <c r="AQ192">
        <v>91.915499999999994</v>
      </c>
      <c r="AR192">
        <v>89.377799999999993</v>
      </c>
      <c r="AS192">
        <v>84.003</v>
      </c>
      <c r="AT192">
        <v>83.012200000000007</v>
      </c>
      <c r="AU192">
        <v>79.068899999999999</v>
      </c>
      <c r="AV192">
        <v>5191.1023999999998</v>
      </c>
      <c r="AW192">
        <v>13224.604300000001</v>
      </c>
      <c r="AX192">
        <f t="shared" si="49"/>
        <v>561746.80669282004</v>
      </c>
      <c r="AY192">
        <f t="shared" si="50"/>
        <v>878181.17100193014</v>
      </c>
      <c r="AZ192">
        <f t="shared" si="51"/>
        <v>161890.31599888002</v>
      </c>
      <c r="BA192">
        <f t="shared" si="43"/>
        <v>13224.604300000001</v>
      </c>
      <c r="BB192">
        <f t="shared" si="44"/>
        <v>0</v>
      </c>
      <c r="BC192">
        <f t="shared" si="45"/>
        <v>0</v>
      </c>
      <c r="BD192">
        <f t="shared" si="46"/>
        <v>0</v>
      </c>
      <c r="BE192">
        <f t="shared" si="47"/>
        <v>0</v>
      </c>
      <c r="BF192">
        <f t="shared" si="48"/>
        <v>0</v>
      </c>
      <c r="BG192">
        <f t="shared" si="52"/>
        <v>5179.4040204499997</v>
      </c>
      <c r="BH192">
        <f t="shared" si="53"/>
        <v>5089.7748547499996</v>
      </c>
      <c r="BI192">
        <f t="shared" si="54"/>
        <v>4949.2509860999999</v>
      </c>
      <c r="BJ192">
        <f t="shared" si="55"/>
        <v>4651.6241234999998</v>
      </c>
      <c r="BK192">
        <f t="shared" si="56"/>
        <v>4596.7590688999999</v>
      </c>
      <c r="BL192">
        <f t="shared" si="57"/>
        <v>4378.4008030499999</v>
      </c>
    </row>
    <row r="193" spans="1:64">
      <c r="A193" t="str">
        <f t="shared" si="42"/>
        <v>17</v>
      </c>
      <c r="B193" t="s">
        <v>605</v>
      </c>
      <c r="C193" t="s">
        <v>664</v>
      </c>
      <c r="D193">
        <v>555</v>
      </c>
      <c r="E193">
        <v>1</v>
      </c>
      <c r="F193">
        <v>6</v>
      </c>
      <c r="G193">
        <v>2</v>
      </c>
      <c r="H193">
        <v>200</v>
      </c>
      <c r="I193" t="s">
        <v>609</v>
      </c>
      <c r="J193">
        <v>0.34560000000000002</v>
      </c>
      <c r="K193">
        <v>18.315799999999999</v>
      </c>
      <c r="L193">
        <v>9.1000000000000004E-3</v>
      </c>
      <c r="M193">
        <v>0.45779999999999998</v>
      </c>
      <c r="N193">
        <v>17.881</v>
      </c>
      <c r="O193">
        <v>89.302599999999998</v>
      </c>
      <c r="P193">
        <v>2948.1028000000001</v>
      </c>
      <c r="Q193">
        <v>215.89619999999999</v>
      </c>
      <c r="R193">
        <v>1.7350000000000001</v>
      </c>
      <c r="S193">
        <v>0.41039999999999999</v>
      </c>
      <c r="T193">
        <v>0.2228</v>
      </c>
      <c r="U193">
        <v>1.6999999999999999E-3</v>
      </c>
      <c r="V193">
        <v>0.35</v>
      </c>
      <c r="W193">
        <v>12.087999999999999</v>
      </c>
      <c r="X193">
        <v>0.87190000000000001</v>
      </c>
      <c r="Y193">
        <v>0.77859999999999996</v>
      </c>
      <c r="Z193">
        <v>0.76119999999999999</v>
      </c>
      <c r="AA193">
        <v>4.3544</v>
      </c>
      <c r="AB193">
        <v>28.139900000000001</v>
      </c>
      <c r="AC193">
        <v>42.1676</v>
      </c>
      <c r="AD193">
        <v>59.814599999999999</v>
      </c>
      <c r="AE193">
        <v>3.2800000000000003E-2</v>
      </c>
      <c r="AF193">
        <v>7699.3374999999996</v>
      </c>
      <c r="AG193">
        <v>67.627700000000004</v>
      </c>
      <c r="AH193">
        <v>2.5999999999999999E-3</v>
      </c>
      <c r="AI193">
        <v>83.907499999999999</v>
      </c>
      <c r="AJ193">
        <v>54.21</v>
      </c>
      <c r="AK193">
        <v>70.996399999999994</v>
      </c>
      <c r="AL193">
        <v>2.1217999999999999</v>
      </c>
      <c r="AM193">
        <v>0.05</v>
      </c>
      <c r="AN193">
        <v>0</v>
      </c>
      <c r="AO193">
        <v>96.581500000000005</v>
      </c>
      <c r="AP193">
        <v>92.779899999999998</v>
      </c>
      <c r="AQ193">
        <v>91.395099999999999</v>
      </c>
      <c r="AR193">
        <v>89.044499999999999</v>
      </c>
      <c r="AS193">
        <v>84.024500000000003</v>
      </c>
      <c r="AT193">
        <v>83.097700000000003</v>
      </c>
      <c r="AU193">
        <v>79.447299999999998</v>
      </c>
      <c r="AV193">
        <v>96.926299999999998</v>
      </c>
      <c r="AW193">
        <v>252.3057</v>
      </c>
      <c r="AX193">
        <f t="shared" si="49"/>
        <v>10639.125835320001</v>
      </c>
      <c r="AY193">
        <f t="shared" si="50"/>
        <v>17062.85418789</v>
      </c>
      <c r="AZ193">
        <f t="shared" si="51"/>
        <v>3049.8713015999997</v>
      </c>
      <c r="BA193">
        <f t="shared" si="43"/>
        <v>252.3057</v>
      </c>
      <c r="BB193">
        <f t="shared" si="44"/>
        <v>0</v>
      </c>
      <c r="BC193">
        <f t="shared" si="45"/>
        <v>0</v>
      </c>
      <c r="BD193">
        <f t="shared" si="46"/>
        <v>0</v>
      </c>
      <c r="BE193">
        <f t="shared" si="47"/>
        <v>0</v>
      </c>
      <c r="BF193">
        <f t="shared" si="48"/>
        <v>0</v>
      </c>
      <c r="BG193">
        <f t="shared" si="52"/>
        <v>80.894794809999993</v>
      </c>
      <c r="BH193">
        <f t="shared" si="53"/>
        <v>79.687387689999994</v>
      </c>
      <c r="BI193">
        <f t="shared" si="54"/>
        <v>77.63789955</v>
      </c>
      <c r="BJ193">
        <f t="shared" si="55"/>
        <v>73.260961550000005</v>
      </c>
      <c r="BK193">
        <f t="shared" si="56"/>
        <v>72.45288463</v>
      </c>
      <c r="BL193">
        <f t="shared" si="57"/>
        <v>69.270100869999993</v>
      </c>
    </row>
    <row r="194" spans="1:64">
      <c r="A194" t="str">
        <f t="shared" si="42"/>
        <v>18</v>
      </c>
      <c r="B194" t="s">
        <v>605</v>
      </c>
      <c r="C194" t="s">
        <v>665</v>
      </c>
      <c r="D194">
        <v>55</v>
      </c>
      <c r="E194">
        <v>1</v>
      </c>
      <c r="F194">
        <v>6</v>
      </c>
      <c r="G194">
        <v>2</v>
      </c>
      <c r="H194">
        <v>100</v>
      </c>
      <c r="I194" t="s">
        <v>617</v>
      </c>
      <c r="J194">
        <v>0.45050000000000001</v>
      </c>
      <c r="K194">
        <v>50.052300000000002</v>
      </c>
      <c r="L194">
        <v>1.01E-2</v>
      </c>
      <c r="M194">
        <v>0.38679999999999998</v>
      </c>
      <c r="N194">
        <v>22.668700000000001</v>
      </c>
      <c r="O194">
        <v>89.030199999999994</v>
      </c>
      <c r="P194">
        <v>404.2647</v>
      </c>
      <c r="Q194">
        <v>226.34780000000001</v>
      </c>
      <c r="R194">
        <v>0.74319999999999997</v>
      </c>
      <c r="S194">
        <v>0.46729999999999999</v>
      </c>
      <c r="T194">
        <v>0.26939999999999997</v>
      </c>
      <c r="U194">
        <v>8.0000000000000004E-4</v>
      </c>
      <c r="V194">
        <v>0.4002</v>
      </c>
      <c r="W194">
        <v>12.36</v>
      </c>
      <c r="X194">
        <v>4.5217000000000001</v>
      </c>
      <c r="Y194">
        <v>4.0256999999999996</v>
      </c>
      <c r="Z194">
        <v>4.0091000000000001</v>
      </c>
      <c r="AA194">
        <v>17.8872</v>
      </c>
      <c r="AB194">
        <v>21.342600000000001</v>
      </c>
      <c r="AC194">
        <v>43.619100000000003</v>
      </c>
      <c r="AD194">
        <v>61.871899999999997</v>
      </c>
      <c r="AE194">
        <v>0.1469</v>
      </c>
      <c r="AF194">
        <v>7933.3464999999997</v>
      </c>
      <c r="AG194">
        <v>63.677900000000001</v>
      </c>
      <c r="AH194">
        <v>3.27E-2</v>
      </c>
      <c r="AI194">
        <v>86.292500000000004</v>
      </c>
      <c r="AJ194">
        <v>54.21</v>
      </c>
      <c r="AK194">
        <v>75.707700000000003</v>
      </c>
      <c r="AL194">
        <v>2.17</v>
      </c>
      <c r="AM194">
        <v>0.05</v>
      </c>
      <c r="AN194">
        <v>0</v>
      </c>
      <c r="AO194">
        <v>94.156300000000002</v>
      </c>
      <c r="AP194">
        <v>93.104100000000003</v>
      </c>
      <c r="AQ194">
        <v>91.644900000000007</v>
      </c>
      <c r="AR194">
        <v>89.187399999999997</v>
      </c>
      <c r="AS194">
        <v>84.306700000000006</v>
      </c>
      <c r="AT194">
        <v>83.387</v>
      </c>
      <c r="AU194">
        <v>79.454599999999999</v>
      </c>
      <c r="AV194">
        <v>457.40449999999998</v>
      </c>
      <c r="AW194">
        <v>1165.0812000000001</v>
      </c>
      <c r="AX194">
        <f t="shared" si="49"/>
        <v>50819.793370920008</v>
      </c>
      <c r="AY194">
        <f t="shared" si="50"/>
        <v>74189.924145480007</v>
      </c>
      <c r="AZ194">
        <f t="shared" si="51"/>
        <v>14400.403632</v>
      </c>
      <c r="BA194">
        <f t="shared" si="43"/>
        <v>1165.0812000000001</v>
      </c>
      <c r="BB194">
        <f t="shared" si="44"/>
        <v>0</v>
      </c>
      <c r="BC194">
        <f t="shared" si="45"/>
        <v>0</v>
      </c>
      <c r="BD194">
        <f t="shared" si="46"/>
        <v>0</v>
      </c>
      <c r="BE194">
        <f t="shared" si="47"/>
        <v>0</v>
      </c>
      <c r="BF194">
        <f t="shared" si="48"/>
        <v>0</v>
      </c>
      <c r="BG194">
        <f t="shared" si="52"/>
        <v>420.98880897000004</v>
      </c>
      <c r="BH194">
        <f t="shared" si="53"/>
        <v>414.39074433000002</v>
      </c>
      <c r="BI194">
        <f t="shared" si="54"/>
        <v>403.27866657999999</v>
      </c>
      <c r="BJ194">
        <f t="shared" si="55"/>
        <v>381.20960539000004</v>
      </c>
      <c r="BK194">
        <f t="shared" si="56"/>
        <v>377.05099790000003</v>
      </c>
      <c r="BL194">
        <f t="shared" si="57"/>
        <v>359.26986482000001</v>
      </c>
    </row>
    <row r="195" spans="1:64">
      <c r="A195" t="str">
        <f t="shared" ref="A195:A258" si="58">+MID(C195,22,2)</f>
        <v>18</v>
      </c>
      <c r="B195" t="s">
        <v>605</v>
      </c>
      <c r="C195" t="s">
        <v>665</v>
      </c>
      <c r="D195">
        <v>55</v>
      </c>
      <c r="E195">
        <v>1</v>
      </c>
      <c r="F195">
        <v>6</v>
      </c>
      <c r="G195">
        <v>2</v>
      </c>
      <c r="H195">
        <v>100</v>
      </c>
      <c r="I195" t="s">
        <v>607</v>
      </c>
      <c r="J195">
        <v>0.43830000000000002</v>
      </c>
      <c r="K195">
        <v>56.046300000000002</v>
      </c>
      <c r="L195">
        <v>1.01E-2</v>
      </c>
      <c r="M195">
        <v>0.38679999999999998</v>
      </c>
      <c r="N195">
        <v>24.273199999999999</v>
      </c>
      <c r="O195">
        <v>89.014399999999995</v>
      </c>
      <c r="P195">
        <v>835.90229999999997</v>
      </c>
      <c r="Q195">
        <v>224.74799999999999</v>
      </c>
      <c r="R195">
        <v>0.67610000000000003</v>
      </c>
      <c r="S195">
        <v>0.52059999999999995</v>
      </c>
      <c r="T195">
        <v>0.29020000000000001</v>
      </c>
      <c r="U195">
        <v>8.9999999999999998E-4</v>
      </c>
      <c r="V195">
        <v>0.41489999999999999</v>
      </c>
      <c r="W195">
        <v>12.3835</v>
      </c>
      <c r="X195">
        <v>11.5724</v>
      </c>
      <c r="Y195">
        <v>10.3011</v>
      </c>
      <c r="Z195">
        <v>10.261699999999999</v>
      </c>
      <c r="AA195">
        <v>42.438299999999998</v>
      </c>
      <c r="AB195">
        <v>16.050599999999999</v>
      </c>
      <c r="AC195">
        <v>43.272399999999998</v>
      </c>
      <c r="AD195">
        <v>61.363500000000002</v>
      </c>
      <c r="AE195">
        <v>0.36570000000000003</v>
      </c>
      <c r="AF195">
        <v>7868.6630999999998</v>
      </c>
      <c r="AG195">
        <v>64.975300000000004</v>
      </c>
      <c r="AH195">
        <v>8.43E-2</v>
      </c>
      <c r="AI195">
        <v>86.404700000000005</v>
      </c>
      <c r="AJ195">
        <v>54.21</v>
      </c>
      <c r="AK195">
        <v>75.932699999999997</v>
      </c>
      <c r="AL195">
        <v>2.1196999999999999</v>
      </c>
      <c r="AM195">
        <v>0.05</v>
      </c>
      <c r="AN195">
        <v>0</v>
      </c>
      <c r="AO195">
        <v>94.910200000000003</v>
      </c>
      <c r="AP195">
        <v>93.102599999999995</v>
      </c>
      <c r="AQ195">
        <v>91.551299999999998</v>
      </c>
      <c r="AR195">
        <v>89.060500000000005</v>
      </c>
      <c r="AS195">
        <v>84.100200000000001</v>
      </c>
      <c r="AT195">
        <v>83.167199999999994</v>
      </c>
      <c r="AU195">
        <v>79.199299999999994</v>
      </c>
      <c r="AV195">
        <v>1120.6954000000001</v>
      </c>
      <c r="AW195">
        <v>2877.3323</v>
      </c>
      <c r="AX195">
        <f t="shared" si="49"/>
        <v>124509.07421851999</v>
      </c>
      <c r="AY195">
        <f t="shared" si="50"/>
        <v>186955.52939219002</v>
      </c>
      <c r="AZ195">
        <f t="shared" si="51"/>
        <v>35631.444537049996</v>
      </c>
      <c r="BA195">
        <f t="shared" ref="BA195:BA258" si="59">+IF($E195=1,$AW195,0)</f>
        <v>2877.3323</v>
      </c>
      <c r="BB195">
        <f t="shared" ref="BB195:BB258" si="60">+IF($E195=2,$AW195,0)</f>
        <v>0</v>
      </c>
      <c r="BC195">
        <f t="shared" ref="BC195:BC258" si="61">+IF($E195=3,$AW195,IF($E195=4,$AW195,0))</f>
        <v>0</v>
      </c>
      <c r="BD195">
        <f t="shared" ref="BD195:BD258" si="62">+IF($E195=7,$AW195,0)</f>
        <v>0</v>
      </c>
      <c r="BE195">
        <f t="shared" ref="BE195:BE258" si="63">+IF($E195=5,$AW195,0)</f>
        <v>0</v>
      </c>
      <c r="BF195">
        <f t="shared" ref="BF195:BF258" si="64">+IF($E195=8,$AW195,0)</f>
        <v>0</v>
      </c>
      <c r="BG195">
        <f t="shared" si="52"/>
        <v>1077.4205282399998</v>
      </c>
      <c r="BH195">
        <f t="shared" si="53"/>
        <v>1059.46826412</v>
      </c>
      <c r="BI195">
        <f t="shared" si="54"/>
        <v>1030.6437302000002</v>
      </c>
      <c r="BJ195">
        <f t="shared" si="55"/>
        <v>973.24115447999998</v>
      </c>
      <c r="BK195">
        <f t="shared" si="56"/>
        <v>962.44410527999992</v>
      </c>
      <c r="BL195">
        <f t="shared" si="57"/>
        <v>916.52597931999992</v>
      </c>
    </row>
    <row r="196" spans="1:64">
      <c r="A196" t="str">
        <f t="shared" si="58"/>
        <v>18</v>
      </c>
      <c r="B196" t="s">
        <v>605</v>
      </c>
      <c r="C196" t="s">
        <v>665</v>
      </c>
      <c r="D196">
        <v>55</v>
      </c>
      <c r="E196">
        <v>1</v>
      </c>
      <c r="F196">
        <v>6</v>
      </c>
      <c r="G196">
        <v>2</v>
      </c>
      <c r="H196">
        <v>200</v>
      </c>
      <c r="I196" t="s">
        <v>609</v>
      </c>
      <c r="J196">
        <v>0.33439999999999998</v>
      </c>
      <c r="K196">
        <v>22.950399999999998</v>
      </c>
      <c r="L196">
        <v>1.0500000000000001E-2</v>
      </c>
      <c r="M196">
        <v>0.44359999999999999</v>
      </c>
      <c r="N196">
        <v>17.881</v>
      </c>
      <c r="O196">
        <v>89.303899999999999</v>
      </c>
      <c r="P196">
        <v>590.19299999999998</v>
      </c>
      <c r="Q196">
        <v>215.3819</v>
      </c>
      <c r="R196">
        <v>1.629</v>
      </c>
      <c r="S196">
        <v>0.63190000000000002</v>
      </c>
      <c r="T196">
        <v>0.14219999999999999</v>
      </c>
      <c r="U196">
        <v>5.9999999999999995E-4</v>
      </c>
      <c r="V196">
        <v>0.32029999999999997</v>
      </c>
      <c r="W196">
        <v>12.0724</v>
      </c>
      <c r="X196">
        <v>1.2908999999999999</v>
      </c>
      <c r="Y196">
        <v>1.1529</v>
      </c>
      <c r="Z196">
        <v>1.139</v>
      </c>
      <c r="AA196">
        <v>6.4478999999999997</v>
      </c>
      <c r="AB196">
        <v>10.441700000000001</v>
      </c>
      <c r="AC196">
        <v>42.116399999999999</v>
      </c>
      <c r="AD196">
        <v>57.696800000000003</v>
      </c>
      <c r="AE196">
        <v>5.3699999999999998E-2</v>
      </c>
      <c r="AF196">
        <v>7687.1490000000003</v>
      </c>
      <c r="AG196">
        <v>67.943700000000007</v>
      </c>
      <c r="AH196">
        <v>6.8999999999999999E-3</v>
      </c>
      <c r="AI196">
        <v>85.088499999999996</v>
      </c>
      <c r="AJ196">
        <v>54.21</v>
      </c>
      <c r="AK196">
        <v>73.310599999999994</v>
      </c>
      <c r="AL196">
        <v>2.1377999999999999</v>
      </c>
      <c r="AM196">
        <v>0.05</v>
      </c>
      <c r="AN196">
        <v>1.4E-2</v>
      </c>
      <c r="AO196">
        <v>96.756200000000007</v>
      </c>
      <c r="AP196">
        <v>92.251300000000001</v>
      </c>
      <c r="AQ196">
        <v>90.963999999999999</v>
      </c>
      <c r="AR196">
        <v>88.890500000000003</v>
      </c>
      <c r="AS196">
        <v>84.195499999999996</v>
      </c>
      <c r="AT196">
        <v>83.339600000000004</v>
      </c>
      <c r="AU196">
        <v>79.854200000000006</v>
      </c>
      <c r="AV196">
        <v>162.50190000000001</v>
      </c>
      <c r="AW196">
        <v>412.42989999999998</v>
      </c>
      <c r="AX196">
        <f t="shared" si="49"/>
        <v>17370.06264036</v>
      </c>
      <c r="AY196">
        <f t="shared" si="50"/>
        <v>28022.013396630002</v>
      </c>
      <c r="AZ196">
        <f t="shared" si="51"/>
        <v>4979.0187247599997</v>
      </c>
      <c r="BA196">
        <f t="shared" si="59"/>
        <v>412.42989999999998</v>
      </c>
      <c r="BB196">
        <f t="shared" si="60"/>
        <v>0</v>
      </c>
      <c r="BC196">
        <f t="shared" si="61"/>
        <v>0</v>
      </c>
      <c r="BD196">
        <f t="shared" si="62"/>
        <v>0</v>
      </c>
      <c r="BE196">
        <f t="shared" si="63"/>
        <v>0</v>
      </c>
      <c r="BF196">
        <f t="shared" si="64"/>
        <v>0</v>
      </c>
      <c r="BG196">
        <f t="shared" si="52"/>
        <v>119.08720317</v>
      </c>
      <c r="BH196">
        <f t="shared" si="53"/>
        <v>117.42542759999999</v>
      </c>
      <c r="BI196">
        <f t="shared" si="54"/>
        <v>114.74874645</v>
      </c>
      <c r="BJ196">
        <f t="shared" si="55"/>
        <v>108.68797094999999</v>
      </c>
      <c r="BK196">
        <f t="shared" si="56"/>
        <v>107.58308964</v>
      </c>
      <c r="BL196">
        <f t="shared" si="57"/>
        <v>103.08378678</v>
      </c>
    </row>
    <row r="197" spans="1:64">
      <c r="A197" t="str">
        <f t="shared" si="58"/>
        <v>18</v>
      </c>
      <c r="B197" t="s">
        <v>605</v>
      </c>
      <c r="C197" t="s">
        <v>665</v>
      </c>
      <c r="D197">
        <v>55</v>
      </c>
      <c r="E197">
        <v>1</v>
      </c>
      <c r="F197">
        <v>6</v>
      </c>
      <c r="G197">
        <v>2</v>
      </c>
      <c r="H197">
        <v>200</v>
      </c>
      <c r="I197" t="s">
        <v>617</v>
      </c>
      <c r="J197">
        <v>0.3861</v>
      </c>
      <c r="K197">
        <v>28.974499999999999</v>
      </c>
      <c r="L197">
        <v>1.01E-2</v>
      </c>
      <c r="M197">
        <v>0.44719999999999999</v>
      </c>
      <c r="N197">
        <v>17.881</v>
      </c>
      <c r="O197">
        <v>89.252600000000001</v>
      </c>
      <c r="P197">
        <v>2021.4931999999999</v>
      </c>
      <c r="Q197">
        <v>216.2757</v>
      </c>
      <c r="R197">
        <v>1.7064999999999999</v>
      </c>
      <c r="S197">
        <v>0.65949999999999998</v>
      </c>
      <c r="T197">
        <v>0.15770000000000001</v>
      </c>
      <c r="U197">
        <v>8.0000000000000004E-4</v>
      </c>
      <c r="V197">
        <v>0.36430000000000001</v>
      </c>
      <c r="W197">
        <v>12.093</v>
      </c>
      <c r="X197">
        <v>24.1313</v>
      </c>
      <c r="Y197">
        <v>21.537099999999999</v>
      </c>
      <c r="Z197">
        <v>21.2424</v>
      </c>
      <c r="AA197">
        <v>120.4469</v>
      </c>
      <c r="AB197">
        <v>12.863</v>
      </c>
      <c r="AC197">
        <v>42.2502</v>
      </c>
      <c r="AD197">
        <v>58.758200000000002</v>
      </c>
      <c r="AE197">
        <v>0.878</v>
      </c>
      <c r="AF197">
        <v>7707.8608000000004</v>
      </c>
      <c r="AG197">
        <v>67.608500000000006</v>
      </c>
      <c r="AH197">
        <v>0.1206</v>
      </c>
      <c r="AI197">
        <v>85.193700000000007</v>
      </c>
      <c r="AJ197">
        <v>54.21</v>
      </c>
      <c r="AK197">
        <v>73.520399999999995</v>
      </c>
      <c r="AL197">
        <v>2.2814000000000001</v>
      </c>
      <c r="AM197">
        <v>0.05</v>
      </c>
      <c r="AN197">
        <v>4.5999999999999999E-3</v>
      </c>
      <c r="AO197">
        <v>96.545900000000003</v>
      </c>
      <c r="AP197">
        <v>92.598799999999997</v>
      </c>
      <c r="AQ197">
        <v>91.236000000000004</v>
      </c>
      <c r="AR197">
        <v>88.946899999999999</v>
      </c>
      <c r="AS197">
        <v>83.960099999999997</v>
      </c>
      <c r="AT197">
        <v>83.045199999999994</v>
      </c>
      <c r="AU197">
        <v>79.440299999999993</v>
      </c>
      <c r="AV197">
        <v>2666.2977000000001</v>
      </c>
      <c r="AW197">
        <v>6767.0639000000001</v>
      </c>
      <c r="AX197">
        <f t="shared" si="49"/>
        <v>285909.80318778002</v>
      </c>
      <c r="AY197">
        <f t="shared" si="50"/>
        <v>457511.03968315007</v>
      </c>
      <c r="AZ197">
        <f t="shared" si="51"/>
        <v>81834.103742699997</v>
      </c>
      <c r="BA197">
        <f t="shared" si="59"/>
        <v>6767.0639000000001</v>
      </c>
      <c r="BB197">
        <f t="shared" si="60"/>
        <v>0</v>
      </c>
      <c r="BC197">
        <f t="shared" si="61"/>
        <v>0</v>
      </c>
      <c r="BD197">
        <f t="shared" si="62"/>
        <v>0</v>
      </c>
      <c r="BE197">
        <f t="shared" si="63"/>
        <v>0</v>
      </c>
      <c r="BF197">
        <f t="shared" si="64"/>
        <v>0</v>
      </c>
      <c r="BG197">
        <f t="shared" si="52"/>
        <v>2234.52942244</v>
      </c>
      <c r="BH197">
        <f t="shared" si="53"/>
        <v>2201.6432868000002</v>
      </c>
      <c r="BI197">
        <f t="shared" si="54"/>
        <v>2146.4043279699999</v>
      </c>
      <c r="BJ197">
        <f t="shared" si="55"/>
        <v>2026.0663611299999</v>
      </c>
      <c r="BK197">
        <f t="shared" si="56"/>
        <v>2003.9886347599997</v>
      </c>
      <c r="BL197">
        <f t="shared" si="57"/>
        <v>1916.9977113899997</v>
      </c>
    </row>
    <row r="198" spans="1:64">
      <c r="A198" t="str">
        <f t="shared" si="58"/>
        <v>18</v>
      </c>
      <c r="B198" t="s">
        <v>605</v>
      </c>
      <c r="C198" t="s">
        <v>665</v>
      </c>
      <c r="D198">
        <v>55</v>
      </c>
      <c r="E198">
        <v>1</v>
      </c>
      <c r="F198">
        <v>6</v>
      </c>
      <c r="G198">
        <v>2</v>
      </c>
      <c r="H198">
        <v>200</v>
      </c>
      <c r="I198" t="s">
        <v>607</v>
      </c>
      <c r="J198">
        <v>0.42020000000000002</v>
      </c>
      <c r="K198">
        <v>46.328899999999997</v>
      </c>
      <c r="L198">
        <v>1.0500000000000001E-2</v>
      </c>
      <c r="M198">
        <v>0.42399999999999999</v>
      </c>
      <c r="N198">
        <v>18.9527</v>
      </c>
      <c r="O198">
        <v>89.12</v>
      </c>
      <c r="P198">
        <v>1403.5561</v>
      </c>
      <c r="Q198">
        <v>220.92750000000001</v>
      </c>
      <c r="R198">
        <v>1.3756999999999999</v>
      </c>
      <c r="S198">
        <v>0.50980000000000003</v>
      </c>
      <c r="T198">
        <v>0.26469999999999999</v>
      </c>
      <c r="U198">
        <v>8.0000000000000004E-4</v>
      </c>
      <c r="V198">
        <v>0.4572</v>
      </c>
      <c r="W198">
        <v>12.255100000000001</v>
      </c>
      <c r="X198">
        <v>56.424900000000001</v>
      </c>
      <c r="Y198">
        <v>50.283499999999997</v>
      </c>
      <c r="Z198">
        <v>49.843499999999999</v>
      </c>
      <c r="AA198">
        <v>268.80669999999998</v>
      </c>
      <c r="AB198">
        <v>13.0343</v>
      </c>
      <c r="AC198">
        <v>42.813800000000001</v>
      </c>
      <c r="AD198">
        <v>59.880099999999999</v>
      </c>
      <c r="AE198">
        <v>1.6253</v>
      </c>
      <c r="AF198">
        <v>7794.4106000000002</v>
      </c>
      <c r="AG198">
        <v>66.239999999999995</v>
      </c>
      <c r="AH198">
        <v>0.34660000000000002</v>
      </c>
      <c r="AI198">
        <v>86.209000000000003</v>
      </c>
      <c r="AJ198">
        <v>54.21</v>
      </c>
      <c r="AK198">
        <v>75.542199999999994</v>
      </c>
      <c r="AL198">
        <v>2.1410999999999998</v>
      </c>
      <c r="AM198">
        <v>0.05</v>
      </c>
      <c r="AN198">
        <v>0</v>
      </c>
      <c r="AO198">
        <v>95.684200000000004</v>
      </c>
      <c r="AP198">
        <v>92.899299999999997</v>
      </c>
      <c r="AQ198">
        <v>91.377399999999994</v>
      </c>
      <c r="AR198">
        <v>89.069199999999995</v>
      </c>
      <c r="AS198">
        <v>84.042199999999994</v>
      </c>
      <c r="AT198">
        <v>83.124200000000002</v>
      </c>
      <c r="AU198">
        <v>79.194100000000006</v>
      </c>
      <c r="AV198">
        <v>4973.0702000000001</v>
      </c>
      <c r="AW198">
        <v>12668.336799999999</v>
      </c>
      <c r="AX198">
        <f t="shared" si="49"/>
        <v>542379.63808783994</v>
      </c>
      <c r="AY198">
        <f t="shared" si="50"/>
        <v>839150.62963199988</v>
      </c>
      <c r="AZ198">
        <f t="shared" si="51"/>
        <v>155251.73431768001</v>
      </c>
      <c r="BA198">
        <f t="shared" si="59"/>
        <v>12668.336799999999</v>
      </c>
      <c r="BB198">
        <f t="shared" si="60"/>
        <v>0</v>
      </c>
      <c r="BC198">
        <f t="shared" si="61"/>
        <v>0</v>
      </c>
      <c r="BD198">
        <f t="shared" si="62"/>
        <v>0</v>
      </c>
      <c r="BE198">
        <f t="shared" si="63"/>
        <v>0</v>
      </c>
      <c r="BF198">
        <f t="shared" si="64"/>
        <v>0</v>
      </c>
      <c r="BG198">
        <f t="shared" si="52"/>
        <v>5241.83371257</v>
      </c>
      <c r="BH198">
        <f t="shared" si="53"/>
        <v>5155.9606572599996</v>
      </c>
      <c r="BI198">
        <f t="shared" si="54"/>
        <v>5025.72070308</v>
      </c>
      <c r="BJ198">
        <f t="shared" si="55"/>
        <v>4742.0727307799998</v>
      </c>
      <c r="BK198">
        <f t="shared" si="56"/>
        <v>4690.2746725799998</v>
      </c>
      <c r="BL198">
        <f t="shared" si="57"/>
        <v>4468.5191730900005</v>
      </c>
    </row>
    <row r="199" spans="1:64">
      <c r="A199" t="str">
        <f t="shared" si="58"/>
        <v>19</v>
      </c>
      <c r="B199" t="s">
        <v>605</v>
      </c>
      <c r="C199" t="s">
        <v>666</v>
      </c>
      <c r="D199">
        <v>55</v>
      </c>
      <c r="E199">
        <v>1</v>
      </c>
      <c r="F199">
        <v>6</v>
      </c>
      <c r="G199">
        <v>2</v>
      </c>
      <c r="H199">
        <v>100</v>
      </c>
      <c r="I199" t="s">
        <v>609</v>
      </c>
      <c r="J199">
        <v>0.33040000000000003</v>
      </c>
      <c r="K199">
        <v>25.883299999999998</v>
      </c>
      <c r="L199">
        <v>1.2999999999999999E-2</v>
      </c>
      <c r="M199">
        <v>0.40649999999999997</v>
      </c>
      <c r="N199">
        <v>17.881</v>
      </c>
      <c r="O199">
        <v>89.265600000000006</v>
      </c>
      <c r="P199">
        <v>585.33669999999995</v>
      </c>
      <c r="Q199">
        <v>213.5189</v>
      </c>
      <c r="R199">
        <v>1.6341000000000001</v>
      </c>
      <c r="S199">
        <v>0.61480000000000001</v>
      </c>
      <c r="T199">
        <v>0.13089999999999999</v>
      </c>
      <c r="U199">
        <v>1.6000000000000001E-3</v>
      </c>
      <c r="V199">
        <v>0.33689999999999998</v>
      </c>
      <c r="W199">
        <v>11.9964</v>
      </c>
      <c r="X199">
        <v>1.78E-2</v>
      </c>
      <c r="Y199">
        <v>1.5900000000000001E-2</v>
      </c>
      <c r="Z199">
        <v>1.5800000000000002E-2</v>
      </c>
      <c r="AA199">
        <v>8.9099999999999999E-2</v>
      </c>
      <c r="AB199">
        <v>8.3364999999999991</v>
      </c>
      <c r="AC199">
        <v>41.921199999999999</v>
      </c>
      <c r="AD199">
        <v>55.370800000000003</v>
      </c>
      <c r="AE199">
        <v>6.9999999999999999E-4</v>
      </c>
      <c r="AF199">
        <v>7656.1579000000002</v>
      </c>
      <c r="AG199">
        <v>68.470500000000001</v>
      </c>
      <c r="AH199">
        <v>1E-4</v>
      </c>
      <c r="AI199">
        <v>85.392799999999994</v>
      </c>
      <c r="AJ199">
        <v>54.21</v>
      </c>
      <c r="AK199">
        <v>73.912800000000004</v>
      </c>
      <c r="AL199">
        <v>1.9964</v>
      </c>
      <c r="AM199">
        <v>0.05</v>
      </c>
      <c r="AN199">
        <v>1.2999999999999999E-2</v>
      </c>
      <c r="AO199">
        <v>97.082700000000003</v>
      </c>
      <c r="AP199">
        <v>91.384699999999995</v>
      </c>
      <c r="AQ199">
        <v>90.277299999999997</v>
      </c>
      <c r="AR199">
        <v>88.498400000000004</v>
      </c>
      <c r="AS199">
        <v>84.172899999999998</v>
      </c>
      <c r="AT199">
        <v>83.400999999999996</v>
      </c>
      <c r="AU199">
        <v>80.124200000000002</v>
      </c>
      <c r="AV199">
        <v>2.1347</v>
      </c>
      <c r="AW199">
        <v>5.4279000000000002</v>
      </c>
      <c r="AX199">
        <f t="shared" si="49"/>
        <v>227.54408147999999</v>
      </c>
      <c r="AY199">
        <f t="shared" si="50"/>
        <v>371.65102695000002</v>
      </c>
      <c r="AZ199">
        <f t="shared" si="51"/>
        <v>65.115259559999998</v>
      </c>
      <c r="BA199">
        <f t="shared" si="59"/>
        <v>5.4279000000000002</v>
      </c>
      <c r="BB199">
        <f t="shared" si="60"/>
        <v>0</v>
      </c>
      <c r="BC199">
        <f t="shared" si="61"/>
        <v>0</v>
      </c>
      <c r="BD199">
        <f t="shared" si="62"/>
        <v>0</v>
      </c>
      <c r="BE199">
        <f t="shared" si="63"/>
        <v>0</v>
      </c>
      <c r="BF199">
        <f t="shared" si="64"/>
        <v>0</v>
      </c>
      <c r="BG199">
        <f t="shared" si="52"/>
        <v>1.6266476599999999</v>
      </c>
      <c r="BH199">
        <f t="shared" si="53"/>
        <v>1.6069359399999998</v>
      </c>
      <c r="BI199">
        <f t="shared" si="54"/>
        <v>1.57527152</v>
      </c>
      <c r="BJ199">
        <f t="shared" si="55"/>
        <v>1.4982776199999999</v>
      </c>
      <c r="BK199">
        <f t="shared" si="56"/>
        <v>1.4845378</v>
      </c>
      <c r="BL199">
        <f t="shared" si="57"/>
        <v>1.42621076</v>
      </c>
    </row>
    <row r="200" spans="1:64">
      <c r="A200" t="str">
        <f t="shared" si="58"/>
        <v>19</v>
      </c>
      <c r="B200" t="s">
        <v>605</v>
      </c>
      <c r="C200" t="s">
        <v>666</v>
      </c>
      <c r="D200">
        <v>55</v>
      </c>
      <c r="E200">
        <v>1</v>
      </c>
      <c r="F200">
        <v>6</v>
      </c>
      <c r="G200">
        <v>2</v>
      </c>
      <c r="H200">
        <v>100</v>
      </c>
      <c r="I200" t="s">
        <v>617</v>
      </c>
      <c r="J200">
        <v>0.4239</v>
      </c>
      <c r="K200">
        <v>75.535899999999998</v>
      </c>
      <c r="L200">
        <v>1.01E-2</v>
      </c>
      <c r="M200">
        <v>0.38679999999999998</v>
      </c>
      <c r="N200">
        <v>17.881</v>
      </c>
      <c r="O200">
        <v>88.969800000000006</v>
      </c>
      <c r="P200">
        <v>717.52660000000003</v>
      </c>
      <c r="Q200">
        <v>225.67789999999999</v>
      </c>
      <c r="R200">
        <v>1.347</v>
      </c>
      <c r="S200">
        <v>0.54139999999999999</v>
      </c>
      <c r="T200">
        <v>0.309</v>
      </c>
      <c r="U200">
        <v>1E-3</v>
      </c>
      <c r="V200">
        <v>0.4002</v>
      </c>
      <c r="W200">
        <v>12.354100000000001</v>
      </c>
      <c r="X200">
        <v>3.5364</v>
      </c>
      <c r="Y200">
        <v>3.1463000000000001</v>
      </c>
      <c r="Z200">
        <v>3.1535000000000002</v>
      </c>
      <c r="AA200">
        <v>17.595800000000001</v>
      </c>
      <c r="AB200">
        <v>11.351900000000001</v>
      </c>
      <c r="AC200">
        <v>43.639800000000001</v>
      </c>
      <c r="AD200">
        <v>61.6999</v>
      </c>
      <c r="AE200">
        <v>0.11609999999999999</v>
      </c>
      <c r="AF200">
        <v>7899.4312</v>
      </c>
      <c r="AG200">
        <v>65.188100000000006</v>
      </c>
      <c r="AH200">
        <v>3.0800000000000001E-2</v>
      </c>
      <c r="AI200">
        <v>86.727900000000005</v>
      </c>
      <c r="AJ200">
        <v>54.21</v>
      </c>
      <c r="AK200">
        <v>76.583600000000004</v>
      </c>
      <c r="AL200">
        <v>2.1779999999999999</v>
      </c>
      <c r="AM200">
        <v>0.05</v>
      </c>
      <c r="AN200">
        <v>0</v>
      </c>
      <c r="AO200">
        <v>94.9071</v>
      </c>
      <c r="AP200">
        <v>92.364900000000006</v>
      </c>
      <c r="AQ200">
        <v>91.003500000000003</v>
      </c>
      <c r="AR200">
        <v>88.736099999999993</v>
      </c>
      <c r="AS200">
        <v>84.249099999999999</v>
      </c>
      <c r="AT200">
        <v>83.412199999999999</v>
      </c>
      <c r="AU200">
        <v>79.579400000000007</v>
      </c>
      <c r="AV200">
        <v>360.3854</v>
      </c>
      <c r="AW200">
        <v>916.97940000000006</v>
      </c>
      <c r="AX200">
        <f t="shared" si="49"/>
        <v>40016.79762012</v>
      </c>
      <c r="AY200">
        <f t="shared" si="50"/>
        <v>59776.144825140007</v>
      </c>
      <c r="AZ200">
        <f t="shared" si="51"/>
        <v>11328.455205540002</v>
      </c>
      <c r="BA200">
        <f t="shared" si="59"/>
        <v>916.97940000000006</v>
      </c>
      <c r="BB200">
        <f t="shared" si="60"/>
        <v>0</v>
      </c>
      <c r="BC200">
        <f t="shared" si="61"/>
        <v>0</v>
      </c>
      <c r="BD200">
        <f t="shared" si="62"/>
        <v>0</v>
      </c>
      <c r="BE200">
        <f t="shared" si="63"/>
        <v>0</v>
      </c>
      <c r="BF200">
        <f t="shared" si="64"/>
        <v>0</v>
      </c>
      <c r="BG200">
        <f t="shared" si="52"/>
        <v>326.63923235999999</v>
      </c>
      <c r="BH200">
        <f t="shared" si="53"/>
        <v>321.82477740000002</v>
      </c>
      <c r="BI200">
        <f t="shared" si="54"/>
        <v>313.80634404</v>
      </c>
      <c r="BJ200">
        <f t="shared" si="55"/>
        <v>297.93851724000001</v>
      </c>
      <c r="BK200">
        <f t="shared" si="56"/>
        <v>294.97890408000001</v>
      </c>
      <c r="BL200">
        <f t="shared" si="57"/>
        <v>281.42459016000004</v>
      </c>
    </row>
    <row r="201" spans="1:64">
      <c r="A201" t="str">
        <f t="shared" si="58"/>
        <v>19</v>
      </c>
      <c r="B201" t="s">
        <v>605</v>
      </c>
      <c r="C201" t="s">
        <v>666</v>
      </c>
      <c r="D201">
        <v>55</v>
      </c>
      <c r="E201">
        <v>1</v>
      </c>
      <c r="F201">
        <v>6</v>
      </c>
      <c r="G201">
        <v>2</v>
      </c>
      <c r="H201">
        <v>100</v>
      </c>
      <c r="I201" t="s">
        <v>607</v>
      </c>
      <c r="J201">
        <v>0.43830000000000002</v>
      </c>
      <c r="K201">
        <v>56.046300000000002</v>
      </c>
      <c r="L201">
        <v>1.01E-2</v>
      </c>
      <c r="M201">
        <v>0.38679999999999998</v>
      </c>
      <c r="N201">
        <v>24.273199999999999</v>
      </c>
      <c r="O201">
        <v>89.014399999999995</v>
      </c>
      <c r="P201">
        <v>835.90229999999997</v>
      </c>
      <c r="Q201">
        <v>224.74799999999999</v>
      </c>
      <c r="R201">
        <v>0.67610000000000003</v>
      </c>
      <c r="S201">
        <v>0.52059999999999995</v>
      </c>
      <c r="T201">
        <v>0.29020000000000001</v>
      </c>
      <c r="U201">
        <v>8.9999999999999998E-4</v>
      </c>
      <c r="V201">
        <v>0.41489999999999999</v>
      </c>
      <c r="W201">
        <v>12.3835</v>
      </c>
      <c r="X201">
        <v>8.8999999999999999E-3</v>
      </c>
      <c r="Y201">
        <v>7.9000000000000008E-3</v>
      </c>
      <c r="Z201">
        <v>7.9000000000000008E-3</v>
      </c>
      <c r="AA201">
        <v>3.27E-2</v>
      </c>
      <c r="AB201">
        <v>16.050599999999999</v>
      </c>
      <c r="AC201">
        <v>43.272399999999998</v>
      </c>
      <c r="AD201">
        <v>61.363500000000002</v>
      </c>
      <c r="AE201">
        <v>2.9999999999999997E-4</v>
      </c>
      <c r="AF201">
        <v>7868.6630999999998</v>
      </c>
      <c r="AG201">
        <v>64.975300000000004</v>
      </c>
      <c r="AH201">
        <v>6.4941465872089997E-5</v>
      </c>
      <c r="AI201">
        <v>86.404700000000005</v>
      </c>
      <c r="AJ201">
        <v>54.21</v>
      </c>
      <c r="AK201">
        <v>75.932699999999997</v>
      </c>
      <c r="AL201">
        <v>2.1196999999999999</v>
      </c>
      <c r="AM201">
        <v>0.05</v>
      </c>
      <c r="AN201">
        <v>0</v>
      </c>
      <c r="AO201">
        <v>94.910200000000003</v>
      </c>
      <c r="AP201">
        <v>93.102599999999995</v>
      </c>
      <c r="AQ201">
        <v>91.551299999999998</v>
      </c>
      <c r="AR201">
        <v>89.060500000000005</v>
      </c>
      <c r="AS201">
        <v>84.100200000000001</v>
      </c>
      <c r="AT201">
        <v>83.167199999999994</v>
      </c>
      <c r="AU201">
        <v>79.199299999999994</v>
      </c>
      <c r="AV201">
        <v>0.8629</v>
      </c>
      <c r="AW201">
        <v>2.2155999999999998</v>
      </c>
      <c r="AX201">
        <f t="shared" si="49"/>
        <v>95.874329439999983</v>
      </c>
      <c r="AY201">
        <f t="shared" si="50"/>
        <v>143.95927467999999</v>
      </c>
      <c r="AZ201">
        <f t="shared" si="51"/>
        <v>27.436882599999997</v>
      </c>
      <c r="BA201">
        <f t="shared" si="59"/>
        <v>2.2155999999999998</v>
      </c>
      <c r="BB201">
        <f t="shared" si="60"/>
        <v>0</v>
      </c>
      <c r="BC201">
        <f t="shared" si="61"/>
        <v>0</v>
      </c>
      <c r="BD201">
        <f t="shared" si="62"/>
        <v>0</v>
      </c>
      <c r="BE201">
        <f t="shared" si="63"/>
        <v>0</v>
      </c>
      <c r="BF201">
        <f t="shared" si="64"/>
        <v>0</v>
      </c>
      <c r="BG201">
        <f t="shared" si="52"/>
        <v>0.82861313999999997</v>
      </c>
      <c r="BH201">
        <f t="shared" si="53"/>
        <v>0.81480657000000001</v>
      </c>
      <c r="BI201">
        <f t="shared" si="54"/>
        <v>0.79263844999999999</v>
      </c>
      <c r="BJ201">
        <f t="shared" si="55"/>
        <v>0.74849178000000005</v>
      </c>
      <c r="BK201">
        <f t="shared" si="56"/>
        <v>0.74018807999999991</v>
      </c>
      <c r="BL201">
        <f t="shared" si="57"/>
        <v>0.70487376999999996</v>
      </c>
    </row>
    <row r="202" spans="1:64">
      <c r="A202" t="str">
        <f t="shared" si="58"/>
        <v>19</v>
      </c>
      <c r="B202" t="s">
        <v>605</v>
      </c>
      <c r="C202" t="s">
        <v>666</v>
      </c>
      <c r="D202">
        <v>55</v>
      </c>
      <c r="E202">
        <v>1</v>
      </c>
      <c r="F202">
        <v>6</v>
      </c>
      <c r="G202">
        <v>2</v>
      </c>
      <c r="H202">
        <v>200</v>
      </c>
      <c r="I202" t="s">
        <v>609</v>
      </c>
      <c r="J202">
        <v>0.3286</v>
      </c>
      <c r="K202">
        <v>21.224699999999999</v>
      </c>
      <c r="L202">
        <v>1.09E-2</v>
      </c>
      <c r="M202">
        <v>0.4677</v>
      </c>
      <c r="N202">
        <v>17.881</v>
      </c>
      <c r="O202">
        <v>89.083600000000004</v>
      </c>
      <c r="P202">
        <v>561.48080000000004</v>
      </c>
      <c r="Q202">
        <v>214.34059999999999</v>
      </c>
      <c r="R202">
        <v>1.6736</v>
      </c>
      <c r="S202">
        <v>0.61199999999999999</v>
      </c>
      <c r="T202">
        <v>0.13489999999999999</v>
      </c>
      <c r="U202">
        <v>5.9999999999999995E-4</v>
      </c>
      <c r="V202">
        <v>0.31990000000000002</v>
      </c>
      <c r="W202">
        <v>12.0282</v>
      </c>
      <c r="X202">
        <v>21.994299999999999</v>
      </c>
      <c r="Y202">
        <v>19.648199999999999</v>
      </c>
      <c r="Z202">
        <v>19.376899999999999</v>
      </c>
      <c r="AA202">
        <v>109.88330000000001</v>
      </c>
      <c r="AB202">
        <v>11.567600000000001</v>
      </c>
      <c r="AC202">
        <v>42.028700000000001</v>
      </c>
      <c r="AD202">
        <v>57.362400000000001</v>
      </c>
      <c r="AE202">
        <v>0.91569999999999996</v>
      </c>
      <c r="AF202">
        <v>7668.6557000000003</v>
      </c>
      <c r="AG202">
        <v>68.383399999999995</v>
      </c>
      <c r="AH202">
        <v>0.1094</v>
      </c>
      <c r="AI202">
        <v>84.896100000000004</v>
      </c>
      <c r="AJ202">
        <v>54.21</v>
      </c>
      <c r="AK202">
        <v>72.931600000000003</v>
      </c>
      <c r="AL202">
        <v>2.1919</v>
      </c>
      <c r="AM202">
        <v>0.05</v>
      </c>
      <c r="AN202">
        <v>1.4200000000000001E-2</v>
      </c>
      <c r="AO202">
        <v>97.0047</v>
      </c>
      <c r="AP202">
        <v>92.136700000000005</v>
      </c>
      <c r="AQ202">
        <v>90.903499999999994</v>
      </c>
      <c r="AR202">
        <v>88.840299999999999</v>
      </c>
      <c r="AS202">
        <v>84.184200000000004</v>
      </c>
      <c r="AT202">
        <v>83.331999999999994</v>
      </c>
      <c r="AU202">
        <v>79.9251</v>
      </c>
      <c r="AV202">
        <v>2766.6453999999999</v>
      </c>
      <c r="AW202">
        <v>7021.8552</v>
      </c>
      <c r="AX202">
        <f t="shared" si="49"/>
        <v>295119.44564424001</v>
      </c>
      <c r="AY202">
        <f t="shared" si="50"/>
        <v>480178.33288367995</v>
      </c>
      <c r="AZ202">
        <f t="shared" si="51"/>
        <v>84460.278716639994</v>
      </c>
      <c r="BA202">
        <f t="shared" si="59"/>
        <v>7021.8552</v>
      </c>
      <c r="BB202">
        <f t="shared" si="60"/>
        <v>0</v>
      </c>
      <c r="BC202">
        <f t="shared" si="61"/>
        <v>0</v>
      </c>
      <c r="BD202">
        <f t="shared" si="62"/>
        <v>0</v>
      </c>
      <c r="BE202">
        <f t="shared" si="63"/>
        <v>0</v>
      </c>
      <c r="BF202">
        <f t="shared" si="64"/>
        <v>0</v>
      </c>
      <c r="BG202">
        <f t="shared" si="52"/>
        <v>2026.4822208099999</v>
      </c>
      <c r="BH202">
        <f t="shared" si="53"/>
        <v>1999.3588500499998</v>
      </c>
      <c r="BI202">
        <f t="shared" si="54"/>
        <v>1953.9802102899998</v>
      </c>
      <c r="BJ202">
        <f t="shared" si="55"/>
        <v>1851.5725500599999</v>
      </c>
      <c r="BK202">
        <f t="shared" si="56"/>
        <v>1832.8290075999998</v>
      </c>
      <c r="BL202">
        <f t="shared" si="57"/>
        <v>1757.8966269299999</v>
      </c>
    </row>
    <row r="203" spans="1:64">
      <c r="A203" t="str">
        <f t="shared" si="58"/>
        <v>19</v>
      </c>
      <c r="B203" t="s">
        <v>605</v>
      </c>
      <c r="C203" t="s">
        <v>666</v>
      </c>
      <c r="D203">
        <v>55</v>
      </c>
      <c r="E203">
        <v>1</v>
      </c>
      <c r="F203">
        <v>6</v>
      </c>
      <c r="G203">
        <v>2</v>
      </c>
      <c r="H203">
        <v>200</v>
      </c>
      <c r="I203" t="s">
        <v>617</v>
      </c>
      <c r="J203">
        <v>0.36480000000000001</v>
      </c>
      <c r="K203">
        <v>35.843400000000003</v>
      </c>
      <c r="L203">
        <v>1.0200000000000001E-2</v>
      </c>
      <c r="M203">
        <v>0.40939999999999999</v>
      </c>
      <c r="N203">
        <v>17.900700000000001</v>
      </c>
      <c r="O203">
        <v>89.235900000000001</v>
      </c>
      <c r="P203">
        <v>601.23050000000001</v>
      </c>
      <c r="Q203">
        <v>216.16380000000001</v>
      </c>
      <c r="R203">
        <v>1.6154999999999999</v>
      </c>
      <c r="S203">
        <v>0.58179999999999998</v>
      </c>
      <c r="T203">
        <v>0.1754</v>
      </c>
      <c r="U203">
        <v>8.0000000000000004E-4</v>
      </c>
      <c r="V203">
        <v>0.36840000000000001</v>
      </c>
      <c r="W203">
        <v>12.0898</v>
      </c>
      <c r="X203">
        <v>22.557099999999998</v>
      </c>
      <c r="Y203">
        <v>20.135100000000001</v>
      </c>
      <c r="Z203">
        <v>20.021599999999999</v>
      </c>
      <c r="AA203">
        <v>112.4896</v>
      </c>
      <c r="AB203">
        <v>10.771800000000001</v>
      </c>
      <c r="AC203">
        <v>42.220599999999997</v>
      </c>
      <c r="AD203">
        <v>57.685499999999998</v>
      </c>
      <c r="AE203">
        <v>0.81810000000000005</v>
      </c>
      <c r="AF203">
        <v>7706.9538000000002</v>
      </c>
      <c r="AG203">
        <v>67.522000000000006</v>
      </c>
      <c r="AH203">
        <v>0.15529999999999999</v>
      </c>
      <c r="AI203">
        <v>85.8172</v>
      </c>
      <c r="AJ203">
        <v>54.21</v>
      </c>
      <c r="AK203">
        <v>74.7667</v>
      </c>
      <c r="AL203">
        <v>2.1172</v>
      </c>
      <c r="AM203">
        <v>0.05</v>
      </c>
      <c r="AN203">
        <v>9.7999999999999997E-3</v>
      </c>
      <c r="AO203">
        <v>96.511899999999997</v>
      </c>
      <c r="AP203">
        <v>91.954899999999995</v>
      </c>
      <c r="AQ203">
        <v>90.696799999999996</v>
      </c>
      <c r="AR203">
        <v>88.755899999999997</v>
      </c>
      <c r="AS203">
        <v>84.266099999999994</v>
      </c>
      <c r="AT203">
        <v>83.452699999999993</v>
      </c>
      <c r="AU203">
        <v>79.976500000000001</v>
      </c>
      <c r="AV203">
        <v>2484.1961999999999</v>
      </c>
      <c r="AW203">
        <v>6304.9202999999998</v>
      </c>
      <c r="AX203">
        <f t="shared" si="49"/>
        <v>266197.51801817998</v>
      </c>
      <c r="AY203">
        <f t="shared" si="50"/>
        <v>425720.82849660004</v>
      </c>
      <c r="AZ203">
        <f t="shared" si="51"/>
        <v>76225.225442940005</v>
      </c>
      <c r="BA203">
        <f t="shared" si="59"/>
        <v>6304.9202999999998</v>
      </c>
      <c r="BB203">
        <f t="shared" si="60"/>
        <v>0</v>
      </c>
      <c r="BC203">
        <f t="shared" si="61"/>
        <v>0</v>
      </c>
      <c r="BD203">
        <f t="shared" si="62"/>
        <v>0</v>
      </c>
      <c r="BE203">
        <f t="shared" si="63"/>
        <v>0</v>
      </c>
      <c r="BF203">
        <f t="shared" si="64"/>
        <v>0</v>
      </c>
      <c r="BG203">
        <f t="shared" si="52"/>
        <v>2074.2358747899998</v>
      </c>
      <c r="BH203">
        <f t="shared" si="53"/>
        <v>2045.8567872799997</v>
      </c>
      <c r="BI203">
        <f t="shared" si="54"/>
        <v>2002.0757118899999</v>
      </c>
      <c r="BJ203">
        <f t="shared" si="55"/>
        <v>1900.7988443099998</v>
      </c>
      <c r="BK203">
        <f t="shared" si="56"/>
        <v>1882.4508991699997</v>
      </c>
      <c r="BL203">
        <f t="shared" si="57"/>
        <v>1804.0379081499998</v>
      </c>
    </row>
    <row r="204" spans="1:64">
      <c r="A204" t="str">
        <f t="shared" si="58"/>
        <v>19</v>
      </c>
      <c r="B204" t="s">
        <v>605</v>
      </c>
      <c r="C204" t="s">
        <v>666</v>
      </c>
      <c r="D204">
        <v>55</v>
      </c>
      <c r="E204">
        <v>1</v>
      </c>
      <c r="F204">
        <v>6</v>
      </c>
      <c r="G204">
        <v>2</v>
      </c>
      <c r="H204">
        <v>200</v>
      </c>
      <c r="I204" t="s">
        <v>607</v>
      </c>
      <c r="J204">
        <v>0.45029999999999998</v>
      </c>
      <c r="K204">
        <v>58.794499999999999</v>
      </c>
      <c r="L204">
        <v>1.06E-2</v>
      </c>
      <c r="M204">
        <v>0.40660000000000002</v>
      </c>
      <c r="N204">
        <v>17.881</v>
      </c>
      <c r="O204">
        <v>89.090100000000007</v>
      </c>
      <c r="P204">
        <v>711.86689999999999</v>
      </c>
      <c r="Q204">
        <v>220.82169999999999</v>
      </c>
      <c r="R204">
        <v>1.4954000000000001</v>
      </c>
      <c r="S204">
        <v>0.49030000000000001</v>
      </c>
      <c r="T204">
        <v>0.26250000000000001</v>
      </c>
      <c r="U204">
        <v>6.9999999999999999E-4</v>
      </c>
      <c r="V204">
        <v>0.48930000000000001</v>
      </c>
      <c r="W204">
        <v>12.2483</v>
      </c>
      <c r="X204">
        <v>56.358899999999998</v>
      </c>
      <c r="Y204">
        <v>50.207500000000003</v>
      </c>
      <c r="Z204">
        <v>49.946899999999999</v>
      </c>
      <c r="AA204">
        <v>280.78660000000002</v>
      </c>
      <c r="AB204">
        <v>13.181100000000001</v>
      </c>
      <c r="AC204">
        <v>42.808500000000002</v>
      </c>
      <c r="AD204">
        <v>59.560299999999998</v>
      </c>
      <c r="AE204">
        <v>1.5223</v>
      </c>
      <c r="AF204">
        <v>7793.7403999999997</v>
      </c>
      <c r="AG204">
        <v>66.244799999999998</v>
      </c>
      <c r="AH204">
        <v>0.3931</v>
      </c>
      <c r="AI204">
        <v>86.6404</v>
      </c>
      <c r="AJ204">
        <v>54.21</v>
      </c>
      <c r="AK204">
        <v>76.410399999999996</v>
      </c>
      <c r="AL204">
        <v>2.1111</v>
      </c>
      <c r="AM204">
        <v>0.05</v>
      </c>
      <c r="AN204">
        <v>0</v>
      </c>
      <c r="AO204">
        <v>95.688900000000004</v>
      </c>
      <c r="AP204">
        <v>92.299899999999994</v>
      </c>
      <c r="AQ204">
        <v>90.893299999999996</v>
      </c>
      <c r="AR204">
        <v>88.794700000000006</v>
      </c>
      <c r="AS204">
        <v>84.135000000000005</v>
      </c>
      <c r="AT204">
        <v>83.284899999999993</v>
      </c>
      <c r="AU204">
        <v>79.439400000000006</v>
      </c>
      <c r="AV204">
        <v>4669.7563</v>
      </c>
      <c r="AW204">
        <v>11864.221600000001</v>
      </c>
      <c r="AX204">
        <f t="shared" si="49"/>
        <v>507889.53036360006</v>
      </c>
      <c r="AY204">
        <f t="shared" si="50"/>
        <v>785942.98704768007</v>
      </c>
      <c r="AZ204">
        <f t="shared" si="51"/>
        <v>145316.54542328001</v>
      </c>
      <c r="BA204">
        <f t="shared" si="59"/>
        <v>11864.221600000001</v>
      </c>
      <c r="BB204">
        <f t="shared" si="60"/>
        <v>0</v>
      </c>
      <c r="BC204">
        <f t="shared" si="61"/>
        <v>0</v>
      </c>
      <c r="BD204">
        <f t="shared" si="62"/>
        <v>0</v>
      </c>
      <c r="BE204">
        <f t="shared" si="63"/>
        <v>0</v>
      </c>
      <c r="BF204">
        <f t="shared" si="64"/>
        <v>0</v>
      </c>
      <c r="BG204">
        <f t="shared" si="52"/>
        <v>5201.9208341099993</v>
      </c>
      <c r="BH204">
        <f t="shared" si="53"/>
        <v>5122.6464053699992</v>
      </c>
      <c r="BI204">
        <f t="shared" si="54"/>
        <v>5004.3716178300001</v>
      </c>
      <c r="BJ204">
        <f t="shared" si="55"/>
        <v>4741.7560515000005</v>
      </c>
      <c r="BK204">
        <f t="shared" si="56"/>
        <v>4693.8453506099995</v>
      </c>
      <c r="BL204">
        <f t="shared" si="57"/>
        <v>4477.11720066</v>
      </c>
    </row>
    <row r="205" spans="1:64">
      <c r="A205" t="str">
        <f t="shared" si="58"/>
        <v>20</v>
      </c>
      <c r="B205" t="s">
        <v>605</v>
      </c>
      <c r="C205" t="s">
        <v>667</v>
      </c>
      <c r="D205">
        <v>55</v>
      </c>
      <c r="E205">
        <v>1</v>
      </c>
      <c r="F205">
        <v>6</v>
      </c>
      <c r="G205">
        <v>2</v>
      </c>
      <c r="H205">
        <v>100</v>
      </c>
      <c r="I205" t="s">
        <v>609</v>
      </c>
      <c r="J205">
        <v>0.32969999999999999</v>
      </c>
      <c r="K205">
        <v>25.9985</v>
      </c>
      <c r="L205">
        <v>1.2999999999999999E-2</v>
      </c>
      <c r="M205">
        <v>0.40649999999999997</v>
      </c>
      <c r="N205">
        <v>17.881</v>
      </c>
      <c r="O205">
        <v>89.264200000000002</v>
      </c>
      <c r="P205">
        <v>585.93730000000005</v>
      </c>
      <c r="Q205">
        <v>213.51259999999999</v>
      </c>
      <c r="R205">
        <v>1.6349</v>
      </c>
      <c r="S205">
        <v>0.61450000000000005</v>
      </c>
      <c r="T205">
        <v>0.13070000000000001</v>
      </c>
      <c r="U205">
        <v>1.6000000000000001E-3</v>
      </c>
      <c r="V205">
        <v>0.33660000000000001</v>
      </c>
      <c r="W205">
        <v>11.996600000000001</v>
      </c>
      <c r="X205">
        <v>14.736599999999999</v>
      </c>
      <c r="Y205">
        <v>13.154500000000001</v>
      </c>
      <c r="Z205">
        <v>13.022600000000001</v>
      </c>
      <c r="AA205">
        <v>73.566800000000001</v>
      </c>
      <c r="AB205">
        <v>8.2989999999999995</v>
      </c>
      <c r="AC205">
        <v>41.921399999999998</v>
      </c>
      <c r="AD205">
        <v>55.331699999999998</v>
      </c>
      <c r="AE205">
        <v>0.58630000000000004</v>
      </c>
      <c r="AF205">
        <v>7655.68</v>
      </c>
      <c r="AG205">
        <v>68.492599999999996</v>
      </c>
      <c r="AH205">
        <v>8.6300000000000002E-2</v>
      </c>
      <c r="AI205">
        <v>85.403499999999994</v>
      </c>
      <c r="AJ205">
        <v>54.21</v>
      </c>
      <c r="AK205">
        <v>73.933999999999997</v>
      </c>
      <c r="AL205">
        <v>1.9997</v>
      </c>
      <c r="AM205">
        <v>0.05</v>
      </c>
      <c r="AN205">
        <v>1.2999999999999999E-2</v>
      </c>
      <c r="AO205">
        <v>97.093699999999998</v>
      </c>
      <c r="AP205">
        <v>91.375500000000002</v>
      </c>
      <c r="AQ205">
        <v>90.272499999999994</v>
      </c>
      <c r="AR205">
        <v>88.496099999999998</v>
      </c>
      <c r="AS205">
        <v>84.17</v>
      </c>
      <c r="AT205">
        <v>83.398200000000003</v>
      </c>
      <c r="AU205">
        <v>80.123199999999997</v>
      </c>
      <c r="AV205">
        <v>1764.5877</v>
      </c>
      <c r="AW205">
        <v>4488.4861000000001</v>
      </c>
      <c r="AX205">
        <f t="shared" si="49"/>
        <v>188163.62119253998</v>
      </c>
      <c r="AY205">
        <f t="shared" si="50"/>
        <v>307428.08305285999</v>
      </c>
      <c r="AZ205">
        <f t="shared" si="51"/>
        <v>53846.572347260008</v>
      </c>
      <c r="BA205">
        <f t="shared" si="59"/>
        <v>4488.4861000000001</v>
      </c>
      <c r="BB205">
        <f t="shared" si="60"/>
        <v>0</v>
      </c>
      <c r="BC205">
        <f t="shared" si="61"/>
        <v>0</v>
      </c>
      <c r="BD205">
        <f t="shared" si="62"/>
        <v>0</v>
      </c>
      <c r="BE205">
        <f t="shared" si="63"/>
        <v>0</v>
      </c>
      <c r="BF205">
        <f t="shared" si="64"/>
        <v>0</v>
      </c>
      <c r="BG205">
        <f t="shared" si="52"/>
        <v>1346.5641932999999</v>
      </c>
      <c r="BH205">
        <f t="shared" si="53"/>
        <v>1330.3097234999998</v>
      </c>
      <c r="BI205">
        <f t="shared" si="54"/>
        <v>1304.13162726</v>
      </c>
      <c r="BJ205">
        <f t="shared" si="55"/>
        <v>1240.3796219999999</v>
      </c>
      <c r="BK205">
        <f t="shared" si="56"/>
        <v>1229.0059141199999</v>
      </c>
      <c r="BL205">
        <f t="shared" si="57"/>
        <v>1180.7435491199999</v>
      </c>
    </row>
    <row r="206" spans="1:64">
      <c r="A206" t="str">
        <f t="shared" si="58"/>
        <v>20</v>
      </c>
      <c r="B206" t="s">
        <v>605</v>
      </c>
      <c r="C206" t="s">
        <v>667</v>
      </c>
      <c r="D206">
        <v>55</v>
      </c>
      <c r="E206">
        <v>1</v>
      </c>
      <c r="F206">
        <v>6</v>
      </c>
      <c r="G206">
        <v>2</v>
      </c>
      <c r="H206">
        <v>100</v>
      </c>
      <c r="I206" t="s">
        <v>617</v>
      </c>
      <c r="J206">
        <v>0.39079999999999998</v>
      </c>
      <c r="K206">
        <v>33.710500000000003</v>
      </c>
      <c r="L206">
        <v>1.2999999999999999E-2</v>
      </c>
      <c r="M206">
        <v>0.40649999999999997</v>
      </c>
      <c r="N206">
        <v>18.7333</v>
      </c>
      <c r="O206">
        <v>88.443399999999997</v>
      </c>
      <c r="P206">
        <v>382.09539999999998</v>
      </c>
      <c r="Q206">
        <v>214.13630000000001</v>
      </c>
      <c r="R206">
        <v>0.74380000000000002</v>
      </c>
      <c r="S206">
        <v>0.65049999999999997</v>
      </c>
      <c r="T206">
        <v>0.13650000000000001</v>
      </c>
      <c r="U206">
        <v>1.8E-3</v>
      </c>
      <c r="V206">
        <v>0.40089999999999998</v>
      </c>
      <c r="W206">
        <v>12.0212</v>
      </c>
      <c r="X206">
        <v>6.5262000000000002</v>
      </c>
      <c r="Y206">
        <v>5.8075999999999999</v>
      </c>
      <c r="Z206">
        <v>5.7579000000000002</v>
      </c>
      <c r="AA206">
        <v>31.001300000000001</v>
      </c>
      <c r="AB206">
        <v>7.3112000000000004</v>
      </c>
      <c r="AC206">
        <v>41.954599999999999</v>
      </c>
      <c r="AD206">
        <v>54.607799999999997</v>
      </c>
      <c r="AE206">
        <v>0.21790000000000001</v>
      </c>
      <c r="AF206">
        <v>7669.9697999999999</v>
      </c>
      <c r="AG206">
        <v>68.003600000000006</v>
      </c>
      <c r="AH206">
        <v>4.0300000000000002E-2</v>
      </c>
      <c r="AI206">
        <v>85.943799999999996</v>
      </c>
      <c r="AJ206">
        <v>54.21</v>
      </c>
      <c r="AK206">
        <v>75.009299999999996</v>
      </c>
      <c r="AL206">
        <v>2.0367999999999999</v>
      </c>
      <c r="AM206">
        <v>0.05</v>
      </c>
      <c r="AN206">
        <v>1.54E-2</v>
      </c>
      <c r="AO206">
        <v>96.837999999999994</v>
      </c>
      <c r="AP206">
        <v>90.769599999999997</v>
      </c>
      <c r="AQ206">
        <v>89.724599999999995</v>
      </c>
      <c r="AR206">
        <v>88.138599999999997</v>
      </c>
      <c r="AS206">
        <v>84.106499999999997</v>
      </c>
      <c r="AT206">
        <v>83.378799999999998</v>
      </c>
      <c r="AU206">
        <v>80.138099999999994</v>
      </c>
      <c r="AV206">
        <v>655.46259999999995</v>
      </c>
      <c r="AW206">
        <v>1671.4218000000001</v>
      </c>
      <c r="AX206">
        <f t="shared" si="49"/>
        <v>70123.833050280009</v>
      </c>
      <c r="AY206">
        <f t="shared" si="50"/>
        <v>113662.69951848002</v>
      </c>
      <c r="AZ206">
        <f t="shared" si="51"/>
        <v>20092.495742160001</v>
      </c>
      <c r="BA206">
        <f t="shared" si="59"/>
        <v>1671.4218000000001</v>
      </c>
      <c r="BB206">
        <f t="shared" si="60"/>
        <v>0</v>
      </c>
      <c r="BC206">
        <f t="shared" si="61"/>
        <v>0</v>
      </c>
      <c r="BD206">
        <f t="shared" si="62"/>
        <v>0</v>
      </c>
      <c r="BE206">
        <f t="shared" si="63"/>
        <v>0</v>
      </c>
      <c r="BF206">
        <f t="shared" si="64"/>
        <v>0</v>
      </c>
      <c r="BG206">
        <f t="shared" si="52"/>
        <v>592.38056352000001</v>
      </c>
      <c r="BH206">
        <f t="shared" si="53"/>
        <v>585.56068452</v>
      </c>
      <c r="BI206">
        <f t="shared" si="54"/>
        <v>575.21013131999996</v>
      </c>
      <c r="BJ206">
        <f t="shared" si="55"/>
        <v>548.89584030000003</v>
      </c>
      <c r="BK206">
        <f t="shared" si="56"/>
        <v>544.14672456000005</v>
      </c>
      <c r="BL206">
        <f t="shared" si="57"/>
        <v>522.99726822000002</v>
      </c>
    </row>
    <row r="207" spans="1:64">
      <c r="A207" t="str">
        <f t="shared" si="58"/>
        <v>20</v>
      </c>
      <c r="B207" t="s">
        <v>605</v>
      </c>
      <c r="C207" t="s">
        <v>667</v>
      </c>
      <c r="D207">
        <v>55</v>
      </c>
      <c r="E207">
        <v>1</v>
      </c>
      <c r="F207">
        <v>6</v>
      </c>
      <c r="G207">
        <v>2</v>
      </c>
      <c r="H207">
        <v>200</v>
      </c>
      <c r="I207" t="s">
        <v>609</v>
      </c>
      <c r="J207">
        <v>0.32040000000000002</v>
      </c>
      <c r="K207">
        <v>19.140899999999998</v>
      </c>
      <c r="L207">
        <v>1.12E-2</v>
      </c>
      <c r="M207">
        <v>0.49399999999999999</v>
      </c>
      <c r="N207">
        <v>17.881</v>
      </c>
      <c r="O207">
        <v>87.307299999999998</v>
      </c>
      <c r="P207">
        <v>526.52700000000004</v>
      </c>
      <c r="Q207">
        <v>213.37450000000001</v>
      </c>
      <c r="R207">
        <v>1.6936</v>
      </c>
      <c r="S207">
        <v>0.58350000000000002</v>
      </c>
      <c r="T207">
        <v>0.1237</v>
      </c>
      <c r="U207">
        <v>1E-3</v>
      </c>
      <c r="V207">
        <v>0.316</v>
      </c>
      <c r="W207">
        <v>11.985200000000001</v>
      </c>
      <c r="X207">
        <v>22.957799999999999</v>
      </c>
      <c r="Y207">
        <v>20.510899999999999</v>
      </c>
      <c r="Z207">
        <v>20.1953</v>
      </c>
      <c r="AA207">
        <v>114.7079</v>
      </c>
      <c r="AB207">
        <v>11.5761</v>
      </c>
      <c r="AC207">
        <v>41.990299999999998</v>
      </c>
      <c r="AD207">
        <v>56.331600000000002</v>
      </c>
      <c r="AE207">
        <v>0.96860000000000002</v>
      </c>
      <c r="AF207">
        <v>7648.3275000000003</v>
      </c>
      <c r="AG207">
        <v>69.119699999999995</v>
      </c>
      <c r="AH207">
        <v>0.1056</v>
      </c>
      <c r="AI207">
        <v>84.691000000000003</v>
      </c>
      <c r="AJ207">
        <v>54.21</v>
      </c>
      <c r="AK207">
        <v>72.527799999999999</v>
      </c>
      <c r="AL207">
        <v>2.1732</v>
      </c>
      <c r="AM207">
        <v>0.05</v>
      </c>
      <c r="AN207">
        <v>1.4800000000000001E-2</v>
      </c>
      <c r="AO207">
        <v>97.385999999999996</v>
      </c>
      <c r="AP207">
        <v>91.887799999999999</v>
      </c>
      <c r="AQ207">
        <v>90.753600000000006</v>
      </c>
      <c r="AR207">
        <v>88.752700000000004</v>
      </c>
      <c r="AS207">
        <v>84.173100000000005</v>
      </c>
      <c r="AT207">
        <v>83.337000000000003</v>
      </c>
      <c r="AU207">
        <v>80.060599999999994</v>
      </c>
      <c r="AV207">
        <v>2916.9529000000002</v>
      </c>
      <c r="AW207">
        <v>7408.5046000000002</v>
      </c>
      <c r="AX207">
        <f t="shared" si="49"/>
        <v>311085.33070538001</v>
      </c>
      <c r="AY207">
        <f t="shared" si="50"/>
        <v>512073.61540061998</v>
      </c>
      <c r="AZ207">
        <f t="shared" si="51"/>
        <v>88792.409331920004</v>
      </c>
      <c r="BA207">
        <f t="shared" si="59"/>
        <v>7408.5046000000002</v>
      </c>
      <c r="BB207">
        <f t="shared" si="60"/>
        <v>0</v>
      </c>
      <c r="BC207">
        <f t="shared" si="61"/>
        <v>0</v>
      </c>
      <c r="BD207">
        <f t="shared" si="62"/>
        <v>0</v>
      </c>
      <c r="BE207">
        <f t="shared" si="63"/>
        <v>0</v>
      </c>
      <c r="BF207">
        <f t="shared" si="64"/>
        <v>0</v>
      </c>
      <c r="BG207">
        <f t="shared" si="52"/>
        <v>2109.5417348399997</v>
      </c>
      <c r="BH207">
        <f t="shared" si="53"/>
        <v>2083.50299808</v>
      </c>
      <c r="BI207">
        <f t="shared" si="54"/>
        <v>2037.56673606</v>
      </c>
      <c r="BJ207">
        <f t="shared" si="55"/>
        <v>1932.4291951800001</v>
      </c>
      <c r="BK207">
        <f t="shared" si="56"/>
        <v>1913.2341786</v>
      </c>
      <c r="BL207">
        <f t="shared" si="57"/>
        <v>1838.0152426799998</v>
      </c>
    </row>
    <row r="208" spans="1:64">
      <c r="A208" t="str">
        <f t="shared" si="58"/>
        <v>20</v>
      </c>
      <c r="B208" t="s">
        <v>605</v>
      </c>
      <c r="C208" t="s">
        <v>667</v>
      </c>
      <c r="D208">
        <v>55</v>
      </c>
      <c r="E208">
        <v>1</v>
      </c>
      <c r="F208">
        <v>6</v>
      </c>
      <c r="G208">
        <v>2</v>
      </c>
      <c r="H208">
        <v>200</v>
      </c>
      <c r="I208" t="s">
        <v>617</v>
      </c>
      <c r="J208">
        <v>0.3846</v>
      </c>
      <c r="K208">
        <v>46.905299999999997</v>
      </c>
      <c r="L208">
        <v>1.04E-2</v>
      </c>
      <c r="M208">
        <v>0.40450000000000003</v>
      </c>
      <c r="N208">
        <v>19.713000000000001</v>
      </c>
      <c r="O208">
        <v>86.987700000000004</v>
      </c>
      <c r="P208">
        <v>491.69189999999998</v>
      </c>
      <c r="Q208">
        <v>216.90600000000001</v>
      </c>
      <c r="R208">
        <v>1.0909</v>
      </c>
      <c r="S208">
        <v>0.47289999999999999</v>
      </c>
      <c r="T208">
        <v>0.2319</v>
      </c>
      <c r="U208">
        <v>8.9999999999999998E-4</v>
      </c>
      <c r="V208">
        <v>0.39900000000000002</v>
      </c>
      <c r="W208">
        <v>12.1075</v>
      </c>
      <c r="X208">
        <v>36.608699999999999</v>
      </c>
      <c r="Y208">
        <v>32.565899999999999</v>
      </c>
      <c r="Z208">
        <v>32.627200000000002</v>
      </c>
      <c r="AA208">
        <v>166.24520000000001</v>
      </c>
      <c r="AB208">
        <v>10.538600000000001</v>
      </c>
      <c r="AC208">
        <v>42.334699999999998</v>
      </c>
      <c r="AD208">
        <v>57.2714</v>
      </c>
      <c r="AE208">
        <v>1.2323</v>
      </c>
      <c r="AF208">
        <v>7723.5041000000001</v>
      </c>
      <c r="AG208">
        <v>67.285200000000003</v>
      </c>
      <c r="AH208">
        <v>0.31540000000000001</v>
      </c>
      <c r="AI208">
        <v>86.638099999999994</v>
      </c>
      <c r="AJ208">
        <v>54.21</v>
      </c>
      <c r="AK208">
        <v>76.406300000000002</v>
      </c>
      <c r="AL208">
        <v>2.1307999999999998</v>
      </c>
      <c r="AM208">
        <v>0.05</v>
      </c>
      <c r="AN208">
        <v>1.03E-2</v>
      </c>
      <c r="AO208">
        <v>96.357100000000003</v>
      </c>
      <c r="AP208">
        <v>91.5274</v>
      </c>
      <c r="AQ208">
        <v>90.318799999999996</v>
      </c>
      <c r="AR208">
        <v>88.566100000000006</v>
      </c>
      <c r="AS208">
        <v>84.352599999999995</v>
      </c>
      <c r="AT208">
        <v>83.594200000000001</v>
      </c>
      <c r="AU208">
        <v>80.155000000000001</v>
      </c>
      <c r="AV208">
        <v>3749.7910000000002</v>
      </c>
      <c r="AW208">
        <v>9517.4537999999993</v>
      </c>
      <c r="AX208">
        <f t="shared" si="49"/>
        <v>402918.55138685997</v>
      </c>
      <c r="AY208">
        <f t="shared" si="50"/>
        <v>640383.78242375993</v>
      </c>
      <c r="AZ208">
        <f t="shared" si="51"/>
        <v>115232.57188349999</v>
      </c>
      <c r="BA208">
        <f t="shared" si="59"/>
        <v>9517.4537999999993</v>
      </c>
      <c r="BB208">
        <f t="shared" si="60"/>
        <v>0</v>
      </c>
      <c r="BC208">
        <f t="shared" si="61"/>
        <v>0</v>
      </c>
      <c r="BD208">
        <f t="shared" si="62"/>
        <v>0</v>
      </c>
      <c r="BE208">
        <f t="shared" si="63"/>
        <v>0</v>
      </c>
      <c r="BF208">
        <f t="shared" si="64"/>
        <v>0</v>
      </c>
      <c r="BG208">
        <f t="shared" si="52"/>
        <v>3350.6991283799998</v>
      </c>
      <c r="BH208">
        <f t="shared" si="53"/>
        <v>3306.45385356</v>
      </c>
      <c r="BI208">
        <f t="shared" si="54"/>
        <v>3242.2897850700001</v>
      </c>
      <c r="BJ208">
        <f t="shared" si="55"/>
        <v>3088.0390276199996</v>
      </c>
      <c r="BK208">
        <f t="shared" si="56"/>
        <v>3060.2749895399998</v>
      </c>
      <c r="BL208">
        <f t="shared" si="57"/>
        <v>2934.3703485000001</v>
      </c>
    </row>
    <row r="209" spans="1:64">
      <c r="A209" t="str">
        <f t="shared" si="58"/>
        <v>20</v>
      </c>
      <c r="B209" t="s">
        <v>605</v>
      </c>
      <c r="C209" t="s">
        <v>667</v>
      </c>
      <c r="D209">
        <v>55</v>
      </c>
      <c r="E209">
        <v>1</v>
      </c>
      <c r="F209">
        <v>6</v>
      </c>
      <c r="G209">
        <v>2</v>
      </c>
      <c r="H209">
        <v>200</v>
      </c>
      <c r="I209" t="s">
        <v>607</v>
      </c>
      <c r="J209">
        <v>0.4345</v>
      </c>
      <c r="K209">
        <v>58.209000000000003</v>
      </c>
      <c r="L209">
        <v>1.12E-2</v>
      </c>
      <c r="M209">
        <v>0.4244</v>
      </c>
      <c r="N209">
        <v>19.6007</v>
      </c>
      <c r="O209">
        <v>86.476399999999998</v>
      </c>
      <c r="P209">
        <v>546.72159999999997</v>
      </c>
      <c r="Q209">
        <v>218.5232</v>
      </c>
      <c r="R209">
        <v>1.1579999999999999</v>
      </c>
      <c r="S209">
        <v>0.49059999999999998</v>
      </c>
      <c r="T209">
        <v>0.26029999999999998</v>
      </c>
      <c r="U209">
        <v>1E-3</v>
      </c>
      <c r="V209">
        <v>0.46879999999999999</v>
      </c>
      <c r="W209">
        <v>12.1601</v>
      </c>
      <c r="X209">
        <v>4.9017999999999997</v>
      </c>
      <c r="Y209">
        <v>4.3547000000000002</v>
      </c>
      <c r="Z209">
        <v>4.3684000000000003</v>
      </c>
      <c r="AA209">
        <v>22.64</v>
      </c>
      <c r="AB209">
        <v>13.5907</v>
      </c>
      <c r="AC209">
        <v>42.502600000000001</v>
      </c>
      <c r="AD209">
        <v>58.612099999999998</v>
      </c>
      <c r="AE209">
        <v>0.1399</v>
      </c>
      <c r="AF209">
        <v>7758.8933999999999</v>
      </c>
      <c r="AG209">
        <v>66.461200000000005</v>
      </c>
      <c r="AH209">
        <v>4.36E-2</v>
      </c>
      <c r="AI209">
        <v>87.139600000000002</v>
      </c>
      <c r="AJ209">
        <v>54.21</v>
      </c>
      <c r="AK209">
        <v>77.417299999999997</v>
      </c>
      <c r="AL209">
        <v>2.1126</v>
      </c>
      <c r="AM209">
        <v>0.05</v>
      </c>
      <c r="AN209">
        <v>7.0000000000000001E-3</v>
      </c>
      <c r="AO209">
        <v>95.8917</v>
      </c>
      <c r="AP209">
        <v>91.591800000000006</v>
      </c>
      <c r="AQ209">
        <v>90.323300000000003</v>
      </c>
      <c r="AR209">
        <v>88.500399999999999</v>
      </c>
      <c r="AS209">
        <v>84.244799999999998</v>
      </c>
      <c r="AT209">
        <v>83.457400000000007</v>
      </c>
      <c r="AU209">
        <v>79.775700000000001</v>
      </c>
      <c r="AV209">
        <v>427.73820000000001</v>
      </c>
      <c r="AW209">
        <v>1085.8242</v>
      </c>
      <c r="AX209">
        <f t="shared" ref="AX209:AX272" si="65">+AC209*AW209</f>
        <v>46150.351642920003</v>
      </c>
      <c r="AY209">
        <f t="shared" ref="AY209:AY272" si="66">+AG209*AW209</f>
        <v>72165.179321040006</v>
      </c>
      <c r="AZ209">
        <f t="shared" ref="AZ209:AZ272" si="67">+W209*AW209</f>
        <v>13203.73085442</v>
      </c>
      <c r="BA209">
        <f t="shared" si="59"/>
        <v>1085.8242</v>
      </c>
      <c r="BB209">
        <f t="shared" si="60"/>
        <v>0</v>
      </c>
      <c r="BC209">
        <f t="shared" si="61"/>
        <v>0</v>
      </c>
      <c r="BD209">
        <f t="shared" si="62"/>
        <v>0</v>
      </c>
      <c r="BE209">
        <f t="shared" si="63"/>
        <v>0</v>
      </c>
      <c r="BF209">
        <f t="shared" si="64"/>
        <v>0</v>
      </c>
      <c r="BG209">
        <f t="shared" ref="BG209:BG272" si="68">+$X209*AP209</f>
        <v>448.96468523999999</v>
      </c>
      <c r="BH209">
        <f t="shared" ref="BH209:BH272" si="69">+$X209*AQ209</f>
        <v>442.74675193999997</v>
      </c>
      <c r="BI209">
        <f t="shared" ref="BI209:BI272" si="70">+$X209*AR209</f>
        <v>433.81126071999995</v>
      </c>
      <c r="BJ209">
        <f t="shared" ref="BJ209:BJ272" si="71">+$X209*AS209</f>
        <v>412.95116063999996</v>
      </c>
      <c r="BK209">
        <f t="shared" ref="BK209:BK272" si="72">+$X209*AT209</f>
        <v>409.09148332000001</v>
      </c>
      <c r="BL209">
        <f t="shared" ref="BL209:BL272" si="73">+$X209*AU209</f>
        <v>391.04452626</v>
      </c>
    </row>
    <row r="210" spans="1:64">
      <c r="A210" t="str">
        <f t="shared" si="58"/>
        <v>21</v>
      </c>
      <c r="B210" t="s">
        <v>605</v>
      </c>
      <c r="C210" t="s">
        <v>668</v>
      </c>
      <c r="D210">
        <v>55</v>
      </c>
      <c r="E210">
        <v>1</v>
      </c>
      <c r="F210">
        <v>6</v>
      </c>
      <c r="G210">
        <v>2</v>
      </c>
      <c r="H210">
        <v>100</v>
      </c>
      <c r="I210" t="s">
        <v>609</v>
      </c>
      <c r="J210">
        <v>0.32440000000000002</v>
      </c>
      <c r="K210">
        <v>29.295300000000001</v>
      </c>
      <c r="L210">
        <v>1.26E-2</v>
      </c>
      <c r="M210">
        <v>0.4264</v>
      </c>
      <c r="N210">
        <v>17.9361</v>
      </c>
      <c r="O210">
        <v>87.960999999999999</v>
      </c>
      <c r="P210">
        <v>519.18460000000005</v>
      </c>
      <c r="Q210">
        <v>213.71360000000001</v>
      </c>
      <c r="R210">
        <v>1.3653</v>
      </c>
      <c r="S210">
        <v>0.61460000000000004</v>
      </c>
      <c r="T210">
        <v>0.12429999999999999</v>
      </c>
      <c r="U210">
        <v>1.8E-3</v>
      </c>
      <c r="V210">
        <v>0.33739999999999998</v>
      </c>
      <c r="W210">
        <v>12.010300000000001</v>
      </c>
      <c r="X210">
        <v>33.767400000000002</v>
      </c>
      <c r="Y210">
        <v>30.119</v>
      </c>
      <c r="Z210">
        <v>29.895700000000001</v>
      </c>
      <c r="AA210">
        <v>167.90729999999999</v>
      </c>
      <c r="AB210">
        <v>7.8258000000000001</v>
      </c>
      <c r="AC210">
        <v>41.970500000000001</v>
      </c>
      <c r="AD210">
        <v>54.170099999999998</v>
      </c>
      <c r="AE210">
        <v>1.3442000000000001</v>
      </c>
      <c r="AF210">
        <v>7652.5627000000004</v>
      </c>
      <c r="AG210">
        <v>68.844399999999993</v>
      </c>
      <c r="AH210">
        <v>0.21820000000000001</v>
      </c>
      <c r="AI210">
        <v>85.615499999999997</v>
      </c>
      <c r="AJ210">
        <v>54.21</v>
      </c>
      <c r="AK210">
        <v>74.356499999999997</v>
      </c>
      <c r="AL210">
        <v>2.0611000000000002</v>
      </c>
      <c r="AM210">
        <v>0.05</v>
      </c>
      <c r="AN210">
        <v>1.41E-2</v>
      </c>
      <c r="AO210">
        <v>97.254499999999993</v>
      </c>
      <c r="AP210">
        <v>90.975300000000004</v>
      </c>
      <c r="AQ210">
        <v>89.998599999999996</v>
      </c>
      <c r="AR210">
        <v>88.335400000000007</v>
      </c>
      <c r="AS210">
        <v>84.102900000000005</v>
      </c>
      <c r="AT210">
        <v>83.350899999999996</v>
      </c>
      <c r="AU210">
        <v>80.137900000000002</v>
      </c>
      <c r="AV210">
        <v>3997.0956000000001</v>
      </c>
      <c r="AW210">
        <v>10286.3943</v>
      </c>
      <c r="AX210">
        <f t="shared" si="65"/>
        <v>431725.11196815001</v>
      </c>
      <c r="AY210">
        <f t="shared" si="66"/>
        <v>708160.64374691993</v>
      </c>
      <c r="AZ210">
        <f t="shared" si="67"/>
        <v>123542.68146129001</v>
      </c>
      <c r="BA210">
        <f t="shared" si="59"/>
        <v>10286.3943</v>
      </c>
      <c r="BB210">
        <f t="shared" si="60"/>
        <v>0</v>
      </c>
      <c r="BC210">
        <f t="shared" si="61"/>
        <v>0</v>
      </c>
      <c r="BD210">
        <f t="shared" si="62"/>
        <v>0</v>
      </c>
      <c r="BE210">
        <f t="shared" si="63"/>
        <v>0</v>
      </c>
      <c r="BF210">
        <f t="shared" si="64"/>
        <v>0</v>
      </c>
      <c r="BG210">
        <f t="shared" si="68"/>
        <v>3071.9993452200001</v>
      </c>
      <c r="BH210">
        <f t="shared" si="69"/>
        <v>3039.01872564</v>
      </c>
      <c r="BI210">
        <f t="shared" si="70"/>
        <v>2982.8567859600003</v>
      </c>
      <c r="BJ210">
        <f t="shared" si="71"/>
        <v>2839.9362654600004</v>
      </c>
      <c r="BK210">
        <f t="shared" si="72"/>
        <v>2814.54318066</v>
      </c>
      <c r="BL210">
        <f t="shared" si="73"/>
        <v>2706.0485244600004</v>
      </c>
    </row>
    <row r="211" spans="1:64">
      <c r="A211" t="str">
        <f t="shared" si="58"/>
        <v>21</v>
      </c>
      <c r="B211" t="s">
        <v>605</v>
      </c>
      <c r="C211" t="s">
        <v>668</v>
      </c>
      <c r="D211">
        <v>55</v>
      </c>
      <c r="E211">
        <v>1</v>
      </c>
      <c r="F211">
        <v>6</v>
      </c>
      <c r="G211">
        <v>2</v>
      </c>
      <c r="H211">
        <v>100</v>
      </c>
      <c r="I211" t="s">
        <v>617</v>
      </c>
      <c r="J211">
        <v>0.39079999999999998</v>
      </c>
      <c r="K211">
        <v>33.710500000000003</v>
      </c>
      <c r="L211">
        <v>1.2999999999999999E-2</v>
      </c>
      <c r="M211">
        <v>0.40649999999999997</v>
      </c>
      <c r="N211">
        <v>18.7333</v>
      </c>
      <c r="O211">
        <v>88.443399999999997</v>
      </c>
      <c r="P211">
        <v>382.09539999999998</v>
      </c>
      <c r="Q211">
        <v>214.13630000000001</v>
      </c>
      <c r="R211">
        <v>0.74380000000000002</v>
      </c>
      <c r="S211">
        <v>0.65049999999999997</v>
      </c>
      <c r="T211">
        <v>0.13650000000000001</v>
      </c>
      <c r="U211">
        <v>1.8E-3</v>
      </c>
      <c r="V211">
        <v>0.40089999999999998</v>
      </c>
      <c r="W211">
        <v>12.0212</v>
      </c>
      <c r="X211">
        <v>13.2898</v>
      </c>
      <c r="Y211">
        <v>11.8264</v>
      </c>
      <c r="Z211">
        <v>11.725300000000001</v>
      </c>
      <c r="AA211">
        <v>63.130499999999998</v>
      </c>
      <c r="AB211">
        <v>7.3112000000000004</v>
      </c>
      <c r="AC211">
        <v>41.954599999999999</v>
      </c>
      <c r="AD211">
        <v>54.607799999999997</v>
      </c>
      <c r="AE211">
        <v>0.44379999999999997</v>
      </c>
      <c r="AF211">
        <v>7669.9697999999999</v>
      </c>
      <c r="AG211">
        <v>68.003600000000006</v>
      </c>
      <c r="AH211">
        <v>8.2100000000000006E-2</v>
      </c>
      <c r="AI211">
        <v>85.943799999999996</v>
      </c>
      <c r="AJ211">
        <v>54.21</v>
      </c>
      <c r="AK211">
        <v>75.009299999999996</v>
      </c>
      <c r="AL211">
        <v>2.0367999999999999</v>
      </c>
      <c r="AM211">
        <v>0.05</v>
      </c>
      <c r="AN211">
        <v>1.54E-2</v>
      </c>
      <c r="AO211">
        <v>96.837999999999994</v>
      </c>
      <c r="AP211">
        <v>90.769599999999997</v>
      </c>
      <c r="AQ211">
        <v>89.724599999999995</v>
      </c>
      <c r="AR211">
        <v>88.138599999999997</v>
      </c>
      <c r="AS211">
        <v>84.106499999999997</v>
      </c>
      <c r="AT211">
        <v>83.378799999999998</v>
      </c>
      <c r="AU211">
        <v>80.138099999999994</v>
      </c>
      <c r="AV211">
        <v>1334.7741000000001</v>
      </c>
      <c r="AW211">
        <v>3403.6579000000002</v>
      </c>
      <c r="AX211">
        <f t="shared" si="65"/>
        <v>142799.10573134001</v>
      </c>
      <c r="AY211">
        <f t="shared" si="66"/>
        <v>231460.99036844002</v>
      </c>
      <c r="AZ211">
        <f t="shared" si="67"/>
        <v>40916.052347480007</v>
      </c>
      <c r="BA211">
        <f t="shared" si="59"/>
        <v>3403.6579000000002</v>
      </c>
      <c r="BB211">
        <f t="shared" si="60"/>
        <v>0</v>
      </c>
      <c r="BC211">
        <f t="shared" si="61"/>
        <v>0</v>
      </c>
      <c r="BD211">
        <f t="shared" si="62"/>
        <v>0</v>
      </c>
      <c r="BE211">
        <f t="shared" si="63"/>
        <v>0</v>
      </c>
      <c r="BF211">
        <f t="shared" si="64"/>
        <v>0</v>
      </c>
      <c r="BG211">
        <f t="shared" si="68"/>
        <v>1206.30983008</v>
      </c>
      <c r="BH211">
        <f t="shared" si="69"/>
        <v>1192.42198908</v>
      </c>
      <c r="BI211">
        <f t="shared" si="70"/>
        <v>1171.34436628</v>
      </c>
      <c r="BJ211">
        <f t="shared" si="71"/>
        <v>1117.7585637</v>
      </c>
      <c r="BK211">
        <f t="shared" si="72"/>
        <v>1108.0875762399999</v>
      </c>
      <c r="BL211">
        <f t="shared" si="73"/>
        <v>1065.0193213799998</v>
      </c>
    </row>
    <row r="212" spans="1:64">
      <c r="A212" t="str">
        <f t="shared" si="58"/>
        <v>21</v>
      </c>
      <c r="B212" t="s">
        <v>605</v>
      </c>
      <c r="C212" t="s">
        <v>668</v>
      </c>
      <c r="D212">
        <v>55</v>
      </c>
      <c r="E212">
        <v>1</v>
      </c>
      <c r="F212">
        <v>6</v>
      </c>
      <c r="G212">
        <v>2</v>
      </c>
      <c r="H212">
        <v>200</v>
      </c>
      <c r="I212" t="s">
        <v>609</v>
      </c>
      <c r="J212">
        <v>0.32129999999999997</v>
      </c>
      <c r="K212">
        <v>18.9373</v>
      </c>
      <c r="L212">
        <v>1.12E-2</v>
      </c>
      <c r="M212">
        <v>0.49399999999999999</v>
      </c>
      <c r="N212">
        <v>17.881</v>
      </c>
      <c r="O212">
        <v>83.889300000000006</v>
      </c>
      <c r="P212">
        <v>512.15470000000005</v>
      </c>
      <c r="Q212">
        <v>213.61840000000001</v>
      </c>
      <c r="R212">
        <v>1.6900999999999999</v>
      </c>
      <c r="S212">
        <v>0.56979999999999997</v>
      </c>
      <c r="T212">
        <v>0.11890000000000001</v>
      </c>
      <c r="U212">
        <v>1.6999999999999999E-3</v>
      </c>
      <c r="V212">
        <v>0.3211</v>
      </c>
      <c r="W212">
        <v>11.995200000000001</v>
      </c>
      <c r="X212">
        <v>14.8116</v>
      </c>
      <c r="Y212">
        <v>13.228</v>
      </c>
      <c r="Z212">
        <v>13.0192</v>
      </c>
      <c r="AA212">
        <v>73.977900000000005</v>
      </c>
      <c r="AB212">
        <v>9.9649000000000001</v>
      </c>
      <c r="AC212">
        <v>42.078000000000003</v>
      </c>
      <c r="AD212">
        <v>55.599299999999999</v>
      </c>
      <c r="AE212">
        <v>0.61509999999999998</v>
      </c>
      <c r="AF212">
        <v>7645.8040000000001</v>
      </c>
      <c r="AG212">
        <v>69.615499999999997</v>
      </c>
      <c r="AH212">
        <v>6.6799999999999998E-2</v>
      </c>
      <c r="AI212">
        <v>84.677899999999994</v>
      </c>
      <c r="AJ212">
        <v>54.21</v>
      </c>
      <c r="AK212">
        <v>72.502300000000005</v>
      </c>
      <c r="AL212">
        <v>2.0415000000000001</v>
      </c>
      <c r="AM212">
        <v>0.05</v>
      </c>
      <c r="AN212">
        <v>1.7600000000000001E-2</v>
      </c>
      <c r="AO212">
        <v>97.606399999999994</v>
      </c>
      <c r="AP212">
        <v>91.731800000000007</v>
      </c>
      <c r="AQ212">
        <v>90.662700000000001</v>
      </c>
      <c r="AR212">
        <v>88.706299999999999</v>
      </c>
      <c r="AS212">
        <v>84.120999999999995</v>
      </c>
      <c r="AT212">
        <v>83.289100000000005</v>
      </c>
      <c r="AU212">
        <v>80.057599999999994</v>
      </c>
      <c r="AV212">
        <v>1847.9739999999999</v>
      </c>
      <c r="AW212">
        <v>4702.7395999999999</v>
      </c>
      <c r="AX212">
        <f t="shared" si="65"/>
        <v>197881.8768888</v>
      </c>
      <c r="AY212">
        <f t="shared" si="66"/>
        <v>327383.56862380001</v>
      </c>
      <c r="AZ212">
        <f t="shared" si="67"/>
        <v>56410.302049919999</v>
      </c>
      <c r="BA212">
        <f t="shared" si="59"/>
        <v>4702.7395999999999</v>
      </c>
      <c r="BB212">
        <f t="shared" si="60"/>
        <v>0</v>
      </c>
      <c r="BC212">
        <f t="shared" si="61"/>
        <v>0</v>
      </c>
      <c r="BD212">
        <f t="shared" si="62"/>
        <v>0</v>
      </c>
      <c r="BE212">
        <f t="shared" si="63"/>
        <v>0</v>
      </c>
      <c r="BF212">
        <f t="shared" si="64"/>
        <v>0</v>
      </c>
      <c r="BG212">
        <f t="shared" si="68"/>
        <v>1358.6947288800002</v>
      </c>
      <c r="BH212">
        <f t="shared" si="69"/>
        <v>1342.85964732</v>
      </c>
      <c r="BI212">
        <f t="shared" si="70"/>
        <v>1313.8822330800001</v>
      </c>
      <c r="BJ212">
        <f t="shared" si="71"/>
        <v>1245.9666035999999</v>
      </c>
      <c r="BK212">
        <f t="shared" si="72"/>
        <v>1233.6448335600001</v>
      </c>
      <c r="BL212">
        <f t="shared" si="73"/>
        <v>1185.7811481599999</v>
      </c>
    </row>
    <row r="213" spans="1:64">
      <c r="A213" t="str">
        <f t="shared" si="58"/>
        <v>21</v>
      </c>
      <c r="B213" t="s">
        <v>605</v>
      </c>
      <c r="C213" t="s">
        <v>668</v>
      </c>
      <c r="D213">
        <v>55</v>
      </c>
      <c r="E213">
        <v>1</v>
      </c>
      <c r="F213">
        <v>6</v>
      </c>
      <c r="G213">
        <v>2</v>
      </c>
      <c r="H213">
        <v>200</v>
      </c>
      <c r="I213" t="s">
        <v>617</v>
      </c>
      <c r="J213">
        <v>0.37509999999999999</v>
      </c>
      <c r="K213">
        <v>44.345700000000001</v>
      </c>
      <c r="L213">
        <v>1.1900000000000001E-2</v>
      </c>
      <c r="M213">
        <v>0.44080000000000003</v>
      </c>
      <c r="N213">
        <v>21.979399999999998</v>
      </c>
      <c r="O213">
        <v>87.863</v>
      </c>
      <c r="P213">
        <v>376.48259999999999</v>
      </c>
      <c r="Q213">
        <v>216.68039999999999</v>
      </c>
      <c r="R213">
        <v>0.72709999999999997</v>
      </c>
      <c r="S213">
        <v>0.45050000000000001</v>
      </c>
      <c r="T213">
        <v>0.26269999999999999</v>
      </c>
      <c r="U213">
        <v>1.1000000000000001E-3</v>
      </c>
      <c r="V213">
        <v>0.3967</v>
      </c>
      <c r="W213">
        <v>12.0814</v>
      </c>
      <c r="X213">
        <v>3.1031</v>
      </c>
      <c r="Y213">
        <v>2.7606999999999999</v>
      </c>
      <c r="Z213">
        <v>2.7671000000000001</v>
      </c>
      <c r="AA213">
        <v>12.5944</v>
      </c>
      <c r="AB213">
        <v>10.771599999999999</v>
      </c>
      <c r="AC213">
        <v>42.402900000000002</v>
      </c>
      <c r="AD213">
        <v>56.504600000000003</v>
      </c>
      <c r="AE213">
        <v>0.1051</v>
      </c>
      <c r="AF213">
        <v>7721.0074999999997</v>
      </c>
      <c r="AG213">
        <v>67.686499999999995</v>
      </c>
      <c r="AH213">
        <v>2.7E-2</v>
      </c>
      <c r="AI213">
        <v>86.663799999999995</v>
      </c>
      <c r="AJ213">
        <v>59.253700000000002</v>
      </c>
      <c r="AK213">
        <v>76.4572</v>
      </c>
      <c r="AL213">
        <v>2.1027999999999998</v>
      </c>
      <c r="AM213">
        <v>0.05</v>
      </c>
      <c r="AN213">
        <v>7.3000000000000001E-3</v>
      </c>
      <c r="AO213">
        <v>96.536900000000003</v>
      </c>
      <c r="AP213">
        <v>90.915999999999997</v>
      </c>
      <c r="AQ213">
        <v>89.838899999999995</v>
      </c>
      <c r="AR213">
        <v>88.272300000000001</v>
      </c>
      <c r="AS213">
        <v>84.373999999999995</v>
      </c>
      <c r="AT213">
        <v>83.666399999999996</v>
      </c>
      <c r="AU213">
        <v>80.326999999999998</v>
      </c>
      <c r="AV213">
        <v>318.79070000000002</v>
      </c>
      <c r="AW213">
        <v>811.59889999999996</v>
      </c>
      <c r="AX213">
        <f t="shared" si="65"/>
        <v>34414.146996809999</v>
      </c>
      <c r="AY213">
        <f t="shared" si="66"/>
        <v>54934.288944849992</v>
      </c>
      <c r="AZ213">
        <f t="shared" si="67"/>
        <v>9805.2509504600002</v>
      </c>
      <c r="BA213">
        <f t="shared" si="59"/>
        <v>811.59889999999996</v>
      </c>
      <c r="BB213">
        <f t="shared" si="60"/>
        <v>0</v>
      </c>
      <c r="BC213">
        <f t="shared" si="61"/>
        <v>0</v>
      </c>
      <c r="BD213">
        <f t="shared" si="62"/>
        <v>0</v>
      </c>
      <c r="BE213">
        <f t="shared" si="63"/>
        <v>0</v>
      </c>
      <c r="BF213">
        <f t="shared" si="64"/>
        <v>0</v>
      </c>
      <c r="BG213">
        <f t="shared" si="68"/>
        <v>282.12143959999997</v>
      </c>
      <c r="BH213">
        <f t="shared" si="69"/>
        <v>278.77909059000001</v>
      </c>
      <c r="BI213">
        <f t="shared" si="70"/>
        <v>273.91777413</v>
      </c>
      <c r="BJ213">
        <f t="shared" si="71"/>
        <v>261.82095939999999</v>
      </c>
      <c r="BK213">
        <f t="shared" si="72"/>
        <v>259.62520583999998</v>
      </c>
      <c r="BL213">
        <f t="shared" si="73"/>
        <v>249.26271369999998</v>
      </c>
    </row>
    <row r="214" spans="1:64">
      <c r="A214" t="str">
        <f t="shared" si="58"/>
        <v>21</v>
      </c>
      <c r="B214" t="s">
        <v>605</v>
      </c>
      <c r="C214" t="s">
        <v>668</v>
      </c>
      <c r="D214">
        <v>55</v>
      </c>
      <c r="E214">
        <v>1</v>
      </c>
      <c r="F214">
        <v>6</v>
      </c>
      <c r="G214">
        <v>2</v>
      </c>
      <c r="H214">
        <v>200</v>
      </c>
      <c r="I214" t="s">
        <v>607</v>
      </c>
      <c r="J214">
        <v>0.40250000000000002</v>
      </c>
      <c r="K214">
        <v>40.721699999999998</v>
      </c>
      <c r="L214">
        <v>1.2500000000000001E-2</v>
      </c>
      <c r="M214">
        <v>0.47410000000000002</v>
      </c>
      <c r="N214">
        <v>21.688700000000001</v>
      </c>
      <c r="O214">
        <v>84.080799999999996</v>
      </c>
      <c r="P214">
        <v>375.33730000000003</v>
      </c>
      <c r="Q214">
        <v>213.8852</v>
      </c>
      <c r="R214">
        <v>0.72799999999999998</v>
      </c>
      <c r="S214">
        <v>0.48649999999999999</v>
      </c>
      <c r="T214">
        <v>0.24479999999999999</v>
      </c>
      <c r="U214">
        <v>1.5E-3</v>
      </c>
      <c r="V214">
        <v>0.41959999999999997</v>
      </c>
      <c r="W214">
        <v>11.966100000000001</v>
      </c>
      <c r="X214">
        <v>21.244599999999998</v>
      </c>
      <c r="Y214">
        <v>18.803999999999998</v>
      </c>
      <c r="Z214">
        <v>18.770499999999998</v>
      </c>
      <c r="AA214">
        <v>86.712800000000001</v>
      </c>
      <c r="AB214">
        <v>10.3218</v>
      </c>
      <c r="AC214">
        <v>42.007800000000003</v>
      </c>
      <c r="AD214">
        <v>55.722999999999999</v>
      </c>
      <c r="AE214">
        <v>0.68089999999999995</v>
      </c>
      <c r="AF214">
        <v>7686.1508000000003</v>
      </c>
      <c r="AG214">
        <v>67.520200000000003</v>
      </c>
      <c r="AH214">
        <v>0.1641</v>
      </c>
      <c r="AI214">
        <v>86.549300000000002</v>
      </c>
      <c r="AJ214">
        <v>63.6905</v>
      </c>
      <c r="AK214">
        <v>76.224400000000003</v>
      </c>
      <c r="AL214">
        <v>2.0748000000000002</v>
      </c>
      <c r="AM214">
        <v>0.05</v>
      </c>
      <c r="AN214">
        <v>1.77E-2</v>
      </c>
      <c r="AO214">
        <v>96.578900000000004</v>
      </c>
      <c r="AP214">
        <v>90.562399999999997</v>
      </c>
      <c r="AQ214">
        <v>89.516499999999994</v>
      </c>
      <c r="AR214">
        <v>88.015600000000006</v>
      </c>
      <c r="AS214">
        <v>84.150599999999997</v>
      </c>
      <c r="AT214">
        <v>83.420400000000001</v>
      </c>
      <c r="AU214">
        <v>80.038200000000003</v>
      </c>
      <c r="AV214">
        <v>2058.8724999999999</v>
      </c>
      <c r="AW214">
        <v>5233.5056000000004</v>
      </c>
      <c r="AX214">
        <f t="shared" si="65"/>
        <v>219848.05654368002</v>
      </c>
      <c r="AY214">
        <f t="shared" si="66"/>
        <v>353367.34481312003</v>
      </c>
      <c r="AZ214">
        <f t="shared" si="67"/>
        <v>62624.651360160009</v>
      </c>
      <c r="BA214">
        <f t="shared" si="59"/>
        <v>5233.5056000000004</v>
      </c>
      <c r="BB214">
        <f t="shared" si="60"/>
        <v>0</v>
      </c>
      <c r="BC214">
        <f t="shared" si="61"/>
        <v>0</v>
      </c>
      <c r="BD214">
        <f t="shared" si="62"/>
        <v>0</v>
      </c>
      <c r="BE214">
        <f t="shared" si="63"/>
        <v>0</v>
      </c>
      <c r="BF214">
        <f t="shared" si="64"/>
        <v>0</v>
      </c>
      <c r="BG214">
        <f t="shared" si="68"/>
        <v>1923.9619630399998</v>
      </c>
      <c r="BH214">
        <f t="shared" si="69"/>
        <v>1901.7422358999997</v>
      </c>
      <c r="BI214">
        <f t="shared" si="70"/>
        <v>1869.8562157599999</v>
      </c>
      <c r="BJ214">
        <f t="shared" si="71"/>
        <v>1787.7458367599997</v>
      </c>
      <c r="BK214">
        <f t="shared" si="72"/>
        <v>1772.23302984</v>
      </c>
      <c r="BL214">
        <f t="shared" si="73"/>
        <v>1700.3795437199999</v>
      </c>
    </row>
    <row r="215" spans="1:64">
      <c r="A215" t="str">
        <f t="shared" si="58"/>
        <v>17</v>
      </c>
      <c r="B215" t="s">
        <v>605</v>
      </c>
      <c r="C215" t="s">
        <v>669</v>
      </c>
      <c r="D215">
        <v>55</v>
      </c>
      <c r="E215">
        <v>1</v>
      </c>
      <c r="F215">
        <v>6</v>
      </c>
      <c r="G215">
        <v>2</v>
      </c>
      <c r="H215">
        <v>100</v>
      </c>
      <c r="I215" t="s">
        <v>607</v>
      </c>
      <c r="J215">
        <v>0.60009999999999997</v>
      </c>
      <c r="K215">
        <v>85.384100000000004</v>
      </c>
      <c r="L215">
        <v>1.4200000000000001E-2</v>
      </c>
      <c r="M215">
        <v>0.69489999999999996</v>
      </c>
      <c r="N215">
        <v>30.469100000000001</v>
      </c>
      <c r="O215">
        <v>81.425600000000003</v>
      </c>
      <c r="P215">
        <v>449.08870000000002</v>
      </c>
      <c r="Q215">
        <v>232.95679999999999</v>
      </c>
      <c r="R215">
        <v>0.56169999999999998</v>
      </c>
      <c r="S215">
        <v>0.67130000000000001</v>
      </c>
      <c r="T215">
        <v>0.45329999999999998</v>
      </c>
      <c r="U215">
        <v>3.3E-3</v>
      </c>
      <c r="V215">
        <v>0.64370000000000005</v>
      </c>
      <c r="W215">
        <v>11.7972</v>
      </c>
      <c r="X215">
        <v>455.6823</v>
      </c>
      <c r="Y215">
        <v>403.1748</v>
      </c>
      <c r="Z215">
        <v>409.71069999999997</v>
      </c>
      <c r="AA215">
        <v>1321.3405</v>
      </c>
      <c r="AB215">
        <v>17.2575</v>
      </c>
      <c r="AC215">
        <v>48.002600000000001</v>
      </c>
      <c r="AD215">
        <v>55.232199999999999</v>
      </c>
      <c r="AE215">
        <v>9.0513999999999992</v>
      </c>
      <c r="AF215">
        <v>8240.0805</v>
      </c>
      <c r="AG215">
        <v>68.418499999999995</v>
      </c>
      <c r="AH215">
        <v>5.4226999999999999</v>
      </c>
      <c r="AI215">
        <v>88.476600000000005</v>
      </c>
      <c r="AJ215">
        <v>73.2</v>
      </c>
      <c r="AK215">
        <v>80.157700000000006</v>
      </c>
      <c r="AL215">
        <v>1.8352999999999999</v>
      </c>
      <c r="AM215">
        <v>0.05</v>
      </c>
      <c r="AN215">
        <v>1.8200000000000001E-2</v>
      </c>
      <c r="AO215">
        <v>95.413399999999996</v>
      </c>
      <c r="AP215">
        <v>92.405900000000003</v>
      </c>
      <c r="AQ215">
        <v>91.087599999999995</v>
      </c>
      <c r="AR215">
        <v>89.320800000000006</v>
      </c>
      <c r="AS215">
        <v>84.660899999999998</v>
      </c>
      <c r="AT215">
        <v>83.762600000000006</v>
      </c>
      <c r="AU215">
        <v>79.911100000000005</v>
      </c>
      <c r="AV215">
        <v>29223.2363</v>
      </c>
      <c r="AW215">
        <v>74458.787500000006</v>
      </c>
      <c r="AX215">
        <f t="shared" si="65"/>
        <v>3574215.3928475003</v>
      </c>
      <c r="AY215">
        <f t="shared" si="66"/>
        <v>5094358.5525687505</v>
      </c>
      <c r="AZ215">
        <f t="shared" si="67"/>
        <v>878405.20789500012</v>
      </c>
      <c r="BA215">
        <f t="shared" si="59"/>
        <v>74458.787500000006</v>
      </c>
      <c r="BB215">
        <f t="shared" si="60"/>
        <v>0</v>
      </c>
      <c r="BC215">
        <f t="shared" si="61"/>
        <v>0</v>
      </c>
      <c r="BD215">
        <f t="shared" si="62"/>
        <v>0</v>
      </c>
      <c r="BE215">
        <f t="shared" si="63"/>
        <v>0</v>
      </c>
      <c r="BF215">
        <f t="shared" si="64"/>
        <v>0</v>
      </c>
      <c r="BG215">
        <f t="shared" si="68"/>
        <v>42107.733045569999</v>
      </c>
      <c r="BH215">
        <f t="shared" si="69"/>
        <v>41507.007069479994</v>
      </c>
      <c r="BI215">
        <f t="shared" si="70"/>
        <v>40701.907581840002</v>
      </c>
      <c r="BJ215">
        <f t="shared" si="71"/>
        <v>38578.473632069996</v>
      </c>
      <c r="BK215">
        <f t="shared" si="72"/>
        <v>38169.134221980006</v>
      </c>
      <c r="BL215">
        <f t="shared" si="73"/>
        <v>36414.073843530001</v>
      </c>
    </row>
    <row r="216" spans="1:64">
      <c r="A216" t="str">
        <f t="shared" si="58"/>
        <v>18</v>
      </c>
      <c r="B216" t="s">
        <v>605</v>
      </c>
      <c r="C216" t="s">
        <v>670</v>
      </c>
      <c r="D216">
        <v>55</v>
      </c>
      <c r="E216">
        <v>1</v>
      </c>
      <c r="F216">
        <v>6</v>
      </c>
      <c r="G216">
        <v>2</v>
      </c>
      <c r="H216">
        <v>100</v>
      </c>
      <c r="I216" t="s">
        <v>624</v>
      </c>
      <c r="J216">
        <v>0.50270000000000004</v>
      </c>
      <c r="K216">
        <v>42.7149</v>
      </c>
      <c r="L216">
        <v>1.14E-2</v>
      </c>
      <c r="M216">
        <v>0.66010000000000002</v>
      </c>
      <c r="N216">
        <v>17.881</v>
      </c>
      <c r="O216">
        <v>70.215800000000002</v>
      </c>
      <c r="P216">
        <v>706.27499999999998</v>
      </c>
      <c r="Q216">
        <v>238.33080000000001</v>
      </c>
      <c r="R216">
        <v>1.4503999999999999</v>
      </c>
      <c r="S216">
        <v>0.33189999999999997</v>
      </c>
      <c r="T216">
        <v>0.22500000000000001</v>
      </c>
      <c r="U216">
        <v>3.2000000000000002E-3</v>
      </c>
      <c r="V216">
        <v>0.3765</v>
      </c>
      <c r="W216">
        <v>12.222099999999999</v>
      </c>
      <c r="X216">
        <v>0.20530000000000001</v>
      </c>
      <c r="Y216">
        <v>0.18149999999999999</v>
      </c>
      <c r="Z216">
        <v>0.18060000000000001</v>
      </c>
      <c r="AA216">
        <v>1.0150999999999999</v>
      </c>
      <c r="AB216">
        <v>18.7212</v>
      </c>
      <c r="AC216">
        <v>47.683</v>
      </c>
      <c r="AD216">
        <v>54.486400000000003</v>
      </c>
      <c r="AE216">
        <v>6.7999999999999996E-3</v>
      </c>
      <c r="AF216">
        <v>8261.9758999999995</v>
      </c>
      <c r="AG216">
        <v>66.290999999999997</v>
      </c>
      <c r="AH216">
        <v>1.4E-3</v>
      </c>
      <c r="AI216">
        <v>86.052499999999995</v>
      </c>
      <c r="AJ216">
        <v>73.2</v>
      </c>
      <c r="AK216">
        <v>75.226699999999994</v>
      </c>
      <c r="AL216">
        <v>1.5794999999999999</v>
      </c>
      <c r="AM216">
        <v>0.05</v>
      </c>
      <c r="AN216">
        <v>2.9399999999999999E-2</v>
      </c>
      <c r="AO216">
        <v>94.365899999999996</v>
      </c>
      <c r="AP216">
        <v>93.398600000000002</v>
      </c>
      <c r="AQ216">
        <v>91.898200000000003</v>
      </c>
      <c r="AR216">
        <v>89.529600000000002</v>
      </c>
      <c r="AS216">
        <v>83.562700000000007</v>
      </c>
      <c r="AT216">
        <v>82.533299999999997</v>
      </c>
      <c r="AU216">
        <v>78.642600000000002</v>
      </c>
      <c r="AV216">
        <v>22.028500000000001</v>
      </c>
      <c r="AW216">
        <v>56.158499999999997</v>
      </c>
      <c r="AX216">
        <f t="shared" si="65"/>
        <v>2677.8057555</v>
      </c>
      <c r="AY216">
        <f t="shared" si="66"/>
        <v>3722.8031234999994</v>
      </c>
      <c r="AZ216">
        <f t="shared" si="67"/>
        <v>686.37480284999992</v>
      </c>
      <c r="BA216">
        <f t="shared" si="59"/>
        <v>56.158499999999997</v>
      </c>
      <c r="BB216">
        <f t="shared" si="60"/>
        <v>0</v>
      </c>
      <c r="BC216">
        <f t="shared" si="61"/>
        <v>0</v>
      </c>
      <c r="BD216">
        <f t="shared" si="62"/>
        <v>0</v>
      </c>
      <c r="BE216">
        <f t="shared" si="63"/>
        <v>0</v>
      </c>
      <c r="BF216">
        <f t="shared" si="64"/>
        <v>0</v>
      </c>
      <c r="BG216">
        <f t="shared" si="68"/>
        <v>19.174732580000001</v>
      </c>
      <c r="BH216">
        <f t="shared" si="69"/>
        <v>18.866700460000001</v>
      </c>
      <c r="BI216">
        <f t="shared" si="70"/>
        <v>18.380426880000002</v>
      </c>
      <c r="BJ216">
        <f t="shared" si="71"/>
        <v>17.155422310000002</v>
      </c>
      <c r="BK216">
        <f t="shared" si="72"/>
        <v>16.94408649</v>
      </c>
      <c r="BL216">
        <f t="shared" si="73"/>
        <v>16.14532578</v>
      </c>
    </row>
    <row r="217" spans="1:64">
      <c r="A217" t="str">
        <f t="shared" si="58"/>
        <v>18</v>
      </c>
      <c r="B217" t="s">
        <v>605</v>
      </c>
      <c r="C217" t="s">
        <v>670</v>
      </c>
      <c r="D217">
        <v>55</v>
      </c>
      <c r="E217">
        <v>1</v>
      </c>
      <c r="F217">
        <v>6</v>
      </c>
      <c r="G217">
        <v>2</v>
      </c>
      <c r="H217">
        <v>100</v>
      </c>
      <c r="I217" t="s">
        <v>607</v>
      </c>
      <c r="J217">
        <v>0.63370000000000004</v>
      </c>
      <c r="K217">
        <v>64.585400000000007</v>
      </c>
      <c r="L217">
        <v>1.4E-2</v>
      </c>
      <c r="M217">
        <v>0.63970000000000005</v>
      </c>
      <c r="N217">
        <v>30.530899999999999</v>
      </c>
      <c r="O217">
        <v>80.692099999999996</v>
      </c>
      <c r="P217">
        <v>508.60309999999998</v>
      </c>
      <c r="Q217">
        <v>236.2962</v>
      </c>
      <c r="R217">
        <v>0.60319999999999996</v>
      </c>
      <c r="S217">
        <v>0.64510000000000001</v>
      </c>
      <c r="T217">
        <v>0.47320000000000001</v>
      </c>
      <c r="U217">
        <v>3.8E-3</v>
      </c>
      <c r="V217">
        <v>0.66080000000000005</v>
      </c>
      <c r="W217">
        <v>11.8673</v>
      </c>
      <c r="X217">
        <v>565.04499999999996</v>
      </c>
      <c r="Y217">
        <v>498.45139999999998</v>
      </c>
      <c r="Z217">
        <v>501.35789999999997</v>
      </c>
      <c r="AA217">
        <v>1642.8968</v>
      </c>
      <c r="AB217">
        <v>16.318000000000001</v>
      </c>
      <c r="AC217">
        <v>48.643799999999999</v>
      </c>
      <c r="AD217">
        <v>52.874099999999999</v>
      </c>
      <c r="AE217">
        <v>10.7301</v>
      </c>
      <c r="AF217">
        <v>8312.9799000000003</v>
      </c>
      <c r="AG217">
        <v>67.9024</v>
      </c>
      <c r="AH217">
        <v>5.3452999999999999</v>
      </c>
      <c r="AI217">
        <v>87.913499999999999</v>
      </c>
      <c r="AJ217">
        <v>73.2</v>
      </c>
      <c r="AK217">
        <v>79.006699999999995</v>
      </c>
      <c r="AL217">
        <v>1.7137</v>
      </c>
      <c r="AM217">
        <v>0.05</v>
      </c>
      <c r="AN217">
        <v>2.1000000000000001E-2</v>
      </c>
      <c r="AO217">
        <v>95.001499999999993</v>
      </c>
      <c r="AP217">
        <v>93.0398</v>
      </c>
      <c r="AQ217">
        <v>91.455699999999993</v>
      </c>
      <c r="AR217">
        <v>89.176400000000001</v>
      </c>
      <c r="AS217">
        <v>83.574100000000001</v>
      </c>
      <c r="AT217">
        <v>82.519800000000004</v>
      </c>
      <c r="AU217">
        <v>78.422499999999999</v>
      </c>
      <c r="AV217">
        <v>35017.6152</v>
      </c>
      <c r="AW217">
        <v>89038.377699999997</v>
      </c>
      <c r="AX217">
        <f t="shared" si="65"/>
        <v>4331165.0371632595</v>
      </c>
      <c r="AY217">
        <f t="shared" si="66"/>
        <v>6045919.5379364798</v>
      </c>
      <c r="AZ217">
        <f t="shared" si="67"/>
        <v>1056645.13967921</v>
      </c>
      <c r="BA217">
        <f t="shared" si="59"/>
        <v>89038.377699999997</v>
      </c>
      <c r="BB217">
        <f t="shared" si="60"/>
        <v>0</v>
      </c>
      <c r="BC217">
        <f t="shared" si="61"/>
        <v>0</v>
      </c>
      <c r="BD217">
        <f t="shared" si="62"/>
        <v>0</v>
      </c>
      <c r="BE217">
        <f t="shared" si="63"/>
        <v>0</v>
      </c>
      <c r="BF217">
        <f t="shared" si="64"/>
        <v>0</v>
      </c>
      <c r="BG217">
        <f t="shared" si="68"/>
        <v>52571.673790999994</v>
      </c>
      <c r="BH217">
        <f t="shared" si="69"/>
        <v>51676.586006499994</v>
      </c>
      <c r="BI217">
        <f t="shared" si="70"/>
        <v>50388.678937999997</v>
      </c>
      <c r="BJ217">
        <f t="shared" si="71"/>
        <v>47223.127334500001</v>
      </c>
      <c r="BK217">
        <f t="shared" si="72"/>
        <v>46627.400390999996</v>
      </c>
      <c r="BL217">
        <f t="shared" si="73"/>
        <v>44312.241512499997</v>
      </c>
    </row>
    <row r="218" spans="1:64">
      <c r="A218" t="str">
        <f t="shared" si="58"/>
        <v>19</v>
      </c>
      <c r="B218" t="s">
        <v>605</v>
      </c>
      <c r="C218" t="s">
        <v>671</v>
      </c>
      <c r="D218">
        <v>55</v>
      </c>
      <c r="E218">
        <v>1</v>
      </c>
      <c r="F218">
        <v>6</v>
      </c>
      <c r="G218">
        <v>2</v>
      </c>
      <c r="H218">
        <v>100</v>
      </c>
      <c r="I218" t="s">
        <v>617</v>
      </c>
      <c r="J218">
        <v>0.47049999999999997</v>
      </c>
      <c r="K218">
        <v>43.5884</v>
      </c>
      <c r="L218">
        <v>1.1299999999999999E-2</v>
      </c>
      <c r="M218">
        <v>0.44519999999999998</v>
      </c>
      <c r="N218">
        <v>17.881</v>
      </c>
      <c r="O218">
        <v>70.584199999999996</v>
      </c>
      <c r="P218">
        <v>783.05679999999995</v>
      </c>
      <c r="Q218">
        <v>237.3837</v>
      </c>
      <c r="R218">
        <v>1.4642999999999999</v>
      </c>
      <c r="S218">
        <v>0.43630000000000002</v>
      </c>
      <c r="T218">
        <v>0.27779999999999999</v>
      </c>
      <c r="U218">
        <v>5.5999999999999999E-3</v>
      </c>
      <c r="V218">
        <v>0.3619</v>
      </c>
      <c r="W218">
        <v>12.403600000000001</v>
      </c>
      <c r="X218">
        <v>12.0085</v>
      </c>
      <c r="Y218">
        <v>10.640499999999999</v>
      </c>
      <c r="Z218">
        <v>10.663399999999999</v>
      </c>
      <c r="AA218">
        <v>59.506999999999998</v>
      </c>
      <c r="AB218">
        <v>17.895099999999999</v>
      </c>
      <c r="AC218">
        <v>46.738300000000002</v>
      </c>
      <c r="AD218">
        <v>56.674300000000002</v>
      </c>
      <c r="AE218">
        <v>0.42080000000000001</v>
      </c>
      <c r="AF218">
        <v>8182.3928999999998</v>
      </c>
      <c r="AG218">
        <v>65.851600000000005</v>
      </c>
      <c r="AH218">
        <v>0.1038</v>
      </c>
      <c r="AI218">
        <v>86.471999999999994</v>
      </c>
      <c r="AJ218">
        <v>73.2</v>
      </c>
      <c r="AK218">
        <v>76.067999999999998</v>
      </c>
      <c r="AL218">
        <v>1.7343</v>
      </c>
      <c r="AM218">
        <v>0.05</v>
      </c>
      <c r="AN218">
        <v>2.8299999999999999E-2</v>
      </c>
      <c r="AO218">
        <v>94.383899999999997</v>
      </c>
      <c r="AP218">
        <v>93.183199999999999</v>
      </c>
      <c r="AQ218">
        <v>91.8523</v>
      </c>
      <c r="AR218">
        <v>89.622299999999996</v>
      </c>
      <c r="AS218">
        <v>83.984899999999996</v>
      </c>
      <c r="AT218">
        <v>83.053899999999999</v>
      </c>
      <c r="AU218">
        <v>79.310699999999997</v>
      </c>
      <c r="AV218">
        <v>1347.0152</v>
      </c>
      <c r="AW218">
        <v>3443.0673000000002</v>
      </c>
      <c r="AX218">
        <f t="shared" si="65"/>
        <v>160923.11238759002</v>
      </c>
      <c r="AY218">
        <f t="shared" si="66"/>
        <v>226731.49061268003</v>
      </c>
      <c r="AZ218">
        <f t="shared" si="67"/>
        <v>42706.429562280005</v>
      </c>
      <c r="BA218">
        <f t="shared" si="59"/>
        <v>3443.0673000000002</v>
      </c>
      <c r="BB218">
        <f t="shared" si="60"/>
        <v>0</v>
      </c>
      <c r="BC218">
        <f t="shared" si="61"/>
        <v>0</v>
      </c>
      <c r="BD218">
        <f t="shared" si="62"/>
        <v>0</v>
      </c>
      <c r="BE218">
        <f t="shared" si="63"/>
        <v>0</v>
      </c>
      <c r="BF218">
        <f t="shared" si="64"/>
        <v>0</v>
      </c>
      <c r="BG218">
        <f t="shared" si="68"/>
        <v>1118.9904572</v>
      </c>
      <c r="BH218">
        <f t="shared" si="69"/>
        <v>1103.0083445499999</v>
      </c>
      <c r="BI218">
        <f t="shared" si="70"/>
        <v>1076.22938955</v>
      </c>
      <c r="BJ218">
        <f t="shared" si="71"/>
        <v>1008.5326716499999</v>
      </c>
      <c r="BK218">
        <f t="shared" si="72"/>
        <v>997.35275815</v>
      </c>
      <c r="BL218">
        <f t="shared" si="73"/>
        <v>952.40254094999989</v>
      </c>
    </row>
    <row r="219" spans="1:64">
      <c r="A219" t="str">
        <f t="shared" si="58"/>
        <v>19</v>
      </c>
      <c r="B219" t="s">
        <v>605</v>
      </c>
      <c r="C219" t="s">
        <v>671</v>
      </c>
      <c r="D219">
        <v>55</v>
      </c>
      <c r="E219">
        <v>1</v>
      </c>
      <c r="F219">
        <v>6</v>
      </c>
      <c r="G219">
        <v>2</v>
      </c>
      <c r="H219">
        <v>100</v>
      </c>
      <c r="I219" t="s">
        <v>624</v>
      </c>
      <c r="J219">
        <v>0.50270000000000004</v>
      </c>
      <c r="K219">
        <v>42.7149</v>
      </c>
      <c r="L219">
        <v>1.14E-2</v>
      </c>
      <c r="M219">
        <v>0.66010000000000002</v>
      </c>
      <c r="N219">
        <v>17.881</v>
      </c>
      <c r="O219">
        <v>70.215800000000002</v>
      </c>
      <c r="P219">
        <v>706.27499999999998</v>
      </c>
      <c r="Q219">
        <v>238.33080000000001</v>
      </c>
      <c r="R219">
        <v>1.4503999999999999</v>
      </c>
      <c r="S219">
        <v>0.33189999999999997</v>
      </c>
      <c r="T219">
        <v>0.22500000000000001</v>
      </c>
      <c r="U219">
        <v>3.2000000000000002E-3</v>
      </c>
      <c r="V219">
        <v>0.3765</v>
      </c>
      <c r="W219">
        <v>12.222099999999999</v>
      </c>
      <c r="X219">
        <v>20.2256</v>
      </c>
      <c r="Y219">
        <v>17.8841</v>
      </c>
      <c r="Z219">
        <v>17.790500000000002</v>
      </c>
      <c r="AA219">
        <v>100.01739999999999</v>
      </c>
      <c r="AB219">
        <v>18.7212</v>
      </c>
      <c r="AC219">
        <v>47.683</v>
      </c>
      <c r="AD219">
        <v>54.486400000000003</v>
      </c>
      <c r="AE219">
        <v>0.66969999999999996</v>
      </c>
      <c r="AF219">
        <v>8261.9758999999995</v>
      </c>
      <c r="AG219">
        <v>66.290999999999997</v>
      </c>
      <c r="AH219">
        <v>0.13980000000000001</v>
      </c>
      <c r="AI219">
        <v>86.052499999999995</v>
      </c>
      <c r="AJ219">
        <v>73.2</v>
      </c>
      <c r="AK219">
        <v>75.226699999999994</v>
      </c>
      <c r="AL219">
        <v>1.5794999999999999</v>
      </c>
      <c r="AM219">
        <v>0.05</v>
      </c>
      <c r="AN219">
        <v>2.9399999999999999E-2</v>
      </c>
      <c r="AO219">
        <v>94.365899999999996</v>
      </c>
      <c r="AP219">
        <v>93.398600000000002</v>
      </c>
      <c r="AQ219">
        <v>91.898200000000003</v>
      </c>
      <c r="AR219">
        <v>89.529600000000002</v>
      </c>
      <c r="AS219">
        <v>83.562700000000007</v>
      </c>
      <c r="AT219">
        <v>82.533299999999997</v>
      </c>
      <c r="AU219">
        <v>78.642600000000002</v>
      </c>
      <c r="AV219">
        <v>2170.3546000000001</v>
      </c>
      <c r="AW219">
        <v>5533.0101000000004</v>
      </c>
      <c r="AX219">
        <f t="shared" si="65"/>
        <v>263830.52059830003</v>
      </c>
      <c r="AY219">
        <f t="shared" si="66"/>
        <v>366788.77253910003</v>
      </c>
      <c r="AZ219">
        <f t="shared" si="67"/>
        <v>67625.002743210003</v>
      </c>
      <c r="BA219">
        <f t="shared" si="59"/>
        <v>5533.0101000000004</v>
      </c>
      <c r="BB219">
        <f t="shared" si="60"/>
        <v>0</v>
      </c>
      <c r="BC219">
        <f t="shared" si="61"/>
        <v>0</v>
      </c>
      <c r="BD219">
        <f t="shared" si="62"/>
        <v>0</v>
      </c>
      <c r="BE219">
        <f t="shared" si="63"/>
        <v>0</v>
      </c>
      <c r="BF219">
        <f t="shared" si="64"/>
        <v>0</v>
      </c>
      <c r="BG219">
        <f t="shared" si="68"/>
        <v>1889.04272416</v>
      </c>
      <c r="BH219">
        <f t="shared" si="69"/>
        <v>1858.6962339200002</v>
      </c>
      <c r="BI219">
        <f t="shared" si="70"/>
        <v>1810.7898777600001</v>
      </c>
      <c r="BJ219">
        <f t="shared" si="71"/>
        <v>1690.1057451200002</v>
      </c>
      <c r="BK219">
        <f t="shared" si="72"/>
        <v>1669.2855124799999</v>
      </c>
      <c r="BL219">
        <f t="shared" si="73"/>
        <v>1590.5937705599999</v>
      </c>
    </row>
    <row r="220" spans="1:64">
      <c r="A220" t="str">
        <f t="shared" si="58"/>
        <v>19</v>
      </c>
      <c r="B220" t="s">
        <v>605</v>
      </c>
      <c r="C220" t="s">
        <v>671</v>
      </c>
      <c r="D220">
        <v>55</v>
      </c>
      <c r="E220">
        <v>1</v>
      </c>
      <c r="F220">
        <v>6</v>
      </c>
      <c r="G220">
        <v>2</v>
      </c>
      <c r="H220">
        <v>100</v>
      </c>
      <c r="I220" t="s">
        <v>607</v>
      </c>
      <c r="J220">
        <v>0.62380000000000002</v>
      </c>
      <c r="K220">
        <v>49.432600000000001</v>
      </c>
      <c r="L220">
        <v>1.41E-2</v>
      </c>
      <c r="M220">
        <v>0.60370000000000001</v>
      </c>
      <c r="N220">
        <v>27.076000000000001</v>
      </c>
      <c r="O220">
        <v>81.075199999999995</v>
      </c>
      <c r="P220">
        <v>623.90689999999995</v>
      </c>
      <c r="Q220">
        <v>238.09649999999999</v>
      </c>
      <c r="R220">
        <v>0.86860000000000004</v>
      </c>
      <c r="S220">
        <v>0.58160000000000001</v>
      </c>
      <c r="T220">
        <v>0.45340000000000003</v>
      </c>
      <c r="U220">
        <v>4.7000000000000002E-3</v>
      </c>
      <c r="V220">
        <v>0.62360000000000004</v>
      </c>
      <c r="W220">
        <v>11.991899999999999</v>
      </c>
      <c r="X220">
        <v>467.67059999999998</v>
      </c>
      <c r="Y220">
        <v>412.6472</v>
      </c>
      <c r="Z220">
        <v>409.44189999999998</v>
      </c>
      <c r="AA220">
        <v>1577.105</v>
      </c>
      <c r="AB220">
        <v>16.621300000000002</v>
      </c>
      <c r="AC220">
        <v>48.570300000000003</v>
      </c>
      <c r="AD220">
        <v>55.177199999999999</v>
      </c>
      <c r="AE220">
        <v>9.2629999999999999</v>
      </c>
      <c r="AF220">
        <v>8329.893</v>
      </c>
      <c r="AG220">
        <v>66.9148</v>
      </c>
      <c r="AH220">
        <v>2.9514</v>
      </c>
      <c r="AI220">
        <v>86.976799999999997</v>
      </c>
      <c r="AJ220">
        <v>73.2</v>
      </c>
      <c r="AK220">
        <v>77.090299999999999</v>
      </c>
      <c r="AL220">
        <v>1.6889000000000001</v>
      </c>
      <c r="AM220">
        <v>0.05</v>
      </c>
      <c r="AN220">
        <v>2.0199999999999999E-2</v>
      </c>
      <c r="AO220">
        <v>94.510300000000001</v>
      </c>
      <c r="AP220">
        <v>93.072599999999994</v>
      </c>
      <c r="AQ220">
        <v>91.5869</v>
      </c>
      <c r="AR220">
        <v>89.299199999999999</v>
      </c>
      <c r="AS220">
        <v>83.704599999999999</v>
      </c>
      <c r="AT220">
        <v>82.691900000000004</v>
      </c>
      <c r="AU220">
        <v>78.745900000000006</v>
      </c>
      <c r="AV220">
        <v>30314.2055</v>
      </c>
      <c r="AW220">
        <v>77052.0193</v>
      </c>
      <c r="AX220">
        <f t="shared" si="65"/>
        <v>3742439.6930067902</v>
      </c>
      <c r="AY220">
        <f t="shared" si="66"/>
        <v>5155920.4610556401</v>
      </c>
      <c r="AZ220">
        <f t="shared" si="67"/>
        <v>924000.11024366994</v>
      </c>
      <c r="BA220">
        <f t="shared" si="59"/>
        <v>77052.0193</v>
      </c>
      <c r="BB220">
        <f t="shared" si="60"/>
        <v>0</v>
      </c>
      <c r="BC220">
        <f t="shared" si="61"/>
        <v>0</v>
      </c>
      <c r="BD220">
        <f t="shared" si="62"/>
        <v>0</v>
      </c>
      <c r="BE220">
        <f t="shared" si="63"/>
        <v>0</v>
      </c>
      <c r="BF220">
        <f t="shared" si="64"/>
        <v>0</v>
      </c>
      <c r="BG220">
        <f t="shared" si="68"/>
        <v>43527.318685559992</v>
      </c>
      <c r="BH220">
        <f t="shared" si="69"/>
        <v>42832.500475139997</v>
      </c>
      <c r="BI220">
        <f t="shared" si="70"/>
        <v>41762.610443519996</v>
      </c>
      <c r="BJ220">
        <f t="shared" si="71"/>
        <v>39146.180504759999</v>
      </c>
      <c r="BK220">
        <f t="shared" si="72"/>
        <v>38672.570488140002</v>
      </c>
      <c r="BL220">
        <f t="shared" si="73"/>
        <v>36827.142300539999</v>
      </c>
    </row>
    <row r="221" spans="1:64">
      <c r="A221" t="str">
        <f t="shared" si="58"/>
        <v>20</v>
      </c>
      <c r="B221" t="s">
        <v>605</v>
      </c>
      <c r="C221" t="s">
        <v>672</v>
      </c>
      <c r="D221">
        <v>55</v>
      </c>
      <c r="E221">
        <v>1</v>
      </c>
      <c r="F221">
        <v>6</v>
      </c>
      <c r="G221">
        <v>2</v>
      </c>
      <c r="H221">
        <v>100</v>
      </c>
      <c r="I221" t="s">
        <v>609</v>
      </c>
      <c r="J221">
        <v>0.31909999999999999</v>
      </c>
      <c r="K221">
        <v>25.509499999999999</v>
      </c>
      <c r="L221">
        <v>1.03E-2</v>
      </c>
      <c r="M221">
        <v>0.46589999999999998</v>
      </c>
      <c r="N221">
        <v>22.799900000000001</v>
      </c>
      <c r="O221">
        <v>84.469099999999997</v>
      </c>
      <c r="P221">
        <v>336.98230000000001</v>
      </c>
      <c r="Q221">
        <v>224.80289999999999</v>
      </c>
      <c r="R221">
        <v>0.69369999999999998</v>
      </c>
      <c r="S221">
        <v>0.50990000000000002</v>
      </c>
      <c r="T221">
        <v>0.25469999999999998</v>
      </c>
      <c r="U221">
        <v>3.5000000000000001E-3</v>
      </c>
      <c r="V221">
        <v>0.27529999999999999</v>
      </c>
      <c r="W221">
        <v>12.2432</v>
      </c>
      <c r="X221">
        <v>1.37E-2</v>
      </c>
      <c r="Y221">
        <v>1.21E-2</v>
      </c>
      <c r="Z221">
        <v>1.21E-2</v>
      </c>
      <c r="AA221">
        <v>5.33E-2</v>
      </c>
      <c r="AB221">
        <v>8.6</v>
      </c>
      <c r="AC221">
        <v>44.0411</v>
      </c>
      <c r="AD221">
        <v>53.621099999999998</v>
      </c>
      <c r="AE221">
        <v>6.9999999999999999E-4</v>
      </c>
      <c r="AF221">
        <v>7883.2660999999998</v>
      </c>
      <c r="AG221">
        <v>67.550799999999995</v>
      </c>
      <c r="AH221">
        <v>1E-4</v>
      </c>
      <c r="AI221">
        <v>85.534499999999994</v>
      </c>
      <c r="AJ221">
        <v>73.2</v>
      </c>
      <c r="AK221">
        <v>74.194100000000006</v>
      </c>
      <c r="AL221">
        <v>1.9077</v>
      </c>
      <c r="AM221">
        <v>0.05</v>
      </c>
      <c r="AN221">
        <v>1.7100000000000001E-2</v>
      </c>
      <c r="AO221">
        <v>95.973500000000001</v>
      </c>
      <c r="AP221">
        <v>91.086100000000002</v>
      </c>
      <c r="AQ221">
        <v>90.130799999999994</v>
      </c>
      <c r="AR221">
        <v>88.392799999999994</v>
      </c>
      <c r="AS221">
        <v>83.7637</v>
      </c>
      <c r="AT221">
        <v>83.006600000000006</v>
      </c>
      <c r="AU221">
        <v>79.422399999999996</v>
      </c>
      <c r="AV221">
        <v>2.0228000000000002</v>
      </c>
      <c r="AW221">
        <v>5.1338999999999997</v>
      </c>
      <c r="AX221">
        <f t="shared" si="65"/>
        <v>226.10260328999999</v>
      </c>
      <c r="AY221">
        <f t="shared" si="66"/>
        <v>346.79905211999994</v>
      </c>
      <c r="AZ221">
        <f t="shared" si="67"/>
        <v>62.855364479999999</v>
      </c>
      <c r="BA221">
        <f t="shared" si="59"/>
        <v>5.1338999999999997</v>
      </c>
      <c r="BB221">
        <f t="shared" si="60"/>
        <v>0</v>
      </c>
      <c r="BC221">
        <f t="shared" si="61"/>
        <v>0</v>
      </c>
      <c r="BD221">
        <f t="shared" si="62"/>
        <v>0</v>
      </c>
      <c r="BE221">
        <f t="shared" si="63"/>
        <v>0</v>
      </c>
      <c r="BF221">
        <f t="shared" si="64"/>
        <v>0</v>
      </c>
      <c r="BG221">
        <f t="shared" si="68"/>
        <v>1.24787957</v>
      </c>
      <c r="BH221">
        <f t="shared" si="69"/>
        <v>1.2347919599999999</v>
      </c>
      <c r="BI221">
        <f t="shared" si="70"/>
        <v>1.2109813599999999</v>
      </c>
      <c r="BJ221">
        <f t="shared" si="71"/>
        <v>1.14756269</v>
      </c>
      <c r="BK221">
        <f t="shared" si="72"/>
        <v>1.13719042</v>
      </c>
      <c r="BL221">
        <f t="shared" si="73"/>
        <v>1.0880868799999999</v>
      </c>
    </row>
    <row r="222" spans="1:64">
      <c r="A222" t="str">
        <f t="shared" si="58"/>
        <v>20</v>
      </c>
      <c r="B222" t="s">
        <v>605</v>
      </c>
      <c r="C222" t="s">
        <v>672</v>
      </c>
      <c r="D222">
        <v>55</v>
      </c>
      <c r="E222">
        <v>1</v>
      </c>
      <c r="F222">
        <v>6</v>
      </c>
      <c r="G222">
        <v>2</v>
      </c>
      <c r="H222">
        <v>100</v>
      </c>
      <c r="I222" t="s">
        <v>617</v>
      </c>
      <c r="J222">
        <v>0.42399999999999999</v>
      </c>
      <c r="K222">
        <v>34.983899999999998</v>
      </c>
      <c r="L222">
        <v>1.06E-2</v>
      </c>
      <c r="M222">
        <v>0.4476</v>
      </c>
      <c r="N222">
        <v>20.2516</v>
      </c>
      <c r="O222">
        <v>78.796800000000005</v>
      </c>
      <c r="P222">
        <v>632.5806</v>
      </c>
      <c r="Q222">
        <v>226.56479999999999</v>
      </c>
      <c r="R222">
        <v>1.0307999999999999</v>
      </c>
      <c r="S222">
        <v>0.47789999999999999</v>
      </c>
      <c r="T222">
        <v>0.25319999999999998</v>
      </c>
      <c r="U222">
        <v>3.8E-3</v>
      </c>
      <c r="V222">
        <v>0.32269999999999999</v>
      </c>
      <c r="W222">
        <v>12.221299999999999</v>
      </c>
      <c r="X222">
        <v>33.115099999999998</v>
      </c>
      <c r="Y222">
        <v>29.418099999999999</v>
      </c>
      <c r="Z222">
        <v>29.4589</v>
      </c>
      <c r="AA222">
        <v>150.06229999999999</v>
      </c>
      <c r="AB222">
        <v>10.147399999999999</v>
      </c>
      <c r="AC222">
        <v>44.575200000000002</v>
      </c>
      <c r="AD222">
        <v>54.721800000000002</v>
      </c>
      <c r="AE222">
        <v>1.3409</v>
      </c>
      <c r="AF222">
        <v>7938.9017000000003</v>
      </c>
      <c r="AG222">
        <v>67.368300000000005</v>
      </c>
      <c r="AH222">
        <v>0.28110000000000002</v>
      </c>
      <c r="AI222">
        <v>86.143100000000004</v>
      </c>
      <c r="AJ222">
        <v>73.2</v>
      </c>
      <c r="AK222">
        <v>75.408900000000003</v>
      </c>
      <c r="AL222">
        <v>1.9019999999999999</v>
      </c>
      <c r="AM222">
        <v>0.05</v>
      </c>
      <c r="AN222">
        <v>2.18E-2</v>
      </c>
      <c r="AO222">
        <v>95.744699999999995</v>
      </c>
      <c r="AP222">
        <v>91.447400000000002</v>
      </c>
      <c r="AQ222">
        <v>90.453299999999999</v>
      </c>
      <c r="AR222">
        <v>88.715500000000006</v>
      </c>
      <c r="AS222">
        <v>84.085300000000004</v>
      </c>
      <c r="AT222">
        <v>83.319900000000004</v>
      </c>
      <c r="AU222">
        <v>79.843100000000007</v>
      </c>
      <c r="AV222">
        <v>4182.5254000000004</v>
      </c>
      <c r="AW222">
        <v>10640.1284</v>
      </c>
      <c r="AX222">
        <f t="shared" si="65"/>
        <v>474285.85145568004</v>
      </c>
      <c r="AY222">
        <f t="shared" si="66"/>
        <v>716807.36208971997</v>
      </c>
      <c r="AZ222">
        <f t="shared" si="67"/>
        <v>130036.20121491999</v>
      </c>
      <c r="BA222">
        <f t="shared" si="59"/>
        <v>10640.1284</v>
      </c>
      <c r="BB222">
        <f t="shared" si="60"/>
        <v>0</v>
      </c>
      <c r="BC222">
        <f t="shared" si="61"/>
        <v>0</v>
      </c>
      <c r="BD222">
        <f t="shared" si="62"/>
        <v>0</v>
      </c>
      <c r="BE222">
        <f t="shared" si="63"/>
        <v>0</v>
      </c>
      <c r="BF222">
        <f t="shared" si="64"/>
        <v>0</v>
      </c>
      <c r="BG222">
        <f t="shared" si="68"/>
        <v>3028.28979574</v>
      </c>
      <c r="BH222">
        <f t="shared" si="69"/>
        <v>2995.3700748299998</v>
      </c>
      <c r="BI222">
        <f t="shared" si="70"/>
        <v>2937.82265405</v>
      </c>
      <c r="BJ222">
        <f t="shared" si="71"/>
        <v>2784.49311803</v>
      </c>
      <c r="BK222">
        <f t="shared" si="72"/>
        <v>2759.1468204900002</v>
      </c>
      <c r="BL222">
        <f t="shared" si="73"/>
        <v>2644.0122408100001</v>
      </c>
    </row>
    <row r="223" spans="1:64">
      <c r="A223" t="str">
        <f t="shared" si="58"/>
        <v>20</v>
      </c>
      <c r="B223" t="s">
        <v>605</v>
      </c>
      <c r="C223" t="s">
        <v>672</v>
      </c>
      <c r="D223">
        <v>55</v>
      </c>
      <c r="E223">
        <v>1</v>
      </c>
      <c r="F223">
        <v>6</v>
      </c>
      <c r="G223">
        <v>2</v>
      </c>
      <c r="H223">
        <v>100</v>
      </c>
      <c r="I223" t="s">
        <v>607</v>
      </c>
      <c r="J223">
        <v>0.52549999999999997</v>
      </c>
      <c r="K223">
        <v>44.662199999999999</v>
      </c>
      <c r="L223">
        <v>1.1299999999999999E-2</v>
      </c>
      <c r="M223">
        <v>0.49459999999999998</v>
      </c>
      <c r="N223">
        <v>21.484200000000001</v>
      </c>
      <c r="O223">
        <v>78.235100000000003</v>
      </c>
      <c r="P223">
        <v>651.88099999999997</v>
      </c>
      <c r="Q223">
        <v>233.5146</v>
      </c>
      <c r="R223">
        <v>1.1317999999999999</v>
      </c>
      <c r="S223">
        <v>0.48499999999999999</v>
      </c>
      <c r="T223">
        <v>0.32140000000000002</v>
      </c>
      <c r="U223">
        <v>5.0000000000000001E-3</v>
      </c>
      <c r="V223">
        <v>0.50580000000000003</v>
      </c>
      <c r="W223">
        <v>12.2746</v>
      </c>
      <c r="X223">
        <v>383.74209999999999</v>
      </c>
      <c r="Y223">
        <v>339.98689999999999</v>
      </c>
      <c r="Z223">
        <v>338.24119999999999</v>
      </c>
      <c r="AA223">
        <v>1616.4809</v>
      </c>
      <c r="AB223">
        <v>17.261900000000001</v>
      </c>
      <c r="AC223">
        <v>46.210700000000003</v>
      </c>
      <c r="AD223">
        <v>57.331400000000002</v>
      </c>
      <c r="AE223">
        <v>9.6403999999999996</v>
      </c>
      <c r="AF223">
        <v>8115.8914000000004</v>
      </c>
      <c r="AG223">
        <v>66.505799999999994</v>
      </c>
      <c r="AH223">
        <v>2.6667999999999998</v>
      </c>
      <c r="AI223">
        <v>86.633399999999995</v>
      </c>
      <c r="AJ223">
        <v>73.2</v>
      </c>
      <c r="AK223">
        <v>76.400400000000005</v>
      </c>
      <c r="AL223">
        <v>1.8161</v>
      </c>
      <c r="AM223">
        <v>0.05</v>
      </c>
      <c r="AN223">
        <v>2.3099999999999999E-2</v>
      </c>
      <c r="AO223">
        <v>94.883899999999997</v>
      </c>
      <c r="AP223">
        <v>92.314700000000002</v>
      </c>
      <c r="AQ223">
        <v>91.156300000000002</v>
      </c>
      <c r="AR223">
        <v>89.115899999999996</v>
      </c>
      <c r="AS223">
        <v>84.099100000000007</v>
      </c>
      <c r="AT223">
        <v>83.259799999999998</v>
      </c>
      <c r="AU223">
        <v>79.758899999999997</v>
      </c>
      <c r="AV223">
        <v>30710.296200000001</v>
      </c>
      <c r="AW223">
        <v>78153.440300000002</v>
      </c>
      <c r="AX223">
        <f t="shared" si="65"/>
        <v>3611525.1836712104</v>
      </c>
      <c r="AY223">
        <f t="shared" si="66"/>
        <v>5197657.0699037397</v>
      </c>
      <c r="AZ223">
        <f t="shared" si="67"/>
        <v>959302.21830637997</v>
      </c>
      <c r="BA223">
        <f t="shared" si="59"/>
        <v>78153.440300000002</v>
      </c>
      <c r="BB223">
        <f t="shared" si="60"/>
        <v>0</v>
      </c>
      <c r="BC223">
        <f t="shared" si="61"/>
        <v>0</v>
      </c>
      <c r="BD223">
        <f t="shared" si="62"/>
        <v>0</v>
      </c>
      <c r="BE223">
        <f t="shared" si="63"/>
        <v>0</v>
      </c>
      <c r="BF223">
        <f t="shared" si="64"/>
        <v>0</v>
      </c>
      <c r="BG223">
        <f t="shared" si="68"/>
        <v>35425.036838870001</v>
      </c>
      <c r="BH223">
        <f t="shared" si="69"/>
        <v>34980.509990229999</v>
      </c>
      <c r="BI223">
        <f t="shared" si="70"/>
        <v>34197.522609389998</v>
      </c>
      <c r="BJ223">
        <f t="shared" si="71"/>
        <v>32272.365242110001</v>
      </c>
      <c r="BK223">
        <f t="shared" si="72"/>
        <v>31950.290497579997</v>
      </c>
      <c r="BL223">
        <f t="shared" si="73"/>
        <v>30606.847779689997</v>
      </c>
    </row>
    <row r="224" spans="1:64">
      <c r="A224" t="str">
        <f t="shared" si="58"/>
        <v>21</v>
      </c>
      <c r="B224" t="s">
        <v>605</v>
      </c>
      <c r="C224" t="s">
        <v>673</v>
      </c>
      <c r="D224">
        <v>1</v>
      </c>
      <c r="E224">
        <v>1</v>
      </c>
      <c r="F224">
        <v>1</v>
      </c>
      <c r="G224">
        <v>2</v>
      </c>
      <c r="H224">
        <v>100</v>
      </c>
      <c r="I224" t="s">
        <v>607</v>
      </c>
      <c r="J224">
        <v>0.55220000000000002</v>
      </c>
      <c r="K224">
        <v>97.895600000000002</v>
      </c>
      <c r="L224">
        <v>1.66E-2</v>
      </c>
      <c r="M224">
        <v>0.88849999999999996</v>
      </c>
      <c r="N224">
        <v>27.2788</v>
      </c>
      <c r="O224">
        <v>89.340900000000005</v>
      </c>
      <c r="P224">
        <v>398.4855</v>
      </c>
      <c r="Q224">
        <v>235.03809999999999</v>
      </c>
      <c r="R224">
        <v>0.61950000000000005</v>
      </c>
      <c r="S224">
        <v>0.76959999999999995</v>
      </c>
      <c r="T224">
        <v>0.33200000000000002</v>
      </c>
      <c r="U224">
        <v>5.0000000000000001E-3</v>
      </c>
      <c r="V224">
        <v>0.58620000000000005</v>
      </c>
      <c r="W224">
        <v>0</v>
      </c>
      <c r="X224">
        <v>0.14729999999999999</v>
      </c>
      <c r="Y224">
        <v>0.13159999999999999</v>
      </c>
      <c r="Z224">
        <v>0.13500000000000001</v>
      </c>
      <c r="AA224">
        <v>0.48230000000000001</v>
      </c>
      <c r="AB224">
        <v>9.6248000000000005</v>
      </c>
      <c r="AC224">
        <v>47.237400000000001</v>
      </c>
      <c r="AD224">
        <v>61.2027</v>
      </c>
      <c r="AE224">
        <v>3.2000000000000002E-3</v>
      </c>
      <c r="AF224">
        <v>8423.6771000000008</v>
      </c>
      <c r="AG224">
        <v>63.640500000000003</v>
      </c>
      <c r="AH224">
        <v>2.0999999999999999E-3</v>
      </c>
      <c r="AI224">
        <v>88.760599999999997</v>
      </c>
      <c r="AJ224">
        <v>73.2</v>
      </c>
      <c r="AK224">
        <v>80.739400000000003</v>
      </c>
      <c r="AL224">
        <v>1.8404</v>
      </c>
      <c r="AM224">
        <v>0.05</v>
      </c>
      <c r="AN224">
        <v>0</v>
      </c>
      <c r="AO224">
        <v>90.364599999999996</v>
      </c>
      <c r="AP224">
        <v>93.287400000000005</v>
      </c>
      <c r="AQ224">
        <v>91.933099999999996</v>
      </c>
      <c r="AR224">
        <v>90.740799999999993</v>
      </c>
      <c r="AS224">
        <v>86.150199999999998</v>
      </c>
      <c r="AT224">
        <v>85.300399999999996</v>
      </c>
      <c r="AU224">
        <v>80.789199999999994</v>
      </c>
      <c r="AV224">
        <v>14.494300000000001</v>
      </c>
      <c r="AW224">
        <v>26.669499999999999</v>
      </c>
      <c r="AX224">
        <f t="shared" si="65"/>
        <v>1259.7978393000001</v>
      </c>
      <c r="AY224">
        <f t="shared" si="66"/>
        <v>1697.2603147500001</v>
      </c>
      <c r="AZ224">
        <f t="shared" si="67"/>
        <v>0</v>
      </c>
      <c r="BA224">
        <f t="shared" si="59"/>
        <v>26.669499999999999</v>
      </c>
      <c r="BB224">
        <f t="shared" si="60"/>
        <v>0</v>
      </c>
      <c r="BC224">
        <f t="shared" si="61"/>
        <v>0</v>
      </c>
      <c r="BD224">
        <f t="shared" si="62"/>
        <v>0</v>
      </c>
      <c r="BE224">
        <f t="shared" si="63"/>
        <v>0</v>
      </c>
      <c r="BF224">
        <f t="shared" si="64"/>
        <v>0</v>
      </c>
      <c r="BG224">
        <f t="shared" si="68"/>
        <v>13.74123402</v>
      </c>
      <c r="BH224">
        <f t="shared" si="69"/>
        <v>13.541745629999998</v>
      </c>
      <c r="BI224">
        <f t="shared" si="70"/>
        <v>13.366119839999998</v>
      </c>
      <c r="BJ224">
        <f t="shared" si="71"/>
        <v>12.689924459999999</v>
      </c>
      <c r="BK224">
        <f t="shared" si="72"/>
        <v>12.564748919999998</v>
      </c>
      <c r="BL224">
        <f t="shared" si="73"/>
        <v>11.900249159999998</v>
      </c>
    </row>
    <row r="225" spans="1:64">
      <c r="A225" t="str">
        <f t="shared" si="58"/>
        <v>21</v>
      </c>
      <c r="B225" t="s">
        <v>605</v>
      </c>
      <c r="C225" t="s">
        <v>673</v>
      </c>
      <c r="D225">
        <v>55</v>
      </c>
      <c r="E225">
        <v>1</v>
      </c>
      <c r="F225">
        <v>6</v>
      </c>
      <c r="G225">
        <v>2</v>
      </c>
      <c r="H225">
        <v>100</v>
      </c>
      <c r="I225" t="s">
        <v>607</v>
      </c>
      <c r="J225">
        <v>0.46200000000000002</v>
      </c>
      <c r="K225">
        <v>59.4908</v>
      </c>
      <c r="L225">
        <v>1.52E-2</v>
      </c>
      <c r="M225">
        <v>0.81879999999999997</v>
      </c>
      <c r="N225">
        <v>26.055800000000001</v>
      </c>
      <c r="O225">
        <v>88.471699999999998</v>
      </c>
      <c r="P225">
        <v>380.64550000000003</v>
      </c>
      <c r="Q225">
        <v>224.84119999999999</v>
      </c>
      <c r="R225">
        <v>0.69579999999999997</v>
      </c>
      <c r="S225">
        <v>0.60840000000000005</v>
      </c>
      <c r="T225">
        <v>0.35630000000000001</v>
      </c>
      <c r="U225">
        <v>3.0999999999999999E-3</v>
      </c>
      <c r="V225">
        <v>0.48480000000000001</v>
      </c>
      <c r="W225">
        <v>11.808</v>
      </c>
      <c r="X225">
        <v>377.09050000000002</v>
      </c>
      <c r="Y225">
        <v>337.98899999999998</v>
      </c>
      <c r="Z225">
        <v>340.39839999999998</v>
      </c>
      <c r="AA225">
        <v>1297.0175999999999</v>
      </c>
      <c r="AB225">
        <v>10.377000000000001</v>
      </c>
      <c r="AC225">
        <v>45.271799999999999</v>
      </c>
      <c r="AD225">
        <v>59.019500000000001</v>
      </c>
      <c r="AE225">
        <v>10.075900000000001</v>
      </c>
      <c r="AF225">
        <v>8050.4669000000004</v>
      </c>
      <c r="AG225">
        <v>65.497699999999995</v>
      </c>
      <c r="AH225">
        <v>3.7397</v>
      </c>
      <c r="AI225">
        <v>87.378399999999999</v>
      </c>
      <c r="AJ225">
        <v>73.2</v>
      </c>
      <c r="AK225">
        <v>77.908000000000001</v>
      </c>
      <c r="AL225">
        <v>2.0666000000000002</v>
      </c>
      <c r="AM225">
        <v>0.05</v>
      </c>
      <c r="AN225">
        <v>3.3E-3</v>
      </c>
      <c r="AO225">
        <v>94.604399999999998</v>
      </c>
      <c r="AP225">
        <v>91.968599999999995</v>
      </c>
      <c r="AQ225">
        <v>90.994100000000003</v>
      </c>
      <c r="AR225">
        <v>89.863600000000005</v>
      </c>
      <c r="AS225">
        <v>86.298500000000004</v>
      </c>
      <c r="AT225">
        <v>85.655100000000004</v>
      </c>
      <c r="AU225">
        <v>82.098699999999994</v>
      </c>
      <c r="AV225">
        <v>31847.666000000001</v>
      </c>
      <c r="AW225">
        <v>81089.110400000005</v>
      </c>
      <c r="AX225">
        <f t="shared" si="65"/>
        <v>3671049.98820672</v>
      </c>
      <c r="AY225">
        <f t="shared" si="66"/>
        <v>5311150.2262460804</v>
      </c>
      <c r="AZ225">
        <f t="shared" si="67"/>
        <v>957500.21560320002</v>
      </c>
      <c r="BA225">
        <f t="shared" si="59"/>
        <v>81089.110400000005</v>
      </c>
      <c r="BB225">
        <f t="shared" si="60"/>
        <v>0</v>
      </c>
      <c r="BC225">
        <f t="shared" si="61"/>
        <v>0</v>
      </c>
      <c r="BD225">
        <f t="shared" si="62"/>
        <v>0</v>
      </c>
      <c r="BE225">
        <f t="shared" si="63"/>
        <v>0</v>
      </c>
      <c r="BF225">
        <f t="shared" si="64"/>
        <v>0</v>
      </c>
      <c r="BG225">
        <f t="shared" si="68"/>
        <v>34680.4853583</v>
      </c>
      <c r="BH225">
        <f t="shared" si="69"/>
        <v>34313.010666050002</v>
      </c>
      <c r="BI225">
        <f t="shared" si="70"/>
        <v>33886.709855800007</v>
      </c>
      <c r="BJ225">
        <f t="shared" si="71"/>
        <v>32542.344514250002</v>
      </c>
      <c r="BK225">
        <f t="shared" si="72"/>
        <v>32299.724486550003</v>
      </c>
      <c r="BL225">
        <f t="shared" si="73"/>
        <v>30958.63983235</v>
      </c>
    </row>
    <row r="226" spans="1:64">
      <c r="A226" t="str">
        <f t="shared" si="58"/>
        <v>21</v>
      </c>
      <c r="B226" t="s">
        <v>605</v>
      </c>
      <c r="C226" t="s">
        <v>673</v>
      </c>
      <c r="D226">
        <v>55</v>
      </c>
      <c r="E226">
        <v>1</v>
      </c>
      <c r="F226">
        <v>6</v>
      </c>
      <c r="G226">
        <v>2</v>
      </c>
      <c r="H226">
        <v>200</v>
      </c>
      <c r="I226" t="s">
        <v>607</v>
      </c>
      <c r="J226">
        <v>0.47199999999999998</v>
      </c>
      <c r="K226">
        <v>68.536100000000005</v>
      </c>
      <c r="L226">
        <v>1.37E-2</v>
      </c>
      <c r="M226">
        <v>0.93620000000000003</v>
      </c>
      <c r="N226">
        <v>25.6004</v>
      </c>
      <c r="O226">
        <v>84.776799999999994</v>
      </c>
      <c r="P226">
        <v>368.90210000000002</v>
      </c>
      <c r="Q226">
        <v>220.80779999999999</v>
      </c>
      <c r="R226">
        <v>0.71899999999999997</v>
      </c>
      <c r="S226">
        <v>0.57909999999999995</v>
      </c>
      <c r="T226">
        <v>0.35770000000000002</v>
      </c>
      <c r="U226">
        <v>1.8E-3</v>
      </c>
      <c r="V226">
        <v>0.49630000000000002</v>
      </c>
      <c r="W226">
        <v>11.9975</v>
      </c>
      <c r="X226">
        <v>43.608499999999999</v>
      </c>
      <c r="Y226">
        <v>38.722200000000001</v>
      </c>
      <c r="Z226">
        <v>39.342599999999997</v>
      </c>
      <c r="AA226">
        <v>151.2603</v>
      </c>
      <c r="AB226">
        <v>13.893800000000001</v>
      </c>
      <c r="AC226">
        <v>43.774700000000003</v>
      </c>
      <c r="AD226">
        <v>59.1218</v>
      </c>
      <c r="AE226">
        <v>1.1761999999999999</v>
      </c>
      <c r="AF226">
        <v>7855.3611000000001</v>
      </c>
      <c r="AG226">
        <v>67.6434</v>
      </c>
      <c r="AH226">
        <v>0.51890000000000003</v>
      </c>
      <c r="AI226">
        <v>87.922799999999995</v>
      </c>
      <c r="AJ226">
        <v>73.2</v>
      </c>
      <c r="AK226">
        <v>79.015000000000001</v>
      </c>
      <c r="AL226">
        <v>2.0135999999999998</v>
      </c>
      <c r="AM226">
        <v>0.05</v>
      </c>
      <c r="AN226">
        <v>1.15E-2</v>
      </c>
      <c r="AO226">
        <v>96.097899999999996</v>
      </c>
      <c r="AP226">
        <v>90.671300000000002</v>
      </c>
      <c r="AQ226">
        <v>89.767200000000003</v>
      </c>
      <c r="AR226">
        <v>88.555400000000006</v>
      </c>
      <c r="AS226">
        <v>85.420699999999997</v>
      </c>
      <c r="AT226">
        <v>84.779700000000005</v>
      </c>
      <c r="AU226">
        <v>81.3904</v>
      </c>
      <c r="AV226">
        <v>3633.9054999999998</v>
      </c>
      <c r="AW226">
        <v>9239.1684999999998</v>
      </c>
      <c r="AX226">
        <f t="shared" si="65"/>
        <v>404441.82933695003</v>
      </c>
      <c r="AY226">
        <f t="shared" si="66"/>
        <v>624968.77051289997</v>
      </c>
      <c r="AZ226">
        <f t="shared" si="67"/>
        <v>110846.92407875</v>
      </c>
      <c r="BA226">
        <f t="shared" si="59"/>
        <v>9239.1684999999998</v>
      </c>
      <c r="BB226">
        <f t="shared" si="60"/>
        <v>0</v>
      </c>
      <c r="BC226">
        <f t="shared" si="61"/>
        <v>0</v>
      </c>
      <c r="BD226">
        <f t="shared" si="62"/>
        <v>0</v>
      </c>
      <c r="BE226">
        <f t="shared" si="63"/>
        <v>0</v>
      </c>
      <c r="BF226">
        <f t="shared" si="64"/>
        <v>0</v>
      </c>
      <c r="BG226">
        <f t="shared" si="68"/>
        <v>3954.0393860499998</v>
      </c>
      <c r="BH226">
        <f t="shared" si="69"/>
        <v>3914.6129412</v>
      </c>
      <c r="BI226">
        <f t="shared" si="70"/>
        <v>3861.7681609000001</v>
      </c>
      <c r="BJ226">
        <f t="shared" si="71"/>
        <v>3725.0685959499997</v>
      </c>
      <c r="BK226">
        <f t="shared" si="72"/>
        <v>3697.1155474500001</v>
      </c>
      <c r="BL226">
        <f t="shared" si="73"/>
        <v>3549.3132584</v>
      </c>
    </row>
    <row r="227" spans="1:64">
      <c r="A227" t="str">
        <f t="shared" si="58"/>
        <v>15</v>
      </c>
      <c r="B227" t="s">
        <v>605</v>
      </c>
      <c r="C227" t="s">
        <v>674</v>
      </c>
      <c r="D227">
        <v>55</v>
      </c>
      <c r="E227">
        <v>1</v>
      </c>
      <c r="F227">
        <v>6</v>
      </c>
      <c r="G227">
        <v>2</v>
      </c>
      <c r="H227">
        <v>100</v>
      </c>
      <c r="I227" t="s">
        <v>609</v>
      </c>
      <c r="J227">
        <v>0.3306</v>
      </c>
      <c r="K227">
        <v>152.5685</v>
      </c>
      <c r="L227">
        <v>3.1699999999999999E-2</v>
      </c>
      <c r="M227">
        <v>0.66379999999999995</v>
      </c>
      <c r="N227">
        <v>39.206099999999999</v>
      </c>
      <c r="O227">
        <v>87.052899999999994</v>
      </c>
      <c r="P227">
        <v>282.64479999999998</v>
      </c>
      <c r="Q227">
        <v>249.6541</v>
      </c>
      <c r="R227">
        <v>2.92E-2</v>
      </c>
      <c r="S227">
        <v>0.49280000000000002</v>
      </c>
      <c r="T227">
        <v>0.21179999999999999</v>
      </c>
      <c r="U227">
        <v>1.67E-2</v>
      </c>
      <c r="V227">
        <v>0.39179999999999998</v>
      </c>
      <c r="W227">
        <v>10.8413</v>
      </c>
      <c r="X227">
        <v>99.251400000000004</v>
      </c>
      <c r="Y227">
        <v>86.383600000000001</v>
      </c>
      <c r="Z227">
        <v>98.236800000000002</v>
      </c>
      <c r="AA227">
        <v>220.3289</v>
      </c>
      <c r="AB227">
        <v>11.632099999999999</v>
      </c>
      <c r="AC227">
        <v>56.319400000000002</v>
      </c>
      <c r="AD227">
        <v>47.596299999999999</v>
      </c>
      <c r="AE227">
        <v>3.2679</v>
      </c>
      <c r="AF227">
        <v>9100.0784000000003</v>
      </c>
      <c r="AG227">
        <v>65.0471</v>
      </c>
      <c r="AH227">
        <v>3.9070999999999998</v>
      </c>
      <c r="AI227">
        <v>89.962800000000001</v>
      </c>
      <c r="AJ227">
        <v>73.2</v>
      </c>
      <c r="AK227">
        <v>83.248699999999999</v>
      </c>
      <c r="AL227">
        <v>1.5064</v>
      </c>
      <c r="AM227">
        <v>0.05</v>
      </c>
      <c r="AN227">
        <v>5.1999999999999998E-3</v>
      </c>
      <c r="AO227">
        <v>91.943899999999999</v>
      </c>
      <c r="AP227">
        <v>92.1678</v>
      </c>
      <c r="AQ227">
        <v>90.498800000000003</v>
      </c>
      <c r="AR227">
        <v>87.985799999999998</v>
      </c>
      <c r="AS227">
        <v>81.849699999999999</v>
      </c>
      <c r="AT227">
        <v>80.704099999999997</v>
      </c>
      <c r="AU227">
        <v>74.843999999999994</v>
      </c>
      <c r="AV227">
        <v>11703.0497</v>
      </c>
      <c r="AW227">
        <v>29737.709800000001</v>
      </c>
      <c r="AX227">
        <f t="shared" si="65"/>
        <v>1674809.9733101202</v>
      </c>
      <c r="AY227">
        <f t="shared" si="66"/>
        <v>1934351.7831315801</v>
      </c>
      <c r="AZ227">
        <f t="shared" si="67"/>
        <v>322395.43325474003</v>
      </c>
      <c r="BA227">
        <f t="shared" si="59"/>
        <v>29737.709800000001</v>
      </c>
      <c r="BB227">
        <f t="shared" si="60"/>
        <v>0</v>
      </c>
      <c r="BC227">
        <f t="shared" si="61"/>
        <v>0</v>
      </c>
      <c r="BD227">
        <f t="shared" si="62"/>
        <v>0</v>
      </c>
      <c r="BE227">
        <f t="shared" si="63"/>
        <v>0</v>
      </c>
      <c r="BF227">
        <f t="shared" si="64"/>
        <v>0</v>
      </c>
      <c r="BG227">
        <f t="shared" si="68"/>
        <v>9147.7831849200011</v>
      </c>
      <c r="BH227">
        <f t="shared" si="69"/>
        <v>8982.1325983200004</v>
      </c>
      <c r="BI227">
        <f t="shared" si="70"/>
        <v>8732.7138301199993</v>
      </c>
      <c r="BJ227">
        <f t="shared" si="71"/>
        <v>8123.6973145800002</v>
      </c>
      <c r="BK227">
        <f t="shared" si="72"/>
        <v>8009.9949107399998</v>
      </c>
      <c r="BL227">
        <f t="shared" si="73"/>
        <v>7428.3717815999998</v>
      </c>
    </row>
    <row r="228" spans="1:64">
      <c r="A228" t="str">
        <f t="shared" si="58"/>
        <v>15</v>
      </c>
      <c r="B228" t="s">
        <v>605</v>
      </c>
      <c r="C228" t="s">
        <v>674</v>
      </c>
      <c r="D228">
        <v>55</v>
      </c>
      <c r="E228">
        <v>1</v>
      </c>
      <c r="F228">
        <v>6</v>
      </c>
      <c r="G228">
        <v>2</v>
      </c>
      <c r="H228">
        <v>100</v>
      </c>
      <c r="I228" t="s">
        <v>617</v>
      </c>
      <c r="J228">
        <v>0.36</v>
      </c>
      <c r="K228">
        <v>154.9631</v>
      </c>
      <c r="L228">
        <v>3.4000000000000002E-2</v>
      </c>
      <c r="M228">
        <v>0.71160000000000001</v>
      </c>
      <c r="N228">
        <v>39.768000000000001</v>
      </c>
      <c r="O228">
        <v>87.742599999999996</v>
      </c>
      <c r="P228">
        <v>292.5779</v>
      </c>
      <c r="Q228">
        <v>248.03980000000001</v>
      </c>
      <c r="R228">
        <v>2.8000000000000001E-2</v>
      </c>
      <c r="S228">
        <v>0.50470000000000004</v>
      </c>
      <c r="T228">
        <v>0.23599999999999999</v>
      </c>
      <c r="U228">
        <v>1.32E-2</v>
      </c>
      <c r="V228">
        <v>0.3947</v>
      </c>
      <c r="W228">
        <v>10.8474</v>
      </c>
      <c r="X228">
        <v>14.628</v>
      </c>
      <c r="Y228">
        <v>12.8331</v>
      </c>
      <c r="Z228">
        <v>14.4008</v>
      </c>
      <c r="AA228">
        <v>32.268799999999999</v>
      </c>
      <c r="AB228">
        <v>9.6928000000000001</v>
      </c>
      <c r="AC228">
        <v>55.703200000000002</v>
      </c>
      <c r="AD228">
        <v>47.880099999999999</v>
      </c>
      <c r="AE228">
        <v>0.47410000000000002</v>
      </c>
      <c r="AF228">
        <v>9058.5633999999991</v>
      </c>
      <c r="AG228">
        <v>64.434200000000004</v>
      </c>
      <c r="AH228">
        <v>0.52969999999999995</v>
      </c>
      <c r="AI228">
        <v>89.807000000000002</v>
      </c>
      <c r="AJ228">
        <v>73.2</v>
      </c>
      <c r="AK228">
        <v>82.921700000000001</v>
      </c>
      <c r="AL228">
        <v>1.546</v>
      </c>
      <c r="AM228">
        <v>0.05</v>
      </c>
      <c r="AN228">
        <v>5.1000000000000004E-3</v>
      </c>
      <c r="AO228">
        <v>91.746300000000005</v>
      </c>
      <c r="AP228">
        <v>92.572699999999998</v>
      </c>
      <c r="AQ228">
        <v>91.117199999999997</v>
      </c>
      <c r="AR228">
        <v>88.961799999999997</v>
      </c>
      <c r="AS228">
        <v>83.289299999999997</v>
      </c>
      <c r="AT228">
        <v>82.277500000000003</v>
      </c>
      <c r="AU228">
        <v>76.9131</v>
      </c>
      <c r="AV228">
        <v>1685.441</v>
      </c>
      <c r="AW228">
        <v>4294.1252000000004</v>
      </c>
      <c r="AX228">
        <f t="shared" si="65"/>
        <v>239196.51484064004</v>
      </c>
      <c r="AY228">
        <f t="shared" si="66"/>
        <v>276688.52196184004</v>
      </c>
      <c r="AZ228">
        <f t="shared" si="67"/>
        <v>46580.093694480005</v>
      </c>
      <c r="BA228">
        <f t="shared" si="59"/>
        <v>4294.1252000000004</v>
      </c>
      <c r="BB228">
        <f t="shared" si="60"/>
        <v>0</v>
      </c>
      <c r="BC228">
        <f t="shared" si="61"/>
        <v>0</v>
      </c>
      <c r="BD228">
        <f t="shared" si="62"/>
        <v>0</v>
      </c>
      <c r="BE228">
        <f t="shared" si="63"/>
        <v>0</v>
      </c>
      <c r="BF228">
        <f t="shared" si="64"/>
        <v>0</v>
      </c>
      <c r="BG228">
        <f t="shared" si="68"/>
        <v>1354.1534555999999</v>
      </c>
      <c r="BH228">
        <f t="shared" si="69"/>
        <v>1332.8624015999999</v>
      </c>
      <c r="BI228">
        <f t="shared" si="70"/>
        <v>1301.3332103999999</v>
      </c>
      <c r="BJ228">
        <f t="shared" si="71"/>
        <v>1218.3558803999999</v>
      </c>
      <c r="BK228">
        <f t="shared" si="72"/>
        <v>1203.5552700000001</v>
      </c>
      <c r="BL228">
        <f t="shared" si="73"/>
        <v>1125.0848268</v>
      </c>
    </row>
    <row r="229" spans="1:64">
      <c r="A229" t="str">
        <f t="shared" si="58"/>
        <v>15</v>
      </c>
      <c r="B229" t="s">
        <v>605</v>
      </c>
      <c r="C229" t="s">
        <v>674</v>
      </c>
      <c r="D229">
        <v>55</v>
      </c>
      <c r="E229">
        <v>1</v>
      </c>
      <c r="F229">
        <v>6</v>
      </c>
      <c r="G229">
        <v>2</v>
      </c>
      <c r="H229">
        <v>100</v>
      </c>
      <c r="I229" t="s">
        <v>607</v>
      </c>
      <c r="J229">
        <v>0.36659999999999998</v>
      </c>
      <c r="K229">
        <v>121.1601</v>
      </c>
      <c r="L229">
        <v>3.1199999999999999E-2</v>
      </c>
      <c r="M229">
        <v>0.71530000000000005</v>
      </c>
      <c r="N229">
        <v>39.639699999999998</v>
      </c>
      <c r="O229">
        <v>86.684799999999996</v>
      </c>
      <c r="P229">
        <v>255.20959999999999</v>
      </c>
      <c r="Q229">
        <v>249.91390000000001</v>
      </c>
      <c r="R229">
        <v>2.9499999999999998E-2</v>
      </c>
      <c r="S229">
        <v>0.52900000000000003</v>
      </c>
      <c r="T229">
        <v>0.24229999999999999</v>
      </c>
      <c r="U229">
        <v>1.6400000000000001E-2</v>
      </c>
      <c r="V229">
        <v>0.43540000000000001</v>
      </c>
      <c r="W229">
        <v>10.799099999999999</v>
      </c>
      <c r="X229">
        <v>124.7608</v>
      </c>
      <c r="Y229">
        <v>108.14360000000001</v>
      </c>
      <c r="Z229">
        <v>117.4121</v>
      </c>
      <c r="AA229">
        <v>272.99349999999998</v>
      </c>
      <c r="AB229">
        <v>10.9213</v>
      </c>
      <c r="AC229">
        <v>56.654800000000002</v>
      </c>
      <c r="AD229">
        <v>44.256399999999999</v>
      </c>
      <c r="AE229">
        <v>3.5255999999999998</v>
      </c>
      <c r="AF229">
        <v>9118.8150000000005</v>
      </c>
      <c r="AG229">
        <v>65.537499999999994</v>
      </c>
      <c r="AH229">
        <v>3.4283000000000001</v>
      </c>
      <c r="AI229">
        <v>89.440200000000004</v>
      </c>
      <c r="AJ229">
        <v>73.2</v>
      </c>
      <c r="AK229">
        <v>82.154899999999998</v>
      </c>
      <c r="AL229">
        <v>1.528</v>
      </c>
      <c r="AM229">
        <v>0.05</v>
      </c>
      <c r="AN229">
        <v>6.7999999999999996E-3</v>
      </c>
      <c r="AO229">
        <v>92.118600000000001</v>
      </c>
      <c r="AP229">
        <v>91.826400000000007</v>
      </c>
      <c r="AQ229">
        <v>90.119</v>
      </c>
      <c r="AR229">
        <v>87.503600000000006</v>
      </c>
      <c r="AS229">
        <v>81.036100000000005</v>
      </c>
      <c r="AT229">
        <v>79.784199999999998</v>
      </c>
      <c r="AU229">
        <v>73.642600000000002</v>
      </c>
      <c r="AV229">
        <v>12631.4982</v>
      </c>
      <c r="AW229">
        <v>32148.039700000001</v>
      </c>
      <c r="AX229">
        <f t="shared" si="65"/>
        <v>1821340.7595955601</v>
      </c>
      <c r="AY229">
        <f t="shared" si="66"/>
        <v>2106902.1518387501</v>
      </c>
      <c r="AZ229">
        <f t="shared" si="67"/>
        <v>347169.89552427002</v>
      </c>
      <c r="BA229">
        <f t="shared" si="59"/>
        <v>32148.039700000001</v>
      </c>
      <c r="BB229">
        <f t="shared" si="60"/>
        <v>0</v>
      </c>
      <c r="BC229">
        <f t="shared" si="61"/>
        <v>0</v>
      </c>
      <c r="BD229">
        <f t="shared" si="62"/>
        <v>0</v>
      </c>
      <c r="BE229">
        <f t="shared" si="63"/>
        <v>0</v>
      </c>
      <c r="BF229">
        <f t="shared" si="64"/>
        <v>0</v>
      </c>
      <c r="BG229">
        <f t="shared" si="68"/>
        <v>11456.335125120002</v>
      </c>
      <c r="BH229">
        <f t="shared" si="69"/>
        <v>11243.3185352</v>
      </c>
      <c r="BI229">
        <f t="shared" si="70"/>
        <v>10917.019138880001</v>
      </c>
      <c r="BJ229">
        <f t="shared" si="71"/>
        <v>10110.128664880001</v>
      </c>
      <c r="BK229">
        <f t="shared" si="72"/>
        <v>9953.9406193600007</v>
      </c>
      <c r="BL229">
        <f t="shared" si="73"/>
        <v>9187.7096900800007</v>
      </c>
    </row>
    <row r="230" spans="1:64">
      <c r="A230" t="str">
        <f t="shared" si="58"/>
        <v>15</v>
      </c>
      <c r="B230" t="s">
        <v>605</v>
      </c>
      <c r="C230" t="s">
        <v>674</v>
      </c>
      <c r="D230">
        <v>66</v>
      </c>
      <c r="E230">
        <v>3</v>
      </c>
      <c r="F230">
        <v>6</v>
      </c>
      <c r="G230">
        <v>2</v>
      </c>
      <c r="H230">
        <v>100</v>
      </c>
      <c r="I230" t="s">
        <v>609</v>
      </c>
      <c r="J230">
        <v>0.32479999999999998</v>
      </c>
      <c r="K230">
        <v>186.9425</v>
      </c>
      <c r="L230">
        <v>3.1699999999999999E-2</v>
      </c>
      <c r="M230">
        <v>0.63749999999999996</v>
      </c>
      <c r="N230">
        <v>38.808399999999999</v>
      </c>
      <c r="O230">
        <v>89.268000000000001</v>
      </c>
      <c r="P230">
        <v>315.12610000000001</v>
      </c>
      <c r="Q230">
        <v>227.6378</v>
      </c>
      <c r="R230">
        <v>3.0700000000000002E-2</v>
      </c>
      <c r="S230">
        <v>0.47870000000000001</v>
      </c>
      <c r="T230">
        <v>0.19450000000000001</v>
      </c>
      <c r="U230">
        <v>1.38E-2</v>
      </c>
      <c r="V230">
        <v>0.3916</v>
      </c>
      <c r="W230">
        <v>12.2958</v>
      </c>
      <c r="X230">
        <v>20.7562</v>
      </c>
      <c r="Y230">
        <v>18.528600000000001</v>
      </c>
      <c r="Z230">
        <v>21.509899999999998</v>
      </c>
      <c r="AA230">
        <v>47.767000000000003</v>
      </c>
      <c r="AB230">
        <v>14.3041</v>
      </c>
      <c r="AC230">
        <v>43.637700000000002</v>
      </c>
      <c r="AD230">
        <v>68.681100000000001</v>
      </c>
      <c r="AE230">
        <v>0.78939999999999999</v>
      </c>
      <c r="AF230">
        <v>8041.8995000000004</v>
      </c>
      <c r="AG230">
        <v>63.161299999999997</v>
      </c>
      <c r="AH230">
        <v>0.95330000000000004</v>
      </c>
      <c r="AI230">
        <v>90.287000000000006</v>
      </c>
      <c r="AJ230">
        <v>73.2</v>
      </c>
      <c r="AK230">
        <v>83.931200000000004</v>
      </c>
      <c r="AL230">
        <v>1.4535</v>
      </c>
      <c r="AM230">
        <v>0.05</v>
      </c>
      <c r="AN230">
        <v>5.0000000000000001E-4</v>
      </c>
      <c r="AO230">
        <v>88.701999999999998</v>
      </c>
      <c r="AP230">
        <v>94.488</v>
      </c>
      <c r="AQ230">
        <v>93.115799999999993</v>
      </c>
      <c r="AR230">
        <v>90.434299999999993</v>
      </c>
      <c r="AS230">
        <v>85.177099999999996</v>
      </c>
      <c r="AT230">
        <v>84.444699999999997</v>
      </c>
      <c r="AU230">
        <v>79.159099999999995</v>
      </c>
      <c r="AV230">
        <v>2438.2302</v>
      </c>
      <c r="AW230">
        <v>6348.3949000000002</v>
      </c>
      <c r="AX230">
        <f t="shared" si="65"/>
        <v>277029.35212773003</v>
      </c>
      <c r="AY230">
        <f t="shared" si="66"/>
        <v>400972.87479736999</v>
      </c>
      <c r="AZ230">
        <f t="shared" si="67"/>
        <v>78058.594011420006</v>
      </c>
      <c r="BA230">
        <f t="shared" si="59"/>
        <v>0</v>
      </c>
      <c r="BB230">
        <f t="shared" si="60"/>
        <v>0</v>
      </c>
      <c r="BC230">
        <f t="shared" si="61"/>
        <v>6348.3949000000002</v>
      </c>
      <c r="BD230">
        <f t="shared" si="62"/>
        <v>0</v>
      </c>
      <c r="BE230">
        <f t="shared" si="63"/>
        <v>0</v>
      </c>
      <c r="BF230">
        <f t="shared" si="64"/>
        <v>0</v>
      </c>
      <c r="BG230">
        <f t="shared" si="68"/>
        <v>1961.2118255999999</v>
      </c>
      <c r="BH230">
        <f t="shared" si="69"/>
        <v>1932.7301679599998</v>
      </c>
      <c r="BI230">
        <f t="shared" si="70"/>
        <v>1877.0724176599999</v>
      </c>
      <c r="BJ230">
        <f t="shared" si="71"/>
        <v>1767.9529230199998</v>
      </c>
      <c r="BK230">
        <f t="shared" si="72"/>
        <v>1752.7510821399999</v>
      </c>
      <c r="BL230">
        <f t="shared" si="73"/>
        <v>1643.0421114199999</v>
      </c>
    </row>
    <row r="231" spans="1:64">
      <c r="A231" t="str">
        <f t="shared" si="58"/>
        <v>15</v>
      </c>
      <c r="B231" t="s">
        <v>605</v>
      </c>
      <c r="C231" t="s">
        <v>674</v>
      </c>
      <c r="D231">
        <v>66</v>
      </c>
      <c r="E231">
        <v>3</v>
      </c>
      <c r="F231">
        <v>6</v>
      </c>
      <c r="G231">
        <v>2</v>
      </c>
      <c r="H231">
        <v>100</v>
      </c>
      <c r="I231" t="s">
        <v>617</v>
      </c>
      <c r="J231">
        <v>0.36249999999999999</v>
      </c>
      <c r="K231">
        <v>165.32990000000001</v>
      </c>
      <c r="L231">
        <v>3.15E-2</v>
      </c>
      <c r="M231">
        <v>0.62329999999999997</v>
      </c>
      <c r="N231">
        <v>39.173099999999998</v>
      </c>
      <c r="O231">
        <v>89.263499999999993</v>
      </c>
      <c r="P231">
        <v>301.39890000000003</v>
      </c>
      <c r="Q231">
        <v>227.17189999999999</v>
      </c>
      <c r="R231">
        <v>2.98E-2</v>
      </c>
      <c r="S231">
        <v>0.45390000000000003</v>
      </c>
      <c r="T231">
        <v>0.1983</v>
      </c>
      <c r="U231">
        <v>1.7500000000000002E-2</v>
      </c>
      <c r="V231">
        <v>0.40029999999999999</v>
      </c>
      <c r="W231">
        <v>12.2958</v>
      </c>
      <c r="X231">
        <v>14.4665</v>
      </c>
      <c r="Y231">
        <v>12.9133</v>
      </c>
      <c r="Z231">
        <v>14.7203</v>
      </c>
      <c r="AA231">
        <v>32.964500000000001</v>
      </c>
      <c r="AB231">
        <v>10.453900000000001</v>
      </c>
      <c r="AC231">
        <v>43.780999999999999</v>
      </c>
      <c r="AD231">
        <v>68.091899999999995</v>
      </c>
      <c r="AE231">
        <v>0.53139999999999998</v>
      </c>
      <c r="AF231">
        <v>8002.3159999999998</v>
      </c>
      <c r="AG231">
        <v>65.200699999999998</v>
      </c>
      <c r="AH231">
        <v>0.59330000000000005</v>
      </c>
      <c r="AI231">
        <v>90.110900000000001</v>
      </c>
      <c r="AJ231">
        <v>73.2</v>
      </c>
      <c r="AK231">
        <v>83.56</v>
      </c>
      <c r="AL231">
        <v>1.4358</v>
      </c>
      <c r="AM231">
        <v>0.05</v>
      </c>
      <c r="AN231">
        <v>4.4999999999999997E-3</v>
      </c>
      <c r="AO231">
        <v>89.681700000000006</v>
      </c>
      <c r="AP231">
        <v>94.427400000000006</v>
      </c>
      <c r="AQ231">
        <v>93.042599999999993</v>
      </c>
      <c r="AR231">
        <v>90.360699999999994</v>
      </c>
      <c r="AS231">
        <v>85.136200000000002</v>
      </c>
      <c r="AT231">
        <v>84.424000000000007</v>
      </c>
      <c r="AU231">
        <v>79.120400000000004</v>
      </c>
      <c r="AV231">
        <v>1636.9648</v>
      </c>
      <c r="AW231">
        <v>4252.4174999999996</v>
      </c>
      <c r="AX231">
        <f t="shared" si="65"/>
        <v>186175.09056749998</v>
      </c>
      <c r="AY231">
        <f t="shared" si="66"/>
        <v>277260.59769224998</v>
      </c>
      <c r="AZ231">
        <f t="shared" si="67"/>
        <v>52286.875096499993</v>
      </c>
      <c r="BA231">
        <f t="shared" si="59"/>
        <v>0</v>
      </c>
      <c r="BB231">
        <f t="shared" si="60"/>
        <v>0</v>
      </c>
      <c r="BC231">
        <f t="shared" si="61"/>
        <v>4252.4174999999996</v>
      </c>
      <c r="BD231">
        <f t="shared" si="62"/>
        <v>0</v>
      </c>
      <c r="BE231">
        <f t="shared" si="63"/>
        <v>0</v>
      </c>
      <c r="BF231">
        <f t="shared" si="64"/>
        <v>0</v>
      </c>
      <c r="BG231">
        <f t="shared" si="68"/>
        <v>1366.0339821</v>
      </c>
      <c r="BH231">
        <f t="shared" si="69"/>
        <v>1346.0007728999999</v>
      </c>
      <c r="BI231">
        <f t="shared" si="70"/>
        <v>1307.2030665499999</v>
      </c>
      <c r="BJ231">
        <f t="shared" si="71"/>
        <v>1231.6228373000001</v>
      </c>
      <c r="BK231">
        <f t="shared" si="72"/>
        <v>1221.319796</v>
      </c>
      <c r="BL231">
        <f t="shared" si="73"/>
        <v>1144.5952666000001</v>
      </c>
    </row>
    <row r="232" spans="1:64">
      <c r="A232" t="str">
        <f t="shared" si="58"/>
        <v>15</v>
      </c>
      <c r="B232" t="s">
        <v>605</v>
      </c>
      <c r="C232" t="s">
        <v>674</v>
      </c>
      <c r="D232">
        <v>66</v>
      </c>
      <c r="E232">
        <v>3</v>
      </c>
      <c r="F232">
        <v>6</v>
      </c>
      <c r="G232">
        <v>2</v>
      </c>
      <c r="H232">
        <v>100</v>
      </c>
      <c r="I232" t="s">
        <v>607</v>
      </c>
      <c r="J232">
        <v>0.34160000000000001</v>
      </c>
      <c r="K232">
        <v>207.346</v>
      </c>
      <c r="L232">
        <v>3.1800000000000002E-2</v>
      </c>
      <c r="M232">
        <v>0.623</v>
      </c>
      <c r="N232">
        <v>39.149700000000003</v>
      </c>
      <c r="O232">
        <v>89.179199999999994</v>
      </c>
      <c r="P232">
        <v>307.21379999999999</v>
      </c>
      <c r="Q232">
        <v>229.19040000000001</v>
      </c>
      <c r="R232">
        <v>3.1800000000000002E-2</v>
      </c>
      <c r="S232">
        <v>0.52200000000000002</v>
      </c>
      <c r="T232">
        <v>0.22339999999999999</v>
      </c>
      <c r="U232">
        <v>1.84E-2</v>
      </c>
      <c r="V232">
        <v>0.41170000000000001</v>
      </c>
      <c r="W232">
        <v>12.3157</v>
      </c>
      <c r="X232">
        <v>19.296299999999999</v>
      </c>
      <c r="Y232">
        <v>17.208300000000001</v>
      </c>
      <c r="Z232">
        <v>20.033300000000001</v>
      </c>
      <c r="AA232">
        <v>43.956200000000003</v>
      </c>
      <c r="AB232">
        <v>16.438500000000001</v>
      </c>
      <c r="AC232">
        <v>44.009500000000003</v>
      </c>
      <c r="AD232">
        <v>67.240600000000001</v>
      </c>
      <c r="AE232">
        <v>0.69730000000000003</v>
      </c>
      <c r="AF232">
        <v>8074.0429000000004</v>
      </c>
      <c r="AG232">
        <v>63.315399999999997</v>
      </c>
      <c r="AH232">
        <v>0.90010000000000001</v>
      </c>
      <c r="AI232">
        <v>90.436300000000003</v>
      </c>
      <c r="AJ232">
        <v>73.2</v>
      </c>
      <c r="AK232">
        <v>84.246700000000004</v>
      </c>
      <c r="AL232">
        <v>1.4278</v>
      </c>
      <c r="AM232">
        <v>0.05</v>
      </c>
      <c r="AN232">
        <v>5.0000000000000001E-3</v>
      </c>
      <c r="AO232">
        <v>88.669899999999998</v>
      </c>
      <c r="AP232">
        <v>94.394499999999994</v>
      </c>
      <c r="AQ232">
        <v>93.010400000000004</v>
      </c>
      <c r="AR232">
        <v>90.313500000000005</v>
      </c>
      <c r="AS232">
        <v>85.124099999999999</v>
      </c>
      <c r="AT232">
        <v>84.430499999999995</v>
      </c>
      <c r="AU232">
        <v>79.106499999999997</v>
      </c>
      <c r="AV232">
        <v>2165.7786000000001</v>
      </c>
      <c r="AW232">
        <v>5630.1911</v>
      </c>
      <c r="AX232">
        <f t="shared" si="65"/>
        <v>247781.89521545003</v>
      </c>
      <c r="AY232">
        <f t="shared" si="66"/>
        <v>356477.80157293996</v>
      </c>
      <c r="AZ232">
        <f t="shared" si="67"/>
        <v>69339.744530269993</v>
      </c>
      <c r="BA232">
        <f t="shared" si="59"/>
        <v>0</v>
      </c>
      <c r="BB232">
        <f t="shared" si="60"/>
        <v>0</v>
      </c>
      <c r="BC232">
        <f t="shared" si="61"/>
        <v>5630.1911</v>
      </c>
      <c r="BD232">
        <f t="shared" si="62"/>
        <v>0</v>
      </c>
      <c r="BE232">
        <f t="shared" si="63"/>
        <v>0</v>
      </c>
      <c r="BF232">
        <f t="shared" si="64"/>
        <v>0</v>
      </c>
      <c r="BG232">
        <f t="shared" si="68"/>
        <v>1821.4645903499998</v>
      </c>
      <c r="BH232">
        <f t="shared" si="69"/>
        <v>1794.7565815200001</v>
      </c>
      <c r="BI232">
        <f t="shared" si="70"/>
        <v>1742.71639005</v>
      </c>
      <c r="BJ232">
        <f t="shared" si="71"/>
        <v>1642.5801708299998</v>
      </c>
      <c r="BK232">
        <f t="shared" si="72"/>
        <v>1629.1962571499998</v>
      </c>
      <c r="BL232">
        <f t="shared" si="73"/>
        <v>1526.4627559499997</v>
      </c>
    </row>
    <row r="233" spans="1:64">
      <c r="A233" t="str">
        <f t="shared" si="58"/>
        <v>15</v>
      </c>
      <c r="B233" t="s">
        <v>605</v>
      </c>
      <c r="C233" t="s">
        <v>674</v>
      </c>
      <c r="D233">
        <v>66</v>
      </c>
      <c r="E233">
        <v>3</v>
      </c>
      <c r="F233">
        <v>6</v>
      </c>
      <c r="G233">
        <v>4</v>
      </c>
      <c r="H233">
        <v>100</v>
      </c>
      <c r="I233" t="s">
        <v>609</v>
      </c>
      <c r="J233">
        <v>0.32469999999999999</v>
      </c>
      <c r="K233">
        <v>180.5052</v>
      </c>
      <c r="L233">
        <v>3.09E-2</v>
      </c>
      <c r="M233">
        <v>0.77370000000000005</v>
      </c>
      <c r="N233">
        <v>39.187899999999999</v>
      </c>
      <c r="O233">
        <v>89.253900000000002</v>
      </c>
      <c r="P233">
        <v>340.31979999999999</v>
      </c>
      <c r="Q233">
        <v>228.19980000000001</v>
      </c>
      <c r="R233">
        <v>2.87E-2</v>
      </c>
      <c r="S233">
        <v>0.46460000000000001</v>
      </c>
      <c r="T233">
        <v>0.2011</v>
      </c>
      <c r="U233">
        <v>1.17E-2</v>
      </c>
      <c r="V233">
        <v>0.3947</v>
      </c>
      <c r="W233">
        <v>12.31</v>
      </c>
      <c r="X233">
        <v>0.93920000000000003</v>
      </c>
      <c r="Y233">
        <v>0.83830000000000005</v>
      </c>
      <c r="Z233">
        <v>0.97</v>
      </c>
      <c r="AA233">
        <v>2.1391</v>
      </c>
      <c r="AB233">
        <v>17.6219</v>
      </c>
      <c r="AC233">
        <v>43.611199999999997</v>
      </c>
      <c r="AD233">
        <v>68.750699999999995</v>
      </c>
      <c r="AE233">
        <v>3.5200000000000002E-2</v>
      </c>
      <c r="AF233">
        <v>8065.3966</v>
      </c>
      <c r="AG233">
        <v>62.183300000000003</v>
      </c>
      <c r="AH233">
        <v>4.2299999999999997E-2</v>
      </c>
      <c r="AI233">
        <v>90.266099999999994</v>
      </c>
      <c r="AJ233">
        <v>73.2</v>
      </c>
      <c r="AK233">
        <v>83.887</v>
      </c>
      <c r="AL233">
        <v>1.4672000000000001</v>
      </c>
      <c r="AM233">
        <v>0.05</v>
      </c>
      <c r="AN233">
        <v>5.0000000000000001E-3</v>
      </c>
      <c r="AO233">
        <v>88.219499999999996</v>
      </c>
      <c r="AP233">
        <v>94.506500000000003</v>
      </c>
      <c r="AQ233">
        <v>93.136399999999995</v>
      </c>
      <c r="AR233">
        <v>90.452799999999996</v>
      </c>
      <c r="AS233">
        <v>85.192300000000003</v>
      </c>
      <c r="AT233">
        <v>84.4572</v>
      </c>
      <c r="AU233">
        <v>79.171899999999994</v>
      </c>
      <c r="AV233">
        <v>109.434</v>
      </c>
      <c r="AW233">
        <v>284.15030000000002</v>
      </c>
      <c r="AX233">
        <f t="shared" si="65"/>
        <v>12392.13556336</v>
      </c>
      <c r="AY233">
        <f t="shared" si="66"/>
        <v>17669.403349990003</v>
      </c>
      <c r="AZ233">
        <f t="shared" si="67"/>
        <v>3497.8901930000002</v>
      </c>
      <c r="BA233">
        <f t="shared" si="59"/>
        <v>0</v>
      </c>
      <c r="BB233">
        <f t="shared" si="60"/>
        <v>0</v>
      </c>
      <c r="BC233">
        <f t="shared" si="61"/>
        <v>284.15030000000002</v>
      </c>
      <c r="BD233">
        <f t="shared" si="62"/>
        <v>0</v>
      </c>
      <c r="BE233">
        <f t="shared" si="63"/>
        <v>0</v>
      </c>
      <c r="BF233">
        <f t="shared" si="64"/>
        <v>0</v>
      </c>
      <c r="BG233">
        <f t="shared" si="68"/>
        <v>88.760504800000007</v>
      </c>
      <c r="BH233">
        <f t="shared" si="69"/>
        <v>87.473706879999995</v>
      </c>
      <c r="BI233">
        <f t="shared" si="70"/>
        <v>84.953269759999998</v>
      </c>
      <c r="BJ233">
        <f t="shared" si="71"/>
        <v>80.012608159999999</v>
      </c>
      <c r="BK233">
        <f t="shared" si="72"/>
        <v>79.32220224000001</v>
      </c>
      <c r="BL233">
        <f t="shared" si="73"/>
        <v>74.35824848</v>
      </c>
    </row>
    <row r="234" spans="1:64">
      <c r="A234" t="str">
        <f t="shared" si="58"/>
        <v>16</v>
      </c>
      <c r="B234" t="s">
        <v>605</v>
      </c>
      <c r="C234" t="s">
        <v>675</v>
      </c>
      <c r="D234">
        <v>55</v>
      </c>
      <c r="E234">
        <v>1</v>
      </c>
      <c r="F234">
        <v>6</v>
      </c>
      <c r="G234">
        <v>2</v>
      </c>
      <c r="H234">
        <v>100</v>
      </c>
      <c r="I234" t="s">
        <v>609</v>
      </c>
      <c r="J234">
        <v>0.3296</v>
      </c>
      <c r="K234">
        <v>112.9164</v>
      </c>
      <c r="L234">
        <v>2.9399999999999999E-2</v>
      </c>
      <c r="M234">
        <v>0.63300000000000001</v>
      </c>
      <c r="N234">
        <v>39.0837</v>
      </c>
      <c r="O234">
        <v>86.386700000000005</v>
      </c>
      <c r="P234">
        <v>263.83929999999998</v>
      </c>
      <c r="Q234">
        <v>250.4666</v>
      </c>
      <c r="R234">
        <v>2.87E-2</v>
      </c>
      <c r="S234">
        <v>0.51080000000000003</v>
      </c>
      <c r="T234">
        <v>0.21249999999999999</v>
      </c>
      <c r="U234">
        <v>1.9699999999999999E-2</v>
      </c>
      <c r="V234">
        <v>0.40329999999999999</v>
      </c>
      <c r="W234">
        <v>10.780099999999999</v>
      </c>
      <c r="X234">
        <v>27.1812</v>
      </c>
      <c r="Y234">
        <v>23.480499999999999</v>
      </c>
      <c r="Z234">
        <v>26.718599999999999</v>
      </c>
      <c r="AA234">
        <v>60.078600000000002</v>
      </c>
      <c r="AB234">
        <v>10.9754</v>
      </c>
      <c r="AC234">
        <v>56.944400000000002</v>
      </c>
      <c r="AD234">
        <v>45.717100000000002</v>
      </c>
      <c r="AE234">
        <v>0.86619999999999997</v>
      </c>
      <c r="AF234">
        <v>9139.0210000000006</v>
      </c>
      <c r="AG234">
        <v>65.786199999999994</v>
      </c>
      <c r="AH234">
        <v>1.0663</v>
      </c>
      <c r="AI234">
        <v>90.027299999999997</v>
      </c>
      <c r="AJ234">
        <v>73.2</v>
      </c>
      <c r="AK234">
        <v>83.383899999999997</v>
      </c>
      <c r="AL234">
        <v>1.5027999999999999</v>
      </c>
      <c r="AM234">
        <v>0.05</v>
      </c>
      <c r="AN234">
        <v>6.1999999999999998E-3</v>
      </c>
      <c r="AO234">
        <v>92.204999999999998</v>
      </c>
      <c r="AP234">
        <v>91.736800000000002</v>
      </c>
      <c r="AQ234">
        <v>89.929400000000001</v>
      </c>
      <c r="AR234">
        <v>87.0869</v>
      </c>
      <c r="AS234">
        <v>80.362700000000004</v>
      </c>
      <c r="AT234">
        <v>79.056700000000006</v>
      </c>
      <c r="AU234">
        <v>72.810900000000004</v>
      </c>
      <c r="AV234">
        <v>3106.2730999999999</v>
      </c>
      <c r="AW234">
        <v>7916.4246999999996</v>
      </c>
      <c r="AX234">
        <f t="shared" si="65"/>
        <v>450796.05468667997</v>
      </c>
      <c r="AY234">
        <f t="shared" si="66"/>
        <v>520791.49859913992</v>
      </c>
      <c r="AZ234">
        <f t="shared" si="67"/>
        <v>85339.849908469987</v>
      </c>
      <c r="BA234">
        <f t="shared" si="59"/>
        <v>7916.4246999999996</v>
      </c>
      <c r="BB234">
        <f t="shared" si="60"/>
        <v>0</v>
      </c>
      <c r="BC234">
        <f t="shared" si="61"/>
        <v>0</v>
      </c>
      <c r="BD234">
        <f t="shared" si="62"/>
        <v>0</v>
      </c>
      <c r="BE234">
        <f t="shared" si="63"/>
        <v>0</v>
      </c>
      <c r="BF234">
        <f t="shared" si="64"/>
        <v>0</v>
      </c>
      <c r="BG234">
        <f t="shared" si="68"/>
        <v>2493.5163081599999</v>
      </c>
      <c r="BH234">
        <f t="shared" si="69"/>
        <v>2444.38900728</v>
      </c>
      <c r="BI234">
        <f t="shared" si="70"/>
        <v>2367.12644628</v>
      </c>
      <c r="BJ234">
        <f t="shared" si="71"/>
        <v>2184.3546212400001</v>
      </c>
      <c r="BK234">
        <f t="shared" si="72"/>
        <v>2148.8559740400001</v>
      </c>
      <c r="BL234">
        <f t="shared" si="73"/>
        <v>1979.0876350800002</v>
      </c>
    </row>
    <row r="235" spans="1:64">
      <c r="A235" t="str">
        <f t="shared" si="58"/>
        <v>16</v>
      </c>
      <c r="B235" t="s">
        <v>605</v>
      </c>
      <c r="C235" t="s">
        <v>675</v>
      </c>
      <c r="D235">
        <v>55</v>
      </c>
      <c r="E235">
        <v>1</v>
      </c>
      <c r="F235">
        <v>6</v>
      </c>
      <c r="G235">
        <v>2</v>
      </c>
      <c r="H235">
        <v>100</v>
      </c>
      <c r="I235" t="s">
        <v>607</v>
      </c>
      <c r="J235">
        <v>0.39429999999999998</v>
      </c>
      <c r="K235">
        <v>129.31120000000001</v>
      </c>
      <c r="L235">
        <v>3.04E-2</v>
      </c>
      <c r="M235">
        <v>0.78939999999999999</v>
      </c>
      <c r="N235">
        <v>39.2774</v>
      </c>
      <c r="O235">
        <v>85.969800000000006</v>
      </c>
      <c r="P235">
        <v>234.33920000000001</v>
      </c>
      <c r="Q235">
        <v>251.49</v>
      </c>
      <c r="R235">
        <v>5.9200000000000003E-2</v>
      </c>
      <c r="S235">
        <v>0.52129999999999999</v>
      </c>
      <c r="T235">
        <v>0.26200000000000001</v>
      </c>
      <c r="U235">
        <v>1.7100000000000001E-2</v>
      </c>
      <c r="V235">
        <v>0.44729999999999998</v>
      </c>
      <c r="W235">
        <v>10.793799999999999</v>
      </c>
      <c r="X235">
        <v>114.70650000000001</v>
      </c>
      <c r="Y235">
        <v>98.612700000000004</v>
      </c>
      <c r="Z235">
        <v>111.96040000000001</v>
      </c>
      <c r="AA235">
        <v>253.20349999999999</v>
      </c>
      <c r="AB235">
        <v>17.382999999999999</v>
      </c>
      <c r="AC235">
        <v>57.260899999999999</v>
      </c>
      <c r="AD235">
        <v>40.731299999999997</v>
      </c>
      <c r="AE235">
        <v>3.282</v>
      </c>
      <c r="AF235">
        <v>9158.4953000000005</v>
      </c>
      <c r="AG235">
        <v>66.1708</v>
      </c>
      <c r="AH235">
        <v>4.4120999999999997</v>
      </c>
      <c r="AI235">
        <v>90.207700000000003</v>
      </c>
      <c r="AJ235">
        <v>73.2</v>
      </c>
      <c r="AK235">
        <v>83.765299999999996</v>
      </c>
      <c r="AL235">
        <v>1.4918</v>
      </c>
      <c r="AM235">
        <v>0.05</v>
      </c>
      <c r="AN235">
        <v>6.7999999999999996E-3</v>
      </c>
      <c r="AO235">
        <v>92.343800000000002</v>
      </c>
      <c r="AP235">
        <v>91.273499999999999</v>
      </c>
      <c r="AQ235">
        <v>89.379000000000005</v>
      </c>
      <c r="AR235">
        <v>86.508799999999994</v>
      </c>
      <c r="AS235">
        <v>79.5625</v>
      </c>
      <c r="AT235">
        <v>78.178299999999993</v>
      </c>
      <c r="AU235">
        <v>71.568200000000004</v>
      </c>
      <c r="AV235">
        <v>11791.4038</v>
      </c>
      <c r="AW235">
        <v>30057.790300000001</v>
      </c>
      <c r="AX235">
        <f t="shared" si="65"/>
        <v>1721136.12458927</v>
      </c>
      <c r="AY235">
        <f t="shared" si="66"/>
        <v>1988948.03038324</v>
      </c>
      <c r="AZ235">
        <f t="shared" si="67"/>
        <v>324437.77694014</v>
      </c>
      <c r="BA235">
        <f t="shared" si="59"/>
        <v>30057.790300000001</v>
      </c>
      <c r="BB235">
        <f t="shared" si="60"/>
        <v>0</v>
      </c>
      <c r="BC235">
        <f t="shared" si="61"/>
        <v>0</v>
      </c>
      <c r="BD235">
        <f t="shared" si="62"/>
        <v>0</v>
      </c>
      <c r="BE235">
        <f t="shared" si="63"/>
        <v>0</v>
      </c>
      <c r="BF235">
        <f t="shared" si="64"/>
        <v>0</v>
      </c>
      <c r="BG235">
        <f t="shared" si="68"/>
        <v>10469.663727749999</v>
      </c>
      <c r="BH235">
        <f t="shared" si="69"/>
        <v>10252.352263500001</v>
      </c>
      <c r="BI235">
        <f t="shared" si="70"/>
        <v>9923.1216671999991</v>
      </c>
      <c r="BJ235">
        <f t="shared" si="71"/>
        <v>9126.3359062500003</v>
      </c>
      <c r="BK235">
        <f t="shared" si="72"/>
        <v>8967.5591689499997</v>
      </c>
      <c r="BL235">
        <f t="shared" si="73"/>
        <v>8209.3377333000008</v>
      </c>
    </row>
    <row r="236" spans="1:64">
      <c r="A236" t="str">
        <f t="shared" si="58"/>
        <v>16</v>
      </c>
      <c r="B236" t="s">
        <v>605</v>
      </c>
      <c r="C236" t="s">
        <v>675</v>
      </c>
      <c r="D236">
        <v>66</v>
      </c>
      <c r="E236">
        <v>3</v>
      </c>
      <c r="F236">
        <v>6</v>
      </c>
      <c r="G236">
        <v>2</v>
      </c>
      <c r="H236">
        <v>100</v>
      </c>
      <c r="I236" t="s">
        <v>617</v>
      </c>
      <c r="J236">
        <v>0.37740000000000001</v>
      </c>
      <c r="K236">
        <v>137.19</v>
      </c>
      <c r="L236">
        <v>2.87E-2</v>
      </c>
      <c r="M236">
        <v>0.62039999999999995</v>
      </c>
      <c r="N236">
        <v>38.962800000000001</v>
      </c>
      <c r="O236">
        <v>89.329499999999996</v>
      </c>
      <c r="P236">
        <v>300.50200000000001</v>
      </c>
      <c r="Q236">
        <v>225.76900000000001</v>
      </c>
      <c r="R236">
        <v>3.1099999999999999E-2</v>
      </c>
      <c r="S236">
        <v>0.46250000000000002</v>
      </c>
      <c r="T236">
        <v>0.19589999999999999</v>
      </c>
      <c r="U236">
        <v>1.95E-2</v>
      </c>
      <c r="V236">
        <v>0.38869999999999999</v>
      </c>
      <c r="W236">
        <v>12.2798</v>
      </c>
      <c r="X236">
        <v>0.64870000000000005</v>
      </c>
      <c r="Y236">
        <v>0.57950000000000002</v>
      </c>
      <c r="Z236">
        <v>0.65329999999999999</v>
      </c>
      <c r="AA236">
        <v>1.4874000000000001</v>
      </c>
      <c r="AB236">
        <v>8.5939999999999994</v>
      </c>
      <c r="AC236">
        <v>43.551099999999998</v>
      </c>
      <c r="AD236">
        <v>69.064899999999994</v>
      </c>
      <c r="AE236">
        <v>2.4400000000000002E-2</v>
      </c>
      <c r="AF236">
        <v>7961.1442999999999</v>
      </c>
      <c r="AG236">
        <v>65.928899999999999</v>
      </c>
      <c r="AH236">
        <v>2.47E-2</v>
      </c>
      <c r="AI236">
        <v>89.892099999999999</v>
      </c>
      <c r="AJ236">
        <v>73.2</v>
      </c>
      <c r="AK236">
        <v>83.099599999999995</v>
      </c>
      <c r="AL236">
        <v>1.4601</v>
      </c>
      <c r="AM236">
        <v>0.05</v>
      </c>
      <c r="AN236">
        <v>0</v>
      </c>
      <c r="AO236">
        <v>90.114699999999999</v>
      </c>
      <c r="AP236">
        <v>94.472700000000003</v>
      </c>
      <c r="AQ236">
        <v>93.087599999999995</v>
      </c>
      <c r="AR236">
        <v>90.421899999999994</v>
      </c>
      <c r="AS236">
        <v>85.156099999999995</v>
      </c>
      <c r="AT236">
        <v>84.421700000000001</v>
      </c>
      <c r="AU236">
        <v>79.141499999999994</v>
      </c>
      <c r="AV236">
        <v>74.890799999999999</v>
      </c>
      <c r="AW236">
        <v>194.26910000000001</v>
      </c>
      <c r="AX236">
        <f t="shared" si="65"/>
        <v>8460.6330010099991</v>
      </c>
      <c r="AY236">
        <f t="shared" si="66"/>
        <v>12807.94806699</v>
      </c>
      <c r="AZ236">
        <f t="shared" si="67"/>
        <v>2385.5856941800002</v>
      </c>
      <c r="BA236">
        <f t="shared" si="59"/>
        <v>0</v>
      </c>
      <c r="BB236">
        <f t="shared" si="60"/>
        <v>0</v>
      </c>
      <c r="BC236">
        <f t="shared" si="61"/>
        <v>194.26910000000001</v>
      </c>
      <c r="BD236">
        <f t="shared" si="62"/>
        <v>0</v>
      </c>
      <c r="BE236">
        <f t="shared" si="63"/>
        <v>0</v>
      </c>
      <c r="BF236">
        <f t="shared" si="64"/>
        <v>0</v>
      </c>
      <c r="BG236">
        <f t="shared" si="68"/>
        <v>61.284440490000009</v>
      </c>
      <c r="BH236">
        <f t="shared" si="69"/>
        <v>60.385926120000001</v>
      </c>
      <c r="BI236">
        <f t="shared" si="70"/>
        <v>58.656686530000002</v>
      </c>
      <c r="BJ236">
        <f t="shared" si="71"/>
        <v>55.240762070000002</v>
      </c>
      <c r="BK236">
        <f t="shared" si="72"/>
        <v>54.764356790000008</v>
      </c>
      <c r="BL236">
        <f t="shared" si="73"/>
        <v>51.33909105</v>
      </c>
    </row>
    <row r="237" spans="1:64">
      <c r="A237" t="str">
        <f t="shared" si="58"/>
        <v>19</v>
      </c>
      <c r="B237" t="s">
        <v>605</v>
      </c>
      <c r="C237" t="s">
        <v>676</v>
      </c>
      <c r="D237">
        <v>55</v>
      </c>
      <c r="E237">
        <v>1</v>
      </c>
      <c r="F237">
        <v>6</v>
      </c>
      <c r="G237">
        <v>2</v>
      </c>
      <c r="H237">
        <v>100</v>
      </c>
      <c r="I237" t="s">
        <v>607</v>
      </c>
      <c r="J237">
        <v>0.63900000000000001</v>
      </c>
      <c r="K237">
        <v>150.7165</v>
      </c>
      <c r="L237">
        <v>3.6200000000000003E-2</v>
      </c>
      <c r="M237">
        <v>0.83879999999999999</v>
      </c>
      <c r="N237">
        <v>38.311</v>
      </c>
      <c r="O237">
        <v>87.968400000000003</v>
      </c>
      <c r="P237">
        <v>297.3897</v>
      </c>
      <c r="Q237">
        <v>253.37430000000001</v>
      </c>
      <c r="R237">
        <v>6.3500000000000001E-2</v>
      </c>
      <c r="S237">
        <v>0.70860000000000001</v>
      </c>
      <c r="T237">
        <v>0.2923</v>
      </c>
      <c r="U237">
        <v>6.1000000000000004E-3</v>
      </c>
      <c r="V237">
        <v>0.68910000000000005</v>
      </c>
      <c r="W237">
        <v>10.641500000000001</v>
      </c>
      <c r="X237">
        <v>252.39320000000001</v>
      </c>
      <c r="Y237">
        <v>222.88820000000001</v>
      </c>
      <c r="Z237">
        <v>232.3655</v>
      </c>
      <c r="AA237">
        <v>585.79150000000004</v>
      </c>
      <c r="AB237">
        <v>9.0940999999999992</v>
      </c>
      <c r="AC237">
        <v>57.584600000000002</v>
      </c>
      <c r="AD237">
        <v>40.1492</v>
      </c>
      <c r="AE237">
        <v>4.2133000000000003</v>
      </c>
      <c r="AF237">
        <v>9375.6386999999995</v>
      </c>
      <c r="AG237">
        <v>58.699300000000001</v>
      </c>
      <c r="AH237">
        <v>4.5378999999999996</v>
      </c>
      <c r="AI237">
        <v>89.606099999999998</v>
      </c>
      <c r="AJ237">
        <v>73.2</v>
      </c>
      <c r="AK237">
        <v>82.502799999999993</v>
      </c>
      <c r="AL237">
        <v>1.4772000000000001</v>
      </c>
      <c r="AM237">
        <v>0.05</v>
      </c>
      <c r="AN237">
        <v>1.2699999999999999E-2</v>
      </c>
      <c r="AO237">
        <v>88.549599999999998</v>
      </c>
      <c r="AP237">
        <v>92.767099999999999</v>
      </c>
      <c r="AQ237">
        <v>91.726299999999995</v>
      </c>
      <c r="AR237">
        <v>89.516000000000005</v>
      </c>
      <c r="AS237">
        <v>84.907200000000003</v>
      </c>
      <c r="AT237">
        <v>84.159000000000006</v>
      </c>
      <c r="AU237">
        <v>79.785300000000007</v>
      </c>
      <c r="AV237">
        <v>15824.766900000001</v>
      </c>
      <c r="AW237">
        <v>39497.249600000003</v>
      </c>
      <c r="AX237">
        <f t="shared" si="65"/>
        <v>2274433.3193161604</v>
      </c>
      <c r="AY237">
        <f t="shared" si="66"/>
        <v>2318460.9034452802</v>
      </c>
      <c r="AZ237">
        <f t="shared" si="67"/>
        <v>420309.98161840008</v>
      </c>
      <c r="BA237">
        <f t="shared" si="59"/>
        <v>39497.249600000003</v>
      </c>
      <c r="BB237">
        <f t="shared" si="60"/>
        <v>0</v>
      </c>
      <c r="BC237">
        <f t="shared" si="61"/>
        <v>0</v>
      </c>
      <c r="BD237">
        <f t="shared" si="62"/>
        <v>0</v>
      </c>
      <c r="BE237">
        <f t="shared" si="63"/>
        <v>0</v>
      </c>
      <c r="BF237">
        <f t="shared" si="64"/>
        <v>0</v>
      </c>
      <c r="BG237">
        <f t="shared" si="68"/>
        <v>23413.785223720002</v>
      </c>
      <c r="BH237">
        <f t="shared" si="69"/>
        <v>23151.094381160001</v>
      </c>
      <c r="BI237">
        <f t="shared" si="70"/>
        <v>22593.229691200002</v>
      </c>
      <c r="BJ237">
        <f t="shared" si="71"/>
        <v>21429.999911040002</v>
      </c>
      <c r="BK237">
        <f t="shared" si="72"/>
        <v>21241.159318800001</v>
      </c>
      <c r="BL237">
        <f t="shared" si="73"/>
        <v>20137.267179960003</v>
      </c>
    </row>
    <row r="238" spans="1:64">
      <c r="A238" t="str">
        <f t="shared" si="58"/>
        <v>19</v>
      </c>
      <c r="B238" t="s">
        <v>605</v>
      </c>
      <c r="C238" t="s">
        <v>676</v>
      </c>
      <c r="D238">
        <v>55</v>
      </c>
      <c r="E238">
        <v>1</v>
      </c>
      <c r="F238">
        <v>6</v>
      </c>
      <c r="G238">
        <v>2</v>
      </c>
      <c r="H238">
        <v>200</v>
      </c>
      <c r="I238" t="s">
        <v>607</v>
      </c>
      <c r="J238">
        <v>0.6593</v>
      </c>
      <c r="K238">
        <v>153.7954</v>
      </c>
      <c r="L238">
        <v>3.6400000000000002E-2</v>
      </c>
      <c r="M238">
        <v>0.77259999999999995</v>
      </c>
      <c r="N238">
        <v>40.320300000000003</v>
      </c>
      <c r="O238">
        <v>87.721199999999996</v>
      </c>
      <c r="P238">
        <v>328.41320000000002</v>
      </c>
      <c r="Q238">
        <v>256.99919999999997</v>
      </c>
      <c r="R238">
        <v>6.3899999999999998E-2</v>
      </c>
      <c r="S238">
        <v>0.74960000000000004</v>
      </c>
      <c r="T238">
        <v>0.42170000000000002</v>
      </c>
      <c r="U238">
        <v>8.5000000000000006E-3</v>
      </c>
      <c r="V238">
        <v>0.71230000000000004</v>
      </c>
      <c r="W238">
        <v>10.5327</v>
      </c>
      <c r="X238">
        <v>210.72659999999999</v>
      </c>
      <c r="Y238">
        <v>184.94720000000001</v>
      </c>
      <c r="Z238">
        <v>193.8973</v>
      </c>
      <c r="AA238">
        <v>458.74650000000003</v>
      </c>
      <c r="AB238">
        <v>8.9948999999999995</v>
      </c>
      <c r="AC238">
        <v>59.583599999999997</v>
      </c>
      <c r="AD238">
        <v>35.647399999999998</v>
      </c>
      <c r="AE238">
        <v>3.3772000000000002</v>
      </c>
      <c r="AF238">
        <v>9497.9943999999996</v>
      </c>
      <c r="AG238">
        <v>60.593400000000003</v>
      </c>
      <c r="AH238">
        <v>4.0507</v>
      </c>
      <c r="AI238">
        <v>89.862200000000001</v>
      </c>
      <c r="AJ238">
        <v>73.2</v>
      </c>
      <c r="AK238">
        <v>83.037499999999994</v>
      </c>
      <c r="AL238">
        <v>1.4966999999999999</v>
      </c>
      <c r="AM238">
        <v>0.05</v>
      </c>
      <c r="AN238">
        <v>1.17E-2</v>
      </c>
      <c r="AO238">
        <v>89.169700000000006</v>
      </c>
      <c r="AP238">
        <v>92.123999999999995</v>
      </c>
      <c r="AQ238">
        <v>91.117000000000004</v>
      </c>
      <c r="AR238">
        <v>88.355400000000003</v>
      </c>
      <c r="AS238">
        <v>83.788499999999999</v>
      </c>
      <c r="AT238">
        <v>83.113600000000005</v>
      </c>
      <c r="AU238">
        <v>79.021799999999999</v>
      </c>
      <c r="AV238">
        <v>12684.170099999999</v>
      </c>
      <c r="AW238">
        <v>32076.856599999999</v>
      </c>
      <c r="AX238">
        <f t="shared" si="65"/>
        <v>1911254.5929117599</v>
      </c>
      <c r="AY238">
        <f t="shared" si="66"/>
        <v>1943645.80270644</v>
      </c>
      <c r="AZ238">
        <f t="shared" si="67"/>
        <v>337855.90751082002</v>
      </c>
      <c r="BA238">
        <f t="shared" si="59"/>
        <v>32076.856599999999</v>
      </c>
      <c r="BB238">
        <f t="shared" si="60"/>
        <v>0</v>
      </c>
      <c r="BC238">
        <f t="shared" si="61"/>
        <v>0</v>
      </c>
      <c r="BD238">
        <f t="shared" si="62"/>
        <v>0</v>
      </c>
      <c r="BE238">
        <f t="shared" si="63"/>
        <v>0</v>
      </c>
      <c r="BF238">
        <f t="shared" si="64"/>
        <v>0</v>
      </c>
      <c r="BG238">
        <f t="shared" si="68"/>
        <v>19412.977298399997</v>
      </c>
      <c r="BH238">
        <f t="shared" si="69"/>
        <v>19200.775612199999</v>
      </c>
      <c r="BI238">
        <f t="shared" si="70"/>
        <v>18618.833033639999</v>
      </c>
      <c r="BJ238">
        <f t="shared" si="71"/>
        <v>17656.465724099999</v>
      </c>
      <c r="BK238">
        <f t="shared" si="72"/>
        <v>17514.246341760001</v>
      </c>
      <c r="BL238">
        <f t="shared" si="73"/>
        <v>16651.995239879998</v>
      </c>
    </row>
    <row r="239" spans="1:64">
      <c r="A239" t="str">
        <f t="shared" si="58"/>
        <v>19</v>
      </c>
      <c r="B239" t="s">
        <v>605</v>
      </c>
      <c r="C239" t="s">
        <v>676</v>
      </c>
      <c r="D239">
        <v>55</v>
      </c>
      <c r="E239">
        <v>2</v>
      </c>
      <c r="F239">
        <v>10</v>
      </c>
      <c r="G239">
        <v>2</v>
      </c>
      <c r="H239">
        <v>200</v>
      </c>
      <c r="I239" t="s">
        <v>607</v>
      </c>
      <c r="J239">
        <v>0.67679999999999996</v>
      </c>
      <c r="K239">
        <v>172.84520000000001</v>
      </c>
      <c r="L239">
        <v>3.6600000000000001E-2</v>
      </c>
      <c r="M239">
        <v>0.74829999999999997</v>
      </c>
      <c r="N239">
        <v>41.361699999999999</v>
      </c>
      <c r="O239">
        <v>87.131</v>
      </c>
      <c r="P239">
        <v>318.73390000000001</v>
      </c>
      <c r="Q239">
        <v>239.75210000000001</v>
      </c>
      <c r="R239">
        <v>4.6199999999999998E-2</v>
      </c>
      <c r="S239">
        <v>0.72550000000000003</v>
      </c>
      <c r="T239">
        <v>0.44829999999999998</v>
      </c>
      <c r="U239">
        <v>1.2500000000000001E-2</v>
      </c>
      <c r="V239">
        <v>0.7399</v>
      </c>
      <c r="W239">
        <v>10.6036</v>
      </c>
      <c r="X239">
        <v>94.723100000000002</v>
      </c>
      <c r="Y239">
        <v>83.5077</v>
      </c>
      <c r="Z239">
        <v>88.299899999999994</v>
      </c>
      <c r="AA239">
        <v>202.18049999999999</v>
      </c>
      <c r="AB239">
        <v>6.5239000000000003</v>
      </c>
      <c r="AC239">
        <v>54.186700000000002</v>
      </c>
      <c r="AD239">
        <v>38.974600000000002</v>
      </c>
      <c r="AE239">
        <v>1.5707</v>
      </c>
      <c r="AF239">
        <v>8911.2823000000008</v>
      </c>
      <c r="AG239">
        <v>61.579300000000003</v>
      </c>
      <c r="AH239">
        <v>2.0261999999999998</v>
      </c>
      <c r="AI239">
        <v>90.196600000000004</v>
      </c>
      <c r="AJ239">
        <v>73.2</v>
      </c>
      <c r="AK239">
        <v>83.740700000000004</v>
      </c>
      <c r="AL239">
        <v>1.5226</v>
      </c>
      <c r="AM239">
        <v>0.05</v>
      </c>
      <c r="AN239">
        <v>1.35E-2</v>
      </c>
      <c r="AO239">
        <v>92.165499999999994</v>
      </c>
      <c r="AP239">
        <v>92.088399999999993</v>
      </c>
      <c r="AQ239">
        <v>91.054699999999997</v>
      </c>
      <c r="AR239">
        <v>88.266099999999994</v>
      </c>
      <c r="AS239">
        <v>83.676400000000001</v>
      </c>
      <c r="AT239">
        <v>83.010999999999996</v>
      </c>
      <c r="AU239">
        <v>78.978700000000003</v>
      </c>
      <c r="AV239">
        <v>5533.5664999999999</v>
      </c>
      <c r="AW239">
        <v>13996.7173</v>
      </c>
      <c r="AX239">
        <f t="shared" si="65"/>
        <v>758435.92131991009</v>
      </c>
      <c r="AY239">
        <f t="shared" si="66"/>
        <v>861908.0536318901</v>
      </c>
      <c r="AZ239">
        <f t="shared" si="67"/>
        <v>148415.59156227999</v>
      </c>
      <c r="BA239">
        <f t="shared" si="59"/>
        <v>0</v>
      </c>
      <c r="BB239">
        <f t="shared" si="60"/>
        <v>13996.7173</v>
      </c>
      <c r="BC239">
        <f t="shared" si="61"/>
        <v>0</v>
      </c>
      <c r="BD239">
        <f t="shared" si="62"/>
        <v>0</v>
      </c>
      <c r="BE239">
        <f t="shared" si="63"/>
        <v>0</v>
      </c>
      <c r="BF239">
        <f t="shared" si="64"/>
        <v>0</v>
      </c>
      <c r="BG239">
        <f t="shared" si="68"/>
        <v>8722.8987220399995</v>
      </c>
      <c r="BH239">
        <f t="shared" si="69"/>
        <v>8624.9834535699993</v>
      </c>
      <c r="BI239">
        <f t="shared" si="70"/>
        <v>8360.8386169099995</v>
      </c>
      <c r="BJ239">
        <f t="shared" si="71"/>
        <v>7926.0880048400004</v>
      </c>
      <c r="BK239">
        <f t="shared" si="72"/>
        <v>7863.0592540999996</v>
      </c>
      <c r="BL239">
        <f t="shared" si="73"/>
        <v>7481.1072979700002</v>
      </c>
    </row>
    <row r="240" spans="1:64">
      <c r="A240" t="str">
        <f t="shared" si="58"/>
        <v>20</v>
      </c>
      <c r="B240" t="s">
        <v>605</v>
      </c>
      <c r="C240" t="s">
        <v>677</v>
      </c>
      <c r="D240">
        <v>55</v>
      </c>
      <c r="E240">
        <v>1</v>
      </c>
      <c r="F240">
        <v>6</v>
      </c>
      <c r="G240">
        <v>2</v>
      </c>
      <c r="H240">
        <v>100</v>
      </c>
      <c r="I240" t="s">
        <v>607</v>
      </c>
      <c r="J240">
        <v>0.53400000000000003</v>
      </c>
      <c r="K240">
        <v>112.86799999999999</v>
      </c>
      <c r="L240">
        <v>3.4000000000000002E-2</v>
      </c>
      <c r="M240">
        <v>0.83389999999999997</v>
      </c>
      <c r="N240">
        <v>32.593800000000002</v>
      </c>
      <c r="O240">
        <v>87.450900000000004</v>
      </c>
      <c r="P240">
        <v>326.76839999999999</v>
      </c>
      <c r="Q240">
        <v>254.7876</v>
      </c>
      <c r="R240">
        <v>0.29459999999999997</v>
      </c>
      <c r="S240">
        <v>0.63449999999999995</v>
      </c>
      <c r="T240">
        <v>0.2984</v>
      </c>
      <c r="U240">
        <v>4.0000000000000001E-3</v>
      </c>
      <c r="V240">
        <v>0.66449999999999998</v>
      </c>
      <c r="W240">
        <v>10.934900000000001</v>
      </c>
      <c r="X240">
        <v>356.74130000000002</v>
      </c>
      <c r="Y240">
        <v>315.12610000000001</v>
      </c>
      <c r="Z240">
        <v>323.39530000000002</v>
      </c>
      <c r="AA240">
        <v>979.92380000000003</v>
      </c>
      <c r="AB240">
        <v>21.726700000000001</v>
      </c>
      <c r="AC240">
        <v>56.658200000000001</v>
      </c>
      <c r="AD240">
        <v>41.385199999999998</v>
      </c>
      <c r="AE240">
        <v>6.1295000000000002</v>
      </c>
      <c r="AF240">
        <v>9303.2788</v>
      </c>
      <c r="AG240">
        <v>58.228200000000001</v>
      </c>
      <c r="AH240">
        <v>5.0685000000000002</v>
      </c>
      <c r="AI240">
        <v>88.971900000000005</v>
      </c>
      <c r="AJ240">
        <v>73.2</v>
      </c>
      <c r="AK240">
        <v>81.181899999999999</v>
      </c>
      <c r="AL240">
        <v>1.5763</v>
      </c>
      <c r="AM240">
        <v>0.05</v>
      </c>
      <c r="AN240">
        <v>1.2500000000000001E-2</v>
      </c>
      <c r="AO240">
        <v>88.479200000000006</v>
      </c>
      <c r="AP240">
        <v>92.693100000000001</v>
      </c>
      <c r="AQ240">
        <v>91.632999999999996</v>
      </c>
      <c r="AR240">
        <v>89.592799999999997</v>
      </c>
      <c r="AS240">
        <v>85.253200000000007</v>
      </c>
      <c r="AT240">
        <v>84.544200000000004</v>
      </c>
      <c r="AU240">
        <v>80.47</v>
      </c>
      <c r="AV240">
        <v>22795.139599999999</v>
      </c>
      <c r="AW240">
        <v>57010.010699999999</v>
      </c>
      <c r="AX240">
        <f t="shared" si="65"/>
        <v>3230084.5882427399</v>
      </c>
      <c r="AY240">
        <f t="shared" si="66"/>
        <v>3319590.3050417402</v>
      </c>
      <c r="AZ240">
        <f t="shared" si="67"/>
        <v>623398.76600343001</v>
      </c>
      <c r="BA240">
        <f t="shared" si="59"/>
        <v>57010.010699999999</v>
      </c>
      <c r="BB240">
        <f t="shared" si="60"/>
        <v>0</v>
      </c>
      <c r="BC240">
        <f t="shared" si="61"/>
        <v>0</v>
      </c>
      <c r="BD240">
        <f t="shared" si="62"/>
        <v>0</v>
      </c>
      <c r="BE240">
        <f t="shared" si="63"/>
        <v>0</v>
      </c>
      <c r="BF240">
        <f t="shared" si="64"/>
        <v>0</v>
      </c>
      <c r="BG240">
        <f t="shared" si="68"/>
        <v>33067.456995029999</v>
      </c>
      <c r="BH240">
        <f t="shared" si="69"/>
        <v>32689.275542899999</v>
      </c>
      <c r="BI240">
        <f t="shared" si="70"/>
        <v>31961.45194264</v>
      </c>
      <c r="BJ240">
        <f t="shared" si="71"/>
        <v>30413.337397160005</v>
      </c>
      <c r="BK240">
        <f t="shared" si="72"/>
        <v>30160.407815460003</v>
      </c>
      <c r="BL240">
        <f t="shared" si="73"/>
        <v>28706.972411000002</v>
      </c>
    </row>
    <row r="241" spans="1:64">
      <c r="A241" t="str">
        <f t="shared" si="58"/>
        <v>20</v>
      </c>
      <c r="B241" t="s">
        <v>605</v>
      </c>
      <c r="C241" t="s">
        <v>677</v>
      </c>
      <c r="D241">
        <v>55</v>
      </c>
      <c r="E241">
        <v>1</v>
      </c>
      <c r="F241">
        <v>6</v>
      </c>
      <c r="G241">
        <v>2</v>
      </c>
      <c r="H241">
        <v>200</v>
      </c>
      <c r="I241" t="s">
        <v>607</v>
      </c>
      <c r="J241">
        <v>0.43580000000000002</v>
      </c>
      <c r="K241">
        <v>81.350200000000001</v>
      </c>
      <c r="L241">
        <v>3.2599999999999997E-2</v>
      </c>
      <c r="M241">
        <v>0.8</v>
      </c>
      <c r="N241">
        <v>31.492599999999999</v>
      </c>
      <c r="O241">
        <v>86.653499999999994</v>
      </c>
      <c r="P241">
        <v>393.70269999999999</v>
      </c>
      <c r="Q241">
        <v>253.12379999999999</v>
      </c>
      <c r="R241">
        <v>0.36349999999999999</v>
      </c>
      <c r="S241">
        <v>0.65439999999999998</v>
      </c>
      <c r="T241">
        <v>0.31869999999999998</v>
      </c>
      <c r="U241">
        <v>4.3E-3</v>
      </c>
      <c r="V241">
        <v>0.57799999999999996</v>
      </c>
      <c r="W241">
        <v>11.1708</v>
      </c>
      <c r="X241">
        <v>132.1146</v>
      </c>
      <c r="Y241">
        <v>117.6682</v>
      </c>
      <c r="Z241">
        <v>119.7773</v>
      </c>
      <c r="AA241">
        <v>376.4126</v>
      </c>
      <c r="AB241">
        <v>61.145000000000003</v>
      </c>
      <c r="AC241">
        <v>54.180199999999999</v>
      </c>
      <c r="AD241">
        <v>48.604399999999998</v>
      </c>
      <c r="AE241">
        <v>2.6038999999999999</v>
      </c>
      <c r="AF241">
        <v>9251.5162999999993</v>
      </c>
      <c r="AG241">
        <v>52.032600000000002</v>
      </c>
      <c r="AH241">
        <v>1.6355999999999999</v>
      </c>
      <c r="AI241">
        <v>88.338300000000004</v>
      </c>
      <c r="AJ241">
        <v>73.2</v>
      </c>
      <c r="AK241">
        <v>79.870800000000003</v>
      </c>
      <c r="AL241">
        <v>1.6017999999999999</v>
      </c>
      <c r="AM241">
        <v>0.05</v>
      </c>
      <c r="AN241">
        <v>1.21E-2</v>
      </c>
      <c r="AO241">
        <v>85.825500000000005</v>
      </c>
      <c r="AP241">
        <v>93.289900000000003</v>
      </c>
      <c r="AQ241">
        <v>92.278899999999993</v>
      </c>
      <c r="AR241">
        <v>90.814700000000002</v>
      </c>
      <c r="AS241">
        <v>86.9786</v>
      </c>
      <c r="AT241">
        <v>86.318299999999994</v>
      </c>
      <c r="AU241">
        <v>82.757900000000006</v>
      </c>
      <c r="AV241">
        <v>9506.5341000000008</v>
      </c>
      <c r="AW241">
        <v>24079.414199999999</v>
      </c>
      <c r="AX241">
        <f t="shared" si="65"/>
        <v>1304627.47723884</v>
      </c>
      <c r="AY241">
        <f t="shared" si="66"/>
        <v>1252914.5273029201</v>
      </c>
      <c r="AZ241">
        <f t="shared" si="67"/>
        <v>268986.32014535996</v>
      </c>
      <c r="BA241">
        <f t="shared" si="59"/>
        <v>24079.414199999999</v>
      </c>
      <c r="BB241">
        <f t="shared" si="60"/>
        <v>0</v>
      </c>
      <c r="BC241">
        <f t="shared" si="61"/>
        <v>0</v>
      </c>
      <c r="BD241">
        <f t="shared" si="62"/>
        <v>0</v>
      </c>
      <c r="BE241">
        <f t="shared" si="63"/>
        <v>0</v>
      </c>
      <c r="BF241">
        <f t="shared" si="64"/>
        <v>0</v>
      </c>
      <c r="BG241">
        <f t="shared" si="68"/>
        <v>12324.95782254</v>
      </c>
      <c r="BH241">
        <f t="shared" si="69"/>
        <v>12191.389961939998</v>
      </c>
      <c r="BI241">
        <f t="shared" si="70"/>
        <v>11997.947764619999</v>
      </c>
      <c r="BJ241">
        <f t="shared" si="71"/>
        <v>11491.14294756</v>
      </c>
      <c r="BK241">
        <f t="shared" si="72"/>
        <v>11403.907677179999</v>
      </c>
      <c r="BL241">
        <f t="shared" si="73"/>
        <v>10933.52685534</v>
      </c>
    </row>
    <row r="242" spans="1:64">
      <c r="A242" t="str">
        <f t="shared" si="58"/>
        <v>20</v>
      </c>
      <c r="B242" t="s">
        <v>605</v>
      </c>
      <c r="C242" t="s">
        <v>677</v>
      </c>
      <c r="D242">
        <v>55</v>
      </c>
      <c r="E242">
        <v>1</v>
      </c>
      <c r="F242">
        <v>6</v>
      </c>
      <c r="G242">
        <v>4</v>
      </c>
      <c r="H242">
        <v>100</v>
      </c>
      <c r="I242" t="s">
        <v>607</v>
      </c>
      <c r="J242">
        <v>0.43490000000000001</v>
      </c>
      <c r="K242">
        <v>80.213300000000004</v>
      </c>
      <c r="L242">
        <v>2.9100000000000001E-2</v>
      </c>
      <c r="M242">
        <v>0.83330000000000004</v>
      </c>
      <c r="N242">
        <v>32.982300000000002</v>
      </c>
      <c r="O242">
        <v>87.694199999999995</v>
      </c>
      <c r="P242">
        <v>546.77829999999994</v>
      </c>
      <c r="Q242">
        <v>252.2551</v>
      </c>
      <c r="R242">
        <v>0.29780000000000001</v>
      </c>
      <c r="S242">
        <v>0.67779999999999996</v>
      </c>
      <c r="T242">
        <v>0.31969999999999998</v>
      </c>
      <c r="U242">
        <v>5.3E-3</v>
      </c>
      <c r="V242">
        <v>0.53239999999999998</v>
      </c>
      <c r="W242">
        <v>11.4457</v>
      </c>
      <c r="X242">
        <v>26.7822</v>
      </c>
      <c r="Y242">
        <v>24.1327</v>
      </c>
      <c r="Z242">
        <v>24.614599999999999</v>
      </c>
      <c r="AA242">
        <v>73.168099999999995</v>
      </c>
      <c r="AB242">
        <v>51.661900000000003</v>
      </c>
      <c r="AC242">
        <v>51.5261</v>
      </c>
      <c r="AD242">
        <v>56.425600000000003</v>
      </c>
      <c r="AE242">
        <v>0.57469999999999999</v>
      </c>
      <c r="AF242">
        <v>9238.7877000000008</v>
      </c>
      <c r="AG242">
        <v>44.022300000000001</v>
      </c>
      <c r="AH242">
        <v>0.34839999999999999</v>
      </c>
      <c r="AI242">
        <v>88.314599999999999</v>
      </c>
      <c r="AJ242">
        <v>73.2</v>
      </c>
      <c r="AK242">
        <v>79.8185</v>
      </c>
      <c r="AL242">
        <v>1.6408</v>
      </c>
      <c r="AM242">
        <v>0.05</v>
      </c>
      <c r="AN242">
        <v>1.37E-2</v>
      </c>
      <c r="AO242">
        <v>82.328999999999994</v>
      </c>
      <c r="AP242">
        <v>94.478899999999996</v>
      </c>
      <c r="AQ242">
        <v>93.389399999999995</v>
      </c>
      <c r="AR242">
        <v>92.706599999999995</v>
      </c>
      <c r="AS242">
        <v>89.074799999999996</v>
      </c>
      <c r="AT242">
        <v>88.203299999999999</v>
      </c>
      <c r="AU242">
        <v>84.948800000000006</v>
      </c>
      <c r="AV242">
        <v>2090.1412</v>
      </c>
      <c r="AW242">
        <v>5309.3634000000002</v>
      </c>
      <c r="AX242">
        <f t="shared" si="65"/>
        <v>273570.78948474</v>
      </c>
      <c r="AY242">
        <f t="shared" si="66"/>
        <v>233730.38840382002</v>
      </c>
      <c r="AZ242">
        <f t="shared" si="67"/>
        <v>60769.380667380006</v>
      </c>
      <c r="BA242">
        <f t="shared" si="59"/>
        <v>5309.3634000000002</v>
      </c>
      <c r="BB242">
        <f t="shared" si="60"/>
        <v>0</v>
      </c>
      <c r="BC242">
        <f t="shared" si="61"/>
        <v>0</v>
      </c>
      <c r="BD242">
        <f t="shared" si="62"/>
        <v>0</v>
      </c>
      <c r="BE242">
        <f t="shared" si="63"/>
        <v>0</v>
      </c>
      <c r="BF242">
        <f t="shared" si="64"/>
        <v>0</v>
      </c>
      <c r="BG242">
        <f t="shared" si="68"/>
        <v>2530.35279558</v>
      </c>
      <c r="BH242">
        <f t="shared" si="69"/>
        <v>2501.1735886799997</v>
      </c>
      <c r="BI242">
        <f t="shared" si="70"/>
        <v>2482.8867025199997</v>
      </c>
      <c r="BJ242">
        <f t="shared" si="71"/>
        <v>2385.6191085599999</v>
      </c>
      <c r="BK242">
        <f t="shared" si="72"/>
        <v>2362.27842126</v>
      </c>
      <c r="BL242">
        <f t="shared" si="73"/>
        <v>2275.1157513600001</v>
      </c>
    </row>
    <row r="243" spans="1:64">
      <c r="A243" t="str">
        <f t="shared" si="58"/>
        <v>20</v>
      </c>
      <c r="B243" t="s">
        <v>605</v>
      </c>
      <c r="C243" t="s">
        <v>677</v>
      </c>
      <c r="D243">
        <v>55</v>
      </c>
      <c r="E243">
        <v>1</v>
      </c>
      <c r="F243">
        <v>6</v>
      </c>
      <c r="G243">
        <v>4</v>
      </c>
      <c r="H243">
        <v>200</v>
      </c>
      <c r="I243" t="s">
        <v>607</v>
      </c>
      <c r="J243">
        <v>0.49880000000000002</v>
      </c>
      <c r="K243">
        <v>79.076800000000006</v>
      </c>
      <c r="L243">
        <v>2.4E-2</v>
      </c>
      <c r="M243">
        <v>0.72399999999999998</v>
      </c>
      <c r="N243">
        <v>33.043999999999997</v>
      </c>
      <c r="O243">
        <v>64.197900000000004</v>
      </c>
      <c r="P243">
        <v>717.02499999999998</v>
      </c>
      <c r="Q243">
        <v>253.01669999999999</v>
      </c>
      <c r="R243">
        <v>0.33650000000000002</v>
      </c>
      <c r="S243">
        <v>0.69079999999999997</v>
      </c>
      <c r="T243">
        <v>0.36030000000000001</v>
      </c>
      <c r="U243">
        <v>4.7999999999999996E-3</v>
      </c>
      <c r="V243">
        <v>0.56899999999999995</v>
      </c>
      <c r="W243">
        <v>11.437900000000001</v>
      </c>
      <c r="X243">
        <v>2.2818999999999998</v>
      </c>
      <c r="Y243">
        <v>2.0011000000000001</v>
      </c>
      <c r="Z243">
        <v>2.0390999999999999</v>
      </c>
      <c r="AA243">
        <v>6.056</v>
      </c>
      <c r="AB243">
        <v>80.590500000000006</v>
      </c>
      <c r="AC243">
        <v>51.717399999999998</v>
      </c>
      <c r="AD243">
        <v>57.137900000000002</v>
      </c>
      <c r="AE243">
        <v>4.5600000000000002E-2</v>
      </c>
      <c r="AF243">
        <v>9270.0933999999997</v>
      </c>
      <c r="AG243">
        <v>43.615200000000002</v>
      </c>
      <c r="AH243">
        <v>2.8400000000000002E-2</v>
      </c>
      <c r="AI243">
        <v>88.371300000000005</v>
      </c>
      <c r="AJ243">
        <v>73.2</v>
      </c>
      <c r="AK243">
        <v>79.935000000000002</v>
      </c>
      <c r="AL243">
        <v>1.619</v>
      </c>
      <c r="AM243">
        <v>0.05</v>
      </c>
      <c r="AN243">
        <v>3.5999999999999997E-2</v>
      </c>
      <c r="AO243">
        <v>82.083600000000004</v>
      </c>
      <c r="AP243">
        <v>94.271699999999996</v>
      </c>
      <c r="AQ243">
        <v>93.227199999999996</v>
      </c>
      <c r="AR243">
        <v>92.586299999999994</v>
      </c>
      <c r="AS243">
        <v>89.213499999999996</v>
      </c>
      <c r="AT243">
        <v>88.367699999999999</v>
      </c>
      <c r="AU243">
        <v>85.280799999999999</v>
      </c>
      <c r="AV243">
        <v>166.46719999999999</v>
      </c>
      <c r="AW243">
        <v>422.88130000000001</v>
      </c>
      <c r="AX243">
        <f t="shared" si="65"/>
        <v>21870.321344619999</v>
      </c>
      <c r="AY243">
        <f t="shared" si="66"/>
        <v>18444.05247576</v>
      </c>
      <c r="AZ243">
        <f t="shared" si="67"/>
        <v>4836.8740212700004</v>
      </c>
      <c r="BA243">
        <f t="shared" si="59"/>
        <v>422.88130000000001</v>
      </c>
      <c r="BB243">
        <f t="shared" si="60"/>
        <v>0</v>
      </c>
      <c r="BC243">
        <f t="shared" si="61"/>
        <v>0</v>
      </c>
      <c r="BD243">
        <f t="shared" si="62"/>
        <v>0</v>
      </c>
      <c r="BE243">
        <f t="shared" si="63"/>
        <v>0</v>
      </c>
      <c r="BF243">
        <f t="shared" si="64"/>
        <v>0</v>
      </c>
      <c r="BG243">
        <f t="shared" si="68"/>
        <v>215.11859222999996</v>
      </c>
      <c r="BH243">
        <f t="shared" si="69"/>
        <v>212.73514767999998</v>
      </c>
      <c r="BI243">
        <f t="shared" si="70"/>
        <v>211.27267796999996</v>
      </c>
      <c r="BJ243">
        <f t="shared" si="71"/>
        <v>203.57628564999999</v>
      </c>
      <c r="BK243">
        <f t="shared" si="72"/>
        <v>201.64625462999999</v>
      </c>
      <c r="BL243">
        <f t="shared" si="73"/>
        <v>194.60225751999999</v>
      </c>
    </row>
    <row r="244" spans="1:64">
      <c r="A244" t="str">
        <f t="shared" si="58"/>
        <v>21</v>
      </c>
      <c r="B244" t="s">
        <v>605</v>
      </c>
      <c r="C244" t="s">
        <v>678</v>
      </c>
      <c r="D244">
        <v>55</v>
      </c>
      <c r="E244">
        <v>1</v>
      </c>
      <c r="F244">
        <v>6</v>
      </c>
      <c r="G244">
        <v>2</v>
      </c>
      <c r="H244">
        <v>100</v>
      </c>
      <c r="I244" t="s">
        <v>607</v>
      </c>
      <c r="J244">
        <v>0.51480000000000004</v>
      </c>
      <c r="K244">
        <v>102.7529</v>
      </c>
      <c r="L244">
        <v>3.2099999999999997E-2</v>
      </c>
      <c r="M244">
        <v>0.88839999999999997</v>
      </c>
      <c r="N244">
        <v>31.320599999999999</v>
      </c>
      <c r="O244">
        <v>87.747100000000003</v>
      </c>
      <c r="P244">
        <v>350.87549999999999</v>
      </c>
      <c r="Q244">
        <v>259.76780000000002</v>
      </c>
      <c r="R244">
        <v>0.35070000000000001</v>
      </c>
      <c r="S244">
        <v>0.59860000000000002</v>
      </c>
      <c r="T244">
        <v>0.30530000000000002</v>
      </c>
      <c r="U244">
        <v>3.5999999999999999E-3</v>
      </c>
      <c r="V244">
        <v>0.59299999999999997</v>
      </c>
      <c r="W244">
        <v>10.9956</v>
      </c>
      <c r="X244">
        <v>135.09010000000001</v>
      </c>
      <c r="Y244">
        <v>118.6738</v>
      </c>
      <c r="Z244">
        <v>122.90009999999999</v>
      </c>
      <c r="AA244">
        <v>379.61169999999998</v>
      </c>
      <c r="AB244">
        <v>13.4801</v>
      </c>
      <c r="AC244">
        <v>58.118600000000001</v>
      </c>
      <c r="AD244">
        <v>37.802199999999999</v>
      </c>
      <c r="AE244">
        <v>2.5943999999999998</v>
      </c>
      <c r="AF244">
        <v>9407.7908000000007</v>
      </c>
      <c r="AG244">
        <v>59.351199999999999</v>
      </c>
      <c r="AH244">
        <v>2.2008999999999999</v>
      </c>
      <c r="AI244">
        <v>89.062200000000004</v>
      </c>
      <c r="AJ244">
        <v>73.2</v>
      </c>
      <c r="AK244">
        <v>81.365899999999996</v>
      </c>
      <c r="AL244">
        <v>1.6074999999999999</v>
      </c>
      <c r="AM244">
        <v>0.05</v>
      </c>
      <c r="AN244">
        <v>1.06E-2</v>
      </c>
      <c r="AO244">
        <v>88.785899999999998</v>
      </c>
      <c r="AP244">
        <v>92.180700000000002</v>
      </c>
      <c r="AQ244">
        <v>91.088399999999993</v>
      </c>
      <c r="AR244">
        <v>88.719200000000001</v>
      </c>
      <c r="AS244">
        <v>84.348399999999998</v>
      </c>
      <c r="AT244">
        <v>83.691400000000002</v>
      </c>
      <c r="AU244">
        <v>79.672200000000004</v>
      </c>
      <c r="AV244">
        <v>9625.9621999999999</v>
      </c>
      <c r="AW244">
        <v>24404.940399999999</v>
      </c>
      <c r="AX244">
        <f t="shared" si="65"/>
        <v>1418380.9691314399</v>
      </c>
      <c r="AY244">
        <f t="shared" si="66"/>
        <v>1448462.49866848</v>
      </c>
      <c r="AZ244">
        <f t="shared" si="67"/>
        <v>268346.96266223997</v>
      </c>
      <c r="BA244">
        <f t="shared" si="59"/>
        <v>24404.940399999999</v>
      </c>
      <c r="BB244">
        <f t="shared" si="60"/>
        <v>0</v>
      </c>
      <c r="BC244">
        <f t="shared" si="61"/>
        <v>0</v>
      </c>
      <c r="BD244">
        <f t="shared" si="62"/>
        <v>0</v>
      </c>
      <c r="BE244">
        <f t="shared" si="63"/>
        <v>0</v>
      </c>
      <c r="BF244">
        <f t="shared" si="64"/>
        <v>0</v>
      </c>
      <c r="BG244">
        <f t="shared" si="68"/>
        <v>12452.699981070002</v>
      </c>
      <c r="BH244">
        <f t="shared" si="69"/>
        <v>12305.14106484</v>
      </c>
      <c r="BI244">
        <f t="shared" si="70"/>
        <v>11985.085599920001</v>
      </c>
      <c r="BJ244">
        <f t="shared" si="71"/>
        <v>11394.63379084</v>
      </c>
      <c r="BK244">
        <f t="shared" si="72"/>
        <v>11305.879595140001</v>
      </c>
      <c r="BL244">
        <f t="shared" si="73"/>
        <v>10762.925465220002</v>
      </c>
    </row>
    <row r="245" spans="1:64">
      <c r="A245" t="str">
        <f t="shared" si="58"/>
        <v>21</v>
      </c>
      <c r="B245" t="s">
        <v>605</v>
      </c>
      <c r="C245" t="s">
        <v>678</v>
      </c>
      <c r="D245">
        <v>55</v>
      </c>
      <c r="E245">
        <v>1</v>
      </c>
      <c r="F245">
        <v>6</v>
      </c>
      <c r="G245">
        <v>2</v>
      </c>
      <c r="H245">
        <v>200</v>
      </c>
      <c r="I245" t="s">
        <v>607</v>
      </c>
      <c r="J245">
        <v>0.61709999999999998</v>
      </c>
      <c r="K245">
        <v>133.01730000000001</v>
      </c>
      <c r="L245">
        <v>3.5499999999999997E-2</v>
      </c>
      <c r="M245">
        <v>0.75590000000000002</v>
      </c>
      <c r="N245">
        <v>37.15</v>
      </c>
      <c r="O245">
        <v>87.211600000000004</v>
      </c>
      <c r="P245">
        <v>314.4588</v>
      </c>
      <c r="Q245">
        <v>258.78789999999998</v>
      </c>
      <c r="R245">
        <v>0.23119999999999999</v>
      </c>
      <c r="S245">
        <v>0.68640000000000001</v>
      </c>
      <c r="T245">
        <v>0.4496</v>
      </c>
      <c r="U245">
        <v>8.8999999999999999E-3</v>
      </c>
      <c r="V245">
        <v>0.66490000000000005</v>
      </c>
      <c r="W245">
        <v>10.6066</v>
      </c>
      <c r="X245">
        <v>372.34359999999998</v>
      </c>
      <c r="Y245">
        <v>325.27960000000002</v>
      </c>
      <c r="Z245">
        <v>339.22550000000001</v>
      </c>
      <c r="AA245">
        <v>876.0942</v>
      </c>
      <c r="AB245">
        <v>10.4682</v>
      </c>
      <c r="AC245">
        <v>60.027799999999999</v>
      </c>
      <c r="AD245">
        <v>35.397199999999998</v>
      </c>
      <c r="AE245">
        <v>6.3586999999999998</v>
      </c>
      <c r="AF245">
        <v>9499.7171999999991</v>
      </c>
      <c r="AG245">
        <v>60.461300000000001</v>
      </c>
      <c r="AH245">
        <v>6.6528</v>
      </c>
      <c r="AI245">
        <v>89.5261</v>
      </c>
      <c r="AJ245">
        <v>73.2</v>
      </c>
      <c r="AK245">
        <v>82.334000000000003</v>
      </c>
      <c r="AL245">
        <v>1.5107999999999999</v>
      </c>
      <c r="AM245">
        <v>0.05</v>
      </c>
      <c r="AN245">
        <v>9.4000000000000004E-3</v>
      </c>
      <c r="AO245">
        <v>89.034400000000005</v>
      </c>
      <c r="AP245">
        <v>91.632499999999993</v>
      </c>
      <c r="AQ245">
        <v>90.562299999999993</v>
      </c>
      <c r="AR245">
        <v>87.625900000000001</v>
      </c>
      <c r="AS245">
        <v>82.936000000000007</v>
      </c>
      <c r="AT245">
        <v>82.331599999999995</v>
      </c>
      <c r="AU245">
        <v>78.232600000000005</v>
      </c>
      <c r="AV245">
        <v>23819.546300000002</v>
      </c>
      <c r="AW245">
        <v>60405.844700000001</v>
      </c>
      <c r="AX245">
        <f t="shared" si="65"/>
        <v>3626029.9644826599</v>
      </c>
      <c r="AY245">
        <f t="shared" si="66"/>
        <v>3652215.8981601102</v>
      </c>
      <c r="AZ245">
        <f t="shared" si="67"/>
        <v>640700.63239501999</v>
      </c>
      <c r="BA245">
        <f t="shared" si="59"/>
        <v>60405.844700000001</v>
      </c>
      <c r="BB245">
        <f t="shared" si="60"/>
        <v>0</v>
      </c>
      <c r="BC245">
        <f t="shared" si="61"/>
        <v>0</v>
      </c>
      <c r="BD245">
        <f t="shared" si="62"/>
        <v>0</v>
      </c>
      <c r="BE245">
        <f t="shared" si="63"/>
        <v>0</v>
      </c>
      <c r="BF245">
        <f t="shared" si="64"/>
        <v>0</v>
      </c>
      <c r="BG245">
        <f t="shared" si="68"/>
        <v>34118.774926999999</v>
      </c>
      <c r="BH245">
        <f t="shared" si="69"/>
        <v>33720.292806279998</v>
      </c>
      <c r="BI245">
        <f t="shared" si="70"/>
        <v>32626.943059239999</v>
      </c>
      <c r="BJ245">
        <f t="shared" si="71"/>
        <v>30880.6888096</v>
      </c>
      <c r="BK245">
        <f t="shared" si="72"/>
        <v>30655.644337759997</v>
      </c>
      <c r="BL245">
        <f t="shared" si="73"/>
        <v>29129.407921360002</v>
      </c>
    </row>
    <row r="246" spans="1:64">
      <c r="A246" t="str">
        <f t="shared" si="58"/>
        <v>21</v>
      </c>
      <c r="B246" t="s">
        <v>605</v>
      </c>
      <c r="C246" t="s">
        <v>678</v>
      </c>
      <c r="D246">
        <v>55</v>
      </c>
      <c r="E246">
        <v>2</v>
      </c>
      <c r="F246">
        <v>10</v>
      </c>
      <c r="G246">
        <v>2</v>
      </c>
      <c r="H246">
        <v>200</v>
      </c>
      <c r="I246" t="s">
        <v>607</v>
      </c>
      <c r="J246">
        <v>0.70279999999999998</v>
      </c>
      <c r="K246">
        <v>171.45939999999999</v>
      </c>
      <c r="L246">
        <v>3.61E-2</v>
      </c>
      <c r="M246">
        <v>0.71899999999999997</v>
      </c>
      <c r="N246">
        <v>42.7639</v>
      </c>
      <c r="O246">
        <v>84.619900000000001</v>
      </c>
      <c r="P246">
        <v>317.11430000000001</v>
      </c>
      <c r="Q246">
        <v>241.53970000000001</v>
      </c>
      <c r="R246">
        <v>3.9199999999999999E-2</v>
      </c>
      <c r="S246">
        <v>0.62590000000000001</v>
      </c>
      <c r="T246">
        <v>0.4864</v>
      </c>
      <c r="U246">
        <v>1.3299999999999999E-2</v>
      </c>
      <c r="V246">
        <v>0.76580000000000004</v>
      </c>
      <c r="W246">
        <v>10.5831</v>
      </c>
      <c r="X246">
        <v>4.7892000000000001</v>
      </c>
      <c r="Y246">
        <v>4.1999000000000004</v>
      </c>
      <c r="Z246">
        <v>4.4252000000000002</v>
      </c>
      <c r="AA246">
        <v>9.8209999999999997</v>
      </c>
      <c r="AB246">
        <v>5.1367000000000003</v>
      </c>
      <c r="AC246">
        <v>54.813000000000002</v>
      </c>
      <c r="AD246">
        <v>38.852699999999999</v>
      </c>
      <c r="AE246">
        <v>7.5899999999999995E-2</v>
      </c>
      <c r="AF246">
        <v>8973.7286999999997</v>
      </c>
      <c r="AG246">
        <v>61.402200000000001</v>
      </c>
      <c r="AH246">
        <v>9.7799999999999998E-2</v>
      </c>
      <c r="AI246">
        <v>90.179400000000001</v>
      </c>
      <c r="AJ246">
        <v>73.2</v>
      </c>
      <c r="AK246">
        <v>83.704300000000003</v>
      </c>
      <c r="AL246">
        <v>1.5382</v>
      </c>
      <c r="AM246">
        <v>0.05</v>
      </c>
      <c r="AN246">
        <v>1.83E-2</v>
      </c>
      <c r="AO246">
        <v>91.958200000000005</v>
      </c>
      <c r="AP246">
        <v>91.831500000000005</v>
      </c>
      <c r="AQ246">
        <v>90.811700000000002</v>
      </c>
      <c r="AR246">
        <v>87.887699999999995</v>
      </c>
      <c r="AS246">
        <v>83.245800000000003</v>
      </c>
      <c r="AT246">
        <v>82.629300000000001</v>
      </c>
      <c r="AU246">
        <v>78.672300000000007</v>
      </c>
      <c r="AV246">
        <v>269.06229999999999</v>
      </c>
      <c r="AW246">
        <v>681.42809999999997</v>
      </c>
      <c r="AX246">
        <f t="shared" si="65"/>
        <v>37351.118445300002</v>
      </c>
      <c r="AY246">
        <f t="shared" si="66"/>
        <v>41841.184481819997</v>
      </c>
      <c r="AZ246">
        <f t="shared" si="67"/>
        <v>7211.6217251099997</v>
      </c>
      <c r="BA246">
        <f t="shared" si="59"/>
        <v>0</v>
      </c>
      <c r="BB246">
        <f t="shared" si="60"/>
        <v>681.42809999999997</v>
      </c>
      <c r="BC246">
        <f t="shared" si="61"/>
        <v>0</v>
      </c>
      <c r="BD246">
        <f t="shared" si="62"/>
        <v>0</v>
      </c>
      <c r="BE246">
        <f t="shared" si="63"/>
        <v>0</v>
      </c>
      <c r="BF246">
        <f t="shared" si="64"/>
        <v>0</v>
      </c>
      <c r="BG246">
        <f t="shared" si="68"/>
        <v>439.79941980000001</v>
      </c>
      <c r="BH246">
        <f t="shared" si="69"/>
        <v>434.91539364000005</v>
      </c>
      <c r="BI246">
        <f t="shared" si="70"/>
        <v>420.91177283999997</v>
      </c>
      <c r="BJ246">
        <f t="shared" si="71"/>
        <v>398.68078536000002</v>
      </c>
      <c r="BK246">
        <f t="shared" si="72"/>
        <v>395.72824356000001</v>
      </c>
      <c r="BL246">
        <f t="shared" si="73"/>
        <v>376.77737916000007</v>
      </c>
    </row>
    <row r="247" spans="1:64">
      <c r="A247" t="str">
        <f t="shared" si="58"/>
        <v>17</v>
      </c>
      <c r="B247" t="s">
        <v>605</v>
      </c>
      <c r="C247" t="s">
        <v>679</v>
      </c>
      <c r="D247">
        <v>55</v>
      </c>
      <c r="E247">
        <v>2</v>
      </c>
      <c r="F247">
        <v>6</v>
      </c>
      <c r="G247">
        <v>4</v>
      </c>
      <c r="H247">
        <v>100</v>
      </c>
      <c r="I247" t="s">
        <v>607</v>
      </c>
      <c r="J247">
        <v>0.45</v>
      </c>
      <c r="K247">
        <v>63</v>
      </c>
      <c r="L247">
        <v>0.10979999999999999</v>
      </c>
      <c r="M247">
        <v>3.0286</v>
      </c>
      <c r="N247">
        <v>33.866399999999999</v>
      </c>
      <c r="O247">
        <v>87.906199999999998</v>
      </c>
      <c r="P247">
        <v>505.84219999999999</v>
      </c>
      <c r="Q247">
        <v>235.28290000000001</v>
      </c>
      <c r="R247">
        <v>8.43E-2</v>
      </c>
      <c r="S247">
        <v>0.62</v>
      </c>
      <c r="T247">
        <v>0.30890000000000001</v>
      </c>
      <c r="U247">
        <v>0.2399</v>
      </c>
      <c r="V247">
        <v>0.64</v>
      </c>
      <c r="W247">
        <v>11.790100000000001</v>
      </c>
      <c r="X247">
        <v>16.673300000000001</v>
      </c>
      <c r="Y247">
        <v>14.6945</v>
      </c>
      <c r="Z247">
        <v>14.9884</v>
      </c>
      <c r="AA247">
        <v>43.353299999999997</v>
      </c>
      <c r="AB247">
        <v>10</v>
      </c>
      <c r="AC247">
        <v>45.050199999999997</v>
      </c>
      <c r="AD247">
        <v>44.003</v>
      </c>
      <c r="AE247">
        <v>0.23749999999999999</v>
      </c>
      <c r="AF247">
        <v>8297.0339999999997</v>
      </c>
      <c r="AG247">
        <v>27.470199999999998</v>
      </c>
      <c r="AH247">
        <v>0.21229999999999999</v>
      </c>
      <c r="AI247">
        <v>87.008499999999998</v>
      </c>
      <c r="AJ247">
        <v>73.2</v>
      </c>
      <c r="AK247">
        <v>77.209299999999999</v>
      </c>
      <c r="AL247">
        <v>1.77</v>
      </c>
      <c r="AM247">
        <v>0.05</v>
      </c>
      <c r="AN247">
        <v>1.95E-2</v>
      </c>
      <c r="AO247">
        <v>90.350200000000001</v>
      </c>
      <c r="AP247">
        <v>92.854699999999994</v>
      </c>
      <c r="AQ247">
        <v>91.806600000000003</v>
      </c>
      <c r="AR247">
        <v>89.386399999999995</v>
      </c>
      <c r="AS247">
        <v>84.572100000000006</v>
      </c>
      <c r="AT247">
        <v>83.843699999999998</v>
      </c>
      <c r="AU247">
        <v>79.087000000000003</v>
      </c>
      <c r="AV247">
        <v>1037.2813000000001</v>
      </c>
      <c r="AW247">
        <v>1970.8344</v>
      </c>
      <c r="AX247">
        <f t="shared" si="65"/>
        <v>88786.483886879985</v>
      </c>
      <c r="AY247">
        <f t="shared" si="66"/>
        <v>54139.215134879996</v>
      </c>
      <c r="AZ247">
        <f t="shared" si="67"/>
        <v>23236.334659439999</v>
      </c>
      <c r="BA247">
        <f t="shared" si="59"/>
        <v>0</v>
      </c>
      <c r="BB247">
        <f t="shared" si="60"/>
        <v>1970.8344</v>
      </c>
      <c r="BC247">
        <f t="shared" si="61"/>
        <v>0</v>
      </c>
      <c r="BD247">
        <f t="shared" si="62"/>
        <v>0</v>
      </c>
      <c r="BE247">
        <f t="shared" si="63"/>
        <v>0</v>
      </c>
      <c r="BF247">
        <f t="shared" si="64"/>
        <v>0</v>
      </c>
      <c r="BG247">
        <f t="shared" si="68"/>
        <v>1548.1942695099999</v>
      </c>
      <c r="BH247">
        <f t="shared" si="69"/>
        <v>1530.7189837800001</v>
      </c>
      <c r="BI247">
        <f t="shared" si="70"/>
        <v>1490.36626312</v>
      </c>
      <c r="BJ247">
        <f t="shared" si="71"/>
        <v>1410.0959949300002</v>
      </c>
      <c r="BK247">
        <f t="shared" si="72"/>
        <v>1397.95116321</v>
      </c>
      <c r="BL247">
        <f t="shared" si="73"/>
        <v>1318.6412771000003</v>
      </c>
    </row>
    <row r="248" spans="1:64">
      <c r="A248" t="str">
        <f t="shared" si="58"/>
        <v>17</v>
      </c>
      <c r="B248" t="s">
        <v>605</v>
      </c>
      <c r="C248" t="s">
        <v>679</v>
      </c>
      <c r="D248">
        <v>55</v>
      </c>
      <c r="E248">
        <v>2</v>
      </c>
      <c r="F248">
        <v>10</v>
      </c>
      <c r="G248">
        <v>2</v>
      </c>
      <c r="H248">
        <v>100</v>
      </c>
      <c r="I248" t="s">
        <v>607</v>
      </c>
      <c r="J248">
        <v>0.43480000000000002</v>
      </c>
      <c r="K248">
        <v>91.846900000000005</v>
      </c>
      <c r="L248">
        <v>5.8999999999999997E-2</v>
      </c>
      <c r="M248">
        <v>1.7926</v>
      </c>
      <c r="N248">
        <v>33.129199999999997</v>
      </c>
      <c r="O248">
        <v>88.503600000000006</v>
      </c>
      <c r="P248">
        <v>343.64359999999999</v>
      </c>
      <c r="Q248">
        <v>243.8554</v>
      </c>
      <c r="R248">
        <v>5.57E-2</v>
      </c>
      <c r="S248">
        <v>0.7077</v>
      </c>
      <c r="T248">
        <v>0</v>
      </c>
      <c r="U248">
        <v>0.29909999999999998</v>
      </c>
      <c r="V248">
        <v>0.46689999999999998</v>
      </c>
      <c r="W248">
        <v>11.7521</v>
      </c>
      <c r="X248">
        <v>0.70309999999999995</v>
      </c>
      <c r="Y248">
        <v>0.62229999999999996</v>
      </c>
      <c r="Z248">
        <v>0.64600000000000002</v>
      </c>
      <c r="AA248">
        <v>1.8784000000000001</v>
      </c>
      <c r="AB248">
        <v>13.5943</v>
      </c>
      <c r="AC248">
        <v>50.5137</v>
      </c>
      <c r="AD248">
        <v>41.472299999999997</v>
      </c>
      <c r="AE248">
        <v>1.8800000000000001E-2</v>
      </c>
      <c r="AF248">
        <v>8620.1119999999992</v>
      </c>
      <c r="AG248">
        <v>59.484400000000001</v>
      </c>
      <c r="AH248">
        <v>1.1900000000000001E-2</v>
      </c>
      <c r="AI248">
        <v>88.599100000000007</v>
      </c>
      <c r="AJ248">
        <v>73.2</v>
      </c>
      <c r="AK248">
        <v>80.405299999999997</v>
      </c>
      <c r="AL248">
        <v>1.4938</v>
      </c>
      <c r="AM248">
        <v>0.05</v>
      </c>
      <c r="AN248">
        <v>0</v>
      </c>
      <c r="AO248">
        <v>91.865200000000002</v>
      </c>
      <c r="AP248">
        <v>92.610900000000001</v>
      </c>
      <c r="AQ248">
        <v>91.406099999999995</v>
      </c>
      <c r="AR248">
        <v>89.639399999999995</v>
      </c>
      <c r="AS248">
        <v>84.5398</v>
      </c>
      <c r="AT248">
        <v>83.662400000000005</v>
      </c>
      <c r="AU248">
        <v>79.611400000000003</v>
      </c>
      <c r="AV248">
        <v>64.963999999999999</v>
      </c>
      <c r="AW248">
        <v>161.70070000000001</v>
      </c>
      <c r="AX248">
        <f t="shared" si="65"/>
        <v>8168.100649590001</v>
      </c>
      <c r="AY248">
        <f t="shared" si="66"/>
        <v>9618.6691190800011</v>
      </c>
      <c r="AZ248">
        <f t="shared" si="67"/>
        <v>1900.3227964700002</v>
      </c>
      <c r="BA248">
        <f t="shared" si="59"/>
        <v>0</v>
      </c>
      <c r="BB248">
        <f t="shared" si="60"/>
        <v>161.70070000000001</v>
      </c>
      <c r="BC248">
        <f t="shared" si="61"/>
        <v>0</v>
      </c>
      <c r="BD248">
        <f t="shared" si="62"/>
        <v>0</v>
      </c>
      <c r="BE248">
        <f t="shared" si="63"/>
        <v>0</v>
      </c>
      <c r="BF248">
        <f t="shared" si="64"/>
        <v>0</v>
      </c>
      <c r="BG248">
        <f t="shared" si="68"/>
        <v>65.114723789999999</v>
      </c>
      <c r="BH248">
        <f t="shared" si="69"/>
        <v>64.267628909999985</v>
      </c>
      <c r="BI248">
        <f t="shared" si="70"/>
        <v>63.025462139999995</v>
      </c>
      <c r="BJ248">
        <f t="shared" si="71"/>
        <v>59.439933379999992</v>
      </c>
      <c r="BK248">
        <f t="shared" si="72"/>
        <v>58.823033439999996</v>
      </c>
      <c r="BL248">
        <f t="shared" si="73"/>
        <v>55.974775340000001</v>
      </c>
    </row>
    <row r="249" spans="1:64">
      <c r="A249" t="str">
        <f t="shared" si="58"/>
        <v>17</v>
      </c>
      <c r="B249" t="s">
        <v>605</v>
      </c>
      <c r="C249" t="s">
        <v>679</v>
      </c>
      <c r="D249">
        <v>55</v>
      </c>
      <c r="E249">
        <v>2</v>
      </c>
      <c r="F249">
        <v>10</v>
      </c>
      <c r="G249">
        <v>4</v>
      </c>
      <c r="H249">
        <v>100</v>
      </c>
      <c r="I249" t="s">
        <v>607</v>
      </c>
      <c r="J249">
        <v>0.45</v>
      </c>
      <c r="K249">
        <v>63</v>
      </c>
      <c r="L249">
        <v>9.8000000000000004E-2</v>
      </c>
      <c r="M249">
        <v>2.4708999999999999</v>
      </c>
      <c r="N249">
        <v>33.854599999999998</v>
      </c>
      <c r="O249">
        <v>88.091700000000003</v>
      </c>
      <c r="P249">
        <v>505.84219999999999</v>
      </c>
      <c r="Q249">
        <v>232.8235</v>
      </c>
      <c r="R249">
        <v>5.3800000000000001E-2</v>
      </c>
      <c r="S249">
        <v>0.65139999999999998</v>
      </c>
      <c r="T249">
        <v>0.29980000000000001</v>
      </c>
      <c r="U249">
        <v>0.24210000000000001</v>
      </c>
      <c r="V249">
        <v>0.65200000000000002</v>
      </c>
      <c r="W249">
        <v>11.751200000000001</v>
      </c>
      <c r="X249">
        <v>10.302099999999999</v>
      </c>
      <c r="Y249">
        <v>9.1029</v>
      </c>
      <c r="Z249">
        <v>9.5439000000000007</v>
      </c>
      <c r="AA249">
        <v>26.8812</v>
      </c>
      <c r="AB249">
        <v>10</v>
      </c>
      <c r="AC249">
        <v>44.664099999999998</v>
      </c>
      <c r="AD249">
        <v>44.770400000000002</v>
      </c>
      <c r="AE249">
        <v>0.20300000000000001</v>
      </c>
      <c r="AF249">
        <v>8256.0781999999999</v>
      </c>
      <c r="AG249">
        <v>44.168799999999997</v>
      </c>
      <c r="AH249">
        <v>0.19950000000000001</v>
      </c>
      <c r="AI249">
        <v>88.972999999999999</v>
      </c>
      <c r="AJ249">
        <v>73.2</v>
      </c>
      <c r="AK249">
        <v>80.371399999999994</v>
      </c>
      <c r="AL249">
        <v>1.8185</v>
      </c>
      <c r="AM249">
        <v>0.05</v>
      </c>
      <c r="AN249">
        <v>1.5900000000000001E-2</v>
      </c>
      <c r="AO249">
        <v>90.350200000000001</v>
      </c>
      <c r="AP249">
        <v>93.3125</v>
      </c>
      <c r="AQ249">
        <v>92.242099999999994</v>
      </c>
      <c r="AR249">
        <v>89.771100000000004</v>
      </c>
      <c r="AS249">
        <v>84.856800000000007</v>
      </c>
      <c r="AT249">
        <v>84.115300000000005</v>
      </c>
      <c r="AU249">
        <v>79.238100000000003</v>
      </c>
      <c r="AV249">
        <v>882.06880000000001</v>
      </c>
      <c r="AW249">
        <v>1675.9306999999999</v>
      </c>
      <c r="AX249">
        <f t="shared" si="65"/>
        <v>74853.936377869992</v>
      </c>
      <c r="AY249">
        <f t="shared" si="66"/>
        <v>74023.847902159992</v>
      </c>
      <c r="AZ249">
        <f t="shared" si="67"/>
        <v>19694.196841839999</v>
      </c>
      <c r="BA249">
        <f t="shared" si="59"/>
        <v>0</v>
      </c>
      <c r="BB249">
        <f t="shared" si="60"/>
        <v>1675.9306999999999</v>
      </c>
      <c r="BC249">
        <f t="shared" si="61"/>
        <v>0</v>
      </c>
      <c r="BD249">
        <f t="shared" si="62"/>
        <v>0</v>
      </c>
      <c r="BE249">
        <f t="shared" si="63"/>
        <v>0</v>
      </c>
      <c r="BF249">
        <f t="shared" si="64"/>
        <v>0</v>
      </c>
      <c r="BG249">
        <f t="shared" si="68"/>
        <v>961.31470624999997</v>
      </c>
      <c r="BH249">
        <f t="shared" si="69"/>
        <v>950.28733840999985</v>
      </c>
      <c r="BI249">
        <f t="shared" si="70"/>
        <v>924.83084930999996</v>
      </c>
      <c r="BJ249">
        <f t="shared" si="71"/>
        <v>874.20323928000005</v>
      </c>
      <c r="BK249">
        <f t="shared" si="72"/>
        <v>866.56423213000005</v>
      </c>
      <c r="BL249">
        <f t="shared" si="73"/>
        <v>816.31883000999994</v>
      </c>
    </row>
    <row r="250" spans="1:64">
      <c r="A250" t="str">
        <f t="shared" si="58"/>
        <v>17</v>
      </c>
      <c r="B250" t="s">
        <v>605</v>
      </c>
      <c r="C250" t="s">
        <v>679</v>
      </c>
      <c r="D250">
        <v>66</v>
      </c>
      <c r="E250">
        <v>2</v>
      </c>
      <c r="F250">
        <v>6</v>
      </c>
      <c r="G250">
        <v>4</v>
      </c>
      <c r="H250">
        <v>100</v>
      </c>
      <c r="I250" t="s">
        <v>607</v>
      </c>
      <c r="J250">
        <v>0.45</v>
      </c>
      <c r="K250">
        <v>63</v>
      </c>
      <c r="L250">
        <v>0.1053</v>
      </c>
      <c r="M250">
        <v>2.5636999999999999</v>
      </c>
      <c r="N250">
        <v>32.095700000000001</v>
      </c>
      <c r="O250">
        <v>88.0304</v>
      </c>
      <c r="P250">
        <v>505.84219999999999</v>
      </c>
      <c r="Q250">
        <v>231.37370000000001</v>
      </c>
      <c r="R250">
        <v>0.18079999999999999</v>
      </c>
      <c r="S250">
        <v>0.81659999999999999</v>
      </c>
      <c r="T250">
        <v>0.15240000000000001</v>
      </c>
      <c r="U250">
        <v>0.3236</v>
      </c>
      <c r="V250">
        <v>0.64270000000000005</v>
      </c>
      <c r="W250">
        <v>11.734</v>
      </c>
      <c r="X250">
        <v>64.341999999999999</v>
      </c>
      <c r="Y250">
        <v>57.930700000000002</v>
      </c>
      <c r="Z250">
        <v>59.641100000000002</v>
      </c>
      <c r="AA250">
        <v>180.56950000000001</v>
      </c>
      <c r="AB250">
        <v>10</v>
      </c>
      <c r="AC250">
        <v>44.4255</v>
      </c>
      <c r="AD250">
        <v>43.834699999999998</v>
      </c>
      <c r="AE250">
        <v>0.99870000000000003</v>
      </c>
      <c r="AF250">
        <v>8230.7679000000007</v>
      </c>
      <c r="AG250">
        <v>30.933599999999998</v>
      </c>
      <c r="AH250">
        <v>0.98170000000000002</v>
      </c>
      <c r="AI250">
        <v>88.693100000000001</v>
      </c>
      <c r="AJ250">
        <v>73.2</v>
      </c>
      <c r="AK250">
        <v>79.919300000000007</v>
      </c>
      <c r="AL250">
        <v>1.8242</v>
      </c>
      <c r="AM250">
        <v>0.05</v>
      </c>
      <c r="AN250">
        <v>1.4800000000000001E-2</v>
      </c>
      <c r="AO250">
        <v>90.350200000000001</v>
      </c>
      <c r="AP250">
        <v>92.815700000000007</v>
      </c>
      <c r="AQ250">
        <v>91.773700000000005</v>
      </c>
      <c r="AR250">
        <v>89.367999999999995</v>
      </c>
      <c r="AS250">
        <v>84.572999999999993</v>
      </c>
      <c r="AT250">
        <v>83.843000000000004</v>
      </c>
      <c r="AU250">
        <v>79.135099999999994</v>
      </c>
      <c r="AV250">
        <v>4326.4872999999998</v>
      </c>
      <c r="AW250">
        <v>8220.3258999999998</v>
      </c>
      <c r="AX250">
        <f t="shared" si="65"/>
        <v>365192.08827045001</v>
      </c>
      <c r="AY250">
        <f t="shared" si="66"/>
        <v>254284.27326023998</v>
      </c>
      <c r="AZ250">
        <f t="shared" si="67"/>
        <v>96457.304110600002</v>
      </c>
      <c r="BA250">
        <f t="shared" si="59"/>
        <v>0</v>
      </c>
      <c r="BB250">
        <f t="shared" si="60"/>
        <v>8220.3258999999998</v>
      </c>
      <c r="BC250">
        <f t="shared" si="61"/>
        <v>0</v>
      </c>
      <c r="BD250">
        <f t="shared" si="62"/>
        <v>0</v>
      </c>
      <c r="BE250">
        <f t="shared" si="63"/>
        <v>0</v>
      </c>
      <c r="BF250">
        <f t="shared" si="64"/>
        <v>0</v>
      </c>
      <c r="BG250">
        <f t="shared" si="68"/>
        <v>5971.9477694000007</v>
      </c>
      <c r="BH250">
        <f t="shared" si="69"/>
        <v>5904.9034054000003</v>
      </c>
      <c r="BI250">
        <f t="shared" si="70"/>
        <v>5750.1158559999994</v>
      </c>
      <c r="BJ250">
        <f t="shared" si="71"/>
        <v>5441.5959659999999</v>
      </c>
      <c r="BK250">
        <f t="shared" si="72"/>
        <v>5394.6263060000001</v>
      </c>
      <c r="BL250">
        <f t="shared" si="73"/>
        <v>5091.7106041999996</v>
      </c>
    </row>
    <row r="251" spans="1:64">
      <c r="A251" t="str">
        <f t="shared" si="58"/>
        <v>17</v>
      </c>
      <c r="B251" t="s">
        <v>605</v>
      </c>
      <c r="C251" t="s">
        <v>679</v>
      </c>
      <c r="D251">
        <v>66</v>
      </c>
      <c r="E251">
        <v>3</v>
      </c>
      <c r="F251">
        <v>6</v>
      </c>
      <c r="G251">
        <v>2</v>
      </c>
      <c r="H251">
        <v>100</v>
      </c>
      <c r="I251" t="s">
        <v>607</v>
      </c>
      <c r="J251">
        <v>0.66810000000000003</v>
      </c>
      <c r="K251">
        <v>148.3098</v>
      </c>
      <c r="L251">
        <v>9.0999999999999998E-2</v>
      </c>
      <c r="M251">
        <v>2.0943000000000001</v>
      </c>
      <c r="N251">
        <v>27.938300000000002</v>
      </c>
      <c r="O251">
        <v>90.588300000000004</v>
      </c>
      <c r="P251">
        <v>324.9631</v>
      </c>
      <c r="Q251">
        <v>204.19040000000001</v>
      </c>
      <c r="R251">
        <v>0.312</v>
      </c>
      <c r="S251">
        <v>0.80679999999999996</v>
      </c>
      <c r="T251">
        <v>0</v>
      </c>
      <c r="U251">
        <v>0.32319999999999999</v>
      </c>
      <c r="V251">
        <v>0.72030000000000005</v>
      </c>
      <c r="W251">
        <v>13.507300000000001</v>
      </c>
      <c r="X251">
        <v>9.6166</v>
      </c>
      <c r="Y251">
        <v>8.7114999999999991</v>
      </c>
      <c r="Z251">
        <v>9.0807000000000002</v>
      </c>
      <c r="AA251">
        <v>31.1812</v>
      </c>
      <c r="AB251">
        <v>9.5753000000000004</v>
      </c>
      <c r="AC251">
        <v>33.938600000000001</v>
      </c>
      <c r="AD251">
        <v>71.6571</v>
      </c>
      <c r="AE251">
        <v>0.20130000000000001</v>
      </c>
      <c r="AF251">
        <v>7150.8706000000002</v>
      </c>
      <c r="AG251">
        <v>59.444899999999997</v>
      </c>
      <c r="AH251">
        <v>0.17699999999999999</v>
      </c>
      <c r="AI251">
        <v>89.812200000000004</v>
      </c>
      <c r="AJ251">
        <v>73.2</v>
      </c>
      <c r="AK251">
        <v>82.931899999999999</v>
      </c>
      <c r="AL251">
        <v>1.5681</v>
      </c>
      <c r="AM251">
        <v>0.05</v>
      </c>
      <c r="AN251">
        <v>6.4000000000000003E-3</v>
      </c>
      <c r="AO251">
        <v>90.558000000000007</v>
      </c>
      <c r="AP251">
        <v>94.122500000000002</v>
      </c>
      <c r="AQ251">
        <v>92.853300000000004</v>
      </c>
      <c r="AR251">
        <v>91.378799999999998</v>
      </c>
      <c r="AS251">
        <v>86.744900000000001</v>
      </c>
      <c r="AT251">
        <v>85.809200000000004</v>
      </c>
      <c r="AU251">
        <v>82.389200000000002</v>
      </c>
      <c r="AV251">
        <v>539.84829999999999</v>
      </c>
      <c r="AW251">
        <v>1439.3710000000001</v>
      </c>
      <c r="AX251">
        <f t="shared" si="65"/>
        <v>48850.236620600008</v>
      </c>
      <c r="AY251">
        <f t="shared" si="66"/>
        <v>85563.265157900008</v>
      </c>
      <c r="AZ251">
        <f t="shared" si="67"/>
        <v>19442.015908300004</v>
      </c>
      <c r="BA251">
        <f t="shared" si="59"/>
        <v>0</v>
      </c>
      <c r="BB251">
        <f t="shared" si="60"/>
        <v>0</v>
      </c>
      <c r="BC251">
        <f t="shared" si="61"/>
        <v>1439.3710000000001</v>
      </c>
      <c r="BD251">
        <f t="shared" si="62"/>
        <v>0</v>
      </c>
      <c r="BE251">
        <f t="shared" si="63"/>
        <v>0</v>
      </c>
      <c r="BF251">
        <f t="shared" si="64"/>
        <v>0</v>
      </c>
      <c r="BG251">
        <f t="shared" si="68"/>
        <v>905.13843350000002</v>
      </c>
      <c r="BH251">
        <f t="shared" si="69"/>
        <v>892.93304478000005</v>
      </c>
      <c r="BI251">
        <f t="shared" si="70"/>
        <v>878.75336807999997</v>
      </c>
      <c r="BJ251">
        <f t="shared" si="71"/>
        <v>834.19100534000006</v>
      </c>
      <c r="BK251">
        <f t="shared" si="72"/>
        <v>825.19275272000004</v>
      </c>
      <c r="BL251">
        <f t="shared" si="73"/>
        <v>792.30398072000003</v>
      </c>
    </row>
    <row r="252" spans="1:64">
      <c r="A252" t="str">
        <f t="shared" si="58"/>
        <v>17</v>
      </c>
      <c r="B252" t="s">
        <v>605</v>
      </c>
      <c r="C252" t="s">
        <v>679</v>
      </c>
      <c r="D252">
        <v>66</v>
      </c>
      <c r="E252">
        <v>3</v>
      </c>
      <c r="F252">
        <v>6</v>
      </c>
      <c r="G252">
        <v>4</v>
      </c>
      <c r="H252">
        <v>100</v>
      </c>
      <c r="I252" t="s">
        <v>607</v>
      </c>
      <c r="J252">
        <v>0.55720000000000003</v>
      </c>
      <c r="K252">
        <v>106.3002</v>
      </c>
      <c r="L252">
        <v>7.0900000000000005E-2</v>
      </c>
      <c r="M252">
        <v>1.9674</v>
      </c>
      <c r="N252">
        <v>36.210099999999997</v>
      </c>
      <c r="O252">
        <v>90.5779</v>
      </c>
      <c r="P252">
        <v>328.08640000000003</v>
      </c>
      <c r="Q252">
        <v>205.79320000000001</v>
      </c>
      <c r="R252">
        <v>5.21E-2</v>
      </c>
      <c r="S252">
        <v>0.62209999999999999</v>
      </c>
      <c r="T252">
        <v>0.12479999999999999</v>
      </c>
      <c r="U252">
        <v>0.248</v>
      </c>
      <c r="V252">
        <v>0.59389999999999998</v>
      </c>
      <c r="W252">
        <v>13.4819</v>
      </c>
      <c r="X252">
        <v>46.152299999999997</v>
      </c>
      <c r="Y252">
        <v>41.803800000000003</v>
      </c>
      <c r="Z252">
        <v>43.0627</v>
      </c>
      <c r="AA252">
        <v>115.4452</v>
      </c>
      <c r="AB252">
        <v>11.7333</v>
      </c>
      <c r="AC252">
        <v>34.363599999999998</v>
      </c>
      <c r="AD252">
        <v>71.906499999999994</v>
      </c>
      <c r="AE252">
        <v>1.1509</v>
      </c>
      <c r="AF252">
        <v>7196.3919999999998</v>
      </c>
      <c r="AG252">
        <v>59.440600000000003</v>
      </c>
      <c r="AH252">
        <v>0.71489999999999998</v>
      </c>
      <c r="AI252">
        <v>88.954400000000007</v>
      </c>
      <c r="AJ252">
        <v>73.2</v>
      </c>
      <c r="AK252">
        <v>81.142300000000006</v>
      </c>
      <c r="AL252">
        <v>1.4801</v>
      </c>
      <c r="AM252">
        <v>0.05</v>
      </c>
      <c r="AN252">
        <v>5.8999999999999999E-3</v>
      </c>
      <c r="AO252">
        <v>90.347800000000007</v>
      </c>
      <c r="AP252">
        <v>94.278499999999994</v>
      </c>
      <c r="AQ252">
        <v>92.970299999999995</v>
      </c>
      <c r="AR252">
        <v>91.585800000000006</v>
      </c>
      <c r="AS252">
        <v>86.719099999999997</v>
      </c>
      <c r="AT252">
        <v>85.698899999999995</v>
      </c>
      <c r="AU252">
        <v>82.362399999999994</v>
      </c>
      <c r="AV252">
        <v>3108.4690000000001</v>
      </c>
      <c r="AW252">
        <v>8282.2605000000003</v>
      </c>
      <c r="AX252">
        <f t="shared" si="65"/>
        <v>284608.28691779997</v>
      </c>
      <c r="AY252">
        <f t="shared" si="66"/>
        <v>492302.53347630007</v>
      </c>
      <c r="AZ252">
        <f t="shared" si="67"/>
        <v>111660.60783495</v>
      </c>
      <c r="BA252">
        <f t="shared" si="59"/>
        <v>0</v>
      </c>
      <c r="BB252">
        <f t="shared" si="60"/>
        <v>0</v>
      </c>
      <c r="BC252">
        <f t="shared" si="61"/>
        <v>8282.2605000000003</v>
      </c>
      <c r="BD252">
        <f t="shared" si="62"/>
        <v>0</v>
      </c>
      <c r="BE252">
        <f t="shared" si="63"/>
        <v>0</v>
      </c>
      <c r="BF252">
        <f t="shared" si="64"/>
        <v>0</v>
      </c>
      <c r="BG252">
        <f t="shared" si="68"/>
        <v>4351.1696155499994</v>
      </c>
      <c r="BH252">
        <f t="shared" si="69"/>
        <v>4290.7931766899992</v>
      </c>
      <c r="BI252">
        <f t="shared" si="70"/>
        <v>4226.8953173399996</v>
      </c>
      <c r="BJ252">
        <f t="shared" si="71"/>
        <v>4002.2859189299998</v>
      </c>
      <c r="BK252">
        <f t="shared" si="72"/>
        <v>3955.2013424699994</v>
      </c>
      <c r="BL252">
        <f t="shared" si="73"/>
        <v>3801.2141935199993</v>
      </c>
    </row>
    <row r="253" spans="1:64">
      <c r="A253" t="str">
        <f t="shared" si="58"/>
        <v>17</v>
      </c>
      <c r="B253" t="s">
        <v>605</v>
      </c>
      <c r="C253" t="s">
        <v>679</v>
      </c>
      <c r="D253">
        <v>66</v>
      </c>
      <c r="E253">
        <v>3</v>
      </c>
      <c r="F253">
        <v>10</v>
      </c>
      <c r="G253">
        <v>2</v>
      </c>
      <c r="H253">
        <v>100</v>
      </c>
      <c r="I253" t="s">
        <v>607</v>
      </c>
      <c r="J253">
        <v>0.60580000000000001</v>
      </c>
      <c r="K253">
        <v>126.3608</v>
      </c>
      <c r="L253">
        <v>5.57E-2</v>
      </c>
      <c r="M253">
        <v>1.4545999999999999</v>
      </c>
      <c r="N253">
        <v>28.190200000000001</v>
      </c>
      <c r="O253">
        <v>90.574100000000001</v>
      </c>
      <c r="P253">
        <v>280.6841</v>
      </c>
      <c r="Q253">
        <v>204.4487</v>
      </c>
      <c r="R253">
        <v>0.30049999999999999</v>
      </c>
      <c r="S253">
        <v>0.79610000000000003</v>
      </c>
      <c r="T253">
        <v>0</v>
      </c>
      <c r="U253">
        <v>0.32900000000000001</v>
      </c>
      <c r="V253">
        <v>0.64980000000000004</v>
      </c>
      <c r="W253">
        <v>13.4407</v>
      </c>
      <c r="X253">
        <v>1.8583000000000001</v>
      </c>
      <c r="Y253">
        <v>1.6831</v>
      </c>
      <c r="Z253">
        <v>1.7454000000000001</v>
      </c>
      <c r="AA253">
        <v>5.9706000000000001</v>
      </c>
      <c r="AB253">
        <v>9.0690000000000008</v>
      </c>
      <c r="AC253">
        <v>34.165599999999998</v>
      </c>
      <c r="AD253">
        <v>71.040099999999995</v>
      </c>
      <c r="AE253">
        <v>4.2799999999999998E-2</v>
      </c>
      <c r="AF253">
        <v>7174.3171000000002</v>
      </c>
      <c r="AG253">
        <v>59.477899999999998</v>
      </c>
      <c r="AH253">
        <v>3.1800000000000002E-2</v>
      </c>
      <c r="AI253">
        <v>89.406800000000004</v>
      </c>
      <c r="AJ253">
        <v>73.2</v>
      </c>
      <c r="AK253">
        <v>82.083100000000002</v>
      </c>
      <c r="AL253">
        <v>1.5447</v>
      </c>
      <c r="AM253">
        <v>0.05</v>
      </c>
      <c r="AN253">
        <v>5.7000000000000002E-3</v>
      </c>
      <c r="AO253">
        <v>90.462699999999998</v>
      </c>
      <c r="AP253">
        <v>94.048000000000002</v>
      </c>
      <c r="AQ253">
        <v>92.780600000000007</v>
      </c>
      <c r="AR253">
        <v>91.376999999999995</v>
      </c>
      <c r="AS253">
        <v>86.757400000000004</v>
      </c>
      <c r="AT253">
        <v>85.822900000000004</v>
      </c>
      <c r="AU253">
        <v>82.449399999999997</v>
      </c>
      <c r="AV253">
        <v>115.2478</v>
      </c>
      <c r="AW253">
        <v>306.75729999999999</v>
      </c>
      <c r="AX253">
        <f t="shared" si="65"/>
        <v>10480.54720888</v>
      </c>
      <c r="AY253">
        <f t="shared" si="66"/>
        <v>18245.280013669999</v>
      </c>
      <c r="AZ253">
        <f t="shared" si="67"/>
        <v>4123.0328421099994</v>
      </c>
      <c r="BA253">
        <f t="shared" si="59"/>
        <v>0</v>
      </c>
      <c r="BB253">
        <f t="shared" si="60"/>
        <v>0</v>
      </c>
      <c r="BC253">
        <f t="shared" si="61"/>
        <v>306.75729999999999</v>
      </c>
      <c r="BD253">
        <f t="shared" si="62"/>
        <v>0</v>
      </c>
      <c r="BE253">
        <f t="shared" si="63"/>
        <v>0</v>
      </c>
      <c r="BF253">
        <f t="shared" si="64"/>
        <v>0</v>
      </c>
      <c r="BG253">
        <f t="shared" si="68"/>
        <v>174.7693984</v>
      </c>
      <c r="BH253">
        <f t="shared" si="69"/>
        <v>172.41418898000001</v>
      </c>
      <c r="BI253">
        <f t="shared" si="70"/>
        <v>169.8058791</v>
      </c>
      <c r="BJ253">
        <f t="shared" si="71"/>
        <v>161.22127642000001</v>
      </c>
      <c r="BK253">
        <f t="shared" si="72"/>
        <v>159.48469507000001</v>
      </c>
      <c r="BL253">
        <f t="shared" si="73"/>
        <v>153.21572001999999</v>
      </c>
    </row>
    <row r="254" spans="1:64">
      <c r="A254" t="str">
        <f t="shared" si="58"/>
        <v>18</v>
      </c>
      <c r="B254" t="s">
        <v>605</v>
      </c>
      <c r="C254" t="s">
        <v>680</v>
      </c>
      <c r="D254">
        <v>5</v>
      </c>
      <c r="E254">
        <v>4</v>
      </c>
      <c r="F254">
        <v>6</v>
      </c>
      <c r="G254">
        <v>2</v>
      </c>
      <c r="H254">
        <v>100</v>
      </c>
      <c r="I254" t="s">
        <v>607</v>
      </c>
      <c r="J254">
        <v>0.45</v>
      </c>
      <c r="K254">
        <v>63</v>
      </c>
      <c r="L254">
        <v>9.7600000000000006E-2</v>
      </c>
      <c r="M254">
        <v>2.4752000000000001</v>
      </c>
      <c r="N254">
        <v>33.877299999999998</v>
      </c>
      <c r="O254">
        <v>90.744</v>
      </c>
      <c r="P254">
        <v>348.42599999999999</v>
      </c>
      <c r="Q254">
        <v>167.7312</v>
      </c>
      <c r="R254">
        <v>5.2699999999999997E-2</v>
      </c>
      <c r="S254">
        <v>0.46029999999999999</v>
      </c>
      <c r="T254">
        <v>0.22600000000000001</v>
      </c>
      <c r="U254">
        <v>0.1646</v>
      </c>
      <c r="V254">
        <v>0.46260000000000001</v>
      </c>
      <c r="W254">
        <v>13.4909</v>
      </c>
      <c r="X254">
        <v>0.15509999999999999</v>
      </c>
      <c r="Y254">
        <v>0.1394</v>
      </c>
      <c r="Z254">
        <v>0.1426</v>
      </c>
      <c r="AA254">
        <v>0.41149999999999998</v>
      </c>
      <c r="AB254">
        <v>10</v>
      </c>
      <c r="AC254">
        <v>31.920400000000001</v>
      </c>
      <c r="AD254">
        <v>78.615300000000005</v>
      </c>
      <c r="AE254">
        <v>4.5999999999999999E-3</v>
      </c>
      <c r="AF254">
        <v>6350.8865999999998</v>
      </c>
      <c r="AG254">
        <v>45.317999999999998</v>
      </c>
      <c r="AH254">
        <v>2.0999999999999999E-3</v>
      </c>
      <c r="AI254">
        <v>83.108599999999996</v>
      </c>
      <c r="AJ254">
        <v>73.2</v>
      </c>
      <c r="AK254">
        <v>70.999099999999999</v>
      </c>
      <c r="AL254">
        <v>1.5123</v>
      </c>
      <c r="AM254">
        <v>1.2725</v>
      </c>
      <c r="AN254">
        <v>1.83E-2</v>
      </c>
      <c r="AO254">
        <v>98.499899999999997</v>
      </c>
      <c r="AP254">
        <v>94.097499999999997</v>
      </c>
      <c r="AQ254">
        <v>93.239800000000002</v>
      </c>
      <c r="AR254">
        <v>91.770099999999999</v>
      </c>
      <c r="AS254">
        <v>88.017300000000006</v>
      </c>
      <c r="AT254">
        <v>87.399900000000002</v>
      </c>
      <c r="AU254">
        <v>84.379900000000006</v>
      </c>
      <c r="AV254">
        <v>15.3431</v>
      </c>
      <c r="AW254">
        <v>29.151900000000001</v>
      </c>
      <c r="AX254">
        <f t="shared" si="65"/>
        <v>930.54030876000002</v>
      </c>
      <c r="AY254">
        <f t="shared" si="66"/>
        <v>1321.1058042</v>
      </c>
      <c r="AZ254">
        <f t="shared" si="67"/>
        <v>393.28536771</v>
      </c>
      <c r="BA254">
        <f t="shared" si="59"/>
        <v>0</v>
      </c>
      <c r="BB254">
        <f t="shared" si="60"/>
        <v>0</v>
      </c>
      <c r="BC254">
        <f t="shared" si="61"/>
        <v>29.151900000000001</v>
      </c>
      <c r="BD254">
        <f t="shared" si="62"/>
        <v>0</v>
      </c>
      <c r="BE254">
        <f t="shared" si="63"/>
        <v>0</v>
      </c>
      <c r="BF254">
        <f t="shared" si="64"/>
        <v>0</v>
      </c>
      <c r="BG254">
        <f t="shared" si="68"/>
        <v>14.594522249999999</v>
      </c>
      <c r="BH254">
        <f t="shared" si="69"/>
        <v>14.461492979999999</v>
      </c>
      <c r="BI254">
        <f t="shared" si="70"/>
        <v>14.233542509999999</v>
      </c>
      <c r="BJ254">
        <f t="shared" si="71"/>
        <v>13.65148323</v>
      </c>
      <c r="BK254">
        <f t="shared" si="72"/>
        <v>13.555724489999999</v>
      </c>
      <c r="BL254">
        <f t="shared" si="73"/>
        <v>13.08732249</v>
      </c>
    </row>
    <row r="255" spans="1:64">
      <c r="A255" t="str">
        <f t="shared" si="58"/>
        <v>18</v>
      </c>
      <c r="B255" t="s">
        <v>605</v>
      </c>
      <c r="C255" t="s">
        <v>680</v>
      </c>
      <c r="D255">
        <v>55</v>
      </c>
      <c r="E255">
        <v>2</v>
      </c>
      <c r="F255">
        <v>10</v>
      </c>
      <c r="G255">
        <v>2</v>
      </c>
      <c r="H255">
        <v>100</v>
      </c>
      <c r="I255" t="s">
        <v>607</v>
      </c>
      <c r="J255">
        <v>0.41749999999999998</v>
      </c>
      <c r="K255">
        <v>90.592200000000005</v>
      </c>
      <c r="L255">
        <v>4.5499999999999999E-2</v>
      </c>
      <c r="M255">
        <v>1.5395000000000001</v>
      </c>
      <c r="N255">
        <v>34.993699999999997</v>
      </c>
      <c r="O255">
        <v>88.764899999999997</v>
      </c>
      <c r="P255">
        <v>347.59530000000001</v>
      </c>
      <c r="Q255">
        <v>234.03280000000001</v>
      </c>
      <c r="R255">
        <v>5.5899999999999998E-2</v>
      </c>
      <c r="S255">
        <v>0.58789999999999998</v>
      </c>
      <c r="T255">
        <v>7.1800000000000003E-2</v>
      </c>
      <c r="U255">
        <v>0.2492</v>
      </c>
      <c r="V255">
        <v>0.4491</v>
      </c>
      <c r="W255">
        <v>11.6656</v>
      </c>
      <c r="X255">
        <v>0.91190000000000004</v>
      </c>
      <c r="Y255">
        <v>0.80940000000000001</v>
      </c>
      <c r="Z255">
        <v>0.84160000000000001</v>
      </c>
      <c r="AA255">
        <v>2.3172000000000001</v>
      </c>
      <c r="AB255">
        <v>12.409800000000001</v>
      </c>
      <c r="AC255">
        <v>50.285699999999999</v>
      </c>
      <c r="AD255">
        <v>41.409199999999998</v>
      </c>
      <c r="AE255">
        <v>2.6800000000000001E-2</v>
      </c>
      <c r="AF255">
        <v>8153.7867999999999</v>
      </c>
      <c r="AG255">
        <v>79.860399999999998</v>
      </c>
      <c r="AH255">
        <v>1.5900000000000001E-2</v>
      </c>
      <c r="AI255">
        <v>88.5642</v>
      </c>
      <c r="AJ255">
        <v>73.2</v>
      </c>
      <c r="AK255">
        <v>80.333200000000005</v>
      </c>
      <c r="AL255">
        <v>1.45</v>
      </c>
      <c r="AM255">
        <v>0.05</v>
      </c>
      <c r="AN255">
        <v>0</v>
      </c>
      <c r="AO255">
        <v>102.128</v>
      </c>
      <c r="AP255">
        <v>92.418300000000002</v>
      </c>
      <c r="AQ255">
        <v>91.239500000000007</v>
      </c>
      <c r="AR255">
        <v>89.493600000000001</v>
      </c>
      <c r="AS255">
        <v>84.366900000000001</v>
      </c>
      <c r="AT255">
        <v>83.482100000000003</v>
      </c>
      <c r="AU255">
        <v>79.560900000000004</v>
      </c>
      <c r="AV255">
        <v>88.353499999999997</v>
      </c>
      <c r="AW255">
        <v>218.3939</v>
      </c>
      <c r="AX255">
        <f t="shared" si="65"/>
        <v>10982.09013723</v>
      </c>
      <c r="AY255">
        <f t="shared" si="66"/>
        <v>17441.024211560001</v>
      </c>
      <c r="AZ255">
        <f t="shared" si="67"/>
        <v>2547.6958798400001</v>
      </c>
      <c r="BA255">
        <f t="shared" si="59"/>
        <v>0</v>
      </c>
      <c r="BB255">
        <f t="shared" si="60"/>
        <v>218.3939</v>
      </c>
      <c r="BC255">
        <f t="shared" si="61"/>
        <v>0</v>
      </c>
      <c r="BD255">
        <f t="shared" si="62"/>
        <v>0</v>
      </c>
      <c r="BE255">
        <f t="shared" si="63"/>
        <v>0</v>
      </c>
      <c r="BF255">
        <f t="shared" si="64"/>
        <v>0</v>
      </c>
      <c r="BG255">
        <f t="shared" si="68"/>
        <v>84.276247770000012</v>
      </c>
      <c r="BH255">
        <f t="shared" si="69"/>
        <v>83.201300050000015</v>
      </c>
      <c r="BI255">
        <f t="shared" si="70"/>
        <v>81.60921384000001</v>
      </c>
      <c r="BJ255">
        <f t="shared" si="71"/>
        <v>76.93417611000001</v>
      </c>
      <c r="BK255">
        <f t="shared" si="72"/>
        <v>76.12732699</v>
      </c>
      <c r="BL255">
        <f t="shared" si="73"/>
        <v>72.55158471</v>
      </c>
    </row>
    <row r="256" spans="1:64">
      <c r="A256" t="str">
        <f t="shared" si="58"/>
        <v>18</v>
      </c>
      <c r="B256" t="s">
        <v>605</v>
      </c>
      <c r="C256" t="s">
        <v>680</v>
      </c>
      <c r="D256">
        <v>55</v>
      </c>
      <c r="E256">
        <v>2</v>
      </c>
      <c r="F256">
        <v>10</v>
      </c>
      <c r="G256">
        <v>2</v>
      </c>
      <c r="H256">
        <v>200</v>
      </c>
      <c r="I256" t="s">
        <v>617</v>
      </c>
      <c r="J256">
        <v>0.45</v>
      </c>
      <c r="K256">
        <v>63</v>
      </c>
      <c r="L256">
        <v>8.0699999999999994E-2</v>
      </c>
      <c r="M256">
        <v>2.0672999999999999</v>
      </c>
      <c r="N256">
        <v>33.624099999999999</v>
      </c>
      <c r="O256">
        <v>88.480800000000002</v>
      </c>
      <c r="P256">
        <v>505.84219999999999</v>
      </c>
      <c r="Q256">
        <v>232.89080000000001</v>
      </c>
      <c r="R256">
        <v>5.6000000000000001E-2</v>
      </c>
      <c r="S256">
        <v>0.25290000000000001</v>
      </c>
      <c r="T256">
        <v>0.12759999999999999</v>
      </c>
      <c r="U256">
        <v>8.7599999999999997E-2</v>
      </c>
      <c r="V256">
        <v>0.26269999999999999</v>
      </c>
      <c r="W256">
        <v>11.609400000000001</v>
      </c>
      <c r="X256">
        <v>0.97440000000000004</v>
      </c>
      <c r="Y256">
        <v>0.86</v>
      </c>
      <c r="Z256">
        <v>0.89219999999999999</v>
      </c>
      <c r="AA256">
        <v>2.5577000000000001</v>
      </c>
      <c r="AB256">
        <v>10</v>
      </c>
      <c r="AC256">
        <v>44.968600000000002</v>
      </c>
      <c r="AD256">
        <v>44.8996</v>
      </c>
      <c r="AE256">
        <v>4.7899999999999998E-2</v>
      </c>
      <c r="AF256">
        <v>8288.3809000000001</v>
      </c>
      <c r="AG256">
        <v>28.1953</v>
      </c>
      <c r="AH256">
        <v>1.6400000000000001E-2</v>
      </c>
      <c r="AI256">
        <v>74.5321</v>
      </c>
      <c r="AJ256">
        <v>73.2</v>
      </c>
      <c r="AK256">
        <v>58.466999999999999</v>
      </c>
      <c r="AL256">
        <v>1.8866000000000001</v>
      </c>
      <c r="AM256">
        <v>0.05</v>
      </c>
      <c r="AN256">
        <v>9.2999999999999992E-3</v>
      </c>
      <c r="AO256">
        <v>90.350200000000001</v>
      </c>
      <c r="AP256">
        <v>93.774500000000003</v>
      </c>
      <c r="AQ256">
        <v>92.779200000000003</v>
      </c>
      <c r="AR256">
        <v>90.481899999999996</v>
      </c>
      <c r="AS256">
        <v>85.873000000000005</v>
      </c>
      <c r="AT256">
        <v>85.150999999999996</v>
      </c>
      <c r="AU256">
        <v>80.788499999999999</v>
      </c>
      <c r="AV256">
        <v>208.79560000000001</v>
      </c>
      <c r="AW256">
        <v>396.71159999999998</v>
      </c>
      <c r="AX256">
        <f t="shared" si="65"/>
        <v>17839.565255760001</v>
      </c>
      <c r="AY256">
        <f t="shared" si="66"/>
        <v>11185.402575479999</v>
      </c>
      <c r="AZ256">
        <f t="shared" si="67"/>
        <v>4605.5836490399997</v>
      </c>
      <c r="BA256">
        <f t="shared" si="59"/>
        <v>0</v>
      </c>
      <c r="BB256">
        <f t="shared" si="60"/>
        <v>396.71159999999998</v>
      </c>
      <c r="BC256">
        <f t="shared" si="61"/>
        <v>0</v>
      </c>
      <c r="BD256">
        <f t="shared" si="62"/>
        <v>0</v>
      </c>
      <c r="BE256">
        <f t="shared" si="63"/>
        <v>0</v>
      </c>
      <c r="BF256">
        <f t="shared" si="64"/>
        <v>0</v>
      </c>
      <c r="BG256">
        <f t="shared" si="68"/>
        <v>91.373872800000001</v>
      </c>
      <c r="BH256">
        <f t="shared" si="69"/>
        <v>90.404052480000004</v>
      </c>
      <c r="BI256">
        <f t="shared" si="70"/>
        <v>88.165563359999993</v>
      </c>
      <c r="BJ256">
        <f t="shared" si="71"/>
        <v>83.674651200000014</v>
      </c>
      <c r="BK256">
        <f t="shared" si="72"/>
        <v>82.971134399999997</v>
      </c>
      <c r="BL256">
        <f t="shared" si="73"/>
        <v>78.720314400000007</v>
      </c>
    </row>
    <row r="257" spans="1:64">
      <c r="A257" t="str">
        <f t="shared" si="58"/>
        <v>18</v>
      </c>
      <c r="B257" t="s">
        <v>605</v>
      </c>
      <c r="C257" t="s">
        <v>680</v>
      </c>
      <c r="D257">
        <v>55</v>
      </c>
      <c r="E257">
        <v>2</v>
      </c>
      <c r="F257">
        <v>10</v>
      </c>
      <c r="G257">
        <v>2</v>
      </c>
      <c r="H257">
        <v>200</v>
      </c>
      <c r="I257" t="s">
        <v>607</v>
      </c>
      <c r="J257">
        <v>0.45</v>
      </c>
      <c r="K257">
        <v>63</v>
      </c>
      <c r="L257">
        <v>8.0699999999999994E-2</v>
      </c>
      <c r="M257">
        <v>2.0672999999999999</v>
      </c>
      <c r="N257">
        <v>33.871299999999998</v>
      </c>
      <c r="O257">
        <v>88.433599999999998</v>
      </c>
      <c r="P257">
        <v>505.84219999999999</v>
      </c>
      <c r="Q257">
        <v>231.77269999999999</v>
      </c>
      <c r="R257">
        <v>5.7200000000000001E-2</v>
      </c>
      <c r="S257">
        <v>0.4778</v>
      </c>
      <c r="T257">
        <v>0.23230000000000001</v>
      </c>
      <c r="U257">
        <v>0.18379999999999999</v>
      </c>
      <c r="V257">
        <v>0.49259999999999998</v>
      </c>
      <c r="W257">
        <v>11.6671</v>
      </c>
      <c r="X257">
        <v>12.901</v>
      </c>
      <c r="Y257">
        <v>11.3896</v>
      </c>
      <c r="Z257">
        <v>12.065899999999999</v>
      </c>
      <c r="AA257">
        <v>33.626199999999997</v>
      </c>
      <c r="AB257">
        <v>10</v>
      </c>
      <c r="AC257">
        <v>44.637700000000002</v>
      </c>
      <c r="AD257">
        <v>44.680300000000003</v>
      </c>
      <c r="AE257">
        <v>0.36430000000000001</v>
      </c>
      <c r="AF257">
        <v>8253.2808000000005</v>
      </c>
      <c r="AG257">
        <v>28.1953</v>
      </c>
      <c r="AH257">
        <v>0.2823</v>
      </c>
      <c r="AI257">
        <v>86.310599999999994</v>
      </c>
      <c r="AJ257">
        <v>73.2</v>
      </c>
      <c r="AK257">
        <v>76.089200000000005</v>
      </c>
      <c r="AL257">
        <v>1.8878999999999999</v>
      </c>
      <c r="AM257">
        <v>0.05</v>
      </c>
      <c r="AN257">
        <v>9.9000000000000008E-3</v>
      </c>
      <c r="AO257">
        <v>90.350200000000001</v>
      </c>
      <c r="AP257">
        <v>93.689599999999999</v>
      </c>
      <c r="AQ257">
        <v>92.677000000000007</v>
      </c>
      <c r="AR257">
        <v>90.339600000000004</v>
      </c>
      <c r="AS257">
        <v>85.667599999999993</v>
      </c>
      <c r="AT257">
        <v>84.944900000000004</v>
      </c>
      <c r="AU257">
        <v>80.454999999999998</v>
      </c>
      <c r="AV257">
        <v>1582.2701999999999</v>
      </c>
      <c r="AW257">
        <v>3006.3134</v>
      </c>
      <c r="AX257">
        <f t="shared" si="65"/>
        <v>134194.91565518</v>
      </c>
      <c r="AY257">
        <f t="shared" si="66"/>
        <v>84763.908207019995</v>
      </c>
      <c r="AZ257">
        <f t="shared" si="67"/>
        <v>35074.959069140001</v>
      </c>
      <c r="BA257">
        <f t="shared" si="59"/>
        <v>0</v>
      </c>
      <c r="BB257">
        <f t="shared" si="60"/>
        <v>3006.3134</v>
      </c>
      <c r="BC257">
        <f t="shared" si="61"/>
        <v>0</v>
      </c>
      <c r="BD257">
        <f t="shared" si="62"/>
        <v>0</v>
      </c>
      <c r="BE257">
        <f t="shared" si="63"/>
        <v>0</v>
      </c>
      <c r="BF257">
        <f t="shared" si="64"/>
        <v>0</v>
      </c>
      <c r="BG257">
        <f t="shared" si="68"/>
        <v>1208.6895296</v>
      </c>
      <c r="BH257">
        <f t="shared" si="69"/>
        <v>1195.6259770000001</v>
      </c>
      <c r="BI257">
        <f t="shared" si="70"/>
        <v>1165.4711796000001</v>
      </c>
      <c r="BJ257">
        <f t="shared" si="71"/>
        <v>1105.1977075999998</v>
      </c>
      <c r="BK257">
        <f t="shared" si="72"/>
        <v>1095.8741549000001</v>
      </c>
      <c r="BL257">
        <f t="shared" si="73"/>
        <v>1037.949955</v>
      </c>
    </row>
    <row r="258" spans="1:64">
      <c r="A258" t="str">
        <f t="shared" si="58"/>
        <v>18</v>
      </c>
      <c r="B258" t="s">
        <v>605</v>
      </c>
      <c r="C258" t="s">
        <v>680</v>
      </c>
      <c r="D258">
        <v>55</v>
      </c>
      <c r="E258">
        <v>2</v>
      </c>
      <c r="F258">
        <v>10</v>
      </c>
      <c r="G258">
        <v>4</v>
      </c>
      <c r="H258">
        <v>100</v>
      </c>
      <c r="I258" t="s">
        <v>607</v>
      </c>
      <c r="J258">
        <v>0.45</v>
      </c>
      <c r="K258">
        <v>63</v>
      </c>
      <c r="L258">
        <v>9.9199999999999997E-2</v>
      </c>
      <c r="M258">
        <v>2.4563999999999999</v>
      </c>
      <c r="N258">
        <v>33.390799999999999</v>
      </c>
      <c r="O258">
        <v>88.238299999999995</v>
      </c>
      <c r="P258">
        <v>505.84219999999999</v>
      </c>
      <c r="Q258">
        <v>231.22110000000001</v>
      </c>
      <c r="R258">
        <v>5.6099999999999997E-2</v>
      </c>
      <c r="S258">
        <v>0.66610000000000003</v>
      </c>
      <c r="T258">
        <v>0.23269999999999999</v>
      </c>
      <c r="U258">
        <v>0.25240000000000001</v>
      </c>
      <c r="V258">
        <v>0.61609999999999998</v>
      </c>
      <c r="W258">
        <v>11.715400000000001</v>
      </c>
      <c r="X258">
        <v>44.113100000000003</v>
      </c>
      <c r="Y258">
        <v>38.944299999999998</v>
      </c>
      <c r="Z258">
        <v>41.479199999999999</v>
      </c>
      <c r="AA258">
        <v>116.7129</v>
      </c>
      <c r="AB258">
        <v>10</v>
      </c>
      <c r="AC258">
        <v>44.434699999999999</v>
      </c>
      <c r="AD258">
        <v>44.173999999999999</v>
      </c>
      <c r="AE258">
        <v>1.0001</v>
      </c>
      <c r="AF258">
        <v>8231.7466999999997</v>
      </c>
      <c r="AG258">
        <v>40.289000000000001</v>
      </c>
      <c r="AH258">
        <v>1.0238</v>
      </c>
      <c r="AI258">
        <v>90.056700000000006</v>
      </c>
      <c r="AJ258">
        <v>73.2</v>
      </c>
      <c r="AK258">
        <v>82.113200000000006</v>
      </c>
      <c r="AL258">
        <v>1.8443000000000001</v>
      </c>
      <c r="AM258">
        <v>0.05</v>
      </c>
      <c r="AN258">
        <v>1.21E-2</v>
      </c>
      <c r="AO258">
        <v>90.350200000000001</v>
      </c>
      <c r="AP258">
        <v>93.475399999999993</v>
      </c>
      <c r="AQ258">
        <v>92.417199999999994</v>
      </c>
      <c r="AR258">
        <v>89.974400000000003</v>
      </c>
      <c r="AS258">
        <v>85.1113</v>
      </c>
      <c r="AT258">
        <v>84.375799999999998</v>
      </c>
      <c r="AU258">
        <v>79.558899999999994</v>
      </c>
      <c r="AV258">
        <v>4332.9831999999997</v>
      </c>
      <c r="AW258">
        <v>8232.6679999999997</v>
      </c>
      <c r="AX258">
        <f t="shared" si="65"/>
        <v>365816.13277959998</v>
      </c>
      <c r="AY258">
        <f t="shared" si="66"/>
        <v>331685.961052</v>
      </c>
      <c r="AZ258">
        <f t="shared" si="67"/>
        <v>96448.998687200001</v>
      </c>
      <c r="BA258">
        <f t="shared" si="59"/>
        <v>0</v>
      </c>
      <c r="BB258">
        <f t="shared" si="60"/>
        <v>8232.6679999999997</v>
      </c>
      <c r="BC258">
        <f t="shared" si="61"/>
        <v>0</v>
      </c>
      <c r="BD258">
        <f t="shared" si="62"/>
        <v>0</v>
      </c>
      <c r="BE258">
        <f t="shared" si="63"/>
        <v>0</v>
      </c>
      <c r="BF258">
        <f t="shared" si="64"/>
        <v>0</v>
      </c>
      <c r="BG258">
        <f t="shared" si="68"/>
        <v>4123.4896677400002</v>
      </c>
      <c r="BH258">
        <f t="shared" si="69"/>
        <v>4076.8091853199999</v>
      </c>
      <c r="BI258">
        <f t="shared" si="70"/>
        <v>3969.0497046400005</v>
      </c>
      <c r="BJ258">
        <f t="shared" si="71"/>
        <v>3754.5232880300005</v>
      </c>
      <c r="BK258">
        <f t="shared" si="72"/>
        <v>3722.07810298</v>
      </c>
      <c r="BL258">
        <f t="shared" si="73"/>
        <v>3509.5897115899998</v>
      </c>
    </row>
    <row r="259" spans="1:64">
      <c r="A259" t="str">
        <f t="shared" ref="A259:A322" si="74">+MID(C259,22,2)</f>
        <v>18</v>
      </c>
      <c r="B259" t="s">
        <v>605</v>
      </c>
      <c r="C259" t="s">
        <v>680</v>
      </c>
      <c r="D259">
        <v>55</v>
      </c>
      <c r="E259">
        <v>4</v>
      </c>
      <c r="F259">
        <v>10</v>
      </c>
      <c r="G259">
        <v>2</v>
      </c>
      <c r="H259">
        <v>200</v>
      </c>
      <c r="I259" t="s">
        <v>617</v>
      </c>
      <c r="J259">
        <v>0.45</v>
      </c>
      <c r="K259">
        <v>63</v>
      </c>
      <c r="L259">
        <v>8.0699999999999994E-2</v>
      </c>
      <c r="M259">
        <v>2.0672999999999999</v>
      </c>
      <c r="N259">
        <v>33.7515</v>
      </c>
      <c r="O259">
        <v>90.792900000000003</v>
      </c>
      <c r="P259">
        <v>348.56400000000002</v>
      </c>
      <c r="Q259">
        <v>165.47800000000001</v>
      </c>
      <c r="R259">
        <v>5.4899999999999997E-2</v>
      </c>
      <c r="S259">
        <v>0.33800000000000002</v>
      </c>
      <c r="T259">
        <v>0.16769999999999999</v>
      </c>
      <c r="U259">
        <v>0.1168</v>
      </c>
      <c r="V259">
        <v>0.3332</v>
      </c>
      <c r="W259">
        <v>13.344200000000001</v>
      </c>
      <c r="X259">
        <v>1.9872000000000001</v>
      </c>
      <c r="Y259">
        <v>1.7577</v>
      </c>
      <c r="Z259">
        <v>1.8038000000000001</v>
      </c>
      <c r="AA259">
        <v>5.2077</v>
      </c>
      <c r="AB259">
        <v>10</v>
      </c>
      <c r="AC259">
        <v>31.7667</v>
      </c>
      <c r="AD259">
        <v>77.433599999999998</v>
      </c>
      <c r="AE259">
        <v>0.1072</v>
      </c>
      <c r="AF259">
        <v>6334.5915000000005</v>
      </c>
      <c r="AG259">
        <v>28.1953</v>
      </c>
      <c r="AH259">
        <v>2.8299999999999999E-2</v>
      </c>
      <c r="AI259">
        <v>72.738399999999999</v>
      </c>
      <c r="AJ259">
        <v>73.2</v>
      </c>
      <c r="AK259">
        <v>55.366199999999999</v>
      </c>
      <c r="AL259">
        <v>1.8924000000000001</v>
      </c>
      <c r="AM259">
        <v>1.2890999999999999</v>
      </c>
      <c r="AN259">
        <v>1.29E-2</v>
      </c>
      <c r="AO259">
        <v>98.499899999999997</v>
      </c>
      <c r="AP259">
        <v>94.090299999999999</v>
      </c>
      <c r="AQ259">
        <v>93.230500000000006</v>
      </c>
      <c r="AR259">
        <v>91.770799999999994</v>
      </c>
      <c r="AS259">
        <v>88.032600000000002</v>
      </c>
      <c r="AT259">
        <v>87.421599999999998</v>
      </c>
      <c r="AU259">
        <v>84.402600000000007</v>
      </c>
      <c r="AV259">
        <v>357.28059999999999</v>
      </c>
      <c r="AW259">
        <v>678.83320000000003</v>
      </c>
      <c r="AX259">
        <f t="shared" si="65"/>
        <v>21564.29061444</v>
      </c>
      <c r="AY259">
        <f t="shared" si="66"/>
        <v>19139.905723960001</v>
      </c>
      <c r="AZ259">
        <f t="shared" si="67"/>
        <v>9058.4859874400008</v>
      </c>
      <c r="BA259">
        <f t="shared" ref="BA259:BA322" si="75">+IF($E259=1,$AW259,0)</f>
        <v>0</v>
      </c>
      <c r="BB259">
        <f t="shared" ref="BB259:BB322" si="76">+IF($E259=2,$AW259,0)</f>
        <v>0</v>
      </c>
      <c r="BC259">
        <f t="shared" ref="BC259:BC322" si="77">+IF($E259=3,$AW259,IF($E259=4,$AW259,0))</f>
        <v>678.83320000000003</v>
      </c>
      <c r="BD259">
        <f t="shared" ref="BD259:BD322" si="78">+IF($E259=7,$AW259,0)</f>
        <v>0</v>
      </c>
      <c r="BE259">
        <f t="shared" ref="BE259:BE322" si="79">+IF($E259=5,$AW259,0)</f>
        <v>0</v>
      </c>
      <c r="BF259">
        <f t="shared" ref="BF259:BF322" si="80">+IF($E259=8,$AW259,0)</f>
        <v>0</v>
      </c>
      <c r="BG259">
        <f t="shared" si="68"/>
        <v>186.97624415999999</v>
      </c>
      <c r="BH259">
        <f t="shared" si="69"/>
        <v>185.26764960000003</v>
      </c>
      <c r="BI259">
        <f t="shared" si="70"/>
        <v>182.36693375999999</v>
      </c>
      <c r="BJ259">
        <f t="shared" si="71"/>
        <v>174.93838272000002</v>
      </c>
      <c r="BK259">
        <f t="shared" si="72"/>
        <v>173.72420352</v>
      </c>
      <c r="BL259">
        <f t="shared" si="73"/>
        <v>167.72484672000002</v>
      </c>
    </row>
    <row r="260" spans="1:64">
      <c r="A260" t="str">
        <f t="shared" si="74"/>
        <v>18</v>
      </c>
      <c r="B260" t="s">
        <v>605</v>
      </c>
      <c r="C260" t="s">
        <v>680</v>
      </c>
      <c r="D260">
        <v>66</v>
      </c>
      <c r="E260">
        <v>2</v>
      </c>
      <c r="F260">
        <v>6</v>
      </c>
      <c r="G260">
        <v>4</v>
      </c>
      <c r="H260">
        <v>100</v>
      </c>
      <c r="I260" t="s">
        <v>607</v>
      </c>
      <c r="J260">
        <v>0.45</v>
      </c>
      <c r="K260">
        <v>63</v>
      </c>
      <c r="L260">
        <v>0.1019</v>
      </c>
      <c r="M260">
        <v>2.4237000000000002</v>
      </c>
      <c r="N260">
        <v>32.5548</v>
      </c>
      <c r="O260">
        <v>88.0702</v>
      </c>
      <c r="P260">
        <v>505.84219999999999</v>
      </c>
      <c r="Q260">
        <v>230.47370000000001</v>
      </c>
      <c r="R260">
        <v>5.4699999999999999E-2</v>
      </c>
      <c r="S260">
        <v>0.78520000000000001</v>
      </c>
      <c r="T260">
        <v>0.1459</v>
      </c>
      <c r="U260">
        <v>0.30640000000000001</v>
      </c>
      <c r="V260">
        <v>0.62290000000000001</v>
      </c>
      <c r="W260">
        <v>11.723000000000001</v>
      </c>
      <c r="X260">
        <v>1.1437999999999999</v>
      </c>
      <c r="Y260">
        <v>1.0304</v>
      </c>
      <c r="Z260">
        <v>1.0632999999999999</v>
      </c>
      <c r="AA260">
        <v>3.1652</v>
      </c>
      <c r="AB260">
        <v>10</v>
      </c>
      <c r="AC260">
        <v>44.278100000000002</v>
      </c>
      <c r="AD260">
        <v>43.418999999999997</v>
      </c>
      <c r="AE260">
        <v>1.7999999999999999E-2</v>
      </c>
      <c r="AF260">
        <v>8215.1355999999996</v>
      </c>
      <c r="AG260">
        <v>31.5593</v>
      </c>
      <c r="AH260">
        <v>1.8100000000000002E-2</v>
      </c>
      <c r="AI260">
        <v>90.239199999999997</v>
      </c>
      <c r="AJ260">
        <v>73.2</v>
      </c>
      <c r="AK260">
        <v>82.406499999999994</v>
      </c>
      <c r="AL260">
        <v>1.8391</v>
      </c>
      <c r="AM260">
        <v>0.05</v>
      </c>
      <c r="AN260">
        <v>1.34E-2</v>
      </c>
      <c r="AO260">
        <v>90.350200000000001</v>
      </c>
      <c r="AP260">
        <v>92.828299999999999</v>
      </c>
      <c r="AQ260">
        <v>91.789900000000003</v>
      </c>
      <c r="AR260">
        <v>89.392499999999998</v>
      </c>
      <c r="AS260">
        <v>84.599199999999996</v>
      </c>
      <c r="AT260">
        <v>83.864400000000003</v>
      </c>
      <c r="AU260">
        <v>79.185699999999997</v>
      </c>
      <c r="AV260">
        <v>77.923500000000004</v>
      </c>
      <c r="AW260">
        <v>148.05459999999999</v>
      </c>
      <c r="AX260">
        <f t="shared" si="65"/>
        <v>6555.5763842599999</v>
      </c>
      <c r="AY260">
        <f t="shared" si="66"/>
        <v>4672.4995377799996</v>
      </c>
      <c r="AZ260">
        <f t="shared" si="67"/>
        <v>1735.6440758000001</v>
      </c>
      <c r="BA260">
        <f t="shared" si="75"/>
        <v>0</v>
      </c>
      <c r="BB260">
        <f t="shared" si="76"/>
        <v>148.05459999999999</v>
      </c>
      <c r="BC260">
        <f t="shared" si="77"/>
        <v>0</v>
      </c>
      <c r="BD260">
        <f t="shared" si="78"/>
        <v>0</v>
      </c>
      <c r="BE260">
        <f t="shared" si="79"/>
        <v>0</v>
      </c>
      <c r="BF260">
        <f t="shared" si="80"/>
        <v>0</v>
      </c>
      <c r="BG260">
        <f t="shared" si="68"/>
        <v>106.17700953999999</v>
      </c>
      <c r="BH260">
        <f t="shared" si="69"/>
        <v>104.98928762</v>
      </c>
      <c r="BI260">
        <f t="shared" si="70"/>
        <v>102.2471415</v>
      </c>
      <c r="BJ260">
        <f t="shared" si="71"/>
        <v>96.764564959999987</v>
      </c>
      <c r="BK260">
        <f t="shared" si="72"/>
        <v>95.924100719999998</v>
      </c>
      <c r="BL260">
        <f t="shared" si="73"/>
        <v>90.572603659999984</v>
      </c>
    </row>
    <row r="261" spans="1:64">
      <c r="A261" t="str">
        <f t="shared" si="74"/>
        <v>15</v>
      </c>
      <c r="B261" t="s">
        <v>605</v>
      </c>
      <c r="C261" t="s">
        <v>681</v>
      </c>
      <c r="D261">
        <v>66</v>
      </c>
      <c r="E261">
        <v>3</v>
      </c>
      <c r="F261">
        <v>6</v>
      </c>
      <c r="G261">
        <v>2</v>
      </c>
      <c r="H261">
        <v>100</v>
      </c>
      <c r="I261" t="s">
        <v>617</v>
      </c>
      <c r="J261">
        <v>0.38690000000000002</v>
      </c>
      <c r="K261">
        <v>40.804499999999997</v>
      </c>
      <c r="L261">
        <v>5.3199999999999997E-2</v>
      </c>
      <c r="M261">
        <v>1.4167000000000001</v>
      </c>
      <c r="N261">
        <v>23.841699999999999</v>
      </c>
      <c r="O261">
        <v>89.819100000000006</v>
      </c>
      <c r="P261">
        <v>284.42599999999999</v>
      </c>
      <c r="Q261">
        <v>212.29300000000001</v>
      </c>
      <c r="R261">
        <v>0.51910000000000001</v>
      </c>
      <c r="S261">
        <v>0.91200000000000003</v>
      </c>
      <c r="T261">
        <v>0</v>
      </c>
      <c r="U261">
        <v>0.2429</v>
      </c>
      <c r="V261">
        <v>0.4002</v>
      </c>
      <c r="W261">
        <v>13.067399999999999</v>
      </c>
      <c r="X261">
        <v>61.447499999999998</v>
      </c>
      <c r="Y261">
        <v>55.191499999999998</v>
      </c>
      <c r="Z261">
        <v>55.140700000000002</v>
      </c>
      <c r="AA261">
        <v>231.5872</v>
      </c>
      <c r="AB261">
        <v>9.4352</v>
      </c>
      <c r="AC261">
        <v>36.993200000000002</v>
      </c>
      <c r="AD261">
        <v>68.137600000000006</v>
      </c>
      <c r="AE261">
        <v>2.1274999999999999</v>
      </c>
      <c r="AF261">
        <v>7466.0803999999998</v>
      </c>
      <c r="AG261">
        <v>59.696800000000003</v>
      </c>
      <c r="AH261">
        <v>0.49399999999999999</v>
      </c>
      <c r="AI261">
        <v>86.542599999999993</v>
      </c>
      <c r="AJ261">
        <v>54.21</v>
      </c>
      <c r="AK261">
        <v>76.210300000000004</v>
      </c>
      <c r="AL261">
        <v>1.9476</v>
      </c>
      <c r="AM261">
        <v>0.05</v>
      </c>
      <c r="AN261">
        <v>5.1000000000000004E-3</v>
      </c>
      <c r="AO261">
        <v>89.298699999999997</v>
      </c>
      <c r="AP261">
        <v>93.9328</v>
      </c>
      <c r="AQ261">
        <v>92.597300000000004</v>
      </c>
      <c r="AR261">
        <v>90.519099999999995</v>
      </c>
      <c r="AS261">
        <v>84.963999999999999</v>
      </c>
      <c r="AT261">
        <v>84.025999999999996</v>
      </c>
      <c r="AU261">
        <v>79.980199999999996</v>
      </c>
      <c r="AV261">
        <v>6012.3357999999998</v>
      </c>
      <c r="AW261">
        <v>15883.3776</v>
      </c>
      <c r="AX261">
        <f t="shared" si="65"/>
        <v>587576.96423231997</v>
      </c>
      <c r="AY261">
        <f t="shared" si="66"/>
        <v>948186.81591167999</v>
      </c>
      <c r="AZ261">
        <f t="shared" si="67"/>
        <v>207554.44845023999</v>
      </c>
      <c r="BA261">
        <f t="shared" si="75"/>
        <v>0</v>
      </c>
      <c r="BB261">
        <f t="shared" si="76"/>
        <v>0</v>
      </c>
      <c r="BC261">
        <f t="shared" si="77"/>
        <v>15883.3776</v>
      </c>
      <c r="BD261">
        <f t="shared" si="78"/>
        <v>0</v>
      </c>
      <c r="BE261">
        <f t="shared" si="79"/>
        <v>0</v>
      </c>
      <c r="BF261">
        <f t="shared" si="80"/>
        <v>0</v>
      </c>
      <c r="BG261">
        <f t="shared" si="68"/>
        <v>5771.9357279999995</v>
      </c>
      <c r="BH261">
        <f t="shared" si="69"/>
        <v>5689.8725917499996</v>
      </c>
      <c r="BI261">
        <f t="shared" si="70"/>
        <v>5562.1723972499994</v>
      </c>
      <c r="BJ261">
        <f t="shared" si="71"/>
        <v>5220.82539</v>
      </c>
      <c r="BK261">
        <f t="shared" si="72"/>
        <v>5163.1876349999993</v>
      </c>
      <c r="BL261">
        <f t="shared" si="73"/>
        <v>4914.5833395</v>
      </c>
    </row>
    <row r="262" spans="1:64">
      <c r="A262" t="str">
        <f t="shared" si="74"/>
        <v>15</v>
      </c>
      <c r="B262" t="s">
        <v>605</v>
      </c>
      <c r="C262" t="s">
        <v>681</v>
      </c>
      <c r="D262">
        <v>66</v>
      </c>
      <c r="E262">
        <v>3</v>
      </c>
      <c r="F262">
        <v>6</v>
      </c>
      <c r="G262">
        <v>2</v>
      </c>
      <c r="H262">
        <v>100</v>
      </c>
      <c r="I262" t="s">
        <v>607</v>
      </c>
      <c r="J262">
        <v>0.4219</v>
      </c>
      <c r="K262">
        <v>79.464100000000002</v>
      </c>
      <c r="L262">
        <v>8.14E-2</v>
      </c>
      <c r="M262">
        <v>2.0528</v>
      </c>
      <c r="N262">
        <v>26.214300000000001</v>
      </c>
      <c r="O262">
        <v>90.061199999999999</v>
      </c>
      <c r="P262">
        <v>286.52109999999999</v>
      </c>
      <c r="Q262">
        <v>212.2183</v>
      </c>
      <c r="R262">
        <v>0.46700000000000003</v>
      </c>
      <c r="S262">
        <v>0.90090000000000003</v>
      </c>
      <c r="T262">
        <v>5.28E-2</v>
      </c>
      <c r="U262">
        <v>0.27089999999999997</v>
      </c>
      <c r="V262">
        <v>0.44900000000000001</v>
      </c>
      <c r="W262">
        <v>13.336499999999999</v>
      </c>
      <c r="X262">
        <v>179.6268</v>
      </c>
      <c r="Y262">
        <v>161.7807</v>
      </c>
      <c r="Z262">
        <v>166.39429999999999</v>
      </c>
      <c r="AA262">
        <v>619.26279999999997</v>
      </c>
      <c r="AB262">
        <v>12.4322</v>
      </c>
      <c r="AC262">
        <v>36.190600000000003</v>
      </c>
      <c r="AD262">
        <v>69.457899999999995</v>
      </c>
      <c r="AE262">
        <v>5.7571000000000003</v>
      </c>
      <c r="AF262">
        <v>7396.0077000000001</v>
      </c>
      <c r="AG262">
        <v>59.178699999999999</v>
      </c>
      <c r="AH262">
        <v>2.6987999999999999</v>
      </c>
      <c r="AI262">
        <v>88.167599999999993</v>
      </c>
      <c r="AJ262">
        <v>62.794600000000003</v>
      </c>
      <c r="AK262">
        <v>79.520799999999994</v>
      </c>
      <c r="AL262">
        <v>1.5301</v>
      </c>
      <c r="AM262">
        <v>0.05</v>
      </c>
      <c r="AN262">
        <v>3.5000000000000001E-3</v>
      </c>
      <c r="AO262">
        <v>89.382300000000001</v>
      </c>
      <c r="AP262">
        <v>94.130300000000005</v>
      </c>
      <c r="AQ262">
        <v>92.873400000000004</v>
      </c>
      <c r="AR262">
        <v>90.978399999999993</v>
      </c>
      <c r="AS262">
        <v>85.758700000000005</v>
      </c>
      <c r="AT262">
        <v>84.834000000000003</v>
      </c>
      <c r="AU262">
        <v>80.823499999999996</v>
      </c>
      <c r="AV262">
        <v>16025.118</v>
      </c>
      <c r="AW262">
        <v>42576.604299999999</v>
      </c>
      <c r="AX262">
        <f t="shared" si="65"/>
        <v>1540872.8555795802</v>
      </c>
      <c r="AY262">
        <f t="shared" si="66"/>
        <v>2519628.0928884097</v>
      </c>
      <c r="AZ262">
        <f t="shared" si="67"/>
        <v>567822.88324694999</v>
      </c>
      <c r="BA262">
        <f t="shared" si="75"/>
        <v>0</v>
      </c>
      <c r="BB262">
        <f t="shared" si="76"/>
        <v>0</v>
      </c>
      <c r="BC262">
        <f t="shared" si="77"/>
        <v>42576.604299999999</v>
      </c>
      <c r="BD262">
        <f t="shared" si="78"/>
        <v>0</v>
      </c>
      <c r="BE262">
        <f t="shared" si="79"/>
        <v>0</v>
      </c>
      <c r="BF262">
        <f t="shared" si="80"/>
        <v>0</v>
      </c>
      <c r="BG262">
        <f t="shared" si="68"/>
        <v>16908.324572040001</v>
      </c>
      <c r="BH262">
        <f t="shared" si="69"/>
        <v>16682.551647120003</v>
      </c>
      <c r="BI262">
        <f t="shared" si="70"/>
        <v>16342.158861119999</v>
      </c>
      <c r="BJ262">
        <f t="shared" si="71"/>
        <v>15404.560853160001</v>
      </c>
      <c r="BK262">
        <f t="shared" si="72"/>
        <v>15238.4599512</v>
      </c>
      <c r="BL262">
        <f t="shared" si="73"/>
        <v>14518.066669799999</v>
      </c>
    </row>
    <row r="263" spans="1:64">
      <c r="A263" t="str">
        <f t="shared" si="74"/>
        <v>15</v>
      </c>
      <c r="B263" t="s">
        <v>605</v>
      </c>
      <c r="C263" t="s">
        <v>682</v>
      </c>
      <c r="D263">
        <v>55</v>
      </c>
      <c r="E263">
        <v>1</v>
      </c>
      <c r="F263">
        <v>6</v>
      </c>
      <c r="G263">
        <v>2</v>
      </c>
      <c r="H263">
        <v>100</v>
      </c>
      <c r="I263" t="s">
        <v>607</v>
      </c>
      <c r="J263">
        <v>0.52459999999999996</v>
      </c>
      <c r="K263">
        <v>75.436999999999998</v>
      </c>
      <c r="L263">
        <v>9.6699999999999994E-2</v>
      </c>
      <c r="M263">
        <v>2.9394</v>
      </c>
      <c r="N263">
        <v>30.165900000000001</v>
      </c>
      <c r="O263">
        <v>87.557000000000002</v>
      </c>
      <c r="P263">
        <v>419.08170000000001</v>
      </c>
      <c r="Q263">
        <v>252.58510000000001</v>
      </c>
      <c r="R263">
        <v>0.38569999999999999</v>
      </c>
      <c r="S263">
        <v>0.79349999999999998</v>
      </c>
      <c r="T263">
        <v>0.15890000000000001</v>
      </c>
      <c r="U263">
        <v>0.25019999999999998</v>
      </c>
      <c r="V263">
        <v>0.61219999999999997</v>
      </c>
      <c r="W263">
        <v>11.3864</v>
      </c>
      <c r="X263">
        <v>119.2466</v>
      </c>
      <c r="Y263">
        <v>104.9252</v>
      </c>
      <c r="Z263">
        <v>106.5855</v>
      </c>
      <c r="AA263">
        <v>347.9248</v>
      </c>
      <c r="AB263">
        <v>17.796199999999999</v>
      </c>
      <c r="AC263">
        <v>49.946800000000003</v>
      </c>
      <c r="AD263">
        <v>43.7363</v>
      </c>
      <c r="AE263">
        <v>1.9847999999999999</v>
      </c>
      <c r="AF263">
        <v>9055.2365000000009</v>
      </c>
      <c r="AG263">
        <v>46.821399999999997</v>
      </c>
      <c r="AH263">
        <v>1.4005000000000001</v>
      </c>
      <c r="AI263">
        <v>85.700199999999995</v>
      </c>
      <c r="AJ263">
        <v>73.2</v>
      </c>
      <c r="AK263">
        <v>75.424300000000002</v>
      </c>
      <c r="AL263">
        <v>1.6093</v>
      </c>
      <c r="AM263">
        <v>0.05</v>
      </c>
      <c r="AN263">
        <v>1.6199999999999999E-2</v>
      </c>
      <c r="AO263">
        <v>85.834299999999999</v>
      </c>
      <c r="AP263">
        <v>92.839399999999998</v>
      </c>
      <c r="AQ263">
        <v>91.683700000000002</v>
      </c>
      <c r="AR263">
        <v>89.395600000000002</v>
      </c>
      <c r="AS263">
        <v>84.212900000000005</v>
      </c>
      <c r="AT263">
        <v>83.432199999999995</v>
      </c>
      <c r="AU263">
        <v>78.678799999999995</v>
      </c>
      <c r="AV263">
        <v>8519.2855999999992</v>
      </c>
      <c r="AW263">
        <v>17965.1093</v>
      </c>
      <c r="AX263">
        <f t="shared" si="65"/>
        <v>897299.72118524008</v>
      </c>
      <c r="AY263">
        <f t="shared" si="66"/>
        <v>841151.56857901998</v>
      </c>
      <c r="AZ263">
        <f t="shared" si="67"/>
        <v>204557.92053351999</v>
      </c>
      <c r="BA263">
        <f t="shared" si="75"/>
        <v>17965.1093</v>
      </c>
      <c r="BB263">
        <f t="shared" si="76"/>
        <v>0</v>
      </c>
      <c r="BC263">
        <f t="shared" si="77"/>
        <v>0</v>
      </c>
      <c r="BD263">
        <f t="shared" si="78"/>
        <v>0</v>
      </c>
      <c r="BE263">
        <f t="shared" si="79"/>
        <v>0</v>
      </c>
      <c r="BF263">
        <f t="shared" si="80"/>
        <v>0</v>
      </c>
      <c r="BG263">
        <f t="shared" si="68"/>
        <v>11070.782796039999</v>
      </c>
      <c r="BH263">
        <f t="shared" si="69"/>
        <v>10932.96950042</v>
      </c>
      <c r="BI263">
        <f t="shared" si="70"/>
        <v>10660.12135496</v>
      </c>
      <c r="BJ263">
        <f t="shared" si="71"/>
        <v>10042.102001140001</v>
      </c>
      <c r="BK263">
        <f t="shared" si="72"/>
        <v>9949.0061805200003</v>
      </c>
      <c r="BL263">
        <f t="shared" si="73"/>
        <v>9382.1793920799992</v>
      </c>
    </row>
    <row r="264" spans="1:64">
      <c r="A264" t="str">
        <f t="shared" si="74"/>
        <v>15</v>
      </c>
      <c r="B264" t="s">
        <v>605</v>
      </c>
      <c r="C264" t="s">
        <v>682</v>
      </c>
      <c r="D264">
        <v>55</v>
      </c>
      <c r="E264">
        <v>2</v>
      </c>
      <c r="F264">
        <v>6</v>
      </c>
      <c r="G264">
        <v>2</v>
      </c>
      <c r="H264">
        <v>100</v>
      </c>
      <c r="I264" t="s">
        <v>607</v>
      </c>
      <c r="J264">
        <v>0.45</v>
      </c>
      <c r="K264">
        <v>63</v>
      </c>
      <c r="L264">
        <v>0.1024</v>
      </c>
      <c r="M264">
        <v>3.2728000000000002</v>
      </c>
      <c r="N264">
        <v>31.128</v>
      </c>
      <c r="O264">
        <v>87.193200000000004</v>
      </c>
      <c r="P264">
        <v>505.84219999999999</v>
      </c>
      <c r="Q264">
        <v>249.08680000000001</v>
      </c>
      <c r="R264">
        <v>0.37880000000000003</v>
      </c>
      <c r="S264">
        <v>0.79969999999999997</v>
      </c>
      <c r="T264">
        <v>0.15720000000000001</v>
      </c>
      <c r="U264">
        <v>0.27289999999999998</v>
      </c>
      <c r="V264">
        <v>0.59189999999999998</v>
      </c>
      <c r="W264">
        <v>11.7615</v>
      </c>
      <c r="X264">
        <v>7.4482999999999997</v>
      </c>
      <c r="Y264">
        <v>6.5793999999999997</v>
      </c>
      <c r="Z264">
        <v>6.6555999999999997</v>
      </c>
      <c r="AA264">
        <v>21.136500000000002</v>
      </c>
      <c r="AB264">
        <v>10</v>
      </c>
      <c r="AC264">
        <v>47.755699999999997</v>
      </c>
      <c r="AD264">
        <v>42.645099999999999</v>
      </c>
      <c r="AE264">
        <v>0.12479999999999999</v>
      </c>
      <c r="AF264">
        <v>8584.0295999999998</v>
      </c>
      <c r="AG264">
        <v>41.479599999999998</v>
      </c>
      <c r="AH264">
        <v>8.0500000000000002E-2</v>
      </c>
      <c r="AI264">
        <v>83.080699999999993</v>
      </c>
      <c r="AJ264">
        <v>73.2</v>
      </c>
      <c r="AK264">
        <v>70.955200000000005</v>
      </c>
      <c r="AL264">
        <v>1.6842999999999999</v>
      </c>
      <c r="AM264">
        <v>0.05</v>
      </c>
      <c r="AN264">
        <v>1.6500000000000001E-2</v>
      </c>
      <c r="AO264">
        <v>90.350200000000001</v>
      </c>
      <c r="AP264">
        <v>93.007400000000004</v>
      </c>
      <c r="AQ264">
        <v>91.921300000000002</v>
      </c>
      <c r="AR264">
        <v>89.445899999999995</v>
      </c>
      <c r="AS264">
        <v>83.951999999999998</v>
      </c>
      <c r="AT264">
        <v>83.207499999999996</v>
      </c>
      <c r="AU264">
        <v>77.804400000000001</v>
      </c>
      <c r="AV264">
        <v>563.74800000000005</v>
      </c>
      <c r="AW264">
        <v>1071.1211000000001</v>
      </c>
      <c r="AX264">
        <f t="shared" si="65"/>
        <v>51152.137915270003</v>
      </c>
      <c r="AY264">
        <f t="shared" si="66"/>
        <v>44429.674779560002</v>
      </c>
      <c r="AZ264">
        <f t="shared" si="67"/>
        <v>12597.990817650001</v>
      </c>
      <c r="BA264">
        <f t="shared" si="75"/>
        <v>0</v>
      </c>
      <c r="BB264">
        <f t="shared" si="76"/>
        <v>1071.1211000000001</v>
      </c>
      <c r="BC264">
        <f t="shared" si="77"/>
        <v>0</v>
      </c>
      <c r="BD264">
        <f t="shared" si="78"/>
        <v>0</v>
      </c>
      <c r="BE264">
        <f t="shared" si="79"/>
        <v>0</v>
      </c>
      <c r="BF264">
        <f t="shared" si="80"/>
        <v>0</v>
      </c>
      <c r="BG264">
        <f t="shared" si="68"/>
        <v>692.74701742000002</v>
      </c>
      <c r="BH264">
        <f t="shared" si="69"/>
        <v>684.65741878999995</v>
      </c>
      <c r="BI264">
        <f t="shared" si="70"/>
        <v>666.21989696999992</v>
      </c>
      <c r="BJ264">
        <f t="shared" si="71"/>
        <v>625.29968159999999</v>
      </c>
      <c r="BK264">
        <f t="shared" si="72"/>
        <v>619.75442224999995</v>
      </c>
      <c r="BL264">
        <f t="shared" si="73"/>
        <v>579.51051252000002</v>
      </c>
    </row>
    <row r="265" spans="1:64">
      <c r="A265" t="str">
        <f t="shared" si="74"/>
        <v>15</v>
      </c>
      <c r="B265" t="s">
        <v>605</v>
      </c>
      <c r="C265" t="s">
        <v>682</v>
      </c>
      <c r="D265">
        <v>66</v>
      </c>
      <c r="E265">
        <v>1</v>
      </c>
      <c r="F265">
        <v>6</v>
      </c>
      <c r="G265">
        <v>2</v>
      </c>
      <c r="H265">
        <v>100</v>
      </c>
      <c r="I265" t="s">
        <v>607</v>
      </c>
      <c r="J265">
        <v>0.45</v>
      </c>
      <c r="K265">
        <v>63</v>
      </c>
      <c r="L265">
        <v>0.1024</v>
      </c>
      <c r="M265">
        <v>3.2728000000000002</v>
      </c>
      <c r="N265">
        <v>31.194900000000001</v>
      </c>
      <c r="O265">
        <v>87.194400000000002</v>
      </c>
      <c r="P265">
        <v>505.84219999999999</v>
      </c>
      <c r="Q265">
        <v>248.65299999999999</v>
      </c>
      <c r="R265">
        <v>0.40529999999999999</v>
      </c>
      <c r="S265">
        <v>0.77439999999999998</v>
      </c>
      <c r="T265">
        <v>0.1686</v>
      </c>
      <c r="U265">
        <v>0.28029999999999999</v>
      </c>
      <c r="V265">
        <v>0.60960000000000003</v>
      </c>
      <c r="W265">
        <v>11.1214</v>
      </c>
      <c r="X265">
        <v>21.088200000000001</v>
      </c>
      <c r="Y265">
        <v>18.955400000000001</v>
      </c>
      <c r="Z265">
        <v>19.8187</v>
      </c>
      <c r="AA265">
        <v>60.764299999999999</v>
      </c>
      <c r="AB265">
        <v>10</v>
      </c>
      <c r="AC265">
        <v>47.450200000000002</v>
      </c>
      <c r="AD265">
        <v>43.219799999999999</v>
      </c>
      <c r="AE265">
        <v>0.37140000000000001</v>
      </c>
      <c r="AF265">
        <v>9124.0046999999995</v>
      </c>
      <c r="AG265">
        <v>41.479599999999998</v>
      </c>
      <c r="AH265">
        <v>0.40100000000000002</v>
      </c>
      <c r="AI265">
        <v>88.265100000000004</v>
      </c>
      <c r="AJ265">
        <v>73.2</v>
      </c>
      <c r="AK265">
        <v>79.231499999999997</v>
      </c>
      <c r="AL265">
        <v>1.7000999999999999</v>
      </c>
      <c r="AM265">
        <v>0.05</v>
      </c>
      <c r="AN265">
        <v>2.2800000000000001E-2</v>
      </c>
      <c r="AO265">
        <v>83.227900000000005</v>
      </c>
      <c r="AP265">
        <v>93.013000000000005</v>
      </c>
      <c r="AQ265">
        <v>91.934200000000004</v>
      </c>
      <c r="AR265">
        <v>89.480699999999999</v>
      </c>
      <c r="AS265">
        <v>83.908000000000001</v>
      </c>
      <c r="AT265">
        <v>83.153000000000006</v>
      </c>
      <c r="AU265">
        <v>77.749099999999999</v>
      </c>
      <c r="AV265">
        <v>1783.4867999999999</v>
      </c>
      <c r="AW265">
        <v>3388.6248999999998</v>
      </c>
      <c r="AX265">
        <f t="shared" si="65"/>
        <v>160790.92922997999</v>
      </c>
      <c r="AY265">
        <f t="shared" si="66"/>
        <v>140558.80540203999</v>
      </c>
      <c r="AZ265">
        <f t="shared" si="67"/>
        <v>37686.252962859995</v>
      </c>
      <c r="BA265">
        <f t="shared" si="75"/>
        <v>3388.6248999999998</v>
      </c>
      <c r="BB265">
        <f t="shared" si="76"/>
        <v>0</v>
      </c>
      <c r="BC265">
        <f t="shared" si="77"/>
        <v>0</v>
      </c>
      <c r="BD265">
        <f t="shared" si="78"/>
        <v>0</v>
      </c>
      <c r="BE265">
        <f t="shared" si="79"/>
        <v>0</v>
      </c>
      <c r="BF265">
        <f t="shared" si="80"/>
        <v>0</v>
      </c>
      <c r="BG265">
        <f t="shared" si="68"/>
        <v>1961.4767466000001</v>
      </c>
      <c r="BH265">
        <f t="shared" si="69"/>
        <v>1938.72679644</v>
      </c>
      <c r="BI265">
        <f t="shared" si="70"/>
        <v>1886.9868977400001</v>
      </c>
      <c r="BJ265">
        <f t="shared" si="71"/>
        <v>1769.4686856000001</v>
      </c>
      <c r="BK265">
        <f t="shared" si="72"/>
        <v>1753.5470946000003</v>
      </c>
      <c r="BL265">
        <f t="shared" si="73"/>
        <v>1639.5885706199999</v>
      </c>
    </row>
    <row r="266" spans="1:64">
      <c r="A266" t="str">
        <f t="shared" si="74"/>
        <v>15</v>
      </c>
      <c r="B266" t="s">
        <v>605</v>
      </c>
      <c r="C266" t="s">
        <v>682</v>
      </c>
      <c r="D266">
        <v>66</v>
      </c>
      <c r="E266">
        <v>3</v>
      </c>
      <c r="F266">
        <v>6</v>
      </c>
      <c r="G266">
        <v>2</v>
      </c>
      <c r="H266">
        <v>100</v>
      </c>
      <c r="I266" t="s">
        <v>607</v>
      </c>
      <c r="J266">
        <v>0.4269</v>
      </c>
      <c r="K266">
        <v>100.4311</v>
      </c>
      <c r="L266">
        <v>9.6600000000000005E-2</v>
      </c>
      <c r="M266">
        <v>2.4354</v>
      </c>
      <c r="N266">
        <v>28.1205</v>
      </c>
      <c r="O266">
        <v>90.192700000000002</v>
      </c>
      <c r="P266">
        <v>300.81040000000002</v>
      </c>
      <c r="Q266">
        <v>213.6636</v>
      </c>
      <c r="R266">
        <v>0.43540000000000001</v>
      </c>
      <c r="S266">
        <v>0.74670000000000003</v>
      </c>
      <c r="T266">
        <v>0.13950000000000001</v>
      </c>
      <c r="U266">
        <v>0.23430000000000001</v>
      </c>
      <c r="V266">
        <v>0.46160000000000001</v>
      </c>
      <c r="W266">
        <v>13.5097</v>
      </c>
      <c r="X266">
        <v>33.499600000000001</v>
      </c>
      <c r="Y266">
        <v>30.213899999999999</v>
      </c>
      <c r="Z266">
        <v>31.583500000000001</v>
      </c>
      <c r="AA266">
        <v>107.4333</v>
      </c>
      <c r="AB266">
        <v>11.047599999999999</v>
      </c>
      <c r="AC266">
        <v>36.015599999999999</v>
      </c>
      <c r="AD266">
        <v>72.792299999999997</v>
      </c>
      <c r="AE266">
        <v>1.0618000000000001</v>
      </c>
      <c r="AF266">
        <v>7389.8059000000003</v>
      </c>
      <c r="AG266">
        <v>58.715899999999998</v>
      </c>
      <c r="AH266">
        <v>0.63739999999999997</v>
      </c>
      <c r="AI266">
        <v>88.817300000000003</v>
      </c>
      <c r="AJ266">
        <v>73.2</v>
      </c>
      <c r="AK266">
        <v>80.857399999999998</v>
      </c>
      <c r="AL266">
        <v>1.2766</v>
      </c>
      <c r="AM266">
        <v>0.05</v>
      </c>
      <c r="AN266">
        <v>2.9999999999999997E-4</v>
      </c>
      <c r="AO266">
        <v>89.224800000000002</v>
      </c>
      <c r="AP266">
        <v>94.365099999999998</v>
      </c>
      <c r="AQ266">
        <v>93.141900000000007</v>
      </c>
      <c r="AR266">
        <v>91.3904</v>
      </c>
      <c r="AS266">
        <v>86.284899999999993</v>
      </c>
      <c r="AT266">
        <v>85.326899999999995</v>
      </c>
      <c r="AU266">
        <v>81.316100000000006</v>
      </c>
      <c r="AV266">
        <v>2939.0862999999999</v>
      </c>
      <c r="AW266">
        <v>7846.3513999999996</v>
      </c>
      <c r="AX266">
        <f t="shared" si="65"/>
        <v>282591.05348184</v>
      </c>
      <c r="AY266">
        <f t="shared" si="66"/>
        <v>460705.58416725998</v>
      </c>
      <c r="AZ266">
        <f t="shared" si="67"/>
        <v>106001.85350858</v>
      </c>
      <c r="BA266">
        <f t="shared" si="75"/>
        <v>0</v>
      </c>
      <c r="BB266">
        <f t="shared" si="76"/>
        <v>0</v>
      </c>
      <c r="BC266">
        <f t="shared" si="77"/>
        <v>7846.3513999999996</v>
      </c>
      <c r="BD266">
        <f t="shared" si="78"/>
        <v>0</v>
      </c>
      <c r="BE266">
        <f t="shared" si="79"/>
        <v>0</v>
      </c>
      <c r="BF266">
        <f t="shared" si="80"/>
        <v>0</v>
      </c>
      <c r="BG266">
        <f t="shared" si="68"/>
        <v>3161.1931039599999</v>
      </c>
      <c r="BH266">
        <f t="shared" si="69"/>
        <v>3120.2163932400003</v>
      </c>
      <c r="BI266">
        <f t="shared" si="70"/>
        <v>3061.5418438400002</v>
      </c>
      <c r="BJ266">
        <f t="shared" si="71"/>
        <v>2890.5096360399998</v>
      </c>
      <c r="BK266">
        <f t="shared" si="72"/>
        <v>2858.4170192399997</v>
      </c>
      <c r="BL266">
        <f t="shared" si="73"/>
        <v>2724.0568235600003</v>
      </c>
    </row>
    <row r="267" spans="1:64">
      <c r="A267" t="str">
        <f t="shared" si="74"/>
        <v>16</v>
      </c>
      <c r="B267" t="s">
        <v>605</v>
      </c>
      <c r="C267" t="s">
        <v>683</v>
      </c>
      <c r="D267">
        <v>55</v>
      </c>
      <c r="E267">
        <v>1</v>
      </c>
      <c r="F267">
        <v>6</v>
      </c>
      <c r="G267">
        <v>2</v>
      </c>
      <c r="H267">
        <v>100</v>
      </c>
      <c r="I267" t="s">
        <v>607</v>
      </c>
      <c r="J267">
        <v>0.45</v>
      </c>
      <c r="K267">
        <v>63</v>
      </c>
      <c r="L267">
        <v>0.11650000000000001</v>
      </c>
      <c r="M267">
        <v>3.5023</v>
      </c>
      <c r="N267">
        <v>32.506300000000003</v>
      </c>
      <c r="O267">
        <v>87.688199999999995</v>
      </c>
      <c r="P267">
        <v>505.84219999999999</v>
      </c>
      <c r="Q267">
        <v>240.3467</v>
      </c>
      <c r="R267">
        <v>0.3649</v>
      </c>
      <c r="S267">
        <v>0.6018</v>
      </c>
      <c r="T267">
        <v>0.29149999999999998</v>
      </c>
      <c r="U267">
        <v>0.21440000000000001</v>
      </c>
      <c r="V267">
        <v>0.60719999999999996</v>
      </c>
      <c r="W267">
        <v>10.8972</v>
      </c>
      <c r="X267">
        <v>1.4426000000000001</v>
      </c>
      <c r="Y267">
        <v>1.2696000000000001</v>
      </c>
      <c r="Z267">
        <v>1.3129</v>
      </c>
      <c r="AA267">
        <v>3.9058000000000002</v>
      </c>
      <c r="AB267">
        <v>10</v>
      </c>
      <c r="AC267">
        <v>46.334400000000002</v>
      </c>
      <c r="AD267">
        <v>43.1751</v>
      </c>
      <c r="AE267">
        <v>2.3E-2</v>
      </c>
      <c r="AF267">
        <v>9005.6427000000003</v>
      </c>
      <c r="AG267">
        <v>23.124500000000001</v>
      </c>
      <c r="AH267">
        <v>2.3E-2</v>
      </c>
      <c r="AI267">
        <v>88.302400000000006</v>
      </c>
      <c r="AJ267">
        <v>73.2</v>
      </c>
      <c r="AK267">
        <v>79.291499999999999</v>
      </c>
      <c r="AL267">
        <v>1.6091</v>
      </c>
      <c r="AM267">
        <v>0.05</v>
      </c>
      <c r="AN267">
        <v>2.0500000000000001E-2</v>
      </c>
      <c r="AO267">
        <v>83.227900000000005</v>
      </c>
      <c r="AP267">
        <v>92.800299999999993</v>
      </c>
      <c r="AQ267">
        <v>91.734200000000001</v>
      </c>
      <c r="AR267">
        <v>89.272499999999994</v>
      </c>
      <c r="AS267">
        <v>84.446700000000007</v>
      </c>
      <c r="AT267">
        <v>83.741200000000006</v>
      </c>
      <c r="AU267">
        <v>78.84</v>
      </c>
      <c r="AV267">
        <v>108.92359999999999</v>
      </c>
      <c r="AW267">
        <v>206.95480000000001</v>
      </c>
      <c r="AX267">
        <f t="shared" si="65"/>
        <v>9589.1264851200012</v>
      </c>
      <c r="AY267">
        <f t="shared" si="66"/>
        <v>4785.7262726000008</v>
      </c>
      <c r="AZ267">
        <f t="shared" si="67"/>
        <v>2255.2278465600002</v>
      </c>
      <c r="BA267">
        <f t="shared" si="75"/>
        <v>206.95480000000001</v>
      </c>
      <c r="BB267">
        <f t="shared" si="76"/>
        <v>0</v>
      </c>
      <c r="BC267">
        <f t="shared" si="77"/>
        <v>0</v>
      </c>
      <c r="BD267">
        <f t="shared" si="78"/>
        <v>0</v>
      </c>
      <c r="BE267">
        <f t="shared" si="79"/>
        <v>0</v>
      </c>
      <c r="BF267">
        <f t="shared" si="80"/>
        <v>0</v>
      </c>
      <c r="BG267">
        <f t="shared" si="68"/>
        <v>133.87371278000001</v>
      </c>
      <c r="BH267">
        <f t="shared" si="69"/>
        <v>132.33575692000002</v>
      </c>
      <c r="BI267">
        <f t="shared" si="70"/>
        <v>128.78450849999999</v>
      </c>
      <c r="BJ267">
        <f t="shared" si="71"/>
        <v>121.82280942000001</v>
      </c>
      <c r="BK267">
        <f t="shared" si="72"/>
        <v>120.80505512000002</v>
      </c>
      <c r="BL267">
        <f t="shared" si="73"/>
        <v>113.73458400000001</v>
      </c>
    </row>
    <row r="268" spans="1:64">
      <c r="A268" t="str">
        <f t="shared" si="74"/>
        <v>16</v>
      </c>
      <c r="B268" t="s">
        <v>605</v>
      </c>
      <c r="C268" t="s">
        <v>683</v>
      </c>
      <c r="D268">
        <v>55</v>
      </c>
      <c r="E268">
        <v>2</v>
      </c>
      <c r="F268">
        <v>6</v>
      </c>
      <c r="G268">
        <v>4</v>
      </c>
      <c r="H268">
        <v>100</v>
      </c>
      <c r="I268" t="s">
        <v>607</v>
      </c>
      <c r="J268">
        <v>0.45</v>
      </c>
      <c r="K268">
        <v>63</v>
      </c>
      <c r="L268">
        <v>0.10979999999999999</v>
      </c>
      <c r="M268">
        <v>3.0286</v>
      </c>
      <c r="N268">
        <v>32.677</v>
      </c>
      <c r="O268">
        <v>87.775700000000001</v>
      </c>
      <c r="P268">
        <v>505.84219999999999</v>
      </c>
      <c r="Q268">
        <v>238.63399999999999</v>
      </c>
      <c r="R268">
        <v>0.33169999999999999</v>
      </c>
      <c r="S268">
        <v>0.56620000000000004</v>
      </c>
      <c r="T268">
        <v>0.28420000000000001</v>
      </c>
      <c r="U268">
        <v>0.21010000000000001</v>
      </c>
      <c r="V268">
        <v>0.58189999999999997</v>
      </c>
      <c r="W268">
        <v>11.806900000000001</v>
      </c>
      <c r="X268">
        <v>4.8875000000000002</v>
      </c>
      <c r="Y268">
        <v>4.2961999999999998</v>
      </c>
      <c r="Z268">
        <v>4.415</v>
      </c>
      <c r="AA268">
        <v>13.147500000000001</v>
      </c>
      <c r="AB268">
        <v>10</v>
      </c>
      <c r="AC268">
        <v>45.652099999999997</v>
      </c>
      <c r="AD268">
        <v>43.657299999999999</v>
      </c>
      <c r="AE268">
        <v>8.7999999999999995E-2</v>
      </c>
      <c r="AF268">
        <v>8360.8824999999997</v>
      </c>
      <c r="AG268">
        <v>27.470199999999998</v>
      </c>
      <c r="AH268">
        <v>7.0699999999999999E-2</v>
      </c>
      <c r="AI268">
        <v>86.629900000000006</v>
      </c>
      <c r="AJ268">
        <v>73.2</v>
      </c>
      <c r="AK268">
        <v>76.601299999999995</v>
      </c>
      <c r="AL268">
        <v>1.6659999999999999</v>
      </c>
      <c r="AM268">
        <v>0.05</v>
      </c>
      <c r="AN268">
        <v>2.1700000000000001E-2</v>
      </c>
      <c r="AO268">
        <v>90.350200000000001</v>
      </c>
      <c r="AP268">
        <v>92.830600000000004</v>
      </c>
      <c r="AQ268">
        <v>91.774699999999996</v>
      </c>
      <c r="AR268">
        <v>89.336500000000001</v>
      </c>
      <c r="AS268">
        <v>84.517499999999998</v>
      </c>
      <c r="AT268">
        <v>83.799099999999996</v>
      </c>
      <c r="AU268">
        <v>78.979600000000005</v>
      </c>
      <c r="AV268">
        <v>387.26670000000001</v>
      </c>
      <c r="AW268">
        <v>735.80669999999998</v>
      </c>
      <c r="AX268">
        <f t="shared" si="65"/>
        <v>33591.121049069996</v>
      </c>
      <c r="AY268">
        <f t="shared" si="66"/>
        <v>20212.757210339998</v>
      </c>
      <c r="AZ268">
        <f t="shared" si="67"/>
        <v>8687.5961262300007</v>
      </c>
      <c r="BA268">
        <f t="shared" si="75"/>
        <v>0</v>
      </c>
      <c r="BB268">
        <f t="shared" si="76"/>
        <v>735.80669999999998</v>
      </c>
      <c r="BC268">
        <f t="shared" si="77"/>
        <v>0</v>
      </c>
      <c r="BD268">
        <f t="shared" si="78"/>
        <v>0</v>
      </c>
      <c r="BE268">
        <f t="shared" si="79"/>
        <v>0</v>
      </c>
      <c r="BF268">
        <f t="shared" si="80"/>
        <v>0</v>
      </c>
      <c r="BG268">
        <f t="shared" si="68"/>
        <v>453.70955750000002</v>
      </c>
      <c r="BH268">
        <f t="shared" si="69"/>
        <v>448.54884625</v>
      </c>
      <c r="BI268">
        <f t="shared" si="70"/>
        <v>436.63214375000001</v>
      </c>
      <c r="BJ268">
        <f t="shared" si="71"/>
        <v>413.07928125000001</v>
      </c>
      <c r="BK268">
        <f t="shared" si="72"/>
        <v>409.56810124999998</v>
      </c>
      <c r="BL268">
        <f t="shared" si="73"/>
        <v>386.01279500000004</v>
      </c>
    </row>
    <row r="269" spans="1:64">
      <c r="A269" t="str">
        <f t="shared" si="74"/>
        <v>16</v>
      </c>
      <c r="B269" t="s">
        <v>605</v>
      </c>
      <c r="C269" t="s">
        <v>683</v>
      </c>
      <c r="D269">
        <v>66</v>
      </c>
      <c r="E269">
        <v>2</v>
      </c>
      <c r="F269">
        <v>6</v>
      </c>
      <c r="G269">
        <v>2</v>
      </c>
      <c r="H269">
        <v>100</v>
      </c>
      <c r="I269" t="s">
        <v>607</v>
      </c>
      <c r="J269">
        <v>0.45</v>
      </c>
      <c r="K269">
        <v>63</v>
      </c>
      <c r="L269">
        <v>0.11559999999999999</v>
      </c>
      <c r="M269">
        <v>3.4897999999999998</v>
      </c>
      <c r="N269">
        <v>31.3872</v>
      </c>
      <c r="O269">
        <v>87.673900000000003</v>
      </c>
      <c r="P269">
        <v>505.84219999999999</v>
      </c>
      <c r="Q269">
        <v>240.38460000000001</v>
      </c>
      <c r="R269">
        <v>0.38479999999999998</v>
      </c>
      <c r="S269">
        <v>0.89339999999999997</v>
      </c>
      <c r="T269">
        <v>0.1754</v>
      </c>
      <c r="U269">
        <v>0.33550000000000002</v>
      </c>
      <c r="V269">
        <v>0.69089999999999996</v>
      </c>
      <c r="W269">
        <v>11.766999999999999</v>
      </c>
      <c r="X269">
        <v>15.2159</v>
      </c>
      <c r="Y269">
        <v>13.667400000000001</v>
      </c>
      <c r="Z269">
        <v>14.217700000000001</v>
      </c>
      <c r="AA269">
        <v>43.544400000000003</v>
      </c>
      <c r="AB269">
        <v>10</v>
      </c>
      <c r="AC269">
        <v>46.068899999999999</v>
      </c>
      <c r="AD269">
        <v>43.506599999999999</v>
      </c>
      <c r="AE269">
        <v>0.24660000000000001</v>
      </c>
      <c r="AF269">
        <v>8405.0964999999997</v>
      </c>
      <c r="AG269">
        <v>28.1221</v>
      </c>
      <c r="AH269">
        <v>0.2702</v>
      </c>
      <c r="AI269">
        <v>88.201899999999995</v>
      </c>
      <c r="AJ269">
        <v>73.2</v>
      </c>
      <c r="AK269">
        <v>79.129599999999996</v>
      </c>
      <c r="AL269">
        <v>1.6644000000000001</v>
      </c>
      <c r="AM269">
        <v>0.05</v>
      </c>
      <c r="AN269">
        <v>2.1000000000000001E-2</v>
      </c>
      <c r="AO269">
        <v>90.350200000000001</v>
      </c>
      <c r="AP269">
        <v>92.742000000000004</v>
      </c>
      <c r="AQ269">
        <v>91.677499999999995</v>
      </c>
      <c r="AR269">
        <v>89.219700000000003</v>
      </c>
      <c r="AS269">
        <v>84.412300000000002</v>
      </c>
      <c r="AT269">
        <v>83.7119</v>
      </c>
      <c r="AU269">
        <v>78.822100000000006</v>
      </c>
      <c r="AV269">
        <v>1091.0177000000001</v>
      </c>
      <c r="AW269">
        <v>2072.9335999999998</v>
      </c>
      <c r="AX269">
        <f t="shared" si="65"/>
        <v>95497.770725039998</v>
      </c>
      <c r="AY269">
        <f t="shared" si="66"/>
        <v>58295.245992559998</v>
      </c>
      <c r="AZ269">
        <f t="shared" si="67"/>
        <v>24392.209671199998</v>
      </c>
      <c r="BA269">
        <f t="shared" si="75"/>
        <v>0</v>
      </c>
      <c r="BB269">
        <f t="shared" si="76"/>
        <v>2072.9335999999998</v>
      </c>
      <c r="BC269">
        <f t="shared" si="77"/>
        <v>0</v>
      </c>
      <c r="BD269">
        <f t="shared" si="78"/>
        <v>0</v>
      </c>
      <c r="BE269">
        <f t="shared" si="79"/>
        <v>0</v>
      </c>
      <c r="BF269">
        <f t="shared" si="80"/>
        <v>0</v>
      </c>
      <c r="BG269">
        <f t="shared" si="68"/>
        <v>1411.1529978000001</v>
      </c>
      <c r="BH269">
        <f t="shared" si="69"/>
        <v>1394.9556722499999</v>
      </c>
      <c r="BI269">
        <f t="shared" si="70"/>
        <v>1357.5580332300001</v>
      </c>
      <c r="BJ269">
        <f t="shared" si="71"/>
        <v>1284.40911557</v>
      </c>
      <c r="BK269">
        <f t="shared" si="72"/>
        <v>1273.7518992099999</v>
      </c>
      <c r="BL269">
        <f t="shared" si="73"/>
        <v>1199.34919139</v>
      </c>
    </row>
    <row r="270" spans="1:64">
      <c r="A270" t="str">
        <f t="shared" si="74"/>
        <v>16</v>
      </c>
      <c r="B270" t="s">
        <v>605</v>
      </c>
      <c r="C270" t="s">
        <v>683</v>
      </c>
      <c r="D270">
        <v>66</v>
      </c>
      <c r="E270">
        <v>2</v>
      </c>
      <c r="F270">
        <v>6</v>
      </c>
      <c r="G270">
        <v>4</v>
      </c>
      <c r="H270">
        <v>100</v>
      </c>
      <c r="I270" t="s">
        <v>607</v>
      </c>
      <c r="J270">
        <v>0.45</v>
      </c>
      <c r="K270">
        <v>63</v>
      </c>
      <c r="L270">
        <v>0.10920000000000001</v>
      </c>
      <c r="M270">
        <v>2.7176</v>
      </c>
      <c r="N270">
        <v>31.429600000000001</v>
      </c>
      <c r="O270">
        <v>87.843599999999995</v>
      </c>
      <c r="P270">
        <v>505.84219999999999</v>
      </c>
      <c r="Q270">
        <v>236.1465</v>
      </c>
      <c r="R270">
        <v>0.35049999999999998</v>
      </c>
      <c r="S270">
        <v>0.82889999999999997</v>
      </c>
      <c r="T270">
        <v>0.1573</v>
      </c>
      <c r="U270">
        <v>0.32690000000000002</v>
      </c>
      <c r="V270">
        <v>0.6482</v>
      </c>
      <c r="W270">
        <v>11.759</v>
      </c>
      <c r="X270">
        <v>38.603400000000001</v>
      </c>
      <c r="Y270">
        <v>34.724899999999998</v>
      </c>
      <c r="Z270">
        <v>35.861600000000003</v>
      </c>
      <c r="AA270">
        <v>110.48309999999999</v>
      </c>
      <c r="AB270">
        <v>10</v>
      </c>
      <c r="AC270">
        <v>45.278100000000002</v>
      </c>
      <c r="AD270">
        <v>43.951700000000002</v>
      </c>
      <c r="AE270">
        <v>0.5998</v>
      </c>
      <c r="AF270">
        <v>8321.2137999999995</v>
      </c>
      <c r="AG270">
        <v>30.2456</v>
      </c>
      <c r="AH270">
        <v>0.61770000000000003</v>
      </c>
      <c r="AI270">
        <v>87.912899999999993</v>
      </c>
      <c r="AJ270">
        <v>73.2</v>
      </c>
      <c r="AK270">
        <v>78.664299999999997</v>
      </c>
      <c r="AL270">
        <v>1.7213000000000001</v>
      </c>
      <c r="AM270">
        <v>0.05</v>
      </c>
      <c r="AN270">
        <v>1.9900000000000001E-2</v>
      </c>
      <c r="AO270">
        <v>90.350200000000001</v>
      </c>
      <c r="AP270">
        <v>92.776799999999994</v>
      </c>
      <c r="AQ270">
        <v>91.723299999999995</v>
      </c>
      <c r="AR270">
        <v>89.290999999999997</v>
      </c>
      <c r="AS270">
        <v>84.490099999999998</v>
      </c>
      <c r="AT270">
        <v>83.775499999999994</v>
      </c>
      <c r="AU270">
        <v>78.974500000000006</v>
      </c>
      <c r="AV270">
        <v>2626.8391999999999</v>
      </c>
      <c r="AW270">
        <v>4990.9943999999996</v>
      </c>
      <c r="AX270">
        <f t="shared" si="65"/>
        <v>225982.74354264</v>
      </c>
      <c r="AY270">
        <f t="shared" si="66"/>
        <v>150955.62022463998</v>
      </c>
      <c r="AZ270">
        <f t="shared" si="67"/>
        <v>58689.1031496</v>
      </c>
      <c r="BA270">
        <f t="shared" si="75"/>
        <v>0</v>
      </c>
      <c r="BB270">
        <f t="shared" si="76"/>
        <v>4990.9943999999996</v>
      </c>
      <c r="BC270">
        <f t="shared" si="77"/>
        <v>0</v>
      </c>
      <c r="BD270">
        <f t="shared" si="78"/>
        <v>0</v>
      </c>
      <c r="BE270">
        <f t="shared" si="79"/>
        <v>0</v>
      </c>
      <c r="BF270">
        <f t="shared" si="80"/>
        <v>0</v>
      </c>
      <c r="BG270">
        <f t="shared" si="68"/>
        <v>3581.4999211199997</v>
      </c>
      <c r="BH270">
        <f t="shared" si="69"/>
        <v>3540.83123922</v>
      </c>
      <c r="BI270">
        <f t="shared" si="70"/>
        <v>3446.9361893999999</v>
      </c>
      <c r="BJ270">
        <f t="shared" si="71"/>
        <v>3261.60512634</v>
      </c>
      <c r="BK270">
        <f t="shared" si="72"/>
        <v>3234.0191366999998</v>
      </c>
      <c r="BL270">
        <f t="shared" si="73"/>
        <v>3048.6842133000005</v>
      </c>
    </row>
    <row r="271" spans="1:64">
      <c r="A271" t="str">
        <f t="shared" si="74"/>
        <v>16</v>
      </c>
      <c r="B271" t="s">
        <v>605</v>
      </c>
      <c r="C271" t="s">
        <v>683</v>
      </c>
      <c r="D271">
        <v>66</v>
      </c>
      <c r="E271">
        <v>3</v>
      </c>
      <c r="F271">
        <v>6</v>
      </c>
      <c r="G271">
        <v>2</v>
      </c>
      <c r="H271">
        <v>100</v>
      </c>
      <c r="I271" t="s">
        <v>607</v>
      </c>
      <c r="J271">
        <v>0.57599999999999996</v>
      </c>
      <c r="K271">
        <v>136.98869999999999</v>
      </c>
      <c r="L271">
        <v>9.1999999999999998E-2</v>
      </c>
      <c r="M271">
        <v>2.2465000000000002</v>
      </c>
      <c r="N271">
        <v>28.461300000000001</v>
      </c>
      <c r="O271">
        <v>90.438299999999998</v>
      </c>
      <c r="P271">
        <v>308.75170000000003</v>
      </c>
      <c r="Q271">
        <v>206.62629999999999</v>
      </c>
      <c r="R271">
        <v>0.37769999999999998</v>
      </c>
      <c r="S271">
        <v>0.84309999999999996</v>
      </c>
      <c r="T271">
        <v>6.9000000000000006E-2</v>
      </c>
      <c r="U271">
        <v>0.31080000000000002</v>
      </c>
      <c r="V271">
        <v>0.62409999999999999</v>
      </c>
      <c r="W271">
        <v>13.4968</v>
      </c>
      <c r="X271">
        <v>274.23540000000003</v>
      </c>
      <c r="Y271">
        <v>248.05680000000001</v>
      </c>
      <c r="Z271">
        <v>259.89490000000001</v>
      </c>
      <c r="AA271">
        <v>870.71019999999999</v>
      </c>
      <c r="AB271">
        <v>10.2034</v>
      </c>
      <c r="AC271">
        <v>34.525399999999998</v>
      </c>
      <c r="AD271">
        <v>71.950500000000005</v>
      </c>
      <c r="AE271">
        <v>6.6025</v>
      </c>
      <c r="AF271">
        <v>7212.1360999999997</v>
      </c>
      <c r="AG271">
        <v>59.491300000000003</v>
      </c>
      <c r="AH271">
        <v>5.3893000000000004</v>
      </c>
      <c r="AI271">
        <v>89.5548</v>
      </c>
      <c r="AJ271">
        <v>73.187600000000003</v>
      </c>
      <c r="AK271">
        <v>82.396500000000003</v>
      </c>
      <c r="AL271">
        <v>1.3513999999999999</v>
      </c>
      <c r="AM271">
        <v>0.05</v>
      </c>
      <c r="AN271">
        <v>5.1000000000000004E-3</v>
      </c>
      <c r="AO271">
        <v>90.301100000000005</v>
      </c>
      <c r="AP271">
        <v>94.107900000000001</v>
      </c>
      <c r="AQ271">
        <v>92.874499999999998</v>
      </c>
      <c r="AR271">
        <v>91.232600000000005</v>
      </c>
      <c r="AS271">
        <v>86.480099999999993</v>
      </c>
      <c r="AT271">
        <v>85.555499999999995</v>
      </c>
      <c r="AU271">
        <v>81.912199999999999</v>
      </c>
      <c r="AV271">
        <v>17850.3763</v>
      </c>
      <c r="AW271">
        <v>47613.164100000002</v>
      </c>
      <c r="AX271">
        <f t="shared" si="65"/>
        <v>1643863.53581814</v>
      </c>
      <c r="AY271">
        <f t="shared" si="66"/>
        <v>2832569.0294223302</v>
      </c>
      <c r="AZ271">
        <f t="shared" si="67"/>
        <v>642625.35322488006</v>
      </c>
      <c r="BA271">
        <f t="shared" si="75"/>
        <v>0</v>
      </c>
      <c r="BB271">
        <f t="shared" si="76"/>
        <v>0</v>
      </c>
      <c r="BC271">
        <f t="shared" si="77"/>
        <v>47613.164100000002</v>
      </c>
      <c r="BD271">
        <f t="shared" si="78"/>
        <v>0</v>
      </c>
      <c r="BE271">
        <f t="shared" si="79"/>
        <v>0</v>
      </c>
      <c r="BF271">
        <f t="shared" si="80"/>
        <v>0</v>
      </c>
      <c r="BG271">
        <f t="shared" si="68"/>
        <v>25807.717599660002</v>
      </c>
      <c r="BH271">
        <f t="shared" si="69"/>
        <v>25469.475657300001</v>
      </c>
      <c r="BI271">
        <f t="shared" si="70"/>
        <v>25019.208554040004</v>
      </c>
      <c r="BJ271">
        <f t="shared" si="71"/>
        <v>23715.904815540001</v>
      </c>
      <c r="BK271">
        <f t="shared" si="72"/>
        <v>23462.3467647</v>
      </c>
      <c r="BL271">
        <f t="shared" si="73"/>
        <v>22463.224931880002</v>
      </c>
    </row>
    <row r="272" spans="1:64">
      <c r="A272" t="str">
        <f t="shared" si="74"/>
        <v>16</v>
      </c>
      <c r="B272" t="s">
        <v>605</v>
      </c>
      <c r="C272" t="s">
        <v>683</v>
      </c>
      <c r="D272">
        <v>66</v>
      </c>
      <c r="E272">
        <v>3</v>
      </c>
      <c r="F272">
        <v>6</v>
      </c>
      <c r="G272">
        <v>4</v>
      </c>
      <c r="H272">
        <v>100</v>
      </c>
      <c r="I272" t="s">
        <v>607</v>
      </c>
      <c r="J272">
        <v>0.5998</v>
      </c>
      <c r="K272">
        <v>119.1665</v>
      </c>
      <c r="L272">
        <v>8.5800000000000001E-2</v>
      </c>
      <c r="M272">
        <v>2.1861000000000002</v>
      </c>
      <c r="N272">
        <v>36.223399999999998</v>
      </c>
      <c r="O272">
        <v>90.576999999999998</v>
      </c>
      <c r="P272">
        <v>323.6438</v>
      </c>
      <c r="Q272">
        <v>206.01329999999999</v>
      </c>
      <c r="R272">
        <v>5.0900000000000001E-2</v>
      </c>
      <c r="S272">
        <v>0.64229999999999998</v>
      </c>
      <c r="T272">
        <v>0.1278</v>
      </c>
      <c r="U272">
        <v>0.24640000000000001</v>
      </c>
      <c r="V272">
        <v>0.64119999999999999</v>
      </c>
      <c r="W272">
        <v>13.523</v>
      </c>
      <c r="X272">
        <v>15.418699999999999</v>
      </c>
      <c r="Y272">
        <v>13.9658</v>
      </c>
      <c r="Z272">
        <v>14.4307</v>
      </c>
      <c r="AA272">
        <v>38.554499999999997</v>
      </c>
      <c r="AB272">
        <v>11.0389</v>
      </c>
      <c r="AC272">
        <v>34.308999999999997</v>
      </c>
      <c r="AD272">
        <v>72.386600000000001</v>
      </c>
      <c r="AE272">
        <v>0.35749999999999998</v>
      </c>
      <c r="AF272">
        <v>7191.0441000000001</v>
      </c>
      <c r="AG272">
        <v>59.4221</v>
      </c>
      <c r="AH272">
        <v>0.2505</v>
      </c>
      <c r="AI272">
        <v>89.258399999999995</v>
      </c>
      <c r="AJ272">
        <v>73.2</v>
      </c>
      <c r="AK272">
        <v>81.773499999999999</v>
      </c>
      <c r="AL272">
        <v>1.4863</v>
      </c>
      <c r="AM272">
        <v>0.05</v>
      </c>
      <c r="AN272">
        <v>5.8999999999999999E-3</v>
      </c>
      <c r="AO272">
        <v>90.364900000000006</v>
      </c>
      <c r="AP272">
        <v>94.286500000000004</v>
      </c>
      <c r="AQ272">
        <v>92.998000000000005</v>
      </c>
      <c r="AR272">
        <v>91.576300000000003</v>
      </c>
      <c r="AS272">
        <v>86.740700000000004</v>
      </c>
      <c r="AT272">
        <v>85.732200000000006</v>
      </c>
      <c r="AU272">
        <v>82.372100000000003</v>
      </c>
      <c r="AV272">
        <v>963.94709999999998</v>
      </c>
      <c r="AW272">
        <v>2570.6014</v>
      </c>
      <c r="AX272">
        <f t="shared" si="65"/>
        <v>88194.763432599997</v>
      </c>
      <c r="AY272">
        <f t="shared" si="66"/>
        <v>152750.53345094001</v>
      </c>
      <c r="AZ272">
        <f t="shared" si="67"/>
        <v>34762.2427322</v>
      </c>
      <c r="BA272">
        <f t="shared" si="75"/>
        <v>0</v>
      </c>
      <c r="BB272">
        <f t="shared" si="76"/>
        <v>0</v>
      </c>
      <c r="BC272">
        <f t="shared" si="77"/>
        <v>2570.6014</v>
      </c>
      <c r="BD272">
        <f t="shared" si="78"/>
        <v>0</v>
      </c>
      <c r="BE272">
        <f t="shared" si="79"/>
        <v>0</v>
      </c>
      <c r="BF272">
        <f t="shared" si="80"/>
        <v>0</v>
      </c>
      <c r="BG272">
        <f t="shared" si="68"/>
        <v>1453.7752575500001</v>
      </c>
      <c r="BH272">
        <f t="shared" si="69"/>
        <v>1433.9082625999999</v>
      </c>
      <c r="BI272">
        <f t="shared" si="70"/>
        <v>1411.98749681</v>
      </c>
      <c r="BJ272">
        <f t="shared" si="71"/>
        <v>1337.4288310899999</v>
      </c>
      <c r="BK272">
        <f t="shared" si="72"/>
        <v>1321.8790721400001</v>
      </c>
      <c r="BL272">
        <f t="shared" si="73"/>
        <v>1270.0706982700001</v>
      </c>
    </row>
    <row r="273" spans="1:64">
      <c r="A273" t="str">
        <f t="shared" si="74"/>
        <v>16</v>
      </c>
      <c r="B273" t="s">
        <v>605</v>
      </c>
      <c r="C273" t="s">
        <v>683</v>
      </c>
      <c r="D273">
        <v>66</v>
      </c>
      <c r="E273">
        <v>3</v>
      </c>
      <c r="F273">
        <v>10</v>
      </c>
      <c r="G273">
        <v>2</v>
      </c>
      <c r="H273">
        <v>100</v>
      </c>
      <c r="I273" t="s">
        <v>607</v>
      </c>
      <c r="J273">
        <v>0.57589999999999997</v>
      </c>
      <c r="K273">
        <v>141.9751</v>
      </c>
      <c r="L273">
        <v>9.0200000000000002E-2</v>
      </c>
      <c r="M273">
        <v>2.0398000000000001</v>
      </c>
      <c r="N273">
        <v>27.291399999999999</v>
      </c>
      <c r="O273">
        <v>90.459100000000007</v>
      </c>
      <c r="P273">
        <v>483.35210000000001</v>
      </c>
      <c r="Q273">
        <v>202.16069999999999</v>
      </c>
      <c r="R273">
        <v>0.3851</v>
      </c>
      <c r="S273">
        <v>0.91869999999999996</v>
      </c>
      <c r="T273">
        <v>0</v>
      </c>
      <c r="U273">
        <v>0.34960000000000002</v>
      </c>
      <c r="V273">
        <v>0.62590000000000001</v>
      </c>
      <c r="W273">
        <v>13.455299999999999</v>
      </c>
      <c r="X273">
        <v>8.3992000000000004</v>
      </c>
      <c r="Y273">
        <v>7.5989000000000004</v>
      </c>
      <c r="Z273">
        <v>7.9861000000000004</v>
      </c>
      <c r="AA273">
        <v>27.799299999999999</v>
      </c>
      <c r="AB273">
        <v>9.6559000000000008</v>
      </c>
      <c r="AC273">
        <v>33.669699999999999</v>
      </c>
      <c r="AD273">
        <v>71.058099999999996</v>
      </c>
      <c r="AE273">
        <v>0.2051</v>
      </c>
      <c r="AF273">
        <v>7109.9700999999995</v>
      </c>
      <c r="AG273">
        <v>59.908799999999999</v>
      </c>
      <c r="AH273">
        <v>0.17150000000000001</v>
      </c>
      <c r="AI273">
        <v>89.632099999999994</v>
      </c>
      <c r="AJ273">
        <v>73.2</v>
      </c>
      <c r="AK273">
        <v>82.558999999999997</v>
      </c>
      <c r="AL273">
        <v>1.4088000000000001</v>
      </c>
      <c r="AM273">
        <v>0.05</v>
      </c>
      <c r="AN273">
        <v>6.4999999999999997E-3</v>
      </c>
      <c r="AO273">
        <v>90.931899999999999</v>
      </c>
      <c r="AP273">
        <v>93.827399999999997</v>
      </c>
      <c r="AQ273">
        <v>92.5929</v>
      </c>
      <c r="AR273">
        <v>90.856999999999999</v>
      </c>
      <c r="AS273">
        <v>86.246600000000001</v>
      </c>
      <c r="AT273">
        <v>85.381500000000003</v>
      </c>
      <c r="AU273">
        <v>81.768299999999996</v>
      </c>
      <c r="AV273">
        <v>547.56659999999999</v>
      </c>
      <c r="AW273">
        <v>1458.4545000000001</v>
      </c>
      <c r="AX273">
        <f t="shared" ref="AX273:AX336" si="81">+AC273*AW273</f>
        <v>49105.725478649998</v>
      </c>
      <c r="AY273">
        <f t="shared" ref="AY273:AY336" si="82">+AG273*AW273</f>
        <v>87374.2589496</v>
      </c>
      <c r="AZ273">
        <f t="shared" ref="AZ273:AZ336" si="83">+W273*AW273</f>
        <v>19623.94283385</v>
      </c>
      <c r="BA273">
        <f t="shared" si="75"/>
        <v>0</v>
      </c>
      <c r="BB273">
        <f t="shared" si="76"/>
        <v>0</v>
      </c>
      <c r="BC273">
        <f t="shared" si="77"/>
        <v>1458.4545000000001</v>
      </c>
      <c r="BD273">
        <f t="shared" si="78"/>
        <v>0</v>
      </c>
      <c r="BE273">
        <f t="shared" si="79"/>
        <v>0</v>
      </c>
      <c r="BF273">
        <f t="shared" si="80"/>
        <v>0</v>
      </c>
      <c r="BG273">
        <f t="shared" ref="BG273:BG336" si="84">+$X273*AP273</f>
        <v>788.07509807999998</v>
      </c>
      <c r="BH273">
        <f t="shared" ref="BH273:BH336" si="85">+$X273*AQ273</f>
        <v>777.70628568000006</v>
      </c>
      <c r="BI273">
        <f t="shared" ref="BI273:BI336" si="86">+$X273*AR273</f>
        <v>763.12611440000001</v>
      </c>
      <c r="BJ273">
        <f t="shared" ref="BJ273:BJ336" si="87">+$X273*AS273</f>
        <v>724.40244272000007</v>
      </c>
      <c r="BK273">
        <f t="shared" ref="BK273:BK336" si="88">+$X273*AT273</f>
        <v>717.13629480000009</v>
      </c>
      <c r="BL273">
        <f t="shared" ref="BL273:BL336" si="89">+$X273*AU273</f>
        <v>686.78830535999998</v>
      </c>
    </row>
    <row r="274" spans="1:64">
      <c r="A274" t="str">
        <f t="shared" si="74"/>
        <v>16</v>
      </c>
      <c r="B274" t="s">
        <v>605</v>
      </c>
      <c r="C274" t="s">
        <v>684</v>
      </c>
      <c r="D274">
        <v>55</v>
      </c>
      <c r="E274">
        <v>2</v>
      </c>
      <c r="F274">
        <v>6</v>
      </c>
      <c r="G274">
        <v>2</v>
      </c>
      <c r="H274">
        <v>100</v>
      </c>
      <c r="I274" t="s">
        <v>607</v>
      </c>
      <c r="J274">
        <v>0.45</v>
      </c>
      <c r="K274">
        <v>63</v>
      </c>
      <c r="L274">
        <v>0.1024</v>
      </c>
      <c r="M274">
        <v>3.2728000000000002</v>
      </c>
      <c r="N274">
        <v>31.128</v>
      </c>
      <c r="O274">
        <v>87.193200000000004</v>
      </c>
      <c r="P274">
        <v>505.84219999999999</v>
      </c>
      <c r="Q274">
        <v>249.08680000000001</v>
      </c>
      <c r="R274">
        <v>0.37880000000000003</v>
      </c>
      <c r="S274">
        <v>0.79969999999999997</v>
      </c>
      <c r="T274">
        <v>0.15720000000000001</v>
      </c>
      <c r="U274">
        <v>0.27289999999999998</v>
      </c>
      <c r="V274">
        <v>0.59189999999999998</v>
      </c>
      <c r="W274">
        <v>11.7615</v>
      </c>
      <c r="X274">
        <v>13.989100000000001</v>
      </c>
      <c r="Y274">
        <v>12.357100000000001</v>
      </c>
      <c r="Z274">
        <v>12.500400000000001</v>
      </c>
      <c r="AA274">
        <v>39.697600000000001</v>
      </c>
      <c r="AB274">
        <v>10</v>
      </c>
      <c r="AC274">
        <v>47.755699999999997</v>
      </c>
      <c r="AD274">
        <v>42.645099999999999</v>
      </c>
      <c r="AE274">
        <v>0.2344</v>
      </c>
      <c r="AF274">
        <v>8584.0295999999998</v>
      </c>
      <c r="AG274">
        <v>41.479599999999998</v>
      </c>
      <c r="AH274">
        <v>0.1512</v>
      </c>
      <c r="AI274">
        <v>83.080699999999993</v>
      </c>
      <c r="AJ274">
        <v>73.2</v>
      </c>
      <c r="AK274">
        <v>70.955200000000005</v>
      </c>
      <c r="AL274">
        <v>1.6842999999999999</v>
      </c>
      <c r="AM274">
        <v>0.05</v>
      </c>
      <c r="AN274">
        <v>1.6500000000000001E-2</v>
      </c>
      <c r="AO274">
        <v>90.350200000000001</v>
      </c>
      <c r="AP274">
        <v>93.007400000000004</v>
      </c>
      <c r="AQ274">
        <v>91.921300000000002</v>
      </c>
      <c r="AR274">
        <v>89.445899999999995</v>
      </c>
      <c r="AS274">
        <v>83.951999999999998</v>
      </c>
      <c r="AT274">
        <v>83.207499999999996</v>
      </c>
      <c r="AU274">
        <v>77.804400000000001</v>
      </c>
      <c r="AV274">
        <v>1058.8079</v>
      </c>
      <c r="AW274">
        <v>2011.7349999999999</v>
      </c>
      <c r="AX274">
        <f t="shared" si="81"/>
        <v>96071.813139499995</v>
      </c>
      <c r="AY274">
        <f t="shared" si="82"/>
        <v>83445.963105999996</v>
      </c>
      <c r="AZ274">
        <f t="shared" si="83"/>
        <v>23661.0212025</v>
      </c>
      <c r="BA274">
        <f t="shared" si="75"/>
        <v>0</v>
      </c>
      <c r="BB274">
        <f t="shared" si="76"/>
        <v>2011.7349999999999</v>
      </c>
      <c r="BC274">
        <f t="shared" si="77"/>
        <v>0</v>
      </c>
      <c r="BD274">
        <f t="shared" si="78"/>
        <v>0</v>
      </c>
      <c r="BE274">
        <f t="shared" si="79"/>
        <v>0</v>
      </c>
      <c r="BF274">
        <f t="shared" si="80"/>
        <v>0</v>
      </c>
      <c r="BG274">
        <f t="shared" si="84"/>
        <v>1301.0898193400001</v>
      </c>
      <c r="BH274">
        <f t="shared" si="85"/>
        <v>1285.89625783</v>
      </c>
      <c r="BI274">
        <f t="shared" si="86"/>
        <v>1251.2676396899999</v>
      </c>
      <c r="BJ274">
        <f t="shared" si="87"/>
        <v>1174.4129232</v>
      </c>
      <c r="BK274">
        <f t="shared" si="88"/>
        <v>1163.99803825</v>
      </c>
      <c r="BL274">
        <f t="shared" si="89"/>
        <v>1088.4135320400001</v>
      </c>
    </row>
    <row r="275" spans="1:64">
      <c r="A275" t="str">
        <f t="shared" si="74"/>
        <v>16</v>
      </c>
      <c r="B275" t="s">
        <v>605</v>
      </c>
      <c r="C275" t="s">
        <v>684</v>
      </c>
      <c r="D275">
        <v>66</v>
      </c>
      <c r="E275">
        <v>1</v>
      </c>
      <c r="F275">
        <v>6</v>
      </c>
      <c r="G275">
        <v>2</v>
      </c>
      <c r="H275">
        <v>100</v>
      </c>
      <c r="I275" t="s">
        <v>607</v>
      </c>
      <c r="J275">
        <v>0.45</v>
      </c>
      <c r="K275">
        <v>63</v>
      </c>
      <c r="L275">
        <v>0.1024</v>
      </c>
      <c r="M275">
        <v>3.2728000000000002</v>
      </c>
      <c r="N275">
        <v>31.194900000000001</v>
      </c>
      <c r="O275">
        <v>87.194400000000002</v>
      </c>
      <c r="P275">
        <v>505.84219999999999</v>
      </c>
      <c r="Q275">
        <v>248.65299999999999</v>
      </c>
      <c r="R275">
        <v>0.40529999999999999</v>
      </c>
      <c r="S275">
        <v>0.77439999999999998</v>
      </c>
      <c r="T275">
        <v>0.1686</v>
      </c>
      <c r="U275">
        <v>0.28029999999999999</v>
      </c>
      <c r="V275">
        <v>0.60960000000000003</v>
      </c>
      <c r="W275">
        <v>11.1214</v>
      </c>
      <c r="X275">
        <v>6.6246</v>
      </c>
      <c r="Y275">
        <v>5.9546000000000001</v>
      </c>
      <c r="Z275">
        <v>6.2257999999999996</v>
      </c>
      <c r="AA275">
        <v>19.0885</v>
      </c>
      <c r="AB275">
        <v>10</v>
      </c>
      <c r="AC275">
        <v>47.450200000000002</v>
      </c>
      <c r="AD275">
        <v>43.219799999999999</v>
      </c>
      <c r="AE275">
        <v>0.1167</v>
      </c>
      <c r="AF275">
        <v>9124.0046999999995</v>
      </c>
      <c r="AG275">
        <v>41.479599999999998</v>
      </c>
      <c r="AH275">
        <v>0.126</v>
      </c>
      <c r="AI275">
        <v>88.265100000000004</v>
      </c>
      <c r="AJ275">
        <v>73.2</v>
      </c>
      <c r="AK275">
        <v>79.231499999999997</v>
      </c>
      <c r="AL275">
        <v>1.7000999999999999</v>
      </c>
      <c r="AM275">
        <v>0.05</v>
      </c>
      <c r="AN275">
        <v>2.2800000000000001E-2</v>
      </c>
      <c r="AO275">
        <v>83.227900000000005</v>
      </c>
      <c r="AP275">
        <v>93.013000000000005</v>
      </c>
      <c r="AQ275">
        <v>91.934200000000004</v>
      </c>
      <c r="AR275">
        <v>89.480699999999999</v>
      </c>
      <c r="AS275">
        <v>83.908000000000001</v>
      </c>
      <c r="AT275">
        <v>83.153000000000006</v>
      </c>
      <c r="AU275">
        <v>77.749099999999999</v>
      </c>
      <c r="AV275">
        <v>560.26319999999998</v>
      </c>
      <c r="AW275">
        <v>1064.5001</v>
      </c>
      <c r="AX275">
        <f t="shared" si="81"/>
        <v>50510.74264502</v>
      </c>
      <c r="AY275">
        <f t="shared" si="82"/>
        <v>44155.038347959999</v>
      </c>
      <c r="AZ275">
        <f t="shared" si="83"/>
        <v>11838.73141214</v>
      </c>
      <c r="BA275">
        <f t="shared" si="75"/>
        <v>1064.5001</v>
      </c>
      <c r="BB275">
        <f t="shared" si="76"/>
        <v>0</v>
      </c>
      <c r="BC275">
        <f t="shared" si="77"/>
        <v>0</v>
      </c>
      <c r="BD275">
        <f t="shared" si="78"/>
        <v>0</v>
      </c>
      <c r="BE275">
        <f t="shared" si="79"/>
        <v>0</v>
      </c>
      <c r="BF275">
        <f t="shared" si="80"/>
        <v>0</v>
      </c>
      <c r="BG275">
        <f t="shared" si="84"/>
        <v>616.17391980000002</v>
      </c>
      <c r="BH275">
        <f t="shared" si="85"/>
        <v>609.02730131999999</v>
      </c>
      <c r="BI275">
        <f t="shared" si="86"/>
        <v>592.77384522</v>
      </c>
      <c r="BJ275">
        <f t="shared" si="87"/>
        <v>555.85693679999997</v>
      </c>
      <c r="BK275">
        <f t="shared" si="88"/>
        <v>550.85536380000008</v>
      </c>
      <c r="BL275">
        <f t="shared" si="89"/>
        <v>515.05668786000001</v>
      </c>
    </row>
    <row r="276" spans="1:64">
      <c r="A276" t="str">
        <f t="shared" si="74"/>
        <v>16</v>
      </c>
      <c r="B276" t="s">
        <v>605</v>
      </c>
      <c r="C276" t="s">
        <v>684</v>
      </c>
      <c r="D276">
        <v>66</v>
      </c>
      <c r="E276">
        <v>2</v>
      </c>
      <c r="F276">
        <v>6</v>
      </c>
      <c r="G276">
        <v>2</v>
      </c>
      <c r="H276">
        <v>100</v>
      </c>
      <c r="I276" t="s">
        <v>607</v>
      </c>
      <c r="J276">
        <v>0.45</v>
      </c>
      <c r="K276">
        <v>63</v>
      </c>
      <c r="L276">
        <v>0.11559999999999999</v>
      </c>
      <c r="M276">
        <v>3.4897999999999998</v>
      </c>
      <c r="N276">
        <v>31.229399999999998</v>
      </c>
      <c r="O276">
        <v>87.517399999999995</v>
      </c>
      <c r="P276">
        <v>505.84219999999999</v>
      </c>
      <c r="Q276">
        <v>242.97749999999999</v>
      </c>
      <c r="R276">
        <v>0.38790000000000002</v>
      </c>
      <c r="S276">
        <v>0.84909999999999997</v>
      </c>
      <c r="T276">
        <v>0.1653</v>
      </c>
      <c r="U276">
        <v>0.3054</v>
      </c>
      <c r="V276">
        <v>0.64510000000000001</v>
      </c>
      <c r="W276">
        <v>11.7666</v>
      </c>
      <c r="X276">
        <v>37.499600000000001</v>
      </c>
      <c r="Y276">
        <v>33.665700000000001</v>
      </c>
      <c r="Z276">
        <v>35.054099999999998</v>
      </c>
      <c r="AA276">
        <v>107.73139999999999</v>
      </c>
      <c r="AB276">
        <v>10</v>
      </c>
      <c r="AC276">
        <v>46.567100000000003</v>
      </c>
      <c r="AD276">
        <v>43.241900000000001</v>
      </c>
      <c r="AE276">
        <v>0.73350000000000004</v>
      </c>
      <c r="AF276">
        <v>8457.9392000000007</v>
      </c>
      <c r="AG276">
        <v>28.1221</v>
      </c>
      <c r="AH276">
        <v>0.67410000000000003</v>
      </c>
      <c r="AI276">
        <v>87.174400000000006</v>
      </c>
      <c r="AJ276">
        <v>73.2</v>
      </c>
      <c r="AK276">
        <v>77.477199999999996</v>
      </c>
      <c r="AL276">
        <v>1.6768000000000001</v>
      </c>
      <c r="AM276">
        <v>0.05</v>
      </c>
      <c r="AN276">
        <v>1.9199999999999998E-2</v>
      </c>
      <c r="AO276">
        <v>90.350200000000001</v>
      </c>
      <c r="AP276">
        <v>92.771699999999996</v>
      </c>
      <c r="AQ276">
        <v>91.678600000000003</v>
      </c>
      <c r="AR276">
        <v>89.154799999999994</v>
      </c>
      <c r="AS276">
        <v>84.211299999999994</v>
      </c>
      <c r="AT276">
        <v>83.480699999999999</v>
      </c>
      <c r="AU276">
        <v>78.522999999999996</v>
      </c>
      <c r="AV276">
        <v>3265.0801999999999</v>
      </c>
      <c r="AW276">
        <v>6203.6522999999997</v>
      </c>
      <c r="AX276">
        <f t="shared" si="81"/>
        <v>288886.09701933002</v>
      </c>
      <c r="AY276">
        <f t="shared" si="82"/>
        <v>174459.73034583</v>
      </c>
      <c r="AZ276">
        <f t="shared" si="83"/>
        <v>72995.895153179998</v>
      </c>
      <c r="BA276">
        <f t="shared" si="75"/>
        <v>0</v>
      </c>
      <c r="BB276">
        <f t="shared" si="76"/>
        <v>6203.6522999999997</v>
      </c>
      <c r="BC276">
        <f t="shared" si="77"/>
        <v>0</v>
      </c>
      <c r="BD276">
        <f t="shared" si="78"/>
        <v>0</v>
      </c>
      <c r="BE276">
        <f t="shared" si="79"/>
        <v>0</v>
      </c>
      <c r="BF276">
        <f t="shared" si="80"/>
        <v>0</v>
      </c>
      <c r="BG276">
        <f t="shared" si="84"/>
        <v>3478.9016413199997</v>
      </c>
      <c r="BH276">
        <f t="shared" si="85"/>
        <v>3437.91082856</v>
      </c>
      <c r="BI276">
        <f t="shared" si="86"/>
        <v>3343.2693380799997</v>
      </c>
      <c r="BJ276">
        <f t="shared" si="87"/>
        <v>3157.89006548</v>
      </c>
      <c r="BK276">
        <f t="shared" si="88"/>
        <v>3130.4928577199998</v>
      </c>
      <c r="BL276">
        <f t="shared" si="89"/>
        <v>2944.5810907999999</v>
      </c>
    </row>
    <row r="277" spans="1:64">
      <c r="A277" t="str">
        <f t="shared" si="74"/>
        <v>16</v>
      </c>
      <c r="B277" t="s">
        <v>605</v>
      </c>
      <c r="C277" t="s">
        <v>684</v>
      </c>
      <c r="D277">
        <v>66</v>
      </c>
      <c r="E277">
        <v>3</v>
      </c>
      <c r="F277">
        <v>6</v>
      </c>
      <c r="G277">
        <v>2</v>
      </c>
      <c r="H277">
        <v>100</v>
      </c>
      <c r="I277" t="s">
        <v>607</v>
      </c>
      <c r="J277">
        <v>0.52759999999999996</v>
      </c>
      <c r="K277">
        <v>124.5761</v>
      </c>
      <c r="L277">
        <v>0.10979999999999999</v>
      </c>
      <c r="M277">
        <v>2.8220999999999998</v>
      </c>
      <c r="N277">
        <v>29.275500000000001</v>
      </c>
      <c r="O277">
        <v>90.374899999999997</v>
      </c>
      <c r="P277">
        <v>313.31700000000001</v>
      </c>
      <c r="Q277">
        <v>211.96729999999999</v>
      </c>
      <c r="R277">
        <v>0.39369999999999999</v>
      </c>
      <c r="S277">
        <v>0.73919999999999997</v>
      </c>
      <c r="T277">
        <v>0.14399999999999999</v>
      </c>
      <c r="U277">
        <v>0.26819999999999999</v>
      </c>
      <c r="V277">
        <v>0.57110000000000005</v>
      </c>
      <c r="W277">
        <v>13.589</v>
      </c>
      <c r="X277">
        <v>101.2454</v>
      </c>
      <c r="Y277">
        <v>91.506299999999996</v>
      </c>
      <c r="Z277">
        <v>95.770799999999994</v>
      </c>
      <c r="AA277">
        <v>312.00259999999997</v>
      </c>
      <c r="AB277">
        <v>9.4251000000000005</v>
      </c>
      <c r="AC277">
        <v>35.419699999999999</v>
      </c>
      <c r="AD277">
        <v>73.863100000000003</v>
      </c>
      <c r="AE277">
        <v>2.6190000000000002</v>
      </c>
      <c r="AF277">
        <v>7326.8446999999996</v>
      </c>
      <c r="AG277">
        <v>58.721800000000002</v>
      </c>
      <c r="AH277">
        <v>1.9612000000000001</v>
      </c>
      <c r="AI277">
        <v>89.354799999999997</v>
      </c>
      <c r="AJ277">
        <v>73.2</v>
      </c>
      <c r="AK277">
        <v>81.9756</v>
      </c>
      <c r="AL277">
        <v>1.1948000000000001</v>
      </c>
      <c r="AM277">
        <v>0.05</v>
      </c>
      <c r="AN277">
        <v>2.7000000000000001E-3</v>
      </c>
      <c r="AO277">
        <v>89.496300000000005</v>
      </c>
      <c r="AP277">
        <v>94.369600000000005</v>
      </c>
      <c r="AQ277">
        <v>93.161500000000004</v>
      </c>
      <c r="AR277">
        <v>91.557699999999997</v>
      </c>
      <c r="AS277">
        <v>86.674300000000002</v>
      </c>
      <c r="AT277">
        <v>85.706100000000006</v>
      </c>
      <c r="AU277">
        <v>82.028499999999994</v>
      </c>
      <c r="AV277">
        <v>7180.6553000000004</v>
      </c>
      <c r="AW277">
        <v>19188.0363</v>
      </c>
      <c r="AX277">
        <f t="shared" si="81"/>
        <v>679634.48933510995</v>
      </c>
      <c r="AY277">
        <f t="shared" si="82"/>
        <v>1126756.03000134</v>
      </c>
      <c r="AZ277">
        <f t="shared" si="83"/>
        <v>260746.22528070002</v>
      </c>
      <c r="BA277">
        <f t="shared" si="75"/>
        <v>0</v>
      </c>
      <c r="BB277">
        <f t="shared" si="76"/>
        <v>0</v>
      </c>
      <c r="BC277">
        <f t="shared" si="77"/>
        <v>19188.0363</v>
      </c>
      <c r="BD277">
        <f t="shared" si="78"/>
        <v>0</v>
      </c>
      <c r="BE277">
        <f t="shared" si="79"/>
        <v>0</v>
      </c>
      <c r="BF277">
        <f t="shared" si="80"/>
        <v>0</v>
      </c>
      <c r="BG277">
        <f t="shared" si="84"/>
        <v>9554.4878998400018</v>
      </c>
      <c r="BH277">
        <f t="shared" si="85"/>
        <v>9432.1733321000011</v>
      </c>
      <c r="BI277">
        <f t="shared" si="86"/>
        <v>9269.7959595800003</v>
      </c>
      <c r="BJ277">
        <f t="shared" si="87"/>
        <v>8775.3741732199996</v>
      </c>
      <c r="BK277">
        <f t="shared" si="88"/>
        <v>8677.3483769400009</v>
      </c>
      <c r="BL277">
        <f t="shared" si="89"/>
        <v>8305.0082939000004</v>
      </c>
    </row>
    <row r="278" spans="1:64">
      <c r="A278" t="str">
        <f t="shared" si="74"/>
        <v>.0</v>
      </c>
      <c r="B278" t="s">
        <v>605</v>
      </c>
      <c r="C278" t="s">
        <v>685</v>
      </c>
      <c r="D278">
        <v>3</v>
      </c>
      <c r="E278">
        <v>1</v>
      </c>
      <c r="F278">
        <v>6</v>
      </c>
      <c r="G278">
        <v>2</v>
      </c>
      <c r="H278">
        <v>100</v>
      </c>
      <c r="I278" t="s">
        <v>609</v>
      </c>
      <c r="J278">
        <v>0.3125</v>
      </c>
      <c r="K278">
        <v>48.825099999999999</v>
      </c>
      <c r="L278">
        <v>7.3000000000000001E-3</v>
      </c>
      <c r="M278">
        <v>0.72660000000000002</v>
      </c>
      <c r="N278">
        <v>17.881</v>
      </c>
      <c r="O278">
        <v>83.943200000000004</v>
      </c>
      <c r="P278">
        <v>2333.5632000000001</v>
      </c>
      <c r="Q278">
        <v>248.93979999999999</v>
      </c>
      <c r="R278">
        <v>1.9169</v>
      </c>
      <c r="S278">
        <v>0.29409999999999997</v>
      </c>
      <c r="T278">
        <v>0.41299999999999998</v>
      </c>
      <c r="U278">
        <v>2E-3</v>
      </c>
      <c r="V278">
        <v>0.32979999999999998</v>
      </c>
      <c r="W278">
        <v>13.618600000000001</v>
      </c>
      <c r="X278">
        <v>18.6234</v>
      </c>
      <c r="Y278">
        <v>15.633100000000001</v>
      </c>
      <c r="Z278">
        <v>15.9404</v>
      </c>
      <c r="AA278">
        <v>87.4285</v>
      </c>
      <c r="AB278">
        <v>39.439</v>
      </c>
      <c r="AC278">
        <v>44.857500000000002</v>
      </c>
      <c r="AD278">
        <v>64.548199999999994</v>
      </c>
      <c r="AE278">
        <v>0.72699999999999998</v>
      </c>
      <c r="AF278">
        <v>8196.5954999999994</v>
      </c>
      <c r="AG278">
        <v>57.936900000000001</v>
      </c>
      <c r="AH278">
        <v>0.22439999999999999</v>
      </c>
      <c r="AI278">
        <v>86.999499999999998</v>
      </c>
      <c r="AJ278">
        <v>90</v>
      </c>
      <c r="AK278">
        <v>77.132499999999993</v>
      </c>
      <c r="AL278">
        <v>1.8136000000000001</v>
      </c>
      <c r="AM278">
        <v>0.05</v>
      </c>
      <c r="AN278">
        <v>9.5999999999999992E-3</v>
      </c>
      <c r="AO278">
        <v>90.921999999999997</v>
      </c>
      <c r="AP278">
        <v>82.643600000000006</v>
      </c>
      <c r="AQ278">
        <v>81.422200000000004</v>
      </c>
      <c r="AR278">
        <v>79.314400000000006</v>
      </c>
      <c r="AS278">
        <v>73.711299999999994</v>
      </c>
      <c r="AT278">
        <v>72.537700000000001</v>
      </c>
      <c r="AU278">
        <v>67.994900000000001</v>
      </c>
      <c r="AV278">
        <v>2335.4540999999999</v>
      </c>
      <c r="AW278">
        <v>5958.8990999999996</v>
      </c>
      <c r="AX278">
        <f t="shared" si="81"/>
        <v>267301.31637825002</v>
      </c>
      <c r="AY278">
        <f t="shared" si="82"/>
        <v>345240.14126678999</v>
      </c>
      <c r="AZ278">
        <f t="shared" si="83"/>
        <v>81151.863283259998</v>
      </c>
      <c r="BA278">
        <f t="shared" si="75"/>
        <v>5958.8990999999996</v>
      </c>
      <c r="BB278">
        <f t="shared" si="76"/>
        <v>0</v>
      </c>
      <c r="BC278">
        <f t="shared" si="77"/>
        <v>0</v>
      </c>
      <c r="BD278">
        <f t="shared" si="78"/>
        <v>0</v>
      </c>
      <c r="BE278">
        <f t="shared" si="79"/>
        <v>0</v>
      </c>
      <c r="BF278">
        <f t="shared" si="80"/>
        <v>0</v>
      </c>
      <c r="BG278">
        <f t="shared" si="84"/>
        <v>1539.1048202400002</v>
      </c>
      <c r="BH278">
        <f t="shared" si="85"/>
        <v>1516.3581994800002</v>
      </c>
      <c r="BI278">
        <f t="shared" si="86"/>
        <v>1477.1037969600002</v>
      </c>
      <c r="BJ278">
        <f t="shared" si="87"/>
        <v>1372.7550244199999</v>
      </c>
      <c r="BK278">
        <f t="shared" si="88"/>
        <v>1350.8986021800001</v>
      </c>
      <c r="BL278">
        <f t="shared" si="89"/>
        <v>1266.29622066</v>
      </c>
    </row>
    <row r="279" spans="1:64">
      <c r="A279" t="str">
        <f t="shared" si="74"/>
        <v>.0</v>
      </c>
      <c r="B279" t="s">
        <v>605</v>
      </c>
      <c r="C279" t="s">
        <v>685</v>
      </c>
      <c r="D279">
        <v>3</v>
      </c>
      <c r="E279">
        <v>1</v>
      </c>
      <c r="F279">
        <v>6</v>
      </c>
      <c r="G279">
        <v>2</v>
      </c>
      <c r="H279">
        <v>100</v>
      </c>
      <c r="I279" t="s">
        <v>617</v>
      </c>
      <c r="J279">
        <v>0.38819999999999999</v>
      </c>
      <c r="K279">
        <v>71.125699999999995</v>
      </c>
      <c r="L279">
        <v>7.6E-3</v>
      </c>
      <c r="M279">
        <v>0.71909999999999996</v>
      </c>
      <c r="N279">
        <v>17.881</v>
      </c>
      <c r="O279">
        <v>83.753399999999999</v>
      </c>
      <c r="P279">
        <v>2333.5632000000001</v>
      </c>
      <c r="Q279">
        <v>253.1052</v>
      </c>
      <c r="R279">
        <v>2.3489</v>
      </c>
      <c r="S279">
        <v>0.38829999999999998</v>
      </c>
      <c r="T279">
        <v>0.34329999999999999</v>
      </c>
      <c r="U279">
        <v>1.4E-3</v>
      </c>
      <c r="V279">
        <v>0.41410000000000002</v>
      </c>
      <c r="W279">
        <v>13.462199999999999</v>
      </c>
      <c r="X279">
        <v>38.3855</v>
      </c>
      <c r="Y279">
        <v>32.147500000000001</v>
      </c>
      <c r="Z279">
        <v>33.150500000000001</v>
      </c>
      <c r="AA279">
        <v>179.786</v>
      </c>
      <c r="AB279">
        <v>34.559699999999999</v>
      </c>
      <c r="AC279">
        <v>46.481299999999997</v>
      </c>
      <c r="AD279">
        <v>65.189099999999996</v>
      </c>
      <c r="AE279">
        <v>1.1842999999999999</v>
      </c>
      <c r="AF279">
        <v>8350.5200999999997</v>
      </c>
      <c r="AG279">
        <v>58.090400000000002</v>
      </c>
      <c r="AH279">
        <v>0.55889999999999995</v>
      </c>
      <c r="AI279">
        <v>87.764499999999998</v>
      </c>
      <c r="AJ279">
        <v>90</v>
      </c>
      <c r="AK279">
        <v>78.701800000000006</v>
      </c>
      <c r="AL279">
        <v>2.2023000000000001</v>
      </c>
      <c r="AM279">
        <v>0.05</v>
      </c>
      <c r="AN279">
        <v>8.3999999999999995E-3</v>
      </c>
      <c r="AO279">
        <v>90.560699999999997</v>
      </c>
      <c r="AP279">
        <v>82.8245</v>
      </c>
      <c r="AQ279">
        <v>81.579599999999999</v>
      </c>
      <c r="AR279">
        <v>79.566199999999995</v>
      </c>
      <c r="AS279">
        <v>73.658500000000004</v>
      </c>
      <c r="AT279">
        <v>72.444500000000005</v>
      </c>
      <c r="AU279">
        <v>67.715900000000005</v>
      </c>
      <c r="AV279">
        <v>3873.5785999999998</v>
      </c>
      <c r="AW279">
        <v>9889.1995000000006</v>
      </c>
      <c r="AX279">
        <f t="shared" si="81"/>
        <v>459662.84871935</v>
      </c>
      <c r="AY279">
        <f t="shared" si="82"/>
        <v>574467.55463480006</v>
      </c>
      <c r="AZ279">
        <f t="shared" si="83"/>
        <v>133130.3815089</v>
      </c>
      <c r="BA279">
        <f t="shared" si="75"/>
        <v>9889.1995000000006</v>
      </c>
      <c r="BB279">
        <f t="shared" si="76"/>
        <v>0</v>
      </c>
      <c r="BC279">
        <f t="shared" si="77"/>
        <v>0</v>
      </c>
      <c r="BD279">
        <f t="shared" si="78"/>
        <v>0</v>
      </c>
      <c r="BE279">
        <f t="shared" si="79"/>
        <v>0</v>
      </c>
      <c r="BF279">
        <f t="shared" si="80"/>
        <v>0</v>
      </c>
      <c r="BG279">
        <f t="shared" si="84"/>
        <v>3179.25984475</v>
      </c>
      <c r="BH279">
        <f t="shared" si="85"/>
        <v>3131.4737358000002</v>
      </c>
      <c r="BI279">
        <f t="shared" si="86"/>
        <v>3054.1883700999997</v>
      </c>
      <c r="BJ279">
        <f t="shared" si="87"/>
        <v>2827.4183517500001</v>
      </c>
      <c r="BK279">
        <f t="shared" si="88"/>
        <v>2780.8183547500003</v>
      </c>
      <c r="BL279">
        <f t="shared" si="89"/>
        <v>2599.30867945</v>
      </c>
    </row>
    <row r="280" spans="1:64">
      <c r="A280" t="str">
        <f t="shared" si="74"/>
        <v>.0</v>
      </c>
      <c r="B280" t="s">
        <v>605</v>
      </c>
      <c r="C280" t="s">
        <v>685</v>
      </c>
      <c r="D280">
        <v>3</v>
      </c>
      <c r="E280">
        <v>1</v>
      </c>
      <c r="F280">
        <v>6</v>
      </c>
      <c r="G280">
        <v>2</v>
      </c>
      <c r="H280">
        <v>100</v>
      </c>
      <c r="I280" t="s">
        <v>607</v>
      </c>
      <c r="J280">
        <v>0.67979999999999996</v>
      </c>
      <c r="K280">
        <v>73.888800000000003</v>
      </c>
      <c r="L280">
        <v>7.3000000000000001E-3</v>
      </c>
      <c r="M280">
        <v>0.72660000000000002</v>
      </c>
      <c r="N280">
        <v>17.881</v>
      </c>
      <c r="O280">
        <v>83.925600000000003</v>
      </c>
      <c r="P280">
        <v>2333.5632000000001</v>
      </c>
      <c r="Q280">
        <v>246.8562</v>
      </c>
      <c r="R280">
        <v>2.3149000000000002</v>
      </c>
      <c r="S280">
        <v>0.44429999999999997</v>
      </c>
      <c r="T280">
        <v>0.67969999999999997</v>
      </c>
      <c r="U280">
        <v>2.0999999999999999E-3</v>
      </c>
      <c r="V280">
        <v>0.70660000000000001</v>
      </c>
      <c r="W280">
        <v>13.4254</v>
      </c>
      <c r="X280">
        <v>40.653500000000001</v>
      </c>
      <c r="Y280">
        <v>34.118699999999997</v>
      </c>
      <c r="Z280">
        <v>34.258299999999998</v>
      </c>
      <c r="AA280">
        <v>190.80969999999999</v>
      </c>
      <c r="AB280">
        <v>30.567599999999999</v>
      </c>
      <c r="AC280">
        <v>45.034500000000001</v>
      </c>
      <c r="AD280">
        <v>65.283799999999999</v>
      </c>
      <c r="AE280">
        <v>0.73009999999999997</v>
      </c>
      <c r="AF280">
        <v>8191.8341</v>
      </c>
      <c r="AG280">
        <v>58.798000000000002</v>
      </c>
      <c r="AH280">
        <v>0.3503</v>
      </c>
      <c r="AI280">
        <v>88.048400000000001</v>
      </c>
      <c r="AJ280">
        <v>90</v>
      </c>
      <c r="AK280">
        <v>79.270899999999997</v>
      </c>
      <c r="AL280">
        <v>2.2250000000000001</v>
      </c>
      <c r="AM280">
        <v>0.05</v>
      </c>
      <c r="AN280">
        <v>1.15E-2</v>
      </c>
      <c r="AO280">
        <v>91.304199999999994</v>
      </c>
      <c r="AP280">
        <v>82.639899999999997</v>
      </c>
      <c r="AQ280">
        <v>81.430999999999997</v>
      </c>
      <c r="AR280">
        <v>79.499499999999998</v>
      </c>
      <c r="AS280">
        <v>73.541799999999995</v>
      </c>
      <c r="AT280">
        <v>72.3249</v>
      </c>
      <c r="AU280">
        <v>67.512200000000007</v>
      </c>
      <c r="AV280">
        <v>2342.0680000000002</v>
      </c>
      <c r="AW280">
        <v>5980.5379999999996</v>
      </c>
      <c r="AX280">
        <f t="shared" si="81"/>
        <v>269330.53856099996</v>
      </c>
      <c r="AY280">
        <f t="shared" si="82"/>
        <v>351643.67332399997</v>
      </c>
      <c r="AZ280">
        <f t="shared" si="83"/>
        <v>80291.114865199997</v>
      </c>
      <c r="BA280">
        <f t="shared" si="75"/>
        <v>5980.5379999999996</v>
      </c>
      <c r="BB280">
        <f t="shared" si="76"/>
        <v>0</v>
      </c>
      <c r="BC280">
        <f t="shared" si="77"/>
        <v>0</v>
      </c>
      <c r="BD280">
        <f t="shared" si="78"/>
        <v>0</v>
      </c>
      <c r="BE280">
        <f t="shared" si="79"/>
        <v>0</v>
      </c>
      <c r="BF280">
        <f t="shared" si="80"/>
        <v>0</v>
      </c>
      <c r="BG280">
        <f t="shared" si="84"/>
        <v>3359.6011746499998</v>
      </c>
      <c r="BH280">
        <f t="shared" si="85"/>
        <v>3310.4551584999999</v>
      </c>
      <c r="BI280">
        <f t="shared" si="86"/>
        <v>3231.9329232499999</v>
      </c>
      <c r="BJ280">
        <f t="shared" si="87"/>
        <v>2989.7315662999999</v>
      </c>
      <c r="BK280">
        <f t="shared" si="88"/>
        <v>2940.2603221499999</v>
      </c>
      <c r="BL280">
        <f t="shared" si="89"/>
        <v>2744.6072227000004</v>
      </c>
    </row>
    <row r="281" spans="1:64">
      <c r="A281" t="str">
        <f t="shared" si="74"/>
        <v>.0</v>
      </c>
      <c r="B281" t="s">
        <v>605</v>
      </c>
      <c r="C281" t="s">
        <v>685</v>
      </c>
      <c r="D281">
        <v>3</v>
      </c>
      <c r="E281">
        <v>1</v>
      </c>
      <c r="F281">
        <v>6</v>
      </c>
      <c r="G281">
        <v>2</v>
      </c>
      <c r="H281">
        <v>200</v>
      </c>
      <c r="I281" t="s">
        <v>617</v>
      </c>
      <c r="J281">
        <v>0.38940000000000002</v>
      </c>
      <c r="K281">
        <v>29.6267</v>
      </c>
      <c r="L281">
        <v>9.4999999999999998E-3</v>
      </c>
      <c r="M281">
        <v>0.92920000000000003</v>
      </c>
      <c r="N281">
        <v>39.640700000000002</v>
      </c>
      <c r="O281">
        <v>84.349000000000004</v>
      </c>
      <c r="P281">
        <v>591.79819999999995</v>
      </c>
      <c r="Q281">
        <v>233.9949</v>
      </c>
      <c r="R281">
        <v>0.21690000000000001</v>
      </c>
      <c r="S281">
        <v>0.25929999999999997</v>
      </c>
      <c r="T281">
        <v>0.43230000000000002</v>
      </c>
      <c r="U281">
        <v>0</v>
      </c>
      <c r="V281">
        <v>0.39950000000000002</v>
      </c>
      <c r="W281">
        <v>13.4322</v>
      </c>
      <c r="X281">
        <v>4.1646999999999998</v>
      </c>
      <c r="Y281">
        <v>3.5129000000000001</v>
      </c>
      <c r="Z281">
        <v>3.4799000000000002</v>
      </c>
      <c r="AA281">
        <v>8.8618000000000006</v>
      </c>
      <c r="AB281">
        <v>31.6767</v>
      </c>
      <c r="AC281">
        <v>41.543500000000002</v>
      </c>
      <c r="AD281">
        <v>64.412099999999995</v>
      </c>
      <c r="AE281">
        <v>0.1358</v>
      </c>
      <c r="AF281">
        <v>7877.5949000000001</v>
      </c>
      <c r="AG281">
        <v>57.616399999999999</v>
      </c>
      <c r="AH281">
        <v>2.3599999999999999E-2</v>
      </c>
      <c r="AI281">
        <v>85.734800000000007</v>
      </c>
      <c r="AJ281">
        <v>90</v>
      </c>
      <c r="AK281">
        <v>74.592399999999998</v>
      </c>
      <c r="AL281">
        <v>2.5390000000000001</v>
      </c>
      <c r="AM281">
        <v>0.05</v>
      </c>
      <c r="AN281">
        <v>0</v>
      </c>
      <c r="AO281">
        <v>91.765299999999996</v>
      </c>
      <c r="AP281">
        <v>83.714299999999994</v>
      </c>
      <c r="AQ281">
        <v>81.868799999999993</v>
      </c>
      <c r="AR281">
        <v>79.725899999999996</v>
      </c>
      <c r="AS281">
        <v>73.136300000000006</v>
      </c>
      <c r="AT281">
        <v>71.847399999999993</v>
      </c>
      <c r="AU281">
        <v>67.100200000000001</v>
      </c>
      <c r="AV281">
        <v>420.12470000000002</v>
      </c>
      <c r="AW281">
        <v>1069.5409999999999</v>
      </c>
      <c r="AX281">
        <f t="shared" si="81"/>
        <v>44432.476533499997</v>
      </c>
      <c r="AY281">
        <f t="shared" si="82"/>
        <v>61623.102072399997</v>
      </c>
      <c r="AZ281">
        <f t="shared" si="83"/>
        <v>14366.288620199999</v>
      </c>
      <c r="BA281">
        <f t="shared" si="75"/>
        <v>1069.5409999999999</v>
      </c>
      <c r="BB281">
        <f t="shared" si="76"/>
        <v>0</v>
      </c>
      <c r="BC281">
        <f t="shared" si="77"/>
        <v>0</v>
      </c>
      <c r="BD281">
        <f t="shared" si="78"/>
        <v>0</v>
      </c>
      <c r="BE281">
        <f t="shared" si="79"/>
        <v>0</v>
      </c>
      <c r="BF281">
        <f t="shared" si="80"/>
        <v>0</v>
      </c>
      <c r="BG281">
        <f t="shared" si="84"/>
        <v>348.64494520999995</v>
      </c>
      <c r="BH281">
        <f t="shared" si="85"/>
        <v>340.95899135999997</v>
      </c>
      <c r="BI281">
        <f t="shared" si="86"/>
        <v>332.03445572999999</v>
      </c>
      <c r="BJ281">
        <f t="shared" si="87"/>
        <v>304.59074860999999</v>
      </c>
      <c r="BK281">
        <f t="shared" si="88"/>
        <v>299.22286677999995</v>
      </c>
      <c r="BL281">
        <f t="shared" si="89"/>
        <v>279.45220294000001</v>
      </c>
    </row>
    <row r="282" spans="1:64">
      <c r="A282" t="str">
        <f t="shared" si="74"/>
        <v>.0</v>
      </c>
      <c r="B282" t="s">
        <v>605</v>
      </c>
      <c r="C282" t="s">
        <v>685</v>
      </c>
      <c r="D282">
        <v>7</v>
      </c>
      <c r="E282">
        <v>1</v>
      </c>
      <c r="F282">
        <v>6</v>
      </c>
      <c r="G282">
        <v>2</v>
      </c>
      <c r="H282">
        <v>100</v>
      </c>
      <c r="I282" t="s">
        <v>607</v>
      </c>
      <c r="J282">
        <v>0.48380000000000001</v>
      </c>
      <c r="K282">
        <v>57.245199999999997</v>
      </c>
      <c r="L282">
        <v>8.8000000000000005E-3</v>
      </c>
      <c r="M282">
        <v>0.94089999999999996</v>
      </c>
      <c r="N282">
        <v>17.881</v>
      </c>
      <c r="O282">
        <v>84.2744</v>
      </c>
      <c r="P282">
        <v>4500</v>
      </c>
      <c r="Q282">
        <v>234.73410000000001</v>
      </c>
      <c r="R282">
        <v>2.2736000000000001</v>
      </c>
      <c r="S282">
        <v>0.36799999999999999</v>
      </c>
      <c r="T282">
        <v>0.68630000000000002</v>
      </c>
      <c r="U282">
        <v>2.5000000000000001E-3</v>
      </c>
      <c r="V282">
        <v>0.50419999999999998</v>
      </c>
      <c r="W282">
        <v>13.3857</v>
      </c>
      <c r="X282">
        <v>13.3568</v>
      </c>
      <c r="Y282">
        <v>11.256399999999999</v>
      </c>
      <c r="Z282">
        <v>11.3314</v>
      </c>
      <c r="AA282">
        <v>62.951500000000003</v>
      </c>
      <c r="AB282">
        <v>12.572100000000001</v>
      </c>
      <c r="AC282">
        <v>41.822800000000001</v>
      </c>
      <c r="AD282">
        <v>66.334500000000006</v>
      </c>
      <c r="AE282">
        <v>0.3488</v>
      </c>
      <c r="AF282">
        <v>7914.5591000000004</v>
      </c>
      <c r="AG282">
        <v>57.256599999999999</v>
      </c>
      <c r="AH282">
        <v>0.1232</v>
      </c>
      <c r="AI282">
        <v>87.402299999999997</v>
      </c>
      <c r="AJ282">
        <v>31.09</v>
      </c>
      <c r="AK282">
        <v>77.950299999999999</v>
      </c>
      <c r="AL282">
        <v>2.4607999999999999</v>
      </c>
      <c r="AM282">
        <v>0.05</v>
      </c>
      <c r="AN282">
        <v>0</v>
      </c>
      <c r="AO282">
        <v>91.494100000000003</v>
      </c>
      <c r="AP282">
        <v>83.593400000000003</v>
      </c>
      <c r="AQ282">
        <v>81.829499999999996</v>
      </c>
      <c r="AR282">
        <v>79.879000000000005</v>
      </c>
      <c r="AS282">
        <v>73.076800000000006</v>
      </c>
      <c r="AT282">
        <v>71.725300000000004</v>
      </c>
      <c r="AU282">
        <v>66.775099999999995</v>
      </c>
      <c r="AV282">
        <v>1083.0220999999999</v>
      </c>
      <c r="AW282">
        <v>2760.5547999999999</v>
      </c>
      <c r="AX282">
        <f t="shared" si="81"/>
        <v>115454.13128944</v>
      </c>
      <c r="AY282">
        <f t="shared" si="82"/>
        <v>158059.98196167999</v>
      </c>
      <c r="AZ282">
        <f t="shared" si="83"/>
        <v>36951.958386359998</v>
      </c>
      <c r="BA282">
        <f t="shared" si="75"/>
        <v>2760.5547999999999</v>
      </c>
      <c r="BB282">
        <f t="shared" si="76"/>
        <v>0</v>
      </c>
      <c r="BC282">
        <f t="shared" si="77"/>
        <v>0</v>
      </c>
      <c r="BD282">
        <f t="shared" si="78"/>
        <v>0</v>
      </c>
      <c r="BE282">
        <f t="shared" si="79"/>
        <v>0</v>
      </c>
      <c r="BF282">
        <f t="shared" si="80"/>
        <v>0</v>
      </c>
      <c r="BG282">
        <f t="shared" si="84"/>
        <v>1116.54032512</v>
      </c>
      <c r="BH282">
        <f t="shared" si="85"/>
        <v>1092.9802655999999</v>
      </c>
      <c r="BI282">
        <f t="shared" si="86"/>
        <v>1066.9278272000001</v>
      </c>
      <c r="BJ282">
        <f t="shared" si="87"/>
        <v>976.07220224000002</v>
      </c>
      <c r="BK282">
        <f t="shared" si="88"/>
        <v>958.02048704000003</v>
      </c>
      <c r="BL282">
        <f t="shared" si="89"/>
        <v>891.90165567999986</v>
      </c>
    </row>
    <row r="283" spans="1:64">
      <c r="A283" t="str">
        <f t="shared" si="74"/>
        <v>.0</v>
      </c>
      <c r="B283" t="s">
        <v>605</v>
      </c>
      <c r="C283" t="s">
        <v>685</v>
      </c>
      <c r="D283">
        <v>7</v>
      </c>
      <c r="E283">
        <v>1</v>
      </c>
      <c r="F283">
        <v>6</v>
      </c>
      <c r="G283">
        <v>2</v>
      </c>
      <c r="H283">
        <v>200</v>
      </c>
      <c r="I283" t="s">
        <v>617</v>
      </c>
      <c r="J283">
        <v>0.47960000000000003</v>
      </c>
      <c r="K283">
        <v>42.513199999999998</v>
      </c>
      <c r="L283">
        <v>8.5000000000000006E-3</v>
      </c>
      <c r="M283">
        <v>0.91379999999999995</v>
      </c>
      <c r="N283">
        <v>40.898299999999999</v>
      </c>
      <c r="O283">
        <v>84.319900000000004</v>
      </c>
      <c r="P283">
        <v>575.79899999999998</v>
      </c>
      <c r="Q283">
        <v>235.3408</v>
      </c>
      <c r="R283">
        <v>0.2177</v>
      </c>
      <c r="S283">
        <v>0.3715</v>
      </c>
      <c r="T283">
        <v>0.54679999999999995</v>
      </c>
      <c r="U283">
        <v>0</v>
      </c>
      <c r="V283">
        <v>0.4945</v>
      </c>
      <c r="W283">
        <v>13.466799999999999</v>
      </c>
      <c r="X283">
        <v>9.1725999999999992</v>
      </c>
      <c r="Y283">
        <v>7.7343000000000002</v>
      </c>
      <c r="Z283">
        <v>7.7001999999999997</v>
      </c>
      <c r="AA283">
        <v>18.911100000000001</v>
      </c>
      <c r="AB283">
        <v>18.772500000000001</v>
      </c>
      <c r="AC283">
        <v>41.6678</v>
      </c>
      <c r="AD283">
        <v>65.024000000000001</v>
      </c>
      <c r="AE283">
        <v>0.2417</v>
      </c>
      <c r="AF283">
        <v>7912.4079000000002</v>
      </c>
      <c r="AG283">
        <v>56.732999999999997</v>
      </c>
      <c r="AH283">
        <v>6.2100000000000002E-2</v>
      </c>
      <c r="AI283">
        <v>86.649000000000001</v>
      </c>
      <c r="AJ283">
        <v>90</v>
      </c>
      <c r="AK283">
        <v>76.424499999999995</v>
      </c>
      <c r="AL283">
        <v>2.3944999999999999</v>
      </c>
      <c r="AM283">
        <v>0.05</v>
      </c>
      <c r="AN283">
        <v>0</v>
      </c>
      <c r="AO283">
        <v>91.281899999999993</v>
      </c>
      <c r="AP283">
        <v>83.431200000000004</v>
      </c>
      <c r="AQ283">
        <v>81.741900000000001</v>
      </c>
      <c r="AR283">
        <v>79.679100000000005</v>
      </c>
      <c r="AS283">
        <v>73.252499999999998</v>
      </c>
      <c r="AT283">
        <v>71.988100000000003</v>
      </c>
      <c r="AU283">
        <v>67.270499999999998</v>
      </c>
      <c r="AV283">
        <v>751.00229999999999</v>
      </c>
      <c r="AW283">
        <v>1912.3602000000001</v>
      </c>
      <c r="AX283">
        <f t="shared" si="81"/>
        <v>79683.842341559997</v>
      </c>
      <c r="AY283">
        <f t="shared" si="82"/>
        <v>108493.93122660001</v>
      </c>
      <c r="AZ283">
        <f t="shared" si="83"/>
        <v>25753.372341359998</v>
      </c>
      <c r="BA283">
        <f t="shared" si="75"/>
        <v>1912.3602000000001</v>
      </c>
      <c r="BB283">
        <f t="shared" si="76"/>
        <v>0</v>
      </c>
      <c r="BC283">
        <f t="shared" si="77"/>
        <v>0</v>
      </c>
      <c r="BD283">
        <f t="shared" si="78"/>
        <v>0</v>
      </c>
      <c r="BE283">
        <f t="shared" si="79"/>
        <v>0</v>
      </c>
      <c r="BF283">
        <f t="shared" si="80"/>
        <v>0</v>
      </c>
      <c r="BG283">
        <f t="shared" si="84"/>
        <v>765.28102511999998</v>
      </c>
      <c r="BH283">
        <f t="shared" si="85"/>
        <v>749.78575193999995</v>
      </c>
      <c r="BI283">
        <f t="shared" si="86"/>
        <v>730.86451265999995</v>
      </c>
      <c r="BJ283">
        <f t="shared" si="87"/>
        <v>671.91588149999995</v>
      </c>
      <c r="BK283">
        <f t="shared" si="88"/>
        <v>660.31804605999992</v>
      </c>
      <c r="BL283">
        <f t="shared" si="89"/>
        <v>617.0453882999999</v>
      </c>
    </row>
    <row r="284" spans="1:64">
      <c r="A284" t="str">
        <f t="shared" si="74"/>
        <v>.0</v>
      </c>
      <c r="B284" t="s">
        <v>605</v>
      </c>
      <c r="C284" t="s">
        <v>685</v>
      </c>
      <c r="D284">
        <v>7</v>
      </c>
      <c r="E284">
        <v>8</v>
      </c>
      <c r="F284">
        <v>16</v>
      </c>
      <c r="G284">
        <v>2</v>
      </c>
      <c r="H284">
        <v>100</v>
      </c>
      <c r="I284" t="s">
        <v>609</v>
      </c>
      <c r="J284">
        <v>0.34420000000000001</v>
      </c>
      <c r="K284">
        <v>29.3659</v>
      </c>
      <c r="L284">
        <v>1.17E-2</v>
      </c>
      <c r="M284">
        <v>1.1861999999999999</v>
      </c>
      <c r="N284">
        <v>17.881</v>
      </c>
      <c r="O284">
        <v>84.952100000000002</v>
      </c>
      <c r="P284">
        <v>4500</v>
      </c>
      <c r="Q284">
        <v>206.75479999999999</v>
      </c>
      <c r="R284">
        <v>3.4714</v>
      </c>
      <c r="S284">
        <v>0.15440000000000001</v>
      </c>
      <c r="T284">
        <v>0.37459999999999999</v>
      </c>
      <c r="U284">
        <v>5.0000000000000001E-4</v>
      </c>
      <c r="V284">
        <v>0.35410000000000003</v>
      </c>
      <c r="W284">
        <v>12.8347</v>
      </c>
      <c r="X284">
        <v>0.97030000000000005</v>
      </c>
      <c r="Y284">
        <v>0.82430000000000003</v>
      </c>
      <c r="Z284">
        <v>0.81899999999999995</v>
      </c>
      <c r="AA284">
        <v>4.6101000000000001</v>
      </c>
      <c r="AB284">
        <v>22.351800000000001</v>
      </c>
      <c r="AC284">
        <v>33.9968</v>
      </c>
      <c r="AD284">
        <v>82.071200000000005</v>
      </c>
      <c r="AE284">
        <v>3.6799999999999999E-2</v>
      </c>
      <c r="AF284">
        <v>7649.9648999999999</v>
      </c>
      <c r="AG284">
        <v>60.6404</v>
      </c>
      <c r="AH284">
        <v>6.1999999999999998E-3</v>
      </c>
      <c r="AI284">
        <v>85.712400000000002</v>
      </c>
      <c r="AJ284">
        <v>31.09</v>
      </c>
      <c r="AK284">
        <v>74.547799999999995</v>
      </c>
      <c r="AL284">
        <v>2.8685</v>
      </c>
      <c r="AM284">
        <v>0.05</v>
      </c>
      <c r="AN284">
        <v>0</v>
      </c>
      <c r="AO284">
        <v>84.428299999999993</v>
      </c>
      <c r="AP284">
        <v>84.091700000000003</v>
      </c>
      <c r="AQ284">
        <v>82.642099999999999</v>
      </c>
      <c r="AR284">
        <v>78.628699999999995</v>
      </c>
      <c r="AS284">
        <v>71.224999999999994</v>
      </c>
      <c r="AT284">
        <v>70.078000000000003</v>
      </c>
      <c r="AU284">
        <v>63.746099999999998</v>
      </c>
      <c r="AV284">
        <v>109.7405</v>
      </c>
      <c r="AW284">
        <v>281.89460000000003</v>
      </c>
      <c r="AX284">
        <f t="shared" si="81"/>
        <v>9583.5143372800012</v>
      </c>
      <c r="AY284">
        <f t="shared" si="82"/>
        <v>17094.201301840003</v>
      </c>
      <c r="AZ284">
        <f t="shared" si="83"/>
        <v>3618.0326226200004</v>
      </c>
      <c r="BA284">
        <f t="shared" si="75"/>
        <v>0</v>
      </c>
      <c r="BB284">
        <f t="shared" si="76"/>
        <v>0</v>
      </c>
      <c r="BC284">
        <f t="shared" si="77"/>
        <v>0</v>
      </c>
      <c r="BD284">
        <f t="shared" si="78"/>
        <v>0</v>
      </c>
      <c r="BE284">
        <f t="shared" si="79"/>
        <v>0</v>
      </c>
      <c r="BF284">
        <f t="shared" si="80"/>
        <v>281.89460000000003</v>
      </c>
      <c r="BG284">
        <f t="shared" si="84"/>
        <v>81.594176510000011</v>
      </c>
      <c r="BH284">
        <f t="shared" si="85"/>
        <v>80.187629630000004</v>
      </c>
      <c r="BI284">
        <f t="shared" si="86"/>
        <v>76.293427609999995</v>
      </c>
      <c r="BJ284">
        <f t="shared" si="87"/>
        <v>69.109617499999999</v>
      </c>
      <c r="BK284">
        <f t="shared" si="88"/>
        <v>67.996683400000009</v>
      </c>
      <c r="BL284">
        <f t="shared" si="89"/>
        <v>61.852840830000005</v>
      </c>
    </row>
    <row r="285" spans="1:64">
      <c r="A285" t="str">
        <f t="shared" si="74"/>
        <v>.0</v>
      </c>
      <c r="B285" t="s">
        <v>605</v>
      </c>
      <c r="C285" t="s">
        <v>685</v>
      </c>
      <c r="D285">
        <v>7</v>
      </c>
      <c r="E285">
        <v>8</v>
      </c>
      <c r="F285">
        <v>16</v>
      </c>
      <c r="G285">
        <v>2</v>
      </c>
      <c r="H285">
        <v>100</v>
      </c>
      <c r="I285" t="s">
        <v>617</v>
      </c>
      <c r="J285">
        <v>0.45140000000000002</v>
      </c>
      <c r="K285">
        <v>32.480600000000003</v>
      </c>
      <c r="L285">
        <v>1.1900000000000001E-2</v>
      </c>
      <c r="M285">
        <v>1.2271000000000001</v>
      </c>
      <c r="N285">
        <v>17.881</v>
      </c>
      <c r="O285">
        <v>84.501300000000001</v>
      </c>
      <c r="P285">
        <v>4500</v>
      </c>
      <c r="Q285">
        <v>199.28129999999999</v>
      </c>
      <c r="R285">
        <v>9.8661999999999992</v>
      </c>
      <c r="S285">
        <v>0.19</v>
      </c>
      <c r="T285">
        <v>0.49769999999999998</v>
      </c>
      <c r="U285">
        <v>8.9999999999999998E-4</v>
      </c>
      <c r="V285">
        <v>0.46239999999999998</v>
      </c>
      <c r="W285">
        <v>12.694100000000001</v>
      </c>
      <c r="X285">
        <v>64.003</v>
      </c>
      <c r="Y285">
        <v>54.514600000000002</v>
      </c>
      <c r="Z285">
        <v>53.9255</v>
      </c>
      <c r="AA285">
        <v>304.87450000000001</v>
      </c>
      <c r="AB285">
        <v>26.816500000000001</v>
      </c>
      <c r="AC285">
        <v>32.715899999999998</v>
      </c>
      <c r="AD285">
        <v>81.715999999999994</v>
      </c>
      <c r="AE285">
        <v>1.8922000000000001</v>
      </c>
      <c r="AF285">
        <v>7503.2484999999997</v>
      </c>
      <c r="AG285">
        <v>60.542099999999998</v>
      </c>
      <c r="AH285">
        <v>0.34639999999999999</v>
      </c>
      <c r="AI285">
        <v>85.890799999999999</v>
      </c>
      <c r="AJ285">
        <v>84.216800000000006</v>
      </c>
      <c r="AK285">
        <v>74.908799999999999</v>
      </c>
      <c r="AL285">
        <v>4.7538999999999998</v>
      </c>
      <c r="AM285">
        <v>0.05</v>
      </c>
      <c r="AN285">
        <v>1.04E-2</v>
      </c>
      <c r="AO285">
        <v>85.124300000000005</v>
      </c>
      <c r="AP285">
        <v>83.915700000000001</v>
      </c>
      <c r="AQ285">
        <v>82.482799999999997</v>
      </c>
      <c r="AR285">
        <v>78.413799999999995</v>
      </c>
      <c r="AS285">
        <v>71.055999999999997</v>
      </c>
      <c r="AT285">
        <v>69.921899999999994</v>
      </c>
      <c r="AU285">
        <v>63.559699999999999</v>
      </c>
      <c r="AV285">
        <v>5528.8446000000004</v>
      </c>
      <c r="AW285">
        <v>14180.2461</v>
      </c>
      <c r="AX285">
        <f t="shared" si="81"/>
        <v>463919.51338298997</v>
      </c>
      <c r="AY285">
        <f t="shared" si="82"/>
        <v>858501.87741080998</v>
      </c>
      <c r="AZ285">
        <f t="shared" si="83"/>
        <v>180005.46201801</v>
      </c>
      <c r="BA285">
        <f t="shared" si="75"/>
        <v>0</v>
      </c>
      <c r="BB285">
        <f t="shared" si="76"/>
        <v>0</v>
      </c>
      <c r="BC285">
        <f t="shared" si="77"/>
        <v>0</v>
      </c>
      <c r="BD285">
        <f t="shared" si="78"/>
        <v>0</v>
      </c>
      <c r="BE285">
        <f t="shared" si="79"/>
        <v>0</v>
      </c>
      <c r="BF285">
        <f t="shared" si="80"/>
        <v>14180.2461</v>
      </c>
      <c r="BG285">
        <f t="shared" si="84"/>
        <v>5370.8565471000002</v>
      </c>
      <c r="BH285">
        <f t="shared" si="85"/>
        <v>5279.1466484000002</v>
      </c>
      <c r="BI285">
        <f t="shared" si="86"/>
        <v>5018.7184413999994</v>
      </c>
      <c r="BJ285">
        <f t="shared" si="87"/>
        <v>4547.7971680000001</v>
      </c>
      <c r="BK285">
        <f t="shared" si="88"/>
        <v>4475.2113657</v>
      </c>
      <c r="BL285">
        <f t="shared" si="89"/>
        <v>4068.0114791000001</v>
      </c>
    </row>
    <row r="286" spans="1:64">
      <c r="A286" t="str">
        <f t="shared" si="74"/>
        <v>.0</v>
      </c>
      <c r="B286" t="s">
        <v>605</v>
      </c>
      <c r="C286" t="s">
        <v>685</v>
      </c>
      <c r="D286">
        <v>7</v>
      </c>
      <c r="E286">
        <v>8</v>
      </c>
      <c r="F286">
        <v>16</v>
      </c>
      <c r="G286">
        <v>2</v>
      </c>
      <c r="H286">
        <v>100</v>
      </c>
      <c r="I286" t="s">
        <v>607</v>
      </c>
      <c r="J286">
        <v>0.58420000000000005</v>
      </c>
      <c r="K286">
        <v>47.007399999999997</v>
      </c>
      <c r="L286">
        <v>1.11E-2</v>
      </c>
      <c r="M286">
        <v>1.143</v>
      </c>
      <c r="N286">
        <v>17.881</v>
      </c>
      <c r="O286">
        <v>84.062799999999996</v>
      </c>
      <c r="P286">
        <v>4500</v>
      </c>
      <c r="Q286">
        <v>198.87360000000001</v>
      </c>
      <c r="R286">
        <v>7.5780000000000003</v>
      </c>
      <c r="S286">
        <v>0.49259999999999998</v>
      </c>
      <c r="T286">
        <v>0.52759999999999996</v>
      </c>
      <c r="U286">
        <v>1.1000000000000001E-3</v>
      </c>
      <c r="V286">
        <v>0.60060000000000002</v>
      </c>
      <c r="W286">
        <v>12.658300000000001</v>
      </c>
      <c r="X286">
        <v>228.2962</v>
      </c>
      <c r="Y286">
        <v>194.22579999999999</v>
      </c>
      <c r="Z286">
        <v>192.81870000000001</v>
      </c>
      <c r="AA286">
        <v>1086.2132999999999</v>
      </c>
      <c r="AB286">
        <v>19.7393</v>
      </c>
      <c r="AC286">
        <v>32.609299999999998</v>
      </c>
      <c r="AD286">
        <v>81.398099999999999</v>
      </c>
      <c r="AE286">
        <v>5.2070999999999996</v>
      </c>
      <c r="AF286">
        <v>7517.8708999999999</v>
      </c>
      <c r="AG286">
        <v>59.590200000000003</v>
      </c>
      <c r="AH286">
        <v>1.4157999999999999</v>
      </c>
      <c r="AI286">
        <v>86.840400000000002</v>
      </c>
      <c r="AJ286">
        <v>63.184600000000003</v>
      </c>
      <c r="AK286">
        <v>76.814800000000005</v>
      </c>
      <c r="AL286">
        <v>3.8374000000000001</v>
      </c>
      <c r="AM286">
        <v>0.05</v>
      </c>
      <c r="AN286">
        <v>1.0999999999999999E-2</v>
      </c>
      <c r="AO286">
        <v>84.735100000000003</v>
      </c>
      <c r="AP286">
        <v>83.440299999999993</v>
      </c>
      <c r="AQ286">
        <v>82.016599999999997</v>
      </c>
      <c r="AR286">
        <v>78.005600000000001</v>
      </c>
      <c r="AS286">
        <v>70.829800000000006</v>
      </c>
      <c r="AT286">
        <v>69.719899999999996</v>
      </c>
      <c r="AU286">
        <v>63.396799999999999</v>
      </c>
      <c r="AV286">
        <v>15274.8873</v>
      </c>
      <c r="AW286">
        <v>39079.645799999998</v>
      </c>
      <c r="AX286">
        <f t="shared" si="81"/>
        <v>1274359.8937859398</v>
      </c>
      <c r="AY286">
        <f t="shared" si="82"/>
        <v>2328763.9091511602</v>
      </c>
      <c r="AZ286">
        <f t="shared" si="83"/>
        <v>494681.88043014001</v>
      </c>
      <c r="BA286">
        <f t="shared" si="75"/>
        <v>0</v>
      </c>
      <c r="BB286">
        <f t="shared" si="76"/>
        <v>0</v>
      </c>
      <c r="BC286">
        <f t="shared" si="77"/>
        <v>0</v>
      </c>
      <c r="BD286">
        <f t="shared" si="78"/>
        <v>0</v>
      </c>
      <c r="BE286">
        <f t="shared" si="79"/>
        <v>0</v>
      </c>
      <c r="BF286">
        <f t="shared" si="80"/>
        <v>39079.645799999998</v>
      </c>
      <c r="BG286">
        <f t="shared" si="84"/>
        <v>19049.103416859998</v>
      </c>
      <c r="BH286">
        <f t="shared" si="85"/>
        <v>18724.078116919998</v>
      </c>
      <c r="BI286">
        <f t="shared" si="86"/>
        <v>17808.382058719999</v>
      </c>
      <c r="BJ286">
        <f t="shared" si="87"/>
        <v>16170.174186760001</v>
      </c>
      <c r="BK286">
        <f t="shared" si="88"/>
        <v>15916.788234379999</v>
      </c>
      <c r="BL286">
        <f t="shared" si="89"/>
        <v>14473.24853216</v>
      </c>
    </row>
    <row r="287" spans="1:64">
      <c r="A287" t="str">
        <f t="shared" si="74"/>
        <v>.0</v>
      </c>
      <c r="B287" t="s">
        <v>605</v>
      </c>
      <c r="C287" t="s">
        <v>685</v>
      </c>
      <c r="D287">
        <v>555</v>
      </c>
      <c r="E287">
        <v>1</v>
      </c>
      <c r="F287">
        <v>6</v>
      </c>
      <c r="G287">
        <v>2</v>
      </c>
      <c r="H287">
        <v>100</v>
      </c>
      <c r="I287" t="s">
        <v>617</v>
      </c>
      <c r="J287">
        <v>0.4607</v>
      </c>
      <c r="K287">
        <v>59.065199999999997</v>
      </c>
      <c r="L287">
        <v>8.6E-3</v>
      </c>
      <c r="M287">
        <v>0.85089999999999999</v>
      </c>
      <c r="N287">
        <v>17.881</v>
      </c>
      <c r="O287">
        <v>83.559399999999997</v>
      </c>
      <c r="P287">
        <v>4500</v>
      </c>
      <c r="Q287">
        <v>252.6918</v>
      </c>
      <c r="R287">
        <v>2.8073999999999999</v>
      </c>
      <c r="S287">
        <v>0.42909999999999998</v>
      </c>
      <c r="T287">
        <v>0.40460000000000002</v>
      </c>
      <c r="U287">
        <v>1.5E-3</v>
      </c>
      <c r="V287">
        <v>0.48209999999999997</v>
      </c>
      <c r="W287">
        <v>13.041</v>
      </c>
      <c r="X287">
        <v>12.8527</v>
      </c>
      <c r="Y287">
        <v>10.739800000000001</v>
      </c>
      <c r="Z287">
        <v>10.856299999999999</v>
      </c>
      <c r="AA287">
        <v>60.062399999999997</v>
      </c>
      <c r="AB287">
        <v>26.978000000000002</v>
      </c>
      <c r="AC287">
        <v>47.809399999999997</v>
      </c>
      <c r="AD287">
        <v>64.614999999999995</v>
      </c>
      <c r="AE287">
        <v>0.32929999999999998</v>
      </c>
      <c r="AF287">
        <v>8471.7942000000003</v>
      </c>
      <c r="AG287">
        <v>58.359299999999998</v>
      </c>
      <c r="AH287">
        <v>0.1293</v>
      </c>
      <c r="AI287">
        <v>87.282300000000006</v>
      </c>
      <c r="AJ287">
        <v>90</v>
      </c>
      <c r="AK287">
        <v>77.720200000000006</v>
      </c>
      <c r="AL287">
        <v>2.3374000000000001</v>
      </c>
      <c r="AM287">
        <v>0.05</v>
      </c>
      <c r="AN287">
        <v>1.2999999999999999E-2</v>
      </c>
      <c r="AO287">
        <v>90.361000000000004</v>
      </c>
      <c r="AP287">
        <v>84.918999999999997</v>
      </c>
      <c r="AQ287">
        <v>82.868600000000001</v>
      </c>
      <c r="AR287">
        <v>80.715800000000002</v>
      </c>
      <c r="AS287">
        <v>73.0976</v>
      </c>
      <c r="AT287">
        <v>71.614800000000002</v>
      </c>
      <c r="AU287">
        <v>66.276200000000003</v>
      </c>
      <c r="AV287">
        <v>1092.0689</v>
      </c>
      <c r="AW287">
        <v>2789.585</v>
      </c>
      <c r="AX287">
        <f t="shared" si="81"/>
        <v>133368.38509900001</v>
      </c>
      <c r="AY287">
        <f t="shared" si="82"/>
        <v>162798.22789049998</v>
      </c>
      <c r="AZ287">
        <f t="shared" si="83"/>
        <v>36378.977985000005</v>
      </c>
      <c r="BA287">
        <f t="shared" si="75"/>
        <v>2789.585</v>
      </c>
      <c r="BB287">
        <f t="shared" si="76"/>
        <v>0</v>
      </c>
      <c r="BC287">
        <f t="shared" si="77"/>
        <v>0</v>
      </c>
      <c r="BD287">
        <f t="shared" si="78"/>
        <v>0</v>
      </c>
      <c r="BE287">
        <f t="shared" si="79"/>
        <v>0</v>
      </c>
      <c r="BF287">
        <f t="shared" si="80"/>
        <v>0</v>
      </c>
      <c r="BG287">
        <f t="shared" si="84"/>
        <v>1091.4384313</v>
      </c>
      <c r="BH287">
        <f t="shared" si="85"/>
        <v>1065.0852552200001</v>
      </c>
      <c r="BI287">
        <f t="shared" si="86"/>
        <v>1037.4159626600001</v>
      </c>
      <c r="BJ287">
        <f t="shared" si="87"/>
        <v>939.50152351999998</v>
      </c>
      <c r="BK287">
        <f t="shared" si="88"/>
        <v>920.44353996000007</v>
      </c>
      <c r="BL287">
        <f t="shared" si="89"/>
        <v>851.82811574000004</v>
      </c>
    </row>
    <row r="288" spans="1:64">
      <c r="A288" t="str">
        <f t="shared" si="74"/>
        <v>.0</v>
      </c>
      <c r="B288" t="s">
        <v>605</v>
      </c>
      <c r="C288" t="s">
        <v>685</v>
      </c>
      <c r="D288">
        <v>555</v>
      </c>
      <c r="E288">
        <v>1</v>
      </c>
      <c r="F288">
        <v>6</v>
      </c>
      <c r="G288">
        <v>2</v>
      </c>
      <c r="H288">
        <v>100</v>
      </c>
      <c r="I288" t="s">
        <v>607</v>
      </c>
      <c r="J288">
        <v>0.59319999999999995</v>
      </c>
      <c r="K288">
        <v>86.968699999999998</v>
      </c>
      <c r="L288">
        <v>9.4000000000000004E-3</v>
      </c>
      <c r="M288">
        <v>0.97819999999999996</v>
      </c>
      <c r="N288">
        <v>18.282299999999999</v>
      </c>
      <c r="O288">
        <v>81.631299999999996</v>
      </c>
      <c r="P288">
        <v>4167.1342999999997</v>
      </c>
      <c r="Q288">
        <v>238.9734</v>
      </c>
      <c r="R288">
        <v>2.7913000000000001</v>
      </c>
      <c r="S288">
        <v>0.6028</v>
      </c>
      <c r="T288">
        <v>0.49630000000000002</v>
      </c>
      <c r="U288">
        <v>1.5E-3</v>
      </c>
      <c r="V288">
        <v>0.62539999999999996</v>
      </c>
      <c r="W288">
        <v>13.0738</v>
      </c>
      <c r="X288">
        <v>230.57220000000001</v>
      </c>
      <c r="Y288">
        <v>193.1713</v>
      </c>
      <c r="Z288">
        <v>196.78819999999999</v>
      </c>
      <c r="AA288">
        <v>1051.1721</v>
      </c>
      <c r="AB288">
        <v>12.7531</v>
      </c>
      <c r="AC288">
        <v>44.042200000000001</v>
      </c>
      <c r="AD288">
        <v>68.640299999999996</v>
      </c>
      <c r="AE288">
        <v>4.7965999999999998</v>
      </c>
      <c r="AF288">
        <v>8105.7656999999999</v>
      </c>
      <c r="AG288">
        <v>58.329799999999999</v>
      </c>
      <c r="AH288">
        <v>2.7256</v>
      </c>
      <c r="AI288">
        <v>88.181899999999999</v>
      </c>
      <c r="AJ288">
        <v>48.889099999999999</v>
      </c>
      <c r="AK288">
        <v>79.565899999999999</v>
      </c>
      <c r="AL288">
        <v>2.4832000000000001</v>
      </c>
      <c r="AM288">
        <v>0.05</v>
      </c>
      <c r="AN288">
        <v>1.66E-2</v>
      </c>
      <c r="AO288">
        <v>91.371499999999997</v>
      </c>
      <c r="AP288">
        <v>84.588999999999999</v>
      </c>
      <c r="AQ288">
        <v>82.477800000000002</v>
      </c>
      <c r="AR288">
        <v>80.605699999999999</v>
      </c>
      <c r="AS288">
        <v>73.036199999999994</v>
      </c>
      <c r="AT288">
        <v>71.550200000000004</v>
      </c>
      <c r="AU288">
        <v>66.394999999999996</v>
      </c>
      <c r="AV288">
        <v>15188.323399999999</v>
      </c>
      <c r="AW288">
        <v>38866.608800000002</v>
      </c>
      <c r="AX288">
        <f t="shared" si="81"/>
        <v>1711770.9580913601</v>
      </c>
      <c r="AY288">
        <f t="shared" si="82"/>
        <v>2267081.5179822398</v>
      </c>
      <c r="AZ288">
        <f t="shared" si="83"/>
        <v>508134.27012944006</v>
      </c>
      <c r="BA288">
        <f t="shared" si="75"/>
        <v>38866.608800000002</v>
      </c>
      <c r="BB288">
        <f t="shared" si="76"/>
        <v>0</v>
      </c>
      <c r="BC288">
        <f t="shared" si="77"/>
        <v>0</v>
      </c>
      <c r="BD288">
        <f t="shared" si="78"/>
        <v>0</v>
      </c>
      <c r="BE288">
        <f t="shared" si="79"/>
        <v>0</v>
      </c>
      <c r="BF288">
        <f t="shared" si="80"/>
        <v>0</v>
      </c>
      <c r="BG288">
        <f t="shared" si="84"/>
        <v>19503.871825800001</v>
      </c>
      <c r="BH288">
        <f t="shared" si="85"/>
        <v>19017.087797160002</v>
      </c>
      <c r="BI288">
        <f t="shared" si="86"/>
        <v>18585.433581540001</v>
      </c>
      <c r="BJ288">
        <f t="shared" si="87"/>
        <v>16840.117313639999</v>
      </c>
      <c r="BK288">
        <f t="shared" si="88"/>
        <v>16497.487024440001</v>
      </c>
      <c r="BL288">
        <f t="shared" si="89"/>
        <v>15308.841219</v>
      </c>
    </row>
    <row r="289" spans="1:64">
      <c r="A289" t="str">
        <f t="shared" si="74"/>
        <v>.0</v>
      </c>
      <c r="B289" t="s">
        <v>605</v>
      </c>
      <c r="C289" t="s">
        <v>685</v>
      </c>
      <c r="D289">
        <v>555</v>
      </c>
      <c r="E289">
        <v>1</v>
      </c>
      <c r="F289">
        <v>6</v>
      </c>
      <c r="G289">
        <v>2</v>
      </c>
      <c r="H289">
        <v>200</v>
      </c>
      <c r="I289" t="s">
        <v>617</v>
      </c>
      <c r="J289">
        <v>0.4526</v>
      </c>
      <c r="K289">
        <v>31.453399999999998</v>
      </c>
      <c r="L289">
        <v>7.7000000000000002E-3</v>
      </c>
      <c r="M289">
        <v>0.77959999999999996</v>
      </c>
      <c r="N289">
        <v>30.4468</v>
      </c>
      <c r="O289">
        <v>83.110699999999994</v>
      </c>
      <c r="P289">
        <v>3695.8036000000002</v>
      </c>
      <c r="Q289">
        <v>245.011</v>
      </c>
      <c r="R289">
        <v>0.86860000000000004</v>
      </c>
      <c r="S289">
        <v>0.29620000000000002</v>
      </c>
      <c r="T289">
        <v>0.43809999999999999</v>
      </c>
      <c r="U289">
        <v>1.9E-3</v>
      </c>
      <c r="V289">
        <v>0.46339999999999998</v>
      </c>
      <c r="W289">
        <v>13.551399999999999</v>
      </c>
      <c r="X289">
        <v>64.561999999999998</v>
      </c>
      <c r="Y289">
        <v>54.192700000000002</v>
      </c>
      <c r="Z289">
        <v>53.576999999999998</v>
      </c>
      <c r="AA289">
        <v>206.6661</v>
      </c>
      <c r="AB289">
        <v>33.371200000000002</v>
      </c>
      <c r="AC289">
        <v>44.012500000000003</v>
      </c>
      <c r="AD289">
        <v>63.990900000000003</v>
      </c>
      <c r="AE289">
        <v>1.7568999999999999</v>
      </c>
      <c r="AF289">
        <v>8121.3126000000002</v>
      </c>
      <c r="AG289">
        <v>57.618400000000001</v>
      </c>
      <c r="AH289">
        <v>0.33650000000000002</v>
      </c>
      <c r="AI289">
        <v>85.835700000000003</v>
      </c>
      <c r="AJ289">
        <v>90</v>
      </c>
      <c r="AK289">
        <v>74.796899999999994</v>
      </c>
      <c r="AL289">
        <v>2.3628999999999998</v>
      </c>
      <c r="AM289">
        <v>0.05</v>
      </c>
      <c r="AN289">
        <v>1.4500000000000001E-2</v>
      </c>
      <c r="AO289">
        <v>91.019300000000001</v>
      </c>
      <c r="AP289">
        <v>83.371399999999994</v>
      </c>
      <c r="AQ289">
        <v>81.760199999999998</v>
      </c>
      <c r="AR289">
        <v>79.581500000000005</v>
      </c>
      <c r="AS289">
        <v>73.495400000000004</v>
      </c>
      <c r="AT289">
        <v>72.246099999999998</v>
      </c>
      <c r="AU289">
        <v>67.668000000000006</v>
      </c>
      <c r="AV289">
        <v>5577.8116</v>
      </c>
      <c r="AW289">
        <v>14263.689899999999</v>
      </c>
      <c r="AX289">
        <f t="shared" si="81"/>
        <v>627780.65172375005</v>
      </c>
      <c r="AY289">
        <f t="shared" si="82"/>
        <v>821850.99013416003</v>
      </c>
      <c r="AZ289">
        <f t="shared" si="83"/>
        <v>193292.96731085997</v>
      </c>
      <c r="BA289">
        <f t="shared" si="75"/>
        <v>14263.689899999999</v>
      </c>
      <c r="BB289">
        <f t="shared" si="76"/>
        <v>0</v>
      </c>
      <c r="BC289">
        <f t="shared" si="77"/>
        <v>0</v>
      </c>
      <c r="BD289">
        <f t="shared" si="78"/>
        <v>0</v>
      </c>
      <c r="BE289">
        <f t="shared" si="79"/>
        <v>0</v>
      </c>
      <c r="BF289">
        <f t="shared" si="80"/>
        <v>0</v>
      </c>
      <c r="BG289">
        <f t="shared" si="84"/>
        <v>5382.6243267999998</v>
      </c>
      <c r="BH289">
        <f t="shared" si="85"/>
        <v>5278.6020324000001</v>
      </c>
      <c r="BI289">
        <f t="shared" si="86"/>
        <v>5137.9408030000004</v>
      </c>
      <c r="BJ289">
        <f t="shared" si="87"/>
        <v>4745.0100148000001</v>
      </c>
      <c r="BK289">
        <f t="shared" si="88"/>
        <v>4664.3527082000001</v>
      </c>
      <c r="BL289">
        <f t="shared" si="89"/>
        <v>4368.7814159999998</v>
      </c>
    </row>
    <row r="290" spans="1:64">
      <c r="A290" t="str">
        <f t="shared" si="74"/>
        <v>.0</v>
      </c>
      <c r="B290" t="s">
        <v>605</v>
      </c>
      <c r="C290" t="s">
        <v>685</v>
      </c>
      <c r="D290">
        <v>555</v>
      </c>
      <c r="E290">
        <v>1</v>
      </c>
      <c r="F290">
        <v>6</v>
      </c>
      <c r="G290">
        <v>2</v>
      </c>
      <c r="H290">
        <v>200</v>
      </c>
      <c r="I290" t="s">
        <v>607</v>
      </c>
      <c r="J290">
        <v>0.58389999999999997</v>
      </c>
      <c r="K290">
        <v>41.639400000000002</v>
      </c>
      <c r="L290">
        <v>7.9000000000000008E-3</v>
      </c>
      <c r="M290">
        <v>0.80589999999999995</v>
      </c>
      <c r="N290">
        <v>28.3565</v>
      </c>
      <c r="O290">
        <v>81.534800000000004</v>
      </c>
      <c r="P290">
        <v>2957.3715000000002</v>
      </c>
      <c r="Q290">
        <v>246.7441</v>
      </c>
      <c r="R290">
        <v>1.1196999999999999</v>
      </c>
      <c r="S290">
        <v>0.34589999999999999</v>
      </c>
      <c r="T290">
        <v>0.5171</v>
      </c>
      <c r="U290">
        <v>1.8E-3</v>
      </c>
      <c r="V290">
        <v>0.59850000000000003</v>
      </c>
      <c r="W290">
        <v>13.565799999999999</v>
      </c>
      <c r="X290">
        <v>141.66409999999999</v>
      </c>
      <c r="Y290">
        <v>118.57170000000001</v>
      </c>
      <c r="Z290">
        <v>117.35939999999999</v>
      </c>
      <c r="AA290">
        <v>489.8159</v>
      </c>
      <c r="AB290">
        <v>29.081299999999999</v>
      </c>
      <c r="AC290">
        <v>44.372700000000002</v>
      </c>
      <c r="AD290">
        <v>64.148399999999995</v>
      </c>
      <c r="AE290">
        <v>2.9723999999999999</v>
      </c>
      <c r="AF290">
        <v>8165.6127999999999</v>
      </c>
      <c r="AG290">
        <v>57.271999999999998</v>
      </c>
      <c r="AH290">
        <v>0.77149999999999996</v>
      </c>
      <c r="AI290">
        <v>86.571399999999997</v>
      </c>
      <c r="AJ290">
        <v>90</v>
      </c>
      <c r="AK290">
        <v>76.269800000000004</v>
      </c>
      <c r="AL290">
        <v>2.2555999999999998</v>
      </c>
      <c r="AM290">
        <v>0.05</v>
      </c>
      <c r="AN290">
        <v>1.6199999999999999E-2</v>
      </c>
      <c r="AO290">
        <v>90.741699999999994</v>
      </c>
      <c r="AP290">
        <v>83.279600000000002</v>
      </c>
      <c r="AQ290">
        <v>81.736699999999999</v>
      </c>
      <c r="AR290">
        <v>79.579599999999999</v>
      </c>
      <c r="AS290">
        <v>73.553799999999995</v>
      </c>
      <c r="AT290">
        <v>72.311300000000003</v>
      </c>
      <c r="AU290">
        <v>67.722099999999998</v>
      </c>
      <c r="AV290">
        <v>9491.2950000000001</v>
      </c>
      <c r="AW290">
        <v>24262.639500000001</v>
      </c>
      <c r="AX290">
        <f t="shared" si="81"/>
        <v>1076598.8237416502</v>
      </c>
      <c r="AY290">
        <f t="shared" si="82"/>
        <v>1389569.8894440001</v>
      </c>
      <c r="AZ290">
        <f t="shared" si="83"/>
        <v>329142.11492909997</v>
      </c>
      <c r="BA290">
        <f t="shared" si="75"/>
        <v>24262.639500000001</v>
      </c>
      <c r="BB290">
        <f t="shared" si="76"/>
        <v>0</v>
      </c>
      <c r="BC290">
        <f t="shared" si="77"/>
        <v>0</v>
      </c>
      <c r="BD290">
        <f t="shared" si="78"/>
        <v>0</v>
      </c>
      <c r="BE290">
        <f t="shared" si="79"/>
        <v>0</v>
      </c>
      <c r="BF290">
        <f t="shared" si="80"/>
        <v>0</v>
      </c>
      <c r="BG290">
        <f t="shared" si="84"/>
        <v>11797.72958236</v>
      </c>
      <c r="BH290">
        <f t="shared" si="85"/>
        <v>11579.156042469998</v>
      </c>
      <c r="BI290">
        <f t="shared" si="86"/>
        <v>11273.572412359999</v>
      </c>
      <c r="BJ290">
        <f t="shared" si="87"/>
        <v>10419.932878579999</v>
      </c>
      <c r="BK290">
        <f t="shared" si="88"/>
        <v>10243.915234329999</v>
      </c>
      <c r="BL290">
        <f t="shared" si="89"/>
        <v>9593.7903466099997</v>
      </c>
    </row>
    <row r="291" spans="1:64">
      <c r="A291" t="str">
        <f t="shared" si="74"/>
        <v>.0</v>
      </c>
      <c r="B291" t="s">
        <v>605</v>
      </c>
      <c r="C291" t="s">
        <v>685</v>
      </c>
      <c r="D291">
        <v>555</v>
      </c>
      <c r="E291">
        <v>1</v>
      </c>
      <c r="F291">
        <v>6</v>
      </c>
      <c r="G291">
        <v>4</v>
      </c>
      <c r="H291">
        <v>200</v>
      </c>
      <c r="I291" t="s">
        <v>607</v>
      </c>
      <c r="J291">
        <v>0.50380000000000003</v>
      </c>
      <c r="K291">
        <v>45.139099999999999</v>
      </c>
      <c r="L291">
        <v>8.0000000000000002E-3</v>
      </c>
      <c r="M291">
        <v>0.63680000000000003</v>
      </c>
      <c r="N291">
        <v>17.881</v>
      </c>
      <c r="O291">
        <v>83.920100000000005</v>
      </c>
      <c r="P291">
        <v>4500</v>
      </c>
      <c r="Q291">
        <v>252.6643</v>
      </c>
      <c r="R291">
        <v>1.7231000000000001</v>
      </c>
      <c r="S291">
        <v>4.02E-2</v>
      </c>
      <c r="T291">
        <v>5.7200000000000001E-2</v>
      </c>
      <c r="U291">
        <v>2.9999999999999997E-4</v>
      </c>
      <c r="V291">
        <v>0.51959999999999995</v>
      </c>
      <c r="W291">
        <v>13.5284</v>
      </c>
      <c r="X291">
        <v>0.49819999999999998</v>
      </c>
      <c r="Y291">
        <v>0.41810000000000003</v>
      </c>
      <c r="Z291">
        <v>0.41649999999999998</v>
      </c>
      <c r="AA291">
        <v>2.3382999999999998</v>
      </c>
      <c r="AB291">
        <v>28.416</v>
      </c>
      <c r="AC291">
        <v>45.913899999999998</v>
      </c>
      <c r="AD291">
        <v>62.7515</v>
      </c>
      <c r="AE291">
        <v>1.1900000000000001E-2</v>
      </c>
      <c r="AF291">
        <v>8339.9739000000009</v>
      </c>
      <c r="AG291">
        <v>56.3842</v>
      </c>
      <c r="AH291">
        <v>3.3999999999999998E-3</v>
      </c>
      <c r="AI291">
        <v>86.800799999999995</v>
      </c>
      <c r="AJ291">
        <v>90</v>
      </c>
      <c r="AK291">
        <v>76.730599999999995</v>
      </c>
      <c r="AL291">
        <v>2.5316999999999998</v>
      </c>
      <c r="AM291">
        <v>0.05</v>
      </c>
      <c r="AN291">
        <v>1.2500000000000001E-2</v>
      </c>
      <c r="AO291">
        <v>89.855000000000004</v>
      </c>
      <c r="AP291">
        <v>83.988399999999999</v>
      </c>
      <c r="AQ291">
        <v>82.113600000000005</v>
      </c>
      <c r="AR291">
        <v>79.933999999999997</v>
      </c>
      <c r="AS291">
        <v>73.833200000000005</v>
      </c>
      <c r="AT291">
        <v>72.610299999999995</v>
      </c>
      <c r="AU291">
        <v>68.333600000000004</v>
      </c>
      <c r="AV291">
        <v>38.770800000000001</v>
      </c>
      <c r="AW291">
        <v>98.9011</v>
      </c>
      <c r="AX291">
        <f t="shared" si="81"/>
        <v>4540.9352152900001</v>
      </c>
      <c r="AY291">
        <f t="shared" si="82"/>
        <v>5576.4594026200002</v>
      </c>
      <c r="AZ291">
        <f t="shared" si="83"/>
        <v>1337.97364124</v>
      </c>
      <c r="BA291">
        <f t="shared" si="75"/>
        <v>98.9011</v>
      </c>
      <c r="BB291">
        <f t="shared" si="76"/>
        <v>0</v>
      </c>
      <c r="BC291">
        <f t="shared" si="77"/>
        <v>0</v>
      </c>
      <c r="BD291">
        <f t="shared" si="78"/>
        <v>0</v>
      </c>
      <c r="BE291">
        <f t="shared" si="79"/>
        <v>0</v>
      </c>
      <c r="BF291">
        <f t="shared" si="80"/>
        <v>0</v>
      </c>
      <c r="BG291">
        <f t="shared" si="84"/>
        <v>41.843020879999997</v>
      </c>
      <c r="BH291">
        <f t="shared" si="85"/>
        <v>40.908995519999998</v>
      </c>
      <c r="BI291">
        <f t="shared" si="86"/>
        <v>39.823118799999996</v>
      </c>
      <c r="BJ291">
        <f t="shared" si="87"/>
        <v>36.783700240000002</v>
      </c>
      <c r="BK291">
        <f t="shared" si="88"/>
        <v>36.174451459999993</v>
      </c>
      <c r="BL291">
        <f t="shared" si="89"/>
        <v>34.04379952</v>
      </c>
    </row>
    <row r="292" spans="1:64">
      <c r="A292" t="str">
        <f t="shared" si="74"/>
        <v>.0</v>
      </c>
      <c r="B292" t="s">
        <v>605</v>
      </c>
      <c r="C292" t="s">
        <v>686</v>
      </c>
      <c r="D292">
        <v>2</v>
      </c>
      <c r="E292">
        <v>8</v>
      </c>
      <c r="F292">
        <v>16</v>
      </c>
      <c r="G292">
        <v>2</v>
      </c>
      <c r="H292">
        <v>200</v>
      </c>
      <c r="I292" t="s">
        <v>609</v>
      </c>
      <c r="J292">
        <v>0.27860000000000001</v>
      </c>
      <c r="K292">
        <v>29.459499999999998</v>
      </c>
      <c r="L292">
        <v>1.47E-2</v>
      </c>
      <c r="M292">
        <v>0.3856</v>
      </c>
      <c r="N292">
        <v>17.881</v>
      </c>
      <c r="O292">
        <v>85.636200000000002</v>
      </c>
      <c r="P292">
        <v>600.54269999999997</v>
      </c>
      <c r="Q292">
        <v>214.0548</v>
      </c>
      <c r="R292">
        <v>2.6473</v>
      </c>
      <c r="S292">
        <v>0.19350000000000001</v>
      </c>
      <c r="T292">
        <v>0.27350000000000002</v>
      </c>
      <c r="U292">
        <v>1.6999999999999999E-3</v>
      </c>
      <c r="V292">
        <v>0.28839999999999999</v>
      </c>
      <c r="W292">
        <v>14.453900000000001</v>
      </c>
      <c r="X292">
        <v>3.0969000000000002</v>
      </c>
      <c r="Y292">
        <v>2.6520999999999999</v>
      </c>
      <c r="Z292">
        <v>2.6522000000000001</v>
      </c>
      <c r="AA292">
        <v>14.8317</v>
      </c>
      <c r="AB292">
        <v>47.771299999999997</v>
      </c>
      <c r="AC292">
        <v>31.251899999999999</v>
      </c>
      <c r="AD292">
        <v>99.326700000000002</v>
      </c>
      <c r="AE292">
        <v>0.14990000000000001</v>
      </c>
      <c r="AF292">
        <v>7417.9327999999996</v>
      </c>
      <c r="AG292">
        <v>57.8003</v>
      </c>
      <c r="AH292">
        <v>2.4400000000000002E-2</v>
      </c>
      <c r="AI292">
        <v>85.720399999999998</v>
      </c>
      <c r="AJ292">
        <v>31.09</v>
      </c>
      <c r="AK292">
        <v>74.563900000000004</v>
      </c>
      <c r="AL292">
        <v>3.0488</v>
      </c>
      <c r="AM292">
        <v>0.05</v>
      </c>
      <c r="AN292">
        <v>0</v>
      </c>
      <c r="AO292">
        <v>84.483599999999996</v>
      </c>
      <c r="AP292">
        <v>82.621899999999997</v>
      </c>
      <c r="AQ292">
        <v>81.189499999999995</v>
      </c>
      <c r="AR292">
        <v>79.934600000000003</v>
      </c>
      <c r="AS292">
        <v>75.147900000000007</v>
      </c>
      <c r="AT292">
        <v>74.170900000000003</v>
      </c>
      <c r="AU292">
        <v>70.701400000000007</v>
      </c>
      <c r="AV292">
        <v>451.46420000000001</v>
      </c>
      <c r="AW292">
        <v>1111.7681</v>
      </c>
      <c r="AX292">
        <f t="shared" si="81"/>
        <v>34744.86548439</v>
      </c>
      <c r="AY292">
        <f t="shared" si="82"/>
        <v>64260.529710429997</v>
      </c>
      <c r="AZ292">
        <f t="shared" si="83"/>
        <v>16069.384940590002</v>
      </c>
      <c r="BA292">
        <f t="shared" si="75"/>
        <v>0</v>
      </c>
      <c r="BB292">
        <f t="shared" si="76"/>
        <v>0</v>
      </c>
      <c r="BC292">
        <f t="shared" si="77"/>
        <v>0</v>
      </c>
      <c r="BD292">
        <f t="shared" si="78"/>
        <v>0</v>
      </c>
      <c r="BE292">
        <f t="shared" si="79"/>
        <v>0</v>
      </c>
      <c r="BF292">
        <f t="shared" si="80"/>
        <v>1111.7681</v>
      </c>
      <c r="BG292">
        <f t="shared" si="84"/>
        <v>255.87176211000002</v>
      </c>
      <c r="BH292">
        <f t="shared" si="85"/>
        <v>251.43576254999999</v>
      </c>
      <c r="BI292">
        <f t="shared" si="86"/>
        <v>247.54946274000002</v>
      </c>
      <c r="BJ292">
        <f t="shared" si="87"/>
        <v>232.72553151000002</v>
      </c>
      <c r="BK292">
        <f t="shared" si="88"/>
        <v>229.69986021000003</v>
      </c>
      <c r="BL292">
        <f t="shared" si="89"/>
        <v>218.95516566000003</v>
      </c>
    </row>
    <row r="293" spans="1:64">
      <c r="A293" t="str">
        <f t="shared" si="74"/>
        <v>.0</v>
      </c>
      <c r="B293" t="s">
        <v>605</v>
      </c>
      <c r="C293" t="s">
        <v>686</v>
      </c>
      <c r="D293">
        <v>7</v>
      </c>
      <c r="E293">
        <v>8</v>
      </c>
      <c r="F293">
        <v>16</v>
      </c>
      <c r="G293">
        <v>2</v>
      </c>
      <c r="H293">
        <v>100</v>
      </c>
      <c r="I293" t="s">
        <v>609</v>
      </c>
      <c r="J293">
        <v>0.3206</v>
      </c>
      <c r="K293">
        <v>16.9237</v>
      </c>
      <c r="L293">
        <v>1.6500000000000001E-2</v>
      </c>
      <c r="M293">
        <v>0.53080000000000005</v>
      </c>
      <c r="N293">
        <v>17.881</v>
      </c>
      <c r="O293">
        <v>84.232600000000005</v>
      </c>
      <c r="P293">
        <v>4500</v>
      </c>
      <c r="Q293">
        <v>210.8365</v>
      </c>
      <c r="R293">
        <v>2.9807000000000001</v>
      </c>
      <c r="S293">
        <v>0.22009999999999999</v>
      </c>
      <c r="T293">
        <v>0.30969999999999998</v>
      </c>
      <c r="U293">
        <v>2.0999999999999999E-3</v>
      </c>
      <c r="V293">
        <v>0.32600000000000001</v>
      </c>
      <c r="W293">
        <v>14.5106</v>
      </c>
      <c r="X293">
        <v>26.1373</v>
      </c>
      <c r="Y293">
        <v>22.3201</v>
      </c>
      <c r="Z293">
        <v>21.916399999999999</v>
      </c>
      <c r="AA293">
        <v>124.8259</v>
      </c>
      <c r="AB293">
        <v>28.758299999999998</v>
      </c>
      <c r="AC293">
        <v>30.5016</v>
      </c>
      <c r="AD293">
        <v>100.1904</v>
      </c>
      <c r="AE293">
        <v>1.1134999999999999</v>
      </c>
      <c r="AF293">
        <v>7323.7846</v>
      </c>
      <c r="AG293">
        <v>57.939900000000002</v>
      </c>
      <c r="AH293">
        <v>9.9099999999999994E-2</v>
      </c>
      <c r="AI293">
        <v>84.291200000000003</v>
      </c>
      <c r="AJ293">
        <v>31.09</v>
      </c>
      <c r="AK293">
        <v>71.746099999999998</v>
      </c>
      <c r="AL293">
        <v>2.6495000000000002</v>
      </c>
      <c r="AM293">
        <v>0.05</v>
      </c>
      <c r="AN293">
        <v>1.03E-2</v>
      </c>
      <c r="AO293">
        <v>85.022000000000006</v>
      </c>
      <c r="AP293">
        <v>82.278599999999997</v>
      </c>
      <c r="AQ293">
        <v>80.7744</v>
      </c>
      <c r="AR293">
        <v>79.517799999999994</v>
      </c>
      <c r="AS293">
        <v>74.679299999999998</v>
      </c>
      <c r="AT293">
        <v>73.658000000000001</v>
      </c>
      <c r="AU293">
        <v>70.163200000000003</v>
      </c>
      <c r="AV293">
        <v>3189.4794999999999</v>
      </c>
      <c r="AW293">
        <v>8153.7740000000003</v>
      </c>
      <c r="AX293">
        <f t="shared" si="81"/>
        <v>248703.15303840002</v>
      </c>
      <c r="AY293">
        <f t="shared" si="82"/>
        <v>472428.85018260003</v>
      </c>
      <c r="AZ293">
        <f t="shared" si="83"/>
        <v>118316.15300440001</v>
      </c>
      <c r="BA293">
        <f t="shared" si="75"/>
        <v>0</v>
      </c>
      <c r="BB293">
        <f t="shared" si="76"/>
        <v>0</v>
      </c>
      <c r="BC293">
        <f t="shared" si="77"/>
        <v>0</v>
      </c>
      <c r="BD293">
        <f t="shared" si="78"/>
        <v>0</v>
      </c>
      <c r="BE293">
        <f t="shared" si="79"/>
        <v>0</v>
      </c>
      <c r="BF293">
        <f t="shared" si="80"/>
        <v>8153.7740000000003</v>
      </c>
      <c r="BG293">
        <f t="shared" si="84"/>
        <v>2150.5404517799998</v>
      </c>
      <c r="BH293">
        <f t="shared" si="85"/>
        <v>2111.2247251200001</v>
      </c>
      <c r="BI293">
        <f t="shared" si="86"/>
        <v>2078.3805939399999</v>
      </c>
      <c r="BJ293">
        <f t="shared" si="87"/>
        <v>1951.91526789</v>
      </c>
      <c r="BK293">
        <f t="shared" si="88"/>
        <v>1925.2212434</v>
      </c>
      <c r="BL293">
        <f t="shared" si="89"/>
        <v>1833.87660736</v>
      </c>
    </row>
    <row r="294" spans="1:64">
      <c r="A294" t="str">
        <f t="shared" si="74"/>
        <v>.0</v>
      </c>
      <c r="B294" t="s">
        <v>605</v>
      </c>
      <c r="C294" t="s">
        <v>686</v>
      </c>
      <c r="D294">
        <v>7</v>
      </c>
      <c r="E294">
        <v>8</v>
      </c>
      <c r="F294">
        <v>16</v>
      </c>
      <c r="G294">
        <v>2</v>
      </c>
      <c r="H294">
        <v>100</v>
      </c>
      <c r="I294" t="s">
        <v>617</v>
      </c>
      <c r="J294">
        <v>0.43530000000000002</v>
      </c>
      <c r="K294">
        <v>42.442</v>
      </c>
      <c r="L294">
        <v>1.61E-2</v>
      </c>
      <c r="M294">
        <v>0.51839999999999997</v>
      </c>
      <c r="N294">
        <v>17.881</v>
      </c>
      <c r="O294">
        <v>85.442999999999998</v>
      </c>
      <c r="P294">
        <v>4500</v>
      </c>
      <c r="Q294">
        <v>207.16309999999999</v>
      </c>
      <c r="R294">
        <v>3.0423</v>
      </c>
      <c r="S294">
        <v>0.29580000000000001</v>
      </c>
      <c r="T294">
        <v>0.42370000000000002</v>
      </c>
      <c r="U294">
        <v>2.7000000000000001E-3</v>
      </c>
      <c r="V294">
        <v>0.45</v>
      </c>
      <c r="W294">
        <v>15.368499999999999</v>
      </c>
      <c r="X294">
        <v>82.796000000000006</v>
      </c>
      <c r="Y294">
        <v>70.740200000000002</v>
      </c>
      <c r="Z294">
        <v>70.628900000000002</v>
      </c>
      <c r="AA294">
        <v>395.61680000000001</v>
      </c>
      <c r="AB294">
        <v>31.720199999999998</v>
      </c>
      <c r="AC294">
        <v>27.917999999999999</v>
      </c>
      <c r="AD294">
        <v>108.7488</v>
      </c>
      <c r="AE294">
        <v>2.7052999999999998</v>
      </c>
      <c r="AF294">
        <v>7034.6545999999998</v>
      </c>
      <c r="AG294">
        <v>56.955800000000004</v>
      </c>
      <c r="AH294">
        <v>0.621</v>
      </c>
      <c r="AI294">
        <v>86.385199999999998</v>
      </c>
      <c r="AJ294">
        <v>31.168900000000001</v>
      </c>
      <c r="AK294">
        <v>75.911600000000007</v>
      </c>
      <c r="AL294">
        <v>2.7425000000000002</v>
      </c>
      <c r="AM294">
        <v>0.05</v>
      </c>
      <c r="AN294">
        <v>8.8999999999999999E-3</v>
      </c>
      <c r="AO294">
        <v>86.304000000000002</v>
      </c>
      <c r="AP294">
        <v>82.090999999999994</v>
      </c>
      <c r="AQ294">
        <v>80.725700000000003</v>
      </c>
      <c r="AR294">
        <v>78.966899999999995</v>
      </c>
      <c r="AS294">
        <v>73.941699999999997</v>
      </c>
      <c r="AT294">
        <v>72.973100000000002</v>
      </c>
      <c r="AU294">
        <v>69.296800000000005</v>
      </c>
      <c r="AV294">
        <v>7487.6148000000003</v>
      </c>
      <c r="AW294">
        <v>19022.130399999998</v>
      </c>
      <c r="AX294">
        <f t="shared" si="81"/>
        <v>531059.83650719991</v>
      </c>
      <c r="AY294">
        <f t="shared" si="82"/>
        <v>1083420.65463632</v>
      </c>
      <c r="AZ294">
        <f t="shared" si="83"/>
        <v>292341.61105239997</v>
      </c>
      <c r="BA294">
        <f t="shared" si="75"/>
        <v>0</v>
      </c>
      <c r="BB294">
        <f t="shared" si="76"/>
        <v>0</v>
      </c>
      <c r="BC294">
        <f t="shared" si="77"/>
        <v>0</v>
      </c>
      <c r="BD294">
        <f t="shared" si="78"/>
        <v>0</v>
      </c>
      <c r="BE294">
        <f t="shared" si="79"/>
        <v>0</v>
      </c>
      <c r="BF294">
        <f t="shared" si="80"/>
        <v>19022.130399999998</v>
      </c>
      <c r="BG294">
        <f t="shared" si="84"/>
        <v>6796.8064359999998</v>
      </c>
      <c r="BH294">
        <f t="shared" si="85"/>
        <v>6683.7650572000011</v>
      </c>
      <c r="BI294">
        <f t="shared" si="86"/>
        <v>6538.1434524000006</v>
      </c>
      <c r="BJ294">
        <f t="shared" si="87"/>
        <v>6122.0769932000003</v>
      </c>
      <c r="BK294">
        <f t="shared" si="88"/>
        <v>6041.880787600001</v>
      </c>
      <c r="BL294">
        <f t="shared" si="89"/>
        <v>5737.4978528000011</v>
      </c>
    </row>
    <row r="295" spans="1:64">
      <c r="A295" t="str">
        <f t="shared" si="74"/>
        <v>.0</v>
      </c>
      <c r="B295" t="s">
        <v>605</v>
      </c>
      <c r="C295" t="s">
        <v>686</v>
      </c>
      <c r="D295">
        <v>7</v>
      </c>
      <c r="E295">
        <v>8</v>
      </c>
      <c r="F295">
        <v>16</v>
      </c>
      <c r="G295">
        <v>2</v>
      </c>
      <c r="H295">
        <v>100</v>
      </c>
      <c r="I295" t="s">
        <v>607</v>
      </c>
      <c r="J295">
        <v>0.53539999999999999</v>
      </c>
      <c r="K295">
        <v>70.080200000000005</v>
      </c>
      <c r="L295">
        <v>1.5100000000000001E-2</v>
      </c>
      <c r="M295">
        <v>0.40620000000000001</v>
      </c>
      <c r="N295">
        <v>17.881</v>
      </c>
      <c r="O295">
        <v>85.444100000000006</v>
      </c>
      <c r="P295">
        <v>4500</v>
      </c>
      <c r="Q295">
        <v>206.15870000000001</v>
      </c>
      <c r="R295">
        <v>3.0186000000000002</v>
      </c>
      <c r="S295">
        <v>0.36890000000000001</v>
      </c>
      <c r="T295">
        <v>0.52710000000000001</v>
      </c>
      <c r="U295">
        <v>2.8999999999999998E-3</v>
      </c>
      <c r="V295">
        <v>0.56040000000000001</v>
      </c>
      <c r="W295">
        <v>15.6454</v>
      </c>
      <c r="X295">
        <v>22.932099999999998</v>
      </c>
      <c r="Y295">
        <v>19.594200000000001</v>
      </c>
      <c r="Z295">
        <v>19.813700000000001</v>
      </c>
      <c r="AA295">
        <v>109.5809</v>
      </c>
      <c r="AB295">
        <v>29.4575</v>
      </c>
      <c r="AC295">
        <v>27.131499999999999</v>
      </c>
      <c r="AD295">
        <v>110.43689999999999</v>
      </c>
      <c r="AE295">
        <v>0.61660000000000004</v>
      </c>
      <c r="AF295">
        <v>6947.5816999999997</v>
      </c>
      <c r="AG295">
        <v>56.582999999999998</v>
      </c>
      <c r="AH295">
        <v>0.23780000000000001</v>
      </c>
      <c r="AI295">
        <v>87.790700000000001</v>
      </c>
      <c r="AJ295">
        <v>31.09</v>
      </c>
      <c r="AK295">
        <v>78.752600000000001</v>
      </c>
      <c r="AL295">
        <v>2.7803</v>
      </c>
      <c r="AM295">
        <v>0.05</v>
      </c>
      <c r="AN295">
        <v>7.1999999999999998E-3</v>
      </c>
      <c r="AO295">
        <v>86.6798</v>
      </c>
      <c r="AP295">
        <v>82.165000000000006</v>
      </c>
      <c r="AQ295">
        <v>80.873999999999995</v>
      </c>
      <c r="AR295">
        <v>78.885000000000005</v>
      </c>
      <c r="AS295">
        <v>73.782700000000006</v>
      </c>
      <c r="AT295">
        <v>72.855900000000005</v>
      </c>
      <c r="AU295">
        <v>69.072400000000002</v>
      </c>
      <c r="AV295">
        <v>1689.4770000000001</v>
      </c>
      <c r="AW295">
        <v>4283.3802999999998</v>
      </c>
      <c r="AX295">
        <f t="shared" si="81"/>
        <v>116214.53260944999</v>
      </c>
      <c r="AY295">
        <f t="shared" si="82"/>
        <v>242366.50751489997</v>
      </c>
      <c r="AZ295">
        <f t="shared" si="83"/>
        <v>67015.198145620001</v>
      </c>
      <c r="BA295">
        <f t="shared" si="75"/>
        <v>0</v>
      </c>
      <c r="BB295">
        <f t="shared" si="76"/>
        <v>0</v>
      </c>
      <c r="BC295">
        <f t="shared" si="77"/>
        <v>0</v>
      </c>
      <c r="BD295">
        <f t="shared" si="78"/>
        <v>0</v>
      </c>
      <c r="BE295">
        <f t="shared" si="79"/>
        <v>0</v>
      </c>
      <c r="BF295">
        <f t="shared" si="80"/>
        <v>4283.3802999999998</v>
      </c>
      <c r="BG295">
        <f t="shared" si="84"/>
        <v>1884.2159965000001</v>
      </c>
      <c r="BH295">
        <f t="shared" si="85"/>
        <v>1854.6106553999998</v>
      </c>
      <c r="BI295">
        <f t="shared" si="86"/>
        <v>1808.9987085</v>
      </c>
      <c r="BJ295">
        <f t="shared" si="87"/>
        <v>1691.99225467</v>
      </c>
      <c r="BK295">
        <f t="shared" si="88"/>
        <v>1670.7387843900001</v>
      </c>
      <c r="BL295">
        <f t="shared" si="89"/>
        <v>1583.9751840399999</v>
      </c>
    </row>
    <row r="296" spans="1:64">
      <c r="A296" t="str">
        <f t="shared" si="74"/>
        <v>.0</v>
      </c>
      <c r="B296" t="s">
        <v>605</v>
      </c>
      <c r="C296" t="s">
        <v>686</v>
      </c>
      <c r="D296">
        <v>7</v>
      </c>
      <c r="E296">
        <v>8</v>
      </c>
      <c r="F296">
        <v>16</v>
      </c>
      <c r="G296">
        <v>2</v>
      </c>
      <c r="H296">
        <v>200</v>
      </c>
      <c r="I296" t="s">
        <v>609</v>
      </c>
      <c r="J296">
        <v>0.31359999999999999</v>
      </c>
      <c r="K296">
        <v>36.316699999999997</v>
      </c>
      <c r="L296">
        <v>1.55E-2</v>
      </c>
      <c r="M296">
        <v>0.72799999999999998</v>
      </c>
      <c r="N296">
        <v>17.881</v>
      </c>
      <c r="O296">
        <v>85.514600000000002</v>
      </c>
      <c r="P296">
        <v>4500</v>
      </c>
      <c r="Q296">
        <v>212.0925</v>
      </c>
      <c r="R296">
        <v>2.5167999999999999</v>
      </c>
      <c r="S296">
        <v>0.21099999999999999</v>
      </c>
      <c r="T296">
        <v>0.31090000000000001</v>
      </c>
      <c r="U296">
        <v>1.9E-3</v>
      </c>
      <c r="V296">
        <v>0.32600000000000001</v>
      </c>
      <c r="W296">
        <v>14.8386</v>
      </c>
      <c r="X296">
        <v>21.710999999999999</v>
      </c>
      <c r="Y296">
        <v>18.568100000000001</v>
      </c>
      <c r="Z296">
        <v>18.642600000000002</v>
      </c>
      <c r="AA296">
        <v>103.8425</v>
      </c>
      <c r="AB296">
        <v>44.253</v>
      </c>
      <c r="AC296">
        <v>29.972300000000001</v>
      </c>
      <c r="AD296">
        <v>102.2869</v>
      </c>
      <c r="AE296">
        <v>0.95169999999999999</v>
      </c>
      <c r="AF296">
        <v>7274.9825000000001</v>
      </c>
      <c r="AG296">
        <v>57.457500000000003</v>
      </c>
      <c r="AH296">
        <v>0.19020000000000001</v>
      </c>
      <c r="AI296">
        <v>86.233099999999993</v>
      </c>
      <c r="AJ296">
        <v>31.09</v>
      </c>
      <c r="AK296">
        <v>75.589200000000005</v>
      </c>
      <c r="AL296">
        <v>2.8294000000000001</v>
      </c>
      <c r="AM296">
        <v>0.05</v>
      </c>
      <c r="AN296">
        <v>8.0999999999999996E-3</v>
      </c>
      <c r="AO296">
        <v>85.100499999999997</v>
      </c>
      <c r="AP296">
        <v>82.446200000000005</v>
      </c>
      <c r="AQ296">
        <v>81.060699999999997</v>
      </c>
      <c r="AR296">
        <v>79.527799999999999</v>
      </c>
      <c r="AS296">
        <v>74.5869</v>
      </c>
      <c r="AT296">
        <v>73.617000000000004</v>
      </c>
      <c r="AU296">
        <v>70.104200000000006</v>
      </c>
      <c r="AV296">
        <v>2706.8959</v>
      </c>
      <c r="AW296">
        <v>6923.3023000000003</v>
      </c>
      <c r="AX296">
        <f t="shared" si="81"/>
        <v>207507.29352629001</v>
      </c>
      <c r="AY296">
        <f t="shared" si="82"/>
        <v>397795.64190225006</v>
      </c>
      <c r="AZ296">
        <f t="shared" si="83"/>
        <v>102732.11350878001</v>
      </c>
      <c r="BA296">
        <f t="shared" si="75"/>
        <v>0</v>
      </c>
      <c r="BB296">
        <f t="shared" si="76"/>
        <v>0</v>
      </c>
      <c r="BC296">
        <f t="shared" si="77"/>
        <v>0</v>
      </c>
      <c r="BD296">
        <f t="shared" si="78"/>
        <v>0</v>
      </c>
      <c r="BE296">
        <f t="shared" si="79"/>
        <v>0</v>
      </c>
      <c r="BF296">
        <f t="shared" si="80"/>
        <v>6923.3023000000003</v>
      </c>
      <c r="BG296">
        <f t="shared" si="84"/>
        <v>1789.9894482</v>
      </c>
      <c r="BH296">
        <f t="shared" si="85"/>
        <v>1759.9088576999998</v>
      </c>
      <c r="BI296">
        <f t="shared" si="86"/>
        <v>1726.6280657999998</v>
      </c>
      <c r="BJ296">
        <f t="shared" si="87"/>
        <v>1619.3561858999999</v>
      </c>
      <c r="BK296">
        <f t="shared" si="88"/>
        <v>1598.298687</v>
      </c>
      <c r="BL296">
        <f t="shared" si="89"/>
        <v>1522.0322862</v>
      </c>
    </row>
    <row r="297" spans="1:64">
      <c r="A297" t="str">
        <f t="shared" si="74"/>
        <v>.0</v>
      </c>
      <c r="B297" t="s">
        <v>605</v>
      </c>
      <c r="C297" t="s">
        <v>686</v>
      </c>
      <c r="D297">
        <v>7</v>
      </c>
      <c r="E297">
        <v>8</v>
      </c>
      <c r="F297">
        <v>16</v>
      </c>
      <c r="G297">
        <v>2</v>
      </c>
      <c r="H297">
        <v>200</v>
      </c>
      <c r="I297" t="s">
        <v>617</v>
      </c>
      <c r="J297">
        <v>0.38540000000000002</v>
      </c>
      <c r="K297">
        <v>38.854300000000002</v>
      </c>
      <c r="L297">
        <v>1.5599999999999999E-2</v>
      </c>
      <c r="M297">
        <v>0.75090000000000001</v>
      </c>
      <c r="N297">
        <v>17.881</v>
      </c>
      <c r="O297">
        <v>85.3446</v>
      </c>
      <c r="P297">
        <v>4500</v>
      </c>
      <c r="Q297">
        <v>209.7757</v>
      </c>
      <c r="R297">
        <v>2.7126000000000001</v>
      </c>
      <c r="S297">
        <v>0.25969999999999999</v>
      </c>
      <c r="T297">
        <v>0.37830000000000003</v>
      </c>
      <c r="U297">
        <v>2.3999999999999998E-3</v>
      </c>
      <c r="V297">
        <v>0.3987</v>
      </c>
      <c r="W297">
        <v>15.0039</v>
      </c>
      <c r="X297">
        <v>8.6384000000000007</v>
      </c>
      <c r="Y297">
        <v>7.3769999999999998</v>
      </c>
      <c r="Z297">
        <v>7.3707000000000003</v>
      </c>
      <c r="AA297">
        <v>41.256</v>
      </c>
      <c r="AB297">
        <v>23.826899999999998</v>
      </c>
      <c r="AC297">
        <v>29.1632</v>
      </c>
      <c r="AD297">
        <v>103.35769999999999</v>
      </c>
      <c r="AE297">
        <v>0.31219999999999998</v>
      </c>
      <c r="AF297">
        <v>7179.0659999999998</v>
      </c>
      <c r="AG297">
        <v>57.365000000000002</v>
      </c>
      <c r="AH297">
        <v>6.6199999999999995E-2</v>
      </c>
      <c r="AI297">
        <v>86.414900000000003</v>
      </c>
      <c r="AJ297">
        <v>31.09</v>
      </c>
      <c r="AK297">
        <v>75.953599999999994</v>
      </c>
      <c r="AL297">
        <v>2.7328000000000001</v>
      </c>
      <c r="AM297">
        <v>0.05</v>
      </c>
      <c r="AN297">
        <v>9.7000000000000003E-3</v>
      </c>
      <c r="AO297">
        <v>85.59</v>
      </c>
      <c r="AP297">
        <v>82.172899999999998</v>
      </c>
      <c r="AQ297">
        <v>80.773899999999998</v>
      </c>
      <c r="AR297">
        <v>79.088999999999999</v>
      </c>
      <c r="AS297">
        <v>74.065200000000004</v>
      </c>
      <c r="AT297">
        <v>73.062399999999997</v>
      </c>
      <c r="AU297">
        <v>69.505700000000004</v>
      </c>
      <c r="AV297">
        <v>878.74369999999999</v>
      </c>
      <c r="AW297">
        <v>2241.1273999999999</v>
      </c>
      <c r="AX297">
        <f t="shared" si="81"/>
        <v>65358.446591679996</v>
      </c>
      <c r="AY297">
        <f t="shared" si="82"/>
        <v>128562.27330099999</v>
      </c>
      <c r="AZ297">
        <f t="shared" si="83"/>
        <v>33625.651396859997</v>
      </c>
      <c r="BA297">
        <f t="shared" si="75"/>
        <v>0</v>
      </c>
      <c r="BB297">
        <f t="shared" si="76"/>
        <v>0</v>
      </c>
      <c r="BC297">
        <f t="shared" si="77"/>
        <v>0</v>
      </c>
      <c r="BD297">
        <f t="shared" si="78"/>
        <v>0</v>
      </c>
      <c r="BE297">
        <f t="shared" si="79"/>
        <v>0</v>
      </c>
      <c r="BF297">
        <f t="shared" si="80"/>
        <v>2241.1273999999999</v>
      </c>
      <c r="BG297">
        <f t="shared" si="84"/>
        <v>709.84237936</v>
      </c>
      <c r="BH297">
        <f t="shared" si="85"/>
        <v>697.75725776000002</v>
      </c>
      <c r="BI297">
        <f t="shared" si="86"/>
        <v>683.2024176000001</v>
      </c>
      <c r="BJ297">
        <f t="shared" si="87"/>
        <v>639.80482368000014</v>
      </c>
      <c r="BK297">
        <f t="shared" si="88"/>
        <v>631.14223616000004</v>
      </c>
      <c r="BL297">
        <f t="shared" si="89"/>
        <v>600.41803888000004</v>
      </c>
    </row>
    <row r="298" spans="1:64">
      <c r="A298" t="str">
        <f t="shared" si="74"/>
        <v>.0</v>
      </c>
      <c r="B298" t="s">
        <v>605</v>
      </c>
      <c r="C298" t="s">
        <v>686</v>
      </c>
      <c r="D298">
        <v>7</v>
      </c>
      <c r="E298">
        <v>8</v>
      </c>
      <c r="F298">
        <v>16</v>
      </c>
      <c r="G298">
        <v>2</v>
      </c>
      <c r="H298">
        <v>200</v>
      </c>
      <c r="I298" t="s">
        <v>607</v>
      </c>
      <c r="J298">
        <v>0.74029999999999996</v>
      </c>
      <c r="K298">
        <v>36.892000000000003</v>
      </c>
      <c r="L298">
        <v>1.8499999999999999E-2</v>
      </c>
      <c r="M298">
        <v>0.439</v>
      </c>
      <c r="N298">
        <v>17.881</v>
      </c>
      <c r="O298">
        <v>85.057699999999997</v>
      </c>
      <c r="P298">
        <v>4500</v>
      </c>
      <c r="Q298">
        <v>216.9838</v>
      </c>
      <c r="R298">
        <v>2.9845000000000002</v>
      </c>
      <c r="S298">
        <v>0.5101</v>
      </c>
      <c r="T298">
        <v>0.72689999999999999</v>
      </c>
      <c r="U298">
        <v>5.1999999999999998E-3</v>
      </c>
      <c r="V298">
        <v>0.75290000000000001</v>
      </c>
      <c r="W298">
        <v>13.9824</v>
      </c>
      <c r="X298">
        <v>0.82469999999999999</v>
      </c>
      <c r="Y298">
        <v>0.7026</v>
      </c>
      <c r="Z298">
        <v>0.68989999999999996</v>
      </c>
      <c r="AA298">
        <v>3.9293</v>
      </c>
      <c r="AB298">
        <v>125.02370000000001</v>
      </c>
      <c r="AC298">
        <v>33.087200000000003</v>
      </c>
      <c r="AD298">
        <v>97.543199999999999</v>
      </c>
      <c r="AE298">
        <v>1.46E-2</v>
      </c>
      <c r="AF298">
        <v>7605.7875000000004</v>
      </c>
      <c r="AG298">
        <v>58.6629</v>
      </c>
      <c r="AH298">
        <v>3.0999999999999999E-3</v>
      </c>
      <c r="AI298">
        <v>86.2761</v>
      </c>
      <c r="AJ298">
        <v>31.09</v>
      </c>
      <c r="AK298">
        <v>75.675399999999996</v>
      </c>
      <c r="AL298">
        <v>2.4998999999999998</v>
      </c>
      <c r="AM298">
        <v>0.05</v>
      </c>
      <c r="AN298">
        <v>1.5100000000000001E-2</v>
      </c>
      <c r="AO298">
        <v>83.899799999999999</v>
      </c>
      <c r="AP298">
        <v>81.981099999999998</v>
      </c>
      <c r="AQ298">
        <v>80.369799999999998</v>
      </c>
      <c r="AR298">
        <v>79.190100000000001</v>
      </c>
      <c r="AS298">
        <v>74.240300000000005</v>
      </c>
      <c r="AT298">
        <v>73.166899999999998</v>
      </c>
      <c r="AU298">
        <v>69.685500000000005</v>
      </c>
      <c r="AV298">
        <v>43.449399999999997</v>
      </c>
      <c r="AW298">
        <v>111.4029</v>
      </c>
      <c r="AX298">
        <f t="shared" si="81"/>
        <v>3686.0100328800004</v>
      </c>
      <c r="AY298">
        <f t="shared" si="82"/>
        <v>6535.2171824100005</v>
      </c>
      <c r="AZ298">
        <f t="shared" si="83"/>
        <v>1557.6799089600001</v>
      </c>
      <c r="BA298">
        <f t="shared" si="75"/>
        <v>0</v>
      </c>
      <c r="BB298">
        <f t="shared" si="76"/>
        <v>0</v>
      </c>
      <c r="BC298">
        <f t="shared" si="77"/>
        <v>0</v>
      </c>
      <c r="BD298">
        <f t="shared" si="78"/>
        <v>0</v>
      </c>
      <c r="BE298">
        <f t="shared" si="79"/>
        <v>0</v>
      </c>
      <c r="BF298">
        <f t="shared" si="80"/>
        <v>111.4029</v>
      </c>
      <c r="BG298">
        <f t="shared" si="84"/>
        <v>67.609813169999995</v>
      </c>
      <c r="BH298">
        <f t="shared" si="85"/>
        <v>66.280974059999991</v>
      </c>
      <c r="BI298">
        <f t="shared" si="86"/>
        <v>65.308075470000006</v>
      </c>
      <c r="BJ298">
        <f t="shared" si="87"/>
        <v>61.225975410000004</v>
      </c>
      <c r="BK298">
        <f t="shared" si="88"/>
        <v>60.340742429999999</v>
      </c>
      <c r="BL298">
        <f t="shared" si="89"/>
        <v>57.469631850000006</v>
      </c>
    </row>
    <row r="299" spans="1:64">
      <c r="A299" t="str">
        <f t="shared" si="74"/>
        <v>28</v>
      </c>
      <c r="B299" t="s">
        <v>605</v>
      </c>
      <c r="C299" t="s">
        <v>687</v>
      </c>
      <c r="D299">
        <v>555</v>
      </c>
      <c r="E299">
        <v>3</v>
      </c>
      <c r="F299">
        <v>2</v>
      </c>
      <c r="G299">
        <v>2</v>
      </c>
      <c r="H299">
        <v>100</v>
      </c>
      <c r="I299" t="s">
        <v>607</v>
      </c>
      <c r="J299">
        <v>0.58799999999999997</v>
      </c>
      <c r="K299">
        <v>77</v>
      </c>
      <c r="L299">
        <v>2.1000000000000001E-2</v>
      </c>
      <c r="M299">
        <v>1.21</v>
      </c>
      <c r="N299">
        <v>22.71</v>
      </c>
      <c r="O299">
        <v>90.52</v>
      </c>
      <c r="P299">
        <v>487</v>
      </c>
      <c r="Q299">
        <v>200.96</v>
      </c>
      <c r="R299">
        <v>1.46</v>
      </c>
      <c r="S299">
        <v>1.69</v>
      </c>
      <c r="T299">
        <v>0</v>
      </c>
      <c r="U299">
        <v>0</v>
      </c>
      <c r="V299">
        <v>0.75929999999999997</v>
      </c>
      <c r="W299">
        <v>13.35</v>
      </c>
      <c r="X299">
        <v>31.8644</v>
      </c>
      <c r="Y299">
        <v>29.5547</v>
      </c>
      <c r="Z299">
        <v>29.762799999999999</v>
      </c>
      <c r="AA299">
        <v>130.13939999999999</v>
      </c>
      <c r="AB299">
        <v>14.76</v>
      </c>
      <c r="AC299">
        <v>29.26</v>
      </c>
      <c r="AD299">
        <v>102.44</v>
      </c>
      <c r="AE299">
        <v>0.41839999999999999</v>
      </c>
      <c r="AF299">
        <v>7629</v>
      </c>
      <c r="AG299">
        <v>28.64</v>
      </c>
      <c r="AH299">
        <v>0.32629999999999998</v>
      </c>
      <c r="AI299">
        <v>87.22</v>
      </c>
      <c r="AJ299">
        <v>62.56</v>
      </c>
      <c r="AK299">
        <v>75.489999999999995</v>
      </c>
      <c r="AL299">
        <v>2.1890000000000001</v>
      </c>
      <c r="AM299">
        <v>0.46</v>
      </c>
      <c r="AN299">
        <v>0.01</v>
      </c>
      <c r="AO299">
        <v>79.34</v>
      </c>
      <c r="AP299">
        <v>93.83</v>
      </c>
      <c r="AQ299">
        <v>93.11</v>
      </c>
      <c r="AR299">
        <v>91.65</v>
      </c>
      <c r="AS299">
        <v>88.34</v>
      </c>
      <c r="AT299">
        <v>87.8</v>
      </c>
      <c r="AU299">
        <v>84.87</v>
      </c>
      <c r="AV299">
        <v>1680.1706999999999</v>
      </c>
      <c r="AW299">
        <v>3192.3242</v>
      </c>
      <c r="AX299">
        <f t="shared" si="81"/>
        <v>93407.406092000005</v>
      </c>
      <c r="AY299">
        <f t="shared" si="82"/>
        <v>91428.165088000009</v>
      </c>
      <c r="AZ299">
        <f t="shared" si="83"/>
        <v>42617.52807</v>
      </c>
      <c r="BA299">
        <f t="shared" si="75"/>
        <v>0</v>
      </c>
      <c r="BB299">
        <f t="shared" si="76"/>
        <v>0</v>
      </c>
      <c r="BC299">
        <f t="shared" si="77"/>
        <v>3192.3242</v>
      </c>
      <c r="BD299">
        <f t="shared" si="78"/>
        <v>0</v>
      </c>
      <c r="BE299">
        <f t="shared" si="79"/>
        <v>0</v>
      </c>
      <c r="BF299">
        <f t="shared" si="80"/>
        <v>0</v>
      </c>
      <c r="BG299">
        <f t="shared" si="84"/>
        <v>2989.836652</v>
      </c>
      <c r="BH299">
        <f t="shared" si="85"/>
        <v>2966.894284</v>
      </c>
      <c r="BI299">
        <f t="shared" si="86"/>
        <v>2920.3722600000001</v>
      </c>
      <c r="BJ299">
        <f t="shared" si="87"/>
        <v>2814.9010960000001</v>
      </c>
      <c r="BK299">
        <f t="shared" si="88"/>
        <v>2797.6943200000001</v>
      </c>
      <c r="BL299">
        <f t="shared" si="89"/>
        <v>2704.3316279999999</v>
      </c>
    </row>
    <row r="300" spans="1:64">
      <c r="A300" t="str">
        <f t="shared" si="74"/>
        <v>28</v>
      </c>
      <c r="B300" t="s">
        <v>605</v>
      </c>
      <c r="C300" t="s">
        <v>687</v>
      </c>
      <c r="D300">
        <v>555</v>
      </c>
      <c r="E300">
        <v>5</v>
      </c>
      <c r="F300">
        <v>2</v>
      </c>
      <c r="G300">
        <v>2</v>
      </c>
      <c r="H300">
        <v>100</v>
      </c>
      <c r="I300" t="s">
        <v>607</v>
      </c>
      <c r="J300">
        <v>0.504</v>
      </c>
      <c r="K300">
        <v>28</v>
      </c>
      <c r="L300">
        <v>2.3E-2</v>
      </c>
      <c r="M300">
        <v>1.5660000000000001</v>
      </c>
      <c r="N300">
        <v>17.88</v>
      </c>
      <c r="O300">
        <v>88.61</v>
      </c>
      <c r="P300">
        <v>492</v>
      </c>
      <c r="Q300">
        <v>225.89</v>
      </c>
      <c r="R300">
        <v>4.09</v>
      </c>
      <c r="S300">
        <v>1.37</v>
      </c>
      <c r="T300">
        <v>0.03</v>
      </c>
      <c r="U300">
        <v>0.01</v>
      </c>
      <c r="V300">
        <v>0.82050000000000001</v>
      </c>
      <c r="W300">
        <v>13.79</v>
      </c>
      <c r="X300">
        <v>0.45800000000000002</v>
      </c>
      <c r="Y300">
        <v>0.4249</v>
      </c>
      <c r="Z300">
        <v>0.42530000000000001</v>
      </c>
      <c r="AA300">
        <v>2.3765000000000001</v>
      </c>
      <c r="AB300">
        <v>14.81</v>
      </c>
      <c r="AC300">
        <v>27.71</v>
      </c>
      <c r="AD300">
        <v>103.83</v>
      </c>
      <c r="AE300">
        <v>4.4000000000000003E-3</v>
      </c>
      <c r="AF300">
        <v>8803</v>
      </c>
      <c r="AG300">
        <v>17.46</v>
      </c>
      <c r="AH300">
        <v>4.0000000000000001E-3</v>
      </c>
      <c r="AI300">
        <v>84.48</v>
      </c>
      <c r="AJ300">
        <v>55.61</v>
      </c>
      <c r="AK300">
        <v>68.31</v>
      </c>
      <c r="AL300">
        <v>3.62</v>
      </c>
      <c r="AM300">
        <v>0.05</v>
      </c>
      <c r="AN300">
        <v>0.01</v>
      </c>
      <c r="AO300">
        <v>63.6</v>
      </c>
      <c r="AP300">
        <v>90.97</v>
      </c>
      <c r="AQ300">
        <v>90.21</v>
      </c>
      <c r="AR300">
        <v>88.7</v>
      </c>
      <c r="AS300">
        <v>85.35</v>
      </c>
      <c r="AT300">
        <v>84.86</v>
      </c>
      <c r="AU300">
        <v>81.849999999999994</v>
      </c>
      <c r="AV300">
        <v>20.2912</v>
      </c>
      <c r="AW300">
        <v>38.5533</v>
      </c>
      <c r="AX300">
        <f t="shared" si="81"/>
        <v>1068.3119429999999</v>
      </c>
      <c r="AY300">
        <f t="shared" si="82"/>
        <v>673.14061800000002</v>
      </c>
      <c r="AZ300">
        <f t="shared" si="83"/>
        <v>531.65000699999996</v>
      </c>
      <c r="BA300">
        <f t="shared" si="75"/>
        <v>0</v>
      </c>
      <c r="BB300">
        <f t="shared" si="76"/>
        <v>0</v>
      </c>
      <c r="BC300">
        <f t="shared" si="77"/>
        <v>0</v>
      </c>
      <c r="BD300">
        <f t="shared" si="78"/>
        <v>0</v>
      </c>
      <c r="BE300">
        <f t="shared" si="79"/>
        <v>38.5533</v>
      </c>
      <c r="BF300">
        <f t="shared" si="80"/>
        <v>0</v>
      </c>
      <c r="BG300">
        <f t="shared" si="84"/>
        <v>41.664259999999999</v>
      </c>
      <c r="BH300">
        <f t="shared" si="85"/>
        <v>41.316179999999996</v>
      </c>
      <c r="BI300">
        <f t="shared" si="86"/>
        <v>40.624600000000001</v>
      </c>
      <c r="BJ300">
        <f t="shared" si="87"/>
        <v>39.090299999999999</v>
      </c>
      <c r="BK300">
        <f t="shared" si="88"/>
        <v>38.865880000000004</v>
      </c>
      <c r="BL300">
        <f t="shared" si="89"/>
        <v>37.487299999999998</v>
      </c>
    </row>
    <row r="301" spans="1:64">
      <c r="A301" t="str">
        <f t="shared" si="74"/>
        <v>28</v>
      </c>
      <c r="B301" t="s">
        <v>605</v>
      </c>
      <c r="C301" t="s">
        <v>687</v>
      </c>
      <c r="D301">
        <v>555</v>
      </c>
      <c r="E301">
        <v>7</v>
      </c>
      <c r="F301">
        <v>2</v>
      </c>
      <c r="G301">
        <v>2</v>
      </c>
      <c r="H301">
        <v>100</v>
      </c>
      <c r="I301" t="s">
        <v>607</v>
      </c>
      <c r="J301">
        <v>0.64090000000000003</v>
      </c>
      <c r="K301">
        <v>95.597399999999993</v>
      </c>
      <c r="L301">
        <v>2.8500000000000001E-2</v>
      </c>
      <c r="M301">
        <v>1.0205</v>
      </c>
      <c r="N301">
        <v>27.808499999999999</v>
      </c>
      <c r="O301">
        <v>92.567999999999998</v>
      </c>
      <c r="P301">
        <v>295.40210000000002</v>
      </c>
      <c r="Q301">
        <v>150</v>
      </c>
      <c r="R301">
        <v>0.28170000000000001</v>
      </c>
      <c r="S301">
        <v>1.6960999999999999</v>
      </c>
      <c r="T301">
        <v>0</v>
      </c>
      <c r="U301">
        <v>9.0200000000000002E-2</v>
      </c>
      <c r="V301">
        <v>0.67300000000000004</v>
      </c>
      <c r="W301">
        <v>11.6455</v>
      </c>
      <c r="X301">
        <v>215.32259999999999</v>
      </c>
      <c r="Y301">
        <v>199.3415</v>
      </c>
      <c r="Z301">
        <v>202.24969999999999</v>
      </c>
      <c r="AA301">
        <v>718.99549999999999</v>
      </c>
      <c r="AB301">
        <v>29.549900000000001</v>
      </c>
      <c r="AC301">
        <v>27.1205</v>
      </c>
      <c r="AD301">
        <v>100.71129999999999</v>
      </c>
      <c r="AE301">
        <v>6.5549999999999997</v>
      </c>
      <c r="AF301">
        <v>5126.9958999999999</v>
      </c>
      <c r="AG301">
        <v>82.197999999999993</v>
      </c>
      <c r="AH301">
        <v>2.5962000000000001</v>
      </c>
      <c r="AI301">
        <v>88.590299999999999</v>
      </c>
      <c r="AJ301">
        <v>73.2</v>
      </c>
      <c r="AK301">
        <v>80.394800000000004</v>
      </c>
      <c r="AL301">
        <v>1.4645999999999999</v>
      </c>
      <c r="AM301">
        <v>0.05</v>
      </c>
      <c r="AN301">
        <v>2.7000000000000001E-3</v>
      </c>
      <c r="AO301">
        <v>133.1353</v>
      </c>
      <c r="AP301">
        <v>94.870400000000004</v>
      </c>
      <c r="AQ301">
        <v>94.102500000000006</v>
      </c>
      <c r="AR301">
        <v>92.932699999999997</v>
      </c>
      <c r="AS301">
        <v>88.877799999999993</v>
      </c>
      <c r="AT301">
        <v>88.290700000000001</v>
      </c>
      <c r="AU301">
        <v>85.143299999999996</v>
      </c>
      <c r="AV301">
        <v>12703.7168</v>
      </c>
      <c r="AW301">
        <v>33596.92</v>
      </c>
      <c r="AX301">
        <f t="shared" si="81"/>
        <v>911165.26885999995</v>
      </c>
      <c r="AY301">
        <f t="shared" si="82"/>
        <v>2761599.6301599997</v>
      </c>
      <c r="AZ301">
        <f t="shared" si="83"/>
        <v>391252.93186000001</v>
      </c>
      <c r="BA301">
        <f t="shared" si="75"/>
        <v>0</v>
      </c>
      <c r="BB301">
        <f t="shared" si="76"/>
        <v>0</v>
      </c>
      <c r="BC301">
        <f t="shared" si="77"/>
        <v>0</v>
      </c>
      <c r="BD301">
        <f t="shared" si="78"/>
        <v>33596.92</v>
      </c>
      <c r="BE301">
        <f t="shared" si="79"/>
        <v>0</v>
      </c>
      <c r="BF301">
        <f t="shared" si="80"/>
        <v>0</v>
      </c>
      <c r="BG301">
        <f t="shared" si="84"/>
        <v>20427.741191040001</v>
      </c>
      <c r="BH301">
        <f t="shared" si="85"/>
        <v>20262.3949665</v>
      </c>
      <c r="BI301">
        <f t="shared" si="86"/>
        <v>20010.510589019999</v>
      </c>
      <c r="BJ301">
        <f t="shared" si="87"/>
        <v>19137.398978279998</v>
      </c>
      <c r="BK301">
        <f t="shared" si="88"/>
        <v>19010.983079819998</v>
      </c>
      <c r="BL301">
        <f t="shared" si="89"/>
        <v>18333.27672858</v>
      </c>
    </row>
    <row r="302" spans="1:64">
      <c r="A302" t="str">
        <f t="shared" si="74"/>
        <v>28</v>
      </c>
      <c r="B302" t="s">
        <v>605</v>
      </c>
      <c r="C302" t="s">
        <v>687</v>
      </c>
      <c r="D302">
        <v>555</v>
      </c>
      <c r="E302">
        <v>8</v>
      </c>
      <c r="F302">
        <v>2</v>
      </c>
      <c r="G302">
        <v>2</v>
      </c>
      <c r="H302">
        <v>100</v>
      </c>
      <c r="I302" t="s">
        <v>607</v>
      </c>
      <c r="J302">
        <v>0.27</v>
      </c>
      <c r="K302">
        <v>17</v>
      </c>
      <c r="L302">
        <v>2.1000000000000001E-2</v>
      </c>
      <c r="M302">
        <v>1.0149999999999999</v>
      </c>
      <c r="N302">
        <v>17.88</v>
      </c>
      <c r="O302">
        <v>89</v>
      </c>
      <c r="P302">
        <v>462</v>
      </c>
      <c r="Q302">
        <v>218.25</v>
      </c>
      <c r="R302">
        <v>3.97</v>
      </c>
      <c r="S302">
        <v>0.73</v>
      </c>
      <c r="T302">
        <v>0.02</v>
      </c>
      <c r="U302">
        <v>0</v>
      </c>
      <c r="V302">
        <v>0.83650000000000002</v>
      </c>
      <c r="W302">
        <v>13.69</v>
      </c>
      <c r="X302">
        <v>19.4328</v>
      </c>
      <c r="Y302">
        <v>17.9876</v>
      </c>
      <c r="Z302">
        <v>17.717400000000001</v>
      </c>
      <c r="AA302">
        <v>100.602</v>
      </c>
      <c r="AB302">
        <v>9.65</v>
      </c>
      <c r="AC302">
        <v>26.59</v>
      </c>
      <c r="AD302">
        <v>107.6</v>
      </c>
      <c r="AE302">
        <v>0.19109999999999999</v>
      </c>
      <c r="AF302">
        <v>8626</v>
      </c>
      <c r="AG302">
        <v>18.79</v>
      </c>
      <c r="AH302">
        <v>9.4399999999999998E-2</v>
      </c>
      <c r="AI302">
        <v>83.4</v>
      </c>
      <c r="AJ302">
        <v>53.43</v>
      </c>
      <c r="AK302">
        <v>65.489999999999995</v>
      </c>
      <c r="AL302">
        <v>3.6709999999999998</v>
      </c>
      <c r="AM302">
        <v>0.05</v>
      </c>
      <c r="AN302">
        <v>0.01</v>
      </c>
      <c r="AO302">
        <v>64.5</v>
      </c>
      <c r="AP302">
        <v>91.7</v>
      </c>
      <c r="AQ302">
        <v>90.87</v>
      </c>
      <c r="AR302">
        <v>89.29</v>
      </c>
      <c r="AS302">
        <v>85.65</v>
      </c>
      <c r="AT302">
        <v>85.11</v>
      </c>
      <c r="AU302">
        <v>81.94</v>
      </c>
      <c r="AV302">
        <v>867.77750000000003</v>
      </c>
      <c r="AW302">
        <v>1648.7773</v>
      </c>
      <c r="AX302">
        <f t="shared" si="81"/>
        <v>43840.988406999997</v>
      </c>
      <c r="AY302">
        <f t="shared" si="82"/>
        <v>30980.525466999999</v>
      </c>
      <c r="AZ302">
        <f t="shared" si="83"/>
        <v>22571.761236999999</v>
      </c>
      <c r="BA302">
        <f t="shared" si="75"/>
        <v>0</v>
      </c>
      <c r="BB302">
        <f t="shared" si="76"/>
        <v>0</v>
      </c>
      <c r="BC302">
        <f t="shared" si="77"/>
        <v>0</v>
      </c>
      <c r="BD302">
        <f t="shared" si="78"/>
        <v>0</v>
      </c>
      <c r="BE302">
        <f t="shared" si="79"/>
        <v>0</v>
      </c>
      <c r="BF302">
        <f t="shared" si="80"/>
        <v>1648.7773</v>
      </c>
      <c r="BG302">
        <f t="shared" si="84"/>
        <v>1781.98776</v>
      </c>
      <c r="BH302">
        <f t="shared" si="85"/>
        <v>1765.8585360000002</v>
      </c>
      <c r="BI302">
        <f t="shared" si="86"/>
        <v>1735.1547120000002</v>
      </c>
      <c r="BJ302">
        <f t="shared" si="87"/>
        <v>1664.4193200000002</v>
      </c>
      <c r="BK302">
        <f t="shared" si="88"/>
        <v>1653.925608</v>
      </c>
      <c r="BL302">
        <f t="shared" si="89"/>
        <v>1592.3236320000001</v>
      </c>
    </row>
    <row r="303" spans="1:64">
      <c r="A303" t="str">
        <f t="shared" si="74"/>
        <v>29</v>
      </c>
      <c r="B303" t="s">
        <v>605</v>
      </c>
      <c r="C303" t="s">
        <v>688</v>
      </c>
      <c r="D303">
        <v>6</v>
      </c>
      <c r="E303">
        <v>4</v>
      </c>
      <c r="F303">
        <v>6</v>
      </c>
      <c r="G303">
        <v>2</v>
      </c>
      <c r="H303">
        <v>100</v>
      </c>
      <c r="I303" t="s">
        <v>607</v>
      </c>
      <c r="J303">
        <v>0.59940000000000004</v>
      </c>
      <c r="K303">
        <v>245.54519999999999</v>
      </c>
      <c r="L303">
        <v>3.09E-2</v>
      </c>
      <c r="M303">
        <v>1.0549999999999999</v>
      </c>
      <c r="N303">
        <v>29.533899999999999</v>
      </c>
      <c r="O303">
        <v>92.491900000000001</v>
      </c>
      <c r="P303">
        <v>255.96799999999999</v>
      </c>
      <c r="Q303">
        <v>164.94890000000001</v>
      </c>
      <c r="R303">
        <v>0.14230000000000001</v>
      </c>
      <c r="S303">
        <v>1.7687999999999999</v>
      </c>
      <c r="T303">
        <v>0</v>
      </c>
      <c r="U303">
        <v>5.1499999999999997E-2</v>
      </c>
      <c r="V303">
        <v>0.71220000000000006</v>
      </c>
      <c r="W303">
        <v>12.562799999999999</v>
      </c>
      <c r="X303">
        <v>91.088300000000004</v>
      </c>
      <c r="Y303">
        <v>84.251599999999996</v>
      </c>
      <c r="Z303">
        <v>93.055499999999995</v>
      </c>
      <c r="AA303">
        <v>286.54610000000002</v>
      </c>
      <c r="AB303">
        <v>14.5875</v>
      </c>
      <c r="AC303">
        <v>31.156700000000001</v>
      </c>
      <c r="AD303">
        <v>116.24</v>
      </c>
      <c r="AE303">
        <v>2.4175</v>
      </c>
      <c r="AF303">
        <v>6036.2749000000003</v>
      </c>
      <c r="AG303">
        <v>99.570999999999998</v>
      </c>
      <c r="AH303">
        <v>3.0867</v>
      </c>
      <c r="AI303">
        <v>90.853499999999997</v>
      </c>
      <c r="AJ303">
        <v>73.2</v>
      </c>
      <c r="AK303">
        <v>85.146699999999996</v>
      </c>
      <c r="AL303">
        <v>1.2606999999999999</v>
      </c>
      <c r="AM303">
        <v>1.5693999999999999</v>
      </c>
      <c r="AN303">
        <v>4.3E-3</v>
      </c>
      <c r="AO303">
        <v>112.1758</v>
      </c>
      <c r="AP303">
        <v>95.634399999999999</v>
      </c>
      <c r="AQ303">
        <v>95.049499999999995</v>
      </c>
      <c r="AR303">
        <v>94.055800000000005</v>
      </c>
      <c r="AS303">
        <v>88.473100000000002</v>
      </c>
      <c r="AT303">
        <v>87.796999999999997</v>
      </c>
      <c r="AU303">
        <v>83.988900000000001</v>
      </c>
      <c r="AV303">
        <v>5462.5439999999999</v>
      </c>
      <c r="AW303">
        <v>14592.2569</v>
      </c>
      <c r="AX303">
        <f t="shared" si="81"/>
        <v>454646.57055623003</v>
      </c>
      <c r="AY303">
        <f t="shared" si="82"/>
        <v>1452965.6117899001</v>
      </c>
      <c r="AZ303">
        <f t="shared" si="83"/>
        <v>183319.60498331999</v>
      </c>
      <c r="BA303">
        <f t="shared" si="75"/>
        <v>0</v>
      </c>
      <c r="BB303">
        <f t="shared" si="76"/>
        <v>0</v>
      </c>
      <c r="BC303">
        <f t="shared" si="77"/>
        <v>14592.2569</v>
      </c>
      <c r="BD303">
        <f t="shared" si="78"/>
        <v>0</v>
      </c>
      <c r="BE303">
        <f t="shared" si="79"/>
        <v>0</v>
      </c>
      <c r="BF303">
        <f t="shared" si="80"/>
        <v>0</v>
      </c>
      <c r="BG303">
        <f t="shared" si="84"/>
        <v>8711.1749175200002</v>
      </c>
      <c r="BH303">
        <f t="shared" si="85"/>
        <v>8657.8973708499998</v>
      </c>
      <c r="BI303">
        <f t="shared" si="86"/>
        <v>8567.3829271400009</v>
      </c>
      <c r="BJ303">
        <f t="shared" si="87"/>
        <v>8058.8642747300009</v>
      </c>
      <c r="BK303">
        <f t="shared" si="88"/>
        <v>7997.2794751000001</v>
      </c>
      <c r="BL303">
        <f t="shared" si="89"/>
        <v>7650.4061198700001</v>
      </c>
    </row>
    <row r="304" spans="1:64">
      <c r="A304" t="str">
        <f t="shared" si="74"/>
        <v>29</v>
      </c>
      <c r="B304" t="s">
        <v>605</v>
      </c>
      <c r="C304" t="s">
        <v>688</v>
      </c>
      <c r="D304">
        <v>555</v>
      </c>
      <c r="E304">
        <v>3</v>
      </c>
      <c r="F304">
        <v>2</v>
      </c>
      <c r="G304">
        <v>2</v>
      </c>
      <c r="H304">
        <v>100</v>
      </c>
      <c r="I304" t="s">
        <v>607</v>
      </c>
      <c r="J304">
        <v>0.58799999999999997</v>
      </c>
      <c r="K304">
        <v>77</v>
      </c>
      <c r="L304">
        <v>2.1000000000000001E-2</v>
      </c>
      <c r="M304">
        <v>1.21</v>
      </c>
      <c r="N304">
        <v>22.71</v>
      </c>
      <c r="O304">
        <v>90.52</v>
      </c>
      <c r="P304">
        <v>487</v>
      </c>
      <c r="Q304">
        <v>200.96</v>
      </c>
      <c r="R304">
        <v>1.46</v>
      </c>
      <c r="S304">
        <v>1.69</v>
      </c>
      <c r="T304">
        <v>0</v>
      </c>
      <c r="U304">
        <v>0</v>
      </c>
      <c r="V304">
        <v>0.82</v>
      </c>
      <c r="W304">
        <v>13.35</v>
      </c>
      <c r="X304">
        <v>15.3169</v>
      </c>
      <c r="Y304">
        <v>14.2218</v>
      </c>
      <c r="Z304">
        <v>14.294499999999999</v>
      </c>
      <c r="AA304">
        <v>62.6233</v>
      </c>
      <c r="AB304">
        <v>14.76</v>
      </c>
      <c r="AC304">
        <v>29.26</v>
      </c>
      <c r="AD304">
        <v>102.44</v>
      </c>
      <c r="AE304">
        <v>0.16120000000000001</v>
      </c>
      <c r="AF304">
        <v>7629</v>
      </c>
      <c r="AG304">
        <v>28.64</v>
      </c>
      <c r="AH304">
        <v>0.14979999999999999</v>
      </c>
      <c r="AI304">
        <v>87.22</v>
      </c>
      <c r="AJ304">
        <v>62.56</v>
      </c>
      <c r="AK304">
        <v>75.489999999999995</v>
      </c>
      <c r="AL304">
        <v>2.1890000000000001</v>
      </c>
      <c r="AM304">
        <v>0.46</v>
      </c>
      <c r="AN304">
        <v>0.01</v>
      </c>
      <c r="AO304">
        <v>79.34</v>
      </c>
      <c r="AP304">
        <v>93.83</v>
      </c>
      <c r="AQ304">
        <v>93.11</v>
      </c>
      <c r="AR304">
        <v>91.65</v>
      </c>
      <c r="AS304">
        <v>88.34</v>
      </c>
      <c r="AT304">
        <v>87.8</v>
      </c>
      <c r="AU304">
        <v>84.87</v>
      </c>
      <c r="AV304">
        <v>647.10350000000005</v>
      </c>
      <c r="AW304">
        <v>1229.4966999999999</v>
      </c>
      <c r="AX304">
        <f t="shared" si="81"/>
        <v>35975.073442000001</v>
      </c>
      <c r="AY304">
        <f t="shared" si="82"/>
        <v>35212.785488000001</v>
      </c>
      <c r="AZ304">
        <f t="shared" si="83"/>
        <v>16413.780944999999</v>
      </c>
      <c r="BA304">
        <f t="shared" si="75"/>
        <v>0</v>
      </c>
      <c r="BB304">
        <f t="shared" si="76"/>
        <v>0</v>
      </c>
      <c r="BC304">
        <f t="shared" si="77"/>
        <v>1229.4966999999999</v>
      </c>
      <c r="BD304">
        <f t="shared" si="78"/>
        <v>0</v>
      </c>
      <c r="BE304">
        <f t="shared" si="79"/>
        <v>0</v>
      </c>
      <c r="BF304">
        <f t="shared" si="80"/>
        <v>0</v>
      </c>
      <c r="BG304">
        <f t="shared" si="84"/>
        <v>1437.1847270000001</v>
      </c>
      <c r="BH304">
        <f t="shared" si="85"/>
        <v>1426.156559</v>
      </c>
      <c r="BI304">
        <f t="shared" si="86"/>
        <v>1403.793885</v>
      </c>
      <c r="BJ304">
        <f t="shared" si="87"/>
        <v>1353.0949460000002</v>
      </c>
      <c r="BK304">
        <f t="shared" si="88"/>
        <v>1344.8238200000001</v>
      </c>
      <c r="BL304">
        <f t="shared" si="89"/>
        <v>1299.9453030000002</v>
      </c>
    </row>
    <row r="305" spans="1:64">
      <c r="A305" t="str">
        <f t="shared" si="74"/>
        <v>29</v>
      </c>
      <c r="B305" t="s">
        <v>605</v>
      </c>
      <c r="C305" t="s">
        <v>688</v>
      </c>
      <c r="D305">
        <v>555</v>
      </c>
      <c r="E305">
        <v>3</v>
      </c>
      <c r="F305">
        <v>2</v>
      </c>
      <c r="G305">
        <v>4</v>
      </c>
      <c r="H305">
        <v>100</v>
      </c>
      <c r="I305" t="s">
        <v>607</v>
      </c>
      <c r="J305">
        <v>0.58799999999999997</v>
      </c>
      <c r="K305">
        <v>77</v>
      </c>
      <c r="L305">
        <v>2.1000000000000001E-2</v>
      </c>
      <c r="M305">
        <v>1.21</v>
      </c>
      <c r="N305">
        <v>22.71</v>
      </c>
      <c r="O305">
        <v>90.52</v>
      </c>
      <c r="P305">
        <v>487</v>
      </c>
      <c r="Q305">
        <v>200.96</v>
      </c>
      <c r="R305">
        <v>1.46</v>
      </c>
      <c r="S305">
        <v>1.69</v>
      </c>
      <c r="T305">
        <v>0</v>
      </c>
      <c r="U305">
        <v>0</v>
      </c>
      <c r="V305">
        <v>0.68889999999999996</v>
      </c>
      <c r="W305">
        <v>13.35</v>
      </c>
      <c r="X305">
        <v>2.3992</v>
      </c>
      <c r="Y305">
        <v>2.2252000000000001</v>
      </c>
      <c r="Z305">
        <v>2.2957000000000001</v>
      </c>
      <c r="AA305">
        <v>9.7985000000000007</v>
      </c>
      <c r="AB305">
        <v>14.76</v>
      </c>
      <c r="AC305">
        <v>29.26</v>
      </c>
      <c r="AD305">
        <v>102.44</v>
      </c>
      <c r="AE305">
        <v>3.9100000000000003E-2</v>
      </c>
      <c r="AF305">
        <v>7629</v>
      </c>
      <c r="AG305">
        <v>28.64</v>
      </c>
      <c r="AH305">
        <v>3.9E-2</v>
      </c>
      <c r="AI305">
        <v>87.22</v>
      </c>
      <c r="AJ305">
        <v>62.56</v>
      </c>
      <c r="AK305">
        <v>75.489999999999995</v>
      </c>
      <c r="AL305">
        <v>2.1890000000000001</v>
      </c>
      <c r="AM305">
        <v>0.46</v>
      </c>
      <c r="AN305">
        <v>0.01</v>
      </c>
      <c r="AO305">
        <v>79.34</v>
      </c>
      <c r="AP305">
        <v>93.83</v>
      </c>
      <c r="AQ305">
        <v>93.11</v>
      </c>
      <c r="AR305">
        <v>91.65</v>
      </c>
      <c r="AS305">
        <v>88.34</v>
      </c>
      <c r="AT305">
        <v>87.8</v>
      </c>
      <c r="AU305">
        <v>84.87</v>
      </c>
      <c r="AV305">
        <v>157.17410000000001</v>
      </c>
      <c r="AW305">
        <v>298.63069999999999</v>
      </c>
      <c r="AX305">
        <f t="shared" si="81"/>
        <v>8737.9342820000002</v>
      </c>
      <c r="AY305">
        <f t="shared" si="82"/>
        <v>8552.7832479999997</v>
      </c>
      <c r="AZ305">
        <f t="shared" si="83"/>
        <v>3986.7198449999996</v>
      </c>
      <c r="BA305">
        <f t="shared" si="75"/>
        <v>0</v>
      </c>
      <c r="BB305">
        <f t="shared" si="76"/>
        <v>0</v>
      </c>
      <c r="BC305">
        <f t="shared" si="77"/>
        <v>298.63069999999999</v>
      </c>
      <c r="BD305">
        <f t="shared" si="78"/>
        <v>0</v>
      </c>
      <c r="BE305">
        <f t="shared" si="79"/>
        <v>0</v>
      </c>
      <c r="BF305">
        <f t="shared" si="80"/>
        <v>0</v>
      </c>
      <c r="BG305">
        <f t="shared" si="84"/>
        <v>225.11693600000001</v>
      </c>
      <c r="BH305">
        <f t="shared" si="85"/>
        <v>223.389512</v>
      </c>
      <c r="BI305">
        <f t="shared" si="86"/>
        <v>219.88668000000001</v>
      </c>
      <c r="BJ305">
        <f t="shared" si="87"/>
        <v>211.94532800000002</v>
      </c>
      <c r="BK305">
        <f t="shared" si="88"/>
        <v>210.64975999999999</v>
      </c>
      <c r="BL305">
        <f t="shared" si="89"/>
        <v>203.620104</v>
      </c>
    </row>
    <row r="306" spans="1:64">
      <c r="A306" t="str">
        <f t="shared" si="74"/>
        <v>29</v>
      </c>
      <c r="B306" t="s">
        <v>605</v>
      </c>
      <c r="C306" t="s">
        <v>688</v>
      </c>
      <c r="D306">
        <v>555</v>
      </c>
      <c r="E306">
        <v>7</v>
      </c>
      <c r="F306">
        <v>2</v>
      </c>
      <c r="G306">
        <v>2</v>
      </c>
      <c r="H306">
        <v>100</v>
      </c>
      <c r="I306" t="s">
        <v>607</v>
      </c>
      <c r="J306">
        <v>0.65690000000000004</v>
      </c>
      <c r="K306">
        <v>134.48140000000001</v>
      </c>
      <c r="L306">
        <v>2.75E-2</v>
      </c>
      <c r="M306">
        <v>1.0567</v>
      </c>
      <c r="N306">
        <v>28.1523</v>
      </c>
      <c r="O306">
        <v>92.769499999999994</v>
      </c>
      <c r="P306">
        <v>268.3784</v>
      </c>
      <c r="Q306">
        <v>150.9032</v>
      </c>
      <c r="R306">
        <v>0.26590000000000003</v>
      </c>
      <c r="S306">
        <v>1.6303000000000001</v>
      </c>
      <c r="T306">
        <v>0</v>
      </c>
      <c r="U306">
        <v>0.12959999999999999</v>
      </c>
      <c r="V306">
        <v>0.70289999999999997</v>
      </c>
      <c r="W306">
        <v>13.1021</v>
      </c>
      <c r="X306">
        <v>169.58500000000001</v>
      </c>
      <c r="Y306">
        <v>157.32910000000001</v>
      </c>
      <c r="Z306">
        <v>162.72980000000001</v>
      </c>
      <c r="AA306">
        <v>560.61959999999999</v>
      </c>
      <c r="AB306">
        <v>22.609200000000001</v>
      </c>
      <c r="AC306">
        <v>29.293199999999999</v>
      </c>
      <c r="AD306">
        <v>109.691</v>
      </c>
      <c r="AE306">
        <v>5.0225</v>
      </c>
      <c r="AF306">
        <v>5140.8312999999998</v>
      </c>
      <c r="AG306">
        <v>99.512699999999995</v>
      </c>
      <c r="AH306">
        <v>2.8645999999999998</v>
      </c>
      <c r="AI306">
        <v>89.518600000000006</v>
      </c>
      <c r="AJ306">
        <v>73.2</v>
      </c>
      <c r="AK306">
        <v>82.32</v>
      </c>
      <c r="AL306">
        <v>1.2598</v>
      </c>
      <c r="AM306">
        <v>0.05</v>
      </c>
      <c r="AN306">
        <v>1.2999999999999999E-3</v>
      </c>
      <c r="AO306">
        <v>140.21629999999999</v>
      </c>
      <c r="AP306">
        <v>95.316299999999998</v>
      </c>
      <c r="AQ306">
        <v>94.681799999999996</v>
      </c>
      <c r="AR306">
        <v>93.653300000000002</v>
      </c>
      <c r="AS306">
        <v>88.522800000000004</v>
      </c>
      <c r="AT306">
        <v>87.862499999999997</v>
      </c>
      <c r="AU306">
        <v>84.261600000000001</v>
      </c>
      <c r="AV306">
        <v>9788.0373999999993</v>
      </c>
      <c r="AW306">
        <v>25817.188699999999</v>
      </c>
      <c r="AX306">
        <f t="shared" si="81"/>
        <v>756268.07202683995</v>
      </c>
      <c r="AY306">
        <f t="shared" si="82"/>
        <v>2569138.1539464896</v>
      </c>
      <c r="AZ306">
        <f t="shared" si="83"/>
        <v>338259.38806626998</v>
      </c>
      <c r="BA306">
        <f t="shared" si="75"/>
        <v>0</v>
      </c>
      <c r="BB306">
        <f t="shared" si="76"/>
        <v>0</v>
      </c>
      <c r="BC306">
        <f t="shared" si="77"/>
        <v>0</v>
      </c>
      <c r="BD306">
        <f t="shared" si="78"/>
        <v>25817.188699999999</v>
      </c>
      <c r="BE306">
        <f t="shared" si="79"/>
        <v>0</v>
      </c>
      <c r="BF306">
        <f t="shared" si="80"/>
        <v>0</v>
      </c>
      <c r="BG306">
        <f t="shared" si="84"/>
        <v>16164.2147355</v>
      </c>
      <c r="BH306">
        <f t="shared" si="85"/>
        <v>16056.613052999999</v>
      </c>
      <c r="BI306">
        <f t="shared" si="86"/>
        <v>15882.194880500001</v>
      </c>
      <c r="BJ306">
        <f t="shared" si="87"/>
        <v>15012.139038000001</v>
      </c>
      <c r="BK306">
        <f t="shared" si="88"/>
        <v>14900.1620625</v>
      </c>
      <c r="BL306">
        <f t="shared" si="89"/>
        <v>14289.503436000001</v>
      </c>
    </row>
    <row r="307" spans="1:64">
      <c r="A307" t="str">
        <f t="shared" si="74"/>
        <v>29</v>
      </c>
      <c r="B307" t="s">
        <v>605</v>
      </c>
      <c r="C307" t="s">
        <v>688</v>
      </c>
      <c r="D307">
        <v>555</v>
      </c>
      <c r="E307">
        <v>7</v>
      </c>
      <c r="F307">
        <v>2</v>
      </c>
      <c r="G307">
        <v>4</v>
      </c>
      <c r="H307">
        <v>100</v>
      </c>
      <c r="I307" t="s">
        <v>607</v>
      </c>
      <c r="J307">
        <v>0.58579999999999999</v>
      </c>
      <c r="K307">
        <v>125.946</v>
      </c>
      <c r="L307">
        <v>2.81E-2</v>
      </c>
      <c r="M307">
        <v>1.0801000000000001</v>
      </c>
      <c r="N307">
        <v>27.152000000000001</v>
      </c>
      <c r="O307">
        <v>93.130700000000004</v>
      </c>
      <c r="P307">
        <v>267.9837</v>
      </c>
      <c r="Q307">
        <v>150.59970000000001</v>
      </c>
      <c r="R307">
        <v>0.32329999999999998</v>
      </c>
      <c r="S307">
        <v>1.3272999999999999</v>
      </c>
      <c r="T307">
        <v>0</v>
      </c>
      <c r="U307">
        <v>0.1641</v>
      </c>
      <c r="V307">
        <v>0.62849999999999995</v>
      </c>
      <c r="W307">
        <v>13.4247</v>
      </c>
      <c r="X307">
        <v>44.000799999999998</v>
      </c>
      <c r="Y307">
        <v>40.978200000000001</v>
      </c>
      <c r="Z307">
        <v>42.500399999999999</v>
      </c>
      <c r="AA307">
        <v>150.9314</v>
      </c>
      <c r="AB307">
        <v>14.4293</v>
      </c>
      <c r="AC307">
        <v>29.335899999999999</v>
      </c>
      <c r="AD307">
        <v>113.3253</v>
      </c>
      <c r="AE307">
        <v>1.46</v>
      </c>
      <c r="AF307">
        <v>5144.8770000000004</v>
      </c>
      <c r="AG307">
        <v>99.530500000000004</v>
      </c>
      <c r="AH307">
        <v>0.77649999999999997</v>
      </c>
      <c r="AI307">
        <v>89.3934</v>
      </c>
      <c r="AJ307">
        <v>73.2</v>
      </c>
      <c r="AK307">
        <v>82.055499999999995</v>
      </c>
      <c r="AL307">
        <v>1.2323</v>
      </c>
      <c r="AM307">
        <v>0.05</v>
      </c>
      <c r="AN307">
        <v>5.4000000000000003E-3</v>
      </c>
      <c r="AO307">
        <v>140.18950000000001</v>
      </c>
      <c r="AP307">
        <v>95.944299999999998</v>
      </c>
      <c r="AQ307">
        <v>95.500699999999995</v>
      </c>
      <c r="AR307">
        <v>94.75</v>
      </c>
      <c r="AS307">
        <v>90.551699999999997</v>
      </c>
      <c r="AT307">
        <v>89.881799999999998</v>
      </c>
      <c r="AU307">
        <v>86.960300000000004</v>
      </c>
      <c r="AV307">
        <v>2853.8861000000002</v>
      </c>
      <c r="AW307">
        <v>7511.2865000000002</v>
      </c>
      <c r="AX307">
        <f t="shared" si="81"/>
        <v>220350.34963534999</v>
      </c>
      <c r="AY307">
        <f t="shared" si="82"/>
        <v>747602.10098824999</v>
      </c>
      <c r="AZ307">
        <f t="shared" si="83"/>
        <v>100836.76787655</v>
      </c>
      <c r="BA307">
        <f t="shared" si="75"/>
        <v>0</v>
      </c>
      <c r="BB307">
        <f t="shared" si="76"/>
        <v>0</v>
      </c>
      <c r="BC307">
        <f t="shared" si="77"/>
        <v>0</v>
      </c>
      <c r="BD307">
        <f t="shared" si="78"/>
        <v>7511.2865000000002</v>
      </c>
      <c r="BE307">
        <f t="shared" si="79"/>
        <v>0</v>
      </c>
      <c r="BF307">
        <f t="shared" si="80"/>
        <v>0</v>
      </c>
      <c r="BG307">
        <f t="shared" si="84"/>
        <v>4221.6259554399994</v>
      </c>
      <c r="BH307">
        <f t="shared" si="85"/>
        <v>4202.1072005599999</v>
      </c>
      <c r="BI307">
        <f t="shared" si="86"/>
        <v>4169.0757999999996</v>
      </c>
      <c r="BJ307">
        <f t="shared" si="87"/>
        <v>3984.3472413599998</v>
      </c>
      <c r="BK307">
        <f t="shared" si="88"/>
        <v>3954.8711054399996</v>
      </c>
      <c r="BL307">
        <f t="shared" si="89"/>
        <v>3826.3227682400002</v>
      </c>
    </row>
    <row r="308" spans="1:64">
      <c r="A308" t="str">
        <f t="shared" si="74"/>
        <v>30</v>
      </c>
      <c r="B308" t="s">
        <v>605</v>
      </c>
      <c r="C308" t="s">
        <v>689</v>
      </c>
      <c r="D308">
        <v>6</v>
      </c>
      <c r="E308">
        <v>3</v>
      </c>
      <c r="F308">
        <v>6</v>
      </c>
      <c r="G308">
        <v>2</v>
      </c>
      <c r="H308">
        <v>100</v>
      </c>
      <c r="I308" t="s">
        <v>607</v>
      </c>
      <c r="J308">
        <v>0.58799999999999997</v>
      </c>
      <c r="K308">
        <v>77</v>
      </c>
      <c r="L308">
        <v>2.1000000000000001E-2</v>
      </c>
      <c r="M308">
        <v>1.21</v>
      </c>
      <c r="N308">
        <v>22.71</v>
      </c>
      <c r="O308">
        <v>90.52</v>
      </c>
      <c r="P308">
        <v>487</v>
      </c>
      <c r="Q308">
        <v>200.96</v>
      </c>
      <c r="R308">
        <v>1.46</v>
      </c>
      <c r="S308">
        <v>1.69</v>
      </c>
      <c r="T308">
        <v>0</v>
      </c>
      <c r="U308">
        <v>0</v>
      </c>
      <c r="V308">
        <v>0.65839999999999999</v>
      </c>
      <c r="W308">
        <v>13.35</v>
      </c>
      <c r="X308">
        <v>20.818100000000001</v>
      </c>
      <c r="Y308">
        <v>19.2315</v>
      </c>
      <c r="Z308">
        <v>21.1556</v>
      </c>
      <c r="AA308">
        <v>84.683099999999996</v>
      </c>
      <c r="AB308">
        <v>14.76</v>
      </c>
      <c r="AC308">
        <v>29.26</v>
      </c>
      <c r="AD308">
        <v>102.44</v>
      </c>
      <c r="AE308">
        <v>0.32850000000000001</v>
      </c>
      <c r="AF308">
        <v>7629</v>
      </c>
      <c r="AG308">
        <v>28.64</v>
      </c>
      <c r="AH308">
        <v>0.68210000000000004</v>
      </c>
      <c r="AI308">
        <v>87.22</v>
      </c>
      <c r="AJ308">
        <v>62.56</v>
      </c>
      <c r="AK308">
        <v>75.489999999999995</v>
      </c>
      <c r="AL308">
        <v>2.1890000000000001</v>
      </c>
      <c r="AM308">
        <v>0.46</v>
      </c>
      <c r="AN308">
        <v>0.01</v>
      </c>
      <c r="AO308">
        <v>79.34</v>
      </c>
      <c r="AP308">
        <v>93.83</v>
      </c>
      <c r="AQ308">
        <v>93.11</v>
      </c>
      <c r="AR308">
        <v>91.65</v>
      </c>
      <c r="AS308">
        <v>88.34</v>
      </c>
      <c r="AT308">
        <v>87.8</v>
      </c>
      <c r="AU308">
        <v>84.87</v>
      </c>
      <c r="AV308">
        <v>1319.1570999999999</v>
      </c>
      <c r="AW308">
        <v>2506.3984999999998</v>
      </c>
      <c r="AX308">
        <f t="shared" si="81"/>
        <v>73337.220109999995</v>
      </c>
      <c r="AY308">
        <f t="shared" si="82"/>
        <v>71783.253039999996</v>
      </c>
      <c r="AZ308">
        <f t="shared" si="83"/>
        <v>33460.419974999997</v>
      </c>
      <c r="BA308">
        <f t="shared" si="75"/>
        <v>0</v>
      </c>
      <c r="BB308">
        <f t="shared" si="76"/>
        <v>0</v>
      </c>
      <c r="BC308">
        <f t="shared" si="77"/>
        <v>2506.3984999999998</v>
      </c>
      <c r="BD308">
        <f t="shared" si="78"/>
        <v>0</v>
      </c>
      <c r="BE308">
        <f t="shared" si="79"/>
        <v>0</v>
      </c>
      <c r="BF308">
        <f t="shared" si="80"/>
        <v>0</v>
      </c>
      <c r="BG308">
        <f t="shared" si="84"/>
        <v>1953.3623230000001</v>
      </c>
      <c r="BH308">
        <f t="shared" si="85"/>
        <v>1938.3732910000001</v>
      </c>
      <c r="BI308">
        <f t="shared" si="86"/>
        <v>1907.9788650000003</v>
      </c>
      <c r="BJ308">
        <f t="shared" si="87"/>
        <v>1839.0709540000003</v>
      </c>
      <c r="BK308">
        <f t="shared" si="88"/>
        <v>1827.82918</v>
      </c>
      <c r="BL308">
        <f t="shared" si="89"/>
        <v>1766.8321470000003</v>
      </c>
    </row>
    <row r="309" spans="1:64">
      <c r="A309" t="str">
        <f t="shared" si="74"/>
        <v>30</v>
      </c>
      <c r="B309" t="s">
        <v>605</v>
      </c>
      <c r="C309" t="s">
        <v>689</v>
      </c>
      <c r="D309">
        <v>6</v>
      </c>
      <c r="E309">
        <v>4</v>
      </c>
      <c r="F309">
        <v>6</v>
      </c>
      <c r="G309">
        <v>2</v>
      </c>
      <c r="H309">
        <v>100</v>
      </c>
      <c r="I309" t="s">
        <v>607</v>
      </c>
      <c r="J309">
        <v>0.56479999999999997</v>
      </c>
      <c r="K309">
        <v>207.48249999999999</v>
      </c>
      <c r="L309">
        <v>3.2099999999999997E-2</v>
      </c>
      <c r="M309">
        <v>1.0630999999999999</v>
      </c>
      <c r="N309">
        <v>26.785399999999999</v>
      </c>
      <c r="O309">
        <v>92.6661</v>
      </c>
      <c r="P309">
        <v>254.58770000000001</v>
      </c>
      <c r="Q309">
        <v>166.821</v>
      </c>
      <c r="R309">
        <v>0.30930000000000002</v>
      </c>
      <c r="S309">
        <v>1.6342000000000001</v>
      </c>
      <c r="T309">
        <v>0</v>
      </c>
      <c r="U309">
        <v>3.9899999999999998E-2</v>
      </c>
      <c r="V309">
        <v>0.66139999999999999</v>
      </c>
      <c r="W309">
        <v>12.806699999999999</v>
      </c>
      <c r="X309">
        <v>276.25830000000002</v>
      </c>
      <c r="Y309">
        <v>256.00709999999998</v>
      </c>
      <c r="Z309">
        <v>278.58229999999998</v>
      </c>
      <c r="AA309">
        <v>957.85149999999999</v>
      </c>
      <c r="AB309">
        <v>11.348599999999999</v>
      </c>
      <c r="AC309">
        <v>31.0564</v>
      </c>
      <c r="AD309">
        <v>112.10299999999999</v>
      </c>
      <c r="AE309">
        <v>7.8005000000000004</v>
      </c>
      <c r="AF309">
        <v>6021.7327999999998</v>
      </c>
      <c r="AG309">
        <v>99.832099999999997</v>
      </c>
      <c r="AH309">
        <v>8.2824000000000009</v>
      </c>
      <c r="AI309">
        <v>90.5351</v>
      </c>
      <c r="AJ309">
        <v>73.763300000000001</v>
      </c>
      <c r="AK309">
        <v>84.464699999999993</v>
      </c>
      <c r="AL309">
        <v>1.2884</v>
      </c>
      <c r="AM309">
        <v>1.6802999999999999</v>
      </c>
      <c r="AN309">
        <v>5.3E-3</v>
      </c>
      <c r="AO309">
        <v>112.3674</v>
      </c>
      <c r="AP309">
        <v>95.921199999999999</v>
      </c>
      <c r="AQ309">
        <v>95.417699999999996</v>
      </c>
      <c r="AR309">
        <v>94.481999999999999</v>
      </c>
      <c r="AS309">
        <v>89.798199999999994</v>
      </c>
      <c r="AT309">
        <v>89.156499999999994</v>
      </c>
      <c r="AU309">
        <v>85.759</v>
      </c>
      <c r="AV309">
        <v>17624.3498</v>
      </c>
      <c r="AW309">
        <v>46970.791700000002</v>
      </c>
      <c r="AX309">
        <f t="shared" si="81"/>
        <v>1458743.69535188</v>
      </c>
      <c r="AY309">
        <f t="shared" si="82"/>
        <v>4689192.77407357</v>
      </c>
      <c r="AZ309">
        <f t="shared" si="83"/>
        <v>601540.83806439</v>
      </c>
      <c r="BA309">
        <f t="shared" si="75"/>
        <v>0</v>
      </c>
      <c r="BB309">
        <f t="shared" si="76"/>
        <v>0</v>
      </c>
      <c r="BC309">
        <f t="shared" si="77"/>
        <v>46970.791700000002</v>
      </c>
      <c r="BD309">
        <f t="shared" si="78"/>
        <v>0</v>
      </c>
      <c r="BE309">
        <f t="shared" si="79"/>
        <v>0</v>
      </c>
      <c r="BF309">
        <f t="shared" si="80"/>
        <v>0</v>
      </c>
      <c r="BG309">
        <f t="shared" si="84"/>
        <v>26499.027645960003</v>
      </c>
      <c r="BH309">
        <f t="shared" si="85"/>
        <v>26359.931591910001</v>
      </c>
      <c r="BI309">
        <f t="shared" si="86"/>
        <v>26101.436700600003</v>
      </c>
      <c r="BJ309">
        <f t="shared" si="87"/>
        <v>24807.498075060001</v>
      </c>
      <c r="BK309">
        <f t="shared" si="88"/>
        <v>24630.22312395</v>
      </c>
      <c r="BL309">
        <f t="shared" si="89"/>
        <v>23691.6355497</v>
      </c>
    </row>
    <row r="310" spans="1:64">
      <c r="A310" t="str">
        <f t="shared" si="74"/>
        <v>30</v>
      </c>
      <c r="B310" t="s">
        <v>605</v>
      </c>
      <c r="C310" t="s">
        <v>689</v>
      </c>
      <c r="D310">
        <v>555</v>
      </c>
      <c r="E310">
        <v>7</v>
      </c>
      <c r="F310">
        <v>2</v>
      </c>
      <c r="G310">
        <v>4</v>
      </c>
      <c r="H310">
        <v>100</v>
      </c>
      <c r="I310" t="s">
        <v>607</v>
      </c>
      <c r="J310">
        <v>0.58430000000000004</v>
      </c>
      <c r="K310">
        <v>139.19550000000001</v>
      </c>
      <c r="L310">
        <v>3.39E-2</v>
      </c>
      <c r="M310">
        <v>1.0771999999999999</v>
      </c>
      <c r="N310">
        <v>26.7593</v>
      </c>
      <c r="O310">
        <v>93.137500000000003</v>
      </c>
      <c r="P310">
        <v>267.24119999999999</v>
      </c>
      <c r="Q310">
        <v>152.19069999999999</v>
      </c>
      <c r="R310">
        <v>0.32569999999999999</v>
      </c>
      <c r="S310">
        <v>1.4591000000000001</v>
      </c>
      <c r="T310">
        <v>0</v>
      </c>
      <c r="U310">
        <v>0.1014</v>
      </c>
      <c r="V310">
        <v>0.63180000000000003</v>
      </c>
      <c r="W310">
        <v>13.6562</v>
      </c>
      <c r="X310">
        <v>14.3559</v>
      </c>
      <c r="Y310">
        <v>13.370699999999999</v>
      </c>
      <c r="Z310">
        <v>13.978199999999999</v>
      </c>
      <c r="AA310">
        <v>49.9666</v>
      </c>
      <c r="AB310">
        <v>13.5382</v>
      </c>
      <c r="AC310">
        <v>29.523399999999999</v>
      </c>
      <c r="AD310">
        <v>114.14570000000001</v>
      </c>
      <c r="AE310">
        <v>0.47589999999999999</v>
      </c>
      <c r="AF310">
        <v>5162.6706000000004</v>
      </c>
      <c r="AG310">
        <v>99.551400000000001</v>
      </c>
      <c r="AH310">
        <v>0.28249999999999997</v>
      </c>
      <c r="AI310">
        <v>89.651700000000005</v>
      </c>
      <c r="AJ310">
        <v>73.2</v>
      </c>
      <c r="AK310">
        <v>82.595299999999995</v>
      </c>
      <c r="AL310">
        <v>1.2537</v>
      </c>
      <c r="AM310">
        <v>0.05</v>
      </c>
      <c r="AN310">
        <v>5.7000000000000002E-3</v>
      </c>
      <c r="AO310">
        <v>140.07509999999999</v>
      </c>
      <c r="AP310">
        <v>95.991799999999998</v>
      </c>
      <c r="AQ310">
        <v>95.586600000000004</v>
      </c>
      <c r="AR310">
        <v>94.762200000000007</v>
      </c>
      <c r="AS310">
        <v>92.702100000000002</v>
      </c>
      <c r="AT310">
        <v>92.224000000000004</v>
      </c>
      <c r="AU310">
        <v>90.074700000000007</v>
      </c>
      <c r="AV310">
        <v>934.17330000000004</v>
      </c>
      <c r="AW310">
        <v>2456.8843999999999</v>
      </c>
      <c r="AX310">
        <f t="shared" si="81"/>
        <v>72535.580894959989</v>
      </c>
      <c r="AY310">
        <f t="shared" si="82"/>
        <v>244586.28165816001</v>
      </c>
      <c r="AZ310">
        <f t="shared" si="83"/>
        <v>33551.704743280003</v>
      </c>
      <c r="BA310">
        <f t="shared" si="75"/>
        <v>0</v>
      </c>
      <c r="BB310">
        <f t="shared" si="76"/>
        <v>0</v>
      </c>
      <c r="BC310">
        <f t="shared" si="77"/>
        <v>0</v>
      </c>
      <c r="BD310">
        <f t="shared" si="78"/>
        <v>2456.8843999999999</v>
      </c>
      <c r="BE310">
        <f t="shared" si="79"/>
        <v>0</v>
      </c>
      <c r="BF310">
        <f t="shared" si="80"/>
        <v>0</v>
      </c>
      <c r="BG310">
        <f t="shared" si="84"/>
        <v>1378.04868162</v>
      </c>
      <c r="BH310">
        <f t="shared" si="85"/>
        <v>1372.23167094</v>
      </c>
      <c r="BI310">
        <f t="shared" si="86"/>
        <v>1360.3966669800002</v>
      </c>
      <c r="BJ310">
        <f t="shared" si="87"/>
        <v>1330.82207739</v>
      </c>
      <c r="BK310">
        <f t="shared" si="88"/>
        <v>1323.9585216</v>
      </c>
      <c r="BL310">
        <f t="shared" si="89"/>
        <v>1293.1033857300001</v>
      </c>
    </row>
    <row r="311" spans="1:64">
      <c r="A311" t="str">
        <f t="shared" si="74"/>
        <v>31</v>
      </c>
      <c r="B311" t="s">
        <v>605</v>
      </c>
      <c r="C311" t="s">
        <v>690</v>
      </c>
      <c r="D311">
        <v>6</v>
      </c>
      <c r="E311">
        <v>3</v>
      </c>
      <c r="F311">
        <v>6</v>
      </c>
      <c r="G311">
        <v>2</v>
      </c>
      <c r="H311">
        <v>100</v>
      </c>
      <c r="I311" t="s">
        <v>607</v>
      </c>
      <c r="J311">
        <v>0.58799999999999997</v>
      </c>
      <c r="K311">
        <v>77</v>
      </c>
      <c r="L311">
        <v>2.1000000000000001E-2</v>
      </c>
      <c r="M311">
        <v>1.21</v>
      </c>
      <c r="N311">
        <v>22.71</v>
      </c>
      <c r="O311">
        <v>90.52</v>
      </c>
      <c r="P311">
        <v>487</v>
      </c>
      <c r="Q311">
        <v>200.96</v>
      </c>
      <c r="R311">
        <v>1.46</v>
      </c>
      <c r="S311">
        <v>1.69</v>
      </c>
      <c r="T311">
        <v>0</v>
      </c>
      <c r="U311">
        <v>0</v>
      </c>
      <c r="V311">
        <v>0.66920000000000002</v>
      </c>
      <c r="W311">
        <v>13.35</v>
      </c>
      <c r="X311">
        <v>6.6917999999999997</v>
      </c>
      <c r="Y311">
        <v>6.1750999999999996</v>
      </c>
      <c r="Z311">
        <v>6.6238999999999999</v>
      </c>
      <c r="AA311">
        <v>27.191099999999999</v>
      </c>
      <c r="AB311">
        <v>14.76</v>
      </c>
      <c r="AC311">
        <v>29.26</v>
      </c>
      <c r="AD311">
        <v>102.44</v>
      </c>
      <c r="AE311">
        <v>0.1026</v>
      </c>
      <c r="AF311">
        <v>7629</v>
      </c>
      <c r="AG311">
        <v>28.64</v>
      </c>
      <c r="AH311">
        <v>0.17460000000000001</v>
      </c>
      <c r="AI311">
        <v>87.22</v>
      </c>
      <c r="AJ311">
        <v>62.56</v>
      </c>
      <c r="AK311">
        <v>75.489999999999995</v>
      </c>
      <c r="AL311">
        <v>2.1890000000000001</v>
      </c>
      <c r="AM311">
        <v>0.46</v>
      </c>
      <c r="AN311">
        <v>0.01</v>
      </c>
      <c r="AO311">
        <v>79.34</v>
      </c>
      <c r="AP311">
        <v>93.83</v>
      </c>
      <c r="AQ311">
        <v>93.11</v>
      </c>
      <c r="AR311">
        <v>91.65</v>
      </c>
      <c r="AS311">
        <v>88.34</v>
      </c>
      <c r="AT311">
        <v>87.8</v>
      </c>
      <c r="AU311">
        <v>84.87</v>
      </c>
      <c r="AV311">
        <v>412.1388</v>
      </c>
      <c r="AW311">
        <v>783.06380000000001</v>
      </c>
      <c r="AX311">
        <f t="shared" si="81"/>
        <v>22912.446788000001</v>
      </c>
      <c r="AY311">
        <f t="shared" si="82"/>
        <v>22426.947232000002</v>
      </c>
      <c r="AZ311">
        <f t="shared" si="83"/>
        <v>10453.90173</v>
      </c>
      <c r="BA311">
        <f t="shared" si="75"/>
        <v>0</v>
      </c>
      <c r="BB311">
        <f t="shared" si="76"/>
        <v>0</v>
      </c>
      <c r="BC311">
        <f t="shared" si="77"/>
        <v>783.06380000000001</v>
      </c>
      <c r="BD311">
        <f t="shared" si="78"/>
        <v>0</v>
      </c>
      <c r="BE311">
        <f t="shared" si="79"/>
        <v>0</v>
      </c>
      <c r="BF311">
        <f t="shared" si="80"/>
        <v>0</v>
      </c>
      <c r="BG311">
        <f t="shared" si="84"/>
        <v>627.89159399999994</v>
      </c>
      <c r="BH311">
        <f t="shared" si="85"/>
        <v>623.07349799999997</v>
      </c>
      <c r="BI311">
        <f t="shared" si="86"/>
        <v>613.30347000000006</v>
      </c>
      <c r="BJ311">
        <f t="shared" si="87"/>
        <v>591.15361199999995</v>
      </c>
      <c r="BK311">
        <f t="shared" si="88"/>
        <v>587.54003999999998</v>
      </c>
      <c r="BL311">
        <f t="shared" si="89"/>
        <v>567.93306600000005</v>
      </c>
    </row>
    <row r="312" spans="1:64">
      <c r="A312" t="str">
        <f t="shared" si="74"/>
        <v>31</v>
      </c>
      <c r="B312" t="s">
        <v>605</v>
      </c>
      <c r="C312" t="s">
        <v>690</v>
      </c>
      <c r="D312">
        <v>6</v>
      </c>
      <c r="E312">
        <v>4</v>
      </c>
      <c r="F312">
        <v>6</v>
      </c>
      <c r="G312">
        <v>2</v>
      </c>
      <c r="H312">
        <v>100</v>
      </c>
      <c r="I312" t="s">
        <v>607</v>
      </c>
      <c r="J312">
        <v>0.53600000000000003</v>
      </c>
      <c r="K312">
        <v>227.32550000000001</v>
      </c>
      <c r="L312">
        <v>3.0800000000000001E-2</v>
      </c>
      <c r="M312">
        <v>1.0603</v>
      </c>
      <c r="N312">
        <v>26.6372</v>
      </c>
      <c r="O312">
        <v>92.709699999999998</v>
      </c>
      <c r="P312">
        <v>264.02379999999999</v>
      </c>
      <c r="Q312">
        <v>170.16730000000001</v>
      </c>
      <c r="R312">
        <v>0.31280000000000002</v>
      </c>
      <c r="S312">
        <v>1.5559000000000001</v>
      </c>
      <c r="T312">
        <v>0</v>
      </c>
      <c r="U312">
        <v>5.11E-2</v>
      </c>
      <c r="V312">
        <v>0.63859999999999995</v>
      </c>
      <c r="W312">
        <v>13.2097</v>
      </c>
      <c r="X312">
        <v>293.0145</v>
      </c>
      <c r="Y312">
        <v>271.66919999999999</v>
      </c>
      <c r="Z312">
        <v>300.9246</v>
      </c>
      <c r="AA312">
        <v>1019.7992</v>
      </c>
      <c r="AB312">
        <v>7.2742000000000004</v>
      </c>
      <c r="AC312">
        <v>30.931000000000001</v>
      </c>
      <c r="AD312">
        <v>107.05329999999999</v>
      </c>
      <c r="AE312">
        <v>8.7396999999999991</v>
      </c>
      <c r="AF312">
        <v>6007.152</v>
      </c>
      <c r="AG312">
        <v>99.941100000000006</v>
      </c>
      <c r="AH312">
        <v>10.1808</v>
      </c>
      <c r="AI312">
        <v>90.850399999999993</v>
      </c>
      <c r="AJ312">
        <v>75.831900000000005</v>
      </c>
      <c r="AK312">
        <v>85.127600000000001</v>
      </c>
      <c r="AL312">
        <v>1.3419000000000001</v>
      </c>
      <c r="AM312">
        <v>2.0142000000000002</v>
      </c>
      <c r="AN312">
        <v>5.4000000000000003E-3</v>
      </c>
      <c r="AO312">
        <v>112.4982</v>
      </c>
      <c r="AP312">
        <v>96.007999999999996</v>
      </c>
      <c r="AQ312">
        <v>95.5124</v>
      </c>
      <c r="AR312">
        <v>94.491699999999994</v>
      </c>
      <c r="AS312">
        <v>90.979799999999997</v>
      </c>
      <c r="AT312">
        <v>90.383300000000006</v>
      </c>
      <c r="AU312">
        <v>87.437399999999997</v>
      </c>
      <c r="AV312">
        <v>19760.07</v>
      </c>
      <c r="AW312">
        <v>52498.249300000003</v>
      </c>
      <c r="AX312">
        <f t="shared" si="81"/>
        <v>1623823.3490983001</v>
      </c>
      <c r="AY312">
        <f t="shared" si="82"/>
        <v>5246732.7831162307</v>
      </c>
      <c r="AZ312">
        <f t="shared" si="83"/>
        <v>693486.12377821002</v>
      </c>
      <c r="BA312">
        <f t="shared" si="75"/>
        <v>0</v>
      </c>
      <c r="BB312">
        <f t="shared" si="76"/>
        <v>0</v>
      </c>
      <c r="BC312">
        <f t="shared" si="77"/>
        <v>52498.249300000003</v>
      </c>
      <c r="BD312">
        <f t="shared" si="78"/>
        <v>0</v>
      </c>
      <c r="BE312">
        <f t="shared" si="79"/>
        <v>0</v>
      </c>
      <c r="BF312">
        <f t="shared" si="80"/>
        <v>0</v>
      </c>
      <c r="BG312">
        <f t="shared" si="84"/>
        <v>28131.736116</v>
      </c>
      <c r="BH312">
        <f t="shared" si="85"/>
        <v>27986.518129799999</v>
      </c>
      <c r="BI312">
        <f t="shared" si="86"/>
        <v>27687.438229649997</v>
      </c>
      <c r="BJ312">
        <f t="shared" si="87"/>
        <v>26658.4006071</v>
      </c>
      <c r="BK312">
        <f t="shared" si="88"/>
        <v>26483.617457850003</v>
      </c>
      <c r="BL312">
        <f t="shared" si="89"/>
        <v>25620.426042299998</v>
      </c>
    </row>
    <row r="313" spans="1:64">
      <c r="A313" t="str">
        <f t="shared" si="74"/>
        <v>00</v>
      </c>
      <c r="B313" t="s">
        <v>605</v>
      </c>
      <c r="C313" t="s">
        <v>691</v>
      </c>
      <c r="D313">
        <v>2</v>
      </c>
      <c r="E313">
        <v>1</v>
      </c>
      <c r="F313">
        <v>6</v>
      </c>
      <c r="G313">
        <v>4</v>
      </c>
      <c r="H313">
        <v>100</v>
      </c>
      <c r="I313" t="s">
        <v>609</v>
      </c>
      <c r="J313">
        <v>6.7199999999999996E-2</v>
      </c>
      <c r="K313">
        <v>39.823799999999999</v>
      </c>
      <c r="L313">
        <v>7.9000000000000008E-3</v>
      </c>
      <c r="M313">
        <v>0.77580000000000005</v>
      </c>
      <c r="N313">
        <v>36.494199999999999</v>
      </c>
      <c r="O313">
        <v>63.588200000000001</v>
      </c>
      <c r="P313">
        <v>600.54269999999997</v>
      </c>
      <c r="Q313">
        <v>217.73070000000001</v>
      </c>
      <c r="R313">
        <v>0.10299999999999999</v>
      </c>
      <c r="S313">
        <v>0.10539999999999999</v>
      </c>
      <c r="T313">
        <v>4.3999999999999997E-2</v>
      </c>
      <c r="U313">
        <v>5.9999999999999995E-4</v>
      </c>
      <c r="V313">
        <v>8.5400000000000004E-2</v>
      </c>
      <c r="W313">
        <v>12.2906</v>
      </c>
      <c r="X313">
        <v>11.6525</v>
      </c>
      <c r="Y313">
        <v>7.4606000000000003</v>
      </c>
      <c r="Z313">
        <v>9.2019000000000002</v>
      </c>
      <c r="AA313">
        <v>23.4892</v>
      </c>
      <c r="AB313">
        <v>65.328299999999999</v>
      </c>
      <c r="AC313">
        <v>41.282400000000003</v>
      </c>
      <c r="AD313">
        <v>66.296199999999999</v>
      </c>
      <c r="AE313">
        <v>2.2355999999999998</v>
      </c>
      <c r="AF313">
        <v>7761.4353000000001</v>
      </c>
      <c r="AG313">
        <v>61.258099999999999</v>
      </c>
      <c r="AH313">
        <v>0.52590000000000003</v>
      </c>
      <c r="AI313">
        <v>86.473100000000002</v>
      </c>
      <c r="AJ313">
        <v>54.222200000000001</v>
      </c>
      <c r="AK313">
        <v>76.070999999999998</v>
      </c>
      <c r="AL313">
        <v>1.7554000000000001</v>
      </c>
      <c r="AM313">
        <v>0.05</v>
      </c>
      <c r="AN313">
        <v>5.4000000000000003E-3</v>
      </c>
      <c r="AO313">
        <v>93.680999999999997</v>
      </c>
      <c r="AP313">
        <v>31.096</v>
      </c>
      <c r="AQ313">
        <v>29.931000000000001</v>
      </c>
      <c r="AR313">
        <v>27.419</v>
      </c>
      <c r="AS313">
        <v>21.302</v>
      </c>
      <c r="AT313">
        <v>19.989999999999998</v>
      </c>
      <c r="AU313">
        <v>17.315000000000001</v>
      </c>
      <c r="AV313">
        <v>6983.0486000000001</v>
      </c>
      <c r="AW313">
        <v>17349.9205</v>
      </c>
      <c r="AX313">
        <f t="shared" si="81"/>
        <v>716246.35804920003</v>
      </c>
      <c r="AY313">
        <f t="shared" si="82"/>
        <v>1062823.16498105</v>
      </c>
      <c r="AZ313">
        <f t="shared" si="83"/>
        <v>213240.93289729999</v>
      </c>
      <c r="BA313">
        <f t="shared" si="75"/>
        <v>17349.9205</v>
      </c>
      <c r="BB313">
        <f t="shared" si="76"/>
        <v>0</v>
      </c>
      <c r="BC313">
        <f t="shared" si="77"/>
        <v>0</v>
      </c>
      <c r="BD313">
        <f t="shared" si="78"/>
        <v>0</v>
      </c>
      <c r="BE313">
        <f t="shared" si="79"/>
        <v>0</v>
      </c>
      <c r="BF313">
        <f t="shared" si="80"/>
        <v>0</v>
      </c>
      <c r="BG313">
        <f t="shared" si="84"/>
        <v>362.34613999999999</v>
      </c>
      <c r="BH313">
        <f t="shared" si="85"/>
        <v>348.77097750000001</v>
      </c>
      <c r="BI313">
        <f t="shared" si="86"/>
        <v>319.49989749999997</v>
      </c>
      <c r="BJ313">
        <f t="shared" si="87"/>
        <v>248.221555</v>
      </c>
      <c r="BK313">
        <f t="shared" si="88"/>
        <v>232.93347499999999</v>
      </c>
      <c r="BL313">
        <f t="shared" si="89"/>
        <v>201.76303750000002</v>
      </c>
    </row>
    <row r="314" spans="1:64">
      <c r="A314" t="str">
        <f t="shared" si="74"/>
        <v>00</v>
      </c>
      <c r="B314" t="s">
        <v>605</v>
      </c>
      <c r="C314" t="s">
        <v>691</v>
      </c>
      <c r="D314">
        <v>2</v>
      </c>
      <c r="E314">
        <v>1</v>
      </c>
      <c r="F314">
        <v>6</v>
      </c>
      <c r="G314">
        <v>4</v>
      </c>
      <c r="H314">
        <v>200</v>
      </c>
      <c r="I314" t="s">
        <v>609</v>
      </c>
      <c r="J314">
        <v>7.1099999999999997E-2</v>
      </c>
      <c r="K314">
        <v>38.853000000000002</v>
      </c>
      <c r="L314">
        <v>7.4000000000000003E-3</v>
      </c>
      <c r="M314">
        <v>0.8216</v>
      </c>
      <c r="N314">
        <v>21.061499999999999</v>
      </c>
      <c r="O314">
        <v>64.061899999999994</v>
      </c>
      <c r="P314">
        <v>600.54269999999997</v>
      </c>
      <c r="Q314">
        <v>220.97579999999999</v>
      </c>
      <c r="R314">
        <v>0.2167</v>
      </c>
      <c r="S314">
        <v>6.83E-2</v>
      </c>
      <c r="T314">
        <v>7.6799999999999993E-2</v>
      </c>
      <c r="U314">
        <v>0</v>
      </c>
      <c r="V314">
        <v>8.8900000000000007E-2</v>
      </c>
      <c r="W314">
        <v>12.4335</v>
      </c>
      <c r="X314">
        <v>4.1740000000000004</v>
      </c>
      <c r="Y314">
        <v>2.6745000000000001</v>
      </c>
      <c r="Z314">
        <v>3.2402000000000002</v>
      </c>
      <c r="AA314">
        <v>12.2585</v>
      </c>
      <c r="AB314">
        <v>64.081100000000006</v>
      </c>
      <c r="AC314">
        <v>41.778500000000001</v>
      </c>
      <c r="AD314">
        <v>67.421300000000002</v>
      </c>
      <c r="AE314">
        <v>0.753</v>
      </c>
      <c r="AF314">
        <v>7791.0267999999996</v>
      </c>
      <c r="AG314">
        <v>62.078099999999999</v>
      </c>
      <c r="AH314">
        <v>0.17319999999999999</v>
      </c>
      <c r="AI314">
        <v>86.418400000000005</v>
      </c>
      <c r="AJ314">
        <v>54.21</v>
      </c>
      <c r="AK314">
        <v>75.960499999999996</v>
      </c>
      <c r="AL314">
        <v>2.0634000000000001</v>
      </c>
      <c r="AM314">
        <v>0.05</v>
      </c>
      <c r="AN314">
        <v>4.7000000000000002E-3</v>
      </c>
      <c r="AO314">
        <v>93.9251</v>
      </c>
      <c r="AP314">
        <v>31.096</v>
      </c>
      <c r="AQ314">
        <v>29.931000000000001</v>
      </c>
      <c r="AR314">
        <v>27.419</v>
      </c>
      <c r="AS314">
        <v>21.302</v>
      </c>
      <c r="AT314">
        <v>19.989999999999998</v>
      </c>
      <c r="AU314">
        <v>17.315000000000001</v>
      </c>
      <c r="AV314">
        <v>2358.0509999999999</v>
      </c>
      <c r="AW314">
        <v>5866.8279000000002</v>
      </c>
      <c r="AX314">
        <f t="shared" si="81"/>
        <v>245107.26942015003</v>
      </c>
      <c r="AY314">
        <f t="shared" si="82"/>
        <v>364201.52905899001</v>
      </c>
      <c r="AZ314">
        <f t="shared" si="83"/>
        <v>72945.204694650005</v>
      </c>
      <c r="BA314">
        <f t="shared" si="75"/>
        <v>5866.8279000000002</v>
      </c>
      <c r="BB314">
        <f t="shared" si="76"/>
        <v>0</v>
      </c>
      <c r="BC314">
        <f t="shared" si="77"/>
        <v>0</v>
      </c>
      <c r="BD314">
        <f t="shared" si="78"/>
        <v>0</v>
      </c>
      <c r="BE314">
        <f t="shared" si="79"/>
        <v>0</v>
      </c>
      <c r="BF314">
        <f t="shared" si="80"/>
        <v>0</v>
      </c>
      <c r="BG314">
        <f t="shared" si="84"/>
        <v>129.79470400000002</v>
      </c>
      <c r="BH314">
        <f t="shared" si="85"/>
        <v>124.93199400000002</v>
      </c>
      <c r="BI314">
        <f t="shared" si="86"/>
        <v>114.44690600000001</v>
      </c>
      <c r="BJ314">
        <f t="shared" si="87"/>
        <v>88.914548000000011</v>
      </c>
      <c r="BK314">
        <f t="shared" si="88"/>
        <v>83.43826</v>
      </c>
      <c r="BL314">
        <f t="shared" si="89"/>
        <v>72.272810000000007</v>
      </c>
    </row>
    <row r="315" spans="1:64">
      <c r="A315" t="str">
        <f t="shared" si="74"/>
        <v>00</v>
      </c>
      <c r="B315" t="s">
        <v>605</v>
      </c>
      <c r="C315" t="s">
        <v>691</v>
      </c>
      <c r="D315">
        <v>2</v>
      </c>
      <c r="E315">
        <v>8</v>
      </c>
      <c r="F315">
        <v>16</v>
      </c>
      <c r="G315">
        <v>2</v>
      </c>
      <c r="H315">
        <v>200</v>
      </c>
      <c r="I315" t="s">
        <v>609</v>
      </c>
      <c r="J315">
        <v>0.11550000000000001</v>
      </c>
      <c r="K315">
        <v>14.347099999999999</v>
      </c>
      <c r="L315">
        <v>8.2000000000000007E-3</v>
      </c>
      <c r="M315">
        <v>0.83740000000000003</v>
      </c>
      <c r="N315">
        <v>21.052900000000001</v>
      </c>
      <c r="O315">
        <v>83.404499999999999</v>
      </c>
      <c r="P315">
        <v>1417.0907999999999</v>
      </c>
      <c r="Q315">
        <v>191.22380000000001</v>
      </c>
      <c r="R315">
        <v>2.5116999999999998</v>
      </c>
      <c r="S315">
        <v>0.18079999999999999</v>
      </c>
      <c r="T315">
        <v>2.93E-2</v>
      </c>
      <c r="U315">
        <v>2.9999999999999997E-4</v>
      </c>
      <c r="V315">
        <v>9.7000000000000003E-2</v>
      </c>
      <c r="W315">
        <v>13.1305</v>
      </c>
      <c r="X315">
        <v>8.0846999999999998</v>
      </c>
      <c r="Y315">
        <v>5.0568999999999997</v>
      </c>
      <c r="Z315">
        <v>5.1623000000000001</v>
      </c>
      <c r="AA315">
        <v>25.005199999999999</v>
      </c>
      <c r="AB315">
        <v>51.030099999999997</v>
      </c>
      <c r="AC315">
        <v>31.121200000000002</v>
      </c>
      <c r="AD315">
        <v>92.598600000000005</v>
      </c>
      <c r="AE315">
        <v>1.177</v>
      </c>
      <c r="AF315">
        <v>7047.5667000000003</v>
      </c>
      <c r="AG315">
        <v>63.951900000000002</v>
      </c>
      <c r="AH315">
        <v>7.4200000000000002E-2</v>
      </c>
      <c r="AI315">
        <v>82.840800000000002</v>
      </c>
      <c r="AJ315">
        <v>55.461100000000002</v>
      </c>
      <c r="AK315">
        <v>49.8095</v>
      </c>
      <c r="AL315">
        <v>2.7713999999999999</v>
      </c>
      <c r="AM315">
        <v>0.05</v>
      </c>
      <c r="AN315">
        <v>4.1999999999999997E-3</v>
      </c>
      <c r="AO315">
        <v>82.348500000000001</v>
      </c>
      <c r="AP315">
        <v>80.161000000000001</v>
      </c>
      <c r="AQ315">
        <v>78.566900000000004</v>
      </c>
      <c r="AR315">
        <v>75.259900000000002</v>
      </c>
      <c r="AS315">
        <v>68.359700000000004</v>
      </c>
      <c r="AT315">
        <v>67.317499999999995</v>
      </c>
      <c r="AU315">
        <v>61.0749</v>
      </c>
      <c r="AV315">
        <v>3758.5889000000002</v>
      </c>
      <c r="AW315">
        <v>8294.6576999999997</v>
      </c>
      <c r="AX315">
        <f t="shared" si="81"/>
        <v>258139.70121324001</v>
      </c>
      <c r="AY315">
        <f t="shared" si="82"/>
        <v>530459.11976462998</v>
      </c>
      <c r="AZ315">
        <f t="shared" si="83"/>
        <v>108913.00292984999</v>
      </c>
      <c r="BA315">
        <f t="shared" si="75"/>
        <v>0</v>
      </c>
      <c r="BB315">
        <f t="shared" si="76"/>
        <v>0</v>
      </c>
      <c r="BC315">
        <f t="shared" si="77"/>
        <v>0</v>
      </c>
      <c r="BD315">
        <f t="shared" si="78"/>
        <v>0</v>
      </c>
      <c r="BE315">
        <f t="shared" si="79"/>
        <v>0</v>
      </c>
      <c r="BF315">
        <f t="shared" si="80"/>
        <v>8294.6576999999997</v>
      </c>
      <c r="BG315">
        <f t="shared" si="84"/>
        <v>648.07763669999997</v>
      </c>
      <c r="BH315">
        <f t="shared" si="85"/>
        <v>635.18981643000006</v>
      </c>
      <c r="BI315">
        <f t="shared" si="86"/>
        <v>608.45371352999996</v>
      </c>
      <c r="BJ315">
        <f t="shared" si="87"/>
        <v>552.66766659000007</v>
      </c>
      <c r="BK315">
        <f t="shared" si="88"/>
        <v>544.24179225</v>
      </c>
      <c r="BL315">
        <f t="shared" si="89"/>
        <v>493.77224402999997</v>
      </c>
    </row>
    <row r="316" spans="1:64">
      <c r="A316" t="str">
        <f t="shared" si="74"/>
        <v>00</v>
      </c>
      <c r="B316" t="s">
        <v>605</v>
      </c>
      <c r="C316" t="s">
        <v>691</v>
      </c>
      <c r="D316">
        <v>2</v>
      </c>
      <c r="E316">
        <v>8</v>
      </c>
      <c r="F316">
        <v>16</v>
      </c>
      <c r="G316">
        <v>4</v>
      </c>
      <c r="H316">
        <v>100</v>
      </c>
      <c r="I316" t="s">
        <v>609</v>
      </c>
      <c r="J316">
        <v>5.8599999999999999E-2</v>
      </c>
      <c r="K316">
        <v>23.401199999999999</v>
      </c>
      <c r="L316">
        <v>7.4000000000000003E-3</v>
      </c>
      <c r="M316">
        <v>0.87539999999999996</v>
      </c>
      <c r="N316">
        <v>17.881</v>
      </c>
      <c r="O316">
        <v>85.436700000000002</v>
      </c>
      <c r="P316">
        <v>600.54269999999997</v>
      </c>
      <c r="Q316">
        <v>188.05170000000001</v>
      </c>
      <c r="R316">
        <v>1.21</v>
      </c>
      <c r="S316">
        <v>0.14319999999999999</v>
      </c>
      <c r="T316">
        <v>1.09E-2</v>
      </c>
      <c r="U316">
        <v>8.9999999999999998E-4</v>
      </c>
      <c r="V316">
        <v>6.6299999999999998E-2</v>
      </c>
      <c r="W316">
        <v>13.087400000000001</v>
      </c>
      <c r="X316">
        <v>3.8113000000000001</v>
      </c>
      <c r="Y316">
        <v>3.2557999999999998</v>
      </c>
      <c r="Z316">
        <v>3.569</v>
      </c>
      <c r="AA316">
        <v>18.208300000000001</v>
      </c>
      <c r="AB316">
        <v>86.8934</v>
      </c>
      <c r="AC316">
        <v>29.468599999999999</v>
      </c>
      <c r="AD316">
        <v>100.15479999999999</v>
      </c>
      <c r="AE316">
        <v>0.9173</v>
      </c>
      <c r="AF316">
        <v>7094.2449999999999</v>
      </c>
      <c r="AG316">
        <v>61.678199999999997</v>
      </c>
      <c r="AH316">
        <v>0.11219999999999999</v>
      </c>
      <c r="AI316">
        <v>85.005799999999994</v>
      </c>
      <c r="AJ316">
        <v>54.21</v>
      </c>
      <c r="AK316">
        <v>73.156199999999998</v>
      </c>
      <c r="AL316">
        <v>1.5443</v>
      </c>
      <c r="AM316">
        <v>0.05</v>
      </c>
      <c r="AN316">
        <v>0</v>
      </c>
      <c r="AO316">
        <v>87.539299999999997</v>
      </c>
      <c r="AP316">
        <v>83.090599999999995</v>
      </c>
      <c r="AQ316">
        <v>81.475999999999999</v>
      </c>
      <c r="AR316">
        <v>77.678600000000003</v>
      </c>
      <c r="AS316">
        <v>70.270499999999998</v>
      </c>
      <c r="AT316">
        <v>69.321100000000001</v>
      </c>
      <c r="AU316">
        <v>61.955199999999998</v>
      </c>
      <c r="AV316">
        <v>2606.7736</v>
      </c>
      <c r="AW316">
        <v>6507.3680999999997</v>
      </c>
      <c r="AX316">
        <f t="shared" si="81"/>
        <v>191763.02759165998</v>
      </c>
      <c r="AY316">
        <f t="shared" si="82"/>
        <v>401362.75114541996</v>
      </c>
      <c r="AZ316">
        <f t="shared" si="83"/>
        <v>85164.529271940002</v>
      </c>
      <c r="BA316">
        <f t="shared" si="75"/>
        <v>0</v>
      </c>
      <c r="BB316">
        <f t="shared" si="76"/>
        <v>0</v>
      </c>
      <c r="BC316">
        <f t="shared" si="77"/>
        <v>0</v>
      </c>
      <c r="BD316">
        <f t="shared" si="78"/>
        <v>0</v>
      </c>
      <c r="BE316">
        <f t="shared" si="79"/>
        <v>0</v>
      </c>
      <c r="BF316">
        <f t="shared" si="80"/>
        <v>6507.3680999999997</v>
      </c>
      <c r="BG316">
        <f t="shared" si="84"/>
        <v>316.68320377999999</v>
      </c>
      <c r="BH316">
        <f t="shared" si="85"/>
        <v>310.52947879999999</v>
      </c>
      <c r="BI316">
        <f t="shared" si="86"/>
        <v>296.05644818000002</v>
      </c>
      <c r="BJ316">
        <f t="shared" si="87"/>
        <v>267.82195665</v>
      </c>
      <c r="BK316">
        <f t="shared" si="88"/>
        <v>264.20350843</v>
      </c>
      <c r="BL316">
        <f t="shared" si="89"/>
        <v>236.12985376</v>
      </c>
    </row>
    <row r="317" spans="1:64">
      <c r="A317" t="str">
        <f t="shared" si="74"/>
        <v>00</v>
      </c>
      <c r="B317" t="s">
        <v>605</v>
      </c>
      <c r="C317" t="s">
        <v>691</v>
      </c>
      <c r="D317">
        <v>2</v>
      </c>
      <c r="E317">
        <v>8</v>
      </c>
      <c r="F317">
        <v>16</v>
      </c>
      <c r="G317">
        <v>4</v>
      </c>
      <c r="H317">
        <v>200</v>
      </c>
      <c r="I317" t="s">
        <v>609</v>
      </c>
      <c r="J317">
        <v>0.12570000000000001</v>
      </c>
      <c r="K317">
        <v>15.4856</v>
      </c>
      <c r="L317">
        <v>7.6E-3</v>
      </c>
      <c r="M317">
        <v>0.81420000000000003</v>
      </c>
      <c r="N317">
        <v>19.344899999999999</v>
      </c>
      <c r="O317">
        <v>84.501499999999993</v>
      </c>
      <c r="P317">
        <v>977.39419999999996</v>
      </c>
      <c r="Q317">
        <v>189.50120000000001</v>
      </c>
      <c r="R317">
        <v>2.1053000000000002</v>
      </c>
      <c r="S317">
        <v>0.20080000000000001</v>
      </c>
      <c r="T317">
        <v>5.3900000000000003E-2</v>
      </c>
      <c r="U317">
        <v>8.9999999999999998E-4</v>
      </c>
      <c r="V317">
        <v>0.13689999999999999</v>
      </c>
      <c r="W317">
        <v>13.1235</v>
      </c>
      <c r="X317">
        <v>43.834600000000002</v>
      </c>
      <c r="Y317">
        <v>32.031500000000001</v>
      </c>
      <c r="Z317">
        <v>32.057899999999997</v>
      </c>
      <c r="AA317">
        <v>163.29419999999999</v>
      </c>
      <c r="AB317">
        <v>80.422799999999995</v>
      </c>
      <c r="AC317">
        <v>30.217400000000001</v>
      </c>
      <c r="AD317">
        <v>96.560900000000004</v>
      </c>
      <c r="AE317">
        <v>4.0235000000000003</v>
      </c>
      <c r="AF317">
        <v>7064.8669</v>
      </c>
      <c r="AG317">
        <v>62.523200000000003</v>
      </c>
      <c r="AH317">
        <v>0.3014</v>
      </c>
      <c r="AI317">
        <v>83.608999999999995</v>
      </c>
      <c r="AJ317">
        <v>54.787399999999998</v>
      </c>
      <c r="AK317">
        <v>61.731400000000001</v>
      </c>
      <c r="AL317">
        <v>2.5926</v>
      </c>
      <c r="AM317">
        <v>0.05</v>
      </c>
      <c r="AN317">
        <v>2.5000000000000001E-3</v>
      </c>
      <c r="AO317">
        <v>85.264899999999997</v>
      </c>
      <c r="AP317">
        <v>81.746899999999997</v>
      </c>
      <c r="AQ317">
        <v>80.140799999999999</v>
      </c>
      <c r="AR317">
        <v>76.5655</v>
      </c>
      <c r="AS317">
        <v>69.390799999999999</v>
      </c>
      <c r="AT317">
        <v>68.398499999999999</v>
      </c>
      <c r="AU317">
        <v>61.550699999999999</v>
      </c>
      <c r="AV317">
        <v>12075.2125</v>
      </c>
      <c r="AW317">
        <v>28425.2664</v>
      </c>
      <c r="AX317">
        <f t="shared" si="81"/>
        <v>858937.64491536003</v>
      </c>
      <c r="AY317">
        <f t="shared" si="82"/>
        <v>1777238.61618048</v>
      </c>
      <c r="AZ317">
        <f t="shared" si="83"/>
        <v>373038.98360039998</v>
      </c>
      <c r="BA317">
        <f t="shared" si="75"/>
        <v>0</v>
      </c>
      <c r="BB317">
        <f t="shared" si="76"/>
        <v>0</v>
      </c>
      <c r="BC317">
        <f t="shared" si="77"/>
        <v>0</v>
      </c>
      <c r="BD317">
        <f t="shared" si="78"/>
        <v>0</v>
      </c>
      <c r="BE317">
        <f t="shared" si="79"/>
        <v>0</v>
      </c>
      <c r="BF317">
        <f t="shared" si="80"/>
        <v>28425.2664</v>
      </c>
      <c r="BG317">
        <f t="shared" si="84"/>
        <v>3583.3426627399999</v>
      </c>
      <c r="BH317">
        <f t="shared" si="85"/>
        <v>3512.93991168</v>
      </c>
      <c r="BI317">
        <f t="shared" si="86"/>
        <v>3356.2180662999999</v>
      </c>
      <c r="BJ317">
        <f t="shared" si="87"/>
        <v>3041.7179616799999</v>
      </c>
      <c r="BK317">
        <f t="shared" si="88"/>
        <v>2998.2208881000001</v>
      </c>
      <c r="BL317">
        <f t="shared" si="89"/>
        <v>2698.05031422</v>
      </c>
    </row>
    <row r="318" spans="1:64">
      <c r="A318" t="str">
        <f t="shared" si="74"/>
        <v>00</v>
      </c>
      <c r="B318" t="s">
        <v>605</v>
      </c>
      <c r="C318" t="s">
        <v>691</v>
      </c>
      <c r="D318">
        <v>7</v>
      </c>
      <c r="E318">
        <v>1</v>
      </c>
      <c r="F318">
        <v>16</v>
      </c>
      <c r="G318">
        <v>3</v>
      </c>
      <c r="H318">
        <v>300</v>
      </c>
      <c r="I318" t="s">
        <v>609</v>
      </c>
      <c r="J318">
        <v>0.17</v>
      </c>
      <c r="K318">
        <v>18.329999999999998</v>
      </c>
      <c r="L318">
        <v>1.0699999999999999E-2</v>
      </c>
      <c r="M318">
        <v>0.77649999999999997</v>
      </c>
      <c r="N318">
        <v>25.36</v>
      </c>
      <c r="O318">
        <v>80.790000000000006</v>
      </c>
      <c r="P318">
        <v>2525.8501000000001</v>
      </c>
      <c r="Q318">
        <v>193.99</v>
      </c>
      <c r="R318">
        <v>2.23</v>
      </c>
      <c r="S318">
        <v>0.28999999999999998</v>
      </c>
      <c r="T318">
        <v>0</v>
      </c>
      <c r="U318">
        <v>0</v>
      </c>
      <c r="V318">
        <v>5.2400000000000002E-2</v>
      </c>
      <c r="W318">
        <v>12.96</v>
      </c>
      <c r="X318">
        <v>4.7542999999999997</v>
      </c>
      <c r="Y318">
        <v>3.9533</v>
      </c>
      <c r="Z318">
        <v>3.9630999999999998</v>
      </c>
      <c r="AA318">
        <v>15.588900000000001</v>
      </c>
      <c r="AB318">
        <v>46.07</v>
      </c>
      <c r="AC318">
        <v>33.43</v>
      </c>
      <c r="AD318">
        <v>55</v>
      </c>
      <c r="AE318">
        <v>0.67130000000000001</v>
      </c>
      <c r="AF318">
        <v>7023.82</v>
      </c>
      <c r="AG318">
        <v>-99</v>
      </c>
      <c r="AH318">
        <v>3.8899999999999997E-2</v>
      </c>
      <c r="AI318">
        <v>82.19</v>
      </c>
      <c r="AJ318">
        <v>57.16</v>
      </c>
      <c r="AK318">
        <v>19.9895</v>
      </c>
      <c r="AL318">
        <v>3.21</v>
      </c>
      <c r="AM318">
        <v>0.05</v>
      </c>
      <c r="AN318">
        <v>0.01</v>
      </c>
      <c r="AO318">
        <v>83.227900000000005</v>
      </c>
      <c r="AP318">
        <v>76.260000000000005</v>
      </c>
      <c r="AQ318">
        <v>74.72</v>
      </c>
      <c r="AR318">
        <v>72.209999999999994</v>
      </c>
      <c r="AS318">
        <v>65.97</v>
      </c>
      <c r="AT318">
        <v>64.81</v>
      </c>
      <c r="AU318">
        <v>60.14</v>
      </c>
      <c r="AV318">
        <v>2481.5214999999998</v>
      </c>
      <c r="AW318">
        <v>4714.8908000000001</v>
      </c>
      <c r="AX318">
        <f t="shared" si="81"/>
        <v>157618.799444</v>
      </c>
      <c r="AY318">
        <f t="shared" si="82"/>
        <v>-466774.18920000002</v>
      </c>
      <c r="AZ318">
        <f t="shared" si="83"/>
        <v>61104.984768000002</v>
      </c>
      <c r="BA318">
        <f t="shared" si="75"/>
        <v>4714.8908000000001</v>
      </c>
      <c r="BB318">
        <f t="shared" si="76"/>
        <v>0</v>
      </c>
      <c r="BC318">
        <f t="shared" si="77"/>
        <v>0</v>
      </c>
      <c r="BD318">
        <f t="shared" si="78"/>
        <v>0</v>
      </c>
      <c r="BE318">
        <f t="shared" si="79"/>
        <v>0</v>
      </c>
      <c r="BF318">
        <f t="shared" si="80"/>
        <v>0</v>
      </c>
      <c r="BG318">
        <f t="shared" si="84"/>
        <v>362.56291800000002</v>
      </c>
      <c r="BH318">
        <f t="shared" si="85"/>
        <v>355.24129599999998</v>
      </c>
      <c r="BI318">
        <f t="shared" si="86"/>
        <v>343.30800299999993</v>
      </c>
      <c r="BJ318">
        <f t="shared" si="87"/>
        <v>313.64117099999999</v>
      </c>
      <c r="BK318">
        <f t="shared" si="88"/>
        <v>308.12618299999997</v>
      </c>
      <c r="BL318">
        <f t="shared" si="89"/>
        <v>285.92360199999996</v>
      </c>
    </row>
    <row r="319" spans="1:64">
      <c r="A319" t="str">
        <f t="shared" si="74"/>
        <v>00</v>
      </c>
      <c r="B319" t="s">
        <v>605</v>
      </c>
      <c r="C319" t="s">
        <v>691</v>
      </c>
      <c r="D319">
        <v>7</v>
      </c>
      <c r="E319">
        <v>8</v>
      </c>
      <c r="F319">
        <v>16</v>
      </c>
      <c r="G319">
        <v>2</v>
      </c>
      <c r="H319">
        <v>200</v>
      </c>
      <c r="I319" t="s">
        <v>609</v>
      </c>
      <c r="J319">
        <v>0.17</v>
      </c>
      <c r="K319">
        <v>18.329999999999998</v>
      </c>
      <c r="L319">
        <v>1.2200000000000001E-2</v>
      </c>
      <c r="M319">
        <v>0.94920000000000004</v>
      </c>
      <c r="N319">
        <v>25.36</v>
      </c>
      <c r="O319">
        <v>80.790000000000006</v>
      </c>
      <c r="P319">
        <v>2525.8501000000001</v>
      </c>
      <c r="Q319">
        <v>193.99</v>
      </c>
      <c r="R319">
        <v>2.23</v>
      </c>
      <c r="S319">
        <v>0.28999999999999998</v>
      </c>
      <c r="T319">
        <v>0</v>
      </c>
      <c r="U319">
        <v>0</v>
      </c>
      <c r="V319">
        <v>0.13070000000000001</v>
      </c>
      <c r="W319">
        <v>12.96</v>
      </c>
      <c r="X319">
        <v>1.7377</v>
      </c>
      <c r="Y319">
        <v>1.2853000000000001</v>
      </c>
      <c r="Z319">
        <v>1.2750999999999999</v>
      </c>
      <c r="AA319">
        <v>5.0681000000000003</v>
      </c>
      <c r="AB319">
        <v>46.07</v>
      </c>
      <c r="AC319">
        <v>33.43</v>
      </c>
      <c r="AD319">
        <v>84</v>
      </c>
      <c r="AE319">
        <v>0.1368</v>
      </c>
      <c r="AF319">
        <v>7023.82</v>
      </c>
      <c r="AG319">
        <v>64.311099999999996</v>
      </c>
      <c r="AH319">
        <v>9.1000000000000004E-3</v>
      </c>
      <c r="AI319">
        <v>82.19</v>
      </c>
      <c r="AJ319">
        <v>57.16</v>
      </c>
      <c r="AK319">
        <v>21.342400000000001</v>
      </c>
      <c r="AL319">
        <v>3.21</v>
      </c>
      <c r="AM319">
        <v>0.05</v>
      </c>
      <c r="AN319">
        <v>0.01</v>
      </c>
      <c r="AO319">
        <v>74.677700000000002</v>
      </c>
      <c r="AP319">
        <v>76.260000000000005</v>
      </c>
      <c r="AQ319">
        <v>74.72</v>
      </c>
      <c r="AR319">
        <v>72.209999999999994</v>
      </c>
      <c r="AS319">
        <v>65.97</v>
      </c>
      <c r="AT319">
        <v>64.81</v>
      </c>
      <c r="AU319">
        <v>60.14</v>
      </c>
      <c r="AV319">
        <v>505.56470000000002</v>
      </c>
      <c r="AW319">
        <v>960.57280000000003</v>
      </c>
      <c r="AX319">
        <f t="shared" si="81"/>
        <v>32111.948704000002</v>
      </c>
      <c r="AY319">
        <f t="shared" si="82"/>
        <v>61775.493398079998</v>
      </c>
      <c r="AZ319">
        <f t="shared" si="83"/>
        <v>12449.023488000001</v>
      </c>
      <c r="BA319">
        <f t="shared" si="75"/>
        <v>0</v>
      </c>
      <c r="BB319">
        <f t="shared" si="76"/>
        <v>0</v>
      </c>
      <c r="BC319">
        <f t="shared" si="77"/>
        <v>0</v>
      </c>
      <c r="BD319">
        <f t="shared" si="78"/>
        <v>0</v>
      </c>
      <c r="BE319">
        <f t="shared" si="79"/>
        <v>0</v>
      </c>
      <c r="BF319">
        <f t="shared" si="80"/>
        <v>960.57280000000003</v>
      </c>
      <c r="BG319">
        <f t="shared" si="84"/>
        <v>132.51700200000002</v>
      </c>
      <c r="BH319">
        <f t="shared" si="85"/>
        <v>129.84094400000001</v>
      </c>
      <c r="BI319">
        <f t="shared" si="86"/>
        <v>125.47931699999999</v>
      </c>
      <c r="BJ319">
        <f t="shared" si="87"/>
        <v>114.63606900000001</v>
      </c>
      <c r="BK319">
        <f t="shared" si="88"/>
        <v>112.62033700000001</v>
      </c>
      <c r="BL319">
        <f t="shared" si="89"/>
        <v>104.505278</v>
      </c>
    </row>
    <row r="320" spans="1:64">
      <c r="A320" t="str">
        <f t="shared" si="74"/>
        <v>00</v>
      </c>
      <c r="B320" t="s">
        <v>605</v>
      </c>
      <c r="C320" t="s">
        <v>691</v>
      </c>
      <c r="D320">
        <v>7</v>
      </c>
      <c r="E320">
        <v>8</v>
      </c>
      <c r="F320">
        <v>16</v>
      </c>
      <c r="G320">
        <v>3</v>
      </c>
      <c r="H320">
        <v>200</v>
      </c>
      <c r="I320" t="s">
        <v>609</v>
      </c>
      <c r="J320">
        <v>0.13650000000000001</v>
      </c>
      <c r="K320">
        <v>9.1981000000000002</v>
      </c>
      <c r="L320">
        <v>7.7999999999999996E-3</v>
      </c>
      <c r="M320">
        <v>0.71519999999999995</v>
      </c>
      <c r="N320">
        <v>18.2197</v>
      </c>
      <c r="O320">
        <v>82.2136</v>
      </c>
      <c r="P320">
        <v>4410.5852000000004</v>
      </c>
      <c r="Q320">
        <v>181.56309999999999</v>
      </c>
      <c r="R320">
        <v>2.7734999999999999</v>
      </c>
      <c r="S320">
        <v>0.30980000000000002</v>
      </c>
      <c r="T320">
        <v>3.2199999999999999E-2</v>
      </c>
      <c r="U320">
        <v>1.5E-3</v>
      </c>
      <c r="V320">
        <v>0.1356</v>
      </c>
      <c r="W320">
        <v>12.771599999999999</v>
      </c>
      <c r="X320">
        <v>143.94149999999999</v>
      </c>
      <c r="Y320">
        <v>123.8456</v>
      </c>
      <c r="Z320">
        <v>122.05370000000001</v>
      </c>
      <c r="AA320">
        <v>684.60950000000003</v>
      </c>
      <c r="AB320">
        <v>15.9704</v>
      </c>
      <c r="AC320">
        <v>29.113399999999999</v>
      </c>
      <c r="AD320">
        <v>98.632199999999997</v>
      </c>
      <c r="AE320">
        <v>15.2845</v>
      </c>
      <c r="AF320">
        <v>6989.3388999999997</v>
      </c>
      <c r="AG320">
        <v>63.180799999999998</v>
      </c>
      <c r="AH320">
        <v>0.66779999999999995</v>
      </c>
      <c r="AI320">
        <v>82.580200000000005</v>
      </c>
      <c r="AJ320">
        <v>37.243299999999998</v>
      </c>
      <c r="AK320">
        <v>66.417100000000005</v>
      </c>
      <c r="AL320">
        <v>2.8300999999999998</v>
      </c>
      <c r="AM320">
        <v>0.05</v>
      </c>
      <c r="AN320">
        <v>6.4999999999999997E-3</v>
      </c>
      <c r="AO320">
        <v>88.004599999999996</v>
      </c>
      <c r="AP320">
        <v>84.879499999999993</v>
      </c>
      <c r="AQ320">
        <v>83.461500000000001</v>
      </c>
      <c r="AR320">
        <v>80.386899999999997</v>
      </c>
      <c r="AS320">
        <v>73.976600000000005</v>
      </c>
      <c r="AT320">
        <v>73.074600000000004</v>
      </c>
      <c r="AU320">
        <v>67.132599999999996</v>
      </c>
      <c r="AV320">
        <v>41473.587200000002</v>
      </c>
      <c r="AW320">
        <v>106822.2417</v>
      </c>
      <c r="AX320">
        <f t="shared" si="81"/>
        <v>3109958.6515087797</v>
      </c>
      <c r="AY320">
        <f t="shared" si="82"/>
        <v>6749114.6883993596</v>
      </c>
      <c r="AZ320">
        <f t="shared" si="83"/>
        <v>1364290.94209572</v>
      </c>
      <c r="BA320">
        <f t="shared" si="75"/>
        <v>0</v>
      </c>
      <c r="BB320">
        <f t="shared" si="76"/>
        <v>0</v>
      </c>
      <c r="BC320">
        <f t="shared" si="77"/>
        <v>0</v>
      </c>
      <c r="BD320">
        <f t="shared" si="78"/>
        <v>0</v>
      </c>
      <c r="BE320">
        <f t="shared" si="79"/>
        <v>0</v>
      </c>
      <c r="BF320">
        <f t="shared" si="80"/>
        <v>106822.2417</v>
      </c>
      <c r="BG320">
        <f t="shared" si="84"/>
        <v>12217.682549249997</v>
      </c>
      <c r="BH320">
        <f t="shared" si="85"/>
        <v>12013.573502249999</v>
      </c>
      <c r="BI320">
        <f t="shared" si="86"/>
        <v>11571.010966349999</v>
      </c>
      <c r="BJ320">
        <f t="shared" si="87"/>
        <v>10648.302768899999</v>
      </c>
      <c r="BK320">
        <f t="shared" si="88"/>
        <v>10518.467535899999</v>
      </c>
      <c r="BL320">
        <f t="shared" si="89"/>
        <v>9663.167142899998</v>
      </c>
    </row>
    <row r="321" spans="1:64">
      <c r="A321" t="str">
        <f t="shared" si="74"/>
        <v>00</v>
      </c>
      <c r="B321" t="s">
        <v>605</v>
      </c>
      <c r="C321" t="s">
        <v>691</v>
      </c>
      <c r="D321">
        <v>7</v>
      </c>
      <c r="E321">
        <v>8</v>
      </c>
      <c r="F321">
        <v>16</v>
      </c>
      <c r="G321">
        <v>3</v>
      </c>
      <c r="H321">
        <v>300</v>
      </c>
      <c r="I321" t="s">
        <v>609</v>
      </c>
      <c r="J321">
        <v>0.1091</v>
      </c>
      <c r="K321">
        <v>7.7328999999999999</v>
      </c>
      <c r="L321">
        <v>7.1999999999999998E-3</v>
      </c>
      <c r="M321">
        <v>0.70409999999999995</v>
      </c>
      <c r="N321">
        <v>18.045400000000001</v>
      </c>
      <c r="O321">
        <v>86.800299999999993</v>
      </c>
      <c r="P321">
        <v>4456.5968000000003</v>
      </c>
      <c r="Q321">
        <v>181.66030000000001</v>
      </c>
      <c r="R321">
        <v>2.9195000000000002</v>
      </c>
      <c r="S321">
        <v>0.24030000000000001</v>
      </c>
      <c r="T321">
        <v>3.0599999999999999E-2</v>
      </c>
      <c r="U321">
        <v>1.1999999999999999E-3</v>
      </c>
      <c r="V321">
        <v>0.10920000000000001</v>
      </c>
      <c r="W321">
        <v>12.779199999999999</v>
      </c>
      <c r="X321">
        <v>27.304099999999998</v>
      </c>
      <c r="Y321">
        <v>23.720099999999999</v>
      </c>
      <c r="Z321">
        <v>23.385200000000001</v>
      </c>
      <c r="AA321">
        <v>131.84800000000001</v>
      </c>
      <c r="AB321">
        <v>13.4839</v>
      </c>
      <c r="AC321">
        <v>29.041</v>
      </c>
      <c r="AD321">
        <v>98.672399999999996</v>
      </c>
      <c r="AE321">
        <v>3.6244000000000001</v>
      </c>
      <c r="AF321">
        <v>6997.5225</v>
      </c>
      <c r="AG321">
        <v>59.358600000000003</v>
      </c>
      <c r="AH321">
        <v>0.13009999999999999</v>
      </c>
      <c r="AI321">
        <v>82.2363</v>
      </c>
      <c r="AJ321">
        <v>31.6632</v>
      </c>
      <c r="AK321">
        <v>66.709000000000003</v>
      </c>
      <c r="AL321">
        <v>3.1055000000000001</v>
      </c>
      <c r="AM321">
        <v>0.05</v>
      </c>
      <c r="AN321">
        <v>6.4999999999999997E-3</v>
      </c>
      <c r="AO321">
        <v>88.212800000000001</v>
      </c>
      <c r="AP321">
        <v>85.207800000000006</v>
      </c>
      <c r="AQ321">
        <v>83.682299999999998</v>
      </c>
      <c r="AR321">
        <v>80.391000000000005</v>
      </c>
      <c r="AS321">
        <v>73.540300000000002</v>
      </c>
      <c r="AT321">
        <v>72.592600000000004</v>
      </c>
      <c r="AU321">
        <v>66.127200000000002</v>
      </c>
      <c r="AV321">
        <v>9742.9439999999995</v>
      </c>
      <c r="AW321">
        <v>25361.594700000001</v>
      </c>
      <c r="AX321">
        <f t="shared" si="81"/>
        <v>736526.07168270007</v>
      </c>
      <c r="AY321">
        <f t="shared" si="82"/>
        <v>1505428.7551594202</v>
      </c>
      <c r="AZ321">
        <f t="shared" si="83"/>
        <v>324100.89099024003</v>
      </c>
      <c r="BA321">
        <f t="shared" si="75"/>
        <v>0</v>
      </c>
      <c r="BB321">
        <f t="shared" si="76"/>
        <v>0</v>
      </c>
      <c r="BC321">
        <f t="shared" si="77"/>
        <v>0</v>
      </c>
      <c r="BD321">
        <f t="shared" si="78"/>
        <v>0</v>
      </c>
      <c r="BE321">
        <f t="shared" si="79"/>
        <v>0</v>
      </c>
      <c r="BF321">
        <f t="shared" si="80"/>
        <v>25361.594700000001</v>
      </c>
      <c r="BG321">
        <f t="shared" si="84"/>
        <v>2326.5222919799999</v>
      </c>
      <c r="BH321">
        <f t="shared" si="85"/>
        <v>2284.8698874299998</v>
      </c>
      <c r="BI321">
        <f t="shared" si="86"/>
        <v>2195.0039031000001</v>
      </c>
      <c r="BJ321">
        <f t="shared" si="87"/>
        <v>2007.95170523</v>
      </c>
      <c r="BK321">
        <f t="shared" si="88"/>
        <v>1982.0756096600001</v>
      </c>
      <c r="BL321">
        <f t="shared" si="89"/>
        <v>1805.5436815199998</v>
      </c>
    </row>
    <row r="322" spans="1:64">
      <c r="A322" t="str">
        <f t="shared" si="74"/>
        <v>00</v>
      </c>
      <c r="B322" t="s">
        <v>605</v>
      </c>
      <c r="C322" t="s">
        <v>691</v>
      </c>
      <c r="D322">
        <v>7</v>
      </c>
      <c r="E322">
        <v>8</v>
      </c>
      <c r="F322">
        <v>16</v>
      </c>
      <c r="G322">
        <v>4</v>
      </c>
      <c r="H322">
        <v>100</v>
      </c>
      <c r="I322" t="s">
        <v>609</v>
      </c>
      <c r="J322">
        <v>0.17</v>
      </c>
      <c r="K322">
        <v>18.329999999999998</v>
      </c>
      <c r="L322">
        <v>1.29E-2</v>
      </c>
      <c r="M322">
        <v>0.89959999999999996</v>
      </c>
      <c r="N322">
        <v>25.36</v>
      </c>
      <c r="O322">
        <v>80.790000000000006</v>
      </c>
      <c r="P322">
        <v>2525.8501000000001</v>
      </c>
      <c r="Q322">
        <v>193.99</v>
      </c>
      <c r="R322">
        <v>2.23</v>
      </c>
      <c r="S322">
        <v>0.28999999999999998</v>
      </c>
      <c r="T322">
        <v>0</v>
      </c>
      <c r="U322">
        <v>0</v>
      </c>
      <c r="V322">
        <v>0.371</v>
      </c>
      <c r="W322">
        <v>12.96</v>
      </c>
      <c r="X322">
        <v>0.65639999999999998</v>
      </c>
      <c r="Y322">
        <v>0.54520000000000002</v>
      </c>
      <c r="Z322">
        <v>0.54420000000000002</v>
      </c>
      <c r="AA322">
        <v>2.1497999999999999</v>
      </c>
      <c r="AB322">
        <v>46.07</v>
      </c>
      <c r="AC322">
        <v>33.43</v>
      </c>
      <c r="AD322">
        <v>84</v>
      </c>
      <c r="AE322">
        <v>1.8700000000000001E-2</v>
      </c>
      <c r="AF322">
        <v>7023.82</v>
      </c>
      <c r="AG322">
        <v>-99</v>
      </c>
      <c r="AH322">
        <v>4.7999999999999996E-3</v>
      </c>
      <c r="AI322">
        <v>82.19</v>
      </c>
      <c r="AJ322">
        <v>57.16</v>
      </c>
      <c r="AK322">
        <v>46.440100000000001</v>
      </c>
      <c r="AL322">
        <v>3.21</v>
      </c>
      <c r="AM322">
        <v>0.05</v>
      </c>
      <c r="AN322">
        <v>0.01</v>
      </c>
      <c r="AO322">
        <v>74.677700000000002</v>
      </c>
      <c r="AP322">
        <v>76.260000000000005</v>
      </c>
      <c r="AQ322">
        <v>74.72</v>
      </c>
      <c r="AR322">
        <v>72.209999999999994</v>
      </c>
      <c r="AS322">
        <v>65.97</v>
      </c>
      <c r="AT322">
        <v>64.81</v>
      </c>
      <c r="AU322">
        <v>60.14</v>
      </c>
      <c r="AV322">
        <v>69.11</v>
      </c>
      <c r="AW322">
        <v>131.309</v>
      </c>
      <c r="AX322">
        <f t="shared" si="81"/>
        <v>4389.6598699999995</v>
      </c>
      <c r="AY322">
        <f t="shared" si="82"/>
        <v>-12999.591</v>
      </c>
      <c r="AZ322">
        <f t="shared" si="83"/>
        <v>1701.7646400000001</v>
      </c>
      <c r="BA322">
        <f t="shared" si="75"/>
        <v>0</v>
      </c>
      <c r="BB322">
        <f t="shared" si="76"/>
        <v>0</v>
      </c>
      <c r="BC322">
        <f t="shared" si="77"/>
        <v>0</v>
      </c>
      <c r="BD322">
        <f t="shared" si="78"/>
        <v>0</v>
      </c>
      <c r="BE322">
        <f t="shared" si="79"/>
        <v>0</v>
      </c>
      <c r="BF322">
        <f t="shared" si="80"/>
        <v>131.309</v>
      </c>
      <c r="BG322">
        <f t="shared" si="84"/>
        <v>50.057064000000004</v>
      </c>
      <c r="BH322">
        <f t="shared" si="85"/>
        <v>49.046208</v>
      </c>
      <c r="BI322">
        <f t="shared" si="86"/>
        <v>47.398643999999997</v>
      </c>
      <c r="BJ322">
        <f t="shared" si="87"/>
        <v>43.302707999999996</v>
      </c>
      <c r="BK322">
        <f t="shared" si="88"/>
        <v>42.541283999999997</v>
      </c>
      <c r="BL322">
        <f t="shared" si="89"/>
        <v>39.475895999999999</v>
      </c>
    </row>
    <row r="323" spans="1:64">
      <c r="A323" t="str">
        <f t="shared" ref="A323:A386" si="90">+MID(C323,22,2)</f>
        <v>00</v>
      </c>
      <c r="B323" t="s">
        <v>605</v>
      </c>
      <c r="C323" t="s">
        <v>691</v>
      </c>
      <c r="D323">
        <v>7</v>
      </c>
      <c r="E323">
        <v>8</v>
      </c>
      <c r="F323">
        <v>16</v>
      </c>
      <c r="G323">
        <v>4</v>
      </c>
      <c r="H323">
        <v>200</v>
      </c>
      <c r="I323" t="s">
        <v>609</v>
      </c>
      <c r="J323">
        <v>0.16489999999999999</v>
      </c>
      <c r="K323">
        <v>11.1836</v>
      </c>
      <c r="L323">
        <v>6.7000000000000002E-3</v>
      </c>
      <c r="M323">
        <v>0.7016</v>
      </c>
      <c r="N323">
        <v>17.8979</v>
      </c>
      <c r="O323">
        <v>84.349400000000003</v>
      </c>
      <c r="P323">
        <v>4495.5451000000003</v>
      </c>
      <c r="Q323">
        <v>190.36189999999999</v>
      </c>
      <c r="R323">
        <v>2.5308000000000002</v>
      </c>
      <c r="S323">
        <v>0.45029999999999998</v>
      </c>
      <c r="T323">
        <v>8.6E-3</v>
      </c>
      <c r="U323">
        <v>2.8999999999999998E-3</v>
      </c>
      <c r="V323">
        <v>0.16869999999999999</v>
      </c>
      <c r="W323">
        <v>13.3057</v>
      </c>
      <c r="X323">
        <v>93.900099999999995</v>
      </c>
      <c r="Y323">
        <v>80.186599999999999</v>
      </c>
      <c r="Z323">
        <v>79.066199999999995</v>
      </c>
      <c r="AA323">
        <v>447.84010000000001</v>
      </c>
      <c r="AB323">
        <v>28.607500000000002</v>
      </c>
      <c r="AC323">
        <v>29.633900000000001</v>
      </c>
      <c r="AD323">
        <v>98.641099999999994</v>
      </c>
      <c r="AE323">
        <v>8.0313999999999997</v>
      </c>
      <c r="AF323">
        <v>7070.8941999999997</v>
      </c>
      <c r="AG323">
        <v>63.207000000000001</v>
      </c>
      <c r="AH323">
        <v>0.44280000000000003</v>
      </c>
      <c r="AI323">
        <v>83.202100000000002</v>
      </c>
      <c r="AJ323">
        <v>49.734200000000001</v>
      </c>
      <c r="AK323">
        <v>69.521799999999999</v>
      </c>
      <c r="AL323">
        <v>2.1284000000000001</v>
      </c>
      <c r="AM323">
        <v>0.05</v>
      </c>
      <c r="AN323">
        <v>1.0999999999999999E-2</v>
      </c>
      <c r="AO323">
        <v>88.171000000000006</v>
      </c>
      <c r="AP323">
        <v>83.502700000000004</v>
      </c>
      <c r="AQ323">
        <v>81.924199999999999</v>
      </c>
      <c r="AR323">
        <v>78.176500000000004</v>
      </c>
      <c r="AS323">
        <v>70.954700000000003</v>
      </c>
      <c r="AT323">
        <v>70.035700000000006</v>
      </c>
      <c r="AU323">
        <v>62.8157</v>
      </c>
      <c r="AV323">
        <v>21759.219700000001</v>
      </c>
      <c r="AW323">
        <v>56788.889499999997</v>
      </c>
      <c r="AX323">
        <f t="shared" si="81"/>
        <v>1682876.27255405</v>
      </c>
      <c r="AY323">
        <f t="shared" si="82"/>
        <v>3589455.3386264998</v>
      </c>
      <c r="AZ323">
        <f t="shared" si="83"/>
        <v>755615.92702015</v>
      </c>
      <c r="BA323">
        <f t="shared" ref="BA323:BA386" si="91">+IF($E323=1,$AW323,0)</f>
        <v>0</v>
      </c>
      <c r="BB323">
        <f t="shared" ref="BB323:BB386" si="92">+IF($E323=2,$AW323,0)</f>
        <v>0</v>
      </c>
      <c r="BC323">
        <f t="shared" ref="BC323:BC386" si="93">+IF($E323=3,$AW323,IF($E323=4,$AW323,0))</f>
        <v>0</v>
      </c>
      <c r="BD323">
        <f t="shared" ref="BD323:BD386" si="94">+IF($E323=7,$AW323,0)</f>
        <v>0</v>
      </c>
      <c r="BE323">
        <f t="shared" ref="BE323:BE386" si="95">+IF($E323=5,$AW323,0)</f>
        <v>0</v>
      </c>
      <c r="BF323">
        <f t="shared" ref="BF323:BF386" si="96">+IF($E323=8,$AW323,0)</f>
        <v>56788.889499999997</v>
      </c>
      <c r="BG323">
        <f t="shared" si="84"/>
        <v>7840.9118802699995</v>
      </c>
      <c r="BH323">
        <f t="shared" si="85"/>
        <v>7692.6905724199996</v>
      </c>
      <c r="BI323">
        <f t="shared" si="86"/>
        <v>7340.7811676499996</v>
      </c>
      <c r="BJ323">
        <f t="shared" si="87"/>
        <v>6662.65342547</v>
      </c>
      <c r="BK323">
        <f t="shared" si="88"/>
        <v>6576.3592335700005</v>
      </c>
      <c r="BL323">
        <f t="shared" si="89"/>
        <v>5898.4005115699993</v>
      </c>
    </row>
    <row r="324" spans="1:64">
      <c r="A324" t="str">
        <f t="shared" si="90"/>
        <v>00</v>
      </c>
      <c r="B324" t="s">
        <v>605</v>
      </c>
      <c r="C324" t="s">
        <v>691</v>
      </c>
      <c r="D324">
        <v>555</v>
      </c>
      <c r="E324">
        <v>1</v>
      </c>
      <c r="F324">
        <v>6</v>
      </c>
      <c r="G324">
        <v>2</v>
      </c>
      <c r="H324">
        <v>100</v>
      </c>
      <c r="I324" t="s">
        <v>607</v>
      </c>
      <c r="J324">
        <v>0.48399999999999999</v>
      </c>
      <c r="K324">
        <v>36.075299999999999</v>
      </c>
      <c r="L324">
        <v>1.17E-2</v>
      </c>
      <c r="M324">
        <v>0.99270000000000003</v>
      </c>
      <c r="N324">
        <v>23.953900000000001</v>
      </c>
      <c r="O324">
        <v>77.5625</v>
      </c>
      <c r="P324">
        <v>4099.3186999999998</v>
      </c>
      <c r="Q324">
        <v>208.71350000000001</v>
      </c>
      <c r="R324">
        <v>1.4125000000000001</v>
      </c>
      <c r="S324">
        <v>0.61870000000000003</v>
      </c>
      <c r="T324">
        <v>0.3947</v>
      </c>
      <c r="U324">
        <v>4.4000000000000003E-3</v>
      </c>
      <c r="V324">
        <v>0.57299999999999995</v>
      </c>
      <c r="W324">
        <v>12.420500000000001</v>
      </c>
      <c r="X324">
        <v>5.7438000000000002</v>
      </c>
      <c r="Y324">
        <v>4.766</v>
      </c>
      <c r="Z324">
        <v>4.7195999999999998</v>
      </c>
      <c r="AA324">
        <v>20.354099999999999</v>
      </c>
      <c r="AB324">
        <v>73.349599999999995</v>
      </c>
      <c r="AC324">
        <v>38.566299999999998</v>
      </c>
      <c r="AD324">
        <v>62.171100000000003</v>
      </c>
      <c r="AE324">
        <v>0.1305</v>
      </c>
      <c r="AF324">
        <v>7511.7569000000003</v>
      </c>
      <c r="AG324">
        <v>27.196400000000001</v>
      </c>
      <c r="AH324">
        <v>3.1600000000000003E-2</v>
      </c>
      <c r="AI324">
        <v>85.650300000000001</v>
      </c>
      <c r="AJ324">
        <v>54.916200000000003</v>
      </c>
      <c r="AK324">
        <v>70.175799999999995</v>
      </c>
      <c r="AL324">
        <v>2.1674000000000002</v>
      </c>
      <c r="AM324">
        <v>0.05</v>
      </c>
      <c r="AN324">
        <v>1.9E-2</v>
      </c>
      <c r="AO324">
        <v>91.556799999999996</v>
      </c>
      <c r="AP324">
        <v>81.032799999999995</v>
      </c>
      <c r="AQ324">
        <v>78.771299999999997</v>
      </c>
      <c r="AR324">
        <v>76.760999999999996</v>
      </c>
      <c r="AS324">
        <v>69.023499999999999</v>
      </c>
      <c r="AT324">
        <v>67.604500000000002</v>
      </c>
      <c r="AU324">
        <v>62.711799999999997</v>
      </c>
      <c r="AV324">
        <v>411.86849999999998</v>
      </c>
      <c r="AW324">
        <v>979.08669999999995</v>
      </c>
      <c r="AX324">
        <f t="shared" si="81"/>
        <v>37759.751398209999</v>
      </c>
      <c r="AY324">
        <f t="shared" si="82"/>
        <v>26627.63352788</v>
      </c>
      <c r="AZ324">
        <f t="shared" si="83"/>
        <v>12160.746357349999</v>
      </c>
      <c r="BA324">
        <f t="shared" si="91"/>
        <v>979.08669999999995</v>
      </c>
      <c r="BB324">
        <f t="shared" si="92"/>
        <v>0</v>
      </c>
      <c r="BC324">
        <f t="shared" si="93"/>
        <v>0</v>
      </c>
      <c r="BD324">
        <f t="shared" si="94"/>
        <v>0</v>
      </c>
      <c r="BE324">
        <f t="shared" si="95"/>
        <v>0</v>
      </c>
      <c r="BF324">
        <f t="shared" si="96"/>
        <v>0</v>
      </c>
      <c r="BG324">
        <f t="shared" si="84"/>
        <v>465.43619663999999</v>
      </c>
      <c r="BH324">
        <f t="shared" si="85"/>
        <v>452.44659294000002</v>
      </c>
      <c r="BI324">
        <f t="shared" si="86"/>
        <v>440.89983180000002</v>
      </c>
      <c r="BJ324">
        <f t="shared" si="87"/>
        <v>396.45717930000001</v>
      </c>
      <c r="BK324">
        <f t="shared" si="88"/>
        <v>388.30672710000005</v>
      </c>
      <c r="BL324">
        <f t="shared" si="89"/>
        <v>360.20403684000001</v>
      </c>
    </row>
    <row r="325" spans="1:64">
      <c r="A325" t="str">
        <f t="shared" si="90"/>
        <v>00</v>
      </c>
      <c r="B325" t="s">
        <v>605</v>
      </c>
      <c r="C325" t="s">
        <v>691</v>
      </c>
      <c r="D325">
        <v>555</v>
      </c>
      <c r="E325">
        <v>1</v>
      </c>
      <c r="F325">
        <v>6</v>
      </c>
      <c r="G325">
        <v>4</v>
      </c>
      <c r="H325">
        <v>100</v>
      </c>
      <c r="I325" t="s">
        <v>609</v>
      </c>
      <c r="J325">
        <v>0.2661</v>
      </c>
      <c r="K325">
        <v>39.815600000000003</v>
      </c>
      <c r="L325">
        <v>8.0999999999999996E-3</v>
      </c>
      <c r="M325">
        <v>0.91490000000000005</v>
      </c>
      <c r="N325">
        <v>46.367600000000003</v>
      </c>
      <c r="O325">
        <v>83.310599999999994</v>
      </c>
      <c r="P325">
        <v>4500</v>
      </c>
      <c r="Q325">
        <v>213.41990000000001</v>
      </c>
      <c r="R325">
        <v>0</v>
      </c>
      <c r="S325">
        <v>0.21929999999999999</v>
      </c>
      <c r="T325">
        <v>0.2465</v>
      </c>
      <c r="U325">
        <v>0</v>
      </c>
      <c r="V325">
        <v>0.28010000000000002</v>
      </c>
      <c r="W325">
        <v>12.156000000000001</v>
      </c>
      <c r="X325">
        <v>4.9522000000000004</v>
      </c>
      <c r="Y325">
        <v>4.1257000000000001</v>
      </c>
      <c r="Z325">
        <v>4.1959</v>
      </c>
      <c r="AA325">
        <v>8.8977000000000004</v>
      </c>
      <c r="AB325">
        <v>64.969700000000003</v>
      </c>
      <c r="AC325">
        <v>40.486899999999999</v>
      </c>
      <c r="AD325">
        <v>62.769500000000001</v>
      </c>
      <c r="AE325">
        <v>0.2417</v>
      </c>
      <c r="AF325">
        <v>7701.1477999999997</v>
      </c>
      <c r="AG325">
        <v>60.480400000000003</v>
      </c>
      <c r="AH325">
        <v>5.6399999999999999E-2</v>
      </c>
      <c r="AI325">
        <v>86.483099999999993</v>
      </c>
      <c r="AJ325">
        <v>54.21</v>
      </c>
      <c r="AK325">
        <v>76.090299999999999</v>
      </c>
      <c r="AL325">
        <v>2.0707</v>
      </c>
      <c r="AM325">
        <v>0.05</v>
      </c>
      <c r="AN325">
        <v>0</v>
      </c>
      <c r="AO325">
        <v>93.556299999999993</v>
      </c>
      <c r="AP325">
        <v>79.742500000000007</v>
      </c>
      <c r="AQ325">
        <v>77.294300000000007</v>
      </c>
      <c r="AR325">
        <v>75.730599999999995</v>
      </c>
      <c r="AS325">
        <v>68.082400000000007</v>
      </c>
      <c r="AT325">
        <v>66.559700000000007</v>
      </c>
      <c r="AU325">
        <v>62.041499999999999</v>
      </c>
      <c r="AV325">
        <v>730.68430000000001</v>
      </c>
      <c r="AW325">
        <v>1860.9992999999999</v>
      </c>
      <c r="AX325">
        <f t="shared" si="81"/>
        <v>75346.092559169992</v>
      </c>
      <c r="AY325">
        <f t="shared" si="82"/>
        <v>112553.98206372</v>
      </c>
      <c r="AZ325">
        <f t="shared" si="83"/>
        <v>22622.307490800002</v>
      </c>
      <c r="BA325">
        <f t="shared" si="91"/>
        <v>1860.9992999999999</v>
      </c>
      <c r="BB325">
        <f t="shared" si="92"/>
        <v>0</v>
      </c>
      <c r="BC325">
        <f t="shared" si="93"/>
        <v>0</v>
      </c>
      <c r="BD325">
        <f t="shared" si="94"/>
        <v>0</v>
      </c>
      <c r="BE325">
        <f t="shared" si="95"/>
        <v>0</v>
      </c>
      <c r="BF325">
        <f t="shared" si="96"/>
        <v>0</v>
      </c>
      <c r="BG325">
        <f t="shared" si="84"/>
        <v>394.90080850000004</v>
      </c>
      <c r="BH325">
        <f t="shared" si="85"/>
        <v>382.77683246000004</v>
      </c>
      <c r="BI325">
        <f t="shared" si="86"/>
        <v>375.03307732000002</v>
      </c>
      <c r="BJ325">
        <f t="shared" si="87"/>
        <v>337.15766128000007</v>
      </c>
      <c r="BK325">
        <f t="shared" si="88"/>
        <v>329.61694634000008</v>
      </c>
      <c r="BL325">
        <f t="shared" si="89"/>
        <v>307.24191630000001</v>
      </c>
    </row>
    <row r="326" spans="1:64">
      <c r="A326" t="str">
        <f t="shared" si="90"/>
        <v>00</v>
      </c>
      <c r="B326" t="s">
        <v>605</v>
      </c>
      <c r="C326" t="s">
        <v>691</v>
      </c>
      <c r="D326">
        <v>555</v>
      </c>
      <c r="E326">
        <v>1</v>
      </c>
      <c r="F326">
        <v>6</v>
      </c>
      <c r="G326">
        <v>4</v>
      </c>
      <c r="H326">
        <v>100</v>
      </c>
      <c r="I326" t="s">
        <v>617</v>
      </c>
      <c r="J326">
        <v>0.39800000000000002</v>
      </c>
      <c r="K326">
        <v>41.632100000000001</v>
      </c>
      <c r="L326">
        <v>8.0000000000000002E-3</v>
      </c>
      <c r="M326">
        <v>0.84230000000000005</v>
      </c>
      <c r="N326">
        <v>34.825699999999998</v>
      </c>
      <c r="O326">
        <v>83.214699999999993</v>
      </c>
      <c r="P326">
        <v>4500</v>
      </c>
      <c r="Q326">
        <v>217.27610000000001</v>
      </c>
      <c r="R326">
        <v>0.51359999999999995</v>
      </c>
      <c r="S326">
        <v>0.39129999999999998</v>
      </c>
      <c r="T326">
        <v>0.32019999999999998</v>
      </c>
      <c r="U326">
        <v>1E-3</v>
      </c>
      <c r="V326">
        <v>0.41270000000000001</v>
      </c>
      <c r="W326">
        <v>12.336</v>
      </c>
      <c r="X326">
        <v>44.8279</v>
      </c>
      <c r="Y326">
        <v>37.303199999999997</v>
      </c>
      <c r="Z326">
        <v>37.360599999999998</v>
      </c>
      <c r="AA326">
        <v>116.9948</v>
      </c>
      <c r="AB326">
        <v>64.543499999999995</v>
      </c>
      <c r="AC326">
        <v>40.987400000000001</v>
      </c>
      <c r="AD326">
        <v>63.171900000000001</v>
      </c>
      <c r="AE326">
        <v>1.4552</v>
      </c>
      <c r="AF326">
        <v>7739.5576000000001</v>
      </c>
      <c r="AG326">
        <v>60.956000000000003</v>
      </c>
      <c r="AH326">
        <v>0.35799999999999998</v>
      </c>
      <c r="AI326">
        <v>86.582499999999996</v>
      </c>
      <c r="AJ326">
        <v>54.21</v>
      </c>
      <c r="AK326">
        <v>76.291399999999996</v>
      </c>
      <c r="AL326">
        <v>2.0217999999999998</v>
      </c>
      <c r="AM326">
        <v>0.05</v>
      </c>
      <c r="AN326">
        <v>0</v>
      </c>
      <c r="AO326">
        <v>93.625</v>
      </c>
      <c r="AP326">
        <v>79.925299999999993</v>
      </c>
      <c r="AQ326">
        <v>77.525999999999996</v>
      </c>
      <c r="AR326">
        <v>75.866399999999999</v>
      </c>
      <c r="AS326">
        <v>68.251099999999994</v>
      </c>
      <c r="AT326">
        <v>66.763800000000003</v>
      </c>
      <c r="AU326">
        <v>62.256999999999998</v>
      </c>
      <c r="AV326">
        <v>4415.7551000000003</v>
      </c>
      <c r="AW326">
        <v>11262.502699999999</v>
      </c>
      <c r="AX326">
        <f t="shared" si="81"/>
        <v>461620.70316598</v>
      </c>
      <c r="AY326">
        <f t="shared" si="82"/>
        <v>686517.11458119994</v>
      </c>
      <c r="AZ326">
        <f t="shared" si="83"/>
        <v>138934.23330719999</v>
      </c>
      <c r="BA326">
        <f t="shared" si="91"/>
        <v>11262.502699999999</v>
      </c>
      <c r="BB326">
        <f t="shared" si="92"/>
        <v>0</v>
      </c>
      <c r="BC326">
        <f t="shared" si="93"/>
        <v>0</v>
      </c>
      <c r="BD326">
        <f t="shared" si="94"/>
        <v>0</v>
      </c>
      <c r="BE326">
        <f t="shared" si="95"/>
        <v>0</v>
      </c>
      <c r="BF326">
        <f t="shared" si="96"/>
        <v>0</v>
      </c>
      <c r="BG326">
        <f t="shared" si="84"/>
        <v>3582.8833558699998</v>
      </c>
      <c r="BH326">
        <f t="shared" si="85"/>
        <v>3475.3277753999996</v>
      </c>
      <c r="BI326">
        <f t="shared" si="86"/>
        <v>3400.9313925599999</v>
      </c>
      <c r="BJ326">
        <f t="shared" si="87"/>
        <v>3059.5534856899999</v>
      </c>
      <c r="BK326">
        <f t="shared" si="88"/>
        <v>2992.88095002</v>
      </c>
      <c r="BL326">
        <f t="shared" si="89"/>
        <v>2790.8505703000001</v>
      </c>
    </row>
    <row r="327" spans="1:64">
      <c r="A327" t="str">
        <f t="shared" si="90"/>
        <v>00</v>
      </c>
      <c r="B327" t="s">
        <v>605</v>
      </c>
      <c r="C327" t="s">
        <v>691</v>
      </c>
      <c r="D327">
        <v>555</v>
      </c>
      <c r="E327">
        <v>1</v>
      </c>
      <c r="F327">
        <v>6</v>
      </c>
      <c r="G327">
        <v>4</v>
      </c>
      <c r="H327">
        <v>100</v>
      </c>
      <c r="I327" t="s">
        <v>607</v>
      </c>
      <c r="J327">
        <v>0.50019999999999998</v>
      </c>
      <c r="K327">
        <v>45.713500000000003</v>
      </c>
      <c r="L327">
        <v>8.9999999999999993E-3</v>
      </c>
      <c r="M327">
        <v>0.69640000000000002</v>
      </c>
      <c r="N327">
        <v>21.869</v>
      </c>
      <c r="O327">
        <v>79.200599999999994</v>
      </c>
      <c r="P327">
        <v>4470.4668000000001</v>
      </c>
      <c r="Q327">
        <v>214.6405</v>
      </c>
      <c r="R327">
        <v>1.7109000000000001</v>
      </c>
      <c r="S327">
        <v>0.8054</v>
      </c>
      <c r="T327">
        <v>0.28420000000000001</v>
      </c>
      <c r="U327">
        <v>5.5999999999999999E-3</v>
      </c>
      <c r="V327">
        <v>0.52190000000000003</v>
      </c>
      <c r="W327">
        <v>12.366099999999999</v>
      </c>
      <c r="X327">
        <v>29.1617</v>
      </c>
      <c r="Y327">
        <v>24.191600000000001</v>
      </c>
      <c r="Z327">
        <v>24.1219</v>
      </c>
      <c r="AA327">
        <v>119.84439999999999</v>
      </c>
      <c r="AB327">
        <v>92.488799999999998</v>
      </c>
      <c r="AC327">
        <v>40.163400000000003</v>
      </c>
      <c r="AD327">
        <v>62.804200000000002</v>
      </c>
      <c r="AE327">
        <v>0.74850000000000005</v>
      </c>
      <c r="AF327">
        <v>7670.1803</v>
      </c>
      <c r="AG327">
        <v>58.053199999999997</v>
      </c>
      <c r="AH327">
        <v>0.2041</v>
      </c>
      <c r="AI327">
        <v>86.775199999999998</v>
      </c>
      <c r="AJ327">
        <v>54.254100000000001</v>
      </c>
      <c r="AK327">
        <v>76.424199999999999</v>
      </c>
      <c r="AL327">
        <v>2.3393999999999999</v>
      </c>
      <c r="AM327">
        <v>0.05</v>
      </c>
      <c r="AN327">
        <v>1.0999999999999999E-2</v>
      </c>
      <c r="AO327">
        <v>93.457300000000004</v>
      </c>
      <c r="AP327">
        <v>80.7637</v>
      </c>
      <c r="AQ327">
        <v>78.249099999999999</v>
      </c>
      <c r="AR327">
        <v>76.581000000000003</v>
      </c>
      <c r="AS327">
        <v>68.729500000000002</v>
      </c>
      <c r="AT327">
        <v>67.240700000000004</v>
      </c>
      <c r="AU327">
        <v>62.706000000000003</v>
      </c>
      <c r="AV327">
        <v>2261.7837</v>
      </c>
      <c r="AW327">
        <v>5740.1156000000001</v>
      </c>
      <c r="AX327">
        <f t="shared" si="81"/>
        <v>230542.55888904002</v>
      </c>
      <c r="AY327">
        <f t="shared" si="82"/>
        <v>333232.07894991996</v>
      </c>
      <c r="AZ327">
        <f t="shared" si="83"/>
        <v>70982.843521160001</v>
      </c>
      <c r="BA327">
        <f t="shared" si="91"/>
        <v>5740.1156000000001</v>
      </c>
      <c r="BB327">
        <f t="shared" si="92"/>
        <v>0</v>
      </c>
      <c r="BC327">
        <f t="shared" si="93"/>
        <v>0</v>
      </c>
      <c r="BD327">
        <f t="shared" si="94"/>
        <v>0</v>
      </c>
      <c r="BE327">
        <f t="shared" si="95"/>
        <v>0</v>
      </c>
      <c r="BF327">
        <f t="shared" si="96"/>
        <v>0</v>
      </c>
      <c r="BG327">
        <f t="shared" si="84"/>
        <v>2355.2067902899998</v>
      </c>
      <c r="BH327">
        <f t="shared" si="85"/>
        <v>2281.8767794699997</v>
      </c>
      <c r="BI327">
        <f t="shared" si="86"/>
        <v>2233.2321477</v>
      </c>
      <c r="BJ327">
        <f t="shared" si="87"/>
        <v>2004.2690601500001</v>
      </c>
      <c r="BK327">
        <f t="shared" si="88"/>
        <v>1960.8531211900001</v>
      </c>
      <c r="BL327">
        <f t="shared" si="89"/>
        <v>1828.6135602000002</v>
      </c>
    </row>
    <row r="328" spans="1:64">
      <c r="A328" t="str">
        <f t="shared" si="90"/>
        <v>00</v>
      </c>
      <c r="B328" t="s">
        <v>605</v>
      </c>
      <c r="C328" t="s">
        <v>691</v>
      </c>
      <c r="D328">
        <v>555</v>
      </c>
      <c r="E328">
        <v>1</v>
      </c>
      <c r="F328">
        <v>6</v>
      </c>
      <c r="G328">
        <v>4</v>
      </c>
      <c r="H328">
        <v>200</v>
      </c>
      <c r="I328" t="s">
        <v>609</v>
      </c>
      <c r="J328">
        <v>0.28839999999999999</v>
      </c>
      <c r="K328">
        <v>14.557399999999999</v>
      </c>
      <c r="L328">
        <v>7.3000000000000001E-3</v>
      </c>
      <c r="M328">
        <v>0.73080000000000001</v>
      </c>
      <c r="N328">
        <v>17.881</v>
      </c>
      <c r="O328">
        <v>83.684299999999993</v>
      </c>
      <c r="P328">
        <v>4500</v>
      </c>
      <c r="Q328">
        <v>220.04750000000001</v>
      </c>
      <c r="R328">
        <v>1.9736</v>
      </c>
      <c r="S328">
        <v>0.80710000000000004</v>
      </c>
      <c r="T328">
        <v>0</v>
      </c>
      <c r="U328">
        <v>5.4000000000000003E-3</v>
      </c>
      <c r="V328">
        <v>0.29320000000000002</v>
      </c>
      <c r="W328">
        <v>12.462400000000001</v>
      </c>
      <c r="X328">
        <v>7.8490000000000002</v>
      </c>
      <c r="Y328">
        <v>6.5683999999999996</v>
      </c>
      <c r="Z328">
        <v>6.4457000000000004</v>
      </c>
      <c r="AA328">
        <v>36.733899999999998</v>
      </c>
      <c r="AB328">
        <v>50.190800000000003</v>
      </c>
      <c r="AC328">
        <v>41.517299999999999</v>
      </c>
      <c r="AD328">
        <v>68.464100000000002</v>
      </c>
      <c r="AE328">
        <v>0.35110000000000002</v>
      </c>
      <c r="AF328">
        <v>7751.1729999999998</v>
      </c>
      <c r="AG328">
        <v>62.6616</v>
      </c>
      <c r="AH328">
        <v>2.81E-2</v>
      </c>
      <c r="AI328">
        <v>83.935900000000004</v>
      </c>
      <c r="AJ328">
        <v>54.21</v>
      </c>
      <c r="AK328">
        <v>71.051500000000004</v>
      </c>
      <c r="AL328">
        <v>2.0440999999999998</v>
      </c>
      <c r="AM328">
        <v>0.05</v>
      </c>
      <c r="AN328">
        <v>1.4800000000000001E-2</v>
      </c>
      <c r="AO328">
        <v>94.302499999999995</v>
      </c>
      <c r="AP328">
        <v>81.056299999999993</v>
      </c>
      <c r="AQ328">
        <v>79.036600000000007</v>
      </c>
      <c r="AR328">
        <v>77.114099999999993</v>
      </c>
      <c r="AS328">
        <v>69.880899999999997</v>
      </c>
      <c r="AT328">
        <v>68.373999999999995</v>
      </c>
      <c r="AU328">
        <v>63.764299999999999</v>
      </c>
      <c r="AV328">
        <v>1061.4392</v>
      </c>
      <c r="AW328">
        <v>2721.3647000000001</v>
      </c>
      <c r="AX328">
        <f t="shared" si="81"/>
        <v>112983.71465931</v>
      </c>
      <c r="AY328">
        <f t="shared" si="82"/>
        <v>170525.06628552001</v>
      </c>
      <c r="AZ328">
        <f t="shared" si="83"/>
        <v>33914.735437280004</v>
      </c>
      <c r="BA328">
        <f t="shared" si="91"/>
        <v>2721.3647000000001</v>
      </c>
      <c r="BB328">
        <f t="shared" si="92"/>
        <v>0</v>
      </c>
      <c r="BC328">
        <f t="shared" si="93"/>
        <v>0</v>
      </c>
      <c r="BD328">
        <f t="shared" si="94"/>
        <v>0</v>
      </c>
      <c r="BE328">
        <f t="shared" si="95"/>
        <v>0</v>
      </c>
      <c r="BF328">
        <f t="shared" si="96"/>
        <v>0</v>
      </c>
      <c r="BG328">
        <f t="shared" si="84"/>
        <v>636.21089869999992</v>
      </c>
      <c r="BH328">
        <f t="shared" si="85"/>
        <v>620.35827340000003</v>
      </c>
      <c r="BI328">
        <f t="shared" si="86"/>
        <v>605.26857089999999</v>
      </c>
      <c r="BJ328">
        <f t="shared" si="87"/>
        <v>548.49518409999996</v>
      </c>
      <c r="BK328">
        <f t="shared" si="88"/>
        <v>536.66752599999995</v>
      </c>
      <c r="BL328">
        <f t="shared" si="89"/>
        <v>500.4859907</v>
      </c>
    </row>
    <row r="329" spans="1:64">
      <c r="A329" t="str">
        <f t="shared" si="90"/>
        <v>00</v>
      </c>
      <c r="B329" t="s">
        <v>605</v>
      </c>
      <c r="C329" t="s">
        <v>691</v>
      </c>
      <c r="D329">
        <v>555</v>
      </c>
      <c r="E329">
        <v>1</v>
      </c>
      <c r="F329">
        <v>6</v>
      </c>
      <c r="G329">
        <v>4</v>
      </c>
      <c r="H329">
        <v>200</v>
      </c>
      <c r="I329" t="s">
        <v>617</v>
      </c>
      <c r="J329">
        <v>0.39679999999999999</v>
      </c>
      <c r="K329">
        <v>16.9069</v>
      </c>
      <c r="L329">
        <v>8.3000000000000001E-3</v>
      </c>
      <c r="M329">
        <v>0.8629</v>
      </c>
      <c r="N329">
        <v>17.881</v>
      </c>
      <c r="O329">
        <v>83.129800000000003</v>
      </c>
      <c r="P329">
        <v>4500</v>
      </c>
      <c r="Q329">
        <v>219.5446</v>
      </c>
      <c r="R329">
        <v>2.0865999999999998</v>
      </c>
      <c r="S329">
        <v>0.78839999999999999</v>
      </c>
      <c r="T329">
        <v>0.14560000000000001</v>
      </c>
      <c r="U329">
        <v>5.4000000000000003E-3</v>
      </c>
      <c r="V329">
        <v>0.40239999999999998</v>
      </c>
      <c r="W329">
        <v>12.506</v>
      </c>
      <c r="X329">
        <v>27.146899999999999</v>
      </c>
      <c r="Y329">
        <v>22.6479</v>
      </c>
      <c r="Z329">
        <v>22.171500000000002</v>
      </c>
      <c r="AA329">
        <v>126.6591</v>
      </c>
      <c r="AB329">
        <v>47.903300000000002</v>
      </c>
      <c r="AC329">
        <v>41.168300000000002</v>
      </c>
      <c r="AD329">
        <v>66.709100000000007</v>
      </c>
      <c r="AE329">
        <v>0.88460000000000005</v>
      </c>
      <c r="AF329">
        <v>7734.2133000000003</v>
      </c>
      <c r="AG329">
        <v>61.920999999999999</v>
      </c>
      <c r="AH329">
        <v>8.3099999999999993E-2</v>
      </c>
      <c r="AI329">
        <v>84.304400000000001</v>
      </c>
      <c r="AJ329">
        <v>54.678699999999999</v>
      </c>
      <c r="AK329">
        <v>71.770700000000005</v>
      </c>
      <c r="AL329">
        <v>2.7524999999999999</v>
      </c>
      <c r="AM329">
        <v>0.05</v>
      </c>
      <c r="AN329">
        <v>7.4000000000000003E-3</v>
      </c>
      <c r="AO329">
        <v>94.049000000000007</v>
      </c>
      <c r="AP329">
        <v>80.4846</v>
      </c>
      <c r="AQ329">
        <v>78.41</v>
      </c>
      <c r="AR329">
        <v>76.516099999999994</v>
      </c>
      <c r="AS329">
        <v>69.246799999999993</v>
      </c>
      <c r="AT329">
        <v>67.794300000000007</v>
      </c>
      <c r="AU329">
        <v>63.225000000000001</v>
      </c>
      <c r="AV329">
        <v>2668.5353</v>
      </c>
      <c r="AW329">
        <v>6841.3615</v>
      </c>
      <c r="AX329">
        <f t="shared" si="81"/>
        <v>281647.22264045</v>
      </c>
      <c r="AY329">
        <f t="shared" si="82"/>
        <v>423623.94544149999</v>
      </c>
      <c r="AZ329">
        <f t="shared" si="83"/>
        <v>85558.066919000004</v>
      </c>
      <c r="BA329">
        <f t="shared" si="91"/>
        <v>6841.3615</v>
      </c>
      <c r="BB329">
        <f t="shared" si="92"/>
        <v>0</v>
      </c>
      <c r="BC329">
        <f t="shared" si="93"/>
        <v>0</v>
      </c>
      <c r="BD329">
        <f t="shared" si="94"/>
        <v>0</v>
      </c>
      <c r="BE329">
        <f t="shared" si="95"/>
        <v>0</v>
      </c>
      <c r="BF329">
        <f t="shared" si="96"/>
        <v>0</v>
      </c>
      <c r="BG329">
        <f t="shared" si="84"/>
        <v>2184.9073877400001</v>
      </c>
      <c r="BH329">
        <f t="shared" si="85"/>
        <v>2128.5884289999999</v>
      </c>
      <c r="BI329">
        <f t="shared" si="86"/>
        <v>2077.1749150899996</v>
      </c>
      <c r="BJ329">
        <f t="shared" si="87"/>
        <v>1879.8359549199997</v>
      </c>
      <c r="BK329">
        <f t="shared" si="88"/>
        <v>1840.4050826700002</v>
      </c>
      <c r="BL329">
        <f t="shared" si="89"/>
        <v>1716.3627524999999</v>
      </c>
    </row>
    <row r="330" spans="1:64">
      <c r="A330" t="str">
        <f t="shared" si="90"/>
        <v>00</v>
      </c>
      <c r="B330" t="s">
        <v>605</v>
      </c>
      <c r="C330" t="s">
        <v>691</v>
      </c>
      <c r="D330">
        <v>555</v>
      </c>
      <c r="E330">
        <v>1</v>
      </c>
      <c r="F330">
        <v>6</v>
      </c>
      <c r="G330">
        <v>4</v>
      </c>
      <c r="H330">
        <v>200</v>
      </c>
      <c r="I330" t="s">
        <v>607</v>
      </c>
      <c r="J330">
        <v>0.51749999999999996</v>
      </c>
      <c r="K330">
        <v>25.291599999999999</v>
      </c>
      <c r="L330">
        <v>9.1000000000000004E-3</v>
      </c>
      <c r="M330">
        <v>0.90139999999999998</v>
      </c>
      <c r="N330">
        <v>17.881</v>
      </c>
      <c r="O330">
        <v>83.334699999999998</v>
      </c>
      <c r="P330">
        <v>4500</v>
      </c>
      <c r="Q330">
        <v>217.1326</v>
      </c>
      <c r="R330">
        <v>2.2185999999999999</v>
      </c>
      <c r="S330">
        <v>0.51929999999999998</v>
      </c>
      <c r="T330">
        <v>0.30580000000000002</v>
      </c>
      <c r="U330">
        <v>3.5999999999999999E-3</v>
      </c>
      <c r="V330">
        <v>0.5262</v>
      </c>
      <c r="W330">
        <v>12.6274</v>
      </c>
      <c r="X330">
        <v>15.925800000000001</v>
      </c>
      <c r="Y330">
        <v>13.271800000000001</v>
      </c>
      <c r="Z330">
        <v>13.0259</v>
      </c>
      <c r="AA330">
        <v>74.222700000000003</v>
      </c>
      <c r="AB330">
        <v>56.083300000000001</v>
      </c>
      <c r="AC330">
        <v>40.033900000000003</v>
      </c>
      <c r="AD330">
        <v>64.510099999999994</v>
      </c>
      <c r="AE330">
        <v>0.40210000000000001</v>
      </c>
      <c r="AF330">
        <v>7651.8666000000003</v>
      </c>
      <c r="AG330">
        <v>60.640799999999999</v>
      </c>
      <c r="AH330">
        <v>5.74E-2</v>
      </c>
      <c r="AI330">
        <v>85.334299999999999</v>
      </c>
      <c r="AJ330">
        <v>54.21</v>
      </c>
      <c r="AK330">
        <v>73.796700000000001</v>
      </c>
      <c r="AL330">
        <v>2.4695999999999998</v>
      </c>
      <c r="AM330">
        <v>0.05</v>
      </c>
      <c r="AN330">
        <v>0</v>
      </c>
      <c r="AO330">
        <v>93.795000000000002</v>
      </c>
      <c r="AP330">
        <v>80.150800000000004</v>
      </c>
      <c r="AQ330">
        <v>77.894300000000001</v>
      </c>
      <c r="AR330">
        <v>76.062700000000007</v>
      </c>
      <c r="AS330">
        <v>68.555700000000002</v>
      </c>
      <c r="AT330">
        <v>67.100399999999993</v>
      </c>
      <c r="AU330">
        <v>62.560499999999998</v>
      </c>
      <c r="AV330">
        <v>1201.2021999999999</v>
      </c>
      <c r="AW330">
        <v>3077.1725000000001</v>
      </c>
      <c r="AX330">
        <f t="shared" si="81"/>
        <v>123191.21614775002</v>
      </c>
      <c r="AY330">
        <f t="shared" si="82"/>
        <v>186602.20213799999</v>
      </c>
      <c r="AZ330">
        <f t="shared" si="83"/>
        <v>38856.6880265</v>
      </c>
      <c r="BA330">
        <f t="shared" si="91"/>
        <v>3077.1725000000001</v>
      </c>
      <c r="BB330">
        <f t="shared" si="92"/>
        <v>0</v>
      </c>
      <c r="BC330">
        <f t="shared" si="93"/>
        <v>0</v>
      </c>
      <c r="BD330">
        <f t="shared" si="94"/>
        <v>0</v>
      </c>
      <c r="BE330">
        <f t="shared" si="95"/>
        <v>0</v>
      </c>
      <c r="BF330">
        <f t="shared" si="96"/>
        <v>0</v>
      </c>
      <c r="BG330">
        <f t="shared" si="84"/>
        <v>1276.46561064</v>
      </c>
      <c r="BH330">
        <f t="shared" si="85"/>
        <v>1240.5290429400002</v>
      </c>
      <c r="BI330">
        <f t="shared" si="86"/>
        <v>1211.3593476600001</v>
      </c>
      <c r="BJ330">
        <f t="shared" si="87"/>
        <v>1091.80436706</v>
      </c>
      <c r="BK330">
        <f t="shared" si="88"/>
        <v>1068.62755032</v>
      </c>
      <c r="BL330">
        <f t="shared" si="89"/>
        <v>996.32601090000003</v>
      </c>
    </row>
    <row r="331" spans="1:64">
      <c r="A331" t="str">
        <f t="shared" si="90"/>
        <v>00</v>
      </c>
      <c r="B331" t="s">
        <v>605</v>
      </c>
      <c r="C331" t="s">
        <v>691</v>
      </c>
      <c r="D331">
        <v>555</v>
      </c>
      <c r="E331">
        <v>8</v>
      </c>
      <c r="F331">
        <v>6</v>
      </c>
      <c r="G331">
        <v>3</v>
      </c>
      <c r="H331">
        <v>200</v>
      </c>
      <c r="I331" t="s">
        <v>609</v>
      </c>
      <c r="J331">
        <v>0.17</v>
      </c>
      <c r="K331">
        <v>18.329999999999998</v>
      </c>
      <c r="L331">
        <v>1.0200000000000001E-2</v>
      </c>
      <c r="M331">
        <v>0.76390000000000002</v>
      </c>
      <c r="N331">
        <v>25.36</v>
      </c>
      <c r="O331">
        <v>80.790000000000006</v>
      </c>
      <c r="P331">
        <v>2525.8501000000001</v>
      </c>
      <c r="Q331">
        <v>193.99</v>
      </c>
      <c r="R331">
        <v>2.23</v>
      </c>
      <c r="S331">
        <v>0.28999999999999998</v>
      </c>
      <c r="T331">
        <v>0</v>
      </c>
      <c r="U331">
        <v>0</v>
      </c>
      <c r="V331">
        <v>7.3599999999999999E-2</v>
      </c>
      <c r="W331">
        <v>12.96</v>
      </c>
      <c r="X331">
        <v>39.415599999999998</v>
      </c>
      <c r="Y331">
        <v>33.0047</v>
      </c>
      <c r="Z331">
        <v>32.332599999999999</v>
      </c>
      <c r="AA331">
        <v>130.1446</v>
      </c>
      <c r="AB331">
        <v>46.07</v>
      </c>
      <c r="AC331">
        <v>33.43</v>
      </c>
      <c r="AD331">
        <v>84</v>
      </c>
      <c r="AE331">
        <v>1.2428999999999999</v>
      </c>
      <c r="AF331">
        <v>7023.82</v>
      </c>
      <c r="AG331">
        <v>66.768799999999999</v>
      </c>
      <c r="AH331">
        <v>0.12690000000000001</v>
      </c>
      <c r="AI331">
        <v>82.19</v>
      </c>
      <c r="AJ331">
        <v>57.16</v>
      </c>
      <c r="AK331">
        <v>26.907299999999999</v>
      </c>
      <c r="AL331">
        <v>3.21</v>
      </c>
      <c r="AM331">
        <v>0.05</v>
      </c>
      <c r="AN331">
        <v>0.01</v>
      </c>
      <c r="AO331">
        <v>74.677700000000002</v>
      </c>
      <c r="AP331">
        <v>76.260000000000005</v>
      </c>
      <c r="AQ331">
        <v>74.72</v>
      </c>
      <c r="AR331">
        <v>72.209999999999994</v>
      </c>
      <c r="AS331">
        <v>65.97</v>
      </c>
      <c r="AT331">
        <v>64.81</v>
      </c>
      <c r="AU331">
        <v>60.14</v>
      </c>
      <c r="AV331">
        <v>4594.7448000000004</v>
      </c>
      <c r="AW331">
        <v>8730.0149999999994</v>
      </c>
      <c r="AX331">
        <f t="shared" si="81"/>
        <v>291844.40145</v>
      </c>
      <c r="AY331">
        <f t="shared" si="82"/>
        <v>582892.62553199998</v>
      </c>
      <c r="AZ331">
        <f t="shared" si="83"/>
        <v>113140.9944</v>
      </c>
      <c r="BA331">
        <f t="shared" si="91"/>
        <v>0</v>
      </c>
      <c r="BB331">
        <f t="shared" si="92"/>
        <v>0</v>
      </c>
      <c r="BC331">
        <f t="shared" si="93"/>
        <v>0</v>
      </c>
      <c r="BD331">
        <f t="shared" si="94"/>
        <v>0</v>
      </c>
      <c r="BE331">
        <f t="shared" si="95"/>
        <v>0</v>
      </c>
      <c r="BF331">
        <f t="shared" si="96"/>
        <v>8730.0149999999994</v>
      </c>
      <c r="BG331">
        <f t="shared" si="84"/>
        <v>3005.8336560000002</v>
      </c>
      <c r="BH331">
        <f t="shared" si="85"/>
        <v>2945.1336319999996</v>
      </c>
      <c r="BI331">
        <f t="shared" si="86"/>
        <v>2846.2004759999995</v>
      </c>
      <c r="BJ331">
        <f t="shared" si="87"/>
        <v>2600.247132</v>
      </c>
      <c r="BK331">
        <f t="shared" si="88"/>
        <v>2554.525036</v>
      </c>
      <c r="BL331">
        <f t="shared" si="89"/>
        <v>2370.4541839999997</v>
      </c>
    </row>
    <row r="332" spans="1:64">
      <c r="A332" t="str">
        <f t="shared" si="90"/>
        <v>00</v>
      </c>
      <c r="B332" t="s">
        <v>605</v>
      </c>
      <c r="C332" t="s">
        <v>691</v>
      </c>
      <c r="D332">
        <v>555</v>
      </c>
      <c r="E332">
        <v>8</v>
      </c>
      <c r="F332">
        <v>6</v>
      </c>
      <c r="G332">
        <v>4</v>
      </c>
      <c r="H332">
        <v>100</v>
      </c>
      <c r="I332" t="s">
        <v>607</v>
      </c>
      <c r="J332">
        <v>0.17</v>
      </c>
      <c r="K332">
        <v>18.329999999999998</v>
      </c>
      <c r="L332">
        <v>1.29E-2</v>
      </c>
      <c r="M332">
        <v>0.89959999999999996</v>
      </c>
      <c r="N332">
        <v>25.36</v>
      </c>
      <c r="O332">
        <v>80.790000000000006</v>
      </c>
      <c r="P332">
        <v>2525.8501000000001</v>
      </c>
      <c r="Q332">
        <v>193.99</v>
      </c>
      <c r="R332">
        <v>2.23</v>
      </c>
      <c r="S332">
        <v>0.28999999999999998</v>
      </c>
      <c r="T332">
        <v>0</v>
      </c>
      <c r="U332">
        <v>0</v>
      </c>
      <c r="V332">
        <v>0.54279999999999995</v>
      </c>
      <c r="W332">
        <v>12.96</v>
      </c>
      <c r="X332">
        <v>5.1412000000000004</v>
      </c>
      <c r="Y332">
        <v>4.2178000000000004</v>
      </c>
      <c r="Z332">
        <v>4.2079000000000004</v>
      </c>
      <c r="AA332">
        <v>16.631599999999999</v>
      </c>
      <c r="AB332">
        <v>46.07</v>
      </c>
      <c r="AC332">
        <v>33.43</v>
      </c>
      <c r="AD332">
        <v>84</v>
      </c>
      <c r="AE332">
        <v>0.11409999999999999</v>
      </c>
      <c r="AF332">
        <v>7023.82</v>
      </c>
      <c r="AG332">
        <v>-99</v>
      </c>
      <c r="AH332">
        <v>3.6200000000000003E-2</v>
      </c>
      <c r="AI332">
        <v>82.19</v>
      </c>
      <c r="AJ332">
        <v>57.16</v>
      </c>
      <c r="AK332">
        <v>52.6753</v>
      </c>
      <c r="AL332">
        <v>3.21</v>
      </c>
      <c r="AM332">
        <v>0.05</v>
      </c>
      <c r="AN332">
        <v>0.01</v>
      </c>
      <c r="AO332">
        <v>74.677700000000002</v>
      </c>
      <c r="AP332">
        <v>76.260000000000005</v>
      </c>
      <c r="AQ332">
        <v>74.72</v>
      </c>
      <c r="AR332">
        <v>72.209999999999994</v>
      </c>
      <c r="AS332">
        <v>65.97</v>
      </c>
      <c r="AT332">
        <v>64.81</v>
      </c>
      <c r="AU332">
        <v>60.14</v>
      </c>
      <c r="AV332">
        <v>421.64710000000002</v>
      </c>
      <c r="AW332">
        <v>801.12940000000003</v>
      </c>
      <c r="AX332">
        <f t="shared" si="81"/>
        <v>26781.755842000002</v>
      </c>
      <c r="AY332">
        <f t="shared" si="82"/>
        <v>-79311.810599999997</v>
      </c>
      <c r="AZ332">
        <f t="shared" si="83"/>
        <v>10382.637024000001</v>
      </c>
      <c r="BA332">
        <f t="shared" si="91"/>
        <v>0</v>
      </c>
      <c r="BB332">
        <f t="shared" si="92"/>
        <v>0</v>
      </c>
      <c r="BC332">
        <f t="shared" si="93"/>
        <v>0</v>
      </c>
      <c r="BD332">
        <f t="shared" si="94"/>
        <v>0</v>
      </c>
      <c r="BE332">
        <f t="shared" si="95"/>
        <v>0</v>
      </c>
      <c r="BF332">
        <f t="shared" si="96"/>
        <v>801.12940000000003</v>
      </c>
      <c r="BG332">
        <f t="shared" si="84"/>
        <v>392.06791200000004</v>
      </c>
      <c r="BH332">
        <f t="shared" si="85"/>
        <v>384.150464</v>
      </c>
      <c r="BI332">
        <f t="shared" si="86"/>
        <v>371.24605200000002</v>
      </c>
      <c r="BJ332">
        <f t="shared" si="87"/>
        <v>339.164964</v>
      </c>
      <c r="BK332">
        <f t="shared" si="88"/>
        <v>333.20117200000004</v>
      </c>
      <c r="BL332">
        <f t="shared" si="89"/>
        <v>309.19176800000002</v>
      </c>
    </row>
    <row r="333" spans="1:64">
      <c r="A333" t="str">
        <f t="shared" si="90"/>
        <v>00</v>
      </c>
      <c r="B333" t="s">
        <v>605</v>
      </c>
      <c r="C333" t="s">
        <v>691</v>
      </c>
      <c r="D333">
        <v>555</v>
      </c>
      <c r="E333">
        <v>8</v>
      </c>
      <c r="F333">
        <v>6</v>
      </c>
      <c r="G333">
        <v>4</v>
      </c>
      <c r="H333">
        <v>200</v>
      </c>
      <c r="I333" t="s">
        <v>609</v>
      </c>
      <c r="J333">
        <v>0.17</v>
      </c>
      <c r="K333">
        <v>18.329999999999998</v>
      </c>
      <c r="L333">
        <v>1.15E-2</v>
      </c>
      <c r="M333">
        <v>0.96460000000000001</v>
      </c>
      <c r="N333">
        <v>25.36</v>
      </c>
      <c r="O333">
        <v>80.790000000000006</v>
      </c>
      <c r="P333">
        <v>2525.8501000000001</v>
      </c>
      <c r="Q333">
        <v>193.99</v>
      </c>
      <c r="R333">
        <v>2.23</v>
      </c>
      <c r="S333">
        <v>0.28999999999999998</v>
      </c>
      <c r="T333">
        <v>0</v>
      </c>
      <c r="U333">
        <v>0</v>
      </c>
      <c r="V333">
        <v>0.29730000000000001</v>
      </c>
      <c r="W333">
        <v>12.96</v>
      </c>
      <c r="X333">
        <v>15.9132</v>
      </c>
      <c r="Y333">
        <v>13.307700000000001</v>
      </c>
      <c r="Z333">
        <v>13.028600000000001</v>
      </c>
      <c r="AA333">
        <v>52.475200000000001</v>
      </c>
      <c r="AB333">
        <v>46.07</v>
      </c>
      <c r="AC333">
        <v>33.43</v>
      </c>
      <c r="AD333">
        <v>84</v>
      </c>
      <c r="AE333">
        <v>0.40229999999999999</v>
      </c>
      <c r="AF333">
        <v>7023.82</v>
      </c>
      <c r="AG333">
        <v>63.543799999999997</v>
      </c>
      <c r="AH333">
        <v>4.9000000000000002E-2</v>
      </c>
      <c r="AI333">
        <v>82.19</v>
      </c>
      <c r="AJ333">
        <v>57.16</v>
      </c>
      <c r="AK333">
        <v>30.066099999999999</v>
      </c>
      <c r="AL333">
        <v>3.21</v>
      </c>
      <c r="AM333">
        <v>0.05</v>
      </c>
      <c r="AN333">
        <v>0.01</v>
      </c>
      <c r="AO333">
        <v>74.677700000000002</v>
      </c>
      <c r="AP333">
        <v>76.260000000000005</v>
      </c>
      <c r="AQ333">
        <v>74.72</v>
      </c>
      <c r="AR333">
        <v>72.209999999999994</v>
      </c>
      <c r="AS333">
        <v>65.97</v>
      </c>
      <c r="AT333">
        <v>64.81</v>
      </c>
      <c r="AU333">
        <v>60.14</v>
      </c>
      <c r="AV333">
        <v>1487.1741</v>
      </c>
      <c r="AW333">
        <v>2825.6307000000002</v>
      </c>
      <c r="AX333">
        <f t="shared" si="81"/>
        <v>94460.83430100001</v>
      </c>
      <c r="AY333">
        <f t="shared" si="82"/>
        <v>179551.31207466</v>
      </c>
      <c r="AZ333">
        <f t="shared" si="83"/>
        <v>36620.173872000007</v>
      </c>
      <c r="BA333">
        <f t="shared" si="91"/>
        <v>0</v>
      </c>
      <c r="BB333">
        <f t="shared" si="92"/>
        <v>0</v>
      </c>
      <c r="BC333">
        <f t="shared" si="93"/>
        <v>0</v>
      </c>
      <c r="BD333">
        <f t="shared" si="94"/>
        <v>0</v>
      </c>
      <c r="BE333">
        <f t="shared" si="95"/>
        <v>0</v>
      </c>
      <c r="BF333">
        <f t="shared" si="96"/>
        <v>2825.6307000000002</v>
      </c>
      <c r="BG333">
        <f t="shared" si="84"/>
        <v>1213.540632</v>
      </c>
      <c r="BH333">
        <f t="shared" si="85"/>
        <v>1189.034304</v>
      </c>
      <c r="BI333">
        <f t="shared" si="86"/>
        <v>1149.0921719999999</v>
      </c>
      <c r="BJ333">
        <f t="shared" si="87"/>
        <v>1049.7938039999999</v>
      </c>
      <c r="BK333">
        <f t="shared" si="88"/>
        <v>1031.334492</v>
      </c>
      <c r="BL333">
        <f t="shared" si="89"/>
        <v>957.01984800000002</v>
      </c>
    </row>
    <row r="334" spans="1:64">
      <c r="A334" t="str">
        <f t="shared" si="90"/>
        <v>00</v>
      </c>
      <c r="B334" t="s">
        <v>605</v>
      </c>
      <c r="C334" t="s">
        <v>692</v>
      </c>
      <c r="D334">
        <v>2</v>
      </c>
      <c r="E334">
        <v>8</v>
      </c>
      <c r="F334">
        <v>16</v>
      </c>
      <c r="G334">
        <v>1</v>
      </c>
      <c r="H334">
        <v>-99</v>
      </c>
      <c r="I334" t="s">
        <v>609</v>
      </c>
      <c r="J334">
        <v>5.0500000000000003E-2</v>
      </c>
      <c r="K334">
        <v>33.139800000000001</v>
      </c>
      <c r="L334">
        <v>0</v>
      </c>
      <c r="M334">
        <v>0</v>
      </c>
      <c r="N334">
        <v>30.973500000000001</v>
      </c>
      <c r="O334">
        <v>86.143799999999999</v>
      </c>
      <c r="P334">
        <v>600.54269999999997</v>
      </c>
      <c r="Q334">
        <v>203.74610000000001</v>
      </c>
      <c r="R334">
        <v>0.6865</v>
      </c>
      <c r="S334">
        <v>0.1118</v>
      </c>
      <c r="T334">
        <v>7.9000000000000008E-3</v>
      </c>
      <c r="U334">
        <v>5.0000000000000001E-4</v>
      </c>
      <c r="V334">
        <v>6.1699999999999998E-2</v>
      </c>
      <c r="W334">
        <v>12.4694</v>
      </c>
      <c r="X334">
        <v>4.7305000000000001</v>
      </c>
      <c r="Y334">
        <v>4.0731000000000002</v>
      </c>
      <c r="Z334">
        <v>4.8183999999999996</v>
      </c>
      <c r="AA334">
        <v>13.582599999999999</v>
      </c>
      <c r="AB334">
        <v>48.261099999999999</v>
      </c>
      <c r="AC334">
        <v>33.968000000000004</v>
      </c>
      <c r="AD334">
        <v>91.233999999999995</v>
      </c>
      <c r="AE334">
        <v>1.2126999999999999</v>
      </c>
      <c r="AF334">
        <v>7719.4871999999996</v>
      </c>
      <c r="AG334">
        <v>58.229700000000001</v>
      </c>
      <c r="AH334">
        <v>0.23319999999999999</v>
      </c>
      <c r="AI334">
        <v>86.017200000000003</v>
      </c>
      <c r="AJ334">
        <v>45.8874</v>
      </c>
      <c r="AK334">
        <v>75.156000000000006</v>
      </c>
      <c r="AL334">
        <v>2.9157000000000002</v>
      </c>
      <c r="AM334">
        <v>0.05</v>
      </c>
      <c r="AN334">
        <v>2.7000000000000001E-3</v>
      </c>
      <c r="AO334">
        <v>83.235799999999998</v>
      </c>
      <c r="AP334">
        <v>83.307500000000005</v>
      </c>
      <c r="AQ334">
        <v>81.8125</v>
      </c>
      <c r="AR334">
        <v>80.552000000000007</v>
      </c>
      <c r="AS334">
        <v>75.576800000000006</v>
      </c>
      <c r="AT334">
        <v>74.5822</v>
      </c>
      <c r="AU334">
        <v>71.046599999999998</v>
      </c>
      <c r="AV334">
        <v>3801.4629</v>
      </c>
      <c r="AW334">
        <v>9361.3901999999998</v>
      </c>
      <c r="AX334">
        <f t="shared" si="81"/>
        <v>317987.70231360005</v>
      </c>
      <c r="AY334">
        <f t="shared" si="82"/>
        <v>545110.94292894006</v>
      </c>
      <c r="AZ334">
        <f t="shared" si="83"/>
        <v>116730.91895988</v>
      </c>
      <c r="BA334">
        <f t="shared" si="91"/>
        <v>0</v>
      </c>
      <c r="BB334">
        <f t="shared" si="92"/>
        <v>0</v>
      </c>
      <c r="BC334">
        <f t="shared" si="93"/>
        <v>0</v>
      </c>
      <c r="BD334">
        <f t="shared" si="94"/>
        <v>0</v>
      </c>
      <c r="BE334">
        <f t="shared" si="95"/>
        <v>0</v>
      </c>
      <c r="BF334">
        <f t="shared" si="96"/>
        <v>9361.3901999999998</v>
      </c>
      <c r="BG334">
        <f t="shared" si="84"/>
        <v>394.08612875000006</v>
      </c>
      <c r="BH334">
        <f t="shared" si="85"/>
        <v>387.01403125000002</v>
      </c>
      <c r="BI334">
        <f t="shared" si="86"/>
        <v>381.05123600000002</v>
      </c>
      <c r="BJ334">
        <f t="shared" si="87"/>
        <v>357.51605240000004</v>
      </c>
      <c r="BK334">
        <f t="shared" si="88"/>
        <v>352.81109710000004</v>
      </c>
      <c r="BL334">
        <f t="shared" si="89"/>
        <v>336.0859413</v>
      </c>
    </row>
    <row r="335" spans="1:64">
      <c r="A335" t="str">
        <f t="shared" si="90"/>
        <v>00</v>
      </c>
      <c r="B335" t="s">
        <v>605</v>
      </c>
      <c r="C335" t="s">
        <v>692</v>
      </c>
      <c r="D335">
        <v>2</v>
      </c>
      <c r="E335">
        <v>8</v>
      </c>
      <c r="F335">
        <v>16</v>
      </c>
      <c r="G335">
        <v>1</v>
      </c>
      <c r="H335">
        <v>200</v>
      </c>
      <c r="I335" t="s">
        <v>609</v>
      </c>
      <c r="J335">
        <v>4.5499999999999999E-2</v>
      </c>
      <c r="K335">
        <v>30.104399999999998</v>
      </c>
      <c r="L335">
        <v>1.5900000000000001E-2</v>
      </c>
      <c r="M335">
        <v>0.44669999999999999</v>
      </c>
      <c r="N335">
        <v>47.833399999999997</v>
      </c>
      <c r="O335">
        <v>86.110500000000002</v>
      </c>
      <c r="P335">
        <v>600.54269999999997</v>
      </c>
      <c r="Q335">
        <v>202.3142</v>
      </c>
      <c r="R335">
        <v>0</v>
      </c>
      <c r="S335">
        <v>3.0300000000000001E-2</v>
      </c>
      <c r="T335">
        <v>4.4999999999999998E-2</v>
      </c>
      <c r="U335">
        <v>2.9999999999999997E-4</v>
      </c>
      <c r="V335">
        <v>5.5599999999999997E-2</v>
      </c>
      <c r="W335">
        <v>12.4903</v>
      </c>
      <c r="X335">
        <v>0.91879999999999995</v>
      </c>
      <c r="Y335">
        <v>0.79120000000000001</v>
      </c>
      <c r="Z335">
        <v>0.93630000000000002</v>
      </c>
      <c r="AA335">
        <v>1.6540999999999999</v>
      </c>
      <c r="AB335">
        <v>42.048299999999998</v>
      </c>
      <c r="AC335">
        <v>33.6004</v>
      </c>
      <c r="AD335">
        <v>91.020300000000006</v>
      </c>
      <c r="AE335">
        <v>0.26300000000000001</v>
      </c>
      <c r="AF335">
        <v>7674.4889000000003</v>
      </c>
      <c r="AG335">
        <v>58.334800000000001</v>
      </c>
      <c r="AH335">
        <v>4.5400000000000003E-2</v>
      </c>
      <c r="AI335">
        <v>85.775300000000001</v>
      </c>
      <c r="AJ335">
        <v>67.430000000000007</v>
      </c>
      <c r="AK335">
        <v>74.673100000000005</v>
      </c>
      <c r="AL335">
        <v>2.5886999999999998</v>
      </c>
      <c r="AM335">
        <v>0.05</v>
      </c>
      <c r="AN335">
        <v>4.7999999999999996E-3</v>
      </c>
      <c r="AO335">
        <v>83.471100000000007</v>
      </c>
      <c r="AP335">
        <v>82.990899999999996</v>
      </c>
      <c r="AQ335">
        <v>81.501499999999993</v>
      </c>
      <c r="AR335">
        <v>80.294300000000007</v>
      </c>
      <c r="AS335">
        <v>75.458600000000004</v>
      </c>
      <c r="AT335">
        <v>74.455600000000004</v>
      </c>
      <c r="AU335">
        <v>71.0261</v>
      </c>
      <c r="AV335">
        <v>819.99519999999995</v>
      </c>
      <c r="AW335">
        <v>2018.4875</v>
      </c>
      <c r="AX335">
        <f t="shared" si="81"/>
        <v>67821.987395000004</v>
      </c>
      <c r="AY335">
        <f t="shared" si="82"/>
        <v>117748.064615</v>
      </c>
      <c r="AZ335">
        <f t="shared" si="83"/>
        <v>25211.514421249998</v>
      </c>
      <c r="BA335">
        <f t="shared" si="91"/>
        <v>0</v>
      </c>
      <c r="BB335">
        <f t="shared" si="92"/>
        <v>0</v>
      </c>
      <c r="BC335">
        <f t="shared" si="93"/>
        <v>0</v>
      </c>
      <c r="BD335">
        <f t="shared" si="94"/>
        <v>0</v>
      </c>
      <c r="BE335">
        <f t="shared" si="95"/>
        <v>0</v>
      </c>
      <c r="BF335">
        <f t="shared" si="96"/>
        <v>2018.4875</v>
      </c>
      <c r="BG335">
        <f t="shared" si="84"/>
        <v>76.25203891999999</v>
      </c>
      <c r="BH335">
        <f t="shared" si="85"/>
        <v>74.883578199999988</v>
      </c>
      <c r="BI335">
        <f t="shared" si="86"/>
        <v>73.774402840000008</v>
      </c>
      <c r="BJ335">
        <f t="shared" si="87"/>
        <v>69.331361680000001</v>
      </c>
      <c r="BK335">
        <f t="shared" si="88"/>
        <v>68.40980528</v>
      </c>
      <c r="BL335">
        <f t="shared" si="89"/>
        <v>65.258780680000001</v>
      </c>
    </row>
    <row r="336" spans="1:64">
      <c r="A336" t="str">
        <f t="shared" si="90"/>
        <v>00</v>
      </c>
      <c r="B336" t="s">
        <v>605</v>
      </c>
      <c r="C336" t="s">
        <v>692</v>
      </c>
      <c r="D336">
        <v>2</v>
      </c>
      <c r="E336">
        <v>8</v>
      </c>
      <c r="F336">
        <v>16</v>
      </c>
      <c r="G336">
        <v>2</v>
      </c>
      <c r="H336">
        <v>-99</v>
      </c>
      <c r="I336" t="s">
        <v>609</v>
      </c>
      <c r="J336">
        <v>8.1299999999999997E-2</v>
      </c>
      <c r="K336">
        <v>34.058700000000002</v>
      </c>
      <c r="L336">
        <v>0</v>
      </c>
      <c r="M336">
        <v>0</v>
      </c>
      <c r="N336">
        <v>17.881</v>
      </c>
      <c r="O336">
        <v>85.715699999999998</v>
      </c>
      <c r="P336">
        <v>600.54269999999997</v>
      </c>
      <c r="Q336">
        <v>217.11920000000001</v>
      </c>
      <c r="R336">
        <v>2.4243000000000001</v>
      </c>
      <c r="S336">
        <v>8.2199999999999995E-2</v>
      </c>
      <c r="T336">
        <v>6.7900000000000002E-2</v>
      </c>
      <c r="U336">
        <v>4.0000000000000002E-4</v>
      </c>
      <c r="V336">
        <v>9.2799999999999994E-2</v>
      </c>
      <c r="W336">
        <v>13.9056</v>
      </c>
      <c r="X336">
        <v>2.1738</v>
      </c>
      <c r="Y336">
        <v>1.8633</v>
      </c>
      <c r="Z336">
        <v>2.0590999999999999</v>
      </c>
      <c r="AA336">
        <v>10.4207</v>
      </c>
      <c r="AB336">
        <v>63.013500000000001</v>
      </c>
      <c r="AC336">
        <v>33.229900000000001</v>
      </c>
      <c r="AD336">
        <v>92.945800000000006</v>
      </c>
      <c r="AE336">
        <v>0.35</v>
      </c>
      <c r="AF336">
        <v>7638.7704000000003</v>
      </c>
      <c r="AG336">
        <v>58.115400000000001</v>
      </c>
      <c r="AH336">
        <v>6.8599999999999994E-2</v>
      </c>
      <c r="AI336">
        <v>86.087699999999998</v>
      </c>
      <c r="AJ336">
        <v>54.21</v>
      </c>
      <c r="AK336">
        <v>75.296999999999997</v>
      </c>
      <c r="AL336">
        <v>2.8525999999999998</v>
      </c>
      <c r="AM336">
        <v>0.05</v>
      </c>
      <c r="AN336">
        <v>5.0000000000000001E-3</v>
      </c>
      <c r="AO336">
        <v>83.550799999999995</v>
      </c>
      <c r="AP336">
        <v>83.091399999999993</v>
      </c>
      <c r="AQ336">
        <v>81.642300000000006</v>
      </c>
      <c r="AR336">
        <v>80.381399999999999</v>
      </c>
      <c r="AS336">
        <v>75.560500000000005</v>
      </c>
      <c r="AT336">
        <v>74.5869</v>
      </c>
      <c r="AU336">
        <v>71.141800000000003</v>
      </c>
      <c r="AV336">
        <v>1085.8371</v>
      </c>
      <c r="AW336">
        <v>2673.2595999999999</v>
      </c>
      <c r="AX336">
        <f t="shared" si="81"/>
        <v>88832.149182039997</v>
      </c>
      <c r="AY336">
        <f t="shared" si="82"/>
        <v>155357.55095783999</v>
      </c>
      <c r="AZ336">
        <f t="shared" si="83"/>
        <v>37173.278693759996</v>
      </c>
      <c r="BA336">
        <f t="shared" si="91"/>
        <v>0</v>
      </c>
      <c r="BB336">
        <f t="shared" si="92"/>
        <v>0</v>
      </c>
      <c r="BC336">
        <f t="shared" si="93"/>
        <v>0</v>
      </c>
      <c r="BD336">
        <f t="shared" si="94"/>
        <v>0</v>
      </c>
      <c r="BE336">
        <f t="shared" si="95"/>
        <v>0</v>
      </c>
      <c r="BF336">
        <f t="shared" si="96"/>
        <v>2673.2595999999999</v>
      </c>
      <c r="BG336">
        <f t="shared" si="84"/>
        <v>180.62408531999998</v>
      </c>
      <c r="BH336">
        <f t="shared" si="85"/>
        <v>177.47403174000002</v>
      </c>
      <c r="BI336">
        <f t="shared" si="86"/>
        <v>174.73308731999998</v>
      </c>
      <c r="BJ336">
        <f t="shared" si="87"/>
        <v>164.2534149</v>
      </c>
      <c r="BK336">
        <f t="shared" si="88"/>
        <v>162.13700322</v>
      </c>
      <c r="BL336">
        <f t="shared" si="89"/>
        <v>154.64804484000001</v>
      </c>
    </row>
    <row r="337" spans="1:64">
      <c r="A337" t="str">
        <f t="shared" si="90"/>
        <v>00</v>
      </c>
      <c r="B337" t="s">
        <v>605</v>
      </c>
      <c r="C337" t="s">
        <v>692</v>
      </c>
      <c r="D337">
        <v>2</v>
      </c>
      <c r="E337">
        <v>8</v>
      </c>
      <c r="F337">
        <v>16</v>
      </c>
      <c r="G337">
        <v>2</v>
      </c>
      <c r="H337">
        <v>200</v>
      </c>
      <c r="I337" t="s">
        <v>609</v>
      </c>
      <c r="J337">
        <v>0.15840000000000001</v>
      </c>
      <c r="K337">
        <v>44.187100000000001</v>
      </c>
      <c r="L337">
        <v>1.61E-2</v>
      </c>
      <c r="M337">
        <v>0.42399999999999999</v>
      </c>
      <c r="N337">
        <v>24.043800000000001</v>
      </c>
      <c r="O337">
        <v>84.150300000000001</v>
      </c>
      <c r="P337">
        <v>600.54269999999997</v>
      </c>
      <c r="Q337">
        <v>215.86779999999999</v>
      </c>
      <c r="R337">
        <v>1.9624999999999999</v>
      </c>
      <c r="S337">
        <v>0.1079</v>
      </c>
      <c r="T337">
        <v>0.15609999999999999</v>
      </c>
      <c r="U337">
        <v>1E-3</v>
      </c>
      <c r="V337">
        <v>0.17380000000000001</v>
      </c>
      <c r="W337">
        <v>14.01</v>
      </c>
      <c r="X337">
        <v>22.052099999999999</v>
      </c>
      <c r="Y337">
        <v>18.817399999999999</v>
      </c>
      <c r="Z337">
        <v>19.969899999999999</v>
      </c>
      <c r="AA337">
        <v>90.424400000000006</v>
      </c>
      <c r="AB337">
        <v>51.462499999999999</v>
      </c>
      <c r="AC337">
        <v>32.715499999999999</v>
      </c>
      <c r="AD337">
        <v>94.846699999999998</v>
      </c>
      <c r="AE337">
        <v>1.8364</v>
      </c>
      <c r="AF337">
        <v>7579.3580000000002</v>
      </c>
      <c r="AG337">
        <v>58.109900000000003</v>
      </c>
      <c r="AH337">
        <v>0.47570000000000001</v>
      </c>
      <c r="AI337">
        <v>86.409300000000002</v>
      </c>
      <c r="AJ337">
        <v>45.9893</v>
      </c>
      <c r="AK337">
        <v>75.962999999999994</v>
      </c>
      <c r="AL337">
        <v>2.9060999999999999</v>
      </c>
      <c r="AM337">
        <v>0.05</v>
      </c>
      <c r="AN337">
        <v>6.8999999999999999E-3</v>
      </c>
      <c r="AO337">
        <v>83.824799999999996</v>
      </c>
      <c r="AP337">
        <v>82.925399999999996</v>
      </c>
      <c r="AQ337">
        <v>81.451800000000006</v>
      </c>
      <c r="AR337">
        <v>80.243099999999998</v>
      </c>
      <c r="AS337">
        <v>75.352099999999993</v>
      </c>
      <c r="AT337">
        <v>74.375100000000003</v>
      </c>
      <c r="AU337">
        <v>70.868799999999993</v>
      </c>
      <c r="AV337">
        <v>5653.8818000000001</v>
      </c>
      <c r="AW337">
        <v>13917.716200000001</v>
      </c>
      <c r="AX337">
        <f t="shared" ref="AX337:AX400" si="97">+AC337*AW337</f>
        <v>455325.04434110003</v>
      </c>
      <c r="AY337">
        <f t="shared" ref="AY337:AY400" si="98">+AG337*AW337</f>
        <v>808757.0966103801</v>
      </c>
      <c r="AZ337">
        <f t="shared" ref="AZ337:AZ400" si="99">+W337*AW337</f>
        <v>194987.203962</v>
      </c>
      <c r="BA337">
        <f t="shared" si="91"/>
        <v>0</v>
      </c>
      <c r="BB337">
        <f t="shared" si="92"/>
        <v>0</v>
      </c>
      <c r="BC337">
        <f t="shared" si="93"/>
        <v>0</v>
      </c>
      <c r="BD337">
        <f t="shared" si="94"/>
        <v>0</v>
      </c>
      <c r="BE337">
        <f t="shared" si="95"/>
        <v>0</v>
      </c>
      <c r="BF337">
        <f t="shared" si="96"/>
        <v>13917.716200000001</v>
      </c>
      <c r="BG337">
        <f t="shared" ref="BG337:BG400" si="100">+$X337*AP337</f>
        <v>1828.6792133399999</v>
      </c>
      <c r="BH337">
        <f t="shared" ref="BH337:BH400" si="101">+$X337*AQ337</f>
        <v>1796.18323878</v>
      </c>
      <c r="BI337">
        <f t="shared" ref="BI337:BI400" si="102">+$X337*AR337</f>
        <v>1769.5288655099998</v>
      </c>
      <c r="BJ337">
        <f t="shared" ref="BJ337:BJ400" si="103">+$X337*AS337</f>
        <v>1661.6720444099999</v>
      </c>
      <c r="BK337">
        <f t="shared" ref="BK337:BK400" si="104">+$X337*AT337</f>
        <v>1640.12714271</v>
      </c>
      <c r="BL337">
        <f t="shared" ref="BL337:BL400" si="105">+$X337*AU337</f>
        <v>1562.8058644799999</v>
      </c>
    </row>
    <row r="338" spans="1:64">
      <c r="A338" t="str">
        <f t="shared" si="90"/>
        <v>00</v>
      </c>
      <c r="B338" t="s">
        <v>605</v>
      </c>
      <c r="C338" t="s">
        <v>692</v>
      </c>
      <c r="D338">
        <v>2</v>
      </c>
      <c r="E338">
        <v>8</v>
      </c>
      <c r="F338">
        <v>16</v>
      </c>
      <c r="G338">
        <v>2</v>
      </c>
      <c r="H338">
        <v>200</v>
      </c>
      <c r="I338" t="s">
        <v>617</v>
      </c>
      <c r="J338">
        <v>0.37690000000000001</v>
      </c>
      <c r="K338">
        <v>22.658300000000001</v>
      </c>
      <c r="L338">
        <v>1.47E-2</v>
      </c>
      <c r="M338">
        <v>0.3856</v>
      </c>
      <c r="N338">
        <v>17.881</v>
      </c>
      <c r="O338">
        <v>57.796100000000003</v>
      </c>
      <c r="P338">
        <v>600.54269999999997</v>
      </c>
      <c r="Q338">
        <v>214.7756</v>
      </c>
      <c r="R338">
        <v>2.5994999999999999</v>
      </c>
      <c r="S338">
        <v>0.25829999999999997</v>
      </c>
      <c r="T338">
        <v>0.37140000000000001</v>
      </c>
      <c r="U338">
        <v>2.3E-3</v>
      </c>
      <c r="V338">
        <v>0.38469999999999999</v>
      </c>
      <c r="W338">
        <v>14.1646</v>
      </c>
      <c r="X338">
        <v>8.0543999999999993</v>
      </c>
      <c r="Y338">
        <v>6.6017999999999999</v>
      </c>
      <c r="Z338">
        <v>6.5057999999999998</v>
      </c>
      <c r="AA338">
        <v>36.9206</v>
      </c>
      <c r="AB338">
        <v>28.255199999999999</v>
      </c>
      <c r="AC338">
        <v>32.098799999999997</v>
      </c>
      <c r="AD338">
        <v>96.501999999999995</v>
      </c>
      <c r="AE338">
        <v>0.28460000000000002</v>
      </c>
      <c r="AF338">
        <v>7510.1800999999996</v>
      </c>
      <c r="AG338">
        <v>58.040599999999998</v>
      </c>
      <c r="AH338">
        <v>3.5499999999999997E-2</v>
      </c>
      <c r="AI338">
        <v>85.055899999999994</v>
      </c>
      <c r="AJ338">
        <v>31.09</v>
      </c>
      <c r="AK338">
        <v>73.246200000000002</v>
      </c>
      <c r="AL338">
        <v>2.2441</v>
      </c>
      <c r="AM338">
        <v>0.05</v>
      </c>
      <c r="AN338">
        <v>3.1199999999999999E-2</v>
      </c>
      <c r="AO338">
        <v>84.120199999999997</v>
      </c>
      <c r="AP338">
        <v>82.639499999999998</v>
      </c>
      <c r="AQ338">
        <v>81.174700000000001</v>
      </c>
      <c r="AR338">
        <v>79.965199999999996</v>
      </c>
      <c r="AS338">
        <v>75.171199999999999</v>
      </c>
      <c r="AT338">
        <v>74.174999999999997</v>
      </c>
      <c r="AU338">
        <v>70.731099999999998</v>
      </c>
      <c r="AV338">
        <v>867.62750000000005</v>
      </c>
      <c r="AW338">
        <v>2137.1853999999998</v>
      </c>
      <c r="AX338">
        <f t="shared" si="97"/>
        <v>68601.086717519982</v>
      </c>
      <c r="AY338">
        <f t="shared" si="98"/>
        <v>124043.52292723999</v>
      </c>
      <c r="AZ338">
        <f t="shared" si="99"/>
        <v>30272.376316839996</v>
      </c>
      <c r="BA338">
        <f t="shared" si="91"/>
        <v>0</v>
      </c>
      <c r="BB338">
        <f t="shared" si="92"/>
        <v>0</v>
      </c>
      <c r="BC338">
        <f t="shared" si="93"/>
        <v>0</v>
      </c>
      <c r="BD338">
        <f t="shared" si="94"/>
        <v>0</v>
      </c>
      <c r="BE338">
        <f t="shared" si="95"/>
        <v>0</v>
      </c>
      <c r="BF338">
        <f t="shared" si="96"/>
        <v>2137.1853999999998</v>
      </c>
      <c r="BG338">
        <f t="shared" si="100"/>
        <v>665.61158879999994</v>
      </c>
      <c r="BH338">
        <f t="shared" si="101"/>
        <v>653.81350367999994</v>
      </c>
      <c r="BI338">
        <f t="shared" si="102"/>
        <v>644.07170687999997</v>
      </c>
      <c r="BJ338">
        <f t="shared" si="103"/>
        <v>605.45891327999993</v>
      </c>
      <c r="BK338">
        <f t="shared" si="104"/>
        <v>597.43511999999998</v>
      </c>
      <c r="BL338">
        <f t="shared" si="105"/>
        <v>569.69657183999993</v>
      </c>
    </row>
    <row r="339" spans="1:64">
      <c r="A339" t="str">
        <f t="shared" si="90"/>
        <v>00</v>
      </c>
      <c r="B339" t="s">
        <v>605</v>
      </c>
      <c r="C339" t="s">
        <v>692</v>
      </c>
      <c r="D339">
        <v>2</v>
      </c>
      <c r="E339">
        <v>8</v>
      </c>
      <c r="F339">
        <v>16</v>
      </c>
      <c r="G339">
        <v>4</v>
      </c>
      <c r="H339">
        <v>-99</v>
      </c>
      <c r="I339" t="s">
        <v>609</v>
      </c>
      <c r="J339">
        <v>9.7699999999999995E-2</v>
      </c>
      <c r="K339">
        <v>32.899799999999999</v>
      </c>
      <c r="L339">
        <v>0</v>
      </c>
      <c r="M339">
        <v>0</v>
      </c>
      <c r="N339">
        <v>47.831899999999997</v>
      </c>
      <c r="O339">
        <v>85.795000000000002</v>
      </c>
      <c r="P339">
        <v>600.54269999999997</v>
      </c>
      <c r="Q339">
        <v>222.36699999999999</v>
      </c>
      <c r="R339">
        <v>0</v>
      </c>
      <c r="S339">
        <v>4.9700000000000001E-2</v>
      </c>
      <c r="T339">
        <v>7.2599999999999998E-2</v>
      </c>
      <c r="U339">
        <v>4.0000000000000002E-4</v>
      </c>
      <c r="V339">
        <v>0.10879999999999999</v>
      </c>
      <c r="W339">
        <v>13.836600000000001</v>
      </c>
      <c r="X339">
        <v>0.45050000000000001</v>
      </c>
      <c r="Y339">
        <v>0.38650000000000001</v>
      </c>
      <c r="Z339">
        <v>0.4163</v>
      </c>
      <c r="AA339">
        <v>0.80800000000000005</v>
      </c>
      <c r="AB339">
        <v>32.433399999999999</v>
      </c>
      <c r="AC339">
        <v>34.558500000000002</v>
      </c>
      <c r="AD339">
        <v>92.9178</v>
      </c>
      <c r="AE339">
        <v>5.9200000000000003E-2</v>
      </c>
      <c r="AF339">
        <v>7788.3846999999996</v>
      </c>
      <c r="AG339">
        <v>58.165399999999998</v>
      </c>
      <c r="AH339">
        <v>1.14E-2</v>
      </c>
      <c r="AI339">
        <v>86.000100000000003</v>
      </c>
      <c r="AJ339">
        <v>67.430000000000007</v>
      </c>
      <c r="AK339">
        <v>75.121700000000004</v>
      </c>
      <c r="AL339">
        <v>1.52E-2</v>
      </c>
      <c r="AM339">
        <v>0.05</v>
      </c>
      <c r="AN339">
        <v>0</v>
      </c>
      <c r="AO339">
        <v>82.914900000000003</v>
      </c>
      <c r="AP339">
        <v>83.817599999999999</v>
      </c>
      <c r="AQ339">
        <v>82.364199999999997</v>
      </c>
      <c r="AR339">
        <v>81.146900000000002</v>
      </c>
      <c r="AS339">
        <v>76.118799999999993</v>
      </c>
      <c r="AT339">
        <v>75.179000000000002</v>
      </c>
      <c r="AU339">
        <v>71.560699999999997</v>
      </c>
      <c r="AV339">
        <v>187.1311</v>
      </c>
      <c r="AW339">
        <v>461.03539999999998</v>
      </c>
      <c r="AX339">
        <f t="shared" si="97"/>
        <v>15932.6918709</v>
      </c>
      <c r="AY339">
        <f t="shared" si="98"/>
        <v>26816.308455159997</v>
      </c>
      <c r="AZ339">
        <f t="shared" si="99"/>
        <v>6379.1624156400003</v>
      </c>
      <c r="BA339">
        <f t="shared" si="91"/>
        <v>0</v>
      </c>
      <c r="BB339">
        <f t="shared" si="92"/>
        <v>0</v>
      </c>
      <c r="BC339">
        <f t="shared" si="93"/>
        <v>0</v>
      </c>
      <c r="BD339">
        <f t="shared" si="94"/>
        <v>0</v>
      </c>
      <c r="BE339">
        <f t="shared" si="95"/>
        <v>0</v>
      </c>
      <c r="BF339">
        <f t="shared" si="96"/>
        <v>461.03539999999998</v>
      </c>
      <c r="BG339">
        <f t="shared" si="100"/>
        <v>37.759828800000001</v>
      </c>
      <c r="BH339">
        <f t="shared" si="101"/>
        <v>37.105072100000001</v>
      </c>
      <c r="BI339">
        <f t="shared" si="102"/>
        <v>36.55667845</v>
      </c>
      <c r="BJ339">
        <f t="shared" si="103"/>
        <v>34.291519399999999</v>
      </c>
      <c r="BK339">
        <f t="shared" si="104"/>
        <v>33.868139500000005</v>
      </c>
      <c r="BL339">
        <f t="shared" si="105"/>
        <v>32.238095350000002</v>
      </c>
    </row>
    <row r="340" spans="1:64">
      <c r="A340" t="str">
        <f t="shared" si="90"/>
        <v>00</v>
      </c>
      <c r="B340" t="s">
        <v>605</v>
      </c>
      <c r="C340" t="s">
        <v>692</v>
      </c>
      <c r="D340">
        <v>2</v>
      </c>
      <c r="E340">
        <v>8</v>
      </c>
      <c r="F340">
        <v>16</v>
      </c>
      <c r="G340">
        <v>-99</v>
      </c>
      <c r="H340">
        <v>-99</v>
      </c>
      <c r="I340" t="s">
        <v>609</v>
      </c>
      <c r="J340">
        <v>7.9299999999999995E-2</v>
      </c>
      <c r="K340">
        <v>34.003900000000002</v>
      </c>
      <c r="L340">
        <v>0</v>
      </c>
      <c r="M340">
        <v>0</v>
      </c>
      <c r="N340">
        <v>47.831899999999997</v>
      </c>
      <c r="O340">
        <v>85.975499999999997</v>
      </c>
      <c r="P340">
        <v>600.54269999999997</v>
      </c>
      <c r="Q340">
        <v>206.9556</v>
      </c>
      <c r="R340">
        <v>0</v>
      </c>
      <c r="S340">
        <v>4.3499999999999997E-2</v>
      </c>
      <c r="T340">
        <v>6.3500000000000001E-2</v>
      </c>
      <c r="U340">
        <v>4.0000000000000002E-4</v>
      </c>
      <c r="V340">
        <v>9.0800000000000006E-2</v>
      </c>
      <c r="W340">
        <v>12.438599999999999</v>
      </c>
      <c r="X340">
        <v>2.0916000000000001</v>
      </c>
      <c r="Y340">
        <v>1.7997000000000001</v>
      </c>
      <c r="Z340">
        <v>1.9937</v>
      </c>
      <c r="AA340">
        <v>3.7625000000000002</v>
      </c>
      <c r="AB340">
        <v>42.831699999999998</v>
      </c>
      <c r="AC340">
        <v>34.803600000000003</v>
      </c>
      <c r="AD340">
        <v>86.531999999999996</v>
      </c>
      <c r="AE340">
        <v>0.33760000000000001</v>
      </c>
      <c r="AF340">
        <v>7810.2435999999998</v>
      </c>
      <c r="AG340">
        <v>58.3504</v>
      </c>
      <c r="AH340">
        <v>6.7500000000000004E-2</v>
      </c>
      <c r="AI340">
        <v>86.082800000000006</v>
      </c>
      <c r="AJ340">
        <v>0</v>
      </c>
      <c r="AK340">
        <v>75.287300000000002</v>
      </c>
      <c r="AL340">
        <v>1.3299999999999999E-2</v>
      </c>
      <c r="AM340">
        <v>0.05</v>
      </c>
      <c r="AN340">
        <v>0</v>
      </c>
      <c r="AO340">
        <v>82.891800000000003</v>
      </c>
      <c r="AP340">
        <v>83.35</v>
      </c>
      <c r="AQ340">
        <v>81.793599999999998</v>
      </c>
      <c r="AR340">
        <v>80.445099999999996</v>
      </c>
      <c r="AS340">
        <v>75.278499999999994</v>
      </c>
      <c r="AT340">
        <v>74.227599999999995</v>
      </c>
      <c r="AU340">
        <v>70.616200000000006</v>
      </c>
      <c r="AV340">
        <v>1070.3910000000001</v>
      </c>
      <c r="AW340">
        <v>2636.4373000000001</v>
      </c>
      <c r="AX340">
        <f t="shared" si="97"/>
        <v>91757.509214280013</v>
      </c>
      <c r="AY340">
        <f t="shared" si="98"/>
        <v>153837.17102991999</v>
      </c>
      <c r="AZ340">
        <f t="shared" si="99"/>
        <v>32793.588999779997</v>
      </c>
      <c r="BA340">
        <f t="shared" si="91"/>
        <v>0</v>
      </c>
      <c r="BB340">
        <f t="shared" si="92"/>
        <v>0</v>
      </c>
      <c r="BC340">
        <f t="shared" si="93"/>
        <v>0</v>
      </c>
      <c r="BD340">
        <f t="shared" si="94"/>
        <v>0</v>
      </c>
      <c r="BE340">
        <f t="shared" si="95"/>
        <v>0</v>
      </c>
      <c r="BF340">
        <f t="shared" si="96"/>
        <v>2636.4373000000001</v>
      </c>
      <c r="BG340">
        <f t="shared" si="100"/>
        <v>174.33485999999999</v>
      </c>
      <c r="BH340">
        <f t="shared" si="101"/>
        <v>171.07949376000002</v>
      </c>
      <c r="BI340">
        <f t="shared" si="102"/>
        <v>168.25897116000002</v>
      </c>
      <c r="BJ340">
        <f t="shared" si="103"/>
        <v>157.45251060000001</v>
      </c>
      <c r="BK340">
        <f t="shared" si="104"/>
        <v>155.25444816000001</v>
      </c>
      <c r="BL340">
        <f t="shared" si="105"/>
        <v>147.70084392000001</v>
      </c>
    </row>
    <row r="341" spans="1:64">
      <c r="A341" t="str">
        <f t="shared" si="90"/>
        <v>00</v>
      </c>
      <c r="B341" t="s">
        <v>605</v>
      </c>
      <c r="C341" t="s">
        <v>692</v>
      </c>
      <c r="D341">
        <v>7</v>
      </c>
      <c r="E341">
        <v>8</v>
      </c>
      <c r="F341">
        <v>16</v>
      </c>
      <c r="G341">
        <v>2</v>
      </c>
      <c r="H341">
        <v>100</v>
      </c>
      <c r="I341" t="s">
        <v>609</v>
      </c>
      <c r="J341">
        <v>0.32629999999999998</v>
      </c>
      <c r="K341">
        <v>17.89</v>
      </c>
      <c r="L341">
        <v>1.5800000000000002E-2</v>
      </c>
      <c r="M341">
        <v>0.4456</v>
      </c>
      <c r="N341">
        <v>17.881</v>
      </c>
      <c r="O341">
        <v>85.490499999999997</v>
      </c>
      <c r="P341">
        <v>4500</v>
      </c>
      <c r="Q341">
        <v>213.4836</v>
      </c>
      <c r="R341">
        <v>2.9483999999999999</v>
      </c>
      <c r="S341">
        <v>0.22750000000000001</v>
      </c>
      <c r="T341">
        <v>0.31940000000000002</v>
      </c>
      <c r="U341">
        <v>2.3999999999999998E-3</v>
      </c>
      <c r="V341">
        <v>0.33210000000000001</v>
      </c>
      <c r="W341">
        <v>14.2485</v>
      </c>
      <c r="X341">
        <v>0.8044</v>
      </c>
      <c r="Y341">
        <v>0.68769999999999998</v>
      </c>
      <c r="Z341">
        <v>0.67569999999999997</v>
      </c>
      <c r="AA341">
        <v>3.8460000000000001</v>
      </c>
      <c r="AB341">
        <v>39.896900000000002</v>
      </c>
      <c r="AC341">
        <v>31.658100000000001</v>
      </c>
      <c r="AD341">
        <v>98.0441</v>
      </c>
      <c r="AE341">
        <v>3.3099999999999997E-2</v>
      </c>
      <c r="AF341">
        <v>7453.1887999999999</v>
      </c>
      <c r="AG341">
        <v>58.221800000000002</v>
      </c>
      <c r="AH341">
        <v>3.2000000000000002E-3</v>
      </c>
      <c r="AI341">
        <v>84.457700000000003</v>
      </c>
      <c r="AJ341">
        <v>31.09</v>
      </c>
      <c r="AK341">
        <v>72.069999999999993</v>
      </c>
      <c r="AL341">
        <v>2.6576</v>
      </c>
      <c r="AM341">
        <v>0.05</v>
      </c>
      <c r="AN341">
        <v>1.11E-2</v>
      </c>
      <c r="AO341">
        <v>84.46</v>
      </c>
      <c r="AP341">
        <v>82.299199999999999</v>
      </c>
      <c r="AQ341">
        <v>80.761200000000002</v>
      </c>
      <c r="AR341">
        <v>79.548699999999997</v>
      </c>
      <c r="AS341">
        <v>74.712100000000007</v>
      </c>
      <c r="AT341">
        <v>73.669600000000003</v>
      </c>
      <c r="AU341">
        <v>70.200900000000004</v>
      </c>
      <c r="AV341">
        <v>96.203599999999994</v>
      </c>
      <c r="AW341">
        <v>246.49369999999999</v>
      </c>
      <c r="AX341">
        <f t="shared" si="97"/>
        <v>7803.5222039700002</v>
      </c>
      <c r="AY341">
        <f t="shared" si="98"/>
        <v>14351.306902660001</v>
      </c>
      <c r="AZ341">
        <f t="shared" si="99"/>
        <v>3512.1654844499999</v>
      </c>
      <c r="BA341">
        <f t="shared" si="91"/>
        <v>0</v>
      </c>
      <c r="BB341">
        <f t="shared" si="92"/>
        <v>0</v>
      </c>
      <c r="BC341">
        <f t="shared" si="93"/>
        <v>0</v>
      </c>
      <c r="BD341">
        <f t="shared" si="94"/>
        <v>0</v>
      </c>
      <c r="BE341">
        <f t="shared" si="95"/>
        <v>0</v>
      </c>
      <c r="BF341">
        <f t="shared" si="96"/>
        <v>246.49369999999999</v>
      </c>
      <c r="BG341">
        <f t="shared" si="100"/>
        <v>66.201476479999997</v>
      </c>
      <c r="BH341">
        <f t="shared" si="101"/>
        <v>64.964309280000009</v>
      </c>
      <c r="BI341">
        <f t="shared" si="102"/>
        <v>63.988974280000001</v>
      </c>
      <c r="BJ341">
        <f t="shared" si="103"/>
        <v>60.098413240000006</v>
      </c>
      <c r="BK341">
        <f t="shared" si="104"/>
        <v>59.259826240000002</v>
      </c>
      <c r="BL341">
        <f t="shared" si="105"/>
        <v>56.469603960000001</v>
      </c>
    </row>
    <row r="342" spans="1:64">
      <c r="A342" t="str">
        <f t="shared" si="90"/>
        <v>00</v>
      </c>
      <c r="B342" t="s">
        <v>605</v>
      </c>
      <c r="C342" t="s">
        <v>692</v>
      </c>
      <c r="D342">
        <v>7</v>
      </c>
      <c r="E342">
        <v>8</v>
      </c>
      <c r="F342">
        <v>16</v>
      </c>
      <c r="G342">
        <v>2</v>
      </c>
      <c r="H342">
        <v>100</v>
      </c>
      <c r="I342" t="s">
        <v>617</v>
      </c>
      <c r="J342">
        <v>0.42020000000000002</v>
      </c>
      <c r="K342">
        <v>26.408200000000001</v>
      </c>
      <c r="L342">
        <v>1.5800000000000002E-2</v>
      </c>
      <c r="M342">
        <v>0.4456</v>
      </c>
      <c r="N342">
        <v>17.881</v>
      </c>
      <c r="O342">
        <v>85.562299999999993</v>
      </c>
      <c r="P342">
        <v>4500</v>
      </c>
      <c r="Q342">
        <v>214.00909999999999</v>
      </c>
      <c r="R342">
        <v>2.7719</v>
      </c>
      <c r="S342">
        <v>0.28720000000000001</v>
      </c>
      <c r="T342">
        <v>0.4138</v>
      </c>
      <c r="U342">
        <v>2.5999999999999999E-3</v>
      </c>
      <c r="V342">
        <v>0.4289</v>
      </c>
      <c r="W342">
        <v>14.1953</v>
      </c>
      <c r="X342">
        <v>5.383</v>
      </c>
      <c r="Y342">
        <v>4.6059000000000001</v>
      </c>
      <c r="Z342">
        <v>4.54</v>
      </c>
      <c r="AA342">
        <v>25.758400000000002</v>
      </c>
      <c r="AB342">
        <v>33.683700000000002</v>
      </c>
      <c r="AC342">
        <v>31.877099999999999</v>
      </c>
      <c r="AD342">
        <v>97.204099999999997</v>
      </c>
      <c r="AE342">
        <v>0.17119999999999999</v>
      </c>
      <c r="AF342">
        <v>7481.8487999999998</v>
      </c>
      <c r="AG342">
        <v>58.122</v>
      </c>
      <c r="AH342">
        <v>2.5000000000000001E-2</v>
      </c>
      <c r="AI342">
        <v>85.443600000000004</v>
      </c>
      <c r="AJ342">
        <v>31.09</v>
      </c>
      <c r="AK342">
        <v>74.013599999999997</v>
      </c>
      <c r="AL342">
        <v>2.2787000000000002</v>
      </c>
      <c r="AM342">
        <v>0.05</v>
      </c>
      <c r="AN342">
        <v>8.6999999999999994E-3</v>
      </c>
      <c r="AO342">
        <v>84.2851</v>
      </c>
      <c r="AP342">
        <v>82.456599999999995</v>
      </c>
      <c r="AQ342">
        <v>80.959199999999996</v>
      </c>
      <c r="AR342">
        <v>79.759200000000007</v>
      </c>
      <c r="AS342">
        <v>74.952600000000004</v>
      </c>
      <c r="AT342">
        <v>73.933999999999997</v>
      </c>
      <c r="AU342">
        <v>70.484300000000005</v>
      </c>
      <c r="AV342">
        <v>499.27850000000001</v>
      </c>
      <c r="AW342">
        <v>1281.2059999999999</v>
      </c>
      <c r="AX342">
        <f t="shared" si="97"/>
        <v>40841.131782599994</v>
      </c>
      <c r="AY342">
        <f t="shared" si="98"/>
        <v>74466.255131999991</v>
      </c>
      <c r="AZ342">
        <f t="shared" si="99"/>
        <v>18187.103531799999</v>
      </c>
      <c r="BA342">
        <f t="shared" si="91"/>
        <v>0</v>
      </c>
      <c r="BB342">
        <f t="shared" si="92"/>
        <v>0</v>
      </c>
      <c r="BC342">
        <f t="shared" si="93"/>
        <v>0</v>
      </c>
      <c r="BD342">
        <f t="shared" si="94"/>
        <v>0</v>
      </c>
      <c r="BE342">
        <f t="shared" si="95"/>
        <v>0</v>
      </c>
      <c r="BF342">
        <f t="shared" si="96"/>
        <v>1281.2059999999999</v>
      </c>
      <c r="BG342">
        <f t="shared" si="100"/>
        <v>443.86387779999995</v>
      </c>
      <c r="BH342">
        <f t="shared" si="101"/>
        <v>435.80337359999999</v>
      </c>
      <c r="BI342">
        <f t="shared" si="102"/>
        <v>429.34377360000002</v>
      </c>
      <c r="BJ342">
        <f t="shared" si="103"/>
        <v>403.46984580000003</v>
      </c>
      <c r="BK342">
        <f t="shared" si="104"/>
        <v>397.98672199999999</v>
      </c>
      <c r="BL342">
        <f t="shared" si="105"/>
        <v>379.41698690000004</v>
      </c>
    </row>
    <row r="343" spans="1:64">
      <c r="A343" t="str">
        <f t="shared" si="90"/>
        <v>00</v>
      </c>
      <c r="B343" t="s">
        <v>605</v>
      </c>
      <c r="C343" t="s">
        <v>692</v>
      </c>
      <c r="D343">
        <v>7</v>
      </c>
      <c r="E343">
        <v>8</v>
      </c>
      <c r="F343">
        <v>16</v>
      </c>
      <c r="G343">
        <v>2</v>
      </c>
      <c r="H343">
        <v>200</v>
      </c>
      <c r="I343" t="s">
        <v>609</v>
      </c>
      <c r="J343">
        <v>0.25480000000000003</v>
      </c>
      <c r="K343">
        <v>61.715800000000002</v>
      </c>
      <c r="L343">
        <v>1.5699999999999999E-2</v>
      </c>
      <c r="M343">
        <v>0.42449999999999999</v>
      </c>
      <c r="N343">
        <v>17.881</v>
      </c>
      <c r="O343">
        <v>85.611599999999996</v>
      </c>
      <c r="P343">
        <v>4500</v>
      </c>
      <c r="Q343">
        <v>215.29140000000001</v>
      </c>
      <c r="R343">
        <v>2.4117000000000002</v>
      </c>
      <c r="S343">
        <v>0.17299999999999999</v>
      </c>
      <c r="T343">
        <v>0.2475</v>
      </c>
      <c r="U343">
        <v>1.5E-3</v>
      </c>
      <c r="V343">
        <v>0.27650000000000002</v>
      </c>
      <c r="W343">
        <v>14.5457</v>
      </c>
      <c r="X343">
        <v>27.156199999999998</v>
      </c>
      <c r="Y343">
        <v>23.250299999999999</v>
      </c>
      <c r="Z343">
        <v>24.404399999999999</v>
      </c>
      <c r="AA343">
        <v>130.02809999999999</v>
      </c>
      <c r="AB343">
        <v>58.428100000000001</v>
      </c>
      <c r="AC343">
        <v>31.286899999999999</v>
      </c>
      <c r="AD343">
        <v>99.689599999999999</v>
      </c>
      <c r="AE343">
        <v>1.4356</v>
      </c>
      <c r="AF343">
        <v>7425.3726999999999</v>
      </c>
      <c r="AG343">
        <v>57.6845</v>
      </c>
      <c r="AH343">
        <v>0.51680000000000004</v>
      </c>
      <c r="AI343">
        <v>87.479100000000003</v>
      </c>
      <c r="AJ343">
        <v>31.09</v>
      </c>
      <c r="AK343">
        <v>78.114599999999996</v>
      </c>
      <c r="AL343">
        <v>3.1166</v>
      </c>
      <c r="AM343">
        <v>0.05</v>
      </c>
      <c r="AN343">
        <v>6.3E-3</v>
      </c>
      <c r="AO343">
        <v>84.408000000000001</v>
      </c>
      <c r="AP343">
        <v>83.005799999999994</v>
      </c>
      <c r="AQ343">
        <v>81.602099999999993</v>
      </c>
      <c r="AR343">
        <v>80.121899999999997</v>
      </c>
      <c r="AS343">
        <v>75.052099999999996</v>
      </c>
      <c r="AT343">
        <v>74.090299999999999</v>
      </c>
      <c r="AU343">
        <v>70.463300000000004</v>
      </c>
      <c r="AV343">
        <v>4155.3131999999996</v>
      </c>
      <c r="AW343">
        <v>10659.7654</v>
      </c>
      <c r="AX343">
        <f t="shared" si="97"/>
        <v>333511.01409325999</v>
      </c>
      <c r="AY343">
        <f t="shared" si="98"/>
        <v>614903.23721629998</v>
      </c>
      <c r="AZ343">
        <f t="shared" si="99"/>
        <v>155053.74957878</v>
      </c>
      <c r="BA343">
        <f t="shared" si="91"/>
        <v>0</v>
      </c>
      <c r="BB343">
        <f t="shared" si="92"/>
        <v>0</v>
      </c>
      <c r="BC343">
        <f t="shared" si="93"/>
        <v>0</v>
      </c>
      <c r="BD343">
        <f t="shared" si="94"/>
        <v>0</v>
      </c>
      <c r="BE343">
        <f t="shared" si="95"/>
        <v>0</v>
      </c>
      <c r="BF343">
        <f t="shared" si="96"/>
        <v>10659.7654</v>
      </c>
      <c r="BG343">
        <f t="shared" si="100"/>
        <v>2254.1221059599998</v>
      </c>
      <c r="BH343">
        <f t="shared" si="101"/>
        <v>2216.0029480199996</v>
      </c>
      <c r="BI343">
        <f t="shared" si="102"/>
        <v>2175.8063407799996</v>
      </c>
      <c r="BJ343">
        <f t="shared" si="103"/>
        <v>2038.1298380199999</v>
      </c>
      <c r="BK343">
        <f t="shared" si="104"/>
        <v>2012.01100486</v>
      </c>
      <c r="BL343">
        <f t="shared" si="105"/>
        <v>1913.5154674600001</v>
      </c>
    </row>
    <row r="344" spans="1:64">
      <c r="A344" t="str">
        <f t="shared" si="90"/>
        <v>00</v>
      </c>
      <c r="B344" t="s">
        <v>605</v>
      </c>
      <c r="C344" t="s">
        <v>692</v>
      </c>
      <c r="D344">
        <v>7</v>
      </c>
      <c r="E344">
        <v>8</v>
      </c>
      <c r="F344">
        <v>16</v>
      </c>
      <c r="G344">
        <v>2</v>
      </c>
      <c r="H344">
        <v>200</v>
      </c>
      <c r="I344" t="s">
        <v>617</v>
      </c>
      <c r="J344">
        <v>0.37290000000000001</v>
      </c>
      <c r="K344">
        <v>48.584600000000002</v>
      </c>
      <c r="L344">
        <v>1.47E-2</v>
      </c>
      <c r="M344">
        <v>0.3856</v>
      </c>
      <c r="N344">
        <v>17.881</v>
      </c>
      <c r="O344">
        <v>79.427099999999996</v>
      </c>
      <c r="P344">
        <v>4500</v>
      </c>
      <c r="Q344">
        <v>215.69540000000001</v>
      </c>
      <c r="R344">
        <v>2.4876999999999998</v>
      </c>
      <c r="S344">
        <v>0.2601</v>
      </c>
      <c r="T344">
        <v>0.36409999999999998</v>
      </c>
      <c r="U344">
        <v>2.3E-3</v>
      </c>
      <c r="V344">
        <v>0.38979999999999998</v>
      </c>
      <c r="W344">
        <v>14.151400000000001</v>
      </c>
      <c r="X344">
        <v>9.7515999999999998</v>
      </c>
      <c r="Y344">
        <v>8.2844999999999995</v>
      </c>
      <c r="Z344">
        <v>8.3675999999999995</v>
      </c>
      <c r="AA344">
        <v>46.331499999999998</v>
      </c>
      <c r="AB344">
        <v>56.4636</v>
      </c>
      <c r="AC344">
        <v>32.316400000000002</v>
      </c>
      <c r="AD344">
        <v>96.038499999999999</v>
      </c>
      <c r="AE344">
        <v>0.34699999999999998</v>
      </c>
      <c r="AF344">
        <v>7537.1850999999997</v>
      </c>
      <c r="AG344">
        <v>57.985399999999998</v>
      </c>
      <c r="AH344">
        <v>9.8000000000000004E-2</v>
      </c>
      <c r="AI344">
        <v>86.986999999999995</v>
      </c>
      <c r="AJ344">
        <v>31.09</v>
      </c>
      <c r="AK344">
        <v>77.107200000000006</v>
      </c>
      <c r="AL344">
        <v>2.4626000000000001</v>
      </c>
      <c r="AM344">
        <v>0.05</v>
      </c>
      <c r="AN344">
        <v>1.83E-2</v>
      </c>
      <c r="AO344">
        <v>83.972300000000004</v>
      </c>
      <c r="AP344">
        <v>82.836100000000002</v>
      </c>
      <c r="AQ344">
        <v>81.395200000000003</v>
      </c>
      <c r="AR344">
        <v>80.157200000000003</v>
      </c>
      <c r="AS344">
        <v>75.362399999999994</v>
      </c>
      <c r="AT344">
        <v>74.385900000000007</v>
      </c>
      <c r="AU344">
        <v>70.938100000000006</v>
      </c>
      <c r="AV344">
        <v>1017.3964999999999</v>
      </c>
      <c r="AW344">
        <v>2615.3944000000001</v>
      </c>
      <c r="AX344">
        <f t="shared" si="97"/>
        <v>84520.131588160002</v>
      </c>
      <c r="AY344">
        <f t="shared" si="98"/>
        <v>151654.69044176</v>
      </c>
      <c r="AZ344">
        <f t="shared" si="99"/>
        <v>37011.49231216</v>
      </c>
      <c r="BA344">
        <f t="shared" si="91"/>
        <v>0</v>
      </c>
      <c r="BB344">
        <f t="shared" si="92"/>
        <v>0</v>
      </c>
      <c r="BC344">
        <f t="shared" si="93"/>
        <v>0</v>
      </c>
      <c r="BD344">
        <f t="shared" si="94"/>
        <v>0</v>
      </c>
      <c r="BE344">
        <f t="shared" si="95"/>
        <v>0</v>
      </c>
      <c r="BF344">
        <f t="shared" si="96"/>
        <v>2615.3944000000001</v>
      </c>
      <c r="BG344">
        <f t="shared" si="100"/>
        <v>807.78451275999998</v>
      </c>
      <c r="BH344">
        <f t="shared" si="101"/>
        <v>793.73343232000002</v>
      </c>
      <c r="BI344">
        <f t="shared" si="102"/>
        <v>781.66095152000003</v>
      </c>
      <c r="BJ344">
        <f t="shared" si="103"/>
        <v>734.90397983999992</v>
      </c>
      <c r="BK344">
        <f t="shared" si="104"/>
        <v>725.38154244000009</v>
      </c>
      <c r="BL344">
        <f t="shared" si="105"/>
        <v>691.75997596000002</v>
      </c>
    </row>
    <row r="345" spans="1:64">
      <c r="A345" t="str">
        <f t="shared" si="90"/>
        <v>00</v>
      </c>
      <c r="B345" t="s">
        <v>605</v>
      </c>
      <c r="C345" t="s">
        <v>692</v>
      </c>
      <c r="D345">
        <v>7</v>
      </c>
      <c r="E345">
        <v>8</v>
      </c>
      <c r="F345">
        <v>16</v>
      </c>
      <c r="G345">
        <v>2</v>
      </c>
      <c r="H345">
        <v>200</v>
      </c>
      <c r="I345" t="s">
        <v>607</v>
      </c>
      <c r="J345">
        <v>0.67020000000000002</v>
      </c>
      <c r="K345">
        <v>30.990500000000001</v>
      </c>
      <c r="L345">
        <v>1.6899999999999998E-2</v>
      </c>
      <c r="M345">
        <v>0.44869999999999999</v>
      </c>
      <c r="N345">
        <v>17.881</v>
      </c>
      <c r="O345">
        <v>84.070899999999995</v>
      </c>
      <c r="P345">
        <v>4500</v>
      </c>
      <c r="Q345">
        <v>214.90299999999999</v>
      </c>
      <c r="R345">
        <v>2.7970000000000002</v>
      </c>
      <c r="S345">
        <v>0.44479999999999997</v>
      </c>
      <c r="T345">
        <v>0.64770000000000005</v>
      </c>
      <c r="U345">
        <v>4.5999999999999999E-3</v>
      </c>
      <c r="V345">
        <v>0.68069999999999997</v>
      </c>
      <c r="W345">
        <v>13.896000000000001</v>
      </c>
      <c r="X345">
        <v>17.854900000000001</v>
      </c>
      <c r="Y345">
        <v>15.207800000000001</v>
      </c>
      <c r="Z345">
        <v>14.911</v>
      </c>
      <c r="AA345">
        <v>85.050200000000004</v>
      </c>
      <c r="AB345">
        <v>316.4468</v>
      </c>
      <c r="AC345">
        <v>32.817999999999998</v>
      </c>
      <c r="AD345">
        <v>96.055999999999997</v>
      </c>
      <c r="AE345">
        <v>0.35139999999999999</v>
      </c>
      <c r="AF345">
        <v>7581.9012000000002</v>
      </c>
      <c r="AG345">
        <v>58.428699999999999</v>
      </c>
      <c r="AH345">
        <v>6.1800000000000001E-2</v>
      </c>
      <c r="AI345">
        <v>85.8172</v>
      </c>
      <c r="AJ345">
        <v>31.09</v>
      </c>
      <c r="AK345">
        <v>74.758799999999994</v>
      </c>
      <c r="AL345">
        <v>2.4483999999999999</v>
      </c>
      <c r="AM345">
        <v>0.05</v>
      </c>
      <c r="AN345">
        <v>1.34E-2</v>
      </c>
      <c r="AO345">
        <v>83.923900000000003</v>
      </c>
      <c r="AP345">
        <v>82.143199999999993</v>
      </c>
      <c r="AQ345">
        <v>80.592500000000001</v>
      </c>
      <c r="AR345">
        <v>79.447599999999994</v>
      </c>
      <c r="AS345">
        <v>74.553899999999999</v>
      </c>
      <c r="AT345">
        <v>73.519599999999997</v>
      </c>
      <c r="AU345">
        <v>70.061000000000007</v>
      </c>
      <c r="AV345">
        <v>1036.7877000000001</v>
      </c>
      <c r="AW345">
        <v>2664.1502999999998</v>
      </c>
      <c r="AX345">
        <f t="shared" si="97"/>
        <v>87432.084545399994</v>
      </c>
      <c r="AY345">
        <f t="shared" si="98"/>
        <v>155662.83863360999</v>
      </c>
      <c r="AZ345">
        <f t="shared" si="99"/>
        <v>37021.032568800001</v>
      </c>
      <c r="BA345">
        <f t="shared" si="91"/>
        <v>0</v>
      </c>
      <c r="BB345">
        <f t="shared" si="92"/>
        <v>0</v>
      </c>
      <c r="BC345">
        <f t="shared" si="93"/>
        <v>0</v>
      </c>
      <c r="BD345">
        <f t="shared" si="94"/>
        <v>0</v>
      </c>
      <c r="BE345">
        <f t="shared" si="95"/>
        <v>0</v>
      </c>
      <c r="BF345">
        <f t="shared" si="96"/>
        <v>2664.1502999999998</v>
      </c>
      <c r="BG345">
        <f t="shared" si="100"/>
        <v>1466.6586216799999</v>
      </c>
      <c r="BH345">
        <f t="shared" si="101"/>
        <v>1438.97102825</v>
      </c>
      <c r="BI345">
        <f t="shared" si="102"/>
        <v>1418.52895324</v>
      </c>
      <c r="BJ345">
        <f t="shared" si="103"/>
        <v>1331.15242911</v>
      </c>
      <c r="BK345">
        <f t="shared" si="104"/>
        <v>1312.6851060399999</v>
      </c>
      <c r="BL345">
        <f t="shared" si="105"/>
        <v>1250.9321489000001</v>
      </c>
    </row>
    <row r="346" spans="1:64">
      <c r="A346" t="str">
        <f t="shared" si="90"/>
        <v>22</v>
      </c>
      <c r="B346" t="s">
        <v>605</v>
      </c>
      <c r="C346" t="s">
        <v>693</v>
      </c>
      <c r="D346">
        <v>55</v>
      </c>
      <c r="E346">
        <v>1</v>
      </c>
      <c r="F346">
        <v>6</v>
      </c>
      <c r="G346">
        <v>2</v>
      </c>
      <c r="H346">
        <v>100</v>
      </c>
      <c r="I346" t="s">
        <v>609</v>
      </c>
      <c r="J346">
        <v>0.30580000000000002</v>
      </c>
      <c r="K346">
        <v>209.77719999999999</v>
      </c>
      <c r="L346">
        <v>3.0599999999999999E-2</v>
      </c>
      <c r="M346">
        <v>0.46679999999999999</v>
      </c>
      <c r="N346">
        <v>35.886499999999998</v>
      </c>
      <c r="O346">
        <v>87.2209</v>
      </c>
      <c r="P346">
        <v>329.02859999999998</v>
      </c>
      <c r="Q346">
        <v>244.6977</v>
      </c>
      <c r="R346">
        <v>3.4299999999999997E-2</v>
      </c>
      <c r="S346">
        <v>0.58919999999999995</v>
      </c>
      <c r="T346">
        <v>0.13039999999999999</v>
      </c>
      <c r="U346">
        <v>3.4799999999999998E-2</v>
      </c>
      <c r="V346">
        <v>0.38040000000000002</v>
      </c>
      <c r="W346">
        <v>10.9788</v>
      </c>
      <c r="X346">
        <v>44.826700000000002</v>
      </c>
      <c r="Y346">
        <v>39.098100000000002</v>
      </c>
      <c r="Z346">
        <v>47.880099999999999</v>
      </c>
      <c r="AA346">
        <v>108.9169</v>
      </c>
      <c r="AB346">
        <v>17.945399999999999</v>
      </c>
      <c r="AC346">
        <v>54.377699999999997</v>
      </c>
      <c r="AD346">
        <v>51.296399999999998</v>
      </c>
      <c r="AE346">
        <v>1.6746000000000001</v>
      </c>
      <c r="AF346">
        <v>8881.5809000000008</v>
      </c>
      <c r="AG346">
        <v>66.624700000000004</v>
      </c>
      <c r="AH346">
        <v>2.6659000000000002</v>
      </c>
      <c r="AI346">
        <v>90.681899999999999</v>
      </c>
      <c r="AJ346">
        <v>73.2</v>
      </c>
      <c r="AK346">
        <v>84.768500000000003</v>
      </c>
      <c r="AL346">
        <v>1.4154</v>
      </c>
      <c r="AM346">
        <v>0.05</v>
      </c>
      <c r="AN346">
        <v>5.0000000000000001E-3</v>
      </c>
      <c r="AO346">
        <v>93.087800000000001</v>
      </c>
      <c r="AP346">
        <v>93.3596</v>
      </c>
      <c r="AQ346">
        <v>91.323599999999999</v>
      </c>
      <c r="AR346">
        <v>88.840500000000006</v>
      </c>
      <c r="AS346">
        <v>81.655000000000001</v>
      </c>
      <c r="AT346">
        <v>80.081100000000006</v>
      </c>
      <c r="AU346">
        <v>74.114400000000003</v>
      </c>
      <c r="AV346">
        <v>5851.9371000000001</v>
      </c>
      <c r="AW346">
        <v>14873.1397</v>
      </c>
      <c r="AX346">
        <f t="shared" si="97"/>
        <v>808767.12866468995</v>
      </c>
      <c r="AY346">
        <f t="shared" si="98"/>
        <v>990918.47057059</v>
      </c>
      <c r="AZ346">
        <f t="shared" si="99"/>
        <v>163289.22613835998</v>
      </c>
      <c r="BA346">
        <f t="shared" si="91"/>
        <v>14873.1397</v>
      </c>
      <c r="BB346">
        <f t="shared" si="92"/>
        <v>0</v>
      </c>
      <c r="BC346">
        <f t="shared" si="93"/>
        <v>0</v>
      </c>
      <c r="BD346">
        <f t="shared" si="94"/>
        <v>0</v>
      </c>
      <c r="BE346">
        <f t="shared" si="95"/>
        <v>0</v>
      </c>
      <c r="BF346">
        <f t="shared" si="96"/>
        <v>0</v>
      </c>
      <c r="BG346">
        <f t="shared" si="100"/>
        <v>4185.0027813200004</v>
      </c>
      <c r="BH346">
        <f t="shared" si="101"/>
        <v>4093.73562012</v>
      </c>
      <c r="BI346">
        <f t="shared" si="102"/>
        <v>3982.4264413500005</v>
      </c>
      <c r="BJ346">
        <f t="shared" si="103"/>
        <v>3660.3241885000002</v>
      </c>
      <c r="BK346">
        <f t="shared" si="104"/>
        <v>3589.7714453700005</v>
      </c>
      <c r="BL346">
        <f t="shared" si="105"/>
        <v>3322.3039744800003</v>
      </c>
    </row>
    <row r="347" spans="1:64">
      <c r="A347" t="str">
        <f t="shared" si="90"/>
        <v>22</v>
      </c>
      <c r="B347" t="s">
        <v>605</v>
      </c>
      <c r="C347" t="s">
        <v>693</v>
      </c>
      <c r="D347">
        <v>55</v>
      </c>
      <c r="E347">
        <v>1</v>
      </c>
      <c r="F347">
        <v>6</v>
      </c>
      <c r="G347">
        <v>2</v>
      </c>
      <c r="H347">
        <v>100</v>
      </c>
      <c r="I347" t="s">
        <v>617</v>
      </c>
      <c r="J347">
        <v>0.37490000000000001</v>
      </c>
      <c r="K347">
        <v>198.7414</v>
      </c>
      <c r="L347">
        <v>3.15E-2</v>
      </c>
      <c r="M347">
        <v>0.52780000000000005</v>
      </c>
      <c r="N347">
        <v>36.225999999999999</v>
      </c>
      <c r="O347">
        <v>87.825500000000005</v>
      </c>
      <c r="P347">
        <v>315.33710000000002</v>
      </c>
      <c r="Q347">
        <v>242.6523</v>
      </c>
      <c r="R347">
        <v>3.6400000000000002E-2</v>
      </c>
      <c r="S347">
        <v>0.64470000000000005</v>
      </c>
      <c r="T347">
        <v>0.153</v>
      </c>
      <c r="U347">
        <v>3.2500000000000001E-2</v>
      </c>
      <c r="V347">
        <v>0.434</v>
      </c>
      <c r="W347">
        <v>10.970700000000001</v>
      </c>
      <c r="X347">
        <v>14.1869</v>
      </c>
      <c r="Y347">
        <v>12.4635</v>
      </c>
      <c r="Z347">
        <v>14.56</v>
      </c>
      <c r="AA347">
        <v>34.383699999999997</v>
      </c>
      <c r="AB347">
        <v>21.2273</v>
      </c>
      <c r="AC347">
        <v>53.488</v>
      </c>
      <c r="AD347">
        <v>53.448099999999997</v>
      </c>
      <c r="AE347">
        <v>0.4451</v>
      </c>
      <c r="AF347">
        <v>8854.9089000000004</v>
      </c>
      <c r="AG347">
        <v>64.378</v>
      </c>
      <c r="AH347">
        <v>0.66520000000000001</v>
      </c>
      <c r="AI347">
        <v>90.492500000000007</v>
      </c>
      <c r="AJ347">
        <v>73.2</v>
      </c>
      <c r="AK347">
        <v>84.37</v>
      </c>
      <c r="AL347">
        <v>1.4097999999999999</v>
      </c>
      <c r="AM347">
        <v>0.05</v>
      </c>
      <c r="AN347">
        <v>5.0000000000000001E-3</v>
      </c>
      <c r="AO347">
        <v>92.132099999999994</v>
      </c>
      <c r="AP347">
        <v>93.718000000000004</v>
      </c>
      <c r="AQ347">
        <v>91.798299999999998</v>
      </c>
      <c r="AR347">
        <v>89.527199999999993</v>
      </c>
      <c r="AS347">
        <v>82.827699999999993</v>
      </c>
      <c r="AT347">
        <v>81.286000000000001</v>
      </c>
      <c r="AU347">
        <v>75.9636</v>
      </c>
      <c r="AV347">
        <v>1548.4168999999999</v>
      </c>
      <c r="AW347">
        <v>3940.9416000000001</v>
      </c>
      <c r="AX347">
        <f t="shared" si="97"/>
        <v>210793.08430079999</v>
      </c>
      <c r="AY347">
        <f t="shared" si="98"/>
        <v>253709.93832479999</v>
      </c>
      <c r="AZ347">
        <f t="shared" si="99"/>
        <v>43234.888011120005</v>
      </c>
      <c r="BA347">
        <f t="shared" si="91"/>
        <v>3940.9416000000001</v>
      </c>
      <c r="BB347">
        <f t="shared" si="92"/>
        <v>0</v>
      </c>
      <c r="BC347">
        <f t="shared" si="93"/>
        <v>0</v>
      </c>
      <c r="BD347">
        <f t="shared" si="94"/>
        <v>0</v>
      </c>
      <c r="BE347">
        <f t="shared" si="95"/>
        <v>0</v>
      </c>
      <c r="BF347">
        <f t="shared" si="96"/>
        <v>0</v>
      </c>
      <c r="BG347">
        <f t="shared" si="100"/>
        <v>1329.5678942</v>
      </c>
      <c r="BH347">
        <f t="shared" si="101"/>
        <v>1302.3333022699999</v>
      </c>
      <c r="BI347">
        <f t="shared" si="102"/>
        <v>1270.1134336799998</v>
      </c>
      <c r="BJ347">
        <f t="shared" si="103"/>
        <v>1175.0682971299998</v>
      </c>
      <c r="BK347">
        <f t="shared" si="104"/>
        <v>1153.1963533999999</v>
      </c>
      <c r="BL347">
        <f t="shared" si="105"/>
        <v>1077.6879968399999</v>
      </c>
    </row>
    <row r="348" spans="1:64">
      <c r="A348" t="str">
        <f t="shared" si="90"/>
        <v>22</v>
      </c>
      <c r="B348" t="s">
        <v>605</v>
      </c>
      <c r="C348" t="s">
        <v>693</v>
      </c>
      <c r="D348">
        <v>55</v>
      </c>
      <c r="E348">
        <v>1</v>
      </c>
      <c r="F348">
        <v>6</v>
      </c>
      <c r="G348">
        <v>2</v>
      </c>
      <c r="H348">
        <v>100</v>
      </c>
      <c r="I348" t="s">
        <v>607</v>
      </c>
      <c r="J348">
        <v>0.40550000000000003</v>
      </c>
      <c r="K348">
        <v>143.92660000000001</v>
      </c>
      <c r="L348">
        <v>3.3000000000000002E-2</v>
      </c>
      <c r="M348">
        <v>0.4924</v>
      </c>
      <c r="N348">
        <v>35.942500000000003</v>
      </c>
      <c r="O348">
        <v>88.057199999999995</v>
      </c>
      <c r="P348">
        <v>323.68470000000002</v>
      </c>
      <c r="Q348">
        <v>239.46459999999999</v>
      </c>
      <c r="R348">
        <v>3.7499999999999999E-2</v>
      </c>
      <c r="S348">
        <v>0.64829999999999999</v>
      </c>
      <c r="T348">
        <v>0.1452</v>
      </c>
      <c r="U348">
        <v>3.1800000000000002E-2</v>
      </c>
      <c r="V348">
        <v>0.45029999999999998</v>
      </c>
      <c r="W348">
        <v>10.919600000000001</v>
      </c>
      <c r="X348">
        <v>6.8018999999999998</v>
      </c>
      <c r="Y348">
        <v>5.9894999999999996</v>
      </c>
      <c r="Z348">
        <v>6.6688000000000001</v>
      </c>
      <c r="AA348">
        <v>16.664200000000001</v>
      </c>
      <c r="AB348">
        <v>48.117199999999997</v>
      </c>
      <c r="AC348">
        <v>52.722799999999999</v>
      </c>
      <c r="AD348">
        <v>54.068199999999997</v>
      </c>
      <c r="AE348">
        <v>0.1978</v>
      </c>
      <c r="AF348">
        <v>8783.1628999999994</v>
      </c>
      <c r="AG348">
        <v>64.383300000000006</v>
      </c>
      <c r="AH348">
        <v>0.23350000000000001</v>
      </c>
      <c r="AI348">
        <v>90.023300000000006</v>
      </c>
      <c r="AJ348">
        <v>73.2</v>
      </c>
      <c r="AK348">
        <v>83.375299999999996</v>
      </c>
      <c r="AL348">
        <v>1.4575</v>
      </c>
      <c r="AM348">
        <v>0.05</v>
      </c>
      <c r="AN348">
        <v>5.0000000000000001E-3</v>
      </c>
      <c r="AO348">
        <v>92.286299999999997</v>
      </c>
      <c r="AP348">
        <v>93.900800000000004</v>
      </c>
      <c r="AQ348">
        <v>91.944699999999997</v>
      </c>
      <c r="AR348">
        <v>89.7286</v>
      </c>
      <c r="AS348">
        <v>83.059899999999999</v>
      </c>
      <c r="AT348">
        <v>81.531499999999994</v>
      </c>
      <c r="AU348">
        <v>76.23</v>
      </c>
      <c r="AV348">
        <v>681.82669999999996</v>
      </c>
      <c r="AW348">
        <v>1736.9712</v>
      </c>
      <c r="AX348">
        <f t="shared" si="97"/>
        <v>91577.985183359997</v>
      </c>
      <c r="AY348">
        <f t="shared" si="98"/>
        <v>111831.93786096001</v>
      </c>
      <c r="AZ348">
        <f t="shared" si="99"/>
        <v>18967.030715520003</v>
      </c>
      <c r="BA348">
        <f t="shared" si="91"/>
        <v>1736.9712</v>
      </c>
      <c r="BB348">
        <f t="shared" si="92"/>
        <v>0</v>
      </c>
      <c r="BC348">
        <f t="shared" si="93"/>
        <v>0</v>
      </c>
      <c r="BD348">
        <f t="shared" si="94"/>
        <v>0</v>
      </c>
      <c r="BE348">
        <f t="shared" si="95"/>
        <v>0</v>
      </c>
      <c r="BF348">
        <f t="shared" si="96"/>
        <v>0</v>
      </c>
      <c r="BG348">
        <f t="shared" si="100"/>
        <v>638.70385152000006</v>
      </c>
      <c r="BH348">
        <f t="shared" si="101"/>
        <v>625.39865493000002</v>
      </c>
      <c r="BI348">
        <f t="shared" si="102"/>
        <v>610.32496433999995</v>
      </c>
      <c r="BJ348">
        <f t="shared" si="103"/>
        <v>564.96513381</v>
      </c>
      <c r="BK348">
        <f t="shared" si="104"/>
        <v>554.5691098499999</v>
      </c>
      <c r="BL348">
        <f t="shared" si="105"/>
        <v>518.50883699999997</v>
      </c>
    </row>
    <row r="349" spans="1:64">
      <c r="A349" t="str">
        <f t="shared" si="90"/>
        <v>22</v>
      </c>
      <c r="B349" t="s">
        <v>605</v>
      </c>
      <c r="C349" t="s">
        <v>693</v>
      </c>
      <c r="D349">
        <v>55</v>
      </c>
      <c r="E349">
        <v>1</v>
      </c>
      <c r="F349">
        <v>6</v>
      </c>
      <c r="G349">
        <v>2</v>
      </c>
      <c r="H349">
        <v>200</v>
      </c>
      <c r="I349" t="s">
        <v>609</v>
      </c>
      <c r="J349">
        <v>0.27960000000000002</v>
      </c>
      <c r="K349">
        <v>164.16909999999999</v>
      </c>
      <c r="L349">
        <v>4.24E-2</v>
      </c>
      <c r="M349">
        <v>0.91369999999999996</v>
      </c>
      <c r="N349">
        <v>35.5182</v>
      </c>
      <c r="O349">
        <v>86.983099999999993</v>
      </c>
      <c r="P349">
        <v>343.84949999999998</v>
      </c>
      <c r="Q349">
        <v>244.7432</v>
      </c>
      <c r="R349">
        <v>2.7099999999999999E-2</v>
      </c>
      <c r="S349">
        <v>0.56430000000000002</v>
      </c>
      <c r="T349">
        <v>0.10199999999999999</v>
      </c>
      <c r="U349">
        <v>5.57E-2</v>
      </c>
      <c r="V349">
        <v>0.3402</v>
      </c>
      <c r="W349">
        <v>11.0609</v>
      </c>
      <c r="X349">
        <v>19.540900000000001</v>
      </c>
      <c r="Y349">
        <v>16.997199999999999</v>
      </c>
      <c r="Z349">
        <v>20.049600000000002</v>
      </c>
      <c r="AA349">
        <v>47.856999999999999</v>
      </c>
      <c r="AB349">
        <v>17.1419</v>
      </c>
      <c r="AC349">
        <v>54.157899999999998</v>
      </c>
      <c r="AD349">
        <v>49.7654</v>
      </c>
      <c r="AE349">
        <v>0.79069999999999996</v>
      </c>
      <c r="AF349">
        <v>8840.0673999999999</v>
      </c>
      <c r="AG349">
        <v>67.491799999999998</v>
      </c>
      <c r="AH349">
        <v>0.95789999999999997</v>
      </c>
      <c r="AI349">
        <v>90.066800000000001</v>
      </c>
      <c r="AJ349">
        <v>73.2</v>
      </c>
      <c r="AK349">
        <v>83.466999999999999</v>
      </c>
      <c r="AL349">
        <v>1.343</v>
      </c>
      <c r="AM349">
        <v>0.05</v>
      </c>
      <c r="AN349">
        <v>5.0000000000000001E-3</v>
      </c>
      <c r="AO349">
        <v>93.563900000000004</v>
      </c>
      <c r="AP349">
        <v>93.046099999999996</v>
      </c>
      <c r="AQ349">
        <v>91.0184</v>
      </c>
      <c r="AR349">
        <v>88.431899999999999</v>
      </c>
      <c r="AS349">
        <v>81.119100000000003</v>
      </c>
      <c r="AT349">
        <v>79.557299999999998</v>
      </c>
      <c r="AU349">
        <v>73.334699999999998</v>
      </c>
      <c r="AV349">
        <v>2747.6844999999998</v>
      </c>
      <c r="AW349">
        <v>6989.7554</v>
      </c>
      <c r="AX349">
        <f t="shared" si="97"/>
        <v>378550.47397766</v>
      </c>
      <c r="AY349">
        <f t="shared" si="98"/>
        <v>471751.17350571998</v>
      </c>
      <c r="AZ349">
        <f t="shared" si="99"/>
        <v>77312.985503860007</v>
      </c>
      <c r="BA349">
        <f t="shared" si="91"/>
        <v>6989.7554</v>
      </c>
      <c r="BB349">
        <f t="shared" si="92"/>
        <v>0</v>
      </c>
      <c r="BC349">
        <f t="shared" si="93"/>
        <v>0</v>
      </c>
      <c r="BD349">
        <f t="shared" si="94"/>
        <v>0</v>
      </c>
      <c r="BE349">
        <f t="shared" si="95"/>
        <v>0</v>
      </c>
      <c r="BF349">
        <f t="shared" si="96"/>
        <v>0</v>
      </c>
      <c r="BG349">
        <f t="shared" si="100"/>
        <v>1818.2045354899999</v>
      </c>
      <c r="BH349">
        <f t="shared" si="101"/>
        <v>1778.5814525600001</v>
      </c>
      <c r="BI349">
        <f t="shared" si="102"/>
        <v>1728.03891471</v>
      </c>
      <c r="BJ349">
        <f t="shared" si="103"/>
        <v>1585.1402211900001</v>
      </c>
      <c r="BK349">
        <f t="shared" si="104"/>
        <v>1554.6212435699999</v>
      </c>
      <c r="BL349">
        <f t="shared" si="105"/>
        <v>1433.0260392299999</v>
      </c>
    </row>
    <row r="350" spans="1:64">
      <c r="A350" t="str">
        <f t="shared" si="90"/>
        <v>22</v>
      </c>
      <c r="B350" t="s">
        <v>605</v>
      </c>
      <c r="C350" t="s">
        <v>693</v>
      </c>
      <c r="D350">
        <v>66</v>
      </c>
      <c r="E350">
        <v>3</v>
      </c>
      <c r="F350">
        <v>6</v>
      </c>
      <c r="G350">
        <v>2</v>
      </c>
      <c r="H350">
        <v>200</v>
      </c>
      <c r="I350" t="s">
        <v>609</v>
      </c>
      <c r="J350">
        <v>0.29470000000000002</v>
      </c>
      <c r="K350">
        <v>155.9555</v>
      </c>
      <c r="L350">
        <v>4.4400000000000002E-2</v>
      </c>
      <c r="M350">
        <v>0.93240000000000001</v>
      </c>
      <c r="N350">
        <v>35.4681</v>
      </c>
      <c r="O350">
        <v>89.792699999999996</v>
      </c>
      <c r="P350">
        <v>348.59249999999997</v>
      </c>
      <c r="Q350">
        <v>216.285</v>
      </c>
      <c r="R350">
        <v>2.8000000000000001E-2</v>
      </c>
      <c r="S350">
        <v>0.4904</v>
      </c>
      <c r="T350">
        <v>7.6399999999999996E-2</v>
      </c>
      <c r="U350">
        <v>0.1169</v>
      </c>
      <c r="V350">
        <v>0.3483</v>
      </c>
      <c r="W350">
        <v>12.466200000000001</v>
      </c>
      <c r="X350">
        <v>21.216999999999999</v>
      </c>
      <c r="Y350">
        <v>19.0519</v>
      </c>
      <c r="Z350">
        <v>21.966999999999999</v>
      </c>
      <c r="AA350">
        <v>53.729399999999998</v>
      </c>
      <c r="AB350">
        <v>21.521799999999999</v>
      </c>
      <c r="AC350">
        <v>40.976599999999998</v>
      </c>
      <c r="AD350">
        <v>76.637600000000006</v>
      </c>
      <c r="AE350">
        <v>0.95299999999999996</v>
      </c>
      <c r="AF350">
        <v>7607.9898999999996</v>
      </c>
      <c r="AG350">
        <v>70.081299999999999</v>
      </c>
      <c r="AH350">
        <v>0.94079999999999997</v>
      </c>
      <c r="AI350">
        <v>89.933499999999995</v>
      </c>
      <c r="AJ350">
        <v>73.2</v>
      </c>
      <c r="AK350">
        <v>83.186899999999994</v>
      </c>
      <c r="AL350">
        <v>1.2404999999999999</v>
      </c>
      <c r="AM350">
        <v>0.05</v>
      </c>
      <c r="AN350">
        <v>2.5000000000000001E-3</v>
      </c>
      <c r="AO350">
        <v>93.011200000000002</v>
      </c>
      <c r="AP350">
        <v>94.790700000000001</v>
      </c>
      <c r="AQ350">
        <v>93.363699999999994</v>
      </c>
      <c r="AR350">
        <v>90.8292</v>
      </c>
      <c r="AS350">
        <v>85.319800000000001</v>
      </c>
      <c r="AT350">
        <v>84.484899999999996</v>
      </c>
      <c r="AU350">
        <v>79.385800000000003</v>
      </c>
      <c r="AV350">
        <v>2869.4564999999998</v>
      </c>
      <c r="AW350">
        <v>7249.1869999999999</v>
      </c>
      <c r="AX350">
        <f t="shared" si="97"/>
        <v>297047.03602419997</v>
      </c>
      <c r="AY350">
        <f t="shared" si="98"/>
        <v>508032.44890309998</v>
      </c>
      <c r="AZ350">
        <f t="shared" si="99"/>
        <v>90369.814979400006</v>
      </c>
      <c r="BA350">
        <f t="shared" si="91"/>
        <v>0</v>
      </c>
      <c r="BB350">
        <f t="shared" si="92"/>
        <v>0</v>
      </c>
      <c r="BC350">
        <f t="shared" si="93"/>
        <v>7249.1869999999999</v>
      </c>
      <c r="BD350">
        <f t="shared" si="94"/>
        <v>0</v>
      </c>
      <c r="BE350">
        <f t="shared" si="95"/>
        <v>0</v>
      </c>
      <c r="BF350">
        <f t="shared" si="96"/>
        <v>0</v>
      </c>
      <c r="BG350">
        <f t="shared" si="100"/>
        <v>2011.1742818999999</v>
      </c>
      <c r="BH350">
        <f t="shared" si="101"/>
        <v>1980.8976228999998</v>
      </c>
      <c r="BI350">
        <f t="shared" si="102"/>
        <v>1927.1231363999998</v>
      </c>
      <c r="BJ350">
        <f t="shared" si="103"/>
        <v>1810.2301966</v>
      </c>
      <c r="BK350">
        <f t="shared" si="104"/>
        <v>1792.5161232999999</v>
      </c>
      <c r="BL350">
        <f t="shared" si="105"/>
        <v>1684.3285186000001</v>
      </c>
    </row>
    <row r="351" spans="1:64">
      <c r="A351" t="str">
        <f t="shared" si="90"/>
        <v>23</v>
      </c>
      <c r="B351" t="s">
        <v>605</v>
      </c>
      <c r="C351" t="s">
        <v>694</v>
      </c>
      <c r="D351">
        <v>55</v>
      </c>
      <c r="E351">
        <v>1</v>
      </c>
      <c r="F351">
        <v>6</v>
      </c>
      <c r="G351">
        <v>2</v>
      </c>
      <c r="H351">
        <v>100</v>
      </c>
      <c r="I351" t="s">
        <v>609</v>
      </c>
      <c r="J351">
        <v>0.30599999999999999</v>
      </c>
      <c r="K351">
        <v>207.8288</v>
      </c>
      <c r="L351">
        <v>3.0499999999999999E-2</v>
      </c>
      <c r="M351">
        <v>0.49630000000000002</v>
      </c>
      <c r="N351">
        <v>36.030099999999997</v>
      </c>
      <c r="O351">
        <v>87.122900000000001</v>
      </c>
      <c r="P351">
        <v>320.58</v>
      </c>
      <c r="Q351">
        <v>245.50399999999999</v>
      </c>
      <c r="R351">
        <v>3.4299999999999997E-2</v>
      </c>
      <c r="S351">
        <v>0.59160000000000001</v>
      </c>
      <c r="T351">
        <v>0.13489999999999999</v>
      </c>
      <c r="U351">
        <v>3.4099999999999998E-2</v>
      </c>
      <c r="V351">
        <v>0.37930000000000003</v>
      </c>
      <c r="W351">
        <v>10.957800000000001</v>
      </c>
      <c r="X351">
        <v>21.0533</v>
      </c>
      <c r="Y351">
        <v>18.342300000000002</v>
      </c>
      <c r="Z351">
        <v>22.429500000000001</v>
      </c>
      <c r="AA351">
        <v>50.8934</v>
      </c>
      <c r="AB351">
        <v>19.817299999999999</v>
      </c>
      <c r="AC351">
        <v>54.6858</v>
      </c>
      <c r="AD351">
        <v>50.953099999999999</v>
      </c>
      <c r="AE351">
        <v>0.78459999999999996</v>
      </c>
      <c r="AF351">
        <v>8915.9531999999999</v>
      </c>
      <c r="AG351">
        <v>66.385000000000005</v>
      </c>
      <c r="AH351">
        <v>1.242</v>
      </c>
      <c r="AI351">
        <v>90.669200000000004</v>
      </c>
      <c r="AJ351">
        <v>73.2</v>
      </c>
      <c r="AK351">
        <v>84.740899999999996</v>
      </c>
      <c r="AL351">
        <v>1.4119999999999999</v>
      </c>
      <c r="AM351">
        <v>0.05</v>
      </c>
      <c r="AN351">
        <v>5.0000000000000001E-3</v>
      </c>
      <c r="AO351">
        <v>92.909499999999994</v>
      </c>
      <c r="AP351">
        <v>93.234200000000001</v>
      </c>
      <c r="AQ351">
        <v>91.197400000000002</v>
      </c>
      <c r="AR351">
        <v>88.662099999999995</v>
      </c>
      <c r="AS351">
        <v>81.519199999999998</v>
      </c>
      <c r="AT351">
        <v>79.960999999999999</v>
      </c>
      <c r="AU351">
        <v>73.962999999999994</v>
      </c>
      <c r="AV351">
        <v>2750.8045000000002</v>
      </c>
      <c r="AW351">
        <v>6995.8078999999998</v>
      </c>
      <c r="AX351">
        <f t="shared" si="97"/>
        <v>382571.35165781999</v>
      </c>
      <c r="AY351">
        <f t="shared" si="98"/>
        <v>464416.70744150004</v>
      </c>
      <c r="AZ351">
        <f t="shared" si="99"/>
        <v>76658.663806619996</v>
      </c>
      <c r="BA351">
        <f t="shared" si="91"/>
        <v>6995.8078999999998</v>
      </c>
      <c r="BB351">
        <f t="shared" si="92"/>
        <v>0</v>
      </c>
      <c r="BC351">
        <f t="shared" si="93"/>
        <v>0</v>
      </c>
      <c r="BD351">
        <f t="shared" si="94"/>
        <v>0</v>
      </c>
      <c r="BE351">
        <f t="shared" si="95"/>
        <v>0</v>
      </c>
      <c r="BF351">
        <f t="shared" si="96"/>
        <v>0</v>
      </c>
      <c r="BG351">
        <f t="shared" si="100"/>
        <v>1962.8875828600001</v>
      </c>
      <c r="BH351">
        <f t="shared" si="101"/>
        <v>1920.00622142</v>
      </c>
      <c r="BI351">
        <f t="shared" si="102"/>
        <v>1866.62978993</v>
      </c>
      <c r="BJ351">
        <f t="shared" si="103"/>
        <v>1716.24817336</v>
      </c>
      <c r="BK351">
        <f t="shared" si="104"/>
        <v>1683.4429213000001</v>
      </c>
      <c r="BL351">
        <f t="shared" si="105"/>
        <v>1557.1652279</v>
      </c>
    </row>
    <row r="352" spans="1:64">
      <c r="A352" t="str">
        <f t="shared" si="90"/>
        <v>23</v>
      </c>
      <c r="B352" t="s">
        <v>605</v>
      </c>
      <c r="C352" t="s">
        <v>694</v>
      </c>
      <c r="D352">
        <v>55</v>
      </c>
      <c r="E352">
        <v>1</v>
      </c>
      <c r="F352">
        <v>6</v>
      </c>
      <c r="G352">
        <v>2</v>
      </c>
      <c r="H352">
        <v>100</v>
      </c>
      <c r="I352" t="s">
        <v>617</v>
      </c>
      <c r="J352">
        <v>0.3886</v>
      </c>
      <c r="K352">
        <v>162.07589999999999</v>
      </c>
      <c r="L352">
        <v>3.0700000000000002E-2</v>
      </c>
      <c r="M352">
        <v>0.54820000000000002</v>
      </c>
      <c r="N352">
        <v>36.449399999999997</v>
      </c>
      <c r="O352">
        <v>88.081800000000001</v>
      </c>
      <c r="P352">
        <v>304.16149999999999</v>
      </c>
      <c r="Q352">
        <v>243.30119999999999</v>
      </c>
      <c r="R352">
        <v>3.6200000000000003E-2</v>
      </c>
      <c r="S352">
        <v>0.65749999999999997</v>
      </c>
      <c r="T352">
        <v>0.16289999999999999</v>
      </c>
      <c r="U352">
        <v>3.0599999999999999E-2</v>
      </c>
      <c r="V352">
        <v>0.44130000000000003</v>
      </c>
      <c r="W352">
        <v>10.9819</v>
      </c>
      <c r="X352">
        <v>8.7582000000000004</v>
      </c>
      <c r="Y352">
        <v>7.7144000000000004</v>
      </c>
      <c r="Z352">
        <v>8.6324000000000005</v>
      </c>
      <c r="AA352">
        <v>21.1647</v>
      </c>
      <c r="AB352">
        <v>21.010899999999999</v>
      </c>
      <c r="AC352">
        <v>53.497900000000001</v>
      </c>
      <c r="AD352">
        <v>53.781100000000002</v>
      </c>
      <c r="AE352">
        <v>0.25819999999999999</v>
      </c>
      <c r="AF352">
        <v>8883.6502999999993</v>
      </c>
      <c r="AG352">
        <v>63.261400000000002</v>
      </c>
      <c r="AH352">
        <v>0.312</v>
      </c>
      <c r="AI352">
        <v>90.052099999999996</v>
      </c>
      <c r="AJ352">
        <v>73.2</v>
      </c>
      <c r="AK352">
        <v>83.436099999999996</v>
      </c>
      <c r="AL352">
        <v>1.399</v>
      </c>
      <c r="AM352">
        <v>0.05</v>
      </c>
      <c r="AN352">
        <v>5.0000000000000001E-3</v>
      </c>
      <c r="AO352">
        <v>91.570400000000006</v>
      </c>
      <c r="AP352">
        <v>93.719099999999997</v>
      </c>
      <c r="AQ352">
        <v>91.904600000000002</v>
      </c>
      <c r="AR352">
        <v>89.699299999999994</v>
      </c>
      <c r="AS352">
        <v>83.522099999999995</v>
      </c>
      <c r="AT352">
        <v>82.132999999999996</v>
      </c>
      <c r="AU352">
        <v>77.138800000000003</v>
      </c>
      <c r="AV352">
        <v>903.37120000000004</v>
      </c>
      <c r="AW352">
        <v>2293.5180999999998</v>
      </c>
      <c r="AX352">
        <f t="shared" si="97"/>
        <v>122698.40196198999</v>
      </c>
      <c r="AY352">
        <f t="shared" si="98"/>
        <v>145091.16593133999</v>
      </c>
      <c r="AZ352">
        <f t="shared" si="99"/>
        <v>25187.186422389997</v>
      </c>
      <c r="BA352">
        <f t="shared" si="91"/>
        <v>2293.5180999999998</v>
      </c>
      <c r="BB352">
        <f t="shared" si="92"/>
        <v>0</v>
      </c>
      <c r="BC352">
        <f t="shared" si="93"/>
        <v>0</v>
      </c>
      <c r="BD352">
        <f t="shared" si="94"/>
        <v>0</v>
      </c>
      <c r="BE352">
        <f t="shared" si="95"/>
        <v>0</v>
      </c>
      <c r="BF352">
        <f t="shared" si="96"/>
        <v>0</v>
      </c>
      <c r="BG352">
        <f t="shared" si="100"/>
        <v>820.81062162000001</v>
      </c>
      <c r="BH352">
        <f t="shared" si="101"/>
        <v>804.91886772000009</v>
      </c>
      <c r="BI352">
        <f t="shared" si="102"/>
        <v>785.60440926000001</v>
      </c>
      <c r="BJ352">
        <f t="shared" si="103"/>
        <v>731.50325622000003</v>
      </c>
      <c r="BK352">
        <f t="shared" si="104"/>
        <v>719.33724059999997</v>
      </c>
      <c r="BL352">
        <f t="shared" si="105"/>
        <v>675.59703816000001</v>
      </c>
    </row>
    <row r="353" spans="1:64">
      <c r="A353" t="str">
        <f t="shared" si="90"/>
        <v>23</v>
      </c>
      <c r="B353" t="s">
        <v>605</v>
      </c>
      <c r="C353" t="s">
        <v>694</v>
      </c>
      <c r="D353">
        <v>55</v>
      </c>
      <c r="E353">
        <v>1</v>
      </c>
      <c r="F353">
        <v>6</v>
      </c>
      <c r="G353">
        <v>2</v>
      </c>
      <c r="H353">
        <v>100</v>
      </c>
      <c r="I353" t="s">
        <v>607</v>
      </c>
      <c r="J353">
        <v>0.38300000000000001</v>
      </c>
      <c r="K353">
        <v>161.6739</v>
      </c>
      <c r="L353">
        <v>3.0700000000000002E-2</v>
      </c>
      <c r="M353">
        <v>0.54820000000000002</v>
      </c>
      <c r="N353">
        <v>36.815600000000003</v>
      </c>
      <c r="O353">
        <v>88.843699999999998</v>
      </c>
      <c r="P353">
        <v>303.32990000000001</v>
      </c>
      <c r="Q353">
        <v>237.56020000000001</v>
      </c>
      <c r="R353">
        <v>3.5099999999999999E-2</v>
      </c>
      <c r="S353">
        <v>0.70130000000000003</v>
      </c>
      <c r="T353">
        <v>0.1835</v>
      </c>
      <c r="U353">
        <v>3.1699999999999999E-2</v>
      </c>
      <c r="V353">
        <v>0.46479999999999999</v>
      </c>
      <c r="W353">
        <v>12.4505</v>
      </c>
      <c r="X353">
        <v>0.85399999999999998</v>
      </c>
      <c r="Y353">
        <v>0.75870000000000004</v>
      </c>
      <c r="Z353">
        <v>0.84179999999999999</v>
      </c>
      <c r="AA353">
        <v>2.0609000000000002</v>
      </c>
      <c r="AB353">
        <v>57.201300000000003</v>
      </c>
      <c r="AC353">
        <v>45.829300000000003</v>
      </c>
      <c r="AD353">
        <v>63.475299999999997</v>
      </c>
      <c r="AE353">
        <v>2.5499999999999998E-2</v>
      </c>
      <c r="AF353">
        <v>8250.4765000000007</v>
      </c>
      <c r="AG353">
        <v>63.307099999999998</v>
      </c>
      <c r="AH353">
        <v>2.8799999999999999E-2</v>
      </c>
      <c r="AI353">
        <v>90.063699999999997</v>
      </c>
      <c r="AJ353">
        <v>73.2</v>
      </c>
      <c r="AK353">
        <v>83.460400000000007</v>
      </c>
      <c r="AL353">
        <v>1.3982000000000001</v>
      </c>
      <c r="AM353">
        <v>0.05</v>
      </c>
      <c r="AN353">
        <v>5.0000000000000001E-3</v>
      </c>
      <c r="AO353">
        <v>88.157399999999996</v>
      </c>
      <c r="AP353">
        <v>94.180599999999998</v>
      </c>
      <c r="AQ353">
        <v>92.759399999999999</v>
      </c>
      <c r="AR353">
        <v>90.045199999999994</v>
      </c>
      <c r="AS353">
        <v>85.100300000000004</v>
      </c>
      <c r="AT353">
        <v>84.507000000000005</v>
      </c>
      <c r="AU353">
        <v>79.178700000000006</v>
      </c>
      <c r="AV353">
        <v>81.483500000000006</v>
      </c>
      <c r="AW353">
        <v>210.52199999999999</v>
      </c>
      <c r="AX353">
        <f t="shared" si="97"/>
        <v>9648.0758946000005</v>
      </c>
      <c r="AY353">
        <f t="shared" si="98"/>
        <v>13327.5373062</v>
      </c>
      <c r="AZ353">
        <f t="shared" si="99"/>
        <v>2621.1041609999997</v>
      </c>
      <c r="BA353">
        <f t="shared" si="91"/>
        <v>210.52199999999999</v>
      </c>
      <c r="BB353">
        <f t="shared" si="92"/>
        <v>0</v>
      </c>
      <c r="BC353">
        <f t="shared" si="93"/>
        <v>0</v>
      </c>
      <c r="BD353">
        <f t="shared" si="94"/>
        <v>0</v>
      </c>
      <c r="BE353">
        <f t="shared" si="95"/>
        <v>0</v>
      </c>
      <c r="BF353">
        <f t="shared" si="96"/>
        <v>0</v>
      </c>
      <c r="BG353">
        <f t="shared" si="100"/>
        <v>80.430232399999994</v>
      </c>
      <c r="BH353">
        <f t="shared" si="101"/>
        <v>79.216527599999992</v>
      </c>
      <c r="BI353">
        <f t="shared" si="102"/>
        <v>76.898600799999997</v>
      </c>
      <c r="BJ353">
        <f t="shared" si="103"/>
        <v>72.675656200000006</v>
      </c>
      <c r="BK353">
        <f t="shared" si="104"/>
        <v>72.168977999999996</v>
      </c>
      <c r="BL353">
        <f t="shared" si="105"/>
        <v>67.618609800000002</v>
      </c>
    </row>
    <row r="354" spans="1:64">
      <c r="A354" t="str">
        <f t="shared" si="90"/>
        <v>23</v>
      </c>
      <c r="B354" t="s">
        <v>605</v>
      </c>
      <c r="C354" t="s">
        <v>694</v>
      </c>
      <c r="D354">
        <v>55</v>
      </c>
      <c r="E354">
        <v>1</v>
      </c>
      <c r="F354">
        <v>6</v>
      </c>
      <c r="G354">
        <v>2</v>
      </c>
      <c r="H354">
        <v>200</v>
      </c>
      <c r="I354" t="s">
        <v>609</v>
      </c>
      <c r="J354">
        <v>0.2918</v>
      </c>
      <c r="K354">
        <v>169.49090000000001</v>
      </c>
      <c r="L354">
        <v>3.6700000000000003E-2</v>
      </c>
      <c r="M354">
        <v>1.0085</v>
      </c>
      <c r="N354">
        <v>35.968899999999998</v>
      </c>
      <c r="O354">
        <v>86.874600000000001</v>
      </c>
      <c r="P354">
        <v>327.69920000000002</v>
      </c>
      <c r="Q354">
        <v>244.48240000000001</v>
      </c>
      <c r="R354">
        <v>2.7199999999999998E-2</v>
      </c>
      <c r="S354">
        <v>0.54059999999999997</v>
      </c>
      <c r="T354">
        <v>0.1033</v>
      </c>
      <c r="U354">
        <v>9.3100000000000002E-2</v>
      </c>
      <c r="V354">
        <v>0.35460000000000003</v>
      </c>
      <c r="W354">
        <v>11.011900000000001</v>
      </c>
      <c r="X354">
        <v>41.7941</v>
      </c>
      <c r="Y354">
        <v>36.308</v>
      </c>
      <c r="Z354">
        <v>42.769500000000001</v>
      </c>
      <c r="AA354">
        <v>100.9432</v>
      </c>
      <c r="AB354">
        <v>19.348299999999998</v>
      </c>
      <c r="AC354">
        <v>54.268099999999997</v>
      </c>
      <c r="AD354">
        <v>49.330199999999998</v>
      </c>
      <c r="AE354">
        <v>1.6176999999999999</v>
      </c>
      <c r="AF354">
        <v>8853.4243999999999</v>
      </c>
      <c r="AG354">
        <v>67.358900000000006</v>
      </c>
      <c r="AH354">
        <v>2.0308000000000002</v>
      </c>
      <c r="AI354">
        <v>90.140100000000004</v>
      </c>
      <c r="AJ354">
        <v>73.2</v>
      </c>
      <c r="AK354">
        <v>83.622</v>
      </c>
      <c r="AL354">
        <v>1.3017000000000001</v>
      </c>
      <c r="AM354">
        <v>0.05</v>
      </c>
      <c r="AN354">
        <v>4.1999999999999997E-3</v>
      </c>
      <c r="AO354">
        <v>93.478200000000001</v>
      </c>
      <c r="AP354">
        <v>92.833600000000004</v>
      </c>
      <c r="AQ354">
        <v>90.807599999999994</v>
      </c>
      <c r="AR354">
        <v>88.096599999999995</v>
      </c>
      <c r="AS354">
        <v>80.805599999999998</v>
      </c>
      <c r="AT354">
        <v>79.247799999999998</v>
      </c>
      <c r="AU354">
        <v>73.060299999999998</v>
      </c>
      <c r="AV354">
        <v>5626.2205999999996</v>
      </c>
      <c r="AW354">
        <v>14320.9887</v>
      </c>
      <c r="AX354">
        <f t="shared" si="97"/>
        <v>777172.84687046998</v>
      </c>
      <c r="AY354">
        <f t="shared" si="98"/>
        <v>964646.04574443004</v>
      </c>
      <c r="AZ354">
        <f t="shared" si="99"/>
        <v>157701.29546553001</v>
      </c>
      <c r="BA354">
        <f t="shared" si="91"/>
        <v>14320.9887</v>
      </c>
      <c r="BB354">
        <f t="shared" si="92"/>
        <v>0</v>
      </c>
      <c r="BC354">
        <f t="shared" si="93"/>
        <v>0</v>
      </c>
      <c r="BD354">
        <f t="shared" si="94"/>
        <v>0</v>
      </c>
      <c r="BE354">
        <f t="shared" si="95"/>
        <v>0</v>
      </c>
      <c r="BF354">
        <f t="shared" si="96"/>
        <v>0</v>
      </c>
      <c r="BG354">
        <f t="shared" si="100"/>
        <v>3879.8967617600001</v>
      </c>
      <c r="BH354">
        <f t="shared" si="101"/>
        <v>3795.2219151599998</v>
      </c>
      <c r="BI354">
        <f t="shared" si="102"/>
        <v>3681.9181100599999</v>
      </c>
      <c r="BJ354">
        <f t="shared" si="103"/>
        <v>3377.1973269599998</v>
      </c>
      <c r="BK354">
        <f t="shared" si="104"/>
        <v>3312.0904779799998</v>
      </c>
      <c r="BL354">
        <f t="shared" si="105"/>
        <v>3053.48948423</v>
      </c>
    </row>
    <row r="355" spans="1:64">
      <c r="A355" t="str">
        <f t="shared" si="90"/>
        <v>23</v>
      </c>
      <c r="B355" t="s">
        <v>605</v>
      </c>
      <c r="C355" t="s">
        <v>694</v>
      </c>
      <c r="D355">
        <v>66</v>
      </c>
      <c r="E355">
        <v>3</v>
      </c>
      <c r="F355">
        <v>6</v>
      </c>
      <c r="G355">
        <v>2</v>
      </c>
      <c r="H355">
        <v>100</v>
      </c>
      <c r="I355" t="s">
        <v>617</v>
      </c>
      <c r="J355">
        <v>0.39069999999999999</v>
      </c>
      <c r="K355">
        <v>195.2833</v>
      </c>
      <c r="L355">
        <v>3.04E-2</v>
      </c>
      <c r="M355">
        <v>0.47760000000000002</v>
      </c>
      <c r="N355">
        <v>36.121699999999997</v>
      </c>
      <c r="O355">
        <v>89.428700000000006</v>
      </c>
      <c r="P355">
        <v>308.82319999999999</v>
      </c>
      <c r="Q355">
        <v>224.589</v>
      </c>
      <c r="R355">
        <v>3.1E-2</v>
      </c>
      <c r="S355">
        <v>0.61219999999999997</v>
      </c>
      <c r="T355">
        <v>0.13700000000000001</v>
      </c>
      <c r="U355">
        <v>3.3000000000000002E-2</v>
      </c>
      <c r="V355">
        <v>0.44640000000000002</v>
      </c>
      <c r="W355">
        <v>12.3553</v>
      </c>
      <c r="X355">
        <v>5.4080000000000004</v>
      </c>
      <c r="Y355">
        <v>4.8362999999999996</v>
      </c>
      <c r="Z355">
        <v>5.5709</v>
      </c>
      <c r="AA355">
        <v>13.388999999999999</v>
      </c>
      <c r="AB355">
        <v>16.466100000000001</v>
      </c>
      <c r="AC355">
        <v>43.044499999999999</v>
      </c>
      <c r="AD355">
        <v>69.193799999999996</v>
      </c>
      <c r="AE355">
        <v>0.18229999999999999</v>
      </c>
      <c r="AF355">
        <v>7901.4996000000001</v>
      </c>
      <c r="AG355">
        <v>66.332499999999996</v>
      </c>
      <c r="AH355">
        <v>0.2374</v>
      </c>
      <c r="AI355">
        <v>90.508799999999994</v>
      </c>
      <c r="AJ355">
        <v>73.2</v>
      </c>
      <c r="AK355">
        <v>84.400099999999995</v>
      </c>
      <c r="AL355">
        <v>1.4080999999999999</v>
      </c>
      <c r="AM355">
        <v>0.05</v>
      </c>
      <c r="AN355">
        <v>0</v>
      </c>
      <c r="AO355">
        <v>90.469499999999996</v>
      </c>
      <c r="AP355">
        <v>94.472300000000004</v>
      </c>
      <c r="AQ355">
        <v>93.080600000000004</v>
      </c>
      <c r="AR355">
        <v>90.463200000000001</v>
      </c>
      <c r="AS355">
        <v>85.313199999999995</v>
      </c>
      <c r="AT355">
        <v>84.619900000000001</v>
      </c>
      <c r="AU355">
        <v>79.454300000000003</v>
      </c>
      <c r="AV355">
        <v>560.41390000000001</v>
      </c>
      <c r="AW355">
        <v>1440.2792999999999</v>
      </c>
      <c r="AX355">
        <f t="shared" si="97"/>
        <v>61996.102328849993</v>
      </c>
      <c r="AY355">
        <f t="shared" si="98"/>
        <v>95537.326667249989</v>
      </c>
      <c r="AZ355">
        <f t="shared" si="99"/>
        <v>17795.082835289999</v>
      </c>
      <c r="BA355">
        <f t="shared" si="91"/>
        <v>0</v>
      </c>
      <c r="BB355">
        <f t="shared" si="92"/>
        <v>0</v>
      </c>
      <c r="BC355">
        <f t="shared" si="93"/>
        <v>1440.2792999999999</v>
      </c>
      <c r="BD355">
        <f t="shared" si="94"/>
        <v>0</v>
      </c>
      <c r="BE355">
        <f t="shared" si="95"/>
        <v>0</v>
      </c>
      <c r="BF355">
        <f t="shared" si="96"/>
        <v>0</v>
      </c>
      <c r="BG355">
        <f t="shared" si="100"/>
        <v>510.90619840000005</v>
      </c>
      <c r="BH355">
        <f t="shared" si="101"/>
        <v>503.37988480000007</v>
      </c>
      <c r="BI355">
        <f t="shared" si="102"/>
        <v>489.22498560000002</v>
      </c>
      <c r="BJ355">
        <f t="shared" si="103"/>
        <v>461.37378560000002</v>
      </c>
      <c r="BK355">
        <f t="shared" si="104"/>
        <v>457.62441920000003</v>
      </c>
      <c r="BL355">
        <f t="shared" si="105"/>
        <v>429.68885440000003</v>
      </c>
    </row>
    <row r="356" spans="1:64">
      <c r="A356" t="str">
        <f t="shared" si="90"/>
        <v>23</v>
      </c>
      <c r="B356" t="s">
        <v>605</v>
      </c>
      <c r="C356" t="s">
        <v>694</v>
      </c>
      <c r="D356">
        <v>66</v>
      </c>
      <c r="E356">
        <v>3</v>
      </c>
      <c r="F356">
        <v>6</v>
      </c>
      <c r="G356">
        <v>2</v>
      </c>
      <c r="H356">
        <v>100</v>
      </c>
      <c r="I356" t="s">
        <v>607</v>
      </c>
      <c r="J356">
        <v>0.3997</v>
      </c>
      <c r="K356">
        <v>195.77279999999999</v>
      </c>
      <c r="L356">
        <v>3.0499999999999999E-2</v>
      </c>
      <c r="M356">
        <v>0.50029999999999997</v>
      </c>
      <c r="N356">
        <v>36.294699999999999</v>
      </c>
      <c r="O356">
        <v>89.1905</v>
      </c>
      <c r="P356">
        <v>309.6071</v>
      </c>
      <c r="Q356">
        <v>229.7124</v>
      </c>
      <c r="R356">
        <v>3.4500000000000003E-2</v>
      </c>
      <c r="S356">
        <v>0.57120000000000004</v>
      </c>
      <c r="T356">
        <v>0.14119999999999999</v>
      </c>
      <c r="U356">
        <v>2.9100000000000001E-2</v>
      </c>
      <c r="V356">
        <v>0.47889999999999999</v>
      </c>
      <c r="W356">
        <v>12.3764</v>
      </c>
      <c r="X356">
        <v>9.0298999999999996</v>
      </c>
      <c r="Y356">
        <v>8.0538000000000007</v>
      </c>
      <c r="Z356">
        <v>9.1658000000000008</v>
      </c>
      <c r="AA356">
        <v>22.190799999999999</v>
      </c>
      <c r="AB356">
        <v>17.1693</v>
      </c>
      <c r="AC356">
        <v>44.3369</v>
      </c>
      <c r="AD356">
        <v>66.345299999999995</v>
      </c>
      <c r="AE356">
        <v>0.27589999999999998</v>
      </c>
      <c r="AF356">
        <v>8029.2246999999998</v>
      </c>
      <c r="AG356">
        <v>66.242500000000007</v>
      </c>
      <c r="AH356">
        <v>0.36609999999999998</v>
      </c>
      <c r="AI356">
        <v>90.515000000000001</v>
      </c>
      <c r="AJ356">
        <v>73.2</v>
      </c>
      <c r="AK356">
        <v>84.413200000000003</v>
      </c>
      <c r="AL356">
        <v>1.4355</v>
      </c>
      <c r="AM356">
        <v>0.05</v>
      </c>
      <c r="AN356">
        <v>0</v>
      </c>
      <c r="AO356">
        <v>90.043000000000006</v>
      </c>
      <c r="AP356">
        <v>94.334299999999999</v>
      </c>
      <c r="AQ356">
        <v>92.938199999999995</v>
      </c>
      <c r="AR356">
        <v>90.2744</v>
      </c>
      <c r="AS356">
        <v>85.2166</v>
      </c>
      <c r="AT356">
        <v>84.580600000000004</v>
      </c>
      <c r="AU356">
        <v>79.345100000000002</v>
      </c>
      <c r="AV356">
        <v>859.77290000000005</v>
      </c>
      <c r="AW356">
        <v>2215.2676999999999</v>
      </c>
      <c r="AX356">
        <f t="shared" si="97"/>
        <v>98218.102488129996</v>
      </c>
      <c r="AY356">
        <f t="shared" si="98"/>
        <v>146744.87061725001</v>
      </c>
      <c r="AZ356">
        <f t="shared" si="99"/>
        <v>27417.039162279998</v>
      </c>
      <c r="BA356">
        <f t="shared" si="91"/>
        <v>0</v>
      </c>
      <c r="BB356">
        <f t="shared" si="92"/>
        <v>0</v>
      </c>
      <c r="BC356">
        <f t="shared" si="93"/>
        <v>2215.2676999999999</v>
      </c>
      <c r="BD356">
        <f t="shared" si="94"/>
        <v>0</v>
      </c>
      <c r="BE356">
        <f t="shared" si="95"/>
        <v>0</v>
      </c>
      <c r="BF356">
        <f t="shared" si="96"/>
        <v>0</v>
      </c>
      <c r="BG356">
        <f t="shared" si="100"/>
        <v>851.82929557</v>
      </c>
      <c r="BH356">
        <f t="shared" si="101"/>
        <v>839.22265217999995</v>
      </c>
      <c r="BI356">
        <f t="shared" si="102"/>
        <v>815.16880456000001</v>
      </c>
      <c r="BJ356">
        <f t="shared" si="103"/>
        <v>769.49737633999996</v>
      </c>
      <c r="BK356">
        <f t="shared" si="104"/>
        <v>763.75435993999997</v>
      </c>
      <c r="BL356">
        <f t="shared" si="105"/>
        <v>716.47831848999999</v>
      </c>
    </row>
    <row r="357" spans="1:64">
      <c r="A357" t="str">
        <f t="shared" si="90"/>
        <v>23</v>
      </c>
      <c r="B357" t="s">
        <v>605</v>
      </c>
      <c r="C357" t="s">
        <v>694</v>
      </c>
      <c r="D357">
        <v>66</v>
      </c>
      <c r="E357">
        <v>3</v>
      </c>
      <c r="F357">
        <v>6</v>
      </c>
      <c r="G357">
        <v>2</v>
      </c>
      <c r="H357">
        <v>200</v>
      </c>
      <c r="I357" t="s">
        <v>609</v>
      </c>
      <c r="J357">
        <v>0.31190000000000001</v>
      </c>
      <c r="K357">
        <v>155.49870000000001</v>
      </c>
      <c r="L357">
        <v>4.7399999999999998E-2</v>
      </c>
      <c r="M357">
        <v>1.0154000000000001</v>
      </c>
      <c r="N357">
        <v>35.359499999999997</v>
      </c>
      <c r="O357">
        <v>89.7911</v>
      </c>
      <c r="P357">
        <v>341.52269999999999</v>
      </c>
      <c r="Q357">
        <v>216.5224</v>
      </c>
      <c r="R357">
        <v>2.7300000000000001E-2</v>
      </c>
      <c r="S357">
        <v>0.496</v>
      </c>
      <c r="T357">
        <v>7.4800000000000005E-2</v>
      </c>
      <c r="U357">
        <v>0.11169999999999999</v>
      </c>
      <c r="V357">
        <v>0.36299999999999999</v>
      </c>
      <c r="W357">
        <v>12.4269</v>
      </c>
      <c r="X357">
        <v>13.531700000000001</v>
      </c>
      <c r="Y357">
        <v>12.1502</v>
      </c>
      <c r="Z357">
        <v>13.8918</v>
      </c>
      <c r="AA357">
        <v>34.362400000000001</v>
      </c>
      <c r="AB357">
        <v>23.770600000000002</v>
      </c>
      <c r="AC357">
        <v>40.974200000000003</v>
      </c>
      <c r="AD357">
        <v>76.887100000000004</v>
      </c>
      <c r="AE357">
        <v>0.57550000000000001</v>
      </c>
      <c r="AF357">
        <v>7644.7447000000002</v>
      </c>
      <c r="AG357">
        <v>68.521100000000004</v>
      </c>
      <c r="AH357">
        <v>0.56910000000000005</v>
      </c>
      <c r="AI357">
        <v>89.930300000000003</v>
      </c>
      <c r="AJ357">
        <v>73.2</v>
      </c>
      <c r="AK357">
        <v>83.180099999999996</v>
      </c>
      <c r="AL357">
        <v>1.23</v>
      </c>
      <c r="AM357">
        <v>0.05</v>
      </c>
      <c r="AN357">
        <v>1E-4</v>
      </c>
      <c r="AO357">
        <v>92.23</v>
      </c>
      <c r="AP357">
        <v>94.811899999999994</v>
      </c>
      <c r="AQ357">
        <v>93.387699999999995</v>
      </c>
      <c r="AR357">
        <v>90.860799999999998</v>
      </c>
      <c r="AS357">
        <v>85.328400000000002</v>
      </c>
      <c r="AT357">
        <v>84.482100000000003</v>
      </c>
      <c r="AU357">
        <v>79.398300000000006</v>
      </c>
      <c r="AV357">
        <v>1740.7572</v>
      </c>
      <c r="AW357">
        <v>4399.4960000000001</v>
      </c>
      <c r="AX357">
        <f t="shared" si="97"/>
        <v>180265.82900320002</v>
      </c>
      <c r="AY357">
        <f t="shared" si="98"/>
        <v>301458.30536560004</v>
      </c>
      <c r="AZ357">
        <f t="shared" si="99"/>
        <v>54672.096842400002</v>
      </c>
      <c r="BA357">
        <f t="shared" si="91"/>
        <v>0</v>
      </c>
      <c r="BB357">
        <f t="shared" si="92"/>
        <v>0</v>
      </c>
      <c r="BC357">
        <f t="shared" si="93"/>
        <v>4399.4960000000001</v>
      </c>
      <c r="BD357">
        <f t="shared" si="94"/>
        <v>0</v>
      </c>
      <c r="BE357">
        <f t="shared" si="95"/>
        <v>0</v>
      </c>
      <c r="BF357">
        <f t="shared" si="96"/>
        <v>0</v>
      </c>
      <c r="BG357">
        <f t="shared" si="100"/>
        <v>1282.9661872300001</v>
      </c>
      <c r="BH357">
        <f t="shared" si="101"/>
        <v>1263.69434009</v>
      </c>
      <c r="BI357">
        <f t="shared" si="102"/>
        <v>1229.5010873599999</v>
      </c>
      <c r="BJ357">
        <f t="shared" si="103"/>
        <v>1154.63831028</v>
      </c>
      <c r="BK357">
        <f t="shared" si="104"/>
        <v>1143.1864325700001</v>
      </c>
      <c r="BL357">
        <f t="shared" si="105"/>
        <v>1074.39397611</v>
      </c>
    </row>
    <row r="358" spans="1:64">
      <c r="A358" t="str">
        <f t="shared" si="90"/>
        <v>24</v>
      </c>
      <c r="B358" t="s">
        <v>605</v>
      </c>
      <c r="C358" t="s">
        <v>695</v>
      </c>
      <c r="D358">
        <v>55</v>
      </c>
      <c r="E358">
        <v>1</v>
      </c>
      <c r="F358">
        <v>6</v>
      </c>
      <c r="G358">
        <v>2</v>
      </c>
      <c r="H358">
        <v>100</v>
      </c>
      <c r="I358" t="s">
        <v>607</v>
      </c>
      <c r="J358">
        <v>0.57069999999999999</v>
      </c>
      <c r="K358">
        <v>117.2431</v>
      </c>
      <c r="L358">
        <v>3.8699999999999998E-2</v>
      </c>
      <c r="M358">
        <v>0.92130000000000001</v>
      </c>
      <c r="N358">
        <v>33.270800000000001</v>
      </c>
      <c r="O358">
        <v>88.633099999999999</v>
      </c>
      <c r="P358">
        <v>368.57380000000001</v>
      </c>
      <c r="Q358">
        <v>238.84110000000001</v>
      </c>
      <c r="R358">
        <v>0.24349999999999999</v>
      </c>
      <c r="S358">
        <v>1.2053</v>
      </c>
      <c r="T358">
        <v>0.3115</v>
      </c>
      <c r="U358">
        <v>8.6E-3</v>
      </c>
      <c r="V358">
        <v>0.72109999999999996</v>
      </c>
      <c r="W358">
        <v>11.9605</v>
      </c>
      <c r="X358">
        <v>198.04339999999999</v>
      </c>
      <c r="Y358">
        <v>175.54599999999999</v>
      </c>
      <c r="Z358">
        <v>179.8853</v>
      </c>
      <c r="AA358">
        <v>527.73329999999999</v>
      </c>
      <c r="AB358">
        <v>17.9575</v>
      </c>
      <c r="AC358">
        <v>48.294600000000003</v>
      </c>
      <c r="AD358">
        <v>54.509</v>
      </c>
      <c r="AE358">
        <v>3.4626999999999999</v>
      </c>
      <c r="AF358">
        <v>8411.1622000000007</v>
      </c>
      <c r="AG358">
        <v>62.548099999999998</v>
      </c>
      <c r="AH358">
        <v>2.7532999999999999</v>
      </c>
      <c r="AI358">
        <v>89.177400000000006</v>
      </c>
      <c r="AJ358">
        <v>73.2</v>
      </c>
      <c r="AK358">
        <v>81.605500000000006</v>
      </c>
      <c r="AL358">
        <v>1.5259</v>
      </c>
      <c r="AM358">
        <v>0.05</v>
      </c>
      <c r="AN358">
        <v>8.0000000000000002E-3</v>
      </c>
      <c r="AO358">
        <v>92.346400000000003</v>
      </c>
      <c r="AP358">
        <v>93.573899999999995</v>
      </c>
      <c r="AQ358">
        <v>92.321200000000005</v>
      </c>
      <c r="AR358">
        <v>90.297799999999995</v>
      </c>
      <c r="AS358">
        <v>84.524699999999996</v>
      </c>
      <c r="AT358">
        <v>83.585499999999996</v>
      </c>
      <c r="AU358">
        <v>78.6584</v>
      </c>
      <c r="AV358">
        <v>11475.296899999999</v>
      </c>
      <c r="AW358">
        <v>29121.899300000001</v>
      </c>
      <c r="AX358">
        <f t="shared" si="97"/>
        <v>1406430.4779337801</v>
      </c>
      <c r="AY358">
        <f t="shared" si="98"/>
        <v>1821519.4696063299</v>
      </c>
      <c r="AZ358">
        <f t="shared" si="99"/>
        <v>348312.47657765</v>
      </c>
      <c r="BA358">
        <f t="shared" si="91"/>
        <v>29121.899300000001</v>
      </c>
      <c r="BB358">
        <f t="shared" si="92"/>
        <v>0</v>
      </c>
      <c r="BC358">
        <f t="shared" si="93"/>
        <v>0</v>
      </c>
      <c r="BD358">
        <f t="shared" si="94"/>
        <v>0</v>
      </c>
      <c r="BE358">
        <f t="shared" si="95"/>
        <v>0</v>
      </c>
      <c r="BF358">
        <f t="shared" si="96"/>
        <v>0</v>
      </c>
      <c r="BG358">
        <f t="shared" si="100"/>
        <v>18531.693307259997</v>
      </c>
      <c r="BH358">
        <f t="shared" si="101"/>
        <v>18283.604340080001</v>
      </c>
      <c r="BI358">
        <f t="shared" si="102"/>
        <v>17882.883324519997</v>
      </c>
      <c r="BJ358">
        <f t="shared" si="103"/>
        <v>16739.558971979997</v>
      </c>
      <c r="BK358">
        <f t="shared" si="104"/>
        <v>16553.556610699998</v>
      </c>
      <c r="BL358">
        <f t="shared" si="105"/>
        <v>15577.77697456</v>
      </c>
    </row>
    <row r="359" spans="1:64">
      <c r="A359" t="str">
        <f t="shared" si="90"/>
        <v>24</v>
      </c>
      <c r="B359" t="s">
        <v>605</v>
      </c>
      <c r="C359" t="s">
        <v>695</v>
      </c>
      <c r="D359">
        <v>55</v>
      </c>
      <c r="E359">
        <v>1</v>
      </c>
      <c r="F359">
        <v>6</v>
      </c>
      <c r="G359">
        <v>2</v>
      </c>
      <c r="H359">
        <v>200</v>
      </c>
      <c r="I359" t="s">
        <v>607</v>
      </c>
      <c r="J359">
        <v>0.53410000000000002</v>
      </c>
      <c r="K359">
        <v>80.755300000000005</v>
      </c>
      <c r="L359">
        <v>3.3500000000000002E-2</v>
      </c>
      <c r="M359">
        <v>0.97619999999999996</v>
      </c>
      <c r="N359">
        <v>33.892299999999999</v>
      </c>
      <c r="O359">
        <v>88.189400000000006</v>
      </c>
      <c r="P359">
        <v>371.1558</v>
      </c>
      <c r="Q359">
        <v>234.8203</v>
      </c>
      <c r="R359">
        <v>0.23580000000000001</v>
      </c>
      <c r="S359">
        <v>1.3068</v>
      </c>
      <c r="T359">
        <v>0.35099999999999998</v>
      </c>
      <c r="U359">
        <v>0.01</v>
      </c>
      <c r="V359">
        <v>0.67359999999999998</v>
      </c>
      <c r="W359">
        <v>12.028700000000001</v>
      </c>
      <c r="X359">
        <v>37.889299999999999</v>
      </c>
      <c r="Y359">
        <v>33.709000000000003</v>
      </c>
      <c r="Z359">
        <v>34.690300000000001</v>
      </c>
      <c r="AA359">
        <v>99.478499999999997</v>
      </c>
      <c r="AB359">
        <v>41.008400000000002</v>
      </c>
      <c r="AC359">
        <v>46.817700000000002</v>
      </c>
      <c r="AD359">
        <v>55.356900000000003</v>
      </c>
      <c r="AE359">
        <v>0.72260000000000002</v>
      </c>
      <c r="AF359">
        <v>8288.7144000000008</v>
      </c>
      <c r="AG359">
        <v>61.796199999999999</v>
      </c>
      <c r="AH359">
        <v>0.56759999999999999</v>
      </c>
      <c r="AI359">
        <v>89.191900000000004</v>
      </c>
      <c r="AJ359">
        <v>73.2</v>
      </c>
      <c r="AK359">
        <v>81.635199999999998</v>
      </c>
      <c r="AL359">
        <v>1.8092999999999999</v>
      </c>
      <c r="AM359">
        <v>0.05</v>
      </c>
      <c r="AN359">
        <v>9.7999999999999997E-3</v>
      </c>
      <c r="AO359">
        <v>92.333399999999997</v>
      </c>
      <c r="AP359">
        <v>93.957300000000004</v>
      </c>
      <c r="AQ359">
        <v>92.809200000000004</v>
      </c>
      <c r="AR359">
        <v>90.953599999999994</v>
      </c>
      <c r="AS359">
        <v>85.56</v>
      </c>
      <c r="AT359">
        <v>84.801400000000001</v>
      </c>
      <c r="AU359">
        <v>79.816599999999994</v>
      </c>
      <c r="AV359">
        <v>2359.6851999999999</v>
      </c>
      <c r="AW359">
        <v>5988.7721000000001</v>
      </c>
      <c r="AX359">
        <f t="shared" si="97"/>
        <v>280380.53554617002</v>
      </c>
      <c r="AY359">
        <f t="shared" si="98"/>
        <v>370083.35844601999</v>
      </c>
      <c r="AZ359">
        <f t="shared" si="99"/>
        <v>72037.142959270001</v>
      </c>
      <c r="BA359">
        <f t="shared" si="91"/>
        <v>5988.7721000000001</v>
      </c>
      <c r="BB359">
        <f t="shared" si="92"/>
        <v>0</v>
      </c>
      <c r="BC359">
        <f t="shared" si="93"/>
        <v>0</v>
      </c>
      <c r="BD359">
        <f t="shared" si="94"/>
        <v>0</v>
      </c>
      <c r="BE359">
        <f t="shared" si="95"/>
        <v>0</v>
      </c>
      <c r="BF359">
        <f t="shared" si="96"/>
        <v>0</v>
      </c>
      <c r="BG359">
        <f t="shared" si="100"/>
        <v>3559.9763268900001</v>
      </c>
      <c r="BH359">
        <f t="shared" si="101"/>
        <v>3516.47562156</v>
      </c>
      <c r="BI359">
        <f t="shared" si="102"/>
        <v>3446.1682364799995</v>
      </c>
      <c r="BJ359">
        <f t="shared" si="103"/>
        <v>3241.8085080000001</v>
      </c>
      <c r="BK359">
        <f t="shared" si="104"/>
        <v>3213.0656850199998</v>
      </c>
      <c r="BL359">
        <f t="shared" si="105"/>
        <v>3024.1951023799998</v>
      </c>
    </row>
    <row r="360" spans="1:64">
      <c r="A360" t="str">
        <f t="shared" si="90"/>
        <v>25</v>
      </c>
      <c r="B360" t="s">
        <v>605</v>
      </c>
      <c r="C360" t="s">
        <v>696</v>
      </c>
      <c r="D360">
        <v>1</v>
      </c>
      <c r="E360">
        <v>1</v>
      </c>
      <c r="F360">
        <v>6</v>
      </c>
      <c r="G360">
        <v>2</v>
      </c>
      <c r="H360">
        <v>200</v>
      </c>
      <c r="I360" t="s">
        <v>607</v>
      </c>
      <c r="J360">
        <v>0.73040000000000005</v>
      </c>
      <c r="K360">
        <v>110.7388</v>
      </c>
      <c r="L360">
        <v>2.92E-2</v>
      </c>
      <c r="M360">
        <v>1.0081</v>
      </c>
      <c r="N360">
        <v>33.237000000000002</v>
      </c>
      <c r="O360">
        <v>87.661000000000001</v>
      </c>
      <c r="P360">
        <v>513.54010000000005</v>
      </c>
      <c r="Q360">
        <v>224.7072</v>
      </c>
      <c r="R360">
        <v>0.59899999999999998</v>
      </c>
      <c r="S360">
        <v>0.7873</v>
      </c>
      <c r="T360">
        <v>0.22520000000000001</v>
      </c>
      <c r="U360">
        <v>4.7000000000000002E-3</v>
      </c>
      <c r="V360">
        <v>0.51570000000000005</v>
      </c>
      <c r="W360">
        <v>11.6471</v>
      </c>
      <c r="X360">
        <v>10.546200000000001</v>
      </c>
      <c r="Y360">
        <v>9.4248999999999992</v>
      </c>
      <c r="Z360">
        <v>10.130599999999999</v>
      </c>
      <c r="AA360">
        <v>28.5075</v>
      </c>
      <c r="AB360">
        <v>18.709</v>
      </c>
      <c r="AC360">
        <v>45.429499999999997</v>
      </c>
      <c r="AD360">
        <v>63.300899999999999</v>
      </c>
      <c r="AE360">
        <v>0.31459999999999999</v>
      </c>
      <c r="AF360">
        <v>8143.3879999999999</v>
      </c>
      <c r="AG360">
        <v>60.427700000000002</v>
      </c>
      <c r="AH360">
        <v>0.27200000000000002</v>
      </c>
      <c r="AI360">
        <v>88.373599999999996</v>
      </c>
      <c r="AJ360">
        <v>73.112899999999996</v>
      </c>
      <c r="AK360">
        <v>81.2303</v>
      </c>
      <c r="AL360">
        <v>1.7144999999999999</v>
      </c>
      <c r="AM360">
        <v>0.05</v>
      </c>
      <c r="AN360">
        <v>1.9099999999999999E-2</v>
      </c>
      <c r="AO360">
        <v>83.227900000000005</v>
      </c>
      <c r="AP360">
        <v>93.595200000000006</v>
      </c>
      <c r="AQ360">
        <v>92.2</v>
      </c>
      <c r="AR360">
        <v>90.119500000000002</v>
      </c>
      <c r="AS360">
        <v>83.3215</v>
      </c>
      <c r="AT360">
        <v>82.320800000000006</v>
      </c>
      <c r="AU360">
        <v>76.839100000000002</v>
      </c>
      <c r="AV360">
        <v>1348.2479000000001</v>
      </c>
      <c r="AW360">
        <v>2561.6709999999998</v>
      </c>
      <c r="AX360">
        <f t="shared" si="97"/>
        <v>116375.43269449999</v>
      </c>
      <c r="AY360">
        <f t="shared" si="98"/>
        <v>154795.88668669999</v>
      </c>
      <c r="AZ360">
        <f t="shared" si="99"/>
        <v>29836.038304099999</v>
      </c>
      <c r="BA360">
        <f t="shared" si="91"/>
        <v>2561.6709999999998</v>
      </c>
      <c r="BB360">
        <f t="shared" si="92"/>
        <v>0</v>
      </c>
      <c r="BC360">
        <f t="shared" si="93"/>
        <v>0</v>
      </c>
      <c r="BD360">
        <f t="shared" si="94"/>
        <v>0</v>
      </c>
      <c r="BE360">
        <f t="shared" si="95"/>
        <v>0</v>
      </c>
      <c r="BF360">
        <f t="shared" si="96"/>
        <v>0</v>
      </c>
      <c r="BG360">
        <f t="shared" si="100"/>
        <v>987.07369824000011</v>
      </c>
      <c r="BH360">
        <f t="shared" si="101"/>
        <v>972.35964000000013</v>
      </c>
      <c r="BI360">
        <f t="shared" si="102"/>
        <v>950.41827090000004</v>
      </c>
      <c r="BJ360">
        <f t="shared" si="103"/>
        <v>878.72520330000009</v>
      </c>
      <c r="BK360">
        <f t="shared" si="104"/>
        <v>868.17162096000015</v>
      </c>
      <c r="BL360">
        <f t="shared" si="105"/>
        <v>810.36051642000007</v>
      </c>
    </row>
    <row r="361" spans="1:64">
      <c r="A361" t="str">
        <f t="shared" si="90"/>
        <v>25</v>
      </c>
      <c r="B361" t="s">
        <v>605</v>
      </c>
      <c r="C361" t="s">
        <v>696</v>
      </c>
      <c r="D361">
        <v>55</v>
      </c>
      <c r="E361">
        <v>1</v>
      </c>
      <c r="F361">
        <v>6</v>
      </c>
      <c r="G361">
        <v>2</v>
      </c>
      <c r="H361">
        <v>100</v>
      </c>
      <c r="I361" t="s">
        <v>607</v>
      </c>
      <c r="J361">
        <v>0.48170000000000002</v>
      </c>
      <c r="K361">
        <v>91.247900000000001</v>
      </c>
      <c r="L361">
        <v>3.5000000000000003E-2</v>
      </c>
      <c r="M361">
        <v>0.96709999999999996</v>
      </c>
      <c r="N361">
        <v>32.067</v>
      </c>
      <c r="O361">
        <v>88.620599999999996</v>
      </c>
      <c r="P361">
        <v>356.61340000000001</v>
      </c>
      <c r="Q361">
        <v>230.9803</v>
      </c>
      <c r="R361">
        <v>0.29360000000000003</v>
      </c>
      <c r="S361">
        <v>1.2211000000000001</v>
      </c>
      <c r="T361">
        <v>0.29980000000000001</v>
      </c>
      <c r="U361">
        <v>8.5000000000000006E-3</v>
      </c>
      <c r="V361">
        <v>0.68359999999999999</v>
      </c>
      <c r="W361">
        <v>12.1272</v>
      </c>
      <c r="X361">
        <v>133.5111</v>
      </c>
      <c r="Y361">
        <v>118.61150000000001</v>
      </c>
      <c r="Z361">
        <v>121.9837</v>
      </c>
      <c r="AA361">
        <v>369.82150000000001</v>
      </c>
      <c r="AB361">
        <v>200.06190000000001</v>
      </c>
      <c r="AC361">
        <v>45.2684</v>
      </c>
      <c r="AD361">
        <v>58.9619</v>
      </c>
      <c r="AE361">
        <v>2.5444</v>
      </c>
      <c r="AF361">
        <v>8169.0537000000004</v>
      </c>
      <c r="AG361">
        <v>60.586100000000002</v>
      </c>
      <c r="AH361">
        <v>1.976</v>
      </c>
      <c r="AI361">
        <v>89.193899999999999</v>
      </c>
      <c r="AJ361">
        <v>73.2</v>
      </c>
      <c r="AK361">
        <v>81.639700000000005</v>
      </c>
      <c r="AL361">
        <v>1.8170999999999999</v>
      </c>
      <c r="AM361">
        <v>0.05</v>
      </c>
      <c r="AN361">
        <v>7.0000000000000001E-3</v>
      </c>
      <c r="AO361">
        <v>92.144099999999995</v>
      </c>
      <c r="AP361">
        <v>93.641400000000004</v>
      </c>
      <c r="AQ361">
        <v>92.3733</v>
      </c>
      <c r="AR361">
        <v>90.391199999999998</v>
      </c>
      <c r="AS361">
        <v>84.389099999999999</v>
      </c>
      <c r="AT361">
        <v>83.404899999999998</v>
      </c>
      <c r="AU361">
        <v>78.6995</v>
      </c>
      <c r="AV361">
        <v>8184.2623999999996</v>
      </c>
      <c r="AW361">
        <v>20782.942999999999</v>
      </c>
      <c r="AX361">
        <f t="shared" si="97"/>
        <v>940810.57690119999</v>
      </c>
      <c r="AY361">
        <f t="shared" si="98"/>
        <v>1259157.4628923</v>
      </c>
      <c r="AZ361">
        <f t="shared" si="99"/>
        <v>252038.9063496</v>
      </c>
      <c r="BA361">
        <f t="shared" si="91"/>
        <v>20782.942999999999</v>
      </c>
      <c r="BB361">
        <f t="shared" si="92"/>
        <v>0</v>
      </c>
      <c r="BC361">
        <f t="shared" si="93"/>
        <v>0</v>
      </c>
      <c r="BD361">
        <f t="shared" si="94"/>
        <v>0</v>
      </c>
      <c r="BE361">
        <f t="shared" si="95"/>
        <v>0</v>
      </c>
      <c r="BF361">
        <f t="shared" si="96"/>
        <v>0</v>
      </c>
      <c r="BG361">
        <f t="shared" si="100"/>
        <v>12502.16631954</v>
      </c>
      <c r="BH361">
        <f t="shared" si="101"/>
        <v>12332.860893630001</v>
      </c>
      <c r="BI361">
        <f t="shared" si="102"/>
        <v>12068.228542319999</v>
      </c>
      <c r="BJ361">
        <f t="shared" si="103"/>
        <v>11266.88156901</v>
      </c>
      <c r="BK361">
        <f t="shared" si="104"/>
        <v>11135.479944389999</v>
      </c>
      <c r="BL361">
        <f t="shared" si="105"/>
        <v>10507.25681445</v>
      </c>
    </row>
    <row r="362" spans="1:64">
      <c r="A362" t="str">
        <f t="shared" si="90"/>
        <v>25</v>
      </c>
      <c r="B362" t="s">
        <v>605</v>
      </c>
      <c r="C362" t="s">
        <v>696</v>
      </c>
      <c r="D362">
        <v>55</v>
      </c>
      <c r="E362">
        <v>1</v>
      </c>
      <c r="F362">
        <v>6</v>
      </c>
      <c r="G362">
        <v>2</v>
      </c>
      <c r="H362">
        <v>200</v>
      </c>
      <c r="I362" t="s">
        <v>607</v>
      </c>
      <c r="J362">
        <v>0.48039999999999999</v>
      </c>
      <c r="K362">
        <v>82.354399999999998</v>
      </c>
      <c r="L362">
        <v>3.3500000000000002E-2</v>
      </c>
      <c r="M362">
        <v>0.97619999999999996</v>
      </c>
      <c r="N362">
        <v>32.453000000000003</v>
      </c>
      <c r="O362">
        <v>88.497299999999996</v>
      </c>
      <c r="P362">
        <v>350.94940000000003</v>
      </c>
      <c r="Q362">
        <v>232.12350000000001</v>
      </c>
      <c r="R362">
        <v>0.27879999999999999</v>
      </c>
      <c r="S362">
        <v>1.1573</v>
      </c>
      <c r="T362">
        <v>0.30530000000000002</v>
      </c>
      <c r="U362">
        <v>9.1999999999999998E-3</v>
      </c>
      <c r="V362">
        <v>0.65059999999999996</v>
      </c>
      <c r="W362">
        <v>12.122199999999999</v>
      </c>
      <c r="X362">
        <v>73.481200000000001</v>
      </c>
      <c r="Y362">
        <v>65.491399999999999</v>
      </c>
      <c r="Z362">
        <v>68.096699999999998</v>
      </c>
      <c r="AA362">
        <v>201.86519999999999</v>
      </c>
      <c r="AB362">
        <v>80.182500000000005</v>
      </c>
      <c r="AC362">
        <v>45.616300000000003</v>
      </c>
      <c r="AD362">
        <v>56.297499999999999</v>
      </c>
      <c r="AE362">
        <v>1.4816</v>
      </c>
      <c r="AF362">
        <v>8198.9416000000001</v>
      </c>
      <c r="AG362">
        <v>60.747999999999998</v>
      </c>
      <c r="AH362">
        <v>1.2863</v>
      </c>
      <c r="AI362">
        <v>89.448499999999996</v>
      </c>
      <c r="AJ362">
        <v>73.2</v>
      </c>
      <c r="AK362">
        <v>82.170699999999997</v>
      </c>
      <c r="AL362">
        <v>1.9394</v>
      </c>
      <c r="AM362">
        <v>0.05</v>
      </c>
      <c r="AN362">
        <v>8.8000000000000005E-3</v>
      </c>
      <c r="AO362">
        <v>92.126000000000005</v>
      </c>
      <c r="AP362">
        <v>94.015199999999993</v>
      </c>
      <c r="AQ362">
        <v>92.891000000000005</v>
      </c>
      <c r="AR362">
        <v>91.098500000000001</v>
      </c>
      <c r="AS362">
        <v>85.623000000000005</v>
      </c>
      <c r="AT362">
        <v>84.881699999999995</v>
      </c>
      <c r="AU362">
        <v>79.982799999999997</v>
      </c>
      <c r="AV362">
        <v>4785.9115000000002</v>
      </c>
      <c r="AW362">
        <v>12146.6101</v>
      </c>
      <c r="AX362">
        <f t="shared" si="97"/>
        <v>554083.41030463006</v>
      </c>
      <c r="AY362">
        <f t="shared" si="98"/>
        <v>737882.27035479993</v>
      </c>
      <c r="AZ362">
        <f t="shared" si="99"/>
        <v>147243.63695421998</v>
      </c>
      <c r="BA362">
        <f t="shared" si="91"/>
        <v>12146.6101</v>
      </c>
      <c r="BB362">
        <f t="shared" si="92"/>
        <v>0</v>
      </c>
      <c r="BC362">
        <f t="shared" si="93"/>
        <v>0</v>
      </c>
      <c r="BD362">
        <f t="shared" si="94"/>
        <v>0</v>
      </c>
      <c r="BE362">
        <f t="shared" si="95"/>
        <v>0</v>
      </c>
      <c r="BF362">
        <f t="shared" si="96"/>
        <v>0</v>
      </c>
      <c r="BG362">
        <f t="shared" si="100"/>
        <v>6908.3497142399992</v>
      </c>
      <c r="BH362">
        <f t="shared" si="101"/>
        <v>6825.7421492000003</v>
      </c>
      <c r="BI362">
        <f t="shared" si="102"/>
        <v>6694.0270982000002</v>
      </c>
      <c r="BJ362">
        <f t="shared" si="103"/>
        <v>6291.6807876000003</v>
      </c>
      <c r="BK362">
        <f t="shared" si="104"/>
        <v>6237.2091740400001</v>
      </c>
      <c r="BL362">
        <f t="shared" si="105"/>
        <v>5877.2321233599996</v>
      </c>
    </row>
    <row r="363" spans="1:64">
      <c r="A363" t="str">
        <f t="shared" si="90"/>
        <v>26</v>
      </c>
      <c r="B363" t="s">
        <v>605</v>
      </c>
      <c r="C363" t="s">
        <v>697</v>
      </c>
      <c r="D363">
        <v>1</v>
      </c>
      <c r="E363">
        <v>1</v>
      </c>
      <c r="F363">
        <v>6</v>
      </c>
      <c r="G363">
        <v>2</v>
      </c>
      <c r="H363">
        <v>200</v>
      </c>
      <c r="I363" t="s">
        <v>607</v>
      </c>
      <c r="J363">
        <v>0.72860000000000003</v>
      </c>
      <c r="K363">
        <v>91.540099999999995</v>
      </c>
      <c r="L363">
        <v>2.92E-2</v>
      </c>
      <c r="M363">
        <v>0.99829999999999997</v>
      </c>
      <c r="N363">
        <v>31.794</v>
      </c>
      <c r="O363">
        <v>87.629800000000003</v>
      </c>
      <c r="P363">
        <v>532.43439999999998</v>
      </c>
      <c r="Q363">
        <v>220.3879</v>
      </c>
      <c r="R363">
        <v>0.66639999999999999</v>
      </c>
      <c r="S363">
        <v>0.82069999999999999</v>
      </c>
      <c r="T363">
        <v>0.2102</v>
      </c>
      <c r="U363">
        <v>4.4000000000000003E-3</v>
      </c>
      <c r="V363">
        <v>0.49</v>
      </c>
      <c r="W363">
        <v>11.439500000000001</v>
      </c>
      <c r="X363">
        <v>34.106999999999999</v>
      </c>
      <c r="Y363">
        <v>30.485900000000001</v>
      </c>
      <c r="Z363">
        <v>32.7363</v>
      </c>
      <c r="AA363">
        <v>96.1755</v>
      </c>
      <c r="AB363">
        <v>17.8735</v>
      </c>
      <c r="AC363">
        <v>44.900599999999997</v>
      </c>
      <c r="AD363">
        <v>63.621000000000002</v>
      </c>
      <c r="AE363">
        <v>1.0384</v>
      </c>
      <c r="AF363">
        <v>8102.9700999999995</v>
      </c>
      <c r="AG363">
        <v>58.948300000000003</v>
      </c>
      <c r="AH363">
        <v>0.87129999999999996</v>
      </c>
      <c r="AI363">
        <v>87.707499999999996</v>
      </c>
      <c r="AJ363">
        <v>73.086799999999997</v>
      </c>
      <c r="AK363">
        <v>81.014899999999997</v>
      </c>
      <c r="AL363">
        <v>1.7292000000000001</v>
      </c>
      <c r="AM363">
        <v>0.05</v>
      </c>
      <c r="AN363">
        <v>1.78E-2</v>
      </c>
      <c r="AO363">
        <v>83.532700000000006</v>
      </c>
      <c r="AP363">
        <v>93.349000000000004</v>
      </c>
      <c r="AQ363">
        <v>91.843100000000007</v>
      </c>
      <c r="AR363">
        <v>89.677999999999997</v>
      </c>
      <c r="AS363">
        <v>82.526899999999998</v>
      </c>
      <c r="AT363">
        <v>81.429400000000001</v>
      </c>
      <c r="AU363">
        <v>75.870699999999999</v>
      </c>
      <c r="AV363">
        <v>4433.4279999999999</v>
      </c>
      <c r="AW363">
        <v>8414.0177999999996</v>
      </c>
      <c r="AX363">
        <f t="shared" si="97"/>
        <v>377794.44763067993</v>
      </c>
      <c r="AY363">
        <f t="shared" si="98"/>
        <v>495992.04547974002</v>
      </c>
      <c r="AZ363">
        <f t="shared" si="99"/>
        <v>96252.156623100003</v>
      </c>
      <c r="BA363">
        <f t="shared" si="91"/>
        <v>8414.0177999999996</v>
      </c>
      <c r="BB363">
        <f t="shared" si="92"/>
        <v>0</v>
      </c>
      <c r="BC363">
        <f t="shared" si="93"/>
        <v>0</v>
      </c>
      <c r="BD363">
        <f t="shared" si="94"/>
        <v>0</v>
      </c>
      <c r="BE363">
        <f t="shared" si="95"/>
        <v>0</v>
      </c>
      <c r="BF363">
        <f t="shared" si="96"/>
        <v>0</v>
      </c>
      <c r="BG363">
        <f t="shared" si="100"/>
        <v>3183.854343</v>
      </c>
      <c r="BH363">
        <f t="shared" si="101"/>
        <v>3132.4926117</v>
      </c>
      <c r="BI363">
        <f t="shared" si="102"/>
        <v>3058.6475459999997</v>
      </c>
      <c r="BJ363">
        <f t="shared" si="103"/>
        <v>2814.7449782999997</v>
      </c>
      <c r="BK363">
        <f t="shared" si="104"/>
        <v>2777.3125458</v>
      </c>
      <c r="BL363">
        <f t="shared" si="105"/>
        <v>2587.7219648999999</v>
      </c>
    </row>
    <row r="364" spans="1:64">
      <c r="A364" t="str">
        <f t="shared" si="90"/>
        <v>26</v>
      </c>
      <c r="B364" t="s">
        <v>605</v>
      </c>
      <c r="C364" t="s">
        <v>697</v>
      </c>
      <c r="D364">
        <v>5</v>
      </c>
      <c r="E364">
        <v>1</v>
      </c>
      <c r="F364">
        <v>6</v>
      </c>
      <c r="G364">
        <v>2</v>
      </c>
      <c r="H364">
        <v>200</v>
      </c>
      <c r="I364" t="s">
        <v>607</v>
      </c>
      <c r="J364">
        <v>0.45500000000000002</v>
      </c>
      <c r="K364">
        <v>126.2784</v>
      </c>
      <c r="L364">
        <v>2.9100000000000001E-2</v>
      </c>
      <c r="M364">
        <v>0.99509999999999998</v>
      </c>
      <c r="N364">
        <v>27.9772</v>
      </c>
      <c r="O364">
        <v>89.351500000000001</v>
      </c>
      <c r="P364">
        <v>270.86540000000002</v>
      </c>
      <c r="Q364">
        <v>226.80260000000001</v>
      </c>
      <c r="R364">
        <v>0.40639999999999998</v>
      </c>
      <c r="S364">
        <v>0.85189999999999999</v>
      </c>
      <c r="T364">
        <v>0.21149999999999999</v>
      </c>
      <c r="U364">
        <v>9.1000000000000004E-3</v>
      </c>
      <c r="V364">
        <v>0.49959999999999999</v>
      </c>
      <c r="W364">
        <v>12.473699999999999</v>
      </c>
      <c r="X364">
        <v>1.5699000000000001</v>
      </c>
      <c r="Y364">
        <v>1.4027000000000001</v>
      </c>
      <c r="Z364">
        <v>1.4898</v>
      </c>
      <c r="AA364">
        <v>5.0137999999999998</v>
      </c>
      <c r="AB364">
        <v>9.2563999999999993</v>
      </c>
      <c r="AC364">
        <v>42.692700000000002</v>
      </c>
      <c r="AD364">
        <v>59.260599999999997</v>
      </c>
      <c r="AE364">
        <v>4.3200000000000002E-2</v>
      </c>
      <c r="AF364">
        <v>7979.0812999999998</v>
      </c>
      <c r="AG364">
        <v>58.120699999999999</v>
      </c>
      <c r="AH364">
        <v>3.5799999999999998E-2</v>
      </c>
      <c r="AI364">
        <v>89.405100000000004</v>
      </c>
      <c r="AJ364">
        <v>73.2</v>
      </c>
      <c r="AK364">
        <v>82.079700000000003</v>
      </c>
      <c r="AL364">
        <v>1.7385999999999999</v>
      </c>
      <c r="AM364">
        <v>0.05</v>
      </c>
      <c r="AN364">
        <v>7.3000000000000001E-3</v>
      </c>
      <c r="AO364">
        <v>91.651899999999998</v>
      </c>
      <c r="AP364">
        <v>94.010999999999996</v>
      </c>
      <c r="AQ364">
        <v>92.897199999999998</v>
      </c>
      <c r="AR364">
        <v>91.103899999999996</v>
      </c>
      <c r="AS364">
        <v>85.111500000000007</v>
      </c>
      <c r="AT364">
        <v>84.298100000000005</v>
      </c>
      <c r="AU364">
        <v>79.634900000000002</v>
      </c>
      <c r="AV364">
        <v>136.3133</v>
      </c>
      <c r="AW364">
        <v>345.06659999999999</v>
      </c>
      <c r="AX364">
        <f t="shared" si="97"/>
        <v>14731.824833820001</v>
      </c>
      <c r="AY364">
        <f t="shared" si="98"/>
        <v>20055.512338619999</v>
      </c>
      <c r="AZ364">
        <f t="shared" si="99"/>
        <v>4304.25724842</v>
      </c>
      <c r="BA364">
        <f t="shared" si="91"/>
        <v>345.06659999999999</v>
      </c>
      <c r="BB364">
        <f t="shared" si="92"/>
        <v>0</v>
      </c>
      <c r="BC364">
        <f t="shared" si="93"/>
        <v>0</v>
      </c>
      <c r="BD364">
        <f t="shared" si="94"/>
        <v>0</v>
      </c>
      <c r="BE364">
        <f t="shared" si="95"/>
        <v>0</v>
      </c>
      <c r="BF364">
        <f t="shared" si="96"/>
        <v>0</v>
      </c>
      <c r="BG364">
        <f t="shared" si="100"/>
        <v>147.58786889999999</v>
      </c>
      <c r="BH364">
        <f t="shared" si="101"/>
        <v>145.83931428</v>
      </c>
      <c r="BI364">
        <f t="shared" si="102"/>
        <v>143.02401261</v>
      </c>
      <c r="BJ364">
        <f t="shared" si="103"/>
        <v>133.61654385000003</v>
      </c>
      <c r="BK364">
        <f t="shared" si="104"/>
        <v>132.33958719</v>
      </c>
      <c r="BL364">
        <f t="shared" si="105"/>
        <v>125.01882951</v>
      </c>
    </row>
    <row r="365" spans="1:64">
      <c r="A365" t="str">
        <f t="shared" si="90"/>
        <v>26</v>
      </c>
      <c r="B365" t="s">
        <v>605</v>
      </c>
      <c r="C365" t="s">
        <v>697</v>
      </c>
      <c r="D365">
        <v>55</v>
      </c>
      <c r="E365">
        <v>1</v>
      </c>
      <c r="F365">
        <v>6</v>
      </c>
      <c r="G365">
        <v>2</v>
      </c>
      <c r="H365">
        <v>100</v>
      </c>
      <c r="I365" t="s">
        <v>607</v>
      </c>
      <c r="J365">
        <v>0.4531</v>
      </c>
      <c r="K365">
        <v>94.148099999999999</v>
      </c>
      <c r="L365">
        <v>3.4500000000000003E-2</v>
      </c>
      <c r="M365">
        <v>0.96579999999999999</v>
      </c>
      <c r="N365">
        <v>32.189100000000003</v>
      </c>
      <c r="O365">
        <v>89.115200000000002</v>
      </c>
      <c r="P365">
        <v>360.68759999999997</v>
      </c>
      <c r="Q365">
        <v>227.62280000000001</v>
      </c>
      <c r="R365">
        <v>0.33239999999999997</v>
      </c>
      <c r="S365">
        <v>0.86099999999999999</v>
      </c>
      <c r="T365">
        <v>0.32569999999999999</v>
      </c>
      <c r="U365">
        <v>6.1000000000000004E-3</v>
      </c>
      <c r="V365">
        <v>0.65080000000000005</v>
      </c>
      <c r="W365">
        <v>12.135400000000001</v>
      </c>
      <c r="X365">
        <v>32.592500000000001</v>
      </c>
      <c r="Y365">
        <v>29.0396</v>
      </c>
      <c r="Z365">
        <v>29.9011</v>
      </c>
      <c r="AA365">
        <v>90.217699999999994</v>
      </c>
      <c r="AB365">
        <v>85.212299999999999</v>
      </c>
      <c r="AC365">
        <v>44.194099999999999</v>
      </c>
      <c r="AD365">
        <v>59.571800000000003</v>
      </c>
      <c r="AE365">
        <v>0.65939999999999999</v>
      </c>
      <c r="AF365">
        <v>8090.4371000000001</v>
      </c>
      <c r="AG365">
        <v>59.555100000000003</v>
      </c>
      <c r="AH365">
        <v>0.49320000000000003</v>
      </c>
      <c r="AI365">
        <v>89.130399999999995</v>
      </c>
      <c r="AJ365">
        <v>73.2</v>
      </c>
      <c r="AK365">
        <v>81.507199999999997</v>
      </c>
      <c r="AL365">
        <v>1.9881</v>
      </c>
      <c r="AM365">
        <v>0.05</v>
      </c>
      <c r="AN365">
        <v>2.5999999999999999E-3</v>
      </c>
      <c r="AO365">
        <v>91.925700000000006</v>
      </c>
      <c r="AP365">
        <v>93.638400000000004</v>
      </c>
      <c r="AQ365">
        <v>92.398300000000006</v>
      </c>
      <c r="AR365">
        <v>90.483400000000003</v>
      </c>
      <c r="AS365">
        <v>84.565399999999997</v>
      </c>
      <c r="AT365">
        <v>83.606999999999999</v>
      </c>
      <c r="AU365">
        <v>79.066500000000005</v>
      </c>
      <c r="AV365">
        <v>2099.4848000000002</v>
      </c>
      <c r="AW365">
        <v>5334.7910000000002</v>
      </c>
      <c r="AX365">
        <f t="shared" si="97"/>
        <v>235766.2869331</v>
      </c>
      <c r="AY365">
        <f t="shared" si="98"/>
        <v>317714.01148410002</v>
      </c>
      <c r="AZ365">
        <f t="shared" si="99"/>
        <v>64739.822701400008</v>
      </c>
      <c r="BA365">
        <f t="shared" si="91"/>
        <v>5334.7910000000002</v>
      </c>
      <c r="BB365">
        <f t="shared" si="92"/>
        <v>0</v>
      </c>
      <c r="BC365">
        <f t="shared" si="93"/>
        <v>0</v>
      </c>
      <c r="BD365">
        <f t="shared" si="94"/>
        <v>0</v>
      </c>
      <c r="BE365">
        <f t="shared" si="95"/>
        <v>0</v>
      </c>
      <c r="BF365">
        <f t="shared" si="96"/>
        <v>0</v>
      </c>
      <c r="BG365">
        <f t="shared" si="100"/>
        <v>3051.9095520000001</v>
      </c>
      <c r="BH365">
        <f t="shared" si="101"/>
        <v>3011.4915927500001</v>
      </c>
      <c r="BI365">
        <f t="shared" si="102"/>
        <v>2949.0802145000002</v>
      </c>
      <c r="BJ365">
        <f t="shared" si="103"/>
        <v>2756.1977995000002</v>
      </c>
      <c r="BK365">
        <f t="shared" si="104"/>
        <v>2724.9611475000002</v>
      </c>
      <c r="BL365">
        <f t="shared" si="105"/>
        <v>2576.9749012500001</v>
      </c>
    </row>
    <row r="366" spans="1:64">
      <c r="A366" t="str">
        <f t="shared" si="90"/>
        <v>26</v>
      </c>
      <c r="B366" t="s">
        <v>605</v>
      </c>
      <c r="C366" t="s">
        <v>698</v>
      </c>
      <c r="D366">
        <v>55</v>
      </c>
      <c r="E366">
        <v>1</v>
      </c>
      <c r="F366">
        <v>6</v>
      </c>
      <c r="G366">
        <v>2</v>
      </c>
      <c r="H366">
        <v>100</v>
      </c>
      <c r="I366" t="s">
        <v>609</v>
      </c>
      <c r="J366">
        <v>0.32040000000000002</v>
      </c>
      <c r="K366">
        <v>15.274100000000001</v>
      </c>
      <c r="L366">
        <v>7.4999999999999997E-3</v>
      </c>
      <c r="M366">
        <v>0.41489999999999999</v>
      </c>
      <c r="N366">
        <v>17.881</v>
      </c>
      <c r="O366">
        <v>88.2316</v>
      </c>
      <c r="P366">
        <v>942.24369999999999</v>
      </c>
      <c r="Q366">
        <v>239.26089999999999</v>
      </c>
      <c r="R366">
        <v>1.6220000000000001</v>
      </c>
      <c r="S366">
        <v>0.20480000000000001</v>
      </c>
      <c r="T366">
        <v>0.1237</v>
      </c>
      <c r="U366">
        <v>2.0999999999999999E-3</v>
      </c>
      <c r="V366">
        <v>0.32819999999999999</v>
      </c>
      <c r="W366">
        <v>12.346399999999999</v>
      </c>
      <c r="X366">
        <v>7.9000000000000001E-2</v>
      </c>
      <c r="Y366">
        <v>6.9699999999999998E-2</v>
      </c>
      <c r="Z366">
        <v>6.8199999999999997E-2</v>
      </c>
      <c r="AA366">
        <v>0.38979999999999998</v>
      </c>
      <c r="AB366">
        <v>37.488500000000002</v>
      </c>
      <c r="AC366">
        <v>47.382399999999997</v>
      </c>
      <c r="AD366">
        <v>57.7121</v>
      </c>
      <c r="AE366">
        <v>3.0000000000000001E-3</v>
      </c>
      <c r="AF366">
        <v>8258.0761999999995</v>
      </c>
      <c r="AG366">
        <v>65.259399999999999</v>
      </c>
      <c r="AH366">
        <v>2.9999999999999997E-4</v>
      </c>
      <c r="AI366">
        <v>83.958100000000002</v>
      </c>
      <c r="AJ366">
        <v>73.2</v>
      </c>
      <c r="AK366">
        <v>71.0946</v>
      </c>
      <c r="AL366">
        <v>1.9198</v>
      </c>
      <c r="AM366">
        <v>0.05</v>
      </c>
      <c r="AN366">
        <v>0</v>
      </c>
      <c r="AO366">
        <v>93.923599999999993</v>
      </c>
      <c r="AP366">
        <v>92.919200000000004</v>
      </c>
      <c r="AQ366">
        <v>91.460899999999995</v>
      </c>
      <c r="AR366">
        <v>88.718500000000006</v>
      </c>
      <c r="AS366">
        <v>83.159000000000006</v>
      </c>
      <c r="AT366">
        <v>82.198400000000007</v>
      </c>
      <c r="AU366">
        <v>78.621799999999993</v>
      </c>
      <c r="AV366">
        <v>9.5617000000000001</v>
      </c>
      <c r="AW366">
        <v>24.4117</v>
      </c>
      <c r="AX366">
        <f t="shared" si="97"/>
        <v>1156.6849340799999</v>
      </c>
      <c r="AY366">
        <f t="shared" si="98"/>
        <v>1593.09289498</v>
      </c>
      <c r="AZ366">
        <f t="shared" si="99"/>
        <v>301.39661287999996</v>
      </c>
      <c r="BA366">
        <f t="shared" si="91"/>
        <v>24.4117</v>
      </c>
      <c r="BB366">
        <f t="shared" si="92"/>
        <v>0</v>
      </c>
      <c r="BC366">
        <f t="shared" si="93"/>
        <v>0</v>
      </c>
      <c r="BD366">
        <f t="shared" si="94"/>
        <v>0</v>
      </c>
      <c r="BE366">
        <f t="shared" si="95"/>
        <v>0</v>
      </c>
      <c r="BF366">
        <f t="shared" si="96"/>
        <v>0</v>
      </c>
      <c r="BG366">
        <f t="shared" si="100"/>
        <v>7.3406168000000003</v>
      </c>
      <c r="BH366">
        <f t="shared" si="101"/>
        <v>7.2254110999999996</v>
      </c>
      <c r="BI366">
        <f t="shared" si="102"/>
        <v>7.0087615000000003</v>
      </c>
      <c r="BJ366">
        <f t="shared" si="103"/>
        <v>6.5695610000000002</v>
      </c>
      <c r="BK366">
        <f t="shared" si="104"/>
        <v>6.4936736000000002</v>
      </c>
      <c r="BL366">
        <f t="shared" si="105"/>
        <v>6.2111221999999993</v>
      </c>
    </row>
    <row r="367" spans="1:64">
      <c r="A367" t="str">
        <f t="shared" si="90"/>
        <v>26</v>
      </c>
      <c r="B367" t="s">
        <v>605</v>
      </c>
      <c r="C367" t="s">
        <v>698</v>
      </c>
      <c r="D367">
        <v>55</v>
      </c>
      <c r="E367">
        <v>1</v>
      </c>
      <c r="F367">
        <v>6</v>
      </c>
      <c r="G367">
        <v>2</v>
      </c>
      <c r="H367">
        <v>100</v>
      </c>
      <c r="I367" t="s">
        <v>617</v>
      </c>
      <c r="J367">
        <v>0.42230000000000001</v>
      </c>
      <c r="K367">
        <v>21.447900000000001</v>
      </c>
      <c r="L367">
        <v>7.9000000000000008E-3</v>
      </c>
      <c r="M367">
        <v>0.40079999999999999</v>
      </c>
      <c r="N367">
        <v>17.881</v>
      </c>
      <c r="O367">
        <v>80.865799999999993</v>
      </c>
      <c r="P367">
        <v>889.66589999999997</v>
      </c>
      <c r="Q367">
        <v>242.80770000000001</v>
      </c>
      <c r="R367">
        <v>1.6023000000000001</v>
      </c>
      <c r="S367">
        <v>0.2944</v>
      </c>
      <c r="T367">
        <v>0.30480000000000002</v>
      </c>
      <c r="U367">
        <v>6.6E-3</v>
      </c>
      <c r="V367">
        <v>0.38219999999999998</v>
      </c>
      <c r="W367">
        <v>12.396800000000001</v>
      </c>
      <c r="X367">
        <v>54.6922</v>
      </c>
      <c r="Y367">
        <v>48.111199999999997</v>
      </c>
      <c r="Z367">
        <v>47.066499999999998</v>
      </c>
      <c r="AA367">
        <v>269.06319999999999</v>
      </c>
      <c r="AB367">
        <v>27.095300000000002</v>
      </c>
      <c r="AC367">
        <v>48.127699999999997</v>
      </c>
      <c r="AD367">
        <v>58.094999999999999</v>
      </c>
      <c r="AE367">
        <v>1.7381</v>
      </c>
      <c r="AF367">
        <v>8343.1059999999998</v>
      </c>
      <c r="AG367">
        <v>64.676100000000005</v>
      </c>
      <c r="AH367">
        <v>0.16789999999999999</v>
      </c>
      <c r="AI367">
        <v>84.182900000000004</v>
      </c>
      <c r="AJ367">
        <v>73.2</v>
      </c>
      <c r="AK367">
        <v>71.533799999999999</v>
      </c>
      <c r="AL367">
        <v>1.8701000000000001</v>
      </c>
      <c r="AM367">
        <v>0.05</v>
      </c>
      <c r="AN367">
        <v>1.95E-2</v>
      </c>
      <c r="AO367">
        <v>93.449399999999997</v>
      </c>
      <c r="AP367">
        <v>93.310699999999997</v>
      </c>
      <c r="AQ367">
        <v>91.759600000000006</v>
      </c>
      <c r="AR367">
        <v>88.685400000000001</v>
      </c>
      <c r="AS367">
        <v>82.8172</v>
      </c>
      <c r="AT367">
        <v>81.835499999999996</v>
      </c>
      <c r="AU367">
        <v>78.214399999999998</v>
      </c>
      <c r="AV367">
        <v>5701.7240000000002</v>
      </c>
      <c r="AW367">
        <v>14500.154</v>
      </c>
      <c r="AX367">
        <f t="shared" si="97"/>
        <v>697859.06166579993</v>
      </c>
      <c r="AY367">
        <f t="shared" si="98"/>
        <v>937813.41011940013</v>
      </c>
      <c r="AZ367">
        <f t="shared" si="99"/>
        <v>179755.50910720002</v>
      </c>
      <c r="BA367">
        <f t="shared" si="91"/>
        <v>14500.154</v>
      </c>
      <c r="BB367">
        <f t="shared" si="92"/>
        <v>0</v>
      </c>
      <c r="BC367">
        <f t="shared" si="93"/>
        <v>0</v>
      </c>
      <c r="BD367">
        <f t="shared" si="94"/>
        <v>0</v>
      </c>
      <c r="BE367">
        <f t="shared" si="95"/>
        <v>0</v>
      </c>
      <c r="BF367">
        <f t="shared" si="96"/>
        <v>0</v>
      </c>
      <c r="BG367">
        <f t="shared" si="100"/>
        <v>5103.3674665399994</v>
      </c>
      <c r="BH367">
        <f t="shared" si="101"/>
        <v>5018.5343951200002</v>
      </c>
      <c r="BI367">
        <f t="shared" si="102"/>
        <v>4850.3996338799998</v>
      </c>
      <c r="BJ367">
        <f t="shared" si="103"/>
        <v>4529.4548658399999</v>
      </c>
      <c r="BK367">
        <f t="shared" si="104"/>
        <v>4475.7635331000001</v>
      </c>
      <c r="BL367">
        <f t="shared" si="105"/>
        <v>4277.7176076799997</v>
      </c>
    </row>
    <row r="368" spans="1:64">
      <c r="A368" t="str">
        <f t="shared" si="90"/>
        <v>26</v>
      </c>
      <c r="B368" t="s">
        <v>605</v>
      </c>
      <c r="C368" t="s">
        <v>698</v>
      </c>
      <c r="D368">
        <v>55</v>
      </c>
      <c r="E368">
        <v>1</v>
      </c>
      <c r="F368">
        <v>6</v>
      </c>
      <c r="G368">
        <v>2</v>
      </c>
      <c r="H368">
        <v>100</v>
      </c>
      <c r="I368" t="s">
        <v>607</v>
      </c>
      <c r="J368">
        <v>0.49170000000000003</v>
      </c>
      <c r="K368">
        <v>29.178000000000001</v>
      </c>
      <c r="L368">
        <v>8.8999999999999999E-3</v>
      </c>
      <c r="M368">
        <v>0.42430000000000001</v>
      </c>
      <c r="N368">
        <v>17.881</v>
      </c>
      <c r="O368">
        <v>82.455399999999997</v>
      </c>
      <c r="P368">
        <v>800.98299999999995</v>
      </c>
      <c r="Q368">
        <v>242.3956</v>
      </c>
      <c r="R368">
        <v>1.6412</v>
      </c>
      <c r="S368">
        <v>0.28070000000000001</v>
      </c>
      <c r="T368">
        <v>0.42559999999999998</v>
      </c>
      <c r="U368">
        <v>8.6999999999999994E-3</v>
      </c>
      <c r="V368">
        <v>0.52590000000000003</v>
      </c>
      <c r="W368">
        <v>12.200799999999999</v>
      </c>
      <c r="X368">
        <v>11.385999999999999</v>
      </c>
      <c r="Y368">
        <v>9.9760000000000009</v>
      </c>
      <c r="Z368">
        <v>9.7614000000000001</v>
      </c>
      <c r="AA368">
        <v>55.790799999999997</v>
      </c>
      <c r="AB368">
        <v>30.793600000000001</v>
      </c>
      <c r="AC368">
        <v>48.745199999999997</v>
      </c>
      <c r="AD368">
        <v>51.547800000000002</v>
      </c>
      <c r="AE368">
        <v>0.26150000000000001</v>
      </c>
      <c r="AF368">
        <v>8393.8116000000009</v>
      </c>
      <c r="AG368">
        <v>65.003299999999996</v>
      </c>
      <c r="AH368">
        <v>3.5299999999999998E-2</v>
      </c>
      <c r="AI368">
        <v>84.816900000000004</v>
      </c>
      <c r="AJ368">
        <v>73.2</v>
      </c>
      <c r="AK368">
        <v>72.7851</v>
      </c>
      <c r="AL368">
        <v>1.7957000000000001</v>
      </c>
      <c r="AM368">
        <v>0.05</v>
      </c>
      <c r="AN368">
        <v>1.89E-2</v>
      </c>
      <c r="AO368">
        <v>93.464399999999998</v>
      </c>
      <c r="AP368">
        <v>93.337000000000003</v>
      </c>
      <c r="AQ368">
        <v>91.582300000000004</v>
      </c>
      <c r="AR368">
        <v>88.107500000000002</v>
      </c>
      <c r="AS368">
        <v>81.872200000000007</v>
      </c>
      <c r="AT368">
        <v>80.796199999999999</v>
      </c>
      <c r="AU368">
        <v>76.839299999999994</v>
      </c>
      <c r="AV368">
        <v>862.09590000000003</v>
      </c>
      <c r="AW368">
        <v>2194.6916999999999</v>
      </c>
      <c r="AX368">
        <f t="shared" si="97"/>
        <v>106980.68585483999</v>
      </c>
      <c r="AY368">
        <f t="shared" si="98"/>
        <v>142662.20298260998</v>
      </c>
      <c r="AZ368">
        <f t="shared" si="99"/>
        <v>26776.994493359998</v>
      </c>
      <c r="BA368">
        <f t="shared" si="91"/>
        <v>2194.6916999999999</v>
      </c>
      <c r="BB368">
        <f t="shared" si="92"/>
        <v>0</v>
      </c>
      <c r="BC368">
        <f t="shared" si="93"/>
        <v>0</v>
      </c>
      <c r="BD368">
        <f t="shared" si="94"/>
        <v>0</v>
      </c>
      <c r="BE368">
        <f t="shared" si="95"/>
        <v>0</v>
      </c>
      <c r="BF368">
        <f t="shared" si="96"/>
        <v>0</v>
      </c>
      <c r="BG368">
        <f t="shared" si="100"/>
        <v>1062.7350819999999</v>
      </c>
      <c r="BH368">
        <f t="shared" si="101"/>
        <v>1042.7560678</v>
      </c>
      <c r="BI368">
        <f t="shared" si="102"/>
        <v>1003.1919949999999</v>
      </c>
      <c r="BJ368">
        <f t="shared" si="103"/>
        <v>932.19686920000004</v>
      </c>
      <c r="BK368">
        <f t="shared" si="104"/>
        <v>919.94553319999989</v>
      </c>
      <c r="BL368">
        <f t="shared" si="105"/>
        <v>874.89226979999989</v>
      </c>
    </row>
    <row r="369" spans="1:64">
      <c r="A369" t="str">
        <f t="shared" si="90"/>
        <v>27</v>
      </c>
      <c r="B369" t="s">
        <v>605</v>
      </c>
      <c r="C369" t="s">
        <v>699</v>
      </c>
      <c r="D369">
        <v>55</v>
      </c>
      <c r="E369">
        <v>1</v>
      </c>
      <c r="F369">
        <v>6</v>
      </c>
      <c r="G369">
        <v>2</v>
      </c>
      <c r="H369">
        <v>100</v>
      </c>
      <c r="I369" t="s">
        <v>617</v>
      </c>
      <c r="J369">
        <v>0.42730000000000001</v>
      </c>
      <c r="K369">
        <v>19.880500000000001</v>
      </c>
      <c r="L369">
        <v>7.4000000000000003E-3</v>
      </c>
      <c r="M369">
        <v>0.32890000000000003</v>
      </c>
      <c r="N369">
        <v>17.881</v>
      </c>
      <c r="O369">
        <v>87.842399999999998</v>
      </c>
      <c r="P369">
        <v>855.86310000000003</v>
      </c>
      <c r="Q369">
        <v>239.8698</v>
      </c>
      <c r="R369">
        <v>1.6654</v>
      </c>
      <c r="S369">
        <v>0.39910000000000001</v>
      </c>
      <c r="T369">
        <v>0.26519999999999999</v>
      </c>
      <c r="U369">
        <v>4.5999999999999999E-3</v>
      </c>
      <c r="V369">
        <v>0.38279999999999997</v>
      </c>
      <c r="W369">
        <v>12.2332</v>
      </c>
      <c r="X369">
        <v>5.3047000000000004</v>
      </c>
      <c r="Y369">
        <v>4.6597999999999997</v>
      </c>
      <c r="Z369">
        <v>4.5647000000000002</v>
      </c>
      <c r="AA369">
        <v>26.060099999999998</v>
      </c>
      <c r="AB369">
        <v>21.604199999999999</v>
      </c>
      <c r="AC369">
        <v>47.947400000000002</v>
      </c>
      <c r="AD369">
        <v>53.470399999999998</v>
      </c>
      <c r="AE369">
        <v>0.16919999999999999</v>
      </c>
      <c r="AF369">
        <v>8312.0465000000004</v>
      </c>
      <c r="AG369">
        <v>65.252499999999998</v>
      </c>
      <c r="AH369">
        <v>1.7899999999999999E-2</v>
      </c>
      <c r="AI369">
        <v>84.377799999999993</v>
      </c>
      <c r="AJ369">
        <v>73.2</v>
      </c>
      <c r="AK369">
        <v>71.915800000000004</v>
      </c>
      <c r="AL369">
        <v>1.8272999999999999</v>
      </c>
      <c r="AM369">
        <v>0.05</v>
      </c>
      <c r="AN369">
        <v>1.35E-2</v>
      </c>
      <c r="AO369">
        <v>93.7804</v>
      </c>
      <c r="AP369">
        <v>93.1875</v>
      </c>
      <c r="AQ369">
        <v>91.491100000000003</v>
      </c>
      <c r="AR369">
        <v>88.241299999999995</v>
      </c>
      <c r="AS369">
        <v>82.229200000000006</v>
      </c>
      <c r="AT369">
        <v>81.174899999999994</v>
      </c>
      <c r="AU369">
        <v>77.262</v>
      </c>
      <c r="AV369">
        <v>551.47500000000002</v>
      </c>
      <c r="AW369">
        <v>1406.0488</v>
      </c>
      <c r="AX369">
        <f t="shared" si="97"/>
        <v>67416.384233119999</v>
      </c>
      <c r="AY369">
        <f t="shared" si="98"/>
        <v>91748.199322</v>
      </c>
      <c r="AZ369">
        <f t="shared" si="99"/>
        <v>17200.47618016</v>
      </c>
      <c r="BA369">
        <f t="shared" si="91"/>
        <v>1406.0488</v>
      </c>
      <c r="BB369">
        <f t="shared" si="92"/>
        <v>0</v>
      </c>
      <c r="BC369">
        <f t="shared" si="93"/>
        <v>0</v>
      </c>
      <c r="BD369">
        <f t="shared" si="94"/>
        <v>0</v>
      </c>
      <c r="BE369">
        <f t="shared" si="95"/>
        <v>0</v>
      </c>
      <c r="BF369">
        <f t="shared" si="96"/>
        <v>0</v>
      </c>
      <c r="BG369">
        <f t="shared" si="100"/>
        <v>494.33173125000002</v>
      </c>
      <c r="BH369">
        <f t="shared" si="101"/>
        <v>485.33283817000006</v>
      </c>
      <c r="BI369">
        <f t="shared" si="102"/>
        <v>468.09362411000001</v>
      </c>
      <c r="BJ369">
        <f t="shared" si="103"/>
        <v>436.20123724000007</v>
      </c>
      <c r="BK369">
        <f t="shared" si="104"/>
        <v>430.60849202999998</v>
      </c>
      <c r="BL369">
        <f t="shared" si="105"/>
        <v>409.85173140000006</v>
      </c>
    </row>
    <row r="370" spans="1:64">
      <c r="A370" t="str">
        <f t="shared" si="90"/>
        <v>27</v>
      </c>
      <c r="B370" t="s">
        <v>605</v>
      </c>
      <c r="C370" t="s">
        <v>699</v>
      </c>
      <c r="D370">
        <v>55</v>
      </c>
      <c r="E370">
        <v>1</v>
      </c>
      <c r="F370">
        <v>6</v>
      </c>
      <c r="G370">
        <v>2</v>
      </c>
      <c r="H370">
        <v>100</v>
      </c>
      <c r="I370" t="s">
        <v>607</v>
      </c>
      <c r="J370">
        <v>0.48649999999999999</v>
      </c>
      <c r="K370">
        <v>29.128699999999998</v>
      </c>
      <c r="L370">
        <v>8.3999999999999995E-3</v>
      </c>
      <c r="M370">
        <v>0.36409999999999998</v>
      </c>
      <c r="N370">
        <v>17.933499999999999</v>
      </c>
      <c r="O370">
        <v>83.9696</v>
      </c>
      <c r="P370">
        <v>765.30370000000005</v>
      </c>
      <c r="Q370">
        <v>240.42750000000001</v>
      </c>
      <c r="R370">
        <v>1.6838</v>
      </c>
      <c r="S370">
        <v>0.31369999999999998</v>
      </c>
      <c r="T370">
        <v>0.47249999999999998</v>
      </c>
      <c r="U370">
        <v>9.4000000000000004E-3</v>
      </c>
      <c r="V370">
        <v>0.50800000000000001</v>
      </c>
      <c r="W370">
        <v>12.090199999999999</v>
      </c>
      <c r="X370">
        <v>72.809299999999993</v>
      </c>
      <c r="Y370">
        <v>63.764600000000002</v>
      </c>
      <c r="Z370">
        <v>62.645699999999998</v>
      </c>
      <c r="AA370">
        <v>355.42680000000001</v>
      </c>
      <c r="AB370">
        <v>30.191199999999998</v>
      </c>
      <c r="AC370">
        <v>48.620399999999997</v>
      </c>
      <c r="AD370">
        <v>48.315899999999999</v>
      </c>
      <c r="AE370">
        <v>1.7415</v>
      </c>
      <c r="AF370">
        <v>8374.7041000000008</v>
      </c>
      <c r="AG370">
        <v>65.303899999999999</v>
      </c>
      <c r="AH370">
        <v>0.2923</v>
      </c>
      <c r="AI370">
        <v>85.368899999999996</v>
      </c>
      <c r="AJ370">
        <v>73.2</v>
      </c>
      <c r="AK370">
        <v>73.874399999999994</v>
      </c>
      <c r="AL370">
        <v>1.8076000000000001</v>
      </c>
      <c r="AM370">
        <v>0.05</v>
      </c>
      <c r="AN370">
        <v>1.77E-2</v>
      </c>
      <c r="AO370">
        <v>93.644499999999994</v>
      </c>
      <c r="AP370">
        <v>93.261600000000001</v>
      </c>
      <c r="AQ370">
        <v>91.460400000000007</v>
      </c>
      <c r="AR370">
        <v>87.901300000000006</v>
      </c>
      <c r="AS370">
        <v>81.624099999999999</v>
      </c>
      <c r="AT370">
        <v>80.524299999999997</v>
      </c>
      <c r="AU370">
        <v>76.405199999999994</v>
      </c>
      <c r="AV370">
        <v>5715.6580999999996</v>
      </c>
      <c r="AW370">
        <v>14584.7346</v>
      </c>
      <c r="AX370">
        <f t="shared" si="97"/>
        <v>709115.63014583988</v>
      </c>
      <c r="AY370">
        <f t="shared" si="98"/>
        <v>952440.04984493996</v>
      </c>
      <c r="AZ370">
        <f t="shared" si="99"/>
        <v>176332.35826091998</v>
      </c>
      <c r="BA370">
        <f t="shared" si="91"/>
        <v>14584.7346</v>
      </c>
      <c r="BB370">
        <f t="shared" si="92"/>
        <v>0</v>
      </c>
      <c r="BC370">
        <f t="shared" si="93"/>
        <v>0</v>
      </c>
      <c r="BD370">
        <f t="shared" si="94"/>
        <v>0</v>
      </c>
      <c r="BE370">
        <f t="shared" si="95"/>
        <v>0</v>
      </c>
      <c r="BF370">
        <f t="shared" si="96"/>
        <v>0</v>
      </c>
      <c r="BG370">
        <f t="shared" si="100"/>
        <v>6790.3118128799997</v>
      </c>
      <c r="BH370">
        <f t="shared" si="101"/>
        <v>6659.16770172</v>
      </c>
      <c r="BI370">
        <f t="shared" si="102"/>
        <v>6400.0321220899996</v>
      </c>
      <c r="BJ370">
        <f t="shared" si="103"/>
        <v>5942.9935841299994</v>
      </c>
      <c r="BK370">
        <f t="shared" si="104"/>
        <v>5862.9179159899995</v>
      </c>
      <c r="BL370">
        <f t="shared" si="105"/>
        <v>5563.0091283599986</v>
      </c>
    </row>
    <row r="371" spans="1:64">
      <c r="A371" t="str">
        <f t="shared" si="90"/>
        <v>27</v>
      </c>
      <c r="B371" t="s">
        <v>605</v>
      </c>
      <c r="C371" t="s">
        <v>699</v>
      </c>
      <c r="D371">
        <v>55</v>
      </c>
      <c r="E371">
        <v>1</v>
      </c>
      <c r="F371">
        <v>6</v>
      </c>
      <c r="G371">
        <v>2</v>
      </c>
      <c r="H371">
        <v>200</v>
      </c>
      <c r="I371" t="s">
        <v>609</v>
      </c>
      <c r="J371">
        <v>0.30859999999999999</v>
      </c>
      <c r="K371">
        <v>168.6301</v>
      </c>
      <c r="L371">
        <v>3.6499999999999998E-2</v>
      </c>
      <c r="M371">
        <v>1.0724</v>
      </c>
      <c r="N371">
        <v>36.205800000000004</v>
      </c>
      <c r="O371">
        <v>86.805499999999995</v>
      </c>
      <c r="P371">
        <v>314.55419999999998</v>
      </c>
      <c r="Q371">
        <v>244.17230000000001</v>
      </c>
      <c r="R371">
        <v>2.75E-2</v>
      </c>
      <c r="S371">
        <v>0.53949999999999998</v>
      </c>
      <c r="T371">
        <v>0.107</v>
      </c>
      <c r="U371">
        <v>0.1118</v>
      </c>
      <c r="V371">
        <v>0.37109999999999999</v>
      </c>
      <c r="W371">
        <v>10.9642</v>
      </c>
      <c r="X371">
        <v>51.674199999999999</v>
      </c>
      <c r="Y371">
        <v>44.854999999999997</v>
      </c>
      <c r="Z371">
        <v>52.276600000000002</v>
      </c>
      <c r="AA371">
        <v>123.8856</v>
      </c>
      <c r="AB371">
        <v>20.821999999999999</v>
      </c>
      <c r="AC371">
        <v>54.351999999999997</v>
      </c>
      <c r="AD371">
        <v>48.691899999999997</v>
      </c>
      <c r="AE371">
        <v>1.8889</v>
      </c>
      <c r="AF371">
        <v>8865.1977999999999</v>
      </c>
      <c r="AG371">
        <v>67.192499999999995</v>
      </c>
      <c r="AH371">
        <v>2.3614999999999999</v>
      </c>
      <c r="AI371">
        <v>90.126300000000001</v>
      </c>
      <c r="AJ371">
        <v>73.2</v>
      </c>
      <c r="AK371">
        <v>83.593100000000007</v>
      </c>
      <c r="AL371">
        <v>1.2685</v>
      </c>
      <c r="AM371">
        <v>0.05</v>
      </c>
      <c r="AN371">
        <v>3.0000000000000001E-3</v>
      </c>
      <c r="AO371">
        <v>93.38</v>
      </c>
      <c r="AP371">
        <v>92.5505</v>
      </c>
      <c r="AQ371">
        <v>90.571700000000007</v>
      </c>
      <c r="AR371">
        <v>87.828599999999994</v>
      </c>
      <c r="AS371">
        <v>80.586500000000001</v>
      </c>
      <c r="AT371">
        <v>79.090500000000006</v>
      </c>
      <c r="AU371">
        <v>72.921400000000006</v>
      </c>
      <c r="AV371">
        <v>6577.8895000000002</v>
      </c>
      <c r="AW371">
        <v>16743.397000000001</v>
      </c>
      <c r="AX371">
        <f t="shared" si="97"/>
        <v>910037.11374399997</v>
      </c>
      <c r="AY371">
        <f t="shared" si="98"/>
        <v>1125030.7029225</v>
      </c>
      <c r="AZ371">
        <f t="shared" si="99"/>
        <v>183577.95338740002</v>
      </c>
      <c r="BA371">
        <f t="shared" si="91"/>
        <v>16743.397000000001</v>
      </c>
      <c r="BB371">
        <f t="shared" si="92"/>
        <v>0</v>
      </c>
      <c r="BC371">
        <f t="shared" si="93"/>
        <v>0</v>
      </c>
      <c r="BD371">
        <f t="shared" si="94"/>
        <v>0</v>
      </c>
      <c r="BE371">
        <f t="shared" si="95"/>
        <v>0</v>
      </c>
      <c r="BF371">
        <f t="shared" si="96"/>
        <v>0</v>
      </c>
      <c r="BG371">
        <f t="shared" si="100"/>
        <v>4782.4730471000003</v>
      </c>
      <c r="BH371">
        <f t="shared" si="101"/>
        <v>4680.2201401400007</v>
      </c>
      <c r="BI371">
        <f t="shared" si="102"/>
        <v>4538.4726421199994</v>
      </c>
      <c r="BJ371">
        <f t="shared" si="103"/>
        <v>4164.2429183000004</v>
      </c>
      <c r="BK371">
        <f t="shared" si="104"/>
        <v>4086.9383151000002</v>
      </c>
      <c r="BL371">
        <f t="shared" si="105"/>
        <v>3768.1550078800001</v>
      </c>
    </row>
    <row r="372" spans="1:64">
      <c r="A372" t="str">
        <f t="shared" si="90"/>
        <v>27</v>
      </c>
      <c r="B372" t="s">
        <v>605</v>
      </c>
      <c r="C372" t="s">
        <v>699</v>
      </c>
      <c r="D372">
        <v>66</v>
      </c>
      <c r="E372">
        <v>3</v>
      </c>
      <c r="F372">
        <v>6</v>
      </c>
      <c r="G372">
        <v>2</v>
      </c>
      <c r="H372">
        <v>100</v>
      </c>
      <c r="I372" t="s">
        <v>617</v>
      </c>
      <c r="J372">
        <v>0.39069999999999999</v>
      </c>
      <c r="K372">
        <v>195.2833</v>
      </c>
      <c r="L372">
        <v>3.04E-2</v>
      </c>
      <c r="M372">
        <v>0.47760000000000002</v>
      </c>
      <c r="N372">
        <v>36.121699999999997</v>
      </c>
      <c r="O372">
        <v>89.428700000000006</v>
      </c>
      <c r="P372">
        <v>308.82319999999999</v>
      </c>
      <c r="Q372">
        <v>224.589</v>
      </c>
      <c r="R372">
        <v>3.1E-2</v>
      </c>
      <c r="S372">
        <v>0.61219999999999997</v>
      </c>
      <c r="T372">
        <v>0.13700000000000001</v>
      </c>
      <c r="U372">
        <v>3.3000000000000002E-2</v>
      </c>
      <c r="V372">
        <v>0.44640000000000002</v>
      </c>
      <c r="W372">
        <v>12.3553</v>
      </c>
      <c r="X372">
        <v>7.1078999999999999</v>
      </c>
      <c r="Y372">
        <v>6.3564999999999996</v>
      </c>
      <c r="Z372">
        <v>7.3220000000000001</v>
      </c>
      <c r="AA372">
        <v>17.5974</v>
      </c>
      <c r="AB372">
        <v>16.466100000000001</v>
      </c>
      <c r="AC372">
        <v>43.044499999999999</v>
      </c>
      <c r="AD372">
        <v>69.193799999999996</v>
      </c>
      <c r="AE372">
        <v>0.23960000000000001</v>
      </c>
      <c r="AF372">
        <v>7901.4996000000001</v>
      </c>
      <c r="AG372">
        <v>66.332499999999996</v>
      </c>
      <c r="AH372">
        <v>0.312</v>
      </c>
      <c r="AI372">
        <v>90.508799999999994</v>
      </c>
      <c r="AJ372">
        <v>73.2</v>
      </c>
      <c r="AK372">
        <v>84.400099999999995</v>
      </c>
      <c r="AL372">
        <v>1.4080999999999999</v>
      </c>
      <c r="AM372">
        <v>0.05</v>
      </c>
      <c r="AN372">
        <v>0</v>
      </c>
      <c r="AO372">
        <v>90.469499999999996</v>
      </c>
      <c r="AP372">
        <v>94.472300000000004</v>
      </c>
      <c r="AQ372">
        <v>93.080600000000004</v>
      </c>
      <c r="AR372">
        <v>90.463200000000001</v>
      </c>
      <c r="AS372">
        <v>85.313199999999995</v>
      </c>
      <c r="AT372">
        <v>84.619900000000001</v>
      </c>
      <c r="AU372">
        <v>79.454300000000003</v>
      </c>
      <c r="AV372">
        <v>736.56370000000004</v>
      </c>
      <c r="AW372">
        <v>1892.989</v>
      </c>
      <c r="AX372">
        <f t="shared" si="97"/>
        <v>81482.765010500007</v>
      </c>
      <c r="AY372">
        <f t="shared" si="98"/>
        <v>125566.69284249999</v>
      </c>
      <c r="AZ372">
        <f t="shared" si="99"/>
        <v>23388.446991699999</v>
      </c>
      <c r="BA372">
        <f t="shared" si="91"/>
        <v>0</v>
      </c>
      <c r="BB372">
        <f t="shared" si="92"/>
        <v>0</v>
      </c>
      <c r="BC372">
        <f t="shared" si="93"/>
        <v>1892.989</v>
      </c>
      <c r="BD372">
        <f t="shared" si="94"/>
        <v>0</v>
      </c>
      <c r="BE372">
        <f t="shared" si="95"/>
        <v>0</v>
      </c>
      <c r="BF372">
        <f t="shared" si="96"/>
        <v>0</v>
      </c>
      <c r="BG372">
        <f t="shared" si="100"/>
        <v>671.49966116999997</v>
      </c>
      <c r="BH372">
        <f t="shared" si="101"/>
        <v>661.60759673999996</v>
      </c>
      <c r="BI372">
        <f t="shared" si="102"/>
        <v>643.00337927999999</v>
      </c>
      <c r="BJ372">
        <f t="shared" si="103"/>
        <v>606.39769428</v>
      </c>
      <c r="BK372">
        <f t="shared" si="104"/>
        <v>601.46978721000005</v>
      </c>
      <c r="BL372">
        <f t="shared" si="105"/>
        <v>564.75321897000003</v>
      </c>
    </row>
    <row r="373" spans="1:64">
      <c r="A373" t="str">
        <f t="shared" si="90"/>
        <v>27</v>
      </c>
      <c r="B373" t="s">
        <v>605</v>
      </c>
      <c r="C373" t="s">
        <v>699</v>
      </c>
      <c r="D373">
        <v>66</v>
      </c>
      <c r="E373">
        <v>3</v>
      </c>
      <c r="F373">
        <v>6</v>
      </c>
      <c r="G373">
        <v>2</v>
      </c>
      <c r="H373">
        <v>100</v>
      </c>
      <c r="I373" t="s">
        <v>607</v>
      </c>
      <c r="J373">
        <v>0.39650000000000002</v>
      </c>
      <c r="K373">
        <v>194.4743</v>
      </c>
      <c r="L373">
        <v>3.04E-2</v>
      </c>
      <c r="M373">
        <v>0.47760000000000002</v>
      </c>
      <c r="N373">
        <v>36.116599999999998</v>
      </c>
      <c r="O373">
        <v>89.245999999999995</v>
      </c>
      <c r="P373">
        <v>311.90800000000002</v>
      </c>
      <c r="Q373">
        <v>228.52080000000001</v>
      </c>
      <c r="R373">
        <v>3.4599999999999999E-2</v>
      </c>
      <c r="S373">
        <v>0.51200000000000001</v>
      </c>
      <c r="T373">
        <v>0.125</v>
      </c>
      <c r="U373">
        <v>2.6700000000000002E-2</v>
      </c>
      <c r="V373">
        <v>0.47760000000000002</v>
      </c>
      <c r="W373">
        <v>12.3461</v>
      </c>
      <c r="X373">
        <v>0.61060000000000003</v>
      </c>
      <c r="Y373">
        <v>0.54490000000000005</v>
      </c>
      <c r="Z373">
        <v>0.61960000000000004</v>
      </c>
      <c r="AA373">
        <v>1.5086999999999999</v>
      </c>
      <c r="AB373">
        <v>19.045000000000002</v>
      </c>
      <c r="AC373">
        <v>44.12</v>
      </c>
      <c r="AD373">
        <v>67.001000000000005</v>
      </c>
      <c r="AE373">
        <v>1.8700000000000001E-2</v>
      </c>
      <c r="AF373">
        <v>8007.2318999999998</v>
      </c>
      <c r="AG373">
        <v>66.282700000000006</v>
      </c>
      <c r="AH373">
        <v>2.46E-2</v>
      </c>
      <c r="AI373">
        <v>90.4983</v>
      </c>
      <c r="AJ373">
        <v>73.2</v>
      </c>
      <c r="AK373">
        <v>84.377799999999993</v>
      </c>
      <c r="AL373">
        <v>1.4386000000000001</v>
      </c>
      <c r="AM373">
        <v>0.05</v>
      </c>
      <c r="AN373">
        <v>0</v>
      </c>
      <c r="AO373">
        <v>90.125</v>
      </c>
      <c r="AP373">
        <v>94.367400000000004</v>
      </c>
      <c r="AQ373">
        <v>92.972300000000004</v>
      </c>
      <c r="AR373">
        <v>90.319699999999997</v>
      </c>
      <c r="AS373">
        <v>85.239800000000002</v>
      </c>
      <c r="AT373">
        <v>84.590100000000007</v>
      </c>
      <c r="AU373">
        <v>79.371300000000005</v>
      </c>
      <c r="AV373">
        <v>58.270899999999997</v>
      </c>
      <c r="AW373">
        <v>150.04810000000001</v>
      </c>
      <c r="AX373">
        <f t="shared" si="97"/>
        <v>6620.1221719999994</v>
      </c>
      <c r="AY373">
        <f t="shared" si="98"/>
        <v>9945.5931978700009</v>
      </c>
      <c r="AZ373">
        <f t="shared" si="99"/>
        <v>1852.50884741</v>
      </c>
      <c r="BA373">
        <f t="shared" si="91"/>
        <v>0</v>
      </c>
      <c r="BB373">
        <f t="shared" si="92"/>
        <v>0</v>
      </c>
      <c r="BC373">
        <f t="shared" si="93"/>
        <v>150.04810000000001</v>
      </c>
      <c r="BD373">
        <f t="shared" si="94"/>
        <v>0</v>
      </c>
      <c r="BE373">
        <f t="shared" si="95"/>
        <v>0</v>
      </c>
      <c r="BF373">
        <f t="shared" si="96"/>
        <v>0</v>
      </c>
      <c r="BG373">
        <f t="shared" si="100"/>
        <v>57.620734440000007</v>
      </c>
      <c r="BH373">
        <f t="shared" si="101"/>
        <v>56.768886380000005</v>
      </c>
      <c r="BI373">
        <f t="shared" si="102"/>
        <v>55.149208819999998</v>
      </c>
      <c r="BJ373">
        <f t="shared" si="103"/>
        <v>52.047421880000002</v>
      </c>
      <c r="BK373">
        <f t="shared" si="104"/>
        <v>51.65071506000001</v>
      </c>
      <c r="BL373">
        <f t="shared" si="105"/>
        <v>48.464115780000007</v>
      </c>
    </row>
    <row r="374" spans="1:64">
      <c r="A374" t="str">
        <f t="shared" si="90"/>
        <v>27</v>
      </c>
      <c r="B374" t="s">
        <v>605</v>
      </c>
      <c r="C374" t="s">
        <v>699</v>
      </c>
      <c r="D374">
        <v>66</v>
      </c>
      <c r="E374">
        <v>3</v>
      </c>
      <c r="F374">
        <v>6</v>
      </c>
      <c r="G374">
        <v>2</v>
      </c>
      <c r="H374">
        <v>200</v>
      </c>
      <c r="I374" t="s">
        <v>609</v>
      </c>
      <c r="J374">
        <v>0.31430000000000002</v>
      </c>
      <c r="K374">
        <v>155.56200000000001</v>
      </c>
      <c r="L374">
        <v>4.8000000000000001E-2</v>
      </c>
      <c r="M374">
        <v>1.0314000000000001</v>
      </c>
      <c r="N374">
        <v>35.314999999999998</v>
      </c>
      <c r="O374">
        <v>89.782700000000006</v>
      </c>
      <c r="P374">
        <v>336.99189999999999</v>
      </c>
      <c r="Q374">
        <v>216.74080000000001</v>
      </c>
      <c r="R374">
        <v>2.76E-2</v>
      </c>
      <c r="S374">
        <v>0.48370000000000002</v>
      </c>
      <c r="T374">
        <v>7.3200000000000001E-2</v>
      </c>
      <c r="U374">
        <v>0.1077</v>
      </c>
      <c r="V374">
        <v>0.3654</v>
      </c>
      <c r="W374">
        <v>12.421799999999999</v>
      </c>
      <c r="X374">
        <v>0.1139</v>
      </c>
      <c r="Y374">
        <v>0.1022</v>
      </c>
      <c r="Z374">
        <v>0.1168</v>
      </c>
      <c r="AA374">
        <v>0.28949999999999998</v>
      </c>
      <c r="AB374">
        <v>23.3201</v>
      </c>
      <c r="AC374">
        <v>40.949599999999997</v>
      </c>
      <c r="AD374">
        <v>76.971900000000005</v>
      </c>
      <c r="AE374">
        <v>4.7999999999999996E-3</v>
      </c>
      <c r="AF374">
        <v>7661.7442000000001</v>
      </c>
      <c r="AG374">
        <v>67.701599999999999</v>
      </c>
      <c r="AH374">
        <v>4.7999999999999996E-3</v>
      </c>
      <c r="AI374">
        <v>89.932599999999994</v>
      </c>
      <c r="AJ374">
        <v>73.2</v>
      </c>
      <c r="AK374">
        <v>83.184600000000003</v>
      </c>
      <c r="AL374">
        <v>1.2412000000000001</v>
      </c>
      <c r="AM374">
        <v>0.05</v>
      </c>
      <c r="AN374">
        <v>0</v>
      </c>
      <c r="AO374">
        <v>91.827500000000001</v>
      </c>
      <c r="AP374">
        <v>94.776200000000003</v>
      </c>
      <c r="AQ374">
        <v>93.3553</v>
      </c>
      <c r="AR374">
        <v>90.845500000000001</v>
      </c>
      <c r="AS374">
        <v>85.331599999999995</v>
      </c>
      <c r="AT374">
        <v>84.4726</v>
      </c>
      <c r="AU374">
        <v>79.440899999999999</v>
      </c>
      <c r="AV374">
        <v>14.5345</v>
      </c>
      <c r="AW374">
        <v>36.7455</v>
      </c>
      <c r="AX374">
        <f t="shared" si="97"/>
        <v>1504.7135268</v>
      </c>
      <c r="AY374">
        <f t="shared" si="98"/>
        <v>2487.7291427999999</v>
      </c>
      <c r="AZ374">
        <f t="shared" si="99"/>
        <v>456.44525189999996</v>
      </c>
      <c r="BA374">
        <f t="shared" si="91"/>
        <v>0</v>
      </c>
      <c r="BB374">
        <f t="shared" si="92"/>
        <v>0</v>
      </c>
      <c r="BC374">
        <f t="shared" si="93"/>
        <v>36.7455</v>
      </c>
      <c r="BD374">
        <f t="shared" si="94"/>
        <v>0</v>
      </c>
      <c r="BE374">
        <f t="shared" si="95"/>
        <v>0</v>
      </c>
      <c r="BF374">
        <f t="shared" si="96"/>
        <v>0</v>
      </c>
      <c r="BG374">
        <f t="shared" si="100"/>
        <v>10.795009180000001</v>
      </c>
      <c r="BH374">
        <f t="shared" si="101"/>
        <v>10.63316867</v>
      </c>
      <c r="BI374">
        <f t="shared" si="102"/>
        <v>10.347302450000001</v>
      </c>
      <c r="BJ374">
        <f t="shared" si="103"/>
        <v>9.7192692399999991</v>
      </c>
      <c r="BK374">
        <f t="shared" si="104"/>
        <v>9.62142914</v>
      </c>
      <c r="BL374">
        <f t="shared" si="105"/>
        <v>9.0483185099999996</v>
      </c>
    </row>
    <row r="375" spans="1:64">
      <c r="A375" t="str">
        <f t="shared" si="90"/>
        <v>28</v>
      </c>
      <c r="B375" t="s">
        <v>605</v>
      </c>
      <c r="C375" t="s">
        <v>700</v>
      </c>
      <c r="D375">
        <v>55</v>
      </c>
      <c r="E375">
        <v>1</v>
      </c>
      <c r="F375">
        <v>6</v>
      </c>
      <c r="G375">
        <v>2</v>
      </c>
      <c r="H375">
        <v>200</v>
      </c>
      <c r="I375" t="s">
        <v>609</v>
      </c>
      <c r="J375">
        <v>0.33050000000000002</v>
      </c>
      <c r="K375">
        <v>156.5985</v>
      </c>
      <c r="L375">
        <v>3.95E-2</v>
      </c>
      <c r="M375">
        <v>1.1003000000000001</v>
      </c>
      <c r="N375">
        <v>36.780799999999999</v>
      </c>
      <c r="O375">
        <v>86.742900000000006</v>
      </c>
      <c r="P375">
        <v>298.66480000000001</v>
      </c>
      <c r="Q375">
        <v>244.9282</v>
      </c>
      <c r="R375">
        <v>2.7900000000000001E-2</v>
      </c>
      <c r="S375">
        <v>0.52969999999999995</v>
      </c>
      <c r="T375">
        <v>0.1211</v>
      </c>
      <c r="U375">
        <v>0.12909999999999999</v>
      </c>
      <c r="V375">
        <v>0.39040000000000002</v>
      </c>
      <c r="W375">
        <v>10.915100000000001</v>
      </c>
      <c r="X375">
        <v>52.924500000000002</v>
      </c>
      <c r="Y375">
        <v>45.907600000000002</v>
      </c>
      <c r="Z375">
        <v>52.428100000000001</v>
      </c>
      <c r="AA375">
        <v>124.87430000000001</v>
      </c>
      <c r="AB375">
        <v>21.3782</v>
      </c>
      <c r="AC375">
        <v>54.757599999999996</v>
      </c>
      <c r="AD375">
        <v>47.765300000000003</v>
      </c>
      <c r="AE375">
        <v>1.7939000000000001</v>
      </c>
      <c r="AF375">
        <v>8909.5346000000009</v>
      </c>
      <c r="AG375">
        <v>66.914000000000001</v>
      </c>
      <c r="AH375">
        <v>2.1345000000000001</v>
      </c>
      <c r="AI375">
        <v>90.003299999999996</v>
      </c>
      <c r="AJ375">
        <v>73.2</v>
      </c>
      <c r="AK375">
        <v>83.333699999999993</v>
      </c>
      <c r="AL375">
        <v>1.2632000000000001</v>
      </c>
      <c r="AM375">
        <v>0.05</v>
      </c>
      <c r="AN375">
        <v>2.3E-3</v>
      </c>
      <c r="AO375">
        <v>93.163499999999999</v>
      </c>
      <c r="AP375">
        <v>92.264899999999997</v>
      </c>
      <c r="AQ375">
        <v>90.348200000000006</v>
      </c>
      <c r="AR375">
        <v>87.5441</v>
      </c>
      <c r="AS375">
        <v>80.517700000000005</v>
      </c>
      <c r="AT375">
        <v>79.110600000000005</v>
      </c>
      <c r="AU375">
        <v>73.016400000000004</v>
      </c>
      <c r="AV375">
        <v>6285.8982999999998</v>
      </c>
      <c r="AW375">
        <v>15981.0419</v>
      </c>
      <c r="AX375">
        <f t="shared" si="97"/>
        <v>875083.49994343997</v>
      </c>
      <c r="AY375">
        <f t="shared" si="98"/>
        <v>1069355.4376966001</v>
      </c>
      <c r="AZ375">
        <f t="shared" si="99"/>
        <v>174434.67044269003</v>
      </c>
      <c r="BA375">
        <f t="shared" si="91"/>
        <v>15981.0419</v>
      </c>
      <c r="BB375">
        <f t="shared" si="92"/>
        <v>0</v>
      </c>
      <c r="BC375">
        <f t="shared" si="93"/>
        <v>0</v>
      </c>
      <c r="BD375">
        <f t="shared" si="94"/>
        <v>0</v>
      </c>
      <c r="BE375">
        <f t="shared" si="95"/>
        <v>0</v>
      </c>
      <c r="BF375">
        <f t="shared" si="96"/>
        <v>0</v>
      </c>
      <c r="BG375">
        <f t="shared" si="100"/>
        <v>4883.0737000500003</v>
      </c>
      <c r="BH375">
        <f t="shared" si="101"/>
        <v>4781.6333109000007</v>
      </c>
      <c r="BI375">
        <f t="shared" si="102"/>
        <v>4633.2277204500006</v>
      </c>
      <c r="BJ375">
        <f t="shared" si="103"/>
        <v>4261.3590136500006</v>
      </c>
      <c r="BK375">
        <f t="shared" si="104"/>
        <v>4186.8889497</v>
      </c>
      <c r="BL375">
        <f t="shared" si="105"/>
        <v>3864.3564618000005</v>
      </c>
    </row>
    <row r="376" spans="1:64">
      <c r="A376" t="str">
        <f t="shared" si="90"/>
        <v>28</v>
      </c>
      <c r="B376" t="s">
        <v>605</v>
      </c>
      <c r="C376" t="s">
        <v>700</v>
      </c>
      <c r="D376">
        <v>55</v>
      </c>
      <c r="E376">
        <v>1</v>
      </c>
      <c r="F376">
        <v>6</v>
      </c>
      <c r="G376">
        <v>2</v>
      </c>
      <c r="H376">
        <v>200</v>
      </c>
      <c r="I376" t="s">
        <v>617</v>
      </c>
      <c r="J376">
        <v>0.35299999999999998</v>
      </c>
      <c r="K376">
        <v>162.30369999999999</v>
      </c>
      <c r="L376">
        <v>4.7899999999999998E-2</v>
      </c>
      <c r="M376">
        <v>1.1315</v>
      </c>
      <c r="N376">
        <v>36.256599999999999</v>
      </c>
      <c r="O376">
        <v>86.984399999999994</v>
      </c>
      <c r="P376">
        <v>296.22109999999998</v>
      </c>
      <c r="Q376">
        <v>241.69300000000001</v>
      </c>
      <c r="R376">
        <v>2.8000000000000001E-2</v>
      </c>
      <c r="S376">
        <v>0.56540000000000001</v>
      </c>
      <c r="T376">
        <v>0.10780000000000001</v>
      </c>
      <c r="U376">
        <v>0.1429</v>
      </c>
      <c r="V376">
        <v>0.4128</v>
      </c>
      <c r="W376">
        <v>10.908799999999999</v>
      </c>
      <c r="X376">
        <v>1.5687</v>
      </c>
      <c r="Y376">
        <v>1.3645</v>
      </c>
      <c r="Z376">
        <v>1.5459000000000001</v>
      </c>
      <c r="AA376">
        <v>3.7635000000000001</v>
      </c>
      <c r="AB376">
        <v>19.202300000000001</v>
      </c>
      <c r="AC376">
        <v>53.814700000000002</v>
      </c>
      <c r="AD376">
        <v>47.647300000000001</v>
      </c>
      <c r="AE376">
        <v>5.04E-2</v>
      </c>
      <c r="AF376">
        <v>8815.0571</v>
      </c>
      <c r="AG376">
        <v>67.212100000000007</v>
      </c>
      <c r="AH376">
        <v>6.0199999999999997E-2</v>
      </c>
      <c r="AI376">
        <v>90.040199999999999</v>
      </c>
      <c r="AJ376">
        <v>73.2</v>
      </c>
      <c r="AK376">
        <v>83.411000000000001</v>
      </c>
      <c r="AL376">
        <v>1.2425999999999999</v>
      </c>
      <c r="AM376">
        <v>0.05</v>
      </c>
      <c r="AN376">
        <v>0</v>
      </c>
      <c r="AO376">
        <v>93.489900000000006</v>
      </c>
      <c r="AP376">
        <v>92.309799999999996</v>
      </c>
      <c r="AQ376">
        <v>90.482799999999997</v>
      </c>
      <c r="AR376">
        <v>87.726799999999997</v>
      </c>
      <c r="AS376">
        <v>80.765299999999996</v>
      </c>
      <c r="AT376">
        <v>79.331000000000003</v>
      </c>
      <c r="AU376">
        <v>73.266999999999996</v>
      </c>
      <c r="AV376">
        <v>175.03980000000001</v>
      </c>
      <c r="AW376">
        <v>444.42660000000001</v>
      </c>
      <c r="AX376">
        <f t="shared" si="97"/>
        <v>23916.684151020003</v>
      </c>
      <c r="AY376">
        <f t="shared" si="98"/>
        <v>29870.845081860003</v>
      </c>
      <c r="AZ376">
        <f t="shared" si="99"/>
        <v>4848.1608940799997</v>
      </c>
      <c r="BA376">
        <f t="shared" si="91"/>
        <v>444.42660000000001</v>
      </c>
      <c r="BB376">
        <f t="shared" si="92"/>
        <v>0</v>
      </c>
      <c r="BC376">
        <f t="shared" si="93"/>
        <v>0</v>
      </c>
      <c r="BD376">
        <f t="shared" si="94"/>
        <v>0</v>
      </c>
      <c r="BE376">
        <f t="shared" si="95"/>
        <v>0</v>
      </c>
      <c r="BF376">
        <f t="shared" si="96"/>
        <v>0</v>
      </c>
      <c r="BG376">
        <f t="shared" si="100"/>
        <v>144.80638325999999</v>
      </c>
      <c r="BH376">
        <f t="shared" si="101"/>
        <v>141.94036836000001</v>
      </c>
      <c r="BI376">
        <f t="shared" si="102"/>
        <v>137.61703115999998</v>
      </c>
      <c r="BJ376">
        <f t="shared" si="103"/>
        <v>126.69652610999999</v>
      </c>
      <c r="BK376">
        <f t="shared" si="104"/>
        <v>124.4465397</v>
      </c>
      <c r="BL376">
        <f t="shared" si="105"/>
        <v>114.93394289999999</v>
      </c>
    </row>
    <row r="377" spans="1:64">
      <c r="A377" t="str">
        <f t="shared" si="90"/>
        <v>29</v>
      </c>
      <c r="B377" t="s">
        <v>605</v>
      </c>
      <c r="C377" t="s">
        <v>701</v>
      </c>
      <c r="D377">
        <v>55</v>
      </c>
      <c r="E377">
        <v>1</v>
      </c>
      <c r="F377">
        <v>6</v>
      </c>
      <c r="G377">
        <v>2</v>
      </c>
      <c r="H377">
        <v>200</v>
      </c>
      <c r="I377" t="s">
        <v>609</v>
      </c>
      <c r="J377">
        <v>0.33860000000000001</v>
      </c>
      <c r="K377">
        <v>130.11799999999999</v>
      </c>
      <c r="L377">
        <v>4.4699999999999997E-2</v>
      </c>
      <c r="M377">
        <v>1.3740000000000001</v>
      </c>
      <c r="N377">
        <v>36.921199999999999</v>
      </c>
      <c r="O377">
        <v>86.600999999999999</v>
      </c>
      <c r="P377">
        <v>283.1157</v>
      </c>
      <c r="Q377">
        <v>248.8895</v>
      </c>
      <c r="R377">
        <v>2.8299999999999999E-2</v>
      </c>
      <c r="S377">
        <v>0.56459999999999999</v>
      </c>
      <c r="T377">
        <v>0.1298</v>
      </c>
      <c r="U377">
        <v>0.14729999999999999</v>
      </c>
      <c r="V377">
        <v>0.4118</v>
      </c>
      <c r="W377">
        <v>10.878</v>
      </c>
      <c r="X377">
        <v>24.663399999999999</v>
      </c>
      <c r="Y377">
        <v>21.358499999999999</v>
      </c>
      <c r="Z377">
        <v>23.773399999999999</v>
      </c>
      <c r="AA377">
        <v>57.920499999999997</v>
      </c>
      <c r="AB377">
        <v>20.113399999999999</v>
      </c>
      <c r="AC377">
        <v>56.1188</v>
      </c>
      <c r="AD377">
        <v>46.9253</v>
      </c>
      <c r="AE377">
        <v>0.76129999999999998</v>
      </c>
      <c r="AF377">
        <v>9042.9519999999993</v>
      </c>
      <c r="AG377">
        <v>66.596599999999995</v>
      </c>
      <c r="AH377">
        <v>0.8306</v>
      </c>
      <c r="AI377">
        <v>89.764600000000002</v>
      </c>
      <c r="AJ377">
        <v>73.2</v>
      </c>
      <c r="AK377">
        <v>82.8322</v>
      </c>
      <c r="AL377">
        <v>1.2605999999999999</v>
      </c>
      <c r="AM377">
        <v>0.05</v>
      </c>
      <c r="AN377">
        <v>8.0000000000000004E-4</v>
      </c>
      <c r="AO377">
        <v>92.755499999999998</v>
      </c>
      <c r="AP377">
        <v>92.001599999999996</v>
      </c>
      <c r="AQ377">
        <v>90.173000000000002</v>
      </c>
      <c r="AR377">
        <v>87.275599999999997</v>
      </c>
      <c r="AS377">
        <v>80.5946</v>
      </c>
      <c r="AT377">
        <v>79.304599999999994</v>
      </c>
      <c r="AU377">
        <v>73.4101</v>
      </c>
      <c r="AV377">
        <v>2711.2997999999998</v>
      </c>
      <c r="AW377">
        <v>6884.1715000000004</v>
      </c>
      <c r="AX377">
        <f t="shared" si="97"/>
        <v>386331.44357420004</v>
      </c>
      <c r="AY377">
        <f t="shared" si="98"/>
        <v>458462.41571689997</v>
      </c>
      <c r="AZ377">
        <f t="shared" si="99"/>
        <v>74886.017577000006</v>
      </c>
      <c r="BA377">
        <f t="shared" si="91"/>
        <v>6884.1715000000004</v>
      </c>
      <c r="BB377">
        <f t="shared" si="92"/>
        <v>0</v>
      </c>
      <c r="BC377">
        <f t="shared" si="93"/>
        <v>0</v>
      </c>
      <c r="BD377">
        <f t="shared" si="94"/>
        <v>0</v>
      </c>
      <c r="BE377">
        <f t="shared" si="95"/>
        <v>0</v>
      </c>
      <c r="BF377">
        <f t="shared" si="96"/>
        <v>0</v>
      </c>
      <c r="BG377">
        <f t="shared" si="100"/>
        <v>2269.0722614399997</v>
      </c>
      <c r="BH377">
        <f t="shared" si="101"/>
        <v>2223.9727681999998</v>
      </c>
      <c r="BI377">
        <f t="shared" si="102"/>
        <v>2152.5130330399998</v>
      </c>
      <c r="BJ377">
        <f t="shared" si="103"/>
        <v>1987.7368576399999</v>
      </c>
      <c r="BK377">
        <f t="shared" si="104"/>
        <v>1955.9210716399998</v>
      </c>
      <c r="BL377">
        <f t="shared" si="105"/>
        <v>1810.5426603399999</v>
      </c>
    </row>
    <row r="378" spans="1:64">
      <c r="A378" t="str">
        <f t="shared" si="90"/>
        <v>29</v>
      </c>
      <c r="B378" t="s">
        <v>605</v>
      </c>
      <c r="C378" t="s">
        <v>701</v>
      </c>
      <c r="D378">
        <v>55</v>
      </c>
      <c r="E378">
        <v>1</v>
      </c>
      <c r="F378">
        <v>6</v>
      </c>
      <c r="G378">
        <v>2</v>
      </c>
      <c r="H378">
        <v>200</v>
      </c>
      <c r="I378" t="s">
        <v>617</v>
      </c>
      <c r="J378">
        <v>0.35580000000000001</v>
      </c>
      <c r="K378">
        <v>164.66329999999999</v>
      </c>
      <c r="L378">
        <v>4.7899999999999998E-2</v>
      </c>
      <c r="M378">
        <v>1.1315</v>
      </c>
      <c r="N378">
        <v>36.292099999999998</v>
      </c>
      <c r="O378">
        <v>87.062700000000007</v>
      </c>
      <c r="P378">
        <v>289.4384</v>
      </c>
      <c r="Q378">
        <v>242.46979999999999</v>
      </c>
      <c r="R378">
        <v>2.81E-2</v>
      </c>
      <c r="S378">
        <v>0.57589999999999997</v>
      </c>
      <c r="T378">
        <v>0.1106</v>
      </c>
      <c r="U378">
        <v>0.14530000000000001</v>
      </c>
      <c r="V378">
        <v>0.41649999999999998</v>
      </c>
      <c r="W378">
        <v>10.853300000000001</v>
      </c>
      <c r="X378">
        <v>0.45229999999999998</v>
      </c>
      <c r="Y378">
        <v>0.39369999999999999</v>
      </c>
      <c r="Z378">
        <v>0.44650000000000001</v>
      </c>
      <c r="AA378">
        <v>1.0849</v>
      </c>
      <c r="AB378">
        <v>18.785799999999998</v>
      </c>
      <c r="AC378">
        <v>54.2712</v>
      </c>
      <c r="AD378">
        <v>47.316400000000002</v>
      </c>
      <c r="AE378">
        <v>1.43E-2</v>
      </c>
      <c r="AF378">
        <v>8860.4271000000008</v>
      </c>
      <c r="AG378">
        <v>67.086200000000005</v>
      </c>
      <c r="AH378">
        <v>1.7500000000000002E-2</v>
      </c>
      <c r="AI378">
        <v>90.076999999999998</v>
      </c>
      <c r="AJ378">
        <v>73.2</v>
      </c>
      <c r="AK378">
        <v>83.488500000000002</v>
      </c>
      <c r="AL378">
        <v>1.2533000000000001</v>
      </c>
      <c r="AM378">
        <v>0.05</v>
      </c>
      <c r="AN378">
        <v>0</v>
      </c>
      <c r="AO378">
        <v>93.338700000000003</v>
      </c>
      <c r="AP378">
        <v>92.138400000000004</v>
      </c>
      <c r="AQ378">
        <v>90.414900000000003</v>
      </c>
      <c r="AR378">
        <v>87.720100000000002</v>
      </c>
      <c r="AS378">
        <v>81.038399999999996</v>
      </c>
      <c r="AT378">
        <v>79.713399999999993</v>
      </c>
      <c r="AU378">
        <v>73.831199999999995</v>
      </c>
      <c r="AV378">
        <v>50.0777</v>
      </c>
      <c r="AW378">
        <v>127.1186</v>
      </c>
      <c r="AX378">
        <f t="shared" si="97"/>
        <v>6898.8789643199998</v>
      </c>
      <c r="AY378">
        <f t="shared" si="98"/>
        <v>8527.9038233200008</v>
      </c>
      <c r="AZ378">
        <f t="shared" si="99"/>
        <v>1379.6563013800001</v>
      </c>
      <c r="BA378">
        <f t="shared" si="91"/>
        <v>127.1186</v>
      </c>
      <c r="BB378">
        <f t="shared" si="92"/>
        <v>0</v>
      </c>
      <c r="BC378">
        <f t="shared" si="93"/>
        <v>0</v>
      </c>
      <c r="BD378">
        <f t="shared" si="94"/>
        <v>0</v>
      </c>
      <c r="BE378">
        <f t="shared" si="95"/>
        <v>0</v>
      </c>
      <c r="BF378">
        <f t="shared" si="96"/>
        <v>0</v>
      </c>
      <c r="BG378">
        <f t="shared" si="100"/>
        <v>41.674198320000002</v>
      </c>
      <c r="BH378">
        <f t="shared" si="101"/>
        <v>40.894659269999998</v>
      </c>
      <c r="BI378">
        <f t="shared" si="102"/>
        <v>39.675801229999998</v>
      </c>
      <c r="BJ378">
        <f t="shared" si="103"/>
        <v>36.653668319999994</v>
      </c>
      <c r="BK378">
        <f t="shared" si="104"/>
        <v>36.054370819999995</v>
      </c>
      <c r="BL378">
        <f t="shared" si="105"/>
        <v>33.393851759999997</v>
      </c>
    </row>
    <row r="379" spans="1:64">
      <c r="A379" t="str">
        <f t="shared" si="90"/>
        <v>29</v>
      </c>
      <c r="B379" t="s">
        <v>605</v>
      </c>
      <c r="C379" t="s">
        <v>701</v>
      </c>
      <c r="D379">
        <v>55</v>
      </c>
      <c r="E379">
        <v>1</v>
      </c>
      <c r="F379">
        <v>6</v>
      </c>
      <c r="G379">
        <v>2</v>
      </c>
      <c r="H379">
        <v>200</v>
      </c>
      <c r="I379" t="s">
        <v>607</v>
      </c>
      <c r="J379">
        <v>0.38119999999999998</v>
      </c>
      <c r="K379">
        <v>138.2441</v>
      </c>
      <c r="L379">
        <v>4.7899999999999998E-2</v>
      </c>
      <c r="M379">
        <v>1.4749000000000001</v>
      </c>
      <c r="N379">
        <v>38.872</v>
      </c>
      <c r="O379">
        <v>86.542199999999994</v>
      </c>
      <c r="P379">
        <v>271.74400000000003</v>
      </c>
      <c r="Q379">
        <v>247.73419999999999</v>
      </c>
      <c r="R379">
        <v>2.8400000000000002E-2</v>
      </c>
      <c r="S379">
        <v>0.57909999999999995</v>
      </c>
      <c r="T379">
        <v>0.21829999999999999</v>
      </c>
      <c r="U379">
        <v>0.14099999999999999</v>
      </c>
      <c r="V379">
        <v>0.48299999999999998</v>
      </c>
      <c r="W379">
        <v>10.804600000000001</v>
      </c>
      <c r="X379">
        <v>16.552</v>
      </c>
      <c r="Y379">
        <v>14.324999999999999</v>
      </c>
      <c r="Z379">
        <v>15.761699999999999</v>
      </c>
      <c r="AA379">
        <v>36.876600000000003</v>
      </c>
      <c r="AB379">
        <v>19.845400000000001</v>
      </c>
      <c r="AC379">
        <v>56.0366</v>
      </c>
      <c r="AD379">
        <v>46.205399999999997</v>
      </c>
      <c r="AE379">
        <v>0.43080000000000002</v>
      </c>
      <c r="AF379">
        <v>9042.4241999999995</v>
      </c>
      <c r="AG379">
        <v>66.311300000000003</v>
      </c>
      <c r="AH379">
        <v>0.50900000000000001</v>
      </c>
      <c r="AI379">
        <v>89.903999999999996</v>
      </c>
      <c r="AJ379">
        <v>73.2</v>
      </c>
      <c r="AK379">
        <v>83.127700000000004</v>
      </c>
      <c r="AL379">
        <v>1.2758</v>
      </c>
      <c r="AM379">
        <v>0.05</v>
      </c>
      <c r="AN379">
        <v>0</v>
      </c>
      <c r="AO379">
        <v>92.627499999999998</v>
      </c>
      <c r="AP379">
        <v>91.438000000000002</v>
      </c>
      <c r="AQ379">
        <v>89.688000000000002</v>
      </c>
      <c r="AR379">
        <v>86.8125</v>
      </c>
      <c r="AS379">
        <v>80.303799999999995</v>
      </c>
      <c r="AT379">
        <v>78.932599999999994</v>
      </c>
      <c r="AU379">
        <v>73.259600000000006</v>
      </c>
      <c r="AV379">
        <v>1535.2221999999999</v>
      </c>
      <c r="AW379">
        <v>3894.9648000000002</v>
      </c>
      <c r="AX379">
        <f t="shared" si="97"/>
        <v>218260.58451168</v>
      </c>
      <c r="AY379">
        <f t="shared" si="98"/>
        <v>258280.17934224004</v>
      </c>
      <c r="AZ379">
        <f t="shared" si="99"/>
        <v>42083.536678080003</v>
      </c>
      <c r="BA379">
        <f t="shared" si="91"/>
        <v>3894.9648000000002</v>
      </c>
      <c r="BB379">
        <f t="shared" si="92"/>
        <v>0</v>
      </c>
      <c r="BC379">
        <f t="shared" si="93"/>
        <v>0</v>
      </c>
      <c r="BD379">
        <f t="shared" si="94"/>
        <v>0</v>
      </c>
      <c r="BE379">
        <f t="shared" si="95"/>
        <v>0</v>
      </c>
      <c r="BF379">
        <f t="shared" si="96"/>
        <v>0</v>
      </c>
      <c r="BG379">
        <f t="shared" si="100"/>
        <v>1513.4817760000001</v>
      </c>
      <c r="BH379">
        <f t="shared" si="101"/>
        <v>1484.515776</v>
      </c>
      <c r="BI379">
        <f t="shared" si="102"/>
        <v>1436.9204999999999</v>
      </c>
      <c r="BJ379">
        <f t="shared" si="103"/>
        <v>1329.1884975999999</v>
      </c>
      <c r="BK379">
        <f t="shared" si="104"/>
        <v>1306.4923951999999</v>
      </c>
      <c r="BL379">
        <f t="shared" si="105"/>
        <v>1212.5928992000001</v>
      </c>
    </row>
    <row r="380" spans="1:64">
      <c r="A380" t="str">
        <f t="shared" si="90"/>
        <v>30</v>
      </c>
      <c r="B380" t="s">
        <v>605</v>
      </c>
      <c r="C380" t="s">
        <v>702</v>
      </c>
      <c r="D380">
        <v>1</v>
      </c>
      <c r="E380">
        <v>1</v>
      </c>
      <c r="F380">
        <v>1</v>
      </c>
      <c r="G380">
        <v>2</v>
      </c>
      <c r="H380">
        <v>100</v>
      </c>
      <c r="I380" t="s">
        <v>617</v>
      </c>
      <c r="J380">
        <v>0.40379999999999999</v>
      </c>
      <c r="K380">
        <v>70.700199999999995</v>
      </c>
      <c r="L380">
        <v>1.5100000000000001E-2</v>
      </c>
      <c r="M380">
        <v>0.85499999999999998</v>
      </c>
      <c r="N380">
        <v>23.519200000000001</v>
      </c>
      <c r="O380">
        <v>89.409599999999998</v>
      </c>
      <c r="P380">
        <v>411.90190000000001</v>
      </c>
      <c r="Q380">
        <v>234.6473</v>
      </c>
      <c r="R380">
        <v>0.69359999999999999</v>
      </c>
      <c r="S380">
        <v>0.56869999999999998</v>
      </c>
      <c r="T380">
        <v>0.26700000000000002</v>
      </c>
      <c r="U380">
        <v>3.3999999999999998E-3</v>
      </c>
      <c r="V380">
        <v>0.4279</v>
      </c>
      <c r="W380">
        <v>0</v>
      </c>
      <c r="X380">
        <v>8.3999999999999995E-3</v>
      </c>
      <c r="Y380">
        <v>7.4999999999999997E-3</v>
      </c>
      <c r="Z380">
        <v>7.7000000000000002E-3</v>
      </c>
      <c r="AA380">
        <v>3.2099999999999997E-2</v>
      </c>
      <c r="AB380">
        <v>11.629799999999999</v>
      </c>
      <c r="AC380">
        <v>46.378700000000002</v>
      </c>
      <c r="AD380">
        <v>59.8005</v>
      </c>
      <c r="AE380">
        <v>2.9999999999999997E-4</v>
      </c>
      <c r="AF380">
        <v>8350.8911000000007</v>
      </c>
      <c r="AG380">
        <v>63.247999999999998</v>
      </c>
      <c r="AH380">
        <v>1E-4</v>
      </c>
      <c r="AI380">
        <v>87.936700000000002</v>
      </c>
      <c r="AJ380">
        <v>73.2</v>
      </c>
      <c r="AK380">
        <v>79.041899999999998</v>
      </c>
      <c r="AL380">
        <v>2.0962999999999998</v>
      </c>
      <c r="AM380">
        <v>0.05</v>
      </c>
      <c r="AN380">
        <v>0</v>
      </c>
      <c r="AO380">
        <v>90.388300000000001</v>
      </c>
      <c r="AP380">
        <v>93.590699999999998</v>
      </c>
      <c r="AQ380">
        <v>92.471999999999994</v>
      </c>
      <c r="AR380">
        <v>91.263300000000001</v>
      </c>
      <c r="AS380">
        <v>86.250799999999998</v>
      </c>
      <c r="AT380">
        <v>85.438500000000005</v>
      </c>
      <c r="AU380">
        <v>80.718900000000005</v>
      </c>
      <c r="AV380">
        <v>1.1351</v>
      </c>
      <c r="AW380">
        <v>2.0886999999999998</v>
      </c>
      <c r="AX380">
        <f t="shared" si="97"/>
        <v>96.871190689999992</v>
      </c>
      <c r="AY380">
        <f t="shared" si="98"/>
        <v>132.10609759999997</v>
      </c>
      <c r="AZ380">
        <f t="shared" si="99"/>
        <v>0</v>
      </c>
      <c r="BA380">
        <f t="shared" si="91"/>
        <v>2.0886999999999998</v>
      </c>
      <c r="BB380">
        <f t="shared" si="92"/>
        <v>0</v>
      </c>
      <c r="BC380">
        <f t="shared" si="93"/>
        <v>0</v>
      </c>
      <c r="BD380">
        <f t="shared" si="94"/>
        <v>0</v>
      </c>
      <c r="BE380">
        <f t="shared" si="95"/>
        <v>0</v>
      </c>
      <c r="BF380">
        <f t="shared" si="96"/>
        <v>0</v>
      </c>
      <c r="BG380">
        <f t="shared" si="100"/>
        <v>0.78616187999999998</v>
      </c>
      <c r="BH380">
        <f t="shared" si="101"/>
        <v>0.77676479999999992</v>
      </c>
      <c r="BI380">
        <f t="shared" si="102"/>
        <v>0.76661172</v>
      </c>
      <c r="BJ380">
        <f t="shared" si="103"/>
        <v>0.72450671999999994</v>
      </c>
      <c r="BK380">
        <f t="shared" si="104"/>
        <v>0.71768339999999997</v>
      </c>
      <c r="BL380">
        <f t="shared" si="105"/>
        <v>0.67803875999999996</v>
      </c>
    </row>
    <row r="381" spans="1:64">
      <c r="A381" t="str">
        <f t="shared" si="90"/>
        <v>30</v>
      </c>
      <c r="B381" t="s">
        <v>605</v>
      </c>
      <c r="C381" t="s">
        <v>702</v>
      </c>
      <c r="D381">
        <v>1</v>
      </c>
      <c r="E381">
        <v>1</v>
      </c>
      <c r="F381">
        <v>1</v>
      </c>
      <c r="G381">
        <v>2</v>
      </c>
      <c r="H381">
        <v>100</v>
      </c>
      <c r="I381" t="s">
        <v>607</v>
      </c>
      <c r="J381">
        <v>0.43630000000000002</v>
      </c>
      <c r="K381">
        <v>79.483500000000006</v>
      </c>
      <c r="L381">
        <v>1.5100000000000001E-2</v>
      </c>
      <c r="M381">
        <v>0.85599999999999998</v>
      </c>
      <c r="N381">
        <v>24.9496</v>
      </c>
      <c r="O381">
        <v>89.513800000000003</v>
      </c>
      <c r="P381">
        <v>412.49090000000001</v>
      </c>
      <c r="Q381">
        <v>232.982</v>
      </c>
      <c r="R381">
        <v>0.67659999999999998</v>
      </c>
      <c r="S381">
        <v>0.64410000000000001</v>
      </c>
      <c r="T381">
        <v>0.29370000000000002</v>
      </c>
      <c r="U381">
        <v>3.7000000000000002E-3</v>
      </c>
      <c r="V381">
        <v>0.46350000000000002</v>
      </c>
      <c r="W381">
        <v>0</v>
      </c>
      <c r="X381">
        <v>17.913</v>
      </c>
      <c r="Y381">
        <v>16.034400000000002</v>
      </c>
      <c r="Z381">
        <v>16.462800000000001</v>
      </c>
      <c r="AA381">
        <v>64.238600000000005</v>
      </c>
      <c r="AB381">
        <v>10.561500000000001</v>
      </c>
      <c r="AC381">
        <v>46.368099999999998</v>
      </c>
      <c r="AD381">
        <v>59.525799999999997</v>
      </c>
      <c r="AE381">
        <v>0.4914</v>
      </c>
      <c r="AF381">
        <v>8354.5118999999995</v>
      </c>
      <c r="AG381">
        <v>63.069000000000003</v>
      </c>
      <c r="AH381">
        <v>0.25990000000000002</v>
      </c>
      <c r="AI381">
        <v>88.231300000000005</v>
      </c>
      <c r="AJ381">
        <v>73.2</v>
      </c>
      <c r="AK381">
        <v>79.647000000000006</v>
      </c>
      <c r="AL381">
        <v>2.1114999999999999</v>
      </c>
      <c r="AM381">
        <v>0.05</v>
      </c>
      <c r="AN381">
        <v>0</v>
      </c>
      <c r="AO381">
        <v>90.301500000000004</v>
      </c>
      <c r="AP381">
        <v>93.378100000000003</v>
      </c>
      <c r="AQ381">
        <v>92.184399999999997</v>
      </c>
      <c r="AR381">
        <v>91.056299999999993</v>
      </c>
      <c r="AS381">
        <v>86.396900000000002</v>
      </c>
      <c r="AT381">
        <v>85.588399999999993</v>
      </c>
      <c r="AU381">
        <v>81.171499999999995</v>
      </c>
      <c r="AV381">
        <v>2231.1021000000001</v>
      </c>
      <c r="AW381">
        <v>4105.2278999999999</v>
      </c>
      <c r="AX381">
        <f t="shared" si="97"/>
        <v>190351.61778998998</v>
      </c>
      <c r="AY381">
        <f t="shared" si="98"/>
        <v>258912.61842509999</v>
      </c>
      <c r="AZ381">
        <f t="shared" si="99"/>
        <v>0</v>
      </c>
      <c r="BA381">
        <f t="shared" si="91"/>
        <v>4105.2278999999999</v>
      </c>
      <c r="BB381">
        <f t="shared" si="92"/>
        <v>0</v>
      </c>
      <c r="BC381">
        <f t="shared" si="93"/>
        <v>0</v>
      </c>
      <c r="BD381">
        <f t="shared" si="94"/>
        <v>0</v>
      </c>
      <c r="BE381">
        <f t="shared" si="95"/>
        <v>0</v>
      </c>
      <c r="BF381">
        <f t="shared" si="96"/>
        <v>0</v>
      </c>
      <c r="BG381">
        <f t="shared" si="100"/>
        <v>1672.6819053000002</v>
      </c>
      <c r="BH381">
        <f t="shared" si="101"/>
        <v>1651.2991571999999</v>
      </c>
      <c r="BI381">
        <f t="shared" si="102"/>
        <v>1631.0915018999999</v>
      </c>
      <c r="BJ381">
        <f t="shared" si="103"/>
        <v>1547.6276697000001</v>
      </c>
      <c r="BK381">
        <f t="shared" si="104"/>
        <v>1533.1450092</v>
      </c>
      <c r="BL381">
        <f t="shared" si="105"/>
        <v>1454.0250794999999</v>
      </c>
    </row>
    <row r="382" spans="1:64">
      <c r="A382" t="str">
        <f t="shared" si="90"/>
        <v>30</v>
      </c>
      <c r="B382" t="s">
        <v>605</v>
      </c>
      <c r="C382" t="s">
        <v>702</v>
      </c>
      <c r="D382">
        <v>1</v>
      </c>
      <c r="E382">
        <v>1</v>
      </c>
      <c r="F382">
        <v>1</v>
      </c>
      <c r="G382">
        <v>2</v>
      </c>
      <c r="H382">
        <v>200</v>
      </c>
      <c r="I382" t="s">
        <v>617</v>
      </c>
      <c r="J382">
        <v>0.37480000000000002</v>
      </c>
      <c r="K382">
        <v>87.971900000000005</v>
      </c>
      <c r="L382">
        <v>1.6400000000000001E-2</v>
      </c>
      <c r="M382">
        <v>0.98019999999999996</v>
      </c>
      <c r="N382">
        <v>23.601800000000001</v>
      </c>
      <c r="O382">
        <v>89.254400000000004</v>
      </c>
      <c r="P382">
        <v>417.23379999999997</v>
      </c>
      <c r="Q382">
        <v>236.42240000000001</v>
      </c>
      <c r="R382">
        <v>0.63539999999999996</v>
      </c>
      <c r="S382">
        <v>0.54549999999999998</v>
      </c>
      <c r="T382">
        <v>0.24199999999999999</v>
      </c>
      <c r="U382">
        <v>4.5999999999999999E-3</v>
      </c>
      <c r="V382">
        <v>0.4052</v>
      </c>
      <c r="W382">
        <v>0</v>
      </c>
      <c r="X382">
        <v>0.6744</v>
      </c>
      <c r="Y382">
        <v>0.60189999999999999</v>
      </c>
      <c r="Z382">
        <v>0.62919999999999998</v>
      </c>
      <c r="AA382">
        <v>2.5501999999999998</v>
      </c>
      <c r="AB382">
        <v>17.0566</v>
      </c>
      <c r="AC382">
        <v>46.665399999999998</v>
      </c>
      <c r="AD382">
        <v>60.781500000000001</v>
      </c>
      <c r="AE382">
        <v>2.1499999999999998E-2</v>
      </c>
      <c r="AF382">
        <v>8373.8281999999999</v>
      </c>
      <c r="AG382">
        <v>63.433199999999999</v>
      </c>
      <c r="AH382">
        <v>1.2699999999999999E-2</v>
      </c>
      <c r="AI382">
        <v>88.49</v>
      </c>
      <c r="AJ382">
        <v>73.2</v>
      </c>
      <c r="AK382">
        <v>80.179900000000004</v>
      </c>
      <c r="AL382">
        <v>2.1882000000000001</v>
      </c>
      <c r="AM382">
        <v>0.05</v>
      </c>
      <c r="AN382">
        <v>0</v>
      </c>
      <c r="AO382">
        <v>90.406599999999997</v>
      </c>
      <c r="AP382">
        <v>93.7136</v>
      </c>
      <c r="AQ382">
        <v>92.520499999999998</v>
      </c>
      <c r="AR382">
        <v>91.245800000000003</v>
      </c>
      <c r="AS382">
        <v>86.231499999999997</v>
      </c>
      <c r="AT382">
        <v>85.400099999999995</v>
      </c>
      <c r="AU382">
        <v>79.783000000000001</v>
      </c>
      <c r="AV382">
        <v>97.780199999999994</v>
      </c>
      <c r="AW382">
        <v>179.91550000000001</v>
      </c>
      <c r="AX382">
        <f t="shared" si="97"/>
        <v>8395.828773700001</v>
      </c>
      <c r="AY382">
        <f t="shared" si="98"/>
        <v>11412.6158946</v>
      </c>
      <c r="AZ382">
        <f t="shared" si="99"/>
        <v>0</v>
      </c>
      <c r="BA382">
        <f t="shared" si="91"/>
        <v>179.91550000000001</v>
      </c>
      <c r="BB382">
        <f t="shared" si="92"/>
        <v>0</v>
      </c>
      <c r="BC382">
        <f t="shared" si="93"/>
        <v>0</v>
      </c>
      <c r="BD382">
        <f t="shared" si="94"/>
        <v>0</v>
      </c>
      <c r="BE382">
        <f t="shared" si="95"/>
        <v>0</v>
      </c>
      <c r="BF382">
        <f t="shared" si="96"/>
        <v>0</v>
      </c>
      <c r="BG382">
        <f t="shared" si="100"/>
        <v>63.200451839999999</v>
      </c>
      <c r="BH382">
        <f t="shared" si="101"/>
        <v>62.395825199999997</v>
      </c>
      <c r="BI382">
        <f t="shared" si="102"/>
        <v>61.536167519999999</v>
      </c>
      <c r="BJ382">
        <f t="shared" si="103"/>
        <v>58.154523599999997</v>
      </c>
      <c r="BK382">
        <f t="shared" si="104"/>
        <v>57.593827439999998</v>
      </c>
      <c r="BL382">
        <f t="shared" si="105"/>
        <v>53.805655200000004</v>
      </c>
    </row>
    <row r="383" spans="1:64">
      <c r="A383" t="str">
        <f t="shared" si="90"/>
        <v>30</v>
      </c>
      <c r="B383" t="s">
        <v>605</v>
      </c>
      <c r="C383" t="s">
        <v>702</v>
      </c>
      <c r="D383">
        <v>1</v>
      </c>
      <c r="E383">
        <v>1</v>
      </c>
      <c r="F383">
        <v>1</v>
      </c>
      <c r="G383">
        <v>2</v>
      </c>
      <c r="H383">
        <v>200</v>
      </c>
      <c r="I383" t="s">
        <v>607</v>
      </c>
      <c r="J383">
        <v>0.45889999999999997</v>
      </c>
      <c r="K383">
        <v>114.5491</v>
      </c>
      <c r="L383">
        <v>1.6400000000000001E-2</v>
      </c>
      <c r="M383">
        <v>0.98019999999999996</v>
      </c>
      <c r="N383">
        <v>25.655799999999999</v>
      </c>
      <c r="O383">
        <v>89.4011</v>
      </c>
      <c r="P383">
        <v>414.65050000000002</v>
      </c>
      <c r="Q383">
        <v>236.21690000000001</v>
      </c>
      <c r="R383">
        <v>0.63090000000000002</v>
      </c>
      <c r="S383">
        <v>0.66749999999999998</v>
      </c>
      <c r="T383">
        <v>0.28789999999999999</v>
      </c>
      <c r="U383">
        <v>5.1000000000000004E-3</v>
      </c>
      <c r="V383">
        <v>0.49909999999999999</v>
      </c>
      <c r="W383">
        <v>0</v>
      </c>
      <c r="X383">
        <v>10.634399999999999</v>
      </c>
      <c r="Y383">
        <v>9.5073000000000008</v>
      </c>
      <c r="Z383">
        <v>9.9991000000000003</v>
      </c>
      <c r="AA383">
        <v>37.055300000000003</v>
      </c>
      <c r="AB383">
        <v>17.880600000000001</v>
      </c>
      <c r="AC383">
        <v>47.050899999999999</v>
      </c>
      <c r="AD383">
        <v>61.004100000000001</v>
      </c>
      <c r="AE383">
        <v>0.27560000000000001</v>
      </c>
      <c r="AF383">
        <v>8408.5403999999999</v>
      </c>
      <c r="AG383">
        <v>63.530799999999999</v>
      </c>
      <c r="AH383">
        <v>0.2165</v>
      </c>
      <c r="AI383">
        <v>89.155900000000003</v>
      </c>
      <c r="AJ383">
        <v>73.2</v>
      </c>
      <c r="AK383">
        <v>81.560199999999995</v>
      </c>
      <c r="AL383">
        <v>2.0541999999999998</v>
      </c>
      <c r="AM383">
        <v>0.05</v>
      </c>
      <c r="AN383">
        <v>0</v>
      </c>
      <c r="AO383">
        <v>90.356800000000007</v>
      </c>
      <c r="AP383">
        <v>93.469899999999996</v>
      </c>
      <c r="AQ383">
        <v>92.195099999999996</v>
      </c>
      <c r="AR383">
        <v>91.006100000000004</v>
      </c>
      <c r="AS383">
        <v>86.451400000000007</v>
      </c>
      <c r="AT383">
        <v>85.658199999999994</v>
      </c>
      <c r="AU383">
        <v>80.929299999999998</v>
      </c>
      <c r="AV383">
        <v>1259.5215000000001</v>
      </c>
      <c r="AW383">
        <v>2317.5196999999998</v>
      </c>
      <c r="AX383">
        <f t="shared" si="97"/>
        <v>109041.38765272999</v>
      </c>
      <c r="AY383">
        <f t="shared" si="98"/>
        <v>147233.88055675998</v>
      </c>
      <c r="AZ383">
        <f t="shared" si="99"/>
        <v>0</v>
      </c>
      <c r="BA383">
        <f t="shared" si="91"/>
        <v>2317.5196999999998</v>
      </c>
      <c r="BB383">
        <f t="shared" si="92"/>
        <v>0</v>
      </c>
      <c r="BC383">
        <f t="shared" si="93"/>
        <v>0</v>
      </c>
      <c r="BD383">
        <f t="shared" si="94"/>
        <v>0</v>
      </c>
      <c r="BE383">
        <f t="shared" si="95"/>
        <v>0</v>
      </c>
      <c r="BF383">
        <f t="shared" si="96"/>
        <v>0</v>
      </c>
      <c r="BG383">
        <f t="shared" si="100"/>
        <v>993.99630455999988</v>
      </c>
      <c r="BH383">
        <f t="shared" si="101"/>
        <v>980.4395714399999</v>
      </c>
      <c r="BI383">
        <f t="shared" si="102"/>
        <v>967.79526983999995</v>
      </c>
      <c r="BJ383">
        <f t="shared" si="103"/>
        <v>919.35876816000007</v>
      </c>
      <c r="BK383">
        <f t="shared" si="104"/>
        <v>910.9235620799999</v>
      </c>
      <c r="BL383">
        <f t="shared" si="105"/>
        <v>860.63454791999993</v>
      </c>
    </row>
    <row r="384" spans="1:64">
      <c r="A384" t="str">
        <f t="shared" si="90"/>
        <v>30</v>
      </c>
      <c r="B384" t="s">
        <v>605</v>
      </c>
      <c r="C384" t="s">
        <v>702</v>
      </c>
      <c r="D384">
        <v>55</v>
      </c>
      <c r="E384">
        <v>1</v>
      </c>
      <c r="F384">
        <v>6</v>
      </c>
      <c r="G384">
        <v>2</v>
      </c>
      <c r="H384">
        <v>100</v>
      </c>
      <c r="I384" t="s">
        <v>617</v>
      </c>
      <c r="J384">
        <v>0.4093</v>
      </c>
      <c r="K384">
        <v>66.780299999999997</v>
      </c>
      <c r="L384">
        <v>1.52E-2</v>
      </c>
      <c r="M384">
        <v>0.83540000000000003</v>
      </c>
      <c r="N384">
        <v>24.040800000000001</v>
      </c>
      <c r="O384">
        <v>89.656099999999995</v>
      </c>
      <c r="P384">
        <v>388.5025</v>
      </c>
      <c r="Q384">
        <v>227.53229999999999</v>
      </c>
      <c r="R384">
        <v>0.7167</v>
      </c>
      <c r="S384">
        <v>0.5806</v>
      </c>
      <c r="T384">
        <v>0.29720000000000002</v>
      </c>
      <c r="U384">
        <v>2.8E-3</v>
      </c>
      <c r="V384">
        <v>0.432</v>
      </c>
      <c r="W384">
        <v>11.882199999999999</v>
      </c>
      <c r="X384">
        <v>63.482999999999997</v>
      </c>
      <c r="Y384">
        <v>56.919699999999999</v>
      </c>
      <c r="Z384">
        <v>58.051200000000001</v>
      </c>
      <c r="AA384">
        <v>236.7696</v>
      </c>
      <c r="AB384">
        <v>8.9860000000000007</v>
      </c>
      <c r="AC384">
        <v>45.494399999999999</v>
      </c>
      <c r="AD384">
        <v>58.426600000000001</v>
      </c>
      <c r="AE384">
        <v>1.9095</v>
      </c>
      <c r="AF384">
        <v>8123.1619000000001</v>
      </c>
      <c r="AG384">
        <v>63.347299999999997</v>
      </c>
      <c r="AH384">
        <v>0.82040000000000002</v>
      </c>
      <c r="AI384">
        <v>87.573499999999996</v>
      </c>
      <c r="AJ384">
        <v>73.2</v>
      </c>
      <c r="AK384">
        <v>78.313299999999998</v>
      </c>
      <c r="AL384">
        <v>2.2204999999999999</v>
      </c>
      <c r="AM384">
        <v>0.05</v>
      </c>
      <c r="AN384">
        <v>0</v>
      </c>
      <c r="AO384">
        <v>93.459900000000005</v>
      </c>
      <c r="AP384">
        <v>93.007300000000001</v>
      </c>
      <c r="AQ384">
        <v>91.932599999999994</v>
      </c>
      <c r="AR384">
        <v>90.767099999999999</v>
      </c>
      <c r="AS384">
        <v>86.349500000000006</v>
      </c>
      <c r="AT384">
        <v>85.627700000000004</v>
      </c>
      <c r="AU384">
        <v>81.528599999999997</v>
      </c>
      <c r="AV384">
        <v>6030.9598999999998</v>
      </c>
      <c r="AW384">
        <v>15510.285</v>
      </c>
      <c r="AX384">
        <f t="shared" si="97"/>
        <v>705631.10990399995</v>
      </c>
      <c r="AY384">
        <f t="shared" si="98"/>
        <v>982534.67698049999</v>
      </c>
      <c r="AZ384">
        <f t="shared" si="99"/>
        <v>184296.30842699998</v>
      </c>
      <c r="BA384">
        <f t="shared" si="91"/>
        <v>15510.285</v>
      </c>
      <c r="BB384">
        <f t="shared" si="92"/>
        <v>0</v>
      </c>
      <c r="BC384">
        <f t="shared" si="93"/>
        <v>0</v>
      </c>
      <c r="BD384">
        <f t="shared" si="94"/>
        <v>0</v>
      </c>
      <c r="BE384">
        <f t="shared" si="95"/>
        <v>0</v>
      </c>
      <c r="BF384">
        <f t="shared" si="96"/>
        <v>0</v>
      </c>
      <c r="BG384">
        <f t="shared" si="100"/>
        <v>5904.3824258999994</v>
      </c>
      <c r="BH384">
        <f t="shared" si="101"/>
        <v>5836.1572457999991</v>
      </c>
      <c r="BI384">
        <f t="shared" si="102"/>
        <v>5762.1678093</v>
      </c>
      <c r="BJ384">
        <f t="shared" si="103"/>
        <v>5481.7253085000002</v>
      </c>
      <c r="BK384">
        <f t="shared" si="104"/>
        <v>5435.9032791</v>
      </c>
      <c r="BL384">
        <f t="shared" si="105"/>
        <v>5175.6801137999992</v>
      </c>
    </row>
    <row r="385" spans="1:64">
      <c r="A385" t="str">
        <f t="shared" si="90"/>
        <v>30</v>
      </c>
      <c r="B385" t="s">
        <v>605</v>
      </c>
      <c r="C385" t="s">
        <v>702</v>
      </c>
      <c r="D385">
        <v>55</v>
      </c>
      <c r="E385">
        <v>1</v>
      </c>
      <c r="F385">
        <v>6</v>
      </c>
      <c r="G385">
        <v>2</v>
      </c>
      <c r="H385">
        <v>100</v>
      </c>
      <c r="I385" t="s">
        <v>607</v>
      </c>
      <c r="J385">
        <v>0.44490000000000002</v>
      </c>
      <c r="K385">
        <v>50.440899999999999</v>
      </c>
      <c r="L385">
        <v>1.4999999999999999E-2</v>
      </c>
      <c r="M385">
        <v>0.87080000000000002</v>
      </c>
      <c r="N385">
        <v>25.489599999999999</v>
      </c>
      <c r="O385">
        <v>89.710999999999999</v>
      </c>
      <c r="P385">
        <v>371.17079999999999</v>
      </c>
      <c r="Q385">
        <v>224.96469999999999</v>
      </c>
      <c r="R385">
        <v>0.72840000000000005</v>
      </c>
      <c r="S385">
        <v>0.59050000000000002</v>
      </c>
      <c r="T385">
        <v>0.35720000000000002</v>
      </c>
      <c r="U385">
        <v>1.8E-3</v>
      </c>
      <c r="V385">
        <v>0.46920000000000001</v>
      </c>
      <c r="W385">
        <v>11.976800000000001</v>
      </c>
      <c r="X385">
        <v>45.06</v>
      </c>
      <c r="Y385">
        <v>40.4236</v>
      </c>
      <c r="Z385">
        <v>40.185899999999997</v>
      </c>
      <c r="AA385">
        <v>158.607</v>
      </c>
      <c r="AB385">
        <v>7.4032</v>
      </c>
      <c r="AC385">
        <v>44.543799999999997</v>
      </c>
      <c r="AD385">
        <v>58.630499999999998</v>
      </c>
      <c r="AE385">
        <v>1.2335</v>
      </c>
      <c r="AF385">
        <v>8015.6737999999996</v>
      </c>
      <c r="AG385">
        <v>63.991999999999997</v>
      </c>
      <c r="AH385">
        <v>0.30919999999999997</v>
      </c>
      <c r="AI385">
        <v>86.556299999999993</v>
      </c>
      <c r="AJ385">
        <v>72.789699999999996</v>
      </c>
      <c r="AK385">
        <v>76.237799999999993</v>
      </c>
      <c r="AL385">
        <v>2.2578999999999998</v>
      </c>
      <c r="AM385">
        <v>0.05</v>
      </c>
      <c r="AN385">
        <v>0</v>
      </c>
      <c r="AO385">
        <v>94.045599999999993</v>
      </c>
      <c r="AP385">
        <v>92.528700000000001</v>
      </c>
      <c r="AQ385">
        <v>91.493499999999997</v>
      </c>
      <c r="AR385">
        <v>90.180599999999998</v>
      </c>
      <c r="AS385">
        <v>86.344999999999999</v>
      </c>
      <c r="AT385">
        <v>85.714500000000001</v>
      </c>
      <c r="AU385">
        <v>82.207999999999998</v>
      </c>
      <c r="AV385">
        <v>3879.7824999999998</v>
      </c>
      <c r="AW385">
        <v>9886.9166999999998</v>
      </c>
      <c r="AX385">
        <f t="shared" si="97"/>
        <v>440400.84010145994</v>
      </c>
      <c r="AY385">
        <f t="shared" si="98"/>
        <v>632683.57346639992</v>
      </c>
      <c r="AZ385">
        <f t="shared" si="99"/>
        <v>118413.62393256</v>
      </c>
      <c r="BA385">
        <f t="shared" si="91"/>
        <v>9886.9166999999998</v>
      </c>
      <c r="BB385">
        <f t="shared" si="92"/>
        <v>0</v>
      </c>
      <c r="BC385">
        <f t="shared" si="93"/>
        <v>0</v>
      </c>
      <c r="BD385">
        <f t="shared" si="94"/>
        <v>0</v>
      </c>
      <c r="BE385">
        <f t="shared" si="95"/>
        <v>0</v>
      </c>
      <c r="BF385">
        <f t="shared" si="96"/>
        <v>0</v>
      </c>
      <c r="BG385">
        <f t="shared" si="100"/>
        <v>4169.3432220000004</v>
      </c>
      <c r="BH385">
        <f t="shared" si="101"/>
        <v>4122.6971100000001</v>
      </c>
      <c r="BI385">
        <f t="shared" si="102"/>
        <v>4063.537836</v>
      </c>
      <c r="BJ385">
        <f t="shared" si="103"/>
        <v>3890.7057</v>
      </c>
      <c r="BK385">
        <f t="shared" si="104"/>
        <v>3862.2953700000003</v>
      </c>
      <c r="BL385">
        <f t="shared" si="105"/>
        <v>3704.2924800000001</v>
      </c>
    </row>
    <row r="386" spans="1:64">
      <c r="A386" t="str">
        <f t="shared" si="90"/>
        <v>31</v>
      </c>
      <c r="B386" t="s">
        <v>605</v>
      </c>
      <c r="C386" t="s">
        <v>703</v>
      </c>
      <c r="D386">
        <v>1</v>
      </c>
      <c r="E386">
        <v>1</v>
      </c>
      <c r="F386">
        <v>1</v>
      </c>
      <c r="G386">
        <v>2</v>
      </c>
      <c r="H386">
        <v>100</v>
      </c>
      <c r="I386" t="s">
        <v>617</v>
      </c>
      <c r="J386">
        <v>0.40539999999999998</v>
      </c>
      <c r="K386">
        <v>79.257999999999996</v>
      </c>
      <c r="L386">
        <v>1.5100000000000001E-2</v>
      </c>
      <c r="M386">
        <v>0.85460000000000003</v>
      </c>
      <c r="N386">
        <v>23.2944</v>
      </c>
      <c r="O386">
        <v>89.390600000000006</v>
      </c>
      <c r="P386">
        <v>395.12180000000001</v>
      </c>
      <c r="Q386">
        <v>233.15819999999999</v>
      </c>
      <c r="R386">
        <v>0.71130000000000004</v>
      </c>
      <c r="S386">
        <v>0.5504</v>
      </c>
      <c r="T386">
        <v>0.2727</v>
      </c>
      <c r="U386">
        <v>2.5999999999999999E-3</v>
      </c>
      <c r="V386">
        <v>0.4325</v>
      </c>
      <c r="W386">
        <v>0</v>
      </c>
      <c r="X386">
        <v>38.191699999999997</v>
      </c>
      <c r="Y386">
        <v>34.139600000000002</v>
      </c>
      <c r="Z386">
        <v>35.209099999999999</v>
      </c>
      <c r="AA386">
        <v>146.5624</v>
      </c>
      <c r="AB386">
        <v>15.244199999999999</v>
      </c>
      <c r="AC386">
        <v>45.8262</v>
      </c>
      <c r="AD386">
        <v>58.952300000000001</v>
      </c>
      <c r="AE386">
        <v>1.1358999999999999</v>
      </c>
      <c r="AF386">
        <v>8294.1206999999995</v>
      </c>
      <c r="AG386">
        <v>63.367600000000003</v>
      </c>
      <c r="AH386">
        <v>0.59470000000000001</v>
      </c>
      <c r="AI386">
        <v>88.221699999999998</v>
      </c>
      <c r="AJ386">
        <v>73.2</v>
      </c>
      <c r="AK386">
        <v>79.627399999999994</v>
      </c>
      <c r="AL386">
        <v>2.0800999999999998</v>
      </c>
      <c r="AM386">
        <v>0.05</v>
      </c>
      <c r="AN386">
        <v>0</v>
      </c>
      <c r="AO386">
        <v>90.595799999999997</v>
      </c>
      <c r="AP386">
        <v>93.277299999999997</v>
      </c>
      <c r="AQ386">
        <v>92.240399999999994</v>
      </c>
      <c r="AR386">
        <v>90.946700000000007</v>
      </c>
      <c r="AS386">
        <v>86.010900000000007</v>
      </c>
      <c r="AT386">
        <v>85.228800000000007</v>
      </c>
      <c r="AU386">
        <v>80.869399999999999</v>
      </c>
      <c r="AV386">
        <v>5120.2115999999996</v>
      </c>
      <c r="AW386">
        <v>9421.1895000000004</v>
      </c>
      <c r="AX386">
        <f t="shared" si="97"/>
        <v>431737.31426489999</v>
      </c>
      <c r="AY386">
        <f t="shared" si="98"/>
        <v>596998.1677602001</v>
      </c>
      <c r="AZ386">
        <f t="shared" si="99"/>
        <v>0</v>
      </c>
      <c r="BA386">
        <f t="shared" si="91"/>
        <v>9421.1895000000004</v>
      </c>
      <c r="BB386">
        <f t="shared" si="92"/>
        <v>0</v>
      </c>
      <c r="BC386">
        <f t="shared" si="93"/>
        <v>0</v>
      </c>
      <c r="BD386">
        <f t="shared" si="94"/>
        <v>0</v>
      </c>
      <c r="BE386">
        <f t="shared" si="95"/>
        <v>0</v>
      </c>
      <c r="BF386">
        <f t="shared" si="96"/>
        <v>0</v>
      </c>
      <c r="BG386">
        <f t="shared" si="100"/>
        <v>3562.4186584099998</v>
      </c>
      <c r="BH386">
        <f t="shared" si="101"/>
        <v>3522.8176846799997</v>
      </c>
      <c r="BI386">
        <f t="shared" si="102"/>
        <v>3473.4090823900001</v>
      </c>
      <c r="BJ386">
        <f t="shared" si="103"/>
        <v>3284.9024895299999</v>
      </c>
      <c r="BK386">
        <f t="shared" si="104"/>
        <v>3255.0327609599999</v>
      </c>
      <c r="BL386">
        <f t="shared" si="105"/>
        <v>3088.5398639799996</v>
      </c>
    </row>
    <row r="387" spans="1:64">
      <c r="A387" t="str">
        <f t="shared" ref="A387:A450" si="106">+MID(C387,22,2)</f>
        <v>31</v>
      </c>
      <c r="B387" t="s">
        <v>605</v>
      </c>
      <c r="C387" t="s">
        <v>703</v>
      </c>
      <c r="D387">
        <v>1</v>
      </c>
      <c r="E387">
        <v>1</v>
      </c>
      <c r="F387">
        <v>1</v>
      </c>
      <c r="G387">
        <v>2</v>
      </c>
      <c r="H387">
        <v>100</v>
      </c>
      <c r="I387" t="s">
        <v>607</v>
      </c>
      <c r="J387">
        <v>0.43280000000000002</v>
      </c>
      <c r="K387">
        <v>78.925200000000004</v>
      </c>
      <c r="L387">
        <v>1.5100000000000001E-2</v>
      </c>
      <c r="M387">
        <v>0.85499999999999998</v>
      </c>
      <c r="N387">
        <v>24.879000000000001</v>
      </c>
      <c r="O387">
        <v>89.519099999999995</v>
      </c>
      <c r="P387">
        <v>412.91559999999998</v>
      </c>
      <c r="Q387">
        <v>232.9196</v>
      </c>
      <c r="R387">
        <v>0.67830000000000001</v>
      </c>
      <c r="S387">
        <v>0.64029999999999998</v>
      </c>
      <c r="T387">
        <v>0.29260000000000003</v>
      </c>
      <c r="U387">
        <v>3.5999999999999999E-3</v>
      </c>
      <c r="V387">
        <v>0.45979999999999999</v>
      </c>
      <c r="W387">
        <v>0</v>
      </c>
      <c r="X387">
        <v>1.4200999999999999</v>
      </c>
      <c r="Y387">
        <v>1.2713000000000001</v>
      </c>
      <c r="Z387">
        <v>1.3052999999999999</v>
      </c>
      <c r="AA387">
        <v>5.1098999999999997</v>
      </c>
      <c r="AB387">
        <v>10.5899</v>
      </c>
      <c r="AC387">
        <v>46.341799999999999</v>
      </c>
      <c r="AD387">
        <v>59.475000000000001</v>
      </c>
      <c r="AE387">
        <v>3.9300000000000002E-2</v>
      </c>
      <c r="AF387">
        <v>8352.4143999999997</v>
      </c>
      <c r="AG387">
        <v>63.051699999999997</v>
      </c>
      <c r="AH387">
        <v>2.06E-2</v>
      </c>
      <c r="AI387">
        <v>88.215299999999999</v>
      </c>
      <c r="AJ387">
        <v>73.2</v>
      </c>
      <c r="AK387">
        <v>79.613900000000001</v>
      </c>
      <c r="AL387">
        <v>2.1196999999999999</v>
      </c>
      <c r="AM387">
        <v>0.05</v>
      </c>
      <c r="AN387">
        <v>0</v>
      </c>
      <c r="AO387">
        <v>90.299599999999998</v>
      </c>
      <c r="AP387">
        <v>93.380899999999997</v>
      </c>
      <c r="AQ387">
        <v>92.191999999999993</v>
      </c>
      <c r="AR387">
        <v>91.065899999999999</v>
      </c>
      <c r="AS387">
        <v>86.404399999999995</v>
      </c>
      <c r="AT387">
        <v>85.597099999999998</v>
      </c>
      <c r="AU387">
        <v>81.183099999999996</v>
      </c>
      <c r="AV387">
        <v>178.31659999999999</v>
      </c>
      <c r="AW387">
        <v>328.10250000000002</v>
      </c>
      <c r="AX387">
        <f t="shared" si="97"/>
        <v>15204.8604345</v>
      </c>
      <c r="AY387">
        <f t="shared" si="98"/>
        <v>20687.420399250001</v>
      </c>
      <c r="AZ387">
        <f t="shared" si="99"/>
        <v>0</v>
      </c>
      <c r="BA387">
        <f t="shared" ref="BA387:BA450" si="107">+IF($E387=1,$AW387,0)</f>
        <v>328.10250000000002</v>
      </c>
      <c r="BB387">
        <f t="shared" ref="BB387:BB450" si="108">+IF($E387=2,$AW387,0)</f>
        <v>0</v>
      </c>
      <c r="BC387">
        <f t="shared" ref="BC387:BC450" si="109">+IF($E387=3,$AW387,IF($E387=4,$AW387,0))</f>
        <v>0</v>
      </c>
      <c r="BD387">
        <f t="shared" ref="BD387:BD450" si="110">+IF($E387=7,$AW387,0)</f>
        <v>0</v>
      </c>
      <c r="BE387">
        <f t="shared" ref="BE387:BE450" si="111">+IF($E387=5,$AW387,0)</f>
        <v>0</v>
      </c>
      <c r="BF387">
        <f t="shared" ref="BF387:BF450" si="112">+IF($E387=8,$AW387,0)</f>
        <v>0</v>
      </c>
      <c r="BG387">
        <f t="shared" si="100"/>
        <v>132.61021608999999</v>
      </c>
      <c r="BH387">
        <f t="shared" si="101"/>
        <v>130.92185919999997</v>
      </c>
      <c r="BI387">
        <f t="shared" si="102"/>
        <v>129.32268458999999</v>
      </c>
      <c r="BJ387">
        <f t="shared" si="103"/>
        <v>122.70288843999998</v>
      </c>
      <c r="BK387">
        <f t="shared" si="104"/>
        <v>121.55644170999999</v>
      </c>
      <c r="BL387">
        <f t="shared" si="105"/>
        <v>115.28812030999998</v>
      </c>
    </row>
    <row r="388" spans="1:64">
      <c r="A388" t="str">
        <f t="shared" si="106"/>
        <v>31</v>
      </c>
      <c r="B388" t="s">
        <v>605</v>
      </c>
      <c r="C388" t="s">
        <v>703</v>
      </c>
      <c r="D388">
        <v>1</v>
      </c>
      <c r="E388">
        <v>1</v>
      </c>
      <c r="F388">
        <v>1</v>
      </c>
      <c r="G388">
        <v>2</v>
      </c>
      <c r="H388">
        <v>200</v>
      </c>
      <c r="I388" t="s">
        <v>617</v>
      </c>
      <c r="J388">
        <v>0.37480000000000002</v>
      </c>
      <c r="K388">
        <v>87.971900000000005</v>
      </c>
      <c r="L388">
        <v>1.6400000000000001E-2</v>
      </c>
      <c r="M388">
        <v>0.98019999999999996</v>
      </c>
      <c r="N388">
        <v>23.601800000000001</v>
      </c>
      <c r="O388">
        <v>89.254400000000004</v>
      </c>
      <c r="P388">
        <v>417.23379999999997</v>
      </c>
      <c r="Q388">
        <v>236.42240000000001</v>
      </c>
      <c r="R388">
        <v>0.63539999999999996</v>
      </c>
      <c r="S388">
        <v>0.54549999999999998</v>
      </c>
      <c r="T388">
        <v>0.24199999999999999</v>
      </c>
      <c r="U388">
        <v>4.5999999999999999E-3</v>
      </c>
      <c r="V388">
        <v>0.4052</v>
      </c>
      <c r="W388">
        <v>0</v>
      </c>
      <c r="X388">
        <v>1.2885</v>
      </c>
      <c r="Y388">
        <v>1.1500999999999999</v>
      </c>
      <c r="Z388">
        <v>1.2020999999999999</v>
      </c>
      <c r="AA388">
        <v>4.8727999999999998</v>
      </c>
      <c r="AB388">
        <v>17.0566</v>
      </c>
      <c r="AC388">
        <v>46.665399999999998</v>
      </c>
      <c r="AD388">
        <v>60.781500000000001</v>
      </c>
      <c r="AE388">
        <v>4.1099999999999998E-2</v>
      </c>
      <c r="AF388">
        <v>8373.8281999999999</v>
      </c>
      <c r="AG388">
        <v>63.433199999999999</v>
      </c>
      <c r="AH388">
        <v>2.4199999999999999E-2</v>
      </c>
      <c r="AI388">
        <v>88.49</v>
      </c>
      <c r="AJ388">
        <v>73.2</v>
      </c>
      <c r="AK388">
        <v>80.179900000000004</v>
      </c>
      <c r="AL388">
        <v>2.1882000000000001</v>
      </c>
      <c r="AM388">
        <v>0.05</v>
      </c>
      <c r="AN388">
        <v>0</v>
      </c>
      <c r="AO388">
        <v>90.406599999999997</v>
      </c>
      <c r="AP388">
        <v>93.7136</v>
      </c>
      <c r="AQ388">
        <v>92.520499999999998</v>
      </c>
      <c r="AR388">
        <v>91.245800000000003</v>
      </c>
      <c r="AS388">
        <v>86.231499999999997</v>
      </c>
      <c r="AT388">
        <v>85.400099999999995</v>
      </c>
      <c r="AU388">
        <v>79.783000000000001</v>
      </c>
      <c r="AV388">
        <v>186.8304</v>
      </c>
      <c r="AW388">
        <v>343.76799999999997</v>
      </c>
      <c r="AX388">
        <f t="shared" si="97"/>
        <v>16042.071227199998</v>
      </c>
      <c r="AY388">
        <f t="shared" si="98"/>
        <v>21806.3042976</v>
      </c>
      <c r="AZ388">
        <f t="shared" si="99"/>
        <v>0</v>
      </c>
      <c r="BA388">
        <f t="shared" si="107"/>
        <v>343.76799999999997</v>
      </c>
      <c r="BB388">
        <f t="shared" si="108"/>
        <v>0</v>
      </c>
      <c r="BC388">
        <f t="shared" si="109"/>
        <v>0</v>
      </c>
      <c r="BD388">
        <f t="shared" si="110"/>
        <v>0</v>
      </c>
      <c r="BE388">
        <f t="shared" si="111"/>
        <v>0</v>
      </c>
      <c r="BF388">
        <f t="shared" si="112"/>
        <v>0</v>
      </c>
      <c r="BG388">
        <f t="shared" si="100"/>
        <v>120.7499736</v>
      </c>
      <c r="BH388">
        <f t="shared" si="101"/>
        <v>119.21266424999999</v>
      </c>
      <c r="BI388">
        <f t="shared" si="102"/>
        <v>117.57021330000001</v>
      </c>
      <c r="BJ388">
        <f t="shared" si="103"/>
        <v>111.10928774999999</v>
      </c>
      <c r="BK388">
        <f t="shared" si="104"/>
        <v>110.03802884999999</v>
      </c>
      <c r="BL388">
        <f t="shared" si="105"/>
        <v>102.80039549999999</v>
      </c>
    </row>
    <row r="389" spans="1:64">
      <c r="A389" t="str">
        <f t="shared" si="106"/>
        <v>31</v>
      </c>
      <c r="B389" t="s">
        <v>605</v>
      </c>
      <c r="C389" t="s">
        <v>703</v>
      </c>
      <c r="D389">
        <v>55</v>
      </c>
      <c r="E389">
        <v>1</v>
      </c>
      <c r="F389">
        <v>6</v>
      </c>
      <c r="G389">
        <v>2</v>
      </c>
      <c r="H389">
        <v>100</v>
      </c>
      <c r="I389" t="s">
        <v>617</v>
      </c>
      <c r="J389">
        <v>0.39240000000000003</v>
      </c>
      <c r="K389">
        <v>75.123599999999996</v>
      </c>
      <c r="L389">
        <v>1.4999999999999999E-2</v>
      </c>
      <c r="M389">
        <v>0.85450000000000004</v>
      </c>
      <c r="N389">
        <v>23.550599999999999</v>
      </c>
      <c r="O389">
        <v>89.668499999999995</v>
      </c>
      <c r="P389">
        <v>369.79300000000001</v>
      </c>
      <c r="Q389">
        <v>227.27520000000001</v>
      </c>
      <c r="R389">
        <v>0.71899999999999997</v>
      </c>
      <c r="S389">
        <v>0.55230000000000001</v>
      </c>
      <c r="T389">
        <v>0.28560000000000002</v>
      </c>
      <c r="U389">
        <v>1.6999999999999999E-3</v>
      </c>
      <c r="V389">
        <v>0.41810000000000003</v>
      </c>
      <c r="W389">
        <v>12.012600000000001</v>
      </c>
      <c r="X389">
        <v>60.764299999999999</v>
      </c>
      <c r="Y389">
        <v>54.487900000000003</v>
      </c>
      <c r="Z389">
        <v>56.1004</v>
      </c>
      <c r="AA389">
        <v>231.28829999999999</v>
      </c>
      <c r="AB389">
        <v>11.7308</v>
      </c>
      <c r="AC389">
        <v>44.984499999999997</v>
      </c>
      <c r="AD389">
        <v>58.1524</v>
      </c>
      <c r="AE389">
        <v>1.9177999999999999</v>
      </c>
      <c r="AF389">
        <v>8072.4112999999998</v>
      </c>
      <c r="AG389">
        <v>63.409799999999997</v>
      </c>
      <c r="AH389">
        <v>0.9244</v>
      </c>
      <c r="AI389">
        <v>87.961299999999994</v>
      </c>
      <c r="AJ389">
        <v>73.084699999999998</v>
      </c>
      <c r="AK389">
        <v>79.101600000000005</v>
      </c>
      <c r="AL389">
        <v>2.2406000000000001</v>
      </c>
      <c r="AM389">
        <v>0.05</v>
      </c>
      <c r="AN389">
        <v>0</v>
      </c>
      <c r="AO389">
        <v>93.629900000000006</v>
      </c>
      <c r="AP389">
        <v>93.183899999999994</v>
      </c>
      <c r="AQ389">
        <v>92.188000000000002</v>
      </c>
      <c r="AR389">
        <v>90.814999999999998</v>
      </c>
      <c r="AS389">
        <v>86.287300000000002</v>
      </c>
      <c r="AT389">
        <v>85.571700000000007</v>
      </c>
      <c r="AU389">
        <v>81.557900000000004</v>
      </c>
      <c r="AV389">
        <v>6013.1894000000002</v>
      </c>
      <c r="AW389">
        <v>15480.724399999999</v>
      </c>
      <c r="AX389">
        <f t="shared" si="97"/>
        <v>696392.64677179989</v>
      </c>
      <c r="AY389">
        <f t="shared" si="98"/>
        <v>981629.63805911993</v>
      </c>
      <c r="AZ389">
        <f t="shared" si="99"/>
        <v>185963.74992743999</v>
      </c>
      <c r="BA389">
        <f t="shared" si="107"/>
        <v>15480.724399999999</v>
      </c>
      <c r="BB389">
        <f t="shared" si="108"/>
        <v>0</v>
      </c>
      <c r="BC389">
        <f t="shared" si="109"/>
        <v>0</v>
      </c>
      <c r="BD389">
        <f t="shared" si="110"/>
        <v>0</v>
      </c>
      <c r="BE389">
        <f t="shared" si="111"/>
        <v>0</v>
      </c>
      <c r="BF389">
        <f t="shared" si="112"/>
        <v>0</v>
      </c>
      <c r="BG389">
        <f t="shared" si="100"/>
        <v>5662.2544547699999</v>
      </c>
      <c r="BH389">
        <f t="shared" si="101"/>
        <v>5601.7392884000001</v>
      </c>
      <c r="BI389">
        <f t="shared" si="102"/>
        <v>5518.3099044999999</v>
      </c>
      <c r="BJ389">
        <f t="shared" si="103"/>
        <v>5243.1873833899999</v>
      </c>
      <c r="BK389">
        <f t="shared" si="104"/>
        <v>5199.7044503100005</v>
      </c>
      <c r="BL389">
        <f t="shared" si="105"/>
        <v>4955.80870297</v>
      </c>
    </row>
    <row r="390" spans="1:64">
      <c r="A390" t="str">
        <f t="shared" si="106"/>
        <v>31</v>
      </c>
      <c r="B390" t="s">
        <v>605</v>
      </c>
      <c r="C390" t="s">
        <v>703</v>
      </c>
      <c r="D390">
        <v>55</v>
      </c>
      <c r="E390">
        <v>1</v>
      </c>
      <c r="F390">
        <v>6</v>
      </c>
      <c r="G390">
        <v>2</v>
      </c>
      <c r="H390">
        <v>100</v>
      </c>
      <c r="I390" t="s">
        <v>607</v>
      </c>
      <c r="J390">
        <v>0.44019999999999998</v>
      </c>
      <c r="K390">
        <v>46.360399999999998</v>
      </c>
      <c r="L390">
        <v>1.5100000000000001E-2</v>
      </c>
      <c r="M390">
        <v>0.86080000000000001</v>
      </c>
      <c r="N390">
        <v>25.452999999999999</v>
      </c>
      <c r="O390">
        <v>89.731099999999998</v>
      </c>
      <c r="P390">
        <v>359.59550000000002</v>
      </c>
      <c r="Q390">
        <v>225.45230000000001</v>
      </c>
      <c r="R390">
        <v>0.73050000000000004</v>
      </c>
      <c r="S390">
        <v>0.57320000000000004</v>
      </c>
      <c r="T390">
        <v>0.3594</v>
      </c>
      <c r="U390">
        <v>1.1999999999999999E-3</v>
      </c>
      <c r="V390">
        <v>0.4602</v>
      </c>
      <c r="W390">
        <v>12.000299999999999</v>
      </c>
      <c r="X390">
        <v>22.576499999999999</v>
      </c>
      <c r="Y390">
        <v>20.258199999999999</v>
      </c>
      <c r="Z390">
        <v>20.134799999999998</v>
      </c>
      <c r="AA390">
        <v>79.590599999999995</v>
      </c>
      <c r="AB390">
        <v>9.2728999999999999</v>
      </c>
      <c r="AC390">
        <v>44.562600000000003</v>
      </c>
      <c r="AD390">
        <v>57.802100000000003</v>
      </c>
      <c r="AE390">
        <v>0.62919999999999998</v>
      </c>
      <c r="AF390">
        <v>8024.4396999999999</v>
      </c>
      <c r="AG390">
        <v>63.703800000000001</v>
      </c>
      <c r="AH390">
        <v>0.15379999999999999</v>
      </c>
      <c r="AI390">
        <v>86.496200000000002</v>
      </c>
      <c r="AJ390">
        <v>71.952799999999996</v>
      </c>
      <c r="AK390">
        <v>76.116600000000005</v>
      </c>
      <c r="AL390">
        <v>2.3109000000000002</v>
      </c>
      <c r="AM390">
        <v>0.05</v>
      </c>
      <c r="AN390">
        <v>0</v>
      </c>
      <c r="AO390">
        <v>93.895499999999998</v>
      </c>
      <c r="AP390">
        <v>92.9773</v>
      </c>
      <c r="AQ390">
        <v>91.9726</v>
      </c>
      <c r="AR390">
        <v>90.584800000000001</v>
      </c>
      <c r="AS390">
        <v>86.370599999999996</v>
      </c>
      <c r="AT390">
        <v>85.685100000000006</v>
      </c>
      <c r="AU390">
        <v>81.847899999999996</v>
      </c>
      <c r="AV390">
        <v>1964.6146000000001</v>
      </c>
      <c r="AW390">
        <v>5049.0709999999999</v>
      </c>
      <c r="AX390">
        <f t="shared" si="97"/>
        <v>224999.7313446</v>
      </c>
      <c r="AY390">
        <f t="shared" si="98"/>
        <v>321645.00916979997</v>
      </c>
      <c r="AZ390">
        <f t="shared" si="99"/>
        <v>60590.366721299994</v>
      </c>
      <c r="BA390">
        <f t="shared" si="107"/>
        <v>5049.0709999999999</v>
      </c>
      <c r="BB390">
        <f t="shared" si="108"/>
        <v>0</v>
      </c>
      <c r="BC390">
        <f t="shared" si="109"/>
        <v>0</v>
      </c>
      <c r="BD390">
        <f t="shared" si="110"/>
        <v>0</v>
      </c>
      <c r="BE390">
        <f t="shared" si="111"/>
        <v>0</v>
      </c>
      <c r="BF390">
        <f t="shared" si="112"/>
        <v>0</v>
      </c>
      <c r="BG390">
        <f t="shared" si="100"/>
        <v>2099.10201345</v>
      </c>
      <c r="BH390">
        <f t="shared" si="101"/>
        <v>2076.4194038999999</v>
      </c>
      <c r="BI390">
        <f t="shared" si="102"/>
        <v>2045.0877372</v>
      </c>
      <c r="BJ390">
        <f t="shared" si="103"/>
        <v>1949.9458508999999</v>
      </c>
      <c r="BK390">
        <f t="shared" si="104"/>
        <v>1934.46966015</v>
      </c>
      <c r="BL390">
        <f t="shared" si="105"/>
        <v>1847.8391143499998</v>
      </c>
    </row>
    <row r="391" spans="1:64">
      <c r="A391" t="str">
        <f t="shared" si="106"/>
        <v>22</v>
      </c>
      <c r="B391" t="s">
        <v>605</v>
      </c>
      <c r="C391" t="s">
        <v>704</v>
      </c>
      <c r="D391">
        <v>55</v>
      </c>
      <c r="E391">
        <v>1</v>
      </c>
      <c r="F391">
        <v>6</v>
      </c>
      <c r="G391">
        <v>2</v>
      </c>
      <c r="H391">
        <v>100</v>
      </c>
      <c r="I391" t="s">
        <v>607</v>
      </c>
      <c r="J391">
        <v>0.57010000000000005</v>
      </c>
      <c r="K391">
        <v>71.372500000000002</v>
      </c>
      <c r="L391">
        <v>2.18E-2</v>
      </c>
      <c r="M391">
        <v>0.76470000000000005</v>
      </c>
      <c r="N391">
        <v>35.955199999999998</v>
      </c>
      <c r="O391">
        <v>81.270899999999997</v>
      </c>
      <c r="P391">
        <v>1107.47</v>
      </c>
      <c r="Q391">
        <v>255.01599999999999</v>
      </c>
      <c r="R391">
        <v>0.37519999999999998</v>
      </c>
      <c r="S391">
        <v>0.46870000000000001</v>
      </c>
      <c r="T391">
        <v>0.52290000000000003</v>
      </c>
      <c r="U391">
        <v>1E-3</v>
      </c>
      <c r="V391">
        <v>0.61939999999999995</v>
      </c>
      <c r="W391">
        <v>11.558400000000001</v>
      </c>
      <c r="X391">
        <v>42.346299999999999</v>
      </c>
      <c r="Y391">
        <v>36.674300000000002</v>
      </c>
      <c r="Z391">
        <v>37.109299999999998</v>
      </c>
      <c r="AA391">
        <v>101.8677</v>
      </c>
      <c r="AB391">
        <v>29.229800000000001</v>
      </c>
      <c r="AC391">
        <v>51.800400000000003</v>
      </c>
      <c r="AD391">
        <v>55.575400000000002</v>
      </c>
      <c r="AE391">
        <v>0.77159999999999995</v>
      </c>
      <c r="AF391">
        <v>9281.7934000000005</v>
      </c>
      <c r="AG391">
        <v>43.497799999999998</v>
      </c>
      <c r="AH391">
        <v>0.45140000000000002</v>
      </c>
      <c r="AI391">
        <v>88.206400000000002</v>
      </c>
      <c r="AJ391">
        <v>73.2</v>
      </c>
      <c r="AK391">
        <v>79.596599999999995</v>
      </c>
      <c r="AL391">
        <v>1.522</v>
      </c>
      <c r="AM391">
        <v>0.05</v>
      </c>
      <c r="AN391">
        <v>1.4800000000000001E-2</v>
      </c>
      <c r="AO391">
        <v>82.0077</v>
      </c>
      <c r="AP391">
        <v>93.298100000000005</v>
      </c>
      <c r="AQ391">
        <v>92.042599999999993</v>
      </c>
      <c r="AR391">
        <v>90.627200000000002</v>
      </c>
      <c r="AS391">
        <v>85.641999999999996</v>
      </c>
      <c r="AT391">
        <v>84.683800000000005</v>
      </c>
      <c r="AU391">
        <v>81.078100000000006</v>
      </c>
      <c r="AV391">
        <v>2798.8881000000001</v>
      </c>
      <c r="AW391">
        <v>7162.0207</v>
      </c>
      <c r="AX391">
        <f t="shared" si="97"/>
        <v>370995.53706828004</v>
      </c>
      <c r="AY391">
        <f t="shared" si="98"/>
        <v>311532.14400445996</v>
      </c>
      <c r="AZ391">
        <f t="shared" si="99"/>
        <v>82781.500058880003</v>
      </c>
      <c r="BA391">
        <f t="shared" si="107"/>
        <v>7162.0207</v>
      </c>
      <c r="BB391">
        <f t="shared" si="108"/>
        <v>0</v>
      </c>
      <c r="BC391">
        <f t="shared" si="109"/>
        <v>0</v>
      </c>
      <c r="BD391">
        <f t="shared" si="110"/>
        <v>0</v>
      </c>
      <c r="BE391">
        <f t="shared" si="111"/>
        <v>0</v>
      </c>
      <c r="BF391">
        <f t="shared" si="112"/>
        <v>0</v>
      </c>
      <c r="BG391">
        <f t="shared" si="100"/>
        <v>3950.8293320300004</v>
      </c>
      <c r="BH391">
        <f t="shared" si="101"/>
        <v>3897.6635523799996</v>
      </c>
      <c r="BI391">
        <f t="shared" si="102"/>
        <v>3837.7265993599999</v>
      </c>
      <c r="BJ391">
        <f t="shared" si="103"/>
        <v>3626.6218245999999</v>
      </c>
      <c r="BK391">
        <f t="shared" si="104"/>
        <v>3586.0455999400001</v>
      </c>
      <c r="BL391">
        <f t="shared" si="105"/>
        <v>3433.3575460300003</v>
      </c>
    </row>
    <row r="392" spans="1:64">
      <c r="A392" t="str">
        <f t="shared" si="106"/>
        <v>22</v>
      </c>
      <c r="B392" t="s">
        <v>605</v>
      </c>
      <c r="C392" t="s">
        <v>704</v>
      </c>
      <c r="D392">
        <v>55</v>
      </c>
      <c r="E392">
        <v>1</v>
      </c>
      <c r="F392">
        <v>6</v>
      </c>
      <c r="G392">
        <v>2</v>
      </c>
      <c r="H392">
        <v>200</v>
      </c>
      <c r="I392" t="s">
        <v>607</v>
      </c>
      <c r="J392">
        <v>0.45729999999999998</v>
      </c>
      <c r="K392">
        <v>79.990399999999994</v>
      </c>
      <c r="L392">
        <v>2.7799999999999998E-2</v>
      </c>
      <c r="M392">
        <v>0.78759999999999997</v>
      </c>
      <c r="N392">
        <v>31.541499999999999</v>
      </c>
      <c r="O392">
        <v>79.282300000000006</v>
      </c>
      <c r="P392">
        <v>648.99329999999998</v>
      </c>
      <c r="Q392">
        <v>256.33940000000001</v>
      </c>
      <c r="R392">
        <v>0.4123</v>
      </c>
      <c r="S392">
        <v>0.6492</v>
      </c>
      <c r="T392">
        <v>0.3639</v>
      </c>
      <c r="U392">
        <v>2.3E-3</v>
      </c>
      <c r="V392">
        <v>0.59189999999999998</v>
      </c>
      <c r="W392">
        <v>11.44</v>
      </c>
      <c r="X392">
        <v>124.5187</v>
      </c>
      <c r="Y392">
        <v>108.783</v>
      </c>
      <c r="Z392">
        <v>111.074</v>
      </c>
      <c r="AA392">
        <v>346.24259999999998</v>
      </c>
      <c r="AB392">
        <v>40.7119</v>
      </c>
      <c r="AC392">
        <v>52.760800000000003</v>
      </c>
      <c r="AD392">
        <v>52.921599999999998</v>
      </c>
      <c r="AE392">
        <v>2.3752</v>
      </c>
      <c r="AF392">
        <v>9359.5686999999998</v>
      </c>
      <c r="AG392">
        <v>43.9758</v>
      </c>
      <c r="AH392">
        <v>1.6016999999999999</v>
      </c>
      <c r="AI392">
        <v>88.533299999999997</v>
      </c>
      <c r="AJ392">
        <v>73.2</v>
      </c>
      <c r="AK392">
        <v>80.2697</v>
      </c>
      <c r="AL392">
        <v>1.581</v>
      </c>
      <c r="AM392">
        <v>0.05</v>
      </c>
      <c r="AN392">
        <v>1.9E-2</v>
      </c>
      <c r="AO392">
        <v>82.052800000000005</v>
      </c>
      <c r="AP392">
        <v>92.938999999999993</v>
      </c>
      <c r="AQ392">
        <v>91.674199999999999</v>
      </c>
      <c r="AR392">
        <v>90.081800000000001</v>
      </c>
      <c r="AS392">
        <v>85.478499999999997</v>
      </c>
      <c r="AT392">
        <v>84.632000000000005</v>
      </c>
      <c r="AU392">
        <v>80.864800000000002</v>
      </c>
      <c r="AV392">
        <v>8734.7049000000006</v>
      </c>
      <c r="AW392">
        <v>22229.835299999999</v>
      </c>
      <c r="AX392">
        <f t="shared" si="97"/>
        <v>1172863.8942962401</v>
      </c>
      <c r="AY392">
        <f t="shared" si="98"/>
        <v>977574.79118573992</v>
      </c>
      <c r="AZ392">
        <f t="shared" si="99"/>
        <v>254309.31583199996</v>
      </c>
      <c r="BA392">
        <f t="shared" si="107"/>
        <v>22229.835299999999</v>
      </c>
      <c r="BB392">
        <f t="shared" si="108"/>
        <v>0</v>
      </c>
      <c r="BC392">
        <f t="shared" si="109"/>
        <v>0</v>
      </c>
      <c r="BD392">
        <f t="shared" si="110"/>
        <v>0</v>
      </c>
      <c r="BE392">
        <f t="shared" si="111"/>
        <v>0</v>
      </c>
      <c r="BF392">
        <f t="shared" si="112"/>
        <v>0</v>
      </c>
      <c r="BG392">
        <f t="shared" si="100"/>
        <v>11572.643459299999</v>
      </c>
      <c r="BH392">
        <f t="shared" si="101"/>
        <v>11415.152207539999</v>
      </c>
      <c r="BI392">
        <f t="shared" si="102"/>
        <v>11216.868629659999</v>
      </c>
      <c r="BJ392">
        <f t="shared" si="103"/>
        <v>10643.67169795</v>
      </c>
      <c r="BK392">
        <f t="shared" si="104"/>
        <v>10538.266618400001</v>
      </c>
      <c r="BL392">
        <f t="shared" si="105"/>
        <v>10069.17977176</v>
      </c>
    </row>
    <row r="393" spans="1:64">
      <c r="A393" t="str">
        <f t="shared" si="106"/>
        <v>22</v>
      </c>
      <c r="B393" t="s">
        <v>605</v>
      </c>
      <c r="C393" t="s">
        <v>704</v>
      </c>
      <c r="D393">
        <v>55</v>
      </c>
      <c r="E393">
        <v>1</v>
      </c>
      <c r="F393">
        <v>6</v>
      </c>
      <c r="G393">
        <v>4</v>
      </c>
      <c r="H393">
        <v>100</v>
      </c>
      <c r="I393" t="s">
        <v>607</v>
      </c>
      <c r="J393">
        <v>0.57750000000000001</v>
      </c>
      <c r="K393">
        <v>89.748800000000003</v>
      </c>
      <c r="L393">
        <v>2.3199999999999998E-2</v>
      </c>
      <c r="M393">
        <v>0.75549999999999995</v>
      </c>
      <c r="N393">
        <v>33.983400000000003</v>
      </c>
      <c r="O393">
        <v>78.278000000000006</v>
      </c>
      <c r="P393">
        <v>762.82219999999995</v>
      </c>
      <c r="Q393">
        <v>251.4845</v>
      </c>
      <c r="R393">
        <v>0.31830000000000003</v>
      </c>
      <c r="S393">
        <v>0.70330000000000004</v>
      </c>
      <c r="T393">
        <v>0.3876</v>
      </c>
      <c r="U393">
        <v>4.1999999999999997E-3</v>
      </c>
      <c r="V393">
        <v>0.63390000000000002</v>
      </c>
      <c r="W393">
        <v>11.5383</v>
      </c>
      <c r="X393">
        <v>14.354699999999999</v>
      </c>
      <c r="Y393">
        <v>12.597200000000001</v>
      </c>
      <c r="Z393">
        <v>12.810600000000001</v>
      </c>
      <c r="AA393">
        <v>37.067100000000003</v>
      </c>
      <c r="AB393">
        <v>42.055300000000003</v>
      </c>
      <c r="AC393">
        <v>50.838000000000001</v>
      </c>
      <c r="AD393">
        <v>58.973300000000002</v>
      </c>
      <c r="AE393">
        <v>0.25940000000000002</v>
      </c>
      <c r="AF393">
        <v>9188.8621000000003</v>
      </c>
      <c r="AG393">
        <v>43.494</v>
      </c>
      <c r="AH393">
        <v>0.1719</v>
      </c>
      <c r="AI393">
        <v>88.530799999999999</v>
      </c>
      <c r="AJ393">
        <v>73.2</v>
      </c>
      <c r="AK393">
        <v>80.264899999999997</v>
      </c>
      <c r="AL393">
        <v>1.5927</v>
      </c>
      <c r="AM393">
        <v>0.05</v>
      </c>
      <c r="AN393">
        <v>2.3199999999999998E-2</v>
      </c>
      <c r="AO393">
        <v>82.2102</v>
      </c>
      <c r="AP393">
        <v>93.602500000000006</v>
      </c>
      <c r="AQ393">
        <v>92.377099999999999</v>
      </c>
      <c r="AR393">
        <v>91.191000000000003</v>
      </c>
      <c r="AS393">
        <v>86.786600000000007</v>
      </c>
      <c r="AT393">
        <v>85.824100000000001</v>
      </c>
      <c r="AU393">
        <v>82.228499999999997</v>
      </c>
      <c r="AV393">
        <v>933.72230000000002</v>
      </c>
      <c r="AW393">
        <v>2383.4621999999999</v>
      </c>
      <c r="AX393">
        <f t="shared" si="97"/>
        <v>121170.45132360001</v>
      </c>
      <c r="AY393">
        <f t="shared" si="98"/>
        <v>103666.3049268</v>
      </c>
      <c r="AZ393">
        <f t="shared" si="99"/>
        <v>27501.101902259998</v>
      </c>
      <c r="BA393">
        <f t="shared" si="107"/>
        <v>2383.4621999999999</v>
      </c>
      <c r="BB393">
        <f t="shared" si="108"/>
        <v>0</v>
      </c>
      <c r="BC393">
        <f t="shared" si="109"/>
        <v>0</v>
      </c>
      <c r="BD393">
        <f t="shared" si="110"/>
        <v>0</v>
      </c>
      <c r="BE393">
        <f t="shared" si="111"/>
        <v>0</v>
      </c>
      <c r="BF393">
        <f t="shared" si="112"/>
        <v>0</v>
      </c>
      <c r="BG393">
        <f t="shared" si="100"/>
        <v>1343.63580675</v>
      </c>
      <c r="BH393">
        <f t="shared" si="101"/>
        <v>1326.0455573699999</v>
      </c>
      <c r="BI393">
        <f t="shared" si="102"/>
        <v>1309.0194477</v>
      </c>
      <c r="BJ393">
        <f t="shared" si="103"/>
        <v>1245.79560702</v>
      </c>
      <c r="BK393">
        <f t="shared" si="104"/>
        <v>1231.9792082700001</v>
      </c>
      <c r="BL393">
        <f t="shared" si="105"/>
        <v>1180.36544895</v>
      </c>
    </row>
    <row r="394" spans="1:64">
      <c r="A394" t="str">
        <f t="shared" si="106"/>
        <v>22</v>
      </c>
      <c r="B394" t="s">
        <v>605</v>
      </c>
      <c r="C394" t="s">
        <v>704</v>
      </c>
      <c r="D394">
        <v>55</v>
      </c>
      <c r="E394">
        <v>1</v>
      </c>
      <c r="F394">
        <v>6</v>
      </c>
      <c r="G394">
        <v>4</v>
      </c>
      <c r="H394">
        <v>200</v>
      </c>
      <c r="I394" t="s">
        <v>607</v>
      </c>
      <c r="J394">
        <v>0.49880000000000002</v>
      </c>
      <c r="K394">
        <v>79.076800000000006</v>
      </c>
      <c r="L394">
        <v>2.4E-2</v>
      </c>
      <c r="M394">
        <v>0.72399999999999998</v>
      </c>
      <c r="N394">
        <v>33.043999999999997</v>
      </c>
      <c r="O394">
        <v>64.197900000000004</v>
      </c>
      <c r="P394">
        <v>717.02499999999998</v>
      </c>
      <c r="Q394">
        <v>253.01669999999999</v>
      </c>
      <c r="R394">
        <v>0.33650000000000002</v>
      </c>
      <c r="S394">
        <v>0.69079999999999997</v>
      </c>
      <c r="T394">
        <v>0.36030000000000001</v>
      </c>
      <c r="U394">
        <v>4.7999999999999996E-3</v>
      </c>
      <c r="V394">
        <v>0.56899999999999995</v>
      </c>
      <c r="W394">
        <v>11.437900000000001</v>
      </c>
      <c r="X394">
        <v>7.4057000000000004</v>
      </c>
      <c r="Y394">
        <v>6.4945000000000004</v>
      </c>
      <c r="Z394">
        <v>6.6177999999999999</v>
      </c>
      <c r="AA394">
        <v>19.6541</v>
      </c>
      <c r="AB394">
        <v>80.590500000000006</v>
      </c>
      <c r="AC394">
        <v>51.717399999999998</v>
      </c>
      <c r="AD394">
        <v>57.137900000000002</v>
      </c>
      <c r="AE394">
        <v>0.14799999999999999</v>
      </c>
      <c r="AF394">
        <v>9270.0933999999997</v>
      </c>
      <c r="AG394">
        <v>43.615200000000002</v>
      </c>
      <c r="AH394">
        <v>9.2100000000000001E-2</v>
      </c>
      <c r="AI394">
        <v>88.371300000000005</v>
      </c>
      <c r="AJ394">
        <v>73.2</v>
      </c>
      <c r="AK394">
        <v>79.935000000000002</v>
      </c>
      <c r="AL394">
        <v>1.619</v>
      </c>
      <c r="AM394">
        <v>0.05</v>
      </c>
      <c r="AN394">
        <v>3.5999999999999997E-2</v>
      </c>
      <c r="AO394">
        <v>82.083600000000004</v>
      </c>
      <c r="AP394">
        <v>94.271699999999996</v>
      </c>
      <c r="AQ394">
        <v>93.227199999999996</v>
      </c>
      <c r="AR394">
        <v>92.586299999999994</v>
      </c>
      <c r="AS394">
        <v>89.213499999999996</v>
      </c>
      <c r="AT394">
        <v>88.367699999999999</v>
      </c>
      <c r="AU394">
        <v>85.280799999999999</v>
      </c>
      <c r="AV394">
        <v>540.25130000000001</v>
      </c>
      <c r="AW394">
        <v>1372.4157</v>
      </c>
      <c r="AX394">
        <f t="shared" si="97"/>
        <v>70977.771723179991</v>
      </c>
      <c r="AY394">
        <f t="shared" si="98"/>
        <v>59858.185238640006</v>
      </c>
      <c r="AZ394">
        <f t="shared" si="99"/>
        <v>15697.553535030002</v>
      </c>
      <c r="BA394">
        <f t="shared" si="107"/>
        <v>1372.4157</v>
      </c>
      <c r="BB394">
        <f t="shared" si="108"/>
        <v>0</v>
      </c>
      <c r="BC394">
        <f t="shared" si="109"/>
        <v>0</v>
      </c>
      <c r="BD394">
        <f t="shared" si="110"/>
        <v>0</v>
      </c>
      <c r="BE394">
        <f t="shared" si="111"/>
        <v>0</v>
      </c>
      <c r="BF394">
        <f t="shared" si="112"/>
        <v>0</v>
      </c>
      <c r="BG394">
        <f t="shared" si="100"/>
        <v>698.14792868999996</v>
      </c>
      <c r="BH394">
        <f t="shared" si="101"/>
        <v>690.41267503999995</v>
      </c>
      <c r="BI394">
        <f t="shared" si="102"/>
        <v>685.66636190999998</v>
      </c>
      <c r="BJ394">
        <f t="shared" si="103"/>
        <v>660.68841695000003</v>
      </c>
      <c r="BK394">
        <f t="shared" si="104"/>
        <v>654.42467589</v>
      </c>
      <c r="BL394">
        <f t="shared" si="105"/>
        <v>631.56402056000002</v>
      </c>
    </row>
    <row r="395" spans="1:64">
      <c r="A395" t="str">
        <f t="shared" si="106"/>
        <v>23</v>
      </c>
      <c r="B395" t="s">
        <v>605</v>
      </c>
      <c r="C395" t="s">
        <v>705</v>
      </c>
      <c r="D395">
        <v>55</v>
      </c>
      <c r="E395">
        <v>1</v>
      </c>
      <c r="F395">
        <v>6</v>
      </c>
      <c r="G395">
        <v>2</v>
      </c>
      <c r="H395">
        <v>100</v>
      </c>
      <c r="I395" t="s">
        <v>607</v>
      </c>
      <c r="J395">
        <v>0.54449999999999998</v>
      </c>
      <c r="K395">
        <v>80.027900000000002</v>
      </c>
      <c r="L395">
        <v>2.4799999999999999E-2</v>
      </c>
      <c r="M395">
        <v>0.8044</v>
      </c>
      <c r="N395">
        <v>32.948900000000002</v>
      </c>
      <c r="O395">
        <v>86.627899999999997</v>
      </c>
      <c r="P395">
        <v>962.88210000000004</v>
      </c>
      <c r="Q395">
        <v>254.79300000000001</v>
      </c>
      <c r="R395">
        <v>0.4229</v>
      </c>
      <c r="S395">
        <v>0.50480000000000003</v>
      </c>
      <c r="T395">
        <v>0.44219999999999998</v>
      </c>
      <c r="U395">
        <v>1.1000000000000001E-3</v>
      </c>
      <c r="V395">
        <v>0.60780000000000001</v>
      </c>
      <c r="W395">
        <v>11.4148</v>
      </c>
      <c r="X395">
        <v>44.166499999999999</v>
      </c>
      <c r="Y395">
        <v>38.929400000000001</v>
      </c>
      <c r="Z395">
        <v>39.438699999999997</v>
      </c>
      <c r="AA395">
        <v>118.2633</v>
      </c>
      <c r="AB395">
        <v>31.725000000000001</v>
      </c>
      <c r="AC395">
        <v>53.179000000000002</v>
      </c>
      <c r="AD395">
        <v>49.352200000000003</v>
      </c>
      <c r="AE395">
        <v>0.82399999999999995</v>
      </c>
      <c r="AF395">
        <v>9247.8186999999998</v>
      </c>
      <c r="AG395">
        <v>49.089100000000002</v>
      </c>
      <c r="AH395">
        <v>0.49159999999999998</v>
      </c>
      <c r="AI395">
        <v>88.204999999999998</v>
      </c>
      <c r="AJ395">
        <v>73.2</v>
      </c>
      <c r="AK395">
        <v>79.597099999999998</v>
      </c>
      <c r="AL395">
        <v>1.5525</v>
      </c>
      <c r="AM395">
        <v>0.05</v>
      </c>
      <c r="AN395">
        <v>1.2200000000000001E-2</v>
      </c>
      <c r="AO395">
        <v>84.54</v>
      </c>
      <c r="AP395">
        <v>93.111099999999993</v>
      </c>
      <c r="AQ395">
        <v>92.022400000000005</v>
      </c>
      <c r="AR395">
        <v>90.543999999999997</v>
      </c>
      <c r="AS395">
        <v>86.038300000000007</v>
      </c>
      <c r="AT395">
        <v>85.222399999999993</v>
      </c>
      <c r="AU395">
        <v>81.615499999999997</v>
      </c>
      <c r="AV395">
        <v>2984.9413</v>
      </c>
      <c r="AW395">
        <v>7619.7973000000002</v>
      </c>
      <c r="AX395">
        <f t="shared" si="97"/>
        <v>405213.20061670005</v>
      </c>
      <c r="AY395">
        <f t="shared" si="98"/>
        <v>374048.99163943005</v>
      </c>
      <c r="AZ395">
        <f t="shared" si="99"/>
        <v>86978.462220040004</v>
      </c>
      <c r="BA395">
        <f t="shared" si="107"/>
        <v>7619.7973000000002</v>
      </c>
      <c r="BB395">
        <f t="shared" si="108"/>
        <v>0</v>
      </c>
      <c r="BC395">
        <f t="shared" si="109"/>
        <v>0</v>
      </c>
      <c r="BD395">
        <f t="shared" si="110"/>
        <v>0</v>
      </c>
      <c r="BE395">
        <f t="shared" si="111"/>
        <v>0</v>
      </c>
      <c r="BF395">
        <f t="shared" si="112"/>
        <v>0</v>
      </c>
      <c r="BG395">
        <f t="shared" si="100"/>
        <v>4112.39139815</v>
      </c>
      <c r="BH395">
        <f t="shared" si="101"/>
        <v>4064.3073296000002</v>
      </c>
      <c r="BI395">
        <f t="shared" si="102"/>
        <v>3999.0115759999999</v>
      </c>
      <c r="BJ395">
        <f t="shared" si="103"/>
        <v>3800.0105769500001</v>
      </c>
      <c r="BK395">
        <f t="shared" si="104"/>
        <v>3763.9751295999995</v>
      </c>
      <c r="BL395">
        <f t="shared" si="105"/>
        <v>3604.6709807499997</v>
      </c>
    </row>
    <row r="396" spans="1:64">
      <c r="A396" t="str">
        <f t="shared" si="106"/>
        <v>23</v>
      </c>
      <c r="B396" t="s">
        <v>605</v>
      </c>
      <c r="C396" t="s">
        <v>705</v>
      </c>
      <c r="D396">
        <v>55</v>
      </c>
      <c r="E396">
        <v>1</v>
      </c>
      <c r="F396">
        <v>6</v>
      </c>
      <c r="G396">
        <v>2</v>
      </c>
      <c r="H396">
        <v>200</v>
      </c>
      <c r="I396" t="s">
        <v>607</v>
      </c>
      <c r="J396">
        <v>0.52470000000000006</v>
      </c>
      <c r="K396">
        <v>84.902799999999999</v>
      </c>
      <c r="L396">
        <v>2.6599999999999999E-2</v>
      </c>
      <c r="M396">
        <v>0.79079999999999995</v>
      </c>
      <c r="N396">
        <v>31.512599999999999</v>
      </c>
      <c r="O396">
        <v>85.317899999999995</v>
      </c>
      <c r="P396">
        <v>714.40570000000002</v>
      </c>
      <c r="Q396">
        <v>258.89330000000001</v>
      </c>
      <c r="R396">
        <v>0.46360000000000001</v>
      </c>
      <c r="S396">
        <v>0.5575</v>
      </c>
      <c r="T396">
        <v>0.4078</v>
      </c>
      <c r="U396">
        <v>1.1000000000000001E-3</v>
      </c>
      <c r="V396">
        <v>0.67420000000000002</v>
      </c>
      <c r="W396">
        <v>11.538500000000001</v>
      </c>
      <c r="X396">
        <v>195.27940000000001</v>
      </c>
      <c r="Y396">
        <v>170.58930000000001</v>
      </c>
      <c r="Z396">
        <v>172.09649999999999</v>
      </c>
      <c r="AA396">
        <v>543.36540000000002</v>
      </c>
      <c r="AB396">
        <v>21.7623</v>
      </c>
      <c r="AC396">
        <v>53.244900000000001</v>
      </c>
      <c r="AD396">
        <v>50.625399999999999</v>
      </c>
      <c r="AE396">
        <v>3.2242000000000002</v>
      </c>
      <c r="AF396">
        <v>9381.4547000000002</v>
      </c>
      <c r="AG396">
        <v>44.711199999999998</v>
      </c>
      <c r="AH396">
        <v>1.9639</v>
      </c>
      <c r="AI396">
        <v>88.267200000000003</v>
      </c>
      <c r="AJ396">
        <v>73.2</v>
      </c>
      <c r="AK396">
        <v>79.722399999999993</v>
      </c>
      <c r="AL396">
        <v>1.5847</v>
      </c>
      <c r="AM396">
        <v>0.05</v>
      </c>
      <c r="AN396">
        <v>1.2699999999999999E-2</v>
      </c>
      <c r="AO396">
        <v>82.325999999999993</v>
      </c>
      <c r="AP396">
        <v>92.691299999999998</v>
      </c>
      <c r="AQ396">
        <v>91.494100000000003</v>
      </c>
      <c r="AR396">
        <v>89.766000000000005</v>
      </c>
      <c r="AS396">
        <v>85.093400000000003</v>
      </c>
      <c r="AT396">
        <v>84.271600000000007</v>
      </c>
      <c r="AU396">
        <v>80.4024</v>
      </c>
      <c r="AV396">
        <v>11890.433999999999</v>
      </c>
      <c r="AW396">
        <v>30243.843799999999</v>
      </c>
      <c r="AX396">
        <f t="shared" si="97"/>
        <v>1610330.43874662</v>
      </c>
      <c r="AY396">
        <f t="shared" si="98"/>
        <v>1352238.5489105599</v>
      </c>
      <c r="AZ396">
        <f t="shared" si="99"/>
        <v>348968.5916863</v>
      </c>
      <c r="BA396">
        <f t="shared" si="107"/>
        <v>30243.843799999999</v>
      </c>
      <c r="BB396">
        <f t="shared" si="108"/>
        <v>0</v>
      </c>
      <c r="BC396">
        <f t="shared" si="109"/>
        <v>0</v>
      </c>
      <c r="BD396">
        <f t="shared" si="110"/>
        <v>0</v>
      </c>
      <c r="BE396">
        <f t="shared" si="111"/>
        <v>0</v>
      </c>
      <c r="BF396">
        <f t="shared" si="112"/>
        <v>0</v>
      </c>
      <c r="BG396">
        <f t="shared" si="100"/>
        <v>18100.70144922</v>
      </c>
      <c r="BH396">
        <f t="shared" si="101"/>
        <v>17866.912951540002</v>
      </c>
      <c r="BI396">
        <f t="shared" si="102"/>
        <v>17529.450620400003</v>
      </c>
      <c r="BJ396">
        <f t="shared" si="103"/>
        <v>16616.988095960001</v>
      </c>
      <c r="BK396">
        <f t="shared" si="104"/>
        <v>16456.507485040001</v>
      </c>
      <c r="BL396">
        <f t="shared" si="105"/>
        <v>15700.93243056</v>
      </c>
    </row>
    <row r="397" spans="1:64">
      <c r="A397" t="str">
        <f t="shared" si="106"/>
        <v>24</v>
      </c>
      <c r="B397" t="s">
        <v>605</v>
      </c>
      <c r="C397" t="s">
        <v>706</v>
      </c>
      <c r="D397">
        <v>55</v>
      </c>
      <c r="E397">
        <v>1</v>
      </c>
      <c r="F397">
        <v>6</v>
      </c>
      <c r="G397">
        <v>2</v>
      </c>
      <c r="H397">
        <v>100</v>
      </c>
      <c r="I397" t="s">
        <v>609</v>
      </c>
      <c r="J397">
        <v>0.3231</v>
      </c>
      <c r="K397">
        <v>29.650700000000001</v>
      </c>
      <c r="L397">
        <v>1.14E-2</v>
      </c>
      <c r="M397">
        <v>0.53449999999999998</v>
      </c>
      <c r="N397">
        <v>17.9754</v>
      </c>
      <c r="O397">
        <v>86.177999999999997</v>
      </c>
      <c r="P397">
        <v>498.30239999999998</v>
      </c>
      <c r="Q397">
        <v>214.94390000000001</v>
      </c>
      <c r="R397">
        <v>1.304</v>
      </c>
      <c r="S397">
        <v>0.61</v>
      </c>
      <c r="T397">
        <v>0.1216</v>
      </c>
      <c r="U397">
        <v>2E-3</v>
      </c>
      <c r="V397">
        <v>0.33610000000000001</v>
      </c>
      <c r="W397">
        <v>12.0578</v>
      </c>
      <c r="X397">
        <v>43.526699999999998</v>
      </c>
      <c r="Y397">
        <v>38.818899999999999</v>
      </c>
      <c r="Z397">
        <v>38.544499999999999</v>
      </c>
      <c r="AA397">
        <v>215.9743</v>
      </c>
      <c r="AB397">
        <v>7.8594999999999997</v>
      </c>
      <c r="AC397">
        <v>42.170099999999998</v>
      </c>
      <c r="AD397">
        <v>53.8277</v>
      </c>
      <c r="AE397">
        <v>1.7366999999999999</v>
      </c>
      <c r="AF397">
        <v>7667.3954999999996</v>
      </c>
      <c r="AG397">
        <v>69.052499999999995</v>
      </c>
      <c r="AH397">
        <v>0.2848</v>
      </c>
      <c r="AI397">
        <v>85.591999999999999</v>
      </c>
      <c r="AJ397">
        <v>54.425600000000003</v>
      </c>
      <c r="AK397">
        <v>74.312700000000007</v>
      </c>
      <c r="AL397">
        <v>2.0386000000000002</v>
      </c>
      <c r="AM397">
        <v>0.05</v>
      </c>
      <c r="AN397">
        <v>1.49E-2</v>
      </c>
      <c r="AO397">
        <v>97.295000000000002</v>
      </c>
      <c r="AP397">
        <v>90.951999999999998</v>
      </c>
      <c r="AQ397">
        <v>90.032200000000003</v>
      </c>
      <c r="AR397">
        <v>88.398600000000002</v>
      </c>
      <c r="AS397">
        <v>84.180199999999999</v>
      </c>
      <c r="AT397">
        <v>83.435599999999994</v>
      </c>
      <c r="AU397">
        <v>80.179500000000004</v>
      </c>
      <c r="AV397">
        <v>5152.2851000000001</v>
      </c>
      <c r="AW397">
        <v>13315.7605</v>
      </c>
      <c r="AX397">
        <f t="shared" si="97"/>
        <v>561526.95186104998</v>
      </c>
      <c r="AY397">
        <f t="shared" si="98"/>
        <v>919486.55192624999</v>
      </c>
      <c r="AZ397">
        <f t="shared" si="99"/>
        <v>160558.77695689999</v>
      </c>
      <c r="BA397">
        <f t="shared" si="107"/>
        <v>13315.7605</v>
      </c>
      <c r="BB397">
        <f t="shared" si="108"/>
        <v>0</v>
      </c>
      <c r="BC397">
        <f t="shared" si="109"/>
        <v>0</v>
      </c>
      <c r="BD397">
        <f t="shared" si="110"/>
        <v>0</v>
      </c>
      <c r="BE397">
        <f t="shared" si="111"/>
        <v>0</v>
      </c>
      <c r="BF397">
        <f t="shared" si="112"/>
        <v>0</v>
      </c>
      <c r="BG397">
        <f t="shared" si="100"/>
        <v>3958.8404183999996</v>
      </c>
      <c r="BH397">
        <f t="shared" si="101"/>
        <v>3918.8045597400001</v>
      </c>
      <c r="BI397">
        <f t="shared" si="102"/>
        <v>3847.6993426199997</v>
      </c>
      <c r="BJ397">
        <f t="shared" si="103"/>
        <v>3664.0863113399996</v>
      </c>
      <c r="BK397">
        <f t="shared" si="104"/>
        <v>3631.6763305199997</v>
      </c>
      <c r="BL397">
        <f t="shared" si="105"/>
        <v>3489.9490426500001</v>
      </c>
    </row>
    <row r="398" spans="1:64">
      <c r="A398" t="str">
        <f t="shared" si="106"/>
        <v>24</v>
      </c>
      <c r="B398" t="s">
        <v>605</v>
      </c>
      <c r="C398" t="s">
        <v>706</v>
      </c>
      <c r="D398">
        <v>55</v>
      </c>
      <c r="E398">
        <v>1</v>
      </c>
      <c r="F398">
        <v>6</v>
      </c>
      <c r="G398">
        <v>2</v>
      </c>
      <c r="H398">
        <v>200</v>
      </c>
      <c r="I398" t="s">
        <v>617</v>
      </c>
      <c r="J398">
        <v>0.36919999999999997</v>
      </c>
      <c r="K398">
        <v>34.920499999999997</v>
      </c>
      <c r="L398">
        <v>1.3100000000000001E-2</v>
      </c>
      <c r="M398">
        <v>0.54459999999999997</v>
      </c>
      <c r="N398">
        <v>20.994700000000002</v>
      </c>
      <c r="O398">
        <v>86.701599999999999</v>
      </c>
      <c r="P398">
        <v>370.07429999999999</v>
      </c>
      <c r="Q398">
        <v>213.1891</v>
      </c>
      <c r="R398">
        <v>0.748</v>
      </c>
      <c r="S398">
        <v>0.48559999999999998</v>
      </c>
      <c r="T398">
        <v>0.23480000000000001</v>
      </c>
      <c r="U398">
        <v>1.6000000000000001E-3</v>
      </c>
      <c r="V398">
        <v>0.4</v>
      </c>
      <c r="W398">
        <v>11.914999999999999</v>
      </c>
      <c r="X398">
        <v>18.238099999999999</v>
      </c>
      <c r="Y398">
        <v>16.164100000000001</v>
      </c>
      <c r="Z398">
        <v>16.0581</v>
      </c>
      <c r="AA398">
        <v>76.965299999999999</v>
      </c>
      <c r="AB398">
        <v>8.5259</v>
      </c>
      <c r="AC398">
        <v>42.052</v>
      </c>
      <c r="AD398">
        <v>53.8553</v>
      </c>
      <c r="AE398">
        <v>0.6109</v>
      </c>
      <c r="AF398">
        <v>7676.8948</v>
      </c>
      <c r="AG398">
        <v>68.118200000000002</v>
      </c>
      <c r="AH398">
        <v>0.1207</v>
      </c>
      <c r="AI398">
        <v>86.09</v>
      </c>
      <c r="AJ398">
        <v>72.8947</v>
      </c>
      <c r="AK398">
        <v>75.302000000000007</v>
      </c>
      <c r="AL398">
        <v>2.0409999999999999</v>
      </c>
      <c r="AM398">
        <v>0.05</v>
      </c>
      <c r="AN398">
        <v>1.6199999999999999E-2</v>
      </c>
      <c r="AO398">
        <v>96.864500000000007</v>
      </c>
      <c r="AP398">
        <v>90.013800000000003</v>
      </c>
      <c r="AQ398">
        <v>89.097399999999993</v>
      </c>
      <c r="AR398">
        <v>87.704700000000003</v>
      </c>
      <c r="AS398">
        <v>83.923699999999997</v>
      </c>
      <c r="AT398">
        <v>83.222800000000007</v>
      </c>
      <c r="AU398">
        <v>79.929199999999994</v>
      </c>
      <c r="AV398">
        <v>1832.4712999999999</v>
      </c>
      <c r="AW398">
        <v>4689.9553999999998</v>
      </c>
      <c r="AX398">
        <f t="shared" si="97"/>
        <v>197222.00448079998</v>
      </c>
      <c r="AY398">
        <f t="shared" si="98"/>
        <v>319471.31992828002</v>
      </c>
      <c r="AZ398">
        <f t="shared" si="99"/>
        <v>55880.818590999996</v>
      </c>
      <c r="BA398">
        <f t="shared" si="107"/>
        <v>4689.9553999999998</v>
      </c>
      <c r="BB398">
        <f t="shared" si="108"/>
        <v>0</v>
      </c>
      <c r="BC398">
        <f t="shared" si="109"/>
        <v>0</v>
      </c>
      <c r="BD398">
        <f t="shared" si="110"/>
        <v>0</v>
      </c>
      <c r="BE398">
        <f t="shared" si="111"/>
        <v>0</v>
      </c>
      <c r="BF398">
        <f t="shared" si="112"/>
        <v>0</v>
      </c>
      <c r="BG398">
        <f t="shared" si="100"/>
        <v>1641.68068578</v>
      </c>
      <c r="BH398">
        <f t="shared" si="101"/>
        <v>1624.9672909399999</v>
      </c>
      <c r="BI398">
        <f t="shared" si="102"/>
        <v>1599.5670890700001</v>
      </c>
      <c r="BJ398">
        <f t="shared" si="103"/>
        <v>1530.6088329699999</v>
      </c>
      <c r="BK398">
        <f t="shared" si="104"/>
        <v>1517.8257486800001</v>
      </c>
      <c r="BL398">
        <f t="shared" si="105"/>
        <v>1457.7567425199998</v>
      </c>
    </row>
    <row r="399" spans="1:64">
      <c r="A399" t="str">
        <f t="shared" si="106"/>
        <v>25</v>
      </c>
      <c r="B399" t="s">
        <v>605</v>
      </c>
      <c r="C399" t="s">
        <v>707</v>
      </c>
      <c r="D399">
        <v>55</v>
      </c>
      <c r="E399">
        <v>1</v>
      </c>
      <c r="F399">
        <v>6</v>
      </c>
      <c r="G399">
        <v>2</v>
      </c>
      <c r="H399">
        <v>100</v>
      </c>
      <c r="I399" t="s">
        <v>609</v>
      </c>
      <c r="J399">
        <v>0.31440000000000001</v>
      </c>
      <c r="K399">
        <v>29.8917</v>
      </c>
      <c r="L399">
        <v>1.1599999999999999E-2</v>
      </c>
      <c r="M399">
        <v>0.56640000000000001</v>
      </c>
      <c r="N399">
        <v>18.237200000000001</v>
      </c>
      <c r="O399">
        <v>86.723600000000005</v>
      </c>
      <c r="P399">
        <v>1579.5771</v>
      </c>
      <c r="Q399">
        <v>216.1807</v>
      </c>
      <c r="R399">
        <v>1.2000999999999999</v>
      </c>
      <c r="S399">
        <v>0.58440000000000003</v>
      </c>
      <c r="T399">
        <v>0.13930000000000001</v>
      </c>
      <c r="U399">
        <v>2.2000000000000001E-3</v>
      </c>
      <c r="V399">
        <v>0.32240000000000002</v>
      </c>
      <c r="W399">
        <v>12.114800000000001</v>
      </c>
      <c r="X399">
        <v>43.7791</v>
      </c>
      <c r="Y399">
        <v>39.023000000000003</v>
      </c>
      <c r="Z399">
        <v>38.857100000000003</v>
      </c>
      <c r="AA399">
        <v>213.98570000000001</v>
      </c>
      <c r="AB399">
        <v>7.3230000000000004</v>
      </c>
      <c r="AC399">
        <v>42.277500000000003</v>
      </c>
      <c r="AD399">
        <v>53.414700000000003</v>
      </c>
      <c r="AE399">
        <v>1.8213999999999999</v>
      </c>
      <c r="AF399">
        <v>7686.0870999999997</v>
      </c>
      <c r="AG399">
        <v>68.686599999999999</v>
      </c>
      <c r="AH399">
        <v>0.31509999999999999</v>
      </c>
      <c r="AI399">
        <v>85.759100000000004</v>
      </c>
      <c r="AJ399">
        <v>58.195799999999998</v>
      </c>
      <c r="AK399">
        <v>74.642200000000003</v>
      </c>
      <c r="AL399">
        <v>1.9934000000000001</v>
      </c>
      <c r="AM399">
        <v>0.05</v>
      </c>
      <c r="AN399">
        <v>1.37E-2</v>
      </c>
      <c r="AO399">
        <v>97.077600000000004</v>
      </c>
      <c r="AP399">
        <v>90.730400000000003</v>
      </c>
      <c r="AQ399">
        <v>89.879499999999993</v>
      </c>
      <c r="AR399">
        <v>88.344700000000003</v>
      </c>
      <c r="AS399">
        <v>84.244299999999996</v>
      </c>
      <c r="AT399">
        <v>83.523799999999994</v>
      </c>
      <c r="AU399">
        <v>80.2393</v>
      </c>
      <c r="AV399">
        <v>5430.0213999999996</v>
      </c>
      <c r="AW399">
        <v>13999.3932</v>
      </c>
      <c r="AX399">
        <f t="shared" si="97"/>
        <v>591859.34601300012</v>
      </c>
      <c r="AY399">
        <f t="shared" si="98"/>
        <v>961570.72097112006</v>
      </c>
      <c r="AZ399">
        <f t="shared" si="99"/>
        <v>169599.84873936002</v>
      </c>
      <c r="BA399">
        <f t="shared" si="107"/>
        <v>13999.3932</v>
      </c>
      <c r="BB399">
        <f t="shared" si="108"/>
        <v>0</v>
      </c>
      <c r="BC399">
        <f t="shared" si="109"/>
        <v>0</v>
      </c>
      <c r="BD399">
        <f t="shared" si="110"/>
        <v>0</v>
      </c>
      <c r="BE399">
        <f t="shared" si="111"/>
        <v>0</v>
      </c>
      <c r="BF399">
        <f t="shared" si="112"/>
        <v>0</v>
      </c>
      <c r="BG399">
        <f t="shared" si="100"/>
        <v>3972.0952546399999</v>
      </c>
      <c r="BH399">
        <f t="shared" si="101"/>
        <v>3934.8436184499997</v>
      </c>
      <c r="BI399">
        <f t="shared" si="102"/>
        <v>3867.6514557700002</v>
      </c>
      <c r="BJ399">
        <f t="shared" si="103"/>
        <v>3688.1396341299996</v>
      </c>
      <c r="BK399">
        <f t="shared" si="104"/>
        <v>3656.5967925799996</v>
      </c>
      <c r="BL399">
        <f t="shared" si="105"/>
        <v>3512.8043386300001</v>
      </c>
    </row>
    <row r="400" spans="1:64">
      <c r="A400" t="str">
        <f t="shared" si="106"/>
        <v>25</v>
      </c>
      <c r="B400" t="s">
        <v>605</v>
      </c>
      <c r="C400" t="s">
        <v>707</v>
      </c>
      <c r="D400">
        <v>55</v>
      </c>
      <c r="E400">
        <v>1</v>
      </c>
      <c r="F400">
        <v>6</v>
      </c>
      <c r="G400">
        <v>2</v>
      </c>
      <c r="H400">
        <v>200</v>
      </c>
      <c r="I400" t="s">
        <v>617</v>
      </c>
      <c r="J400">
        <v>0.35199999999999998</v>
      </c>
      <c r="K400">
        <v>34.076900000000002</v>
      </c>
      <c r="L400">
        <v>1.3100000000000001E-2</v>
      </c>
      <c r="M400">
        <v>0.54690000000000005</v>
      </c>
      <c r="N400">
        <v>20.722000000000001</v>
      </c>
      <c r="O400">
        <v>87.141800000000003</v>
      </c>
      <c r="P400">
        <v>368.08600000000001</v>
      </c>
      <c r="Q400">
        <v>213.34440000000001</v>
      </c>
      <c r="R400">
        <v>0.75449999999999995</v>
      </c>
      <c r="S400">
        <v>0.48309999999999997</v>
      </c>
      <c r="T400">
        <v>0.23069999999999999</v>
      </c>
      <c r="U400">
        <v>1.6000000000000001E-3</v>
      </c>
      <c r="V400">
        <v>0.38929999999999998</v>
      </c>
      <c r="W400">
        <v>11.899800000000001</v>
      </c>
      <c r="X400">
        <v>8.8225999999999996</v>
      </c>
      <c r="Y400">
        <v>7.8185000000000002</v>
      </c>
      <c r="Z400">
        <v>7.7615999999999996</v>
      </c>
      <c r="AA400">
        <v>37.7286</v>
      </c>
      <c r="AB400">
        <v>7.8483999999999998</v>
      </c>
      <c r="AC400">
        <v>42.165700000000001</v>
      </c>
      <c r="AD400">
        <v>53.421100000000003</v>
      </c>
      <c r="AE400">
        <v>0.30320000000000003</v>
      </c>
      <c r="AF400">
        <v>7683.0378000000001</v>
      </c>
      <c r="AG400">
        <v>68.338099999999997</v>
      </c>
      <c r="AH400">
        <v>5.6899999999999999E-2</v>
      </c>
      <c r="AI400">
        <v>85.971999999999994</v>
      </c>
      <c r="AJ400">
        <v>73.2</v>
      </c>
      <c r="AK400">
        <v>75.065600000000003</v>
      </c>
      <c r="AL400">
        <v>2.0409000000000002</v>
      </c>
      <c r="AM400">
        <v>0.05</v>
      </c>
      <c r="AN400">
        <v>1.5900000000000001E-2</v>
      </c>
      <c r="AO400">
        <v>96.938199999999995</v>
      </c>
      <c r="AP400">
        <v>89.847800000000007</v>
      </c>
      <c r="AQ400">
        <v>88.975999999999999</v>
      </c>
      <c r="AR400">
        <v>87.627200000000002</v>
      </c>
      <c r="AS400">
        <v>83.898600000000002</v>
      </c>
      <c r="AT400">
        <v>83.216200000000001</v>
      </c>
      <c r="AU400">
        <v>79.978399999999993</v>
      </c>
      <c r="AV400">
        <v>907.51020000000005</v>
      </c>
      <c r="AW400">
        <v>2329.5524999999998</v>
      </c>
      <c r="AX400">
        <f t="shared" si="97"/>
        <v>98227.211849249987</v>
      </c>
      <c r="AY400">
        <f t="shared" si="98"/>
        <v>159197.19170024997</v>
      </c>
      <c r="AZ400">
        <f t="shared" si="99"/>
        <v>27721.208839499999</v>
      </c>
      <c r="BA400">
        <f t="shared" si="107"/>
        <v>2329.5524999999998</v>
      </c>
      <c r="BB400">
        <f t="shared" si="108"/>
        <v>0</v>
      </c>
      <c r="BC400">
        <f t="shared" si="109"/>
        <v>0</v>
      </c>
      <c r="BD400">
        <f t="shared" si="110"/>
        <v>0</v>
      </c>
      <c r="BE400">
        <f t="shared" si="111"/>
        <v>0</v>
      </c>
      <c r="BF400">
        <f t="shared" si="112"/>
        <v>0</v>
      </c>
      <c r="BG400">
        <f t="shared" si="100"/>
        <v>792.69120027999998</v>
      </c>
      <c r="BH400">
        <f t="shared" si="101"/>
        <v>784.99965759999998</v>
      </c>
      <c r="BI400">
        <f t="shared" si="102"/>
        <v>773.09973472000001</v>
      </c>
      <c r="BJ400">
        <f t="shared" si="103"/>
        <v>740.20378835999998</v>
      </c>
      <c r="BK400">
        <f t="shared" si="104"/>
        <v>734.18324611999992</v>
      </c>
      <c r="BL400">
        <f t="shared" si="105"/>
        <v>705.61743183999988</v>
      </c>
    </row>
    <row r="401" spans="1:64">
      <c r="A401" t="str">
        <f t="shared" si="106"/>
        <v>26</v>
      </c>
      <c r="B401" t="s">
        <v>605</v>
      </c>
      <c r="C401" t="s">
        <v>708</v>
      </c>
      <c r="D401">
        <v>55</v>
      </c>
      <c r="E401">
        <v>1</v>
      </c>
      <c r="F401">
        <v>6</v>
      </c>
      <c r="G401">
        <v>2</v>
      </c>
      <c r="H401">
        <v>100</v>
      </c>
      <c r="I401" t="s">
        <v>609</v>
      </c>
      <c r="J401">
        <v>0.3</v>
      </c>
      <c r="K401">
        <v>26.909800000000001</v>
      </c>
      <c r="L401">
        <v>1.03E-2</v>
      </c>
      <c r="M401">
        <v>0.57020000000000004</v>
      </c>
      <c r="N401">
        <v>18.156300000000002</v>
      </c>
      <c r="O401">
        <v>88.3125</v>
      </c>
      <c r="P401">
        <v>2205.6743999999999</v>
      </c>
      <c r="Q401">
        <v>218.68360000000001</v>
      </c>
      <c r="R401">
        <v>1.321</v>
      </c>
      <c r="S401">
        <v>0.53090000000000004</v>
      </c>
      <c r="T401">
        <v>0.13550000000000001</v>
      </c>
      <c r="U401">
        <v>2.5999999999999999E-3</v>
      </c>
      <c r="V401">
        <v>0.30790000000000001</v>
      </c>
      <c r="W401">
        <v>12.181699999999999</v>
      </c>
      <c r="X401">
        <v>45.696399999999997</v>
      </c>
      <c r="Y401">
        <v>40.7012</v>
      </c>
      <c r="Z401">
        <v>40.458199999999998</v>
      </c>
      <c r="AA401">
        <v>224.05269999999999</v>
      </c>
      <c r="AB401">
        <v>7.3608000000000002</v>
      </c>
      <c r="AC401">
        <v>42.677999999999997</v>
      </c>
      <c r="AD401">
        <v>53.385399999999997</v>
      </c>
      <c r="AE401">
        <v>1.9752000000000001</v>
      </c>
      <c r="AF401">
        <v>7735.7173000000003</v>
      </c>
      <c r="AG401">
        <v>68.216999999999999</v>
      </c>
      <c r="AH401">
        <v>0.31030000000000002</v>
      </c>
      <c r="AI401">
        <v>85.498999999999995</v>
      </c>
      <c r="AJ401">
        <v>65.662599999999998</v>
      </c>
      <c r="AK401">
        <v>74.125799999999998</v>
      </c>
      <c r="AL401">
        <v>1.972</v>
      </c>
      <c r="AM401">
        <v>0.05</v>
      </c>
      <c r="AN401">
        <v>1.2800000000000001E-2</v>
      </c>
      <c r="AO401">
        <v>96.718199999999996</v>
      </c>
      <c r="AP401">
        <v>90.889799999999994</v>
      </c>
      <c r="AQ401">
        <v>90.026399999999995</v>
      </c>
      <c r="AR401">
        <v>88.440299999999993</v>
      </c>
      <c r="AS401">
        <v>84.205399999999997</v>
      </c>
      <c r="AT401">
        <v>83.467299999999994</v>
      </c>
      <c r="AU401">
        <v>80.0244</v>
      </c>
      <c r="AV401">
        <v>5967.1679999999997</v>
      </c>
      <c r="AW401">
        <v>15278.803099999999</v>
      </c>
      <c r="AX401">
        <f t="shared" ref="AX401:AX464" si="113">+AC401*AW401</f>
        <v>652068.7587017999</v>
      </c>
      <c r="AY401">
        <f t="shared" ref="AY401:AY464" si="114">+AG401*AW401</f>
        <v>1042274.1110726999</v>
      </c>
      <c r="AZ401">
        <f t="shared" ref="AZ401:AZ464" si="115">+W401*AW401</f>
        <v>186121.79572326998</v>
      </c>
      <c r="BA401">
        <f t="shared" si="107"/>
        <v>15278.803099999999</v>
      </c>
      <c r="BB401">
        <f t="shared" si="108"/>
        <v>0</v>
      </c>
      <c r="BC401">
        <f t="shared" si="109"/>
        <v>0</v>
      </c>
      <c r="BD401">
        <f t="shared" si="110"/>
        <v>0</v>
      </c>
      <c r="BE401">
        <f t="shared" si="111"/>
        <v>0</v>
      </c>
      <c r="BF401">
        <f t="shared" si="112"/>
        <v>0</v>
      </c>
      <c r="BG401">
        <f t="shared" ref="BG401:BG464" si="116">+$X401*AP401</f>
        <v>4153.3366567199992</v>
      </c>
      <c r="BH401">
        <f t="shared" ref="BH401:BH464" si="117">+$X401*AQ401</f>
        <v>4113.8823849599994</v>
      </c>
      <c r="BI401">
        <f t="shared" ref="BI401:BI464" si="118">+$X401*AR401</f>
        <v>4041.4033249199992</v>
      </c>
      <c r="BJ401">
        <f t="shared" ref="BJ401:BJ464" si="119">+$X401*AS401</f>
        <v>3847.8836405599995</v>
      </c>
      <c r="BK401">
        <f t="shared" ref="BK401:BK464" si="120">+$X401*AT401</f>
        <v>3814.1551277199997</v>
      </c>
      <c r="BL401">
        <f t="shared" ref="BL401:BL464" si="121">+$X401*AU401</f>
        <v>3656.8269921599999</v>
      </c>
    </row>
    <row r="402" spans="1:64">
      <c r="A402" t="str">
        <f t="shared" si="106"/>
        <v>26</v>
      </c>
      <c r="B402" t="s">
        <v>605</v>
      </c>
      <c r="C402" t="s">
        <v>708</v>
      </c>
      <c r="D402">
        <v>55</v>
      </c>
      <c r="E402">
        <v>1</v>
      </c>
      <c r="F402">
        <v>6</v>
      </c>
      <c r="G402">
        <v>2</v>
      </c>
      <c r="H402">
        <v>100</v>
      </c>
      <c r="I402" t="s">
        <v>617</v>
      </c>
      <c r="J402">
        <v>0.39510000000000001</v>
      </c>
      <c r="K402">
        <v>34.491599999999998</v>
      </c>
      <c r="L402">
        <v>1.2500000000000001E-2</v>
      </c>
      <c r="M402">
        <v>0.5534</v>
      </c>
      <c r="N402">
        <v>23.0124</v>
      </c>
      <c r="O402">
        <v>89.062200000000004</v>
      </c>
      <c r="P402">
        <v>363.83370000000002</v>
      </c>
      <c r="Q402">
        <v>214.73990000000001</v>
      </c>
      <c r="R402">
        <v>0.74819999999999998</v>
      </c>
      <c r="S402">
        <v>0.59319999999999995</v>
      </c>
      <c r="T402">
        <v>0.2742</v>
      </c>
      <c r="U402">
        <v>2.5999999999999999E-3</v>
      </c>
      <c r="V402">
        <v>0.42959999999999998</v>
      </c>
      <c r="W402">
        <v>11.9978</v>
      </c>
      <c r="X402">
        <v>10.2607</v>
      </c>
      <c r="Y402">
        <v>9.1384000000000007</v>
      </c>
      <c r="Z402">
        <v>9.0640000000000001</v>
      </c>
      <c r="AA402">
        <v>39.710900000000002</v>
      </c>
      <c r="AB402">
        <v>8.4939</v>
      </c>
      <c r="AC402">
        <v>42.254899999999999</v>
      </c>
      <c r="AD402">
        <v>53.652799999999999</v>
      </c>
      <c r="AE402">
        <v>0.31919999999999998</v>
      </c>
      <c r="AF402">
        <v>7685.8678</v>
      </c>
      <c r="AG402">
        <v>68.598299999999995</v>
      </c>
      <c r="AH402">
        <v>6.4500000000000002E-2</v>
      </c>
      <c r="AI402">
        <v>86.145200000000003</v>
      </c>
      <c r="AJ402">
        <v>73.2</v>
      </c>
      <c r="AK402">
        <v>75.412099999999995</v>
      </c>
      <c r="AL402">
        <v>2.0329000000000002</v>
      </c>
      <c r="AM402">
        <v>0.05</v>
      </c>
      <c r="AN402">
        <v>1.2500000000000001E-2</v>
      </c>
      <c r="AO402">
        <v>97.040300000000002</v>
      </c>
      <c r="AP402">
        <v>89.839299999999994</v>
      </c>
      <c r="AQ402">
        <v>89.083100000000002</v>
      </c>
      <c r="AR402">
        <v>87.825400000000002</v>
      </c>
      <c r="AS402">
        <v>84.281400000000005</v>
      </c>
      <c r="AT402">
        <v>83.639799999999994</v>
      </c>
      <c r="AU402">
        <v>80.362300000000005</v>
      </c>
      <c r="AV402">
        <v>964.6635</v>
      </c>
      <c r="AW402">
        <v>2452.9585999999999</v>
      </c>
      <c r="AX402">
        <f t="shared" si="113"/>
        <v>103649.52034714</v>
      </c>
      <c r="AY402">
        <f t="shared" si="114"/>
        <v>168268.78993037998</v>
      </c>
      <c r="AZ402">
        <f t="shared" si="115"/>
        <v>29430.10669108</v>
      </c>
      <c r="BA402">
        <f t="shared" si="107"/>
        <v>2452.9585999999999</v>
      </c>
      <c r="BB402">
        <f t="shared" si="108"/>
        <v>0</v>
      </c>
      <c r="BC402">
        <f t="shared" si="109"/>
        <v>0</v>
      </c>
      <c r="BD402">
        <f t="shared" si="110"/>
        <v>0</v>
      </c>
      <c r="BE402">
        <f t="shared" si="111"/>
        <v>0</v>
      </c>
      <c r="BF402">
        <f t="shared" si="112"/>
        <v>0</v>
      </c>
      <c r="BG402">
        <f t="shared" si="116"/>
        <v>921.81410550999999</v>
      </c>
      <c r="BH402">
        <f t="shared" si="117"/>
        <v>914.05496417000006</v>
      </c>
      <c r="BI402">
        <f t="shared" si="118"/>
        <v>901.15008178000005</v>
      </c>
      <c r="BJ402">
        <f t="shared" si="119"/>
        <v>864.78616098000009</v>
      </c>
      <c r="BK402">
        <f t="shared" si="120"/>
        <v>858.2028958599999</v>
      </c>
      <c r="BL402">
        <f t="shared" si="121"/>
        <v>824.57345161000001</v>
      </c>
    </row>
    <row r="403" spans="1:64">
      <c r="A403" t="str">
        <f t="shared" si="106"/>
        <v>26</v>
      </c>
      <c r="B403" t="s">
        <v>605</v>
      </c>
      <c r="C403" t="s">
        <v>708</v>
      </c>
      <c r="D403">
        <v>55</v>
      </c>
      <c r="E403">
        <v>1</v>
      </c>
      <c r="F403">
        <v>6</v>
      </c>
      <c r="G403">
        <v>2</v>
      </c>
      <c r="H403">
        <v>200</v>
      </c>
      <c r="I403" t="s">
        <v>617</v>
      </c>
      <c r="J403">
        <v>0.38729999999999998</v>
      </c>
      <c r="K403">
        <v>33.932099999999998</v>
      </c>
      <c r="L403">
        <v>1.3100000000000001E-2</v>
      </c>
      <c r="M403">
        <v>0.54690000000000005</v>
      </c>
      <c r="N403">
        <v>22.320499999999999</v>
      </c>
      <c r="O403">
        <v>88.348299999999995</v>
      </c>
      <c r="P403">
        <v>367.52800000000002</v>
      </c>
      <c r="Q403">
        <v>213.66050000000001</v>
      </c>
      <c r="R403">
        <v>0.74270000000000003</v>
      </c>
      <c r="S403">
        <v>0.54239999999999999</v>
      </c>
      <c r="T403">
        <v>0.2601</v>
      </c>
      <c r="U403">
        <v>2.2000000000000001E-3</v>
      </c>
      <c r="V403">
        <v>0.4133</v>
      </c>
      <c r="W403">
        <v>11.9122</v>
      </c>
      <c r="X403">
        <v>16.694500000000001</v>
      </c>
      <c r="Y403">
        <v>14.8504</v>
      </c>
      <c r="Z403">
        <v>14.775</v>
      </c>
      <c r="AA403">
        <v>66.568399999999997</v>
      </c>
      <c r="AB403">
        <v>7.9934000000000003</v>
      </c>
      <c r="AC403">
        <v>42.212200000000003</v>
      </c>
      <c r="AD403">
        <v>54.4131</v>
      </c>
      <c r="AE403">
        <v>0.5413</v>
      </c>
      <c r="AF403">
        <v>7687.2438000000002</v>
      </c>
      <c r="AG403">
        <v>68.352599999999995</v>
      </c>
      <c r="AH403">
        <v>0.1167</v>
      </c>
      <c r="AI403">
        <v>86.298100000000005</v>
      </c>
      <c r="AJ403">
        <v>73.2</v>
      </c>
      <c r="AK403">
        <v>75.718800000000002</v>
      </c>
      <c r="AL403">
        <v>2.0396000000000001</v>
      </c>
      <c r="AM403">
        <v>0.05</v>
      </c>
      <c r="AN403">
        <v>1.46E-2</v>
      </c>
      <c r="AO403">
        <v>96.930999999999997</v>
      </c>
      <c r="AP403">
        <v>89.999099999999999</v>
      </c>
      <c r="AQ403">
        <v>89.143100000000004</v>
      </c>
      <c r="AR403">
        <v>87.833699999999993</v>
      </c>
      <c r="AS403">
        <v>84.246700000000004</v>
      </c>
      <c r="AT403">
        <v>83.554100000000005</v>
      </c>
      <c r="AU403">
        <v>80.264799999999994</v>
      </c>
      <c r="AV403">
        <v>1635.0319</v>
      </c>
      <c r="AW403">
        <v>4161.2636000000002</v>
      </c>
      <c r="AX403">
        <f t="shared" si="113"/>
        <v>175656.09133592003</v>
      </c>
      <c r="AY403">
        <f t="shared" si="114"/>
        <v>284433.18634536001</v>
      </c>
      <c r="AZ403">
        <f t="shared" si="115"/>
        <v>49569.804255920004</v>
      </c>
      <c r="BA403">
        <f t="shared" si="107"/>
        <v>4161.2636000000002</v>
      </c>
      <c r="BB403">
        <f t="shared" si="108"/>
        <v>0</v>
      </c>
      <c r="BC403">
        <f t="shared" si="109"/>
        <v>0</v>
      </c>
      <c r="BD403">
        <f t="shared" si="110"/>
        <v>0</v>
      </c>
      <c r="BE403">
        <f t="shared" si="111"/>
        <v>0</v>
      </c>
      <c r="BF403">
        <f t="shared" si="112"/>
        <v>0</v>
      </c>
      <c r="BG403">
        <f t="shared" si="116"/>
        <v>1502.48997495</v>
      </c>
      <c r="BH403">
        <f t="shared" si="117"/>
        <v>1488.1994829500002</v>
      </c>
      <c r="BI403">
        <f t="shared" si="118"/>
        <v>1466.3397046499999</v>
      </c>
      <c r="BJ403">
        <f t="shared" si="119"/>
        <v>1406.4565331500003</v>
      </c>
      <c r="BK403">
        <f t="shared" si="120"/>
        <v>1394.8939224500002</v>
      </c>
      <c r="BL403">
        <f t="shared" si="121"/>
        <v>1339.9807036</v>
      </c>
    </row>
    <row r="404" spans="1:64">
      <c r="A404" t="str">
        <f t="shared" si="106"/>
        <v>22</v>
      </c>
      <c r="B404" t="s">
        <v>605</v>
      </c>
      <c r="C404" t="s">
        <v>709</v>
      </c>
      <c r="D404">
        <v>55</v>
      </c>
      <c r="E404">
        <v>1</v>
      </c>
      <c r="F404">
        <v>6</v>
      </c>
      <c r="G404">
        <v>2</v>
      </c>
      <c r="H404">
        <v>100</v>
      </c>
      <c r="I404" t="s">
        <v>609</v>
      </c>
      <c r="J404">
        <v>0.30199999999999999</v>
      </c>
      <c r="K404">
        <v>23.953099999999999</v>
      </c>
      <c r="L404">
        <v>9.4999999999999998E-3</v>
      </c>
      <c r="M404">
        <v>0.52049999999999996</v>
      </c>
      <c r="N404">
        <v>18.573899999999998</v>
      </c>
      <c r="O404">
        <v>87.106399999999994</v>
      </c>
      <c r="P404">
        <v>952.08529999999996</v>
      </c>
      <c r="Q404">
        <v>222.91329999999999</v>
      </c>
      <c r="R404">
        <v>0.9425</v>
      </c>
      <c r="S404">
        <v>0.39979999999999999</v>
      </c>
      <c r="T404">
        <v>0.18129999999999999</v>
      </c>
      <c r="U404">
        <v>2.5000000000000001E-3</v>
      </c>
      <c r="V404">
        <v>0.29470000000000002</v>
      </c>
      <c r="W404">
        <v>12.2468</v>
      </c>
      <c r="X404">
        <v>121.5667</v>
      </c>
      <c r="Y404">
        <v>108.0699</v>
      </c>
      <c r="Z404">
        <v>107.2248</v>
      </c>
      <c r="AA404">
        <v>587.30499999999995</v>
      </c>
      <c r="AB404">
        <v>8.4466999999999999</v>
      </c>
      <c r="AC404">
        <v>43.525100000000002</v>
      </c>
      <c r="AD404">
        <v>53.663800000000002</v>
      </c>
      <c r="AE404">
        <v>5.4114000000000004</v>
      </c>
      <c r="AF404">
        <v>7833.0749999999998</v>
      </c>
      <c r="AG404">
        <v>67.556200000000004</v>
      </c>
      <c r="AH404">
        <v>0.77139999999999997</v>
      </c>
      <c r="AI404">
        <v>85.2286</v>
      </c>
      <c r="AJ404">
        <v>72.034099999999995</v>
      </c>
      <c r="AK404">
        <v>73.590400000000002</v>
      </c>
      <c r="AL404">
        <v>1.9469000000000001</v>
      </c>
      <c r="AM404">
        <v>0.05</v>
      </c>
      <c r="AN404">
        <v>1.37E-2</v>
      </c>
      <c r="AO404">
        <v>96.131500000000003</v>
      </c>
      <c r="AP404">
        <v>90.961299999999994</v>
      </c>
      <c r="AQ404">
        <v>90.061300000000003</v>
      </c>
      <c r="AR404">
        <v>88.4221</v>
      </c>
      <c r="AS404">
        <v>84.019800000000004</v>
      </c>
      <c r="AT404">
        <v>83.280900000000003</v>
      </c>
      <c r="AU404">
        <v>79.742099999999994</v>
      </c>
      <c r="AV404">
        <v>16678.490300000001</v>
      </c>
      <c r="AW404">
        <v>42383.553200000002</v>
      </c>
      <c r="AX404">
        <f t="shared" si="113"/>
        <v>1844748.3913853201</v>
      </c>
      <c r="AY404">
        <f t="shared" si="114"/>
        <v>2863271.7966898405</v>
      </c>
      <c r="AZ404">
        <f t="shared" si="115"/>
        <v>519062.89932976005</v>
      </c>
      <c r="BA404">
        <f t="shared" si="107"/>
        <v>42383.553200000002</v>
      </c>
      <c r="BB404">
        <f t="shared" si="108"/>
        <v>0</v>
      </c>
      <c r="BC404">
        <f t="shared" si="109"/>
        <v>0</v>
      </c>
      <c r="BD404">
        <f t="shared" si="110"/>
        <v>0</v>
      </c>
      <c r="BE404">
        <f t="shared" si="111"/>
        <v>0</v>
      </c>
      <c r="BF404">
        <f t="shared" si="112"/>
        <v>0</v>
      </c>
      <c r="BG404">
        <f t="shared" si="116"/>
        <v>11057.86506871</v>
      </c>
      <c r="BH404">
        <f t="shared" si="117"/>
        <v>10948.455038710001</v>
      </c>
      <c r="BI404">
        <f t="shared" si="118"/>
        <v>10749.182904069999</v>
      </c>
      <c r="BJ404">
        <f t="shared" si="119"/>
        <v>10214.00982066</v>
      </c>
      <c r="BK404">
        <f t="shared" si="120"/>
        <v>10124.184186030001</v>
      </c>
      <c r="BL404">
        <f t="shared" si="121"/>
        <v>9693.9839480699993</v>
      </c>
    </row>
    <row r="405" spans="1:64">
      <c r="A405" t="str">
        <f t="shared" si="106"/>
        <v>22</v>
      </c>
      <c r="B405" t="s">
        <v>605</v>
      </c>
      <c r="C405" t="s">
        <v>709</v>
      </c>
      <c r="D405">
        <v>55</v>
      </c>
      <c r="E405">
        <v>1</v>
      </c>
      <c r="F405">
        <v>6</v>
      </c>
      <c r="G405">
        <v>2</v>
      </c>
      <c r="H405">
        <v>100</v>
      </c>
      <c r="I405" t="s">
        <v>617</v>
      </c>
      <c r="J405">
        <v>0.41310000000000002</v>
      </c>
      <c r="K405">
        <v>32.2607</v>
      </c>
      <c r="L405">
        <v>9.1999999999999998E-3</v>
      </c>
      <c r="M405">
        <v>0.40079999999999999</v>
      </c>
      <c r="N405">
        <v>18.9725</v>
      </c>
      <c r="O405">
        <v>75.816999999999993</v>
      </c>
      <c r="P405">
        <v>770.73019999999997</v>
      </c>
      <c r="Q405">
        <v>231.07759999999999</v>
      </c>
      <c r="R405">
        <v>1.2867</v>
      </c>
      <c r="S405">
        <v>0.44369999999999998</v>
      </c>
      <c r="T405">
        <v>0.24299999999999999</v>
      </c>
      <c r="U405">
        <v>3.8E-3</v>
      </c>
      <c r="V405">
        <v>0.35560000000000003</v>
      </c>
      <c r="W405">
        <v>12.3102</v>
      </c>
      <c r="X405">
        <v>161.4495</v>
      </c>
      <c r="Y405">
        <v>143.39580000000001</v>
      </c>
      <c r="Z405">
        <v>142.27969999999999</v>
      </c>
      <c r="AA405">
        <v>761.03499999999997</v>
      </c>
      <c r="AB405">
        <v>10.581</v>
      </c>
      <c r="AC405">
        <v>45.382599999999996</v>
      </c>
      <c r="AD405">
        <v>56.928100000000001</v>
      </c>
      <c r="AE405">
        <v>5.8036000000000003</v>
      </c>
      <c r="AF405">
        <v>8040.9834000000001</v>
      </c>
      <c r="AG405">
        <v>66.331100000000006</v>
      </c>
      <c r="AH405">
        <v>1.0249999999999999</v>
      </c>
      <c r="AI405">
        <v>85.692499999999995</v>
      </c>
      <c r="AJ405">
        <v>73.2</v>
      </c>
      <c r="AK405">
        <v>74.510000000000005</v>
      </c>
      <c r="AL405">
        <v>1.8996999999999999</v>
      </c>
      <c r="AM405">
        <v>0.05</v>
      </c>
      <c r="AN405">
        <v>2.3300000000000001E-2</v>
      </c>
      <c r="AO405">
        <v>94.995999999999995</v>
      </c>
      <c r="AP405">
        <v>91.945899999999995</v>
      </c>
      <c r="AQ405">
        <v>90.915899999999993</v>
      </c>
      <c r="AR405">
        <v>88.999799999999993</v>
      </c>
      <c r="AS405">
        <v>84.22</v>
      </c>
      <c r="AT405">
        <v>83.448499999999996</v>
      </c>
      <c r="AU405">
        <v>80.101399999999998</v>
      </c>
      <c r="AV405">
        <v>18278.601900000001</v>
      </c>
      <c r="AW405">
        <v>46647.879800000002</v>
      </c>
      <c r="AX405">
        <f t="shared" si="113"/>
        <v>2117002.0698114801</v>
      </c>
      <c r="AY405">
        <f t="shared" si="114"/>
        <v>3094205.1798017803</v>
      </c>
      <c r="AZ405">
        <f t="shared" si="115"/>
        <v>574244.72991395998</v>
      </c>
      <c r="BA405">
        <f t="shared" si="107"/>
        <v>46647.879800000002</v>
      </c>
      <c r="BB405">
        <f t="shared" si="108"/>
        <v>0</v>
      </c>
      <c r="BC405">
        <f t="shared" si="109"/>
        <v>0</v>
      </c>
      <c r="BD405">
        <f t="shared" si="110"/>
        <v>0</v>
      </c>
      <c r="BE405">
        <f t="shared" si="111"/>
        <v>0</v>
      </c>
      <c r="BF405">
        <f t="shared" si="112"/>
        <v>0</v>
      </c>
      <c r="BG405">
        <f t="shared" si="116"/>
        <v>14844.61958205</v>
      </c>
      <c r="BH405">
        <f t="shared" si="117"/>
        <v>14678.32659705</v>
      </c>
      <c r="BI405">
        <f t="shared" si="118"/>
        <v>14368.973210099999</v>
      </c>
      <c r="BJ405">
        <f t="shared" si="119"/>
        <v>13597.276889999999</v>
      </c>
      <c r="BK405">
        <f t="shared" si="120"/>
        <v>13472.718600749999</v>
      </c>
      <c r="BL405">
        <f t="shared" si="121"/>
        <v>12932.330979299999</v>
      </c>
    </row>
    <row r="406" spans="1:64">
      <c r="A406" t="str">
        <f t="shared" si="106"/>
        <v>22</v>
      </c>
      <c r="B406" t="s">
        <v>605</v>
      </c>
      <c r="C406" t="s">
        <v>709</v>
      </c>
      <c r="D406">
        <v>55</v>
      </c>
      <c r="E406">
        <v>1</v>
      </c>
      <c r="F406">
        <v>6</v>
      </c>
      <c r="G406">
        <v>2</v>
      </c>
      <c r="H406">
        <v>100</v>
      </c>
      <c r="I406" t="s">
        <v>607</v>
      </c>
      <c r="J406">
        <v>0.46229999999999999</v>
      </c>
      <c r="K406">
        <v>34.9816</v>
      </c>
      <c r="L406">
        <v>1.21E-2</v>
      </c>
      <c r="M406">
        <v>0.47249999999999998</v>
      </c>
      <c r="N406">
        <v>24.264099999999999</v>
      </c>
      <c r="O406">
        <v>85.979799999999997</v>
      </c>
      <c r="P406">
        <v>368.43439999999998</v>
      </c>
      <c r="Q406">
        <v>217.70240000000001</v>
      </c>
      <c r="R406">
        <v>0.70940000000000003</v>
      </c>
      <c r="S406">
        <v>0.63329999999999997</v>
      </c>
      <c r="T406">
        <v>0.28970000000000001</v>
      </c>
      <c r="U406">
        <v>3.2000000000000002E-3</v>
      </c>
      <c r="V406">
        <v>0.49619999999999997</v>
      </c>
      <c r="W406">
        <v>12.0146</v>
      </c>
      <c r="X406">
        <v>6.9966999999999997</v>
      </c>
      <c r="Y406">
        <v>6.2347999999999999</v>
      </c>
      <c r="Z406">
        <v>6.2230999999999996</v>
      </c>
      <c r="AA406">
        <v>25.690300000000001</v>
      </c>
      <c r="AB406">
        <v>9.8915000000000006</v>
      </c>
      <c r="AC406">
        <v>43.000599999999999</v>
      </c>
      <c r="AD406">
        <v>54.097999999999999</v>
      </c>
      <c r="AE406">
        <v>0.18790000000000001</v>
      </c>
      <c r="AF406">
        <v>7756.9161999999997</v>
      </c>
      <c r="AG406">
        <v>68.664500000000004</v>
      </c>
      <c r="AH406">
        <v>5.4199999999999998E-2</v>
      </c>
      <c r="AI406">
        <v>86.900400000000005</v>
      </c>
      <c r="AJ406">
        <v>73.2</v>
      </c>
      <c r="AK406">
        <v>76.936899999999994</v>
      </c>
      <c r="AL406">
        <v>1.9688000000000001</v>
      </c>
      <c r="AM406">
        <v>0.05</v>
      </c>
      <c r="AN406">
        <v>1.7100000000000001E-2</v>
      </c>
      <c r="AO406">
        <v>96.845799999999997</v>
      </c>
      <c r="AP406">
        <v>90.319699999999997</v>
      </c>
      <c r="AQ406">
        <v>89.545299999999997</v>
      </c>
      <c r="AR406">
        <v>88.191000000000003</v>
      </c>
      <c r="AS406">
        <v>84.486199999999997</v>
      </c>
      <c r="AT406">
        <v>83.828199999999995</v>
      </c>
      <c r="AU406">
        <v>80.594499999999996</v>
      </c>
      <c r="AV406">
        <v>574.15520000000004</v>
      </c>
      <c r="AW406">
        <v>1457.2059999999999</v>
      </c>
      <c r="AX406">
        <f t="shared" si="113"/>
        <v>62660.732323599994</v>
      </c>
      <c r="AY406">
        <f t="shared" si="114"/>
        <v>100058.321387</v>
      </c>
      <c r="AZ406">
        <f t="shared" si="115"/>
        <v>17507.747207599998</v>
      </c>
      <c r="BA406">
        <f t="shared" si="107"/>
        <v>1457.2059999999999</v>
      </c>
      <c r="BB406">
        <f t="shared" si="108"/>
        <v>0</v>
      </c>
      <c r="BC406">
        <f t="shared" si="109"/>
        <v>0</v>
      </c>
      <c r="BD406">
        <f t="shared" si="110"/>
        <v>0</v>
      </c>
      <c r="BE406">
        <f t="shared" si="111"/>
        <v>0</v>
      </c>
      <c r="BF406">
        <f t="shared" si="112"/>
        <v>0</v>
      </c>
      <c r="BG406">
        <f t="shared" si="116"/>
        <v>631.93984498999998</v>
      </c>
      <c r="BH406">
        <f t="shared" si="117"/>
        <v>626.52160050999998</v>
      </c>
      <c r="BI406">
        <f t="shared" si="118"/>
        <v>617.0459697</v>
      </c>
      <c r="BJ406">
        <f t="shared" si="119"/>
        <v>591.12459553999997</v>
      </c>
      <c r="BK406">
        <f t="shared" si="120"/>
        <v>586.52076693999993</v>
      </c>
      <c r="BL406">
        <f t="shared" si="121"/>
        <v>563.89553814999999</v>
      </c>
    </row>
    <row r="407" spans="1:64">
      <c r="A407" t="str">
        <f t="shared" si="106"/>
        <v>23</v>
      </c>
      <c r="B407" t="s">
        <v>605</v>
      </c>
      <c r="C407" t="s">
        <v>710</v>
      </c>
      <c r="D407">
        <v>55</v>
      </c>
      <c r="E407">
        <v>1</v>
      </c>
      <c r="F407">
        <v>6</v>
      </c>
      <c r="G407">
        <v>2</v>
      </c>
      <c r="H407">
        <v>100</v>
      </c>
      <c r="I407" t="s">
        <v>617</v>
      </c>
      <c r="J407">
        <v>0.43</v>
      </c>
      <c r="K407">
        <v>24.301300000000001</v>
      </c>
      <c r="L407">
        <v>8.2000000000000007E-3</v>
      </c>
      <c r="M407">
        <v>0.40400000000000003</v>
      </c>
      <c r="N407">
        <v>17.881</v>
      </c>
      <c r="O407">
        <v>75.601399999999998</v>
      </c>
      <c r="P407">
        <v>899.04330000000004</v>
      </c>
      <c r="Q407">
        <v>243.07159999999999</v>
      </c>
      <c r="R407">
        <v>1.5478000000000001</v>
      </c>
      <c r="S407">
        <v>0.37159999999999999</v>
      </c>
      <c r="T407">
        <v>0.27329999999999999</v>
      </c>
      <c r="U407">
        <v>5.7999999999999996E-3</v>
      </c>
      <c r="V407">
        <v>0.36399999999999999</v>
      </c>
      <c r="W407">
        <v>12.5526</v>
      </c>
      <c r="X407">
        <v>92.681899999999999</v>
      </c>
      <c r="Y407">
        <v>81.863</v>
      </c>
      <c r="Z407">
        <v>80.498000000000005</v>
      </c>
      <c r="AA407">
        <v>457.82130000000001</v>
      </c>
      <c r="AB407">
        <v>28.5501</v>
      </c>
      <c r="AC407">
        <v>47.626199999999997</v>
      </c>
      <c r="AD407">
        <v>61.636400000000002</v>
      </c>
      <c r="AE407">
        <v>3.1236000000000002</v>
      </c>
      <c r="AF407">
        <v>8301.7926000000007</v>
      </c>
      <c r="AG407">
        <v>64.412099999999995</v>
      </c>
      <c r="AH407">
        <v>0.39400000000000002</v>
      </c>
      <c r="AI407">
        <v>84.715500000000006</v>
      </c>
      <c r="AJ407">
        <v>73.2</v>
      </c>
      <c r="AK407">
        <v>72.583100000000002</v>
      </c>
      <c r="AL407">
        <v>1.9020999999999999</v>
      </c>
      <c r="AM407">
        <v>0.05</v>
      </c>
      <c r="AN407">
        <v>2.3400000000000001E-2</v>
      </c>
      <c r="AO407">
        <v>93.44</v>
      </c>
      <c r="AP407">
        <v>93.257400000000004</v>
      </c>
      <c r="AQ407">
        <v>91.922799999999995</v>
      </c>
      <c r="AR407">
        <v>89.275899999999993</v>
      </c>
      <c r="AS407">
        <v>83.718000000000004</v>
      </c>
      <c r="AT407">
        <v>82.830399999999997</v>
      </c>
      <c r="AU407">
        <v>79.446299999999994</v>
      </c>
      <c r="AV407">
        <v>10145.125</v>
      </c>
      <c r="AW407">
        <v>25929.660599999999</v>
      </c>
      <c r="AX407">
        <f t="shared" si="113"/>
        <v>1234931.20166772</v>
      </c>
      <c r="AY407">
        <f t="shared" si="114"/>
        <v>1670183.8915332598</v>
      </c>
      <c r="AZ407">
        <f t="shared" si="115"/>
        <v>325484.65764756</v>
      </c>
      <c r="BA407">
        <f t="shared" si="107"/>
        <v>25929.660599999999</v>
      </c>
      <c r="BB407">
        <f t="shared" si="108"/>
        <v>0</v>
      </c>
      <c r="BC407">
        <f t="shared" si="109"/>
        <v>0</v>
      </c>
      <c r="BD407">
        <f t="shared" si="110"/>
        <v>0</v>
      </c>
      <c r="BE407">
        <f t="shared" si="111"/>
        <v>0</v>
      </c>
      <c r="BF407">
        <f t="shared" si="112"/>
        <v>0</v>
      </c>
      <c r="BG407">
        <f t="shared" si="116"/>
        <v>8643.2730210600002</v>
      </c>
      <c r="BH407">
        <f t="shared" si="117"/>
        <v>8519.5797573199998</v>
      </c>
      <c r="BI407">
        <f t="shared" si="118"/>
        <v>8274.2600362099984</v>
      </c>
      <c r="BJ407">
        <f t="shared" si="119"/>
        <v>7759.1433041999999</v>
      </c>
      <c r="BK407">
        <f t="shared" si="120"/>
        <v>7676.8788497599999</v>
      </c>
      <c r="BL407">
        <f t="shared" si="121"/>
        <v>7363.2340319699997</v>
      </c>
    </row>
    <row r="408" spans="1:64">
      <c r="A408" t="str">
        <f t="shared" si="106"/>
        <v>23</v>
      </c>
      <c r="B408" t="s">
        <v>605</v>
      </c>
      <c r="C408" t="s">
        <v>710</v>
      </c>
      <c r="D408">
        <v>55</v>
      </c>
      <c r="E408">
        <v>1</v>
      </c>
      <c r="F408">
        <v>6</v>
      </c>
      <c r="G408">
        <v>2</v>
      </c>
      <c r="H408">
        <v>100</v>
      </c>
      <c r="I408" t="s">
        <v>607</v>
      </c>
      <c r="J408">
        <v>0.54620000000000002</v>
      </c>
      <c r="K408">
        <v>45.861699999999999</v>
      </c>
      <c r="L408">
        <v>1.0200000000000001E-2</v>
      </c>
      <c r="M408">
        <v>0.54779999999999995</v>
      </c>
      <c r="N408">
        <v>18.1629</v>
      </c>
      <c r="O408">
        <v>78.626300000000001</v>
      </c>
      <c r="P408">
        <v>861.46699999999998</v>
      </c>
      <c r="Q408">
        <v>246.45580000000001</v>
      </c>
      <c r="R408">
        <v>1.5266999999999999</v>
      </c>
      <c r="S408">
        <v>0.27650000000000002</v>
      </c>
      <c r="T408">
        <v>0.4148</v>
      </c>
      <c r="U408">
        <v>7.7999999999999996E-3</v>
      </c>
      <c r="V408">
        <v>0.54359999999999997</v>
      </c>
      <c r="W408">
        <v>12.4635</v>
      </c>
      <c r="X408">
        <v>73.051900000000003</v>
      </c>
      <c r="Y408">
        <v>64.318899999999999</v>
      </c>
      <c r="Z408">
        <v>63.556199999999997</v>
      </c>
      <c r="AA408">
        <v>354.04469999999998</v>
      </c>
      <c r="AB408">
        <v>31.4588</v>
      </c>
      <c r="AC408">
        <v>48.885899999999999</v>
      </c>
      <c r="AD408">
        <v>61.188699999999997</v>
      </c>
      <c r="AE408">
        <v>1.633</v>
      </c>
      <c r="AF408">
        <v>8421.3418000000001</v>
      </c>
      <c r="AG408">
        <v>64.421700000000001</v>
      </c>
      <c r="AH408">
        <v>0.39090000000000003</v>
      </c>
      <c r="AI408">
        <v>86.109399999999994</v>
      </c>
      <c r="AJ408">
        <v>73.2</v>
      </c>
      <c r="AK408">
        <v>75.351900000000001</v>
      </c>
      <c r="AL408">
        <v>1.7090000000000001</v>
      </c>
      <c r="AM408">
        <v>0.05</v>
      </c>
      <c r="AN408">
        <v>2.2800000000000001E-2</v>
      </c>
      <c r="AO408">
        <v>93.139899999999997</v>
      </c>
      <c r="AP408">
        <v>93.5154</v>
      </c>
      <c r="AQ408">
        <v>92.042699999999996</v>
      </c>
      <c r="AR408">
        <v>89.189499999999995</v>
      </c>
      <c r="AS408">
        <v>83.278599999999997</v>
      </c>
      <c r="AT408">
        <v>82.304599999999994</v>
      </c>
      <c r="AU408">
        <v>78.771100000000004</v>
      </c>
      <c r="AV408">
        <v>5417.9598999999998</v>
      </c>
      <c r="AW408">
        <v>13752.3446</v>
      </c>
      <c r="AX408">
        <f t="shared" si="113"/>
        <v>672295.74288113997</v>
      </c>
      <c r="AY408">
        <f t="shared" si="114"/>
        <v>885949.41811782005</v>
      </c>
      <c r="AZ408">
        <f t="shared" si="115"/>
        <v>171402.3469221</v>
      </c>
      <c r="BA408">
        <f t="shared" si="107"/>
        <v>13752.3446</v>
      </c>
      <c r="BB408">
        <f t="shared" si="108"/>
        <v>0</v>
      </c>
      <c r="BC408">
        <f t="shared" si="109"/>
        <v>0</v>
      </c>
      <c r="BD408">
        <f t="shared" si="110"/>
        <v>0</v>
      </c>
      <c r="BE408">
        <f t="shared" si="111"/>
        <v>0</v>
      </c>
      <c r="BF408">
        <f t="shared" si="112"/>
        <v>0</v>
      </c>
      <c r="BG408">
        <f t="shared" si="116"/>
        <v>6831.4776492600004</v>
      </c>
      <c r="BH408">
        <f t="shared" si="117"/>
        <v>6723.8941161299999</v>
      </c>
      <c r="BI408">
        <f t="shared" si="118"/>
        <v>6515.4624350499998</v>
      </c>
      <c r="BJ408">
        <f t="shared" si="119"/>
        <v>6083.6599593399997</v>
      </c>
      <c r="BK408">
        <f t="shared" si="120"/>
        <v>6012.5074087399998</v>
      </c>
      <c r="BL408">
        <f t="shared" si="121"/>
        <v>5754.3785200900002</v>
      </c>
    </row>
    <row r="409" spans="1:64">
      <c r="A409" t="str">
        <f t="shared" si="106"/>
        <v>26</v>
      </c>
      <c r="B409" t="s">
        <v>605</v>
      </c>
      <c r="C409" t="s">
        <v>711</v>
      </c>
      <c r="D409">
        <v>1</v>
      </c>
      <c r="E409">
        <v>1</v>
      </c>
      <c r="F409">
        <v>6</v>
      </c>
      <c r="G409">
        <v>2</v>
      </c>
      <c r="H409">
        <v>100</v>
      </c>
      <c r="I409" t="s">
        <v>607</v>
      </c>
      <c r="J409">
        <v>0.746</v>
      </c>
      <c r="K409">
        <v>76</v>
      </c>
      <c r="L409">
        <v>2.75E-2</v>
      </c>
      <c r="M409">
        <v>1.0214000000000001</v>
      </c>
      <c r="N409">
        <v>31.152999999999999</v>
      </c>
      <c r="O409">
        <v>87.515000000000001</v>
      </c>
      <c r="P409">
        <v>554.60199999999998</v>
      </c>
      <c r="Q409">
        <v>217.255</v>
      </c>
      <c r="R409">
        <v>0.72199999999999998</v>
      </c>
      <c r="S409">
        <v>0.84299999999999997</v>
      </c>
      <c r="T409">
        <v>0.23150000000000001</v>
      </c>
      <c r="U409">
        <v>4.0000000000000001E-3</v>
      </c>
      <c r="V409">
        <v>0.51319999999999999</v>
      </c>
      <c r="W409">
        <v>11.26</v>
      </c>
      <c r="X409">
        <v>12.811400000000001</v>
      </c>
      <c r="Y409">
        <v>11.395799999999999</v>
      </c>
      <c r="Z409">
        <v>11.796099999999999</v>
      </c>
      <c r="AA409">
        <v>36.580100000000002</v>
      </c>
      <c r="AB409">
        <v>18</v>
      </c>
      <c r="AC409">
        <v>44.639000000000003</v>
      </c>
      <c r="AD409">
        <v>64.919300000000007</v>
      </c>
      <c r="AE409">
        <v>0.35360000000000003</v>
      </c>
      <c r="AF409">
        <v>8081</v>
      </c>
      <c r="AG409">
        <v>57.518700000000003</v>
      </c>
      <c r="AH409">
        <v>0.2099</v>
      </c>
      <c r="AI409">
        <v>87.179000000000002</v>
      </c>
      <c r="AJ409">
        <v>73.064999999999998</v>
      </c>
      <c r="AK409">
        <v>75.290899999999993</v>
      </c>
      <c r="AL409">
        <v>1.7390000000000001</v>
      </c>
      <c r="AM409">
        <v>0.05</v>
      </c>
      <c r="AN409">
        <v>1.7999999999999999E-2</v>
      </c>
      <c r="AO409">
        <v>83.227900000000005</v>
      </c>
      <c r="AP409">
        <v>93.150999999999996</v>
      </c>
      <c r="AQ409">
        <v>91.557000000000002</v>
      </c>
      <c r="AR409">
        <v>89.322999999999993</v>
      </c>
      <c r="AS409">
        <v>81.888000000000005</v>
      </c>
      <c r="AT409">
        <v>80.713999999999999</v>
      </c>
      <c r="AU409">
        <v>75.081999999999994</v>
      </c>
      <c r="AV409">
        <v>1504.0450000000001</v>
      </c>
      <c r="AW409">
        <v>2857.6853999999998</v>
      </c>
      <c r="AX409">
        <f t="shared" si="113"/>
        <v>127564.2185706</v>
      </c>
      <c r="AY409">
        <f t="shared" si="114"/>
        <v>164370.34921697999</v>
      </c>
      <c r="AZ409">
        <f t="shared" si="115"/>
        <v>32177.537603999997</v>
      </c>
      <c r="BA409">
        <f t="shared" si="107"/>
        <v>2857.6853999999998</v>
      </c>
      <c r="BB409">
        <f t="shared" si="108"/>
        <v>0</v>
      </c>
      <c r="BC409">
        <f t="shared" si="109"/>
        <v>0</v>
      </c>
      <c r="BD409">
        <f t="shared" si="110"/>
        <v>0</v>
      </c>
      <c r="BE409">
        <f t="shared" si="111"/>
        <v>0</v>
      </c>
      <c r="BF409">
        <f t="shared" si="112"/>
        <v>0</v>
      </c>
      <c r="BG409">
        <f t="shared" si="116"/>
        <v>1193.3947214</v>
      </c>
      <c r="BH409">
        <f t="shared" si="117"/>
        <v>1172.9733498000001</v>
      </c>
      <c r="BI409">
        <f t="shared" si="118"/>
        <v>1144.3526821999999</v>
      </c>
      <c r="BJ409">
        <f t="shared" si="119"/>
        <v>1049.0999232000001</v>
      </c>
      <c r="BK409">
        <f t="shared" si="120"/>
        <v>1034.0593396000002</v>
      </c>
      <c r="BL409">
        <f t="shared" si="121"/>
        <v>961.90553479999994</v>
      </c>
    </row>
    <row r="410" spans="1:64">
      <c r="A410" t="str">
        <f t="shared" si="106"/>
        <v>26</v>
      </c>
      <c r="B410" t="s">
        <v>605</v>
      </c>
      <c r="C410" t="s">
        <v>711</v>
      </c>
      <c r="D410">
        <v>1</v>
      </c>
      <c r="E410">
        <v>1</v>
      </c>
      <c r="F410">
        <v>6</v>
      </c>
      <c r="G410">
        <v>2</v>
      </c>
      <c r="H410">
        <v>200</v>
      </c>
      <c r="I410" t="s">
        <v>607</v>
      </c>
      <c r="J410">
        <v>0.746</v>
      </c>
      <c r="K410">
        <v>76</v>
      </c>
      <c r="L410">
        <v>2.93E-2</v>
      </c>
      <c r="M410">
        <v>0.98740000000000006</v>
      </c>
      <c r="N410">
        <v>31.152999999999999</v>
      </c>
      <c r="O410">
        <v>87.515000000000001</v>
      </c>
      <c r="P410">
        <v>554.60199999999998</v>
      </c>
      <c r="Q410">
        <v>217.255</v>
      </c>
      <c r="R410">
        <v>0.72199999999999998</v>
      </c>
      <c r="S410">
        <v>0.84299999999999997</v>
      </c>
      <c r="T410">
        <v>0.20930000000000001</v>
      </c>
      <c r="U410">
        <v>4.0000000000000001E-3</v>
      </c>
      <c r="V410">
        <v>0.4859</v>
      </c>
      <c r="W410">
        <v>11.26</v>
      </c>
      <c r="X410">
        <v>1.2378</v>
      </c>
      <c r="Y410">
        <v>1.1045</v>
      </c>
      <c r="Z410">
        <v>1.1859</v>
      </c>
      <c r="AA410">
        <v>3.5453999999999999</v>
      </c>
      <c r="AB410">
        <v>18</v>
      </c>
      <c r="AC410">
        <v>44.639000000000003</v>
      </c>
      <c r="AD410">
        <v>64.315399999999997</v>
      </c>
      <c r="AE410">
        <v>3.7600000000000001E-2</v>
      </c>
      <c r="AF410">
        <v>8081</v>
      </c>
      <c r="AG410">
        <v>57.234099999999998</v>
      </c>
      <c r="AH410">
        <v>3.15E-2</v>
      </c>
      <c r="AI410">
        <v>87.179000000000002</v>
      </c>
      <c r="AJ410">
        <v>73.064999999999998</v>
      </c>
      <c r="AK410">
        <v>81.268500000000003</v>
      </c>
      <c r="AL410">
        <v>1.7390000000000001</v>
      </c>
      <c r="AM410">
        <v>0.05</v>
      </c>
      <c r="AN410">
        <v>1.7999999999999999E-2</v>
      </c>
      <c r="AO410">
        <v>83.227900000000005</v>
      </c>
      <c r="AP410">
        <v>93.150999999999996</v>
      </c>
      <c r="AQ410">
        <v>91.557000000000002</v>
      </c>
      <c r="AR410">
        <v>89.322999999999993</v>
      </c>
      <c r="AS410">
        <v>81.888000000000005</v>
      </c>
      <c r="AT410">
        <v>80.713999999999999</v>
      </c>
      <c r="AU410">
        <v>75.081999999999994</v>
      </c>
      <c r="AV410">
        <v>159.70869999999999</v>
      </c>
      <c r="AW410">
        <v>303.44650000000001</v>
      </c>
      <c r="AX410">
        <f t="shared" si="113"/>
        <v>13545.548313500001</v>
      </c>
      <c r="AY410">
        <f t="shared" si="114"/>
        <v>17367.48732565</v>
      </c>
      <c r="AZ410">
        <f t="shared" si="115"/>
        <v>3416.8075899999999</v>
      </c>
      <c r="BA410">
        <f t="shared" si="107"/>
        <v>303.44650000000001</v>
      </c>
      <c r="BB410">
        <f t="shared" si="108"/>
        <v>0</v>
      </c>
      <c r="BC410">
        <f t="shared" si="109"/>
        <v>0</v>
      </c>
      <c r="BD410">
        <f t="shared" si="110"/>
        <v>0</v>
      </c>
      <c r="BE410">
        <f t="shared" si="111"/>
        <v>0</v>
      </c>
      <c r="BF410">
        <f t="shared" si="112"/>
        <v>0</v>
      </c>
      <c r="BG410">
        <f t="shared" si="116"/>
        <v>115.30230779999999</v>
      </c>
      <c r="BH410">
        <f t="shared" si="117"/>
        <v>113.3292546</v>
      </c>
      <c r="BI410">
        <f t="shared" si="118"/>
        <v>110.56400939999999</v>
      </c>
      <c r="BJ410">
        <f t="shared" si="119"/>
        <v>101.36096640000001</v>
      </c>
      <c r="BK410">
        <f t="shared" si="120"/>
        <v>99.907789199999996</v>
      </c>
      <c r="BL410">
        <f t="shared" si="121"/>
        <v>92.936499599999991</v>
      </c>
    </row>
    <row r="411" spans="1:64">
      <c r="A411" t="str">
        <f t="shared" si="106"/>
        <v>26</v>
      </c>
      <c r="B411" t="s">
        <v>605</v>
      </c>
      <c r="C411" t="s">
        <v>711</v>
      </c>
      <c r="D411">
        <v>55</v>
      </c>
      <c r="E411">
        <v>1</v>
      </c>
      <c r="F411">
        <v>6</v>
      </c>
      <c r="G411">
        <v>2</v>
      </c>
      <c r="H411">
        <v>100</v>
      </c>
      <c r="I411" t="s">
        <v>607</v>
      </c>
      <c r="J411">
        <v>0.57340000000000002</v>
      </c>
      <c r="K411">
        <v>117.2899</v>
      </c>
      <c r="L411">
        <v>3.4700000000000002E-2</v>
      </c>
      <c r="M411">
        <v>0.96179999999999999</v>
      </c>
      <c r="N411">
        <v>31.865100000000002</v>
      </c>
      <c r="O411">
        <v>88.337000000000003</v>
      </c>
      <c r="P411">
        <v>354.91210000000001</v>
      </c>
      <c r="Q411">
        <v>235.02600000000001</v>
      </c>
      <c r="R411">
        <v>0.31159999999999999</v>
      </c>
      <c r="S411">
        <v>1.2566999999999999</v>
      </c>
      <c r="T411">
        <v>0.29809999999999998</v>
      </c>
      <c r="U411">
        <v>8.0000000000000002E-3</v>
      </c>
      <c r="V411">
        <v>0.69910000000000005</v>
      </c>
      <c r="W411">
        <v>11.9908</v>
      </c>
      <c r="X411">
        <v>292.31920000000002</v>
      </c>
      <c r="Y411">
        <v>258.45310000000001</v>
      </c>
      <c r="Z411">
        <v>264.5129</v>
      </c>
      <c r="AA411">
        <v>811.84010000000001</v>
      </c>
      <c r="AB411">
        <v>28.065999999999999</v>
      </c>
      <c r="AC411">
        <v>47.088900000000002</v>
      </c>
      <c r="AD411">
        <v>60.498699999999999</v>
      </c>
      <c r="AE411">
        <v>5.3353999999999999</v>
      </c>
      <c r="AF411">
        <v>8301.42</v>
      </c>
      <c r="AG411">
        <v>62.317399999999999</v>
      </c>
      <c r="AH411">
        <v>3.9672999999999998</v>
      </c>
      <c r="AI411">
        <v>89.043400000000005</v>
      </c>
      <c r="AJ411">
        <v>73.2</v>
      </c>
      <c r="AK411">
        <v>81.326999999999998</v>
      </c>
      <c r="AL411">
        <v>1.5358000000000001</v>
      </c>
      <c r="AM411">
        <v>0.05</v>
      </c>
      <c r="AN411">
        <v>9.5999999999999992E-3</v>
      </c>
      <c r="AO411">
        <v>92.535300000000007</v>
      </c>
      <c r="AP411">
        <v>93.06</v>
      </c>
      <c r="AQ411">
        <v>91.644400000000005</v>
      </c>
      <c r="AR411">
        <v>89.4285</v>
      </c>
      <c r="AS411">
        <v>83.558899999999994</v>
      </c>
      <c r="AT411">
        <v>82.539100000000005</v>
      </c>
      <c r="AU411">
        <v>77.665499999999994</v>
      </c>
      <c r="AV411">
        <v>17440.251899999999</v>
      </c>
      <c r="AW411">
        <v>44284.423300000002</v>
      </c>
      <c r="AX411">
        <f t="shared" si="113"/>
        <v>2085304.7803313702</v>
      </c>
      <c r="AY411">
        <f t="shared" si="114"/>
        <v>2759690.1205554199</v>
      </c>
      <c r="AZ411">
        <f t="shared" si="115"/>
        <v>531005.66290564009</v>
      </c>
      <c r="BA411">
        <f t="shared" si="107"/>
        <v>44284.423300000002</v>
      </c>
      <c r="BB411">
        <f t="shared" si="108"/>
        <v>0</v>
      </c>
      <c r="BC411">
        <f t="shared" si="109"/>
        <v>0</v>
      </c>
      <c r="BD411">
        <f t="shared" si="110"/>
        <v>0</v>
      </c>
      <c r="BE411">
        <f t="shared" si="111"/>
        <v>0</v>
      </c>
      <c r="BF411">
        <f t="shared" si="112"/>
        <v>0</v>
      </c>
      <c r="BG411">
        <f t="shared" si="116"/>
        <v>27203.224752000002</v>
      </c>
      <c r="BH411">
        <f t="shared" si="117"/>
        <v>26789.417692480005</v>
      </c>
      <c r="BI411">
        <f t="shared" si="118"/>
        <v>26141.667577200002</v>
      </c>
      <c r="BJ411">
        <f t="shared" si="119"/>
        <v>24425.870800879999</v>
      </c>
      <c r="BK411">
        <f t="shared" si="120"/>
        <v>24127.763680720003</v>
      </c>
      <c r="BL411">
        <f t="shared" si="121"/>
        <v>22703.116827599999</v>
      </c>
    </row>
    <row r="412" spans="1:64">
      <c r="A412" t="str">
        <f t="shared" si="106"/>
        <v>27</v>
      </c>
      <c r="B412" t="s">
        <v>605</v>
      </c>
      <c r="C412" t="s">
        <v>712</v>
      </c>
      <c r="D412">
        <v>1</v>
      </c>
      <c r="E412">
        <v>1</v>
      </c>
      <c r="F412">
        <v>6</v>
      </c>
      <c r="G412">
        <v>2</v>
      </c>
      <c r="H412">
        <v>100</v>
      </c>
      <c r="I412" t="s">
        <v>607</v>
      </c>
      <c r="J412">
        <v>0.746</v>
      </c>
      <c r="K412">
        <v>76</v>
      </c>
      <c r="L412">
        <v>2.75E-2</v>
      </c>
      <c r="M412">
        <v>1.0210999999999999</v>
      </c>
      <c r="N412">
        <v>31.152999999999999</v>
      </c>
      <c r="O412">
        <v>87.515000000000001</v>
      </c>
      <c r="P412">
        <v>554.60199999999998</v>
      </c>
      <c r="Q412">
        <v>217.255</v>
      </c>
      <c r="R412">
        <v>0.72199999999999998</v>
      </c>
      <c r="S412">
        <v>0.84299999999999997</v>
      </c>
      <c r="T412">
        <v>0.20080000000000001</v>
      </c>
      <c r="U412">
        <v>4.0000000000000001E-3</v>
      </c>
      <c r="V412">
        <v>0.51570000000000005</v>
      </c>
      <c r="W412">
        <v>11.26</v>
      </c>
      <c r="X412">
        <v>17.033100000000001</v>
      </c>
      <c r="Y412">
        <v>15.1525</v>
      </c>
      <c r="Z412">
        <v>15.7357</v>
      </c>
      <c r="AA412">
        <v>48.639000000000003</v>
      </c>
      <c r="AB412">
        <v>18</v>
      </c>
      <c r="AC412">
        <v>44.639000000000003</v>
      </c>
      <c r="AD412">
        <v>64.949700000000007</v>
      </c>
      <c r="AE412">
        <v>0.4718</v>
      </c>
      <c r="AF412">
        <v>8081</v>
      </c>
      <c r="AG412">
        <v>57.523400000000002</v>
      </c>
      <c r="AH412">
        <v>0.29249999999999998</v>
      </c>
      <c r="AI412">
        <v>87.179000000000002</v>
      </c>
      <c r="AJ412">
        <v>73.064999999999998</v>
      </c>
      <c r="AK412">
        <v>76.192499999999995</v>
      </c>
      <c r="AL412">
        <v>1.7390000000000001</v>
      </c>
      <c r="AM412">
        <v>0.05</v>
      </c>
      <c r="AN412">
        <v>1.7999999999999999E-2</v>
      </c>
      <c r="AO412">
        <v>83.227900000000005</v>
      </c>
      <c r="AP412">
        <v>93.150999999999996</v>
      </c>
      <c r="AQ412">
        <v>91.557000000000002</v>
      </c>
      <c r="AR412">
        <v>89.322999999999993</v>
      </c>
      <c r="AS412">
        <v>81.888000000000005</v>
      </c>
      <c r="AT412">
        <v>80.713999999999999</v>
      </c>
      <c r="AU412">
        <v>75.081999999999994</v>
      </c>
      <c r="AV412">
        <v>2006.5567000000001</v>
      </c>
      <c r="AW412">
        <v>3812.4576000000002</v>
      </c>
      <c r="AX412">
        <f t="shared" si="113"/>
        <v>170184.29480640002</v>
      </c>
      <c r="AY412">
        <f t="shared" si="114"/>
        <v>219305.52350784003</v>
      </c>
      <c r="AZ412">
        <f t="shared" si="115"/>
        <v>42928.272576000003</v>
      </c>
      <c r="BA412">
        <f t="shared" si="107"/>
        <v>3812.4576000000002</v>
      </c>
      <c r="BB412">
        <f t="shared" si="108"/>
        <v>0</v>
      </c>
      <c r="BC412">
        <f t="shared" si="109"/>
        <v>0</v>
      </c>
      <c r="BD412">
        <f t="shared" si="110"/>
        <v>0</v>
      </c>
      <c r="BE412">
        <f t="shared" si="111"/>
        <v>0</v>
      </c>
      <c r="BF412">
        <f t="shared" si="112"/>
        <v>0</v>
      </c>
      <c r="BG412">
        <f t="shared" si="116"/>
        <v>1586.6502981000001</v>
      </c>
      <c r="BH412">
        <f t="shared" si="117"/>
        <v>1559.4995367000001</v>
      </c>
      <c r="BI412">
        <f t="shared" si="118"/>
        <v>1521.4475912999999</v>
      </c>
      <c r="BJ412">
        <f t="shared" si="119"/>
        <v>1394.8064928000001</v>
      </c>
      <c r="BK412">
        <f t="shared" si="120"/>
        <v>1374.8096334000002</v>
      </c>
      <c r="BL412">
        <f t="shared" si="121"/>
        <v>1278.8792142</v>
      </c>
    </row>
    <row r="413" spans="1:64">
      <c r="A413" t="str">
        <f t="shared" si="106"/>
        <v>27</v>
      </c>
      <c r="B413" t="s">
        <v>605</v>
      </c>
      <c r="C413" t="s">
        <v>712</v>
      </c>
      <c r="D413">
        <v>1</v>
      </c>
      <c r="E413">
        <v>1</v>
      </c>
      <c r="F413">
        <v>6</v>
      </c>
      <c r="G413">
        <v>2</v>
      </c>
      <c r="H413">
        <v>200</v>
      </c>
      <c r="I413" t="s">
        <v>607</v>
      </c>
      <c r="J413">
        <v>0.746</v>
      </c>
      <c r="K413">
        <v>76</v>
      </c>
      <c r="L413">
        <v>2.7799999999999998E-2</v>
      </c>
      <c r="M413">
        <v>0.98980000000000001</v>
      </c>
      <c r="N413">
        <v>31.152999999999999</v>
      </c>
      <c r="O413">
        <v>87.515000000000001</v>
      </c>
      <c r="P413">
        <v>554.60199999999998</v>
      </c>
      <c r="Q413">
        <v>217.255</v>
      </c>
      <c r="R413">
        <v>0.72199999999999998</v>
      </c>
      <c r="S413">
        <v>0.84299999999999997</v>
      </c>
      <c r="T413">
        <v>0.35360000000000003</v>
      </c>
      <c r="U413">
        <v>4.0000000000000001E-3</v>
      </c>
      <c r="V413">
        <v>0.53129999999999999</v>
      </c>
      <c r="W413">
        <v>11.26</v>
      </c>
      <c r="X413">
        <v>1.2323999999999999</v>
      </c>
      <c r="Y413">
        <v>1.0973999999999999</v>
      </c>
      <c r="Z413">
        <v>1.1511</v>
      </c>
      <c r="AA413">
        <v>3.5226999999999999</v>
      </c>
      <c r="AB413">
        <v>18</v>
      </c>
      <c r="AC413">
        <v>44.639000000000003</v>
      </c>
      <c r="AD413">
        <v>64.737499999999997</v>
      </c>
      <c r="AE413">
        <v>3.2099999999999997E-2</v>
      </c>
      <c r="AF413">
        <v>8081</v>
      </c>
      <c r="AG413">
        <v>60.7226</v>
      </c>
      <c r="AH413">
        <v>2.4199999999999999E-2</v>
      </c>
      <c r="AI413">
        <v>87.179000000000002</v>
      </c>
      <c r="AJ413">
        <v>73.064999999999998</v>
      </c>
      <c r="AK413">
        <v>79.738200000000006</v>
      </c>
      <c r="AL413">
        <v>1.7390000000000001</v>
      </c>
      <c r="AM413">
        <v>0.05</v>
      </c>
      <c r="AN413">
        <v>1.7999999999999999E-2</v>
      </c>
      <c r="AO413">
        <v>83.227900000000005</v>
      </c>
      <c r="AP413">
        <v>93.150999999999996</v>
      </c>
      <c r="AQ413">
        <v>91.557000000000002</v>
      </c>
      <c r="AR413">
        <v>89.322999999999993</v>
      </c>
      <c r="AS413">
        <v>81.888000000000005</v>
      </c>
      <c r="AT413">
        <v>80.713999999999999</v>
      </c>
      <c r="AU413">
        <v>75.081999999999994</v>
      </c>
      <c r="AV413">
        <v>136.37090000000001</v>
      </c>
      <c r="AW413">
        <v>259.10480000000001</v>
      </c>
      <c r="AX413">
        <f t="shared" si="113"/>
        <v>11566.179167200002</v>
      </c>
      <c r="AY413">
        <f t="shared" si="114"/>
        <v>15733.51712848</v>
      </c>
      <c r="AZ413">
        <f t="shared" si="115"/>
        <v>2917.5200479999999</v>
      </c>
      <c r="BA413">
        <f t="shared" si="107"/>
        <v>259.10480000000001</v>
      </c>
      <c r="BB413">
        <f t="shared" si="108"/>
        <v>0</v>
      </c>
      <c r="BC413">
        <f t="shared" si="109"/>
        <v>0</v>
      </c>
      <c r="BD413">
        <f t="shared" si="110"/>
        <v>0</v>
      </c>
      <c r="BE413">
        <f t="shared" si="111"/>
        <v>0</v>
      </c>
      <c r="BF413">
        <f t="shared" si="112"/>
        <v>0</v>
      </c>
      <c r="BG413">
        <f t="shared" si="116"/>
        <v>114.79929239999998</v>
      </c>
      <c r="BH413">
        <f t="shared" si="117"/>
        <v>112.83484679999999</v>
      </c>
      <c r="BI413">
        <f t="shared" si="118"/>
        <v>110.08166519999999</v>
      </c>
      <c r="BJ413">
        <f t="shared" si="119"/>
        <v>100.91877119999999</v>
      </c>
      <c r="BK413">
        <f t="shared" si="120"/>
        <v>99.4719336</v>
      </c>
      <c r="BL413">
        <f t="shared" si="121"/>
        <v>92.531056799999988</v>
      </c>
    </row>
    <row r="414" spans="1:64">
      <c r="A414" t="str">
        <f t="shared" si="106"/>
        <v>27</v>
      </c>
      <c r="B414" t="s">
        <v>605</v>
      </c>
      <c r="C414" t="s">
        <v>712</v>
      </c>
      <c r="D414">
        <v>55</v>
      </c>
      <c r="E414">
        <v>1</v>
      </c>
      <c r="F414">
        <v>6</v>
      </c>
      <c r="G414">
        <v>2</v>
      </c>
      <c r="H414">
        <v>100</v>
      </c>
      <c r="I414" t="s">
        <v>607</v>
      </c>
      <c r="J414">
        <v>0.65139999999999998</v>
      </c>
      <c r="K414">
        <v>124.8267</v>
      </c>
      <c r="L414">
        <v>3.1600000000000003E-2</v>
      </c>
      <c r="M414">
        <v>0.98309999999999997</v>
      </c>
      <c r="N414">
        <v>31.424199999999999</v>
      </c>
      <c r="O414">
        <v>87.767600000000002</v>
      </c>
      <c r="P414">
        <v>356.40589999999997</v>
      </c>
      <c r="Q414">
        <v>233.1217</v>
      </c>
      <c r="R414">
        <v>0.33889999999999998</v>
      </c>
      <c r="S414">
        <v>1.1379999999999999</v>
      </c>
      <c r="T414">
        <v>0.29730000000000001</v>
      </c>
      <c r="U414">
        <v>6.4999999999999997E-3</v>
      </c>
      <c r="V414">
        <v>0.70689999999999997</v>
      </c>
      <c r="W414">
        <v>11.842000000000001</v>
      </c>
      <c r="X414">
        <v>456.14100000000002</v>
      </c>
      <c r="Y414">
        <v>402.27379999999999</v>
      </c>
      <c r="Z414">
        <v>415.09429999999998</v>
      </c>
      <c r="AA414">
        <v>1285.1052</v>
      </c>
      <c r="AB414">
        <v>27.002400000000002</v>
      </c>
      <c r="AC414">
        <v>47.090699999999998</v>
      </c>
      <c r="AD414">
        <v>61.755899999999997</v>
      </c>
      <c r="AE414">
        <v>8.3005999999999993</v>
      </c>
      <c r="AF414">
        <v>8299.1888999999992</v>
      </c>
      <c r="AG414">
        <v>62.426000000000002</v>
      </c>
      <c r="AH414">
        <v>7.0650000000000004</v>
      </c>
      <c r="AI414">
        <v>89.346999999999994</v>
      </c>
      <c r="AJ414">
        <v>73.2</v>
      </c>
      <c r="AK414">
        <v>81.960400000000007</v>
      </c>
      <c r="AL414">
        <v>1.6714</v>
      </c>
      <c r="AM414">
        <v>0.05</v>
      </c>
      <c r="AN414">
        <v>1.0800000000000001E-2</v>
      </c>
      <c r="AO414">
        <v>92.585899999999995</v>
      </c>
      <c r="AP414">
        <v>92.523700000000005</v>
      </c>
      <c r="AQ414">
        <v>91.031199999999998</v>
      </c>
      <c r="AR414">
        <v>88.823899999999995</v>
      </c>
      <c r="AS414">
        <v>83.059899999999999</v>
      </c>
      <c r="AT414">
        <v>81.9923</v>
      </c>
      <c r="AU414">
        <v>76.866900000000001</v>
      </c>
      <c r="AV414">
        <v>27129.222600000001</v>
      </c>
      <c r="AW414">
        <v>68882.578099999999</v>
      </c>
      <c r="AX414">
        <f t="shared" si="113"/>
        <v>3243728.82053367</v>
      </c>
      <c r="AY414">
        <f t="shared" si="114"/>
        <v>4300063.8204706004</v>
      </c>
      <c r="AZ414">
        <f t="shared" si="115"/>
        <v>815707.48986019997</v>
      </c>
      <c r="BA414">
        <f t="shared" si="107"/>
        <v>68882.578099999999</v>
      </c>
      <c r="BB414">
        <f t="shared" si="108"/>
        <v>0</v>
      </c>
      <c r="BC414">
        <f t="shared" si="109"/>
        <v>0</v>
      </c>
      <c r="BD414">
        <f t="shared" si="110"/>
        <v>0</v>
      </c>
      <c r="BE414">
        <f t="shared" si="111"/>
        <v>0</v>
      </c>
      <c r="BF414">
        <f t="shared" si="112"/>
        <v>0</v>
      </c>
      <c r="BG414">
        <f t="shared" si="116"/>
        <v>42203.853041700007</v>
      </c>
      <c r="BH414">
        <f t="shared" si="117"/>
        <v>41523.062599199999</v>
      </c>
      <c r="BI414">
        <f t="shared" si="118"/>
        <v>40516.222569899997</v>
      </c>
      <c r="BJ414">
        <f t="shared" si="119"/>
        <v>37887.025845900003</v>
      </c>
      <c r="BK414">
        <f t="shared" si="120"/>
        <v>37400.049714300003</v>
      </c>
      <c r="BL414">
        <f t="shared" si="121"/>
        <v>35062.144632900003</v>
      </c>
    </row>
    <row r="415" spans="1:64">
      <c r="A415" t="str">
        <f t="shared" si="106"/>
        <v>27</v>
      </c>
      <c r="B415" t="s">
        <v>605</v>
      </c>
      <c r="C415" t="s">
        <v>712</v>
      </c>
      <c r="D415">
        <v>55</v>
      </c>
      <c r="E415">
        <v>1</v>
      </c>
      <c r="F415">
        <v>6</v>
      </c>
      <c r="G415">
        <v>2</v>
      </c>
      <c r="H415">
        <v>200</v>
      </c>
      <c r="I415" t="s">
        <v>607</v>
      </c>
      <c r="J415">
        <v>0.59230000000000005</v>
      </c>
      <c r="K415">
        <v>112.46210000000001</v>
      </c>
      <c r="L415">
        <v>2.7199999999999998E-2</v>
      </c>
      <c r="M415">
        <v>1.0039</v>
      </c>
      <c r="N415">
        <v>34.479799999999997</v>
      </c>
      <c r="O415">
        <v>88.744799999999998</v>
      </c>
      <c r="P415">
        <v>357.23480000000001</v>
      </c>
      <c r="Q415">
        <v>228.863</v>
      </c>
      <c r="R415">
        <v>0.37119999999999997</v>
      </c>
      <c r="S415">
        <v>0.80510000000000004</v>
      </c>
      <c r="T415">
        <v>0.47910000000000003</v>
      </c>
      <c r="U415">
        <v>5.3E-3</v>
      </c>
      <c r="V415">
        <v>0.63200000000000001</v>
      </c>
      <c r="W415">
        <v>11.9155</v>
      </c>
      <c r="X415">
        <v>13.7378</v>
      </c>
      <c r="Y415">
        <v>12.191599999999999</v>
      </c>
      <c r="Z415">
        <v>12.5741</v>
      </c>
      <c r="AA415">
        <v>35.358600000000003</v>
      </c>
      <c r="AB415">
        <v>11.3607</v>
      </c>
      <c r="AC415">
        <v>45.182499999999997</v>
      </c>
      <c r="AD415">
        <v>61.279499999999999</v>
      </c>
      <c r="AE415">
        <v>0.28270000000000001</v>
      </c>
      <c r="AF415">
        <v>8205.0514999999996</v>
      </c>
      <c r="AG415">
        <v>58.845199999999998</v>
      </c>
      <c r="AH415">
        <v>0.21249999999999999</v>
      </c>
      <c r="AI415">
        <v>89.111800000000002</v>
      </c>
      <c r="AJ415">
        <v>73.2</v>
      </c>
      <c r="AK415">
        <v>81.468299999999999</v>
      </c>
      <c r="AL415">
        <v>2.2212000000000001</v>
      </c>
      <c r="AM415">
        <v>0.05</v>
      </c>
      <c r="AN415">
        <v>8.8000000000000005E-3</v>
      </c>
      <c r="AO415">
        <v>91.287000000000006</v>
      </c>
      <c r="AP415">
        <v>93.108599999999996</v>
      </c>
      <c r="AQ415">
        <v>91.702600000000004</v>
      </c>
      <c r="AR415">
        <v>89.610299999999995</v>
      </c>
      <c r="AS415">
        <v>83.757199999999997</v>
      </c>
      <c r="AT415">
        <v>82.707400000000007</v>
      </c>
      <c r="AU415">
        <v>77.974199999999996</v>
      </c>
      <c r="AV415">
        <v>913.9384</v>
      </c>
      <c r="AW415">
        <v>2319.5873999999999</v>
      </c>
      <c r="AX415">
        <f t="shared" si="113"/>
        <v>104804.75770049999</v>
      </c>
      <c r="AY415">
        <f t="shared" si="114"/>
        <v>136496.58447047998</v>
      </c>
      <c r="AZ415">
        <f t="shared" si="115"/>
        <v>27639.043664699999</v>
      </c>
      <c r="BA415">
        <f t="shared" si="107"/>
        <v>2319.5873999999999</v>
      </c>
      <c r="BB415">
        <f t="shared" si="108"/>
        <v>0</v>
      </c>
      <c r="BC415">
        <f t="shared" si="109"/>
        <v>0</v>
      </c>
      <c r="BD415">
        <f t="shared" si="110"/>
        <v>0</v>
      </c>
      <c r="BE415">
        <f t="shared" si="111"/>
        <v>0</v>
      </c>
      <c r="BF415">
        <f t="shared" si="112"/>
        <v>0</v>
      </c>
      <c r="BG415">
        <f t="shared" si="116"/>
        <v>1279.10732508</v>
      </c>
      <c r="BH415">
        <f t="shared" si="117"/>
        <v>1259.79197828</v>
      </c>
      <c r="BI415">
        <f t="shared" si="118"/>
        <v>1231.0483793399999</v>
      </c>
      <c r="BJ415">
        <f t="shared" si="119"/>
        <v>1150.6396621599999</v>
      </c>
      <c r="BK415">
        <f t="shared" si="120"/>
        <v>1136.2177197200001</v>
      </c>
      <c r="BL415">
        <f t="shared" si="121"/>
        <v>1071.19396476</v>
      </c>
    </row>
    <row r="416" spans="1:64">
      <c r="A416" t="str">
        <f t="shared" si="106"/>
        <v>27</v>
      </c>
      <c r="B416" t="s">
        <v>605</v>
      </c>
      <c r="C416" t="s">
        <v>712</v>
      </c>
      <c r="D416">
        <v>55</v>
      </c>
      <c r="E416">
        <v>2</v>
      </c>
      <c r="F416">
        <v>10</v>
      </c>
      <c r="G416">
        <v>2</v>
      </c>
      <c r="H416">
        <v>100</v>
      </c>
      <c r="I416" t="s">
        <v>607</v>
      </c>
      <c r="J416">
        <v>0.63419999999999999</v>
      </c>
      <c r="K416">
        <v>122.6155</v>
      </c>
      <c r="L416">
        <v>3.15E-2</v>
      </c>
      <c r="M416">
        <v>0.90269999999999995</v>
      </c>
      <c r="N416">
        <v>29.951599999999999</v>
      </c>
      <c r="O416">
        <v>88.235200000000006</v>
      </c>
      <c r="P416">
        <v>353.42840000000001</v>
      </c>
      <c r="Q416">
        <v>225.50559999999999</v>
      </c>
      <c r="R416">
        <v>0.35980000000000001</v>
      </c>
      <c r="S416">
        <v>1.3379000000000001</v>
      </c>
      <c r="T416">
        <v>0.2364</v>
      </c>
      <c r="U416">
        <v>7.1000000000000004E-3</v>
      </c>
      <c r="V416">
        <v>0.67800000000000005</v>
      </c>
      <c r="W416">
        <v>11.5289</v>
      </c>
      <c r="X416">
        <v>111.82859999999999</v>
      </c>
      <c r="Y416">
        <v>98.671800000000005</v>
      </c>
      <c r="Z416">
        <v>101.964</v>
      </c>
      <c r="AA416">
        <v>329.447</v>
      </c>
      <c r="AB416">
        <v>12.713699999999999</v>
      </c>
      <c r="AC416">
        <v>46.691400000000002</v>
      </c>
      <c r="AD416">
        <v>49.210099999999997</v>
      </c>
      <c r="AE416">
        <v>2.1682999999999999</v>
      </c>
      <c r="AF416">
        <v>8132.2955000000002</v>
      </c>
      <c r="AG416">
        <v>64.653999999999996</v>
      </c>
      <c r="AH416">
        <v>1.7717000000000001</v>
      </c>
      <c r="AI416">
        <v>89.321700000000007</v>
      </c>
      <c r="AJ416">
        <v>73.2</v>
      </c>
      <c r="AK416">
        <v>81.906199999999998</v>
      </c>
      <c r="AL416">
        <v>1.5810999999999999</v>
      </c>
      <c r="AM416">
        <v>0.05</v>
      </c>
      <c r="AN416">
        <v>7.0000000000000001E-3</v>
      </c>
      <c r="AO416">
        <v>95.365799999999993</v>
      </c>
      <c r="AP416">
        <v>92.182000000000002</v>
      </c>
      <c r="AQ416">
        <v>90.518799999999999</v>
      </c>
      <c r="AR416">
        <v>88.218000000000004</v>
      </c>
      <c r="AS416">
        <v>82.279300000000006</v>
      </c>
      <c r="AT416">
        <v>81.197999999999993</v>
      </c>
      <c r="AU416">
        <v>75.677999999999997</v>
      </c>
      <c r="AV416">
        <v>6957.8834999999999</v>
      </c>
      <c r="AW416">
        <v>17633.007000000001</v>
      </c>
      <c r="AX416">
        <f t="shared" si="113"/>
        <v>823309.78303980012</v>
      </c>
      <c r="AY416">
        <f t="shared" si="114"/>
        <v>1140044.4345780001</v>
      </c>
      <c r="AZ416">
        <f t="shared" si="115"/>
        <v>203289.17440230001</v>
      </c>
      <c r="BA416">
        <f t="shared" si="107"/>
        <v>0</v>
      </c>
      <c r="BB416">
        <f t="shared" si="108"/>
        <v>17633.007000000001</v>
      </c>
      <c r="BC416">
        <f t="shared" si="109"/>
        <v>0</v>
      </c>
      <c r="BD416">
        <f t="shared" si="110"/>
        <v>0</v>
      </c>
      <c r="BE416">
        <f t="shared" si="111"/>
        <v>0</v>
      </c>
      <c r="BF416">
        <f t="shared" si="112"/>
        <v>0</v>
      </c>
      <c r="BG416">
        <f t="shared" si="116"/>
        <v>10308.5840052</v>
      </c>
      <c r="BH416">
        <f t="shared" si="117"/>
        <v>10122.59067768</v>
      </c>
      <c r="BI416">
        <f t="shared" si="118"/>
        <v>9865.2954348000003</v>
      </c>
      <c r="BJ416">
        <f t="shared" si="119"/>
        <v>9201.1789279799996</v>
      </c>
      <c r="BK416">
        <f t="shared" si="120"/>
        <v>9080.258662799999</v>
      </c>
      <c r="BL416">
        <f t="shared" si="121"/>
        <v>8462.9647907999988</v>
      </c>
    </row>
    <row r="417" spans="1:64">
      <c r="A417" t="str">
        <f t="shared" si="106"/>
        <v>28</v>
      </c>
      <c r="B417" t="s">
        <v>605</v>
      </c>
      <c r="C417" t="s">
        <v>713</v>
      </c>
      <c r="D417">
        <v>1</v>
      </c>
      <c r="E417">
        <v>1</v>
      </c>
      <c r="F417">
        <v>6</v>
      </c>
      <c r="G417">
        <v>2</v>
      </c>
      <c r="H417">
        <v>100</v>
      </c>
      <c r="I417" t="s">
        <v>607</v>
      </c>
      <c r="J417">
        <v>0.746</v>
      </c>
      <c r="K417">
        <v>76</v>
      </c>
      <c r="L417">
        <v>2.75E-2</v>
      </c>
      <c r="M417">
        <v>1.0217000000000001</v>
      </c>
      <c r="N417">
        <v>31.152999999999999</v>
      </c>
      <c r="O417">
        <v>87.515000000000001</v>
      </c>
      <c r="P417">
        <v>554.60199999999998</v>
      </c>
      <c r="Q417">
        <v>217.255</v>
      </c>
      <c r="R417">
        <v>0.72199999999999998</v>
      </c>
      <c r="S417">
        <v>0.84299999999999997</v>
      </c>
      <c r="T417">
        <v>0.18509999999999999</v>
      </c>
      <c r="U417">
        <v>4.0000000000000001E-3</v>
      </c>
      <c r="V417">
        <v>0.51690000000000003</v>
      </c>
      <c r="W417">
        <v>11.26</v>
      </c>
      <c r="X417">
        <v>9.5200000000000007E-2</v>
      </c>
      <c r="Y417">
        <v>8.4699999999999998E-2</v>
      </c>
      <c r="Z417">
        <v>8.8099999999999998E-2</v>
      </c>
      <c r="AA417">
        <v>0.27200000000000002</v>
      </c>
      <c r="AB417">
        <v>18</v>
      </c>
      <c r="AC417">
        <v>44.639000000000003</v>
      </c>
      <c r="AD417">
        <v>64.969700000000003</v>
      </c>
      <c r="AE417">
        <v>2.5999999999999999E-3</v>
      </c>
      <c r="AF417">
        <v>8081</v>
      </c>
      <c r="AG417">
        <v>57.511200000000002</v>
      </c>
      <c r="AH417">
        <v>1.6999999999999999E-3</v>
      </c>
      <c r="AI417">
        <v>87.179000000000002</v>
      </c>
      <c r="AJ417">
        <v>73.064999999999998</v>
      </c>
      <c r="AK417">
        <v>76.565399999999997</v>
      </c>
      <c r="AL417">
        <v>1.7390000000000001</v>
      </c>
      <c r="AM417">
        <v>0.05</v>
      </c>
      <c r="AN417">
        <v>1.7999999999999999E-2</v>
      </c>
      <c r="AO417">
        <v>83.227900000000005</v>
      </c>
      <c r="AP417">
        <v>93.150999999999996</v>
      </c>
      <c r="AQ417">
        <v>91.557000000000002</v>
      </c>
      <c r="AR417">
        <v>89.322999999999993</v>
      </c>
      <c r="AS417">
        <v>81.888000000000005</v>
      </c>
      <c r="AT417">
        <v>80.713999999999999</v>
      </c>
      <c r="AU417">
        <v>75.081999999999994</v>
      </c>
      <c r="AV417">
        <v>11.236599999999999</v>
      </c>
      <c r="AW417">
        <v>21.349599999999999</v>
      </c>
      <c r="AX417">
        <f t="shared" si="113"/>
        <v>953.02479440000002</v>
      </c>
      <c r="AY417">
        <f t="shared" si="114"/>
        <v>1227.8411155199999</v>
      </c>
      <c r="AZ417">
        <f t="shared" si="115"/>
        <v>240.39649599999998</v>
      </c>
      <c r="BA417">
        <f t="shared" si="107"/>
        <v>21.349599999999999</v>
      </c>
      <c r="BB417">
        <f t="shared" si="108"/>
        <v>0</v>
      </c>
      <c r="BC417">
        <f t="shared" si="109"/>
        <v>0</v>
      </c>
      <c r="BD417">
        <f t="shared" si="110"/>
        <v>0</v>
      </c>
      <c r="BE417">
        <f t="shared" si="111"/>
        <v>0</v>
      </c>
      <c r="BF417">
        <f t="shared" si="112"/>
        <v>0</v>
      </c>
      <c r="BG417">
        <f t="shared" si="116"/>
        <v>8.8679752000000001</v>
      </c>
      <c r="BH417">
        <f t="shared" si="117"/>
        <v>8.7162264</v>
      </c>
      <c r="BI417">
        <f t="shared" si="118"/>
        <v>8.5035495999999995</v>
      </c>
      <c r="BJ417">
        <f t="shared" si="119"/>
        <v>7.7957376000000007</v>
      </c>
      <c r="BK417">
        <f t="shared" si="120"/>
        <v>7.6839728000000003</v>
      </c>
      <c r="BL417">
        <f t="shared" si="121"/>
        <v>7.1478064000000003</v>
      </c>
    </row>
    <row r="418" spans="1:64">
      <c r="A418" t="str">
        <f t="shared" si="106"/>
        <v>28</v>
      </c>
      <c r="B418" t="s">
        <v>605</v>
      </c>
      <c r="C418" t="s">
        <v>713</v>
      </c>
      <c r="D418">
        <v>1</v>
      </c>
      <c r="E418">
        <v>1</v>
      </c>
      <c r="F418">
        <v>6</v>
      </c>
      <c r="G418">
        <v>2</v>
      </c>
      <c r="H418">
        <v>200</v>
      </c>
      <c r="I418" t="s">
        <v>607</v>
      </c>
      <c r="J418">
        <v>0.746</v>
      </c>
      <c r="K418">
        <v>76</v>
      </c>
      <c r="L418">
        <v>2.7799999999999998E-2</v>
      </c>
      <c r="M418">
        <v>0.99</v>
      </c>
      <c r="N418">
        <v>31.152999999999999</v>
      </c>
      <c r="O418">
        <v>87.515000000000001</v>
      </c>
      <c r="P418">
        <v>554.60199999999998</v>
      </c>
      <c r="Q418">
        <v>217.255</v>
      </c>
      <c r="R418">
        <v>0.72199999999999998</v>
      </c>
      <c r="S418">
        <v>0.84299999999999997</v>
      </c>
      <c r="T418">
        <v>0.36409999999999998</v>
      </c>
      <c r="U418">
        <v>4.0000000000000001E-3</v>
      </c>
      <c r="V418">
        <v>0.53769999999999996</v>
      </c>
      <c r="W418">
        <v>11.26</v>
      </c>
      <c r="X418">
        <v>6.8769</v>
      </c>
      <c r="Y418">
        <v>6.1216999999999997</v>
      </c>
      <c r="Z418">
        <v>6.4080000000000004</v>
      </c>
      <c r="AA418">
        <v>19.650500000000001</v>
      </c>
      <c r="AB418">
        <v>18</v>
      </c>
      <c r="AC418">
        <v>44.639000000000003</v>
      </c>
      <c r="AD418">
        <v>64.717500000000001</v>
      </c>
      <c r="AE418">
        <v>0.17580000000000001</v>
      </c>
      <c r="AF418">
        <v>8081</v>
      </c>
      <c r="AG418">
        <v>60.9011</v>
      </c>
      <c r="AH418">
        <v>0.13150000000000001</v>
      </c>
      <c r="AI418">
        <v>87.179000000000002</v>
      </c>
      <c r="AJ418">
        <v>73.064999999999998</v>
      </c>
      <c r="AK418">
        <v>79.624300000000005</v>
      </c>
      <c r="AL418">
        <v>1.7390000000000001</v>
      </c>
      <c r="AM418">
        <v>0.05</v>
      </c>
      <c r="AN418">
        <v>1.7999999999999999E-2</v>
      </c>
      <c r="AO418">
        <v>83.227900000000005</v>
      </c>
      <c r="AP418">
        <v>93.150999999999996</v>
      </c>
      <c r="AQ418">
        <v>91.557000000000002</v>
      </c>
      <c r="AR418">
        <v>89.322999999999993</v>
      </c>
      <c r="AS418">
        <v>81.888000000000005</v>
      </c>
      <c r="AT418">
        <v>80.713999999999999</v>
      </c>
      <c r="AU418">
        <v>75.081999999999994</v>
      </c>
      <c r="AV418">
        <v>747.58669999999995</v>
      </c>
      <c r="AW418">
        <v>1420.4148</v>
      </c>
      <c r="AX418">
        <f t="shared" si="113"/>
        <v>63405.896257200002</v>
      </c>
      <c r="AY418">
        <f t="shared" si="114"/>
        <v>86504.823776279998</v>
      </c>
      <c r="AZ418">
        <f t="shared" si="115"/>
        <v>15993.870648</v>
      </c>
      <c r="BA418">
        <f t="shared" si="107"/>
        <v>1420.4148</v>
      </c>
      <c r="BB418">
        <f t="shared" si="108"/>
        <v>0</v>
      </c>
      <c r="BC418">
        <f t="shared" si="109"/>
        <v>0</v>
      </c>
      <c r="BD418">
        <f t="shared" si="110"/>
        <v>0</v>
      </c>
      <c r="BE418">
        <f t="shared" si="111"/>
        <v>0</v>
      </c>
      <c r="BF418">
        <f t="shared" si="112"/>
        <v>0</v>
      </c>
      <c r="BG418">
        <f t="shared" si="116"/>
        <v>640.59011190000001</v>
      </c>
      <c r="BH418">
        <f t="shared" si="117"/>
        <v>629.62833330000001</v>
      </c>
      <c r="BI418">
        <f t="shared" si="118"/>
        <v>614.26533869999992</v>
      </c>
      <c r="BJ418">
        <f t="shared" si="119"/>
        <v>563.13558720000003</v>
      </c>
      <c r="BK418">
        <f t="shared" si="120"/>
        <v>555.06210659999999</v>
      </c>
      <c r="BL418">
        <f t="shared" si="121"/>
        <v>516.33140579999997</v>
      </c>
    </row>
    <row r="419" spans="1:64">
      <c r="A419" t="str">
        <f t="shared" si="106"/>
        <v>28</v>
      </c>
      <c r="B419" t="s">
        <v>605</v>
      </c>
      <c r="C419" t="s">
        <v>713</v>
      </c>
      <c r="D419">
        <v>55</v>
      </c>
      <c r="E419">
        <v>1</v>
      </c>
      <c r="F419">
        <v>6</v>
      </c>
      <c r="G419">
        <v>2</v>
      </c>
      <c r="H419">
        <v>100</v>
      </c>
      <c r="I419" t="s">
        <v>607</v>
      </c>
      <c r="J419">
        <v>0.68359999999999999</v>
      </c>
      <c r="K419">
        <v>130.3141</v>
      </c>
      <c r="L419">
        <v>3.0599999999999999E-2</v>
      </c>
      <c r="M419">
        <v>0.96299999999999997</v>
      </c>
      <c r="N419">
        <v>33.040300000000002</v>
      </c>
      <c r="O419">
        <v>87.142899999999997</v>
      </c>
      <c r="P419">
        <v>369.34559999999999</v>
      </c>
      <c r="Q419">
        <v>231.79419999999999</v>
      </c>
      <c r="R419">
        <v>0.36820000000000003</v>
      </c>
      <c r="S419">
        <v>0.86650000000000005</v>
      </c>
      <c r="T419">
        <v>0.4002</v>
      </c>
      <c r="U419">
        <v>4.4999999999999997E-3</v>
      </c>
      <c r="V419">
        <v>0.73050000000000004</v>
      </c>
      <c r="W419">
        <v>11.7941</v>
      </c>
      <c r="X419">
        <v>323.32260000000002</v>
      </c>
      <c r="Y419">
        <v>284.74950000000001</v>
      </c>
      <c r="Z419">
        <v>294.10759999999999</v>
      </c>
      <c r="AA419">
        <v>863.7491</v>
      </c>
      <c r="AB419">
        <v>48.892899999999997</v>
      </c>
      <c r="AC419">
        <v>46.779800000000002</v>
      </c>
      <c r="AD419">
        <v>61.800899999999999</v>
      </c>
      <c r="AE419">
        <v>5.7058999999999997</v>
      </c>
      <c r="AF419">
        <v>8288.8533000000007</v>
      </c>
      <c r="AG419">
        <v>61.651699999999998</v>
      </c>
      <c r="AH419">
        <v>5.0753000000000004</v>
      </c>
      <c r="AI419">
        <v>89.437600000000003</v>
      </c>
      <c r="AJ419">
        <v>73.2</v>
      </c>
      <c r="AK419">
        <v>82.150599999999997</v>
      </c>
      <c r="AL419">
        <v>1.7305999999999999</v>
      </c>
      <c r="AM419">
        <v>0.05</v>
      </c>
      <c r="AN419">
        <v>1.2699999999999999E-2</v>
      </c>
      <c r="AO419">
        <v>92.269599999999997</v>
      </c>
      <c r="AP419">
        <v>92.2928</v>
      </c>
      <c r="AQ419">
        <v>90.745400000000004</v>
      </c>
      <c r="AR419">
        <v>88.5852</v>
      </c>
      <c r="AS419">
        <v>82.802499999999995</v>
      </c>
      <c r="AT419">
        <v>81.680999999999997</v>
      </c>
      <c r="AU419">
        <v>76.543099999999995</v>
      </c>
      <c r="AV419">
        <v>18717.294000000002</v>
      </c>
      <c r="AW419">
        <v>47295.092299999997</v>
      </c>
      <c r="AX419">
        <f t="shared" si="113"/>
        <v>2212454.9587755399</v>
      </c>
      <c r="AY419">
        <f t="shared" si="114"/>
        <v>2915822.8419519095</v>
      </c>
      <c r="AZ419">
        <f t="shared" si="115"/>
        <v>557803.04809543001</v>
      </c>
      <c r="BA419">
        <f t="shared" si="107"/>
        <v>47295.092299999997</v>
      </c>
      <c r="BB419">
        <f t="shared" si="108"/>
        <v>0</v>
      </c>
      <c r="BC419">
        <f t="shared" si="109"/>
        <v>0</v>
      </c>
      <c r="BD419">
        <f t="shared" si="110"/>
        <v>0</v>
      </c>
      <c r="BE419">
        <f t="shared" si="111"/>
        <v>0</v>
      </c>
      <c r="BF419">
        <f t="shared" si="112"/>
        <v>0</v>
      </c>
      <c r="BG419">
        <f t="shared" si="116"/>
        <v>29840.348057280004</v>
      </c>
      <c r="BH419">
        <f t="shared" si="117"/>
        <v>29340.038666040004</v>
      </c>
      <c r="BI419">
        <f t="shared" si="118"/>
        <v>28641.59718552</v>
      </c>
      <c r="BJ419">
        <f t="shared" si="119"/>
        <v>26771.9195865</v>
      </c>
      <c r="BK419">
        <f t="shared" si="120"/>
        <v>26409.313290600003</v>
      </c>
      <c r="BL419">
        <f t="shared" si="121"/>
        <v>24748.114104060001</v>
      </c>
    </row>
    <row r="420" spans="1:64">
      <c r="A420" t="str">
        <f t="shared" si="106"/>
        <v>28</v>
      </c>
      <c r="B420" t="s">
        <v>605</v>
      </c>
      <c r="C420" t="s">
        <v>713</v>
      </c>
      <c r="D420">
        <v>55</v>
      </c>
      <c r="E420">
        <v>1</v>
      </c>
      <c r="F420">
        <v>6</v>
      </c>
      <c r="G420">
        <v>2</v>
      </c>
      <c r="H420">
        <v>200</v>
      </c>
      <c r="I420" t="s">
        <v>607</v>
      </c>
      <c r="J420">
        <v>0.62629999999999997</v>
      </c>
      <c r="K420">
        <v>107.27589999999999</v>
      </c>
      <c r="L420">
        <v>2.8199999999999999E-2</v>
      </c>
      <c r="M420">
        <v>0.99329999999999996</v>
      </c>
      <c r="N420">
        <v>34.207000000000001</v>
      </c>
      <c r="O420">
        <v>88.388599999999997</v>
      </c>
      <c r="P420">
        <v>378.75659999999999</v>
      </c>
      <c r="Q420">
        <v>230.88130000000001</v>
      </c>
      <c r="R420">
        <v>0.4042</v>
      </c>
      <c r="S420">
        <v>0.81769999999999998</v>
      </c>
      <c r="T420">
        <v>0.49170000000000003</v>
      </c>
      <c r="U420">
        <v>4.8999999999999998E-3</v>
      </c>
      <c r="V420">
        <v>0.66359999999999997</v>
      </c>
      <c r="W420">
        <v>11.9101</v>
      </c>
      <c r="X420">
        <v>94.107699999999994</v>
      </c>
      <c r="Y420">
        <v>83.228800000000007</v>
      </c>
      <c r="Z420">
        <v>85.486900000000006</v>
      </c>
      <c r="AA420">
        <v>244.29689999999999</v>
      </c>
      <c r="AB420">
        <v>10.7036</v>
      </c>
      <c r="AC420">
        <v>45.8643</v>
      </c>
      <c r="AD420">
        <v>60.561399999999999</v>
      </c>
      <c r="AE420">
        <v>1.788</v>
      </c>
      <c r="AF420">
        <v>8251.0324000000001</v>
      </c>
      <c r="AG420">
        <v>59.531100000000002</v>
      </c>
      <c r="AH420">
        <v>1.3581000000000001</v>
      </c>
      <c r="AI420">
        <v>88.916399999999996</v>
      </c>
      <c r="AJ420">
        <v>73.191100000000006</v>
      </c>
      <c r="AK420">
        <v>81.256399999999999</v>
      </c>
      <c r="AL420">
        <v>2.1042000000000001</v>
      </c>
      <c r="AM420">
        <v>0.05</v>
      </c>
      <c r="AN420">
        <v>7.4000000000000003E-3</v>
      </c>
      <c r="AO420">
        <v>90.865099999999998</v>
      </c>
      <c r="AP420">
        <v>93.028700000000001</v>
      </c>
      <c r="AQ420">
        <v>91.481499999999997</v>
      </c>
      <c r="AR420">
        <v>89.295599999999993</v>
      </c>
      <c r="AS420">
        <v>83.134100000000004</v>
      </c>
      <c r="AT420">
        <v>82.020300000000006</v>
      </c>
      <c r="AU420">
        <v>77.230500000000006</v>
      </c>
      <c r="AV420">
        <v>5949.8665000000001</v>
      </c>
      <c r="AW420">
        <v>14752.0386</v>
      </c>
      <c r="AX420">
        <f t="shared" si="113"/>
        <v>676591.92396198004</v>
      </c>
      <c r="AY420">
        <f t="shared" si="114"/>
        <v>878205.08510045998</v>
      </c>
      <c r="AZ420">
        <f t="shared" si="115"/>
        <v>175698.25492986001</v>
      </c>
      <c r="BA420">
        <f t="shared" si="107"/>
        <v>14752.0386</v>
      </c>
      <c r="BB420">
        <f t="shared" si="108"/>
        <v>0</v>
      </c>
      <c r="BC420">
        <f t="shared" si="109"/>
        <v>0</v>
      </c>
      <c r="BD420">
        <f t="shared" si="110"/>
        <v>0</v>
      </c>
      <c r="BE420">
        <f t="shared" si="111"/>
        <v>0</v>
      </c>
      <c r="BF420">
        <f t="shared" si="112"/>
        <v>0</v>
      </c>
      <c r="BG420">
        <f t="shared" si="116"/>
        <v>8754.7169909900003</v>
      </c>
      <c r="BH420">
        <f t="shared" si="117"/>
        <v>8609.1135575499993</v>
      </c>
      <c r="BI420">
        <f t="shared" si="118"/>
        <v>8403.4035361199985</v>
      </c>
      <c r="BJ420">
        <f t="shared" si="119"/>
        <v>7823.55894257</v>
      </c>
      <c r="BK420">
        <f t="shared" si="120"/>
        <v>7718.74178631</v>
      </c>
      <c r="BL420">
        <f t="shared" si="121"/>
        <v>7267.98472485</v>
      </c>
    </row>
    <row r="421" spans="1:64">
      <c r="A421" t="str">
        <f t="shared" si="106"/>
        <v>28</v>
      </c>
      <c r="B421" t="s">
        <v>605</v>
      </c>
      <c r="C421" t="s">
        <v>713</v>
      </c>
      <c r="D421">
        <v>55</v>
      </c>
      <c r="E421">
        <v>2</v>
      </c>
      <c r="F421">
        <v>10</v>
      </c>
      <c r="G421">
        <v>2</v>
      </c>
      <c r="H421">
        <v>100</v>
      </c>
      <c r="I421" t="s">
        <v>607</v>
      </c>
      <c r="J421">
        <v>0.67759999999999998</v>
      </c>
      <c r="K421">
        <v>141.70599999999999</v>
      </c>
      <c r="L421">
        <v>2.9000000000000001E-2</v>
      </c>
      <c r="M421">
        <v>0.875</v>
      </c>
      <c r="N421">
        <v>30.195599999999999</v>
      </c>
      <c r="O421">
        <v>87.443100000000001</v>
      </c>
      <c r="P421">
        <v>357.22890000000001</v>
      </c>
      <c r="Q421">
        <v>225.751</v>
      </c>
      <c r="R421">
        <v>0.41770000000000002</v>
      </c>
      <c r="S421">
        <v>1.1762999999999999</v>
      </c>
      <c r="T421">
        <v>0.29720000000000002</v>
      </c>
      <c r="U421">
        <v>6.1000000000000004E-3</v>
      </c>
      <c r="V421">
        <v>0.72899999999999998</v>
      </c>
      <c r="W421">
        <v>11.5146</v>
      </c>
      <c r="X421">
        <v>186.6739</v>
      </c>
      <c r="Y421">
        <v>164.43510000000001</v>
      </c>
      <c r="Z421">
        <v>170.97409999999999</v>
      </c>
      <c r="AA421">
        <v>543.84209999999996</v>
      </c>
      <c r="AB421">
        <v>32.565100000000001</v>
      </c>
      <c r="AC421">
        <v>46.691400000000002</v>
      </c>
      <c r="AD421">
        <v>49.095799999999997</v>
      </c>
      <c r="AE421">
        <v>3.3765999999999998</v>
      </c>
      <c r="AF421">
        <v>8156.1127999999999</v>
      </c>
      <c r="AG421">
        <v>63.639600000000002</v>
      </c>
      <c r="AH421">
        <v>3.2288999999999999</v>
      </c>
      <c r="AI421">
        <v>89.672899999999998</v>
      </c>
      <c r="AJ421">
        <v>73.2</v>
      </c>
      <c r="AK421">
        <v>82.641400000000004</v>
      </c>
      <c r="AL421">
        <v>1.5444</v>
      </c>
      <c r="AM421">
        <v>0.05</v>
      </c>
      <c r="AN421">
        <v>1.23E-2</v>
      </c>
      <c r="AO421">
        <v>94.857299999999995</v>
      </c>
      <c r="AP421">
        <v>92.174400000000006</v>
      </c>
      <c r="AQ421">
        <v>90.456800000000001</v>
      </c>
      <c r="AR421">
        <v>88.085099999999997</v>
      </c>
      <c r="AS421">
        <v>82.008700000000005</v>
      </c>
      <c r="AT421">
        <v>80.877200000000002</v>
      </c>
      <c r="AU421">
        <v>75.716700000000003</v>
      </c>
      <c r="AV421">
        <v>10909.211600000001</v>
      </c>
      <c r="AW421">
        <v>27539.866399999999</v>
      </c>
      <c r="AX421">
        <f t="shared" si="113"/>
        <v>1285874.91802896</v>
      </c>
      <c r="AY421">
        <f t="shared" si="114"/>
        <v>1752626.0817494399</v>
      </c>
      <c r="AZ421">
        <f t="shared" si="115"/>
        <v>317110.54564943997</v>
      </c>
      <c r="BA421">
        <f t="shared" si="107"/>
        <v>0</v>
      </c>
      <c r="BB421">
        <f t="shared" si="108"/>
        <v>27539.866399999999</v>
      </c>
      <c r="BC421">
        <f t="shared" si="109"/>
        <v>0</v>
      </c>
      <c r="BD421">
        <f t="shared" si="110"/>
        <v>0</v>
      </c>
      <c r="BE421">
        <f t="shared" si="111"/>
        <v>0</v>
      </c>
      <c r="BF421">
        <f t="shared" si="112"/>
        <v>0</v>
      </c>
      <c r="BG421">
        <f t="shared" si="116"/>
        <v>17206.554728160001</v>
      </c>
      <c r="BH421">
        <f t="shared" si="117"/>
        <v>16885.923637520002</v>
      </c>
      <c r="BI421">
        <f t="shared" si="118"/>
        <v>16443.18914889</v>
      </c>
      <c r="BJ421">
        <f t="shared" si="119"/>
        <v>15308.883862930001</v>
      </c>
      <c r="BK421">
        <f t="shared" si="120"/>
        <v>15097.66234508</v>
      </c>
      <c r="BL421">
        <f t="shared" si="121"/>
        <v>14134.33168413</v>
      </c>
    </row>
    <row r="422" spans="1:64">
      <c r="A422" t="str">
        <f t="shared" si="106"/>
        <v>29</v>
      </c>
      <c r="B422" t="s">
        <v>605</v>
      </c>
      <c r="C422" t="s">
        <v>714</v>
      </c>
      <c r="D422">
        <v>1</v>
      </c>
      <c r="E422">
        <v>1</v>
      </c>
      <c r="F422">
        <v>6</v>
      </c>
      <c r="G422">
        <v>2</v>
      </c>
      <c r="H422">
        <v>200</v>
      </c>
      <c r="I422" t="s">
        <v>607</v>
      </c>
      <c r="J422">
        <v>0.746</v>
      </c>
      <c r="K422">
        <v>76</v>
      </c>
      <c r="L422">
        <v>2.81E-2</v>
      </c>
      <c r="M422">
        <v>0.97829999999999995</v>
      </c>
      <c r="N422">
        <v>31.152999999999999</v>
      </c>
      <c r="O422">
        <v>87.515000000000001</v>
      </c>
      <c r="P422">
        <v>554.60199999999998</v>
      </c>
      <c r="Q422">
        <v>217.255</v>
      </c>
      <c r="R422">
        <v>0.72199999999999998</v>
      </c>
      <c r="S422">
        <v>0.84299999999999997</v>
      </c>
      <c r="T422">
        <v>0.5</v>
      </c>
      <c r="U422">
        <v>4.0000000000000001E-3</v>
      </c>
      <c r="V422">
        <v>0.72219999999999995</v>
      </c>
      <c r="W422">
        <v>11.26</v>
      </c>
      <c r="X422">
        <v>18.325099999999999</v>
      </c>
      <c r="Y422">
        <v>16.103200000000001</v>
      </c>
      <c r="Z422">
        <v>16.678899999999999</v>
      </c>
      <c r="AA422">
        <v>51.690600000000003</v>
      </c>
      <c r="AB422">
        <v>18</v>
      </c>
      <c r="AC422">
        <v>44.639000000000003</v>
      </c>
      <c r="AD422">
        <v>64.195800000000006</v>
      </c>
      <c r="AE422">
        <v>0.35809999999999997</v>
      </c>
      <c r="AF422">
        <v>8081</v>
      </c>
      <c r="AG422">
        <v>60.512500000000003</v>
      </c>
      <c r="AH422">
        <v>0.29920000000000002</v>
      </c>
      <c r="AI422">
        <v>87.179000000000002</v>
      </c>
      <c r="AJ422">
        <v>73.064999999999998</v>
      </c>
      <c r="AK422">
        <v>81.188100000000006</v>
      </c>
      <c r="AL422">
        <v>1.7390000000000001</v>
      </c>
      <c r="AM422">
        <v>0.05</v>
      </c>
      <c r="AN422">
        <v>1.7999999999999999E-2</v>
      </c>
      <c r="AO422">
        <v>83.227900000000005</v>
      </c>
      <c r="AP422">
        <v>93.150999999999996</v>
      </c>
      <c r="AQ422">
        <v>91.557000000000002</v>
      </c>
      <c r="AR422">
        <v>89.322999999999993</v>
      </c>
      <c r="AS422">
        <v>81.888000000000005</v>
      </c>
      <c r="AT422">
        <v>80.713999999999999</v>
      </c>
      <c r="AU422">
        <v>75.081999999999994</v>
      </c>
      <c r="AV422">
        <v>1523.0934</v>
      </c>
      <c r="AW422">
        <v>2893.8775000000001</v>
      </c>
      <c r="AX422">
        <f t="shared" si="113"/>
        <v>129179.79772250001</v>
      </c>
      <c r="AY422">
        <f t="shared" si="114"/>
        <v>175115.76221875002</v>
      </c>
      <c r="AZ422">
        <f t="shared" si="115"/>
        <v>32585.060649999999</v>
      </c>
      <c r="BA422">
        <f t="shared" si="107"/>
        <v>2893.8775000000001</v>
      </c>
      <c r="BB422">
        <f t="shared" si="108"/>
        <v>0</v>
      </c>
      <c r="BC422">
        <f t="shared" si="109"/>
        <v>0</v>
      </c>
      <c r="BD422">
        <f t="shared" si="110"/>
        <v>0</v>
      </c>
      <c r="BE422">
        <f t="shared" si="111"/>
        <v>0</v>
      </c>
      <c r="BF422">
        <f t="shared" si="112"/>
        <v>0</v>
      </c>
      <c r="BG422">
        <f t="shared" si="116"/>
        <v>1707.0013900999998</v>
      </c>
      <c r="BH422">
        <f t="shared" si="117"/>
        <v>1677.7911807</v>
      </c>
      <c r="BI422">
        <f t="shared" si="118"/>
        <v>1636.8529072999997</v>
      </c>
      <c r="BJ422">
        <f t="shared" si="119"/>
        <v>1500.6057888</v>
      </c>
      <c r="BK422">
        <f t="shared" si="120"/>
        <v>1479.0921214</v>
      </c>
      <c r="BL422">
        <f t="shared" si="121"/>
        <v>1375.8851581999998</v>
      </c>
    </row>
    <row r="423" spans="1:64">
      <c r="A423" t="str">
        <f t="shared" si="106"/>
        <v>29</v>
      </c>
      <c r="B423" t="s">
        <v>605</v>
      </c>
      <c r="C423" t="s">
        <v>714</v>
      </c>
      <c r="D423">
        <v>55</v>
      </c>
      <c r="E423">
        <v>1</v>
      </c>
      <c r="F423">
        <v>6</v>
      </c>
      <c r="G423">
        <v>2</v>
      </c>
      <c r="H423">
        <v>100</v>
      </c>
      <c r="I423" t="s">
        <v>607</v>
      </c>
      <c r="J423">
        <v>0.66769999999999996</v>
      </c>
      <c r="K423">
        <v>88.407499999999999</v>
      </c>
      <c r="L423">
        <v>2.9499999999999998E-2</v>
      </c>
      <c r="M423">
        <v>0.94420000000000004</v>
      </c>
      <c r="N423">
        <v>33.319800000000001</v>
      </c>
      <c r="O423">
        <v>82.027000000000001</v>
      </c>
      <c r="P423">
        <v>356.15980000000002</v>
      </c>
      <c r="Q423">
        <v>237.77430000000001</v>
      </c>
      <c r="R423">
        <v>0.38129999999999997</v>
      </c>
      <c r="S423">
        <v>0.82899999999999996</v>
      </c>
      <c r="T423">
        <v>0.4274</v>
      </c>
      <c r="U423">
        <v>3.8999999999999998E-3</v>
      </c>
      <c r="V423">
        <v>0.6996</v>
      </c>
      <c r="W423">
        <v>11.8423</v>
      </c>
      <c r="X423">
        <v>104.3152</v>
      </c>
      <c r="Y423">
        <v>90.901600000000002</v>
      </c>
      <c r="Z423">
        <v>92.025700000000001</v>
      </c>
      <c r="AA423">
        <v>272.9033</v>
      </c>
      <c r="AB423">
        <v>13.8406</v>
      </c>
      <c r="AC423">
        <v>48.330300000000001</v>
      </c>
      <c r="AD423">
        <v>56.674199999999999</v>
      </c>
      <c r="AE423">
        <v>1.8532999999999999</v>
      </c>
      <c r="AF423">
        <v>8430.8286000000007</v>
      </c>
      <c r="AG423">
        <v>61.904899999999998</v>
      </c>
      <c r="AH423">
        <v>1.1308</v>
      </c>
      <c r="AI423">
        <v>88.538399999999996</v>
      </c>
      <c r="AJ423">
        <v>73.2</v>
      </c>
      <c r="AK423">
        <v>80.280699999999996</v>
      </c>
      <c r="AL423">
        <v>1.585</v>
      </c>
      <c r="AM423">
        <v>0.05</v>
      </c>
      <c r="AN423">
        <v>1.9E-2</v>
      </c>
      <c r="AO423">
        <v>92.011600000000001</v>
      </c>
      <c r="AP423">
        <v>92.730900000000005</v>
      </c>
      <c r="AQ423">
        <v>90.765600000000006</v>
      </c>
      <c r="AR423">
        <v>88.392300000000006</v>
      </c>
      <c r="AS423">
        <v>82.102099999999993</v>
      </c>
      <c r="AT423">
        <v>80.939599999999999</v>
      </c>
      <c r="AU423">
        <v>76.316199999999995</v>
      </c>
      <c r="AV423">
        <v>6200.8746000000001</v>
      </c>
      <c r="AW423">
        <v>15623.9769</v>
      </c>
      <c r="AX423">
        <f t="shared" si="113"/>
        <v>755111.49077007</v>
      </c>
      <c r="AY423">
        <f t="shared" si="114"/>
        <v>967200.72759680997</v>
      </c>
      <c r="AZ423">
        <f t="shared" si="115"/>
        <v>185023.82164287</v>
      </c>
      <c r="BA423">
        <f t="shared" si="107"/>
        <v>15623.9769</v>
      </c>
      <c r="BB423">
        <f t="shared" si="108"/>
        <v>0</v>
      </c>
      <c r="BC423">
        <f t="shared" si="109"/>
        <v>0</v>
      </c>
      <c r="BD423">
        <f t="shared" si="110"/>
        <v>0</v>
      </c>
      <c r="BE423">
        <f t="shared" si="111"/>
        <v>0</v>
      </c>
      <c r="BF423">
        <f t="shared" si="112"/>
        <v>0</v>
      </c>
      <c r="BG423">
        <f t="shared" si="116"/>
        <v>9673.2423796800012</v>
      </c>
      <c r="BH423">
        <f t="shared" si="117"/>
        <v>9468.2317171200011</v>
      </c>
      <c r="BI423">
        <f t="shared" si="118"/>
        <v>9220.6604529600008</v>
      </c>
      <c r="BJ423">
        <f t="shared" si="119"/>
        <v>8564.4969819199996</v>
      </c>
      <c r="BK423">
        <f t="shared" si="120"/>
        <v>8443.2305619199997</v>
      </c>
      <c r="BL423">
        <f t="shared" si="121"/>
        <v>7960.9396662399995</v>
      </c>
    </row>
    <row r="424" spans="1:64">
      <c r="A424" t="str">
        <f t="shared" si="106"/>
        <v>29</v>
      </c>
      <c r="B424" t="s">
        <v>605</v>
      </c>
      <c r="C424" t="s">
        <v>714</v>
      </c>
      <c r="D424">
        <v>55</v>
      </c>
      <c r="E424">
        <v>1</v>
      </c>
      <c r="F424">
        <v>6</v>
      </c>
      <c r="G424">
        <v>2</v>
      </c>
      <c r="H424">
        <v>200</v>
      </c>
      <c r="I424" t="s">
        <v>607</v>
      </c>
      <c r="J424">
        <v>0.64980000000000004</v>
      </c>
      <c r="K424">
        <v>94.760900000000007</v>
      </c>
      <c r="L424">
        <v>3.04E-2</v>
      </c>
      <c r="M424">
        <v>0.96050000000000002</v>
      </c>
      <c r="N424">
        <v>33.294199999999996</v>
      </c>
      <c r="O424">
        <v>81.744600000000005</v>
      </c>
      <c r="P424">
        <v>378.50729999999999</v>
      </c>
      <c r="Q424">
        <v>236.23699999999999</v>
      </c>
      <c r="R424">
        <v>0.43009999999999998</v>
      </c>
      <c r="S424">
        <v>0.82389999999999997</v>
      </c>
      <c r="T424">
        <v>0.46400000000000002</v>
      </c>
      <c r="U424">
        <v>4.1000000000000003E-3</v>
      </c>
      <c r="V424">
        <v>0.68269999999999997</v>
      </c>
      <c r="W424">
        <v>11.920199999999999</v>
      </c>
      <c r="X424">
        <v>179.8724</v>
      </c>
      <c r="Y424">
        <v>156.8126</v>
      </c>
      <c r="Z424">
        <v>159.87379999999999</v>
      </c>
      <c r="AA424">
        <v>472.45699999999999</v>
      </c>
      <c r="AB424">
        <v>8.4510000000000005</v>
      </c>
      <c r="AC424">
        <v>47.4846</v>
      </c>
      <c r="AD424">
        <v>58.732300000000002</v>
      </c>
      <c r="AE424">
        <v>3.2284999999999999</v>
      </c>
      <c r="AF424">
        <v>8375.8912</v>
      </c>
      <c r="AG424">
        <v>60.727499999999999</v>
      </c>
      <c r="AH424">
        <v>2.2454000000000001</v>
      </c>
      <c r="AI424">
        <v>88.576499999999996</v>
      </c>
      <c r="AJ424">
        <v>73.188100000000006</v>
      </c>
      <c r="AK424">
        <v>80.616699999999994</v>
      </c>
      <c r="AL424">
        <v>1.9486000000000001</v>
      </c>
      <c r="AM424">
        <v>0.05</v>
      </c>
      <c r="AN424">
        <v>2.01E-2</v>
      </c>
      <c r="AO424">
        <v>90.854900000000001</v>
      </c>
      <c r="AP424">
        <v>92.899699999999996</v>
      </c>
      <c r="AQ424">
        <v>91.067800000000005</v>
      </c>
      <c r="AR424">
        <v>88.719700000000003</v>
      </c>
      <c r="AS424">
        <v>82.041799999999995</v>
      </c>
      <c r="AT424">
        <v>80.805199999999999</v>
      </c>
      <c r="AU424">
        <v>75.831199999999995</v>
      </c>
      <c r="AV424">
        <v>10933.342699999999</v>
      </c>
      <c r="AW424">
        <v>27037.0344</v>
      </c>
      <c r="AX424">
        <f t="shared" si="113"/>
        <v>1283842.7636702401</v>
      </c>
      <c r="AY424">
        <f t="shared" si="114"/>
        <v>1641891.5065260001</v>
      </c>
      <c r="AZ424">
        <f t="shared" si="115"/>
        <v>322286.85745487997</v>
      </c>
      <c r="BA424">
        <f t="shared" si="107"/>
        <v>27037.0344</v>
      </c>
      <c r="BB424">
        <f t="shared" si="108"/>
        <v>0</v>
      </c>
      <c r="BC424">
        <f t="shared" si="109"/>
        <v>0</v>
      </c>
      <c r="BD424">
        <f t="shared" si="110"/>
        <v>0</v>
      </c>
      <c r="BE424">
        <f t="shared" si="111"/>
        <v>0</v>
      </c>
      <c r="BF424">
        <f t="shared" si="112"/>
        <v>0</v>
      </c>
      <c r="BG424">
        <f t="shared" si="116"/>
        <v>16710.091998280001</v>
      </c>
      <c r="BH424">
        <f t="shared" si="117"/>
        <v>16380.583748720001</v>
      </c>
      <c r="BI424">
        <f t="shared" si="118"/>
        <v>15958.225366280001</v>
      </c>
      <c r="BJ424">
        <f t="shared" si="119"/>
        <v>14757.055466319998</v>
      </c>
      <c r="BK424">
        <f t="shared" si="120"/>
        <v>14534.62525648</v>
      </c>
      <c r="BL424">
        <f t="shared" si="121"/>
        <v>13639.939938879999</v>
      </c>
    </row>
    <row r="425" spans="1:64">
      <c r="A425" t="str">
        <f t="shared" si="106"/>
        <v>29</v>
      </c>
      <c r="B425" t="s">
        <v>605</v>
      </c>
      <c r="C425" t="s">
        <v>714</v>
      </c>
      <c r="D425">
        <v>55</v>
      </c>
      <c r="E425">
        <v>2</v>
      </c>
      <c r="F425">
        <v>10</v>
      </c>
      <c r="G425">
        <v>2</v>
      </c>
      <c r="H425">
        <v>100</v>
      </c>
      <c r="I425" t="s">
        <v>607</v>
      </c>
      <c r="J425">
        <v>0.73919999999999997</v>
      </c>
      <c r="K425">
        <v>99.080799999999996</v>
      </c>
      <c r="L425">
        <v>2.76E-2</v>
      </c>
      <c r="M425">
        <v>0.86760000000000004</v>
      </c>
      <c r="N425">
        <v>31.086300000000001</v>
      </c>
      <c r="O425">
        <v>87.897499999999994</v>
      </c>
      <c r="P425">
        <v>354.73489999999998</v>
      </c>
      <c r="Q425">
        <v>227.36160000000001</v>
      </c>
      <c r="R425">
        <v>0.42270000000000002</v>
      </c>
      <c r="S425">
        <v>1.1293</v>
      </c>
      <c r="T425">
        <v>0.34770000000000001</v>
      </c>
      <c r="U425">
        <v>5.4000000000000003E-3</v>
      </c>
      <c r="V425">
        <v>0.77510000000000001</v>
      </c>
      <c r="W425">
        <v>11.6241</v>
      </c>
      <c r="X425">
        <v>329.35320000000002</v>
      </c>
      <c r="Y425">
        <v>290.3836</v>
      </c>
      <c r="Z425">
        <v>294.05290000000002</v>
      </c>
      <c r="AA425">
        <v>936.20579999999995</v>
      </c>
      <c r="AB425">
        <v>67.352699999999999</v>
      </c>
      <c r="AC425">
        <v>46.691299999999998</v>
      </c>
      <c r="AD425">
        <v>49.017299999999999</v>
      </c>
      <c r="AE425">
        <v>5.4513999999999996</v>
      </c>
      <c r="AF425">
        <v>8169.3675999999996</v>
      </c>
      <c r="AG425">
        <v>63.078899999999997</v>
      </c>
      <c r="AH425">
        <v>3.633</v>
      </c>
      <c r="AI425">
        <v>88.820899999999995</v>
      </c>
      <c r="AJ425">
        <v>73.2</v>
      </c>
      <c r="AK425">
        <v>80.865200000000002</v>
      </c>
      <c r="AL425">
        <v>1.5004999999999999</v>
      </c>
      <c r="AM425">
        <v>0.05</v>
      </c>
      <c r="AN425">
        <v>1.18E-2</v>
      </c>
      <c r="AO425">
        <v>94.576400000000007</v>
      </c>
      <c r="AP425">
        <v>92.7209</v>
      </c>
      <c r="AQ425">
        <v>90.797300000000007</v>
      </c>
      <c r="AR425">
        <v>88.246499999999997</v>
      </c>
      <c r="AS425">
        <v>81.979799999999997</v>
      </c>
      <c r="AT425">
        <v>80.8172</v>
      </c>
      <c r="AU425">
        <v>76.221400000000003</v>
      </c>
      <c r="AV425">
        <v>17845.327000000001</v>
      </c>
      <c r="AW425">
        <v>44534.463100000001</v>
      </c>
      <c r="AX425">
        <f t="shared" si="113"/>
        <v>2079371.97694103</v>
      </c>
      <c r="AY425">
        <f t="shared" si="114"/>
        <v>2809184.9444385897</v>
      </c>
      <c r="AZ425">
        <f t="shared" si="115"/>
        <v>517673.05252071004</v>
      </c>
      <c r="BA425">
        <f t="shared" si="107"/>
        <v>0</v>
      </c>
      <c r="BB425">
        <f t="shared" si="108"/>
        <v>44534.463100000001</v>
      </c>
      <c r="BC425">
        <f t="shared" si="109"/>
        <v>0</v>
      </c>
      <c r="BD425">
        <f t="shared" si="110"/>
        <v>0</v>
      </c>
      <c r="BE425">
        <f t="shared" si="111"/>
        <v>0</v>
      </c>
      <c r="BF425">
        <f t="shared" si="112"/>
        <v>0</v>
      </c>
      <c r="BG425">
        <f t="shared" si="116"/>
        <v>30537.925121880002</v>
      </c>
      <c r="BH425">
        <f t="shared" si="117"/>
        <v>29904.381306360003</v>
      </c>
      <c r="BI425">
        <f t="shared" si="118"/>
        <v>29064.267163799999</v>
      </c>
      <c r="BJ425">
        <f t="shared" si="119"/>
        <v>27000.309465360002</v>
      </c>
      <c r="BK425">
        <f t="shared" si="120"/>
        <v>26617.40343504</v>
      </c>
      <c r="BL425">
        <f t="shared" si="121"/>
        <v>25103.76199848</v>
      </c>
    </row>
    <row r="426" spans="1:64">
      <c r="A426" t="str">
        <f t="shared" si="106"/>
        <v>30</v>
      </c>
      <c r="B426" t="s">
        <v>605</v>
      </c>
      <c r="C426" t="s">
        <v>715</v>
      </c>
      <c r="D426">
        <v>1</v>
      </c>
      <c r="E426">
        <v>1</v>
      </c>
      <c r="F426">
        <v>6</v>
      </c>
      <c r="G426">
        <v>2</v>
      </c>
      <c r="H426">
        <v>200</v>
      </c>
      <c r="I426" t="s">
        <v>607</v>
      </c>
      <c r="J426">
        <v>0.74339999999999995</v>
      </c>
      <c r="K426">
        <v>75.627200000000002</v>
      </c>
      <c r="L426">
        <v>2.75E-2</v>
      </c>
      <c r="M426">
        <v>0.99319999999999997</v>
      </c>
      <c r="N426">
        <v>31.152999999999999</v>
      </c>
      <c r="O426">
        <v>87.515000000000001</v>
      </c>
      <c r="P426">
        <v>554.60199999999998</v>
      </c>
      <c r="Q426">
        <v>217.255</v>
      </c>
      <c r="R426">
        <v>0.72199999999999998</v>
      </c>
      <c r="S426">
        <v>0.84299999999999997</v>
      </c>
      <c r="T426">
        <v>0.4849</v>
      </c>
      <c r="U426">
        <v>4.0000000000000001E-3</v>
      </c>
      <c r="V426">
        <v>0.72209999999999996</v>
      </c>
      <c r="W426">
        <v>11.26</v>
      </c>
      <c r="X426">
        <v>12.946400000000001</v>
      </c>
      <c r="Y426">
        <v>11.3477</v>
      </c>
      <c r="Z426">
        <v>11.5946</v>
      </c>
      <c r="AA426">
        <v>36.425800000000002</v>
      </c>
      <c r="AB426">
        <v>17.8644</v>
      </c>
      <c r="AC426">
        <v>44.639000000000003</v>
      </c>
      <c r="AD426">
        <v>63.9011</v>
      </c>
      <c r="AE426">
        <v>0.23849999999999999</v>
      </c>
      <c r="AF426">
        <v>8081</v>
      </c>
      <c r="AG426">
        <v>63.126899999999999</v>
      </c>
      <c r="AH426">
        <v>0.16919999999999999</v>
      </c>
      <c r="AI426">
        <v>87.179000000000002</v>
      </c>
      <c r="AJ426">
        <v>73.064999999999998</v>
      </c>
      <c r="AK426">
        <v>78.349000000000004</v>
      </c>
      <c r="AL426">
        <v>1.7390000000000001</v>
      </c>
      <c r="AM426">
        <v>0.05</v>
      </c>
      <c r="AN426">
        <v>1.7999999999999999E-2</v>
      </c>
      <c r="AO426">
        <v>83.227900000000005</v>
      </c>
      <c r="AP426">
        <v>93.150999999999996</v>
      </c>
      <c r="AQ426">
        <v>91.557000000000002</v>
      </c>
      <c r="AR426">
        <v>89.322999999999993</v>
      </c>
      <c r="AS426">
        <v>81.888000000000005</v>
      </c>
      <c r="AT426">
        <v>80.713999999999999</v>
      </c>
      <c r="AU426">
        <v>75.081999999999994</v>
      </c>
      <c r="AV426">
        <v>1014.5441</v>
      </c>
      <c r="AW426">
        <v>1927.6338000000001</v>
      </c>
      <c r="AX426">
        <f t="shared" si="113"/>
        <v>86047.645198200014</v>
      </c>
      <c r="AY426">
        <f t="shared" si="114"/>
        <v>121685.54612922001</v>
      </c>
      <c r="AZ426">
        <f t="shared" si="115"/>
        <v>21705.156588000002</v>
      </c>
      <c r="BA426">
        <f t="shared" si="107"/>
        <v>1927.6338000000001</v>
      </c>
      <c r="BB426">
        <f t="shared" si="108"/>
        <v>0</v>
      </c>
      <c r="BC426">
        <f t="shared" si="109"/>
        <v>0</v>
      </c>
      <c r="BD426">
        <f t="shared" si="110"/>
        <v>0</v>
      </c>
      <c r="BE426">
        <f t="shared" si="111"/>
        <v>0</v>
      </c>
      <c r="BF426">
        <f t="shared" si="112"/>
        <v>0</v>
      </c>
      <c r="BG426">
        <f t="shared" si="116"/>
        <v>1205.9701064000001</v>
      </c>
      <c r="BH426">
        <f t="shared" si="117"/>
        <v>1185.3335448</v>
      </c>
      <c r="BI426">
        <f t="shared" si="118"/>
        <v>1156.4112872000001</v>
      </c>
      <c r="BJ426">
        <f t="shared" si="119"/>
        <v>1060.1548032000001</v>
      </c>
      <c r="BK426">
        <f t="shared" si="120"/>
        <v>1044.9557296</v>
      </c>
      <c r="BL426">
        <f t="shared" si="121"/>
        <v>972.04160479999996</v>
      </c>
    </row>
    <row r="427" spans="1:64">
      <c r="A427" t="str">
        <f t="shared" si="106"/>
        <v>30</v>
      </c>
      <c r="B427" t="s">
        <v>605</v>
      </c>
      <c r="C427" t="s">
        <v>715</v>
      </c>
      <c r="D427">
        <v>55</v>
      </c>
      <c r="E427">
        <v>1</v>
      </c>
      <c r="F427">
        <v>6</v>
      </c>
      <c r="G427">
        <v>2</v>
      </c>
      <c r="H427">
        <v>100</v>
      </c>
      <c r="I427" t="s">
        <v>607</v>
      </c>
      <c r="J427">
        <v>0.69520000000000004</v>
      </c>
      <c r="K427">
        <v>68.9392</v>
      </c>
      <c r="L427">
        <v>2.8799999999999999E-2</v>
      </c>
      <c r="M427">
        <v>0.92020000000000002</v>
      </c>
      <c r="N427">
        <v>30.886800000000001</v>
      </c>
      <c r="O427">
        <v>85.2333</v>
      </c>
      <c r="P427">
        <v>348.30849999999998</v>
      </c>
      <c r="Q427">
        <v>241.55869999999999</v>
      </c>
      <c r="R427">
        <v>0.42349999999999999</v>
      </c>
      <c r="S427">
        <v>0.74019999999999997</v>
      </c>
      <c r="T427">
        <v>0.34860000000000002</v>
      </c>
      <c r="U427">
        <v>3.3E-3</v>
      </c>
      <c r="V427">
        <v>0.77690000000000003</v>
      </c>
      <c r="W427">
        <v>11.855499999999999</v>
      </c>
      <c r="X427">
        <v>215.62989999999999</v>
      </c>
      <c r="Y427">
        <v>188.46619999999999</v>
      </c>
      <c r="Z427">
        <v>188.37729999999999</v>
      </c>
      <c r="AA427">
        <v>612.60619999999994</v>
      </c>
      <c r="AB427">
        <v>10.178800000000001</v>
      </c>
      <c r="AC427">
        <v>49.396500000000003</v>
      </c>
      <c r="AD427">
        <v>53.503399999999999</v>
      </c>
      <c r="AE427">
        <v>3.3685999999999998</v>
      </c>
      <c r="AF427">
        <v>8526.5648000000001</v>
      </c>
      <c r="AG427">
        <v>62.135199999999998</v>
      </c>
      <c r="AH427">
        <v>1.7091000000000001</v>
      </c>
      <c r="AI427">
        <v>88.053299999999993</v>
      </c>
      <c r="AJ427">
        <v>73.2</v>
      </c>
      <c r="AK427">
        <v>79.283299999999997</v>
      </c>
      <c r="AL427">
        <v>1.7382</v>
      </c>
      <c r="AM427">
        <v>0.05</v>
      </c>
      <c r="AN427">
        <v>1.67E-2</v>
      </c>
      <c r="AO427">
        <v>91.875200000000007</v>
      </c>
      <c r="AP427">
        <v>92.921700000000001</v>
      </c>
      <c r="AQ427">
        <v>90.862799999999993</v>
      </c>
      <c r="AR427">
        <v>88.451999999999998</v>
      </c>
      <c r="AS427">
        <v>81.865899999999996</v>
      </c>
      <c r="AT427">
        <v>80.658100000000005</v>
      </c>
      <c r="AU427">
        <v>75.749099999999999</v>
      </c>
      <c r="AV427">
        <v>11232.9568</v>
      </c>
      <c r="AW427">
        <v>28722.0409</v>
      </c>
      <c r="AX427">
        <f t="shared" si="113"/>
        <v>1418768.2933168502</v>
      </c>
      <c r="AY427">
        <f t="shared" si="114"/>
        <v>1784649.7557296799</v>
      </c>
      <c r="AZ427">
        <f t="shared" si="115"/>
        <v>340514.15588994999</v>
      </c>
      <c r="BA427">
        <f t="shared" si="107"/>
        <v>28722.0409</v>
      </c>
      <c r="BB427">
        <f t="shared" si="108"/>
        <v>0</v>
      </c>
      <c r="BC427">
        <f t="shared" si="109"/>
        <v>0</v>
      </c>
      <c r="BD427">
        <f t="shared" si="110"/>
        <v>0</v>
      </c>
      <c r="BE427">
        <f t="shared" si="111"/>
        <v>0</v>
      </c>
      <c r="BF427">
        <f t="shared" si="112"/>
        <v>0</v>
      </c>
      <c r="BG427">
        <f t="shared" si="116"/>
        <v>20036.69687883</v>
      </c>
      <c r="BH427">
        <f t="shared" si="117"/>
        <v>19592.736477719998</v>
      </c>
      <c r="BI427">
        <f t="shared" si="118"/>
        <v>19072.895914799999</v>
      </c>
      <c r="BJ427">
        <f t="shared" si="119"/>
        <v>17652.735830409998</v>
      </c>
      <c r="BK427">
        <f t="shared" si="120"/>
        <v>17392.298037190001</v>
      </c>
      <c r="BL427">
        <f t="shared" si="121"/>
        <v>16333.77085809</v>
      </c>
    </row>
    <row r="428" spans="1:64">
      <c r="A428" t="str">
        <f t="shared" si="106"/>
        <v>30</v>
      </c>
      <c r="B428" t="s">
        <v>605</v>
      </c>
      <c r="C428" t="s">
        <v>715</v>
      </c>
      <c r="D428">
        <v>55</v>
      </c>
      <c r="E428">
        <v>1</v>
      </c>
      <c r="F428">
        <v>6</v>
      </c>
      <c r="G428">
        <v>2</v>
      </c>
      <c r="H428">
        <v>200</v>
      </c>
      <c r="I428" t="s">
        <v>607</v>
      </c>
      <c r="J428">
        <v>0.61570000000000003</v>
      </c>
      <c r="K428">
        <v>77.251599999999996</v>
      </c>
      <c r="L428">
        <v>2.9600000000000001E-2</v>
      </c>
      <c r="M428">
        <v>0.92120000000000002</v>
      </c>
      <c r="N428">
        <v>32.384</v>
      </c>
      <c r="O428">
        <v>82.293300000000002</v>
      </c>
      <c r="P428">
        <v>380.33710000000002</v>
      </c>
      <c r="Q428">
        <v>245.5273</v>
      </c>
      <c r="R428">
        <v>0.4108</v>
      </c>
      <c r="S428">
        <v>0.81740000000000002</v>
      </c>
      <c r="T428">
        <v>0.39989999999999998</v>
      </c>
      <c r="U428">
        <v>3.8999999999999998E-3</v>
      </c>
      <c r="V428">
        <v>0.67869999999999997</v>
      </c>
      <c r="W428">
        <v>11.994</v>
      </c>
      <c r="X428">
        <v>225.31030000000001</v>
      </c>
      <c r="Y428">
        <v>195.45099999999999</v>
      </c>
      <c r="Z428">
        <v>198.38560000000001</v>
      </c>
      <c r="AA428">
        <v>604.30529999999999</v>
      </c>
      <c r="AB428">
        <v>8.8289000000000009</v>
      </c>
      <c r="AC428">
        <v>49.341000000000001</v>
      </c>
      <c r="AD428">
        <v>56.057899999999997</v>
      </c>
      <c r="AE428">
        <v>3.9041000000000001</v>
      </c>
      <c r="AF428">
        <v>8605.7494999999999</v>
      </c>
      <c r="AG428">
        <v>60.894599999999997</v>
      </c>
      <c r="AH428">
        <v>2.5674000000000001</v>
      </c>
      <c r="AI428">
        <v>88.227000000000004</v>
      </c>
      <c r="AJ428">
        <v>73.192599999999999</v>
      </c>
      <c r="AK428">
        <v>79.592699999999994</v>
      </c>
      <c r="AL428">
        <v>2.0486</v>
      </c>
      <c r="AM428">
        <v>0.05</v>
      </c>
      <c r="AN428">
        <v>1.61E-2</v>
      </c>
      <c r="AO428">
        <v>90.243300000000005</v>
      </c>
      <c r="AP428">
        <v>92.990799999999993</v>
      </c>
      <c r="AQ428">
        <v>90.962999999999994</v>
      </c>
      <c r="AR428">
        <v>88.702299999999994</v>
      </c>
      <c r="AS428">
        <v>81.635400000000004</v>
      </c>
      <c r="AT428">
        <v>80.270099999999999</v>
      </c>
      <c r="AU428">
        <v>74.875</v>
      </c>
      <c r="AV428">
        <v>13783.1576</v>
      </c>
      <c r="AW428">
        <v>33575.232199999999</v>
      </c>
      <c r="AX428">
        <f t="shared" si="113"/>
        <v>1656635.5319802</v>
      </c>
      <c r="AY428">
        <f t="shared" si="114"/>
        <v>2044550.3347261199</v>
      </c>
      <c r="AZ428">
        <f t="shared" si="115"/>
        <v>402701.33500679996</v>
      </c>
      <c r="BA428">
        <f t="shared" si="107"/>
        <v>33575.232199999999</v>
      </c>
      <c r="BB428">
        <f t="shared" si="108"/>
        <v>0</v>
      </c>
      <c r="BC428">
        <f t="shared" si="109"/>
        <v>0</v>
      </c>
      <c r="BD428">
        <f t="shared" si="110"/>
        <v>0</v>
      </c>
      <c r="BE428">
        <f t="shared" si="111"/>
        <v>0</v>
      </c>
      <c r="BF428">
        <f t="shared" si="112"/>
        <v>0</v>
      </c>
      <c r="BG428">
        <f t="shared" si="116"/>
        <v>20951.785045239998</v>
      </c>
      <c r="BH428">
        <f t="shared" si="117"/>
        <v>20494.900818900001</v>
      </c>
      <c r="BI428">
        <f t="shared" si="118"/>
        <v>19985.54182369</v>
      </c>
      <c r="BJ428">
        <f t="shared" si="119"/>
        <v>18393.296464620002</v>
      </c>
      <c r="BK428">
        <f t="shared" si="120"/>
        <v>18085.680312029999</v>
      </c>
      <c r="BL428">
        <f t="shared" si="121"/>
        <v>16870.108712500001</v>
      </c>
    </row>
    <row r="429" spans="1:64">
      <c r="A429" t="str">
        <f t="shared" si="106"/>
        <v>30</v>
      </c>
      <c r="B429" t="s">
        <v>605</v>
      </c>
      <c r="C429" t="s">
        <v>715</v>
      </c>
      <c r="D429">
        <v>55</v>
      </c>
      <c r="E429">
        <v>2</v>
      </c>
      <c r="F429">
        <v>10</v>
      </c>
      <c r="G429">
        <v>2</v>
      </c>
      <c r="H429">
        <v>100</v>
      </c>
      <c r="I429" t="s">
        <v>607</v>
      </c>
      <c r="J429">
        <v>0.75129999999999997</v>
      </c>
      <c r="K429">
        <v>81.313999999999993</v>
      </c>
      <c r="L429">
        <v>2.76E-2</v>
      </c>
      <c r="M429">
        <v>0.8649</v>
      </c>
      <c r="N429">
        <v>29.5366</v>
      </c>
      <c r="O429">
        <v>87.8523</v>
      </c>
      <c r="P429">
        <v>357.41980000000001</v>
      </c>
      <c r="Q429">
        <v>227.41640000000001</v>
      </c>
      <c r="R429">
        <v>0.45579999999999998</v>
      </c>
      <c r="S429">
        <v>1.1559999999999999</v>
      </c>
      <c r="T429">
        <v>0.29430000000000001</v>
      </c>
      <c r="U429">
        <v>4.8999999999999998E-3</v>
      </c>
      <c r="V429">
        <v>0.79379999999999995</v>
      </c>
      <c r="W429">
        <v>11.6303</v>
      </c>
      <c r="X429">
        <v>77.489800000000002</v>
      </c>
      <c r="Y429">
        <v>68.285499999999999</v>
      </c>
      <c r="Z429">
        <v>68.715900000000005</v>
      </c>
      <c r="AA429">
        <v>231.37370000000001</v>
      </c>
      <c r="AB429">
        <v>84.969700000000003</v>
      </c>
      <c r="AC429">
        <v>46.691200000000002</v>
      </c>
      <c r="AD429">
        <v>49.000799999999998</v>
      </c>
      <c r="AE429">
        <v>1.2451000000000001</v>
      </c>
      <c r="AF429">
        <v>8168.0367999999999</v>
      </c>
      <c r="AG429">
        <v>63.133899999999997</v>
      </c>
      <c r="AH429">
        <v>0.74070000000000003</v>
      </c>
      <c r="AI429">
        <v>88.565600000000003</v>
      </c>
      <c r="AJ429">
        <v>73.2</v>
      </c>
      <c r="AK429">
        <v>80.336100000000002</v>
      </c>
      <c r="AL429">
        <v>1.5596000000000001</v>
      </c>
      <c r="AM429">
        <v>0.05</v>
      </c>
      <c r="AN429">
        <v>1.0200000000000001E-2</v>
      </c>
      <c r="AO429">
        <v>94.603999999999999</v>
      </c>
      <c r="AP429">
        <v>92.780199999999994</v>
      </c>
      <c r="AQ429">
        <v>90.775999999999996</v>
      </c>
      <c r="AR429">
        <v>88.217200000000005</v>
      </c>
      <c r="AS429">
        <v>81.847700000000003</v>
      </c>
      <c r="AT429">
        <v>80.654600000000002</v>
      </c>
      <c r="AU429">
        <v>76.120599999999996</v>
      </c>
      <c r="AV429">
        <v>4019.3894</v>
      </c>
      <c r="AW429">
        <v>10169.6152</v>
      </c>
      <c r="AX429">
        <f t="shared" si="113"/>
        <v>474831.53722624003</v>
      </c>
      <c r="AY429">
        <f t="shared" si="114"/>
        <v>642047.46907528001</v>
      </c>
      <c r="AZ429">
        <f t="shared" si="115"/>
        <v>118275.67566056001</v>
      </c>
      <c r="BA429">
        <f t="shared" si="107"/>
        <v>0</v>
      </c>
      <c r="BB429">
        <f t="shared" si="108"/>
        <v>10169.6152</v>
      </c>
      <c r="BC429">
        <f t="shared" si="109"/>
        <v>0</v>
      </c>
      <c r="BD429">
        <f t="shared" si="110"/>
        <v>0</v>
      </c>
      <c r="BE429">
        <f t="shared" si="111"/>
        <v>0</v>
      </c>
      <c r="BF429">
        <f t="shared" si="112"/>
        <v>0</v>
      </c>
      <c r="BG429">
        <f t="shared" si="116"/>
        <v>7189.5191419599996</v>
      </c>
      <c r="BH429">
        <f t="shared" si="117"/>
        <v>7034.2140847999999</v>
      </c>
      <c r="BI429">
        <f t="shared" si="118"/>
        <v>6835.9331845600009</v>
      </c>
      <c r="BJ429">
        <f t="shared" si="119"/>
        <v>6342.3619034600006</v>
      </c>
      <c r="BK429">
        <f t="shared" si="120"/>
        <v>6249.9088230800007</v>
      </c>
      <c r="BL429">
        <f t="shared" si="121"/>
        <v>5898.5700698800001</v>
      </c>
    </row>
    <row r="430" spans="1:64">
      <c r="A430" t="str">
        <f t="shared" si="106"/>
        <v>30</v>
      </c>
      <c r="B430" t="s">
        <v>605</v>
      </c>
      <c r="C430" t="s">
        <v>715</v>
      </c>
      <c r="D430">
        <v>66</v>
      </c>
      <c r="E430">
        <v>3</v>
      </c>
      <c r="F430">
        <v>6</v>
      </c>
      <c r="G430">
        <v>2</v>
      </c>
      <c r="H430">
        <v>100</v>
      </c>
      <c r="I430" t="s">
        <v>607</v>
      </c>
      <c r="J430">
        <v>0.45679999999999998</v>
      </c>
      <c r="K430">
        <v>70.637100000000004</v>
      </c>
      <c r="L430">
        <v>2.7699999999999999E-2</v>
      </c>
      <c r="M430">
        <v>0.87380000000000002</v>
      </c>
      <c r="N430">
        <v>26.421700000000001</v>
      </c>
      <c r="O430">
        <v>90.392499999999998</v>
      </c>
      <c r="P430">
        <v>363.51659999999998</v>
      </c>
      <c r="Q430">
        <v>207.2578</v>
      </c>
      <c r="R430">
        <v>0.49130000000000001</v>
      </c>
      <c r="S430">
        <v>1.4575</v>
      </c>
      <c r="T430">
        <v>0.1381</v>
      </c>
      <c r="U430">
        <v>5.3E-3</v>
      </c>
      <c r="V430">
        <v>0.48309999999999997</v>
      </c>
      <c r="W430">
        <v>13.023099999999999</v>
      </c>
      <c r="X430">
        <v>77.790800000000004</v>
      </c>
      <c r="Y430">
        <v>70.317099999999996</v>
      </c>
      <c r="Z430">
        <v>71.853200000000001</v>
      </c>
      <c r="AA430">
        <v>266.214</v>
      </c>
      <c r="AB430">
        <v>59.663800000000002</v>
      </c>
      <c r="AC430">
        <v>36.2684</v>
      </c>
      <c r="AD430">
        <v>84.5702</v>
      </c>
      <c r="AE430">
        <v>2.3275999999999999</v>
      </c>
      <c r="AF430">
        <v>7316.0958000000001</v>
      </c>
      <c r="AG430">
        <v>62.609699999999997</v>
      </c>
      <c r="AH430">
        <v>1.0498000000000001</v>
      </c>
      <c r="AI430">
        <v>88.101200000000006</v>
      </c>
      <c r="AJ430">
        <v>73.2</v>
      </c>
      <c r="AK430">
        <v>79.384200000000007</v>
      </c>
      <c r="AL430">
        <v>1.6786000000000001</v>
      </c>
      <c r="AM430">
        <v>0.05</v>
      </c>
      <c r="AN430">
        <v>0</v>
      </c>
      <c r="AO430">
        <v>91.067099999999996</v>
      </c>
      <c r="AP430">
        <v>94.9636</v>
      </c>
      <c r="AQ430">
        <v>93.612200000000001</v>
      </c>
      <c r="AR430">
        <v>91.740700000000004</v>
      </c>
      <c r="AS430">
        <v>85.834400000000002</v>
      </c>
      <c r="AT430">
        <v>84.747</v>
      </c>
      <c r="AU430">
        <v>80.710499999999996</v>
      </c>
      <c r="AV430">
        <v>6456.98</v>
      </c>
      <c r="AW430">
        <v>17028.344099999998</v>
      </c>
      <c r="AX430">
        <f t="shared" si="113"/>
        <v>617590.79515643988</v>
      </c>
      <c r="AY430">
        <f t="shared" si="114"/>
        <v>1066139.5155977698</v>
      </c>
      <c r="AZ430">
        <f t="shared" si="115"/>
        <v>221761.82804870998</v>
      </c>
      <c r="BA430">
        <f t="shared" si="107"/>
        <v>0</v>
      </c>
      <c r="BB430">
        <f t="shared" si="108"/>
        <v>0</v>
      </c>
      <c r="BC430">
        <f t="shared" si="109"/>
        <v>17028.344099999998</v>
      </c>
      <c r="BD430">
        <f t="shared" si="110"/>
        <v>0</v>
      </c>
      <c r="BE430">
        <f t="shared" si="111"/>
        <v>0</v>
      </c>
      <c r="BF430">
        <f t="shared" si="112"/>
        <v>0</v>
      </c>
      <c r="BG430">
        <f t="shared" si="116"/>
        <v>7387.2944148800007</v>
      </c>
      <c r="BH430">
        <f t="shared" si="117"/>
        <v>7282.1679277600006</v>
      </c>
      <c r="BI430">
        <f t="shared" si="118"/>
        <v>7136.5824455600005</v>
      </c>
      <c r="BJ430">
        <f t="shared" si="119"/>
        <v>6677.1266435200005</v>
      </c>
      <c r="BK430">
        <f t="shared" si="120"/>
        <v>6592.5369276000001</v>
      </c>
      <c r="BL430">
        <f t="shared" si="121"/>
        <v>6278.5343634000001</v>
      </c>
    </row>
    <row r="431" spans="1:64">
      <c r="A431" t="str">
        <f t="shared" si="106"/>
        <v>31</v>
      </c>
      <c r="B431" t="s">
        <v>605</v>
      </c>
      <c r="C431" t="s">
        <v>716</v>
      </c>
      <c r="D431">
        <v>1</v>
      </c>
      <c r="E431">
        <v>1</v>
      </c>
      <c r="F431">
        <v>6</v>
      </c>
      <c r="G431">
        <v>2</v>
      </c>
      <c r="H431">
        <v>200</v>
      </c>
      <c r="I431" t="s">
        <v>624</v>
      </c>
      <c r="J431">
        <v>0.59</v>
      </c>
      <c r="K431">
        <v>54</v>
      </c>
      <c r="L431">
        <v>2.8000000000000001E-2</v>
      </c>
      <c r="M431">
        <v>0.97070000000000001</v>
      </c>
      <c r="N431">
        <v>31.152999999999999</v>
      </c>
      <c r="O431">
        <v>87.515000000000001</v>
      </c>
      <c r="P431">
        <v>554.60199999999998</v>
      </c>
      <c r="Q431">
        <v>217.255</v>
      </c>
      <c r="R431">
        <v>0.72199999999999998</v>
      </c>
      <c r="S431">
        <v>0.84299999999999997</v>
      </c>
      <c r="T431">
        <v>0.24729999999999999</v>
      </c>
      <c r="U431">
        <v>4.0000000000000001E-3</v>
      </c>
      <c r="V431">
        <v>0.43640000000000001</v>
      </c>
      <c r="W431">
        <v>11.26</v>
      </c>
      <c r="X431">
        <v>0.79610000000000003</v>
      </c>
      <c r="Y431">
        <v>0.69440000000000002</v>
      </c>
      <c r="Z431">
        <v>0.70850000000000002</v>
      </c>
      <c r="AA431">
        <v>2.2290999999999999</v>
      </c>
      <c r="AB431">
        <v>10</v>
      </c>
      <c r="AC431">
        <v>44.639000000000003</v>
      </c>
      <c r="AD431">
        <v>63.554600000000001</v>
      </c>
      <c r="AE431">
        <v>2.5700000000000001E-2</v>
      </c>
      <c r="AF431">
        <v>8081</v>
      </c>
      <c r="AG431">
        <v>51.776699999999998</v>
      </c>
      <c r="AH431">
        <v>1.01E-2</v>
      </c>
      <c r="AI431">
        <v>87.179000000000002</v>
      </c>
      <c r="AJ431">
        <v>73.064999999999998</v>
      </c>
      <c r="AK431">
        <v>64.422899999999998</v>
      </c>
      <c r="AL431">
        <v>1.7390000000000001</v>
      </c>
      <c r="AM431">
        <v>0.05</v>
      </c>
      <c r="AN431">
        <v>1.7999999999999999E-2</v>
      </c>
      <c r="AO431">
        <v>83.227900000000005</v>
      </c>
      <c r="AP431">
        <v>93.150999999999996</v>
      </c>
      <c r="AQ431">
        <v>91.557000000000002</v>
      </c>
      <c r="AR431">
        <v>89.322999999999993</v>
      </c>
      <c r="AS431">
        <v>81.888000000000005</v>
      </c>
      <c r="AT431">
        <v>80.713999999999999</v>
      </c>
      <c r="AU431">
        <v>75.081999999999994</v>
      </c>
      <c r="AV431">
        <v>109.285</v>
      </c>
      <c r="AW431">
        <v>207.64150000000001</v>
      </c>
      <c r="AX431">
        <f t="shared" si="113"/>
        <v>9268.9089185000012</v>
      </c>
      <c r="AY431">
        <f t="shared" si="114"/>
        <v>10750.99165305</v>
      </c>
      <c r="AZ431">
        <f t="shared" si="115"/>
        <v>2338.0432900000001</v>
      </c>
      <c r="BA431">
        <f t="shared" si="107"/>
        <v>207.64150000000001</v>
      </c>
      <c r="BB431">
        <f t="shared" si="108"/>
        <v>0</v>
      </c>
      <c r="BC431">
        <f t="shared" si="109"/>
        <v>0</v>
      </c>
      <c r="BD431">
        <f t="shared" si="110"/>
        <v>0</v>
      </c>
      <c r="BE431">
        <f t="shared" si="111"/>
        <v>0</v>
      </c>
      <c r="BF431">
        <f t="shared" si="112"/>
        <v>0</v>
      </c>
      <c r="BG431">
        <f t="shared" si="116"/>
        <v>74.157511099999994</v>
      </c>
      <c r="BH431">
        <f t="shared" si="117"/>
        <v>72.888527699999997</v>
      </c>
      <c r="BI431">
        <f t="shared" si="118"/>
        <v>71.110040299999994</v>
      </c>
      <c r="BJ431">
        <f t="shared" si="119"/>
        <v>65.191036800000006</v>
      </c>
      <c r="BK431">
        <f t="shared" si="120"/>
        <v>64.256415399999995</v>
      </c>
      <c r="BL431">
        <f t="shared" si="121"/>
        <v>59.7727802</v>
      </c>
    </row>
    <row r="432" spans="1:64">
      <c r="A432" t="str">
        <f t="shared" si="106"/>
        <v>31</v>
      </c>
      <c r="B432" t="s">
        <v>605</v>
      </c>
      <c r="C432" t="s">
        <v>716</v>
      </c>
      <c r="D432">
        <v>1</v>
      </c>
      <c r="E432">
        <v>1</v>
      </c>
      <c r="F432">
        <v>6</v>
      </c>
      <c r="G432">
        <v>2</v>
      </c>
      <c r="H432">
        <v>200</v>
      </c>
      <c r="I432" t="s">
        <v>607</v>
      </c>
      <c r="J432">
        <v>0.59</v>
      </c>
      <c r="K432">
        <v>54</v>
      </c>
      <c r="L432">
        <v>2.8199999999999999E-2</v>
      </c>
      <c r="M432">
        <v>1.0178</v>
      </c>
      <c r="N432">
        <v>31.152999999999999</v>
      </c>
      <c r="O432">
        <v>87.515000000000001</v>
      </c>
      <c r="P432">
        <v>554.60199999999998</v>
      </c>
      <c r="Q432">
        <v>217.255</v>
      </c>
      <c r="R432">
        <v>0.72199999999999998</v>
      </c>
      <c r="S432">
        <v>0.84299999999999997</v>
      </c>
      <c r="T432">
        <v>0.29699999999999999</v>
      </c>
      <c r="U432">
        <v>4.0000000000000001E-3</v>
      </c>
      <c r="V432">
        <v>0.51519999999999999</v>
      </c>
      <c r="W432">
        <v>11.26</v>
      </c>
      <c r="X432">
        <v>28.3386</v>
      </c>
      <c r="Y432">
        <v>24.706199999999999</v>
      </c>
      <c r="Z432">
        <v>25.339700000000001</v>
      </c>
      <c r="AA432">
        <v>79.305899999999994</v>
      </c>
      <c r="AB432">
        <v>10</v>
      </c>
      <c r="AC432">
        <v>44.639000000000003</v>
      </c>
      <c r="AD432">
        <v>63.649099999999997</v>
      </c>
      <c r="AE432">
        <v>0.73229999999999995</v>
      </c>
      <c r="AF432">
        <v>8081</v>
      </c>
      <c r="AG432">
        <v>55.221600000000002</v>
      </c>
      <c r="AH432">
        <v>0.39350000000000002</v>
      </c>
      <c r="AI432">
        <v>87.179000000000002</v>
      </c>
      <c r="AJ432">
        <v>73.064999999999998</v>
      </c>
      <c r="AK432">
        <v>72.363399999999999</v>
      </c>
      <c r="AL432">
        <v>1.7390000000000001</v>
      </c>
      <c r="AM432">
        <v>0.05</v>
      </c>
      <c r="AN432">
        <v>1.7999999999999999E-2</v>
      </c>
      <c r="AO432">
        <v>83.227900000000005</v>
      </c>
      <c r="AP432">
        <v>93.150999999999996</v>
      </c>
      <c r="AQ432">
        <v>91.557000000000002</v>
      </c>
      <c r="AR432">
        <v>89.322999999999993</v>
      </c>
      <c r="AS432">
        <v>81.888000000000005</v>
      </c>
      <c r="AT432">
        <v>80.713999999999999</v>
      </c>
      <c r="AU432">
        <v>75.081999999999994</v>
      </c>
      <c r="AV432">
        <v>3114.4043999999999</v>
      </c>
      <c r="AW432">
        <v>5917.3684000000003</v>
      </c>
      <c r="AX432">
        <f t="shared" si="113"/>
        <v>264145.40800760005</v>
      </c>
      <c r="AY432">
        <f t="shared" si="114"/>
        <v>326766.55083744001</v>
      </c>
      <c r="AZ432">
        <f t="shared" si="115"/>
        <v>66629.568184000003</v>
      </c>
      <c r="BA432">
        <f t="shared" si="107"/>
        <v>5917.3684000000003</v>
      </c>
      <c r="BB432">
        <f t="shared" si="108"/>
        <v>0</v>
      </c>
      <c r="BC432">
        <f t="shared" si="109"/>
        <v>0</v>
      </c>
      <c r="BD432">
        <f t="shared" si="110"/>
        <v>0</v>
      </c>
      <c r="BE432">
        <f t="shared" si="111"/>
        <v>0</v>
      </c>
      <c r="BF432">
        <f t="shared" si="112"/>
        <v>0</v>
      </c>
      <c r="BG432">
        <f t="shared" si="116"/>
        <v>2639.7689286</v>
      </c>
      <c r="BH432">
        <f t="shared" si="117"/>
        <v>2594.5972001999999</v>
      </c>
      <c r="BI432">
        <f t="shared" si="118"/>
        <v>2531.2887677999997</v>
      </c>
      <c r="BJ432">
        <f t="shared" si="119"/>
        <v>2320.5912768000003</v>
      </c>
      <c r="BK432">
        <f t="shared" si="120"/>
        <v>2287.3217604000001</v>
      </c>
      <c r="BL432">
        <f t="shared" si="121"/>
        <v>2127.7187651999998</v>
      </c>
    </row>
    <row r="433" spans="1:64">
      <c r="A433" t="str">
        <f t="shared" si="106"/>
        <v>31</v>
      </c>
      <c r="B433" t="s">
        <v>605</v>
      </c>
      <c r="C433" t="s">
        <v>716</v>
      </c>
      <c r="D433">
        <v>55</v>
      </c>
      <c r="E433">
        <v>1</v>
      </c>
      <c r="F433">
        <v>6</v>
      </c>
      <c r="G433">
        <v>2</v>
      </c>
      <c r="H433">
        <v>100</v>
      </c>
      <c r="I433" t="s">
        <v>607</v>
      </c>
      <c r="J433">
        <v>0.57020000000000004</v>
      </c>
      <c r="K433">
        <v>49.788200000000003</v>
      </c>
      <c r="L433">
        <v>2.7199999999999998E-2</v>
      </c>
      <c r="M433">
        <v>0.81179999999999997</v>
      </c>
      <c r="N433">
        <v>25.369</v>
      </c>
      <c r="O433">
        <v>87.456999999999994</v>
      </c>
      <c r="P433">
        <v>362.214</v>
      </c>
      <c r="Q433">
        <v>243.6061</v>
      </c>
      <c r="R433">
        <v>0.52200000000000002</v>
      </c>
      <c r="S433">
        <v>1.2898000000000001</v>
      </c>
      <c r="T433">
        <v>0.12859999999999999</v>
      </c>
      <c r="U433">
        <v>5.5999999999999999E-3</v>
      </c>
      <c r="V433">
        <v>0.66059999999999997</v>
      </c>
      <c r="W433">
        <v>11.632999999999999</v>
      </c>
      <c r="X433">
        <v>214.98249999999999</v>
      </c>
      <c r="Y433">
        <v>188.01240000000001</v>
      </c>
      <c r="Z433">
        <v>186.31059999999999</v>
      </c>
      <c r="AA433">
        <v>740.65250000000003</v>
      </c>
      <c r="AB433">
        <v>8.8407</v>
      </c>
      <c r="AC433">
        <v>50.636099999999999</v>
      </c>
      <c r="AD433">
        <v>50.393700000000003</v>
      </c>
      <c r="AE433">
        <v>3.8464999999999998</v>
      </c>
      <c r="AF433">
        <v>8682.2320999999993</v>
      </c>
      <c r="AG433">
        <v>60.6355</v>
      </c>
      <c r="AH433">
        <v>1.2813000000000001</v>
      </c>
      <c r="AI433">
        <v>87.042699999999996</v>
      </c>
      <c r="AJ433">
        <v>73.2</v>
      </c>
      <c r="AK433">
        <v>77.220100000000002</v>
      </c>
      <c r="AL433">
        <v>1.8412999999999999</v>
      </c>
      <c r="AM433">
        <v>0.05</v>
      </c>
      <c r="AN433">
        <v>6.3E-3</v>
      </c>
      <c r="AO433">
        <v>90.846100000000007</v>
      </c>
      <c r="AP433">
        <v>93.331999999999994</v>
      </c>
      <c r="AQ433">
        <v>91.283199999999994</v>
      </c>
      <c r="AR433">
        <v>88.764700000000005</v>
      </c>
      <c r="AS433">
        <v>81.840299999999999</v>
      </c>
      <c r="AT433">
        <v>80.569999999999993</v>
      </c>
      <c r="AU433">
        <v>75.37</v>
      </c>
      <c r="AV433">
        <v>13137.566999999999</v>
      </c>
      <c r="AW433">
        <v>33394.833400000003</v>
      </c>
      <c r="AX433">
        <f t="shared" si="113"/>
        <v>1690984.1235257401</v>
      </c>
      <c r="AY433">
        <f t="shared" si="114"/>
        <v>2024912.4206257001</v>
      </c>
      <c r="AZ433">
        <f t="shared" si="115"/>
        <v>388482.09694220003</v>
      </c>
      <c r="BA433">
        <f t="shared" si="107"/>
        <v>33394.833400000003</v>
      </c>
      <c r="BB433">
        <f t="shared" si="108"/>
        <v>0</v>
      </c>
      <c r="BC433">
        <f t="shared" si="109"/>
        <v>0</v>
      </c>
      <c r="BD433">
        <f t="shared" si="110"/>
        <v>0</v>
      </c>
      <c r="BE433">
        <f t="shared" si="111"/>
        <v>0</v>
      </c>
      <c r="BF433">
        <f t="shared" si="112"/>
        <v>0</v>
      </c>
      <c r="BG433">
        <f t="shared" si="116"/>
        <v>20064.746689999996</v>
      </c>
      <c r="BH433">
        <f t="shared" si="117"/>
        <v>19624.290543999996</v>
      </c>
      <c r="BI433">
        <f t="shared" si="118"/>
        <v>19082.857117750002</v>
      </c>
      <c r="BJ433">
        <f t="shared" si="119"/>
        <v>17594.23229475</v>
      </c>
      <c r="BK433">
        <f t="shared" si="120"/>
        <v>17321.140024999997</v>
      </c>
      <c r="BL433">
        <f t="shared" si="121"/>
        <v>16203.231024999999</v>
      </c>
    </row>
    <row r="434" spans="1:64">
      <c r="A434" t="str">
        <f t="shared" si="106"/>
        <v>31</v>
      </c>
      <c r="B434" t="s">
        <v>605</v>
      </c>
      <c r="C434" t="s">
        <v>716</v>
      </c>
      <c r="D434">
        <v>55</v>
      </c>
      <c r="E434">
        <v>1</v>
      </c>
      <c r="F434">
        <v>6</v>
      </c>
      <c r="G434">
        <v>2</v>
      </c>
      <c r="H434">
        <v>200</v>
      </c>
      <c r="I434" t="s">
        <v>607</v>
      </c>
      <c r="J434">
        <v>0.59989999999999999</v>
      </c>
      <c r="K434">
        <v>57.708500000000001</v>
      </c>
      <c r="L434">
        <v>2.7300000000000001E-2</v>
      </c>
      <c r="M434">
        <v>0.92390000000000005</v>
      </c>
      <c r="N434">
        <v>31.170100000000001</v>
      </c>
      <c r="O434">
        <v>86.668599999999998</v>
      </c>
      <c r="P434">
        <v>426.0641</v>
      </c>
      <c r="Q434">
        <v>251.90559999999999</v>
      </c>
      <c r="R434">
        <v>0.44829999999999998</v>
      </c>
      <c r="S434">
        <v>0.82020000000000004</v>
      </c>
      <c r="T434">
        <v>0.36309999999999998</v>
      </c>
      <c r="U434">
        <v>7.1000000000000004E-3</v>
      </c>
      <c r="V434">
        <v>0.63980000000000004</v>
      </c>
      <c r="W434">
        <v>11.9221</v>
      </c>
      <c r="X434">
        <v>296.75720000000001</v>
      </c>
      <c r="Y434">
        <v>258.93669999999997</v>
      </c>
      <c r="Z434">
        <v>263.19080000000002</v>
      </c>
      <c r="AA434">
        <v>829.64390000000003</v>
      </c>
      <c r="AB434">
        <v>10.792400000000001</v>
      </c>
      <c r="AC434">
        <v>49.960799999999999</v>
      </c>
      <c r="AD434">
        <v>56.367100000000001</v>
      </c>
      <c r="AE434">
        <v>4.8879999999999999</v>
      </c>
      <c r="AF434">
        <v>8831.7487999999994</v>
      </c>
      <c r="AG434">
        <v>58.556699999999999</v>
      </c>
      <c r="AH434">
        <v>3.4975000000000001</v>
      </c>
      <c r="AI434">
        <v>86.398600000000002</v>
      </c>
      <c r="AJ434">
        <v>73.192599999999999</v>
      </c>
      <c r="AK434">
        <v>76.682500000000005</v>
      </c>
      <c r="AL434">
        <v>2.0916999999999999</v>
      </c>
      <c r="AM434">
        <v>0.05</v>
      </c>
      <c r="AN434">
        <v>1.32E-2</v>
      </c>
      <c r="AO434">
        <v>87.896600000000007</v>
      </c>
      <c r="AP434">
        <v>93.307500000000005</v>
      </c>
      <c r="AQ434">
        <v>91.397599999999997</v>
      </c>
      <c r="AR434">
        <v>89.2012</v>
      </c>
      <c r="AS434">
        <v>81.984700000000004</v>
      </c>
      <c r="AT434">
        <v>80.717699999999994</v>
      </c>
      <c r="AU434">
        <v>75.346100000000007</v>
      </c>
      <c r="AV434">
        <v>19008.118900000001</v>
      </c>
      <c r="AW434">
        <v>43123.523300000001</v>
      </c>
      <c r="AX434">
        <f t="shared" si="113"/>
        <v>2154485.7228866401</v>
      </c>
      <c r="AY434">
        <f t="shared" si="114"/>
        <v>2525171.2168211099</v>
      </c>
      <c r="AZ434">
        <f t="shared" si="115"/>
        <v>514122.95713493001</v>
      </c>
      <c r="BA434">
        <f t="shared" si="107"/>
        <v>43123.523300000001</v>
      </c>
      <c r="BB434">
        <f t="shared" si="108"/>
        <v>0</v>
      </c>
      <c r="BC434">
        <f t="shared" si="109"/>
        <v>0</v>
      </c>
      <c r="BD434">
        <f t="shared" si="110"/>
        <v>0</v>
      </c>
      <c r="BE434">
        <f t="shared" si="111"/>
        <v>0</v>
      </c>
      <c r="BF434">
        <f t="shared" si="112"/>
        <v>0</v>
      </c>
      <c r="BG434">
        <f t="shared" si="116"/>
        <v>27689.672439000002</v>
      </c>
      <c r="BH434">
        <f t="shared" si="117"/>
        <v>27122.895862720001</v>
      </c>
      <c r="BI434">
        <f t="shared" si="118"/>
        <v>26471.09834864</v>
      </c>
      <c r="BJ434">
        <f t="shared" si="119"/>
        <v>24329.550014840002</v>
      </c>
      <c r="BK434">
        <f t="shared" si="120"/>
        <v>23953.558642439999</v>
      </c>
      <c r="BL434">
        <f t="shared" si="121"/>
        <v>22359.497666920004</v>
      </c>
    </row>
    <row r="435" spans="1:64">
      <c r="A435" t="str">
        <f t="shared" si="106"/>
        <v>31</v>
      </c>
      <c r="B435" t="s">
        <v>605</v>
      </c>
      <c r="C435" t="s">
        <v>716</v>
      </c>
      <c r="D435">
        <v>66</v>
      </c>
      <c r="E435">
        <v>3</v>
      </c>
      <c r="F435">
        <v>6</v>
      </c>
      <c r="G435">
        <v>2</v>
      </c>
      <c r="H435">
        <v>100</v>
      </c>
      <c r="I435" t="s">
        <v>607</v>
      </c>
      <c r="J435">
        <v>0.45240000000000002</v>
      </c>
      <c r="K435">
        <v>77.621499999999997</v>
      </c>
      <c r="L435">
        <v>2.7E-2</v>
      </c>
      <c r="M435">
        <v>0.89990000000000003</v>
      </c>
      <c r="N435">
        <v>25.726199999999999</v>
      </c>
      <c r="O435">
        <v>90.261799999999994</v>
      </c>
      <c r="P435">
        <v>361.85120000000001</v>
      </c>
      <c r="Q435">
        <v>207.86680000000001</v>
      </c>
      <c r="R435">
        <v>0.5151</v>
      </c>
      <c r="S435">
        <v>1.4091</v>
      </c>
      <c r="T435">
        <v>0.1255</v>
      </c>
      <c r="U435">
        <v>5.5999999999999999E-3</v>
      </c>
      <c r="V435">
        <v>0.47960000000000003</v>
      </c>
      <c r="W435">
        <v>12.952299999999999</v>
      </c>
      <c r="X435">
        <v>39.105899999999998</v>
      </c>
      <c r="Y435">
        <v>35.298900000000003</v>
      </c>
      <c r="Z435">
        <v>36.164400000000001</v>
      </c>
      <c r="AA435">
        <v>137.19329999999999</v>
      </c>
      <c r="AB435">
        <v>17.859200000000001</v>
      </c>
      <c r="AC435">
        <v>36.453000000000003</v>
      </c>
      <c r="AD435">
        <v>83.815399999999997</v>
      </c>
      <c r="AE435">
        <v>1.1735</v>
      </c>
      <c r="AF435">
        <v>7366.8959999999997</v>
      </c>
      <c r="AG435">
        <v>61.366</v>
      </c>
      <c r="AH435">
        <v>0.55179999999999996</v>
      </c>
      <c r="AI435">
        <v>88.181600000000003</v>
      </c>
      <c r="AJ435">
        <v>73.2</v>
      </c>
      <c r="AK435">
        <v>79.549599999999998</v>
      </c>
      <c r="AL435">
        <v>1.7807999999999999</v>
      </c>
      <c r="AM435">
        <v>0.05</v>
      </c>
      <c r="AN435">
        <v>0</v>
      </c>
      <c r="AO435">
        <v>90.363299999999995</v>
      </c>
      <c r="AP435">
        <v>94.761700000000005</v>
      </c>
      <c r="AQ435">
        <v>93.392200000000003</v>
      </c>
      <c r="AR435">
        <v>91.495500000000007</v>
      </c>
      <c r="AS435">
        <v>85.504900000000006</v>
      </c>
      <c r="AT435">
        <v>84.411699999999996</v>
      </c>
      <c r="AU435">
        <v>80.424499999999995</v>
      </c>
      <c r="AV435">
        <v>3277.8771000000002</v>
      </c>
      <c r="AW435">
        <v>8644.5773000000008</v>
      </c>
      <c r="AX435">
        <f t="shared" si="113"/>
        <v>315120.77631690004</v>
      </c>
      <c r="AY435">
        <f t="shared" si="114"/>
        <v>530483.13059180009</v>
      </c>
      <c r="AZ435">
        <f t="shared" si="115"/>
        <v>111967.15856279001</v>
      </c>
      <c r="BA435">
        <f t="shared" si="107"/>
        <v>0</v>
      </c>
      <c r="BB435">
        <f t="shared" si="108"/>
        <v>0</v>
      </c>
      <c r="BC435">
        <f t="shared" si="109"/>
        <v>8644.5773000000008</v>
      </c>
      <c r="BD435">
        <f t="shared" si="110"/>
        <v>0</v>
      </c>
      <c r="BE435">
        <f t="shared" si="111"/>
        <v>0</v>
      </c>
      <c r="BF435">
        <f t="shared" si="112"/>
        <v>0</v>
      </c>
      <c r="BG435">
        <f t="shared" si="116"/>
        <v>3705.7415640300001</v>
      </c>
      <c r="BH435">
        <f t="shared" si="117"/>
        <v>3652.18603398</v>
      </c>
      <c r="BI435">
        <f t="shared" si="118"/>
        <v>3578.0138734500001</v>
      </c>
      <c r="BJ435">
        <f t="shared" si="119"/>
        <v>3343.7460689100003</v>
      </c>
      <c r="BK435">
        <f t="shared" si="120"/>
        <v>3300.9954990299998</v>
      </c>
      <c r="BL435">
        <f t="shared" si="121"/>
        <v>3145.0724545499997</v>
      </c>
    </row>
    <row r="436" spans="1:64">
      <c r="A436" t="str">
        <f t="shared" si="106"/>
        <v>22</v>
      </c>
      <c r="B436" t="s">
        <v>605</v>
      </c>
      <c r="C436" t="s">
        <v>717</v>
      </c>
      <c r="D436">
        <v>55</v>
      </c>
      <c r="E436">
        <v>1</v>
      </c>
      <c r="F436">
        <v>6</v>
      </c>
      <c r="G436">
        <v>2</v>
      </c>
      <c r="H436">
        <v>100</v>
      </c>
      <c r="I436" t="s">
        <v>609</v>
      </c>
      <c r="J436">
        <v>0.33300000000000002</v>
      </c>
      <c r="K436">
        <v>111.7189</v>
      </c>
      <c r="L436">
        <v>3.0099999999999998E-2</v>
      </c>
      <c r="M436">
        <v>0.84789999999999999</v>
      </c>
      <c r="N436">
        <v>39.109900000000003</v>
      </c>
      <c r="O436">
        <v>86.385400000000004</v>
      </c>
      <c r="P436">
        <v>274.83839999999998</v>
      </c>
      <c r="Q436">
        <v>250.59280000000001</v>
      </c>
      <c r="R436">
        <v>2.76E-2</v>
      </c>
      <c r="S436">
        <v>0.52039999999999997</v>
      </c>
      <c r="T436">
        <v>0.21490000000000001</v>
      </c>
      <c r="U436">
        <v>2.1299999999999999E-2</v>
      </c>
      <c r="V436">
        <v>0.40910000000000002</v>
      </c>
      <c r="W436">
        <v>10.793200000000001</v>
      </c>
      <c r="X436">
        <v>26.3582</v>
      </c>
      <c r="Y436">
        <v>22.7683</v>
      </c>
      <c r="Z436">
        <v>25.593900000000001</v>
      </c>
      <c r="AA436">
        <v>58.218299999999999</v>
      </c>
      <c r="AB436">
        <v>15.055199999999999</v>
      </c>
      <c r="AC436">
        <v>56.905900000000003</v>
      </c>
      <c r="AD436">
        <v>45.907400000000003</v>
      </c>
      <c r="AE436">
        <v>0.81830000000000003</v>
      </c>
      <c r="AF436">
        <v>9139.3377</v>
      </c>
      <c r="AG436">
        <v>65.632400000000004</v>
      </c>
      <c r="AH436">
        <v>0.95140000000000002</v>
      </c>
      <c r="AI436">
        <v>89.891300000000001</v>
      </c>
      <c r="AJ436">
        <v>73.2</v>
      </c>
      <c r="AK436">
        <v>83.097899999999996</v>
      </c>
      <c r="AL436">
        <v>1.4686999999999999</v>
      </c>
      <c r="AM436">
        <v>0.05</v>
      </c>
      <c r="AN436">
        <v>7.0000000000000001E-3</v>
      </c>
      <c r="AO436">
        <v>92.134399999999999</v>
      </c>
      <c r="AP436">
        <v>91.636200000000002</v>
      </c>
      <c r="AQ436">
        <v>89.853200000000001</v>
      </c>
      <c r="AR436">
        <v>86.980999999999995</v>
      </c>
      <c r="AS436">
        <v>80.327600000000004</v>
      </c>
      <c r="AT436">
        <v>79.000299999999996</v>
      </c>
      <c r="AU436">
        <v>72.940700000000007</v>
      </c>
      <c r="AV436">
        <v>2934.0545999999999</v>
      </c>
      <c r="AW436">
        <v>7478.6143000000002</v>
      </c>
      <c r="AX436">
        <f t="shared" si="113"/>
        <v>425577.27749437001</v>
      </c>
      <c r="AY436">
        <f t="shared" si="114"/>
        <v>490839.40518332005</v>
      </c>
      <c r="AZ436">
        <f t="shared" si="115"/>
        <v>80718.179862760007</v>
      </c>
      <c r="BA436">
        <f t="shared" si="107"/>
        <v>7478.6143000000002</v>
      </c>
      <c r="BB436">
        <f t="shared" si="108"/>
        <v>0</v>
      </c>
      <c r="BC436">
        <f t="shared" si="109"/>
        <v>0</v>
      </c>
      <c r="BD436">
        <f t="shared" si="110"/>
        <v>0</v>
      </c>
      <c r="BE436">
        <f t="shared" si="111"/>
        <v>0</v>
      </c>
      <c r="BF436">
        <f t="shared" si="112"/>
        <v>0</v>
      </c>
      <c r="BG436">
        <f t="shared" si="116"/>
        <v>2415.36528684</v>
      </c>
      <c r="BH436">
        <f t="shared" si="117"/>
        <v>2368.3686162399999</v>
      </c>
      <c r="BI436">
        <f t="shared" si="118"/>
        <v>2292.6625942000001</v>
      </c>
      <c r="BJ436">
        <f t="shared" si="119"/>
        <v>2117.2909463200003</v>
      </c>
      <c r="BK436">
        <f t="shared" si="120"/>
        <v>2082.3057074599997</v>
      </c>
      <c r="BL436">
        <f t="shared" si="121"/>
        <v>1922.5855587400001</v>
      </c>
    </row>
    <row r="437" spans="1:64">
      <c r="A437" t="str">
        <f t="shared" si="106"/>
        <v>22</v>
      </c>
      <c r="B437" t="s">
        <v>605</v>
      </c>
      <c r="C437" t="s">
        <v>717</v>
      </c>
      <c r="D437">
        <v>55</v>
      </c>
      <c r="E437">
        <v>1</v>
      </c>
      <c r="F437">
        <v>6</v>
      </c>
      <c r="G437">
        <v>2</v>
      </c>
      <c r="H437">
        <v>100</v>
      </c>
      <c r="I437" t="s">
        <v>617</v>
      </c>
      <c r="J437">
        <v>0.37180000000000002</v>
      </c>
      <c r="K437">
        <v>183.07050000000001</v>
      </c>
      <c r="L437">
        <v>3.09E-2</v>
      </c>
      <c r="M437">
        <v>0.63919999999999999</v>
      </c>
      <c r="N437">
        <v>38.017699999999998</v>
      </c>
      <c r="O437">
        <v>87.173100000000005</v>
      </c>
      <c r="P437">
        <v>280.43869999999998</v>
      </c>
      <c r="Q437">
        <v>242.6046</v>
      </c>
      <c r="R437">
        <v>2.9499999999999998E-2</v>
      </c>
      <c r="S437">
        <v>0.57789999999999997</v>
      </c>
      <c r="T437">
        <v>0.19370000000000001</v>
      </c>
      <c r="U437">
        <v>2.1299999999999999E-2</v>
      </c>
      <c r="V437">
        <v>0.42830000000000001</v>
      </c>
      <c r="W437">
        <v>11.466900000000001</v>
      </c>
      <c r="X437">
        <v>33.071199999999997</v>
      </c>
      <c r="Y437">
        <v>28.8201</v>
      </c>
      <c r="Z437">
        <v>32.728700000000003</v>
      </c>
      <c r="AA437">
        <v>75.894499999999994</v>
      </c>
      <c r="AB437">
        <v>36.005400000000002</v>
      </c>
      <c r="AC437">
        <v>51.6357</v>
      </c>
      <c r="AD437">
        <v>53.4163</v>
      </c>
      <c r="AE437">
        <v>1.0428999999999999</v>
      </c>
      <c r="AF437">
        <v>8707.6908999999996</v>
      </c>
      <c r="AG437">
        <v>64.665300000000002</v>
      </c>
      <c r="AH437">
        <v>1.2915000000000001</v>
      </c>
      <c r="AI437">
        <v>90.150700000000001</v>
      </c>
      <c r="AJ437">
        <v>73.2</v>
      </c>
      <c r="AK437">
        <v>83.6447</v>
      </c>
      <c r="AL437">
        <v>1.4487000000000001</v>
      </c>
      <c r="AM437">
        <v>0.05</v>
      </c>
      <c r="AN437">
        <v>7.0000000000000001E-3</v>
      </c>
      <c r="AO437">
        <v>90.543000000000006</v>
      </c>
      <c r="AP437">
        <v>92.508099999999999</v>
      </c>
      <c r="AQ437">
        <v>90.804299999999998</v>
      </c>
      <c r="AR437">
        <v>87.888999999999996</v>
      </c>
      <c r="AS437">
        <v>81.572000000000003</v>
      </c>
      <c r="AT437">
        <v>80.4285</v>
      </c>
      <c r="AU437">
        <v>74.387799999999999</v>
      </c>
      <c r="AV437">
        <v>3534.8917999999999</v>
      </c>
      <c r="AW437">
        <v>9049.8336999999992</v>
      </c>
      <c r="AX437">
        <f t="shared" si="113"/>
        <v>467294.49798308994</v>
      </c>
      <c r="AY437">
        <f t="shared" si="114"/>
        <v>585210.21116060996</v>
      </c>
      <c r="AZ437">
        <f t="shared" si="115"/>
        <v>103773.53805453</v>
      </c>
      <c r="BA437">
        <f t="shared" si="107"/>
        <v>9049.8336999999992</v>
      </c>
      <c r="BB437">
        <f t="shared" si="108"/>
        <v>0</v>
      </c>
      <c r="BC437">
        <f t="shared" si="109"/>
        <v>0</v>
      </c>
      <c r="BD437">
        <f t="shared" si="110"/>
        <v>0</v>
      </c>
      <c r="BE437">
        <f t="shared" si="111"/>
        <v>0</v>
      </c>
      <c r="BF437">
        <f t="shared" si="112"/>
        <v>0</v>
      </c>
      <c r="BG437">
        <f t="shared" si="116"/>
        <v>3059.3538767199998</v>
      </c>
      <c r="BH437">
        <f t="shared" si="117"/>
        <v>3003.0071661599995</v>
      </c>
      <c r="BI437">
        <f t="shared" si="118"/>
        <v>2906.5946967999998</v>
      </c>
      <c r="BJ437">
        <f t="shared" si="119"/>
        <v>2697.6839264</v>
      </c>
      <c r="BK437">
        <f t="shared" si="120"/>
        <v>2659.8670091999998</v>
      </c>
      <c r="BL437">
        <f t="shared" si="121"/>
        <v>2460.0938113599996</v>
      </c>
    </row>
    <row r="438" spans="1:64">
      <c r="A438" t="str">
        <f t="shared" si="106"/>
        <v>22</v>
      </c>
      <c r="B438" t="s">
        <v>605</v>
      </c>
      <c r="C438" t="s">
        <v>717</v>
      </c>
      <c r="D438">
        <v>55</v>
      </c>
      <c r="E438">
        <v>1</v>
      </c>
      <c r="F438">
        <v>6</v>
      </c>
      <c r="G438">
        <v>2</v>
      </c>
      <c r="H438">
        <v>100</v>
      </c>
      <c r="I438" t="s">
        <v>607</v>
      </c>
      <c r="J438">
        <v>0.46339999999999998</v>
      </c>
      <c r="K438">
        <v>107.8869</v>
      </c>
      <c r="L438">
        <v>3.1E-2</v>
      </c>
      <c r="M438">
        <v>0.91249999999999998</v>
      </c>
      <c r="N438">
        <v>32.0777</v>
      </c>
      <c r="O438">
        <v>87.198899999999995</v>
      </c>
      <c r="P438">
        <v>321.5231</v>
      </c>
      <c r="Q438">
        <v>258.37900000000002</v>
      </c>
      <c r="R438">
        <v>0.31709999999999999</v>
      </c>
      <c r="S438">
        <v>0.57509999999999994</v>
      </c>
      <c r="T438">
        <v>0.29139999999999999</v>
      </c>
      <c r="U438">
        <v>6.4000000000000003E-3</v>
      </c>
      <c r="V438">
        <v>0.5171</v>
      </c>
      <c r="W438">
        <v>10.969900000000001</v>
      </c>
      <c r="X438">
        <v>166.72149999999999</v>
      </c>
      <c r="Y438">
        <v>145.57040000000001</v>
      </c>
      <c r="Z438">
        <v>154.27809999999999</v>
      </c>
      <c r="AA438">
        <v>459.42790000000002</v>
      </c>
      <c r="AB438">
        <v>12.837199999999999</v>
      </c>
      <c r="AC438">
        <v>58.082700000000003</v>
      </c>
      <c r="AD438">
        <v>38.469000000000001</v>
      </c>
      <c r="AE438">
        <v>3.7814000000000001</v>
      </c>
      <c r="AF438">
        <v>9348.5105000000003</v>
      </c>
      <c r="AG438">
        <v>61.313299999999998</v>
      </c>
      <c r="AH438">
        <v>3.6251000000000002</v>
      </c>
      <c r="AI438">
        <v>89.243499999999997</v>
      </c>
      <c r="AJ438">
        <v>73.2</v>
      </c>
      <c r="AK438">
        <v>81.750500000000002</v>
      </c>
      <c r="AL438">
        <v>1.6111</v>
      </c>
      <c r="AM438">
        <v>0.05</v>
      </c>
      <c r="AN438">
        <v>9.5999999999999992E-3</v>
      </c>
      <c r="AO438">
        <v>89.775499999999994</v>
      </c>
      <c r="AP438">
        <v>91.723100000000002</v>
      </c>
      <c r="AQ438">
        <v>90.413600000000002</v>
      </c>
      <c r="AR438">
        <v>87.989900000000006</v>
      </c>
      <c r="AS438">
        <v>82.810500000000005</v>
      </c>
      <c r="AT438">
        <v>81.947299999999998</v>
      </c>
      <c r="AU438">
        <v>77.261399999999995</v>
      </c>
      <c r="AV438">
        <v>13876.854300000001</v>
      </c>
      <c r="AW438">
        <v>35342.133199999997</v>
      </c>
      <c r="AX438">
        <f t="shared" si="113"/>
        <v>2052766.52001564</v>
      </c>
      <c r="AY438">
        <f t="shared" si="114"/>
        <v>2166942.8155315598</v>
      </c>
      <c r="AZ438">
        <f t="shared" si="115"/>
        <v>387699.66699067998</v>
      </c>
      <c r="BA438">
        <f t="shared" si="107"/>
        <v>35342.133199999997</v>
      </c>
      <c r="BB438">
        <f t="shared" si="108"/>
        <v>0</v>
      </c>
      <c r="BC438">
        <f t="shared" si="109"/>
        <v>0</v>
      </c>
      <c r="BD438">
        <f t="shared" si="110"/>
        <v>0</v>
      </c>
      <c r="BE438">
        <f t="shared" si="111"/>
        <v>0</v>
      </c>
      <c r="BF438">
        <f t="shared" si="112"/>
        <v>0</v>
      </c>
      <c r="BG438">
        <f t="shared" si="116"/>
        <v>15292.212816649999</v>
      </c>
      <c r="BH438">
        <f t="shared" si="117"/>
        <v>15073.891012399999</v>
      </c>
      <c r="BI438">
        <f t="shared" si="118"/>
        <v>14669.80811285</v>
      </c>
      <c r="BJ438">
        <f t="shared" si="119"/>
        <v>13806.29077575</v>
      </c>
      <c r="BK438">
        <f t="shared" si="120"/>
        <v>13662.376776949999</v>
      </c>
      <c r="BL438">
        <f t="shared" si="121"/>
        <v>12881.136500099998</v>
      </c>
    </row>
    <row r="439" spans="1:64">
      <c r="A439" t="str">
        <f t="shared" si="106"/>
        <v>22</v>
      </c>
      <c r="B439" t="s">
        <v>605</v>
      </c>
      <c r="C439" t="s">
        <v>717</v>
      </c>
      <c r="D439">
        <v>55</v>
      </c>
      <c r="E439">
        <v>1</v>
      </c>
      <c r="F439">
        <v>6</v>
      </c>
      <c r="G439">
        <v>2</v>
      </c>
      <c r="H439">
        <v>200</v>
      </c>
      <c r="I439" t="s">
        <v>607</v>
      </c>
      <c r="J439">
        <v>0.59840000000000004</v>
      </c>
      <c r="K439">
        <v>118.08880000000001</v>
      </c>
      <c r="L439">
        <v>3.3599999999999998E-2</v>
      </c>
      <c r="M439">
        <v>0.74470000000000003</v>
      </c>
      <c r="N439">
        <v>33.7928</v>
      </c>
      <c r="O439">
        <v>87.045000000000002</v>
      </c>
      <c r="P439">
        <v>273.58170000000001</v>
      </c>
      <c r="Q439">
        <v>259.73099999999999</v>
      </c>
      <c r="R439">
        <v>0.33239999999999997</v>
      </c>
      <c r="S439">
        <v>0.75019999999999998</v>
      </c>
      <c r="T439">
        <v>0.39460000000000001</v>
      </c>
      <c r="U439">
        <v>1.0200000000000001E-2</v>
      </c>
      <c r="V439">
        <v>0.64129999999999998</v>
      </c>
      <c r="W439">
        <v>10.657299999999999</v>
      </c>
      <c r="X439">
        <v>128.2972</v>
      </c>
      <c r="Y439">
        <v>111.681</v>
      </c>
      <c r="Z439">
        <v>115.6494</v>
      </c>
      <c r="AA439">
        <v>330.66180000000003</v>
      </c>
      <c r="AB439">
        <v>10.332100000000001</v>
      </c>
      <c r="AC439">
        <v>60.162399999999998</v>
      </c>
      <c r="AD439">
        <v>35.573700000000002</v>
      </c>
      <c r="AE439">
        <v>2.2559999999999998</v>
      </c>
      <c r="AF439">
        <v>9500</v>
      </c>
      <c r="AG439">
        <v>60.2027</v>
      </c>
      <c r="AH439">
        <v>2.0689000000000002</v>
      </c>
      <c r="AI439">
        <v>89.226299999999995</v>
      </c>
      <c r="AJ439">
        <v>73.2</v>
      </c>
      <c r="AK439">
        <v>81.707300000000004</v>
      </c>
      <c r="AL439">
        <v>1.5188999999999999</v>
      </c>
      <c r="AM439">
        <v>0.05</v>
      </c>
      <c r="AN439">
        <v>4.5999999999999999E-3</v>
      </c>
      <c r="AO439">
        <v>88.884</v>
      </c>
      <c r="AP439">
        <v>91.201599999999999</v>
      </c>
      <c r="AQ439">
        <v>90.046000000000006</v>
      </c>
      <c r="AR439">
        <v>87.182400000000001</v>
      </c>
      <c r="AS439">
        <v>82.188699999999997</v>
      </c>
      <c r="AT439">
        <v>81.544799999999995</v>
      </c>
      <c r="AU439">
        <v>77.376000000000005</v>
      </c>
      <c r="AV439">
        <v>8445.4452000000001</v>
      </c>
      <c r="AW439">
        <v>21431.710200000001</v>
      </c>
      <c r="AX439">
        <f t="shared" si="113"/>
        <v>1289383.1217364802</v>
      </c>
      <c r="AY439">
        <f t="shared" si="114"/>
        <v>1290246.8196575402</v>
      </c>
      <c r="AZ439">
        <f t="shared" si="115"/>
        <v>228404.16511445999</v>
      </c>
      <c r="BA439">
        <f t="shared" si="107"/>
        <v>21431.710200000001</v>
      </c>
      <c r="BB439">
        <f t="shared" si="108"/>
        <v>0</v>
      </c>
      <c r="BC439">
        <f t="shared" si="109"/>
        <v>0</v>
      </c>
      <c r="BD439">
        <f t="shared" si="110"/>
        <v>0</v>
      </c>
      <c r="BE439">
        <f t="shared" si="111"/>
        <v>0</v>
      </c>
      <c r="BF439">
        <f t="shared" si="112"/>
        <v>0</v>
      </c>
      <c r="BG439">
        <f t="shared" si="116"/>
        <v>11700.90991552</v>
      </c>
      <c r="BH439">
        <f t="shared" si="117"/>
        <v>11552.649671200001</v>
      </c>
      <c r="BI439">
        <f t="shared" si="118"/>
        <v>11185.257809280001</v>
      </c>
      <c r="BJ439">
        <f t="shared" si="119"/>
        <v>10544.580081640001</v>
      </c>
      <c r="BK439">
        <f t="shared" si="120"/>
        <v>10461.96951456</v>
      </c>
      <c r="BL439">
        <f t="shared" si="121"/>
        <v>9927.1241472000002</v>
      </c>
    </row>
    <row r="440" spans="1:64">
      <c r="A440" t="str">
        <f t="shared" si="106"/>
        <v>22</v>
      </c>
      <c r="B440" t="s">
        <v>605</v>
      </c>
      <c r="C440" t="s">
        <v>717</v>
      </c>
      <c r="D440">
        <v>55</v>
      </c>
      <c r="E440">
        <v>2</v>
      </c>
      <c r="F440">
        <v>10</v>
      </c>
      <c r="G440">
        <v>2</v>
      </c>
      <c r="H440">
        <v>100</v>
      </c>
      <c r="I440" t="s">
        <v>607</v>
      </c>
      <c r="J440">
        <v>0.46400000000000002</v>
      </c>
      <c r="K440">
        <v>207.70689999999999</v>
      </c>
      <c r="L440">
        <v>3.3000000000000002E-2</v>
      </c>
      <c r="M440">
        <v>0.94879999999999998</v>
      </c>
      <c r="N440">
        <v>34.0627</v>
      </c>
      <c r="O440">
        <v>86.547399999999996</v>
      </c>
      <c r="P440">
        <v>239.14089999999999</v>
      </c>
      <c r="Q440">
        <v>234.8492</v>
      </c>
      <c r="R440">
        <v>0.21679999999999999</v>
      </c>
      <c r="S440">
        <v>0.67759999999999998</v>
      </c>
      <c r="T440">
        <v>0.28039999999999998</v>
      </c>
      <c r="U440">
        <v>1.7299999999999999E-2</v>
      </c>
      <c r="V440">
        <v>0.54490000000000005</v>
      </c>
      <c r="W440">
        <v>10.8546</v>
      </c>
      <c r="X440">
        <v>1.1000000000000001E-3</v>
      </c>
      <c r="Y440">
        <v>8.9999999999999998E-4</v>
      </c>
      <c r="Z440">
        <v>1.1000000000000001E-3</v>
      </c>
      <c r="AA440">
        <v>2.8E-3</v>
      </c>
      <c r="AB440">
        <v>13.329800000000001</v>
      </c>
      <c r="AC440">
        <v>52.296199999999999</v>
      </c>
      <c r="AD440">
        <v>44.056399999999996</v>
      </c>
      <c r="AE440" t="s">
        <v>718</v>
      </c>
      <c r="AF440">
        <v>8602.9714000000004</v>
      </c>
      <c r="AG440">
        <v>67.067400000000006</v>
      </c>
      <c r="AH440" t="s">
        <v>719</v>
      </c>
      <c r="AI440">
        <v>90.752600000000001</v>
      </c>
      <c r="AJ440">
        <v>73.2</v>
      </c>
      <c r="AK440">
        <v>84.916799999999995</v>
      </c>
      <c r="AL440">
        <v>1.4478</v>
      </c>
      <c r="AM440">
        <v>0.05</v>
      </c>
      <c r="AN440">
        <v>0</v>
      </c>
      <c r="AO440">
        <v>95.2881</v>
      </c>
      <c r="AP440">
        <v>91.484099999999998</v>
      </c>
      <c r="AQ440">
        <v>89.348600000000005</v>
      </c>
      <c r="AR440">
        <v>86.473399999999998</v>
      </c>
      <c r="AS440">
        <v>79.145499999999998</v>
      </c>
      <c r="AT440">
        <v>77.6143</v>
      </c>
      <c r="AU440">
        <v>70.150899999999993</v>
      </c>
      <c r="AV440">
        <v>9.3399999999999997E-2</v>
      </c>
      <c r="AW440">
        <v>0.23469999999999999</v>
      </c>
      <c r="AX440">
        <f t="shared" si="113"/>
        <v>12.273918139999999</v>
      </c>
      <c r="AY440">
        <f t="shared" si="114"/>
        <v>15.740718780000002</v>
      </c>
      <c r="AZ440">
        <f t="shared" si="115"/>
        <v>2.5475746199999998</v>
      </c>
      <c r="BA440">
        <f t="shared" si="107"/>
        <v>0</v>
      </c>
      <c r="BB440">
        <f t="shared" si="108"/>
        <v>0.23469999999999999</v>
      </c>
      <c r="BC440">
        <f t="shared" si="109"/>
        <v>0</v>
      </c>
      <c r="BD440">
        <f t="shared" si="110"/>
        <v>0</v>
      </c>
      <c r="BE440">
        <f t="shared" si="111"/>
        <v>0</v>
      </c>
      <c r="BF440">
        <f t="shared" si="112"/>
        <v>0</v>
      </c>
      <c r="BG440">
        <f t="shared" si="116"/>
        <v>0.10063251000000001</v>
      </c>
      <c r="BH440">
        <f t="shared" si="117"/>
        <v>9.8283460000000017E-2</v>
      </c>
      <c r="BI440">
        <f t="shared" si="118"/>
        <v>9.5120740000000009E-2</v>
      </c>
      <c r="BJ440">
        <f t="shared" si="119"/>
        <v>8.706005E-2</v>
      </c>
      <c r="BK440">
        <f t="shared" si="120"/>
        <v>8.5375730000000011E-2</v>
      </c>
      <c r="BL440">
        <f t="shared" si="121"/>
        <v>7.7165990000000004E-2</v>
      </c>
    </row>
    <row r="441" spans="1:64">
      <c r="A441" t="str">
        <f t="shared" si="106"/>
        <v>22</v>
      </c>
      <c r="B441" t="s">
        <v>605</v>
      </c>
      <c r="C441" t="s">
        <v>717</v>
      </c>
      <c r="D441">
        <v>66</v>
      </c>
      <c r="E441">
        <v>3</v>
      </c>
      <c r="F441">
        <v>6</v>
      </c>
      <c r="G441">
        <v>2</v>
      </c>
      <c r="H441">
        <v>100</v>
      </c>
      <c r="I441" t="s">
        <v>609</v>
      </c>
      <c r="J441">
        <v>0.34810000000000002</v>
      </c>
      <c r="K441">
        <v>184.9992</v>
      </c>
      <c r="L441">
        <v>2.92E-2</v>
      </c>
      <c r="M441">
        <v>0.53149999999999997</v>
      </c>
      <c r="N441">
        <v>37.220500000000001</v>
      </c>
      <c r="O441">
        <v>89.048699999999997</v>
      </c>
      <c r="P441">
        <v>316.14400000000001</v>
      </c>
      <c r="Q441">
        <v>232.04570000000001</v>
      </c>
      <c r="R441">
        <v>3.0800000000000001E-2</v>
      </c>
      <c r="S441">
        <v>0.61480000000000001</v>
      </c>
      <c r="T441">
        <v>0.1757</v>
      </c>
      <c r="U441">
        <v>2.1700000000000001E-2</v>
      </c>
      <c r="V441">
        <v>0.41510000000000002</v>
      </c>
      <c r="W441">
        <v>12.3475</v>
      </c>
      <c r="X441">
        <v>2.3774000000000002</v>
      </c>
      <c r="Y441">
        <v>2.117</v>
      </c>
      <c r="Z441">
        <v>2.4579</v>
      </c>
      <c r="AA441">
        <v>5.6924999999999999</v>
      </c>
      <c r="AB441">
        <v>19.115100000000002</v>
      </c>
      <c r="AC441">
        <v>44.5824</v>
      </c>
      <c r="AD441">
        <v>65.709599999999995</v>
      </c>
      <c r="AE441">
        <v>8.4199999999999997E-2</v>
      </c>
      <c r="AF441">
        <v>8148.1372000000001</v>
      </c>
      <c r="AG441">
        <v>62.628</v>
      </c>
      <c r="AH441">
        <v>0.109</v>
      </c>
      <c r="AI441">
        <v>90.421199999999999</v>
      </c>
      <c r="AJ441">
        <v>73.2</v>
      </c>
      <c r="AK441">
        <v>84.214699999999993</v>
      </c>
      <c r="AL441">
        <v>1.4513</v>
      </c>
      <c r="AM441">
        <v>0.05</v>
      </c>
      <c r="AN441">
        <v>5.0000000000000001E-3</v>
      </c>
      <c r="AO441">
        <v>88.161299999999997</v>
      </c>
      <c r="AP441">
        <v>94.315100000000001</v>
      </c>
      <c r="AQ441">
        <v>92.921899999999994</v>
      </c>
      <c r="AR441">
        <v>90.205500000000001</v>
      </c>
      <c r="AS441">
        <v>85.0839</v>
      </c>
      <c r="AT441">
        <v>84.427999999999997</v>
      </c>
      <c r="AU441">
        <v>79.064499999999995</v>
      </c>
      <c r="AV441">
        <v>264.72089999999997</v>
      </c>
      <c r="AW441">
        <v>686.08180000000004</v>
      </c>
      <c r="AX441">
        <f t="shared" si="113"/>
        <v>30587.17324032</v>
      </c>
      <c r="AY441">
        <f t="shared" si="114"/>
        <v>42967.930970400004</v>
      </c>
      <c r="AZ441">
        <f t="shared" si="115"/>
        <v>8471.3950255</v>
      </c>
      <c r="BA441">
        <f t="shared" si="107"/>
        <v>0</v>
      </c>
      <c r="BB441">
        <f t="shared" si="108"/>
        <v>0</v>
      </c>
      <c r="BC441">
        <f t="shared" si="109"/>
        <v>686.08180000000004</v>
      </c>
      <c r="BD441">
        <f t="shared" si="110"/>
        <v>0</v>
      </c>
      <c r="BE441">
        <f t="shared" si="111"/>
        <v>0</v>
      </c>
      <c r="BF441">
        <f t="shared" si="112"/>
        <v>0</v>
      </c>
      <c r="BG441">
        <f t="shared" si="116"/>
        <v>224.22471874000001</v>
      </c>
      <c r="BH441">
        <f t="shared" si="117"/>
        <v>220.91252506000001</v>
      </c>
      <c r="BI441">
        <f t="shared" si="118"/>
        <v>214.45455570000001</v>
      </c>
      <c r="BJ441">
        <f t="shared" si="119"/>
        <v>202.27846386000002</v>
      </c>
      <c r="BK441">
        <f t="shared" si="120"/>
        <v>200.7191272</v>
      </c>
      <c r="BL441">
        <f t="shared" si="121"/>
        <v>187.9679423</v>
      </c>
    </row>
    <row r="442" spans="1:64">
      <c r="A442" t="str">
        <f t="shared" si="106"/>
        <v>22</v>
      </c>
      <c r="B442" t="s">
        <v>605</v>
      </c>
      <c r="C442" t="s">
        <v>717</v>
      </c>
      <c r="D442">
        <v>66</v>
      </c>
      <c r="E442">
        <v>3</v>
      </c>
      <c r="F442">
        <v>6</v>
      </c>
      <c r="G442">
        <v>2</v>
      </c>
      <c r="H442">
        <v>100</v>
      </c>
      <c r="I442" t="s">
        <v>617</v>
      </c>
      <c r="J442">
        <v>0.3836</v>
      </c>
      <c r="K442">
        <v>141.15119999999999</v>
      </c>
      <c r="L442">
        <v>2.93E-2</v>
      </c>
      <c r="M442">
        <v>0.63839999999999997</v>
      </c>
      <c r="N442">
        <v>39.096600000000002</v>
      </c>
      <c r="O442">
        <v>89.363399999999999</v>
      </c>
      <c r="P442">
        <v>292.0487</v>
      </c>
      <c r="Q442">
        <v>225.8329</v>
      </c>
      <c r="R442">
        <v>2.9700000000000001E-2</v>
      </c>
      <c r="S442">
        <v>0.47160000000000002</v>
      </c>
      <c r="T442">
        <v>0.20150000000000001</v>
      </c>
      <c r="U442">
        <v>0.02</v>
      </c>
      <c r="V442">
        <v>0.39140000000000003</v>
      </c>
      <c r="W442">
        <v>12.28</v>
      </c>
      <c r="X442">
        <v>38.076999999999998</v>
      </c>
      <c r="Y442">
        <v>34.026400000000002</v>
      </c>
      <c r="Z442">
        <v>38.522799999999997</v>
      </c>
      <c r="AA442">
        <v>87.031300000000002</v>
      </c>
      <c r="AB442">
        <v>8.9794</v>
      </c>
      <c r="AC442">
        <v>43.544800000000002</v>
      </c>
      <c r="AD442">
        <v>69.144000000000005</v>
      </c>
      <c r="AE442">
        <v>1.4277</v>
      </c>
      <c r="AF442">
        <v>7965.1169</v>
      </c>
      <c r="AG442">
        <v>65.751199999999997</v>
      </c>
      <c r="AH442">
        <v>1.4937</v>
      </c>
      <c r="AI442">
        <v>89.966899999999995</v>
      </c>
      <c r="AJ442">
        <v>73.2</v>
      </c>
      <c r="AK442">
        <v>83.256799999999998</v>
      </c>
      <c r="AL442">
        <v>1.4639</v>
      </c>
      <c r="AM442">
        <v>0.05</v>
      </c>
      <c r="AN442">
        <v>8.9999999999999998E-4</v>
      </c>
      <c r="AO442">
        <v>90.027699999999996</v>
      </c>
      <c r="AP442">
        <v>94.443600000000004</v>
      </c>
      <c r="AQ442">
        <v>93.073099999999997</v>
      </c>
      <c r="AR442">
        <v>90.453900000000004</v>
      </c>
      <c r="AS442">
        <v>85.256500000000003</v>
      </c>
      <c r="AT442">
        <v>84.534800000000004</v>
      </c>
      <c r="AU442">
        <v>79.347999999999999</v>
      </c>
      <c r="AV442">
        <v>4385.5201999999999</v>
      </c>
      <c r="AW442">
        <v>11372.037</v>
      </c>
      <c r="AX442">
        <f t="shared" si="113"/>
        <v>495193.07675760001</v>
      </c>
      <c r="AY442">
        <f t="shared" si="114"/>
        <v>747725.07919439999</v>
      </c>
      <c r="AZ442">
        <f t="shared" si="115"/>
        <v>139648.61436000001</v>
      </c>
      <c r="BA442">
        <f t="shared" si="107"/>
        <v>0</v>
      </c>
      <c r="BB442">
        <f t="shared" si="108"/>
        <v>0</v>
      </c>
      <c r="BC442">
        <f t="shared" si="109"/>
        <v>11372.037</v>
      </c>
      <c r="BD442">
        <f t="shared" si="110"/>
        <v>0</v>
      </c>
      <c r="BE442">
        <f t="shared" si="111"/>
        <v>0</v>
      </c>
      <c r="BF442">
        <f t="shared" si="112"/>
        <v>0</v>
      </c>
      <c r="BG442">
        <f t="shared" si="116"/>
        <v>3596.1289572000001</v>
      </c>
      <c r="BH442">
        <f t="shared" si="117"/>
        <v>3543.9444286999997</v>
      </c>
      <c r="BI442">
        <f t="shared" si="118"/>
        <v>3444.2131503000001</v>
      </c>
      <c r="BJ442">
        <f t="shared" si="119"/>
        <v>3246.3117505</v>
      </c>
      <c r="BK442">
        <f t="shared" si="120"/>
        <v>3218.8315796000002</v>
      </c>
      <c r="BL442">
        <f t="shared" si="121"/>
        <v>3021.3337959999999</v>
      </c>
    </row>
    <row r="443" spans="1:64">
      <c r="A443" t="str">
        <f t="shared" si="106"/>
        <v>22</v>
      </c>
      <c r="B443" t="s">
        <v>605</v>
      </c>
      <c r="C443" t="s">
        <v>717</v>
      </c>
      <c r="D443">
        <v>66</v>
      </c>
      <c r="E443">
        <v>3</v>
      </c>
      <c r="F443">
        <v>6</v>
      </c>
      <c r="G443">
        <v>2</v>
      </c>
      <c r="H443">
        <v>100</v>
      </c>
      <c r="I443" t="s">
        <v>607</v>
      </c>
      <c r="J443">
        <v>0.38979999999999998</v>
      </c>
      <c r="K443">
        <v>190.636</v>
      </c>
      <c r="L443">
        <v>3.0599999999999999E-2</v>
      </c>
      <c r="M443">
        <v>0.50590000000000002</v>
      </c>
      <c r="N443">
        <v>39.287999999999997</v>
      </c>
      <c r="O443">
        <v>89.161600000000007</v>
      </c>
      <c r="P443">
        <v>296.3236</v>
      </c>
      <c r="Q443">
        <v>229.11920000000001</v>
      </c>
      <c r="R443">
        <v>3.0300000000000001E-2</v>
      </c>
      <c r="S443">
        <v>0.5242</v>
      </c>
      <c r="T443">
        <v>0.2271</v>
      </c>
      <c r="U443">
        <v>2.2200000000000001E-2</v>
      </c>
      <c r="V443">
        <v>0.45650000000000002</v>
      </c>
      <c r="W443">
        <v>12.3207</v>
      </c>
      <c r="X443">
        <v>12.588200000000001</v>
      </c>
      <c r="Y443">
        <v>11.223800000000001</v>
      </c>
      <c r="Z443">
        <v>12.6119</v>
      </c>
      <c r="AA443">
        <v>28.568100000000001</v>
      </c>
      <c r="AB443">
        <v>12.3835</v>
      </c>
      <c r="AC443">
        <v>44.216099999999997</v>
      </c>
      <c r="AD443">
        <v>66.624399999999994</v>
      </c>
      <c r="AE443">
        <v>0.39760000000000001</v>
      </c>
      <c r="AF443">
        <v>8045.9715999999999</v>
      </c>
      <c r="AG443">
        <v>65.145499999999998</v>
      </c>
      <c r="AH443">
        <v>0.4677</v>
      </c>
      <c r="AI443">
        <v>90.223299999999995</v>
      </c>
      <c r="AJ443">
        <v>73.2</v>
      </c>
      <c r="AK443">
        <v>83.796899999999994</v>
      </c>
      <c r="AL443">
        <v>1.4673</v>
      </c>
      <c r="AM443">
        <v>0.05</v>
      </c>
      <c r="AN443">
        <v>5.0000000000000001E-3</v>
      </c>
      <c r="AO443">
        <v>89.527299999999997</v>
      </c>
      <c r="AP443">
        <v>94.337599999999995</v>
      </c>
      <c r="AQ443">
        <v>92.939800000000005</v>
      </c>
      <c r="AR443">
        <v>90.242900000000006</v>
      </c>
      <c r="AS443">
        <v>85.086200000000005</v>
      </c>
      <c r="AT443">
        <v>84.412599999999998</v>
      </c>
      <c r="AU443">
        <v>79.0702</v>
      </c>
      <c r="AV443">
        <v>1233.6539</v>
      </c>
      <c r="AW443">
        <v>3199.3964000000001</v>
      </c>
      <c r="AX443">
        <f t="shared" si="113"/>
        <v>141464.83116204001</v>
      </c>
      <c r="AY443">
        <f t="shared" si="114"/>
        <v>208426.27817619999</v>
      </c>
      <c r="AZ443">
        <f t="shared" si="115"/>
        <v>39418.803225480005</v>
      </c>
      <c r="BA443">
        <f t="shared" si="107"/>
        <v>0</v>
      </c>
      <c r="BB443">
        <f t="shared" si="108"/>
        <v>0</v>
      </c>
      <c r="BC443">
        <f t="shared" si="109"/>
        <v>3199.3964000000001</v>
      </c>
      <c r="BD443">
        <f t="shared" si="110"/>
        <v>0</v>
      </c>
      <c r="BE443">
        <f t="shared" si="111"/>
        <v>0</v>
      </c>
      <c r="BF443">
        <f t="shared" si="112"/>
        <v>0</v>
      </c>
      <c r="BG443">
        <f t="shared" si="116"/>
        <v>1187.5405763199999</v>
      </c>
      <c r="BH443">
        <f t="shared" si="117"/>
        <v>1169.9447903600001</v>
      </c>
      <c r="BI443">
        <f t="shared" si="118"/>
        <v>1135.9956737800001</v>
      </c>
      <c r="BJ443">
        <f t="shared" si="119"/>
        <v>1071.0821028400001</v>
      </c>
      <c r="BK443">
        <f t="shared" si="120"/>
        <v>1062.6026913200001</v>
      </c>
      <c r="BL443">
        <f t="shared" si="121"/>
        <v>995.35149164000006</v>
      </c>
    </row>
    <row r="444" spans="1:64">
      <c r="A444" t="str">
        <f t="shared" si="106"/>
        <v>23</v>
      </c>
      <c r="B444" t="s">
        <v>605</v>
      </c>
      <c r="C444" t="s">
        <v>720</v>
      </c>
      <c r="D444">
        <v>55</v>
      </c>
      <c r="E444">
        <v>1</v>
      </c>
      <c r="F444">
        <v>6</v>
      </c>
      <c r="G444">
        <v>2</v>
      </c>
      <c r="H444">
        <v>100</v>
      </c>
      <c r="I444" t="s">
        <v>609</v>
      </c>
      <c r="J444">
        <v>0.33550000000000002</v>
      </c>
      <c r="K444">
        <v>128.51949999999999</v>
      </c>
      <c r="L444">
        <v>3.1099999999999999E-2</v>
      </c>
      <c r="M444">
        <v>0.99270000000000003</v>
      </c>
      <c r="N444">
        <v>39.016100000000002</v>
      </c>
      <c r="O444">
        <v>86.706299999999999</v>
      </c>
      <c r="P444">
        <v>280.4658</v>
      </c>
      <c r="Q444">
        <v>250.61099999999999</v>
      </c>
      <c r="R444">
        <v>2.76E-2</v>
      </c>
      <c r="S444">
        <v>0.51959999999999995</v>
      </c>
      <c r="T444">
        <v>0.2107</v>
      </c>
      <c r="U444">
        <v>2.23E-2</v>
      </c>
      <c r="V444">
        <v>0.40060000000000001</v>
      </c>
      <c r="W444">
        <v>10.8918</v>
      </c>
      <c r="X444">
        <v>26.9438</v>
      </c>
      <c r="Y444">
        <v>23.363299999999999</v>
      </c>
      <c r="Z444">
        <v>26.109200000000001</v>
      </c>
      <c r="AA444">
        <v>59.909100000000002</v>
      </c>
      <c r="AB444">
        <v>16.489000000000001</v>
      </c>
      <c r="AC444">
        <v>56.482700000000001</v>
      </c>
      <c r="AD444">
        <v>46.506</v>
      </c>
      <c r="AE444">
        <v>0.85270000000000001</v>
      </c>
      <c r="AF444">
        <v>9107.0607</v>
      </c>
      <c r="AG444">
        <v>65.473500000000001</v>
      </c>
      <c r="AH444">
        <v>0.93600000000000005</v>
      </c>
      <c r="AI444">
        <v>89.763199999999998</v>
      </c>
      <c r="AJ444">
        <v>73.2</v>
      </c>
      <c r="AK444">
        <v>82.828999999999994</v>
      </c>
      <c r="AL444">
        <v>1.4404999999999999</v>
      </c>
      <c r="AM444">
        <v>0.05</v>
      </c>
      <c r="AN444">
        <v>7.0000000000000001E-3</v>
      </c>
      <c r="AO444">
        <v>91.953100000000006</v>
      </c>
      <c r="AP444">
        <v>91.677000000000007</v>
      </c>
      <c r="AQ444">
        <v>89.955699999999993</v>
      </c>
      <c r="AR444">
        <v>87.130700000000004</v>
      </c>
      <c r="AS444">
        <v>81.006399999999999</v>
      </c>
      <c r="AT444">
        <v>79.840500000000006</v>
      </c>
      <c r="AU444">
        <v>74.254499999999993</v>
      </c>
      <c r="AV444">
        <v>3044.4494</v>
      </c>
      <c r="AW444">
        <v>7762.2822999999999</v>
      </c>
      <c r="AX444">
        <f t="shared" si="113"/>
        <v>438434.66246621002</v>
      </c>
      <c r="AY444">
        <f t="shared" si="114"/>
        <v>508223.79016904999</v>
      </c>
      <c r="AZ444">
        <f t="shared" si="115"/>
        <v>84545.226355139996</v>
      </c>
      <c r="BA444">
        <f t="shared" si="107"/>
        <v>7762.2822999999999</v>
      </c>
      <c r="BB444">
        <f t="shared" si="108"/>
        <v>0</v>
      </c>
      <c r="BC444">
        <f t="shared" si="109"/>
        <v>0</v>
      </c>
      <c r="BD444">
        <f t="shared" si="110"/>
        <v>0</v>
      </c>
      <c r="BE444">
        <f t="shared" si="111"/>
        <v>0</v>
      </c>
      <c r="BF444">
        <f t="shared" si="112"/>
        <v>0</v>
      </c>
      <c r="BG444">
        <f t="shared" si="116"/>
        <v>2470.1267526000001</v>
      </c>
      <c r="BH444">
        <f t="shared" si="117"/>
        <v>2423.7483896599997</v>
      </c>
      <c r="BI444">
        <f t="shared" si="118"/>
        <v>2347.6321546600002</v>
      </c>
      <c r="BJ444">
        <f t="shared" si="119"/>
        <v>2182.62024032</v>
      </c>
      <c r="BK444">
        <f t="shared" si="120"/>
        <v>2151.2064639</v>
      </c>
      <c r="BL444">
        <f t="shared" si="121"/>
        <v>2000.6983970999997</v>
      </c>
    </row>
    <row r="445" spans="1:64">
      <c r="A445" t="str">
        <f t="shared" si="106"/>
        <v>23</v>
      </c>
      <c r="B445" t="s">
        <v>605</v>
      </c>
      <c r="C445" t="s">
        <v>720</v>
      </c>
      <c r="D445">
        <v>55</v>
      </c>
      <c r="E445">
        <v>1</v>
      </c>
      <c r="F445">
        <v>6</v>
      </c>
      <c r="G445">
        <v>2</v>
      </c>
      <c r="H445">
        <v>100</v>
      </c>
      <c r="I445" t="s">
        <v>617</v>
      </c>
      <c r="J445">
        <v>0.3659</v>
      </c>
      <c r="K445">
        <v>136.72399999999999</v>
      </c>
      <c r="L445">
        <v>3.4599999999999999E-2</v>
      </c>
      <c r="M445">
        <v>0.99490000000000001</v>
      </c>
      <c r="N445">
        <v>37.1785</v>
      </c>
      <c r="O445">
        <v>86.321700000000007</v>
      </c>
      <c r="P445">
        <v>270.59539999999998</v>
      </c>
      <c r="Q445">
        <v>249.43199999999999</v>
      </c>
      <c r="R445">
        <v>7.3400000000000007E-2</v>
      </c>
      <c r="S445">
        <v>0.51370000000000005</v>
      </c>
      <c r="T445">
        <v>0.20449999999999999</v>
      </c>
      <c r="U445">
        <v>1.9699999999999999E-2</v>
      </c>
      <c r="V445">
        <v>0.41870000000000002</v>
      </c>
      <c r="W445">
        <v>10.876899999999999</v>
      </c>
      <c r="X445">
        <v>86.590800000000002</v>
      </c>
      <c r="Y445">
        <v>74.734999999999999</v>
      </c>
      <c r="Z445">
        <v>83.404600000000002</v>
      </c>
      <c r="AA445">
        <v>202.61869999999999</v>
      </c>
      <c r="AB445">
        <v>22.608499999999999</v>
      </c>
      <c r="AC445">
        <v>56.217300000000002</v>
      </c>
      <c r="AD445">
        <v>46.092399999999998</v>
      </c>
      <c r="AE445">
        <v>2.6263999999999998</v>
      </c>
      <c r="AF445">
        <v>9082.3690999999999</v>
      </c>
      <c r="AG445">
        <v>65.559600000000003</v>
      </c>
      <c r="AH445">
        <v>2.9639000000000002</v>
      </c>
      <c r="AI445">
        <v>89.821299999999994</v>
      </c>
      <c r="AJ445">
        <v>73.2</v>
      </c>
      <c r="AK445">
        <v>82.951899999999995</v>
      </c>
      <c r="AL445">
        <v>1.3971</v>
      </c>
      <c r="AM445">
        <v>0.05</v>
      </c>
      <c r="AN445">
        <v>4.8999999999999998E-3</v>
      </c>
      <c r="AO445">
        <v>91.898799999999994</v>
      </c>
      <c r="AP445">
        <v>91.357900000000001</v>
      </c>
      <c r="AQ445">
        <v>89.564300000000003</v>
      </c>
      <c r="AR445">
        <v>86.617699999999999</v>
      </c>
      <c r="AS445">
        <v>80.012</v>
      </c>
      <c r="AT445">
        <v>78.636700000000005</v>
      </c>
      <c r="AU445">
        <v>72.806299999999993</v>
      </c>
      <c r="AV445">
        <v>9411.3382000000001</v>
      </c>
      <c r="AW445">
        <v>23832.191800000001</v>
      </c>
      <c r="AX445">
        <f t="shared" si="113"/>
        <v>1339781.4760781401</v>
      </c>
      <c r="AY445">
        <f t="shared" si="114"/>
        <v>1562428.9615312801</v>
      </c>
      <c r="AZ445">
        <f t="shared" si="115"/>
        <v>259220.36698941997</v>
      </c>
      <c r="BA445">
        <f t="shared" si="107"/>
        <v>23832.191800000001</v>
      </c>
      <c r="BB445">
        <f t="shared" si="108"/>
        <v>0</v>
      </c>
      <c r="BC445">
        <f t="shared" si="109"/>
        <v>0</v>
      </c>
      <c r="BD445">
        <f t="shared" si="110"/>
        <v>0</v>
      </c>
      <c r="BE445">
        <f t="shared" si="111"/>
        <v>0</v>
      </c>
      <c r="BF445">
        <f t="shared" si="112"/>
        <v>0</v>
      </c>
      <c r="BG445">
        <f t="shared" si="116"/>
        <v>7910.7536473199998</v>
      </c>
      <c r="BH445">
        <f t="shared" si="117"/>
        <v>7755.4443884400007</v>
      </c>
      <c r="BI445">
        <f t="shared" si="118"/>
        <v>7500.29593716</v>
      </c>
      <c r="BJ445">
        <f t="shared" si="119"/>
        <v>6928.3030896</v>
      </c>
      <c r="BK445">
        <f t="shared" si="120"/>
        <v>6809.2147623600003</v>
      </c>
      <c r="BL445">
        <f t="shared" si="121"/>
        <v>6304.3557620399997</v>
      </c>
    </row>
    <row r="446" spans="1:64">
      <c r="A446" t="str">
        <f t="shared" si="106"/>
        <v>23</v>
      </c>
      <c r="B446" t="s">
        <v>605</v>
      </c>
      <c r="C446" t="s">
        <v>720</v>
      </c>
      <c r="D446">
        <v>55</v>
      </c>
      <c r="E446">
        <v>1</v>
      </c>
      <c r="F446">
        <v>6</v>
      </c>
      <c r="G446">
        <v>2</v>
      </c>
      <c r="H446">
        <v>100</v>
      </c>
      <c r="I446" t="s">
        <v>607</v>
      </c>
      <c r="J446">
        <v>0.40710000000000002</v>
      </c>
      <c r="K446">
        <v>171.20500000000001</v>
      </c>
      <c r="L446">
        <v>3.6999999999999998E-2</v>
      </c>
      <c r="M446">
        <v>0.90580000000000005</v>
      </c>
      <c r="N446">
        <v>35.553600000000003</v>
      </c>
      <c r="O446">
        <v>87.084299999999999</v>
      </c>
      <c r="P446">
        <v>276.76549999999997</v>
      </c>
      <c r="Q446">
        <v>244.16139999999999</v>
      </c>
      <c r="R446">
        <v>0.1249</v>
      </c>
      <c r="S446">
        <v>0.61360000000000003</v>
      </c>
      <c r="T446">
        <v>0.2198</v>
      </c>
      <c r="U446">
        <v>3.1800000000000002E-2</v>
      </c>
      <c r="V446">
        <v>0.48430000000000001</v>
      </c>
      <c r="W446">
        <v>11.3513</v>
      </c>
      <c r="X446">
        <v>56.276400000000002</v>
      </c>
      <c r="Y446">
        <v>48.974499999999999</v>
      </c>
      <c r="Z446">
        <v>55.552599999999998</v>
      </c>
      <c r="AA446">
        <v>138.46209999999999</v>
      </c>
      <c r="AB446">
        <v>24.6709</v>
      </c>
      <c r="AC446">
        <v>52.628599999999999</v>
      </c>
      <c r="AD446">
        <v>50.123100000000001</v>
      </c>
      <c r="AE446">
        <v>1.5538000000000001</v>
      </c>
      <c r="AF446">
        <v>8781.6355000000003</v>
      </c>
      <c r="AG446">
        <v>65.205100000000002</v>
      </c>
      <c r="AH446">
        <v>2.1778</v>
      </c>
      <c r="AI446">
        <v>90.430700000000002</v>
      </c>
      <c r="AJ446">
        <v>73.2</v>
      </c>
      <c r="AK446">
        <v>84.235299999999995</v>
      </c>
      <c r="AL446">
        <v>1.4430000000000001</v>
      </c>
      <c r="AM446">
        <v>0.05</v>
      </c>
      <c r="AN446">
        <v>2.8999999999999998E-3</v>
      </c>
      <c r="AO446">
        <v>90.965400000000002</v>
      </c>
      <c r="AP446">
        <v>92.182400000000001</v>
      </c>
      <c r="AQ446">
        <v>90.5137</v>
      </c>
      <c r="AR446">
        <v>87.646500000000003</v>
      </c>
      <c r="AS446">
        <v>81.403599999999997</v>
      </c>
      <c r="AT446">
        <v>80.268299999999996</v>
      </c>
      <c r="AU446">
        <v>74.440899999999999</v>
      </c>
      <c r="AV446">
        <v>5345.7882</v>
      </c>
      <c r="AW446">
        <v>13607.574000000001</v>
      </c>
      <c r="AX446">
        <f t="shared" si="113"/>
        <v>716147.56901640003</v>
      </c>
      <c r="AY446">
        <f t="shared" si="114"/>
        <v>887283.22342740011</v>
      </c>
      <c r="AZ446">
        <f t="shared" si="115"/>
        <v>154463.65474620002</v>
      </c>
      <c r="BA446">
        <f t="shared" si="107"/>
        <v>13607.574000000001</v>
      </c>
      <c r="BB446">
        <f t="shared" si="108"/>
        <v>0</v>
      </c>
      <c r="BC446">
        <f t="shared" si="109"/>
        <v>0</v>
      </c>
      <c r="BD446">
        <f t="shared" si="110"/>
        <v>0</v>
      </c>
      <c r="BE446">
        <f t="shared" si="111"/>
        <v>0</v>
      </c>
      <c r="BF446">
        <f t="shared" si="112"/>
        <v>0</v>
      </c>
      <c r="BG446">
        <f t="shared" si="116"/>
        <v>5187.69361536</v>
      </c>
      <c r="BH446">
        <f t="shared" si="117"/>
        <v>5093.7851866800002</v>
      </c>
      <c r="BI446">
        <f t="shared" si="118"/>
        <v>4932.4294926000002</v>
      </c>
      <c r="BJ446">
        <f t="shared" si="119"/>
        <v>4581.1015550399998</v>
      </c>
      <c r="BK446">
        <f t="shared" si="120"/>
        <v>4517.2109581200002</v>
      </c>
      <c r="BL446">
        <f t="shared" si="121"/>
        <v>4189.2658647600001</v>
      </c>
    </row>
    <row r="447" spans="1:64">
      <c r="A447" t="str">
        <f t="shared" si="106"/>
        <v>23</v>
      </c>
      <c r="B447" t="s">
        <v>605</v>
      </c>
      <c r="C447" t="s">
        <v>720</v>
      </c>
      <c r="D447">
        <v>55</v>
      </c>
      <c r="E447">
        <v>1</v>
      </c>
      <c r="F447">
        <v>6</v>
      </c>
      <c r="G447">
        <v>2</v>
      </c>
      <c r="H447">
        <v>200</v>
      </c>
      <c r="I447" t="s">
        <v>609</v>
      </c>
      <c r="J447">
        <v>0.34279999999999999</v>
      </c>
      <c r="K447">
        <v>124.5316</v>
      </c>
      <c r="L447">
        <v>3.2099999999999997E-2</v>
      </c>
      <c r="M447">
        <v>0.99429999999999996</v>
      </c>
      <c r="N447">
        <v>39.099400000000003</v>
      </c>
      <c r="O447">
        <v>86.532600000000002</v>
      </c>
      <c r="P447">
        <v>282.673</v>
      </c>
      <c r="Q447">
        <v>249.96870000000001</v>
      </c>
      <c r="R447">
        <v>2.8000000000000001E-2</v>
      </c>
      <c r="S447">
        <v>0.52439999999999998</v>
      </c>
      <c r="T447">
        <v>0.2162</v>
      </c>
      <c r="U447">
        <v>2.5899999999999999E-2</v>
      </c>
      <c r="V447">
        <v>0.39410000000000001</v>
      </c>
      <c r="W447">
        <v>10.864800000000001</v>
      </c>
      <c r="X447">
        <v>9.7515999999999998</v>
      </c>
      <c r="Y447">
        <v>8.4382999999999999</v>
      </c>
      <c r="Z447">
        <v>9.4812999999999992</v>
      </c>
      <c r="AA447">
        <v>21.581700000000001</v>
      </c>
      <c r="AB447">
        <v>16.694299999999998</v>
      </c>
      <c r="AC447">
        <v>56.461799999999997</v>
      </c>
      <c r="AD447">
        <v>46.853999999999999</v>
      </c>
      <c r="AE447">
        <v>0.316</v>
      </c>
      <c r="AF447">
        <v>9085.2237999999998</v>
      </c>
      <c r="AG447">
        <v>66.165099999999995</v>
      </c>
      <c r="AH447">
        <v>0.35149999999999998</v>
      </c>
      <c r="AI447">
        <v>89.790099999999995</v>
      </c>
      <c r="AJ447">
        <v>73.2</v>
      </c>
      <c r="AK447">
        <v>82.886200000000002</v>
      </c>
      <c r="AL447">
        <v>1.3425</v>
      </c>
      <c r="AM447">
        <v>0.05</v>
      </c>
      <c r="AN447">
        <v>5.4000000000000003E-3</v>
      </c>
      <c r="AO447">
        <v>92.478399999999993</v>
      </c>
      <c r="AP447">
        <v>91.625799999999998</v>
      </c>
      <c r="AQ447">
        <v>89.830799999999996</v>
      </c>
      <c r="AR447">
        <v>86.9709</v>
      </c>
      <c r="AS447">
        <v>80.499700000000004</v>
      </c>
      <c r="AT447">
        <v>79.246600000000001</v>
      </c>
      <c r="AU447">
        <v>73.565299999999993</v>
      </c>
      <c r="AV447">
        <v>1131.9503</v>
      </c>
      <c r="AW447">
        <v>2870.9328</v>
      </c>
      <c r="AX447">
        <f t="shared" si="113"/>
        <v>162098.03356703999</v>
      </c>
      <c r="AY447">
        <f t="shared" si="114"/>
        <v>189955.55580527999</v>
      </c>
      <c r="AZ447">
        <f t="shared" si="115"/>
        <v>31192.110685440002</v>
      </c>
      <c r="BA447">
        <f t="shared" si="107"/>
        <v>2870.9328</v>
      </c>
      <c r="BB447">
        <f t="shared" si="108"/>
        <v>0</v>
      </c>
      <c r="BC447">
        <f t="shared" si="109"/>
        <v>0</v>
      </c>
      <c r="BD447">
        <f t="shared" si="110"/>
        <v>0</v>
      </c>
      <c r="BE447">
        <f t="shared" si="111"/>
        <v>0</v>
      </c>
      <c r="BF447">
        <f t="shared" si="112"/>
        <v>0</v>
      </c>
      <c r="BG447">
        <f t="shared" si="116"/>
        <v>893.49815128</v>
      </c>
      <c r="BH447">
        <f t="shared" si="117"/>
        <v>875.99402927999995</v>
      </c>
      <c r="BI447">
        <f t="shared" si="118"/>
        <v>848.10542843999997</v>
      </c>
      <c r="BJ447">
        <f t="shared" si="119"/>
        <v>785.00087452000002</v>
      </c>
      <c r="BK447">
        <f t="shared" si="120"/>
        <v>772.78114456000003</v>
      </c>
      <c r="BL447">
        <f t="shared" si="121"/>
        <v>717.3793794799999</v>
      </c>
    </row>
    <row r="448" spans="1:64">
      <c r="A448" t="str">
        <f t="shared" si="106"/>
        <v>23</v>
      </c>
      <c r="B448" t="s">
        <v>605</v>
      </c>
      <c r="C448" t="s">
        <v>720</v>
      </c>
      <c r="D448">
        <v>55</v>
      </c>
      <c r="E448">
        <v>1</v>
      </c>
      <c r="F448">
        <v>6</v>
      </c>
      <c r="G448">
        <v>2</v>
      </c>
      <c r="H448">
        <v>200</v>
      </c>
      <c r="I448" t="s">
        <v>607</v>
      </c>
      <c r="J448">
        <v>0.39839999999999998</v>
      </c>
      <c r="K448">
        <v>142.67359999999999</v>
      </c>
      <c r="L448">
        <v>5.4100000000000002E-2</v>
      </c>
      <c r="M448">
        <v>1.5295000000000001</v>
      </c>
      <c r="N448">
        <v>35.0017</v>
      </c>
      <c r="O448">
        <v>85.947100000000006</v>
      </c>
      <c r="P448">
        <v>266.90890000000002</v>
      </c>
      <c r="Q448">
        <v>250.0583</v>
      </c>
      <c r="R448">
        <v>0.17180000000000001</v>
      </c>
      <c r="S448">
        <v>0.53439999999999999</v>
      </c>
      <c r="T448">
        <v>0.22209999999999999</v>
      </c>
      <c r="U448">
        <v>0.1263</v>
      </c>
      <c r="V448">
        <v>0.48110000000000003</v>
      </c>
      <c r="W448">
        <v>10.777900000000001</v>
      </c>
      <c r="X448">
        <v>32.711100000000002</v>
      </c>
      <c r="Y448">
        <v>28.115100000000002</v>
      </c>
      <c r="Z448">
        <v>30.9177</v>
      </c>
      <c r="AA448">
        <v>80.645899999999997</v>
      </c>
      <c r="AB448">
        <v>22.413499999999999</v>
      </c>
      <c r="AC448">
        <v>56.824599999999997</v>
      </c>
      <c r="AD448">
        <v>44.784100000000002</v>
      </c>
      <c r="AE448">
        <v>0.84630000000000005</v>
      </c>
      <c r="AF448">
        <v>9128.1106</v>
      </c>
      <c r="AG448">
        <v>65.78</v>
      </c>
      <c r="AH448">
        <v>0.99450000000000005</v>
      </c>
      <c r="AI448">
        <v>89.899600000000007</v>
      </c>
      <c r="AJ448">
        <v>73.2</v>
      </c>
      <c r="AK448">
        <v>83.116500000000002</v>
      </c>
      <c r="AL448">
        <v>1.3584000000000001</v>
      </c>
      <c r="AM448">
        <v>0.05</v>
      </c>
      <c r="AN448">
        <v>0</v>
      </c>
      <c r="AO448">
        <v>92.2239</v>
      </c>
      <c r="AP448">
        <v>91.028700000000001</v>
      </c>
      <c r="AQ448">
        <v>89.145399999999995</v>
      </c>
      <c r="AR448">
        <v>86.146600000000007</v>
      </c>
      <c r="AS448">
        <v>79.225700000000003</v>
      </c>
      <c r="AT448">
        <v>77.697000000000003</v>
      </c>
      <c r="AU448">
        <v>71.561499999999995</v>
      </c>
      <c r="AV448">
        <v>3051.0958999999998</v>
      </c>
      <c r="AW448">
        <v>7724.9085999999998</v>
      </c>
      <c r="AX448">
        <f t="shared" si="113"/>
        <v>438964.84123155999</v>
      </c>
      <c r="AY448">
        <f t="shared" si="114"/>
        <v>508144.487708</v>
      </c>
      <c r="AZ448">
        <f t="shared" si="115"/>
        <v>83258.292399940008</v>
      </c>
      <c r="BA448">
        <f t="shared" si="107"/>
        <v>7724.9085999999998</v>
      </c>
      <c r="BB448">
        <f t="shared" si="108"/>
        <v>0</v>
      </c>
      <c r="BC448">
        <f t="shared" si="109"/>
        <v>0</v>
      </c>
      <c r="BD448">
        <f t="shared" si="110"/>
        <v>0</v>
      </c>
      <c r="BE448">
        <f t="shared" si="111"/>
        <v>0</v>
      </c>
      <c r="BF448">
        <f t="shared" si="112"/>
        <v>0</v>
      </c>
      <c r="BG448">
        <f t="shared" si="116"/>
        <v>2977.64890857</v>
      </c>
      <c r="BH448">
        <f t="shared" si="117"/>
        <v>2916.04409394</v>
      </c>
      <c r="BI448">
        <f t="shared" si="118"/>
        <v>2817.9500472600002</v>
      </c>
      <c r="BJ448">
        <f t="shared" si="119"/>
        <v>2591.5597952700004</v>
      </c>
      <c r="BK448">
        <f t="shared" si="120"/>
        <v>2541.5543367</v>
      </c>
      <c r="BL448">
        <f t="shared" si="121"/>
        <v>2340.8553826500001</v>
      </c>
    </row>
    <row r="449" spans="1:64">
      <c r="A449" t="str">
        <f t="shared" si="106"/>
        <v>23</v>
      </c>
      <c r="B449" t="s">
        <v>605</v>
      </c>
      <c r="C449" t="s">
        <v>720</v>
      </c>
      <c r="D449">
        <v>66</v>
      </c>
      <c r="E449">
        <v>3</v>
      </c>
      <c r="F449">
        <v>6</v>
      </c>
      <c r="G449">
        <v>2</v>
      </c>
      <c r="H449">
        <v>100</v>
      </c>
      <c r="I449" t="s">
        <v>609</v>
      </c>
      <c r="J449">
        <v>0.3498</v>
      </c>
      <c r="K449">
        <v>178.928</v>
      </c>
      <c r="L449">
        <v>2.8500000000000001E-2</v>
      </c>
      <c r="M449">
        <v>0.50660000000000005</v>
      </c>
      <c r="N449">
        <v>36.696300000000001</v>
      </c>
      <c r="O449">
        <v>89.013300000000001</v>
      </c>
      <c r="P449">
        <v>318.5702</v>
      </c>
      <c r="Q449">
        <v>232.82149999999999</v>
      </c>
      <c r="R449">
        <v>3.0599999999999999E-2</v>
      </c>
      <c r="S449">
        <v>0.64</v>
      </c>
      <c r="T449">
        <v>0.16270000000000001</v>
      </c>
      <c r="U449">
        <v>2.2599999999999999E-2</v>
      </c>
      <c r="V449">
        <v>0.41610000000000003</v>
      </c>
      <c r="W449">
        <v>12.3561</v>
      </c>
      <c r="X449">
        <v>0.63580000000000003</v>
      </c>
      <c r="Y449">
        <v>0.56589999999999996</v>
      </c>
      <c r="Z449">
        <v>0.65659999999999996</v>
      </c>
      <c r="AA449">
        <v>1.5422</v>
      </c>
      <c r="AB449">
        <v>19.842300000000002</v>
      </c>
      <c r="AC449">
        <v>44.738</v>
      </c>
      <c r="AD449">
        <v>65.293700000000001</v>
      </c>
      <c r="AE449">
        <v>2.24E-2</v>
      </c>
      <c r="AF449">
        <v>8168.2671</v>
      </c>
      <c r="AG449">
        <v>62.441200000000002</v>
      </c>
      <c r="AH449">
        <v>2.9000000000000001E-2</v>
      </c>
      <c r="AI449">
        <v>90.417100000000005</v>
      </c>
      <c r="AJ449">
        <v>73.2</v>
      </c>
      <c r="AK449">
        <v>84.206100000000006</v>
      </c>
      <c r="AL449">
        <v>1.4577</v>
      </c>
      <c r="AM449">
        <v>0.05</v>
      </c>
      <c r="AN449">
        <v>5.0000000000000001E-3</v>
      </c>
      <c r="AO449">
        <v>88.023099999999999</v>
      </c>
      <c r="AP449">
        <v>94.293499999999995</v>
      </c>
      <c r="AQ449">
        <v>92.897900000000007</v>
      </c>
      <c r="AR449">
        <v>90.176100000000005</v>
      </c>
      <c r="AS449">
        <v>85.072900000000004</v>
      </c>
      <c r="AT449">
        <v>84.427300000000002</v>
      </c>
      <c r="AU449">
        <v>79.053100000000001</v>
      </c>
      <c r="AV449">
        <v>70.643900000000002</v>
      </c>
      <c r="AW449">
        <v>182.93809999999999</v>
      </c>
      <c r="AX449">
        <f t="shared" si="113"/>
        <v>8184.2847177999993</v>
      </c>
      <c r="AY449">
        <f t="shared" si="114"/>
        <v>11422.874489719999</v>
      </c>
      <c r="AZ449">
        <f t="shared" si="115"/>
        <v>2260.4014574099997</v>
      </c>
      <c r="BA449">
        <f t="shared" si="107"/>
        <v>0</v>
      </c>
      <c r="BB449">
        <f t="shared" si="108"/>
        <v>0</v>
      </c>
      <c r="BC449">
        <f t="shared" si="109"/>
        <v>182.93809999999999</v>
      </c>
      <c r="BD449">
        <f t="shared" si="110"/>
        <v>0</v>
      </c>
      <c r="BE449">
        <f t="shared" si="111"/>
        <v>0</v>
      </c>
      <c r="BF449">
        <f t="shared" si="112"/>
        <v>0</v>
      </c>
      <c r="BG449">
        <f t="shared" si="116"/>
        <v>59.951807299999999</v>
      </c>
      <c r="BH449">
        <f t="shared" si="117"/>
        <v>59.064484820000004</v>
      </c>
      <c r="BI449">
        <f t="shared" si="118"/>
        <v>57.333964380000005</v>
      </c>
      <c r="BJ449">
        <f t="shared" si="119"/>
        <v>54.089349820000002</v>
      </c>
      <c r="BK449">
        <f t="shared" si="120"/>
        <v>53.678877340000007</v>
      </c>
      <c r="BL449">
        <f t="shared" si="121"/>
        <v>50.261960980000005</v>
      </c>
    </row>
    <row r="450" spans="1:64">
      <c r="A450" t="str">
        <f t="shared" si="106"/>
        <v>23</v>
      </c>
      <c r="B450" t="s">
        <v>605</v>
      </c>
      <c r="C450" t="s">
        <v>720</v>
      </c>
      <c r="D450">
        <v>66</v>
      </c>
      <c r="E450">
        <v>3</v>
      </c>
      <c r="F450">
        <v>6</v>
      </c>
      <c r="G450">
        <v>2</v>
      </c>
      <c r="H450">
        <v>100</v>
      </c>
      <c r="I450" t="s">
        <v>617</v>
      </c>
      <c r="J450">
        <v>0.40060000000000001</v>
      </c>
      <c r="K450">
        <v>147.42169999999999</v>
      </c>
      <c r="L450">
        <v>2.9600000000000001E-2</v>
      </c>
      <c r="M450">
        <v>0.79390000000000005</v>
      </c>
      <c r="N450">
        <v>39.192399999999999</v>
      </c>
      <c r="O450">
        <v>89.401899999999998</v>
      </c>
      <c r="P450">
        <v>290.0256</v>
      </c>
      <c r="Q450">
        <v>225.8032</v>
      </c>
      <c r="R450">
        <v>2.8500000000000001E-2</v>
      </c>
      <c r="S450">
        <v>0.47399999999999998</v>
      </c>
      <c r="T450">
        <v>0.20369999999999999</v>
      </c>
      <c r="U450">
        <v>2.1700000000000001E-2</v>
      </c>
      <c r="V450">
        <v>0.40760000000000002</v>
      </c>
      <c r="W450">
        <v>12.290699999999999</v>
      </c>
      <c r="X450">
        <v>55.715400000000002</v>
      </c>
      <c r="Y450">
        <v>49.810099999999998</v>
      </c>
      <c r="Z450">
        <v>56.109699999999997</v>
      </c>
      <c r="AA450">
        <v>127.0912</v>
      </c>
      <c r="AB450">
        <v>9.2119</v>
      </c>
      <c r="AC450">
        <v>43.530799999999999</v>
      </c>
      <c r="AD450">
        <v>69.208100000000002</v>
      </c>
      <c r="AE450">
        <v>1.9976</v>
      </c>
      <c r="AF450">
        <v>7958.0176000000001</v>
      </c>
      <c r="AG450">
        <v>65.973600000000005</v>
      </c>
      <c r="AH450">
        <v>2.1124000000000001</v>
      </c>
      <c r="AI450">
        <v>89.994200000000006</v>
      </c>
      <c r="AJ450">
        <v>73.2</v>
      </c>
      <c r="AK450">
        <v>83.314300000000003</v>
      </c>
      <c r="AL450">
        <v>1.4671000000000001</v>
      </c>
      <c r="AM450">
        <v>0.05</v>
      </c>
      <c r="AN450">
        <v>0</v>
      </c>
      <c r="AO450">
        <v>90.1434</v>
      </c>
      <c r="AP450">
        <v>94.467500000000001</v>
      </c>
      <c r="AQ450">
        <v>93.104900000000001</v>
      </c>
      <c r="AR450">
        <v>90.493399999999994</v>
      </c>
      <c r="AS450">
        <v>85.354600000000005</v>
      </c>
      <c r="AT450">
        <v>84.651899999999998</v>
      </c>
      <c r="AU450">
        <v>79.526399999999995</v>
      </c>
      <c r="AV450">
        <v>6145.3554999999997</v>
      </c>
      <c r="AW450">
        <v>15896.800300000001</v>
      </c>
      <c r="AX450">
        <f t="shared" si="113"/>
        <v>692000.43449924001</v>
      </c>
      <c r="AY450">
        <f t="shared" si="114"/>
        <v>1048769.1442720802</v>
      </c>
      <c r="AZ450">
        <f t="shared" si="115"/>
        <v>195382.80344721</v>
      </c>
      <c r="BA450">
        <f t="shared" si="107"/>
        <v>0</v>
      </c>
      <c r="BB450">
        <f t="shared" si="108"/>
        <v>0</v>
      </c>
      <c r="BC450">
        <f t="shared" si="109"/>
        <v>15896.800300000001</v>
      </c>
      <c r="BD450">
        <f t="shared" si="110"/>
        <v>0</v>
      </c>
      <c r="BE450">
        <f t="shared" si="111"/>
        <v>0</v>
      </c>
      <c r="BF450">
        <f t="shared" si="112"/>
        <v>0</v>
      </c>
      <c r="BG450">
        <f t="shared" si="116"/>
        <v>5263.2945495000004</v>
      </c>
      <c r="BH450">
        <f t="shared" si="117"/>
        <v>5187.3767454600002</v>
      </c>
      <c r="BI450">
        <f t="shared" si="118"/>
        <v>5041.8759783599999</v>
      </c>
      <c r="BJ450">
        <f t="shared" si="119"/>
        <v>4755.5656808400008</v>
      </c>
      <c r="BK450">
        <f t="shared" si="120"/>
        <v>4716.4144692600003</v>
      </c>
      <c r="BL450">
        <f t="shared" si="121"/>
        <v>4430.84518656</v>
      </c>
    </row>
    <row r="451" spans="1:64">
      <c r="A451" t="str">
        <f t="shared" ref="A451:A472" si="122">+MID(C451,22,2)</f>
        <v>23</v>
      </c>
      <c r="B451" t="s">
        <v>605</v>
      </c>
      <c r="C451" t="s">
        <v>720</v>
      </c>
      <c r="D451">
        <v>66</v>
      </c>
      <c r="E451">
        <v>3</v>
      </c>
      <c r="F451">
        <v>6</v>
      </c>
      <c r="G451">
        <v>2</v>
      </c>
      <c r="H451">
        <v>100</v>
      </c>
      <c r="I451" t="s">
        <v>607</v>
      </c>
      <c r="J451">
        <v>0.40550000000000003</v>
      </c>
      <c r="K451">
        <v>180.08680000000001</v>
      </c>
      <c r="L451">
        <v>3.0300000000000001E-2</v>
      </c>
      <c r="M451">
        <v>0.61909999999999998</v>
      </c>
      <c r="N451">
        <v>37.214199999999998</v>
      </c>
      <c r="O451">
        <v>89.1965</v>
      </c>
      <c r="P451">
        <v>300.94549999999998</v>
      </c>
      <c r="Q451">
        <v>229.32390000000001</v>
      </c>
      <c r="R451">
        <v>3.1800000000000002E-2</v>
      </c>
      <c r="S451">
        <v>0.60470000000000002</v>
      </c>
      <c r="T451">
        <v>0.17419999999999999</v>
      </c>
      <c r="U451">
        <v>2.7900000000000001E-2</v>
      </c>
      <c r="V451">
        <v>0.4738</v>
      </c>
      <c r="W451">
        <v>12.3316</v>
      </c>
      <c r="X451">
        <v>44.501199999999997</v>
      </c>
      <c r="Y451">
        <v>39.694000000000003</v>
      </c>
      <c r="Z451">
        <v>44.457500000000003</v>
      </c>
      <c r="AA451">
        <v>106.8408</v>
      </c>
      <c r="AB451">
        <v>24.012899999999998</v>
      </c>
      <c r="AC451">
        <v>44.332500000000003</v>
      </c>
      <c r="AD451">
        <v>66.389899999999997</v>
      </c>
      <c r="AE451">
        <v>1.3513999999999999</v>
      </c>
      <c r="AF451">
        <v>8038.1381000000001</v>
      </c>
      <c r="AG451">
        <v>65.881600000000006</v>
      </c>
      <c r="AH451">
        <v>1.6160000000000001</v>
      </c>
      <c r="AI451">
        <v>90.261799999999994</v>
      </c>
      <c r="AJ451">
        <v>73.2</v>
      </c>
      <c r="AK451">
        <v>83.878100000000003</v>
      </c>
      <c r="AL451">
        <v>1.468</v>
      </c>
      <c r="AM451">
        <v>0.05</v>
      </c>
      <c r="AN451">
        <v>1.1999999999999999E-3</v>
      </c>
      <c r="AO451">
        <v>89.863200000000006</v>
      </c>
      <c r="AP451">
        <v>94.337699999999998</v>
      </c>
      <c r="AQ451">
        <v>92.952399999999997</v>
      </c>
      <c r="AR451">
        <v>90.269599999999997</v>
      </c>
      <c r="AS451">
        <v>85.1965</v>
      </c>
      <c r="AT451">
        <v>84.549499999999995</v>
      </c>
      <c r="AU451">
        <v>79.289699999999996</v>
      </c>
      <c r="AV451">
        <v>4198.7826999999997</v>
      </c>
      <c r="AW451">
        <v>10863.0047</v>
      </c>
      <c r="AX451">
        <f t="shared" si="113"/>
        <v>481584.15586275002</v>
      </c>
      <c r="AY451">
        <f t="shared" si="114"/>
        <v>715672.13044352003</v>
      </c>
      <c r="AZ451">
        <f t="shared" si="115"/>
        <v>133958.22875851998</v>
      </c>
      <c r="BA451">
        <f t="shared" ref="BA451:BA472" si="123">+IF($E451=1,$AW451,0)</f>
        <v>0</v>
      </c>
      <c r="BB451">
        <f t="shared" ref="BB451:BB472" si="124">+IF($E451=2,$AW451,0)</f>
        <v>0</v>
      </c>
      <c r="BC451">
        <f t="shared" ref="BC451:BC472" si="125">+IF($E451=3,$AW451,IF($E451=4,$AW451,0))</f>
        <v>10863.0047</v>
      </c>
      <c r="BD451">
        <f t="shared" ref="BD451:BD472" si="126">+IF($E451=7,$AW451,0)</f>
        <v>0</v>
      </c>
      <c r="BE451">
        <f t="shared" ref="BE451:BE472" si="127">+IF($E451=5,$AW451,0)</f>
        <v>0</v>
      </c>
      <c r="BF451">
        <f t="shared" ref="BF451:BF472" si="128">+IF($E451=8,$AW451,0)</f>
        <v>0</v>
      </c>
      <c r="BG451">
        <f t="shared" si="116"/>
        <v>4198.1408552399998</v>
      </c>
      <c r="BH451">
        <f t="shared" si="117"/>
        <v>4136.4933428799995</v>
      </c>
      <c r="BI451">
        <f t="shared" si="118"/>
        <v>4017.1055235199997</v>
      </c>
      <c r="BJ451">
        <f t="shared" si="119"/>
        <v>3791.3464857999998</v>
      </c>
      <c r="BK451">
        <f t="shared" si="120"/>
        <v>3762.5542093999993</v>
      </c>
      <c r="BL451">
        <f t="shared" si="121"/>
        <v>3528.4867976399996</v>
      </c>
    </row>
    <row r="452" spans="1:64">
      <c r="A452" t="str">
        <f t="shared" si="122"/>
        <v>23</v>
      </c>
      <c r="B452" t="s">
        <v>605</v>
      </c>
      <c r="C452" t="s">
        <v>720</v>
      </c>
      <c r="D452">
        <v>66</v>
      </c>
      <c r="E452">
        <v>3</v>
      </c>
      <c r="F452">
        <v>6</v>
      </c>
      <c r="G452">
        <v>2</v>
      </c>
      <c r="H452">
        <v>200</v>
      </c>
      <c r="I452" t="s">
        <v>617</v>
      </c>
      <c r="J452">
        <v>0.40110000000000001</v>
      </c>
      <c r="K452">
        <v>132.7527</v>
      </c>
      <c r="L452">
        <v>3.2099999999999997E-2</v>
      </c>
      <c r="M452">
        <v>0.99429999999999996</v>
      </c>
      <c r="N452">
        <v>39.1023</v>
      </c>
      <c r="O452">
        <v>89.522300000000001</v>
      </c>
      <c r="P452">
        <v>286.21710000000002</v>
      </c>
      <c r="Q452">
        <v>223.96360000000001</v>
      </c>
      <c r="R452">
        <v>2.7199999999999998E-2</v>
      </c>
      <c r="S452">
        <v>0.50670000000000004</v>
      </c>
      <c r="T452">
        <v>0.2092</v>
      </c>
      <c r="U452">
        <v>2.4E-2</v>
      </c>
      <c r="V452">
        <v>0.4052</v>
      </c>
      <c r="W452">
        <v>12.2705</v>
      </c>
      <c r="X452">
        <v>21.026</v>
      </c>
      <c r="Y452">
        <v>18.823</v>
      </c>
      <c r="Z452">
        <v>20.886600000000001</v>
      </c>
      <c r="AA452">
        <v>48.137700000000002</v>
      </c>
      <c r="AB452">
        <v>12.4824</v>
      </c>
      <c r="AC452">
        <v>43.125399999999999</v>
      </c>
      <c r="AD452">
        <v>71.223699999999994</v>
      </c>
      <c r="AE452">
        <v>0.75139999999999996</v>
      </c>
      <c r="AF452">
        <v>7914.3652000000002</v>
      </c>
      <c r="AG452">
        <v>66.137799999999999</v>
      </c>
      <c r="AH452">
        <v>0.71499999999999997</v>
      </c>
      <c r="AI452">
        <v>89.758099999999999</v>
      </c>
      <c r="AJ452">
        <v>73.2</v>
      </c>
      <c r="AK452">
        <v>82.818200000000004</v>
      </c>
      <c r="AL452">
        <v>1.4017999999999999</v>
      </c>
      <c r="AM452">
        <v>0.05</v>
      </c>
      <c r="AN452">
        <v>0</v>
      </c>
      <c r="AO452">
        <v>90.347300000000004</v>
      </c>
      <c r="AP452">
        <v>94.446700000000007</v>
      </c>
      <c r="AQ452">
        <v>93.089600000000004</v>
      </c>
      <c r="AR452">
        <v>90.630600000000001</v>
      </c>
      <c r="AS452">
        <v>85.471599999999995</v>
      </c>
      <c r="AT452">
        <v>84.738100000000003</v>
      </c>
      <c r="AU452">
        <v>79.7971</v>
      </c>
      <c r="AV452">
        <v>2303.6302000000001</v>
      </c>
      <c r="AW452">
        <v>5947.1445000000003</v>
      </c>
      <c r="AX452">
        <f t="shared" si="113"/>
        <v>256472.98542030001</v>
      </c>
      <c r="AY452">
        <f t="shared" si="114"/>
        <v>393331.05351210001</v>
      </c>
      <c r="AZ452">
        <f t="shared" si="115"/>
        <v>72974.436587250006</v>
      </c>
      <c r="BA452">
        <f t="shared" si="123"/>
        <v>0</v>
      </c>
      <c r="BB452">
        <f t="shared" si="124"/>
        <v>0</v>
      </c>
      <c r="BC452">
        <f t="shared" si="125"/>
        <v>5947.1445000000003</v>
      </c>
      <c r="BD452">
        <f t="shared" si="126"/>
        <v>0</v>
      </c>
      <c r="BE452">
        <f t="shared" si="127"/>
        <v>0</v>
      </c>
      <c r="BF452">
        <f t="shared" si="128"/>
        <v>0</v>
      </c>
      <c r="BG452">
        <f t="shared" si="116"/>
        <v>1985.8363142000001</v>
      </c>
      <c r="BH452">
        <f t="shared" si="117"/>
        <v>1957.3019296</v>
      </c>
      <c r="BI452">
        <f t="shared" si="118"/>
        <v>1905.5989956000001</v>
      </c>
      <c r="BJ452">
        <f t="shared" si="119"/>
        <v>1797.1258615999998</v>
      </c>
      <c r="BK452">
        <f t="shared" si="120"/>
        <v>1781.7032905999999</v>
      </c>
      <c r="BL452">
        <f t="shared" si="121"/>
        <v>1677.8138246000001</v>
      </c>
    </row>
    <row r="453" spans="1:64">
      <c r="A453" t="str">
        <f t="shared" si="122"/>
        <v>24</v>
      </c>
      <c r="B453" t="s">
        <v>605</v>
      </c>
      <c r="C453" t="s">
        <v>721</v>
      </c>
      <c r="D453">
        <v>55</v>
      </c>
      <c r="E453">
        <v>1</v>
      </c>
      <c r="F453">
        <v>6</v>
      </c>
      <c r="G453">
        <v>2</v>
      </c>
      <c r="H453">
        <v>100</v>
      </c>
      <c r="I453" t="s">
        <v>609</v>
      </c>
      <c r="J453">
        <v>0.3332</v>
      </c>
      <c r="K453">
        <v>304.65899999999999</v>
      </c>
      <c r="L453">
        <v>2.8500000000000001E-2</v>
      </c>
      <c r="M453">
        <v>0.50660000000000005</v>
      </c>
      <c r="N453">
        <v>36.835799999999999</v>
      </c>
      <c r="O453">
        <v>88.833100000000002</v>
      </c>
      <c r="P453">
        <v>314.3603</v>
      </c>
      <c r="Q453">
        <v>236.8784</v>
      </c>
      <c r="R453">
        <v>3.32E-2</v>
      </c>
      <c r="S453">
        <v>0.6613</v>
      </c>
      <c r="T453">
        <v>0.17480000000000001</v>
      </c>
      <c r="U453">
        <v>2.5100000000000001E-2</v>
      </c>
      <c r="V453">
        <v>0.44919999999999999</v>
      </c>
      <c r="W453">
        <v>12.4542</v>
      </c>
      <c r="X453">
        <v>0.1474</v>
      </c>
      <c r="Y453">
        <v>0.13100000000000001</v>
      </c>
      <c r="Z453">
        <v>0.14710000000000001</v>
      </c>
      <c r="AA453">
        <v>0.35549999999999998</v>
      </c>
      <c r="AB453">
        <v>45.343600000000002</v>
      </c>
      <c r="AC453">
        <v>45.523600000000002</v>
      </c>
      <c r="AD453">
        <v>63.788800000000002</v>
      </c>
      <c r="AE453">
        <v>4.5999999999999999E-3</v>
      </c>
      <c r="AF453">
        <v>8241.9493999999995</v>
      </c>
      <c r="AG453">
        <v>62.529600000000002</v>
      </c>
      <c r="AH453">
        <v>5.4000000000000003E-3</v>
      </c>
      <c r="AI453">
        <v>90.168999999999997</v>
      </c>
      <c r="AJ453">
        <v>73.2</v>
      </c>
      <c r="AK453">
        <v>83.682199999999995</v>
      </c>
      <c r="AL453">
        <v>1.4532</v>
      </c>
      <c r="AM453">
        <v>0.05</v>
      </c>
      <c r="AN453">
        <v>5.0000000000000001E-3</v>
      </c>
      <c r="AO453">
        <v>87.850200000000001</v>
      </c>
      <c r="AP453">
        <v>94.194199999999995</v>
      </c>
      <c r="AQ453">
        <v>92.785700000000006</v>
      </c>
      <c r="AR453">
        <v>90.046400000000006</v>
      </c>
      <c r="AS453">
        <v>85.017300000000006</v>
      </c>
      <c r="AT453">
        <v>84.413700000000006</v>
      </c>
      <c r="AU453">
        <v>78.997600000000006</v>
      </c>
      <c r="AV453">
        <v>14.720800000000001</v>
      </c>
      <c r="AW453">
        <v>38.064999999999998</v>
      </c>
      <c r="AX453">
        <f t="shared" si="113"/>
        <v>1732.855834</v>
      </c>
      <c r="AY453">
        <f t="shared" si="114"/>
        <v>2380.1892239999997</v>
      </c>
      <c r="AZ453">
        <f t="shared" si="115"/>
        <v>474.06912299999999</v>
      </c>
      <c r="BA453">
        <f t="shared" si="123"/>
        <v>38.064999999999998</v>
      </c>
      <c r="BB453">
        <f t="shared" si="124"/>
        <v>0</v>
      </c>
      <c r="BC453">
        <f t="shared" si="125"/>
        <v>0</v>
      </c>
      <c r="BD453">
        <f t="shared" si="126"/>
        <v>0</v>
      </c>
      <c r="BE453">
        <f t="shared" si="127"/>
        <v>0</v>
      </c>
      <c r="BF453">
        <f t="shared" si="128"/>
        <v>0</v>
      </c>
      <c r="BG453">
        <f t="shared" si="116"/>
        <v>13.88422508</v>
      </c>
      <c r="BH453">
        <f t="shared" si="117"/>
        <v>13.676612180000001</v>
      </c>
      <c r="BI453">
        <f t="shared" si="118"/>
        <v>13.272839360000001</v>
      </c>
      <c r="BJ453">
        <f t="shared" si="119"/>
        <v>12.531550020000001</v>
      </c>
      <c r="BK453">
        <f t="shared" si="120"/>
        <v>12.442579380000002</v>
      </c>
      <c r="BL453">
        <f t="shared" si="121"/>
        <v>11.644246240000001</v>
      </c>
    </row>
    <row r="454" spans="1:64">
      <c r="A454" t="str">
        <f t="shared" si="122"/>
        <v>24</v>
      </c>
      <c r="B454" t="s">
        <v>605</v>
      </c>
      <c r="C454" t="s">
        <v>721</v>
      </c>
      <c r="D454">
        <v>55</v>
      </c>
      <c r="E454">
        <v>1</v>
      </c>
      <c r="F454">
        <v>6</v>
      </c>
      <c r="G454">
        <v>2</v>
      </c>
      <c r="H454">
        <v>100</v>
      </c>
      <c r="I454" t="s">
        <v>617</v>
      </c>
      <c r="J454">
        <v>0.35580000000000001</v>
      </c>
      <c r="K454">
        <v>102.2479</v>
      </c>
      <c r="L454">
        <v>3.1199999999999999E-2</v>
      </c>
      <c r="M454">
        <v>1.0107999999999999</v>
      </c>
      <c r="N454">
        <v>38.978099999999998</v>
      </c>
      <c r="O454">
        <v>86.753200000000007</v>
      </c>
      <c r="P454">
        <v>279.31580000000002</v>
      </c>
      <c r="Q454">
        <v>250.78309999999999</v>
      </c>
      <c r="R454">
        <v>2.7400000000000001E-2</v>
      </c>
      <c r="S454">
        <v>0.52129999999999999</v>
      </c>
      <c r="T454">
        <v>0.20979999999999999</v>
      </c>
      <c r="U454">
        <v>2.3099999999999999E-2</v>
      </c>
      <c r="V454">
        <v>0.39379999999999998</v>
      </c>
      <c r="W454">
        <v>10.8093</v>
      </c>
      <c r="X454">
        <v>0.41589999999999999</v>
      </c>
      <c r="Y454">
        <v>0.36080000000000001</v>
      </c>
      <c r="Z454">
        <v>0.39900000000000002</v>
      </c>
      <c r="AA454">
        <v>0.92569999999999997</v>
      </c>
      <c r="AB454">
        <v>20.455100000000002</v>
      </c>
      <c r="AC454">
        <v>56.900500000000001</v>
      </c>
      <c r="AD454">
        <v>45.746899999999997</v>
      </c>
      <c r="AE454">
        <v>1.32E-2</v>
      </c>
      <c r="AF454">
        <v>9137.8683999999994</v>
      </c>
      <c r="AG454">
        <v>65.670900000000003</v>
      </c>
      <c r="AH454">
        <v>1.3299999999999999E-2</v>
      </c>
      <c r="AI454">
        <v>89.56</v>
      </c>
      <c r="AJ454">
        <v>73.2</v>
      </c>
      <c r="AK454">
        <v>82.403300000000002</v>
      </c>
      <c r="AL454">
        <v>1.3825000000000001</v>
      </c>
      <c r="AM454">
        <v>0.05</v>
      </c>
      <c r="AN454">
        <v>5.5999999999999999E-3</v>
      </c>
      <c r="AO454">
        <v>92.154700000000005</v>
      </c>
      <c r="AP454">
        <v>91.421599999999998</v>
      </c>
      <c r="AQ454">
        <v>89.723100000000002</v>
      </c>
      <c r="AR454">
        <v>86.915599999999998</v>
      </c>
      <c r="AS454">
        <v>81.046599999999998</v>
      </c>
      <c r="AT454">
        <v>79.883200000000002</v>
      </c>
      <c r="AU454">
        <v>74.654300000000006</v>
      </c>
      <c r="AV454">
        <v>47.627499999999998</v>
      </c>
      <c r="AW454">
        <v>120.6177</v>
      </c>
      <c r="AX454">
        <f t="shared" si="113"/>
        <v>6863.2074388500005</v>
      </c>
      <c r="AY454">
        <f t="shared" si="114"/>
        <v>7921.0729149300005</v>
      </c>
      <c r="AZ454">
        <f t="shared" si="115"/>
        <v>1303.7929046100001</v>
      </c>
      <c r="BA454">
        <f t="shared" si="123"/>
        <v>120.6177</v>
      </c>
      <c r="BB454">
        <f t="shared" si="124"/>
        <v>0</v>
      </c>
      <c r="BC454">
        <f t="shared" si="125"/>
        <v>0</v>
      </c>
      <c r="BD454">
        <f t="shared" si="126"/>
        <v>0</v>
      </c>
      <c r="BE454">
        <f t="shared" si="127"/>
        <v>0</v>
      </c>
      <c r="BF454">
        <f t="shared" si="128"/>
        <v>0</v>
      </c>
      <c r="BG454">
        <f t="shared" si="116"/>
        <v>38.022243439999997</v>
      </c>
      <c r="BH454">
        <f t="shared" si="117"/>
        <v>37.315837289999997</v>
      </c>
      <c r="BI454">
        <f t="shared" si="118"/>
        <v>36.148198039999997</v>
      </c>
      <c r="BJ454">
        <f t="shared" si="119"/>
        <v>33.707280939999997</v>
      </c>
      <c r="BK454">
        <f t="shared" si="120"/>
        <v>33.223422880000001</v>
      </c>
      <c r="BL454">
        <f t="shared" si="121"/>
        <v>31.048723370000001</v>
      </c>
    </row>
    <row r="455" spans="1:64">
      <c r="A455" t="str">
        <f t="shared" si="122"/>
        <v>24</v>
      </c>
      <c r="B455" t="s">
        <v>605</v>
      </c>
      <c r="C455" t="s">
        <v>721</v>
      </c>
      <c r="D455">
        <v>55</v>
      </c>
      <c r="E455">
        <v>1</v>
      </c>
      <c r="F455">
        <v>6</v>
      </c>
      <c r="G455">
        <v>2</v>
      </c>
      <c r="H455">
        <v>100</v>
      </c>
      <c r="I455" t="s">
        <v>607</v>
      </c>
      <c r="J455">
        <v>0.44940000000000002</v>
      </c>
      <c r="K455">
        <v>99.003900000000002</v>
      </c>
      <c r="L455">
        <v>3.0599999999999999E-2</v>
      </c>
      <c r="M455">
        <v>0.89359999999999995</v>
      </c>
      <c r="N455">
        <v>30.756900000000002</v>
      </c>
      <c r="O455">
        <v>87.873199999999997</v>
      </c>
      <c r="P455">
        <v>346.51949999999999</v>
      </c>
      <c r="Q455">
        <v>256.60550000000001</v>
      </c>
      <c r="R455">
        <v>0.3528</v>
      </c>
      <c r="S455">
        <v>0.56530000000000002</v>
      </c>
      <c r="T455">
        <v>0.27579999999999999</v>
      </c>
      <c r="U455">
        <v>6.8999999999999999E-3</v>
      </c>
      <c r="V455">
        <v>0.50509999999999999</v>
      </c>
      <c r="W455">
        <v>11.359500000000001</v>
      </c>
      <c r="X455">
        <v>162.05799999999999</v>
      </c>
      <c r="Y455">
        <v>142.48699999999999</v>
      </c>
      <c r="Z455">
        <v>148.62520000000001</v>
      </c>
      <c r="AA455">
        <v>469.2398</v>
      </c>
      <c r="AB455">
        <v>22.978899999999999</v>
      </c>
      <c r="AC455">
        <v>55.7744</v>
      </c>
      <c r="AD455">
        <v>42.756399999999999</v>
      </c>
      <c r="AE455">
        <v>3.7810999999999999</v>
      </c>
      <c r="AF455">
        <v>9176.3503000000001</v>
      </c>
      <c r="AG455">
        <v>60.410200000000003</v>
      </c>
      <c r="AH455">
        <v>2.9218999999999999</v>
      </c>
      <c r="AI455">
        <v>88.8202</v>
      </c>
      <c r="AJ455">
        <v>73.2</v>
      </c>
      <c r="AK455">
        <v>80.868399999999994</v>
      </c>
      <c r="AL455">
        <v>1.6251</v>
      </c>
      <c r="AM455">
        <v>0.05</v>
      </c>
      <c r="AN455">
        <v>1.0200000000000001E-2</v>
      </c>
      <c r="AO455">
        <v>88.884299999999996</v>
      </c>
      <c r="AP455">
        <v>92.441299999999998</v>
      </c>
      <c r="AQ455">
        <v>91.28</v>
      </c>
      <c r="AR455">
        <v>89.065700000000007</v>
      </c>
      <c r="AS455">
        <v>84.391099999999994</v>
      </c>
      <c r="AT455">
        <v>83.722300000000004</v>
      </c>
      <c r="AU455">
        <v>79.499700000000004</v>
      </c>
      <c r="AV455">
        <v>13557.977500000001</v>
      </c>
      <c r="AW455">
        <v>34608.8243</v>
      </c>
      <c r="AX455">
        <f t="shared" si="113"/>
        <v>1930286.4100379201</v>
      </c>
      <c r="AY455">
        <f t="shared" si="114"/>
        <v>2090725.9977278602</v>
      </c>
      <c r="AZ455">
        <f t="shared" si="115"/>
        <v>393138.93963585002</v>
      </c>
      <c r="BA455">
        <f t="shared" si="123"/>
        <v>34608.8243</v>
      </c>
      <c r="BB455">
        <f t="shared" si="124"/>
        <v>0</v>
      </c>
      <c r="BC455">
        <f t="shared" si="125"/>
        <v>0</v>
      </c>
      <c r="BD455">
        <f t="shared" si="126"/>
        <v>0</v>
      </c>
      <c r="BE455">
        <f t="shared" si="127"/>
        <v>0</v>
      </c>
      <c r="BF455">
        <f t="shared" si="128"/>
        <v>0</v>
      </c>
      <c r="BG455">
        <f t="shared" si="116"/>
        <v>14980.852195399999</v>
      </c>
      <c r="BH455">
        <f t="shared" si="117"/>
        <v>14792.65424</v>
      </c>
      <c r="BI455">
        <f t="shared" si="118"/>
        <v>14433.8092106</v>
      </c>
      <c r="BJ455">
        <f t="shared" si="119"/>
        <v>13676.252883799998</v>
      </c>
      <c r="BK455">
        <f t="shared" si="120"/>
        <v>13567.868493399999</v>
      </c>
      <c r="BL455">
        <f t="shared" si="121"/>
        <v>12883.562382600001</v>
      </c>
    </row>
    <row r="456" spans="1:64">
      <c r="A456" t="str">
        <f t="shared" si="122"/>
        <v>24</v>
      </c>
      <c r="B456" t="s">
        <v>605</v>
      </c>
      <c r="C456" t="s">
        <v>721</v>
      </c>
      <c r="D456">
        <v>55</v>
      </c>
      <c r="E456">
        <v>1</v>
      </c>
      <c r="F456">
        <v>6</v>
      </c>
      <c r="G456">
        <v>2</v>
      </c>
      <c r="H456">
        <v>200</v>
      </c>
      <c r="I456" t="s">
        <v>609</v>
      </c>
      <c r="J456">
        <v>0.33689999999999998</v>
      </c>
      <c r="K456">
        <v>141.3193</v>
      </c>
      <c r="L456">
        <v>3.2000000000000001E-2</v>
      </c>
      <c r="M456">
        <v>0.99980000000000002</v>
      </c>
      <c r="N456">
        <v>38.929900000000004</v>
      </c>
      <c r="O456">
        <v>86.570400000000006</v>
      </c>
      <c r="P456">
        <v>289.40300000000002</v>
      </c>
      <c r="Q456">
        <v>249.7672</v>
      </c>
      <c r="R456">
        <v>2.7900000000000001E-2</v>
      </c>
      <c r="S456">
        <v>0.50090000000000001</v>
      </c>
      <c r="T456">
        <v>0.20069999999999999</v>
      </c>
      <c r="U456">
        <v>4.53E-2</v>
      </c>
      <c r="V456">
        <v>0.39400000000000002</v>
      </c>
      <c r="W456">
        <v>10.8935</v>
      </c>
      <c r="X456">
        <v>39.594200000000001</v>
      </c>
      <c r="Y456">
        <v>34.276699999999998</v>
      </c>
      <c r="Z456">
        <v>39.073799999999999</v>
      </c>
      <c r="AA456">
        <v>88.064800000000005</v>
      </c>
      <c r="AB456">
        <v>16.428899999999999</v>
      </c>
      <c r="AC456">
        <v>56.304499999999997</v>
      </c>
      <c r="AD456">
        <v>47.370399999999997</v>
      </c>
      <c r="AE456">
        <v>1.3046</v>
      </c>
      <c r="AF456">
        <v>9064.7044000000005</v>
      </c>
      <c r="AG456">
        <v>66.408900000000003</v>
      </c>
      <c r="AH456">
        <v>1.575</v>
      </c>
      <c r="AI456">
        <v>89.987300000000005</v>
      </c>
      <c r="AJ456">
        <v>73.2</v>
      </c>
      <c r="AK456">
        <v>83.300600000000003</v>
      </c>
      <c r="AL456">
        <v>1.3311999999999999</v>
      </c>
      <c r="AM456">
        <v>0.05</v>
      </c>
      <c r="AN456">
        <v>5.1000000000000004E-3</v>
      </c>
      <c r="AO456">
        <v>92.628299999999996</v>
      </c>
      <c r="AP456">
        <v>91.977500000000006</v>
      </c>
      <c r="AQ456">
        <v>90.111400000000003</v>
      </c>
      <c r="AR456">
        <v>87.274500000000003</v>
      </c>
      <c r="AS456">
        <v>80.602400000000003</v>
      </c>
      <c r="AT456">
        <v>79.298000000000002</v>
      </c>
      <c r="AU456">
        <v>73.466899999999995</v>
      </c>
      <c r="AV456">
        <v>4659.6183000000001</v>
      </c>
      <c r="AW456">
        <v>11825.3254</v>
      </c>
      <c r="AX456">
        <f t="shared" si="113"/>
        <v>665819.03398429998</v>
      </c>
      <c r="AY456">
        <f t="shared" si="114"/>
        <v>785306.85195606004</v>
      </c>
      <c r="AZ456">
        <f t="shared" si="115"/>
        <v>128819.18224489999</v>
      </c>
      <c r="BA456">
        <f t="shared" si="123"/>
        <v>11825.3254</v>
      </c>
      <c r="BB456">
        <f t="shared" si="124"/>
        <v>0</v>
      </c>
      <c r="BC456">
        <f t="shared" si="125"/>
        <v>0</v>
      </c>
      <c r="BD456">
        <f t="shared" si="126"/>
        <v>0</v>
      </c>
      <c r="BE456">
        <f t="shared" si="127"/>
        <v>0</v>
      </c>
      <c r="BF456">
        <f t="shared" si="128"/>
        <v>0</v>
      </c>
      <c r="BG456">
        <f t="shared" si="116"/>
        <v>3641.7755305000005</v>
      </c>
      <c r="BH456">
        <f t="shared" si="117"/>
        <v>3567.8887938800003</v>
      </c>
      <c r="BI456">
        <f t="shared" si="118"/>
        <v>3455.5640079</v>
      </c>
      <c r="BJ456">
        <f t="shared" si="119"/>
        <v>3191.38754608</v>
      </c>
      <c r="BK456">
        <f t="shared" si="120"/>
        <v>3139.7408716</v>
      </c>
      <c r="BL456">
        <f t="shared" si="121"/>
        <v>2908.8631319799997</v>
      </c>
    </row>
    <row r="457" spans="1:64">
      <c r="A457" t="str">
        <f t="shared" si="122"/>
        <v>24</v>
      </c>
      <c r="B457" t="s">
        <v>605</v>
      </c>
      <c r="C457" t="s">
        <v>721</v>
      </c>
      <c r="D457">
        <v>55</v>
      </c>
      <c r="E457">
        <v>1</v>
      </c>
      <c r="F457">
        <v>6</v>
      </c>
      <c r="G457">
        <v>2</v>
      </c>
      <c r="H457">
        <v>200</v>
      </c>
      <c r="I457" t="s">
        <v>607</v>
      </c>
      <c r="J457">
        <v>0.52470000000000006</v>
      </c>
      <c r="K457">
        <v>117.1289</v>
      </c>
      <c r="L457">
        <v>4.0500000000000001E-2</v>
      </c>
      <c r="M457">
        <v>1.1618999999999999</v>
      </c>
      <c r="N457">
        <v>34.6646</v>
      </c>
      <c r="O457">
        <v>86.9499</v>
      </c>
      <c r="P457">
        <v>286.10680000000002</v>
      </c>
      <c r="Q457">
        <v>255.43299999999999</v>
      </c>
      <c r="R457">
        <v>0.26100000000000001</v>
      </c>
      <c r="S457">
        <v>0.62880000000000003</v>
      </c>
      <c r="T457">
        <v>0.31169999999999998</v>
      </c>
      <c r="U457">
        <v>5.7799999999999997E-2</v>
      </c>
      <c r="V457">
        <v>0.5867</v>
      </c>
      <c r="W457">
        <v>10.7536</v>
      </c>
      <c r="X457">
        <v>124.4529</v>
      </c>
      <c r="Y457">
        <v>108.3252</v>
      </c>
      <c r="Z457">
        <v>113.6451</v>
      </c>
      <c r="AA457">
        <v>321.61189999999999</v>
      </c>
      <c r="AB457">
        <v>14.899900000000001</v>
      </c>
      <c r="AC457">
        <v>58.465600000000002</v>
      </c>
      <c r="AD457">
        <v>39.233699999999999</v>
      </c>
      <c r="AE457">
        <v>2.4712000000000001</v>
      </c>
      <c r="AF457">
        <v>9318.9150000000009</v>
      </c>
      <c r="AG457">
        <v>62.357700000000001</v>
      </c>
      <c r="AH457">
        <v>2.3929999999999998</v>
      </c>
      <c r="AI457">
        <v>89.350800000000007</v>
      </c>
      <c r="AJ457">
        <v>73.2</v>
      </c>
      <c r="AK457">
        <v>81.970100000000002</v>
      </c>
      <c r="AL457">
        <v>1.5254000000000001</v>
      </c>
      <c r="AM457">
        <v>0.05</v>
      </c>
      <c r="AN457">
        <v>1E-4</v>
      </c>
      <c r="AO457">
        <v>90.243099999999998</v>
      </c>
      <c r="AP457">
        <v>91.41</v>
      </c>
      <c r="AQ457">
        <v>90.036699999999996</v>
      </c>
      <c r="AR457">
        <v>87.391900000000007</v>
      </c>
      <c r="AS457">
        <v>81.720299999999995</v>
      </c>
      <c r="AT457">
        <v>80.754999999999995</v>
      </c>
      <c r="AU457">
        <v>75.997799999999998</v>
      </c>
      <c r="AV457">
        <v>9110.0457999999999</v>
      </c>
      <c r="AW457">
        <v>23016.639500000001</v>
      </c>
      <c r="AX457">
        <f t="shared" si="113"/>
        <v>1345681.6383512001</v>
      </c>
      <c r="AY457">
        <f t="shared" si="114"/>
        <v>1435264.7009491501</v>
      </c>
      <c r="AZ457">
        <f t="shared" si="115"/>
        <v>247511.73452720002</v>
      </c>
      <c r="BA457">
        <f t="shared" si="123"/>
        <v>23016.639500000001</v>
      </c>
      <c r="BB457">
        <f t="shared" si="124"/>
        <v>0</v>
      </c>
      <c r="BC457">
        <f t="shared" si="125"/>
        <v>0</v>
      </c>
      <c r="BD457">
        <f t="shared" si="126"/>
        <v>0</v>
      </c>
      <c r="BE457">
        <f t="shared" si="127"/>
        <v>0</v>
      </c>
      <c r="BF457">
        <f t="shared" si="128"/>
        <v>0</v>
      </c>
      <c r="BG457">
        <f t="shared" si="116"/>
        <v>11376.239588999999</v>
      </c>
      <c r="BH457">
        <f t="shared" si="117"/>
        <v>11205.32842143</v>
      </c>
      <c r="BI457">
        <f t="shared" si="118"/>
        <v>10876.175391510002</v>
      </c>
      <c r="BJ457">
        <f t="shared" si="119"/>
        <v>10170.328323869999</v>
      </c>
      <c r="BK457">
        <f t="shared" si="120"/>
        <v>10050.193939499999</v>
      </c>
      <c r="BL457">
        <f t="shared" si="121"/>
        <v>9458.14660362</v>
      </c>
    </row>
    <row r="458" spans="1:64">
      <c r="A458" t="str">
        <f t="shared" si="122"/>
        <v>24</v>
      </c>
      <c r="B458" t="s">
        <v>605</v>
      </c>
      <c r="C458" t="s">
        <v>721</v>
      </c>
      <c r="D458">
        <v>66</v>
      </c>
      <c r="E458">
        <v>3</v>
      </c>
      <c r="F458">
        <v>6</v>
      </c>
      <c r="G458">
        <v>2</v>
      </c>
      <c r="H458">
        <v>100</v>
      </c>
      <c r="I458" t="s">
        <v>617</v>
      </c>
      <c r="J458">
        <v>0.39219999999999999</v>
      </c>
      <c r="K458">
        <v>183.04679999999999</v>
      </c>
      <c r="L458">
        <v>3.0099999999999998E-2</v>
      </c>
      <c r="M458">
        <v>0.68669999999999998</v>
      </c>
      <c r="N458">
        <v>38.018500000000003</v>
      </c>
      <c r="O458">
        <v>89.403599999999997</v>
      </c>
      <c r="P458">
        <v>301.5453</v>
      </c>
      <c r="Q458">
        <v>225.35849999999999</v>
      </c>
      <c r="R458">
        <v>2.8899999999999999E-2</v>
      </c>
      <c r="S458">
        <v>0.53439999999999999</v>
      </c>
      <c r="T458">
        <v>0.17949999999999999</v>
      </c>
      <c r="U458">
        <v>2.75E-2</v>
      </c>
      <c r="V458">
        <v>0.4335</v>
      </c>
      <c r="W458">
        <v>12.3279</v>
      </c>
      <c r="X458">
        <v>22.234400000000001</v>
      </c>
      <c r="Y458">
        <v>19.878399999999999</v>
      </c>
      <c r="Z458">
        <v>22.692599999999999</v>
      </c>
      <c r="AA458">
        <v>52.416499999999999</v>
      </c>
      <c r="AB458">
        <v>13.2357</v>
      </c>
      <c r="AC458">
        <v>43.324100000000001</v>
      </c>
      <c r="AD458">
        <v>69.207700000000003</v>
      </c>
      <c r="AE458">
        <v>0.7621</v>
      </c>
      <c r="AF458">
        <v>7931.4400999999998</v>
      </c>
      <c r="AG458">
        <v>66.225999999999999</v>
      </c>
      <c r="AH458">
        <v>0.92179999999999995</v>
      </c>
      <c r="AI458">
        <v>90.318799999999996</v>
      </c>
      <c r="AJ458">
        <v>73.2</v>
      </c>
      <c r="AK458">
        <v>83.998599999999996</v>
      </c>
      <c r="AL458">
        <v>1.4177</v>
      </c>
      <c r="AM458">
        <v>0.05</v>
      </c>
      <c r="AN458">
        <v>0</v>
      </c>
      <c r="AO458">
        <v>90.331900000000005</v>
      </c>
      <c r="AP458">
        <v>94.476699999999994</v>
      </c>
      <c r="AQ458">
        <v>93.092399999999998</v>
      </c>
      <c r="AR458">
        <v>90.4726</v>
      </c>
      <c r="AS458">
        <v>85.317800000000005</v>
      </c>
      <c r="AT458">
        <v>84.621200000000002</v>
      </c>
      <c r="AU458">
        <v>79.461299999999994</v>
      </c>
      <c r="AV458">
        <v>2347.2797</v>
      </c>
      <c r="AW458">
        <v>6044.451</v>
      </c>
      <c r="AX458">
        <f t="shared" si="113"/>
        <v>261870.3995691</v>
      </c>
      <c r="AY458">
        <f t="shared" si="114"/>
        <v>400299.81192599999</v>
      </c>
      <c r="AZ458">
        <f t="shared" si="115"/>
        <v>74515.387482899998</v>
      </c>
      <c r="BA458">
        <f t="shared" si="123"/>
        <v>0</v>
      </c>
      <c r="BB458">
        <f t="shared" si="124"/>
        <v>0</v>
      </c>
      <c r="BC458">
        <f t="shared" si="125"/>
        <v>6044.451</v>
      </c>
      <c r="BD458">
        <f t="shared" si="126"/>
        <v>0</v>
      </c>
      <c r="BE458">
        <f t="shared" si="127"/>
        <v>0</v>
      </c>
      <c r="BF458">
        <f t="shared" si="128"/>
        <v>0</v>
      </c>
      <c r="BG458">
        <f t="shared" si="116"/>
        <v>2100.6327384799997</v>
      </c>
      <c r="BH458">
        <f t="shared" si="117"/>
        <v>2069.85365856</v>
      </c>
      <c r="BI458">
        <f t="shared" si="118"/>
        <v>2011.6039774400001</v>
      </c>
      <c r="BJ458">
        <f t="shared" si="119"/>
        <v>1896.9900923200003</v>
      </c>
      <c r="BK458">
        <f t="shared" si="120"/>
        <v>1881.5016092800001</v>
      </c>
      <c r="BL458">
        <f t="shared" si="121"/>
        <v>1766.7743287199999</v>
      </c>
    </row>
    <row r="459" spans="1:64">
      <c r="A459" t="str">
        <f t="shared" si="122"/>
        <v>24</v>
      </c>
      <c r="B459" t="s">
        <v>605</v>
      </c>
      <c r="C459" t="s">
        <v>721</v>
      </c>
      <c r="D459">
        <v>66</v>
      </c>
      <c r="E459">
        <v>3</v>
      </c>
      <c r="F459">
        <v>6</v>
      </c>
      <c r="G459">
        <v>2</v>
      </c>
      <c r="H459">
        <v>100</v>
      </c>
      <c r="I459" t="s">
        <v>607</v>
      </c>
      <c r="J459">
        <v>0.40500000000000003</v>
      </c>
      <c r="K459">
        <v>190.7304</v>
      </c>
      <c r="L459">
        <v>3.04E-2</v>
      </c>
      <c r="M459">
        <v>0.56679999999999997</v>
      </c>
      <c r="N459">
        <v>36.444899999999997</v>
      </c>
      <c r="O459">
        <v>89.171499999999995</v>
      </c>
      <c r="P459">
        <v>306.64019999999999</v>
      </c>
      <c r="Q459">
        <v>230.13079999999999</v>
      </c>
      <c r="R459">
        <v>3.39E-2</v>
      </c>
      <c r="S459">
        <v>0.61119999999999997</v>
      </c>
      <c r="T459">
        <v>0.15229999999999999</v>
      </c>
      <c r="U459">
        <v>3.0300000000000001E-2</v>
      </c>
      <c r="V459">
        <v>0.47970000000000002</v>
      </c>
      <c r="W459">
        <v>12.3804</v>
      </c>
      <c r="X459">
        <v>50.830599999999997</v>
      </c>
      <c r="Y459">
        <v>45.326500000000003</v>
      </c>
      <c r="Z459">
        <v>51.333599999999997</v>
      </c>
      <c r="AA459">
        <v>124.3758</v>
      </c>
      <c r="AB459">
        <v>17.728899999999999</v>
      </c>
      <c r="AC459">
        <v>44.430100000000003</v>
      </c>
      <c r="AD459">
        <v>66.073999999999998</v>
      </c>
      <c r="AE459">
        <v>1.5409999999999999</v>
      </c>
      <c r="AF459">
        <v>8039.5648000000001</v>
      </c>
      <c r="AG459">
        <v>66.1905</v>
      </c>
      <c r="AH459">
        <v>1.9943</v>
      </c>
      <c r="AI459">
        <v>90.4482</v>
      </c>
      <c r="AJ459">
        <v>73.2</v>
      </c>
      <c r="AK459">
        <v>84.272199999999998</v>
      </c>
      <c r="AL459">
        <v>1.4427000000000001</v>
      </c>
      <c r="AM459">
        <v>0.05</v>
      </c>
      <c r="AN459">
        <v>0</v>
      </c>
      <c r="AO459">
        <v>89.990399999999994</v>
      </c>
      <c r="AP459">
        <v>94.321700000000007</v>
      </c>
      <c r="AQ459">
        <v>92.928899999999999</v>
      </c>
      <c r="AR459">
        <v>90.257400000000004</v>
      </c>
      <c r="AS459">
        <v>85.210099999999997</v>
      </c>
      <c r="AT459">
        <v>84.578999999999994</v>
      </c>
      <c r="AU459">
        <v>79.337400000000002</v>
      </c>
      <c r="AV459">
        <v>4802.6004999999996</v>
      </c>
      <c r="AW459">
        <v>12388.36</v>
      </c>
      <c r="AX459">
        <f t="shared" si="113"/>
        <v>550416.07363600004</v>
      </c>
      <c r="AY459">
        <f t="shared" si="114"/>
        <v>819991.74258000008</v>
      </c>
      <c r="AZ459">
        <f t="shared" si="115"/>
        <v>153372.852144</v>
      </c>
      <c r="BA459">
        <f t="shared" si="123"/>
        <v>0</v>
      </c>
      <c r="BB459">
        <f t="shared" si="124"/>
        <v>0</v>
      </c>
      <c r="BC459">
        <f t="shared" si="125"/>
        <v>12388.36</v>
      </c>
      <c r="BD459">
        <f t="shared" si="126"/>
        <v>0</v>
      </c>
      <c r="BE459">
        <f t="shared" si="127"/>
        <v>0</v>
      </c>
      <c r="BF459">
        <f t="shared" si="128"/>
        <v>0</v>
      </c>
      <c r="BG459">
        <f t="shared" si="116"/>
        <v>4794.4286040200004</v>
      </c>
      <c r="BH459">
        <f t="shared" si="117"/>
        <v>4723.6317443399994</v>
      </c>
      <c r="BI459">
        <f t="shared" si="118"/>
        <v>4587.8377964399997</v>
      </c>
      <c r="BJ459">
        <f t="shared" si="119"/>
        <v>4331.2805090599995</v>
      </c>
      <c r="BK459">
        <f t="shared" si="120"/>
        <v>4299.2013173999994</v>
      </c>
      <c r="BL459">
        <f t="shared" si="121"/>
        <v>4032.7676444399999</v>
      </c>
    </row>
    <row r="460" spans="1:64">
      <c r="A460" t="str">
        <f t="shared" si="122"/>
        <v>24</v>
      </c>
      <c r="B460" t="s">
        <v>605</v>
      </c>
      <c r="C460" t="s">
        <v>721</v>
      </c>
      <c r="D460">
        <v>66</v>
      </c>
      <c r="E460">
        <v>3</v>
      </c>
      <c r="F460">
        <v>6</v>
      </c>
      <c r="G460">
        <v>2</v>
      </c>
      <c r="H460">
        <v>200</v>
      </c>
      <c r="I460" t="s">
        <v>617</v>
      </c>
      <c r="J460">
        <v>0.40110000000000001</v>
      </c>
      <c r="K460">
        <v>132.7527</v>
      </c>
      <c r="L460">
        <v>3.2099999999999997E-2</v>
      </c>
      <c r="M460">
        <v>0.99429999999999996</v>
      </c>
      <c r="N460">
        <v>39.1023</v>
      </c>
      <c r="O460">
        <v>89.522300000000001</v>
      </c>
      <c r="P460">
        <v>286.21710000000002</v>
      </c>
      <c r="Q460">
        <v>223.96360000000001</v>
      </c>
      <c r="R460">
        <v>2.7199999999999998E-2</v>
      </c>
      <c r="S460">
        <v>0.50670000000000004</v>
      </c>
      <c r="T460">
        <v>0.2092</v>
      </c>
      <c r="U460">
        <v>2.4E-2</v>
      </c>
      <c r="V460">
        <v>0.4052</v>
      </c>
      <c r="W460">
        <v>12.2705</v>
      </c>
      <c r="X460">
        <v>6.4500000000000002E-2</v>
      </c>
      <c r="Y460">
        <v>5.7799999999999997E-2</v>
      </c>
      <c r="Z460">
        <v>6.4100000000000004E-2</v>
      </c>
      <c r="AA460">
        <v>0.1477</v>
      </c>
      <c r="AB460">
        <v>12.4824</v>
      </c>
      <c r="AC460">
        <v>43.125399999999999</v>
      </c>
      <c r="AD460">
        <v>71.223699999999994</v>
      </c>
      <c r="AE460">
        <v>2.3E-3</v>
      </c>
      <c r="AF460">
        <v>7914.3652000000002</v>
      </c>
      <c r="AG460">
        <v>66.137799999999999</v>
      </c>
      <c r="AH460">
        <v>2.2000000000000001E-3</v>
      </c>
      <c r="AI460">
        <v>89.758099999999999</v>
      </c>
      <c r="AJ460">
        <v>73.2</v>
      </c>
      <c r="AK460">
        <v>82.818200000000004</v>
      </c>
      <c r="AL460">
        <v>1.4017999999999999</v>
      </c>
      <c r="AM460">
        <v>0.05</v>
      </c>
      <c r="AN460">
        <v>0</v>
      </c>
      <c r="AO460">
        <v>90.347300000000004</v>
      </c>
      <c r="AP460">
        <v>94.446700000000007</v>
      </c>
      <c r="AQ460">
        <v>93.089600000000004</v>
      </c>
      <c r="AR460">
        <v>90.630600000000001</v>
      </c>
      <c r="AS460">
        <v>85.471599999999995</v>
      </c>
      <c r="AT460">
        <v>84.738100000000003</v>
      </c>
      <c r="AU460">
        <v>79.7971</v>
      </c>
      <c r="AV460">
        <v>7.0689000000000002</v>
      </c>
      <c r="AW460">
        <v>18.249400000000001</v>
      </c>
      <c r="AX460">
        <f t="shared" si="113"/>
        <v>787.0126747600001</v>
      </c>
      <c r="AY460">
        <f t="shared" si="114"/>
        <v>1206.9751673200001</v>
      </c>
      <c r="AZ460">
        <f t="shared" si="115"/>
        <v>223.92926270000001</v>
      </c>
      <c r="BA460">
        <f t="shared" si="123"/>
        <v>0</v>
      </c>
      <c r="BB460">
        <f t="shared" si="124"/>
        <v>0</v>
      </c>
      <c r="BC460">
        <f t="shared" si="125"/>
        <v>18.249400000000001</v>
      </c>
      <c r="BD460">
        <f t="shared" si="126"/>
        <v>0</v>
      </c>
      <c r="BE460">
        <f t="shared" si="127"/>
        <v>0</v>
      </c>
      <c r="BF460">
        <f t="shared" si="128"/>
        <v>0</v>
      </c>
      <c r="BG460">
        <f t="shared" si="116"/>
        <v>6.0918121500000009</v>
      </c>
      <c r="BH460">
        <f t="shared" si="117"/>
        <v>6.0042792</v>
      </c>
      <c r="BI460">
        <f t="shared" si="118"/>
        <v>5.8456736999999999</v>
      </c>
      <c r="BJ460">
        <f t="shared" si="119"/>
        <v>5.5129181999999997</v>
      </c>
      <c r="BK460">
        <f t="shared" si="120"/>
        <v>5.4656074500000003</v>
      </c>
      <c r="BL460">
        <f t="shared" si="121"/>
        <v>5.1469129499999999</v>
      </c>
    </row>
    <row r="461" spans="1:64">
      <c r="A461" t="str">
        <f t="shared" si="122"/>
        <v>25</v>
      </c>
      <c r="B461" t="s">
        <v>605</v>
      </c>
      <c r="C461" t="s">
        <v>722</v>
      </c>
      <c r="D461">
        <v>55</v>
      </c>
      <c r="E461">
        <v>1</v>
      </c>
      <c r="F461">
        <v>6</v>
      </c>
      <c r="G461">
        <v>2</v>
      </c>
      <c r="H461">
        <v>100</v>
      </c>
      <c r="I461" t="s">
        <v>607</v>
      </c>
      <c r="J461">
        <v>0.51980000000000004</v>
      </c>
      <c r="K461">
        <v>124.3449</v>
      </c>
      <c r="L461">
        <v>2.87E-2</v>
      </c>
      <c r="M461">
        <v>0.95140000000000002</v>
      </c>
      <c r="N461">
        <v>28.6632</v>
      </c>
      <c r="O461">
        <v>82.225999999999999</v>
      </c>
      <c r="P461">
        <v>348.49880000000002</v>
      </c>
      <c r="Q461">
        <v>259.57639999999998</v>
      </c>
      <c r="R461">
        <v>0.4728</v>
      </c>
      <c r="S461">
        <v>0.5595</v>
      </c>
      <c r="T461">
        <v>0.30430000000000001</v>
      </c>
      <c r="U461">
        <v>8.0000000000000004E-4</v>
      </c>
      <c r="V461">
        <v>0.57650000000000001</v>
      </c>
      <c r="W461">
        <v>11.291399999999999</v>
      </c>
      <c r="X461">
        <v>346.73759999999999</v>
      </c>
      <c r="Y461">
        <v>300.0684</v>
      </c>
      <c r="Z461">
        <v>306.01769999999999</v>
      </c>
      <c r="AA461">
        <v>1046.4727</v>
      </c>
      <c r="AB461">
        <v>30.653400000000001</v>
      </c>
      <c r="AC461">
        <v>56.3551</v>
      </c>
      <c r="AD461">
        <v>42.3172</v>
      </c>
      <c r="AE461">
        <v>6.8120000000000003</v>
      </c>
      <c r="AF461">
        <v>9319.6543999999994</v>
      </c>
      <c r="AG461">
        <v>56.696399999999997</v>
      </c>
      <c r="AH461">
        <v>4.3208000000000002</v>
      </c>
      <c r="AI461">
        <v>88.381399999999999</v>
      </c>
      <c r="AJ461">
        <v>73.2</v>
      </c>
      <c r="AK461">
        <v>79.957499999999996</v>
      </c>
      <c r="AL461">
        <v>1.6459999999999999</v>
      </c>
      <c r="AM461">
        <v>0.05</v>
      </c>
      <c r="AN461">
        <v>1.7600000000000001E-2</v>
      </c>
      <c r="AO461">
        <v>87.757999999999996</v>
      </c>
      <c r="AP461">
        <v>91.174899999999994</v>
      </c>
      <c r="AQ461">
        <v>90.057100000000005</v>
      </c>
      <c r="AR461">
        <v>88.221500000000006</v>
      </c>
      <c r="AS461">
        <v>83.847200000000001</v>
      </c>
      <c r="AT461">
        <v>83.081500000000005</v>
      </c>
      <c r="AU461">
        <v>79.382099999999994</v>
      </c>
      <c r="AV461">
        <v>24937.875800000002</v>
      </c>
      <c r="AW461">
        <v>63472.1852</v>
      </c>
      <c r="AX461">
        <f t="shared" si="113"/>
        <v>3576981.34416452</v>
      </c>
      <c r="AY461">
        <f t="shared" si="114"/>
        <v>3598644.40097328</v>
      </c>
      <c r="AZ461">
        <f t="shared" si="115"/>
        <v>716689.83196728001</v>
      </c>
      <c r="BA461">
        <f t="shared" si="123"/>
        <v>63472.1852</v>
      </c>
      <c r="BB461">
        <f t="shared" si="124"/>
        <v>0</v>
      </c>
      <c r="BC461">
        <f t="shared" si="125"/>
        <v>0</v>
      </c>
      <c r="BD461">
        <f t="shared" si="126"/>
        <v>0</v>
      </c>
      <c r="BE461">
        <f t="shared" si="127"/>
        <v>0</v>
      </c>
      <c r="BF461">
        <f t="shared" si="128"/>
        <v>0</v>
      </c>
      <c r="BG461">
        <f t="shared" si="116"/>
        <v>31613.766006239995</v>
      </c>
      <c r="BH461">
        <f t="shared" si="117"/>
        <v>31226.18271696</v>
      </c>
      <c r="BI461">
        <f t="shared" si="118"/>
        <v>30589.711178400001</v>
      </c>
      <c r="BJ461">
        <f t="shared" si="119"/>
        <v>29072.976894719999</v>
      </c>
      <c r="BK461">
        <f t="shared" si="120"/>
        <v>28807.479914399999</v>
      </c>
      <c r="BL461">
        <f t="shared" si="121"/>
        <v>27524.758836959998</v>
      </c>
    </row>
    <row r="462" spans="1:64">
      <c r="A462" t="str">
        <f t="shared" si="122"/>
        <v>25</v>
      </c>
      <c r="B462" t="s">
        <v>605</v>
      </c>
      <c r="C462" t="s">
        <v>722</v>
      </c>
      <c r="D462">
        <v>55</v>
      </c>
      <c r="E462">
        <v>1</v>
      </c>
      <c r="F462">
        <v>6</v>
      </c>
      <c r="G462">
        <v>2</v>
      </c>
      <c r="H462">
        <v>200</v>
      </c>
      <c r="I462" t="s">
        <v>607</v>
      </c>
      <c r="J462">
        <v>0.5806</v>
      </c>
      <c r="K462">
        <v>81.693700000000007</v>
      </c>
      <c r="L462">
        <v>3.0800000000000001E-2</v>
      </c>
      <c r="M462">
        <v>1.0467</v>
      </c>
      <c r="N462">
        <v>29.308399999999999</v>
      </c>
      <c r="O462">
        <v>84.746099999999998</v>
      </c>
      <c r="P462">
        <v>411.16770000000002</v>
      </c>
      <c r="Q462">
        <v>261.27190000000002</v>
      </c>
      <c r="R462">
        <v>0.49359999999999998</v>
      </c>
      <c r="S462">
        <v>0.60119999999999996</v>
      </c>
      <c r="T462">
        <v>0.34100000000000003</v>
      </c>
      <c r="U462">
        <v>8.9999999999999998E-4</v>
      </c>
      <c r="V462">
        <v>0.63260000000000005</v>
      </c>
      <c r="W462">
        <v>11.0946</v>
      </c>
      <c r="X462">
        <v>131.46270000000001</v>
      </c>
      <c r="Y462">
        <v>114.0025</v>
      </c>
      <c r="Z462">
        <v>115.2265</v>
      </c>
      <c r="AA462">
        <v>388.86059999999998</v>
      </c>
      <c r="AB462">
        <v>14.058199999999999</v>
      </c>
      <c r="AC462">
        <v>57.801699999999997</v>
      </c>
      <c r="AD462">
        <v>39.183900000000001</v>
      </c>
      <c r="AE462">
        <v>2.3012999999999999</v>
      </c>
      <c r="AF462">
        <v>9448.3433000000005</v>
      </c>
      <c r="AG462">
        <v>56.488399999999999</v>
      </c>
      <c r="AH462">
        <v>1.3694</v>
      </c>
      <c r="AI462">
        <v>88.195499999999996</v>
      </c>
      <c r="AJ462">
        <v>73.2</v>
      </c>
      <c r="AK462">
        <v>79.574700000000007</v>
      </c>
      <c r="AL462">
        <v>1.6696</v>
      </c>
      <c r="AM462">
        <v>0.05</v>
      </c>
      <c r="AN462">
        <v>9.5999999999999992E-3</v>
      </c>
      <c r="AO462">
        <v>87.416499999999999</v>
      </c>
      <c r="AP462">
        <v>90.877200000000002</v>
      </c>
      <c r="AQ462">
        <v>89.689300000000003</v>
      </c>
      <c r="AR462">
        <v>87.747799999999998</v>
      </c>
      <c r="AS462">
        <v>82.810400000000001</v>
      </c>
      <c r="AT462">
        <v>82.005899999999997</v>
      </c>
      <c r="AU462">
        <v>78.162700000000001</v>
      </c>
      <c r="AV462">
        <v>8578.3065000000006</v>
      </c>
      <c r="AW462">
        <v>21742.109499999999</v>
      </c>
      <c r="AX462">
        <f t="shared" si="113"/>
        <v>1256730.8906861499</v>
      </c>
      <c r="AY462">
        <f t="shared" si="114"/>
        <v>1228176.9782797999</v>
      </c>
      <c r="AZ462">
        <f t="shared" si="115"/>
        <v>241220.00805869998</v>
      </c>
      <c r="BA462">
        <f t="shared" si="123"/>
        <v>21742.109499999999</v>
      </c>
      <c r="BB462">
        <f t="shared" si="124"/>
        <v>0</v>
      </c>
      <c r="BC462">
        <f t="shared" si="125"/>
        <v>0</v>
      </c>
      <c r="BD462">
        <f t="shared" si="126"/>
        <v>0</v>
      </c>
      <c r="BE462">
        <f t="shared" si="127"/>
        <v>0</v>
      </c>
      <c r="BF462">
        <f t="shared" si="128"/>
        <v>0</v>
      </c>
      <c r="BG462">
        <f t="shared" si="116"/>
        <v>11946.962080440002</v>
      </c>
      <c r="BH462">
        <f t="shared" si="117"/>
        <v>11790.797539110001</v>
      </c>
      <c r="BI462">
        <f t="shared" si="118"/>
        <v>11535.56270706</v>
      </c>
      <c r="BJ462">
        <f t="shared" si="119"/>
        <v>10886.478772080001</v>
      </c>
      <c r="BK462">
        <f t="shared" si="120"/>
        <v>10780.717029930001</v>
      </c>
      <c r="BL462">
        <f t="shared" si="121"/>
        <v>10275.479581290001</v>
      </c>
    </row>
    <row r="463" spans="1:64">
      <c r="A463" t="str">
        <f t="shared" si="122"/>
        <v>26</v>
      </c>
      <c r="B463" t="s">
        <v>605</v>
      </c>
      <c r="C463" t="s">
        <v>723</v>
      </c>
      <c r="D463">
        <v>55</v>
      </c>
      <c r="E463">
        <v>1</v>
      </c>
      <c r="F463">
        <v>6</v>
      </c>
      <c r="G463">
        <v>2</v>
      </c>
      <c r="H463">
        <v>100</v>
      </c>
      <c r="I463" t="s">
        <v>607</v>
      </c>
      <c r="J463">
        <v>0.56840000000000002</v>
      </c>
      <c r="K463">
        <v>79.626400000000004</v>
      </c>
      <c r="L463">
        <v>2.75E-2</v>
      </c>
      <c r="M463">
        <v>0.99080000000000001</v>
      </c>
      <c r="N463">
        <v>28.664899999999999</v>
      </c>
      <c r="O463">
        <v>71.124300000000005</v>
      </c>
      <c r="P463">
        <v>338.94060000000002</v>
      </c>
      <c r="Q463">
        <v>259.76670000000001</v>
      </c>
      <c r="R463">
        <v>0.50370000000000004</v>
      </c>
      <c r="S463">
        <v>0.60489999999999999</v>
      </c>
      <c r="T463">
        <v>0.3231</v>
      </c>
      <c r="U463" t="s">
        <v>724</v>
      </c>
      <c r="V463">
        <v>0.61619999999999997</v>
      </c>
      <c r="W463">
        <v>11.401</v>
      </c>
      <c r="X463">
        <v>70.254599999999996</v>
      </c>
      <c r="Y463">
        <v>59.4773</v>
      </c>
      <c r="Z463">
        <v>60.570999999999998</v>
      </c>
      <c r="AA463">
        <v>207.4194</v>
      </c>
      <c r="AB463">
        <v>46.826799999999999</v>
      </c>
      <c r="AC463">
        <v>55.656300000000002</v>
      </c>
      <c r="AD463">
        <v>44.386099999999999</v>
      </c>
      <c r="AE463">
        <v>1.2912999999999999</v>
      </c>
      <c r="AF463">
        <v>9307.2265000000007</v>
      </c>
      <c r="AG463">
        <v>54.616</v>
      </c>
      <c r="AH463">
        <v>0.83399999999999996</v>
      </c>
      <c r="AI463">
        <v>88.449299999999994</v>
      </c>
      <c r="AJ463">
        <v>73.2</v>
      </c>
      <c r="AK463">
        <v>80.096000000000004</v>
      </c>
      <c r="AL463">
        <v>1.6149</v>
      </c>
      <c r="AM463">
        <v>0.05</v>
      </c>
      <c r="AN463">
        <v>2.7400000000000001E-2</v>
      </c>
      <c r="AO463">
        <v>86.834500000000006</v>
      </c>
      <c r="AP463">
        <v>88.889600000000002</v>
      </c>
      <c r="AQ463">
        <v>87.728300000000004</v>
      </c>
      <c r="AR463">
        <v>86.034999999999997</v>
      </c>
      <c r="AS463">
        <v>81.734099999999998</v>
      </c>
      <c r="AT463">
        <v>80.808599999999998</v>
      </c>
      <c r="AU463">
        <v>77.360500000000002</v>
      </c>
      <c r="AV463">
        <v>4705.6377000000002</v>
      </c>
      <c r="AW463">
        <v>12015.991900000001</v>
      </c>
      <c r="AX463">
        <f t="shared" si="113"/>
        <v>668765.6499839701</v>
      </c>
      <c r="AY463">
        <f t="shared" si="114"/>
        <v>656265.41361040005</v>
      </c>
      <c r="AZ463">
        <f t="shared" si="115"/>
        <v>136994.32365190002</v>
      </c>
      <c r="BA463">
        <f t="shared" si="123"/>
        <v>12015.991900000001</v>
      </c>
      <c r="BB463">
        <f t="shared" si="124"/>
        <v>0</v>
      </c>
      <c r="BC463">
        <f t="shared" si="125"/>
        <v>0</v>
      </c>
      <c r="BD463">
        <f t="shared" si="126"/>
        <v>0</v>
      </c>
      <c r="BE463">
        <f t="shared" si="127"/>
        <v>0</v>
      </c>
      <c r="BF463">
        <f t="shared" si="128"/>
        <v>0</v>
      </c>
      <c r="BG463">
        <f t="shared" si="116"/>
        <v>6244.9032921600001</v>
      </c>
      <c r="BH463">
        <f t="shared" si="117"/>
        <v>6163.3166251800003</v>
      </c>
      <c r="BI463">
        <f t="shared" si="118"/>
        <v>6044.3545109999995</v>
      </c>
      <c r="BJ463">
        <f t="shared" si="119"/>
        <v>5742.1965018599994</v>
      </c>
      <c r="BK463">
        <f t="shared" si="120"/>
        <v>5677.1758695599992</v>
      </c>
      <c r="BL463">
        <f t="shared" si="121"/>
        <v>5434.9309832999998</v>
      </c>
    </row>
    <row r="464" spans="1:64">
      <c r="A464" t="str">
        <f t="shared" si="122"/>
        <v>26</v>
      </c>
      <c r="B464" t="s">
        <v>605</v>
      </c>
      <c r="C464" t="s">
        <v>723</v>
      </c>
      <c r="D464">
        <v>55</v>
      </c>
      <c r="E464">
        <v>1</v>
      </c>
      <c r="F464">
        <v>6</v>
      </c>
      <c r="G464">
        <v>2</v>
      </c>
      <c r="H464">
        <v>200</v>
      </c>
      <c r="I464" t="s">
        <v>607</v>
      </c>
      <c r="J464">
        <v>0.63890000000000002</v>
      </c>
      <c r="K464">
        <v>61.046100000000003</v>
      </c>
      <c r="L464">
        <v>2.5899999999999999E-2</v>
      </c>
      <c r="M464">
        <v>0.88529999999999998</v>
      </c>
      <c r="N464">
        <v>29.707100000000001</v>
      </c>
      <c r="O464">
        <v>75.188900000000004</v>
      </c>
      <c r="P464">
        <v>528.67970000000003</v>
      </c>
      <c r="Q464">
        <v>260.8818</v>
      </c>
      <c r="R464">
        <v>0.51270000000000004</v>
      </c>
      <c r="S464">
        <v>0.57799999999999996</v>
      </c>
      <c r="T464">
        <v>0.3725</v>
      </c>
      <c r="U464">
        <v>2.9999999999999997E-4</v>
      </c>
      <c r="V464">
        <v>0.70440000000000003</v>
      </c>
      <c r="W464">
        <v>11.5092</v>
      </c>
      <c r="X464">
        <v>498.3356</v>
      </c>
      <c r="Y464">
        <v>426.04360000000003</v>
      </c>
      <c r="Z464">
        <v>425.96230000000003</v>
      </c>
      <c r="AA464">
        <v>1432.125</v>
      </c>
      <c r="AB464">
        <v>31.8307</v>
      </c>
      <c r="AC464">
        <v>54.748600000000003</v>
      </c>
      <c r="AD464">
        <v>46.785200000000003</v>
      </c>
      <c r="AE464">
        <v>7.8103999999999996</v>
      </c>
      <c r="AF464">
        <v>9376.5589999999993</v>
      </c>
      <c r="AG464">
        <v>49.520299999999999</v>
      </c>
      <c r="AH464">
        <v>3.895</v>
      </c>
      <c r="AI464">
        <v>87.719399999999993</v>
      </c>
      <c r="AJ464">
        <v>73.2</v>
      </c>
      <c r="AK464">
        <v>78.603399999999993</v>
      </c>
      <c r="AL464">
        <v>1.6017999999999999</v>
      </c>
      <c r="AM464">
        <v>0.05</v>
      </c>
      <c r="AN464">
        <v>2.3599999999999999E-2</v>
      </c>
      <c r="AO464">
        <v>84.461100000000002</v>
      </c>
      <c r="AP464">
        <v>90.576899999999995</v>
      </c>
      <c r="AQ464">
        <v>89.305499999999995</v>
      </c>
      <c r="AR464">
        <v>87.524299999999997</v>
      </c>
      <c r="AS464">
        <v>82.7059</v>
      </c>
      <c r="AT464">
        <v>81.810199999999995</v>
      </c>
      <c r="AU464">
        <v>78.127200000000002</v>
      </c>
      <c r="AV464">
        <v>28881.230500000001</v>
      </c>
      <c r="AW464">
        <v>73227.5052</v>
      </c>
      <c r="AX464">
        <f t="shared" si="113"/>
        <v>4009103.3911927203</v>
      </c>
      <c r="AY464">
        <f t="shared" si="114"/>
        <v>3626248.02575556</v>
      </c>
      <c r="AZ464">
        <f t="shared" si="115"/>
        <v>842790.00284783996</v>
      </c>
      <c r="BA464">
        <f t="shared" si="123"/>
        <v>73227.5052</v>
      </c>
      <c r="BB464">
        <f t="shared" si="124"/>
        <v>0</v>
      </c>
      <c r="BC464">
        <f t="shared" si="125"/>
        <v>0</v>
      </c>
      <c r="BD464">
        <f t="shared" si="126"/>
        <v>0</v>
      </c>
      <c r="BE464">
        <f t="shared" si="127"/>
        <v>0</v>
      </c>
      <c r="BF464">
        <f t="shared" si="128"/>
        <v>0</v>
      </c>
      <c r="BG464">
        <f t="shared" si="116"/>
        <v>45137.693807639997</v>
      </c>
      <c r="BH464">
        <f t="shared" si="117"/>
        <v>44504.109925799996</v>
      </c>
      <c r="BI464">
        <f t="shared" si="118"/>
        <v>43616.47455508</v>
      </c>
      <c r="BJ464">
        <f t="shared" si="119"/>
        <v>41215.294300039997</v>
      </c>
      <c r="BK464">
        <f t="shared" si="120"/>
        <v>40768.935103119999</v>
      </c>
      <c r="BL464">
        <f t="shared" si="121"/>
        <v>38933.56508832</v>
      </c>
    </row>
    <row r="465" spans="1:64">
      <c r="A465" t="str">
        <f t="shared" si="122"/>
        <v>27</v>
      </c>
      <c r="B465" t="s">
        <v>605</v>
      </c>
      <c r="C465" t="s">
        <v>725</v>
      </c>
      <c r="D465">
        <v>55</v>
      </c>
      <c r="E465">
        <v>1</v>
      </c>
      <c r="F465">
        <v>6</v>
      </c>
      <c r="G465">
        <v>2</v>
      </c>
      <c r="H465">
        <v>200</v>
      </c>
      <c r="I465" t="s">
        <v>607</v>
      </c>
      <c r="J465">
        <v>0.64539999999999997</v>
      </c>
      <c r="K465">
        <v>50.564</v>
      </c>
      <c r="L465">
        <v>2.2499999999999999E-2</v>
      </c>
      <c r="M465">
        <v>0.81330000000000002</v>
      </c>
      <c r="N465">
        <v>30.845400000000001</v>
      </c>
      <c r="O465">
        <v>76.493899999999996</v>
      </c>
      <c r="P465">
        <v>650.06449999999995</v>
      </c>
      <c r="Q465">
        <v>255.7295</v>
      </c>
      <c r="R465">
        <v>0.53390000000000004</v>
      </c>
      <c r="S465">
        <v>0.53590000000000004</v>
      </c>
      <c r="T465">
        <v>0.43740000000000001</v>
      </c>
      <c r="U465">
        <v>2.0000000000000001E-4</v>
      </c>
      <c r="V465">
        <v>0.67259999999999998</v>
      </c>
      <c r="W465">
        <v>11.6073</v>
      </c>
      <c r="X465">
        <v>592.22260000000006</v>
      </c>
      <c r="Y465">
        <v>510.67270000000002</v>
      </c>
      <c r="Z465">
        <v>505.8399</v>
      </c>
      <c r="AA465">
        <v>1660.8630000000001</v>
      </c>
      <c r="AB465">
        <v>30.292100000000001</v>
      </c>
      <c r="AC465">
        <v>52.982500000000002</v>
      </c>
      <c r="AD465">
        <v>49.0242</v>
      </c>
      <c r="AE465">
        <v>9.8567999999999998</v>
      </c>
      <c r="AF465">
        <v>9170.0311000000002</v>
      </c>
      <c r="AG465">
        <v>51.004300000000001</v>
      </c>
      <c r="AH465">
        <v>3.4249999999999998</v>
      </c>
      <c r="AI465">
        <v>86.962800000000001</v>
      </c>
      <c r="AJ465">
        <v>73.2</v>
      </c>
      <c r="AK465">
        <v>77.061199999999999</v>
      </c>
      <c r="AL465">
        <v>1.5784</v>
      </c>
      <c r="AM465">
        <v>0.05</v>
      </c>
      <c r="AN465">
        <v>2.4500000000000001E-2</v>
      </c>
      <c r="AO465">
        <v>85.5381</v>
      </c>
      <c r="AP465">
        <v>91.307900000000004</v>
      </c>
      <c r="AQ465">
        <v>89.987200000000001</v>
      </c>
      <c r="AR465">
        <v>88.220299999999995</v>
      </c>
      <c r="AS465">
        <v>83.293599999999998</v>
      </c>
      <c r="AT465">
        <v>82.376300000000001</v>
      </c>
      <c r="AU465">
        <v>78.715100000000007</v>
      </c>
      <c r="AV465">
        <v>35564.793299999998</v>
      </c>
      <c r="AW465">
        <v>90318.992899999997</v>
      </c>
      <c r="AX465">
        <f t="shared" ref="AX465:AX472" si="129">+AC465*AW465</f>
        <v>4785326.0413242504</v>
      </c>
      <c r="AY465">
        <f t="shared" ref="AY465:AY472" si="130">+AG465*AW465</f>
        <v>4606657.0095694698</v>
      </c>
      <c r="AZ465">
        <f t="shared" ref="AZ465:AZ472" si="131">+W465*AW465</f>
        <v>1048359.64628817</v>
      </c>
      <c r="BA465">
        <f t="shared" si="123"/>
        <v>90318.992899999997</v>
      </c>
      <c r="BB465">
        <f t="shared" si="124"/>
        <v>0</v>
      </c>
      <c r="BC465">
        <f t="shared" si="125"/>
        <v>0</v>
      </c>
      <c r="BD465">
        <f t="shared" si="126"/>
        <v>0</v>
      </c>
      <c r="BE465">
        <f t="shared" si="127"/>
        <v>0</v>
      </c>
      <c r="BF465">
        <f t="shared" si="128"/>
        <v>0</v>
      </c>
      <c r="BG465">
        <f t="shared" ref="BG465:BG472" si="132">+$X465*AP465</f>
        <v>54074.601938540007</v>
      </c>
      <c r="BH465">
        <f t="shared" ref="BH465:BH472" si="133">+$X465*AQ465</f>
        <v>53292.453550720005</v>
      </c>
      <c r="BI465">
        <f t="shared" ref="BI465:BI472" si="134">+$X465*AR465</f>
        <v>52246.05543878</v>
      </c>
      <c r="BJ465">
        <f t="shared" ref="BJ465:BJ472" si="135">+$X465*AS465</f>
        <v>49328.352355360003</v>
      </c>
      <c r="BK465">
        <f t="shared" ref="BK465:BK472" si="136">+$X465*AT465</f>
        <v>48785.106564380003</v>
      </c>
      <c r="BL465">
        <f t="shared" ref="BL465:BL472" si="137">+$X465*AU465</f>
        <v>46616.861181260007</v>
      </c>
    </row>
    <row r="466" spans="1:64">
      <c r="A466" t="str">
        <f t="shared" si="122"/>
        <v>28</v>
      </c>
      <c r="B466" t="s">
        <v>605</v>
      </c>
      <c r="C466" t="s">
        <v>726</v>
      </c>
      <c r="D466">
        <v>55</v>
      </c>
      <c r="E466">
        <v>1</v>
      </c>
      <c r="F466">
        <v>6</v>
      </c>
      <c r="G466">
        <v>2</v>
      </c>
      <c r="H466">
        <v>100</v>
      </c>
      <c r="I466" t="s">
        <v>607</v>
      </c>
      <c r="J466">
        <v>0.5988</v>
      </c>
      <c r="K466">
        <v>53.115900000000003</v>
      </c>
      <c r="L466">
        <v>1.8800000000000001E-2</v>
      </c>
      <c r="M466">
        <v>0.70050000000000001</v>
      </c>
      <c r="N466">
        <v>36.7575</v>
      </c>
      <c r="O466">
        <v>89.200800000000001</v>
      </c>
      <c r="P466">
        <v>950.04129999999998</v>
      </c>
      <c r="Q466">
        <v>244.04239999999999</v>
      </c>
      <c r="R466">
        <v>0.45879999999999999</v>
      </c>
      <c r="S466">
        <v>0.33989999999999998</v>
      </c>
      <c r="T466">
        <v>0.64729999999999999</v>
      </c>
      <c r="U466">
        <v>1.2999999999999999E-3</v>
      </c>
      <c r="V466">
        <v>0.63280000000000003</v>
      </c>
      <c r="W466">
        <v>11.270200000000001</v>
      </c>
      <c r="X466">
        <v>104.081</v>
      </c>
      <c r="Y466">
        <v>92.870900000000006</v>
      </c>
      <c r="Z466">
        <v>92.728499999999997</v>
      </c>
      <c r="AA466">
        <v>252.2226</v>
      </c>
      <c r="AB466">
        <v>18.522400000000001</v>
      </c>
      <c r="AC466">
        <v>50.729799999999997</v>
      </c>
      <c r="AD466">
        <v>54.257899999999999</v>
      </c>
      <c r="AE466">
        <v>1.8955</v>
      </c>
      <c r="AF466">
        <v>8979.8317000000006</v>
      </c>
      <c r="AG466">
        <v>50.5931</v>
      </c>
      <c r="AH466">
        <v>0.81630000000000003</v>
      </c>
      <c r="AI466">
        <v>87.487099999999998</v>
      </c>
      <c r="AJ466">
        <v>73.2</v>
      </c>
      <c r="AK466">
        <v>78.128900000000002</v>
      </c>
      <c r="AL466">
        <v>1.5974999999999999</v>
      </c>
      <c r="AM466">
        <v>0.05</v>
      </c>
      <c r="AN466">
        <v>9.7000000000000003E-3</v>
      </c>
      <c r="AO466">
        <v>85.792299999999997</v>
      </c>
      <c r="AP466">
        <v>93.050700000000006</v>
      </c>
      <c r="AQ466">
        <v>91.990700000000004</v>
      </c>
      <c r="AR466">
        <v>90.661100000000005</v>
      </c>
      <c r="AS466">
        <v>86.1922</v>
      </c>
      <c r="AT466">
        <v>85.2958</v>
      </c>
      <c r="AU466">
        <v>81.844300000000004</v>
      </c>
      <c r="AV466">
        <v>6663.3860000000004</v>
      </c>
      <c r="AW466">
        <v>17002.483400000001</v>
      </c>
      <c r="AX466">
        <f t="shared" si="129"/>
        <v>862532.58238531998</v>
      </c>
      <c r="AY466">
        <f t="shared" si="130"/>
        <v>860208.34290454001</v>
      </c>
      <c r="AZ466">
        <f t="shared" si="131"/>
        <v>191621.38841468003</v>
      </c>
      <c r="BA466">
        <f t="shared" si="123"/>
        <v>17002.483400000001</v>
      </c>
      <c r="BB466">
        <f t="shared" si="124"/>
        <v>0</v>
      </c>
      <c r="BC466">
        <f t="shared" si="125"/>
        <v>0</v>
      </c>
      <c r="BD466">
        <f t="shared" si="126"/>
        <v>0</v>
      </c>
      <c r="BE466">
        <f t="shared" si="127"/>
        <v>0</v>
      </c>
      <c r="BF466">
        <f t="shared" si="128"/>
        <v>0</v>
      </c>
      <c r="BG466">
        <f t="shared" si="132"/>
        <v>9684.8099067000003</v>
      </c>
      <c r="BH466">
        <f t="shared" si="133"/>
        <v>9574.4840467000013</v>
      </c>
      <c r="BI466">
        <f t="shared" si="134"/>
        <v>9436.0979491000016</v>
      </c>
      <c r="BJ466">
        <f t="shared" si="135"/>
        <v>8970.9703681999999</v>
      </c>
      <c r="BK466">
        <f t="shared" si="136"/>
        <v>8877.6721598000004</v>
      </c>
      <c r="BL466">
        <f t="shared" si="137"/>
        <v>8518.4365883000009</v>
      </c>
    </row>
    <row r="467" spans="1:64">
      <c r="A467" t="str">
        <f t="shared" si="122"/>
        <v>28</v>
      </c>
      <c r="B467" t="s">
        <v>605</v>
      </c>
      <c r="C467" t="s">
        <v>726</v>
      </c>
      <c r="D467">
        <v>55</v>
      </c>
      <c r="E467">
        <v>1</v>
      </c>
      <c r="F467">
        <v>6</v>
      </c>
      <c r="G467">
        <v>2</v>
      </c>
      <c r="H467">
        <v>200</v>
      </c>
      <c r="I467" t="s">
        <v>607</v>
      </c>
      <c r="J467">
        <v>0.54820000000000002</v>
      </c>
      <c r="K467">
        <v>57.2806</v>
      </c>
      <c r="L467">
        <v>1.66E-2</v>
      </c>
      <c r="M467">
        <v>0.77969999999999995</v>
      </c>
      <c r="N467">
        <v>32.866399999999999</v>
      </c>
      <c r="O467">
        <v>87.061599999999999</v>
      </c>
      <c r="P467">
        <v>844.48929999999996</v>
      </c>
      <c r="Q467">
        <v>245.09049999999999</v>
      </c>
      <c r="R467">
        <v>0.53890000000000005</v>
      </c>
      <c r="S467">
        <v>0.379</v>
      </c>
      <c r="T467">
        <v>0.53120000000000001</v>
      </c>
      <c r="U467">
        <v>1.1000000000000001E-3</v>
      </c>
      <c r="V467">
        <v>0.5675</v>
      </c>
      <c r="W467">
        <v>11.6525</v>
      </c>
      <c r="X467">
        <v>388.9683</v>
      </c>
      <c r="Y467">
        <v>343.46609999999998</v>
      </c>
      <c r="Z467">
        <v>343.86919999999998</v>
      </c>
      <c r="AA467">
        <v>1046.5888</v>
      </c>
      <c r="AB467">
        <v>23.792200000000001</v>
      </c>
      <c r="AC467">
        <v>50.745800000000003</v>
      </c>
      <c r="AD467">
        <v>52.537500000000001</v>
      </c>
      <c r="AE467">
        <v>8.1310000000000002</v>
      </c>
      <c r="AF467">
        <v>8744.0172999999995</v>
      </c>
      <c r="AG467">
        <v>59.022300000000001</v>
      </c>
      <c r="AH467">
        <v>3.2631000000000001</v>
      </c>
      <c r="AI467">
        <v>87.397199999999998</v>
      </c>
      <c r="AJ467">
        <v>73.2</v>
      </c>
      <c r="AK467">
        <v>77.944699999999997</v>
      </c>
      <c r="AL467">
        <v>1.6561999999999999</v>
      </c>
      <c r="AM467">
        <v>0.05</v>
      </c>
      <c r="AN467">
        <v>1.3899999999999999E-2</v>
      </c>
      <c r="AO467">
        <v>90.014899999999997</v>
      </c>
      <c r="AP467">
        <v>92.070400000000006</v>
      </c>
      <c r="AQ467">
        <v>90.814999999999998</v>
      </c>
      <c r="AR467">
        <v>89.248199999999997</v>
      </c>
      <c r="AS467">
        <v>84.476100000000002</v>
      </c>
      <c r="AT467">
        <v>83.564300000000003</v>
      </c>
      <c r="AU467">
        <v>80.062799999999996</v>
      </c>
      <c r="AV467">
        <v>27968.1728</v>
      </c>
      <c r="AW467">
        <v>71043.419699999999</v>
      </c>
      <c r="AX467">
        <f t="shared" si="129"/>
        <v>3605155.1674122601</v>
      </c>
      <c r="AY467">
        <f t="shared" si="130"/>
        <v>4193146.0305593102</v>
      </c>
      <c r="AZ467">
        <f t="shared" si="131"/>
        <v>827833.44805424998</v>
      </c>
      <c r="BA467">
        <f t="shared" si="123"/>
        <v>71043.419699999999</v>
      </c>
      <c r="BB467">
        <f t="shared" si="124"/>
        <v>0</v>
      </c>
      <c r="BC467">
        <f t="shared" si="125"/>
        <v>0</v>
      </c>
      <c r="BD467">
        <f t="shared" si="126"/>
        <v>0</v>
      </c>
      <c r="BE467">
        <f t="shared" si="127"/>
        <v>0</v>
      </c>
      <c r="BF467">
        <f t="shared" si="128"/>
        <v>0</v>
      </c>
      <c r="BG467">
        <f t="shared" si="132"/>
        <v>35812.466968320005</v>
      </c>
      <c r="BH467">
        <f t="shared" si="133"/>
        <v>35324.156164499997</v>
      </c>
      <c r="BI467">
        <f t="shared" si="134"/>
        <v>34714.720632060002</v>
      </c>
      <c r="BJ467">
        <f t="shared" si="135"/>
        <v>32858.52500763</v>
      </c>
      <c r="BK467">
        <f t="shared" si="136"/>
        <v>32503.863711690003</v>
      </c>
      <c r="BL467">
        <f t="shared" si="137"/>
        <v>31141.891209239999</v>
      </c>
    </row>
    <row r="468" spans="1:64">
      <c r="A468" t="str">
        <f t="shared" si="122"/>
        <v>29</v>
      </c>
      <c r="B468" t="s">
        <v>605</v>
      </c>
      <c r="C468" t="s">
        <v>727</v>
      </c>
      <c r="D468">
        <v>55</v>
      </c>
      <c r="E468">
        <v>1</v>
      </c>
      <c r="F468">
        <v>6</v>
      </c>
      <c r="G468">
        <v>2</v>
      </c>
      <c r="H468">
        <v>100</v>
      </c>
      <c r="I468" t="s">
        <v>607</v>
      </c>
      <c r="J468">
        <v>0.61770000000000003</v>
      </c>
      <c r="K468">
        <v>54.230499999999999</v>
      </c>
      <c r="L468">
        <v>1.5599999999999999E-2</v>
      </c>
      <c r="M468">
        <v>0.71089999999999998</v>
      </c>
      <c r="N468">
        <v>31.359300000000001</v>
      </c>
      <c r="O468">
        <v>88.4191</v>
      </c>
      <c r="P468">
        <v>955.89269999999999</v>
      </c>
      <c r="Q468">
        <v>243.9562</v>
      </c>
      <c r="R468">
        <v>0.71509999999999996</v>
      </c>
      <c r="S468">
        <v>0.4073</v>
      </c>
      <c r="T468">
        <v>0.54210000000000003</v>
      </c>
      <c r="U468">
        <v>2.8999999999999998E-3</v>
      </c>
      <c r="V468">
        <v>0.62539999999999996</v>
      </c>
      <c r="W468">
        <v>11.718500000000001</v>
      </c>
      <c r="X468">
        <v>466.72449999999998</v>
      </c>
      <c r="Y468">
        <v>415.83069999999998</v>
      </c>
      <c r="Z468">
        <v>414.01479999999998</v>
      </c>
      <c r="AA468">
        <v>1379.8307</v>
      </c>
      <c r="AB468">
        <v>31.793199999999999</v>
      </c>
      <c r="AC468">
        <v>49.590899999999998</v>
      </c>
      <c r="AD468">
        <v>56.437100000000001</v>
      </c>
      <c r="AE468">
        <v>8.8080999999999996</v>
      </c>
      <c r="AF468">
        <v>8747.5146000000004</v>
      </c>
      <c r="AG468">
        <v>55.083500000000001</v>
      </c>
      <c r="AH468">
        <v>3.3454999999999999</v>
      </c>
      <c r="AI468">
        <v>87.288499999999999</v>
      </c>
      <c r="AJ468">
        <v>73.2</v>
      </c>
      <c r="AK468">
        <v>77.722200000000001</v>
      </c>
      <c r="AL468">
        <v>1.6242000000000001</v>
      </c>
      <c r="AM468">
        <v>0.05</v>
      </c>
      <c r="AN468">
        <v>1.41E-2</v>
      </c>
      <c r="AO468">
        <v>88.297799999999995</v>
      </c>
      <c r="AP468">
        <v>92.967500000000001</v>
      </c>
      <c r="AQ468">
        <v>91.948599999999999</v>
      </c>
      <c r="AR468">
        <v>90.594499999999996</v>
      </c>
      <c r="AS468">
        <v>85.993700000000004</v>
      </c>
      <c r="AT468">
        <v>85.089299999999994</v>
      </c>
      <c r="AU468">
        <v>81.586500000000001</v>
      </c>
      <c r="AV468">
        <v>30286.785100000001</v>
      </c>
      <c r="AW468">
        <v>76936.499899999995</v>
      </c>
      <c r="AX468">
        <f t="shared" si="129"/>
        <v>3815350.2728909096</v>
      </c>
      <c r="AY468">
        <f t="shared" si="130"/>
        <v>4237931.6922416501</v>
      </c>
      <c r="AZ468">
        <f t="shared" si="131"/>
        <v>901580.37407815002</v>
      </c>
      <c r="BA468">
        <f t="shared" si="123"/>
        <v>76936.499899999995</v>
      </c>
      <c r="BB468">
        <f t="shared" si="124"/>
        <v>0</v>
      </c>
      <c r="BC468">
        <f t="shared" si="125"/>
        <v>0</v>
      </c>
      <c r="BD468">
        <f t="shared" si="126"/>
        <v>0</v>
      </c>
      <c r="BE468">
        <f t="shared" si="127"/>
        <v>0</v>
      </c>
      <c r="BF468">
        <f t="shared" si="128"/>
        <v>0</v>
      </c>
      <c r="BG468">
        <f t="shared" si="132"/>
        <v>43390.209953749996</v>
      </c>
      <c r="BH468">
        <f t="shared" si="133"/>
        <v>42914.664360700001</v>
      </c>
      <c r="BI468">
        <f t="shared" si="134"/>
        <v>42282.672715249995</v>
      </c>
      <c r="BJ468">
        <f t="shared" si="135"/>
        <v>40135.366635650003</v>
      </c>
      <c r="BK468">
        <f t="shared" si="136"/>
        <v>39713.260997849997</v>
      </c>
      <c r="BL468">
        <f t="shared" si="137"/>
        <v>38078.418419249996</v>
      </c>
    </row>
    <row r="469" spans="1:64">
      <c r="A469" t="str">
        <f t="shared" si="122"/>
        <v>29</v>
      </c>
      <c r="B469" t="s">
        <v>605</v>
      </c>
      <c r="C469" t="s">
        <v>727</v>
      </c>
      <c r="D469">
        <v>55</v>
      </c>
      <c r="E469">
        <v>1</v>
      </c>
      <c r="F469">
        <v>6</v>
      </c>
      <c r="G469">
        <v>2</v>
      </c>
      <c r="H469">
        <v>200</v>
      </c>
      <c r="I469" t="s">
        <v>607</v>
      </c>
      <c r="J469">
        <v>0.47660000000000002</v>
      </c>
      <c r="K469">
        <v>58.085900000000002</v>
      </c>
      <c r="L469">
        <v>1.24E-2</v>
      </c>
      <c r="M469">
        <v>0.82920000000000005</v>
      </c>
      <c r="N469">
        <v>33.457799999999999</v>
      </c>
      <c r="O469">
        <v>88.983999999999995</v>
      </c>
      <c r="P469">
        <v>973.28009999999995</v>
      </c>
      <c r="Q469">
        <v>241.06899999999999</v>
      </c>
      <c r="R469">
        <v>0.5494</v>
      </c>
      <c r="S469">
        <v>0.316</v>
      </c>
      <c r="T469">
        <v>0.56530000000000002</v>
      </c>
      <c r="U469">
        <v>3.0000000000000001E-3</v>
      </c>
      <c r="V469">
        <v>0.52039999999999997</v>
      </c>
      <c r="W469">
        <v>11.9354</v>
      </c>
      <c r="X469">
        <v>55.207999999999998</v>
      </c>
      <c r="Y469">
        <v>49.1267</v>
      </c>
      <c r="Z469">
        <v>49.5396</v>
      </c>
      <c r="AA469">
        <v>147.03749999999999</v>
      </c>
      <c r="AB469">
        <v>22.751000000000001</v>
      </c>
      <c r="AC469">
        <v>49.191099999999999</v>
      </c>
      <c r="AD469">
        <v>52.564799999999998</v>
      </c>
      <c r="AE469">
        <v>1.3085</v>
      </c>
      <c r="AF469">
        <v>8462.7170000000006</v>
      </c>
      <c r="AG469">
        <v>63.915799999999997</v>
      </c>
      <c r="AH469">
        <v>0.56000000000000005</v>
      </c>
      <c r="AI469">
        <v>87.6875</v>
      </c>
      <c r="AJ469">
        <v>73.2</v>
      </c>
      <c r="AK469">
        <v>78.532700000000006</v>
      </c>
      <c r="AL469">
        <v>1.6880999999999999</v>
      </c>
      <c r="AM469">
        <v>0.05</v>
      </c>
      <c r="AN469">
        <v>1.26E-2</v>
      </c>
      <c r="AO469">
        <v>92.815100000000001</v>
      </c>
      <c r="AP469">
        <v>91.9114</v>
      </c>
      <c r="AQ469">
        <v>90.914400000000001</v>
      </c>
      <c r="AR469">
        <v>89.817599999999999</v>
      </c>
      <c r="AS469">
        <v>85.439099999999996</v>
      </c>
      <c r="AT469">
        <v>84.612300000000005</v>
      </c>
      <c r="AU469">
        <v>81.290899999999993</v>
      </c>
      <c r="AV469">
        <v>4362.7082</v>
      </c>
      <c r="AW469">
        <v>11073.047500000001</v>
      </c>
      <c r="AX469">
        <f t="shared" si="129"/>
        <v>544695.38687725004</v>
      </c>
      <c r="AY469">
        <f t="shared" si="130"/>
        <v>707742.68940050004</v>
      </c>
      <c r="AZ469">
        <f t="shared" si="131"/>
        <v>132161.2511315</v>
      </c>
      <c r="BA469">
        <f t="shared" si="123"/>
        <v>11073.047500000001</v>
      </c>
      <c r="BB469">
        <f t="shared" si="124"/>
        <v>0</v>
      </c>
      <c r="BC469">
        <f t="shared" si="125"/>
        <v>0</v>
      </c>
      <c r="BD469">
        <f t="shared" si="126"/>
        <v>0</v>
      </c>
      <c r="BE469">
        <f t="shared" si="127"/>
        <v>0</v>
      </c>
      <c r="BF469">
        <f t="shared" si="128"/>
        <v>0</v>
      </c>
      <c r="BG469">
        <f t="shared" si="132"/>
        <v>5074.2445711999999</v>
      </c>
      <c r="BH469">
        <f t="shared" si="133"/>
        <v>5019.2021951999996</v>
      </c>
      <c r="BI469">
        <f t="shared" si="134"/>
        <v>4958.6500607999997</v>
      </c>
      <c r="BJ469">
        <f t="shared" si="135"/>
        <v>4716.9218327999997</v>
      </c>
      <c r="BK469">
        <f t="shared" si="136"/>
        <v>4671.2758584000003</v>
      </c>
      <c r="BL469">
        <f t="shared" si="137"/>
        <v>4487.9080071999997</v>
      </c>
    </row>
    <row r="470" spans="1:64">
      <c r="A470" t="str">
        <f t="shared" si="122"/>
        <v>30</v>
      </c>
      <c r="B470" t="s">
        <v>605</v>
      </c>
      <c r="C470" t="s">
        <v>728</v>
      </c>
      <c r="D470">
        <v>55</v>
      </c>
      <c r="E470">
        <v>1</v>
      </c>
      <c r="F470">
        <v>6</v>
      </c>
      <c r="G470">
        <v>2</v>
      </c>
      <c r="H470">
        <v>100</v>
      </c>
      <c r="I470" t="s">
        <v>607</v>
      </c>
      <c r="J470">
        <v>0.66100000000000003</v>
      </c>
      <c r="K470">
        <v>53.578400000000002</v>
      </c>
      <c r="L470">
        <v>1.32E-2</v>
      </c>
      <c r="M470">
        <v>0.69279999999999997</v>
      </c>
      <c r="N470">
        <v>26.964500000000001</v>
      </c>
      <c r="O470">
        <v>86.092200000000005</v>
      </c>
      <c r="P470">
        <v>941.76130000000001</v>
      </c>
      <c r="Q470">
        <v>250.56460000000001</v>
      </c>
      <c r="R470">
        <v>0.96460000000000001</v>
      </c>
      <c r="S470">
        <v>0.48039999999999999</v>
      </c>
      <c r="T470">
        <v>0.48159999999999997</v>
      </c>
      <c r="U470">
        <v>4.7999999999999996E-3</v>
      </c>
      <c r="V470">
        <v>0.67369999999999997</v>
      </c>
      <c r="W470">
        <v>12.100199999999999</v>
      </c>
      <c r="X470">
        <v>574.44629999999995</v>
      </c>
      <c r="Y470">
        <v>506.2602</v>
      </c>
      <c r="Z470">
        <v>501.94979999999998</v>
      </c>
      <c r="AA470">
        <v>1949.9926</v>
      </c>
      <c r="AB470">
        <v>28.6783</v>
      </c>
      <c r="AC470">
        <v>49.491399999999999</v>
      </c>
      <c r="AD470">
        <v>59.0105</v>
      </c>
      <c r="AE470">
        <v>9.9125999999999994</v>
      </c>
      <c r="AF470">
        <v>8844.6155999999992</v>
      </c>
      <c r="AG470">
        <v>51.273499999999999</v>
      </c>
      <c r="AH470">
        <v>3.5215999999999998</v>
      </c>
      <c r="AI470">
        <v>87.086699999999993</v>
      </c>
      <c r="AJ470">
        <v>73.2</v>
      </c>
      <c r="AK470">
        <v>77.313500000000005</v>
      </c>
      <c r="AL470">
        <v>1.631</v>
      </c>
      <c r="AM470">
        <v>0.05</v>
      </c>
      <c r="AN470">
        <v>1.6199999999999999E-2</v>
      </c>
      <c r="AO470">
        <v>86.410799999999995</v>
      </c>
      <c r="AP470">
        <v>93.162400000000005</v>
      </c>
      <c r="AQ470">
        <v>91.912700000000001</v>
      </c>
      <c r="AR470">
        <v>89.933599999999998</v>
      </c>
      <c r="AS470">
        <v>84.757000000000005</v>
      </c>
      <c r="AT470">
        <v>83.775999999999996</v>
      </c>
      <c r="AU470">
        <v>80.213499999999996</v>
      </c>
      <c r="AV470">
        <v>34355.6895</v>
      </c>
      <c r="AW470">
        <v>87547.038799999995</v>
      </c>
      <c r="AX470">
        <f t="shared" si="129"/>
        <v>4332825.5160663193</v>
      </c>
      <c r="AY470">
        <f t="shared" si="130"/>
        <v>4488843.0939117996</v>
      </c>
      <c r="AZ470">
        <f t="shared" si="131"/>
        <v>1059336.6788877598</v>
      </c>
      <c r="BA470">
        <f t="shared" si="123"/>
        <v>87547.038799999995</v>
      </c>
      <c r="BB470">
        <f t="shared" si="124"/>
        <v>0</v>
      </c>
      <c r="BC470">
        <f t="shared" si="125"/>
        <v>0</v>
      </c>
      <c r="BD470">
        <f t="shared" si="126"/>
        <v>0</v>
      </c>
      <c r="BE470">
        <f t="shared" si="127"/>
        <v>0</v>
      </c>
      <c r="BF470">
        <f t="shared" si="128"/>
        <v>0</v>
      </c>
      <c r="BG470">
        <f t="shared" si="132"/>
        <v>53516.795979119997</v>
      </c>
      <c r="BH470">
        <f t="shared" si="133"/>
        <v>52798.910438009996</v>
      </c>
      <c r="BI470">
        <f t="shared" si="134"/>
        <v>51662.023765679995</v>
      </c>
      <c r="BJ470">
        <f t="shared" si="135"/>
        <v>48688.345049099997</v>
      </c>
      <c r="BK470">
        <f t="shared" si="136"/>
        <v>48124.813228799991</v>
      </c>
      <c r="BL470">
        <f t="shared" si="137"/>
        <v>46078.348285049993</v>
      </c>
    </row>
    <row r="471" spans="1:64">
      <c r="A471" t="str">
        <f t="shared" si="122"/>
        <v>31</v>
      </c>
      <c r="B471" t="s">
        <v>605</v>
      </c>
      <c r="C471" t="s">
        <v>729</v>
      </c>
      <c r="D471">
        <v>55</v>
      </c>
      <c r="E471">
        <v>1</v>
      </c>
      <c r="F471">
        <v>6</v>
      </c>
      <c r="G471">
        <v>2</v>
      </c>
      <c r="H471">
        <v>100</v>
      </c>
      <c r="I471" t="s">
        <v>617</v>
      </c>
      <c r="J471">
        <v>0.46150000000000002</v>
      </c>
      <c r="K471">
        <v>25.515699999999999</v>
      </c>
      <c r="L471">
        <v>8.2000000000000007E-3</v>
      </c>
      <c r="M471">
        <v>0.39410000000000001</v>
      </c>
      <c r="N471">
        <v>17.881</v>
      </c>
      <c r="O471">
        <v>79.616399999999999</v>
      </c>
      <c r="P471">
        <v>864.67129999999997</v>
      </c>
      <c r="Q471">
        <v>245.21729999999999</v>
      </c>
      <c r="R471">
        <v>1.5932999999999999</v>
      </c>
      <c r="S471">
        <v>0.26500000000000001</v>
      </c>
      <c r="T471">
        <v>0.40770000000000001</v>
      </c>
      <c r="U471">
        <v>9.5999999999999992E-3</v>
      </c>
      <c r="V471">
        <v>0.44269999999999998</v>
      </c>
      <c r="W471">
        <v>12.3673</v>
      </c>
      <c r="X471">
        <v>9.7600000000000006E-2</v>
      </c>
      <c r="Y471">
        <v>8.5699999999999998E-2</v>
      </c>
      <c r="Z471">
        <v>8.3599999999999994E-2</v>
      </c>
      <c r="AA471">
        <v>0.47920000000000001</v>
      </c>
      <c r="AB471">
        <v>31.493200000000002</v>
      </c>
      <c r="AC471">
        <v>48.884500000000003</v>
      </c>
      <c r="AD471">
        <v>57.6601</v>
      </c>
      <c r="AE471">
        <v>2.5999999999999999E-3</v>
      </c>
      <c r="AF471">
        <v>8419.5522000000001</v>
      </c>
      <c r="AG471">
        <v>64.490300000000005</v>
      </c>
      <c r="AH471">
        <v>2.0000000000000001E-4</v>
      </c>
      <c r="AI471">
        <v>84.033199999999994</v>
      </c>
      <c r="AJ471">
        <v>73.2</v>
      </c>
      <c r="AK471">
        <v>71.240899999999996</v>
      </c>
      <c r="AL471">
        <v>1.7810999999999999</v>
      </c>
      <c r="AM471">
        <v>0.05</v>
      </c>
      <c r="AN471">
        <v>2.07E-2</v>
      </c>
      <c r="AO471">
        <v>93.174000000000007</v>
      </c>
      <c r="AP471">
        <v>93.473799999999997</v>
      </c>
      <c r="AQ471">
        <v>91.863500000000002</v>
      </c>
      <c r="AR471">
        <v>88.630300000000005</v>
      </c>
      <c r="AS471">
        <v>82.576700000000002</v>
      </c>
      <c r="AT471">
        <v>81.567899999999995</v>
      </c>
      <c r="AU471">
        <v>77.896699999999996</v>
      </c>
      <c r="AV471">
        <v>8.7774999999999999</v>
      </c>
      <c r="AW471">
        <v>22.279399999999999</v>
      </c>
      <c r="AX471">
        <f t="shared" si="129"/>
        <v>1089.1173292999999</v>
      </c>
      <c r="AY471">
        <f t="shared" si="130"/>
        <v>1436.8051898200001</v>
      </c>
      <c r="AZ471">
        <f t="shared" si="131"/>
        <v>275.53602361999998</v>
      </c>
      <c r="BA471">
        <f t="shared" si="123"/>
        <v>22.279399999999999</v>
      </c>
      <c r="BB471">
        <f t="shared" si="124"/>
        <v>0</v>
      </c>
      <c r="BC471">
        <f t="shared" si="125"/>
        <v>0</v>
      </c>
      <c r="BD471">
        <f t="shared" si="126"/>
        <v>0</v>
      </c>
      <c r="BE471">
        <f t="shared" si="127"/>
        <v>0</v>
      </c>
      <c r="BF471">
        <f t="shared" si="128"/>
        <v>0</v>
      </c>
      <c r="BG471">
        <f t="shared" si="132"/>
        <v>9.1230428799999999</v>
      </c>
      <c r="BH471">
        <f t="shared" si="133"/>
        <v>8.9658776000000007</v>
      </c>
      <c r="BI471">
        <f t="shared" si="134"/>
        <v>8.6503172800000012</v>
      </c>
      <c r="BJ471">
        <f t="shared" si="135"/>
        <v>8.0594859200000002</v>
      </c>
      <c r="BK471">
        <f t="shared" si="136"/>
        <v>7.9610270400000003</v>
      </c>
      <c r="BL471">
        <f t="shared" si="137"/>
        <v>7.6027179199999999</v>
      </c>
    </row>
    <row r="472" spans="1:64">
      <c r="A472" t="str">
        <f t="shared" si="122"/>
        <v>31</v>
      </c>
      <c r="B472" t="s">
        <v>605</v>
      </c>
      <c r="C472" t="s">
        <v>729</v>
      </c>
      <c r="D472">
        <v>55</v>
      </c>
      <c r="E472">
        <v>1</v>
      </c>
      <c r="F472">
        <v>6</v>
      </c>
      <c r="G472">
        <v>2</v>
      </c>
      <c r="H472">
        <v>100</v>
      </c>
      <c r="I472" t="s">
        <v>607</v>
      </c>
      <c r="J472">
        <v>0.64390000000000003</v>
      </c>
      <c r="K472">
        <v>51.3765</v>
      </c>
      <c r="L472">
        <v>1.2800000000000001E-2</v>
      </c>
      <c r="M472">
        <v>0.63470000000000004</v>
      </c>
      <c r="N472">
        <v>26.2638</v>
      </c>
      <c r="O472">
        <v>84.503799999999998</v>
      </c>
      <c r="P472">
        <v>797.0521</v>
      </c>
      <c r="Q472">
        <v>246.42660000000001</v>
      </c>
      <c r="R472">
        <v>1.0279</v>
      </c>
      <c r="S472">
        <v>0.50060000000000004</v>
      </c>
      <c r="T472">
        <v>0.51429999999999998</v>
      </c>
      <c r="U472">
        <v>6.1999999999999998E-3</v>
      </c>
      <c r="V472">
        <v>0.67400000000000004</v>
      </c>
      <c r="W472">
        <v>12.1225</v>
      </c>
      <c r="X472">
        <v>581.74710000000005</v>
      </c>
      <c r="Y472">
        <v>510.76609999999999</v>
      </c>
      <c r="Z472">
        <v>505.35719999999998</v>
      </c>
      <c r="AA472">
        <v>2023.8543</v>
      </c>
      <c r="AB472">
        <v>27.982900000000001</v>
      </c>
      <c r="AC472">
        <v>49.864800000000002</v>
      </c>
      <c r="AD472">
        <v>57.394300000000001</v>
      </c>
      <c r="AE472">
        <v>10.3371</v>
      </c>
      <c r="AF472">
        <v>8561.6937999999991</v>
      </c>
      <c r="AG472">
        <v>62.8536</v>
      </c>
      <c r="AH472">
        <v>3.2746</v>
      </c>
      <c r="AI472">
        <v>86.859700000000004</v>
      </c>
      <c r="AJ472">
        <v>73.2</v>
      </c>
      <c r="AK472">
        <v>76.855699999999999</v>
      </c>
      <c r="AL472">
        <v>1.6617999999999999</v>
      </c>
      <c r="AM472">
        <v>0.05</v>
      </c>
      <c r="AN472">
        <v>1.7299999999999999E-2</v>
      </c>
      <c r="AO472">
        <v>92.131</v>
      </c>
      <c r="AP472">
        <v>93.183599999999998</v>
      </c>
      <c r="AQ472">
        <v>91.696200000000005</v>
      </c>
      <c r="AR472">
        <v>89.047600000000003</v>
      </c>
      <c r="AS472">
        <v>83.373999999999995</v>
      </c>
      <c r="AT472">
        <v>82.338099999999997</v>
      </c>
      <c r="AU472">
        <v>78.588999999999999</v>
      </c>
      <c r="AV472">
        <v>34675.4323</v>
      </c>
      <c r="AW472">
        <v>88444.2785</v>
      </c>
      <c r="AX472">
        <f t="shared" si="129"/>
        <v>4410256.2585468004</v>
      </c>
      <c r="AY472">
        <f t="shared" si="130"/>
        <v>5559041.3031275999</v>
      </c>
      <c r="AZ472">
        <f t="shared" si="131"/>
        <v>1072165.7661162501</v>
      </c>
      <c r="BA472">
        <f t="shared" si="123"/>
        <v>88444.2785</v>
      </c>
      <c r="BB472">
        <f t="shared" si="124"/>
        <v>0</v>
      </c>
      <c r="BC472">
        <f t="shared" si="125"/>
        <v>0</v>
      </c>
      <c r="BD472">
        <f t="shared" si="126"/>
        <v>0</v>
      </c>
      <c r="BE472">
        <f t="shared" si="127"/>
        <v>0</v>
      </c>
      <c r="BF472">
        <f t="shared" si="128"/>
        <v>0</v>
      </c>
      <c r="BG472">
        <f t="shared" si="132"/>
        <v>54209.289067560007</v>
      </c>
      <c r="BH472">
        <f t="shared" si="133"/>
        <v>53343.998431020009</v>
      </c>
      <c r="BI472">
        <f t="shared" si="134"/>
        <v>51803.183061960008</v>
      </c>
      <c r="BJ472">
        <f t="shared" si="135"/>
        <v>48502.5827154</v>
      </c>
      <c r="BK472">
        <f t="shared" si="136"/>
        <v>47899.950894510002</v>
      </c>
      <c r="BL472">
        <f t="shared" si="137"/>
        <v>45718.922841899999</v>
      </c>
    </row>
    <row r="474" spans="1:64">
      <c r="AW474">
        <f>+SUM(AW2:AW472)</f>
        <v>6885438.086900006</v>
      </c>
      <c r="BA474">
        <f>+SUM(BA2:BF472)</f>
        <v>6885438.086900006</v>
      </c>
    </row>
  </sheetData>
  <phoneticPr fontId="273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48C2A-AC38-44D2-8C4F-5FDD0C63D70C}">
  <sheetPr codeName="Hoja20"/>
  <dimension ref="A8:AE43"/>
  <sheetViews>
    <sheetView topLeftCell="A4" zoomScale="58" zoomScaleNormal="85" workbookViewId="0">
      <selection activeCell="K65" sqref="K65"/>
    </sheetView>
  </sheetViews>
  <sheetFormatPr baseColWidth="10" defaultColWidth="11.453125" defaultRowHeight="12.5"/>
  <cols>
    <col min="1" max="1" width="16.81640625" bestFit="1" customWidth="1"/>
    <col min="2" max="3" width="17.81640625" bestFit="1" customWidth="1"/>
    <col min="4" max="4" width="18.81640625" bestFit="1" customWidth="1"/>
    <col min="5" max="5" width="17.81640625" bestFit="1" customWidth="1"/>
    <col min="6" max="7" width="18.81640625" bestFit="1" customWidth="1"/>
    <col min="8" max="8" width="17.81640625" bestFit="1" customWidth="1"/>
    <col min="9" max="9" width="18.453125" bestFit="1" customWidth="1"/>
    <col min="10" max="10" width="16.54296875" bestFit="1" customWidth="1"/>
    <col min="11" max="11" width="21.1796875" bestFit="1" customWidth="1"/>
    <col min="12" max="17" width="17.453125" bestFit="1" customWidth="1"/>
    <col min="18" max="18" width="14.453125" bestFit="1" customWidth="1"/>
  </cols>
  <sheetData>
    <row r="8" spans="1:31">
      <c r="X8">
        <v>137</v>
      </c>
      <c r="Y8">
        <v>150</v>
      </c>
      <c r="Z8">
        <v>180</v>
      </c>
      <c r="AA8">
        <v>240</v>
      </c>
      <c r="AB8">
        <v>250</v>
      </c>
      <c r="AC8">
        <v>300</v>
      </c>
    </row>
    <row r="9" spans="1:31">
      <c r="A9" s="1826" t="s">
        <v>730</v>
      </c>
      <c r="B9" t="s">
        <v>731</v>
      </c>
      <c r="C9" t="s">
        <v>732</v>
      </c>
      <c r="D9" t="s">
        <v>733</v>
      </c>
      <c r="E9" t="s">
        <v>734</v>
      </c>
      <c r="F9" t="s">
        <v>735</v>
      </c>
      <c r="G9" t="s">
        <v>736</v>
      </c>
      <c r="H9" t="s">
        <v>737</v>
      </c>
      <c r="I9" t="s">
        <v>738</v>
      </c>
      <c r="J9" t="s">
        <v>739</v>
      </c>
      <c r="K9" t="s">
        <v>740</v>
      </c>
      <c r="L9" t="s">
        <v>741</v>
      </c>
      <c r="M9" t="s">
        <v>742</v>
      </c>
      <c r="N9" t="s">
        <v>743</v>
      </c>
      <c r="O9" t="s">
        <v>744</v>
      </c>
      <c r="P9" t="s">
        <v>745</v>
      </c>
      <c r="Q9" t="s">
        <v>746</v>
      </c>
      <c r="R9" t="s">
        <v>747</v>
      </c>
      <c r="T9" t="s">
        <v>549</v>
      </c>
      <c r="U9" t="s">
        <v>86</v>
      </c>
      <c r="V9" t="s">
        <v>580</v>
      </c>
      <c r="W9" t="s">
        <v>748</v>
      </c>
      <c r="X9" t="s">
        <v>588</v>
      </c>
      <c r="Y9" t="s">
        <v>589</v>
      </c>
      <c r="Z9" t="s">
        <v>590</v>
      </c>
      <c r="AA9" t="s">
        <v>591</v>
      </c>
      <c r="AB9" t="s">
        <v>592</v>
      </c>
      <c r="AC9" t="s">
        <v>593</v>
      </c>
      <c r="AD9" t="s">
        <v>749</v>
      </c>
      <c r="AE9" t="s">
        <v>750</v>
      </c>
    </row>
    <row r="10" spans="1:31">
      <c r="A10" s="359" t="s">
        <v>751</v>
      </c>
      <c r="B10">
        <v>107852.5169</v>
      </c>
      <c r="C10">
        <v>0</v>
      </c>
      <c r="D10">
        <v>0</v>
      </c>
      <c r="E10">
        <v>0</v>
      </c>
      <c r="F10">
        <v>0</v>
      </c>
      <c r="G10">
        <v>95388.671900000001</v>
      </c>
      <c r="H10">
        <v>7745061.9669906506</v>
      </c>
      <c r="I10">
        <v>11846135.131633511</v>
      </c>
      <c r="J10">
        <v>2749894.4500293001</v>
      </c>
      <c r="K10">
        <v>203241.18879999995</v>
      </c>
      <c r="L10">
        <v>86282.369749819976</v>
      </c>
      <c r="M10">
        <v>84631.247910189995</v>
      </c>
      <c r="N10">
        <v>82018.842468440023</v>
      </c>
      <c r="O10">
        <v>75230.007210119977</v>
      </c>
      <c r="P10">
        <v>73969.230262020006</v>
      </c>
      <c r="Q10">
        <v>68713.233885480004</v>
      </c>
      <c r="R10">
        <v>1033.9115999999999</v>
      </c>
      <c r="T10" t="str">
        <f>+A10</f>
        <v>.0</v>
      </c>
      <c r="U10" s="154">
        <f>+H10/$K10</f>
        <v>38.107737967485519</v>
      </c>
      <c r="V10" s="154">
        <f>+I10/$K10</f>
        <v>58.286094475124983</v>
      </c>
      <c r="W10" s="154">
        <f>+J10/$K10</f>
        <v>13.530202545387301</v>
      </c>
      <c r="X10" s="154">
        <f t="shared" ref="X10:AC10" si="0">+L10/$R10</f>
        <v>83.452366478739563</v>
      </c>
      <c r="Y10" s="154">
        <f t="shared" si="0"/>
        <v>81.85540031680658</v>
      </c>
      <c r="Z10" s="154">
        <f t="shared" si="0"/>
        <v>79.328680003628961</v>
      </c>
      <c r="AA10" s="154">
        <f t="shared" si="0"/>
        <v>72.762513942313817</v>
      </c>
      <c r="AB10" s="154">
        <f t="shared" si="0"/>
        <v>71.543089623929177</v>
      </c>
      <c r="AC10" s="154">
        <f t="shared" si="0"/>
        <v>66.45948636757727</v>
      </c>
      <c r="AD10" s="154">
        <f>+SLOPE(X10:AC10,$X$8:$AC$8)</f>
        <v>-0.10424935148159188</v>
      </c>
      <c r="AE10" s="154">
        <f>+INTERCEPT(X10:AC10,$X$8:$AC$8)</f>
        <v>97.740495257559388</v>
      </c>
    </row>
    <row r="11" spans="1:31">
      <c r="A11" s="359" t="s">
        <v>752</v>
      </c>
      <c r="B11">
        <v>60414.242199999993</v>
      </c>
      <c r="C11">
        <v>0</v>
      </c>
      <c r="D11">
        <v>0</v>
      </c>
      <c r="E11">
        <v>0</v>
      </c>
      <c r="F11">
        <v>0</v>
      </c>
      <c r="G11">
        <v>296321.19639999996</v>
      </c>
      <c r="H11">
        <v>11390219.711253883</v>
      </c>
      <c r="I11">
        <v>21127608.812359147</v>
      </c>
      <c r="J11">
        <v>4630073.199996681</v>
      </c>
      <c r="K11">
        <v>356735.43859999994</v>
      </c>
      <c r="L11">
        <v>51873.929639709997</v>
      </c>
      <c r="M11">
        <v>50804.874755100005</v>
      </c>
      <c r="N11">
        <v>49145.398957219993</v>
      </c>
      <c r="O11">
        <v>44914.340650699996</v>
      </c>
      <c r="P11">
        <v>44217.0136681</v>
      </c>
      <c r="Q11">
        <v>40796.283334830005</v>
      </c>
      <c r="R11">
        <v>641.35030000000017</v>
      </c>
      <c r="T11" t="str">
        <f t="shared" ref="T11:T42" si="1">+A11</f>
        <v>00</v>
      </c>
      <c r="U11" s="154">
        <f t="shared" ref="U11:U42" si="2">+H11/$K11</f>
        <v>31.92903894256915</v>
      </c>
      <c r="V11" s="154">
        <f t="shared" ref="V11:V42" si="3">+I11/$K11</f>
        <v>59.224866739547842</v>
      </c>
      <c r="W11" s="154">
        <f t="shared" ref="W11:W42" si="4">+J11/$K11</f>
        <v>12.979011051347456</v>
      </c>
      <c r="X11" s="154">
        <f t="shared" ref="X11:X42" si="5">+L11/$R11</f>
        <v>80.882365907850954</v>
      </c>
      <c r="Y11" s="154">
        <f t="shared" ref="Y11:Y42" si="6">+M11/$R11</f>
        <v>79.215484509947203</v>
      </c>
      <c r="Z11" s="154">
        <f t="shared" ref="Z11:Z42" si="7">+N11/$R11</f>
        <v>76.628012736908332</v>
      </c>
      <c r="AA11" s="154">
        <f t="shared" ref="AA11:AA42" si="8">+O11/$R11</f>
        <v>70.030903003709497</v>
      </c>
      <c r="AB11" s="154">
        <f t="shared" ref="AB11:AB42" si="9">+P11/$R11</f>
        <v>68.943623583087103</v>
      </c>
      <c r="AC11" s="154">
        <f t="shared" ref="AC11:AC42" si="10">+Q11/$R11</f>
        <v>63.609985580157975</v>
      </c>
      <c r="AD11" s="154">
        <f t="shared" ref="AD11:AD42" si="11">+SLOPE(X11:AC11,$X$8:$AC$8)</f>
        <v>-0.10539499403585287</v>
      </c>
      <c r="AE11" s="154">
        <f t="shared" ref="AE11:AE42" si="12">+INTERCEPT(X11:AC11,$X$8:$AC$8)</f>
        <v>95.29864713745468</v>
      </c>
    </row>
    <row r="12" spans="1:31">
      <c r="A12" s="359" t="s">
        <v>753</v>
      </c>
      <c r="B12">
        <v>56220.530100000004</v>
      </c>
      <c r="C12">
        <v>56361.775399999999</v>
      </c>
      <c r="D12">
        <v>65897.6777</v>
      </c>
      <c r="E12">
        <v>0</v>
      </c>
      <c r="F12">
        <v>0</v>
      </c>
      <c r="G12">
        <v>0</v>
      </c>
      <c r="H12">
        <v>7392246.6332072588</v>
      </c>
      <c r="I12">
        <v>14858406.086341919</v>
      </c>
      <c r="J12">
        <v>2260525.8669284699</v>
      </c>
      <c r="K12">
        <v>178479.98319999999</v>
      </c>
      <c r="L12">
        <v>90483.453634980004</v>
      </c>
      <c r="M12">
        <v>89332.174059369994</v>
      </c>
      <c r="N12">
        <v>87492.726964260015</v>
      </c>
      <c r="O12">
        <v>82540.572089539986</v>
      </c>
      <c r="P12">
        <v>81663.494700390002</v>
      </c>
      <c r="Q12">
        <v>77578.323773829979</v>
      </c>
      <c r="R12">
        <v>961.32909999999981</v>
      </c>
      <c r="T12" t="str">
        <f t="shared" si="1"/>
        <v>01</v>
      </c>
      <c r="U12" s="154">
        <f t="shared" si="2"/>
        <v>41.417790951513602</v>
      </c>
      <c r="V12" s="154">
        <f t="shared" si="3"/>
        <v>83.249705764998751</v>
      </c>
      <c r="W12" s="154">
        <f t="shared" si="4"/>
        <v>12.665430746905573</v>
      </c>
      <c r="X12" s="154">
        <f t="shared" si="5"/>
        <v>94.123285808137936</v>
      </c>
      <c r="Y12" s="154">
        <f t="shared" si="6"/>
        <v>92.925694290716891</v>
      </c>
      <c r="Z12" s="154">
        <f t="shared" si="7"/>
        <v>91.012252686681421</v>
      </c>
      <c r="AA12" s="154">
        <f t="shared" si="8"/>
        <v>85.860889979862264</v>
      </c>
      <c r="AB12" s="154">
        <f t="shared" si="9"/>
        <v>84.948530841716973</v>
      </c>
      <c r="AC12" s="154">
        <f t="shared" si="10"/>
        <v>80.699027808302063</v>
      </c>
      <c r="AD12" s="154">
        <f t="shared" si="11"/>
        <v>-8.201903441527765E-2</v>
      </c>
      <c r="AE12" s="154">
        <f t="shared" si="12"/>
        <v>105.44460127923693</v>
      </c>
    </row>
    <row r="13" spans="1:31">
      <c r="A13" s="359" t="s">
        <v>754</v>
      </c>
      <c r="B13">
        <v>67656.972999999998</v>
      </c>
      <c r="C13">
        <v>16341.870299999999</v>
      </c>
      <c r="D13">
        <v>93130.450000000012</v>
      </c>
      <c r="E13">
        <v>0</v>
      </c>
      <c r="F13">
        <v>0</v>
      </c>
      <c r="G13">
        <v>0</v>
      </c>
      <c r="H13">
        <v>7011180.8653106997</v>
      </c>
      <c r="I13">
        <v>14738366.08173451</v>
      </c>
      <c r="J13">
        <v>2269820.1604200504</v>
      </c>
      <c r="K13">
        <v>177129.29329999999</v>
      </c>
      <c r="L13">
        <v>76086.961191269991</v>
      </c>
      <c r="M13">
        <v>74987.031085569994</v>
      </c>
      <c r="N13">
        <v>73172.313548610007</v>
      </c>
      <c r="O13">
        <v>68602.741062750007</v>
      </c>
      <c r="P13">
        <v>67763.790399720005</v>
      </c>
      <c r="Q13">
        <v>64149.143369689999</v>
      </c>
      <c r="R13">
        <v>808.14840000000004</v>
      </c>
      <c r="T13" t="str">
        <f t="shared" si="1"/>
        <v>02</v>
      </c>
      <c r="U13" s="154">
        <f t="shared" si="2"/>
        <v>39.582277638493238</v>
      </c>
      <c r="V13" s="154">
        <f t="shared" si="3"/>
        <v>83.206824840499209</v>
      </c>
      <c r="W13" s="154">
        <f t="shared" si="4"/>
        <v>12.814482111525765</v>
      </c>
      <c r="X13" s="154">
        <f t="shared" si="5"/>
        <v>94.149739319251253</v>
      </c>
      <c r="Y13" s="154">
        <f t="shared" si="6"/>
        <v>92.788689658446387</v>
      </c>
      <c r="Z13" s="154">
        <f t="shared" si="7"/>
        <v>90.543164533407477</v>
      </c>
      <c r="AA13" s="154">
        <f t="shared" si="8"/>
        <v>84.888791542184578</v>
      </c>
      <c r="AB13" s="154">
        <f t="shared" si="9"/>
        <v>83.850676929781713</v>
      </c>
      <c r="AC13" s="154">
        <f t="shared" si="10"/>
        <v>79.377925353425184</v>
      </c>
      <c r="AD13" s="154">
        <f t="shared" si="11"/>
        <v>-9.0517375443937245E-2</v>
      </c>
      <c r="AE13" s="154">
        <f t="shared" si="12"/>
        <v>106.5632213782543</v>
      </c>
    </row>
    <row r="14" spans="1:31">
      <c r="A14" s="359" t="s">
        <v>755</v>
      </c>
      <c r="B14">
        <v>58819.028799999993</v>
      </c>
      <c r="C14">
        <v>38777.572599999992</v>
      </c>
      <c r="D14">
        <v>80412.3272</v>
      </c>
      <c r="E14">
        <v>0</v>
      </c>
      <c r="F14">
        <v>0</v>
      </c>
      <c r="G14">
        <v>0</v>
      </c>
      <c r="H14">
        <v>7095044.6631504297</v>
      </c>
      <c r="I14">
        <v>14401408.477881888</v>
      </c>
      <c r="J14">
        <v>2268748.7172824801</v>
      </c>
      <c r="K14">
        <v>178008.92860000001</v>
      </c>
      <c r="L14">
        <v>78422.852777110005</v>
      </c>
      <c r="M14">
        <v>77339.092236509998</v>
      </c>
      <c r="N14">
        <v>75328.480710799995</v>
      </c>
      <c r="O14">
        <v>70937.961330680017</v>
      </c>
      <c r="P14">
        <v>70220.697348260001</v>
      </c>
      <c r="Q14">
        <v>66258.691050530004</v>
      </c>
      <c r="R14">
        <v>839.90589999999997</v>
      </c>
      <c r="T14" t="str">
        <f t="shared" si="1"/>
        <v>03</v>
      </c>
      <c r="U14" s="154">
        <f t="shared" si="2"/>
        <v>39.857802184145214</v>
      </c>
      <c r="V14" s="154">
        <f t="shared" si="3"/>
        <v>80.902731066052198</v>
      </c>
      <c r="W14" s="154">
        <f t="shared" si="4"/>
        <v>12.745140005760812</v>
      </c>
      <c r="X14" s="154">
        <f t="shared" si="5"/>
        <v>93.370998795353159</v>
      </c>
      <c r="Y14" s="154">
        <f t="shared" si="6"/>
        <v>92.080663127274136</v>
      </c>
      <c r="Z14" s="154">
        <f t="shared" si="7"/>
        <v>89.686809809051226</v>
      </c>
      <c r="AA14" s="154">
        <f t="shared" si="8"/>
        <v>84.459415430561947</v>
      </c>
      <c r="AB14" s="154">
        <f t="shared" si="9"/>
        <v>83.605434070959618</v>
      </c>
      <c r="AC14" s="154">
        <f t="shared" si="10"/>
        <v>78.888231467989456</v>
      </c>
      <c r="AD14" s="154">
        <f t="shared" si="11"/>
        <v>-8.7751343029929096E-2</v>
      </c>
      <c r="AE14" s="154">
        <f t="shared" si="12"/>
        <v>105.39916514830173</v>
      </c>
    </row>
    <row r="15" spans="1:31">
      <c r="A15" s="359" t="s">
        <v>756</v>
      </c>
      <c r="B15">
        <v>62094.461000000003</v>
      </c>
      <c r="C15">
        <v>37778.991699999999</v>
      </c>
      <c r="D15">
        <v>77845.245999999999</v>
      </c>
      <c r="E15">
        <v>0</v>
      </c>
      <c r="F15">
        <v>0</v>
      </c>
      <c r="G15">
        <v>0</v>
      </c>
      <c r="H15">
        <v>7050256.5078384113</v>
      </c>
      <c r="I15">
        <v>13991969.43458504</v>
      </c>
      <c r="J15">
        <v>2293991.0953264702</v>
      </c>
      <c r="K15">
        <v>177718.69870000001</v>
      </c>
      <c r="L15">
        <v>77681.818201360002</v>
      </c>
      <c r="M15">
        <v>76588.011918910008</v>
      </c>
      <c r="N15">
        <v>74600.697226260003</v>
      </c>
      <c r="O15">
        <v>70607.921173290015</v>
      </c>
      <c r="P15">
        <v>70006.538924530003</v>
      </c>
      <c r="Q15">
        <v>66192.10943384</v>
      </c>
      <c r="R15">
        <v>836.1280999999999</v>
      </c>
      <c r="T15" t="str">
        <f t="shared" si="1"/>
        <v>04</v>
      </c>
      <c r="U15" s="154">
        <f t="shared" si="2"/>
        <v>39.670876274756402</v>
      </c>
      <c r="V15" s="154">
        <f t="shared" si="3"/>
        <v>78.730991938019628</v>
      </c>
      <c r="W15" s="154">
        <f t="shared" si="4"/>
        <v>12.90798949185908</v>
      </c>
      <c r="X15" s="154">
        <f t="shared" si="5"/>
        <v>92.906599122024502</v>
      </c>
      <c r="Y15" s="154">
        <f t="shared" si="6"/>
        <v>91.598418853414941</v>
      </c>
      <c r="Z15" s="154">
        <f t="shared" si="7"/>
        <v>89.221612365688955</v>
      </c>
      <c r="AA15" s="154">
        <f t="shared" si="8"/>
        <v>84.446296175538208</v>
      </c>
      <c r="AB15" s="154">
        <f t="shared" si="9"/>
        <v>83.727049628555733</v>
      </c>
      <c r="AC15" s="154">
        <f t="shared" si="10"/>
        <v>79.165033962905937</v>
      </c>
      <c r="AD15" s="154">
        <f t="shared" si="11"/>
        <v>-8.2578818061895973E-2</v>
      </c>
      <c r="AE15" s="154">
        <f t="shared" si="12"/>
        <v>104.14443073532192</v>
      </c>
    </row>
    <row r="16" spans="1:31">
      <c r="A16" s="359" t="s">
        <v>757</v>
      </c>
      <c r="B16">
        <v>80807.145899999989</v>
      </c>
      <c r="C16">
        <v>19374.86</v>
      </c>
      <c r="D16">
        <v>64385.044000000002</v>
      </c>
      <c r="E16">
        <v>0</v>
      </c>
      <c r="F16">
        <v>0</v>
      </c>
      <c r="G16">
        <v>0</v>
      </c>
      <c r="H16">
        <v>6781063.1474081995</v>
      </c>
      <c r="I16">
        <v>12785181.816825608</v>
      </c>
      <c r="J16">
        <v>2144917.6286873599</v>
      </c>
      <c r="K16">
        <v>164567.04990000001</v>
      </c>
      <c r="L16">
        <v>75245.263122799995</v>
      </c>
      <c r="M16">
        <v>74150.709365570001</v>
      </c>
      <c r="N16">
        <v>72282.094786419999</v>
      </c>
      <c r="O16">
        <v>68184.44983723</v>
      </c>
      <c r="P16">
        <v>67590.344313619993</v>
      </c>
      <c r="Q16">
        <v>63599.263066619991</v>
      </c>
      <c r="R16">
        <v>813.0181</v>
      </c>
      <c r="T16" t="str">
        <f t="shared" si="1"/>
        <v>05</v>
      </c>
      <c r="U16" s="154">
        <f t="shared" si="2"/>
        <v>41.205473097614295</v>
      </c>
      <c r="V16" s="154">
        <f t="shared" si="3"/>
        <v>77.689803788757146</v>
      </c>
      <c r="W16" s="154">
        <f t="shared" si="4"/>
        <v>13.033700427823977</v>
      </c>
      <c r="X16" s="154">
        <f t="shared" si="5"/>
        <v>92.550538693787999</v>
      </c>
      <c r="Y16" s="154">
        <f t="shared" si="6"/>
        <v>91.204254081883292</v>
      </c>
      <c r="Z16" s="154">
        <f t="shared" si="7"/>
        <v>88.905886334412486</v>
      </c>
      <c r="AA16" s="154">
        <f t="shared" si="8"/>
        <v>83.865844852937471</v>
      </c>
      <c r="AB16" s="154">
        <f t="shared" si="9"/>
        <v>83.13510401997199</v>
      </c>
      <c r="AC16" s="154">
        <f t="shared" si="10"/>
        <v>78.226134284857849</v>
      </c>
      <c r="AD16" s="154">
        <f t="shared" si="11"/>
        <v>-8.5910938021478908E-2</v>
      </c>
      <c r="AE16" s="154">
        <f t="shared" si="12"/>
        <v>104.31296856014168</v>
      </c>
    </row>
    <row r="17" spans="1:31">
      <c r="A17" s="359" t="s">
        <v>758</v>
      </c>
      <c r="B17">
        <v>80908.046900000001</v>
      </c>
      <c r="C17">
        <v>12.966900000000001</v>
      </c>
      <c r="D17">
        <v>62389.488299999997</v>
      </c>
      <c r="E17">
        <v>0</v>
      </c>
      <c r="F17">
        <v>0</v>
      </c>
      <c r="G17">
        <v>0</v>
      </c>
      <c r="H17">
        <v>6053792.2218522606</v>
      </c>
      <c r="I17">
        <v>11313716.516063729</v>
      </c>
      <c r="J17">
        <v>1821702.3428666701</v>
      </c>
      <c r="K17">
        <v>143310.50210000001</v>
      </c>
      <c r="L17">
        <v>75748.786935340016</v>
      </c>
      <c r="M17">
        <v>74589.864919999993</v>
      </c>
      <c r="N17">
        <v>72656.056157159983</v>
      </c>
      <c r="O17">
        <v>68042.861189160001</v>
      </c>
      <c r="P17">
        <v>67317.615802960005</v>
      </c>
      <c r="Q17">
        <v>63108.787574349997</v>
      </c>
      <c r="R17">
        <v>816.53140000000008</v>
      </c>
      <c r="T17" t="str">
        <f t="shared" si="1"/>
        <v>06</v>
      </c>
      <c r="U17" s="154">
        <f t="shared" si="2"/>
        <v>42.242488395079455</v>
      </c>
      <c r="V17" s="154">
        <f t="shared" si="3"/>
        <v>78.945480968095282</v>
      </c>
      <c r="W17" s="154">
        <f t="shared" si="4"/>
        <v>12.711576026685835</v>
      </c>
      <c r="X17" s="154">
        <f t="shared" si="5"/>
        <v>92.768982228166621</v>
      </c>
      <c r="Y17" s="154">
        <f t="shared" si="6"/>
        <v>91.349658959839132</v>
      </c>
      <c r="Z17" s="154">
        <f t="shared" si="7"/>
        <v>88.981337591132416</v>
      </c>
      <c r="AA17" s="154">
        <f t="shared" si="8"/>
        <v>83.331591643824098</v>
      </c>
      <c r="AB17" s="154">
        <f t="shared" si="9"/>
        <v>82.443388953517285</v>
      </c>
      <c r="AC17" s="154">
        <f t="shared" si="10"/>
        <v>77.288867977826683</v>
      </c>
      <c r="AD17" s="154">
        <f t="shared" si="11"/>
        <v>-9.3540180092694394E-2</v>
      </c>
      <c r="AE17" s="154">
        <f t="shared" si="12"/>
        <v>105.62397228847053</v>
      </c>
    </row>
    <row r="18" spans="1:31">
      <c r="A18" s="359" t="s">
        <v>759</v>
      </c>
      <c r="B18">
        <v>41910.527100000007</v>
      </c>
      <c r="C18">
        <v>0</v>
      </c>
      <c r="D18">
        <v>99351.966700000004</v>
      </c>
      <c r="E18">
        <v>0</v>
      </c>
      <c r="F18">
        <v>0</v>
      </c>
      <c r="G18">
        <v>0</v>
      </c>
      <c r="H18">
        <v>5430957.5313972104</v>
      </c>
      <c r="I18">
        <v>11559364.092832711</v>
      </c>
      <c r="J18">
        <v>1820168.8912224399</v>
      </c>
      <c r="K18">
        <v>141262.49380000003</v>
      </c>
      <c r="L18">
        <v>70992.16292884</v>
      </c>
      <c r="M18">
        <v>69829.791424760013</v>
      </c>
      <c r="N18">
        <v>67979.994430179984</v>
      </c>
      <c r="O18">
        <v>63179.659964120001</v>
      </c>
      <c r="P18">
        <v>62302.080362600005</v>
      </c>
      <c r="Q18">
        <v>58478.299102160003</v>
      </c>
      <c r="R18">
        <v>762.1896999999999</v>
      </c>
      <c r="T18" t="str">
        <f t="shared" si="1"/>
        <v>07</v>
      </c>
      <c r="U18" s="154">
        <f t="shared" si="2"/>
        <v>38.445856258819703</v>
      </c>
      <c r="V18" s="154">
        <f t="shared" si="3"/>
        <v>81.828968057144039</v>
      </c>
      <c r="W18" s="154">
        <f t="shared" si="4"/>
        <v>12.885011741329174</v>
      </c>
      <c r="X18" s="154">
        <f t="shared" si="5"/>
        <v>93.142380340274883</v>
      </c>
      <c r="Y18" s="154">
        <f t="shared" si="6"/>
        <v>91.617338078381309</v>
      </c>
      <c r="Z18" s="154">
        <f t="shared" si="7"/>
        <v>89.190387157134225</v>
      </c>
      <c r="AA18" s="154">
        <f t="shared" si="8"/>
        <v>82.892303535615881</v>
      </c>
      <c r="AB18" s="154">
        <f t="shared" si="9"/>
        <v>81.740910907875048</v>
      </c>
      <c r="AC18" s="154">
        <f t="shared" si="10"/>
        <v>76.724074206408204</v>
      </c>
      <c r="AD18" s="154">
        <f t="shared" si="11"/>
        <v>-0.10049784585406488</v>
      </c>
      <c r="AE18" s="154">
        <f t="shared" si="12"/>
        <v>106.93886441070819</v>
      </c>
    </row>
    <row r="19" spans="1:31">
      <c r="A19" s="359" t="s">
        <v>760</v>
      </c>
      <c r="B19">
        <v>4586.7498999999998</v>
      </c>
      <c r="C19">
        <v>0</v>
      </c>
      <c r="D19">
        <v>131739.32949999999</v>
      </c>
      <c r="E19">
        <v>0</v>
      </c>
      <c r="F19">
        <v>0</v>
      </c>
      <c r="G19">
        <v>0</v>
      </c>
      <c r="H19">
        <v>4926186.7391775399</v>
      </c>
      <c r="I19">
        <v>11450228.76864122</v>
      </c>
      <c r="J19">
        <v>1764514.70363846</v>
      </c>
      <c r="K19">
        <v>136326.07939999999</v>
      </c>
      <c r="L19">
        <v>60373.666251989998</v>
      </c>
      <c r="M19">
        <v>59427.112925789996</v>
      </c>
      <c r="N19">
        <v>57713.863677820002</v>
      </c>
      <c r="O19">
        <v>53577.542670890005</v>
      </c>
      <c r="P19">
        <v>52837.18555522</v>
      </c>
      <c r="Q19">
        <v>49673.500697679992</v>
      </c>
      <c r="R19">
        <v>645.11569999999995</v>
      </c>
      <c r="T19" t="str">
        <f t="shared" si="1"/>
        <v>08</v>
      </c>
      <c r="U19" s="154">
        <f t="shared" si="2"/>
        <v>36.135321729039177</v>
      </c>
      <c r="V19" s="154">
        <f t="shared" si="3"/>
        <v>83.99147704559617</v>
      </c>
      <c r="W19" s="154">
        <f t="shared" si="4"/>
        <v>12.943339318525581</v>
      </c>
      <c r="X19" s="154">
        <f t="shared" si="5"/>
        <v>93.585795930853962</v>
      </c>
      <c r="Y19" s="154">
        <f t="shared" si="6"/>
        <v>92.11853459122139</v>
      </c>
      <c r="Z19" s="154">
        <f t="shared" si="7"/>
        <v>89.462810590131355</v>
      </c>
      <c r="AA19" s="154">
        <f t="shared" si="8"/>
        <v>83.051059943030396</v>
      </c>
      <c r="AB19" s="154">
        <f t="shared" si="9"/>
        <v>81.903425316140968</v>
      </c>
      <c r="AC19" s="154">
        <f t="shared" si="10"/>
        <v>76.999367241690123</v>
      </c>
      <c r="AD19" s="154">
        <f t="shared" si="11"/>
        <v>-0.1021459863729956</v>
      </c>
      <c r="AE19" s="154">
        <f t="shared" si="12"/>
        <v>107.58641641398728</v>
      </c>
    </row>
    <row r="20" spans="1:31">
      <c r="A20" s="359" t="s">
        <v>761</v>
      </c>
      <c r="B20">
        <v>81764.169800000003</v>
      </c>
      <c r="C20">
        <v>0</v>
      </c>
      <c r="D20">
        <v>55145.707799999996</v>
      </c>
      <c r="E20">
        <v>0</v>
      </c>
      <c r="F20">
        <v>0</v>
      </c>
      <c r="G20">
        <v>0</v>
      </c>
      <c r="H20">
        <v>6018625.3860397395</v>
      </c>
      <c r="I20">
        <v>10563114.633759759</v>
      </c>
      <c r="J20">
        <v>1301176.0815067599</v>
      </c>
      <c r="K20">
        <v>136909.87760000001</v>
      </c>
      <c r="L20">
        <v>71705.994754939995</v>
      </c>
      <c r="M20">
        <v>70714.571633859989</v>
      </c>
      <c r="N20">
        <v>68935.113918739997</v>
      </c>
      <c r="O20">
        <v>64752.749002529992</v>
      </c>
      <c r="P20">
        <v>63998.637724229993</v>
      </c>
      <c r="Q20">
        <v>60292.084417599996</v>
      </c>
      <c r="R20">
        <v>772.97149999999988</v>
      </c>
      <c r="T20" t="str">
        <f t="shared" si="1"/>
        <v>09</v>
      </c>
      <c r="U20" s="154">
        <f t="shared" si="2"/>
        <v>43.960490590926796</v>
      </c>
      <c r="V20" s="154">
        <f t="shared" si="3"/>
        <v>77.153780420586386</v>
      </c>
      <c r="W20" s="154">
        <f t="shared" si="4"/>
        <v>9.503887552279572</v>
      </c>
      <c r="X20" s="154">
        <f t="shared" si="5"/>
        <v>92.766673486590392</v>
      </c>
      <c r="Y20" s="154">
        <f t="shared" si="6"/>
        <v>91.484060710983528</v>
      </c>
      <c r="Z20" s="154">
        <f t="shared" si="7"/>
        <v>89.18196067867963</v>
      </c>
      <c r="AA20" s="154">
        <f t="shared" si="8"/>
        <v>83.771198553284307</v>
      </c>
      <c r="AB20" s="154">
        <f t="shared" si="9"/>
        <v>82.795598187294104</v>
      </c>
      <c r="AC20" s="154">
        <f t="shared" si="10"/>
        <v>78.000397708841788</v>
      </c>
      <c r="AD20" s="154">
        <f t="shared" si="11"/>
        <v>-8.9706229592050324E-2</v>
      </c>
      <c r="AE20" s="154">
        <f t="shared" si="12"/>
        <v>105.12676998714683</v>
      </c>
    </row>
    <row r="21" spans="1:31">
      <c r="A21" s="359" t="s">
        <v>762</v>
      </c>
      <c r="B21">
        <v>96945.738699999987</v>
      </c>
      <c r="C21">
        <v>36338.579700000002</v>
      </c>
      <c r="D21">
        <v>87369.805500000002</v>
      </c>
      <c r="E21">
        <v>0</v>
      </c>
      <c r="F21">
        <v>0</v>
      </c>
      <c r="G21">
        <v>0</v>
      </c>
      <c r="H21">
        <v>9696262.8545053601</v>
      </c>
      <c r="I21">
        <v>15079898.526916098</v>
      </c>
      <c r="J21">
        <v>2207298.4258015696</v>
      </c>
      <c r="K21">
        <v>220654.12390000001</v>
      </c>
      <c r="L21">
        <v>115884.70534877</v>
      </c>
      <c r="M21">
        <v>114307.93161283003</v>
      </c>
      <c r="N21">
        <v>111549.08168964002</v>
      </c>
      <c r="O21">
        <v>105149.98501441999</v>
      </c>
      <c r="P21">
        <v>104008.21600956999</v>
      </c>
      <c r="Q21">
        <v>98278.126311310014</v>
      </c>
      <c r="R21">
        <v>1250.7212</v>
      </c>
      <c r="T21" t="str">
        <f t="shared" si="1"/>
        <v>10</v>
      </c>
      <c r="U21" s="154">
        <f t="shared" si="2"/>
        <v>43.943265972675349</v>
      </c>
      <c r="V21" s="154">
        <f t="shared" si="3"/>
        <v>68.341793302491268</v>
      </c>
      <c r="W21" s="154">
        <f t="shared" si="4"/>
        <v>10.003431555178695</v>
      </c>
      <c r="X21" s="154">
        <f t="shared" si="5"/>
        <v>92.654306450366406</v>
      </c>
      <c r="Y21" s="154">
        <f t="shared" si="6"/>
        <v>91.393614830251565</v>
      </c>
      <c r="Z21" s="154">
        <f t="shared" si="7"/>
        <v>89.187807554265518</v>
      </c>
      <c r="AA21" s="154">
        <f t="shared" si="8"/>
        <v>84.071482129206728</v>
      </c>
      <c r="AB21" s="154">
        <f t="shared" si="9"/>
        <v>83.158593625477849</v>
      </c>
      <c r="AC21" s="154">
        <f t="shared" si="10"/>
        <v>78.577165167832774</v>
      </c>
      <c r="AD21" s="154">
        <f t="shared" si="11"/>
        <v>-8.5329136137111294E-2</v>
      </c>
      <c r="AE21" s="154">
        <f t="shared" si="12"/>
        <v>104.3836156469583</v>
      </c>
    </row>
    <row r="22" spans="1:31">
      <c r="A22" s="359" t="s">
        <v>763</v>
      </c>
      <c r="B22">
        <v>116947.67299999998</v>
      </c>
      <c r="C22">
        <v>5109.8287</v>
      </c>
      <c r="D22">
        <v>99390.568700000003</v>
      </c>
      <c r="E22">
        <v>0</v>
      </c>
      <c r="F22">
        <v>0</v>
      </c>
      <c r="G22">
        <v>0</v>
      </c>
      <c r="H22">
        <v>9726754.5764362291</v>
      </c>
      <c r="I22">
        <v>15184133.3483222</v>
      </c>
      <c r="J22">
        <v>2432938.8931896701</v>
      </c>
      <c r="K22">
        <v>221448.07040000003</v>
      </c>
      <c r="L22">
        <v>120710.20241095999</v>
      </c>
      <c r="M22">
        <v>119062.13775746</v>
      </c>
      <c r="N22">
        <v>116088.74433026998</v>
      </c>
      <c r="O22">
        <v>109035.05462721</v>
      </c>
      <c r="P22">
        <v>107881.48952245001</v>
      </c>
      <c r="Q22">
        <v>101879.78584635</v>
      </c>
      <c r="R22">
        <v>1300.0701999999999</v>
      </c>
      <c r="T22" t="str">
        <f t="shared" si="1"/>
        <v>11</v>
      </c>
      <c r="U22" s="154">
        <f t="shared" si="2"/>
        <v>43.923410842401395</v>
      </c>
      <c r="V22" s="154">
        <f t="shared" si="3"/>
        <v>68.567467401703752</v>
      </c>
      <c r="W22" s="154">
        <f t="shared" si="4"/>
        <v>10.986498499603407</v>
      </c>
      <c r="X22" s="154">
        <f t="shared" si="5"/>
        <v>92.848988009232116</v>
      </c>
      <c r="Y22" s="154">
        <f t="shared" si="6"/>
        <v>91.581314422451968</v>
      </c>
      <c r="Z22" s="154">
        <f t="shared" si="7"/>
        <v>89.294212212748192</v>
      </c>
      <c r="AA22" s="154">
        <f t="shared" si="8"/>
        <v>83.868590040145534</v>
      </c>
      <c r="AB22" s="154">
        <f t="shared" si="9"/>
        <v>82.981280181985568</v>
      </c>
      <c r="AC22" s="154">
        <f t="shared" si="10"/>
        <v>78.364834334599792</v>
      </c>
      <c r="AD22" s="154">
        <f t="shared" si="11"/>
        <v>-8.8315640592591185E-2</v>
      </c>
      <c r="AE22" s="154">
        <f t="shared" si="12"/>
        <v>104.99199657100839</v>
      </c>
    </row>
    <row r="23" spans="1:31">
      <c r="A23" s="359" t="s">
        <v>764</v>
      </c>
      <c r="B23">
        <v>123349.6413</v>
      </c>
      <c r="C23">
        <v>0</v>
      </c>
      <c r="D23">
        <v>103667.5382</v>
      </c>
      <c r="E23">
        <v>0</v>
      </c>
      <c r="F23">
        <v>0</v>
      </c>
      <c r="G23">
        <v>0</v>
      </c>
      <c r="H23">
        <v>10296419.08327223</v>
      </c>
      <c r="I23">
        <v>15616433.956692491</v>
      </c>
      <c r="J23">
        <v>2737839.3154813205</v>
      </c>
      <c r="K23">
        <v>227017.1795</v>
      </c>
      <c r="L23">
        <v>119264.58351611</v>
      </c>
      <c r="M23">
        <v>117615.00527993999</v>
      </c>
      <c r="N23">
        <v>114612.67534535001</v>
      </c>
      <c r="O23">
        <v>107267.91997280998</v>
      </c>
      <c r="P23">
        <v>106138.35142302001</v>
      </c>
      <c r="Q23">
        <v>100123.99359484999</v>
      </c>
      <c r="R23">
        <v>1284.5143999999998</v>
      </c>
      <c r="T23" t="str">
        <f t="shared" si="1"/>
        <v>12</v>
      </c>
      <c r="U23" s="154">
        <f t="shared" si="2"/>
        <v>45.355241862972008</v>
      </c>
      <c r="V23" s="154">
        <f t="shared" si="3"/>
        <v>68.789657201659011</v>
      </c>
      <c r="W23" s="154">
        <f t="shared" si="4"/>
        <v>12.060053435212909</v>
      </c>
      <c r="X23" s="154">
        <f t="shared" si="5"/>
        <v>92.847992608031504</v>
      </c>
      <c r="Y23" s="154">
        <f t="shared" si="6"/>
        <v>91.563788837197933</v>
      </c>
      <c r="Z23" s="154">
        <f t="shared" si="7"/>
        <v>89.226462035264092</v>
      </c>
      <c r="AA23" s="154">
        <f t="shared" si="8"/>
        <v>83.508538302731367</v>
      </c>
      <c r="AB23" s="154">
        <f t="shared" si="9"/>
        <v>82.629164315339736</v>
      </c>
      <c r="AC23" s="154">
        <f t="shared" si="10"/>
        <v>77.946960808574829</v>
      </c>
      <c r="AD23" s="154">
        <f t="shared" si="11"/>
        <v>-9.1250226594309813E-2</v>
      </c>
      <c r="AE23" s="154">
        <f t="shared" si="12"/>
        <v>105.40407362269782</v>
      </c>
    </row>
    <row r="24" spans="1:31">
      <c r="A24" s="359" t="s">
        <v>765</v>
      </c>
      <c r="B24">
        <v>108260.8705</v>
      </c>
      <c r="C24">
        <v>0</v>
      </c>
      <c r="D24">
        <v>64921.303200000002</v>
      </c>
      <c r="E24">
        <v>0</v>
      </c>
      <c r="F24">
        <v>0</v>
      </c>
      <c r="G24">
        <v>0</v>
      </c>
      <c r="H24">
        <v>8207688.1553985802</v>
      </c>
      <c r="I24">
        <v>10605313.959170729</v>
      </c>
      <c r="J24">
        <v>2092857.5950778201</v>
      </c>
      <c r="K24">
        <v>173182.17369999998</v>
      </c>
      <c r="L24">
        <v>87597.047040590012</v>
      </c>
      <c r="M24">
        <v>86439.744095360002</v>
      </c>
      <c r="N24">
        <v>84894.125774789994</v>
      </c>
      <c r="O24">
        <v>80027.718151840003</v>
      </c>
      <c r="P24">
        <v>79135.856281360015</v>
      </c>
      <c r="Q24">
        <v>75247.830099769999</v>
      </c>
      <c r="R24">
        <v>939.86970000000019</v>
      </c>
      <c r="T24" t="str">
        <f t="shared" si="1"/>
        <v>13</v>
      </c>
      <c r="U24" s="154">
        <f t="shared" si="2"/>
        <v>47.393377621051194</v>
      </c>
      <c r="V24" s="154">
        <f t="shared" si="3"/>
        <v>61.237907647135216</v>
      </c>
      <c r="W24" s="154">
        <f t="shared" si="4"/>
        <v>12.084717210578702</v>
      </c>
      <c r="X24" s="154">
        <f t="shared" si="5"/>
        <v>93.201267197559403</v>
      </c>
      <c r="Y24" s="154">
        <f t="shared" si="6"/>
        <v>91.969923166328257</v>
      </c>
      <c r="Z24" s="154">
        <f t="shared" si="7"/>
        <v>90.325420401136427</v>
      </c>
      <c r="AA24" s="154">
        <f t="shared" si="8"/>
        <v>85.147673291138105</v>
      </c>
      <c r="AB24" s="154">
        <f t="shared" si="9"/>
        <v>84.198752530653977</v>
      </c>
      <c r="AC24" s="154">
        <f t="shared" si="10"/>
        <v>80.061981038190709</v>
      </c>
      <c r="AD24" s="154">
        <f t="shared" si="11"/>
        <v>-8.0344604343441706E-2</v>
      </c>
      <c r="AE24" s="154">
        <f t="shared" si="12"/>
        <v>104.31636421411883</v>
      </c>
    </row>
    <row r="25" spans="1:31">
      <c r="A25" s="359" t="s">
        <v>766</v>
      </c>
      <c r="B25">
        <v>109939.3137</v>
      </c>
      <c r="C25">
        <v>0</v>
      </c>
      <c r="D25">
        <v>65182.843799999995</v>
      </c>
      <c r="E25">
        <v>0</v>
      </c>
      <c r="F25">
        <v>0</v>
      </c>
      <c r="G25">
        <v>0</v>
      </c>
      <c r="H25">
        <v>8100348.5506383199</v>
      </c>
      <c r="I25">
        <v>10790391.340427199</v>
      </c>
      <c r="J25">
        <v>2136794.7410008595</v>
      </c>
      <c r="K25">
        <v>175122.15750000003</v>
      </c>
      <c r="L25">
        <v>91425.662004950005</v>
      </c>
      <c r="M25">
        <v>90071.645832170005</v>
      </c>
      <c r="N25">
        <v>88180.264867020014</v>
      </c>
      <c r="O25">
        <v>82976.712607049994</v>
      </c>
      <c r="P25">
        <v>82060.917931510005</v>
      </c>
      <c r="Q25">
        <v>77972.274790099982</v>
      </c>
      <c r="R25">
        <v>982.2373</v>
      </c>
      <c r="T25" t="str">
        <f t="shared" si="1"/>
        <v>14</v>
      </c>
      <c r="U25" s="154">
        <f t="shared" si="2"/>
        <v>46.255417739690188</v>
      </c>
      <c r="V25" s="154">
        <f t="shared" si="3"/>
        <v>61.616368222434659</v>
      </c>
      <c r="W25" s="154">
        <f t="shared" si="4"/>
        <v>12.201738326578457</v>
      </c>
      <c r="X25" s="154">
        <f t="shared" si="5"/>
        <v>93.078996292392887</v>
      </c>
      <c r="Y25" s="154">
        <f t="shared" si="6"/>
        <v>91.700494200505318</v>
      </c>
      <c r="Z25" s="154">
        <f t="shared" si="7"/>
        <v>89.774909654744334</v>
      </c>
      <c r="AA25" s="154">
        <f t="shared" si="8"/>
        <v>84.477256775984785</v>
      </c>
      <c r="AB25" s="154">
        <f t="shared" si="9"/>
        <v>83.544900943499101</v>
      </c>
      <c r="AC25" s="154">
        <f t="shared" si="10"/>
        <v>79.382319109750753</v>
      </c>
      <c r="AD25" s="154">
        <f t="shared" si="11"/>
        <v>-8.3639298574559581E-2</v>
      </c>
      <c r="AE25" s="154">
        <f t="shared" si="12"/>
        <v>104.51557921418309</v>
      </c>
    </row>
    <row r="26" spans="1:31">
      <c r="A26" s="359" t="s">
        <v>767</v>
      </c>
      <c r="B26">
        <v>98570.412899999996</v>
      </c>
      <c r="C26">
        <v>1071.1211000000001</v>
      </c>
      <c r="D26">
        <v>179987.20259999996</v>
      </c>
      <c r="E26">
        <v>0</v>
      </c>
      <c r="F26">
        <v>0</v>
      </c>
      <c r="G26">
        <v>0</v>
      </c>
      <c r="H26">
        <v>12030325.854640033</v>
      </c>
      <c r="I26">
        <v>19768913.593995765</v>
      </c>
      <c r="J26">
        <v>3455202.5468916595</v>
      </c>
      <c r="K26">
        <v>279628.7366</v>
      </c>
      <c r="L26">
        <v>134348.67531979998</v>
      </c>
      <c r="M26">
        <v>132797.06314214005</v>
      </c>
      <c r="N26">
        <v>129918.31563291</v>
      </c>
      <c r="O26">
        <v>122972.37771227001</v>
      </c>
      <c r="P26">
        <v>121761.89090404999</v>
      </c>
      <c r="Q26">
        <v>115301.64702280998</v>
      </c>
      <c r="R26">
        <v>1433.2191</v>
      </c>
      <c r="T26" t="str">
        <f t="shared" si="1"/>
        <v>15</v>
      </c>
      <c r="U26" s="154">
        <f t="shared" si="2"/>
        <v>43.022494758287415</v>
      </c>
      <c r="V26" s="154">
        <f t="shared" si="3"/>
        <v>70.697002870182715</v>
      </c>
      <c r="W26" s="154">
        <f t="shared" si="4"/>
        <v>12.356392940523193</v>
      </c>
      <c r="X26" s="154">
        <f t="shared" si="5"/>
        <v>93.739104732695779</v>
      </c>
      <c r="Y26" s="154">
        <f t="shared" si="6"/>
        <v>92.65649832753418</v>
      </c>
      <c r="Z26" s="154">
        <f t="shared" si="7"/>
        <v>90.64790975288426</v>
      </c>
      <c r="AA26" s="154">
        <f t="shared" si="8"/>
        <v>85.801520306469541</v>
      </c>
      <c r="AB26" s="154">
        <f t="shared" si="9"/>
        <v>84.956927314218731</v>
      </c>
      <c r="AC26" s="154">
        <f t="shared" si="10"/>
        <v>80.449421182574227</v>
      </c>
      <c r="AD26" s="154">
        <f t="shared" si="11"/>
        <v>-8.0523095764174088E-2</v>
      </c>
      <c r="AE26" s="154">
        <f t="shared" si="12"/>
        <v>104.91148549865727</v>
      </c>
    </row>
    <row r="27" spans="1:31">
      <c r="A27" s="359" t="s">
        <v>768</v>
      </c>
      <c r="B27">
        <v>63429.158499999998</v>
      </c>
      <c r="C27">
        <v>16015.121999999999</v>
      </c>
      <c r="D27">
        <v>166584.76060000001</v>
      </c>
      <c r="E27">
        <v>0</v>
      </c>
      <c r="F27">
        <v>0</v>
      </c>
      <c r="G27">
        <v>0</v>
      </c>
      <c r="H27">
        <v>10105334.802275578</v>
      </c>
      <c r="I27">
        <v>17408619.928821906</v>
      </c>
      <c r="J27">
        <v>3080621.8780281506</v>
      </c>
      <c r="K27">
        <v>246029.04109999997</v>
      </c>
      <c r="L27">
        <v>122195.99435523001</v>
      </c>
      <c r="M27">
        <v>120522.89305509003</v>
      </c>
      <c r="N27">
        <v>117403.61763006003</v>
      </c>
      <c r="O27">
        <v>110344.36087441001</v>
      </c>
      <c r="P27">
        <v>109157.50988142</v>
      </c>
      <c r="Q27">
        <v>103063.42473083</v>
      </c>
      <c r="R27">
        <v>1306.1707000000001</v>
      </c>
      <c r="T27" t="str">
        <f t="shared" si="1"/>
        <v>16</v>
      </c>
      <c r="U27" s="154">
        <f t="shared" si="2"/>
        <v>41.073747867708853</v>
      </c>
      <c r="V27" s="154">
        <f t="shared" si="3"/>
        <v>70.758394419568006</v>
      </c>
      <c r="W27" s="154">
        <f t="shared" si="4"/>
        <v>12.5213749736805</v>
      </c>
      <c r="X27" s="154">
        <f t="shared" si="5"/>
        <v>93.552852131218373</v>
      </c>
      <c r="Y27" s="154">
        <f t="shared" si="6"/>
        <v>92.271931268317388</v>
      </c>
      <c r="Z27" s="154">
        <f t="shared" si="7"/>
        <v>89.883824242926309</v>
      </c>
      <c r="AA27" s="154">
        <f t="shared" si="8"/>
        <v>84.479280445052083</v>
      </c>
      <c r="AB27" s="154">
        <f t="shared" si="9"/>
        <v>83.57063122103412</v>
      </c>
      <c r="AC27" s="154">
        <f t="shared" si="10"/>
        <v>78.905019635511636</v>
      </c>
      <c r="AD27" s="154">
        <f t="shared" si="11"/>
        <v>-8.9203358712753367E-2</v>
      </c>
      <c r="AE27" s="154">
        <f t="shared" si="12"/>
        <v>105.79869347433183</v>
      </c>
    </row>
    <row r="28" spans="1:31">
      <c r="A28" s="359" t="s">
        <v>769</v>
      </c>
      <c r="B28">
        <v>95369.732200000013</v>
      </c>
      <c r="C28">
        <v>12028.7917</v>
      </c>
      <c r="D28">
        <v>84769.918999999994</v>
      </c>
      <c r="E28">
        <v>0</v>
      </c>
      <c r="F28">
        <v>0</v>
      </c>
      <c r="G28">
        <v>0</v>
      </c>
      <c r="H28">
        <v>8121797.8870377997</v>
      </c>
      <c r="I28">
        <v>14624955.200116161</v>
      </c>
      <c r="J28">
        <v>2340152.3365618302</v>
      </c>
      <c r="K28">
        <v>192168.44289999999</v>
      </c>
      <c r="L28">
        <v>103629.20658422</v>
      </c>
      <c r="M28">
        <v>102003.04788862</v>
      </c>
      <c r="N28">
        <v>98861.031559909985</v>
      </c>
      <c r="O28">
        <v>92089.029447399982</v>
      </c>
      <c r="P28">
        <v>91090.197000680011</v>
      </c>
      <c r="Q28">
        <v>85715.871606829998</v>
      </c>
      <c r="R28">
        <v>1118.2604000000001</v>
      </c>
      <c r="T28" t="str">
        <f t="shared" si="1"/>
        <v>17</v>
      </c>
      <c r="U28" s="154">
        <f t="shared" si="2"/>
        <v>42.263952210219003</v>
      </c>
      <c r="V28" s="154">
        <f t="shared" si="3"/>
        <v>76.104874345714762</v>
      </c>
      <c r="W28" s="154">
        <f t="shared" si="4"/>
        <v>12.17760991995752</v>
      </c>
      <c r="X28" s="154">
        <f t="shared" si="5"/>
        <v>92.670013696469965</v>
      </c>
      <c r="Y28" s="154">
        <f t="shared" si="6"/>
        <v>91.215827627107231</v>
      </c>
      <c r="Z28" s="154">
        <f t="shared" si="7"/>
        <v>88.406091783192878</v>
      </c>
      <c r="AA28" s="154">
        <f t="shared" si="8"/>
        <v>82.350255313878563</v>
      </c>
      <c r="AB28" s="154">
        <f t="shared" si="9"/>
        <v>81.457053295171676</v>
      </c>
      <c r="AC28" s="154">
        <f t="shared" si="10"/>
        <v>76.651083778724512</v>
      </c>
      <c r="AD28" s="154">
        <f t="shared" si="11"/>
        <v>-9.8214706494129236E-2</v>
      </c>
      <c r="AE28" s="154">
        <f t="shared" si="12"/>
        <v>106.03436859294419</v>
      </c>
    </row>
    <row r="29" spans="1:31">
      <c r="A29" s="359" t="s">
        <v>770</v>
      </c>
      <c r="B29">
        <v>112984.7803</v>
      </c>
      <c r="C29">
        <v>12002.1415</v>
      </c>
      <c r="D29">
        <v>77452.782699999996</v>
      </c>
      <c r="E29">
        <v>0</v>
      </c>
      <c r="F29">
        <v>0</v>
      </c>
      <c r="G29">
        <v>0</v>
      </c>
      <c r="H29">
        <v>8798249.6450015698</v>
      </c>
      <c r="I29">
        <v>15447219.08899335</v>
      </c>
      <c r="J29">
        <v>2459416.3370069801</v>
      </c>
      <c r="K29">
        <v>202439.70450000002</v>
      </c>
      <c r="L29">
        <v>109623.23905467</v>
      </c>
      <c r="M29">
        <v>107623.10383352</v>
      </c>
      <c r="N29">
        <v>103964.69072905001</v>
      </c>
      <c r="O29">
        <v>95790.406719389997</v>
      </c>
      <c r="P29">
        <v>94619.376017569986</v>
      </c>
      <c r="Q29">
        <v>88578.597331289988</v>
      </c>
      <c r="R29">
        <v>1179.8288000000002</v>
      </c>
      <c r="T29" t="str">
        <f t="shared" si="1"/>
        <v>18</v>
      </c>
      <c r="U29" s="154">
        <f t="shared" si="2"/>
        <v>43.461087175226382</v>
      </c>
      <c r="V29" s="154">
        <f t="shared" si="3"/>
        <v>76.305283724583532</v>
      </c>
      <c r="W29" s="154">
        <f t="shared" si="4"/>
        <v>12.1488832592471</v>
      </c>
      <c r="X29" s="154">
        <f t="shared" si="5"/>
        <v>92.91453052736972</v>
      </c>
      <c r="Y29" s="154">
        <f t="shared" si="6"/>
        <v>91.219254720278045</v>
      </c>
      <c r="Z29" s="154">
        <f t="shared" si="7"/>
        <v>88.118454752969242</v>
      </c>
      <c r="AA29" s="154">
        <f t="shared" si="8"/>
        <v>81.190090222742469</v>
      </c>
      <c r="AB29" s="154">
        <f t="shared" si="9"/>
        <v>80.197547320060309</v>
      </c>
      <c r="AC29" s="154">
        <f t="shared" si="10"/>
        <v>75.077500507946553</v>
      </c>
      <c r="AD29" s="154">
        <f t="shared" si="11"/>
        <v>-0.10987792534956262</v>
      </c>
      <c r="AE29" s="154">
        <f t="shared" si="12"/>
        <v>107.8056550359611</v>
      </c>
    </row>
    <row r="30" spans="1:31">
      <c r="A30" s="359" t="s">
        <v>771</v>
      </c>
      <c r="B30">
        <v>200001.42800000001</v>
      </c>
      <c r="C30">
        <v>13996.7173</v>
      </c>
      <c r="D30">
        <v>89807.043600000005</v>
      </c>
      <c r="E30">
        <v>0</v>
      </c>
      <c r="F30">
        <v>0</v>
      </c>
      <c r="G30">
        <v>0</v>
      </c>
      <c r="H30">
        <v>14463761.843011519</v>
      </c>
      <c r="I30">
        <v>22021949.976851173</v>
      </c>
      <c r="J30">
        <v>3575164.9277110603</v>
      </c>
      <c r="K30">
        <v>303805.18890000007</v>
      </c>
      <c r="L30">
        <v>166703.60722962997</v>
      </c>
      <c r="M30">
        <v>164065.22774107999</v>
      </c>
      <c r="N30">
        <v>158792.25880390001</v>
      </c>
      <c r="O30">
        <v>147479.35357668003</v>
      </c>
      <c r="P30">
        <v>145816.20349739</v>
      </c>
      <c r="Q30">
        <v>136946.60187961001</v>
      </c>
      <c r="R30">
        <v>1793.5936999999997</v>
      </c>
      <c r="T30" t="str">
        <f t="shared" si="1"/>
        <v>19</v>
      </c>
      <c r="U30" s="154">
        <f t="shared" si="2"/>
        <v>47.608672832024546</v>
      </c>
      <c r="V30" s="154">
        <f t="shared" si="3"/>
        <v>72.487076526200724</v>
      </c>
      <c r="W30" s="154">
        <f t="shared" si="4"/>
        <v>11.76795215597142</v>
      </c>
      <c r="X30" s="154">
        <f t="shared" si="5"/>
        <v>92.943907658479176</v>
      </c>
      <c r="Y30" s="154">
        <f t="shared" si="6"/>
        <v>91.472905898966985</v>
      </c>
      <c r="Z30" s="154">
        <f t="shared" si="7"/>
        <v>88.533015478310418</v>
      </c>
      <c r="AA30" s="154">
        <f t="shared" si="8"/>
        <v>82.22561975807568</v>
      </c>
      <c r="AB30" s="154">
        <f t="shared" si="9"/>
        <v>81.298347277530041</v>
      </c>
      <c r="AC30" s="154">
        <f t="shared" si="10"/>
        <v>76.353190736346832</v>
      </c>
      <c r="AD30" s="154">
        <f t="shared" si="11"/>
        <v>-0.10193939218395645</v>
      </c>
      <c r="AE30" s="154">
        <f t="shared" si="12"/>
        <v>106.82746713049042</v>
      </c>
    </row>
    <row r="31" spans="1:31">
      <c r="A31" s="359" t="s">
        <v>772</v>
      </c>
      <c r="B31">
        <v>220673.60370000001</v>
      </c>
      <c r="C31">
        <v>0</v>
      </c>
      <c r="D31">
        <v>70360.2785</v>
      </c>
      <c r="E31">
        <v>0</v>
      </c>
      <c r="F31">
        <v>0</v>
      </c>
      <c r="G31">
        <v>0</v>
      </c>
      <c r="H31">
        <v>13644248.913994828</v>
      </c>
      <c r="I31">
        <v>20372291.552900426</v>
      </c>
      <c r="J31">
        <v>3461437.6875519804</v>
      </c>
      <c r="K31">
        <v>291033.88219999999</v>
      </c>
      <c r="L31">
        <v>145912.85297086998</v>
      </c>
      <c r="M31">
        <v>143835.17553757</v>
      </c>
      <c r="N31">
        <v>139718.27221130999</v>
      </c>
      <c r="O31">
        <v>130573.83845267</v>
      </c>
      <c r="P31">
        <v>129176.12398815001</v>
      </c>
      <c r="Q31">
        <v>121934.89772710999</v>
      </c>
      <c r="R31">
        <v>1570.3389999999999</v>
      </c>
      <c r="T31" t="str">
        <f t="shared" si="1"/>
        <v>20</v>
      </c>
      <c r="U31" s="154">
        <f t="shared" si="2"/>
        <v>46.881994669673645</v>
      </c>
      <c r="V31" s="154">
        <f t="shared" si="3"/>
        <v>69.999724426932815</v>
      </c>
      <c r="W31" s="154">
        <f t="shared" si="4"/>
        <v>11.893590056889879</v>
      </c>
      <c r="X31" s="154">
        <f t="shared" si="5"/>
        <v>92.918059712501559</v>
      </c>
      <c r="Y31" s="154">
        <f t="shared" si="6"/>
        <v>91.594983973250365</v>
      </c>
      <c r="Z31" s="154">
        <f t="shared" si="7"/>
        <v>88.973318634581446</v>
      </c>
      <c r="AA31" s="154">
        <f t="shared" si="8"/>
        <v>83.150095904559464</v>
      </c>
      <c r="AB31" s="154">
        <f t="shared" si="9"/>
        <v>82.260024101897756</v>
      </c>
      <c r="AC31" s="154">
        <f t="shared" si="10"/>
        <v>77.648773753380638</v>
      </c>
      <c r="AD31" s="154">
        <f t="shared" si="11"/>
        <v>-9.3812304461536739E-2</v>
      </c>
      <c r="AE31" s="154">
        <f t="shared" si="12"/>
        <v>105.74455379805383</v>
      </c>
    </row>
    <row r="32" spans="1:31">
      <c r="A32" s="359" t="s">
        <v>773</v>
      </c>
      <c r="B32">
        <v>222549.5894</v>
      </c>
      <c r="C32">
        <v>681.42809999999997</v>
      </c>
      <c r="D32">
        <v>10251.511500000001</v>
      </c>
      <c r="E32">
        <v>0</v>
      </c>
      <c r="F32">
        <v>0</v>
      </c>
      <c r="G32">
        <v>0</v>
      </c>
      <c r="H32">
        <v>11828555.722099358</v>
      </c>
      <c r="I32">
        <v>15049236.548729701</v>
      </c>
      <c r="J32">
        <v>2658928.8361162101</v>
      </c>
      <c r="K32">
        <v>233482.52900000001</v>
      </c>
      <c r="L32">
        <v>102996.76872369999</v>
      </c>
      <c r="M32">
        <v>101759.18581272999</v>
      </c>
      <c r="N32">
        <v>99461.472741050005</v>
      </c>
      <c r="O32">
        <v>94573.836481850012</v>
      </c>
      <c r="P32">
        <v>93777.230375230007</v>
      </c>
      <c r="Q32">
        <v>89340.216799600006</v>
      </c>
      <c r="R32">
        <v>1120.2831000000001</v>
      </c>
      <c r="T32" t="str">
        <f t="shared" si="1"/>
        <v>21</v>
      </c>
      <c r="U32" s="154">
        <f t="shared" si="2"/>
        <v>50.661416821039133</v>
      </c>
      <c r="V32" s="154">
        <f t="shared" si="3"/>
        <v>64.455514565416152</v>
      </c>
      <c r="W32" s="154">
        <f t="shared" si="4"/>
        <v>11.388127614962617</v>
      </c>
      <c r="X32" s="154">
        <f t="shared" si="5"/>
        <v>91.938161634054808</v>
      </c>
      <c r="Y32" s="154">
        <f t="shared" si="6"/>
        <v>90.833456126161309</v>
      </c>
      <c r="Z32" s="154">
        <f t="shared" si="7"/>
        <v>88.78244502755598</v>
      </c>
      <c r="AA32" s="154">
        <f t="shared" si="8"/>
        <v>84.419586872148656</v>
      </c>
      <c r="AB32" s="154">
        <f t="shared" si="9"/>
        <v>83.708511156894176</v>
      </c>
      <c r="AC32" s="154">
        <f t="shared" si="10"/>
        <v>79.747893009900793</v>
      </c>
      <c r="AD32" s="154">
        <f t="shared" si="11"/>
        <v>-7.3773739686094866E-2</v>
      </c>
      <c r="AE32" s="154">
        <f t="shared" si="12"/>
        <v>102.02727410202283</v>
      </c>
    </row>
    <row r="33" spans="1:31">
      <c r="A33" s="359" t="s">
        <v>774</v>
      </c>
      <c r="B33">
        <v>224479.47219999999</v>
      </c>
      <c r="C33">
        <v>0.23469999999999999</v>
      </c>
      <c r="D33">
        <v>22506.702200000003</v>
      </c>
      <c r="E33">
        <v>0</v>
      </c>
      <c r="F33">
        <v>0</v>
      </c>
      <c r="G33">
        <v>0</v>
      </c>
      <c r="H33">
        <v>12449433.328390092</v>
      </c>
      <c r="I33">
        <v>15378784.972992241</v>
      </c>
      <c r="J33">
        <v>2872415.7033357802</v>
      </c>
      <c r="K33">
        <v>246986.40909999999</v>
      </c>
      <c r="L33">
        <v>91558.171147450004</v>
      </c>
      <c r="M33">
        <v>90296.340374959997</v>
      </c>
      <c r="N33">
        <v>88151.59172662998</v>
      </c>
      <c r="O33">
        <v>83060.521997309988</v>
      </c>
      <c r="P33">
        <v>82187.571713730009</v>
      </c>
      <c r="Q33">
        <v>77936.203032300007</v>
      </c>
      <c r="R33">
        <v>992.70349999999985</v>
      </c>
      <c r="T33" t="str">
        <f t="shared" si="1"/>
        <v>22</v>
      </c>
      <c r="U33" s="154">
        <f t="shared" si="2"/>
        <v>50.405337580132027</v>
      </c>
      <c r="V33" s="154">
        <f t="shared" si="3"/>
        <v>62.26571344160751</v>
      </c>
      <c r="W33" s="154">
        <f t="shared" si="4"/>
        <v>11.62985329355833</v>
      </c>
      <c r="X33" s="154">
        <f t="shared" si="5"/>
        <v>92.231135628563834</v>
      </c>
      <c r="Y33" s="154">
        <f t="shared" si="6"/>
        <v>90.960030235573882</v>
      </c>
      <c r="Z33" s="154">
        <f t="shared" si="7"/>
        <v>88.799517405378339</v>
      </c>
      <c r="AA33" s="154">
        <f t="shared" si="8"/>
        <v>83.671027650562323</v>
      </c>
      <c r="AB33" s="154">
        <f t="shared" si="9"/>
        <v>82.791661068717929</v>
      </c>
      <c r="AC33" s="154">
        <f t="shared" si="10"/>
        <v>78.509044273844125</v>
      </c>
      <c r="AD33" s="154">
        <f t="shared" si="11"/>
        <v>-8.3630780670080257E-2</v>
      </c>
      <c r="AE33" s="154">
        <f t="shared" si="12"/>
        <v>103.68105126082187</v>
      </c>
    </row>
    <row r="34" spans="1:31">
      <c r="A34" s="359" t="s">
        <v>775</v>
      </c>
      <c r="B34">
        <v>157164.3725</v>
      </c>
      <c r="C34">
        <v>0</v>
      </c>
      <c r="D34">
        <v>40944.9306</v>
      </c>
      <c r="E34">
        <v>0</v>
      </c>
      <c r="F34">
        <v>0</v>
      </c>
      <c r="G34">
        <v>0</v>
      </c>
      <c r="H34">
        <v>10089009.736976681</v>
      </c>
      <c r="I34">
        <v>12238874.030633073</v>
      </c>
      <c r="J34">
        <v>2312142.0485980404</v>
      </c>
      <c r="K34">
        <v>198109.30309999999</v>
      </c>
      <c r="L34">
        <v>78024.514998900006</v>
      </c>
      <c r="M34">
        <v>76785.607154320009</v>
      </c>
      <c r="N34">
        <v>74731.457977210011</v>
      </c>
      <c r="O34">
        <v>70009.648754220005</v>
      </c>
      <c r="P34">
        <v>69167.792214970003</v>
      </c>
      <c r="Q34">
        <v>65237.610028270014</v>
      </c>
      <c r="R34">
        <v>839.76099999999997</v>
      </c>
      <c r="T34" t="str">
        <f t="shared" si="1"/>
        <v>23</v>
      </c>
      <c r="U34" s="154">
        <f t="shared" si="2"/>
        <v>50.926481387317956</v>
      </c>
      <c r="V34" s="154">
        <f t="shared" si="3"/>
        <v>61.778391216969929</v>
      </c>
      <c r="W34" s="154">
        <f t="shared" si="4"/>
        <v>11.671042260094854</v>
      </c>
      <c r="X34" s="154">
        <f t="shared" si="5"/>
        <v>92.912763273002682</v>
      </c>
      <c r="Y34" s="154">
        <f t="shared" si="6"/>
        <v>91.437453220999799</v>
      </c>
      <c r="Z34" s="154">
        <f t="shared" si="7"/>
        <v>88.991341556954907</v>
      </c>
      <c r="AA34" s="154">
        <f t="shared" si="8"/>
        <v>83.368540280174969</v>
      </c>
      <c r="AB34" s="154">
        <f t="shared" si="9"/>
        <v>82.366044880591033</v>
      </c>
      <c r="AC34" s="154">
        <f t="shared" si="10"/>
        <v>77.685924957541516</v>
      </c>
      <c r="AD34" s="154">
        <f t="shared" si="11"/>
        <v>-9.2659741769946E-2</v>
      </c>
      <c r="AE34" s="154">
        <f t="shared" si="12"/>
        <v>105.53922726234784</v>
      </c>
    </row>
    <row r="35" spans="1:31">
      <c r="A35" s="359" t="s">
        <v>776</v>
      </c>
      <c r="B35">
        <v>122725.85920000001</v>
      </c>
      <c r="C35">
        <v>0</v>
      </c>
      <c r="D35">
        <v>18451.060400000002</v>
      </c>
      <c r="E35">
        <v>0</v>
      </c>
      <c r="F35">
        <v>0</v>
      </c>
      <c r="G35">
        <v>0</v>
      </c>
      <c r="H35">
        <v>7209016.6013479298</v>
      </c>
      <c r="I35">
        <v>8973658.0423521996</v>
      </c>
      <c r="J35">
        <v>1636149.1024099803</v>
      </c>
      <c r="K35">
        <v>141176.91959999999</v>
      </c>
      <c r="L35">
        <v>64644.117676399997</v>
      </c>
      <c r="M35">
        <v>63760.205399200007</v>
      </c>
      <c r="N35">
        <v>62196.575087679994</v>
      </c>
      <c r="O35">
        <v>58494.053728580002</v>
      </c>
      <c r="P35">
        <v>57905.762215809998</v>
      </c>
      <c r="Q35">
        <v>54647.631836029992</v>
      </c>
      <c r="R35">
        <v>697.49540000000002</v>
      </c>
      <c r="T35" t="str">
        <f t="shared" si="1"/>
        <v>24</v>
      </c>
      <c r="U35" s="154">
        <f t="shared" si="2"/>
        <v>51.063705184766832</v>
      </c>
      <c r="V35" s="154">
        <f t="shared" si="3"/>
        <v>63.56320897054195</v>
      </c>
      <c r="W35" s="154">
        <f t="shared" si="4"/>
        <v>11.589352615468034</v>
      </c>
      <c r="X35" s="154">
        <f t="shared" si="5"/>
        <v>92.68034982940388</v>
      </c>
      <c r="Y35" s="154">
        <f t="shared" si="6"/>
        <v>91.413083726717062</v>
      </c>
      <c r="Z35" s="154">
        <f t="shared" si="7"/>
        <v>89.171305054743002</v>
      </c>
      <c r="AA35" s="154">
        <f t="shared" si="8"/>
        <v>83.862995696573776</v>
      </c>
      <c r="AB35" s="154">
        <f t="shared" si="9"/>
        <v>83.019561441996601</v>
      </c>
      <c r="AC35" s="154">
        <f t="shared" si="10"/>
        <v>78.348375969260857</v>
      </c>
      <c r="AD35" s="154">
        <f t="shared" si="11"/>
        <v>-8.7054985246451833E-2</v>
      </c>
      <c r="AE35" s="154">
        <f t="shared" si="12"/>
        <v>104.65396469558084</v>
      </c>
    </row>
    <row r="36" spans="1:31">
      <c r="A36" s="359" t="s">
        <v>777</v>
      </c>
      <c r="B36">
        <v>137034.4645</v>
      </c>
      <c r="C36">
        <v>0</v>
      </c>
      <c r="D36">
        <v>0</v>
      </c>
      <c r="E36">
        <v>0</v>
      </c>
      <c r="F36">
        <v>0</v>
      </c>
      <c r="G36">
        <v>0</v>
      </c>
      <c r="H36">
        <v>7135068.2126132501</v>
      </c>
      <c r="I36">
        <v>8099424.9118582504</v>
      </c>
      <c r="J36">
        <v>1584349.47921276</v>
      </c>
      <c r="K36">
        <v>137034.4645</v>
      </c>
      <c r="L36">
        <v>68723.104273619989</v>
      </c>
      <c r="M36">
        <v>67867.78621495</v>
      </c>
      <c r="N36">
        <v>66478.698987369993</v>
      </c>
      <c r="O36">
        <v>62825.086649199999</v>
      </c>
      <c r="P36">
        <v>62219.837722419994</v>
      </c>
      <c r="Q36">
        <v>59213.509642949997</v>
      </c>
      <c r="R36">
        <v>748.34050000000002</v>
      </c>
      <c r="T36" t="str">
        <f t="shared" si="1"/>
        <v>25</v>
      </c>
      <c r="U36" s="154">
        <f t="shared" si="2"/>
        <v>52.067691428189953</v>
      </c>
      <c r="V36" s="154">
        <f t="shared" si="3"/>
        <v>59.105021071967265</v>
      </c>
      <c r="W36" s="154">
        <f t="shared" si="4"/>
        <v>11.561686215169322</v>
      </c>
      <c r="X36" s="154">
        <f t="shared" si="5"/>
        <v>91.8340037370956</v>
      </c>
      <c r="Y36" s="154">
        <f t="shared" si="6"/>
        <v>90.691050684748447</v>
      </c>
      <c r="Z36" s="154">
        <f t="shared" si="7"/>
        <v>88.834827177427911</v>
      </c>
      <c r="AA36" s="154">
        <f t="shared" si="8"/>
        <v>83.952541188402876</v>
      </c>
      <c r="AB36" s="154">
        <f t="shared" si="9"/>
        <v>83.143753040788241</v>
      </c>
      <c r="AC36" s="154">
        <f t="shared" si="10"/>
        <v>79.126426597184036</v>
      </c>
      <c r="AD36" s="154">
        <f t="shared" si="11"/>
        <v>-7.7635250371935888E-2</v>
      </c>
      <c r="AE36" s="154">
        <f t="shared" si="12"/>
        <v>102.52835202386176</v>
      </c>
    </row>
    <row r="37" spans="1:31">
      <c r="A37" s="359" t="s">
        <v>778</v>
      </c>
      <c r="B37">
        <v>185395.21039999998</v>
      </c>
      <c r="C37">
        <v>0</v>
      </c>
      <c r="D37">
        <v>0</v>
      </c>
      <c r="E37">
        <v>0</v>
      </c>
      <c r="F37">
        <v>0</v>
      </c>
      <c r="G37">
        <v>0</v>
      </c>
      <c r="H37">
        <v>9269946.9506293405</v>
      </c>
      <c r="I37">
        <v>10634747.7591119</v>
      </c>
      <c r="J37">
        <v>2183636.17805601</v>
      </c>
      <c r="K37">
        <v>185395.21039999998</v>
      </c>
      <c r="L37">
        <v>99028.954547419999</v>
      </c>
      <c r="M37">
        <v>97617.62307269001</v>
      </c>
      <c r="N37">
        <v>95477.658609720005</v>
      </c>
      <c r="O37">
        <v>89825.72944476</v>
      </c>
      <c r="P37">
        <v>88811.909748620004</v>
      </c>
      <c r="Q37">
        <v>84396.372776329998</v>
      </c>
      <c r="R37">
        <v>1082.0367999999999</v>
      </c>
      <c r="T37" t="str">
        <f t="shared" si="1"/>
        <v>26</v>
      </c>
      <c r="U37" s="154">
        <f t="shared" si="2"/>
        <v>50.001005584928215</v>
      </c>
      <c r="V37" s="154">
        <f t="shared" si="3"/>
        <v>57.362580921949757</v>
      </c>
      <c r="W37" s="154">
        <f t="shared" si="4"/>
        <v>11.778277191437143</v>
      </c>
      <c r="X37" s="154">
        <f t="shared" si="5"/>
        <v>91.520874842168041</v>
      </c>
      <c r="Y37" s="154">
        <f t="shared" si="6"/>
        <v>90.216546306641348</v>
      </c>
      <c r="Z37" s="154">
        <f t="shared" si="7"/>
        <v>88.2388275608741</v>
      </c>
      <c r="AA37" s="154">
        <f t="shared" si="8"/>
        <v>83.015410792645881</v>
      </c>
      <c r="AB37" s="154">
        <f t="shared" si="9"/>
        <v>82.078455879337952</v>
      </c>
      <c r="AC37" s="154">
        <f t="shared" si="10"/>
        <v>77.997691738700581</v>
      </c>
      <c r="AD37" s="154">
        <f t="shared" si="11"/>
        <v>-8.2793036333708978E-2</v>
      </c>
      <c r="AE37" s="154">
        <f t="shared" si="12"/>
        <v>102.85644229864</v>
      </c>
    </row>
    <row r="38" spans="1:31">
      <c r="A38" s="359" t="s">
        <v>779</v>
      </c>
      <c r="B38">
        <v>198326.90119999999</v>
      </c>
      <c r="C38">
        <v>17633.007000000001</v>
      </c>
      <c r="D38">
        <v>2079.7826</v>
      </c>
      <c r="E38">
        <v>0</v>
      </c>
      <c r="F38">
        <v>0</v>
      </c>
      <c r="G38">
        <v>0</v>
      </c>
      <c r="H38">
        <v>10915096.605404081</v>
      </c>
      <c r="I38">
        <v>12725519.856997481</v>
      </c>
      <c r="J38">
        <v>2543649.3357588602</v>
      </c>
      <c r="K38">
        <v>218039.69079999998</v>
      </c>
      <c r="L38">
        <v>122374.62789704002</v>
      </c>
      <c r="M38">
        <v>120423.9635212</v>
      </c>
      <c r="N38">
        <v>117605.24935818999</v>
      </c>
      <c r="O38">
        <v>110274.52418047001</v>
      </c>
      <c r="P38">
        <v>108919.12088273</v>
      </c>
      <c r="Q38">
        <v>102947.85636162001</v>
      </c>
      <c r="R38">
        <v>1329.8161</v>
      </c>
      <c r="T38" t="str">
        <f t="shared" si="1"/>
        <v>27</v>
      </c>
      <c r="U38" s="154">
        <f t="shared" si="2"/>
        <v>50.060136140149403</v>
      </c>
      <c r="V38" s="154">
        <f t="shared" si="3"/>
        <v>58.363318211958692</v>
      </c>
      <c r="W38" s="154">
        <f t="shared" si="4"/>
        <v>11.6659922164908</v>
      </c>
      <c r="X38" s="154">
        <f t="shared" si="5"/>
        <v>92.023722601222843</v>
      </c>
      <c r="Y38" s="154">
        <f t="shared" si="6"/>
        <v>90.556854832183191</v>
      </c>
      <c r="Z38" s="154">
        <f t="shared" si="7"/>
        <v>88.437227792767729</v>
      </c>
      <c r="AA38" s="154">
        <f t="shared" si="8"/>
        <v>82.924642121921977</v>
      </c>
      <c r="AB38" s="154">
        <f t="shared" si="9"/>
        <v>81.905400966893097</v>
      </c>
      <c r="AC38" s="154">
        <f t="shared" si="10"/>
        <v>77.415107518716312</v>
      </c>
      <c r="AD38" s="154">
        <f t="shared" si="11"/>
        <v>-8.8915110349704424E-2</v>
      </c>
      <c r="AE38" s="154">
        <f t="shared" si="12"/>
        <v>104.17154159054728</v>
      </c>
    </row>
    <row r="39" spans="1:31">
      <c r="A39" s="359" t="s">
        <v>780</v>
      </c>
      <c r="B39">
        <v>167960.26689999999</v>
      </c>
      <c r="C39">
        <v>27539.866399999999</v>
      </c>
      <c r="D39">
        <v>3192.3242</v>
      </c>
      <c r="E39">
        <v>33596.92</v>
      </c>
      <c r="F39">
        <v>38.5533</v>
      </c>
      <c r="G39">
        <v>1648.7773</v>
      </c>
      <c r="H39">
        <v>10655450.631012121</v>
      </c>
      <c r="I39">
        <v>14671648.791268919</v>
      </c>
      <c r="J39">
        <v>2722557.6547984299</v>
      </c>
      <c r="K39">
        <v>233976.70809999999</v>
      </c>
      <c r="L39">
        <v>132217.46468490001</v>
      </c>
      <c r="M39">
        <v>130332.09827776998</v>
      </c>
      <c r="N39">
        <v>127739.28425262001</v>
      </c>
      <c r="O39">
        <v>120348.65432667</v>
      </c>
      <c r="P39">
        <v>118982.80375010001</v>
      </c>
      <c r="Q39">
        <v>112980.94721606</v>
      </c>
      <c r="R39">
        <v>1425.6966</v>
      </c>
      <c r="T39" t="str">
        <f t="shared" si="1"/>
        <v>28</v>
      </c>
      <c r="U39" s="154">
        <f t="shared" si="2"/>
        <v>45.540646834205639</v>
      </c>
      <c r="V39" s="154">
        <f t="shared" si="3"/>
        <v>62.705595400540297</v>
      </c>
      <c r="W39" s="154">
        <f t="shared" si="4"/>
        <v>11.636019999199357</v>
      </c>
      <c r="X39" s="154">
        <f t="shared" si="5"/>
        <v>92.738851088583658</v>
      </c>
      <c r="Y39" s="154">
        <f t="shared" si="6"/>
        <v>91.416433396677789</v>
      </c>
      <c r="Z39" s="154">
        <f t="shared" si="7"/>
        <v>89.597803805255623</v>
      </c>
      <c r="AA39" s="154">
        <f t="shared" si="8"/>
        <v>84.413930935003989</v>
      </c>
      <c r="AB39" s="154">
        <f t="shared" si="9"/>
        <v>83.455907624455307</v>
      </c>
      <c r="AC39" s="154">
        <f t="shared" si="10"/>
        <v>79.246136391192906</v>
      </c>
      <c r="AD39" s="154">
        <f t="shared" si="11"/>
        <v>-8.2223238652241584E-2</v>
      </c>
      <c r="AE39" s="154">
        <f t="shared" si="12"/>
        <v>104.03727903783948</v>
      </c>
    </row>
    <row r="40" spans="1:31">
      <c r="A40" s="359" t="s">
        <v>781</v>
      </c>
      <c r="B40">
        <v>144470.6911</v>
      </c>
      <c r="C40">
        <v>44534.463100000001</v>
      </c>
      <c r="D40">
        <v>16120.3843</v>
      </c>
      <c r="E40">
        <v>33328.475200000001</v>
      </c>
      <c r="F40">
        <v>0</v>
      </c>
      <c r="G40">
        <v>0</v>
      </c>
      <c r="H40">
        <v>10695020.59586462</v>
      </c>
      <c r="I40">
        <v>16077809.256765399</v>
      </c>
      <c r="J40">
        <v>2852475.8897507102</v>
      </c>
      <c r="K40">
        <v>238454.01370000001</v>
      </c>
      <c r="L40">
        <v>141676.26092210997</v>
      </c>
      <c r="M40">
        <v>139680.40140768001</v>
      </c>
      <c r="N40">
        <v>136992.77217330001</v>
      </c>
      <c r="O40">
        <v>128648.72602250001</v>
      </c>
      <c r="P40">
        <v>127165.14229178999</v>
      </c>
      <c r="Q40">
        <v>120973.18033065999</v>
      </c>
      <c r="R40">
        <v>1517.8563000000001</v>
      </c>
      <c r="T40" t="str">
        <f t="shared" si="1"/>
        <v>29</v>
      </c>
      <c r="U40" s="154">
        <f t="shared" si="2"/>
        <v>44.851501679145862</v>
      </c>
      <c r="V40" s="154">
        <f t="shared" si="3"/>
        <v>67.425198709353481</v>
      </c>
      <c r="W40" s="154">
        <f t="shared" si="4"/>
        <v>11.962373144783472</v>
      </c>
      <c r="X40" s="154">
        <f t="shared" si="5"/>
        <v>93.339706085556287</v>
      </c>
      <c r="Y40" s="154">
        <f t="shared" si="6"/>
        <v>92.024786145882189</v>
      </c>
      <c r="Z40" s="154">
        <f t="shared" si="7"/>
        <v>90.254111784692654</v>
      </c>
      <c r="AA40" s="154">
        <f t="shared" si="8"/>
        <v>84.756854797453485</v>
      </c>
      <c r="AB40" s="154">
        <f t="shared" si="9"/>
        <v>83.779434385053435</v>
      </c>
      <c r="AC40" s="154">
        <f t="shared" si="10"/>
        <v>79.700021886564613</v>
      </c>
      <c r="AD40" s="154">
        <f t="shared" si="11"/>
        <v>-8.3911228485138253E-2</v>
      </c>
      <c r="AE40" s="154">
        <f t="shared" si="12"/>
        <v>104.8885548818369</v>
      </c>
    </row>
    <row r="41" spans="1:31">
      <c r="A41" s="359" t="s">
        <v>782</v>
      </c>
      <c r="B41">
        <v>183773.89919999999</v>
      </c>
      <c r="C41">
        <v>10169.6152</v>
      </c>
      <c r="D41">
        <v>66505.534299999999</v>
      </c>
      <c r="E41">
        <v>2456.8843999999999</v>
      </c>
      <c r="F41">
        <v>0</v>
      </c>
      <c r="G41">
        <v>0</v>
      </c>
      <c r="H41">
        <v>11645233.47071366</v>
      </c>
      <c r="I41">
        <v>17186387.495362557</v>
      </c>
      <c r="J41">
        <v>3135557.7252240097</v>
      </c>
      <c r="K41">
        <v>262905.93309999997</v>
      </c>
      <c r="L41">
        <v>152922.89068849001</v>
      </c>
      <c r="M41">
        <v>150712.56552028001</v>
      </c>
      <c r="N41">
        <v>147706.09585034999</v>
      </c>
      <c r="O41">
        <v>138689.70827743999</v>
      </c>
      <c r="P41">
        <v>137072.78261507</v>
      </c>
      <c r="Q41">
        <v>130432.06089133001</v>
      </c>
      <c r="R41">
        <v>1632.819</v>
      </c>
      <c r="T41" t="str">
        <f t="shared" si="1"/>
        <v>30</v>
      </c>
      <c r="U41" s="154">
        <f t="shared" si="2"/>
        <v>44.294296950248864</v>
      </c>
      <c r="V41" s="154">
        <f t="shared" si="3"/>
        <v>65.370862090150979</v>
      </c>
      <c r="W41" s="154">
        <f t="shared" si="4"/>
        <v>11.926538470439754</v>
      </c>
      <c r="X41" s="154">
        <f t="shared" si="5"/>
        <v>93.655751610245844</v>
      </c>
      <c r="Y41" s="154">
        <f t="shared" si="6"/>
        <v>92.302065030037014</v>
      </c>
      <c r="Z41" s="154">
        <f t="shared" si="7"/>
        <v>90.460789499846584</v>
      </c>
      <c r="AA41" s="154">
        <f t="shared" si="8"/>
        <v>84.938813351290008</v>
      </c>
      <c r="AB41" s="154">
        <f t="shared" si="9"/>
        <v>83.948547031281478</v>
      </c>
      <c r="AC41" s="154">
        <f t="shared" si="10"/>
        <v>79.881518338119548</v>
      </c>
      <c r="AD41" s="154">
        <f t="shared" si="11"/>
        <v>-8.4727978445450283E-2</v>
      </c>
      <c r="AE41" s="154">
        <f t="shared" si="12"/>
        <v>105.28175896112525</v>
      </c>
    </row>
    <row r="42" spans="1:31">
      <c r="A42" s="359" t="s">
        <v>783</v>
      </c>
      <c r="B42">
        <v>201732.77990000002</v>
      </c>
      <c r="C42">
        <v>0</v>
      </c>
      <c r="D42">
        <v>61925.890400000004</v>
      </c>
      <c r="E42">
        <v>0</v>
      </c>
      <c r="F42">
        <v>0</v>
      </c>
      <c r="G42">
        <v>0</v>
      </c>
      <c r="H42">
        <v>11876462.735460781</v>
      </c>
      <c r="I42">
        <v>18190488.688880719</v>
      </c>
      <c r="J42">
        <v>3106475.26841074</v>
      </c>
      <c r="K42">
        <v>263658.6703</v>
      </c>
      <c r="L42">
        <v>148729.26226948999</v>
      </c>
      <c r="M42">
        <v>146480.52500545001</v>
      </c>
      <c r="N42">
        <v>143130.64284881001</v>
      </c>
      <c r="O42">
        <v>134125.35501253</v>
      </c>
      <c r="P42">
        <v>132527.14310364999</v>
      </c>
      <c r="Q42">
        <v>125920.4535571</v>
      </c>
      <c r="R42">
        <v>1585.7724000000003</v>
      </c>
      <c r="T42" t="str">
        <f t="shared" si="1"/>
        <v>31</v>
      </c>
      <c r="U42" s="154">
        <f t="shared" si="2"/>
        <v>45.044840444455431</v>
      </c>
      <c r="V42" s="154">
        <f t="shared" si="3"/>
        <v>68.992567808154945</v>
      </c>
      <c r="W42" s="154">
        <f t="shared" si="4"/>
        <v>11.782185144437255</v>
      </c>
      <c r="X42" s="154">
        <f t="shared" si="5"/>
        <v>93.789791189132799</v>
      </c>
      <c r="Y42" s="154">
        <f t="shared" si="6"/>
        <v>92.371720560560888</v>
      </c>
      <c r="Z42" s="154">
        <f t="shared" si="7"/>
        <v>90.259259682417209</v>
      </c>
      <c r="AA42" s="154">
        <f t="shared" si="8"/>
        <v>84.580457455641152</v>
      </c>
      <c r="AB42" s="154">
        <f t="shared" si="9"/>
        <v>83.572613007799831</v>
      </c>
      <c r="AC42" s="154">
        <f t="shared" si="10"/>
        <v>79.406384899308364</v>
      </c>
      <c r="AD42" s="154">
        <f t="shared" si="11"/>
        <v>-8.8500931714426787E-2</v>
      </c>
      <c r="AE42" s="154">
        <f t="shared" si="12"/>
        <v>105.87098299331579</v>
      </c>
    </row>
    <row r="43" spans="1:31">
      <c r="A43" s="359" t="s">
        <v>784</v>
      </c>
      <c r="B43">
        <v>3995120.2509000003</v>
      </c>
      <c r="C43">
        <v>365768.95339999994</v>
      </c>
      <c r="D43">
        <v>2061769.4040999999</v>
      </c>
      <c r="E43">
        <v>69382.279599999994</v>
      </c>
      <c r="F43">
        <v>38.5533</v>
      </c>
      <c r="G43">
        <v>393358.64559999999</v>
      </c>
      <c r="H43">
        <v>303854122.13035023</v>
      </c>
      <c r="I43">
        <v>474782200.68081915</v>
      </c>
      <c r="J43">
        <v>82913595.043879569</v>
      </c>
      <c r="K43">
        <v>6885438.0869000014</v>
      </c>
      <c r="L43">
        <v>3335089.1728534806</v>
      </c>
      <c r="M43">
        <v>3286453.7597726397</v>
      </c>
      <c r="N43">
        <v>3204980.1610330497</v>
      </c>
      <c r="O43">
        <v>3005153.4082126901</v>
      </c>
      <c r="P43">
        <v>2971469.8581529399</v>
      </c>
      <c r="Q43">
        <v>2807908.8131197207</v>
      </c>
      <c r="R43">
        <v>36062.005000000005</v>
      </c>
    </row>
  </sheetData>
  <phoneticPr fontId="273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36"/>
  <dimension ref="A6:T39"/>
  <sheetViews>
    <sheetView workbookViewId="0">
      <selection activeCell="O24" sqref="O24"/>
    </sheetView>
  </sheetViews>
  <sheetFormatPr baseColWidth="10" defaultColWidth="11.453125" defaultRowHeight="12.5"/>
  <cols>
    <col min="1" max="1" width="31.1796875" style="273" customWidth="1"/>
    <col min="2" max="2" width="9" style="273" customWidth="1"/>
    <col min="3" max="7" width="11.453125" style="273"/>
    <col min="8" max="8" width="13.453125" style="273" bestFit="1" customWidth="1"/>
    <col min="9" max="9" width="21" style="273" bestFit="1" customWidth="1"/>
    <col min="10" max="10" width="14.453125" style="273" customWidth="1"/>
    <col min="11" max="11" width="18.453125" style="273" customWidth="1"/>
    <col min="12" max="12" width="9.54296875" style="273" customWidth="1"/>
    <col min="13" max="14" width="11.453125" style="273"/>
    <col min="15" max="15" width="17.54296875" style="273" customWidth="1"/>
    <col min="16" max="16384" width="11.453125" style="273"/>
  </cols>
  <sheetData>
    <row r="6" spans="1:20">
      <c r="A6" s="273" t="s">
        <v>891</v>
      </c>
      <c r="B6" s="273">
        <v>0.97</v>
      </c>
      <c r="E6" s="1170" t="s">
        <v>120</v>
      </c>
      <c r="F6" s="1170" t="s">
        <v>868</v>
      </c>
      <c r="G6" s="1170" t="s">
        <v>892</v>
      </c>
      <c r="H6" s="1170" t="s">
        <v>893</v>
      </c>
      <c r="I6" s="1170" t="s">
        <v>894</v>
      </c>
      <c r="J6" s="1170" t="s">
        <v>895</v>
      </c>
      <c r="K6" s="1170" t="s">
        <v>896</v>
      </c>
      <c r="L6" s="1170" t="s">
        <v>897</v>
      </c>
      <c r="M6" s="1171" t="s">
        <v>898</v>
      </c>
      <c r="O6" s="1186" t="s">
        <v>899</v>
      </c>
      <c r="P6" s="1186" t="s">
        <v>900</v>
      </c>
      <c r="Q6" s="1186" t="s">
        <v>121</v>
      </c>
    </row>
    <row r="7" spans="1:20">
      <c r="A7" s="273" t="s">
        <v>901</v>
      </c>
      <c r="B7" s="273">
        <v>0.45</v>
      </c>
      <c r="E7" s="1172" t="s">
        <v>420</v>
      </c>
      <c r="F7" s="1172" t="s">
        <v>420</v>
      </c>
      <c r="G7" s="1172" t="s">
        <v>420</v>
      </c>
      <c r="H7" s="1172" t="s">
        <v>420</v>
      </c>
      <c r="I7" s="1172" t="s">
        <v>420</v>
      </c>
      <c r="J7" s="1172" t="s">
        <v>799</v>
      </c>
      <c r="K7" s="1172" t="s">
        <v>420</v>
      </c>
      <c r="L7" s="1172" t="s">
        <v>902</v>
      </c>
      <c r="M7" s="1173" t="s">
        <v>903</v>
      </c>
      <c r="O7" s="1186">
        <v>468.95219728615842</v>
      </c>
      <c r="P7" s="1186">
        <v>67.01935290251312</v>
      </c>
      <c r="Q7" s="1186">
        <v>540.06423762164252</v>
      </c>
      <c r="T7" s="273" t="s">
        <v>904</v>
      </c>
    </row>
    <row r="8" spans="1:20" ht="18">
      <c r="A8" s="273" t="s">
        <v>905</v>
      </c>
      <c r="B8" s="273">
        <v>0.28000000000000003</v>
      </c>
      <c r="D8" s="1174">
        <f>+'ST Original'!B8</f>
        <v>46082.791666666664</v>
      </c>
      <c r="E8" s="1175">
        <f>+'ST Original'!E8</f>
        <v>92511.072796314038</v>
      </c>
      <c r="F8" s="1175">
        <f>+'ST Original'!O8</f>
        <v>1463.0330727479554</v>
      </c>
      <c r="G8" s="1175">
        <f>+E8-F8</f>
        <v>91048.039723566078</v>
      </c>
      <c r="H8" s="1175">
        <f>+G8*$B$7</f>
        <v>40971.617875604737</v>
      </c>
      <c r="I8" s="1175">
        <f t="shared" ref="I8:I13" si="0">+IF(M8="SI",H8*$B$8,0)</f>
        <v>11472.053005169328</v>
      </c>
      <c r="J8" s="1176">
        <f>+'Plan mina ST'!X6</f>
        <v>182.95898445842676</v>
      </c>
      <c r="K8" s="1176">
        <f>+IF(J8&gt;=170,IF(J8&gt;=200,$P$14*24,$P$13*24),0)</f>
        <v>12380.429541644302</v>
      </c>
      <c r="L8" s="1176">
        <f>+IF(J8&gt;=170,IF(J8&gt;=200,2,1),0)</f>
        <v>1</v>
      </c>
      <c r="M8" s="1177" t="s">
        <v>906</v>
      </c>
      <c r="N8" s="879" t="s">
        <v>906</v>
      </c>
      <c r="O8" s="1186">
        <v>445.05252847530971</v>
      </c>
      <c r="P8" s="1186">
        <v>67.192185477873466</v>
      </c>
      <c r="Q8" s="1186">
        <v>513.99595772952819</v>
      </c>
      <c r="T8" s="273" t="s">
        <v>907</v>
      </c>
    </row>
    <row r="9" spans="1:20" ht="18">
      <c r="D9" s="1178">
        <f>+'ST Original'!B9</f>
        <v>46083.791666666664</v>
      </c>
      <c r="E9" s="1179">
        <f>+'ST Original'!E9</f>
        <v>166863.09892828096</v>
      </c>
      <c r="F9" s="1179">
        <f>+'ST Original'!O9</f>
        <v>2672.3851878727478</v>
      </c>
      <c r="G9" s="1179">
        <f t="shared" ref="G9:G37" si="1">+E9-F9</f>
        <v>164190.71374040822</v>
      </c>
      <c r="H9" s="1179">
        <f t="shared" ref="H9:H39" si="2">+G9*$B$7</f>
        <v>73885.821183183696</v>
      </c>
      <c r="I9" s="1179">
        <f t="shared" si="0"/>
        <v>20688.029931291436</v>
      </c>
      <c r="J9" s="1180">
        <f>+'Plan mina ST'!X7</f>
        <v>197.14636251005234</v>
      </c>
      <c r="K9" s="1180">
        <f>+IF(J9&gt;=170,IF(J9&gt;=200,$P$14*24,$P$13*24),0)</f>
        <v>12380.429541644302</v>
      </c>
      <c r="L9" s="1180">
        <f>+IF(J9&gt;=170,IF(J9&gt;=200,2,1),0)</f>
        <v>1</v>
      </c>
      <c r="M9" s="1181" t="s">
        <v>906</v>
      </c>
      <c r="N9" s="879" t="s">
        <v>906</v>
      </c>
      <c r="O9" s="1186">
        <v>449.81488214823094</v>
      </c>
      <c r="P9" s="1186">
        <v>65.177005102112318</v>
      </c>
      <c r="Q9" s="1186">
        <v>493.49349735436653</v>
      </c>
      <c r="T9" s="273" t="s">
        <v>908</v>
      </c>
    </row>
    <row r="10" spans="1:20" ht="18">
      <c r="D10" s="1178">
        <f>+'ST Original'!B10</f>
        <v>46084.791666666664</v>
      </c>
      <c r="E10" s="1179">
        <f>+'ST Original'!E10</f>
        <v>144424.70628770083</v>
      </c>
      <c r="F10" s="1179">
        <f>+'ST Original'!O10</f>
        <v>2216.6115750776935</v>
      </c>
      <c r="G10" s="1179">
        <f t="shared" si="1"/>
        <v>142208.09471262313</v>
      </c>
      <c r="H10" s="1179">
        <f t="shared" si="2"/>
        <v>63993.64262068041</v>
      </c>
      <c r="I10" s="1179">
        <f t="shared" si="0"/>
        <v>17918.219933790515</v>
      </c>
      <c r="J10" s="1180">
        <f>+'Plan mina ST'!X8</f>
        <v>198.31984056042879</v>
      </c>
      <c r="K10" s="1180">
        <f t="shared" ref="K10:K35" si="3">+IF(J10&gt;=170,IF(J10&gt;=200,$P$14*24,$P$13*24),0)</f>
        <v>12380.429541644302</v>
      </c>
      <c r="L10" s="1180">
        <f>+IF(J10&gt;=170,IF(J10&gt;=200,2,1),0)</f>
        <v>1</v>
      </c>
      <c r="M10" s="1181" t="s">
        <v>906</v>
      </c>
      <c r="N10" s="879" t="s">
        <v>906</v>
      </c>
      <c r="O10" s="1173" t="s">
        <v>899</v>
      </c>
      <c r="P10" s="1173" t="s">
        <v>900</v>
      </c>
      <c r="Q10" s="1173" t="s">
        <v>121</v>
      </c>
    </row>
    <row r="11" spans="1:20" ht="18">
      <c r="D11" s="1178">
        <f>+'ST Original'!B11</f>
        <v>46085.791666666664</v>
      </c>
      <c r="E11" s="1179">
        <f>+'ST Original'!E11</f>
        <v>144860.8459614426</v>
      </c>
      <c r="F11" s="1179">
        <f>+'ST Original'!O11</f>
        <v>2313.8490400997584</v>
      </c>
      <c r="G11" s="1179">
        <f t="shared" si="1"/>
        <v>142546.99692134283</v>
      </c>
      <c r="H11" s="1179">
        <f t="shared" si="2"/>
        <v>64146.148614604273</v>
      </c>
      <c r="I11" s="1179">
        <f t="shared" si="0"/>
        <v>17960.921612089198</v>
      </c>
      <c r="J11" s="1180">
        <f>+'Plan mina ST'!X9</f>
        <v>203.22213043948199</v>
      </c>
      <c r="K11" s="1180">
        <f t="shared" si="3"/>
        <v>24760.859083288597</v>
      </c>
      <c r="L11" s="1180">
        <f t="shared" ref="L11:L35" si="4">+IF(J11&gt;=170,IF(J11&gt;=200,2,1),0)</f>
        <v>2</v>
      </c>
      <c r="M11" s="1181" t="s">
        <v>906</v>
      </c>
      <c r="N11" s="879" t="s">
        <v>906</v>
      </c>
      <c r="O11" s="1186">
        <v>454.60653596989965</v>
      </c>
      <c r="P11" s="1186">
        <v>66.46284782749963</v>
      </c>
      <c r="Q11" s="1186">
        <v>515.85123090184572</v>
      </c>
      <c r="R11" s="1186" t="s">
        <v>909</v>
      </c>
    </row>
    <row r="12" spans="1:20" ht="18">
      <c r="D12" s="1178">
        <f>+'ST Original'!B12</f>
        <v>46086.791666666664</v>
      </c>
      <c r="E12" s="1179">
        <f>+'ST Original'!E12</f>
        <v>150917.77176313917</v>
      </c>
      <c r="F12" s="1179">
        <f>+'ST Original'!O12</f>
        <v>2500.0029699779629</v>
      </c>
      <c r="G12" s="1179">
        <f t="shared" si="1"/>
        <v>148417.7687931612</v>
      </c>
      <c r="H12" s="1179">
        <f t="shared" si="2"/>
        <v>66787.995956922547</v>
      </c>
      <c r="I12" s="1179">
        <f t="shared" si="0"/>
        <v>18700.638867938316</v>
      </c>
      <c r="J12" s="1180">
        <f>+'Plan mina ST'!X10</f>
        <v>213.62976044498907</v>
      </c>
      <c r="K12" s="1180">
        <f t="shared" si="3"/>
        <v>24760.859083288597</v>
      </c>
      <c r="L12" s="1180">
        <f t="shared" si="4"/>
        <v>2</v>
      </c>
      <c r="M12" s="1181" t="s">
        <v>906</v>
      </c>
      <c r="N12" s="879" t="s">
        <v>910</v>
      </c>
      <c r="P12" s="979" t="s">
        <v>121</v>
      </c>
    </row>
    <row r="13" spans="1:20" ht="18">
      <c r="D13" s="1178">
        <f>+'ST Original'!B13</f>
        <v>46087.791666666664</v>
      </c>
      <c r="E13" s="1179">
        <f>+'ST Original'!E13</f>
        <v>151106.59841900799</v>
      </c>
      <c r="F13" s="1179">
        <f>+'ST Original'!O13</f>
        <v>2791.9596992475977</v>
      </c>
      <c r="G13" s="1179">
        <f t="shared" si="1"/>
        <v>148314.63871976041</v>
      </c>
      <c r="H13" s="1179">
        <f t="shared" si="2"/>
        <v>66741.587423892182</v>
      </c>
      <c r="I13" s="1179">
        <f t="shared" si="0"/>
        <v>18687.644478689814</v>
      </c>
      <c r="J13" s="1180">
        <f>+'Plan mina ST'!X11</f>
        <v>212.21870602910522</v>
      </c>
      <c r="K13" s="1180">
        <f t="shared" si="3"/>
        <v>24760.859083288597</v>
      </c>
      <c r="L13" s="1180">
        <f>+IF(J13&gt;=170,IF(J13&gt;=200,2,1),0)</f>
        <v>2</v>
      </c>
      <c r="M13" s="1181" t="s">
        <v>906</v>
      </c>
      <c r="N13" s="879" t="s">
        <v>910</v>
      </c>
      <c r="O13" s="880" t="s">
        <v>911</v>
      </c>
      <c r="P13" s="1187">
        <v>515.85123090184595</v>
      </c>
      <c r="Q13" s="880" t="s">
        <v>912</v>
      </c>
      <c r="R13" s="880"/>
    </row>
    <row r="14" spans="1:20" ht="18">
      <c r="D14" s="1178">
        <f>+'ST Original'!B14</f>
        <v>46088.791666666664</v>
      </c>
      <c r="E14" s="1179">
        <f>+'ST Original'!E14</f>
        <v>165609.56401972804</v>
      </c>
      <c r="F14" s="1179">
        <f>+'ST Original'!O14</f>
        <v>3403.0292033892138</v>
      </c>
      <c r="G14" s="1179">
        <f t="shared" si="1"/>
        <v>162206.53481633883</v>
      </c>
      <c r="H14" s="1179">
        <f t="shared" si="2"/>
        <v>72992.940667352479</v>
      </c>
      <c r="I14" s="1179">
        <f t="shared" ref="I14:I37" si="5">+IF(M14="SI",H14*$B$8,0)</f>
        <v>20438.023386858695</v>
      </c>
      <c r="J14" s="1180">
        <f>+'Plan mina ST'!X12</f>
        <v>191.5928335055963</v>
      </c>
      <c r="K14" s="1180">
        <f t="shared" si="3"/>
        <v>12380.429541644302</v>
      </c>
      <c r="L14" s="1180">
        <f t="shared" si="4"/>
        <v>1</v>
      </c>
      <c r="M14" s="1181" t="s">
        <v>906</v>
      </c>
      <c r="N14" s="879" t="s">
        <v>910</v>
      </c>
      <c r="O14" s="1188" t="s">
        <v>913</v>
      </c>
      <c r="P14" s="1189">
        <f>+Q11*2</f>
        <v>1031.7024618036914</v>
      </c>
      <c r="Q14" s="1188" t="s">
        <v>914</v>
      </c>
      <c r="R14" s="1188"/>
    </row>
    <row r="15" spans="1:20" ht="18">
      <c r="D15" s="1178">
        <f>+'ST Original'!B15</f>
        <v>46089.791666666664</v>
      </c>
      <c r="E15" s="1179">
        <f>+'ST Original'!E15</f>
        <v>202920.17669039228</v>
      </c>
      <c r="F15" s="1179">
        <f>+'ST Original'!O15</f>
        <v>3953.8202768151364</v>
      </c>
      <c r="G15" s="1179">
        <f t="shared" si="1"/>
        <v>198966.35641357716</v>
      </c>
      <c r="H15" s="1179">
        <f t="shared" si="2"/>
        <v>89534.860386109722</v>
      </c>
      <c r="I15" s="1179">
        <f t="shared" si="5"/>
        <v>25069.760908110726</v>
      </c>
      <c r="J15" s="1180">
        <f>+'Plan mina ST'!X13</f>
        <v>201.71474988047942</v>
      </c>
      <c r="K15" s="1180">
        <f>+IF(J15&gt;=170,IF(J15&gt;=200,$P$14*24,$P$13*24),0)</f>
        <v>24760.859083288597</v>
      </c>
      <c r="L15" s="1180">
        <f t="shared" si="4"/>
        <v>2</v>
      </c>
      <c r="M15" s="1181" t="s">
        <v>906</v>
      </c>
      <c r="N15" s="879" t="s">
        <v>906</v>
      </c>
    </row>
    <row r="16" spans="1:20" ht="18">
      <c r="D16" s="1178">
        <f>+'ST Original'!B16</f>
        <v>46090.791666666664</v>
      </c>
      <c r="E16" s="1179">
        <f>+'ST Original'!E16</f>
        <v>180399.7506785398</v>
      </c>
      <c r="F16" s="1179">
        <f>+'ST Original'!O16</f>
        <v>3717.8219958657969</v>
      </c>
      <c r="G16" s="1179">
        <f t="shared" si="1"/>
        <v>176681.92868267401</v>
      </c>
      <c r="H16" s="1179">
        <f t="shared" si="2"/>
        <v>79506.867907203312</v>
      </c>
      <c r="I16" s="1179">
        <f t="shared" si="5"/>
        <v>22261.923014016931</v>
      </c>
      <c r="J16" s="1180">
        <f>+'Plan mina ST'!X14</f>
        <v>216.8875066255527</v>
      </c>
      <c r="K16" s="1180">
        <f t="shared" si="3"/>
        <v>24760.859083288597</v>
      </c>
      <c r="L16" s="1180">
        <f>+IF(J16&gt;=170,IF(J16&gt;=200,2,1),0)</f>
        <v>2</v>
      </c>
      <c r="M16" s="1181" t="s">
        <v>906</v>
      </c>
      <c r="N16" s="879" t="s">
        <v>906</v>
      </c>
    </row>
    <row r="17" spans="4:14" ht="18">
      <c r="D17" s="1178">
        <f>+'ST Original'!B17</f>
        <v>46091.791666666664</v>
      </c>
      <c r="E17" s="1179">
        <f>+'ST Original'!E17</f>
        <v>167995.49863435666</v>
      </c>
      <c r="F17" s="1179">
        <f>+'ST Original'!O17</f>
        <v>3538.1846492588006</v>
      </c>
      <c r="G17" s="1179">
        <f t="shared" si="1"/>
        <v>164457.31398509786</v>
      </c>
      <c r="H17" s="1179">
        <f t="shared" si="2"/>
        <v>74005.791293294038</v>
      </c>
      <c r="I17" s="1179">
        <f t="shared" si="5"/>
        <v>20721.621562122331</v>
      </c>
      <c r="J17" s="1180">
        <f>+'Plan mina ST'!X15</f>
        <v>164.26419359966692</v>
      </c>
      <c r="K17" s="1180">
        <f t="shared" si="3"/>
        <v>0</v>
      </c>
      <c r="L17" s="1180">
        <f t="shared" si="4"/>
        <v>0</v>
      </c>
      <c r="M17" s="1181" t="s">
        <v>906</v>
      </c>
      <c r="N17" s="879" t="s">
        <v>906</v>
      </c>
    </row>
    <row r="18" spans="4:14" ht="18">
      <c r="D18" s="1178">
        <f>+'ST Original'!B18</f>
        <v>46092.791666666664</v>
      </c>
      <c r="E18" s="1179">
        <f>+'ST Original'!E18</f>
        <v>194556.4274488097</v>
      </c>
      <c r="F18" s="1179">
        <f>+'ST Original'!O18</f>
        <v>3573.5840270533877</v>
      </c>
      <c r="G18" s="1179">
        <f t="shared" si="1"/>
        <v>190982.84342175632</v>
      </c>
      <c r="H18" s="1179">
        <f t="shared" si="2"/>
        <v>85942.279539790339</v>
      </c>
      <c r="I18" s="1179">
        <f t="shared" si="5"/>
        <v>24063.838271141296</v>
      </c>
      <c r="J18" s="1180">
        <f>+'Plan mina ST'!X16</f>
        <v>191.46194013153175</v>
      </c>
      <c r="K18" s="1180">
        <f t="shared" si="3"/>
        <v>12380.429541644302</v>
      </c>
      <c r="L18" s="1180">
        <f t="shared" si="4"/>
        <v>1</v>
      </c>
      <c r="M18" s="1181" t="s">
        <v>906</v>
      </c>
      <c r="N18" s="879" t="s">
        <v>906</v>
      </c>
    </row>
    <row r="19" spans="4:14" ht="18">
      <c r="D19" s="1178">
        <f>+'ST Original'!B19</f>
        <v>46093.791666666664</v>
      </c>
      <c r="E19" s="1179">
        <f>+'ST Original'!E19</f>
        <v>209569.13112126503</v>
      </c>
      <c r="F19" s="1179">
        <f>+'ST Original'!O19</f>
        <v>3453.8396878561921</v>
      </c>
      <c r="G19" s="1179">
        <f t="shared" si="1"/>
        <v>206115.29143340883</v>
      </c>
      <c r="H19" s="1179">
        <f t="shared" si="2"/>
        <v>92751.881145033971</v>
      </c>
      <c r="I19" s="1179">
        <f t="shared" si="5"/>
        <v>0</v>
      </c>
      <c r="J19" s="1180">
        <f>+'Plan mina ST'!X17</f>
        <v>215.92182211743483</v>
      </c>
      <c r="K19" s="1180">
        <f t="shared" si="3"/>
        <v>24760.859083288597</v>
      </c>
      <c r="L19" s="1180">
        <f t="shared" si="4"/>
        <v>2</v>
      </c>
      <c r="M19" s="1181" t="s">
        <v>910</v>
      </c>
      <c r="N19" s="879" t="s">
        <v>906</v>
      </c>
    </row>
    <row r="20" spans="4:14" ht="18">
      <c r="D20" s="1178">
        <f>+'ST Original'!B20</f>
        <v>46094.791666666664</v>
      </c>
      <c r="E20" s="1179">
        <f>+'ST Original'!E20</f>
        <v>205123.10200279354</v>
      </c>
      <c r="F20" s="1179">
        <f>+'ST Original'!O20</f>
        <v>3403.3874176114095</v>
      </c>
      <c r="G20" s="1179">
        <f t="shared" si="1"/>
        <v>201719.71458518214</v>
      </c>
      <c r="H20" s="1179">
        <f t="shared" si="2"/>
        <v>90773.871563331966</v>
      </c>
      <c r="I20" s="1179">
        <f t="shared" si="5"/>
        <v>0</v>
      </c>
      <c r="J20" s="1180">
        <f>+'Plan mina ST'!X18</f>
        <v>205.08940006141259</v>
      </c>
      <c r="K20" s="1180">
        <f t="shared" si="3"/>
        <v>24760.859083288597</v>
      </c>
      <c r="L20" s="1180">
        <f t="shared" si="4"/>
        <v>2</v>
      </c>
      <c r="M20" s="1181" t="s">
        <v>910</v>
      </c>
      <c r="N20" s="879" t="s">
        <v>906</v>
      </c>
    </row>
    <row r="21" spans="4:14" ht="18">
      <c r="D21" s="1178">
        <f>+'ST Original'!B21</f>
        <v>46095.791666666664</v>
      </c>
      <c r="E21" s="1179">
        <f>+'ST Original'!E21</f>
        <v>191784.90070701367</v>
      </c>
      <c r="F21" s="1179">
        <f>+'ST Original'!O21</f>
        <v>2855.9933074574506</v>
      </c>
      <c r="G21" s="1179">
        <f t="shared" si="1"/>
        <v>188928.90739955622</v>
      </c>
      <c r="H21" s="1179">
        <f t="shared" si="2"/>
        <v>85018.008329800301</v>
      </c>
      <c r="I21" s="1179">
        <f t="shared" si="5"/>
        <v>0</v>
      </c>
      <c r="J21" s="1180">
        <f>+'Plan mina ST'!X19</f>
        <v>183.57737989417251</v>
      </c>
      <c r="K21" s="1180">
        <f t="shared" si="3"/>
        <v>12380.429541644302</v>
      </c>
      <c r="L21" s="1180">
        <f t="shared" si="4"/>
        <v>1</v>
      </c>
      <c r="M21" s="1181" t="s">
        <v>910</v>
      </c>
      <c r="N21" s="879" t="s">
        <v>906</v>
      </c>
    </row>
    <row r="22" spans="4:14" ht="18">
      <c r="D22" s="1178">
        <f>+'ST Original'!B22</f>
        <v>46096.791666666664</v>
      </c>
      <c r="E22" s="1179">
        <f>+'ST Original'!E22</f>
        <v>189537.84838868357</v>
      </c>
      <c r="F22" s="1179">
        <f>+'ST Original'!O22</f>
        <v>2807.7294668069771</v>
      </c>
      <c r="G22" s="1179">
        <f t="shared" si="1"/>
        <v>186730.11892187659</v>
      </c>
      <c r="H22" s="1179">
        <f t="shared" si="2"/>
        <v>84028.553514844476</v>
      </c>
      <c r="I22" s="1179">
        <f t="shared" si="5"/>
        <v>23527.994984156456</v>
      </c>
      <c r="J22" s="1180">
        <f>+'Plan mina ST'!X20</f>
        <v>180.5659090647373</v>
      </c>
      <c r="K22" s="1180">
        <f t="shared" si="3"/>
        <v>12380.429541644302</v>
      </c>
      <c r="L22" s="1180">
        <f t="shared" si="4"/>
        <v>1</v>
      </c>
      <c r="M22" s="1181" t="s">
        <v>906</v>
      </c>
      <c r="N22" s="879" t="s">
        <v>906</v>
      </c>
    </row>
    <row r="23" spans="4:14" ht="18">
      <c r="D23" s="1178">
        <f>+'ST Original'!B23</f>
        <v>46097.791666666664</v>
      </c>
      <c r="E23" s="1179">
        <f>+'ST Original'!E23</f>
        <v>188417.71772616252</v>
      </c>
      <c r="F23" s="1179">
        <f>+'ST Original'!O23</f>
        <v>3326.5242019084485</v>
      </c>
      <c r="G23" s="1179">
        <f t="shared" si="1"/>
        <v>185091.19352425408</v>
      </c>
      <c r="H23" s="1179">
        <f t="shared" si="2"/>
        <v>83291.037085914344</v>
      </c>
      <c r="I23" s="1179">
        <f t="shared" si="5"/>
        <v>23321.490384056018</v>
      </c>
      <c r="J23" s="1180">
        <f>+'Plan mina ST'!X21</f>
        <v>181.20632525165342</v>
      </c>
      <c r="K23" s="1180">
        <f t="shared" si="3"/>
        <v>12380.429541644302</v>
      </c>
      <c r="L23" s="1180">
        <f t="shared" si="4"/>
        <v>1</v>
      </c>
      <c r="M23" s="1181" t="s">
        <v>906</v>
      </c>
      <c r="N23" s="879" t="s">
        <v>910</v>
      </c>
    </row>
    <row r="24" spans="4:14" ht="18">
      <c r="D24" s="1178">
        <f>+'ST Original'!B24</f>
        <v>46098.791666666664</v>
      </c>
      <c r="E24" s="1179">
        <f>+'ST Original'!E24</f>
        <v>187244.92486622711</v>
      </c>
      <c r="F24" s="1179">
        <f>+'ST Original'!O24</f>
        <v>3316.8274150967682</v>
      </c>
      <c r="G24" s="1179">
        <f t="shared" si="1"/>
        <v>183928.09745113034</v>
      </c>
      <c r="H24" s="1179">
        <f t="shared" si="2"/>
        <v>82767.64385300866</v>
      </c>
      <c r="I24" s="1179">
        <f t="shared" si="5"/>
        <v>23174.940278842427</v>
      </c>
      <c r="J24" s="1180">
        <f>+'Plan mina ST'!X22</f>
        <v>196.6570862526678</v>
      </c>
      <c r="K24" s="1180">
        <f t="shared" si="3"/>
        <v>12380.429541644302</v>
      </c>
      <c r="L24" s="1180">
        <f t="shared" si="4"/>
        <v>1</v>
      </c>
      <c r="M24" s="1181" t="s">
        <v>906</v>
      </c>
      <c r="N24" s="879" t="s">
        <v>910</v>
      </c>
    </row>
    <row r="25" spans="4:14" ht="18">
      <c r="D25" s="1178">
        <f>+'ST Original'!B25</f>
        <v>46099.791666666664</v>
      </c>
      <c r="E25" s="1179">
        <f>+'ST Original'!E25</f>
        <v>192365.45962490924</v>
      </c>
      <c r="F25" s="1179">
        <f>+'ST Original'!O25</f>
        <v>3632.4211664982063</v>
      </c>
      <c r="G25" s="1179">
        <f t="shared" si="1"/>
        <v>188733.03845841103</v>
      </c>
      <c r="H25" s="1179">
        <f t="shared" si="2"/>
        <v>84929.86730628497</v>
      </c>
      <c r="I25" s="1179">
        <f t="shared" si="5"/>
        <v>23780.362845759795</v>
      </c>
      <c r="J25" s="1180">
        <f>+'Plan mina ST'!X23</f>
        <v>188.06913996069142</v>
      </c>
      <c r="K25" s="1180">
        <f t="shared" si="3"/>
        <v>12380.429541644302</v>
      </c>
      <c r="L25" s="1180">
        <f t="shared" si="4"/>
        <v>1</v>
      </c>
      <c r="M25" s="1181" t="s">
        <v>906</v>
      </c>
      <c r="N25" s="879" t="s">
        <v>910</v>
      </c>
    </row>
    <row r="26" spans="4:14" ht="18">
      <c r="D26" s="1178">
        <f>+'ST Original'!B26</f>
        <v>46100.791666666664</v>
      </c>
      <c r="E26" s="1179">
        <f>+'ST Original'!E26</f>
        <v>194700.83935798128</v>
      </c>
      <c r="F26" s="1179">
        <f>+'ST Original'!O26</f>
        <v>3610.6050996937756</v>
      </c>
      <c r="G26" s="1179">
        <f t="shared" si="1"/>
        <v>191090.2342582875</v>
      </c>
      <c r="H26" s="1179">
        <f t="shared" si="2"/>
        <v>85990.605416229373</v>
      </c>
      <c r="I26" s="1179">
        <f t="shared" si="5"/>
        <v>24077.369516544226</v>
      </c>
      <c r="J26" s="1180">
        <f>+'Plan mina ST'!X24</f>
        <v>189.68459938199248</v>
      </c>
      <c r="K26" s="1180">
        <f t="shared" si="3"/>
        <v>12380.429541644302</v>
      </c>
      <c r="L26" s="1180">
        <f t="shared" si="4"/>
        <v>1</v>
      </c>
      <c r="M26" s="1181" t="s">
        <v>906</v>
      </c>
      <c r="N26" s="879" t="s">
        <v>906</v>
      </c>
    </row>
    <row r="27" spans="4:14" ht="18">
      <c r="D27" s="1178">
        <f>+'ST Original'!B27</f>
        <v>46101.791666666664</v>
      </c>
      <c r="E27" s="1179">
        <f>+'ST Original'!E27</f>
        <v>196805.52980560993</v>
      </c>
      <c r="F27" s="1179">
        <f>+'ST Original'!O27</f>
        <v>3391.9085359484216</v>
      </c>
      <c r="G27" s="1179">
        <f t="shared" si="1"/>
        <v>193413.6212696615</v>
      </c>
      <c r="H27" s="1179">
        <f t="shared" si="2"/>
        <v>87036.129571347672</v>
      </c>
      <c r="I27" s="1179">
        <f t="shared" si="5"/>
        <v>24370.116279977352</v>
      </c>
      <c r="J27" s="1180">
        <f>+'Plan mina ST'!X25</f>
        <v>192.10963991983851</v>
      </c>
      <c r="K27" s="1180">
        <f t="shared" si="3"/>
        <v>12380.429541644302</v>
      </c>
      <c r="L27" s="1180">
        <f t="shared" si="4"/>
        <v>1</v>
      </c>
      <c r="M27" s="1181" t="s">
        <v>906</v>
      </c>
      <c r="N27" s="879" t="s">
        <v>906</v>
      </c>
    </row>
    <row r="28" spans="4:14" ht="18">
      <c r="D28" s="1178">
        <f>+'ST Original'!B28</f>
        <v>46102.791666666664</v>
      </c>
      <c r="E28" s="1179">
        <f>+'ST Original'!E28</f>
        <v>193072.68402239218</v>
      </c>
      <c r="F28" s="1179">
        <f>+'ST Original'!O28</f>
        <v>3385.9909628403943</v>
      </c>
      <c r="G28" s="1179">
        <f t="shared" si="1"/>
        <v>189686.69305955179</v>
      </c>
      <c r="H28" s="1179">
        <f t="shared" si="2"/>
        <v>85359.011876798308</v>
      </c>
      <c r="I28" s="1179">
        <f t="shared" si="5"/>
        <v>23900.523325503527</v>
      </c>
      <c r="J28" s="1180">
        <f>+'Plan mina ST'!X26</f>
        <v>190.82370319814521</v>
      </c>
      <c r="K28" s="1180">
        <f t="shared" si="3"/>
        <v>12380.429541644302</v>
      </c>
      <c r="L28" s="1180">
        <f t="shared" si="4"/>
        <v>1</v>
      </c>
      <c r="M28" s="1181" t="s">
        <v>906</v>
      </c>
      <c r="N28" s="879" t="s">
        <v>906</v>
      </c>
    </row>
    <row r="29" spans="4:14" ht="18">
      <c r="D29" s="1178">
        <f>+'ST Original'!B29</f>
        <v>46103.791666666664</v>
      </c>
      <c r="E29" s="1179">
        <f>+'ST Original'!E29</f>
        <v>194603.23060466634</v>
      </c>
      <c r="F29" s="1179">
        <f>+'ST Original'!O29</f>
        <v>3503.7034300578671</v>
      </c>
      <c r="G29" s="1179">
        <f t="shared" si="1"/>
        <v>191099.52717460849</v>
      </c>
      <c r="H29" s="1179">
        <f t="shared" si="2"/>
        <v>85994.787228573827</v>
      </c>
      <c r="I29" s="1179">
        <f t="shared" si="5"/>
        <v>24078.540424000676</v>
      </c>
      <c r="J29" s="1180">
        <f>+'Plan mina ST'!X27</f>
        <v>194.05935274478989</v>
      </c>
      <c r="K29" s="1180">
        <f t="shared" si="3"/>
        <v>12380.429541644302</v>
      </c>
      <c r="L29" s="1180">
        <f>+IF(J29&gt;=170,IF(J29&gt;=200,2,1),0)</f>
        <v>1</v>
      </c>
      <c r="M29" s="1181" t="s">
        <v>906</v>
      </c>
      <c r="N29" s="879" t="s">
        <v>906</v>
      </c>
    </row>
    <row r="30" spans="4:14" ht="18">
      <c r="D30" s="1178">
        <f>+'ST Original'!B30</f>
        <v>46104.791666666664</v>
      </c>
      <c r="E30" s="1179">
        <f>+'ST Original'!E30</f>
        <v>191506.83501760333</v>
      </c>
      <c r="F30" s="1179">
        <f>+'ST Original'!O30</f>
        <v>3273.2138555551828</v>
      </c>
      <c r="G30" s="1179">
        <f t="shared" si="1"/>
        <v>188233.62116204813</v>
      </c>
      <c r="H30" s="1179">
        <f t="shared" si="2"/>
        <v>84705.129522921663</v>
      </c>
      <c r="I30" s="1179">
        <f t="shared" si="5"/>
        <v>23717.436266418066</v>
      </c>
      <c r="J30" s="1180">
        <f>+'Plan mina ST'!X28</f>
        <v>188.08290851390808</v>
      </c>
      <c r="K30" s="1180">
        <f t="shared" si="3"/>
        <v>12380.429541644302</v>
      </c>
      <c r="L30" s="1180">
        <f t="shared" si="4"/>
        <v>1</v>
      </c>
      <c r="M30" s="1181" t="s">
        <v>906</v>
      </c>
      <c r="N30" s="879" t="s">
        <v>906</v>
      </c>
    </row>
    <row r="31" spans="4:14" ht="18">
      <c r="D31" s="1178">
        <f>+'ST Original'!B31</f>
        <v>46105.791666666664</v>
      </c>
      <c r="E31" s="1179">
        <f>+'ST Original'!E31</f>
        <v>199135.38567405319</v>
      </c>
      <c r="F31" s="1179">
        <f>+'ST Original'!O31</f>
        <v>3717.5461734395567</v>
      </c>
      <c r="G31" s="1179">
        <f t="shared" si="1"/>
        <v>195417.83950061363</v>
      </c>
      <c r="H31" s="1179">
        <f t="shared" si="2"/>
        <v>87938.027775276132</v>
      </c>
      <c r="I31" s="1179">
        <f t="shared" si="5"/>
        <v>24622.64777707732</v>
      </c>
      <c r="J31" s="1180">
        <f>+'Plan mina ST'!X29</f>
        <v>198.65610853764866</v>
      </c>
      <c r="K31" s="1180">
        <f t="shared" si="3"/>
        <v>12380.429541644302</v>
      </c>
      <c r="L31" s="1180">
        <f t="shared" si="4"/>
        <v>1</v>
      </c>
      <c r="M31" s="1181" t="s">
        <v>906</v>
      </c>
      <c r="N31" s="879" t="s">
        <v>906</v>
      </c>
    </row>
    <row r="32" spans="4:14" ht="18">
      <c r="D32" s="1178">
        <f>+'ST Original'!B32</f>
        <v>46106.791666666664</v>
      </c>
      <c r="E32" s="1179">
        <f>+'ST Original'!E32</f>
        <v>201251.65792879966</v>
      </c>
      <c r="F32" s="1179">
        <f>+'ST Original'!O32</f>
        <v>3726.3550181943365</v>
      </c>
      <c r="G32" s="1179">
        <f t="shared" si="1"/>
        <v>197525.30291060533</v>
      </c>
      <c r="H32" s="1179">
        <f t="shared" si="2"/>
        <v>88886.386309772395</v>
      </c>
      <c r="I32" s="1179">
        <f t="shared" si="5"/>
        <v>24888.188166736272</v>
      </c>
      <c r="J32" s="1180">
        <f>+'Plan mina ST'!X30</f>
        <v>195.19424993924309</v>
      </c>
      <c r="K32" s="1180">
        <f t="shared" si="3"/>
        <v>12380.429541644302</v>
      </c>
      <c r="L32" s="1180">
        <f t="shared" si="4"/>
        <v>1</v>
      </c>
      <c r="M32" s="1181" t="s">
        <v>906</v>
      </c>
      <c r="N32" s="879" t="s">
        <v>906</v>
      </c>
    </row>
    <row r="33" spans="4:14" ht="18">
      <c r="D33" s="1178">
        <f>+'ST Original'!B33</f>
        <v>46107.791666666664</v>
      </c>
      <c r="E33" s="1179">
        <f>+'ST Original'!E33</f>
        <v>209167.58830531855</v>
      </c>
      <c r="F33" s="1179">
        <f>+'ST Original'!O33</f>
        <v>3996.3078155678249</v>
      </c>
      <c r="G33" s="1179">
        <f t="shared" si="1"/>
        <v>205171.28048975073</v>
      </c>
      <c r="H33" s="1179">
        <f t="shared" si="2"/>
        <v>92327.076220387826</v>
      </c>
      <c r="I33" s="1179">
        <f t="shared" si="5"/>
        <v>25851.581341708592</v>
      </c>
      <c r="J33" s="1180">
        <f>+'Plan mina ST'!X31</f>
        <v>207.77993052761485</v>
      </c>
      <c r="K33" s="1180">
        <f t="shared" si="3"/>
        <v>24760.859083288597</v>
      </c>
      <c r="L33" s="1180">
        <f t="shared" si="4"/>
        <v>2</v>
      </c>
      <c r="M33" s="1181" t="s">
        <v>906</v>
      </c>
      <c r="N33" s="879" t="s">
        <v>906</v>
      </c>
    </row>
    <row r="34" spans="4:14" ht="18">
      <c r="D34" s="1178">
        <f>+'ST Original'!B34</f>
        <v>46108.791666666664</v>
      </c>
      <c r="E34" s="1179">
        <f>+'ST Original'!E34</f>
        <v>209548.87494626042</v>
      </c>
      <c r="F34" s="1179">
        <f>+'ST Original'!O34</f>
        <v>4142.4073862917176</v>
      </c>
      <c r="G34" s="1179">
        <f t="shared" si="1"/>
        <v>205406.4675599687</v>
      </c>
      <c r="H34" s="1179">
        <f t="shared" si="2"/>
        <v>92432.910401985922</v>
      </c>
      <c r="I34" s="1179">
        <f t="shared" si="5"/>
        <v>25881.214912556061</v>
      </c>
      <c r="J34" s="1180">
        <f>+'Plan mina ST'!X32</f>
        <v>222.37487926734971</v>
      </c>
      <c r="K34" s="1180">
        <f t="shared" si="3"/>
        <v>24760.859083288597</v>
      </c>
      <c r="L34" s="1180">
        <f t="shared" si="4"/>
        <v>2</v>
      </c>
      <c r="M34" s="1181" t="s">
        <v>906</v>
      </c>
      <c r="N34" s="879" t="s">
        <v>910</v>
      </c>
    </row>
    <row r="35" spans="4:14" ht="18">
      <c r="D35" s="1178">
        <f>+'ST Original'!B35</f>
        <v>46109.791666666664</v>
      </c>
      <c r="E35" s="1179">
        <f>+'ST Original'!E35</f>
        <v>215593.08832196021</v>
      </c>
      <c r="F35" s="1179">
        <f>+'ST Original'!O35</f>
        <v>4461.1844597926402</v>
      </c>
      <c r="G35" s="1179">
        <f t="shared" si="1"/>
        <v>211131.90386216756</v>
      </c>
      <c r="H35" s="1179">
        <f t="shared" si="2"/>
        <v>95009.356737975409</v>
      </c>
      <c r="I35" s="1179">
        <f t="shared" si="5"/>
        <v>26602.619886633118</v>
      </c>
      <c r="J35" s="1180">
        <f>+'Plan mina ST'!X33</f>
        <v>235.19410565269305</v>
      </c>
      <c r="K35" s="1180">
        <f t="shared" si="3"/>
        <v>24760.859083288597</v>
      </c>
      <c r="L35" s="1180">
        <f t="shared" si="4"/>
        <v>2</v>
      </c>
      <c r="M35" s="1181" t="s">
        <v>906</v>
      </c>
      <c r="N35" s="879" t="s">
        <v>910</v>
      </c>
    </row>
    <row r="36" spans="4:14" ht="18">
      <c r="D36" s="1178">
        <f>+'ST Original'!B36</f>
        <v>46110.791666666664</v>
      </c>
      <c r="E36" s="1179">
        <f>+'ST Original'!E36</f>
        <v>210625.92929803248</v>
      </c>
      <c r="F36" s="1179">
        <f>+'ST Original'!O36</f>
        <v>4138.0015993722654</v>
      </c>
      <c r="G36" s="1179">
        <f t="shared" si="1"/>
        <v>206487.92769866021</v>
      </c>
      <c r="H36" s="1179">
        <f t="shared" si="2"/>
        <v>92919.5674643971</v>
      </c>
      <c r="I36" s="1179">
        <f t="shared" si="5"/>
        <v>0</v>
      </c>
      <c r="J36" s="1180">
        <f>+'Plan mina ST'!X34</f>
        <v>225.66714987142089</v>
      </c>
      <c r="K36" s="1180">
        <f>+IF(J36&gt;=170,IF(J36&gt;=200,$P$14*24,$P$13*24),0)</f>
        <v>24760.859083288597</v>
      </c>
      <c r="L36" s="1180">
        <f>+IF(J36&gt;=170,IF(J36&gt;=200,2,1),0)</f>
        <v>2</v>
      </c>
      <c r="M36" s="1182" t="s">
        <v>910</v>
      </c>
      <c r="N36" s="879" t="s">
        <v>910</v>
      </c>
    </row>
    <row r="37" spans="4:14" ht="18">
      <c r="D37" s="1178" t="e">
        <f>+'ST Original'!#REF!</f>
        <v>#REF!</v>
      </c>
      <c r="E37" s="1179" t="e">
        <f>+'ST Original'!#REF!</f>
        <v>#REF!</v>
      </c>
      <c r="F37" s="1179" t="e">
        <f>+'ST Original'!#REF!</f>
        <v>#REF!</v>
      </c>
      <c r="G37" s="1179" t="e">
        <f t="shared" si="1"/>
        <v>#REF!</v>
      </c>
      <c r="H37" s="1179" t="e">
        <f t="shared" si="2"/>
        <v>#REF!</v>
      </c>
      <c r="I37" s="1179">
        <f t="shared" si="5"/>
        <v>0</v>
      </c>
      <c r="J37" s="1180">
        <f>+'Plan mina ST'!X35</f>
        <v>213.92747414621758</v>
      </c>
      <c r="K37" s="1180">
        <f>+IF(J37&gt;=170,IF(J37&gt;=200,$P$14*24,$P$13*24),0)</f>
        <v>24760.859083288597</v>
      </c>
      <c r="L37" s="1180">
        <f>+IF(J37&gt;=170,IF(J37&gt;=200,2,1),0)</f>
        <v>2</v>
      </c>
      <c r="M37" s="1182" t="s">
        <v>910</v>
      </c>
      <c r="N37" s="879" t="s">
        <v>906</v>
      </c>
    </row>
    <row r="38" spans="4:14" ht="18">
      <c r="D38" s="1178" t="e">
        <f>+'ST Original'!#REF!</f>
        <v>#REF!</v>
      </c>
      <c r="E38" s="1179" t="e">
        <f>+'ST Original'!#REF!</f>
        <v>#REF!</v>
      </c>
      <c r="F38" s="1179" t="e">
        <f>+'ST Original'!#REF!</f>
        <v>#REF!</v>
      </c>
      <c r="G38" s="1179" t="e">
        <f>+E38-F38</f>
        <v>#REF!</v>
      </c>
      <c r="H38" s="1179" t="e">
        <f>+G38*$B$7</f>
        <v>#REF!</v>
      </c>
      <c r="I38" s="1179">
        <f>+IF(M38="SI",H38*$B$8,0)</f>
        <v>0</v>
      </c>
      <c r="J38" s="1180">
        <f>+'Plan mina ST'!X36</f>
        <v>212.19472678126468</v>
      </c>
      <c r="K38" s="1180">
        <f>+IF(J38&gt;=170,IF(J38&gt;=200,$P$14*24,$P$13*24),0)</f>
        <v>24760.859083288597</v>
      </c>
      <c r="L38" s="1180">
        <f>+IF(J38&gt;=170,IF(J38&gt;=200,2,1),0)</f>
        <v>2</v>
      </c>
      <c r="M38" s="1182" t="s">
        <v>910</v>
      </c>
      <c r="N38" s="879" t="s">
        <v>906</v>
      </c>
    </row>
    <row r="39" spans="4:14">
      <c r="D39" s="1183" t="s">
        <v>915</v>
      </c>
      <c r="E39" s="1184" t="e">
        <f>+SUM(E8:E38)</f>
        <v>#REF!</v>
      </c>
      <c r="F39" s="1184" t="e">
        <f>+SUM(F8:F38)</f>
        <v>#REF!</v>
      </c>
      <c r="G39" s="1184" t="e">
        <f>+SUM(G8:G38)</f>
        <v>#REF!</v>
      </c>
      <c r="H39" s="1142" t="e">
        <f t="shared" si="2"/>
        <v>#REF!</v>
      </c>
      <c r="I39" s="1184">
        <f>+SUM(I8:I38)</f>
        <v>559777.70136118855</v>
      </c>
      <c r="J39" s="1185"/>
      <c r="K39" s="1186">
        <f>+SUM(K8:K38)</f>
        <v>532358.47029070463</v>
      </c>
      <c r="L39" s="1185"/>
    </row>
  </sheetData>
  <phoneticPr fontId="273"/>
  <pageMargins left="0.7" right="0.7" top="0.75" bottom="0.75" header="0.3" footer="0.3"/>
  <pageSetup orientation="portrait" r:id="rId1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1">
    <tabColor indexed="15"/>
  </sheetPr>
  <dimension ref="B2:AA91"/>
  <sheetViews>
    <sheetView topLeftCell="A46" zoomScale="70" zoomScaleNormal="70" workbookViewId="0">
      <selection activeCell="F40" sqref="F40"/>
    </sheetView>
  </sheetViews>
  <sheetFormatPr baseColWidth="10" defaultColWidth="11.453125" defaultRowHeight="12.5"/>
  <cols>
    <col min="1" max="1" width="2.453125" customWidth="1"/>
    <col min="2" max="2" width="23.453125" customWidth="1"/>
    <col min="3" max="5" width="21.453125" customWidth="1"/>
    <col min="7" max="7" width="12.54296875" bestFit="1" customWidth="1"/>
    <col min="8" max="8" width="25.453125" customWidth="1"/>
    <col min="9" max="9" width="21.453125" customWidth="1"/>
    <col min="10" max="10" width="14.81640625" customWidth="1"/>
    <col min="11" max="11" width="16.1796875" customWidth="1"/>
    <col min="12" max="12" width="15" customWidth="1"/>
    <col min="13" max="13" width="15.81640625" customWidth="1"/>
    <col min="14" max="14" width="13.453125" customWidth="1"/>
    <col min="15" max="15" width="11.54296875" bestFit="1" customWidth="1"/>
    <col min="16" max="16" width="10.54296875" bestFit="1" customWidth="1"/>
    <col min="17" max="17" width="16" bestFit="1" customWidth="1"/>
    <col min="18" max="18" width="14.453125" bestFit="1" customWidth="1"/>
    <col min="19" max="19" width="13.54296875" bestFit="1" customWidth="1"/>
    <col min="20" max="20" width="17" bestFit="1" customWidth="1"/>
    <col min="21" max="21" width="9.453125" bestFit="1" customWidth="1"/>
    <col min="22" max="23" width="9.54296875" customWidth="1"/>
    <col min="24" max="24" width="10.54296875" bestFit="1" customWidth="1"/>
    <col min="25" max="25" width="10.54296875" customWidth="1"/>
    <col min="26" max="26" width="7" customWidth="1"/>
  </cols>
  <sheetData>
    <row r="2" spans="2:27" ht="25.5" customHeight="1">
      <c r="B2" s="1105" t="s">
        <v>934</v>
      </c>
      <c r="C2" s="1188"/>
      <c r="D2" s="1188"/>
      <c r="E2" s="1188"/>
      <c r="F2" s="1188"/>
      <c r="G2" s="1188"/>
      <c r="H2" s="1188"/>
      <c r="I2" s="1188"/>
      <c r="J2" s="1202"/>
      <c r="K2" s="1203"/>
      <c r="L2" s="1188"/>
      <c r="M2" s="1204"/>
      <c r="N2" s="1188"/>
      <c r="O2" s="1188"/>
      <c r="P2" s="1188"/>
      <c r="Q2" s="1188"/>
      <c r="R2" s="1188"/>
      <c r="S2" s="1188"/>
      <c r="X2" s="331"/>
      <c r="Y2" s="331"/>
      <c r="Z2" s="331"/>
      <c r="AA2" s="331"/>
    </row>
    <row r="3" spans="2:27">
      <c r="B3" s="331"/>
      <c r="C3" s="332"/>
      <c r="D3" s="382"/>
      <c r="E3" s="252"/>
      <c r="F3" s="236"/>
      <c r="G3" s="236"/>
      <c r="H3" s="213"/>
      <c r="I3" s="352"/>
      <c r="J3" s="378"/>
      <c r="K3" s="358"/>
      <c r="M3" s="321"/>
      <c r="X3" s="331"/>
      <c r="Y3" s="331"/>
      <c r="Z3" s="331"/>
      <c r="AA3" s="331"/>
    </row>
    <row r="4" spans="2:27" ht="13">
      <c r="B4" s="4794" t="s">
        <v>935</v>
      </c>
      <c r="C4" s="4794"/>
      <c r="D4" s="1205">
        <v>426</v>
      </c>
      <c r="E4" s="1206" t="s">
        <v>936</v>
      </c>
      <c r="F4" s="236"/>
      <c r="G4" s="1190" t="s">
        <v>937</v>
      </c>
      <c r="K4" s="358"/>
      <c r="M4" s="321"/>
      <c r="X4" s="331"/>
      <c r="Y4" s="331"/>
      <c r="Z4" s="331"/>
      <c r="AA4" s="331"/>
    </row>
    <row r="5" spans="2:27">
      <c r="B5" s="1207" t="s">
        <v>938</v>
      </c>
    </row>
    <row r="7" spans="2:27" ht="13">
      <c r="C7" s="4793" t="s">
        <v>939</v>
      </c>
      <c r="D7" s="4793"/>
      <c r="E7" s="4793"/>
      <c r="F7" s="236"/>
      <c r="G7" s="236"/>
      <c r="H7" s="236"/>
      <c r="I7" s="1191" t="s">
        <v>940</v>
      </c>
      <c r="J7" s="378"/>
      <c r="K7" s="358"/>
      <c r="M7" s="321"/>
      <c r="AA7" s="331"/>
    </row>
    <row r="8" spans="2:27" ht="13">
      <c r="C8" s="1216" t="s">
        <v>941</v>
      </c>
      <c r="D8" s="1216"/>
      <c r="E8" s="1216"/>
      <c r="F8" s="236"/>
      <c r="G8" s="236"/>
      <c r="H8" s="186"/>
      <c r="I8" s="1192" t="s">
        <v>942</v>
      </c>
      <c r="J8" s="378"/>
      <c r="K8" s="358"/>
      <c r="M8" s="321"/>
      <c r="AA8" s="331"/>
    </row>
    <row r="9" spans="2:27" ht="13">
      <c r="C9" s="1205" t="s">
        <v>943</v>
      </c>
      <c r="D9" s="1215" t="s">
        <v>944</v>
      </c>
      <c r="E9" s="1209" t="s">
        <v>945</v>
      </c>
      <c r="F9" s="236"/>
      <c r="G9" s="236"/>
      <c r="H9" s="186"/>
      <c r="I9" s="1215" t="s">
        <v>946</v>
      </c>
      <c r="J9" s="378"/>
      <c r="K9" s="297"/>
      <c r="L9" s="298"/>
      <c r="M9" s="1193"/>
      <c r="N9" s="298"/>
      <c r="O9" s="298"/>
      <c r="P9" s="298"/>
      <c r="Q9" s="298"/>
      <c r="R9" s="298"/>
      <c r="S9" s="298"/>
      <c r="AA9" s="331"/>
    </row>
    <row r="10" spans="2:27" ht="13">
      <c r="B10" s="1208" t="s">
        <v>258</v>
      </c>
      <c r="C10" s="1205" t="s">
        <v>936</v>
      </c>
      <c r="D10" s="1215" t="s">
        <v>936</v>
      </c>
      <c r="E10" s="1209" t="s">
        <v>936</v>
      </c>
      <c r="F10" s="236"/>
      <c r="G10" s="236"/>
      <c r="H10" s="186" t="s">
        <v>258</v>
      </c>
      <c r="I10" s="1205" t="s">
        <v>936</v>
      </c>
      <c r="J10" s="378"/>
      <c r="K10" s="297"/>
      <c r="L10" s="298"/>
      <c r="M10" s="1193"/>
      <c r="N10" s="298"/>
      <c r="O10" s="298"/>
      <c r="P10" s="298"/>
      <c r="Q10" s="298"/>
      <c r="R10" s="298"/>
      <c r="S10" s="298"/>
      <c r="AA10" s="331"/>
    </row>
    <row r="11" spans="2:27" ht="13">
      <c r="B11" s="1210">
        <f>'R+P'!B8</f>
        <v>46082.791666666664</v>
      </c>
      <c r="C11" s="1211">
        <f>'R+P'!AA8</f>
        <v>19.41657334540642</v>
      </c>
      <c r="D11" s="1212">
        <f>+'R+P'!AC8</f>
        <v>23.247016525000099</v>
      </c>
      <c r="E11" s="1186">
        <v>20</v>
      </c>
      <c r="F11" s="1199"/>
      <c r="G11" s="1194"/>
      <c r="H11" s="1213">
        <f t="shared" ref="H11:H38" si="0">B11</f>
        <v>46082.791666666664</v>
      </c>
      <c r="I11" s="1290">
        <v>25</v>
      </c>
      <c r="J11" s="378"/>
      <c r="K11" s="297"/>
      <c r="L11" s="298"/>
      <c r="M11" s="1193"/>
      <c r="N11" s="298"/>
      <c r="O11" s="298"/>
      <c r="P11" s="298"/>
      <c r="Q11" s="298"/>
      <c r="R11" s="298"/>
      <c r="S11" s="298"/>
      <c r="AA11" s="331"/>
    </row>
    <row r="12" spans="2:27" ht="13">
      <c r="B12" s="1210">
        <f>'R+P'!B9</f>
        <v>46083.791666666664</v>
      </c>
      <c r="C12" s="1211">
        <f>'R+P'!AA9</f>
        <v>35.809059275552826</v>
      </c>
      <c r="D12" s="1212">
        <f>+'R+P'!AC9</f>
        <v>24.272793768749899</v>
      </c>
      <c r="E12" s="1186">
        <v>25</v>
      </c>
      <c r="F12" s="1199"/>
      <c r="G12" s="1194"/>
      <c r="H12" s="1213">
        <f t="shared" si="0"/>
        <v>46083.791666666664</v>
      </c>
      <c r="I12" s="1290">
        <v>25</v>
      </c>
      <c r="J12" s="378"/>
      <c r="K12" s="297"/>
      <c r="L12" s="298"/>
      <c r="M12" s="1193"/>
      <c r="N12" s="298"/>
      <c r="O12" s="298"/>
      <c r="P12" s="298"/>
      <c r="Q12" s="298"/>
      <c r="R12" s="298"/>
      <c r="S12" s="298"/>
      <c r="AA12" s="331"/>
    </row>
    <row r="13" spans="2:27" ht="13">
      <c r="B13" s="1210">
        <f>'R+P'!B10</f>
        <v>46084.791666666664</v>
      </c>
      <c r="C13" s="1211">
        <f>'R+P'!AA10</f>
        <v>34.378610074977907</v>
      </c>
      <c r="D13" s="1212">
        <f>+'R+P'!AC10</f>
        <v>60.48460438893089</v>
      </c>
      <c r="E13" s="1186">
        <v>25</v>
      </c>
      <c r="F13" s="1199"/>
      <c r="G13" s="1194"/>
      <c r="H13" s="1213">
        <f t="shared" si="0"/>
        <v>46084.791666666664</v>
      </c>
      <c r="I13" s="1290">
        <v>30</v>
      </c>
      <c r="J13" s="378"/>
      <c r="K13" s="297"/>
      <c r="L13" s="298"/>
      <c r="M13" s="1193"/>
      <c r="N13" s="298"/>
      <c r="O13" s="298"/>
      <c r="P13" s="298"/>
      <c r="Q13" s="298"/>
      <c r="R13" s="298"/>
      <c r="S13" s="298"/>
      <c r="AA13" s="331"/>
    </row>
    <row r="14" spans="2:27" ht="13">
      <c r="B14" s="1210">
        <f>'R+P'!B11</f>
        <v>46085.791666666664</v>
      </c>
      <c r="C14" s="1211">
        <f>'R+P'!AA11</f>
        <v>28.678200996667716</v>
      </c>
      <c r="D14" s="1212">
        <f>+'R+P'!AC11</f>
        <v>53.2</v>
      </c>
      <c r="E14" s="1186">
        <v>25</v>
      </c>
      <c r="F14" s="1199"/>
      <c r="G14" s="1194"/>
      <c r="H14" s="1462">
        <f t="shared" si="0"/>
        <v>46085.791666666664</v>
      </c>
      <c r="I14" s="1290">
        <v>25</v>
      </c>
      <c r="J14" s="378"/>
      <c r="K14" s="297"/>
      <c r="L14" s="298"/>
      <c r="M14" s="1193"/>
      <c r="N14" s="298"/>
      <c r="O14" s="298"/>
      <c r="P14" s="298"/>
      <c r="Q14" s="298"/>
      <c r="R14" s="298"/>
      <c r="S14" s="298"/>
      <c r="AA14" s="331"/>
    </row>
    <row r="15" spans="2:27" ht="13">
      <c r="B15" s="1210">
        <f>'R+P'!B12</f>
        <v>46086.791666666664</v>
      </c>
      <c r="C15" s="1211">
        <f>'R+P'!AA12</f>
        <v>25.486942393920195</v>
      </c>
      <c r="D15" s="1212">
        <f>+'R+P'!AC12</f>
        <v>47.26</v>
      </c>
      <c r="E15" s="1186">
        <v>25</v>
      </c>
      <c r="F15" s="1199"/>
      <c r="G15" s="1194"/>
      <c r="H15" s="1464">
        <f t="shared" si="0"/>
        <v>46086.791666666664</v>
      </c>
      <c r="I15" s="1290">
        <v>25</v>
      </c>
      <c r="J15" s="378"/>
      <c r="K15" s="297"/>
      <c r="L15" s="298"/>
      <c r="M15" s="1193"/>
      <c r="N15" s="298"/>
      <c r="O15" s="298"/>
      <c r="P15" s="298"/>
      <c r="Q15" s="298"/>
      <c r="R15" s="298"/>
      <c r="S15" s="298"/>
      <c r="AA15" s="331"/>
    </row>
    <row r="16" spans="2:27" ht="13">
      <c r="B16" s="1210">
        <f>'R+P'!B13</f>
        <v>46087.791666666664</v>
      </c>
      <c r="C16" s="1211">
        <f>'R+P'!AA13</f>
        <v>28.522596296736598</v>
      </c>
      <c r="D16" s="1212">
        <f>+'R+P'!AC13</f>
        <v>40.67</v>
      </c>
      <c r="E16" s="1186">
        <v>25</v>
      </c>
      <c r="F16" s="1199"/>
      <c r="G16" s="1195"/>
      <c r="H16" s="1465">
        <f t="shared" si="0"/>
        <v>46087.791666666664</v>
      </c>
      <c r="I16" s="1290">
        <v>20</v>
      </c>
      <c r="J16" s="378"/>
      <c r="K16" s="297"/>
      <c r="L16" s="298"/>
      <c r="M16" s="1193"/>
      <c r="N16" s="298"/>
      <c r="O16" s="298"/>
      <c r="P16" s="298"/>
      <c r="Q16" s="298"/>
      <c r="R16" s="298"/>
      <c r="S16" s="298"/>
      <c r="AA16" s="331"/>
    </row>
    <row r="17" spans="2:27" ht="13">
      <c r="B17" s="1213">
        <f>'R+P'!B14</f>
        <v>46088.791666666664</v>
      </c>
      <c r="C17" s="1211">
        <f>'R+P'!AA14</f>
        <v>30.75607613795767</v>
      </c>
      <c r="D17" s="1212">
        <f>+'R+P'!AC14</f>
        <v>38.46</v>
      </c>
      <c r="E17" s="1186">
        <v>25</v>
      </c>
      <c r="F17" s="1199"/>
      <c r="G17" s="1195"/>
      <c r="H17" s="1465">
        <f t="shared" si="0"/>
        <v>46088.791666666664</v>
      </c>
      <c r="I17" s="1290">
        <v>25</v>
      </c>
      <c r="J17" s="378"/>
      <c r="K17" s="297"/>
      <c r="L17" s="298"/>
      <c r="M17" s="1193"/>
      <c r="N17" s="298"/>
      <c r="O17" s="298"/>
      <c r="P17" s="298"/>
      <c r="Q17" s="298"/>
      <c r="R17" s="298"/>
      <c r="S17" s="298"/>
      <c r="AA17" s="331"/>
    </row>
    <row r="18" spans="2:27" ht="13">
      <c r="B18" s="1213">
        <f>'R+P'!B15</f>
        <v>46089.791666666664</v>
      </c>
      <c r="C18" s="1211">
        <f>'R+P'!AA15</f>
        <v>30.822560481352035</v>
      </c>
      <c r="D18" s="1212">
        <f>+'R+P'!AC15</f>
        <v>46.16</v>
      </c>
      <c r="E18" s="1186">
        <v>20</v>
      </c>
      <c r="F18" s="1199"/>
      <c r="G18" s="1195"/>
      <c r="H18" s="1465">
        <f t="shared" si="0"/>
        <v>46089.791666666664</v>
      </c>
      <c r="I18" s="1290">
        <v>25</v>
      </c>
      <c r="J18" s="378"/>
      <c r="K18" s="297"/>
      <c r="L18" s="298"/>
      <c r="M18" s="1193"/>
      <c r="N18" s="298"/>
      <c r="O18" s="298"/>
      <c r="P18" s="298"/>
      <c r="Q18" s="298"/>
      <c r="R18" s="298"/>
      <c r="S18" s="298"/>
      <c r="AA18" s="331"/>
    </row>
    <row r="19" spans="2:27" ht="13">
      <c r="B19" s="1213">
        <f>'R+P'!B16</f>
        <v>46090.791666666664</v>
      </c>
      <c r="C19" s="1211">
        <f>'R+P'!AA16</f>
        <v>21.75403067930813</v>
      </c>
      <c r="D19" s="1212">
        <f>+'R+P'!AC16</f>
        <v>46.98</v>
      </c>
      <c r="E19" s="1186">
        <v>10</v>
      </c>
      <c r="F19" s="1199"/>
      <c r="G19" s="1195"/>
      <c r="H19" s="1465">
        <f t="shared" si="0"/>
        <v>46090.791666666664</v>
      </c>
      <c r="I19" s="1290">
        <v>25</v>
      </c>
      <c r="J19" s="378"/>
      <c r="K19" s="297"/>
      <c r="L19" s="298"/>
      <c r="M19" s="1193"/>
      <c r="N19" s="298"/>
      <c r="O19" s="298"/>
      <c r="P19" s="298"/>
      <c r="Q19" s="298"/>
      <c r="R19" s="298"/>
      <c r="S19" s="298"/>
      <c r="AA19" s="331"/>
    </row>
    <row r="20" spans="2:27" ht="13">
      <c r="B20" s="1213">
        <f>'R+P'!B17</f>
        <v>46091.791666666664</v>
      </c>
      <c r="C20" s="1212">
        <f>'R+P'!AA17</f>
        <v>20.843424593632573</v>
      </c>
      <c r="D20" s="1212">
        <f>+'R+P'!AC17</f>
        <v>33.83</v>
      </c>
      <c r="E20" s="1214">
        <v>0</v>
      </c>
      <c r="F20" s="1199"/>
      <c r="G20" s="1195"/>
      <c r="H20" s="1465">
        <f t="shared" si="0"/>
        <v>46091.791666666664</v>
      </c>
      <c r="I20" s="1290">
        <v>25</v>
      </c>
      <c r="J20" s="378"/>
      <c r="K20" s="358"/>
      <c r="M20" s="321"/>
      <c r="AA20" s="331"/>
    </row>
    <row r="21" spans="2:27" ht="13">
      <c r="B21" s="1213">
        <f>'R+P'!B18</f>
        <v>46092.791666666664</v>
      </c>
      <c r="C21" s="1211">
        <f>'R+P'!AA18</f>
        <v>29.471129186241466</v>
      </c>
      <c r="D21" s="1212">
        <f>+'R+P'!AC18</f>
        <v>26.38</v>
      </c>
      <c r="E21" s="1186">
        <v>0</v>
      </c>
      <c r="F21" s="1199"/>
      <c r="G21" s="1195"/>
      <c r="H21" s="1466">
        <f t="shared" si="0"/>
        <v>46092.791666666664</v>
      </c>
      <c r="I21" s="1290">
        <v>25</v>
      </c>
      <c r="J21" s="378"/>
      <c r="K21" s="297"/>
      <c r="L21" s="298"/>
      <c r="M21" s="1193"/>
      <c r="N21" s="298"/>
      <c r="O21" s="298"/>
      <c r="P21" s="298"/>
      <c r="Q21" s="298"/>
      <c r="R21" s="298"/>
      <c r="S21" s="298"/>
      <c r="AA21" s="331"/>
    </row>
    <row r="22" spans="2:27" ht="13">
      <c r="B22" s="1213">
        <f>'R+P'!B19</f>
        <v>46093.791666666664</v>
      </c>
      <c r="C22" s="1211">
        <f>'R+P'!AA19</f>
        <v>32.04894751168834</v>
      </c>
      <c r="D22" s="1212">
        <f>+'R+P'!AC19</f>
        <v>26.333017135184665</v>
      </c>
      <c r="E22" s="1186">
        <v>0</v>
      </c>
      <c r="F22" s="1199"/>
      <c r="G22" s="1195"/>
      <c r="H22" s="1463">
        <f t="shared" si="0"/>
        <v>46093.791666666664</v>
      </c>
      <c r="I22" s="1290">
        <v>25</v>
      </c>
      <c r="J22" s="378"/>
      <c r="K22" s="297"/>
      <c r="L22" s="298"/>
      <c r="M22" s="1193"/>
      <c r="N22" s="298"/>
      <c r="O22" s="298"/>
      <c r="P22" s="298"/>
      <c r="Q22" s="298"/>
      <c r="R22" s="298"/>
      <c r="S22" s="298"/>
      <c r="AA22" s="331"/>
    </row>
    <row r="23" spans="2:27" ht="13">
      <c r="B23" s="1213">
        <f>'R+P'!B20</f>
        <v>46094.791666666664</v>
      </c>
      <c r="C23" s="1212">
        <f>'R+P'!AA20</f>
        <v>27.538284451200784</v>
      </c>
      <c r="D23" s="1212">
        <f>+'R+P'!AC20</f>
        <v>15.138711110207137</v>
      </c>
      <c r="E23" s="1186">
        <v>0</v>
      </c>
      <c r="F23" s="1199"/>
      <c r="G23" s="1195"/>
      <c r="H23" s="1213">
        <f t="shared" si="0"/>
        <v>46094.791666666664</v>
      </c>
      <c r="I23" s="1290">
        <v>25</v>
      </c>
      <c r="J23" s="378"/>
      <c r="K23" s="297"/>
      <c r="L23" s="298"/>
      <c r="M23" s="1193"/>
      <c r="N23" s="298"/>
      <c r="O23" s="298"/>
      <c r="P23" s="298"/>
      <c r="Q23" s="298"/>
      <c r="R23" s="298"/>
      <c r="S23" s="298"/>
      <c r="AA23" s="331"/>
    </row>
    <row r="24" spans="2:27" ht="13">
      <c r="B24" s="1213">
        <f>'R+P'!B21</f>
        <v>46095.791666666664</v>
      </c>
      <c r="C24" s="1212">
        <f>'R+P'!AA21</f>
        <v>41.986130421167665</v>
      </c>
      <c r="D24" s="1212">
        <f>+'R+P'!AC21</f>
        <v>36.136825100000017</v>
      </c>
      <c r="E24" s="1186">
        <v>10</v>
      </c>
      <c r="F24" s="1199"/>
      <c r="G24" s="1195"/>
      <c r="H24" s="1213">
        <f t="shared" si="0"/>
        <v>46095.791666666664</v>
      </c>
      <c r="I24" s="1290">
        <v>25</v>
      </c>
      <c r="J24" s="378"/>
      <c r="K24" s="297"/>
      <c r="L24" s="298"/>
      <c r="M24" s="1193"/>
      <c r="N24" s="298"/>
      <c r="O24" s="298"/>
      <c r="P24" s="298"/>
      <c r="Q24" s="298"/>
      <c r="R24" s="298"/>
      <c r="S24" s="298"/>
      <c r="AA24" s="331"/>
    </row>
    <row r="25" spans="2:27" ht="13">
      <c r="B25" s="1213">
        <f>'R+P'!B22</f>
        <v>46096.791666666664</v>
      </c>
      <c r="C25" s="1212">
        <f>'R+P'!AA22</f>
        <v>40.0432416183816</v>
      </c>
      <c r="D25" s="1212">
        <f>+'R+P'!AC22</f>
        <v>38.957000000000001</v>
      </c>
      <c r="E25" s="1186">
        <v>35</v>
      </c>
      <c r="F25" s="1199"/>
      <c r="G25" s="1195"/>
      <c r="H25" s="1213">
        <f t="shared" si="0"/>
        <v>46096.791666666664</v>
      </c>
      <c r="I25" s="1290">
        <v>20</v>
      </c>
      <c r="J25" s="378"/>
      <c r="K25" s="297"/>
      <c r="L25" s="298"/>
      <c r="M25" s="1193"/>
      <c r="N25" s="298"/>
      <c r="O25" s="298"/>
      <c r="P25" s="298"/>
      <c r="Q25" s="298"/>
      <c r="R25" s="298"/>
      <c r="S25" s="298"/>
      <c r="AA25" s="331"/>
    </row>
    <row r="26" spans="2:27" ht="13">
      <c r="B26" s="1213">
        <f>'R+P'!B23</f>
        <v>46097.791666666664</v>
      </c>
      <c r="C26" s="1212">
        <f>'R+P'!AA23</f>
        <v>25.951054718872989</v>
      </c>
      <c r="D26" s="1212">
        <f>+'R+P'!AC23</f>
        <v>2.4033503206511853</v>
      </c>
      <c r="E26" s="1186">
        <v>35</v>
      </c>
      <c r="F26" s="1199"/>
      <c r="G26" s="1195"/>
      <c r="H26" s="1213">
        <f t="shared" si="0"/>
        <v>46097.791666666664</v>
      </c>
      <c r="I26" s="1290">
        <v>20</v>
      </c>
      <c r="J26" s="378"/>
      <c r="K26" s="297"/>
      <c r="L26" s="298"/>
      <c r="M26" s="1193"/>
      <c r="N26" s="298"/>
      <c r="O26" s="298"/>
      <c r="P26" s="298"/>
      <c r="Q26" s="298"/>
      <c r="R26" s="298"/>
      <c r="S26" s="298"/>
      <c r="AA26" s="331"/>
    </row>
    <row r="27" spans="2:27" ht="13">
      <c r="B27" s="1213">
        <f>'R+P'!B24</f>
        <v>46098.791666666664</v>
      </c>
      <c r="C27" s="1212">
        <f>'R+P'!AA24</f>
        <v>21.837224356252797</v>
      </c>
      <c r="D27" s="1212">
        <f>+'R+P'!AC24</f>
        <v>8.5319142179054914</v>
      </c>
      <c r="E27" s="1186">
        <v>35</v>
      </c>
      <c r="F27" s="1199"/>
      <c r="G27" s="1195"/>
      <c r="H27" s="1213">
        <f t="shared" si="0"/>
        <v>46098.791666666664</v>
      </c>
      <c r="I27" s="1290">
        <v>20</v>
      </c>
      <c r="J27" s="378"/>
      <c r="K27" s="297"/>
      <c r="L27" s="298"/>
      <c r="M27" s="1193"/>
      <c r="N27" s="298"/>
      <c r="O27" s="298"/>
      <c r="P27" s="298"/>
      <c r="Q27" s="298"/>
      <c r="R27" s="298"/>
      <c r="S27" s="298"/>
      <c r="AA27" s="331"/>
    </row>
    <row r="28" spans="2:27" ht="13">
      <c r="B28" s="1213">
        <f>'R+P'!B25</f>
        <v>46099.791666666664</v>
      </c>
      <c r="C28" s="1212">
        <f>'R+P'!AA25</f>
        <v>22.709269541937768</v>
      </c>
      <c r="D28" s="1212">
        <f>+'R+P'!AC25</f>
        <v>33.278728852343804</v>
      </c>
      <c r="E28" s="1186">
        <v>35</v>
      </c>
      <c r="F28" s="1199"/>
      <c r="G28" s="1196"/>
      <c r="H28" s="1213">
        <f t="shared" si="0"/>
        <v>46099.791666666664</v>
      </c>
      <c r="I28" s="1290">
        <v>25</v>
      </c>
      <c r="J28" s="378"/>
      <c r="K28" s="297"/>
      <c r="L28" s="298"/>
      <c r="M28" s="1193"/>
      <c r="N28" s="298"/>
      <c r="O28" s="298"/>
      <c r="P28" s="298"/>
      <c r="Q28" s="298"/>
      <c r="R28" s="298"/>
      <c r="S28" s="298"/>
      <c r="AA28" s="331"/>
    </row>
    <row r="29" spans="2:27" ht="13">
      <c r="B29" s="1213">
        <f>'R+P'!B26</f>
        <v>46100.791666666664</v>
      </c>
      <c r="C29" s="1212">
        <f>'R+P'!AA26</f>
        <v>34.491128539672047</v>
      </c>
      <c r="D29" s="1212">
        <f>+'R+P'!AC26</f>
        <v>44.873185487124211</v>
      </c>
      <c r="E29" s="1186">
        <v>35</v>
      </c>
      <c r="F29" s="1199"/>
      <c r="G29" s="1196"/>
      <c r="H29" s="1213">
        <f t="shared" si="0"/>
        <v>46100.791666666664</v>
      </c>
      <c r="I29" s="1290">
        <v>25</v>
      </c>
      <c r="J29" s="378"/>
      <c r="K29" s="297"/>
      <c r="L29" s="298"/>
      <c r="M29" s="1193"/>
      <c r="N29" s="298"/>
      <c r="O29" s="298"/>
      <c r="P29" s="298"/>
      <c r="Q29" s="298"/>
      <c r="R29" s="298"/>
      <c r="S29" s="298"/>
      <c r="AA29" s="331"/>
    </row>
    <row r="30" spans="2:27" ht="13">
      <c r="B30" s="1213">
        <f>'R+P'!B27</f>
        <v>46101.791666666664</v>
      </c>
      <c r="C30" s="1211">
        <f>'R+P'!AA27</f>
        <v>25.653350275240797</v>
      </c>
      <c r="D30" s="1212">
        <f>+'R+P'!AC27</f>
        <v>44.668231324443511</v>
      </c>
      <c r="E30" s="1186">
        <v>35</v>
      </c>
      <c r="F30" s="1199"/>
      <c r="G30" s="1196"/>
      <c r="H30" s="1213">
        <f t="shared" si="0"/>
        <v>46101.791666666664</v>
      </c>
      <c r="I30" s="1290">
        <v>25</v>
      </c>
      <c r="J30" s="378"/>
      <c r="K30" s="297"/>
      <c r="L30" s="298"/>
      <c r="M30" s="1193"/>
      <c r="N30" s="298"/>
      <c r="O30" s="298"/>
      <c r="P30" s="298"/>
      <c r="Q30" s="298"/>
      <c r="R30" s="298"/>
      <c r="S30" s="298"/>
      <c r="AA30" s="331"/>
    </row>
    <row r="31" spans="2:27" ht="13">
      <c r="B31" s="1213">
        <f>'R+P'!B28</f>
        <v>46102.791666666664</v>
      </c>
      <c r="C31" s="1211">
        <f>'R+P'!AA28</f>
        <v>27.793878251348087</v>
      </c>
      <c r="D31" s="1212">
        <f>+'R+P'!AC28</f>
        <v>44.228357361385243</v>
      </c>
      <c r="E31" s="1186">
        <v>15</v>
      </c>
      <c r="F31" s="1199"/>
      <c r="G31" s="1196"/>
      <c r="H31" s="1213">
        <f t="shared" si="0"/>
        <v>46102.791666666664</v>
      </c>
      <c r="I31" s="1290">
        <v>20</v>
      </c>
      <c r="J31" s="378"/>
      <c r="K31" s="297"/>
      <c r="L31" s="298"/>
      <c r="M31" s="1193"/>
      <c r="N31" s="298"/>
      <c r="O31" s="298"/>
      <c r="P31" s="298"/>
      <c r="Q31" s="298"/>
      <c r="R31" s="298"/>
      <c r="S31" s="298"/>
      <c r="AA31" s="331"/>
    </row>
    <row r="32" spans="2:27" ht="13">
      <c r="B32" s="1213">
        <f>'R+P'!B29</f>
        <v>46103.791666666664</v>
      </c>
      <c r="C32" s="1211">
        <f>'R+P'!AA29</f>
        <v>24.180028696785236</v>
      </c>
      <c r="D32" s="1212">
        <f>+'R+P'!AC29</f>
        <v>25</v>
      </c>
      <c r="E32" s="1186">
        <v>35</v>
      </c>
      <c r="F32" s="1199"/>
      <c r="G32" s="1196"/>
      <c r="H32" s="1213">
        <f t="shared" si="0"/>
        <v>46103.791666666664</v>
      </c>
      <c r="I32" s="1290">
        <v>20</v>
      </c>
      <c r="J32" s="378"/>
      <c r="K32" s="297"/>
      <c r="L32" s="298"/>
      <c r="M32" s="1193"/>
      <c r="N32" s="298"/>
      <c r="O32" s="298"/>
      <c r="P32" s="298"/>
      <c r="Q32" s="298"/>
      <c r="R32" s="298"/>
      <c r="S32" s="298"/>
      <c r="AA32" s="331"/>
    </row>
    <row r="33" spans="2:27" ht="13">
      <c r="B33" s="1213">
        <f>'R+P'!B30</f>
        <v>46104.791666666664</v>
      </c>
      <c r="C33" s="1211">
        <f>'R+P'!AA30</f>
        <v>18.605359624679121</v>
      </c>
      <c r="D33" s="1212">
        <f>+'R+P'!AC30</f>
        <v>25</v>
      </c>
      <c r="E33" s="1186">
        <v>35</v>
      </c>
      <c r="F33" s="1199"/>
      <c r="G33" s="1196"/>
      <c r="H33" s="1213">
        <f t="shared" si="0"/>
        <v>46104.791666666664</v>
      </c>
      <c r="I33" s="1290">
        <v>20</v>
      </c>
      <c r="J33" s="378"/>
      <c r="K33" s="297"/>
      <c r="L33" s="298"/>
      <c r="M33" s="1193"/>
      <c r="N33" s="298"/>
      <c r="O33" s="298"/>
      <c r="P33" s="298"/>
      <c r="Q33" s="298"/>
      <c r="R33" s="298"/>
      <c r="S33" s="298"/>
      <c r="AA33" s="331"/>
    </row>
    <row r="34" spans="2:27" ht="13">
      <c r="B34" s="1213">
        <f>'R+P'!B31</f>
        <v>46105.791666666664</v>
      </c>
      <c r="C34" s="1211">
        <f>'R+P'!AA31</f>
        <v>18.571534580811178</v>
      </c>
      <c r="D34" s="1212">
        <f>+'R+P'!AC31</f>
        <v>25</v>
      </c>
      <c r="E34" s="1186">
        <v>35</v>
      </c>
      <c r="F34" s="1199"/>
      <c r="G34" s="1196"/>
      <c r="H34" s="1213">
        <f t="shared" si="0"/>
        <v>46105.791666666664</v>
      </c>
      <c r="I34" s="1290">
        <v>20</v>
      </c>
      <c r="J34" s="378"/>
      <c r="K34" s="297"/>
      <c r="L34" s="298"/>
      <c r="M34" s="1193"/>
      <c r="N34" s="298"/>
      <c r="O34" s="298"/>
      <c r="P34" s="298"/>
      <c r="Q34" s="298"/>
      <c r="R34" s="298"/>
      <c r="S34" s="298"/>
      <c r="AA34" s="331"/>
    </row>
    <row r="35" spans="2:27" ht="13">
      <c r="B35" s="1213">
        <f>'R+P'!B32</f>
        <v>46106.791666666664</v>
      </c>
      <c r="C35" s="1211">
        <f>'R+P'!AA32</f>
        <v>27.772027707158248</v>
      </c>
      <c r="D35" s="1212">
        <f>+'R+P'!AC32</f>
        <v>25</v>
      </c>
      <c r="E35" s="1186">
        <v>35</v>
      </c>
      <c r="F35" s="1199"/>
      <c r="G35" s="1196"/>
      <c r="H35" s="1213">
        <f t="shared" si="0"/>
        <v>46106.791666666664</v>
      </c>
      <c r="I35" s="1290">
        <v>15</v>
      </c>
      <c r="J35" s="378"/>
      <c r="K35" s="297"/>
      <c r="L35" s="298"/>
      <c r="M35" s="1193"/>
      <c r="N35" s="298"/>
      <c r="O35" s="298"/>
      <c r="P35" s="298"/>
      <c r="Q35" s="298"/>
      <c r="R35" s="298"/>
      <c r="S35" s="298"/>
      <c r="AA35" s="331"/>
    </row>
    <row r="36" spans="2:27" ht="13">
      <c r="B36" s="1213">
        <f>'R+P'!B33</f>
        <v>46107.791666666664</v>
      </c>
      <c r="C36" s="1211">
        <f>'R+P'!AA33</f>
        <v>21.698891116392073</v>
      </c>
      <c r="D36" s="1212">
        <f>+'R+P'!AC33</f>
        <v>25</v>
      </c>
      <c r="E36" s="1186">
        <v>35</v>
      </c>
      <c r="F36" s="1199"/>
      <c r="G36" s="1196"/>
      <c r="H36" s="1213">
        <f t="shared" si="0"/>
        <v>46107.791666666664</v>
      </c>
      <c r="I36" s="1290">
        <v>15</v>
      </c>
      <c r="J36" s="378"/>
      <c r="K36" s="297"/>
      <c r="L36" s="298"/>
      <c r="M36" s="1193"/>
      <c r="N36" s="298"/>
      <c r="O36" s="298"/>
      <c r="P36" s="298"/>
      <c r="Q36" s="298"/>
      <c r="R36" s="298"/>
      <c r="S36" s="298"/>
      <c r="AA36" s="331"/>
    </row>
    <row r="37" spans="2:27" ht="13">
      <c r="B37" s="1213">
        <f>'R+P'!B34</f>
        <v>46108.791666666664</v>
      </c>
      <c r="C37" s="1211">
        <f>'R+P'!AA34</f>
        <v>37.316146317532443</v>
      </c>
      <c r="D37" s="1212">
        <f>+'R+P'!AC34</f>
        <v>25</v>
      </c>
      <c r="E37" s="1186">
        <v>15</v>
      </c>
      <c r="F37" s="1199"/>
      <c r="G37" s="1196"/>
      <c r="H37" s="1213">
        <f t="shared" si="0"/>
        <v>46108.791666666664</v>
      </c>
      <c r="I37" s="1290">
        <v>20</v>
      </c>
      <c r="J37" s="378"/>
      <c r="K37" s="297"/>
      <c r="L37" s="298"/>
      <c r="M37" s="1193"/>
      <c r="N37" s="298"/>
      <c r="O37" s="298"/>
      <c r="P37" s="298"/>
      <c r="Q37" s="298"/>
      <c r="R37" s="298"/>
      <c r="S37" s="298"/>
      <c r="AA37" s="331"/>
    </row>
    <row r="38" spans="2:27" ht="13">
      <c r="B38" s="1213">
        <f>'R+P'!B35</f>
        <v>46109.791666666664</v>
      </c>
      <c r="C38" s="1211">
        <f>'R+P'!AA35</f>
        <v>42.600824307283126</v>
      </c>
      <c r="D38" s="1212">
        <f>+'R+P'!AC35</f>
        <v>25</v>
      </c>
      <c r="E38" s="1186">
        <v>35</v>
      </c>
      <c r="F38" s="1199"/>
      <c r="G38" s="1196"/>
      <c r="H38" s="1213">
        <f t="shared" si="0"/>
        <v>46109.791666666664</v>
      </c>
      <c r="I38" s="1290">
        <v>20</v>
      </c>
      <c r="J38" s="378"/>
      <c r="K38" s="297"/>
      <c r="L38" s="298"/>
      <c r="M38" s="1193"/>
      <c r="N38" s="298"/>
      <c r="O38" s="298"/>
      <c r="P38" s="298"/>
      <c r="Q38" s="298"/>
      <c r="R38" s="298"/>
      <c r="S38" s="298"/>
      <c r="AA38" s="331"/>
    </row>
    <row r="39" spans="2:27" ht="13">
      <c r="B39" s="1213">
        <f>'R+P'!B36</f>
        <v>46110.791666666664</v>
      </c>
      <c r="C39" s="1211">
        <f>'R+P'!AA36</f>
        <v>36.399413892996847</v>
      </c>
      <c r="D39" s="1212">
        <f>+'R+P'!AC36</f>
        <v>25</v>
      </c>
      <c r="E39" s="1186">
        <v>36</v>
      </c>
      <c r="F39" s="1199"/>
      <c r="G39" s="1196"/>
      <c r="H39" s="1213">
        <f>B39</f>
        <v>46110.791666666664</v>
      </c>
      <c r="I39" s="1290">
        <v>15</v>
      </c>
      <c r="J39" s="378"/>
      <c r="K39" s="354"/>
      <c r="L39" s="1197"/>
      <c r="M39" s="1198"/>
      <c r="N39" s="1219" t="s">
        <v>50</v>
      </c>
      <c r="O39" s="1219" t="s">
        <v>947</v>
      </c>
      <c r="P39" s="1219" t="s">
        <v>10</v>
      </c>
      <c r="Q39" s="298"/>
      <c r="R39" s="298"/>
      <c r="S39" s="298"/>
      <c r="AA39" s="331"/>
    </row>
    <row r="40" spans="2:27" ht="13">
      <c r="B40" s="1213">
        <f>'R+P'!B37</f>
        <v>46111.791666666664</v>
      </c>
      <c r="C40" s="1211">
        <f>'R+P'!AA37</f>
        <v>28.471958667419354</v>
      </c>
      <c r="D40" s="1212">
        <f>+'R+P'!AC37</f>
        <v>25</v>
      </c>
      <c r="E40" s="1186">
        <v>37</v>
      </c>
      <c r="F40" s="1199"/>
      <c r="G40" s="1196"/>
      <c r="H40" s="1213">
        <f>B40</f>
        <v>46111.791666666664</v>
      </c>
      <c r="I40" s="1290">
        <v>15</v>
      </c>
      <c r="J40" s="378"/>
      <c r="K40" s="354"/>
      <c r="L40" s="1197"/>
      <c r="M40" s="1198"/>
      <c r="N40" s="1219"/>
      <c r="O40" s="1219"/>
      <c r="P40" s="1219"/>
      <c r="Q40" s="298"/>
      <c r="R40" s="298"/>
      <c r="S40" s="298"/>
      <c r="AA40" s="331"/>
    </row>
    <row r="41" spans="2:27" ht="13">
      <c r="B41" s="1213">
        <f>'R+P'!B38</f>
        <v>46112.791666666664</v>
      </c>
      <c r="C41" s="1211">
        <f>'R+P'!AA38</f>
        <v>46.0194500074156</v>
      </c>
      <c r="D41" s="1212">
        <f>+'R+P'!AC38</f>
        <v>40</v>
      </c>
      <c r="E41" s="1186">
        <v>38</v>
      </c>
      <c r="F41" s="1199"/>
      <c r="G41" s="1196"/>
      <c r="H41" s="1213">
        <f>B41</f>
        <v>46112.791666666664</v>
      </c>
      <c r="I41" s="1290">
        <v>16</v>
      </c>
      <c r="J41" s="378"/>
      <c r="K41" s="354"/>
      <c r="L41" s="1197"/>
      <c r="M41" s="1198"/>
      <c r="N41" s="1219"/>
      <c r="O41" s="1219"/>
      <c r="P41" s="1219"/>
      <c r="Q41" s="298"/>
      <c r="R41" s="298"/>
      <c r="S41" s="298"/>
      <c r="AA41" s="331"/>
    </row>
    <row r="42" spans="2:27" ht="13">
      <c r="B42" s="331"/>
      <c r="C42" s="1211">
        <f>SUM(C11:C41)</f>
        <v>907.62734806598951</v>
      </c>
      <c r="D42" s="1212">
        <f>SUM(D11:D41)</f>
        <v>1000.4937355919261</v>
      </c>
      <c r="E42" s="1199"/>
      <c r="F42" s="1199"/>
      <c r="G42" s="885"/>
      <c r="H42" s="1200"/>
      <c r="I42" s="1186">
        <f>SUM(I11:I41)</f>
        <v>681</v>
      </c>
      <c r="J42" s="378"/>
      <c r="K42" s="1221" t="str">
        <f>'Comparacion (Sin BM)'!O20</f>
        <v>Mo Fino Envasado Pagable (Real)</v>
      </c>
      <c r="L42" s="1218"/>
      <c r="M42" s="1217" t="str">
        <f>'Comparacion (Sin BM)'!P20</f>
        <v>Kton</v>
      </c>
      <c r="N42" s="1220">
        <f>'Comparacion (Sin BM)'!Q20</f>
        <v>0.9954912669139665</v>
      </c>
      <c r="O42" s="1220">
        <f>'Comparacion (Sin BM)'!R20</f>
        <v>0.8767887836467676</v>
      </c>
      <c r="P42" s="1220">
        <f>N42-O42</f>
        <v>0.1187024832671989</v>
      </c>
      <c r="R42" s="298"/>
      <c r="S42" s="298"/>
      <c r="AA42" s="331"/>
    </row>
    <row r="43" spans="2:27">
      <c r="C43" s="383"/>
      <c r="D43" s="383"/>
      <c r="E43" s="383"/>
      <c r="H43" s="476"/>
      <c r="I43" s="476">
        <f>+'R+P'!AA39</f>
        <v>907.62734806598951</v>
      </c>
      <c r="J43" s="378"/>
      <c r="K43" s="297"/>
      <c r="R43" s="298"/>
      <c r="S43" s="298"/>
      <c r="AA43" s="331"/>
    </row>
    <row r="44" spans="2:27">
      <c r="D44" s="154"/>
      <c r="G44" s="885"/>
      <c r="H44" s="895"/>
      <c r="I44" s="476"/>
      <c r="J44" s="1201"/>
      <c r="K44" s="297"/>
      <c r="R44" s="298"/>
      <c r="S44" s="298"/>
      <c r="X44" s="331"/>
      <c r="Y44" s="331"/>
      <c r="Z44" s="331"/>
      <c r="AA44" s="331"/>
    </row>
    <row r="45" spans="2:27">
      <c r="B45" t="s">
        <v>948</v>
      </c>
      <c r="H45" s="895"/>
      <c r="J45" s="378"/>
      <c r="K45" s="297"/>
      <c r="R45" s="298"/>
      <c r="S45" s="298"/>
      <c r="X45" s="331"/>
      <c r="Y45" s="331"/>
      <c r="Z45" s="331"/>
      <c r="AA45" s="331"/>
    </row>
    <row r="48" spans="2:27" ht="25.5" customHeight="1">
      <c r="B48" s="1226" t="s">
        <v>949</v>
      </c>
      <c r="C48" s="1227"/>
      <c r="D48" s="1227"/>
      <c r="E48" s="1227"/>
      <c r="F48" s="1227"/>
      <c r="G48" s="1227"/>
      <c r="H48" s="1227"/>
      <c r="I48" s="1227"/>
      <c r="J48" s="1228"/>
      <c r="K48" s="1229"/>
      <c r="L48" s="1227"/>
      <c r="M48" s="1230"/>
      <c r="N48" s="1227"/>
      <c r="O48" s="1227"/>
      <c r="P48" s="1227"/>
      <c r="Q48" s="1227"/>
      <c r="R48" s="1227"/>
      <c r="S48" s="1227"/>
      <c r="X48" s="331"/>
      <c r="Y48" s="331"/>
      <c r="Z48" s="331"/>
      <c r="AA48" s="331"/>
    </row>
    <row r="49" spans="2:27" ht="25.5" customHeight="1">
      <c r="X49" s="331"/>
      <c r="Y49" s="331"/>
      <c r="Z49" s="331"/>
      <c r="AA49" s="331"/>
    </row>
    <row r="50" spans="2:27" ht="13">
      <c r="B50" s="4794" t="s">
        <v>935</v>
      </c>
      <c r="C50" s="4794"/>
      <c r="D50" s="1205">
        <f>+'R+P'!AP7</f>
        <v>2796.8864867989355</v>
      </c>
      <c r="E50" s="1206" t="s">
        <v>950</v>
      </c>
      <c r="G50" s="1190"/>
      <c r="X50" s="331"/>
      <c r="Y50" s="331"/>
      <c r="Z50" s="331"/>
      <c r="AA50" s="331"/>
    </row>
    <row r="51" spans="2:27">
      <c r="B51" s="1207" t="s">
        <v>938</v>
      </c>
      <c r="X51" s="331"/>
      <c r="Y51" s="331"/>
      <c r="Z51" s="331"/>
      <c r="AA51" s="331"/>
    </row>
    <row r="52" spans="2:27">
      <c r="X52" s="331"/>
      <c r="Y52" s="331"/>
      <c r="Z52" s="331"/>
      <c r="AA52" s="331"/>
    </row>
    <row r="53" spans="2:27" ht="13">
      <c r="C53" s="4793" t="s">
        <v>939</v>
      </c>
      <c r="D53" s="4793"/>
      <c r="E53" s="4793"/>
      <c r="F53" s="236"/>
      <c r="G53" s="236"/>
      <c r="H53" s="236"/>
      <c r="X53" s="331"/>
      <c r="Y53" s="331"/>
      <c r="Z53" s="331"/>
      <c r="AA53" s="331"/>
    </row>
    <row r="54" spans="2:27" ht="13">
      <c r="C54" s="1216" t="s">
        <v>941</v>
      </c>
      <c r="D54" s="1216"/>
      <c r="E54" s="1216"/>
      <c r="F54" s="236"/>
      <c r="G54" s="236"/>
      <c r="H54" s="236"/>
      <c r="P54" s="4793" t="s">
        <v>939</v>
      </c>
      <c r="Q54" s="4793"/>
      <c r="R54" s="4793"/>
      <c r="S54" s="4793"/>
      <c r="T54" s="4793"/>
      <c r="X54" s="331"/>
      <c r="Y54" s="331"/>
      <c r="Z54" s="331"/>
      <c r="AA54" s="331"/>
    </row>
    <row r="55" spans="2:27" ht="46.5" customHeight="1">
      <c r="C55" s="1223" t="s">
        <v>951</v>
      </c>
      <c r="D55" s="1215" t="s">
        <v>952</v>
      </c>
      <c r="E55" s="1224" t="s">
        <v>953</v>
      </c>
      <c r="F55" s="236"/>
      <c r="G55" s="236"/>
      <c r="H55" s="236"/>
      <c r="K55" s="298"/>
      <c r="L55" s="298"/>
      <c r="M55" s="298"/>
      <c r="N55" s="298"/>
      <c r="P55" s="1231" t="s">
        <v>954</v>
      </c>
      <c r="Q55" s="1231"/>
      <c r="R55" s="1232" t="s">
        <v>955</v>
      </c>
      <c r="S55" s="1232"/>
      <c r="T55" s="1235"/>
      <c r="X55" s="331"/>
      <c r="Y55" s="331"/>
      <c r="Z55" s="331"/>
      <c r="AA55" s="331"/>
    </row>
    <row r="56" spans="2:27" ht="13">
      <c r="B56" s="1208" t="s">
        <v>258</v>
      </c>
      <c r="C56" s="1205" t="s">
        <v>950</v>
      </c>
      <c r="D56" s="1225" t="s">
        <v>950</v>
      </c>
      <c r="E56" s="1209" t="s">
        <v>950</v>
      </c>
      <c r="F56" s="236"/>
      <c r="G56" s="236"/>
      <c r="H56" s="236"/>
      <c r="K56" s="298"/>
      <c r="L56" s="298"/>
      <c r="M56" s="298"/>
      <c r="N56" s="298"/>
      <c r="O56" s="1208" t="s">
        <v>258</v>
      </c>
      <c r="P56" s="1205" t="s">
        <v>28</v>
      </c>
      <c r="Q56" s="1205" t="s">
        <v>956</v>
      </c>
      <c r="R56" s="1233" t="s">
        <v>28</v>
      </c>
      <c r="S56" s="1233" t="s">
        <v>957</v>
      </c>
      <c r="T56" s="1234" t="s">
        <v>958</v>
      </c>
      <c r="X56" s="331"/>
      <c r="Y56" s="331"/>
      <c r="Z56" s="331"/>
      <c r="AA56" s="331"/>
    </row>
    <row r="57" spans="2:27">
      <c r="B57" s="1210">
        <f t="shared" ref="B57:B86" si="1">$B11</f>
        <v>46082.791666666664</v>
      </c>
      <c r="C57" s="1222">
        <f>'R+P'!Q8</f>
        <v>516.40850356498265</v>
      </c>
      <c r="D57" s="1222">
        <f>'R+P'!AO8</f>
        <v>536.31995073968528</v>
      </c>
      <c r="E57" s="1222">
        <f>D50+C57-D57</f>
        <v>2776.975039624233</v>
      </c>
      <c r="F57" s="236"/>
      <c r="G57" s="236"/>
      <c r="H57" s="236"/>
      <c r="K57" s="298"/>
      <c r="L57" s="298"/>
      <c r="M57" s="298"/>
      <c r="N57" s="298"/>
      <c r="O57" s="1291">
        <f>+B57</f>
        <v>46082.791666666664</v>
      </c>
      <c r="P57" s="1292">
        <f>'R+P'!AO8*0.966</f>
        <v>518.08507241453594</v>
      </c>
      <c r="Q57" s="1292">
        <f>+P57</f>
        <v>518.08507241453594</v>
      </c>
      <c r="R57" s="1293">
        <f>'ST Original'!AM8*0.966</f>
        <v>0</v>
      </c>
      <c r="S57" s="1293">
        <f>IF(ISNUMBER(R57),R57,"")</f>
        <v>0</v>
      </c>
      <c r="T57" s="1293">
        <f>+Q57-S57</f>
        <v>518.08507241453594</v>
      </c>
      <c r="X57" s="331"/>
      <c r="Y57" s="331"/>
      <c r="Z57" s="331"/>
      <c r="AA57" s="331"/>
    </row>
    <row r="58" spans="2:27">
      <c r="B58" s="1210">
        <f t="shared" si="1"/>
        <v>46083.791666666664</v>
      </c>
      <c r="C58" s="1222">
        <f>'R+P'!Q9</f>
        <v>867.5178700129436</v>
      </c>
      <c r="D58" s="1222">
        <f>'R+P'!AO9</f>
        <v>1044.865292601796</v>
      </c>
      <c r="E58" s="1222">
        <f t="shared" ref="E58:E83" si="2">E57+C58-D58</f>
        <v>2599.6276170353804</v>
      </c>
      <c r="F58" s="236"/>
      <c r="G58" s="236"/>
      <c r="H58" s="236"/>
      <c r="K58" s="298"/>
      <c r="L58" s="298"/>
      <c r="M58" s="298"/>
      <c r="N58" s="298"/>
      <c r="O58" s="1291">
        <f t="shared" ref="O58:O85" si="3">+B58</f>
        <v>46083.791666666664</v>
      </c>
      <c r="P58" s="1292">
        <f>'R+P'!AO9*0.966</f>
        <v>1009.3398726533349</v>
      </c>
      <c r="Q58" s="1292">
        <f>+Q57+P58</f>
        <v>1527.4249450678708</v>
      </c>
      <c r="R58" s="1292">
        <f>'ST Original'!AM9*0.966</f>
        <v>0</v>
      </c>
      <c r="S58" s="1292">
        <f>IF(ISNUMBER(S57+R58),S57+R58,"")</f>
        <v>0</v>
      </c>
      <c r="T58" s="1292">
        <f t="shared" ref="T58:T85" si="4">+Q58-S58</f>
        <v>1527.4249450678708</v>
      </c>
      <c r="X58" s="331"/>
      <c r="Y58" s="331"/>
      <c r="Z58" s="331"/>
      <c r="AA58" s="331"/>
    </row>
    <row r="59" spans="2:27">
      <c r="B59" s="1210">
        <f t="shared" si="1"/>
        <v>46084.791666666664</v>
      </c>
      <c r="C59" s="1222">
        <f>'R+P'!Q10</f>
        <v>769.64080282996485</v>
      </c>
      <c r="D59" s="1222">
        <f>'R+P'!AO10</f>
        <v>672.79059109316586</v>
      </c>
      <c r="E59" s="1222">
        <f t="shared" si="2"/>
        <v>2696.4778287721792</v>
      </c>
      <c r="F59" s="236"/>
      <c r="G59" s="236"/>
      <c r="H59" s="236"/>
      <c r="K59" s="298"/>
      <c r="L59" s="298"/>
      <c r="M59" s="298"/>
      <c r="N59" s="298"/>
      <c r="O59" s="1291">
        <f t="shared" si="3"/>
        <v>46084.791666666664</v>
      </c>
      <c r="P59" s="1292">
        <f>'R+P'!AO10*0.966</f>
        <v>649.91571099599821</v>
      </c>
      <c r="Q59" s="1292">
        <f>+Q58+P59</f>
        <v>2177.3406560638691</v>
      </c>
      <c r="R59" s="1292">
        <f>'ST Original'!AM10*0.966</f>
        <v>841.49280551066954</v>
      </c>
      <c r="S59" s="1292">
        <f t="shared" ref="S59:S85" si="5">IF(ISNUMBER(S58+R59),S58+R59,"")</f>
        <v>841.49280551066954</v>
      </c>
      <c r="T59" s="1292">
        <f t="shared" si="4"/>
        <v>1335.8478505531996</v>
      </c>
      <c r="X59" s="331"/>
      <c r="Y59" s="331"/>
      <c r="Z59" s="331"/>
      <c r="AA59" s="331"/>
    </row>
    <row r="60" spans="2:27">
      <c r="B60" s="1210">
        <f t="shared" si="1"/>
        <v>46085.791666666664</v>
      </c>
      <c r="C60" s="1222">
        <f>'R+P'!Q11</f>
        <v>715.73062194568558</v>
      </c>
      <c r="D60" s="1222">
        <f>'R+P'!AO11</f>
        <v>1039.0829044772261</v>
      </c>
      <c r="E60" s="1222">
        <f t="shared" si="2"/>
        <v>2373.1255462406389</v>
      </c>
      <c r="F60" s="236"/>
      <c r="G60" s="236"/>
      <c r="H60" s="236"/>
      <c r="K60" s="298"/>
      <c r="L60" s="298"/>
      <c r="M60" s="298"/>
      <c r="N60" s="298"/>
      <c r="O60" s="1291">
        <f t="shared" si="3"/>
        <v>46085.791666666664</v>
      </c>
      <c r="P60" s="1292">
        <f>'R+P'!AO11*0.966</f>
        <v>1003.7540857250003</v>
      </c>
      <c r="Q60" s="1292">
        <f t="shared" ref="Q60:Q85" si="6">+Q59+P60</f>
        <v>3181.0947417888692</v>
      </c>
      <c r="R60" s="1292">
        <f>'ST Original'!AM11*0.966</f>
        <v>849.47689129859805</v>
      </c>
      <c r="S60" s="1292">
        <f t="shared" si="5"/>
        <v>1690.9696968092676</v>
      </c>
      <c r="T60" s="1292">
        <f t="shared" si="4"/>
        <v>1490.1250449796016</v>
      </c>
      <c r="X60" s="331"/>
      <c r="Y60" s="331"/>
      <c r="Z60" s="331"/>
      <c r="AA60" s="331"/>
    </row>
    <row r="61" spans="2:27">
      <c r="B61" s="1210">
        <f t="shared" si="1"/>
        <v>46086.791666666664</v>
      </c>
      <c r="C61" s="1222">
        <f>'R+P'!Q12</f>
        <v>743.01911245620272</v>
      </c>
      <c r="D61" s="1222">
        <f>'R+P'!AO12</f>
        <v>448.22675987412754</v>
      </c>
      <c r="E61" s="1222">
        <f t="shared" si="2"/>
        <v>2667.9178988227141</v>
      </c>
      <c r="F61" s="236"/>
      <c r="G61" s="236"/>
      <c r="H61" s="236"/>
      <c r="K61" s="298"/>
      <c r="L61" s="298"/>
      <c r="M61" s="298"/>
      <c r="N61" s="298"/>
      <c r="O61" s="1291">
        <f t="shared" si="3"/>
        <v>46086.791666666664</v>
      </c>
      <c r="P61" s="1292">
        <f>'R+P'!AO12*0.966</f>
        <v>432.98705003840718</v>
      </c>
      <c r="Q61" s="1292">
        <f t="shared" si="6"/>
        <v>3614.0817918272764</v>
      </c>
      <c r="R61" s="1292">
        <f>'ST Original'!AM12*0.966</f>
        <v>801.67517743711562</v>
      </c>
      <c r="S61" s="1292">
        <f t="shared" si="5"/>
        <v>2492.6448742463831</v>
      </c>
      <c r="T61" s="1292">
        <f t="shared" si="4"/>
        <v>1121.4369175808934</v>
      </c>
      <c r="X61" s="331"/>
      <c r="Y61" s="331"/>
      <c r="Z61" s="331"/>
      <c r="AA61" s="331"/>
    </row>
    <row r="62" spans="2:27">
      <c r="B62" s="1210">
        <f t="shared" si="1"/>
        <v>46087.791666666664</v>
      </c>
      <c r="C62" s="1222">
        <f>'R+P'!Q13</f>
        <v>667.15840676364382</v>
      </c>
      <c r="D62" s="1222">
        <f>'R+P'!AO13</f>
        <v>853.84583848557884</v>
      </c>
      <c r="E62" s="1222">
        <f t="shared" si="2"/>
        <v>2481.2304671007792</v>
      </c>
      <c r="F62" s="236"/>
      <c r="G62" s="236"/>
      <c r="H62" s="236"/>
      <c r="K62" s="298"/>
      <c r="L62" s="298"/>
      <c r="M62" s="298"/>
      <c r="N62" s="298"/>
      <c r="O62" s="1291">
        <f t="shared" si="3"/>
        <v>46087.791666666664</v>
      </c>
      <c r="P62" s="1292">
        <f>'R+P'!AO13*0.966</f>
        <v>824.8150799770691</v>
      </c>
      <c r="Q62" s="1292">
        <f t="shared" si="6"/>
        <v>4438.8968718043452</v>
      </c>
      <c r="R62" s="1292">
        <f>'ST Original'!AM13*0.966</f>
        <v>782.21416014821057</v>
      </c>
      <c r="S62" s="1292">
        <f t="shared" si="5"/>
        <v>3274.8590343945934</v>
      </c>
      <c r="T62" s="1292">
        <f t="shared" si="4"/>
        <v>1164.0378374097518</v>
      </c>
      <c r="X62" s="331"/>
      <c r="Y62" s="331"/>
      <c r="Z62" s="331"/>
      <c r="AA62" s="331"/>
    </row>
    <row r="63" spans="2:27">
      <c r="B63" s="1210">
        <f t="shared" si="1"/>
        <v>46088.791666666664</v>
      </c>
      <c r="C63" s="1222">
        <f>'R+P'!Q14</f>
        <v>659.840831524789</v>
      </c>
      <c r="D63" s="1222">
        <f>'R+P'!AO14</f>
        <v>891.96241908052139</v>
      </c>
      <c r="E63" s="1222">
        <f t="shared" si="2"/>
        <v>2249.1088795450469</v>
      </c>
      <c r="F63" s="236"/>
      <c r="G63" s="236"/>
      <c r="H63" s="236"/>
      <c r="K63" s="298"/>
      <c r="L63" s="298"/>
      <c r="M63" s="298"/>
      <c r="N63" s="298"/>
      <c r="O63" s="1291">
        <f t="shared" si="3"/>
        <v>46088.791666666664</v>
      </c>
      <c r="P63" s="1292">
        <f>'R+P'!AO14*0.966</f>
        <v>861.63569683178366</v>
      </c>
      <c r="Q63" s="1292">
        <f t="shared" si="6"/>
        <v>5300.5325686361284</v>
      </c>
      <c r="R63" s="1292">
        <f>'ST Original'!AM14*0.966</f>
        <v>749.91942863999896</v>
      </c>
      <c r="S63" s="1292">
        <f t="shared" si="5"/>
        <v>4024.7784630345923</v>
      </c>
      <c r="T63" s="1292">
        <f t="shared" si="4"/>
        <v>1275.7541056015361</v>
      </c>
      <c r="X63" s="331"/>
      <c r="Y63" s="331"/>
      <c r="Z63" s="331"/>
      <c r="AA63" s="331"/>
    </row>
    <row r="64" spans="2:27">
      <c r="B64" s="1210">
        <f t="shared" si="1"/>
        <v>46089.791666666664</v>
      </c>
      <c r="C64" s="1222">
        <f>'R+P'!Q15</f>
        <v>680.69637798745521</v>
      </c>
      <c r="D64" s="1222">
        <f>'R+P'!AO15</f>
        <v>918.6624179825676</v>
      </c>
      <c r="E64" s="1222">
        <f t="shared" si="2"/>
        <v>2011.1428395499343</v>
      </c>
      <c r="F64" s="236"/>
      <c r="G64" s="236"/>
      <c r="H64" s="236"/>
      <c r="K64" s="298"/>
      <c r="L64" s="298"/>
      <c r="M64" s="298"/>
      <c r="N64" s="298"/>
      <c r="O64" s="1291">
        <f t="shared" si="3"/>
        <v>46089.791666666664</v>
      </c>
      <c r="P64" s="1292">
        <f>'R+P'!AO15*0.966</f>
        <v>887.42789577116025</v>
      </c>
      <c r="Q64" s="1292">
        <f t="shared" si="6"/>
        <v>6187.9604644072888</v>
      </c>
      <c r="R64" s="1292">
        <f>'ST Original'!AM15*0.966</f>
        <v>643.32507879558773</v>
      </c>
      <c r="S64" s="1292">
        <f t="shared" si="5"/>
        <v>4668.1035418301799</v>
      </c>
      <c r="T64" s="1292">
        <f t="shared" si="4"/>
        <v>1519.8569225771089</v>
      </c>
      <c r="X64" s="331"/>
      <c r="Y64" s="331"/>
      <c r="Z64" s="331"/>
      <c r="AA64" s="331"/>
    </row>
    <row r="65" spans="2:27">
      <c r="B65" s="1210">
        <f t="shared" si="1"/>
        <v>46090.791666666664</v>
      </c>
      <c r="C65" s="1222">
        <f>'R+P'!Q16</f>
        <v>797.35148097685965</v>
      </c>
      <c r="D65" s="1222">
        <f>'R+P'!AO16</f>
        <v>672.42493600532498</v>
      </c>
      <c r="E65" s="1222">
        <f t="shared" si="2"/>
        <v>2136.0693845214687</v>
      </c>
      <c r="F65" s="236"/>
      <c r="G65" s="236"/>
      <c r="H65" s="236"/>
      <c r="K65" s="298"/>
      <c r="L65" s="298"/>
      <c r="M65" s="298"/>
      <c r="N65" s="298"/>
      <c r="O65" s="1291">
        <f t="shared" si="3"/>
        <v>46090.791666666664</v>
      </c>
      <c r="P65" s="1292">
        <f>'R+P'!AO16*0.966</f>
        <v>649.56248818114386</v>
      </c>
      <c r="Q65" s="1292">
        <f t="shared" si="6"/>
        <v>6837.5229525884324</v>
      </c>
      <c r="R65" s="1292">
        <f>'ST Original'!AM16*0.966</f>
        <v>0</v>
      </c>
      <c r="S65" s="1292">
        <f t="shared" si="5"/>
        <v>4668.1035418301799</v>
      </c>
      <c r="T65" s="1292">
        <f t="shared" si="4"/>
        <v>2169.4194107582525</v>
      </c>
      <c r="X65" s="331"/>
      <c r="Y65" s="331"/>
      <c r="Z65" s="331"/>
      <c r="AA65" s="331"/>
    </row>
    <row r="66" spans="2:27">
      <c r="B66" s="1210">
        <f t="shared" si="1"/>
        <v>46091.791666666664</v>
      </c>
      <c r="C66" s="1222">
        <f>'R+P'!Q17</f>
        <v>746.65833073101442</v>
      </c>
      <c r="D66" s="1222">
        <f>'R+P'!AO17</f>
        <v>524.61109302043144</v>
      </c>
      <c r="E66" s="1222">
        <f t="shared" si="2"/>
        <v>2358.1166222320517</v>
      </c>
      <c r="F66" s="236"/>
      <c r="G66" s="236"/>
      <c r="H66" s="236"/>
      <c r="K66" s="298"/>
      <c r="L66" s="298"/>
      <c r="M66" s="298"/>
      <c r="N66" s="298"/>
      <c r="O66" s="1291">
        <f t="shared" si="3"/>
        <v>46091.791666666664</v>
      </c>
      <c r="P66" s="1292">
        <f>'R+P'!AO17*0.966</f>
        <v>506.77431585773678</v>
      </c>
      <c r="Q66" s="1292">
        <f t="shared" si="6"/>
        <v>7344.2972684461693</v>
      </c>
      <c r="R66" s="1292">
        <f>'ST Original'!AM17*0.966</f>
        <v>943.4730379064207</v>
      </c>
      <c r="S66" s="1292">
        <f t="shared" si="5"/>
        <v>5611.5765797366003</v>
      </c>
      <c r="T66" s="1292">
        <f t="shared" si="4"/>
        <v>1732.720688709569</v>
      </c>
      <c r="X66" s="331"/>
      <c r="Y66" s="331"/>
      <c r="Z66" s="331"/>
      <c r="AA66" s="331"/>
    </row>
    <row r="67" spans="2:27">
      <c r="B67" s="1210">
        <f t="shared" si="1"/>
        <v>46092.791666666664</v>
      </c>
      <c r="C67" s="1222">
        <f>'R+P'!Q18</f>
        <v>778.82041312567537</v>
      </c>
      <c r="D67" s="1222">
        <f>'R+P'!AO18</f>
        <v>848.08866420967195</v>
      </c>
      <c r="E67" s="1222">
        <f t="shared" si="2"/>
        <v>2288.8483711480549</v>
      </c>
      <c r="F67" s="236"/>
      <c r="G67" s="236"/>
      <c r="H67" s="236"/>
      <c r="K67" s="298"/>
      <c r="L67" s="298"/>
      <c r="M67" s="298"/>
      <c r="N67" s="298"/>
      <c r="O67" s="1291">
        <f t="shared" si="3"/>
        <v>46092.791666666664</v>
      </c>
      <c r="P67" s="1292">
        <f>'R+P'!AO18*0.966</f>
        <v>819.25364962654305</v>
      </c>
      <c r="Q67" s="1292">
        <f t="shared" si="6"/>
        <v>8163.5509180727122</v>
      </c>
      <c r="R67" s="1292">
        <f>'ST Original'!AM18*0.966</f>
        <v>1009.9683176232923</v>
      </c>
      <c r="S67" s="1292">
        <f t="shared" si="5"/>
        <v>6621.5448973598923</v>
      </c>
      <c r="T67" s="1292">
        <f t="shared" si="4"/>
        <v>1542.0060207128199</v>
      </c>
      <c r="X67" s="331"/>
      <c r="Y67" s="331"/>
      <c r="Z67" s="331"/>
      <c r="AA67" s="331"/>
    </row>
    <row r="68" spans="2:27">
      <c r="B68" s="1210">
        <f t="shared" si="1"/>
        <v>46093.791666666664</v>
      </c>
      <c r="C68" s="1222">
        <f>'R+P'!Q19</f>
        <v>826.25938911798369</v>
      </c>
      <c r="D68" s="1222">
        <f>'R+P'!AO19</f>
        <v>481.62808066586621</v>
      </c>
      <c r="E68" s="1222">
        <f t="shared" si="2"/>
        <v>2633.4796796001724</v>
      </c>
      <c r="F68" s="236"/>
      <c r="G68" s="236"/>
      <c r="H68" s="236"/>
      <c r="K68" s="298"/>
      <c r="L68" s="298"/>
      <c r="M68" s="298"/>
      <c r="N68" s="298"/>
      <c r="O68" s="1291">
        <f t="shared" si="3"/>
        <v>46093.791666666664</v>
      </c>
      <c r="P68" s="1292">
        <f>'R+P'!AO19*0.966</f>
        <v>465.25272592322676</v>
      </c>
      <c r="Q68" s="1292">
        <f t="shared" si="6"/>
        <v>8628.8036439959396</v>
      </c>
      <c r="R68" s="1292">
        <f>'ST Original'!AM19*0.966</f>
        <v>1069.0106977829698</v>
      </c>
      <c r="S68" s="1292">
        <f t="shared" si="5"/>
        <v>7690.5555951428623</v>
      </c>
      <c r="T68" s="1292">
        <f t="shared" si="4"/>
        <v>938.24804885307731</v>
      </c>
      <c r="X68" s="331"/>
      <c r="Y68" s="331"/>
      <c r="Z68" s="331"/>
      <c r="AA68" s="331"/>
    </row>
    <row r="69" spans="2:27">
      <c r="B69" s="1210">
        <f t="shared" si="1"/>
        <v>46094.791666666664</v>
      </c>
      <c r="C69" s="1222">
        <f>'R+P'!Q20</f>
        <v>846.7290318334542</v>
      </c>
      <c r="D69" s="1222">
        <f>'R+P'!AO20</f>
        <v>736.69249686293256</v>
      </c>
      <c r="E69" s="1222">
        <f t="shared" si="2"/>
        <v>2743.5162145706936</v>
      </c>
      <c r="F69" s="236"/>
      <c r="G69" s="236"/>
      <c r="H69" s="236"/>
      <c r="K69" s="298"/>
      <c r="L69" s="298"/>
      <c r="M69" s="298"/>
      <c r="N69" s="298"/>
      <c r="O69" s="1291">
        <f t="shared" si="3"/>
        <v>46094.791666666664</v>
      </c>
      <c r="P69" s="1292">
        <f>'R+P'!AO20*0.966</f>
        <v>711.64495196959285</v>
      </c>
      <c r="Q69" s="1292">
        <f t="shared" si="6"/>
        <v>9340.4485959655321</v>
      </c>
      <c r="R69" s="1292">
        <f>'ST Original'!AM20*0.966</f>
        <v>1057.7477007484586</v>
      </c>
      <c r="S69" s="1292">
        <f t="shared" si="5"/>
        <v>8748.3032958913209</v>
      </c>
      <c r="T69" s="1292">
        <f t="shared" si="4"/>
        <v>592.14530007421126</v>
      </c>
      <c r="X69" s="331"/>
      <c r="Y69" s="331"/>
      <c r="Z69" s="331"/>
      <c r="AA69" s="331"/>
    </row>
    <row r="70" spans="2:27">
      <c r="B70" s="1210">
        <f t="shared" si="1"/>
        <v>46095.791666666664</v>
      </c>
      <c r="C70" s="1222">
        <f>'R+P'!Q21</f>
        <v>770.14602323581585</v>
      </c>
      <c r="D70" s="1222">
        <f>'R+P'!AO21</f>
        <v>680.36615871196034</v>
      </c>
      <c r="E70" s="1222">
        <f t="shared" si="2"/>
        <v>2833.296079094549</v>
      </c>
      <c r="F70" s="236"/>
      <c r="G70" s="236"/>
      <c r="H70" s="236"/>
      <c r="K70" s="298"/>
      <c r="L70" s="298"/>
      <c r="M70" s="298"/>
      <c r="N70" s="298"/>
      <c r="O70" s="1291">
        <f t="shared" si="3"/>
        <v>46095.791666666664</v>
      </c>
      <c r="P70" s="1292">
        <f>'R+P'!AO21*0.966</f>
        <v>657.23370931575369</v>
      </c>
      <c r="Q70" s="1292">
        <f t="shared" si="6"/>
        <v>9997.6823052812852</v>
      </c>
      <c r="R70" s="1292">
        <f>'ST Original'!AM21*0.966</f>
        <v>1159.3847677352735</v>
      </c>
      <c r="S70" s="1292">
        <f t="shared" si="5"/>
        <v>9907.6880636265942</v>
      </c>
      <c r="T70" s="1292">
        <f>+Q70-S70</f>
        <v>89.994241654690995</v>
      </c>
      <c r="X70" s="331"/>
      <c r="Y70" s="331"/>
      <c r="Z70" s="331"/>
      <c r="AA70" s="331"/>
    </row>
    <row r="71" spans="2:27">
      <c r="B71" s="1210">
        <f t="shared" si="1"/>
        <v>46096.791666666664</v>
      </c>
      <c r="C71" s="1222">
        <f>'R+P'!Q22</f>
        <v>883.01714911504155</v>
      </c>
      <c r="D71" s="1222">
        <f>'R+P'!AO22</f>
        <v>887.08201204629222</v>
      </c>
      <c r="E71" s="1222">
        <f t="shared" si="2"/>
        <v>2829.2312161632981</v>
      </c>
      <c r="F71" s="236"/>
      <c r="G71" s="236"/>
      <c r="H71" s="236"/>
      <c r="K71" s="298"/>
      <c r="L71" s="298"/>
      <c r="M71" s="298"/>
      <c r="N71" s="298"/>
      <c r="O71" s="1291">
        <f t="shared" si="3"/>
        <v>46096.791666666664</v>
      </c>
      <c r="P71" s="1292">
        <f>'R+P'!AO22*0.966</f>
        <v>856.92122363671831</v>
      </c>
      <c r="Q71" s="1292">
        <f t="shared" si="6"/>
        <v>10854.603528918004</v>
      </c>
      <c r="R71" s="1292">
        <f>'ST Original'!AM22*0.966</f>
        <v>861.17331117917308</v>
      </c>
      <c r="S71" s="1292">
        <f t="shared" si="5"/>
        <v>10768.861374805767</v>
      </c>
      <c r="T71" s="1292">
        <f>+Q71-S71</f>
        <v>85.742154112236676</v>
      </c>
      <c r="X71" s="331"/>
      <c r="Y71" s="331"/>
      <c r="Z71" s="331"/>
      <c r="AA71" s="331"/>
    </row>
    <row r="72" spans="2:27">
      <c r="B72" s="1210">
        <f t="shared" si="1"/>
        <v>46097.791666666664</v>
      </c>
      <c r="C72" s="1222">
        <f>'R+P'!Q23</f>
        <v>858.27026291851507</v>
      </c>
      <c r="D72" s="1222">
        <f>'R+P'!AO23</f>
        <v>761.74658954383403</v>
      </c>
      <c r="E72" s="1222">
        <f t="shared" si="2"/>
        <v>2925.7548895379791</v>
      </c>
      <c r="F72" s="236"/>
      <c r="G72" s="236"/>
      <c r="H72" s="236"/>
      <c r="K72" s="298"/>
      <c r="L72" s="298"/>
      <c r="M72" s="298"/>
      <c r="N72" s="298"/>
      <c r="O72" s="1291">
        <f t="shared" si="3"/>
        <v>46097.791666666664</v>
      </c>
      <c r="P72" s="1292">
        <f>'R+P'!AO23*0.966</f>
        <v>735.84720549934366</v>
      </c>
      <c r="Q72" s="1292">
        <f t="shared" si="6"/>
        <v>11590.450734417347</v>
      </c>
      <c r="R72" s="1292">
        <f>'ST Original'!AM23*0.966</f>
        <v>871.97015946837382</v>
      </c>
      <c r="S72" s="1292">
        <f t="shared" si="5"/>
        <v>11640.831534274141</v>
      </c>
      <c r="T72" s="1292">
        <f t="shared" si="4"/>
        <v>-50.380799856793601</v>
      </c>
      <c r="X72" s="331"/>
      <c r="Y72" s="331"/>
      <c r="Z72" s="331"/>
      <c r="AA72" s="331"/>
    </row>
    <row r="73" spans="2:27">
      <c r="B73" s="1210">
        <f t="shared" si="1"/>
        <v>46098.791666666664</v>
      </c>
      <c r="C73" s="1222">
        <f>'R+P'!Q24</f>
        <v>847.08868898651588</v>
      </c>
      <c r="D73" s="1222">
        <f>'R+P'!AO24</f>
        <v>1097.7200355014777</v>
      </c>
      <c r="E73" s="1222">
        <f t="shared" si="2"/>
        <v>2675.1235430230172</v>
      </c>
      <c r="F73" s="236"/>
      <c r="G73" s="236"/>
      <c r="H73" s="236"/>
      <c r="K73" s="298"/>
      <c r="L73" s="298"/>
      <c r="M73" s="298"/>
      <c r="N73" s="298"/>
      <c r="O73" s="1291">
        <f t="shared" si="3"/>
        <v>46098.791666666664</v>
      </c>
      <c r="P73" s="1292">
        <f>'R+P'!AO24*0.966</f>
        <v>1060.3975542944274</v>
      </c>
      <c r="Q73" s="1292">
        <f t="shared" si="6"/>
        <v>12650.848288711775</v>
      </c>
      <c r="R73" s="1292">
        <f>'ST Original'!AM24*0.966</f>
        <v>822.85659362222691</v>
      </c>
      <c r="S73" s="1292">
        <f t="shared" si="5"/>
        <v>12463.688127896368</v>
      </c>
      <c r="T73" s="1292">
        <f t="shared" si="4"/>
        <v>187.16016081540693</v>
      </c>
      <c r="X73" s="331"/>
      <c r="Y73" s="331"/>
      <c r="Z73" s="331"/>
      <c r="AA73" s="331"/>
    </row>
    <row r="74" spans="2:27">
      <c r="B74" s="1210">
        <f t="shared" si="1"/>
        <v>46099.791666666664</v>
      </c>
      <c r="C74" s="1222">
        <f>'R+P'!Q25</f>
        <v>797.34559999999999</v>
      </c>
      <c r="D74" s="1222">
        <f>'R+P'!AO25</f>
        <v>961.4728403320313</v>
      </c>
      <c r="E74" s="1222">
        <f t="shared" si="2"/>
        <v>2510.9963026909859</v>
      </c>
      <c r="F74" s="236"/>
      <c r="G74" s="236"/>
      <c r="H74" s="236"/>
      <c r="K74" s="298"/>
      <c r="L74" s="298"/>
      <c r="M74" s="298"/>
      <c r="N74" s="298"/>
      <c r="O74" s="1291">
        <f t="shared" si="3"/>
        <v>46099.791666666664</v>
      </c>
      <c r="P74" s="1292">
        <f>'R+P'!AO25*0.966</f>
        <v>928.78276376074223</v>
      </c>
      <c r="Q74" s="1292">
        <f t="shared" si="6"/>
        <v>13579.631052472518</v>
      </c>
      <c r="R74" s="1292">
        <f>'ST Original'!AM25*0.966</f>
        <v>806.17796975314241</v>
      </c>
      <c r="S74" s="1292">
        <f t="shared" si="5"/>
        <v>13269.86609764951</v>
      </c>
      <c r="T74" s="1292">
        <f t="shared" si="4"/>
        <v>309.76495482300743</v>
      </c>
      <c r="X74" s="331"/>
      <c r="Y74" s="331"/>
      <c r="Z74" s="331"/>
      <c r="AA74" s="331"/>
    </row>
    <row r="75" spans="2:27">
      <c r="B75" s="1210">
        <f t="shared" si="1"/>
        <v>46100.791666666664</v>
      </c>
      <c r="C75" s="1222">
        <f>'R+P'!Q26</f>
        <v>1060.5377013385855</v>
      </c>
      <c r="D75" s="1222">
        <f>'R+P'!AO26</f>
        <v>514.31373800000006</v>
      </c>
      <c r="E75" s="1222">
        <f t="shared" si="2"/>
        <v>3057.2202660295716</v>
      </c>
      <c r="F75" s="236"/>
      <c r="G75" s="236"/>
      <c r="H75" s="236"/>
      <c r="K75" s="298"/>
      <c r="L75" s="298"/>
      <c r="M75" s="298"/>
      <c r="N75" s="298"/>
      <c r="O75" s="1291">
        <f t="shared" si="3"/>
        <v>46100.791666666664</v>
      </c>
      <c r="P75" s="1292">
        <f>'R+P'!AO26*0.966</f>
        <v>496.82707090800005</v>
      </c>
      <c r="Q75" s="1292">
        <f t="shared" si="6"/>
        <v>14076.458123380518</v>
      </c>
      <c r="R75" s="1292">
        <f>'ST Original'!AM26*0.966</f>
        <v>791.1855401869658</v>
      </c>
      <c r="S75" s="1292">
        <f t="shared" si="5"/>
        <v>14061.051637836475</v>
      </c>
      <c r="T75" s="1292">
        <f t="shared" si="4"/>
        <v>15.40648554404288</v>
      </c>
      <c r="X75" s="331"/>
      <c r="Y75" s="331"/>
      <c r="Z75" s="331"/>
      <c r="AA75" s="331"/>
    </row>
    <row r="76" spans="2:27">
      <c r="B76" s="1210">
        <f t="shared" si="1"/>
        <v>46101.791666666664</v>
      </c>
      <c r="C76" s="1222">
        <f>'R+P'!Q27</f>
        <v>1002.6556488261361</v>
      </c>
      <c r="D76" s="1222">
        <f>'R+P'!AO27</f>
        <v>1024.5458375948233</v>
      </c>
      <c r="E76" s="1222">
        <f t="shared" si="2"/>
        <v>3035.3300772608845</v>
      </c>
      <c r="F76" s="236"/>
      <c r="G76" s="236"/>
      <c r="H76" s="236"/>
      <c r="K76" s="298"/>
      <c r="L76" s="298"/>
      <c r="M76" s="298"/>
      <c r="N76" s="298"/>
      <c r="O76" s="1291">
        <f t="shared" si="3"/>
        <v>46101.791666666664</v>
      </c>
      <c r="P76" s="1292">
        <f>'R+P'!AO27*0.966</f>
        <v>989.71127911659926</v>
      </c>
      <c r="Q76" s="1292">
        <f t="shared" si="6"/>
        <v>15066.169402497118</v>
      </c>
      <c r="R76" s="1292">
        <f>'ST Original'!AM27*0.966</f>
        <v>808.30740696272335</v>
      </c>
      <c r="S76" s="1292">
        <f t="shared" si="5"/>
        <v>14869.359044799199</v>
      </c>
      <c r="T76" s="1292">
        <f t="shared" si="4"/>
        <v>196.81035769791924</v>
      </c>
      <c r="X76" s="331"/>
      <c r="Y76" s="331"/>
      <c r="Z76" s="331"/>
      <c r="AA76" s="331"/>
    </row>
    <row r="77" spans="2:27">
      <c r="B77" s="1210">
        <f t="shared" si="1"/>
        <v>46102.791666666664</v>
      </c>
      <c r="C77" s="1222">
        <f>'R+P'!Q28</f>
        <v>1006.345895659838</v>
      </c>
      <c r="D77" s="1222">
        <f>'R+P'!AO28</f>
        <v>947.254478857452</v>
      </c>
      <c r="E77" s="1222">
        <f t="shared" si="2"/>
        <v>3094.4214940632705</v>
      </c>
      <c r="F77" s="236"/>
      <c r="G77" s="236"/>
      <c r="H77" s="236"/>
      <c r="K77" s="298"/>
      <c r="L77" s="298"/>
      <c r="M77" s="298"/>
      <c r="N77" s="298"/>
      <c r="O77" s="1291">
        <f t="shared" si="3"/>
        <v>46102.791666666664</v>
      </c>
      <c r="P77" s="1292">
        <f>'R+P'!AO28*0.966</f>
        <v>915.04782657629858</v>
      </c>
      <c r="Q77" s="1292">
        <f t="shared" si="6"/>
        <v>15981.217229073416</v>
      </c>
      <c r="R77" s="1292">
        <f>'ST Original'!AM28*0.966</f>
        <v>1201.0433149955738</v>
      </c>
      <c r="S77" s="1292">
        <f t="shared" si="5"/>
        <v>16070.402359794773</v>
      </c>
      <c r="T77" s="1292">
        <f t="shared" si="4"/>
        <v>-89.185130721356472</v>
      </c>
      <c r="X77" s="331"/>
      <c r="Y77" s="331"/>
      <c r="Z77" s="331"/>
      <c r="AA77" s="331"/>
    </row>
    <row r="78" spans="2:27">
      <c r="B78" s="1210">
        <f t="shared" si="1"/>
        <v>46103.791666666664</v>
      </c>
      <c r="C78" s="1222">
        <f>'R+P'!Q29</f>
        <v>1027.149446371337</v>
      </c>
      <c r="D78" s="1222">
        <f>'R+P'!AO29</f>
        <v>1011.5337417595922</v>
      </c>
      <c r="E78" s="1222">
        <f t="shared" si="2"/>
        <v>3110.0371986750151</v>
      </c>
      <c r="F78" s="236"/>
      <c r="G78" s="236"/>
      <c r="H78" s="236"/>
      <c r="K78" s="298"/>
      <c r="L78" s="298"/>
      <c r="M78" s="298"/>
      <c r="N78" s="298"/>
      <c r="O78" s="1291">
        <f t="shared" si="3"/>
        <v>46103.791666666664</v>
      </c>
      <c r="P78" s="1292">
        <f>'R+P'!AO29*0.966</f>
        <v>977.14159453976606</v>
      </c>
      <c r="Q78" s="1292">
        <f t="shared" si="6"/>
        <v>16958.358823613184</v>
      </c>
      <c r="R78" s="1292">
        <f>'ST Original'!AM29*0.966</f>
        <v>1168.946709406322</v>
      </c>
      <c r="S78" s="1292">
        <f t="shared" si="5"/>
        <v>17239.349069201096</v>
      </c>
      <c r="T78" s="1292">
        <f t="shared" si="4"/>
        <v>-280.9902455879128</v>
      </c>
      <c r="X78" s="331"/>
      <c r="Y78" s="331"/>
      <c r="Z78" s="331"/>
      <c r="AA78" s="331"/>
    </row>
    <row r="79" spans="2:27">
      <c r="B79" s="1210">
        <f t="shared" si="1"/>
        <v>46104.791666666664</v>
      </c>
      <c r="C79" s="1222">
        <f>'R+P'!Q30</f>
        <v>930.80410204200825</v>
      </c>
      <c r="D79" s="1222">
        <f>'R+P'!AO30</f>
        <v>879.62101610941681</v>
      </c>
      <c r="E79" s="1222">
        <f t="shared" si="2"/>
        <v>3161.2202846076066</v>
      </c>
      <c r="F79" s="236"/>
      <c r="G79" s="236"/>
      <c r="H79" s="236"/>
      <c r="K79" s="298"/>
      <c r="L79" s="298"/>
      <c r="M79" s="298"/>
      <c r="N79" s="298"/>
      <c r="O79" s="1291">
        <f t="shared" si="3"/>
        <v>46104.791666666664</v>
      </c>
      <c r="P79" s="1292">
        <f>'R+P'!AO30*0.966</f>
        <v>849.71390156169662</v>
      </c>
      <c r="Q79" s="1292">
        <f t="shared" si="6"/>
        <v>17808.072725174879</v>
      </c>
      <c r="R79" s="1292">
        <f>'ST Original'!AM30*0.966</f>
        <v>1277.5403904940563</v>
      </c>
      <c r="S79" s="1292">
        <f t="shared" si="5"/>
        <v>18516.889459695154</v>
      </c>
      <c r="T79" s="1292">
        <f t="shared" si="4"/>
        <v>-708.81673452027462</v>
      </c>
      <c r="X79" s="331"/>
      <c r="Y79" s="331"/>
      <c r="Z79" s="331"/>
      <c r="AA79" s="331"/>
    </row>
    <row r="80" spans="2:27">
      <c r="B80" s="1210">
        <f t="shared" si="1"/>
        <v>46105.791666666664</v>
      </c>
      <c r="C80" s="1222">
        <f>'R+P'!Q31</f>
        <v>913.23904889021844</v>
      </c>
      <c r="D80" s="1222">
        <f>'R+P'!AO31</f>
        <v>853.27123141767731</v>
      </c>
      <c r="E80" s="1222">
        <f t="shared" si="2"/>
        <v>3221.1881020801475</v>
      </c>
      <c r="F80" s="236"/>
      <c r="G80" s="236"/>
      <c r="H80" s="236"/>
      <c r="K80" s="298"/>
      <c r="L80" s="298"/>
      <c r="M80" s="298"/>
      <c r="N80" s="298"/>
      <c r="O80" s="1291">
        <f t="shared" si="3"/>
        <v>46105.791666666664</v>
      </c>
      <c r="P80" s="1292">
        <f>'R+P'!AO31*0.966</f>
        <v>824.26000954947631</v>
      </c>
      <c r="Q80" s="1292">
        <f t="shared" si="6"/>
        <v>18632.332734724354</v>
      </c>
      <c r="R80" s="1292">
        <f>'ST Original'!AM31*0.966</f>
        <v>1223.3600799784185</v>
      </c>
      <c r="S80" s="1292">
        <f t="shared" si="5"/>
        <v>19740.249539673572</v>
      </c>
      <c r="T80" s="1292">
        <f t="shared" si="4"/>
        <v>-1107.9168049492182</v>
      </c>
      <c r="X80" s="331"/>
      <c r="Y80" s="331"/>
      <c r="Z80" s="331"/>
      <c r="AA80" s="331"/>
    </row>
    <row r="81" spans="2:27">
      <c r="B81" s="1210">
        <f t="shared" si="1"/>
        <v>46106.791666666664</v>
      </c>
      <c r="C81" s="1222">
        <f>'R+P'!Q32</f>
        <v>869.94783344937412</v>
      </c>
      <c r="D81" s="1222">
        <f>'R+P'!AO32</f>
        <v>899.01101534445786</v>
      </c>
      <c r="E81" s="1222">
        <f t="shared" si="2"/>
        <v>3192.1249201850637</v>
      </c>
      <c r="F81" s="236"/>
      <c r="G81" s="236"/>
      <c r="H81" s="236"/>
      <c r="K81" s="298"/>
      <c r="L81" s="298"/>
      <c r="M81" s="298"/>
      <c r="N81" s="298"/>
      <c r="O81" s="1291">
        <f t="shared" si="3"/>
        <v>46106.791666666664</v>
      </c>
      <c r="P81" s="1292">
        <f>'R+P'!AO32*0.966</f>
        <v>868.44464082274624</v>
      </c>
      <c r="Q81" s="1292">
        <f t="shared" si="6"/>
        <v>19500.777375547099</v>
      </c>
      <c r="R81" s="1292">
        <f>'ST Original'!AM32*0.966</f>
        <v>1126.3085035670611</v>
      </c>
      <c r="S81" s="1292">
        <f t="shared" si="5"/>
        <v>20866.558043240635</v>
      </c>
      <c r="T81" s="1292">
        <f t="shared" si="4"/>
        <v>-1365.7806676935361</v>
      </c>
      <c r="X81" s="331"/>
      <c r="Y81" s="331"/>
      <c r="Z81" s="331"/>
      <c r="AA81" s="331"/>
    </row>
    <row r="82" spans="2:27">
      <c r="B82" s="1210">
        <f t="shared" si="1"/>
        <v>46107.791666666664</v>
      </c>
      <c r="C82" s="1222">
        <f>'R+P'!Q33</f>
        <v>921.09058840489934</v>
      </c>
      <c r="D82" s="1222">
        <f>'R+P'!AO33</f>
        <v>1101.5360920905689</v>
      </c>
      <c r="E82" s="1222">
        <f t="shared" si="2"/>
        <v>3011.6794164993944</v>
      </c>
      <c r="F82" s="236"/>
      <c r="G82" s="236"/>
      <c r="H82" s="236"/>
      <c r="K82" s="298"/>
      <c r="L82" s="298"/>
      <c r="M82" s="298"/>
      <c r="N82" s="298"/>
      <c r="O82" s="1291">
        <f t="shared" si="3"/>
        <v>46107.791666666664</v>
      </c>
      <c r="P82" s="1292">
        <f>'R+P'!AO33*0.966</f>
        <v>1064.0838649594896</v>
      </c>
      <c r="Q82" s="1292">
        <f t="shared" si="6"/>
        <v>20564.861240506587</v>
      </c>
      <c r="R82" s="1292">
        <f>'ST Original'!AM33*0.966</f>
        <v>1016.9927601447807</v>
      </c>
      <c r="S82" s="1292">
        <f t="shared" si="5"/>
        <v>21883.550803385417</v>
      </c>
      <c r="T82" s="1292">
        <f t="shared" si="4"/>
        <v>-1318.6895628788297</v>
      </c>
      <c r="X82" s="331"/>
      <c r="Y82" s="331"/>
      <c r="Z82" s="331"/>
      <c r="AA82" s="331"/>
    </row>
    <row r="83" spans="2:27" ht="13">
      <c r="B83" s="1210">
        <f t="shared" si="1"/>
        <v>46108.791666666664</v>
      </c>
      <c r="C83" s="1222">
        <f>'R+P'!Q34</f>
        <v>962.61431503893755</v>
      </c>
      <c r="D83" s="1222">
        <f>'R+P'!AO34</f>
        <v>1124.0566607607016</v>
      </c>
      <c r="E83" s="1222">
        <f t="shared" si="2"/>
        <v>2850.2370707776304</v>
      </c>
      <c r="F83" s="236"/>
      <c r="G83" s="354"/>
      <c r="H83" s="1197"/>
      <c r="I83" s="1198"/>
      <c r="J83" s="1219"/>
      <c r="K83" s="1219"/>
      <c r="L83" s="1219"/>
      <c r="M83" s="298"/>
      <c r="N83" s="298"/>
      <c r="O83" s="1291">
        <f t="shared" si="3"/>
        <v>46108.791666666664</v>
      </c>
      <c r="P83" s="1292">
        <f>'R+P'!AO34*0.966</f>
        <v>1085.8387342948376</v>
      </c>
      <c r="Q83" s="1292">
        <f t="shared" si="6"/>
        <v>21650.699974801424</v>
      </c>
      <c r="R83" s="1292">
        <f>'ST Original'!AM34*0.966</f>
        <v>1064.4259308882142</v>
      </c>
      <c r="S83" s="1292">
        <f t="shared" si="5"/>
        <v>22947.97673427363</v>
      </c>
      <c r="T83" s="1292">
        <f>+Q83-S83</f>
        <v>-1297.2767594722063</v>
      </c>
      <c r="X83" s="331"/>
      <c r="Y83" s="331"/>
      <c r="Z83" s="331"/>
      <c r="AA83" s="331"/>
    </row>
    <row r="84" spans="2:27">
      <c r="B84" s="1210">
        <f t="shared" si="1"/>
        <v>46109.791666666664</v>
      </c>
      <c r="C84" s="1222">
        <f>'R+P'!Q35</f>
        <v>1103.6545142268092</v>
      </c>
      <c r="D84" s="1222">
        <f>'R+P'!AO35</f>
        <v>679.61522370571265</v>
      </c>
      <c r="E84" s="1222">
        <f>E83+C84-D84</f>
        <v>3274.2763612987269</v>
      </c>
      <c r="F84" s="236"/>
      <c r="G84" s="236"/>
      <c r="H84" s="236"/>
      <c r="I84" s="236"/>
      <c r="J84" s="1220" t="s">
        <v>50</v>
      </c>
      <c r="K84" s="1220" t="s">
        <v>947</v>
      </c>
      <c r="L84" s="1220" t="s">
        <v>10</v>
      </c>
      <c r="M84" s="298"/>
      <c r="N84" s="298"/>
      <c r="O84" s="1291">
        <f t="shared" si="3"/>
        <v>46109.791666666664</v>
      </c>
      <c r="P84" s="1292">
        <f>'R+P'!AO35*0.966</f>
        <v>656.50830609971842</v>
      </c>
      <c r="Q84" s="1292">
        <f t="shared" si="6"/>
        <v>22307.208280901141</v>
      </c>
      <c r="R84" s="1292">
        <f>'ST Original'!AM35*0.966</f>
        <v>1128.3301714023855</v>
      </c>
      <c r="S84" s="1292">
        <f t="shared" si="5"/>
        <v>24076.306905676014</v>
      </c>
      <c r="T84" s="1292">
        <f t="shared" si="4"/>
        <v>-1769.0986247748733</v>
      </c>
      <c r="X84" s="331"/>
      <c r="Y84" s="331"/>
      <c r="Z84" s="331"/>
      <c r="AA84" s="331"/>
    </row>
    <row r="85" spans="2:27">
      <c r="B85" s="1210">
        <f t="shared" si="1"/>
        <v>46110.791666666664</v>
      </c>
      <c r="C85" s="1222">
        <f>'R+P'!Q36</f>
        <v>1135.8582388728898</v>
      </c>
      <c r="D85" s="1222">
        <f>'R+P'!AO36</f>
        <v>1349.7307305287361</v>
      </c>
      <c r="E85" s="1222">
        <f>E84+C85-D85</f>
        <v>3060.4038696428806</v>
      </c>
      <c r="F85" s="236"/>
      <c r="G85" s="1221" t="str">
        <f>'Comparacion (Sin BM)'!O14</f>
        <v>Cu Fino Producido</v>
      </c>
      <c r="H85" s="1218"/>
      <c r="I85" s="1217" t="str">
        <f>'Comparacion (Sin BM)'!P14</f>
        <v>Kton</v>
      </c>
      <c r="J85" s="1220">
        <f>'Comparacion (Sin BM)'!Q14</f>
        <v>27.362020259444645</v>
      </c>
      <c r="K85" s="1220">
        <f>'Comparacion (Sin BM)'!R14</f>
        <v>28.318351668204937</v>
      </c>
      <c r="L85" s="1220">
        <f>'Comparacion (Sin BM)'!S14</f>
        <v>-0.95633140876029188</v>
      </c>
      <c r="M85" s="298"/>
      <c r="N85" s="298"/>
      <c r="O85" s="1291">
        <f t="shared" si="3"/>
        <v>46110.791666666664</v>
      </c>
      <c r="P85" s="1292">
        <f>'R+P'!AO36*0.966</f>
        <v>1303.839885690759</v>
      </c>
      <c r="Q85" s="1292">
        <f t="shared" si="6"/>
        <v>23611.0481665919</v>
      </c>
      <c r="R85" s="1292">
        <f>'ST Original'!AM36*0.966</f>
        <v>1071.8452915397454</v>
      </c>
      <c r="S85" s="1292">
        <f t="shared" si="5"/>
        <v>25148.152197215761</v>
      </c>
      <c r="T85" s="1292">
        <f t="shared" si="4"/>
        <v>-1537.104030623861</v>
      </c>
      <c r="X85" s="331"/>
      <c r="Y85" s="331"/>
      <c r="Z85" s="331"/>
      <c r="AA85" s="331"/>
    </row>
    <row r="86" spans="2:27">
      <c r="B86" s="1210">
        <f t="shared" si="1"/>
        <v>46111.791666666664</v>
      </c>
      <c r="C86" s="1222">
        <f>'R+P'!Q37</f>
        <v>1061.2790470251196</v>
      </c>
      <c r="D86" s="1222">
        <f>'R+P'!AO37</f>
        <v>1317.0784468681602</v>
      </c>
      <c r="E86" s="1222">
        <f>E85+C86-D86</f>
        <v>2804.6044697998395</v>
      </c>
      <c r="F86" s="236"/>
      <c r="G86" s="1221" t="str">
        <f>'Comparacion (Sin BM)'!O15</f>
        <v>Cu Fino Filtrado Pagable (Bdgt)</v>
      </c>
      <c r="H86" s="1218"/>
      <c r="I86" s="1217" t="str">
        <f>'Comparacion (Sin BM)'!P15</f>
        <v>Kton</v>
      </c>
      <c r="J86" s="1220">
        <f>'Comparacion (Sin BM)'!Q15</f>
        <v>26.405692061497174</v>
      </c>
      <c r="K86" s="1220">
        <f>'Comparacion (Sin BM)'!R15</f>
        <v>27.229795292946367</v>
      </c>
      <c r="L86" s="1220">
        <f>'Comparacion (Sin BM)'!S15</f>
        <v>-0.82410323144919317</v>
      </c>
      <c r="M86" s="298"/>
      <c r="N86" s="298"/>
      <c r="O86" s="1291">
        <f>+B86</f>
        <v>46111.791666666664</v>
      </c>
      <c r="P86" s="1292">
        <f>'R+P'!AO37*0.966</f>
        <v>1272.2977796746427</v>
      </c>
      <c r="Q86" s="1292">
        <f>+Q85+P86</f>
        <v>24883.345946266541</v>
      </c>
      <c r="R86" s="1292">
        <f>'ST Original'!AM37*0.966</f>
        <v>1122.4581894998041</v>
      </c>
      <c r="S86" s="1292">
        <f>IF(ISNUMBER(S85+R86),S85+R86,"")</f>
        <v>26270.610386715565</v>
      </c>
      <c r="T86" s="1292">
        <f>+Q86-S86</f>
        <v>-1387.2644404490238</v>
      </c>
      <c r="X86" s="331"/>
      <c r="Y86" s="331"/>
      <c r="Z86" s="331"/>
      <c r="AA86" s="331"/>
    </row>
    <row r="87" spans="2:27">
      <c r="B87" s="236"/>
      <c r="C87" s="236"/>
      <c r="D87" s="236"/>
      <c r="E87" s="236"/>
      <c r="F87" s="236"/>
      <c r="G87" s="1221" t="str">
        <f>'Comparacion (Sin BM)'!O16</f>
        <v>Cu Fino Filtrado Pagable (Real)</v>
      </c>
      <c r="H87" s="1218"/>
      <c r="I87" s="1217" t="str">
        <f>'Comparacion (Sin BM)'!P16</f>
        <v>Kton</v>
      </c>
      <c r="J87" s="1220">
        <f>'Comparacion (Sin BM)'!Q16</f>
        <v>26.405692061497174</v>
      </c>
      <c r="K87" s="1220">
        <f>'Comparacion (Sin BM)'!R16</f>
        <v>27.229795292946367</v>
      </c>
      <c r="L87" s="1220">
        <f>'Comparacion (Sin BM)'!S16</f>
        <v>-0.82410323144919317</v>
      </c>
      <c r="N87" s="298"/>
      <c r="O87" s="1291"/>
      <c r="P87" s="1292"/>
      <c r="Q87" s="1292"/>
      <c r="R87" s="1292"/>
      <c r="S87" s="1292"/>
      <c r="T87" s="1292"/>
      <c r="X87" s="331"/>
      <c r="Y87" s="331"/>
      <c r="Z87" s="331"/>
      <c r="AA87" s="331"/>
    </row>
    <row r="88" spans="2:27" ht="13">
      <c r="B88" s="331"/>
      <c r="C88" s="1222">
        <f>SUM(C57:C87)</f>
        <v>25766.875277272695</v>
      </c>
      <c r="D88" s="1222">
        <f>SUM(D57:D87)</f>
        <v>25759.15729427179</v>
      </c>
      <c r="E88" s="1199"/>
      <c r="F88" s="1199"/>
      <c r="H88" s="236"/>
      <c r="K88" s="298"/>
      <c r="O88" s="1236"/>
      <c r="P88" s="1237">
        <f>+SUM(P57:P87)</f>
        <v>24883.345946266541</v>
      </c>
      <c r="Q88" s="1237"/>
      <c r="R88" s="1238">
        <f>+SUM(R57:R87)</f>
        <v>26270.610386715565</v>
      </c>
      <c r="S88" s="1238"/>
      <c r="T88" s="1239"/>
      <c r="V88" s="157"/>
      <c r="X88" s="331"/>
      <c r="Y88" s="331"/>
      <c r="Z88" s="331"/>
      <c r="AA88" s="331"/>
    </row>
    <row r="89" spans="2:27" ht="17.25" customHeight="1">
      <c r="C89" s="791">
        <f>'R+P'!Q39</f>
        <v>27362.020259444645</v>
      </c>
      <c r="D89" s="791">
        <f>'R+P'!AO39</f>
        <v>27448.744346670661</v>
      </c>
      <c r="E89" s="974" t="e">
        <f>+'R+P'!#REF!</f>
        <v>#REF!</v>
      </c>
      <c r="H89" s="236"/>
      <c r="K89" s="298"/>
      <c r="P89" s="383">
        <v>567.76961972469803</v>
      </c>
      <c r="Q89" s="383"/>
      <c r="R89" s="383">
        <v>302.07</v>
      </c>
      <c r="S89" s="383"/>
      <c r="T89" s="383">
        <v>519.15497562209464</v>
      </c>
      <c r="V89" s="157"/>
      <c r="X89" s="331"/>
      <c r="Y89" s="331"/>
      <c r="Z89" s="331"/>
      <c r="AA89" s="331"/>
    </row>
    <row r="90" spans="2:27">
      <c r="K90" s="298"/>
      <c r="R90" s="298"/>
      <c r="S90" s="298"/>
      <c r="T90" s="298"/>
    </row>
    <row r="91" spans="2:27">
      <c r="K91" s="298"/>
      <c r="R91" s="298"/>
      <c r="S91" s="298"/>
      <c r="T91" s="298"/>
    </row>
  </sheetData>
  <mergeCells count="6">
    <mergeCell ref="C7:E7"/>
    <mergeCell ref="P54:R54"/>
    <mergeCell ref="S54:T54"/>
    <mergeCell ref="B4:C4"/>
    <mergeCell ref="C53:E53"/>
    <mergeCell ref="B50:C50"/>
  </mergeCells>
  <phoneticPr fontId="51" type="noConversion"/>
  <pageMargins left="0.75" right="0.75" top="1" bottom="1" header="0" footer="0"/>
  <pageSetup orientation="portrait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3">
    <tabColor indexed="11"/>
  </sheetPr>
  <dimension ref="A1:B19"/>
  <sheetViews>
    <sheetView workbookViewId="0"/>
  </sheetViews>
  <sheetFormatPr baseColWidth="10" defaultColWidth="11.453125" defaultRowHeight="12.5"/>
  <sheetData>
    <row r="1" spans="1:2">
      <c r="A1" s="194">
        <v>44777.791666666664</v>
      </c>
      <c r="B1" t="s">
        <v>959</v>
      </c>
    </row>
    <row r="2" spans="1:2">
      <c r="A2" s="194">
        <v>44778.791666666664</v>
      </c>
      <c r="B2">
        <v>55</v>
      </c>
    </row>
    <row r="3" spans="1:2">
      <c r="A3" t="s">
        <v>960</v>
      </c>
      <c r="B3" t="s">
        <v>961</v>
      </c>
    </row>
    <row r="4" spans="1:2">
      <c r="A4">
        <v>0</v>
      </c>
      <c r="B4" t="s">
        <v>962</v>
      </c>
    </row>
    <row r="5" spans="1:2">
      <c r="B5" t="s">
        <v>1476</v>
      </c>
    </row>
    <row r="6" spans="1:2">
      <c r="A6">
        <v>-1</v>
      </c>
    </row>
    <row r="7" spans="1:2">
      <c r="A7" s="194">
        <v>45812.519641203704</v>
      </c>
      <c r="B7" t="s">
        <v>963</v>
      </c>
    </row>
    <row r="8" spans="1:2">
      <c r="A8" s="194">
        <v>45812.519687499997</v>
      </c>
      <c r="B8">
        <v>31</v>
      </c>
    </row>
    <row r="9" spans="1:2">
      <c r="A9">
        <v>0</v>
      </c>
      <c r="B9">
        <v>1</v>
      </c>
    </row>
    <row r="10" spans="1:2">
      <c r="B10">
        <v>-5</v>
      </c>
    </row>
    <row r="11" spans="1:2">
      <c r="B11">
        <v>1</v>
      </c>
    </row>
    <row r="12" spans="1:2">
      <c r="A12">
        <v>0</v>
      </c>
      <c r="B12">
        <v>0</v>
      </c>
    </row>
    <row r="13" spans="1:2">
      <c r="B13">
        <v>1</v>
      </c>
    </row>
    <row r="14" spans="1:2">
      <c r="B14" s="156">
        <v>44774</v>
      </c>
    </row>
    <row r="15" spans="1:2">
      <c r="A15" s="156">
        <v>44778</v>
      </c>
      <c r="B15" s="156">
        <v>44805</v>
      </c>
    </row>
    <row r="16" spans="1:2">
      <c r="A16" s="156">
        <v>44774</v>
      </c>
      <c r="B16">
        <v>0</v>
      </c>
    </row>
    <row r="17" spans="1:1">
      <c r="A17">
        <v>5</v>
      </c>
    </row>
    <row r="18" spans="1:1">
      <c r="A18">
        <v>31</v>
      </c>
    </row>
    <row r="19" spans="1:1">
      <c r="A19">
        <v>217</v>
      </c>
    </row>
  </sheetData>
  <phoneticPr fontId="51" type="noConversion"/>
  <pageMargins left="0.75" right="0.75" top="1" bottom="1" header="0" footer="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1">
    <tabColor indexed="55"/>
    <pageSetUpPr fitToPage="1"/>
  </sheetPr>
  <dimension ref="A1:Z71"/>
  <sheetViews>
    <sheetView topLeftCell="A10" zoomScale="61" zoomScaleNormal="110" workbookViewId="0">
      <selection activeCell="E30" sqref="E30"/>
    </sheetView>
  </sheetViews>
  <sheetFormatPr baseColWidth="10" defaultColWidth="11.453125" defaultRowHeight="13"/>
  <cols>
    <col min="1" max="1" width="11.453125" style="1241"/>
    <col min="2" max="4" width="21" style="1241" customWidth="1"/>
    <col min="5" max="5" width="20.453125" style="1241" customWidth="1"/>
    <col min="6" max="6" width="11.453125" style="1241"/>
    <col min="7" max="14" width="12.54296875" style="1241" bestFit="1" customWidth="1"/>
    <col min="15" max="15" width="4.453125" style="1241" customWidth="1"/>
    <col min="16" max="19" width="12.54296875" style="1241" bestFit="1" customWidth="1"/>
    <col min="20" max="20" width="9.54296875" style="1241" customWidth="1"/>
    <col min="21" max="21" width="10.453125" style="1241" customWidth="1"/>
    <col min="22" max="22" width="8.453125" style="1241" customWidth="1"/>
    <col min="23" max="23" width="10.54296875" style="1241" customWidth="1"/>
    <col min="24" max="37" width="12.54296875" style="1241" bestFit="1" customWidth="1"/>
    <col min="38" max="16384" width="11.453125" style="1241"/>
  </cols>
  <sheetData>
    <row r="1" spans="1:26" ht="20.25" customHeight="1">
      <c r="B1" s="1242" t="s">
        <v>964</v>
      </c>
    </row>
    <row r="2" spans="1:26" ht="20.25" customHeight="1">
      <c r="B2" s="1243"/>
    </row>
    <row r="3" spans="1:26" ht="20.25" customHeight="1">
      <c r="A3" s="1240" t="s">
        <v>482</v>
      </c>
      <c r="B3" s="1240" t="s">
        <v>965</v>
      </c>
      <c r="C3" s="1240" t="s">
        <v>966</v>
      </c>
      <c r="D3" s="1240" t="s">
        <v>967</v>
      </c>
      <c r="E3" s="1244"/>
      <c r="F3" s="1245"/>
      <c r="G3" s="1245"/>
      <c r="H3" s="1245"/>
      <c r="I3" s="1245"/>
      <c r="J3" s="1245"/>
      <c r="K3" s="1245"/>
      <c r="L3" s="1245"/>
      <c r="M3" s="1245"/>
      <c r="N3" s="1245"/>
      <c r="O3" s="1245"/>
      <c r="P3" s="1245"/>
      <c r="Q3" s="1245"/>
      <c r="R3" s="1245"/>
      <c r="S3" s="1245"/>
      <c r="T3" s="1245"/>
      <c r="U3" s="1245"/>
      <c r="V3" s="1245"/>
      <c r="W3" s="1245"/>
      <c r="X3" s="1245"/>
      <c r="Y3" s="1245"/>
      <c r="Z3" s="1245"/>
    </row>
    <row r="4" spans="1:26" ht="12.75" customHeight="1">
      <c r="A4" s="1246">
        <f>A41</f>
        <v>46082.791666666664</v>
      </c>
      <c r="B4" s="1247">
        <f>'ST Original'!E8/1000</f>
        <v>92.511072796314039</v>
      </c>
      <c r="C4" s="1247">
        <f>'ST Original'!C8/1000</f>
        <v>180.00000000031577</v>
      </c>
      <c r="D4" s="1247">
        <f>'ST Original'!D8/1000</f>
        <v>594.9778544076878</v>
      </c>
      <c r="F4" s="1248"/>
      <c r="G4" s="1248"/>
      <c r="H4" s="1248"/>
      <c r="I4" s="1248"/>
      <c r="J4" s="1248"/>
      <c r="K4" s="1248"/>
      <c r="L4" s="1248"/>
      <c r="M4" s="1248"/>
      <c r="N4" s="1248"/>
      <c r="O4" s="1248"/>
      <c r="P4" s="1248"/>
      <c r="Q4" s="1248"/>
      <c r="R4" s="1248"/>
      <c r="S4" s="1248"/>
      <c r="T4" s="1248"/>
      <c r="U4" s="1248"/>
      <c r="V4" s="1248"/>
      <c r="W4" s="1248"/>
      <c r="X4" s="1248"/>
      <c r="Y4" s="1248"/>
      <c r="Z4" s="1248"/>
    </row>
    <row r="5" spans="1:26" ht="12.75" customHeight="1">
      <c r="A5" s="1246">
        <f t="shared" ref="A5:A33" si="0">A42</f>
        <v>46083.791666666664</v>
      </c>
      <c r="B5" s="1247">
        <f>'ST Original'!E9/1000</f>
        <v>166.86309892828095</v>
      </c>
      <c r="C5" s="1247">
        <f>'ST Original'!C9/1000</f>
        <v>180.00000000038477</v>
      </c>
      <c r="D5" s="1247">
        <f>'ST Original'!D9/1000</f>
        <v>608.1147554797916</v>
      </c>
      <c r="F5" s="1248"/>
      <c r="G5" s="1248"/>
      <c r="H5" s="1248"/>
      <c r="I5" s="1248"/>
      <c r="J5" s="1248"/>
      <c r="K5" s="1248"/>
      <c r="L5" s="1248"/>
      <c r="M5" s="1248"/>
      <c r="N5" s="1248"/>
      <c r="O5" s="1248"/>
      <c r="P5" s="1248"/>
      <c r="Q5" s="1248"/>
      <c r="R5" s="1248"/>
      <c r="S5" s="1248"/>
      <c r="T5" s="1248"/>
      <c r="U5" s="1248"/>
      <c r="V5" s="1248"/>
      <c r="W5" s="1248"/>
      <c r="X5" s="1248"/>
      <c r="Y5" s="1248"/>
      <c r="Z5" s="1248"/>
    </row>
    <row r="6" spans="1:26" ht="12.75" customHeight="1">
      <c r="A6" s="1246">
        <f t="shared" si="0"/>
        <v>46084.791666666664</v>
      </c>
      <c r="B6" s="1247">
        <f>'ST Original'!E10/1000</f>
        <v>144.42470628770081</v>
      </c>
      <c r="C6" s="1247">
        <f>'ST Original'!C10/1000</f>
        <v>190.00000000005014</v>
      </c>
      <c r="D6" s="1247">
        <f>'ST Original'!D10/1000</f>
        <v>653.69004919214092</v>
      </c>
      <c r="F6" s="1248"/>
      <c r="G6" s="1248"/>
      <c r="H6" s="1248"/>
      <c r="I6" s="1248"/>
      <c r="J6" s="1248"/>
      <c r="K6" s="1248"/>
      <c r="L6" s="1248"/>
      <c r="M6" s="1248"/>
      <c r="N6" s="1248"/>
      <c r="O6" s="1248"/>
      <c r="P6" s="1248"/>
      <c r="Q6" s="1248"/>
      <c r="R6" s="1248"/>
      <c r="S6" s="1248"/>
      <c r="T6" s="1248"/>
      <c r="U6" s="1248"/>
      <c r="V6" s="1248"/>
      <c r="W6" s="1248"/>
      <c r="X6" s="1248"/>
      <c r="Y6" s="1248"/>
      <c r="Z6" s="1248"/>
    </row>
    <row r="7" spans="1:26" ht="12.75" customHeight="1">
      <c r="A7" s="1246">
        <f t="shared" si="0"/>
        <v>46085.791666666664</v>
      </c>
      <c r="B7" s="1247">
        <f>'ST Original'!E11/1000</f>
        <v>144.86084596144261</v>
      </c>
      <c r="C7" s="1247">
        <f>'ST Original'!C11/1000</f>
        <v>175.91620114159485</v>
      </c>
      <c r="D7" s="1247">
        <f>'ST Original'!D11/1000</f>
        <v>684.74540437229314</v>
      </c>
    </row>
    <row r="8" spans="1:26" ht="12.75" customHeight="1">
      <c r="A8" s="1246">
        <f t="shared" si="0"/>
        <v>46086.791666666664</v>
      </c>
      <c r="B8" s="1455">
        <f>'ST Original'!E12/1000</f>
        <v>150.91777176313917</v>
      </c>
      <c r="C8" s="1247">
        <f>'ST Original'!C12/1000</f>
        <v>180.00009726478135</v>
      </c>
      <c r="D8" s="1247">
        <f>'ST Original'!D12/1000</f>
        <v>713.82772987393537</v>
      </c>
    </row>
    <row r="9" spans="1:26" s="1244" customFormat="1" ht="12.75" customHeight="1">
      <c r="A9" s="1246">
        <f t="shared" si="0"/>
        <v>46087.791666666664</v>
      </c>
      <c r="B9" s="1455">
        <f>'ST Original'!E13/1000</f>
        <v>151.10659841900798</v>
      </c>
      <c r="C9" s="1247">
        <f>'ST Original'!C13/1000</f>
        <v>159.99999999997914</v>
      </c>
      <c r="D9" s="1247">
        <f>'ST Original'!D13/1000</f>
        <v>722.72113145490653</v>
      </c>
      <c r="F9" s="1245"/>
      <c r="G9" s="1245"/>
      <c r="H9" s="1245"/>
      <c r="I9" s="1245"/>
      <c r="J9" s="1245"/>
      <c r="K9" s="1245"/>
      <c r="L9" s="1245"/>
      <c r="M9" s="1245"/>
      <c r="N9" s="1245"/>
      <c r="O9" s="1245"/>
      <c r="P9" s="1245"/>
      <c r="Q9" s="1245"/>
      <c r="R9" s="1245"/>
      <c r="S9" s="1245"/>
      <c r="T9" s="1245"/>
      <c r="U9" s="1245"/>
      <c r="V9" s="1245"/>
      <c r="W9" s="1245"/>
      <c r="X9" s="1245"/>
      <c r="Y9" s="1245"/>
      <c r="Z9" s="1245"/>
    </row>
    <row r="10" spans="1:26" ht="12.75" customHeight="1">
      <c r="A10" s="1246">
        <f t="shared" si="0"/>
        <v>46088.791666666664</v>
      </c>
      <c r="B10" s="1455">
        <f>'ST Original'!E14/1000</f>
        <v>165.60956401972805</v>
      </c>
      <c r="C10" s="1247">
        <f>'ST Original'!C14/1000</f>
        <v>170.00000000024195</v>
      </c>
      <c r="D10" s="1247">
        <f>'ST Original'!D14/1000</f>
        <v>727.1115674354204</v>
      </c>
      <c r="E10" s="1249"/>
      <c r="F10" s="1250"/>
      <c r="G10" s="1250"/>
      <c r="H10" s="1250"/>
      <c r="I10" s="1250"/>
      <c r="J10" s="1250"/>
      <c r="K10" s="1250"/>
      <c r="L10" s="1250"/>
      <c r="M10" s="1250"/>
      <c r="N10" s="1250"/>
      <c r="O10" s="1250"/>
      <c r="P10" s="1250"/>
      <c r="Q10" s="1250"/>
      <c r="R10" s="1250"/>
      <c r="S10" s="1250"/>
      <c r="T10" s="1250"/>
      <c r="U10" s="1250"/>
      <c r="V10" s="1250"/>
      <c r="W10" s="1250"/>
      <c r="X10" s="1250"/>
      <c r="Y10" s="1250"/>
      <c r="Z10" s="1250"/>
    </row>
    <row r="11" spans="1:26" ht="12.75" customHeight="1">
      <c r="A11" s="1246">
        <f t="shared" si="0"/>
        <v>46089.791666666664</v>
      </c>
      <c r="B11" s="1455">
        <f>'ST Original'!E15/1000</f>
        <v>202.92017669039228</v>
      </c>
      <c r="C11" s="1247">
        <f>'ST Original'!C15/1000</f>
        <v>190.00000000046202</v>
      </c>
      <c r="D11" s="1247">
        <f>'ST Original'!D15/1000</f>
        <v>714.19139074549014</v>
      </c>
      <c r="E11" s="1249"/>
      <c r="F11" s="1250"/>
      <c r="G11" s="1250"/>
      <c r="H11" s="1250"/>
      <c r="I11" s="1250"/>
      <c r="J11" s="1250"/>
      <c r="K11" s="1250"/>
      <c r="L11" s="1250"/>
      <c r="M11" s="1250"/>
      <c r="N11" s="1250"/>
      <c r="O11" s="1250"/>
      <c r="P11" s="1250"/>
      <c r="Q11" s="1250"/>
      <c r="R11" s="1250"/>
      <c r="S11" s="1250"/>
      <c r="T11" s="1250"/>
      <c r="U11" s="1250"/>
      <c r="V11" s="1250"/>
      <c r="W11" s="1250"/>
      <c r="X11" s="1250"/>
      <c r="Y11" s="1250"/>
      <c r="Z11" s="1250"/>
    </row>
    <row r="12" spans="1:26" ht="12.75" customHeight="1">
      <c r="A12" s="1246">
        <f t="shared" si="0"/>
        <v>46090.791666666664</v>
      </c>
      <c r="B12" s="1247">
        <f>'ST Original'!E16/1000</f>
        <v>180.39975067853979</v>
      </c>
      <c r="C12" s="1247">
        <f>'ST Original'!C16/1000</f>
        <v>170.00000000050824</v>
      </c>
      <c r="D12" s="1247">
        <f>'ST Original'!D16/1000</f>
        <v>703.79164006745862</v>
      </c>
      <c r="E12" s="1249"/>
      <c r="F12" s="1250"/>
      <c r="G12" s="1250"/>
      <c r="H12" s="1250"/>
      <c r="I12" s="1250"/>
      <c r="J12" s="1250"/>
      <c r="K12" s="1250"/>
      <c r="L12" s="1250"/>
      <c r="M12" s="1250"/>
      <c r="N12" s="1250"/>
      <c r="O12" s="1250"/>
      <c r="P12" s="1250"/>
      <c r="Q12" s="1250"/>
      <c r="R12" s="1250"/>
      <c r="S12" s="1250"/>
      <c r="T12" s="1250"/>
      <c r="U12" s="1250"/>
      <c r="V12" s="1250"/>
      <c r="W12" s="1250"/>
      <c r="X12" s="1250"/>
      <c r="Y12" s="1250"/>
      <c r="Z12" s="1250"/>
    </row>
    <row r="13" spans="1:26" ht="12.75" customHeight="1">
      <c r="A13" s="1246">
        <f t="shared" si="0"/>
        <v>46091.791666666664</v>
      </c>
      <c r="B13" s="1247">
        <f>'ST Original'!E17/1000</f>
        <v>167.99549863435666</v>
      </c>
      <c r="C13" s="1247">
        <f>'ST Original'!C17/1000</f>
        <v>64.238952773866117</v>
      </c>
      <c r="D13" s="1247">
        <f>'ST Original'!D17/1000</f>
        <v>600.0350942069681</v>
      </c>
      <c r="E13" s="1251"/>
    </row>
    <row r="14" spans="1:26" ht="12.75" customHeight="1">
      <c r="A14" s="1246">
        <f t="shared" si="0"/>
        <v>46092.791666666664</v>
      </c>
      <c r="B14" s="1247">
        <f>'ST Original'!E18/1000</f>
        <v>194.5564274488097</v>
      </c>
      <c r="C14" s="1247">
        <f>'ST Original'!C18/1000</f>
        <v>150.00062475222697</v>
      </c>
      <c r="D14" s="1247">
        <f>'ST Original'!D18/1000</f>
        <v>555.47929151038534</v>
      </c>
      <c r="E14" s="1249"/>
      <c r="F14" s="1250"/>
      <c r="G14" s="1250"/>
      <c r="H14" s="1250"/>
      <c r="I14" s="1250"/>
      <c r="J14" s="1250"/>
      <c r="K14" s="1250"/>
      <c r="L14" s="1250"/>
      <c r="M14" s="1250"/>
      <c r="N14" s="1250"/>
      <c r="O14" s="1250"/>
      <c r="P14" s="1250"/>
      <c r="Q14" s="1250"/>
      <c r="R14" s="1250"/>
      <c r="S14" s="1250"/>
      <c r="T14" s="1250"/>
      <c r="U14" s="1250"/>
      <c r="V14" s="1250"/>
      <c r="W14" s="1250"/>
      <c r="X14" s="1250"/>
      <c r="Y14" s="1250"/>
      <c r="Z14" s="1250"/>
    </row>
    <row r="15" spans="1:26" ht="12.75" customHeight="1">
      <c r="A15" s="1246">
        <f t="shared" si="0"/>
        <v>46093.791666666664</v>
      </c>
      <c r="B15" s="1247">
        <f>'ST Original'!E19/1000</f>
        <v>209.56913112126503</v>
      </c>
      <c r="C15" s="1247">
        <f>'ST Original'!C19/1000</f>
        <v>220.00061924611668</v>
      </c>
      <c r="D15" s="1247">
        <f>'ST Original'!D19/1000</f>
        <v>565.91077963523696</v>
      </c>
      <c r="E15" s="1249"/>
      <c r="F15" s="1250"/>
      <c r="G15" s="1250"/>
      <c r="H15" s="1250"/>
      <c r="I15" s="1250"/>
      <c r="J15" s="1250"/>
      <c r="K15" s="1250"/>
      <c r="L15" s="1250"/>
      <c r="M15" s="1250"/>
      <c r="N15" s="1250"/>
      <c r="O15" s="1250"/>
      <c r="P15" s="1250"/>
      <c r="Q15" s="1250"/>
      <c r="R15" s="1250"/>
      <c r="S15" s="1250"/>
      <c r="T15" s="1250"/>
      <c r="U15" s="1250"/>
      <c r="V15" s="1250"/>
      <c r="W15" s="1250"/>
      <c r="X15" s="1250"/>
      <c r="Y15" s="1250"/>
      <c r="Z15" s="1250"/>
    </row>
    <row r="16" spans="1:26" ht="12.75" customHeight="1">
      <c r="A16" s="1246">
        <f t="shared" si="0"/>
        <v>46094.791666666664</v>
      </c>
      <c r="B16" s="1455">
        <f>'ST Original'!E20/1000</f>
        <v>205.12310200279356</v>
      </c>
      <c r="C16" s="1247">
        <f>'ST Original'!C20/1000</f>
        <v>220.0005090867368</v>
      </c>
      <c r="D16" s="1247">
        <f>'ST Original'!D20/1000</f>
        <v>580.7881867191802</v>
      </c>
      <c r="E16" s="1249"/>
      <c r="F16" s="1250"/>
      <c r="G16" s="1250"/>
      <c r="H16" s="1250"/>
      <c r="I16" s="1250"/>
      <c r="J16" s="1250"/>
      <c r="K16" s="1250"/>
      <c r="L16" s="1250"/>
      <c r="M16" s="1250"/>
      <c r="N16" s="1250"/>
      <c r="O16" s="1250"/>
      <c r="P16" s="1250"/>
      <c r="Q16" s="1250"/>
      <c r="R16" s="1250"/>
      <c r="S16" s="1250"/>
      <c r="T16" s="1250"/>
      <c r="U16" s="1250"/>
      <c r="V16" s="1250"/>
      <c r="W16" s="1250"/>
      <c r="X16" s="1250"/>
      <c r="Y16" s="1250"/>
      <c r="Z16" s="1250"/>
    </row>
    <row r="17" spans="1:5" ht="12.75" customHeight="1">
      <c r="A17" s="1246">
        <f t="shared" si="0"/>
        <v>46095.791666666664</v>
      </c>
      <c r="B17" s="1455">
        <f>'ST Original'!E21/1000</f>
        <v>191.78490070701366</v>
      </c>
      <c r="C17" s="1247">
        <f>'ST Original'!C21/1000</f>
        <v>165.08843244626595</v>
      </c>
      <c r="D17" s="1247">
        <f>'ST Original'!D21/1000</f>
        <v>554.09171845843252</v>
      </c>
      <c r="E17" s="1249"/>
    </row>
    <row r="18" spans="1:5" ht="12.75" customHeight="1">
      <c r="A18" s="1246">
        <f t="shared" si="0"/>
        <v>46096.791666666664</v>
      </c>
      <c r="B18" s="1455">
        <f>'ST Original'!E22/1000</f>
        <v>189.53784838868359</v>
      </c>
      <c r="C18" s="1247">
        <f>'ST Original'!C22/1000</f>
        <v>197.27098487997907</v>
      </c>
      <c r="D18" s="1247">
        <f>'ST Original'!D22/1000</f>
        <v>561.82485494972798</v>
      </c>
      <c r="E18" s="1249"/>
    </row>
    <row r="19" spans="1:5" ht="12.75" customHeight="1">
      <c r="A19" s="1246">
        <f t="shared" si="0"/>
        <v>46097.791666666664</v>
      </c>
      <c r="B19" s="1455">
        <f>'ST Original'!E23/1000</f>
        <v>188.41771772616252</v>
      </c>
      <c r="C19" s="1247">
        <f>'ST Original'!C23/1000</f>
        <v>219.99999999989282</v>
      </c>
      <c r="D19" s="1247">
        <f>'ST Original'!D23/1000</f>
        <v>593.40713722345822</v>
      </c>
      <c r="E19" s="1249"/>
    </row>
    <row r="20" spans="1:5" ht="12.75" customHeight="1">
      <c r="A20" s="1246">
        <f t="shared" si="0"/>
        <v>46098.791666666664</v>
      </c>
      <c r="B20" s="1247">
        <f>'ST Original'!E24/1000</f>
        <v>187.24492486622711</v>
      </c>
      <c r="C20" s="1247">
        <f>'ST Original'!C24/1000</f>
        <v>220.00000000003118</v>
      </c>
      <c r="D20" s="1247">
        <f>'ST Original'!D24/1000</f>
        <v>626.16221235726221</v>
      </c>
      <c r="E20" s="1249"/>
    </row>
    <row r="21" spans="1:5" ht="12.75" customHeight="1">
      <c r="A21" s="1246">
        <f t="shared" si="0"/>
        <v>46099.791666666664</v>
      </c>
      <c r="B21" s="1247">
        <f>'ST Original'!E25/1000</f>
        <v>192.36545962490925</v>
      </c>
      <c r="C21" s="1247">
        <f>'ST Original'!C25/1000</f>
        <v>184.99999999976203</v>
      </c>
      <c r="D21" s="1247">
        <f>'ST Original'!D25/1000</f>
        <v>618.79675273211501</v>
      </c>
      <c r="E21" s="1249"/>
    </row>
    <row r="22" spans="1:5" ht="12.75" customHeight="1">
      <c r="A22" s="1246">
        <f t="shared" si="0"/>
        <v>46100.791666666664</v>
      </c>
      <c r="B22" s="1247">
        <f>'ST Original'!E26/1000</f>
        <v>194.70083935798129</v>
      </c>
      <c r="C22" s="1247">
        <f>'ST Original'!C26/1000</f>
        <v>219.99999999969657</v>
      </c>
      <c r="D22" s="1247">
        <f>'ST Original'!D26/1000</f>
        <v>644.09591337383029</v>
      </c>
      <c r="E22" s="1249"/>
    </row>
    <row r="23" spans="1:5" ht="12.75" customHeight="1">
      <c r="A23" s="1246">
        <f t="shared" si="0"/>
        <v>46101.791666666664</v>
      </c>
      <c r="B23" s="1247">
        <f>'ST Original'!E27/1000</f>
        <v>196.80552980560992</v>
      </c>
      <c r="C23" s="1247">
        <f>'ST Original'!C27/1000</f>
        <v>220.00003021743203</v>
      </c>
      <c r="D23" s="1247">
        <f>'ST Original'!D27/1000</f>
        <v>667.29041378565239</v>
      </c>
      <c r="E23" s="1249"/>
    </row>
    <row r="24" spans="1:5" ht="12.75" customHeight="1">
      <c r="A24" s="1246">
        <f t="shared" si="0"/>
        <v>46102.791666666664</v>
      </c>
      <c r="B24" s="1247">
        <f>'ST Original'!E28/1000</f>
        <v>193.07268402239217</v>
      </c>
      <c r="C24" s="1247">
        <f>'ST Original'!C28/1000</f>
        <v>185.00002086318861</v>
      </c>
      <c r="D24" s="1247">
        <f>'ST Original'!D28/1000</f>
        <v>659.21775062644872</v>
      </c>
    </row>
    <row r="25" spans="1:5" ht="12.75" customHeight="1">
      <c r="A25" s="1246">
        <f t="shared" si="0"/>
        <v>46103.791666666664</v>
      </c>
      <c r="B25" s="1247">
        <f>'ST Original'!E29/1000</f>
        <v>194.60323060466635</v>
      </c>
      <c r="C25" s="1247">
        <f>'ST Original'!C29/1000</f>
        <v>199.99999999970044</v>
      </c>
      <c r="D25" s="1247">
        <f>'ST Original'!D29/1000</f>
        <v>664.61452002148292</v>
      </c>
    </row>
    <row r="26" spans="1:5" ht="12.75" customHeight="1">
      <c r="A26" s="1246">
        <f t="shared" si="0"/>
        <v>46104.791666666664</v>
      </c>
      <c r="B26" s="1247">
        <f>'ST Original'!E30/1000</f>
        <v>191.50683501760332</v>
      </c>
      <c r="C26" s="1247">
        <f>'ST Original'!C30/1000</f>
        <v>200.00000000015848</v>
      </c>
      <c r="D26" s="1247">
        <f>'ST Original'!D30/1000</f>
        <v>673.1076850040381</v>
      </c>
    </row>
    <row r="27" spans="1:5" ht="12.75" customHeight="1">
      <c r="A27" s="1246">
        <f t="shared" si="0"/>
        <v>46105.791666666664</v>
      </c>
      <c r="B27" s="1247">
        <f>'ST Original'!E31/1000</f>
        <v>199.1353856740532</v>
      </c>
      <c r="C27" s="1247">
        <f>'ST Original'!C31/1000</f>
        <v>184.99999999984698</v>
      </c>
      <c r="D27" s="1247">
        <f>'ST Original'!D31/1000</f>
        <v>658.97229932983191</v>
      </c>
    </row>
    <row r="28" spans="1:5" ht="12.75" customHeight="1">
      <c r="A28" s="1246">
        <f t="shared" si="0"/>
        <v>46106.791666666664</v>
      </c>
      <c r="B28" s="1247">
        <f>'ST Original'!E32/1000</f>
        <v>201.25165792879966</v>
      </c>
      <c r="C28" s="1247">
        <f>'ST Original'!C32/1000</f>
        <v>220.00000000043113</v>
      </c>
      <c r="D28" s="1247">
        <f>'ST Original'!D32/1000</f>
        <v>677.72064140146335</v>
      </c>
    </row>
    <row r="29" spans="1:5" ht="12.75" customHeight="1">
      <c r="A29" s="1246">
        <f t="shared" si="0"/>
        <v>46107.791666666664</v>
      </c>
      <c r="B29" s="1247">
        <f>'ST Original'!E33/1000</f>
        <v>209.16758830531856</v>
      </c>
      <c r="C29" s="1247">
        <f>'ST Original'!C33/1000</f>
        <v>220.000000000173</v>
      </c>
      <c r="D29" s="1247">
        <f>'ST Original'!D33/1000</f>
        <v>688.55305309631785</v>
      </c>
    </row>
    <row r="30" spans="1:5" ht="12.75" customHeight="1">
      <c r="A30" s="1246">
        <f t="shared" si="0"/>
        <v>46108.791666666664</v>
      </c>
      <c r="B30" s="1247">
        <f>'ST Original'!E34/1000</f>
        <v>209.54887494626041</v>
      </c>
      <c r="C30" s="1247">
        <f>'ST Original'!C34/1000</f>
        <v>200.00000000007878</v>
      </c>
      <c r="D30" s="1247">
        <f>'ST Original'!D34/1000</f>
        <v>679.00417815013623</v>
      </c>
    </row>
    <row r="31" spans="1:5" ht="12.75" customHeight="1">
      <c r="A31" s="1246">
        <f t="shared" si="0"/>
        <v>46109.791666666664</v>
      </c>
      <c r="B31" s="1247">
        <f>'ST Original'!E35/1000</f>
        <v>215.59308832196021</v>
      </c>
      <c r="C31" s="1247">
        <f>'ST Original'!C35/1000</f>
        <v>185.00000000020901</v>
      </c>
      <c r="D31" s="1247">
        <f>'ST Original'!D35/1000</f>
        <v>648.41108982838512</v>
      </c>
    </row>
    <row r="32" spans="1:5" ht="12.75" customHeight="1">
      <c r="A32" s="1246">
        <f t="shared" si="0"/>
        <v>46110.791666666664</v>
      </c>
      <c r="B32" s="1247">
        <f>'ST Original'!E36/1000</f>
        <v>210.62592929803247</v>
      </c>
      <c r="C32" s="1247">
        <f>'ST Original'!C36/1000</f>
        <v>219.99999999977328</v>
      </c>
      <c r="D32" s="1247">
        <f>'ST Original'!D36/1000</f>
        <v>657.78516053012595</v>
      </c>
    </row>
    <row r="33" spans="1:26" ht="12.75" customHeight="1">
      <c r="A33" s="1246" t="e">
        <f t="shared" si="0"/>
        <v>#REF!</v>
      </c>
      <c r="B33" s="1247" t="e">
        <f>'ST Original'!#REF!/1000</f>
        <v>#REF!</v>
      </c>
      <c r="C33" s="1247" t="e">
        <f>'ST Original'!#REF!/1000</f>
        <v>#REF!</v>
      </c>
      <c r="D33" s="1247" t="e">
        <f>'ST Original'!#REF!/1000</f>
        <v>#REF!</v>
      </c>
    </row>
    <row r="34" spans="1:26" ht="12.75" customHeight="1">
      <c r="A34" s="1246" t="e">
        <f>A71</f>
        <v>#REF!</v>
      </c>
      <c r="B34" s="1247" t="e">
        <f>'ST Original'!#REF!/1000</f>
        <v>#REF!</v>
      </c>
      <c r="C34" s="1247" t="e">
        <f>'ST Original'!#REF!/1000</f>
        <v>#REF!</v>
      </c>
      <c r="D34" s="1247" t="e">
        <f>'ST Original'!#REF!/1000</f>
        <v>#REF!</v>
      </c>
    </row>
    <row r="35" spans="1:26" ht="12.75" customHeight="1"/>
    <row r="36" spans="1:26" s="1252" customFormat="1" ht="12.75" customHeight="1"/>
    <row r="37" spans="1:26" ht="12.75" customHeight="1"/>
    <row r="38" spans="1:26" ht="12.75" customHeight="1">
      <c r="B38" s="1253" t="s">
        <v>968</v>
      </c>
    </row>
    <row r="39" spans="1:26" ht="12.75" customHeight="1">
      <c r="B39" s="1243"/>
    </row>
    <row r="40" spans="1:26" ht="12.75" customHeight="1">
      <c r="A40" s="1240"/>
      <c r="B40" s="1240" t="s">
        <v>969</v>
      </c>
      <c r="C40" s="1240" t="s">
        <v>966</v>
      </c>
      <c r="D40" s="1240" t="s">
        <v>967</v>
      </c>
      <c r="E40" s="1244"/>
      <c r="F40" s="1245"/>
      <c r="G40" s="1245"/>
      <c r="H40" s="1245"/>
      <c r="I40" s="1245"/>
      <c r="J40" s="1245"/>
      <c r="K40" s="1245"/>
      <c r="L40" s="1245"/>
      <c r="M40" s="1245"/>
      <c r="N40" s="1245"/>
      <c r="O40" s="1245"/>
      <c r="P40" s="1245"/>
      <c r="Q40" s="1245"/>
      <c r="R40" s="1245"/>
      <c r="S40" s="1245"/>
      <c r="T40" s="1245"/>
      <c r="U40" s="1245"/>
      <c r="V40" s="1245"/>
      <c r="W40" s="1245"/>
      <c r="X40" s="1245"/>
      <c r="Y40" s="1245"/>
      <c r="Z40" s="1245"/>
    </row>
    <row r="41" spans="1:26" ht="12.75" customHeight="1">
      <c r="A41" s="1246">
        <f>'R+P'!B8</f>
        <v>46082.791666666664</v>
      </c>
      <c r="B41" s="1247">
        <f>'R+P'!E8/1000</f>
        <v>98.057835933685311</v>
      </c>
      <c r="C41" s="1247">
        <f>'R+P'!C8/1000</f>
        <v>178.58427719999997</v>
      </c>
      <c r="D41" s="1247">
        <f>'R+P'!D8/1000</f>
        <v>681.32142959999987</v>
      </c>
      <c r="F41" s="1248"/>
      <c r="G41" s="1248"/>
      <c r="H41" s="1248"/>
      <c r="I41" s="1248"/>
      <c r="J41" s="1248"/>
      <c r="K41" s="1248"/>
      <c r="L41" s="1248"/>
      <c r="M41" s="1248"/>
      <c r="N41" s="1248"/>
      <c r="O41" s="1248"/>
      <c r="P41" s="1248"/>
      <c r="Q41" s="1248"/>
      <c r="R41" s="1248"/>
      <c r="S41" s="1248"/>
      <c r="T41" s="1248"/>
      <c r="U41" s="1248"/>
      <c r="V41" s="1248"/>
      <c r="W41" s="1248"/>
      <c r="X41" s="1248"/>
      <c r="Y41" s="1248"/>
      <c r="Z41" s="1248"/>
    </row>
    <row r="42" spans="1:26" ht="12.75" customHeight="1">
      <c r="A42" s="1246">
        <f>'R+P'!B9</f>
        <v>46083.791666666664</v>
      </c>
      <c r="B42" s="1247">
        <f>'R+P'!E9/1000</f>
        <v>170.43689745330809</v>
      </c>
      <c r="C42" s="1247">
        <f>'R+P'!C9/1000</f>
        <v>131.18714559999998</v>
      </c>
      <c r="D42" s="1247">
        <f>'R+P'!D9/1000</f>
        <v>641.09303720000003</v>
      </c>
      <c r="F42" s="1248"/>
      <c r="G42" s="1248"/>
      <c r="H42" s="1248"/>
      <c r="I42" s="1248"/>
      <c r="J42" s="1248"/>
      <c r="K42" s="1248"/>
      <c r="L42" s="1248"/>
      <c r="M42" s="1248"/>
      <c r="N42" s="1248"/>
      <c r="O42" s="1248"/>
      <c r="P42" s="1248"/>
      <c r="Q42" s="1248"/>
      <c r="R42" s="1248"/>
      <c r="S42" s="1248"/>
      <c r="T42" s="1248"/>
      <c r="U42" s="1248"/>
      <c r="V42" s="1248"/>
      <c r="W42" s="1248"/>
      <c r="X42" s="1248"/>
      <c r="Y42" s="1248"/>
      <c r="Z42" s="1248"/>
    </row>
    <row r="43" spans="1:26" ht="12.75" customHeight="1">
      <c r="A43" s="1246">
        <f>'R+P'!B10</f>
        <v>46084.791666666664</v>
      </c>
      <c r="B43" s="1247">
        <f>'R+P'!E10/1000</f>
        <v>158.18681954193116</v>
      </c>
      <c r="C43" s="1247">
        <f>'R+P'!C10/1000</f>
        <v>217.13383999999999</v>
      </c>
      <c r="D43" s="1247">
        <f>'R+P'!D10/1000</f>
        <v>672.52956119999999</v>
      </c>
      <c r="F43" s="1248"/>
      <c r="G43" s="1248"/>
      <c r="H43" s="1248"/>
      <c r="I43" s="1248"/>
      <c r="J43" s="1248"/>
      <c r="K43" s="1248"/>
      <c r="L43" s="1248"/>
      <c r="M43" s="1248"/>
      <c r="N43" s="1248"/>
      <c r="O43" s="1248"/>
      <c r="P43" s="1248"/>
      <c r="Q43" s="1248"/>
      <c r="R43" s="1248"/>
      <c r="S43" s="1248"/>
      <c r="T43" s="1248"/>
      <c r="U43" s="1248"/>
      <c r="V43" s="1248"/>
      <c r="W43" s="1248"/>
      <c r="X43" s="1248"/>
      <c r="Y43" s="1248"/>
      <c r="Z43" s="1248"/>
    </row>
    <row r="44" spans="1:26" ht="12.75" customHeight="1">
      <c r="A44" s="1246">
        <f>'R+P'!B11</f>
        <v>46085.791666666664</v>
      </c>
      <c r="B44" s="1247">
        <f>'R+P'!E11/1000</f>
        <v>156.04744256210327</v>
      </c>
      <c r="C44" s="1247">
        <f>'R+P'!C11/1000</f>
        <v>132.73307600000001</v>
      </c>
      <c r="D44" s="1247">
        <f>'R+P'!D11/1000</f>
        <v>646.13538919999996</v>
      </c>
    </row>
    <row r="45" spans="1:26" ht="12.75" customHeight="1">
      <c r="A45" s="1246">
        <f>'R+P'!B12</f>
        <v>46086.791666666664</v>
      </c>
      <c r="B45" s="1247">
        <f>'R+P'!E12/1000</f>
        <v>164.03884960937501</v>
      </c>
      <c r="C45" s="1247">
        <f>'R+P'!C12/1000</f>
        <v>194.21850000000001</v>
      </c>
      <c r="D45" s="1247">
        <f>'R+P'!D12/1000</f>
        <v>675.77679680000006</v>
      </c>
    </row>
    <row r="46" spans="1:26" s="1244" customFormat="1" ht="12.75" customHeight="1">
      <c r="A46" s="1246">
        <f>'R+P'!B13</f>
        <v>46087.791666666664</v>
      </c>
      <c r="B46" s="1247">
        <f>'R+P'!E13/1000</f>
        <v>152.87849609374999</v>
      </c>
      <c r="C46" s="1247">
        <f>'R+P'!C13/1000</f>
        <v>176.98069199999998</v>
      </c>
      <c r="D46" s="1247">
        <f>'R+P'!D13/1000</f>
        <v>699.37617680000005</v>
      </c>
      <c r="F46" s="1245"/>
      <c r="G46" s="1245"/>
      <c r="H46" s="1245"/>
      <c r="I46" s="1245"/>
      <c r="J46" s="1245"/>
      <c r="K46" s="1245"/>
      <c r="L46" s="1245"/>
      <c r="M46" s="1245"/>
      <c r="N46" s="1245"/>
      <c r="O46" s="1245"/>
      <c r="P46" s="1245"/>
      <c r="Q46" s="1245"/>
      <c r="R46" s="1245"/>
      <c r="S46" s="1245"/>
      <c r="T46" s="1245"/>
      <c r="U46" s="1245"/>
      <c r="V46" s="1245"/>
      <c r="W46" s="1245"/>
      <c r="X46" s="1245"/>
      <c r="Y46" s="1245"/>
      <c r="Z46" s="1245"/>
    </row>
    <row r="47" spans="1:26" ht="12.75" customHeight="1">
      <c r="A47" s="1246">
        <f>'R+P'!B14</f>
        <v>46088.791666666664</v>
      </c>
      <c r="B47" s="1247">
        <f>'R+P'!E14/1000</f>
        <v>146.19826675415038</v>
      </c>
      <c r="C47" s="1247">
        <f>'R+P'!C14/1000</f>
        <v>159.28360000000001</v>
      </c>
      <c r="D47" s="1247">
        <f>'R+P'!D14/1000</f>
        <v>711.98205680000001</v>
      </c>
      <c r="E47" s="1249"/>
      <c r="F47" s="1250"/>
      <c r="G47" s="1250"/>
      <c r="H47" s="1250"/>
      <c r="I47" s="1250"/>
      <c r="J47" s="1250"/>
      <c r="K47" s="1250"/>
      <c r="L47" s="1250"/>
      <c r="M47" s="1250"/>
      <c r="N47" s="1250"/>
      <c r="O47" s="1250"/>
      <c r="P47" s="1250"/>
      <c r="Q47" s="1250"/>
      <c r="R47" s="1250"/>
      <c r="S47" s="1250"/>
      <c r="T47" s="1250"/>
      <c r="U47" s="1250"/>
      <c r="V47" s="1250"/>
      <c r="W47" s="1250"/>
      <c r="X47" s="1250"/>
      <c r="Y47" s="1250"/>
      <c r="Z47" s="1250"/>
    </row>
    <row r="48" spans="1:26" ht="12.75" customHeight="1">
      <c r="A48" s="1246">
        <f>'R+P'!B15</f>
        <v>46089.791666666664</v>
      </c>
      <c r="B48" s="1247">
        <f>'R+P'!E15/1000</f>
        <v>168.40505169918063</v>
      </c>
      <c r="C48" s="1247">
        <f>'R+P'!C15/1000</f>
        <v>184.59307999999999</v>
      </c>
      <c r="D48" s="1247">
        <f>'R+P'!D15/1000</f>
        <v>727.61627959999998</v>
      </c>
      <c r="E48" s="1249"/>
      <c r="F48" s="1250"/>
      <c r="G48" s="1250"/>
      <c r="H48" s="1250"/>
      <c r="I48" s="1250"/>
      <c r="J48" s="1250"/>
      <c r="K48" s="1250"/>
      <c r="L48" s="1250"/>
      <c r="M48" s="1250"/>
      <c r="N48" s="1250"/>
      <c r="O48" s="1250"/>
      <c r="P48" s="1250"/>
      <c r="Q48" s="1250"/>
      <c r="R48" s="1250"/>
      <c r="S48" s="1250"/>
      <c r="T48" s="1250"/>
      <c r="U48" s="1250"/>
      <c r="V48" s="1250"/>
      <c r="W48" s="1250"/>
      <c r="X48" s="1250"/>
      <c r="Y48" s="1250"/>
      <c r="Z48" s="1250"/>
    </row>
    <row r="49" spans="1:26" ht="12.75" customHeight="1">
      <c r="A49" s="1246">
        <f>'R+P'!B16</f>
        <v>46090.791666666664</v>
      </c>
      <c r="B49" s="1247">
        <f>'R+P'!E16/1000</f>
        <v>178.66144506835937</v>
      </c>
      <c r="C49" s="1247">
        <f>'R+P'!C16/1000</f>
        <v>206.345552</v>
      </c>
      <c r="D49" s="1247">
        <f>'R+P'!D16/1000</f>
        <v>725.80845959999999</v>
      </c>
      <c r="E49" s="1249"/>
      <c r="F49" s="1250"/>
      <c r="G49" s="1250"/>
      <c r="H49" s="1250"/>
      <c r="I49" s="1250"/>
      <c r="J49" s="1250"/>
      <c r="K49" s="1250"/>
      <c r="L49" s="1250"/>
      <c r="M49" s="1250"/>
      <c r="N49" s="1250"/>
      <c r="O49" s="1250"/>
      <c r="P49" s="1250"/>
      <c r="Q49" s="1250"/>
      <c r="R49" s="1250"/>
      <c r="S49" s="1250"/>
      <c r="T49" s="1250"/>
      <c r="U49" s="1250"/>
      <c r="V49" s="1250"/>
      <c r="W49" s="1250"/>
      <c r="X49" s="1250"/>
      <c r="Y49" s="1250"/>
      <c r="Z49" s="1250"/>
    </row>
    <row r="50" spans="1:26" ht="12.75" customHeight="1">
      <c r="A50" s="1246">
        <f>'R+P'!B17</f>
        <v>46091.791666666664</v>
      </c>
      <c r="B50" s="1247">
        <f>'R+P'!E17/1000</f>
        <v>176.85918457031249</v>
      </c>
      <c r="C50" s="1247">
        <f>'R+P'!C17/1000</f>
        <v>93.058755999999988</v>
      </c>
      <c r="D50" s="1247">
        <f>'R+P'!D17/1000</f>
        <v>641.42626240000004</v>
      </c>
      <c r="E50" s="1251"/>
    </row>
    <row r="51" spans="1:26" ht="12.75" customHeight="1">
      <c r="A51" s="1246">
        <f>'R+P'!B18</f>
        <v>46092.791666666664</v>
      </c>
      <c r="B51" s="1247">
        <f>'R+P'!E18/1000</f>
        <v>180.79911523437499</v>
      </c>
      <c r="C51" s="1247">
        <f>'R+P'!C18/1000</f>
        <v>47.366838399999999</v>
      </c>
      <c r="D51" s="1247">
        <f>'R+P'!D18/1000</f>
        <v>507.40132799999998</v>
      </c>
      <c r="E51" s="1249"/>
      <c r="F51" s="1250"/>
      <c r="G51" s="1250"/>
      <c r="H51" s="1250"/>
      <c r="I51" s="1250"/>
      <c r="J51" s="1250"/>
      <c r="K51" s="1250"/>
      <c r="L51" s="1250"/>
      <c r="M51" s="1250"/>
      <c r="N51" s="1250"/>
      <c r="O51" s="1250"/>
      <c r="P51" s="1250"/>
      <c r="Q51" s="1250"/>
      <c r="R51" s="1250"/>
      <c r="S51" s="1250"/>
      <c r="T51" s="1250"/>
      <c r="U51" s="1250"/>
      <c r="V51" s="1250"/>
      <c r="W51" s="1250"/>
      <c r="X51" s="1250"/>
      <c r="Y51" s="1250"/>
      <c r="Z51" s="1250"/>
    </row>
    <row r="52" spans="1:26" ht="12.75" customHeight="1">
      <c r="A52" s="1246">
        <f>'R+P'!B19</f>
        <v>46093.791666666664</v>
      </c>
      <c r="B52" s="1247">
        <f>'R+P'!E19/1000</f>
        <v>184.08918730926513</v>
      </c>
      <c r="C52" s="1247">
        <f>'R+P'!C19/1000</f>
        <v>164.0239972</v>
      </c>
      <c r="D52" s="1247">
        <f>'R+P'!D19/1000</f>
        <v>486.20879159999998</v>
      </c>
      <c r="E52" s="1249"/>
      <c r="F52" s="1250"/>
      <c r="G52" s="1250"/>
      <c r="H52" s="1250"/>
      <c r="I52" s="1250"/>
      <c r="J52" s="1250"/>
      <c r="K52" s="1250"/>
      <c r="L52" s="1250"/>
      <c r="M52" s="1250"/>
      <c r="N52" s="1250"/>
      <c r="O52" s="1250"/>
      <c r="P52" s="1250"/>
      <c r="Q52" s="1250"/>
      <c r="R52" s="1250"/>
      <c r="S52" s="1250"/>
      <c r="T52" s="1250"/>
      <c r="U52" s="1250"/>
      <c r="V52" s="1250"/>
      <c r="W52" s="1250"/>
      <c r="X52" s="1250"/>
      <c r="Y52" s="1250"/>
      <c r="Z52" s="1250"/>
    </row>
    <row r="53" spans="1:26" ht="12.75" customHeight="1">
      <c r="A53" s="1246">
        <f>'R+P'!B20</f>
        <v>46094.791666666664</v>
      </c>
      <c r="B53" s="1247">
        <f>'R+P'!E20/1000</f>
        <v>198.00122031784056</v>
      </c>
      <c r="C53" s="1247">
        <f>'R+P'!C20/1000</f>
        <v>207.29929919999998</v>
      </c>
      <c r="D53" s="1247">
        <f>'R+P'!D20/1000</f>
        <v>494.54919360000002</v>
      </c>
      <c r="E53" s="1249"/>
      <c r="F53" s="1250"/>
      <c r="G53" s="1250"/>
      <c r="H53" s="1250"/>
      <c r="I53" s="1250"/>
      <c r="J53" s="1250"/>
      <c r="K53" s="1250"/>
      <c r="L53" s="1250"/>
      <c r="M53" s="1250"/>
      <c r="N53" s="1250"/>
      <c r="O53" s="1250"/>
      <c r="P53" s="1250"/>
      <c r="Q53" s="1250"/>
      <c r="R53" s="1250"/>
      <c r="S53" s="1250"/>
      <c r="T53" s="1250"/>
      <c r="U53" s="1250"/>
      <c r="V53" s="1250"/>
      <c r="W53" s="1250"/>
      <c r="X53" s="1250"/>
      <c r="Y53" s="1250"/>
      <c r="Z53" s="1250"/>
    </row>
    <row r="54" spans="1:26" ht="12.75" customHeight="1">
      <c r="A54" s="1246">
        <f>'R+P'!B21</f>
        <v>46095.791666666664</v>
      </c>
      <c r="B54" s="1247">
        <f>'R+P'!E21/1000</f>
        <v>188.41649098777771</v>
      </c>
      <c r="C54" s="1247">
        <f>'R+P'!C21/1000</f>
        <v>151.40248199999999</v>
      </c>
      <c r="D54" s="1247">
        <f>'R+P'!D21/1000</f>
        <v>455.0077728</v>
      </c>
      <c r="E54" s="1249"/>
    </row>
    <row r="55" spans="1:26" ht="12.75" customHeight="1">
      <c r="A55" s="1246">
        <f>'R+P'!B22</f>
        <v>46096.791666666664</v>
      </c>
      <c r="B55" s="1247">
        <f>'R+P'!E22/1000</f>
        <v>196.43252658081056</v>
      </c>
      <c r="C55" s="1247">
        <f>'R+P'!C22/1000</f>
        <v>199.24912560000001</v>
      </c>
      <c r="D55" s="1247">
        <f>'R+P'!D22/1000</f>
        <v>424.10479999999995</v>
      </c>
      <c r="E55" s="1249"/>
    </row>
    <row r="56" spans="1:26" ht="12.75" customHeight="1">
      <c r="A56" s="1246">
        <f>'R+P'!B23</f>
        <v>46097.791666666664</v>
      </c>
      <c r="B56" s="1247">
        <f>'R+P'!E23/1000</f>
        <v>202.87456951904298</v>
      </c>
      <c r="C56" s="1247">
        <f>'R+P'!C23/1000</f>
        <v>242.80195239999998</v>
      </c>
      <c r="D56" s="1247">
        <f>'R+P'!D23/1000</f>
        <v>495.05733759999998</v>
      </c>
      <c r="E56" s="1249"/>
    </row>
    <row r="57" spans="1:26" ht="12.75" customHeight="1">
      <c r="A57" s="1246">
        <f>'R+P'!B24</f>
        <v>46098.791666666664</v>
      </c>
      <c r="B57" s="1247">
        <f>'R+P'!E24/1000</f>
        <v>198.69643357086181</v>
      </c>
      <c r="C57" s="1247">
        <f>'R+P'!C24/1000</f>
        <v>190.2940648</v>
      </c>
      <c r="D57" s="1247">
        <f>'R+P'!D24/1000</f>
        <v>485.33419759999998</v>
      </c>
      <c r="E57" s="1249"/>
    </row>
    <row r="58" spans="1:26" ht="12.75" customHeight="1">
      <c r="A58" s="1246">
        <f>'R+P'!B25</f>
        <v>46099.791666666664</v>
      </c>
      <c r="B58" s="1247">
        <f>'R+P'!E25/1000</f>
        <v>184.4</v>
      </c>
      <c r="C58" s="1247">
        <f>'R+P'!C25/1000</f>
        <v>230</v>
      </c>
      <c r="D58" s="1247">
        <f>'R+P'!D25/1000</f>
        <v>530.93419759999995</v>
      </c>
      <c r="E58" s="1249"/>
    </row>
    <row r="59" spans="1:26" ht="12.75" customHeight="1">
      <c r="A59" s="1246">
        <f>'R+P'!B26</f>
        <v>46100.791666666664</v>
      </c>
      <c r="B59" s="1247">
        <f>'R+P'!E26/1000</f>
        <v>200.65123770706072</v>
      </c>
      <c r="C59" s="1247">
        <f>'R+P'!C26/1000</f>
        <v>216.00004453185281</v>
      </c>
      <c r="D59" s="1247">
        <f>'R+P'!D26/1000</f>
        <v>546.28300442479201</v>
      </c>
      <c r="E59" s="1249"/>
    </row>
    <row r="60" spans="1:26" ht="12.75" customHeight="1">
      <c r="A60" s="1246">
        <f>'R+P'!B27</f>
        <v>46101.791666666664</v>
      </c>
      <c r="B60" s="1247">
        <f>'R+P'!E27/1000</f>
        <v>204.8357736194902</v>
      </c>
      <c r="C60" s="1247">
        <f>'R+P'!C27/1000</f>
        <v>239.76996</v>
      </c>
      <c r="D60" s="1247">
        <f>'R+P'!D27/1000</f>
        <v>581.21719080530181</v>
      </c>
      <c r="E60" s="1249"/>
    </row>
    <row r="61" spans="1:26" ht="12.75" customHeight="1">
      <c r="A61" s="1246">
        <f>'R+P'!B28</f>
        <v>46102.791666666664</v>
      </c>
      <c r="B61" s="1247">
        <f>'R+P'!E28/1000</f>
        <v>202.73290510208849</v>
      </c>
      <c r="C61" s="1247">
        <f>'R+P'!C28/1000</f>
        <v>179.50796</v>
      </c>
      <c r="D61" s="1247">
        <f>'R+P'!D28/1000</f>
        <v>557.99224570321326</v>
      </c>
    </row>
    <row r="62" spans="1:26" ht="12.75" customHeight="1">
      <c r="A62" s="1246">
        <f>'R+P'!B29</f>
        <v>46103.791666666664</v>
      </c>
      <c r="B62" s="1247">
        <f>'R+P'!E29/1000</f>
        <v>207.63399807777913</v>
      </c>
      <c r="C62" s="1247">
        <f>'R+P'!C29/1000</f>
        <v>240.392</v>
      </c>
      <c r="D62" s="1247">
        <f>'R+P'!D29/1000</f>
        <v>590.7502476254341</v>
      </c>
    </row>
    <row r="63" spans="1:26" ht="12.75" customHeight="1">
      <c r="A63" s="1246">
        <f>'R+P'!B30</f>
        <v>46104.791666666664</v>
      </c>
      <c r="B63" s="1247">
        <f>'R+P'!E30/1000</f>
        <v>197.36770075599367</v>
      </c>
      <c r="C63" s="1247">
        <f>'R+P'!C30/1000</f>
        <v>239.55208000000002</v>
      </c>
      <c r="D63" s="1247">
        <f>'R+P'!D30/1000</f>
        <v>632.93462686944054</v>
      </c>
    </row>
    <row r="64" spans="1:26" ht="12.75" customHeight="1">
      <c r="A64" s="1246">
        <f>'R+P'!B31</f>
        <v>46105.791666666664</v>
      </c>
      <c r="B64" s="1247">
        <f>'R+P'!E31/1000</f>
        <v>200.36838777048467</v>
      </c>
      <c r="C64" s="1247">
        <f>'R+P'!C31/1000</f>
        <v>179.56956</v>
      </c>
      <c r="D64" s="1247">
        <f>'R+P'!D31/1000</f>
        <v>612.13579909895589</v>
      </c>
    </row>
    <row r="65" spans="1:4" ht="12.75" customHeight="1">
      <c r="A65" s="1246">
        <f>'R+P'!B32</f>
        <v>46106.791666666664</v>
      </c>
      <c r="B65" s="1247">
        <f>'R+P'!E32/1000</f>
        <v>197.29519435247991</v>
      </c>
      <c r="C65" s="1247">
        <f>'R+P'!C32/1000</f>
        <v>240.17299640000002</v>
      </c>
      <c r="D65" s="1247">
        <f>'R+P'!D32/1000</f>
        <v>655.01360114647616</v>
      </c>
    </row>
    <row r="66" spans="1:4" ht="12.75" customHeight="1">
      <c r="A66" s="1246">
        <f>'R+P'!B33</f>
        <v>46107.791666666664</v>
      </c>
      <c r="B66" s="1247">
        <f>'R+P'!E33/1000</f>
        <v>194.19702884296299</v>
      </c>
      <c r="C66" s="1247">
        <f>'R+P'!C33/1000</f>
        <v>222.11904000000001</v>
      </c>
      <c r="D66" s="1247">
        <f>'R+P'!D33/1000</f>
        <v>682.93561230351315</v>
      </c>
    </row>
    <row r="67" spans="1:4" ht="12.75" customHeight="1">
      <c r="A67" s="1246">
        <f>'R+P'!B34</f>
        <v>46108.791666666664</v>
      </c>
      <c r="B67" s="1247">
        <f>'R+P'!E34/1000</f>
        <v>203.51059671721515</v>
      </c>
      <c r="C67" s="1247">
        <f>'R+P'!C34/1000</f>
        <v>238.00000000006926</v>
      </c>
      <c r="D67" s="1247">
        <f>'R+P'!D34/1000</f>
        <v>717.42501558636718</v>
      </c>
    </row>
    <row r="68" spans="1:4" ht="12.75" customHeight="1">
      <c r="A68" s="1246">
        <f>'R+P'!B35</f>
        <v>46109.791666666664</v>
      </c>
      <c r="B68" s="1247">
        <f>'R+P'!E35/1000</f>
        <v>206.24992537445974</v>
      </c>
      <c r="C68" s="1247">
        <f>'R+P'!C35/1000</f>
        <v>180.00000000042226</v>
      </c>
      <c r="D68" s="1247">
        <f>'R+P'!D35/1000</f>
        <v>691.17509021232979</v>
      </c>
    </row>
    <row r="69" spans="1:4" ht="12.75" customHeight="1">
      <c r="A69" s="1246">
        <f>'R+P'!B36</f>
        <v>46110.791666666664</v>
      </c>
      <c r="B69" s="1247">
        <f>'R+P'!E36/1000</f>
        <v>209.1693011013042</v>
      </c>
      <c r="C69" s="1247">
        <f>'R+P'!C36/1000</f>
        <v>237.99999999993707</v>
      </c>
      <c r="D69" s="1247">
        <f>'R+P'!D36/1000</f>
        <v>720.00578911096261</v>
      </c>
    </row>
    <row r="70" spans="1:4" ht="12.75" customHeight="1">
      <c r="A70" s="1246" t="e">
        <f>'R+P'!#REF!</f>
        <v>#REF!</v>
      </c>
      <c r="B70" s="1247" t="e">
        <f>'R+P'!#REF!/1000</f>
        <v>#REF!</v>
      </c>
      <c r="C70" s="1247" t="e">
        <f>'R+P'!#REF!/1000</f>
        <v>#REF!</v>
      </c>
      <c r="D70" s="1247" t="e">
        <f>'R+P'!#REF!/1000</f>
        <v>#REF!</v>
      </c>
    </row>
    <row r="71" spans="1:4" ht="12.75" customHeight="1">
      <c r="A71" s="1246" t="e">
        <f>'R+P'!#REF!</f>
        <v>#REF!</v>
      </c>
      <c r="B71" s="1247" t="e">
        <f>'R+P'!#REF!/1000</f>
        <v>#REF!</v>
      </c>
      <c r="C71" s="1247" t="e">
        <f>'R+P'!#REF!/1000</f>
        <v>#REF!</v>
      </c>
      <c r="D71" s="1247" t="e">
        <f>'R+P'!#REF!/1000</f>
        <v>#REF!</v>
      </c>
    </row>
  </sheetData>
  <phoneticPr fontId="124" type="noConversion"/>
  <pageMargins left="0.75" right="0.75" top="1" bottom="1" header="0" footer="0"/>
  <pageSetup scale="36" orientation="landscape" horizontalDpi="300" verticalDpi="300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14B7-3D8C-48AF-9778-5B76C1328FC8}">
  <sheetPr codeName="Hoja40"/>
  <dimension ref="C4:N42"/>
  <sheetViews>
    <sheetView topLeftCell="A3" zoomScaleNormal="100" workbookViewId="0">
      <selection activeCell="Q18" sqref="Q18"/>
    </sheetView>
  </sheetViews>
  <sheetFormatPr baseColWidth="10" defaultRowHeight="12.5"/>
  <cols>
    <col min="3" max="3" width="24.453125" bestFit="1" customWidth="1"/>
  </cols>
  <sheetData>
    <row r="4" spans="3:14" ht="13" thickBot="1"/>
    <row r="5" spans="3:14" ht="13.5" thickBot="1">
      <c r="C5" s="2601" t="s">
        <v>809</v>
      </c>
      <c r="D5" s="2602" t="s">
        <v>159</v>
      </c>
      <c r="E5" s="2602">
        <v>45814.791666666664</v>
      </c>
      <c r="F5" s="2602">
        <v>45815.791666666664</v>
      </c>
      <c r="G5" s="2602">
        <v>45816.791666666664</v>
      </c>
      <c r="H5" s="2602">
        <v>45817.791666666664</v>
      </c>
      <c r="I5" s="2602">
        <v>45818.791666666664</v>
      </c>
      <c r="J5" s="2602">
        <v>45819.791666666664</v>
      </c>
      <c r="K5" s="2602">
        <v>45820.791666666664</v>
      </c>
      <c r="L5" s="1706" t="s">
        <v>250</v>
      </c>
      <c r="M5" s="1706" t="s">
        <v>810</v>
      </c>
      <c r="N5" s="2603" t="s">
        <v>161</v>
      </c>
    </row>
    <row r="6" spans="3:14" ht="13">
      <c r="C6" s="2604" t="s">
        <v>812</v>
      </c>
      <c r="D6" s="1705" t="s">
        <v>813</v>
      </c>
      <c r="E6" s="1535">
        <v>225.000000000433</v>
      </c>
      <c r="F6" s="1535">
        <v>225.00000000038321</v>
      </c>
      <c r="G6" s="1535">
        <v>223.3912389738235</v>
      </c>
      <c r="H6" s="1535">
        <v>225.00000000042442</v>
      </c>
      <c r="I6" s="1535">
        <v>189.99999999975137</v>
      </c>
      <c r="J6" s="1535">
        <v>224.04035270717151</v>
      </c>
      <c r="K6" s="1535">
        <v>223.07602755441306</v>
      </c>
      <c r="L6" s="1707">
        <v>1535.5076192363999</v>
      </c>
      <c r="M6" s="2595">
        <v>1461.3029353258094</v>
      </c>
      <c r="N6" s="2609">
        <v>5.0779808975095257E-2</v>
      </c>
    </row>
    <row r="7" spans="3:14" ht="13">
      <c r="C7" s="2604" t="s">
        <v>814</v>
      </c>
      <c r="D7" s="1705" t="s">
        <v>198</v>
      </c>
      <c r="E7" s="1535">
        <v>330.18074072473189</v>
      </c>
      <c r="F7" s="1535">
        <v>361.2101237535482</v>
      </c>
      <c r="G7" s="1535">
        <v>384.66839490746253</v>
      </c>
      <c r="H7" s="1535">
        <v>410.94396141650287</v>
      </c>
      <c r="I7" s="1535">
        <v>396.33774457006001</v>
      </c>
      <c r="J7" s="1535">
        <v>414.98532307608076</v>
      </c>
      <c r="K7" s="1535">
        <v>434.66241787121072</v>
      </c>
      <c r="L7" s="1707">
        <v>434.66241787121072</v>
      </c>
      <c r="M7" s="1707">
        <v>372.24873685947887</v>
      </c>
      <c r="N7" s="2609">
        <v>16.766660254724396</v>
      </c>
    </row>
    <row r="8" spans="3:14" ht="13">
      <c r="C8" s="2604" t="s">
        <v>173</v>
      </c>
      <c r="D8" s="1705" t="s">
        <v>813</v>
      </c>
      <c r="E8" s="1535">
        <v>198.59433741926125</v>
      </c>
      <c r="F8" s="1535">
        <v>193.97061697156693</v>
      </c>
      <c r="G8" s="1535">
        <v>199.93296781990915</v>
      </c>
      <c r="H8" s="1535">
        <v>198.7244334913841</v>
      </c>
      <c r="I8" s="1535">
        <v>204.60621684619429</v>
      </c>
      <c r="J8" s="1535">
        <v>205.39277420115076</v>
      </c>
      <c r="K8" s="1535">
        <v>203.39893275928313</v>
      </c>
      <c r="L8" s="1707">
        <v>1404.6202795087495</v>
      </c>
      <c r="M8" s="1707">
        <v>1443.2832794096269</v>
      </c>
      <c r="N8" s="2609">
        <v>-2.6788226852245125</v>
      </c>
    </row>
    <row r="9" spans="3:14" ht="13">
      <c r="C9" s="2604" t="s">
        <v>1314</v>
      </c>
      <c r="D9" s="1705" t="s">
        <v>121</v>
      </c>
      <c r="E9" s="1535">
        <v>8721.9556865432369</v>
      </c>
      <c r="F9" s="1535">
        <v>8320.1580056434195</v>
      </c>
      <c r="G9" s="1535">
        <v>8575.9065407453163</v>
      </c>
      <c r="H9" s="1535">
        <v>8524.0677791557373</v>
      </c>
      <c r="I9" s="1535">
        <v>8776.3604595164834</v>
      </c>
      <c r="J9" s="1535">
        <v>8810.098979174325</v>
      </c>
      <c r="K9" s="1535">
        <v>8724.5753256770004</v>
      </c>
      <c r="L9" s="1707">
        <v>8638.877173979803</v>
      </c>
      <c r="M9" s="1707">
        <v>8874.8255140844303</v>
      </c>
      <c r="N9" s="2609">
        <v>-2.6586251158422787</v>
      </c>
    </row>
    <row r="10" spans="3:14" ht="13">
      <c r="C10" s="2604" t="s">
        <v>580</v>
      </c>
      <c r="D10" s="1705"/>
      <c r="E10" s="1535">
        <v>85.614534247198137</v>
      </c>
      <c r="F10" s="1535">
        <v>93.827812424887412</v>
      </c>
      <c r="G10" s="1535">
        <v>97.10963208012241</v>
      </c>
      <c r="H10" s="1535">
        <v>94.993143750209654</v>
      </c>
      <c r="I10" s="1535">
        <v>94.645810793807044</v>
      </c>
      <c r="J10" s="1535">
        <v>95.386088602969977</v>
      </c>
      <c r="K10" s="1535">
        <v>95.312751785930516</v>
      </c>
      <c r="L10" s="1707">
        <v>93.841396240732166</v>
      </c>
      <c r="M10" s="1707">
        <v>86.673644210212075</v>
      </c>
      <c r="N10" s="2609">
        <v>-8.2698173081726409</v>
      </c>
    </row>
    <row r="11" spans="3:14" ht="13">
      <c r="C11" s="2604" t="s">
        <v>86</v>
      </c>
      <c r="D11" s="1705" t="s">
        <v>214</v>
      </c>
      <c r="E11" s="1537">
        <v>37.454195431740118</v>
      </c>
      <c r="F11" s="1537">
        <v>36.169402695201534</v>
      </c>
      <c r="G11" s="1537">
        <v>36.874951565944315</v>
      </c>
      <c r="H11" s="1537">
        <v>36.93950877008249</v>
      </c>
      <c r="I11" s="1537">
        <v>37.56856642402601</v>
      </c>
      <c r="J11" s="1537">
        <v>37.795442635879354</v>
      </c>
      <c r="K11" s="1537">
        <v>37.337487164469977</v>
      </c>
      <c r="L11" s="1709">
        <v>37.171164909511468</v>
      </c>
      <c r="M11" s="1709">
        <v>38.801108892131431</v>
      </c>
      <c r="N11" s="2609">
        <v>-4.2007664965227409</v>
      </c>
    </row>
    <row r="12" spans="3:14" ht="13">
      <c r="C12" s="2604" t="s">
        <v>820</v>
      </c>
      <c r="D12" s="1705" t="s">
        <v>48</v>
      </c>
      <c r="E12" s="1535">
        <v>196.25084785538209</v>
      </c>
      <c r="F12" s="1535">
        <v>194.344185183169</v>
      </c>
      <c r="G12" s="1535">
        <v>195.19197419771885</v>
      </c>
      <c r="H12" s="1535">
        <v>193.6643373037866</v>
      </c>
      <c r="I12" s="1535">
        <v>207.35679446414801</v>
      </c>
      <c r="J12" s="1535">
        <v>205.72558889156622</v>
      </c>
      <c r="K12" s="1535">
        <v>200.72300645319203</v>
      </c>
      <c r="L12" s="1707">
        <v>199.12171500662092</v>
      </c>
      <c r="M12" s="1707">
        <v>67.619517674175682</v>
      </c>
      <c r="N12" s="2609">
        <v>194.47372867414987</v>
      </c>
    </row>
    <row r="13" spans="3:14" ht="13">
      <c r="C13" s="2604" t="s">
        <v>290</v>
      </c>
      <c r="D13" s="1705" t="s">
        <v>799</v>
      </c>
      <c r="E13" s="1535">
        <v>196.25084785538209</v>
      </c>
      <c r="F13" s="1535">
        <v>194.344185183169</v>
      </c>
      <c r="G13" s="1535">
        <v>195.19197419771885</v>
      </c>
      <c r="H13" s="1535">
        <v>193.6643373037866</v>
      </c>
      <c r="I13" s="1535">
        <v>207.35679446414801</v>
      </c>
      <c r="J13" s="1535">
        <v>205.72558889156622</v>
      </c>
      <c r="K13" s="1535">
        <v>200.72300645319203</v>
      </c>
      <c r="L13" s="1707">
        <v>199.12171500662092</v>
      </c>
      <c r="M13" s="1707">
        <v>207.47083768050248</v>
      </c>
      <c r="N13" s="2609">
        <v>4.0242391495709438</v>
      </c>
    </row>
    <row r="14" spans="3:14" ht="13">
      <c r="C14" s="2604" t="s">
        <v>83</v>
      </c>
      <c r="D14" s="1705" t="s">
        <v>821</v>
      </c>
      <c r="E14" s="1537">
        <v>4.1509355010542945</v>
      </c>
      <c r="F14" s="1537">
        <v>4.4437953176687683</v>
      </c>
      <c r="G14" s="1537">
        <v>4.2562580782515713</v>
      </c>
      <c r="H14" s="1537">
        <v>4.2705675145008719</v>
      </c>
      <c r="I14" s="1537">
        <v>4.1332683375948491</v>
      </c>
      <c r="J14" s="1537">
        <v>4.124278921055013</v>
      </c>
      <c r="K14" s="1537">
        <v>4.1583112649099849</v>
      </c>
      <c r="L14" s="1708">
        <v>4.2178915334610059</v>
      </c>
      <c r="M14" s="1708">
        <v>4.1941574636863397</v>
      </c>
      <c r="N14" s="2609">
        <v>-0.56588408947826629</v>
      </c>
    </row>
    <row r="15" spans="3:14" ht="13">
      <c r="C15" s="2604" t="s">
        <v>1315</v>
      </c>
      <c r="D15" s="1705" t="s">
        <v>1259</v>
      </c>
      <c r="E15" s="1535">
        <v>0</v>
      </c>
      <c r="F15" s="1535">
        <v>0</v>
      </c>
      <c r="G15" s="1535">
        <v>0</v>
      </c>
      <c r="H15" s="1535">
        <v>0</v>
      </c>
      <c r="I15" s="1535">
        <v>0</v>
      </c>
      <c r="J15" s="1535">
        <v>0</v>
      </c>
      <c r="K15" s="1535">
        <v>0</v>
      </c>
      <c r="L15" s="1707">
        <v>0</v>
      </c>
      <c r="M15" s="1707">
        <v>0</v>
      </c>
      <c r="N15" s="2609">
        <v>0</v>
      </c>
    </row>
    <row r="16" spans="3:14" ht="13">
      <c r="C16" s="2604" t="s">
        <v>1313</v>
      </c>
      <c r="D16" s="1705" t="s">
        <v>48</v>
      </c>
      <c r="E16" s="1537">
        <v>94.872805555555544</v>
      </c>
      <c r="F16" s="1537">
        <v>97.138888888888886</v>
      </c>
      <c r="G16" s="1537">
        <v>97.138888888888886</v>
      </c>
      <c r="H16" s="1537">
        <v>97.138888888888886</v>
      </c>
      <c r="I16" s="1537">
        <v>97.138888888888886</v>
      </c>
      <c r="J16" s="1537">
        <v>97.138888888888886</v>
      </c>
      <c r="K16" s="1537">
        <v>97.138888888888886</v>
      </c>
      <c r="L16" s="1709">
        <v>96.815162698412706</v>
      </c>
      <c r="M16" s="1709">
        <v>96.815162698412706</v>
      </c>
      <c r="N16" s="2609">
        <v>0</v>
      </c>
    </row>
    <row r="17" spans="3:14" ht="13">
      <c r="C17" s="2604" t="s">
        <v>824</v>
      </c>
      <c r="D17" s="1705" t="s">
        <v>48</v>
      </c>
      <c r="E17" s="1537">
        <v>94.591847575152087</v>
      </c>
      <c r="F17" s="1537">
        <v>97.369625352929873</v>
      </c>
      <c r="G17" s="1537">
        <v>97.369625352929873</v>
      </c>
      <c r="H17" s="1537">
        <v>97.369625352929873</v>
      </c>
      <c r="I17" s="1537">
        <v>97.369625352929873</v>
      </c>
      <c r="J17" s="1537">
        <v>97.369625352929873</v>
      </c>
      <c r="K17" s="1537">
        <v>97.369625352929873</v>
      </c>
      <c r="L17" s="1709">
        <v>96.972799956104481</v>
      </c>
      <c r="M17" s="1709">
        <v>96.972799956104481</v>
      </c>
      <c r="N17" s="2609">
        <v>0</v>
      </c>
    </row>
    <row r="18" spans="3:14" ht="13">
      <c r="C18" s="2604" t="s">
        <v>825</v>
      </c>
      <c r="D18" s="1705" t="s">
        <v>48</v>
      </c>
      <c r="E18" s="1537">
        <v>96.11705239792748</v>
      </c>
      <c r="F18" s="1537">
        <v>96.11705239792748</v>
      </c>
      <c r="G18" s="1537">
        <v>96.11705239792748</v>
      </c>
      <c r="H18" s="1537">
        <v>96.11705239792748</v>
      </c>
      <c r="I18" s="1537">
        <v>96.11705239792748</v>
      </c>
      <c r="J18" s="1537">
        <v>96.11705239792748</v>
      </c>
      <c r="K18" s="1537">
        <v>96.11705239792748</v>
      </c>
      <c r="L18" s="1709">
        <v>96.117052397927495</v>
      </c>
      <c r="M18" s="1709">
        <v>96.117052397927495</v>
      </c>
      <c r="N18" s="2609">
        <v>0</v>
      </c>
    </row>
    <row r="19" spans="3:14" ht="13">
      <c r="C19" s="2604" t="s">
        <v>826</v>
      </c>
      <c r="D19" s="1705" t="s">
        <v>48</v>
      </c>
      <c r="E19" s="1693">
        <v>0.53999238995069354</v>
      </c>
      <c r="F19" s="1693">
        <v>0.55848895121703124</v>
      </c>
      <c r="G19" s="1693">
        <v>0.53006099464349998</v>
      </c>
      <c r="H19" s="1693">
        <v>0.47906485874504384</v>
      </c>
      <c r="I19" s="1693">
        <v>0.44520233701380424</v>
      </c>
      <c r="J19" s="1693">
        <v>0.48346724740621055</v>
      </c>
      <c r="K19" s="1693">
        <v>0.49961669466302583</v>
      </c>
      <c r="L19" s="1710">
        <v>0.50459315993654552</v>
      </c>
      <c r="M19" s="1710">
        <v>0.50396213710939186</v>
      </c>
      <c r="N19" s="2609">
        <v>0.12521234844606746</v>
      </c>
    </row>
    <row r="20" spans="3:14" ht="13">
      <c r="C20" s="2604" t="s">
        <v>827</v>
      </c>
      <c r="D20" s="1705" t="s">
        <v>48</v>
      </c>
      <c r="E20" s="1536">
        <v>88.914957920002465</v>
      </c>
      <c r="F20" s="1536">
        <v>89.922407531143406</v>
      </c>
      <c r="G20" s="1536">
        <v>89.185604458801805</v>
      </c>
      <c r="H20" s="1536">
        <v>89.840890390161292</v>
      </c>
      <c r="I20" s="1536">
        <v>89.064711718497023</v>
      </c>
      <c r="J20" s="1536">
        <v>89.116827567099762</v>
      </c>
      <c r="K20" s="1536">
        <v>89.072883658365782</v>
      </c>
      <c r="L20" s="1708">
        <v>89.303954485256099</v>
      </c>
      <c r="M20" s="1708">
        <v>88.933014507176779</v>
      </c>
      <c r="N20" s="2609">
        <v>0.41710042118204171</v>
      </c>
    </row>
    <row r="21" spans="3:14" ht="13">
      <c r="C21" s="2604" t="s">
        <v>59</v>
      </c>
      <c r="D21" s="1705" t="s">
        <v>28</v>
      </c>
      <c r="E21" s="1535">
        <v>953.51894852784665</v>
      </c>
      <c r="F21" s="1535">
        <v>974.13345527518118</v>
      </c>
      <c r="G21" s="1535">
        <v>945.15931749034542</v>
      </c>
      <c r="H21" s="1535">
        <v>855.30228033794936</v>
      </c>
      <c r="I21" s="1535">
        <v>811.30084316513933</v>
      </c>
      <c r="J21" s="1535">
        <v>884.93615037938287</v>
      </c>
      <c r="K21" s="1535">
        <v>905.17202678726289</v>
      </c>
      <c r="L21" s="1707">
        <v>6329.5230219631085</v>
      </c>
      <c r="M21" s="1707">
        <v>6468.6328632655486</v>
      </c>
      <c r="N21" s="2609">
        <v>-2.1505292423137083</v>
      </c>
    </row>
    <row r="22" spans="3:14" ht="13">
      <c r="C22" s="2604" t="s">
        <v>226</v>
      </c>
      <c r="D22" s="1705" t="s">
        <v>48</v>
      </c>
      <c r="E22" s="1537">
        <v>27.287326404884048</v>
      </c>
      <c r="F22" s="1537">
        <v>30.112644698084608</v>
      </c>
      <c r="G22" s="1537">
        <v>28.8726630359278</v>
      </c>
      <c r="H22" s="1537">
        <v>28.600760549265779</v>
      </c>
      <c r="I22" s="1537">
        <v>27.336303561847281</v>
      </c>
      <c r="J22" s="1537">
        <v>27.645435876933099</v>
      </c>
      <c r="K22" s="1537">
        <v>28.120204951867457</v>
      </c>
      <c r="L22" s="1709">
        <v>28.280569300157914</v>
      </c>
      <c r="M22" s="1709">
        <v>27.768559515001847</v>
      </c>
      <c r="N22" s="2609">
        <v>1.8438471209839176</v>
      </c>
    </row>
    <row r="23" spans="3:14" ht="13">
      <c r="C23" s="2604" t="s">
        <v>225</v>
      </c>
      <c r="D23" s="1705" t="s">
        <v>420</v>
      </c>
      <c r="E23" s="1535">
        <v>3494.3656054085977</v>
      </c>
      <c r="F23" s="1535">
        <v>3234.9647964901051</v>
      </c>
      <c r="G23" s="1535">
        <v>3273.5439620316042</v>
      </c>
      <c r="H23" s="1535">
        <v>2990.487888826111</v>
      </c>
      <c r="I23" s="1535">
        <v>2967.8513092657317</v>
      </c>
      <c r="J23" s="1535">
        <v>3201.0207917096332</v>
      </c>
      <c r="K23" s="1535">
        <v>3218.9382272875314</v>
      </c>
      <c r="L23" s="1707">
        <v>22381.172581019313</v>
      </c>
      <c r="M23" s="1707">
        <v>23294.808863855174</v>
      </c>
      <c r="N23" s="2609">
        <v>-3.9220595806367964</v>
      </c>
    </row>
    <row r="24" spans="3:14" ht="13">
      <c r="C24" s="2604" t="s">
        <v>828</v>
      </c>
      <c r="D24" s="1705" t="s">
        <v>829</v>
      </c>
      <c r="E24" s="1537">
        <v>5.9819197841375935</v>
      </c>
      <c r="F24" s="1537">
        <v>3.446054028824554</v>
      </c>
      <c r="G24" s="1537">
        <v>5.5778596841552748</v>
      </c>
      <c r="H24" s="1537">
        <v>5.2533673414327815</v>
      </c>
      <c r="I24" s="1537">
        <v>6.7017841480518179</v>
      </c>
      <c r="J24" s="1537">
        <v>7.2162800089218626</v>
      </c>
      <c r="K24" s="1537">
        <v>6.4999345964030057</v>
      </c>
      <c r="L24" s="1709">
        <v>5.8315100972162188</v>
      </c>
      <c r="M24" s="1709">
        <v>7.1186634571770222</v>
      </c>
      <c r="N24" s="2609">
        <v>18.081390807471003</v>
      </c>
    </row>
    <row r="25" spans="3:14" ht="13">
      <c r="C25" s="2604" t="s">
        <v>227</v>
      </c>
      <c r="D25" s="1705" t="s">
        <v>95</v>
      </c>
      <c r="E25" s="1535">
        <v>189.01822465719701</v>
      </c>
      <c r="F25" s="1535">
        <v>227.20732510548305</v>
      </c>
      <c r="G25" s="1535">
        <v>267.58204991599774</v>
      </c>
      <c r="H25" s="1535">
        <v>245.55517618024916</v>
      </c>
      <c r="I25" s="1535">
        <v>232.08834611590041</v>
      </c>
      <c r="J25" s="1535">
        <v>233.76917315471596</v>
      </c>
      <c r="K25" s="1535">
        <v>248.84868498415906</v>
      </c>
      <c r="L25" s="1707">
        <v>234.95499815725296</v>
      </c>
      <c r="M25" s="1707">
        <v>174.62070899380853</v>
      </c>
      <c r="N25" s="2609">
        <v>34.551623064125614</v>
      </c>
    </row>
    <row r="26" spans="3:14" ht="13">
      <c r="C26" s="2604" t="s">
        <v>830</v>
      </c>
      <c r="D26" s="1705" t="s">
        <v>48</v>
      </c>
      <c r="E26" s="1536">
        <v>93.340475643744043</v>
      </c>
      <c r="F26" s="1536">
        <v>93.98570318132036</v>
      </c>
      <c r="G26" s="1536">
        <v>94.559205253230488</v>
      </c>
      <c r="H26" s="1536">
        <v>94.257998039259661</v>
      </c>
      <c r="I26" s="1536">
        <v>94.060230198950222</v>
      </c>
      <c r="J26" s="1536">
        <v>94.08553196687771</v>
      </c>
      <c r="K26" s="1536">
        <v>94.304713696848737</v>
      </c>
      <c r="L26" s="1708">
        <v>94.119716833881427</v>
      </c>
      <c r="M26" s="1708">
        <v>93.080682009619011</v>
      </c>
      <c r="N26" s="2609">
        <v>1.116273325280364</v>
      </c>
    </row>
    <row r="27" spans="3:14" ht="13">
      <c r="C27" s="2604" t="s">
        <v>831</v>
      </c>
      <c r="D27" s="1705" t="s">
        <v>48</v>
      </c>
      <c r="E27" s="1536">
        <v>86.529543560213725</v>
      </c>
      <c r="F27" s="1536">
        <v>87.035284508435069</v>
      </c>
      <c r="G27" s="1536">
        <v>87.484805746701255</v>
      </c>
      <c r="H27" s="1536">
        <v>89.947127953864296</v>
      </c>
      <c r="I27" s="1536">
        <v>89.787319716705838</v>
      </c>
      <c r="J27" s="1536">
        <v>89.807765057683199</v>
      </c>
      <c r="K27" s="1536">
        <v>89.984876997770172</v>
      </c>
      <c r="L27" s="1708">
        <v>88.668492369787998</v>
      </c>
      <c r="M27" s="1708">
        <v>87.821795577729745</v>
      </c>
      <c r="N27" s="2609">
        <v>0.96410781229000819</v>
      </c>
    </row>
    <row r="28" spans="3:14" ht="13">
      <c r="C28" s="2604" t="s">
        <v>228</v>
      </c>
      <c r="D28" s="1705" t="s">
        <v>48</v>
      </c>
      <c r="E28" s="1536">
        <v>80.767087531464185</v>
      </c>
      <c r="F28" s="1536">
        <v>81.800724161115483</v>
      </c>
      <c r="G28" s="1536">
        <v>82.724937031413234</v>
      </c>
      <c r="H28" s="1536">
        <v>84.782362103123774</v>
      </c>
      <c r="I28" s="1536">
        <v>84.454159615000933</v>
      </c>
      <c r="J28" s="1536">
        <v>84.496113502084953</v>
      </c>
      <c r="K28" s="1536">
        <v>84.859980623208642</v>
      </c>
      <c r="L28" s="1708">
        <v>83.444632719754864</v>
      </c>
      <c r="M28" s="1708">
        <v>81.727634867539194</v>
      </c>
      <c r="N28" s="2609">
        <v>2.1008779404891742</v>
      </c>
    </row>
    <row r="29" spans="3:14" ht="13">
      <c r="C29" s="2604" t="s">
        <v>66</v>
      </c>
      <c r="D29" s="1705" t="s">
        <v>28</v>
      </c>
      <c r="E29" s="1535">
        <v>30.318308195774669</v>
      </c>
      <c r="F29" s="1535">
        <v>36.050842984489115</v>
      </c>
      <c r="G29" s="1535">
        <v>44.256578412269626</v>
      </c>
      <c r="H29" s="1535">
        <v>41.371938751164187</v>
      </c>
      <c r="I29" s="1535">
        <v>40.104509014999138</v>
      </c>
      <c r="J29" s="1535">
        <v>40.570385569925627</v>
      </c>
      <c r="K29" s="1535">
        <v>42.952351815286733</v>
      </c>
      <c r="L29" s="1707">
        <v>275.62491474390913</v>
      </c>
      <c r="M29" s="1707">
        <v>205.97814929899829</v>
      </c>
      <c r="N29" s="2609">
        <v>33.812695998065045</v>
      </c>
    </row>
    <row r="30" spans="3:14" ht="13">
      <c r="C30" s="2604" t="s">
        <v>232</v>
      </c>
      <c r="D30" s="1705" t="s">
        <v>48</v>
      </c>
      <c r="E30" s="1535">
        <v>50</v>
      </c>
      <c r="F30" s="1535">
        <v>50</v>
      </c>
      <c r="G30" s="1535">
        <v>50</v>
      </c>
      <c r="H30" s="1535">
        <v>50</v>
      </c>
      <c r="I30" s="1535">
        <v>50</v>
      </c>
      <c r="J30" s="1535">
        <v>50</v>
      </c>
      <c r="K30" s="1535">
        <v>50</v>
      </c>
      <c r="L30" s="1707">
        <v>50</v>
      </c>
      <c r="M30" s="1707">
        <v>50</v>
      </c>
      <c r="N30" s="2609">
        <v>0</v>
      </c>
    </row>
    <row r="31" spans="3:14" ht="13">
      <c r="C31" s="2604" t="s">
        <v>231</v>
      </c>
      <c r="D31" s="1705" t="s">
        <v>420</v>
      </c>
      <c r="E31" s="1535">
        <v>60.636616391549339</v>
      </c>
      <c r="F31" s="1535">
        <v>72.101685968978231</v>
      </c>
      <c r="G31" s="1535">
        <v>88.513156824539251</v>
      </c>
      <c r="H31" s="1535">
        <v>82.743877502328374</v>
      </c>
      <c r="I31" s="1535">
        <v>80.209018029998276</v>
      </c>
      <c r="J31" s="1535">
        <v>81.140771139851253</v>
      </c>
      <c r="K31" s="1535">
        <v>85.904703630573465</v>
      </c>
      <c r="L31" s="1707">
        <v>551.24982948781826</v>
      </c>
      <c r="M31" s="1707">
        <v>411.95629859799658</v>
      </c>
      <c r="N31" s="2609">
        <v>33.812695998065045</v>
      </c>
    </row>
    <row r="32" spans="3:14" ht="13">
      <c r="C32" s="2604" t="s">
        <v>832</v>
      </c>
      <c r="D32" s="1705" t="s">
        <v>28</v>
      </c>
      <c r="E32" s="2930">
        <v>35</v>
      </c>
      <c r="F32" s="2930">
        <v>35</v>
      </c>
      <c r="G32" s="2930">
        <v>40</v>
      </c>
      <c r="H32" s="2930">
        <v>40</v>
      </c>
      <c r="I32" s="2930">
        <v>40</v>
      </c>
      <c r="J32" s="2930">
        <v>40</v>
      </c>
      <c r="K32" s="2930">
        <v>40</v>
      </c>
      <c r="L32" s="1707">
        <v>270</v>
      </c>
      <c r="M32" s="1707">
        <v>239</v>
      </c>
      <c r="N32" s="2609">
        <v>12.97071129707113</v>
      </c>
    </row>
    <row r="33" spans="3:14" ht="13">
      <c r="C33" s="2604" t="s">
        <v>390</v>
      </c>
      <c r="D33" s="1705" t="s">
        <v>48</v>
      </c>
      <c r="E33" s="1537">
        <v>0.93081917902729461</v>
      </c>
      <c r="F33" s="1537">
        <v>1.073571246066743</v>
      </c>
      <c r="G33" s="1537">
        <v>1.6273688901403094</v>
      </c>
      <c r="H33" s="1537">
        <v>1.1927637617593396</v>
      </c>
      <c r="I33" s="1537">
        <v>1.2285622186680334</v>
      </c>
      <c r="J33" s="1537">
        <v>1.345821295817681</v>
      </c>
      <c r="K33" s="1537">
        <v>1.4161527416004533</v>
      </c>
      <c r="L33" s="1709">
        <v>1.2592941904399793</v>
      </c>
      <c r="M33" s="1709">
        <v>1.7905717905434766</v>
      </c>
      <c r="N33" s="2609">
        <v>-29.670834920405138</v>
      </c>
    </row>
    <row r="34" spans="3:14" ht="13">
      <c r="C34" s="2604" t="s">
        <v>833</v>
      </c>
      <c r="D34" s="1705" t="s">
        <v>420</v>
      </c>
      <c r="E34" s="2930">
        <v>2800</v>
      </c>
      <c r="F34" s="2930">
        <v>2800</v>
      </c>
      <c r="G34" s="2930">
        <v>2800</v>
      </c>
      <c r="H34" s="1535">
        <v>3679</v>
      </c>
      <c r="I34" s="1535">
        <v>3679</v>
      </c>
      <c r="J34" s="1535">
        <v>3679</v>
      </c>
      <c r="K34" s="1535">
        <v>3679</v>
      </c>
      <c r="L34" s="1707">
        <v>23116</v>
      </c>
      <c r="M34" s="1707">
        <v>23116</v>
      </c>
      <c r="N34" s="2609">
        <v>0</v>
      </c>
    </row>
    <row r="35" spans="3:14" ht="13">
      <c r="C35" s="2604" t="s">
        <v>834</v>
      </c>
      <c r="D35" s="1705" t="s">
        <v>420</v>
      </c>
      <c r="E35" s="1535">
        <v>2800</v>
      </c>
      <c r="F35" s="1535">
        <v>2800</v>
      </c>
      <c r="G35" s="1535">
        <v>2800</v>
      </c>
      <c r="H35" s="1535">
        <v>2800</v>
      </c>
      <c r="I35" s="2930">
        <v>2325</v>
      </c>
      <c r="J35" s="1535">
        <v>3679</v>
      </c>
      <c r="K35" s="1535">
        <v>3679</v>
      </c>
      <c r="L35" s="1707">
        <v>20883</v>
      </c>
      <c r="M35" s="1707">
        <v>21036.35</v>
      </c>
      <c r="N35" s="2609">
        <v>-0.72897627202436999</v>
      </c>
    </row>
    <row r="36" spans="3:14" ht="13">
      <c r="C36" s="2604" t="s">
        <v>835</v>
      </c>
      <c r="D36" s="1705" t="s">
        <v>28</v>
      </c>
      <c r="E36" s="1535">
        <v>768.68273661461615</v>
      </c>
      <c r="F36" s="1535">
        <v>770.775463440978</v>
      </c>
      <c r="G36" s="1535">
        <v>780.62945482583552</v>
      </c>
      <c r="H36" s="1535">
        <v>758.1152525874287</v>
      </c>
      <c r="I36" s="1535">
        <v>471.66599191227414</v>
      </c>
      <c r="J36" s="1535">
        <v>1155.598313277349</v>
      </c>
      <c r="K36" s="1535">
        <v>1153.473251308028</v>
      </c>
      <c r="L36" s="1707">
        <v>5858.940463966509</v>
      </c>
      <c r="M36" s="1707">
        <v>5858.940463966509</v>
      </c>
      <c r="N36" s="2609">
        <v>0</v>
      </c>
    </row>
    <row r="37" spans="3:14" ht="13">
      <c r="C37" s="2604" t="s">
        <v>836</v>
      </c>
      <c r="D37" s="1705" t="s">
        <v>28</v>
      </c>
      <c r="E37" s="1535">
        <v>3263.549308656924</v>
      </c>
      <c r="F37" s="1535">
        <v>3466.9073004911274</v>
      </c>
      <c r="G37" s="1535">
        <v>3631.4371631556369</v>
      </c>
      <c r="H37" s="1535">
        <v>3728.6241909061573</v>
      </c>
      <c r="I37" s="1535">
        <v>3886.3625223080762</v>
      </c>
      <c r="J37" s="1535">
        <v>3729.0774469094622</v>
      </c>
      <c r="K37" s="1535">
        <v>3593.9448175996231</v>
      </c>
      <c r="L37" s="1707">
        <v>3593.9448175996231</v>
      </c>
      <c r="M37" s="1707">
        <v>3416.4762065215309</v>
      </c>
      <c r="N37" s="2609">
        <v>5.1944928151213734</v>
      </c>
    </row>
    <row r="38" spans="3:14" ht="13">
      <c r="C38" s="2604" t="s">
        <v>1417</v>
      </c>
      <c r="D38" s="1705" t="s">
        <v>420</v>
      </c>
      <c r="E38" s="1535">
        <v>3263.549308656924</v>
      </c>
      <c r="F38" s="1535">
        <v>3466.9073004911274</v>
      </c>
      <c r="G38" s="1535">
        <v>3631.4371631556369</v>
      </c>
      <c r="H38" s="1535">
        <v>3728.6241909061573</v>
      </c>
      <c r="I38" s="1535">
        <v>3886.3625223080762</v>
      </c>
      <c r="J38" s="1535">
        <v>3729.0774469094622</v>
      </c>
      <c r="K38" s="1535">
        <v>3593.9448175996231</v>
      </c>
      <c r="L38" s="1707">
        <v>3593.9448175996231</v>
      </c>
      <c r="M38" s="1707">
        <v>3416.4762065215309</v>
      </c>
      <c r="N38" s="2609">
        <v>5.1944928151213734</v>
      </c>
    </row>
    <row r="39" spans="3:14" ht="13">
      <c r="C39" s="2604" t="s">
        <v>62</v>
      </c>
      <c r="D39" s="1705" t="s">
        <v>28</v>
      </c>
      <c r="E39" s="1535">
        <v>741.31763119113589</v>
      </c>
      <c r="F39" s="1535">
        <v>743.33585694247927</v>
      </c>
      <c r="G39" s="1535">
        <v>752.83904623403578</v>
      </c>
      <c r="H39" s="1535">
        <v>731.12634959531624</v>
      </c>
      <c r="I39" s="1535">
        <v>630.29568634445002</v>
      </c>
      <c r="J39" s="1535">
        <v>1005.1181501402999</v>
      </c>
      <c r="K39" s="1535">
        <v>1003.2698103400456</v>
      </c>
      <c r="L39" s="1707">
        <v>5607.3025307877624</v>
      </c>
      <c r="M39" s="1707">
        <v>5650.3621834493015</v>
      </c>
      <c r="N39" s="2609">
        <v>-0.7620688951173219</v>
      </c>
    </row>
    <row r="40" spans="3:14" ht="13.5" thickBot="1">
      <c r="C40" s="2606" t="s">
        <v>841</v>
      </c>
      <c r="D40" s="2607" t="s">
        <v>95</v>
      </c>
      <c r="E40" s="2608">
        <v>1185.512366594322</v>
      </c>
      <c r="F40" s="2608">
        <v>1493.0453089961459</v>
      </c>
      <c r="G40" s="2608">
        <v>1168.6605095091222</v>
      </c>
      <c r="H40" s="2608">
        <v>1025.2969717217657</v>
      </c>
      <c r="I40" s="2608">
        <v>895.71923815009995</v>
      </c>
      <c r="J40" s="2608">
        <v>1189.523679256924</v>
      </c>
      <c r="K40" s="2784">
        <v>1858.7914934929036</v>
      </c>
      <c r="L40" s="1712">
        <v>1258.7841792774109</v>
      </c>
      <c r="M40" s="1712">
        <v>1473.4758932958075</v>
      </c>
      <c r="N40" s="2610">
        <v>-14.570425956422229</v>
      </c>
    </row>
    <row r="41" spans="3:14">
      <c r="E41" s="156"/>
      <c r="F41" s="555"/>
      <c r="G41" s="331"/>
    </row>
    <row r="42" spans="3:14">
      <c r="E42" s="156"/>
      <c r="F42" s="555"/>
      <c r="G42" s="331"/>
    </row>
  </sheetData>
  <conditionalFormatting sqref="N6:N40">
    <cfRule type="iconSet" priority="388">
      <iconSet>
        <cfvo type="percent" val="0"/>
        <cfvo type="num" val="-3"/>
        <cfvo type="num" val="0"/>
      </iconSet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4">
    <tabColor indexed="61"/>
  </sheetPr>
  <dimension ref="A1:AC69"/>
  <sheetViews>
    <sheetView zoomScale="70" zoomScaleNormal="70" workbookViewId="0">
      <selection activeCell="W34" sqref="W34"/>
    </sheetView>
  </sheetViews>
  <sheetFormatPr baseColWidth="10" defaultColWidth="13" defaultRowHeight="15.5"/>
  <cols>
    <col min="1" max="1" width="10.54296875" style="426" customWidth="1"/>
    <col min="2" max="2" width="7.453125" style="426" customWidth="1"/>
    <col min="3" max="3" width="41.453125" style="426" customWidth="1"/>
    <col min="4" max="4" width="8.54296875" style="73" customWidth="1"/>
    <col min="5" max="5" width="2" style="426" customWidth="1"/>
    <col min="6" max="7" width="12.54296875" style="73" customWidth="1"/>
    <col min="8" max="8" width="12.453125" style="73" customWidth="1"/>
    <col min="9" max="17" width="12.54296875" style="73" customWidth="1"/>
    <col min="18" max="18" width="1.453125" style="73" customWidth="1"/>
    <col min="19" max="19" width="16" style="73" customWidth="1"/>
    <col min="20" max="20" width="2.453125" style="73" customWidth="1"/>
    <col min="21" max="22" width="13.453125" style="73" bestFit="1" customWidth="1"/>
    <col min="23" max="23" width="30" style="426" customWidth="1"/>
    <col min="24" max="24" width="31.54296875" style="426" customWidth="1"/>
    <col min="25" max="25" width="33.453125" style="426" bestFit="1" customWidth="1"/>
    <col min="26" max="26" width="16.54296875" style="426" bestFit="1" customWidth="1"/>
    <col min="27" max="29" width="13" style="426"/>
    <col min="30" max="16384" width="13" style="220"/>
  </cols>
  <sheetData>
    <row r="1" spans="2:29">
      <c r="C1" s="562"/>
      <c r="D1" s="604"/>
      <c r="E1" s="563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</row>
    <row r="2" spans="2:29" ht="16" thickBot="1">
      <c r="C2" s="563"/>
      <c r="D2" s="604"/>
      <c r="E2" s="563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</row>
    <row r="3" spans="2:29" ht="33" customHeight="1" thickBot="1">
      <c r="C3" s="560"/>
      <c r="D3" s="610"/>
      <c r="E3" s="561"/>
      <c r="F3" s="610"/>
      <c r="G3" s="610"/>
      <c r="H3" s="610"/>
      <c r="I3" s="561" t="str">
        <f>'R+RP+B'!I3</f>
        <v>PROGRAMA DE PRODUCCIÓN 2026</v>
      </c>
      <c r="J3" s="610"/>
      <c r="K3" s="610"/>
      <c r="L3" s="610"/>
      <c r="M3" s="610"/>
      <c r="N3" s="610"/>
      <c r="O3" s="610"/>
      <c r="P3" s="610"/>
      <c r="Q3" s="610"/>
      <c r="R3" s="610"/>
      <c r="S3" s="611"/>
    </row>
    <row r="4" spans="2:29" ht="15.75" customHeight="1">
      <c r="C4" s="4798"/>
      <c r="D4" s="4800" t="s">
        <v>159</v>
      </c>
      <c r="E4" s="119"/>
      <c r="F4" s="232">
        <f>'R+RP+B'!F4</f>
        <v>46023</v>
      </c>
      <c r="G4" s="232">
        <f>'R+RP+B'!G4</f>
        <v>46054</v>
      </c>
      <c r="H4" s="232">
        <f>'R+RP+B'!H4</f>
        <v>46082</v>
      </c>
      <c r="I4" s="232">
        <f>'R+RP+B'!I4</f>
        <v>46113</v>
      </c>
      <c r="J4" s="232">
        <f>'R+RP+B'!J4</f>
        <v>46143</v>
      </c>
      <c r="K4" s="232">
        <f>'R+RP+B'!K4</f>
        <v>46174</v>
      </c>
      <c r="L4" s="232">
        <f>'R+RP+B'!L4</f>
        <v>46204</v>
      </c>
      <c r="M4" s="232">
        <f>'R+RP+B'!M4</f>
        <v>46235</v>
      </c>
      <c r="N4" s="232">
        <f>'R+RP+B'!N4</f>
        <v>46266</v>
      </c>
      <c r="O4" s="232">
        <f>'R+RP+B'!O4</f>
        <v>46296</v>
      </c>
      <c r="P4" s="232">
        <f>'R+RP+B'!P4</f>
        <v>46327</v>
      </c>
      <c r="Q4" s="232">
        <f>'R+RP+B'!Q4</f>
        <v>46357</v>
      </c>
      <c r="R4" s="612"/>
      <c r="S4" s="4796" t="s">
        <v>192</v>
      </c>
      <c r="U4" s="566" t="s">
        <v>193</v>
      </c>
      <c r="V4" s="566" t="s">
        <v>193</v>
      </c>
    </row>
    <row r="5" spans="2:29" ht="18" customHeight="1" thickBot="1">
      <c r="C5" s="4799"/>
      <c r="D5" s="4801"/>
      <c r="E5" s="120"/>
      <c r="F5" s="233" t="str">
        <f>IF('R+RP+B'!F5="Real","Real",IF('R+RP+B'!F5="Bdgt","Bdgt","R+ST"))</f>
        <v>Real</v>
      </c>
      <c r="G5" s="233" t="str">
        <f>IF('R+RP+B'!G5="Real","Real",IF('R+RP+B'!G5="Bdgt","Bdgt","R+ST"))</f>
        <v>Real</v>
      </c>
      <c r="H5" s="233" t="str">
        <f>IF('R+RP+B'!H5="Real","Real",IF('R+RP+B'!H5="Bdgt","Bdgt","R+ST"))</f>
        <v>R+ST</v>
      </c>
      <c r="I5" s="233" t="str">
        <f>IF('R+RP+B'!I5="Real","Real",IF('R+RP+B'!I5="Bdgt","Bdgt","R+ST"))</f>
        <v>Bdgt</v>
      </c>
      <c r="J5" s="233" t="str">
        <f>IF('R+RP+B'!J5="Real","Real",IF('R+RP+B'!J5="Bdgt","Bdgt","R+ST"))</f>
        <v>Bdgt</v>
      </c>
      <c r="K5" s="233" t="str">
        <f>IF('R+RP+B'!K5="Real","Real",IF('R+RP+B'!K5="Bdgt","Bdgt","R+ST"))</f>
        <v>Bdgt</v>
      </c>
      <c r="L5" s="233" t="str">
        <f>IF('R+RP+B'!L5="Real","Real",IF('R+RP+B'!L5="Bdgt","Bdgt","R+ST"))</f>
        <v>Bdgt</v>
      </c>
      <c r="M5" s="233" t="str">
        <f>IF('R+RP+B'!M5="Real","Real",IF('R+RP+B'!M5="Bdgt","Bdgt","R+ST"))</f>
        <v>Bdgt</v>
      </c>
      <c r="N5" s="233" t="str">
        <f>IF('R+RP+B'!N5="Real","Real",IF('R+RP+B'!N5="Bdgt","Bdgt","R+ST"))</f>
        <v>Bdgt</v>
      </c>
      <c r="O5" s="233" t="str">
        <f>IF('R+RP+B'!O5="Real","Real",IF('R+RP+B'!O5="Bdgt","Bdgt","R+ST"))</f>
        <v>Bdgt</v>
      </c>
      <c r="P5" s="233" t="str">
        <f>IF('R+RP+B'!P5="Real","Real",IF('R+RP+B'!P5="Bdgt","Bdgt","R+ST"))</f>
        <v>Bdgt</v>
      </c>
      <c r="Q5" s="233" t="str">
        <f>IF('R+RP+B'!Q5="Real","Real",IF('R+RP+B'!Q5="Bdgt","Bdgt","R+ST"))</f>
        <v>Bdgt</v>
      </c>
      <c r="R5" s="613"/>
      <c r="S5" s="4797"/>
      <c r="U5" s="566" t="s">
        <v>194</v>
      </c>
      <c r="V5" s="566" t="s">
        <v>195</v>
      </c>
    </row>
    <row r="6" spans="2:29" ht="30" customHeight="1">
      <c r="C6" s="523" t="str">
        <f>'R+RP+B'!C6</f>
        <v>Dia</v>
      </c>
      <c r="D6" s="702"/>
      <c r="F6" s="1746">
        <f>'R+RP+B'!F6</f>
        <v>30.5</v>
      </c>
      <c r="G6" s="1735">
        <f>'R+RP+B'!G6</f>
        <v>28.5</v>
      </c>
      <c r="H6" s="1735">
        <f>'R+RP+B'!H6</f>
        <v>31</v>
      </c>
      <c r="I6" s="1735">
        <f>'R+RP+B'!I6</f>
        <v>30</v>
      </c>
      <c r="J6" s="1735">
        <f>'R+RP+B'!J6</f>
        <v>31</v>
      </c>
      <c r="K6" s="1735">
        <f>'R+RP+B'!K6</f>
        <v>30</v>
      </c>
      <c r="L6" s="1735">
        <f>'R+RP+B'!L6</f>
        <v>31</v>
      </c>
      <c r="M6" s="1735">
        <f>'R+RP+B'!M6</f>
        <v>31</v>
      </c>
      <c r="N6" s="1735">
        <f>'R+RP+B'!N6</f>
        <v>30</v>
      </c>
      <c r="O6" s="1735">
        <v>31</v>
      </c>
      <c r="P6" s="1735">
        <f>'R+RP+B'!P6</f>
        <v>30</v>
      </c>
      <c r="Q6" s="1735">
        <f>'R+RP+B'!Q6</f>
        <v>31.5</v>
      </c>
      <c r="R6" s="86"/>
      <c r="S6" s="105">
        <f>SUM(F6:Q6)</f>
        <v>365.5</v>
      </c>
      <c r="T6" s="86"/>
      <c r="U6" s="222">
        <f>IF(MONTH(Factores!$D$2)=1,SUM($F6:F6),IF(MONTH(Factores!$D$2)=2,SUM($F6:G6),IF(MONTH(Factores!$D$2)=3,SUM($F6:H6),IF(MONTH(Factores!$D$2)=4,SUM($F6:I6),IF(MONTH(Factores!$D$2)=5,SUM($F6:J6),IF(MONTH(Factores!$D$2)=6,SUM($F6:K6),IF(MONTH(Factores!$D$2)=7,SUM($F6:L6),IF(MONTH(Factores!$D$2)=8,SUM($F6:M6),IF(MONTH(Factores!$D$2)=9,SUM($F6:N6),IF(MONTH(Factores!$D$2)=10,SUM($F6:O6),IF(MONTH(Factores!$D$2)=11,SUM($F6:P6),IF(MONTH(Factores!$D$2)=12,SUM($F6:Q6)))))))))))))</f>
        <v>90</v>
      </c>
      <c r="V6" s="222">
        <f>IF(MONTH(Factores!$D$2)=1,SUM($F6:F6),IF(MONTH(Factores!$D$2)=2,SUM($F6:F6),IF(MONTH(Factores!$D$2)=3,SUM($F6:G6),IF(MONTH(Factores!$D$2)=4,SUM($F6:H6),IF(MONTH(Factores!$D$2)=5,SUM($F6:I6),IF(MONTH(Factores!$D$2)=6,SUM($F6:J6),IF(MONTH(Factores!$D$2)=7,SUM($F6:K6),IF(MONTH(Factores!$D$2)=8,SUM($F6:L6),IF(MONTH(Factores!$D$2)=9,SUM($F6:M6),IF(MONTH(Factores!$D$2)=10,SUM($F6:N6),IF(MONTH(Factores!$D$2)=11,SUM($F6:O6),IF(MONTH(Factores!$D$2)=12,SUM($F6:P6)))))))))))))</f>
        <v>59</v>
      </c>
    </row>
    <row r="7" spans="2:29" ht="30" customHeight="1">
      <c r="C7" s="71" t="e">
        <f>'R+RP+B'!#REF!</f>
        <v>#REF!</v>
      </c>
      <c r="D7" s="72" t="s">
        <v>198</v>
      </c>
      <c r="E7" s="567"/>
      <c r="F7" s="1747"/>
      <c r="G7" s="1736"/>
      <c r="H7" s="1736"/>
      <c r="I7" s="1736"/>
      <c r="J7" s="1736"/>
      <c r="K7" s="1736"/>
      <c r="L7" s="1736"/>
      <c r="M7" s="1736"/>
      <c r="N7" s="1736"/>
      <c r="O7" s="1736"/>
      <c r="P7" s="1736"/>
      <c r="Q7" s="1736"/>
      <c r="S7" s="527"/>
      <c r="U7" s="74"/>
      <c r="V7" s="74"/>
    </row>
    <row r="8" spans="2:29" ht="30" customHeight="1" thickBot="1">
      <c r="C8" s="75" t="e">
        <f>'R+RP+B'!#REF!</f>
        <v>#REF!</v>
      </c>
      <c r="D8" s="76" t="s">
        <v>198</v>
      </c>
      <c r="E8" s="567"/>
      <c r="F8" s="1747"/>
      <c r="G8" s="1736"/>
      <c r="H8" s="1736"/>
      <c r="I8" s="1736"/>
      <c r="J8" s="1736"/>
      <c r="K8" s="1736"/>
      <c r="L8" s="1736"/>
      <c r="M8" s="1736"/>
      <c r="N8" s="1736"/>
      <c r="O8" s="1736"/>
      <c r="P8" s="1736"/>
      <c r="Q8" s="1736"/>
      <c r="S8" s="527"/>
      <c r="U8" s="74"/>
      <c r="V8" s="74"/>
    </row>
    <row r="9" spans="2:29" ht="30" customHeight="1" thickBot="1">
      <c r="C9" s="71" t="e">
        <f>'R+RP+B'!#REF!</f>
        <v>#REF!</v>
      </c>
      <c r="D9" s="76" t="s">
        <v>198</v>
      </c>
      <c r="E9" s="566"/>
      <c r="F9" s="1747"/>
      <c r="G9" s="1736"/>
      <c r="H9" s="1736"/>
      <c r="I9" s="1736"/>
      <c r="J9" s="1736"/>
      <c r="K9" s="1736"/>
      <c r="L9" s="1736"/>
      <c r="M9" s="1736"/>
      <c r="N9" s="1736"/>
      <c r="O9" s="1736"/>
      <c r="P9" s="1736"/>
      <c r="Q9" s="1736"/>
      <c r="S9" s="527"/>
      <c r="U9" s="74"/>
      <c r="V9" s="74"/>
      <c r="X9" s="4802" t="s">
        <v>999</v>
      </c>
      <c r="Y9" s="4803"/>
      <c r="Z9" s="4803"/>
      <c r="AA9" s="4803"/>
      <c r="AB9" s="4803"/>
      <c r="AC9" s="4804"/>
    </row>
    <row r="10" spans="2:29" ht="30" customHeight="1">
      <c r="C10" s="71" t="e">
        <f>'R+RP+B'!#REF!</f>
        <v>#REF!</v>
      </c>
      <c r="D10" s="76" t="s">
        <v>198</v>
      </c>
      <c r="E10" s="566"/>
      <c r="F10" s="1747"/>
      <c r="G10" s="1736"/>
      <c r="H10" s="1736"/>
      <c r="I10" s="1736"/>
      <c r="J10" s="1736"/>
      <c r="K10" s="1736"/>
      <c r="L10" s="1736"/>
      <c r="M10" s="1736"/>
      <c r="N10" s="1736"/>
      <c r="O10" s="1736"/>
      <c r="P10" s="1736"/>
      <c r="Q10" s="1736"/>
      <c r="S10" s="527"/>
      <c r="U10" s="74"/>
      <c r="V10" s="74"/>
      <c r="X10" s="532" t="s">
        <v>1000</v>
      </c>
      <c r="AC10" s="605"/>
    </row>
    <row r="11" spans="2:29" ht="30" customHeight="1">
      <c r="C11" s="71" t="e">
        <f>'R+RP+B'!#REF!</f>
        <v>#REF!</v>
      </c>
      <c r="D11" s="76" t="s">
        <v>198</v>
      </c>
      <c r="E11" s="567"/>
      <c r="F11" s="1748" t="e">
        <f>IF(Factores!$D$3&gt;=EOMONTH('R+RS+B'!F4,0),'R+RP+B'!#REF!,IF(F5="R+ST",'Real+S.T.'!$CP$48,IF(F5="Bdgt",BDGT!#REF!,"")))</f>
        <v>#REF!</v>
      </c>
      <c r="G11" s="1737" t="e">
        <f>IF(Factores!$D$3&gt;=EOMONTH('R+RS+B'!G4,0),'R+RP+B'!#REF!,IF(G5="R+ST",'Real+S.T.'!$CP$48,IF(G5="Bdgt",BDGT!#REF!,"")))</f>
        <v>#REF!</v>
      </c>
      <c r="H11" s="1737" t="e">
        <f>IF(Factores!$D$3&gt;=EOMONTH('R+RS+B'!H4,0),'R+RP+B'!#REF!,IF(H5="R+ST",'Real+S.T.'!$CP$48,IF(H5="Bdgt",BDGT!#REF!,"")))</f>
        <v>#REF!</v>
      </c>
      <c r="I11" s="1737" t="e">
        <f>IF(Factores!$D$3&gt;=EOMONTH('R+RS+B'!I4,0),'R+RP+B'!#REF!,IF(I5="R+ST",'Real+S.T.'!$CP$48,IF(I5="Bdgt",BDGT!#REF!,"")))</f>
        <v>#REF!</v>
      </c>
      <c r="J11" s="1737" t="e">
        <f>IF(Factores!$D$3&gt;=EOMONTH('R+RS+B'!J4,0),'R+RP+B'!#REF!,IF(J5="R+ST",'Real+S.T.'!$CP$48,IF(J5="Bdgt",BDGT!#REF!,"")))</f>
        <v>#REF!</v>
      </c>
      <c r="K11" s="1737" t="e">
        <f>IF(Factores!$D$3&gt;=EOMONTH('R+RS+B'!K4,0),'R+RP+B'!#REF!,IF(K5="R+ST",'Real+S.T.'!$CP$48,IF(K5="Bdgt",BDGT!#REF!,"")))</f>
        <v>#REF!</v>
      </c>
      <c r="L11" s="1737" t="e">
        <f>IF(Factores!$D$3&gt;=EOMONTH('R+RS+B'!L4,0),'R+RP+B'!#REF!,IF(L5="R+ST",'Real+S.T.'!$CP$48,IF(L5="Bdgt",BDGT!#REF!,"")))</f>
        <v>#REF!</v>
      </c>
      <c r="M11" s="1737" t="e">
        <f>IF(Factores!$D$3&gt;=EOMONTH('R+RS+B'!M4,0),'R+RP+B'!#REF!,IF(M5="R+ST",'Real+S.T.'!$CP$48,IF(M5="Bdgt",BDGT!#REF!,"")))</f>
        <v>#REF!</v>
      </c>
      <c r="N11" s="1737" t="e">
        <f>IF(Factores!$D$3&gt;=EOMONTH('R+RS+B'!N4,0),'R+RP+B'!#REF!,IF(N5="R+ST",'Real+S.T.'!$CP$48,IF(N5="Bdgt",BDGT!#REF!,"")))</f>
        <v>#REF!</v>
      </c>
      <c r="O11" s="1737" t="e">
        <f>IF(Factores!$D$3&gt;=EOMONTH('R+RS+B'!O4,0),'R+RP+B'!#REF!,IF(O5="R+ST",'Real+S.T.'!$CP$48,IF(O5="Bdgt",BDGT!#REF!,"")))</f>
        <v>#REF!</v>
      </c>
      <c r="P11" s="1737" t="e">
        <f>IF(Factores!$D$3&gt;=EOMONTH('R+RS+B'!P4,0),'R+RP+B'!#REF!,IF(P5="R+ST",'Real+S.T.'!$CP$48,IF(P5="Bdgt",BDGT!#REF!,"")))</f>
        <v>#REF!</v>
      </c>
      <c r="Q11" s="1737" t="e">
        <f>IF(Factores!$D$3&gt;=EOMONTH('R+RS+B'!Q4,0),'R+RP+B'!#REF!,IF(Q5="R+ST",'Real+S.T.'!$CP$48,IF(Q5="Bdgt",BDGT!#REF!,"")))</f>
        <v>#REF!</v>
      </c>
      <c r="R11" s="614"/>
      <c r="S11" s="615" t="e">
        <f>SUM(F11:Q11)</f>
        <v>#REF!</v>
      </c>
      <c r="T11" s="614"/>
      <c r="U11" s="616" t="e">
        <f>IF(MONTH(Factores!$D$2)=1,SUM($F11:F11),IF(MONTH(Factores!$D$2)=2,SUM($F11:G11),IF(MONTH(Factores!$D$2)=3,SUM($F11:H11),IF(MONTH(Factores!$D$2)=4,SUM($F11:I11),IF(MONTH(Factores!$D$2)=5,SUM($F11:J11),IF(MONTH(Factores!$D$2)=6,SUM($F11:K11),IF(MONTH(Factores!$D$2)=7,SUM($F11:L11),IF(MONTH(Factores!$D$2)=8,SUM($F11:M11),IF(MONTH(Factores!$D$2)=9,SUM($F11:N11),IF(MONTH(Factores!$D$2)=10,SUM($F11:O11),IF(MONTH(Factores!$D$2)=11,SUM($F11:P11),IF(MONTH(Factores!$D$2)=12,SUM($F11:Q11)))))))))))))</f>
        <v>#REF!</v>
      </c>
      <c r="V11" s="616" t="e">
        <f>IF(MONTH(Factores!$D$2)=1,SUM($F11:F11),IF(MONTH(Factores!$D$2)=2,SUM($F11:F11),IF(MONTH(Factores!$D$2)=3,SUM($F11:G11),IF(MONTH(Factores!$D$2)=4,SUM($F11:H11),IF(MONTH(Factores!$D$2)=5,SUM($F11:I11),IF(MONTH(Factores!$D$2)=6,SUM($F11:J11),IF(MONTH(Factores!$D$2)=7,SUM($F11:K11),IF(MONTH(Factores!$D$2)=8,SUM($F11:L11),IF(MONTH(Factores!$D$2)=9,SUM($F11:M11),IF(MONTH(Factores!$D$2)=10,SUM($F11:N11),IF(MONTH(Factores!$D$2)=11,SUM($F11:O11),IF(MONTH(Factores!$D$2)=12,SUM($F11:P11)))))))))))))</f>
        <v>#REF!</v>
      </c>
      <c r="X11" s="532" t="s">
        <v>1001</v>
      </c>
      <c r="AC11" s="605"/>
    </row>
    <row r="12" spans="2:29">
      <c r="F12" s="1749"/>
      <c r="G12" s="1738"/>
      <c r="H12" s="1738"/>
      <c r="I12" s="1738"/>
      <c r="J12" s="1738"/>
      <c r="K12" s="1738"/>
      <c r="L12" s="1738"/>
      <c r="M12" s="1738"/>
      <c r="N12" s="1738"/>
      <c r="O12" s="1738"/>
      <c r="P12" s="1738"/>
      <c r="Q12" s="1738"/>
      <c r="S12" s="145"/>
      <c r="X12" s="606"/>
      <c r="AC12" s="605"/>
    </row>
    <row r="13" spans="2:29" s="426" customFormat="1" ht="30" customHeight="1">
      <c r="B13" s="607"/>
      <c r="C13" s="78" t="s">
        <v>203</v>
      </c>
      <c r="D13" s="79" t="s">
        <v>204</v>
      </c>
      <c r="E13" s="80"/>
      <c r="F13" s="1750">
        <f>F15+F17*$D$55</f>
        <v>20.773837341654339</v>
      </c>
      <c r="G13" s="1739">
        <f>G15+G17*$D$55</f>
        <v>25.154047005162397</v>
      </c>
      <c r="H13" s="1739">
        <f t="shared" ref="H13:Q13" si="0">H15+H17*$D$55</f>
        <v>30.218184921465301</v>
      </c>
      <c r="I13" s="1739">
        <f t="shared" si="0"/>
        <v>23.56262023204901</v>
      </c>
      <c r="J13" s="1739">
        <f t="shared" si="0"/>
        <v>35.265964413926802</v>
      </c>
      <c r="K13" s="1739">
        <f>K15+K17*$D$55</f>
        <v>33.416693818410323</v>
      </c>
      <c r="L13" s="1739">
        <f>L15+L17*$D$55</f>
        <v>29.990935312170858</v>
      </c>
      <c r="M13" s="1739">
        <f t="shared" si="0"/>
        <v>32.432106433833916</v>
      </c>
      <c r="N13" s="1739">
        <f>N15+N17*$D$55</f>
        <v>36.443281429046962</v>
      </c>
      <c r="O13" s="1739">
        <f>O15+O17*$D$55</f>
        <v>37.070438705642516</v>
      </c>
      <c r="P13" s="1739">
        <f>P15+P17*$D$55</f>
        <v>34.324769483112718</v>
      </c>
      <c r="Q13" s="1739">
        <f t="shared" si="0"/>
        <v>39.754362508380076</v>
      </c>
      <c r="R13" s="429"/>
      <c r="S13" s="112">
        <f t="shared" ref="S13:S18" si="1">SUM(F13:Q13)</f>
        <v>378.40724160485524</v>
      </c>
      <c r="T13" s="429"/>
      <c r="U13" s="416">
        <f>IF(MONTH(Factores!$D$2)=1,SUM($F13:F13),IF(MONTH(Factores!$D$2)=2,SUM($F13:G13),IF(MONTH(Factores!$D$2)=3,SUM($F13:H13),IF(MONTH(Factores!$D$2)=4,SUM($F13:I13),IF(MONTH(Factores!$D$2)=5,SUM($F13:J13),IF(MONTH(Factores!$D$2)=6,SUM($F13:K13),IF(MONTH(Factores!$D$2)=7,SUM($F13:L13),IF(MONTH(Factores!$D$2)=8,SUM($F13:M13),IF(MONTH(Factores!$D$2)=9,SUM($F13:N13),IF(MONTH(Factores!$D$2)=10,SUM($F13:O13),IF(MONTH(Factores!$D$2)=11,SUM($F13:P13),IF(MONTH(Factores!$D$2)=12,SUM($F13:Q13)))))))))))))</f>
        <v>76.146069268282048</v>
      </c>
      <c r="V13" s="416">
        <f>IF(MONTH(Factores!$D$2)=1,SUM($F13:F13),IF(MONTH(Factores!$D$2)=2,SUM($F13:F13),IF(MONTH(Factores!$D$2)=3,SUM($F13:G13),IF(MONTH(Factores!$D$2)=4,SUM($F13:H13),IF(MONTH(Factores!$D$2)=5,SUM($F13:I13),IF(MONTH(Factores!$D$2)=6,SUM($F13:J13),IF(MONTH(Factores!$D$2)=7,SUM($F13:K13),IF(MONTH(Factores!$D$2)=8,SUM($F13:L13),IF(MONTH(Factores!$D$2)=9,SUM($F13:M13),IF(MONTH(Factores!$D$2)=10,SUM($F13:N13),IF(MONTH(Factores!$D$2)=11,SUM($F13:O13),IF(MONTH(Factores!$D$2)=12,SUM($F13:P13)))))))))))))</f>
        <v>45.927884346816739</v>
      </c>
      <c r="W13" s="569"/>
      <c r="X13" s="149" t="s">
        <v>1002</v>
      </c>
      <c r="Y13" s="150" t="s">
        <v>1003</v>
      </c>
      <c r="Z13" s="150" t="s">
        <v>1004</v>
      </c>
      <c r="AC13" s="605"/>
    </row>
    <row r="14" spans="2:29" s="426" customFormat="1" ht="30" customHeight="1">
      <c r="B14" s="607"/>
      <c r="C14" s="78" t="s">
        <v>205</v>
      </c>
      <c r="D14" s="79" t="s">
        <v>204</v>
      </c>
      <c r="E14" s="80"/>
      <c r="F14" s="1750">
        <f>F16+F18*$D$55</f>
        <v>19.676322315467434</v>
      </c>
      <c r="G14" s="1739">
        <f t="shared" ref="G14:Q14" si="2">G16+G18*$D$55</f>
        <v>23.430045488244851</v>
      </c>
      <c r="H14" s="1739">
        <f t="shared" si="2"/>
        <v>30.599952946174067</v>
      </c>
      <c r="I14" s="1739">
        <f t="shared" si="2"/>
        <v>22.714478458180967</v>
      </c>
      <c r="J14" s="1739">
        <f t="shared" si="2"/>
        <v>34.051394486257948</v>
      </c>
      <c r="K14" s="1739">
        <f t="shared" si="2"/>
        <v>32.216161278431272</v>
      </c>
      <c r="L14" s="1739">
        <f t="shared" si="2"/>
        <v>28.920679355825257</v>
      </c>
      <c r="M14" s="1739">
        <f t="shared" si="2"/>
        <v>31.279528018005404</v>
      </c>
      <c r="N14" s="1739">
        <f t="shared" si="2"/>
        <v>35.158469477357357</v>
      </c>
      <c r="O14" s="1739">
        <f>O16+O18*$D$55</f>
        <v>35.749273465983627</v>
      </c>
      <c r="P14" s="1739">
        <f>P16+P18*$D$55</f>
        <v>33.079122720040502</v>
      </c>
      <c r="Q14" s="1739">
        <f t="shared" si="2"/>
        <v>38.326734332316668</v>
      </c>
      <c r="R14" s="429"/>
      <c r="S14" s="112">
        <f t="shared" si="1"/>
        <v>365.20216234228536</v>
      </c>
      <c r="T14" s="429"/>
      <c r="U14" s="416">
        <f>IF(MONTH(Factores!$D$2)=1,SUM($F14:F14),IF(MONTH(Factores!$D$2)=2,SUM($F14:G14),IF(MONTH(Factores!$D$2)=3,SUM($F14:H14),IF(MONTH(Factores!$D$2)=4,SUM($F14:I14),IF(MONTH(Factores!$D$2)=5,SUM($F14:J14),IF(MONTH(Factores!$D$2)=6,SUM($F14:K14),IF(MONTH(Factores!$D$2)=7,SUM($F14:L14),IF(MONTH(Factores!$D$2)=8,SUM($F14:M14),IF(MONTH(Factores!$D$2)=9,SUM($F14:N14),IF(MONTH(Factores!$D$2)=10,SUM($F14:O14),IF(MONTH(Factores!$D$2)=11,SUM($F14:P14),IF(MONTH(Factores!$D$2)=12,SUM($F14:Q14)))))))))))))</f>
        <v>73.706320749886359</v>
      </c>
      <c r="V14" s="416">
        <f>IF(MONTH(Factores!$D$2)=1,SUM($F14:F14),IF(MONTH(Factores!$D$2)=2,SUM($F14:F14),IF(MONTH(Factores!$D$2)=3,SUM($F14:G14),IF(MONTH(Factores!$D$2)=4,SUM($F14:H14),IF(MONTH(Factores!$D$2)=5,SUM($F14:I14),IF(MONTH(Factores!$D$2)=6,SUM($F14:J14),IF(MONTH(Factores!$D$2)=7,SUM($F14:K14),IF(MONTH(Factores!$D$2)=8,SUM($F14:L14),IF(MONTH(Factores!$D$2)=9,SUM($F14:M14),IF(MONTH(Factores!$D$2)=10,SUM($F14:N14),IF(MONTH(Factores!$D$2)=11,SUM($F14:O14),IF(MONTH(Factores!$D$2)=12,SUM($F14:P14)))))))))))))</f>
        <v>43.106367803712288</v>
      </c>
      <c r="W14" s="569"/>
      <c r="X14" s="149"/>
      <c r="Y14" s="150"/>
      <c r="Z14" s="150"/>
      <c r="AC14" s="605"/>
    </row>
    <row r="15" spans="2:29" s="426" customFormat="1" ht="30" customHeight="1">
      <c r="B15" s="607"/>
      <c r="C15" s="78" t="s">
        <v>206</v>
      </c>
      <c r="D15" s="79" t="s">
        <v>204</v>
      </c>
      <c r="E15" s="80"/>
      <c r="F15" s="1750">
        <f>IF(Factores!$D$3&gt;=EOMONTH('R+RS+B'!F4,0),'R+RP+B'!F10,IF(F5="R+ST",'Real+S.T.'!$O$48/1000,IF(F5="Bdgt",BDGT!E8,"")))</f>
        <v>18.9589961662154</v>
      </c>
      <c r="G15" s="1739">
        <f>IF(Factores!$D$3&gt;=EOMONTH('R+RS+B'!G4,0),'R+RP+B'!G10,IF(G5="R+ST",'Real+S.T.'!$O$48/1000,IF(G5="Bdgt",BDGT!F8,"")))</f>
        <v>22.926810091406999</v>
      </c>
      <c r="H15" s="1739">
        <f>IF(Factores!$D$3&gt;=EOMONTH('R+RS+B'!H4,0),'R+RP+B'!H10,IF(H5="R+ST",'Real+S.T.'!$O$48/1000,IF(H5="Bdgt",BDGT!G8,"")))</f>
        <v>27.752622658830781</v>
      </c>
      <c r="I15" s="1739">
        <f>IF(Factores!$D$3&gt;=EOMONTH('R+RS+B'!I4,0),'R+RP+B'!I10,IF(I5="R+ST",'Real+S.T.'!$O$48/1000,IF(I5="Bdgt",BDGT!H8,"")))</f>
        <v>22.131171900236232</v>
      </c>
      <c r="J15" s="1739">
        <f>IF(Factores!$D$3&gt;=EOMONTH('R+RS+B'!J4,0),'R+RP+B'!J10,IF(J5="R+ST",'Real+S.T.'!$O$48/1000,IF(J5="Bdgt",BDGT!I8,"")))</f>
        <v>31.461821381794522</v>
      </c>
      <c r="K15" s="1739">
        <f>IF(Factores!$D$3&gt;=EOMONTH('R+RS+B'!K4,0),'R+RP+B'!K10,IF(K5="R+ST",'Real+S.T.'!$O$48/1000,IF(K5="Bdgt",BDGT!J8,"")))</f>
        <v>31.316638511727174</v>
      </c>
      <c r="L15" s="1739">
        <f>IF(Factores!$D$3&gt;=EOMONTH('R+RS+B'!L4,0),'R+RP+B'!L10,IF(L5="R+ST",'Real+S.T.'!$O$48/1000,IF(L5="Bdgt",BDGT!K8,"")))</f>
        <v>27.887917569234752</v>
      </c>
      <c r="M15" s="1739">
        <f>IF(Factores!$D$3&gt;=EOMONTH('R+RS+B'!M4,0),'R+RP+B'!M10,IF(M5="R+ST",'Real+S.T.'!$O$48/1000,IF(M5="Bdgt",BDGT!L8,"")))</f>
        <v>30.012663141192068</v>
      </c>
      <c r="N15" s="1739">
        <f>IF(Factores!$D$3&gt;=EOMONTH('R+RS+B'!N4,0),'R+RP+B'!N10,IF(N5="R+ST",'Real+S.T.'!$O$48/1000,IF(N5="Bdgt",BDGT!M8,"")))</f>
        <v>33.41198619831448</v>
      </c>
      <c r="O15" s="1739">
        <f>IF(Factores!$D$3&gt;=EOMONTH('R+RS+B'!O4,0),'R+RP+B'!O10,IF(O5="R+ST",'Real+S.T.'!$O$48/1000,IF(O5="Bdgt",BDGT!N8,"")))</f>
        <v>34.41857715547512</v>
      </c>
      <c r="P15" s="1739">
        <f>IF(Factores!$D$3&gt;=EOMONTH('R+RS+B'!P4,0),'R+RP+B'!P10,IF(P5="R+ST",'Real+S.T.'!$O$48/1000,IF(P5="Bdgt",BDGT!O8,"")))</f>
        <v>32.546148959292516</v>
      </c>
      <c r="Q15" s="1739">
        <f>IF(Factores!$D$3&gt;=EOMONTH('R+RS+B'!Q4,0),'R+RP+B'!Q10,IF(Q5="R+ST",'Real+S.T.'!$O$48/1000,IF(Q5="Bdgt",BDGT!P8,"")))</f>
        <v>37.238071621863909</v>
      </c>
      <c r="R15" s="429"/>
      <c r="S15" s="112">
        <f t="shared" si="1"/>
        <v>350.06342535558395</v>
      </c>
      <c r="T15" s="429"/>
      <c r="U15" s="416">
        <f>IF(MONTH(Factores!$D$2)=1,SUM($F15:F15),IF(MONTH(Factores!$D$2)=2,SUM($F15:G15),IF(MONTH(Factores!$D$2)=3,SUM($F15:H15),IF(MONTH(Factores!$D$2)=4,SUM($F15:I15),IF(MONTH(Factores!$D$2)=5,SUM($F15:J15),IF(MONTH(Factores!$D$2)=6,SUM($F15:K15),IF(MONTH(Factores!$D$2)=7,SUM($F15:L15),IF(MONTH(Factores!$D$2)=8,SUM($F15:M15),IF(MONTH(Factores!$D$2)=9,SUM($F15:N15),IF(MONTH(Factores!$D$2)=10,SUM($F15:O15),IF(MONTH(Factores!$D$2)=11,SUM($F15:P15),IF(MONTH(Factores!$D$2)=12,SUM($F15:Q15)))))))))))))</f>
        <v>69.638428916453179</v>
      </c>
      <c r="V15" s="416">
        <f>IF(MONTH(Factores!$D$2)=1,SUM($F15:F15),IF(MONTH(Factores!$D$2)=2,SUM($F15:F15),IF(MONTH(Factores!$D$2)=3,SUM($F15:G15),IF(MONTH(Factores!$D$2)=4,SUM($F15:H15),IF(MONTH(Factores!$D$2)=5,SUM($F15:I15),IF(MONTH(Factores!$D$2)=6,SUM($F15:J15),IF(MONTH(Factores!$D$2)=7,SUM($F15:K15),IF(MONTH(Factores!$D$2)=8,SUM($F15:L15),IF(MONTH(Factores!$D$2)=9,SUM($F15:M15),IF(MONTH(Factores!$D$2)=10,SUM($F15:N15),IF(MONTH(Factores!$D$2)=11,SUM($F15:O15),IF(MONTH(Factores!$D$2)=12,SUM($F15:P15)))))))))))))</f>
        <v>41.885806257622399</v>
      </c>
      <c r="W15" s="569"/>
      <c r="X15" s="146" t="s">
        <v>206</v>
      </c>
      <c r="Y15" s="144" t="s">
        <v>1005</v>
      </c>
      <c r="Z15" s="144" t="s">
        <v>1006</v>
      </c>
      <c r="AC15" s="605"/>
    </row>
    <row r="16" spans="2:29" s="426" customFormat="1" ht="30" customHeight="1">
      <c r="B16" s="607"/>
      <c r="C16" s="78" t="s">
        <v>207</v>
      </c>
      <c r="D16" s="79" t="s">
        <v>204</v>
      </c>
      <c r="E16" s="80"/>
      <c r="F16" s="1750">
        <f t="shared" ref="F16:Q16" si="3">F61*$D$56</f>
        <v>17.810621872367435</v>
      </c>
      <c r="G16" s="1739">
        <f t="shared" si="3"/>
        <v>21.836294789891262</v>
      </c>
      <c r="H16" s="1739">
        <f t="shared" si="3"/>
        <v>27.714023763390479</v>
      </c>
      <c r="I16" s="1739">
        <f t="shared" si="3"/>
        <v>21.290187368027254</v>
      </c>
      <c r="J16" s="1739">
        <f t="shared" si="3"/>
        <v>30.266272169286328</v>
      </c>
      <c r="K16" s="1739">
        <f t="shared" si="3"/>
        <v>30.12660624828154</v>
      </c>
      <c r="L16" s="1739">
        <f t="shared" si="3"/>
        <v>26.82817670160383</v>
      </c>
      <c r="M16" s="1739">
        <f t="shared" si="3"/>
        <v>28.872181941826767</v>
      </c>
      <c r="N16" s="1739">
        <f>N61*$D$56</f>
        <v>32.142330722778532</v>
      </c>
      <c r="O16" s="1739">
        <f>O61*$D$56</f>
        <v>33.110671223567067</v>
      </c>
      <c r="P16" s="1739">
        <f>P61*$D$56</f>
        <v>31.309395298839398</v>
      </c>
      <c r="Q16" s="1739">
        <f t="shared" si="3"/>
        <v>35.823024900233079</v>
      </c>
      <c r="R16" s="429"/>
      <c r="S16" s="112">
        <f t="shared" si="1"/>
        <v>337.1297870000929</v>
      </c>
      <c r="T16" s="429"/>
      <c r="U16" s="416">
        <f>IF(MONTH(Factores!$D$2)=1,SUM($F16:F16),IF(MONTH(Factores!$D$2)=2,SUM($F16:G16),IF(MONTH(Factores!$D$2)=3,SUM($F16:H16),IF(MONTH(Factores!$D$2)=4,SUM($F16:I16),IF(MONTH(Factores!$D$2)=5,SUM($F16:J16),IF(MONTH(Factores!$D$2)=6,SUM($F16:K16),IF(MONTH(Factores!$D$2)=7,SUM($F16:L16),IF(MONTH(Factores!$D$2)=8,SUM($F16:M16),IF(MONTH(Factores!$D$2)=9,SUM($F16:N16),IF(MONTH(Factores!$D$2)=10,SUM($F16:O16),IF(MONTH(Factores!$D$2)=11,SUM($F16:P16),IF(MONTH(Factores!$D$2)=12,SUM($F16:Q16)))))))))))))</f>
        <v>67.360940425649176</v>
      </c>
      <c r="V16" s="416">
        <f>IF(MONTH(Factores!$D$2)=1,SUM($F16:F16),IF(MONTH(Factores!$D$2)=2,SUM($F16:F16),IF(MONTH(Factores!$D$2)=3,SUM($F16:G16),IF(MONTH(Factores!$D$2)=4,SUM($F16:H16),IF(MONTH(Factores!$D$2)=5,SUM($F16:I16),IF(MONTH(Factores!$D$2)=6,SUM($F16:J16),IF(MONTH(Factores!$D$2)=7,SUM($F16:K16),IF(MONTH(Factores!$D$2)=8,SUM($F16:L16),IF(MONTH(Factores!$D$2)=9,SUM($F16:M16),IF(MONTH(Factores!$D$2)=10,SUM($F16:N16),IF(MONTH(Factores!$D$2)=11,SUM($F16:O16),IF(MONTH(Factores!$D$2)=12,SUM($F16:P16)))))))))))))</f>
        <v>39.646916662258697</v>
      </c>
      <c r="W16" s="569"/>
      <c r="X16" s="177"/>
      <c r="Y16" s="178"/>
      <c r="Z16" s="178"/>
      <c r="AC16" s="605"/>
    </row>
    <row r="17" spans="2:29" s="426" customFormat="1" ht="30" customHeight="1">
      <c r="B17" s="607"/>
      <c r="C17" s="78" t="s">
        <v>208</v>
      </c>
      <c r="D17" s="79" t="s">
        <v>204</v>
      </c>
      <c r="E17" s="80"/>
      <c r="F17" s="1750">
        <f>IF(Factores!$D$3&gt;=EOMONTH('R+RS+B'!F4,0),'R+RP+B'!F12,IF(F5="r+st",F20*F37/1000000*F38%,IF(F5="bdgt",BDGT!E9,"")))</f>
        <v>0.62602317193478396</v>
      </c>
      <c r="G17" s="1739">
        <f>IF(Factores!$D$3&gt;=EOMONTH('R+RS+B'!G4,0),'R+RP+B'!G12,IF(G5="r+st",G20*G37/1000000*G38%,IF(G5="bdgt",BDGT!F9,"")))</f>
        <v>0.76827765220952005</v>
      </c>
      <c r="H17" s="1739">
        <f>IF(Factores!$D$3&gt;=EOMONTH('R+RS+B'!H4,0),'R+RP+B'!H12,IF(H5="r+st",H20*H37/1000000*H38%,IF(H5="bdgt",BDGT!G9,"")))</f>
        <v>0.85048715509986972</v>
      </c>
      <c r="I17" s="1739">
        <f>IF(Factores!$D$3&gt;=EOMONTH('R+RS+B'!I4,0),'R+RP+B'!I12,IF(I5="r+st",I20*I37/1000000*I38%,IF(I5="bdgt",BDGT!H9,"")))</f>
        <v>0.49377313963876424</v>
      </c>
      <c r="J17" s="1739">
        <f>IF(Factores!$D$3&gt;=EOMONTH('R+RS+B'!J4,0),'R+RP+B'!J12,IF(J5="r+st",J20*J37/1000000*J38%,IF(J5="bdgt",BDGT!I9,"")))</f>
        <v>1.312225951063223</v>
      </c>
      <c r="K17" s="1739">
        <f>IF(Factores!$D$3&gt;=EOMONTH('R+RS+B'!K4,0),'R+RP+B'!K12,IF(K5="r+st",K20*K37/1000000*K38%,IF(K5="bdgt",BDGT!J9,"")))</f>
        <v>0.72440679775203554</v>
      </c>
      <c r="L17" s="1739">
        <f>IF(Factores!$D$3&gt;=EOMONTH('R+RS+B'!L4,0),'R+RP+B'!L12,IF(L5="r+st",L20*L37/1000000*L38%,IF(L5="bdgt",BDGT!K9,"")))</f>
        <v>0.72542867986757742</v>
      </c>
      <c r="M17" s="1739">
        <f>IF(Factores!$D$3&gt;=EOMONTH('R+RS+B'!M4,0),'R+RP+B'!M12,IF(M5="r+st",M20*M37/1000000*M38%,IF(M5="bdgt",BDGT!L9,"")))</f>
        <v>0.83457857628211296</v>
      </c>
      <c r="N17" s="1739">
        <f>IF(Factores!$D$3&gt;=EOMONTH('R+RS+B'!N4,0),'R+RP+B'!N12,IF(N5="r+st",N20*N37/1000000*N38%,IF(N5="bdgt",BDGT!M9,"")))</f>
        <v>1.0456347812116198</v>
      </c>
      <c r="O17" s="1739">
        <f>IF(Factores!$D$3&gt;=EOMONTH('R+RS+B'!O4,0),'R+RP+B'!O12,IF(O5="r+st",O20*O37/1000000*O38%,IF(O5="bdgt",BDGT!N9,"")))</f>
        <v>0.91475044848823694</v>
      </c>
      <c r="P17" s="1739">
        <f>IF(Factores!$D$3&gt;=EOMONTH('R+RS+B'!P4,0),'R+RP+B'!P12,IF(P5="r+st",P20*P37/1000000*P38%,IF(P5="bdgt",BDGT!O9,"")))</f>
        <v>0.61352898372549314</v>
      </c>
      <c r="Q17" s="1739">
        <f>IF(Factores!$D$3&gt;=EOMONTH('R+RS+B'!Q4,0),'R+RP+B'!Q12,IF(Q5="r+st",Q20*Q37/1000000*Q38%,IF(Q5="bdgt",BDGT!P9,"")))</f>
        <v>0.86798581804628094</v>
      </c>
      <c r="R17" s="429"/>
      <c r="S17" s="112">
        <f t="shared" si="1"/>
        <v>9.7771011553195155</v>
      </c>
      <c r="T17" s="429"/>
      <c r="U17" s="416">
        <f>IF(MONTH(Factores!$D$2)=1,SUM($F17:F17),IF(MONTH(Factores!$D$2)=2,SUM($F17:G17),IF(MONTH(Factores!$D$2)=3,SUM($F17:H17),IF(MONTH(Factores!$D$2)=4,SUM($F17:I17),IF(MONTH(Factores!$D$2)=5,SUM($F17:J17),IF(MONTH(Factores!$D$2)=6,SUM($F17:K17),IF(MONTH(Factores!$D$2)=7,SUM($F17:L17),IF(MONTH(Factores!$D$2)=8,SUM($F17:M17),IF(MONTH(Factores!$D$2)=9,SUM($F17:N17),IF(MONTH(Factores!$D$2)=10,SUM($F17:O17),IF(MONTH(Factores!$D$2)=11,SUM($F17:P17),IF(MONTH(Factores!$D$2)=12,SUM($F17:Q17)))))))))))))</f>
        <v>2.2447879792441738</v>
      </c>
      <c r="V17" s="416">
        <f>IF(MONTH(Factores!$D$2)=1,SUM($F17:F17),IF(MONTH(Factores!$D$2)=2,SUM($F17:F17),IF(MONTH(Factores!$D$2)=3,SUM($F17:G17),IF(MONTH(Factores!$D$2)=4,SUM($F17:H17),IF(MONTH(Factores!$D$2)=5,SUM($F17:I17),IF(MONTH(Factores!$D$2)=6,SUM($F17:J17),IF(MONTH(Factores!$D$2)=7,SUM($F17:K17),IF(MONTH(Factores!$D$2)=8,SUM($F17:L17),IF(MONTH(Factores!$D$2)=9,SUM($F17:M17),IF(MONTH(Factores!$D$2)=10,SUM($F17:N17),IF(MONTH(Factores!$D$2)=11,SUM($F17:O17),IF(MONTH(Factores!$D$2)=12,SUM($F17:P17)))))))))))))</f>
        <v>1.394300824144304</v>
      </c>
      <c r="W17" s="569"/>
      <c r="X17" s="146" t="s">
        <v>208</v>
      </c>
      <c r="Y17" s="175" t="s">
        <v>1007</v>
      </c>
      <c r="Z17" s="175" t="s">
        <v>1008</v>
      </c>
      <c r="AC17" s="605"/>
    </row>
    <row r="18" spans="2:29" s="426" customFormat="1" ht="30" customHeight="1">
      <c r="B18" s="607"/>
      <c r="C18" s="78" t="s">
        <v>209</v>
      </c>
      <c r="D18" s="79" t="s">
        <v>204</v>
      </c>
      <c r="E18" s="80"/>
      <c r="F18" s="1750">
        <f>IF(Factores!$D$3&gt;=EOMONTH('R+RS+B'!F4,0),'R+RP+B'!F13,IF(F5="r+st",F64*$D$57,IF(F5="bdgt",BDGT!E10,"")))</f>
        <v>0.64356690000000005</v>
      </c>
      <c r="G18" s="1739">
        <f>IF(Factores!$D$3&gt;=EOMONTH('R+RS+B'!G4,0),'R+RP+B'!G13,IF(G5="r+st",G64*$D$57,IF(G5="bdgt",BDGT!F10,"")))</f>
        <v>0.54975877832134801</v>
      </c>
      <c r="H18" s="1739">
        <f>IF(Factores!$D$3&gt;=EOMONTH('R+RS+B'!H4,0),'R+RP+B'!H13,IF(H5="r+st",H64*$D$57,IF(H5="bdgt",BDGT!G10,"")))</f>
        <v>0.9954912669139665</v>
      </c>
      <c r="I18" s="1739">
        <f>IF(Factores!$D$3&gt;=EOMONTH('R+RS+B'!I4,0),'R+RP+B'!I13,IF(I5="r+st",I64*$D$57,IF(I5="bdgt",BDGT!H10,"")))</f>
        <v>0.49130427394057041</v>
      </c>
      <c r="J18" s="1739">
        <f>IF(Factores!$D$3&gt;=EOMONTH('R+RS+B'!J4,0),'R+RP+B'!J13,IF(J5="r+st",J64*$D$57,IF(J5="bdgt",BDGT!I10,"")))</f>
        <v>1.305664821307907</v>
      </c>
      <c r="K18" s="1739">
        <f>IF(Factores!$D$3&gt;=EOMONTH('R+RS+B'!K4,0),'R+RP+B'!K13,IF(K5="r+st",K64*$D$57,IF(K5="bdgt",BDGT!J10,"")))</f>
        <v>0.72078476376327538</v>
      </c>
      <c r="L18" s="1739">
        <f>IF(Factores!$D$3&gt;=EOMONTH('R+RS+B'!L4,0),'R+RP+B'!L13,IF(L5="r+st",L64*$D$57,IF(L5="bdgt",BDGT!K10,"")))</f>
        <v>0.72180153646823952</v>
      </c>
      <c r="M18" s="1739">
        <f>IF(Factores!$D$3&gt;=EOMONTH('R+RS+B'!M4,0),'R+RP+B'!M13,IF(M5="r+st",M64*$D$57,IF(M5="bdgt",BDGT!L10,"")))</f>
        <v>0.83040568340070242</v>
      </c>
      <c r="N18" s="1739">
        <f>IF(Factores!$D$3&gt;=EOMONTH('R+RS+B'!N4,0),'R+RP+B'!N13,IF(N5="r+st",N64*$D$57,IF(N5="bdgt",BDGT!M10,"")))</f>
        <v>1.0404066073055618</v>
      </c>
      <c r="O18" s="1739">
        <f>IF(Factores!$D$3&gt;=EOMONTH('R+RS+B'!O4,0),'R+RP+B'!O13,IF(O5="r+st",O64*$D$57,IF(O5="bdgt",BDGT!N10,"")))</f>
        <v>0.91017669624579578</v>
      </c>
      <c r="P18" s="1739">
        <f>IF(Factores!$D$3&gt;=EOMONTH('R+RS+B'!P4,0),'R+RP+B'!P13,IF(P5="r+st",P64*$D$57,IF(P5="bdgt",BDGT!O10,"")))</f>
        <v>0.61046133880686571</v>
      </c>
      <c r="Q18" s="1739">
        <f>IF(Factores!$D$3&gt;=EOMONTH('R+RS+B'!Q4,0),'R+RP+B'!Q13,IF(Q5="r+st",Q64*$D$57,IF(Q5="bdgt",BDGT!P10,"")))</f>
        <v>0.86364588895604955</v>
      </c>
      <c r="R18" s="429"/>
      <c r="S18" s="112">
        <f t="shared" si="1"/>
        <v>9.6834685554302826</v>
      </c>
      <c r="T18" s="429"/>
      <c r="U18" s="416">
        <f>IF(MONTH(Factores!$D$2)=1,SUM($F18:F18),IF(MONTH(Factores!$D$2)=2,SUM($F18:G18),IF(MONTH(Factores!$D$2)=3,SUM($F18:H18),IF(MONTH(Factores!$D$2)=4,SUM($F18:I18),IF(MONTH(Factores!$D$2)=5,SUM($F18:J18),IF(MONTH(Factores!$D$2)=6,SUM($F18:K18),IF(MONTH(Factores!$D$2)=7,SUM($F18:L18),IF(MONTH(Factores!$D$2)=8,SUM($F18:M18),IF(MONTH(Factores!$D$2)=9,SUM($F18:N18),IF(MONTH(Factores!$D$2)=10,SUM($F18:O18),IF(MONTH(Factores!$D$2)=11,SUM($F18:P18),IF(MONTH(Factores!$D$2)=12,SUM($F18:Q18)))))))))))))</f>
        <v>2.1888169452353146</v>
      </c>
      <c r="V18" s="416">
        <f>IF(MONTH(Factores!$D$2)=1,SUM($F18:F18),IF(MONTH(Factores!$D$2)=2,SUM($F18:F18),IF(MONTH(Factores!$D$2)=3,SUM($F18:G18),IF(MONTH(Factores!$D$2)=4,SUM($F18:H18),IF(MONTH(Factores!$D$2)=5,SUM($F18:I18),IF(MONTH(Factores!$D$2)=6,SUM($F18:J18),IF(MONTH(Factores!$D$2)=7,SUM($F18:K18),IF(MONTH(Factores!$D$2)=8,SUM($F18:L18),IF(MONTH(Factores!$D$2)=9,SUM($F18:M18),IF(MONTH(Factores!$D$2)=10,SUM($F18:N18),IF(MONTH(Factores!$D$2)=11,SUM($F18:O18),IF(MONTH(Factores!$D$2)=12,SUM($F18:P18)))))))))))))</f>
        <v>1.1933256783213482</v>
      </c>
      <c r="W18" s="600"/>
      <c r="X18" s="176"/>
      <c r="Y18" s="1634"/>
      <c r="Z18" s="1634"/>
      <c r="AC18" s="605"/>
    </row>
    <row r="19" spans="2:29" s="426" customFormat="1" ht="10.5" customHeight="1">
      <c r="B19" s="607"/>
      <c r="C19" s="111"/>
      <c r="D19" s="82"/>
      <c r="E19" s="80"/>
      <c r="F19" s="1751"/>
      <c r="G19" s="1732"/>
      <c r="H19" s="1732"/>
      <c r="I19" s="1732"/>
      <c r="J19" s="1732"/>
      <c r="K19" s="1732"/>
      <c r="L19" s="1732"/>
      <c r="M19" s="1732"/>
      <c r="N19" s="1732"/>
      <c r="O19" s="1732"/>
      <c r="P19" s="1732"/>
      <c r="Q19" s="1732"/>
      <c r="R19" s="73"/>
      <c r="S19" s="530"/>
      <c r="T19" s="73"/>
      <c r="U19" s="221"/>
      <c r="V19" s="221"/>
      <c r="W19" s="600"/>
      <c r="X19" s="147"/>
      <c r="Y19" s="145"/>
      <c r="Z19" s="145"/>
      <c r="AC19" s="605"/>
    </row>
    <row r="20" spans="2:29" s="426" customFormat="1" ht="30" customHeight="1">
      <c r="B20" s="607"/>
      <c r="C20" s="78" t="s">
        <v>210</v>
      </c>
      <c r="D20" s="79" t="s">
        <v>204</v>
      </c>
      <c r="E20" s="80"/>
      <c r="F20" s="1752">
        <f>IF(Factores!$D$3&gt;=EOMONTH('R+RS+B'!F4,0),'R+RP+B'!F15,IF(F5="r+st",'Real+S.T.'!$F$48,IF('R+RS+B'!F5="bdgt",BDGT!E12,"")))</f>
        <v>3982.39335865362</v>
      </c>
      <c r="G20" s="1740">
        <f>IF(Factores!$D$3&gt;=EOMONTH('R+RS+B'!G4,0),'R+RP+B'!G15,IF(G5="r+st",'Real+S.T.'!$F$48,IF('R+RS+B'!G5="bdgt",BDGT!F12,"")))</f>
        <v>5112.4394212164798</v>
      </c>
      <c r="H20" s="1740">
        <f>IF(Factores!$D$3&gt;=EOMONTH('R+RS+B'!H4,0),'R+RP+B'!H15,IF(H5="r+st",'Real+S.T.'!$F$48,IF('R+RS+B'!H5="bdgt",BDGT!G12,"")))</f>
        <v>5842.4354720501005</v>
      </c>
      <c r="I20" s="1740">
        <f>IF(Factores!$D$3&gt;=EOMONTH('R+RS+B'!I4,0),'R+RP+B'!I15,IF(I5="r+st",'Real+S.T.'!$F$48,IF('R+RS+B'!I5="bdgt",BDGT!H12,"")))</f>
        <v>3980.5481482771197</v>
      </c>
      <c r="J20" s="1740">
        <f>IF(Factores!$D$3&gt;=EOMONTH('R+RS+B'!J4,0),'R+RP+B'!J15,IF(J5="r+st",'Real+S.T.'!$F$48,IF('R+RS+B'!J5="bdgt",BDGT!I12,"")))</f>
        <v>6129.4208066457013</v>
      </c>
      <c r="K20" s="1740">
        <f>IF(Factores!$D$3&gt;=EOMONTH('R+RS+B'!K4,0),'R+RP+B'!K15,IF(K5="r+st",'Real+S.T.'!$F$48,IF('R+RS+B'!K5="bdgt",BDGT!J12,"")))</f>
        <v>5958.2514526882424</v>
      </c>
      <c r="L20" s="1740">
        <f>IF(Factores!$D$3&gt;=EOMONTH('R+RS+B'!L4,0),'R+RP+B'!L15,IF(L5="r+st",'Real+S.T.'!$F$48,IF('R+RS+B'!L5="bdgt",BDGT!K12,"")))</f>
        <v>5834.336989403525</v>
      </c>
      <c r="M20" s="1740">
        <f>IF(Factores!$D$3&gt;=EOMONTH('R+RS+B'!M4,0),'R+RP+B'!M15,IF(M5="r+st",'Real+S.T.'!$F$48,IF('R+RS+B'!M5="bdgt",BDGT!L12,"")))</f>
        <v>5718.2081153361341</v>
      </c>
      <c r="N20" s="1740">
        <f>IF(Factores!$D$3&gt;=EOMONTH('R+RS+B'!N4,0),'R+RP+B'!N15,IF(N5="r+st",'Real+S.T.'!$F$48,IF('R+RS+B'!N5="bdgt",BDGT!M12,"")))</f>
        <v>5688.8212958587765</v>
      </c>
      <c r="O20" s="1740">
        <f>IF(Factores!$D$3&gt;=EOMONTH('R+RS+B'!O4,0),'R+RP+B'!O15,IF(O5="r+st",'Real+S.T.'!$F$48,IF('R+RS+B'!O5="bdgt",BDGT!N12,"")))</f>
        <v>5994.4699651701922</v>
      </c>
      <c r="P20" s="1740">
        <f>IF(Factores!$D$3&gt;=EOMONTH('R+RS+B'!P4,0),'R+RP+B'!P15,IF(P5="r+st",'Real+S.T.'!$F$48,IF('R+RS+B'!P5="bdgt",BDGT!O12,"")))</f>
        <v>5578.2795626892439</v>
      </c>
      <c r="Q20" s="1740">
        <f>IF(Factores!$D$3&gt;=EOMONTH('R+RS+B'!Q4,0),'R+RP+B'!Q15,IF(Q5="r+st",'Real+S.T.'!$F$48,IF('R+RS+B'!Q5="bdgt",BDGT!P12,"")))</f>
        <v>6159.894634180926</v>
      </c>
      <c r="R20" s="534"/>
      <c r="S20" s="109">
        <f>SUM(F20:Q20)</f>
        <v>65979.499222170067</v>
      </c>
      <c r="T20" s="534"/>
      <c r="U20" s="315">
        <f>IF(MONTH(Factores!$D$2)=1,SUM($F20:F20),IF(MONTH(Factores!$D$2)=2,SUM($F20:G20),IF(MONTH(Factores!$D$2)=3,SUM($F20:H20),IF(MONTH(Factores!$D$2)=4,SUM($F20:I20),IF(MONTH(Factores!$D$2)=5,SUM($F20:J20),IF(MONTH(Factores!$D$2)=6,SUM($F20:K20),IF(MONTH(Factores!$D$2)=7,SUM($F20:L20),IF(MONTH(Factores!$D$2)=8,SUM($F20:M20),IF(MONTH(Factores!$D$2)=9,SUM($F20:N20),IF(MONTH(Factores!$D$2)=10,SUM($F20:O20),IF(MONTH(Factores!$D$2)=11,SUM($F20:P20),IF(MONTH(Factores!$D$2)=12,SUM($F20:Q20)))))))))))))</f>
        <v>14937.268251920199</v>
      </c>
      <c r="V20" s="315">
        <f>IF(MONTH(Factores!$D$2)=1,SUM($F20:F20),IF(MONTH(Factores!$D$2)=2,SUM($F20:F20),IF(MONTH(Factores!$D$2)=3,SUM($F20:G20),IF(MONTH(Factores!$D$2)=4,SUM($F20:H20),IF(MONTH(Factores!$D$2)=5,SUM($F20:I20),IF(MONTH(Factores!$D$2)=6,SUM($F20:J20),IF(MONTH(Factores!$D$2)=7,SUM($F20:K20),IF(MONTH(Factores!$D$2)=8,SUM($F20:L20),IF(MONTH(Factores!$D$2)=9,SUM($F20:M20),IF(MONTH(Factores!$D$2)=10,SUM($F20:N20),IF(MONTH(Factores!$D$2)=11,SUM($F20:O20),IF(MONTH(Factores!$D$2)=12,SUM($F20:P20)))))))))))))</f>
        <v>9094.8327798700993</v>
      </c>
      <c r="X20" s="148" t="s">
        <v>1009</v>
      </c>
      <c r="Y20" s="144" t="s">
        <v>1005</v>
      </c>
      <c r="Z20" s="144" t="s">
        <v>1010</v>
      </c>
      <c r="AC20" s="605"/>
    </row>
    <row r="21" spans="2:29" s="426" customFormat="1" ht="30" customHeight="1">
      <c r="B21" s="607"/>
      <c r="C21" s="78" t="s">
        <v>210</v>
      </c>
      <c r="D21" s="79" t="s">
        <v>211</v>
      </c>
      <c r="E21" s="80"/>
      <c r="F21" s="1753">
        <f t="shared" ref="F21:Q21" si="4">F20/F6</f>
        <v>130.57027405421704</v>
      </c>
      <c r="G21" s="1741">
        <f t="shared" si="4"/>
        <v>179.38383934092911</v>
      </c>
      <c r="H21" s="1741">
        <f t="shared" si="4"/>
        <v>188.46566038871293</v>
      </c>
      <c r="I21" s="1741">
        <f t="shared" si="4"/>
        <v>132.68493827590399</v>
      </c>
      <c r="J21" s="1741">
        <f t="shared" si="4"/>
        <v>197.72325182728068</v>
      </c>
      <c r="K21" s="1741">
        <f t="shared" si="4"/>
        <v>198.60838175627475</v>
      </c>
      <c r="L21" s="1741">
        <f t="shared" si="4"/>
        <v>188.20441901301695</v>
      </c>
      <c r="M21" s="1741">
        <f t="shared" si="4"/>
        <v>184.45832630116561</v>
      </c>
      <c r="N21" s="1741">
        <f t="shared" si="4"/>
        <v>189.62737652862589</v>
      </c>
      <c r="O21" s="1741">
        <f>O20/O6</f>
        <v>193.3699988764578</v>
      </c>
      <c r="P21" s="1741">
        <f t="shared" si="4"/>
        <v>185.94265208964146</v>
      </c>
      <c r="Q21" s="1741">
        <f t="shared" si="4"/>
        <v>195.55221060891827</v>
      </c>
      <c r="R21" s="84"/>
      <c r="S21" s="110">
        <f>S20/S6</f>
        <v>180.51846572413152</v>
      </c>
      <c r="T21" s="84"/>
      <c r="U21" s="83">
        <f>U20/U6</f>
        <v>165.96964724355777</v>
      </c>
      <c r="V21" s="83">
        <f>V20/V6</f>
        <v>154.14970813339153</v>
      </c>
      <c r="X21" s="147"/>
      <c r="Y21" s="145"/>
      <c r="Z21" s="145"/>
      <c r="AC21" s="605"/>
    </row>
    <row r="22" spans="2:29" s="426" customFormat="1" ht="30" customHeight="1">
      <c r="B22" s="607"/>
      <c r="C22" s="78" t="s">
        <v>212</v>
      </c>
      <c r="D22" s="79" t="s">
        <v>81</v>
      </c>
      <c r="E22" s="80"/>
      <c r="F22" s="1752">
        <f>F20*1000/(24*F6*F24%)</f>
        <v>8392.9974470560392</v>
      </c>
      <c r="G22" s="1740">
        <f t="shared" ref="G22:Q22" si="5">G20*1000/(24*G6*G24%)</f>
        <v>8370.756317996691</v>
      </c>
      <c r="H22" s="1740">
        <f t="shared" si="5"/>
        <v>8484.7125455295427</v>
      </c>
      <c r="I22" s="1740">
        <f t="shared" si="5"/>
        <v>812273.55975648097</v>
      </c>
      <c r="J22" s="1740">
        <f t="shared" si="5"/>
        <v>860871.18879273091</v>
      </c>
      <c r="K22" s="1740">
        <f t="shared" si="5"/>
        <v>857623.82967674138</v>
      </c>
      <c r="L22" s="1740">
        <f t="shared" si="5"/>
        <v>833462.99990408029</v>
      </c>
      <c r="M22" s="1740">
        <f t="shared" si="5"/>
        <v>843159.80769703805</v>
      </c>
      <c r="N22" s="1740">
        <f t="shared" si="5"/>
        <v>835872.40196505352</v>
      </c>
      <c r="O22" s="1740">
        <f>O20*1000/(24*O6*O24%)</f>
        <v>835132.48930759728</v>
      </c>
      <c r="P22" s="1740">
        <f t="shared" si="5"/>
        <v>801432.47819553199</v>
      </c>
      <c r="Q22" s="1740">
        <f t="shared" si="5"/>
        <v>847972.84531638562</v>
      </c>
      <c r="R22" s="534"/>
      <c r="S22" s="109">
        <f>S20*1000/(24*S6*S24%)</f>
        <v>35960.401366629289</v>
      </c>
      <c r="T22" s="534"/>
      <c r="U22" s="223">
        <f>U20*1000/(24*U6*U24/100)</f>
        <v>8420.9425904466571</v>
      </c>
      <c r="V22" s="223">
        <f>V20*1000/(24*V6*V24/100)</f>
        <v>8380.4806124636925</v>
      </c>
      <c r="X22" s="147"/>
      <c r="Y22" s="145"/>
      <c r="Z22" s="145"/>
      <c r="AC22" s="605"/>
    </row>
    <row r="23" spans="2:29" s="426" customFormat="1" ht="30" customHeight="1">
      <c r="B23" s="607"/>
      <c r="C23" s="78" t="s">
        <v>213</v>
      </c>
      <c r="D23" s="79" t="s">
        <v>48</v>
      </c>
      <c r="E23" s="80"/>
      <c r="F23" s="1751" t="str">
        <f>IF(F5="r+st",'Real+S.T.'!$H$39,IF('R+RS+B'!F5="bdgt",BDGT!E17,'R+RP+B'!F18))</f>
        <v/>
      </c>
      <c r="G23" s="1732">
        <f>IF(G5="r+st",'Real+S.T.'!$H$39,IF('R+RS+B'!G5="bdgt",BDGT!F17,'R+RP+B'!G18))</f>
        <v>0</v>
      </c>
      <c r="H23" s="1732">
        <f>IF(H5="r+st",'Real+S.T.'!$H$39,IF('R+RS+B'!H5="bdgt",BDGT!G17,'R+RP+B'!H18))</f>
        <v>68.318784490992357</v>
      </c>
      <c r="I23" s="1732">
        <f>IF(I5="r+st",'Real+S.T.'!$H$39,IF('R+RS+B'!I5="bdgt",BDGT!H17,'R+RP+B'!I18))</f>
        <v>0</v>
      </c>
      <c r="J23" s="1732">
        <f>IF(J5="r+st",'Real+S.T.'!$H$39,IF('R+RS+B'!J5="bdgt",BDGT!I17,'R+RP+B'!J18))</f>
        <v>0</v>
      </c>
      <c r="K23" s="1732">
        <f>IF(K5="r+st",'Real+S.T.'!$H$39,IF('R+RS+B'!K5="bdgt",BDGT!J17,'R+RP+B'!K18))</f>
        <v>0</v>
      </c>
      <c r="L23" s="1732">
        <f>IF(L5="r+st",'Real+S.T.'!$H$39,IF('R+RS+B'!L5="bdgt",BDGT!K17,'R+RP+B'!L18))</f>
        <v>0</v>
      </c>
      <c r="M23" s="1732">
        <f>IF(M5="r+st",'Real+S.T.'!$H$39,IF('R+RS+B'!M5="bdgt",BDGT!L17,'R+RP+B'!M18))</f>
        <v>0</v>
      </c>
      <c r="N23" s="1732">
        <f>IF(N5="r+st",'Real+S.T.'!$H$39,IF('R+RS+B'!N5="bdgt",BDGT!M17,'R+RP+B'!N18))</f>
        <v>0</v>
      </c>
      <c r="O23" s="1732">
        <f>IF(O5="r+st",'Real+S.T.'!$H$39,IF('R+RS+B'!O5="bdgt",BDGT!N17,'R+RP+B'!O18))</f>
        <v>0</v>
      </c>
      <c r="P23" s="1732">
        <f>IF(P5="r+st",'Real+S.T.'!$H$39,IF('R+RS+B'!P5="bdgt",BDGT!O17,'R+RP+B'!P18))</f>
        <v>0</v>
      </c>
      <c r="Q23" s="1732">
        <f>IF(Q5="r+st",'Real+S.T.'!$H$39,IF('R+RS+B'!Q5="bdgt",BDGT!P17,'R+RP+B'!Q18))</f>
        <v>0</v>
      </c>
      <c r="R23" s="86"/>
      <c r="S23" s="208">
        <f>SUMPRODUCT(F20:Q20,F23:Q23)/SUM(F20:Q20)</f>
        <v>6.0495774387963293</v>
      </c>
      <c r="T23" s="86"/>
      <c r="U23" s="224">
        <f>IF(MONTH(Factores!$D$2)=1,SUMPRODUCT($F$20:$F$20,$F23:F23)/SUM($F$20:$F$20),IF(MONTH(Factores!$D$2)=2,SUMPRODUCT($F$20:$G$20,$F23:G23)/SUM($F$20:$G$20),IF(MONTH(Factores!$D$2)=3,SUMPRODUCT($F$20:$H$20,$F23:H23)/SUM($F$20:$H$20),IF(MONTH(Factores!$D$2)=4,SUMPRODUCT($F$20:$I$20,$F23:I23)/SUM($F$20:$I$20),IF(MONTH(Factores!$D$2)=5,SUMPRODUCT($F$20:$J$20,$F23:J23)/SUM($F$20:$J$20),IF(MONTH(Factores!$D$2)=6,SUMPRODUCT($F$20:$K$20,$F23:K23)/SUM($F$20:$K$20),IF(MONTH(Factores!$D$2)=7,SUMPRODUCT($F$20:$L$20,$F23:L23)/SUM($F$20:$L$20),IF(MONTH(Factores!$D$2)=8,SUMPRODUCT($F$20:$M$20,$F23:M23)/SUM($F$20:$M$20),IF(MONTH(Factores!$D$2)=9,SUMPRODUCT($F$20:$N$20,$F23:N23)/SUM($F$20:$N$20),IF(MONTH(Factores!$D$2)=10,SUMPRODUCT($F$20:$O$20,$F23:O23)/SUM($F$20:$O$20),IF(MONTH(Factores!$D$2)=11,SUMPRODUCT($F$20:$P$20,$F23:P23)/SUM($F$20:$P$20),IF(MONTH(Factores!$D$2)=12,SUMPRODUCT($F$20:$Q$20,$F23:Q23)/SUM($F$20:$Q$20)))))))))))))</f>
        <v>26.721625613586284</v>
      </c>
      <c r="V23" s="224">
        <f>IF(MONTH(Factores!$D$2)=1,SUMPRODUCT($F$20:$F$20,$F23:F23)/SUM($F$20:$F$20),IF(MONTH(Factores!$D$2)=2,SUMPRODUCT($F$20:$F$20,$F23:F23)/SUM($F$20:$F$20),IF(MONTH(Factores!$D$2)=3,SUMPRODUCT($F$20:$G$20,$F23:G23)/SUM($F$20:$G$20),IF(MONTH(Factores!$D$2)=4,SUMPRODUCT($F$20:$H$20,$F23:H23)/SUM($F$20:$H$20),IF(MONTH(Factores!$D$2)=5,SUMPRODUCT($F$20:$I$20,$F23:I23)/SUM($F$20:$I$20),IF(MONTH(Factores!$D$2)=6,SUMPRODUCT($F$20:$J$20,$F23:J23)/SUM($F$20:$J$20),IF(MONTH(Factores!$D$2)=7,SUMPRODUCT($F$20:$K$20,$F23:K23)/SUM($F$20:$K$20),IF(MONTH(Factores!$D$2)=8,SUMPRODUCT($F$20:$L$20,$F23:L23)/SUM($F$20:$L$20),IF(MONTH(Factores!$D$2)=9,SUMPRODUCT($F$20:$M$20,$F23:M23)/SUM($F$20:$M$20),IF(MONTH(Factores!$D$2)=10,SUMPRODUCT($F$20:$N$20,$F23:N23)/SUM($F$20:$N$20),IF(MONTH(Factores!$D$2)=11,SUMPRODUCT($F$20:$O$20,$F23:O23)/SUM($F$20:$O$20),IF(MONTH(Factores!$D$2)=12,SUMPRODUCT($F$20:$P$20,$F23:P23)/SUM($F$20:$P$20)))))))))))))</f>
        <v>0</v>
      </c>
      <c r="X23" s="147"/>
      <c r="Y23" s="145"/>
      <c r="Z23" s="145"/>
      <c r="AC23" s="605"/>
    </row>
    <row r="24" spans="2:29" s="426" customFormat="1" ht="30" customHeight="1">
      <c r="B24" s="607"/>
      <c r="C24" s="78" t="s">
        <v>215</v>
      </c>
      <c r="D24" s="79" t="s">
        <v>48</v>
      </c>
      <c r="E24" s="80"/>
      <c r="F24" s="1754">
        <f>IF(Factores!$D$3&gt;=EOMONTH('R+RS+B'!F4,0),'R+RP+B'!F21,IF(F5="r+st",'Real+S.T.'!$G$48,IF('R+RS+B'!F5="bdgt",BDGT!E20,"")))</f>
        <v>64.821038251366119</v>
      </c>
      <c r="G24" s="1742">
        <f>IF(Factores!$D$3&gt;=EOMONTH('R+RS+B'!G4,0),'R+RP+B'!G21,IF(G5="r+st",'Real+S.T.'!$G$48,IF('R+RS+B'!G5="bdgt",BDGT!F20,"")))</f>
        <v>89.290935672514621</v>
      </c>
      <c r="H24" s="1742">
        <f>IF(Factores!$D$3&gt;=EOMONTH('R+RS+B'!H4,0),'R+RP+B'!H21,IF(H5="r+st",'Real+S.T.'!$G$48,IF('R+RS+B'!H5="bdgt",BDGT!G20,"")))</f>
        <v>92.551583891515378</v>
      </c>
      <c r="I24" s="1742">
        <f>IF(Factores!$D$3&gt;=EOMONTH('R+RS+B'!I4,0),'R+RP+B'!I21,IF(I5="r+st",'Real+S.T.'!$G$48,IF('R+RS+B'!I5="bdgt",BDGT!H20,"")))</f>
        <v>0.68062526822697333</v>
      </c>
      <c r="J24" s="1742">
        <f>IF(Factores!$D$3&gt;=EOMONTH('R+RS+B'!J4,0),'R+RP+B'!J21,IF(J5="r+st",'Real+S.T.'!$G$48,IF('R+RS+B'!J5="bdgt",BDGT!I20,"")))</f>
        <v>0.95699204868154153</v>
      </c>
      <c r="K24" s="1742">
        <f>IF(Factores!$D$3&gt;=EOMONTH('R+RS+B'!K4,0),'R+RP+B'!K21,IF(K5="r+st",'Real+S.T.'!$G$48,IF('R+RS+B'!K5="bdgt",BDGT!J20,"")))</f>
        <v>0.96491596355991593</v>
      </c>
      <c r="L24" s="1742">
        <f>IF(Factores!$D$3&gt;=EOMONTH('R+RS+B'!L4,0),'R+RP+B'!L21,IF(L5="r+st",'Real+S.T.'!$G$48,IF('R+RS+B'!L5="bdgt",BDGT!K20,"")))</f>
        <v>0.94087569491525413</v>
      </c>
      <c r="M24" s="1742">
        <f>IF(Factores!$D$3&gt;=EOMONTH('R+RS+B'!M4,0),'R+RP+B'!M21,IF(M5="r+st",'Real+S.T.'!$G$48,IF('R+RS+B'!M5="bdgt",BDGT!L20,"")))</f>
        <v>0.91154292765382017</v>
      </c>
      <c r="N24" s="1742">
        <f>IF(Factores!$D$3&gt;=EOMONTH('R+RS+B'!N4,0),'R+RP+B'!N21,IF(N5="r+st",'Real+S.T.'!$G$48,IF('R+RS+B'!N5="bdgt",BDGT!M20,"")))</f>
        <v>0.94525679638637938</v>
      </c>
      <c r="O24" s="1742">
        <f>IF(Factores!$D$3&gt;=EOMONTH('R+RS+B'!O4,0),'R+RP+B'!O21,IF(O5="r+st",'Real+S.T.'!$G$48,IF('R+RS+B'!O5="bdgt",BDGT!N20,"")))</f>
        <v>0.96476707464694011</v>
      </c>
      <c r="P24" s="1742">
        <f>IF(Factores!$D$3&gt;=EOMONTH('R+RS+B'!P4,0),'R+RP+B'!P21,IF(P5="r+st",'Real+S.T.'!$G$48,IF('R+RS+B'!P5="bdgt",BDGT!O20,"")))</f>
        <v>0.96672030576789436</v>
      </c>
      <c r="Q24" s="1742">
        <f>IF(Factores!$D$3&gt;=EOMONTH('R+RS+B'!Q4,0),'R+RP+B'!Q21,IF(Q5="r+st",'Real+S.T.'!$G$48,IF('R+RS+B'!Q5="bdgt",BDGT!P20,"")))</f>
        <v>0.96088086079354407</v>
      </c>
      <c r="R24" s="500"/>
      <c r="S24" s="106">
        <f>SUMPRODUCT(F6:Q6,F24:Q24)/SUM(F6:Q6)</f>
        <v>20.916348129210299</v>
      </c>
      <c r="T24" s="500"/>
      <c r="U24" s="81">
        <f>IF(MONTH(Factores!$D$2)=1,SUMPRODUCT($F$6:$F$6,$F24:F24)/SUM($F$6:$F$6),IF(MONTH(Factores!$D$2)=2,SUMPRODUCT($F$6:$G$6,$F24:G24)/SUM($F$6:$G$6),IF(MONTH(Factores!$D$2)=3,SUMPRODUCT($F$6:$H$6,$F24:H24)/SUM($F$6:$H$6),IF(MONTH(Factores!$D$2)=4,SUMPRODUCT($F$6:$I$6,$F24:I24)/SUM($F$6:$I$6),IF(MONTH(Factores!$D$2)=5,SUMPRODUCT($F$6:$J$6,$F24:J24)/SUM($F$6:$J$6),IF(MONTH(Factores!$D$2)=6,SUMPRODUCT($F$6:$K$6,$F24:K24)/SUM($F$6:$K$6),IF(MONTH(Factores!$D$2)=7,SUMPRODUCT($F$6:$L$6,$F24:L24)/SUM($F$6:$L$6),IF(MONTH(Factores!$D$2)=8,SUMPRODUCT($F$6:$M$6,$F24:M24)/SUM($F$6:$M$6),IF(MONTH(Factores!$D$2)=9,SUMPRODUCT($F$6:$N$6,$F24:N24)/SUM($F$6:$N$6),IF(MONTH(Factores!$D$2)=10,SUMPRODUCT($F$6:$O$6,$F24:O24)/SUM($F$6:$O$6),IF(MONTH(Factores!$D$2)=11,SUMPRODUCT($F$6:$P$6,$F24:P24)/SUM($F$6:$P$6),IF(MONTH(Factores!$D$2)=12,SUMPRODUCT($F$6:$Q$6,$F24:Q24)/SUM($F$6:$Q$6)))))))))))))</f>
        <v>82.121471488558996</v>
      </c>
      <c r="V24" s="81">
        <f>IF(MONTH(Factores!$D$2)=1,SUMPRODUCT($F$6:$F$6,$F24:F24)/SUM($F$6:$F$6),IF(MONTH(Factores!$D$2)=2,SUMPRODUCT($F$6:$F$6,$F24:F24)/SUM($F$6:$F$6),IF(MONTH(Factores!$D$2)=3,SUMPRODUCT($F$6:$G$6,$F24:G24)/SUM($F$6:$G$6),IF(MONTH(Factores!$D$2)=4,SUMPRODUCT($F$6:$H$6,$F24:H24)/SUM($F$6:$H$6),IF(MONTH(Factores!$D$2)=5,SUMPRODUCT($F$6:$I$6,$F24:I24)/SUM($F$6:$I$6),IF(MONTH(Factores!$D$2)=6,SUMPRODUCT($F$6:$J$6,$F24:J24)/SUM($F$6:$J$6),IF(MONTH(Factores!$D$2)=7,SUMPRODUCT($F$6:$K$6,$F24:K24)/SUM($F$6:$K$6),IF(MONTH(Factores!$D$2)=8,SUMPRODUCT($F$6:$L$6,$F24:L24)/SUM($F$6:$L$6),IF(MONTH(Factores!$D$2)=9,SUMPRODUCT($F$6:$M$6,$F24:M24)/SUM($F$6:$M$6),IF(MONTH(Factores!$D$2)=10,SUMPRODUCT($F$6:$N$6,$F24:N24)/SUM($F$6:$N$6),IF(MONTH(Factores!$D$2)=11,SUMPRODUCT($F$6:$O$6,$F24:O24)/SUM($F$6:$O$6),IF(MONTH(Factores!$D$2)=12,SUMPRODUCT($F$6:$P$6,$F24:P24)/SUM($F$6:$P$6)))))))))))))</f>
        <v>76.641242937853107</v>
      </c>
      <c r="W24" s="568"/>
      <c r="X24" s="146" t="s">
        <v>1011</v>
      </c>
      <c r="Y24" s="4795" t="s">
        <v>1012</v>
      </c>
      <c r="Z24" s="4795"/>
      <c r="AC24" s="605"/>
    </row>
    <row r="25" spans="2:29" s="426" customFormat="1" hidden="1">
      <c r="B25" s="607"/>
      <c r="C25" s="78" t="s">
        <v>216</v>
      </c>
      <c r="D25" s="79" t="s">
        <v>48</v>
      </c>
      <c r="E25" s="80"/>
      <c r="F25" s="1751" t="e">
        <f>#REF!</f>
        <v>#REF!</v>
      </c>
      <c r="G25" s="1732">
        <f>'[21]R+RS+B'!G25</f>
        <v>0</v>
      </c>
      <c r="H25" s="1732">
        <f>'[21]R+RS+B'!H25</f>
        <v>0</v>
      </c>
      <c r="I25" s="1732">
        <f>'[21]R+RS+B'!I25</f>
        <v>0</v>
      </c>
      <c r="J25" s="1732">
        <f>'[21]R+RS+B'!J25</f>
        <v>0</v>
      </c>
      <c r="K25" s="1732">
        <f>'[21]R+RS+B'!K25</f>
        <v>0</v>
      </c>
      <c r="L25" s="1732">
        <f>'[21]R+RS+B'!L25</f>
        <v>0</v>
      </c>
      <c r="M25" s="1732">
        <f>'[21]R+RS+B'!M25</f>
        <v>0</v>
      </c>
      <c r="N25" s="1732">
        <f>'[21]R+RS+B'!N25</f>
        <v>0</v>
      </c>
      <c r="O25" s="1732" t="e">
        <f>'[21]R+RS+B'!O25</f>
        <v>#REF!</v>
      </c>
      <c r="P25" s="1732">
        <f>'[21]R+RS+B'!P25</f>
        <v>0</v>
      </c>
      <c r="Q25" s="1732">
        <f>'[21]R+RS+B'!Q25</f>
        <v>0</v>
      </c>
      <c r="R25" s="73"/>
      <c r="S25" s="681"/>
      <c r="T25" s="73"/>
      <c r="U25" s="85"/>
      <c r="V25" s="85"/>
      <c r="X25" s="147"/>
      <c r="Y25" s="145"/>
      <c r="Z25" s="145"/>
      <c r="AC25" s="605"/>
    </row>
    <row r="26" spans="2:29" s="426" customFormat="1" hidden="1">
      <c r="B26" s="607"/>
      <c r="C26" s="78" t="s">
        <v>217</v>
      </c>
      <c r="D26" s="79" t="s">
        <v>218</v>
      </c>
      <c r="E26" s="80"/>
      <c r="F26" s="1751" t="e">
        <f>#REF!</f>
        <v>#REF!</v>
      </c>
      <c r="G26" s="1732">
        <f>'[21]R+RS+B'!G26</f>
        <v>0</v>
      </c>
      <c r="H26" s="1732">
        <f>'[21]R+RS+B'!H26</f>
        <v>0</v>
      </c>
      <c r="I26" s="1732">
        <f>'[21]R+RS+B'!I26</f>
        <v>0</v>
      </c>
      <c r="J26" s="1732">
        <f>'[21]R+RS+B'!J26</f>
        <v>0</v>
      </c>
      <c r="K26" s="1732">
        <f>'[21]R+RS+B'!K26</f>
        <v>0</v>
      </c>
      <c r="L26" s="1732">
        <f>'[21]R+RS+B'!L26</f>
        <v>0</v>
      </c>
      <c r="M26" s="1732">
        <f>'[21]R+RS+B'!M26</f>
        <v>0</v>
      </c>
      <c r="N26" s="1732">
        <f>'[21]R+RS+B'!N26</f>
        <v>0</v>
      </c>
      <c r="O26" s="1732" t="e">
        <f>'[21]R+RS+B'!O26</f>
        <v>#REF!</v>
      </c>
      <c r="P26" s="1732">
        <f>'[21]R+RS+B'!P26</f>
        <v>0</v>
      </c>
      <c r="Q26" s="1732">
        <f>'[21]R+RS+B'!Q26</f>
        <v>0</v>
      </c>
      <c r="R26" s="73"/>
      <c r="S26" s="425"/>
      <c r="T26" s="73"/>
      <c r="U26" s="225"/>
      <c r="V26" s="225"/>
      <c r="X26" s="147"/>
      <c r="Y26" s="145"/>
      <c r="Z26" s="145"/>
      <c r="AC26" s="605"/>
    </row>
    <row r="27" spans="2:29" s="426" customFormat="1" hidden="1">
      <c r="B27" s="607"/>
      <c r="C27" s="78" t="s">
        <v>219</v>
      </c>
      <c r="D27" s="79" t="s">
        <v>218</v>
      </c>
      <c r="E27" s="80"/>
      <c r="F27" s="1751" t="e">
        <f>#REF!</f>
        <v>#REF!</v>
      </c>
      <c r="G27" s="1732">
        <f>'[21]R+RS+B'!G27</f>
        <v>0</v>
      </c>
      <c r="H27" s="1732">
        <f>'[21]R+RS+B'!H27</f>
        <v>0</v>
      </c>
      <c r="I27" s="1732">
        <f>'[21]R+RS+B'!I27</f>
        <v>0</v>
      </c>
      <c r="J27" s="1732">
        <f>'[21]R+RS+B'!J27</f>
        <v>0</v>
      </c>
      <c r="K27" s="1732">
        <f>'[21]R+RS+B'!K27</f>
        <v>0</v>
      </c>
      <c r="L27" s="1732">
        <f>'[21]R+RS+B'!L27</f>
        <v>0</v>
      </c>
      <c r="M27" s="1732">
        <f>'[21]R+RS+B'!M27</f>
        <v>0</v>
      </c>
      <c r="N27" s="1732">
        <f>'[21]R+RS+B'!N27</f>
        <v>0</v>
      </c>
      <c r="O27" s="1732" t="e">
        <f>'[21]R+RS+B'!O27</f>
        <v>#REF!</v>
      </c>
      <c r="P27" s="1732">
        <f>'[21]R+RS+B'!P27</f>
        <v>0</v>
      </c>
      <c r="Q27" s="1732">
        <f>'[21]R+RS+B'!Q27</f>
        <v>0</v>
      </c>
      <c r="R27" s="73"/>
      <c r="S27" s="425"/>
      <c r="T27" s="73"/>
      <c r="U27" s="225"/>
      <c r="V27" s="225"/>
      <c r="X27" s="147"/>
      <c r="Y27" s="145"/>
      <c r="Z27" s="145"/>
      <c r="AC27" s="605"/>
    </row>
    <row r="28" spans="2:29" s="426" customFormat="1" hidden="1">
      <c r="B28" s="607"/>
      <c r="C28" s="78" t="s">
        <v>220</v>
      </c>
      <c r="D28" s="79" t="s">
        <v>218</v>
      </c>
      <c r="E28" s="80"/>
      <c r="F28" s="1751" t="e">
        <f>#REF!</f>
        <v>#REF!</v>
      </c>
      <c r="G28" s="1732">
        <f>'[21]R+RS+B'!G28</f>
        <v>0</v>
      </c>
      <c r="H28" s="1732">
        <f>'[21]R+RS+B'!H28</f>
        <v>0</v>
      </c>
      <c r="I28" s="1732">
        <f>'[21]R+RS+B'!I28</f>
        <v>0</v>
      </c>
      <c r="J28" s="1732">
        <f>'[21]R+RS+B'!J28</f>
        <v>0</v>
      </c>
      <c r="K28" s="1732">
        <f>'[21]R+RS+B'!K28</f>
        <v>0</v>
      </c>
      <c r="L28" s="1732">
        <f>'[21]R+RS+B'!L28</f>
        <v>0</v>
      </c>
      <c r="M28" s="1732">
        <f>'[21]R+RS+B'!M28</f>
        <v>0</v>
      </c>
      <c r="N28" s="1732">
        <f>'[21]R+RS+B'!N28</f>
        <v>0</v>
      </c>
      <c r="O28" s="1732" t="e">
        <f>'[21]R+RS+B'!O28</f>
        <v>#REF!</v>
      </c>
      <c r="P28" s="1732">
        <f>'[21]R+RS+B'!P28</f>
        <v>0</v>
      </c>
      <c r="Q28" s="1732">
        <f>'[21]R+RS+B'!Q28</f>
        <v>0</v>
      </c>
      <c r="R28" s="86"/>
      <c r="S28" s="425"/>
      <c r="T28" s="73"/>
      <c r="U28" s="226"/>
      <c r="V28" s="226"/>
      <c r="X28" s="147"/>
      <c r="Y28" s="145"/>
      <c r="Z28" s="145"/>
      <c r="AC28" s="605"/>
    </row>
    <row r="29" spans="2:29" s="426" customFormat="1" hidden="1">
      <c r="B29" s="607"/>
      <c r="C29" s="78" t="s">
        <v>221</v>
      </c>
      <c r="D29" s="79" t="s">
        <v>218</v>
      </c>
      <c r="E29" s="80"/>
      <c r="F29" s="1751" t="e">
        <f>#REF!</f>
        <v>#REF!</v>
      </c>
      <c r="G29" s="1732">
        <f>'[21]R+RS+B'!G29</f>
        <v>0</v>
      </c>
      <c r="H29" s="1732">
        <f>'[21]R+RS+B'!H29</f>
        <v>0</v>
      </c>
      <c r="I29" s="1732">
        <f>'[21]R+RS+B'!I29</f>
        <v>0</v>
      </c>
      <c r="J29" s="1732">
        <f>'[21]R+RS+B'!J29</f>
        <v>0</v>
      </c>
      <c r="K29" s="1732">
        <f>'[21]R+RS+B'!K29</f>
        <v>0</v>
      </c>
      <c r="L29" s="1732">
        <f>'[21]R+RS+B'!L29</f>
        <v>0</v>
      </c>
      <c r="M29" s="1732">
        <f>'[21]R+RS+B'!M29</f>
        <v>0</v>
      </c>
      <c r="N29" s="1732">
        <f>'[21]R+RS+B'!N29</f>
        <v>0</v>
      </c>
      <c r="O29" s="1732" t="e">
        <f>'[21]R+RS+B'!O29</f>
        <v>#REF!</v>
      </c>
      <c r="P29" s="1732">
        <f>'[21]R+RS+B'!P29</f>
        <v>0</v>
      </c>
      <c r="Q29" s="1732">
        <f>'[21]R+RS+B'!Q29</f>
        <v>0</v>
      </c>
      <c r="R29" s="73"/>
      <c r="S29" s="425"/>
      <c r="T29" s="73"/>
      <c r="U29" s="225"/>
      <c r="V29" s="225"/>
      <c r="X29" s="147"/>
      <c r="Y29" s="145"/>
      <c r="Z29" s="145"/>
      <c r="AC29" s="605"/>
    </row>
    <row r="30" spans="2:29" s="426" customFormat="1" hidden="1">
      <c r="B30" s="607"/>
      <c r="C30" s="78" t="s">
        <v>222</v>
      </c>
      <c r="D30" s="79" t="s">
        <v>218</v>
      </c>
      <c r="E30" s="80"/>
      <c r="F30" s="1751" t="e">
        <f>#REF!</f>
        <v>#REF!</v>
      </c>
      <c r="G30" s="1732">
        <f>'[21]R+RS+B'!G30</f>
        <v>0</v>
      </c>
      <c r="H30" s="1732">
        <f>'[21]R+RS+B'!H30</f>
        <v>0</v>
      </c>
      <c r="I30" s="1732">
        <f>'[21]R+RS+B'!I30</f>
        <v>0</v>
      </c>
      <c r="J30" s="1732">
        <f>'[21]R+RS+B'!J30</f>
        <v>0</v>
      </c>
      <c r="K30" s="1732">
        <f>'[21]R+RS+B'!K30</f>
        <v>0</v>
      </c>
      <c r="L30" s="1732">
        <f>'[21]R+RS+B'!L30</f>
        <v>0</v>
      </c>
      <c r="M30" s="1732">
        <f>'[21]R+RS+B'!M30</f>
        <v>0</v>
      </c>
      <c r="N30" s="1732">
        <f>'[21]R+RS+B'!N30</f>
        <v>0</v>
      </c>
      <c r="O30" s="1732" t="e">
        <f>'[21]R+RS+B'!O30</f>
        <v>#REF!</v>
      </c>
      <c r="P30" s="1732">
        <f>'[21]R+RS+B'!P30</f>
        <v>0</v>
      </c>
      <c r="Q30" s="1732">
        <f>'[21]R+RS+B'!Q30</f>
        <v>0</v>
      </c>
      <c r="R30" s="73"/>
      <c r="S30" s="425"/>
      <c r="T30" s="73"/>
      <c r="U30" s="225"/>
      <c r="V30" s="225"/>
      <c r="X30" s="147"/>
      <c r="Y30" s="145"/>
      <c r="Z30" s="145"/>
      <c r="AC30" s="605"/>
    </row>
    <row r="31" spans="2:29" s="426" customFormat="1">
      <c r="B31" s="607"/>
      <c r="C31" s="111"/>
      <c r="D31" s="82"/>
      <c r="E31" s="80"/>
      <c r="F31" s="1751"/>
      <c r="G31" s="1732"/>
      <c r="H31" s="1732"/>
      <c r="I31" s="1732"/>
      <c r="J31" s="1732"/>
      <c r="K31" s="1732"/>
      <c r="L31" s="1732"/>
      <c r="M31" s="1732"/>
      <c r="N31" s="1732"/>
      <c r="O31" s="1732"/>
      <c r="P31" s="1732"/>
      <c r="Q31" s="1732"/>
      <c r="R31" s="73"/>
      <c r="S31" s="530"/>
      <c r="T31" s="73"/>
      <c r="U31" s="227"/>
      <c r="V31" s="227"/>
      <c r="X31" s="147"/>
      <c r="Y31" s="145"/>
      <c r="Z31" s="145"/>
      <c r="AC31" s="605"/>
    </row>
    <row r="32" spans="2:29" s="426" customFormat="1" ht="30" customHeight="1">
      <c r="B32" s="607"/>
      <c r="C32" s="78" t="s">
        <v>223</v>
      </c>
      <c r="D32" s="87" t="s">
        <v>48</v>
      </c>
      <c r="E32" s="80"/>
      <c r="F32" s="1750">
        <f>IF(Factores!$D$3&gt;=EOMONTH('R+RS+B'!F4,0),'R+RP+B'!F29,IF(F5="r+st",'Real+S.T.'!$I$48,IF('R+RS+B'!F5="bdgt",BDGT!E29,"")))</f>
        <v>0.52516576586130848</v>
      </c>
      <c r="G32" s="1739">
        <f>IF(Factores!$D$3&gt;=EOMONTH('R+RS+B'!G4,0),'R+RP+B'!G29,IF(G5="r+st",'Real+S.T.'!$I$48,IF('R+RS+B'!G5="bdgt",BDGT!F29,"")))</f>
        <v>0.49560564088439679</v>
      </c>
      <c r="H32" s="1739">
        <f>IF(Factores!$D$3&gt;=EOMONTH('R+RS+B'!H4,0),'R+RP+B'!H29,IF(H5="r+st",'Real+S.T.'!$I$48,IF('R+RS+B'!H5="bdgt",BDGT!G29,"")))</f>
        <v>0.52521337819978431</v>
      </c>
      <c r="I32" s="1739">
        <f>IF(Factores!$D$3&gt;=EOMONTH('R+RS+B'!I4,0),'R+RP+B'!I29,IF(I5="r+st",'Real+S.T.'!$I$48,IF('R+RS+B'!I5="bdgt",BDGT!H29,"")))</f>
        <v>0.63704189198698991</v>
      </c>
      <c r="J32" s="1739">
        <f>IF(Factores!$D$3&gt;=EOMONTH('R+RS+B'!J4,0),'R+RP+B'!J29,IF(J5="r+st",'Real+S.T.'!$I$48,IF('R+RS+B'!J5="bdgt",BDGT!I29,"")))</f>
        <v>0.59109678083398087</v>
      </c>
      <c r="K32" s="1739">
        <f>IF(Factores!$D$3&gt;=EOMONTH('R+RS+B'!K4,0),'R+RP+B'!K29,IF(K5="r+st",'Real+S.T.'!$I$48,IF('R+RS+B'!K5="bdgt",BDGT!J29,"")))</f>
        <v>0.60545287776415124</v>
      </c>
      <c r="L32" s="1739">
        <f>IF(Factores!$D$3&gt;=EOMONTH('R+RS+B'!L4,0),'R+RP+B'!L29,IF(L5="r+st",'Real+S.T.'!$I$48,IF('R+RS+B'!L5="bdgt",BDGT!K29,"")))</f>
        <v>0.54789445382078417</v>
      </c>
      <c r="M32" s="1739">
        <f>IF(Factores!$D$3&gt;=EOMONTH('R+RS+B'!M4,0),'R+RP+B'!M29,IF(M5="r+st",'Real+S.T.'!$I$48,IF('R+RS+B'!M5="bdgt",BDGT!L29,"")))</f>
        <v>0.6886811649345963</v>
      </c>
      <c r="N32" s="1739">
        <f>IF(Factores!$D$3&gt;=EOMONTH('R+RS+B'!N4,0),'R+RP+B'!N29,IF(N5="r+st",'Real+S.T.'!$I$48,IF('R+RS+B'!N5="bdgt",BDGT!M29,"")))</f>
        <v>0.60633707854687813</v>
      </c>
      <c r="O32" s="1739">
        <f>IF(Factores!$D$3&gt;=EOMONTH('R+RS+B'!O4,0),'R+RP+B'!O29,IF(O5="r+st",'Real+S.T.'!$I$48,IF('R+RS+B'!O5="bdgt",BDGT!N29,"")))</f>
        <v>0.63541411872800913</v>
      </c>
      <c r="P32" s="1739">
        <f>IF(Factores!$D$3&gt;=EOMONTH('R+RS+B'!P4,0),'R+RP+B'!P29,IF(P5="r+st",'Real+S.T.'!$I$48,IF('R+RS+B'!P5="bdgt",BDGT!O29,"")))</f>
        <v>0.67569467246353854</v>
      </c>
      <c r="Q32" s="1739">
        <f>IF(Factores!$D$3&gt;=EOMONTH('R+RS+B'!Q4,0),'R+RP+B'!Q29,IF(Q5="r+st",'Real+S.T.'!$I$48,IF('R+RS+B'!Q5="bdgt",BDGT!P29,"")))</f>
        <v>0.69002820599001813</v>
      </c>
      <c r="R32" s="682"/>
      <c r="S32" s="617">
        <f>SUMPRODUCT(F32:Q32,F20:Q20)/SUM(F20:Q20)</f>
        <v>0.60431869898141366</v>
      </c>
      <c r="T32" s="429"/>
      <c r="U32" s="412">
        <f>IF(MONTH(Factores!$D$2)=1,SUMPRODUCT($F$20:$F$20,$F32:F32)/SUM($F$20:$F$20),IF(MONTH(Factores!$D$2)=2,SUMPRODUCT($F$20:$G$20,$F32:G32)/SUM($F$20:$G$20),IF(MONTH(Factores!$D$2)=3,SUMPRODUCT($F$20:$H$20,$F32:H32)/SUM($F$20:$H$20),IF(MONTH(Factores!$D$2)=4,SUMPRODUCT($F$20:$I$20,$F32:I32)/SUM($F$20:$I$20),IF(MONTH(Factores!$D$2)=5,SUMPRODUCT($F$20:$J$20,$F32:J32)/SUM($F$20:$J$20),IF(MONTH(Factores!$D$2)=6,SUMPRODUCT($F$20:$K$20,$F32:K32)/SUM($F$20:$K$20),IF(MONTH(Factores!$D$2)=7,SUMPRODUCT($F$20:$L$20,$F32:L32)/SUM($F$20:$L$20),IF(MONTH(Factores!$D$2)=8,SUMPRODUCT($F$20:$M$20,$F32:M32)/SUM($F$20:$M$20),IF(MONTH(Factores!$D$2)=9,SUMPRODUCT($F$20:$N$20,$F32:N32)/SUM($F$20:$N$20),IF(MONTH(Factores!$D$2)=10,SUMPRODUCT($F$20:$O$20,$F32:O32)/SUM($F$20:$O$20),IF(MONTH(Factores!$D$2)=11,SUMPRODUCT($F$20:$P$20,$F32:P32)/SUM($F$20:$P$20),IF(MONTH(Factores!$D$2)=12,SUMPRODUCT($F$20:$Q$20,$F32:Q32)/SUM($F$20:$Q$20)))))))))))))</f>
        <v>0.51506712040159142</v>
      </c>
      <c r="V32" s="412">
        <f>IF(MONTH(Factores!$D$2)=1,SUMPRODUCT($F$20:$F$20,$F32:F32)/SUM($F$20:$F$20),IF(MONTH(Factores!$D$2)=2,SUMPRODUCT($F$20:$F$20,$F32:F32)/SUM($F$20:$F$20),IF(MONTH(Factores!$D$2)=3,SUMPRODUCT($F$20:$G$20,$F32:G32)/SUM($F$20:$G$20),IF(MONTH(Factores!$D$2)=4,SUMPRODUCT($F$20:$H$20,$F32:H32)/SUM($F$20:$H$20),IF(MONTH(Factores!$D$2)=5,SUMPRODUCT($F$20:$I$20,$F32:I32)/SUM($F$20:$I$20),IF(MONTH(Factores!$D$2)=6,SUMPRODUCT($F$20:$J$20,$F32:J32)/SUM($F$20:$J$20),IF(MONTH(Factores!$D$2)=7,SUMPRODUCT($F$20:$K$20,$F32:K32)/SUM($F$20:$K$20),IF(MONTH(Factores!$D$2)=8,SUMPRODUCT($F$20:$L$20,$F32:L32)/SUM($F$20:$L$20),IF(MONTH(Factores!$D$2)=9,SUMPRODUCT($F$20:$M$20,$F32:M32)/SUM($F$20:$M$20),IF(MONTH(Factores!$D$2)=10,SUMPRODUCT($F$20:$N$20,$F32:N32)/SUM($F$20:$N$20),IF(MONTH(Factores!$D$2)=11,SUMPRODUCT($F$20:$O$20,$F32:O32)/SUM($F$20:$O$20),IF(MONTH(Factores!$D$2)=12,SUMPRODUCT($F$20:$P$20,$F32:P32)/SUM($F$20:$P$20)))))))))))))</f>
        <v>0.50854925933657746</v>
      </c>
      <c r="X32" s="146" t="s">
        <v>89</v>
      </c>
      <c r="Y32" s="144" t="s">
        <v>1005</v>
      </c>
      <c r="Z32" s="144" t="s">
        <v>1013</v>
      </c>
      <c r="AC32" s="605"/>
    </row>
    <row r="33" spans="2:29" s="426" customFormat="1" ht="30" customHeight="1">
      <c r="B33" s="607"/>
      <c r="C33" s="78" t="s">
        <v>224</v>
      </c>
      <c r="D33" s="87" t="s">
        <v>48</v>
      </c>
      <c r="E33" s="80"/>
      <c r="F33" s="1754">
        <f>IF(Factores!$D$3&gt;=EOMONTH('R+RS+B'!F4,0),'R+RP+B'!F30,IF(F5="r+st",'Real+S.T.'!$J$48,IF('R+RS+B'!F5="bdgt",BDGT!E30,"")))</f>
        <v>90.651454325273122</v>
      </c>
      <c r="G33" s="1742">
        <f>IF(Factores!$D$3&gt;=EOMONTH('R+RS+B'!G4,0),'R+RP+B'!G30,IF(G5="r+st",'Real+S.T.'!$J$48,IF('R+RS+B'!G5="bdgt",BDGT!F30,"")))</f>
        <v>90.512384176816894</v>
      </c>
      <c r="H33" s="1742">
        <f>IF(Factores!$D$3&gt;=EOMONTH('R+RS+B'!H4,0),'R+RP+B'!H30,IF(H5="r+st",'Real+S.T.'!$J$48,IF('R+RS+B'!H5="bdgt",BDGT!G30,"")))</f>
        <v>90.442868173189026</v>
      </c>
      <c r="I33" s="1742">
        <f>IF(Factores!$D$3&gt;=EOMONTH('R+RS+B'!I4,0),'R+RP+B'!I30,IF(I5="r+st",'Real+S.T.'!$J$48,IF('R+RS+B'!I5="bdgt",BDGT!H30,"")))</f>
        <v>90.440219377357522</v>
      </c>
      <c r="J33" s="1742">
        <f>IF(Factores!$D$3&gt;=EOMONTH('R+RS+B'!J4,0),'R+RP+B'!J30,IF(J5="r+st",'Real+S.T.'!$J$48,IF('R+RS+B'!J5="bdgt",BDGT!I30,"")))</f>
        <v>90.080086556341016</v>
      </c>
      <c r="K33" s="1742">
        <f>IF(Factores!$D$3&gt;=EOMONTH('R+RS+B'!K4,0),'R+RP+B'!K30,IF(K5="r+st",'Real+S.T.'!$J$48,IF('R+RS+B'!K5="bdgt",BDGT!J30,"")))</f>
        <v>90.14666755520922</v>
      </c>
      <c r="L33" s="1742">
        <f>IF(Factores!$D$3&gt;=EOMONTH('R+RS+B'!L4,0),'R+RP+B'!L30,IF(L5="r+st",'Real+S.T.'!$J$48,IF('R+RS+B'!L5="bdgt",BDGT!K30,"")))</f>
        <v>90.688579548038277</v>
      </c>
      <c r="M33" s="1742">
        <f>IF(Factores!$D$3&gt;=EOMONTH('R+RS+B'!M4,0),'R+RP+B'!M30,IF(M5="r+st",'Real+S.T.'!$J$48,IF('R+RS+B'!M5="bdgt",BDGT!L30,"")))</f>
        <v>90.843901915011372</v>
      </c>
      <c r="N33" s="1742">
        <f>IF(Factores!$D$3&gt;=EOMONTH('R+RS+B'!N4,0),'R+RP+B'!N30,IF(N5="r+st",'Real+S.T.'!$J$48,IF('R+RS+B'!N5="bdgt",BDGT!M30,"")))</f>
        <v>90.564675720886868</v>
      </c>
      <c r="O33" s="1742">
        <f>IF(Factores!$D$3&gt;=EOMONTH('R+RS+B'!O4,0),'R+RP+B'!O30,IF(O5="r+st",'Real+S.T.'!$J$48,IF('R+RS+B'!O5="bdgt",BDGT!N30,"")))</f>
        <v>90.725115448434224</v>
      </c>
      <c r="P33" s="1742">
        <f>IF(Factores!$D$3&gt;=EOMONTH('R+RS+B'!P4,0),'R+RP+B'!P30,IF(P5="r+st",'Real+S.T.'!$J$48,IF('R+RS+B'!P5="bdgt",BDGT!O30,"")))</f>
        <v>91.141794753803609</v>
      </c>
      <c r="Q33" s="1742">
        <f>IF(Factores!$D$3&gt;=EOMONTH('R+RS+B'!Q4,0),'R+RP+B'!Q30,IF(Q5="r+st",'Real+S.T.'!$J$48,IF('R+RS+B'!Q5="bdgt",BDGT!P30,"")))</f>
        <v>91.28287412291094</v>
      </c>
      <c r="R33" s="500"/>
      <c r="S33" s="531">
        <f>SUMPRODUCT(F20:Q20,F32:Q32,F33:Q33)/SUMPRODUCT(F20:Q20,F32:Q32)</f>
        <v>90.650718580496118</v>
      </c>
      <c r="T33" s="500"/>
      <c r="U33" s="174">
        <f>IF(MONTH(Factores!$D$2)=1,SUMPRODUCT($F$20:$F$20,$F$32:$F$32,$F33:F33)/SUMPRODUCT($F$20:$F$20,$F$32:$F$32),IF(MONTH(Factores!$D$2)=2,SUMPRODUCT($F$20:$G$20,$F$32:$G$32,$F33:G33)/SUMPRODUCT($F$20:$G$20,$F$32:$G$32),IF(MONTH(Factores!$D$2)=3,SUMPRODUCT($F$20:$H$20,$F$32:$H$32,$F33:H33)/SUMPRODUCT($F$20:$H$20,$F$32:$H$32),IF(MONTH(Factores!$D$2)=4,SUMPRODUCT($F$20:$I$20,$F$32:$I$32,$F33:I33)/SUMPRODUCT($F$20:$I$20,$F$32:$I$32),IF(MONTH(Factores!$D$2)=5,SUMPRODUCT($F$20:$J$20,$F$32:$J$32,$F33:J33)/SUMPRODUCT($F$20:$J$20,$F$32:$J$32),IF(MONTH(Factores!$D$2)=6,SUMPRODUCT($F$20:$K$20,$F$32:$K$32,$F33:K33)/SUMPRODUCT($F$20:$K$20,$F$32:$K$32),IF(MONTH(Factores!$D$2)=7,SUMPRODUCT($F$20:$L$20,$F$32:$L$32,$F33:L33)/SUMPRODUCT($F$20:$L$20,$F$32:$L$32),IF(MONTH(Factores!$D$2)=8,SUMPRODUCT($F$20:$M$20,$F$32:$M$32,$F33:M33)/SUMPRODUCT($F$20:$M$20,$F$32:$M$32),IF(MONTH(Factores!$D$2)=9,SUMPRODUCT($F$20:$N$20,$F$32:$N$32,$F33:N33)/SUMPRODUCT($F$20:$N$20,$F$32:$N$32),IF(MONTH(Factores!$D$2)=10,SUMPRODUCT($F$20:$O$20,$F$32:$O$32,$F33:O33)/SUMPRODUCT($F$20:$O$20,$F$32:$O$32),IF(MONTH(Factores!$D$2)=11,SUMPRODUCT($F$20:$P$20,$F$32:$P$32,$F33:P33)/SUMPRODUCT($F$20:$P$20,$F$32:$P$32),IF(MONTH(Factores!$D$2)=12,SUMPRODUCT($F$20:$Q$20,$F$32:$Q$32,$F33:Q33)/SUMPRODUCT($F$20:$Q$20,$F$32:$Q$32)))))))))))))</f>
        <v>90.522462819619761</v>
      </c>
      <c r="V33" s="174">
        <f>IF(MONTH(Factores!$D$2)=1,SUMPRODUCT($F$20:$F$20,$F$32:$F$32,$F33:F33)/SUMPRODUCT($F$20:$F$20,$F$32:$F$32),IF(MONTH(Factores!$D$2)=2,SUMPRODUCT($F$20:$F$20,$F$32:$F$32,$F33:F33)/SUMPRODUCT($F$20:$F$20,$F$32:$F$32),IF(MONTH(Factores!$D$2)=3,SUMPRODUCT($F$20:$G$20,$F$32:$G$32,$F33:G33)/SUMPRODUCT($F$20:$G$20,$F$32:$G$32),IF(MONTH(Factores!$D$2)=4,SUMPRODUCT($F$20:$H$20,$F$32:$H$32,$F33:H33)/SUMPRODUCT($F$20:$H$20,$F$32:$H$32),IF(MONTH(Factores!$D$2)=5,SUMPRODUCT($F$20:$I$20,$F$32:$I$32,$F33:I33)/SUMPRODUCT($F$20:$I$20,$F$32:$I$32),IF(MONTH(Factores!$D$2)=6,SUMPRODUCT($F$20:$J$20,$F$32:$J$32,$F33:J33)/SUMPRODUCT($F$20:$J$20,$F$32:$J$32),IF(MONTH(Factores!$D$2)=7,SUMPRODUCT($F$20:$K$20,$F$32:$K$32,$F33:K33)/SUMPRODUCT($F$20:$K$20,$F$32:$K$32),IF(MONTH(Factores!$D$2)=8,SUMPRODUCT($F$20:$L$20,$F$32:$L$32,$F33:L33)/SUMPRODUCT($F$20:$L$20,$F$32:$L$32),IF(MONTH(Factores!$D$2)=9,SUMPRODUCT($F$20:$M$20,$F$32:$M$32,$F33:M33)/SUMPRODUCT($F$20:$M$20,$F$32:$M$32),IF(MONTH(Factores!$D$2)=10,SUMPRODUCT($F$20:$N$20,$F$32:$N$32,$F33:N33)/SUMPRODUCT($F$20:$N$20,$F$32:$N$32),IF(MONTH(Factores!$D$2)=11,SUMPRODUCT($F$20:$O$20,$F$32:$O$32,$F33:O33)/SUMPRODUCT($F$20:$O$20,$F$32:$O$32),IF(MONTH(Factores!$D$2)=12,SUMPRODUCT($F$20:$P$20,$F$32:$P$32,$F33:P33)/SUMPRODUCT($F$20:$P$20,$F$32:$P$32)))))))))))))</f>
        <v>90.575269129224452</v>
      </c>
      <c r="W33" s="570"/>
      <c r="X33" s="146" t="s">
        <v>1014</v>
      </c>
      <c r="Y33" s="144" t="s">
        <v>1015</v>
      </c>
      <c r="Z33" s="144" t="s">
        <v>1016</v>
      </c>
      <c r="AC33" s="605"/>
    </row>
    <row r="34" spans="2:29" s="426" customFormat="1" ht="30" customHeight="1">
      <c r="B34" s="607"/>
      <c r="C34" s="78" t="s">
        <v>225</v>
      </c>
      <c r="D34" s="88" t="s">
        <v>204</v>
      </c>
      <c r="E34" s="80"/>
      <c r="F34" s="1755">
        <f>IF(Factores!$D$3&gt;=EOMONTH('R+RS+B'!F4,0),'R+RP+B'!F31,IF(F5="r+st",'Real+S.T.'!$M$48/1000,IF('R+RS+B'!F5="bdgt",BDGT!E32,"")))</f>
        <v>70.931306150247394</v>
      </c>
      <c r="G34" s="1743">
        <f>IF(Factores!$D$3&gt;=EOMONTH('R+RS+B'!G4,0),'R+RP+B'!G31,IF(G5="r+st",'Real+S.T.'!$M$48/1000,IF('R+RS+B'!G5="bdgt",BDGT!F32,"")))</f>
        <v>84.453190956582219</v>
      </c>
      <c r="H34" s="1743">
        <f>IF(Factores!$D$3&gt;=EOMONTH('R+RS+B'!H4,0),'R+RP+B'!H31,IF(H5="r+st",'Real+S.T.'!$M$48/1000,IF('R+RS+B'!H5="bdgt",BDGT!G32,"")))</f>
        <v>104.47781565840648</v>
      </c>
      <c r="I34" s="1743">
        <f>IF(Factores!$D$3&gt;=EOMONTH('R+RS+B'!I4,0),'R+RP+B'!I31,IF(I5="r+st",'Real+S.T.'!$M$48/1000,IF('R+RS+B'!I5="bdgt",BDGT!H32,"")))</f>
        <v>78.045538606281255</v>
      </c>
      <c r="J34" s="1743">
        <f>IF(Factores!$D$3&gt;=EOMONTH('R+RS+B'!J4,0),'R+RP+B'!J31,IF(J5="r+st",'Real+S.T.'!$M$48/1000,IF('R+RS+B'!J5="bdgt",BDGT!I32,"")))</f>
        <v>114.67985592043745</v>
      </c>
      <c r="K34" s="1743">
        <f>IF(Factores!$D$3&gt;=EOMONTH('R+RS+B'!K4,0),'R+RP+B'!K31,IF(K5="r+st",'Real+S.T.'!$M$48/1000,IF('R+RS+B'!K5="bdgt",BDGT!J32,"")))</f>
        <v>117.12857977934337</v>
      </c>
      <c r="L34" s="1743">
        <f>IF(Factores!$D$3&gt;=EOMONTH('R+RS+B'!L4,0),'R+RP+B'!L31,IF(L5="r+st",'Real+S.T.'!$M$48/1000,IF('R+RS+B'!L5="bdgt",BDGT!K32,"")))</f>
        <v>109.44743428939684</v>
      </c>
      <c r="M34" s="1743">
        <f>IF(Factores!$D$3&gt;=EOMONTH('R+RS+B'!M4,0),'R+RP+B'!M31,IF(M5="r+st",'Real+S.T.'!$M$48/1000,IF('R+RS+B'!M5="bdgt",BDGT!L32,"")))</f>
        <v>124.87632373805671</v>
      </c>
      <c r="N34" s="1743">
        <f>IF(Factores!$D$3&gt;=EOMONTH('R+RS+B'!N4,0),'R+RP+B'!N31,IF(N5="r+st",'Real+S.T.'!$M$48/1000,IF('R+RS+B'!N5="bdgt",BDGT!M32,"")))</f>
        <v>113.59857596095441</v>
      </c>
      <c r="O34" s="1743">
        <f>IF(Factores!$D$3&gt;=EOMONTH('R+RS+B'!O4,0),'R+RP+B'!O31,IF(O5="r+st",'Real+S.T.'!$M$48/1000,IF('R+RS+B'!O5="bdgt",BDGT!N32,"")))</f>
        <v>126.99611083551126</v>
      </c>
      <c r="P34" s="1743">
        <f>IF(Factores!$D$3&gt;=EOMONTH('R+RS+B'!P4,0),'R+RP+B'!P31,IF(P5="r+st",'Real+S.T.'!$M$48/1000,IF('R+RS+B'!P5="bdgt",BDGT!O32,"")))</f>
        <v>125.91159715948285</v>
      </c>
      <c r="Q34" s="1743">
        <f>IF(Factores!$D$3&gt;=EOMONTH('R+RS+B'!Q4,0),'R+RP+B'!Q31,IF(Q5="r+st",'Real+S.T.'!$M$48/1000,IF('R+RS+B'!Q5="bdgt",BDGT!P32,"")))</f>
        <v>142.34322439793107</v>
      </c>
      <c r="R34" s="435"/>
      <c r="S34" s="529">
        <f>SUM(F34:Q34)</f>
        <v>1312.8895534526314</v>
      </c>
      <c r="T34" s="435"/>
      <c r="U34" s="229">
        <f>IF(MONTH(Factores!$D$2)=1,SUM($F34:F34),IF(MONTH(Factores!$D$2)=2,SUM($F34:G34),IF(MONTH(Factores!$D$2)=3,SUM($F34:H34),IF(MONTH(Factores!$D$2)=4,SUM($F34:I34),IF(MONTH(Factores!$D$2)=5,SUM($F34:J34),IF(MONTH(Factores!$D$2)=6,SUM($F34:K34),IF(MONTH(Factores!$D$2)=7,SUM($F34:L34),IF(MONTH(Factores!$D$2)=8,SUM($F34:M34),IF(MONTH(Factores!$D$2)=9,SUM($F34:N34),IF(MONTH(Factores!$D$2)=10,SUM($F34:O34),IF(MONTH(Factores!$D$2)=11,SUM($F34:P34),IF(MONTH(Factores!$D$2)=12,SUM($F34:Q34)))))))))))))</f>
        <v>259.86231276523608</v>
      </c>
      <c r="V34" s="229">
        <f>IF(MONTH(Factores!$D$2)=1,SUM($F34:F34),IF(MONTH(Factores!$D$2)=2,SUM($F34:F34),IF(MONTH(Factores!$D$2)=3,SUM($F34:G34),IF(MONTH(Factores!$D$2)=4,SUM($F34:H34),IF(MONTH(Factores!$D$2)=5,SUM($F34:I34),IF(MONTH(Factores!$D$2)=6,SUM($F34:J34),IF(MONTH(Factores!$D$2)=7,SUM($F34:K34),IF(MONTH(Factores!$D$2)=8,SUM($F34:L34),IF(MONTH(Factores!$D$2)=9,SUM($F34:M34),IF(MONTH(Factores!$D$2)=10,SUM($F34:N34),IF(MONTH(Factores!$D$2)=11,SUM($F34:O34),IF(MONTH(Factores!$D$2)=12,SUM($F34:P34)))))))))))))</f>
        <v>155.3844971068296</v>
      </c>
      <c r="X34" s="146" t="s">
        <v>1017</v>
      </c>
      <c r="Y34" s="144" t="s">
        <v>1005</v>
      </c>
      <c r="Z34" s="144" t="s">
        <v>1018</v>
      </c>
      <c r="AC34" s="605"/>
    </row>
    <row r="35" spans="2:29" s="426" customFormat="1" ht="30" customHeight="1">
      <c r="B35" s="607"/>
      <c r="C35" s="78" t="s">
        <v>226</v>
      </c>
      <c r="D35" s="89" t="s">
        <v>48</v>
      </c>
      <c r="E35" s="80"/>
      <c r="F35" s="1751">
        <f>IF(Factores!$D$3&gt;=EOMONTH('R+RS+B'!F4,0),'R+RP+B'!F32,IF(F5="r+st",'Real+S.T.'!$K$48,IF('R+RS+B'!F5="bdgt",BDGT!E33,"")))</f>
        <v>26.728671999999996</v>
      </c>
      <c r="G35" s="1732">
        <f>IF(Factores!$D$3&gt;=EOMONTH('R+RS+B'!G4,0),'R+RP+B'!G32,IF(G5="r+st",'Real+S.T.'!$K$48,IF('R+RS+B'!G5="bdgt",BDGT!F33,"")))</f>
        <v>27.147358000000001</v>
      </c>
      <c r="H35" s="1732">
        <f>IF(Factores!$D$3&gt;=EOMONTH('R+RS+B'!H4,0),'R+RP+B'!H32,IF(H5="r+st",'Real+S.T.'!$K$48,IF('R+RS+B'!H5="bdgt",BDGT!G33,"")))</f>
        <v>26.563172750059064</v>
      </c>
      <c r="I35" s="1732">
        <f>IF(Factores!$D$3&gt;=EOMONTH('R+RS+B'!I4,0),'R+RP+B'!I32,IF(I5="r+st",'Real+S.T.'!$K$48,IF('R+RS+B'!I5="bdgt",BDGT!H33,"")))</f>
        <v>29.384912310266678</v>
      </c>
      <c r="J35" s="1732">
        <f>IF(Factores!$D$3&gt;=EOMONTH('R+RS+B'!J4,0),'R+RP+B'!J32,IF(J5="r+st",'Real+S.T.'!$K$48,IF('R+RS+B'!J5="bdgt",BDGT!I33,"")))</f>
        <v>28.459003466684429</v>
      </c>
      <c r="K35" s="1732">
        <f>IF(Factores!$D$3&gt;=EOMONTH('R+RS+B'!K4,0),'R+RP+B'!K32,IF(K5="r+st",'Real+S.T.'!$K$48,IF('R+RS+B'!K5="bdgt",BDGT!J33,"")))</f>
        <v>27.764251820706054</v>
      </c>
      <c r="L35" s="1732">
        <f>IF(Factores!$D$3&gt;=EOMONTH('R+RS+B'!L4,0),'R+RP+B'!L32,IF(L5="r+st",'Real+S.T.'!$K$48,IF('R+RS+B'!L5="bdgt",BDGT!K33,"")))</f>
        <v>26.487162070958941</v>
      </c>
      <c r="M35" s="1732">
        <f>IF(Factores!$D$3&gt;=EOMONTH('R+RS+B'!M4,0),'R+RP+B'!M32,IF(M5="r+st",'Real+S.T.'!$K$48,IF('R+RS+B'!M5="bdgt",BDGT!L33,"")))</f>
        <v>28.647968978267031</v>
      </c>
      <c r="N35" s="1732">
        <f>IF(Factores!$D$3&gt;=EOMONTH('R+RS+B'!N4,0),'R+RP+B'!N32,IF(N5="r+st",'Real+S.T.'!$K$48,IF('R+RS+B'!N5="bdgt",BDGT!M33,"")))</f>
        <v>27.499346132202255</v>
      </c>
      <c r="O35" s="1732">
        <f>IF(Factores!$D$3&gt;=EOMONTH('R+RS+B'!O4,0),'R+RP+B'!O32,IF(O5="r+st",'Real+S.T.'!$K$48,IF('R+RS+B'!O5="bdgt",BDGT!N33,"")))</f>
        <v>27.211015978913693</v>
      </c>
      <c r="P35" s="1732">
        <f>IF(Factores!$D$3&gt;=EOMONTH('R+RS+B'!P4,0),'R+RP+B'!P32,IF(P5="r+st",'Real+S.T.'!$K$48,IF('R+RS+B'!P5="bdgt",BDGT!O33,"")))</f>
        <v>27.283659063515099</v>
      </c>
      <c r="Q35" s="1732">
        <f>IF(Factores!$D$3&gt;=EOMONTH('R+RS+B'!Q4,0),'R+RP+B'!Q32,IF(Q5="r+st",'Real+S.T.'!$K$48,IF('R+RS+B'!Q5="bdgt",BDGT!P33,"")))</f>
        <v>27.257915039881059</v>
      </c>
      <c r="R35" s="86"/>
      <c r="S35" s="208">
        <f>S15/S34*100</f>
        <v>26.66358525246763</v>
      </c>
      <c r="T35" s="86"/>
      <c r="U35" s="418">
        <f>U15/U34*100</f>
        <v>26.798202546348339</v>
      </c>
      <c r="V35" s="418">
        <f>V15/V34*100</f>
        <v>26.956232466888359</v>
      </c>
      <c r="W35" s="570"/>
      <c r="X35" s="146" t="s">
        <v>93</v>
      </c>
      <c r="Y35" s="144" t="s">
        <v>1005</v>
      </c>
      <c r="Z35" s="144" t="s">
        <v>1019</v>
      </c>
      <c r="AC35" s="605"/>
    </row>
    <row r="36" spans="2:29">
      <c r="B36" s="607"/>
      <c r="F36" s="1751"/>
      <c r="G36" s="1732"/>
      <c r="H36" s="1732"/>
      <c r="I36" s="1732"/>
      <c r="J36" s="1732"/>
      <c r="K36" s="1732"/>
      <c r="L36" s="1732"/>
      <c r="M36" s="1732"/>
      <c r="N36" s="1732"/>
      <c r="O36" s="1732"/>
      <c r="P36" s="1732"/>
      <c r="Q36" s="1732"/>
      <c r="S36" s="145"/>
      <c r="X36" s="147"/>
      <c r="Y36" s="145"/>
      <c r="Z36" s="145"/>
      <c r="AC36" s="605"/>
    </row>
    <row r="37" spans="2:29" s="430" customFormat="1" ht="30" customHeight="1">
      <c r="B37" s="644"/>
      <c r="C37" s="640" t="s">
        <v>227</v>
      </c>
      <c r="D37" s="641" t="s">
        <v>95</v>
      </c>
      <c r="E37" s="642"/>
      <c r="F37" s="1753">
        <f>IF(Factores!$D$3&gt;=EOMONTH('R+RS+B'!F4,0),'R+RP+B'!F34,IF(F5="r+st",'Real+S.T.'!$P$48,IF('R+RS+B'!F5="bdgt",BDGT!E35,"")))</f>
        <v>192.60869814129398</v>
      </c>
      <c r="G37" s="1741">
        <f>IF(Factores!$D$3&gt;=EOMONTH('R+RS+B'!G4,0),'R+RP+B'!G34,IF(G5="r+st",'Real+S.T.'!$P$48,IF('R+RS+B'!G5="bdgt",BDGT!F35,"")))</f>
        <v>192.467801497751</v>
      </c>
      <c r="H37" s="1741">
        <f>IF(Factores!$D$3&gt;=EOMONTH('R+RS+B'!H4,0),'R+RP+B'!H34,IF(H5="r+st",'Real+S.T.'!$P$48,IF('R+RS+B'!H5="bdgt",BDGT!G35,"")))</f>
        <v>180.19463900957621</v>
      </c>
      <c r="I37" s="1741">
        <f>IF(Factores!$D$3&gt;=EOMONTH('R+RS+B'!I4,0),'R+RP+B'!I34,IF(I5="r+st",'Real+S.T.'!$P$48,IF('R+RS+B'!I5="bdgt",BDGT!H35,"")))</f>
        <v>151.11835423943415</v>
      </c>
      <c r="J37" s="1741">
        <f>IF(Factores!$D$3&gt;=EOMONTH('R+RS+B'!J4,0),'R+RP+B'!J34,IF(J5="r+st",'Real+S.T.'!$P$48,IF('R+RS+B'!J5="bdgt",BDGT!I35,"")))</f>
        <v>252.62383173540093</v>
      </c>
      <c r="K37" s="1741">
        <f>IF(Factores!$D$3&gt;=EOMONTH('R+RS+B'!K4,0),'R+RP+B'!K34,IF(K5="r+st",'Real+S.T.'!$P$48,IF('R+RS+B'!K5="bdgt",BDGT!J35,"")))</f>
        <v>148.28931286590435</v>
      </c>
      <c r="L37" s="1741">
        <f>IF(Factores!$D$3&gt;=EOMONTH('R+RS+B'!L4,0),'R+RP+B'!L34,IF(L5="r+st",'Real+S.T.'!$P$48,IF('R+RS+B'!L5="bdgt",BDGT!K35,"")))</f>
        <v>151.23353377959347</v>
      </c>
      <c r="M37" s="1741">
        <f>IF(Factores!$D$3&gt;=EOMONTH('R+RS+B'!M4,0),'R+RP+B'!M34,IF(M5="r+st",'Real+S.T.'!$P$48,IF('R+RS+B'!M5="bdgt",BDGT!L35,"")))</f>
        <v>175.85869940108665</v>
      </c>
      <c r="N37" s="1741">
        <f>IF(Factores!$D$3&gt;=EOMONTH('R+RS+B'!N4,0),'R+RP+B'!N34,IF(N5="r+st",'Real+S.T.'!$P$48,IF('R+RS+B'!N5="bdgt",BDGT!M35,"")))</f>
        <v>218.50604796431512</v>
      </c>
      <c r="O37" s="1741">
        <f>IF(Factores!$D$3&gt;=EOMONTH('R+RS+B'!O4,0),'R+RP+B'!O34,IF(O5="r+st",'Real+S.T.'!$P$48,IF('R+RS+B'!O5="bdgt",BDGT!N35,"")))</f>
        <v>183.38989605310553</v>
      </c>
      <c r="P37" s="1741">
        <f>IF(Factores!$D$3&gt;=EOMONTH('R+RS+B'!P4,0),'R+RP+B'!P34,IF(P5="r+st",'Real+S.T.'!$P$48,IF('R+RS+B'!P5="bdgt",BDGT!O35,"")))</f>
        <v>134.74752575300215</v>
      </c>
      <c r="Q37" s="1741">
        <f>IF(Factores!$D$3&gt;=EOMONTH('R+RS+B'!Q4,0),'R+RP+B'!Q34,IF(Q5="r+st",'Real+S.T.'!$P$48,IF('R+RS+B'!Q5="bdgt",BDGT!P35,"")))</f>
        <v>170.13401958349039</v>
      </c>
      <c r="R37" s="84"/>
      <c r="S37" s="683">
        <f>SUMPRODUCT(F37:Q37,F20:Q20)/SUM(F20:Q20)</f>
        <v>179.8633524727922</v>
      </c>
      <c r="T37" s="84"/>
      <c r="U37" s="643">
        <f>IF(MONTH(Factores!$D$2)=1,SUMPRODUCT($F$20:$F$20,$F37:F37)/SUM($F$20:$F$20),IF(MONTH(Factores!$D$2)=2,SUMPRODUCT($F$20:$G$20,$F37:G37)/SUM($F$20:$G$20),IF(MONTH(Factores!$D$2)=3,SUMPRODUCT($F$20:$H$20,$F37:H37)/SUM($F$20:$H$20),IF(MONTH(Factores!$D$2)=4,SUMPRODUCT($F$20:$I$20,$F37:I37)/SUM($F$20:$I$20),IF(MONTH(Factores!$D$2)=5,SUMPRODUCT($F$20:$J$20,$F37:J37)/SUM($F$20:$J$20),IF(MONTH(Factores!$D$2)=6,SUMPRODUCT($F$20:$K$20,$F37:K37)/SUM($F$20:$K$20),IF(MONTH(Factores!$D$2)=7,SUMPRODUCT($F$20:$L$20,$F37:L37)/SUM($F$20:$L$20),IF(MONTH(Factores!$D$2)=8,SUMPRODUCT($F$20:$M$20,$F37:M37)/SUM($F$20:$M$20),IF(MONTH(Factores!$D$2)=9,SUMPRODUCT($F$20:$N$20,$F37:N37)/SUM($F$20:$N$20),IF(MONTH(Factores!$D$2)=10,SUMPRODUCT($F$20:$O$20,$F37:O37)/SUM($F$20:$O$20),IF(MONTH(Factores!$D$2)=11,SUMPRODUCT($F$20:$P$20,$F37:P37)/SUM($F$20:$P$20),IF(MONTH(Factores!$D$2)=12,SUMPRODUCT($F$20:$Q$20,$F37:Q37)/SUM($F$20:$Q$20)))))))))))))</f>
        <v>187.70494574542832</v>
      </c>
      <c r="V37" s="643">
        <f>IF(MONTH(Factores!$D$2)=1,SUMPRODUCT($F$20:$F$20,$F37:F37)/SUM($F$20:$F$20),IF(MONTH(Factores!$D$2)=2,SUMPRODUCT($F$20:$F$20,$F37:F37)/SUM($F$20:$F$20),IF(MONTH(Factores!$D$2)=3,SUMPRODUCT($F$20:$G$20,$F37:G37)/SUM($F$20:$G$20),IF(MONTH(Factores!$D$2)=4,SUMPRODUCT($F$20:$H$20,$F37:H37)/SUM($F$20:$H$20),IF(MONTH(Factores!$D$2)=5,SUMPRODUCT($F$20:$I$20,$F37:I37)/SUM($F$20:$I$20),IF(MONTH(Factores!$D$2)=6,SUMPRODUCT($F$20:$J$20,$F37:J37)/SUM($F$20:$J$20),IF(MONTH(Factores!$D$2)=7,SUMPRODUCT($F$20:$K$20,$F37:K37)/SUM($F$20:$K$20),IF(MONTH(Factores!$D$2)=8,SUMPRODUCT($F$20:$L$20,$F37:L37)/SUM($F$20:$L$20),IF(MONTH(Factores!$D$2)=9,SUMPRODUCT($F$20:$M$20,$F37:M37)/SUM($F$20:$M$20),IF(MONTH(Factores!$D$2)=10,SUMPRODUCT($F$20:$N$20,$F37:N37)/SUM($F$20:$N$20),IF(MONTH(Factores!$D$2)=11,SUMPRODUCT($F$20:$O$20,$F37:O37)/SUM($F$20:$O$20),IF(MONTH(Factores!$D$2)=12,SUMPRODUCT($F$20:$P$20,$F37:P37)/SUM($F$20:$P$20)))))))))))))</f>
        <v>192.5294965141502</v>
      </c>
      <c r="X37" s="645" t="s">
        <v>94</v>
      </c>
      <c r="Y37" s="646" t="s">
        <v>1005</v>
      </c>
      <c r="Z37" s="646" t="s">
        <v>1020</v>
      </c>
      <c r="AC37" s="647"/>
    </row>
    <row r="38" spans="2:29" s="426" customFormat="1" ht="30" customHeight="1">
      <c r="B38" s="607"/>
      <c r="C38" s="78" t="s">
        <v>228</v>
      </c>
      <c r="D38" s="88" t="s">
        <v>48</v>
      </c>
      <c r="E38" s="80"/>
      <c r="F38" s="1754">
        <f>IF(Factores!$D$3&gt;=EOMONTH('R+RS+B'!F4,0),'R+RP+B'!F35,IF(F5="r+st",'Real+S.T.'!$S$48,IF('R+RS+B'!F5="bdgt",BDGT!E36,"")))</f>
        <v>81.615070081093577</v>
      </c>
      <c r="G38" s="1742">
        <f>IF(Factores!$D$3&gt;=EOMONTH('R+RS+B'!G4,0),'R+RP+B'!G35,IF(G5="r+st",'Real+S.T.'!$S$48,IF('R+RS+B'!G5="bdgt",BDGT!F36,"")))</f>
        <v>78.07858606769291</v>
      </c>
      <c r="H38" s="1742">
        <f>IF(Factores!$D$3&gt;=EOMONTH('R+RS+B'!H4,0),'R+RP+B'!H35,IF(H5="r+st",'Real+S.T.'!$S$48,IF('R+RS+B'!H5="bdgt",BDGT!G36,"")))</f>
        <v>80.785230473405292</v>
      </c>
      <c r="I38" s="1742">
        <f>IF(Factores!$D$3&gt;=EOMONTH('R+RS+B'!I4,0),'R+RP+B'!I35,IF(I5="r+st",'Real+S.T.'!$S$48,IF('R+RS+B'!I5="bdgt",BDGT!H36,"")))</f>
        <v>82.085673282578924</v>
      </c>
      <c r="J38" s="1742">
        <f>IF(Factores!$D$3&gt;=EOMONTH('R+RS+B'!J4,0),'R+RP+B'!J35,IF(J5="r+st",'Real+S.T.'!$S$48,IF('R+RS+B'!J5="bdgt",BDGT!I36,"")))</f>
        <v>84.745152570450486</v>
      </c>
      <c r="K38" s="1742">
        <f>IF(Factores!$D$3&gt;=EOMONTH('R+RS+B'!K4,0),'R+RP+B'!K35,IF(K5="r+st",'Real+S.T.'!$S$48,IF('R+RS+B'!K5="bdgt",BDGT!J36,"")))</f>
        <v>81.988669104169929</v>
      </c>
      <c r="L38" s="1742">
        <f>IF(Factores!$D$3&gt;=EOMONTH('R+RS+B'!L4,0),'R+RP+B'!L35,IF(L5="r+st",'Real+S.T.'!$S$48,IF('R+RS+B'!L5="bdgt",BDGT!K36,"")))</f>
        <v>82.215766684307383</v>
      </c>
      <c r="M38" s="1742">
        <f>IF(Factores!$D$3&gt;=EOMONTH('R+RS+B'!M4,0),'R+RP+B'!M35,IF(M5="r+st",'Real+S.T.'!$S$48,IF('R+RS+B'!M5="bdgt",BDGT!L36,"")))</f>
        <v>82.993373423166616</v>
      </c>
      <c r="N38" s="1742">
        <f>IF(Factores!$D$3&gt;=EOMONTH('R+RS+B'!N4,0),'R+RP+B'!N35,IF(N5="r+st",'Real+S.T.'!$S$48,IF('R+RS+B'!N5="bdgt",BDGT!M36,"")))</f>
        <v>84.119032170717716</v>
      </c>
      <c r="O38" s="1742">
        <f>IF(Factores!$D$3&gt;=EOMONTH('R+RS+B'!O4,0),'R+RP+B'!O35,IF(O5="r+st",'Real+S.T.'!$S$48,IF('R+RS+B'!O5="bdgt",BDGT!N36,"")))</f>
        <v>83.210175540340757</v>
      </c>
      <c r="P38" s="1742">
        <f>IF(Factores!$D$3&gt;=EOMONTH('R+RS+B'!P4,0),'R+RP+B'!P35,IF(P5="r+st",'Real+S.T.'!$S$48,IF('R+RS+B'!P5="bdgt",BDGT!O36,"")))</f>
        <v>81.623273653396012</v>
      </c>
      <c r="Q38" s="1742">
        <f>IF(Factores!$D$3&gt;=EOMONTH('R+RS+B'!Q4,0),'R+RP+B'!Q35,IF(Q5="r+st",'Real+S.T.'!$S$48,IF('R+RS+B'!Q5="bdgt",BDGT!P36,"")))</f>
        <v>82.822470907493127</v>
      </c>
      <c r="R38" s="500"/>
      <c r="S38" s="531">
        <f>SUMPRODUCT(F20:Q20,F37:Q37,F38:Q38)/SUMPRODUCT(F20:Q20,F37:Q37)</f>
        <v>82.386946994483026</v>
      </c>
      <c r="T38" s="500"/>
      <c r="U38" s="174">
        <f>IF(MONTH(Factores!$D$2)=1,SUMPRODUCT($F$20:$F$20,$F$37:$F$37,$F38:F38)/SUMPRODUCT($F$20:$F$20,$F$37:$F$37),IF(MONTH(Factores!$D$2)=2,SUMPRODUCT($F$20:$G$20,$F$37:$G$37,$F38:G38)/SUMPRODUCT($F$20:$G$20,$F$37:$G$37),IF(MONTH(Factores!$D$2)=3,SUMPRODUCT($F$20:$H$20,$F$37:$H$37,$F38:H38)/SUMPRODUCT($F$20:$H$20,$F$37:$H$37),IF(MONTH(Factores!$D$2)=4,SUMPRODUCT($F$20:$I$20,$F$37:$I$37,$F38:I38)/SUMPRODUCT($F$20:$I$20,$F$37:$I$37),IF(MONTH(Factores!$D$2)=5,SUMPRODUCT($F$20:$J$20,$F$37:$J$37,$F38:J38)/SUMPRODUCT($F$20:$J$20,$F$37:$J$37),IF(MONTH(Factores!$D$2)=6,SUMPRODUCT($F$20:$K$20,$F$37:$K$37,$F38:K38)/SUMPRODUCT($F$20:$K$20,$F$37:$K$37),IF(MONTH(Factores!$D$2)=7,SUMPRODUCT($F$20:$L$20,$F$37:$L$37,$F38:L38)/SUMPRODUCT($F$20:$L$20,$F$37:$L$37),IF(MONTH(Factores!$D$2)=8,SUMPRODUCT($F$20:$M$20,$F$37:$M$37,$F38:M38)/SUMPRODUCT($F$20:$M$20,$F$37:$M$37),IF(MONTH(Factores!$D$2)=9,SUMPRODUCT($F$20:$N$20,$F$37:$N$37,$F38:N38)/SUMPRODUCT($F$20:$N$20,$F$37:$N$37),IF(MONTH(Factores!$D$2)=10,SUMPRODUCT($F$20:$O$20,$F$37:$O$37,$F38:O38)/SUMPRODUCT($F$20:$O$20,$F$37:$O$37),IF(MONTH(Factores!$D$2)=11,SUMPRODUCT($F$20:$P$20,$F$37:$P$37,$F38:P38)/SUMPRODUCT($F$20:$P$20,$F$37:$P$37),IF(MONTH(Factores!$D$2)=12,SUMPRODUCT($F$20:$Q$20,$F$37:$Q$37,$F38:Q38)/SUMPRODUCT($F$20:$Q$20,$F$37:$Q$37)))))))))))))</f>
        <v>80.062368155342469</v>
      </c>
      <c r="V38" s="174">
        <f>IF(MONTH(Factores!$D$2)=1,SUMPRODUCT($F$20:$F$20,$F$37:$F$37,$F38:F38)/SUMPRODUCT($F$20:$F$20,$F$37:$F$37),IF(MONTH(Factores!$D$2)=2,SUMPRODUCT($F$20:$F$20,$F$37:$F$37,$F38:F38)/SUMPRODUCT($F$20:$F$20,$F$37:$F$37),IF(MONTH(Factores!$D$2)=3,SUMPRODUCT($F$20:$G$20,$F$37:$G$37,$F38:G38)/SUMPRODUCT($F$20:$G$20,$F$37:$G$37),IF(MONTH(Factores!$D$2)=4,SUMPRODUCT($F$20:$H$20,$F$37:$H$37,$F38:H38)/SUMPRODUCT($F$20:$H$20,$F$37:$H$37),IF(MONTH(Factores!$D$2)=5,SUMPRODUCT($F$20:$I$20,$F$37:$I$37,$F38:I38)/SUMPRODUCT($F$20:$I$20,$F$37:$I$37),IF(MONTH(Factores!$D$2)=6,SUMPRODUCT($F$20:$J$20,$F$37:$J$37,$F38:J38)/SUMPRODUCT($F$20:$J$20,$F$37:$J$37),IF(MONTH(Factores!$D$2)=7,SUMPRODUCT($F$20:$K$20,$F$37:$K$37,$F38:K38)/SUMPRODUCT($F$20:$K$20,$F$37:$K$37),IF(MONTH(Factores!$D$2)=8,SUMPRODUCT($F$20:$L$20,$F$37:$L$37,$F38:L38)/SUMPRODUCT($F$20:$L$20,$F$37:$L$37),IF(MONTH(Factores!$D$2)=9,SUMPRODUCT($F$20:$M$20,$F$37:$M$37,$F38:M38)/SUMPRODUCT($F$20:$M$20,$F$37:$M$37),IF(MONTH(Factores!$D$2)=10,SUMPRODUCT($F$20:$N$20,$F$37:$N$37,$F38:N38)/SUMPRODUCT($F$20:$N$20,$F$37:$N$37),IF(MONTH(Factores!$D$2)=11,SUMPRODUCT($F$20:$O$20,$F$37:$O$37,$F38:O38)/SUMPRODUCT($F$20:$O$20,$F$37:$O$37),IF(MONTH(Factores!$D$2)=12,SUMPRODUCT($F$20:$P$20,$F$37:$P$37,$F38:P38)/SUMPRODUCT($F$20:$P$20,$F$37:$P$37)))))))))))))</f>
        <v>79.627758487315631</v>
      </c>
      <c r="W38" s="570"/>
      <c r="X38" s="146" t="s">
        <v>1021</v>
      </c>
      <c r="Y38" s="144" t="s">
        <v>1022</v>
      </c>
      <c r="Z38" s="144" t="s">
        <v>1023</v>
      </c>
      <c r="AC38" s="605"/>
    </row>
    <row r="39" spans="2:29" s="426" customFormat="1" ht="30" customHeight="1">
      <c r="B39" s="607"/>
      <c r="C39" s="78" t="s">
        <v>229</v>
      </c>
      <c r="D39" s="88" t="s">
        <v>48</v>
      </c>
      <c r="E39" s="80"/>
      <c r="F39" s="1754">
        <f>IF(Factores!$D$3&gt;=EOMONTH('R+RS+B'!F4,0),'R+RP+B'!F36,IF(F5="r+st",'Real+S.T.'!$Q$48,IF('R+RS+B'!F5="bdgt",BDGT!E37,"")))</f>
        <v>91.398437365766711</v>
      </c>
      <c r="G39" s="1742">
        <f>IF(Factores!$D$3&gt;=EOMONTH('R+RS+B'!G4,0),'R+RP+B'!G36,IF(G5="r+st",'Real+S.T.'!$Q$48,IF('R+RS+B'!G5="bdgt",BDGT!F37,"")))</f>
        <v>90.049358991265478</v>
      </c>
      <c r="H39" s="1742">
        <f>IF(Factores!$D$3&gt;=EOMONTH('R+RS+B'!H4,0),'R+RP+B'!H36,IF(H5="r+st",'Real+S.T.'!$Q$48,IF('R+RS+B'!H5="bdgt",BDGT!G37,"")))</f>
        <v>90.070561377173078</v>
      </c>
      <c r="I39" s="1742">
        <f>IF(Factores!$D$3&gt;=EOMONTH('R+RS+B'!I4,0),'R+RP+B'!I36,IF(I5="r+st",'Real+S.T.'!$Q$48,IF('R+RS+B'!I5="bdgt",BDGT!H37,"")))</f>
        <v>92.833487014930043</v>
      </c>
      <c r="J39" s="1742">
        <f>IF(Factores!$D$3&gt;=EOMONTH('R+RS+B'!J4,0),'R+RP+B'!J36,IF(J5="r+st",'Real+S.T.'!$Q$48,IF('R+RS+B'!J5="bdgt",BDGT!I37,"")))</f>
        <v>94.269664835637428</v>
      </c>
      <c r="K39" s="1742">
        <f>IF(Factores!$D$3&gt;=EOMONTH('R+RS+B'!K4,0),'R+RP+B'!K36,IF(K5="r+st",'Real+S.T.'!$Q$48,IF('R+RS+B'!K5="bdgt",BDGT!J37,"")))</f>
        <v>92.780666684410789</v>
      </c>
      <c r="L39" s="1742">
        <f>IF(Factores!$D$3&gt;=EOMONTH('R+RS+B'!L4,0),'R+RP+B'!L36,IF(L5="r+st",'Real+S.T.'!$Q$48,IF('R+RS+B'!L5="bdgt",BDGT!K37,"")))</f>
        <v>92.835616499435176</v>
      </c>
      <c r="M39" s="1742">
        <f>IF(Factores!$D$3&gt;=EOMONTH('R+RS+B'!M4,0),'R+RP+B'!M36,IF(M5="r+st",'Real+S.T.'!$Q$48,IF('R+RS+B'!M5="bdgt",BDGT!L37,"")))</f>
        <v>93.257257915025974</v>
      </c>
      <c r="N39" s="1742">
        <f>IF(Factores!$D$3&gt;=EOMONTH('R+RS+B'!N4,0),'R+RP+B'!N36,IF(N5="r+st",'Real+S.T.'!$Q$48,IF('R+RS+B'!N5="bdgt",BDGT!M37,"")))</f>
        <v>93.864144273676644</v>
      </c>
      <c r="O39" s="1742">
        <f>IF(Factores!$D$3&gt;=EOMONTH('R+RS+B'!O4,0),'R+RP+B'!O36,IF(O5="r+st",'Real+S.T.'!$Q$48,IF('R+RS+B'!O5="bdgt",BDGT!N37,"")))</f>
        <v>93.374462432192516</v>
      </c>
      <c r="P39" s="1742">
        <f>IF(Factores!$D$3&gt;=EOMONTH('R+RS+B'!P4,0),'R+RP+B'!P36,IF(P5="r+st",'Real+S.T.'!$Q$48,IF('R+RS+B'!P5="bdgt",BDGT!O37,"")))</f>
        <v>92.513010959773538</v>
      </c>
      <c r="Q39" s="1742">
        <f>IF(Factores!$D$3&gt;=EOMONTH('R+RS+B'!Q4,0),'R+RP+B'!Q36,IF(Q5="r+st",'Real+S.T.'!$Q$48,IF('R+RS+B'!Q5="bdgt",BDGT!P37,"")))</f>
        <v>93.164759203093013</v>
      </c>
      <c r="R39" s="500"/>
      <c r="S39" s="531">
        <f>SUMPRODUCT(F20:Q20,F37:Q37,F39:Q39)/SUMPRODUCT(F20:Q20,F37:Q37)</f>
        <v>92.651332340341895</v>
      </c>
      <c r="T39" s="500"/>
      <c r="U39" s="174">
        <f>IF(MONTH(Factores!$D$2)=1,SUMPRODUCT($F$20:$F$20,$F$37:$F$37,$F39:F39)/SUMPRODUCT($F$20:$F$20,$F$37:$F$37),IF(MONTH(Factores!$D$2)=2,SUMPRODUCT($F$20:$G$20,$F$37:$G$37,$F39:G39)/SUMPRODUCT($F$20:$G$20,$F$37:$G$37),IF(MONTH(Factores!$D$2)=3,SUMPRODUCT($F$20:$H$20,$F$37:$H$37,$F39:H39)/SUMPRODUCT($F$20:$H$20,$F$37:$H$37),IF(MONTH(Factores!$D$2)=4,SUMPRODUCT($F$20:$I$20,$F$37:$I$37,$F39:I39)/SUMPRODUCT($F$20:$I$20,$F$37:$I$37),IF(MONTH(Factores!$D$2)=5,SUMPRODUCT($F$20:$J$20,$F$37:$J$37,$F39:J39)/SUMPRODUCT($F$20:$J$20,$F$37:$J$37),IF(MONTH(Factores!$D$2)=6,SUMPRODUCT($F$20:$K$20,$F$37:$K$37,$F39:K39)/SUMPRODUCT($F$20:$K$20,$F$37:$K$37),IF(MONTH(Factores!$D$2)=7,SUMPRODUCT($F$20:$L$20,$F$37:$L$37,$F39:L39)/SUMPRODUCT($F$20:$L$20,$F$37:$L$37),IF(MONTH(Factores!$D$2)=8,SUMPRODUCT($F$20:$M$20,$F$37:$M$37,$F39:M39)/SUMPRODUCT($F$20:$M$20,$F$37:$M$37),IF(MONTH(Factores!$D$2)=9,SUMPRODUCT($F$20:$N$20,$F$37:$N$37,$F39:N39)/SUMPRODUCT($F$20:$N$20,$F$37:$N$37),IF(MONTH(Factores!$D$2)=10,SUMPRODUCT($F$20:$O$20,$F$37:$O$37,$F39:O39)/SUMPRODUCT($F$20:$O$20,$F$37:$O$37),IF(MONTH(Factores!$D$2)=11,SUMPRODUCT($F$20:$P$20,$F$37:$P$37,$F39:P39)/SUMPRODUCT($F$20:$P$20,$F$37:$P$37),IF(MONTH(Factores!$D$2)=12,SUMPRODUCT($F$20:$Q$20,$F$37:$Q$37,$F39:Q39)/SUMPRODUCT($F$20:$Q$20,$F$37:$Q$37)))))))))))))</f>
        <v>90.426391452989932</v>
      </c>
      <c r="V39" s="174">
        <f>IF(MONTH(Factores!$D$2)=1,SUMPRODUCT($F$20:$F$20,$F$37:$F$37,$F39:F39)/SUMPRODUCT($F$20:$F$20,$F$37:$F$37),IF(MONTH(Factores!$D$2)=2,SUMPRODUCT($F$20:$F$20,$F$37:$F$37,$F39:F39)/SUMPRODUCT($F$20:$F$20,$F$37:$F$37),IF(MONTH(Factores!$D$2)=3,SUMPRODUCT($F$20:$G$20,$F$37:$G$37,$F39:G39)/SUMPRODUCT($F$20:$G$20,$F$37:$G$37),IF(MONTH(Factores!$D$2)=4,SUMPRODUCT($F$20:$H$20,$F$37:$H$37,$F39:H39)/SUMPRODUCT($F$20:$H$20,$F$37:$H$37),IF(MONTH(Factores!$D$2)=5,SUMPRODUCT($F$20:$I$20,$F$37:$I$37,$F39:I39)/SUMPRODUCT($F$20:$I$20,$F$37:$I$37),IF(MONTH(Factores!$D$2)=6,SUMPRODUCT($F$20:$J$20,$F$37:$J$37,$F39:J39)/SUMPRODUCT($F$20:$J$20,$F$37:$J$37),IF(MONTH(Factores!$D$2)=7,SUMPRODUCT($F$20:$K$20,$F$37:$K$37,$F39:K39)/SUMPRODUCT($F$20:$K$20,$F$37:$K$37),IF(MONTH(Factores!$D$2)=8,SUMPRODUCT($F$20:$L$20,$F$37:$L$37,$F39:L39)/SUMPRODUCT($F$20:$L$20,$F$37:$L$37),IF(MONTH(Factores!$D$2)=9,SUMPRODUCT($F$20:$M$20,$F$37:$M$37,$F39:M39)/SUMPRODUCT($F$20:$M$20,$F$37:$M$37),IF(MONTH(Factores!$D$2)=10,SUMPRODUCT($F$20:$N$20,$F$37:$N$37,$F39:N39)/SUMPRODUCT($F$20:$N$20,$F$37:$N$37),IF(MONTH(Factores!$D$2)=11,SUMPRODUCT($F$20:$O$20,$F$37:$O$37,$F39:O39)/SUMPRODUCT($F$20:$O$20,$F$37:$O$37),IF(MONTH(Factores!$D$2)=12,SUMPRODUCT($F$20:$P$20,$F$37:$P$37,$F39:P39)/SUMPRODUCT($F$20:$P$20,$F$37:$P$37)))))))))))))</f>
        <v>90.640328723283901</v>
      </c>
      <c r="W39" s="570"/>
      <c r="X39" s="146" t="s">
        <v>1024</v>
      </c>
      <c r="Y39" s="144" t="s">
        <v>1022</v>
      </c>
      <c r="Z39" s="144" t="s">
        <v>1025</v>
      </c>
      <c r="AC39" s="605"/>
    </row>
    <row r="40" spans="2:29" s="426" customFormat="1" ht="30" customHeight="1">
      <c r="B40" s="607"/>
      <c r="C40" s="78" t="s">
        <v>230</v>
      </c>
      <c r="D40" s="88" t="s">
        <v>48</v>
      </c>
      <c r="E40" s="80"/>
      <c r="F40" s="1754">
        <f>IF(Factores!$D$3&gt;=EOMONTH('R+RS+B'!F4,0),'R+RP+B'!F37,IF(F5="r+st",'Real+S.T.'!$R$48,IF('R+RS+B'!F5="bdgt",BDGT!E38,"")))</f>
        <v>89.296019599098031</v>
      </c>
      <c r="G40" s="1742">
        <f>IF(Factores!$D$3&gt;=EOMONTH('R+RS+B'!G4,0),'R+RP+B'!G37,IF(G5="r+st",'Real+S.T.'!$R$48,IF('R+RS+B'!G5="bdgt",BDGT!F38,"")))</f>
        <v>86.707012128457734</v>
      </c>
      <c r="H40" s="1742">
        <f>IF(Factores!$D$3&gt;=EOMONTH('R+RS+B'!H4,0),'R+RP+B'!H37,IF(H5="r+st",'Real+S.T.'!$R$48,IF('R+RS+B'!H5="bdgt",BDGT!G38,"")))</f>
        <v>89.691048038564801</v>
      </c>
      <c r="I40" s="1742">
        <f>IF(Factores!$D$3&gt;=EOMONTH('R+RS+B'!I4,0),'R+RP+B'!I37,IF(I5="r+st",'Real+S.T.'!$R$48,IF('R+RS+B'!I5="bdgt",BDGT!H38,"")))</f>
        <v>88.422481931953499</v>
      </c>
      <c r="J40" s="1742">
        <f>IF(Factores!$D$3&gt;=EOMONTH('R+RS+B'!J4,0),'R+RP+B'!J37,IF(J5="r+st",'Real+S.T.'!$R$48,IF('R+RS+B'!J5="bdgt",BDGT!I38,"")))</f>
        <v>89.896524739115947</v>
      </c>
      <c r="K40" s="1742">
        <f>IF(Factores!$D$3&gt;=EOMONTH('R+RS+B'!K4,0),'R+RP+B'!K37,IF(K5="r+st",'Real+S.T.'!$R$48,IF('R+RS+B'!K5="bdgt",BDGT!J38,"")))</f>
        <v>88.368268987601326</v>
      </c>
      <c r="L40" s="1742">
        <f>IF(Factores!$D$3&gt;=EOMONTH('R+RS+B'!L4,0),'R+RP+B'!L37,IF(L5="r+st",'Real+S.T.'!$R$48,IF('R+RS+B'!L5="bdgt",BDGT!K38,"")))</f>
        <v>88.560586749383617</v>
      </c>
      <c r="M40" s="1742">
        <f>IF(Factores!$D$3&gt;=EOMONTH('R+RS+B'!M4,0),'R+RP+B'!M37,IF(M5="r+st",'Real+S.T.'!$R$48,IF('R+RS+B'!M5="bdgt",BDGT!L38,"")))</f>
        <v>88.994009987714207</v>
      </c>
      <c r="N40" s="1742">
        <f>IF(Factores!$D$3&gt;=EOMONTH('R+RS+B'!N4,0),'R+RP+B'!N37,IF(N5="r+st",'Real+S.T.'!$R$48,IF('R+RS+B'!N5="bdgt",BDGT!M38,"")))</f>
        <v>89.6178544231486</v>
      </c>
      <c r="O40" s="1742">
        <f>IF(Factores!$D$3&gt;=EOMONTH('R+RS+B'!O4,0),'R+RP+B'!O37,IF(O5="r+st",'Real+S.T.'!$R$48,IF('R+RS+B'!O5="bdgt",BDGT!N38,"")))</f>
        <v>89.114489521979351</v>
      </c>
      <c r="P40" s="1742">
        <f>IF(Factores!$D$3&gt;=EOMONTH('R+RS+B'!P4,0),'R+RP+B'!P37,IF(P5="r+st",'Real+S.T.'!$R$48,IF('R+RS+B'!P5="bdgt",BDGT!O38,"")))</f>
        <v>88.228966722191544</v>
      </c>
      <c r="Q40" s="1742">
        <f>IF(Factores!$D$3&gt;=EOMONTH('R+RS+B'!Q4,0),'R+RP+B'!Q37,IF(Q5="r+st",'Real+S.T.'!$R$48,IF('R+RS+B'!Q5="bdgt",BDGT!P38,"")))</f>
        <v>88.89892660694332</v>
      </c>
      <c r="R40" s="500"/>
      <c r="S40" s="531">
        <f>SUMPRODUCT(F20:Q20,F37:Q37,F39:Q39,F40:Q40)/SUMPRODUCT(F20:Q20,F37:Q37,F39:Q39)</f>
        <v>88.921545406864041</v>
      </c>
      <c r="T40" s="500"/>
      <c r="U40" s="174">
        <f>IF(MONTH(Factores!$D$2)=1,SUMPRODUCT($F$20:$F$20,$F$37:$F$37,$F$39:$F$39,$F40:F40)/SUMPRODUCT($F$20:$F$20,$F$37:$F$37,$F$39:$F$39),IF(MONTH(Factores!$D$2)=2,SUMPRODUCT($F$20:$G$20,$F$37:$G$37,$F$39:$G$39,$F40:G40)/SUMPRODUCT($F$20:$G$20,$F$37:$G$37,$F$39:$G$39),IF(MONTH(Factores!$D$2)=3,SUMPRODUCT($F$20:$H$20,$F$37:$H$37,$F$39:$H$39,$F40:H40)/SUMPRODUCT($F$20:$H$20,$F$37:$H$37,$F$39:$H$39),IF(MONTH(Factores!$D$2)=4,SUMPRODUCT($F$20:$I$20,$F$37:$I$37,$F$39:$I$39,$F40:I40)/SUMPRODUCT($F$20:$I$20,$F$37:$I$37,$F$39:$I$39),IF(MONTH(Factores!$D$2)=5,SUMPRODUCT($F$20:$J$20,$F$37:$J$37,$F$39:$J$39,$F40:J40)/SUMPRODUCT($F$20:$J$20,$F$37:$J$37,$F$39:$J$39),IF(MONTH(Factores!$D$2)=6,SUMPRODUCT($F$20:$K$20,$F$37:$K$37,$F$39:$K$39,$F40:K40)/SUMPRODUCT($F$20:$K$20,$F$37:$K$37,$F$39:$K$39),IF(MONTH(Factores!$D$2)=7,SUMPRODUCT($F$20:$L$20,$F$37:$L$37,$F$39:$L$39,$F40:L40)/SUMPRODUCT($F$20:$L$20,$F$37:$L$37,$F$39:$L$39),IF(MONTH(Factores!$D$2)=8,SUMPRODUCT($F$20:$M$20,$F$37:$M$37,$F$39:$M$39,$F40:M40)/SUMPRODUCT($F$20:$M$20,$F$37:$M$37,$F$39:$M$39),IF(MONTH(Factores!$D$2)=9,SUMPRODUCT($F$20:$N$20,$F$37:$N$37,$F$39:$N$39,$F40:N40)/SUMPRODUCT($F$20:$N$20,$F$37:$N$37,$F$39:$N$39),IF(MONTH(Factores!$D$2)=10,SUMPRODUCT($F$20:$O$20,$F$37:$O$37,$F$39:$O$39,$F40:O40)/SUMPRODUCT($F$20:$O$20,$F$37:$O$37,$F$39:$O$39),IF(MONTH(Factores!$D$2)=11,SUMPRODUCT($F$20:$P$20,$F$37:$P$37,$F$39:$P$39,$F40:P40)/SUMPRODUCT($F$20:$P$20,$F$37:$P$37,$F$39:$P$39),IF(MONTH(Factores!$D$2)=12,SUMPRODUCT($F$20:$Q$20,$F$37:$Q$37,$F$39:$Q$39,$F40:Q40)/SUMPRODUCT($F$20:$Q$20,$F$37:$Q$37,$F$39:$Q$39)))))))))))))</f>
        <v>88.538950461656086</v>
      </c>
      <c r="V40" s="174">
        <f>IF(MONTH(Factores!$D$2)=1,SUMPRODUCT($F$20:$F$20,$F$37:$F$37,$F$39:$F$39,$F40:F40)/SUMPRODUCT($F$20:$F$20,$F$37:$F$37,$F$39:$F$39),IF(MONTH(Factores!$D$2)=2,SUMPRODUCT($F$20:$F$20,$F$37:$F$37,$F$39:$F$39,$F40:F40)/SUMPRODUCT($F$20:$F$20,$F$37:$F$37,$F$39:$F$39),IF(MONTH(Factores!$D$2)=3,SUMPRODUCT($F$20:$G$20,$F$37:$G$37,$F$39:$G$39,$F40:G40)/SUMPRODUCT($F$20:$G$20,$F$37:$G$37,$F$39:$G$39),IF(MONTH(Factores!$D$2)=4,SUMPRODUCT($F$20:$H$20,$F$37:$H$37,$F$39:$H$39,$F40:H40)/SUMPRODUCT($F$20:$H$20,$F$37:$H$37,$F$39:$H$39),IF(MONTH(Factores!$D$2)=5,SUMPRODUCT($F$20:$I$20,$F$37:$I$37,$F$39:$I$39,$F40:I40)/SUMPRODUCT($F$20:$I$20,$F$37:$I$37,$F$39:$I$39),IF(MONTH(Factores!$D$2)=6,SUMPRODUCT($F$20:$J$20,$F$37:$J$37,$F$39:$J$39,$F40:J40)/SUMPRODUCT($F$20:$J$20,$F$37:$J$37,$F$39:$J$39),IF(MONTH(Factores!$D$2)=7,SUMPRODUCT($F$20:$K$20,$F$37:$K$37,$F$39:$K$39,$F40:K40)/SUMPRODUCT($F$20:$K$20,$F$37:$K$37,$F$39:$K$39),IF(MONTH(Factores!$D$2)=8,SUMPRODUCT($F$20:$L$20,$F$37:$L$37,$F$39:$L$39,$F40:L40)/SUMPRODUCT($F$20:$L$20,$F$37:$L$37,$F$39:$L$39),IF(MONTH(Factores!$D$2)=9,SUMPRODUCT($F$20:$M$20,$F$37:$M$37,$F$39:$M$39,$F40:M40)/SUMPRODUCT($F$20:$M$20,$F$37:$M$37,$F$39:$M$39),IF(MONTH(Factores!$D$2)=10,SUMPRODUCT($F$20:$N$20,$F$37:$N$37,$F$39:$N$39,$F40:N40)/SUMPRODUCT($F$20:$N$20,$F$37:$N$37,$F$39:$N$39),IF(MONTH(Factores!$D$2)=11,SUMPRODUCT($F$20:$O$20,$F$37:$O$37,$F$39:$O$39,$F40:O40)/SUMPRODUCT($F$20:$O$20,$F$37:$O$37,$F$39:$O$39),IF(MONTH(Factores!$D$2)=12,SUMPRODUCT($F$20:$P$20,$F$37:$P$37,$F$39:$P$39,$F40:P40)/SUMPRODUCT($F$20:$P$20,$F$37:$P$37,$F$39:$P$39)))))))))))))</f>
        <v>87.850624012329448</v>
      </c>
      <c r="W40" s="570"/>
      <c r="X40" s="146" t="s">
        <v>1026</v>
      </c>
      <c r="Y40" s="144" t="s">
        <v>1022</v>
      </c>
      <c r="Z40" s="144" t="s">
        <v>1027</v>
      </c>
      <c r="AC40" s="605"/>
    </row>
    <row r="41" spans="2:29" s="426" customFormat="1" ht="30" customHeight="1">
      <c r="B41" s="607"/>
      <c r="C41" s="78" t="s">
        <v>231</v>
      </c>
      <c r="D41" s="88" t="s">
        <v>204</v>
      </c>
      <c r="E41" s="80"/>
      <c r="F41" s="1750">
        <f>IF(Factores!$D$3&gt;=EOMONTH('R+RS+B'!F4,0),'R+RP+B'!F38,IF(F5="r+st",'Real+S.T.'!$V$48/1000,IF('R+RS+B'!F5="bdgt",BDGT!E39,"")))</f>
        <v>1.1851013344500001</v>
      </c>
      <c r="G41" s="1739">
        <f>IF(Factores!$D$3&gt;=EOMONTH('R+RS+B'!G4,0),'R+RP+B'!G38,IF(G5="r+st",'Real+S.T.'!$V$48/1000,IF('R+RS+B'!G5="bdgt",BDGT!F39,"")))</f>
        <v>1.00669583557</v>
      </c>
      <c r="H41" s="1739">
        <f>IF(Factores!$D$3&gt;=EOMONTH('R+RS+B'!H4,0),'R+RP+B'!H38,IF(H5="r+st",'Real+S.T.'!$V$48/1000,IF('R+RS+B'!H5="bdgt",BDGT!G39,"")))</f>
        <v>2.4117963537828073</v>
      </c>
      <c r="I41" s="1739">
        <f>IF(Factores!$D$3&gt;=EOMONTH('R+RS+B'!I4,0),'R+RP+B'!I38,IF(I5="r+st",'Real+S.T.'!$V$48/1000,IF('R+RS+B'!I5="bdgt",BDGT!H39,"")))</f>
        <v>0.91439470303474857</v>
      </c>
      <c r="J41" s="1739">
        <f>IF(Factores!$D$3&gt;=EOMONTH('R+RS+B'!J4,0),'R+RP+B'!J38,IF(J5="r+st",'Real+S.T.'!$V$48/1000,IF('R+RS+B'!J5="bdgt",BDGT!I39,"")))</f>
        <v>2.4300480575244872</v>
      </c>
      <c r="K41" s="1739">
        <f>IF(Factores!$D$3&gt;=EOMONTH('R+RS+B'!K4,0),'R+RP+B'!K38,IF(K5="r+st",'Real+S.T.'!$V$48/1000,IF('R+RS+B'!K5="bdgt",BDGT!J39,"")))</f>
        <v>1.3414940699111766</v>
      </c>
      <c r="L41" s="1739">
        <f>IF(Factores!$D$3&gt;=EOMONTH('R+RS+B'!L4,0),'R+RP+B'!L38,IF(L5="r+st",'Real+S.T.'!$V$48/1000,IF('R+RS+B'!L5="bdgt",BDGT!K39,"")))</f>
        <v>1.3433864441992174</v>
      </c>
      <c r="M41" s="1739">
        <f>IF(Factores!$D$3&gt;=EOMONTH('R+RS+B'!M4,0),'R+RP+B'!M38,IF(M5="r+st",'Real+S.T.'!$V$48/1000,IF('R+RS+B'!M5="bdgt",BDGT!L39,"")))</f>
        <v>1.545515882003913</v>
      </c>
      <c r="N41" s="1739">
        <f>IF(Factores!$D$3&gt;=EOMONTH('R+RS+B'!N4,0),'R+RP+B'!N38,IF(N5="r+st",'Real+S.T.'!$V$48/1000,IF('R+RS+B'!N5="bdgt",BDGT!M39,"")))</f>
        <v>1.9363607059474439</v>
      </c>
      <c r="O41" s="1739">
        <f>IF(Factores!$D$3&gt;=EOMONTH('R+RS+B'!O4,0),'R+RP+B'!O38,IF(O5="r+st",'Real+S.T.'!$V$48/1000,IF('R+RS+B'!O5="bdgt",BDGT!N39,"")))</f>
        <v>1.6939823120152537</v>
      </c>
      <c r="P41" s="1739">
        <f>IF(Factores!$D$3&gt;=EOMONTH('R+RS+B'!P4,0),'R+RP+B'!P38,IF(P5="r+st",'Real+S.T.'!$V$48/1000,IF('R+RS+B'!P5="bdgt",BDGT!O39,"")))</f>
        <v>1.136164784676839</v>
      </c>
      <c r="Q41" s="1739">
        <f>IF(Factores!$D$3&gt;=EOMONTH('R+RS+B'!Q4,0),'R+RP+B'!Q38,IF(Q5="r+st",'Real+S.T.'!$V$48/1000,IF('R+RS+B'!Q5="bdgt",BDGT!P39,"")))</f>
        <v>1.60738114453015</v>
      </c>
      <c r="R41" s="429"/>
      <c r="S41" s="617">
        <f>SUM(F41:Q41)</f>
        <v>18.552321627646037</v>
      </c>
      <c r="T41" s="429"/>
      <c r="U41" s="294">
        <f>IF(MONTH(Factores!$D$2)=1,SUM($F41:F41),IF(MONTH(Factores!$D$2)=2,SUM($F41:G41),IF(MONTH(Factores!$D$2)=3,SUM($F41:H41),IF(MONTH(Factores!$D$2)=4,SUM($F41:I41),IF(MONTH(Factores!$D$2)=5,SUM($F41:J41),IF(MONTH(Factores!$D$2)=6,SUM($F41:K41),IF(MONTH(Factores!$D$2)=7,SUM($F41:L41),IF(MONTH(Factores!$D$2)=8,SUM($F41:M41),IF(MONTH(Factores!$D$2)=9,SUM($F41:N41),IF(MONTH(Factores!$D$2)=10,SUM($F41:O41),IF(MONTH(Factores!$D$2)=11,SUM($F41:P41),IF(MONTH(Factores!$D$2)=12,SUM($F41:Q41)))))))))))))</f>
        <v>4.6035935238028074</v>
      </c>
      <c r="V41" s="294">
        <f>IF(MONTH(Factores!$D$2)=1,SUM($F41:F41),IF(MONTH(Factores!$D$2)=2,SUM($F41:F41),IF(MONTH(Factores!$D$2)=3,SUM($F41:G41),IF(MONTH(Factores!$D$2)=4,SUM($F41:H41),IF(MONTH(Factores!$D$2)=5,SUM($F41:I41),IF(MONTH(Factores!$D$2)=6,SUM($F41:J41),IF(MONTH(Factores!$D$2)=7,SUM($F41:K41),IF(MONTH(Factores!$D$2)=8,SUM($F41:L41),IF(MONTH(Factores!$D$2)=9,SUM($F41:M41),IF(MONTH(Factores!$D$2)=10,SUM($F41:N41),IF(MONTH(Factores!$D$2)=11,SUM($F41:O41),IF(MONTH(Factores!$D$2)=12,SUM($F41:P41)))))))))))))</f>
        <v>2.1917971700200001</v>
      </c>
      <c r="X41" s="146" t="s">
        <v>1028</v>
      </c>
      <c r="Y41" s="144" t="s">
        <v>1022</v>
      </c>
      <c r="Z41" s="144" t="s">
        <v>1029</v>
      </c>
      <c r="AC41" s="605"/>
    </row>
    <row r="42" spans="2:29" s="426" customFormat="1" ht="30" customHeight="1">
      <c r="B42" s="607"/>
      <c r="C42" s="78" t="s">
        <v>232</v>
      </c>
      <c r="D42" s="88" t="s">
        <v>48</v>
      </c>
      <c r="E42" s="80"/>
      <c r="F42" s="1751">
        <f>IF(Factores!$D$3&gt;=EOMONTH('R+RS+B'!F4,0),'R+RP+B'!F39,IF(F5="r+st",'Real+S.T.'!$T$48,IF('R+RS+B'!F5="bdgt",BDGT!E40,"")))</f>
        <v>54.542668711771896</v>
      </c>
      <c r="G42" s="1732">
        <f>IF(Factores!$D$3&gt;=EOMONTH('R+RS+B'!G4,0),'R+RP+B'!G39,IF(G5="r+st",'Real+S.T.'!$T$48,IF('R+RS+B'!G5="bdgt",BDGT!F40,"")))</f>
        <v>54.884639999999997</v>
      </c>
      <c r="H42" s="1732">
        <f>IF(Factores!$D$3&gt;=EOMONTH('R+RS+B'!H4,0),'R+RP+B'!H39,IF(H5="r+st",'Real+S.T.'!$T$48,IF('R+RS+B'!H5="bdgt",BDGT!G40,"")))</f>
        <v>48.60535063406752</v>
      </c>
      <c r="I42" s="1732">
        <f>IF(Factores!$D$3&gt;=EOMONTH('R+RS+B'!I4,0),'R+RP+B'!I39,IF(I5="r+st",'Real+S.T.'!$T$48,IF('R+RS+B'!I5="bdgt",BDGT!H40,"")))</f>
        <v>54</v>
      </c>
      <c r="J42" s="1732">
        <f>IF(Factores!$D$3&gt;=EOMONTH('R+RS+B'!J4,0),'R+RP+B'!J39,IF(J5="r+st",'Real+S.T.'!$T$48,IF('R+RS+B'!J5="bdgt",BDGT!I40,"")))</f>
        <v>54</v>
      </c>
      <c r="K42" s="1732">
        <f>IF(Factores!$D$3&gt;=EOMONTH('R+RS+B'!K4,0),'R+RP+B'!K39,IF(K5="r+st",'Real+S.T.'!$T$48,IF('R+RS+B'!K5="bdgt",BDGT!J40,"")))</f>
        <v>54</v>
      </c>
      <c r="L42" s="1732">
        <f>IF(Factores!$D$3&gt;=EOMONTH('R+RS+B'!L4,0),'R+RP+B'!L39,IF(L5="r+st",'Real+S.T.'!$T$48,IF('R+RS+B'!L5="bdgt",BDGT!K40,"")))</f>
        <v>54</v>
      </c>
      <c r="M42" s="1732">
        <f>IF(Factores!$D$3&gt;=EOMONTH('R+RS+B'!M4,0),'R+RP+B'!M39,IF(M5="r+st",'Real+S.T.'!$T$48,IF('R+RS+B'!M5="bdgt",BDGT!L40,"")))</f>
        <v>54</v>
      </c>
      <c r="N42" s="1732">
        <f>IF(Factores!$D$3&gt;=EOMONTH('R+RS+B'!N4,0),'R+RP+B'!N39,IF(N5="r+st",'Real+S.T.'!$T$48,IF('R+RS+B'!N5="bdgt",BDGT!M40,"")))</f>
        <v>54</v>
      </c>
      <c r="O42" s="1732">
        <f>IF(Factores!$D$3&gt;=EOMONTH('R+RS+B'!O4,0),'R+RP+B'!O39,IF(O5="r+st",'Real+S.T.'!$T$48,IF('R+RS+B'!O5="bdgt",BDGT!N40,"")))</f>
        <v>54</v>
      </c>
      <c r="P42" s="1732">
        <f>IF(Factores!$D$3&gt;=EOMONTH('R+RS+B'!P4,0),'R+RP+B'!P39,IF(P5="r+st",'Real+S.T.'!$T$48,IF('R+RS+B'!P5="bdgt",BDGT!O40,"")))</f>
        <v>54</v>
      </c>
      <c r="Q42" s="1732">
        <f>IF(Factores!$D$3&gt;=EOMONTH('R+RS+B'!Q4,0),'R+RP+B'!Q39,IF(Q5="r+st",'Real+S.T.'!$T$48,IF('R+RS+B'!Q5="bdgt",BDGT!P40,"")))</f>
        <v>54</v>
      </c>
      <c r="R42" s="86"/>
      <c r="S42" s="208">
        <f>S17/S41*100</f>
        <v>52.700149078646916</v>
      </c>
      <c r="T42" s="86"/>
      <c r="U42" s="224">
        <f>U17/U41*100</f>
        <v>48.761646041022807</v>
      </c>
      <c r="V42" s="224">
        <f>V17/V41*100</f>
        <v>63.614500612371039</v>
      </c>
      <c r="X42" s="146" t="s">
        <v>102</v>
      </c>
      <c r="Y42" s="4795" t="s">
        <v>1030</v>
      </c>
      <c r="Z42" s="4795"/>
      <c r="AC42" s="605"/>
    </row>
    <row r="43" spans="2:29">
      <c r="B43" s="607"/>
      <c r="F43" s="1756"/>
      <c r="G43" s="1744"/>
      <c r="H43" s="1744"/>
      <c r="I43" s="1744"/>
      <c r="J43" s="1744"/>
      <c r="K43" s="1744"/>
      <c r="L43" s="1744"/>
      <c r="M43" s="1744"/>
      <c r="N43" s="1744"/>
      <c r="O43" s="1744"/>
      <c r="P43" s="1744"/>
      <c r="Q43" s="1744"/>
      <c r="S43" s="145"/>
      <c r="X43" s="606"/>
      <c r="AC43" s="605"/>
    </row>
    <row r="44" spans="2:29" ht="30" customHeight="1">
      <c r="B44" s="607"/>
      <c r="C44" s="90" t="s">
        <v>233</v>
      </c>
      <c r="D44" s="91" t="s">
        <v>234</v>
      </c>
      <c r="F44" s="1750">
        <f>BDGT!E42</f>
        <v>4.0613207908088041E-2</v>
      </c>
      <c r="G44" s="1739">
        <f>BDGT!F42</f>
        <v>3.9184403842763504E-2</v>
      </c>
      <c r="H44" s="1739">
        <f>BDGT!G42</f>
        <v>5.1404491470992943E-2</v>
      </c>
      <c r="I44" s="1739">
        <f>BDGT!H42</f>
        <v>4.6736655639521708E-2</v>
      </c>
      <c r="J44" s="1739">
        <f>BDGT!I42</f>
        <v>4.7295830916229645E-2</v>
      </c>
      <c r="K44" s="1739">
        <f>BDGT!J42</f>
        <v>4.6584206591493774E-2</v>
      </c>
      <c r="L44" s="1739">
        <f>BDGT!K42</f>
        <v>4.0333289011960004E-2</v>
      </c>
      <c r="M44" s="1739">
        <f>BDGT!L42</f>
        <v>5.99846853683874E-2</v>
      </c>
      <c r="N44" s="1739">
        <f>BDGT!M42</f>
        <v>4.5816713418892381E-2</v>
      </c>
      <c r="O44" s="1739">
        <f>BDGT!N42</f>
        <v>4.8860522928392977E-2</v>
      </c>
      <c r="P44" s="1739">
        <f>BDGT!O42</f>
        <v>5.2935517706570026E-2</v>
      </c>
      <c r="Q44" s="1739">
        <f>BDGT!P42</f>
        <v>5.1242385456036425E-2</v>
      </c>
      <c r="R44" s="618">
        <f>BDGT!Q42</f>
        <v>0</v>
      </c>
      <c r="S44" s="617">
        <f>SUMPRODUCT(F44:Q44,F20:Q20)/SUM(F20:Q20)</f>
        <v>4.7873701003142116E-2</v>
      </c>
      <c r="T44" s="429"/>
      <c r="U44" s="294">
        <f>IF(MONTH(Factores!$D$2)=1,SUMPRODUCT($F$20:$F$20,$F44:F44)/SUM($F$20:$F$20),IF(MONTH(Factores!$D$2)=2,SUMPRODUCT($F$20:$G$20,$F44:G44)/SUM($F$20:$G$20),IF(MONTH(Factores!$D$2)=3,SUMPRODUCT($F$20:$H$20,$F44:H44)/SUM($F$20:$H$20),IF(MONTH(Factores!$D$2)=4,SUMPRODUCT($F$20:$I$20,$F44:I44)/SUM($F$20:$I$20),IF(MONTH(Factores!$D$2)=5,SUMPRODUCT($F$20:$J$20,$F44:J44)/SUM($F$20:$J$20),IF(MONTH(Factores!$D$2)=6,SUMPRODUCT($F$20:$K$20,$F44:K44)/SUM($F$20:$K$20),IF(MONTH(Factores!$D$2)=7,SUMPRODUCT($F$20:$L$20,$F44:L44)/SUM($F$20:$L$20),IF(MONTH(Factores!$D$2)=8,SUMPRODUCT($F$20:$M$20,$F44:M44)/SUM($F$20:$M$20),IF(MONTH(Factores!$D$2)=9,SUMPRODUCT($F$20:$N$20,$F44:N44)/SUM($F$20:$N$20),IF(MONTH(Factores!$D$2)=10,SUMPRODUCT($F$20:$O$20,$F44:O44)/SUM($F$20:$O$20),IF(MONTH(Factores!$D$2)=11,SUMPRODUCT($F$20:$P$20,$F44:P44)/SUM($F$20:$P$20),IF(MONTH(Factores!$D$2)=12,SUMPRODUCT($F$20:$Q$20,$F44:Q44)/SUM($F$20:$Q$20)))))))))))))</f>
        <v>4.4344994919474245E-2</v>
      </c>
      <c r="V44" s="294">
        <f>IF(MONTH(Factores!$D$2)=1,SUMPRODUCT($F$20:$F$20,$F44:F44)/SUM($F$20:$F$20),IF(MONTH(Factores!$D$2)=2,SUMPRODUCT($F$20:$F$20,$F44:F44)/SUM($F$20:$F$20),IF(MONTH(Factores!$D$2)=3,SUMPRODUCT($F$20:$G$20,$F44:G44)/SUM($F$20:$G$20),IF(MONTH(Factores!$D$2)=4,SUMPRODUCT($F$20:$H$20,$F44:H44)/SUM($F$20:$H$20),IF(MONTH(Factores!$D$2)=5,SUMPRODUCT($F$20:$I$20,$F44:I44)/SUM($F$20:$I$20),IF(MONTH(Factores!$D$2)=6,SUMPRODUCT($F$20:$J$20,$F44:J44)/SUM($F$20:$J$20),IF(MONTH(Factores!$D$2)=7,SUMPRODUCT($F$20:$K$20,$F44:K44)/SUM($F$20:$K$20),IF(MONTH(Factores!$D$2)=8,SUMPRODUCT($F$20:$L$20,$F44:L44)/SUM($F$20:$L$20),IF(MONTH(Factores!$D$2)=9,SUMPRODUCT($F$20:$M$20,$F44:M44)/SUM($F$20:$M$20),IF(MONTH(Factores!$D$2)=10,SUMPRODUCT($F$20:$N$20,$F44:N44)/SUM($F$20:$N$20),IF(MONTH(Factores!$D$2)=11,SUMPRODUCT($F$20:$O$20,$F44:O44)/SUM($F$20:$O$20),IF(MONTH(Factores!$D$2)=12,SUMPRODUCT($F$20:$P$20,$F44:P44)/SUM($F$20:$P$20)))))))))))))</f>
        <v>3.9810040394670176E-2</v>
      </c>
      <c r="W44" s="570"/>
      <c r="X44" s="153" t="s">
        <v>1031</v>
      </c>
      <c r="Y44" s="144" t="s">
        <v>1032</v>
      </c>
      <c r="Z44" s="144" t="s">
        <v>1033</v>
      </c>
      <c r="AC44" s="605"/>
    </row>
    <row r="45" spans="2:29" ht="30" customHeight="1">
      <c r="B45" s="607"/>
      <c r="C45" s="90" t="s">
        <v>235</v>
      </c>
      <c r="D45" s="91" t="s">
        <v>234</v>
      </c>
      <c r="F45" s="1754">
        <f>BDGT!E43</f>
        <v>1.8543725808971954</v>
      </c>
      <c r="G45" s="1742">
        <f>BDGT!F43</f>
        <v>1.6566731946851032</v>
      </c>
      <c r="H45" s="1742">
        <f>BDGT!G43</f>
        <v>1.9863659123708997</v>
      </c>
      <c r="I45" s="1742">
        <f>BDGT!H43</f>
        <v>1.6685932081364816</v>
      </c>
      <c r="J45" s="1742">
        <f>BDGT!I43</f>
        <v>1.7695107255860287</v>
      </c>
      <c r="K45" s="1742">
        <f>BDGT!J43</f>
        <v>1.6587949071293442</v>
      </c>
      <c r="L45" s="1742">
        <f>BDGT!K43</f>
        <v>1.5050384786105933</v>
      </c>
      <c r="M45" s="1742">
        <f>BDGT!L43</f>
        <v>1.9227298905133086</v>
      </c>
      <c r="N45" s="1742">
        <f>BDGT!M43</f>
        <v>1.6060955426524752</v>
      </c>
      <c r="O45" s="1742">
        <f>BDGT!N43</f>
        <v>1.6144199588071382</v>
      </c>
      <c r="P45" s="1742">
        <f>BDGT!O43</f>
        <v>1.6416468876352937</v>
      </c>
      <c r="Q45" s="1742">
        <f>BDGT!P43</f>
        <v>1.5522578442623798</v>
      </c>
      <c r="R45" s="209">
        <f>BDGT!Q43</f>
        <v>0</v>
      </c>
      <c r="S45" s="531">
        <f>SUMPRODUCT(F45:Q45,F34:Q34)/SUM(F34:Q34)</f>
        <v>1.6957849851371267</v>
      </c>
      <c r="T45" s="500"/>
      <c r="U45" s="174">
        <f>IF(MONTH(Factores!$D$2)=1,SUMPRODUCT($F$34:$F$34,$F45:F45)/SUM($F$34:$F$34),IF(MONTH(Factores!$D$2)=2,SUMPRODUCT($F$34:$G$34,$F45:G45)/SUM($F$34:$G$34),IF(MONTH(Factores!$D$2)=3,SUMPRODUCT($F$34:$H$34,$F45:H45)/SUM($F$34:$H$34),IF(MONTH(Factores!$D$2)=4,SUMPRODUCT($F$34:$I$34,$F45:I45)/SUM($F$34:$I$34),IF(MONTH(Factores!$D$2)=5,SUMPRODUCT($F$34:$J$34,$F45:J45)/SUM($F$34:$J$34),IF(MONTH(Factores!$D$2)=6,SUMPRODUCT($F$34:$K$34,$F45:K45)/SUM($F$34:$K$34),IF(MONTH(Factores!$D$2)=7,SUMPRODUCT($F$34:$L$34,$F45:L45)/SUM($F$34:$L$34),IF(MONTH(Factores!$D$2)=8,SUMPRODUCT($F$34:$M$34,$F45:M45)/SUM($F$34:$M$34),IF(MONTH(Factores!$D$2)=9,SUMPRODUCT($F$34:$N$34,$F45:N45)/SUM($F$34:$N$34),IF(MONTH(Factores!$D$2)=10,SUMPRODUCT($F$34:$O$34,$F45:O45)/SUM($F$34:$O$34),IF(MONTH(Factores!$D$2)=11,SUMPRODUCT($F$34:$P$34,$F45:P45)/SUM($F$34:$P$34),IF(MONTH(Factores!$D$2)=12,SUMPRODUCT($F$34:$Q$34,$F45:Q45)/SUM($F$34:$Q$34)))))))))))))</f>
        <v>1.8431898548181522</v>
      </c>
      <c r="V45" s="174">
        <f>IF(MONTH(Factores!$D$2)=1,SUMPRODUCT($F$34:$F$34,$F45:F45)/SUM($F$34:$F$34),IF(MONTH(Factores!$D$2)=2,SUMPRODUCT($F$34:$F$34,$F45:F45)/SUM($F$34:$F$34),IF(MONTH(Factores!$D$2)=3,SUMPRODUCT($F$34:$G$34,$F45:G45)/SUM($F$34:$G$34),IF(MONTH(Factores!$D$2)=4,SUMPRODUCT($F$34:$H$34,$F45:H45)/SUM($F$34:$H$34),IF(MONTH(Factores!$D$2)=5,SUMPRODUCT($F$34:$I$34,$F45:I45)/SUM($F$34:$I$34),IF(MONTH(Factores!$D$2)=6,SUMPRODUCT($F$34:$J$34,$F45:J45)/SUM($F$34:$J$34),IF(MONTH(Factores!$D$2)=7,SUMPRODUCT($F$34:$K$34,$F45:K45)/SUM($F$34:$K$34),IF(MONTH(Factores!$D$2)=8,SUMPRODUCT($F$34:$L$34,$F45:L45)/SUM($F$34:$L$34),IF(MONTH(Factores!$D$2)=9,SUMPRODUCT($F$34:$M$34,$F45:M45)/SUM($F$34:$M$34),IF(MONTH(Factores!$D$2)=10,SUMPRODUCT($F$34:$N$34,$F45:N45)/SUM($F$34:$N$34),IF(MONTH(Factores!$D$2)=11,SUMPRODUCT($F$34:$O$34,$F45:O45)/SUM($F$34:$O$34),IF(MONTH(Factores!$D$2)=12,SUMPRODUCT($F$34:$P$34,$F45:P45)/SUM($F$34:$P$34)))))))))))))</f>
        <v>1.7469207801922007</v>
      </c>
      <c r="W45" s="570"/>
      <c r="X45" s="153" t="s">
        <v>1034</v>
      </c>
      <c r="Y45" s="144" t="s">
        <v>1015</v>
      </c>
      <c r="Z45" s="144" t="s">
        <v>1035</v>
      </c>
      <c r="AC45" s="605"/>
    </row>
    <row r="46" spans="2:29" ht="30" customHeight="1" thickBot="1">
      <c r="B46" s="607"/>
      <c r="C46" s="90" t="s">
        <v>1036</v>
      </c>
      <c r="D46" s="91" t="s">
        <v>241</v>
      </c>
      <c r="F46" s="1752">
        <f>BDGT!E45</f>
        <v>4372.4316102587645</v>
      </c>
      <c r="G46" s="1740">
        <f>BDGT!F45</f>
        <v>4023.8664782661444</v>
      </c>
      <c r="H46" s="1740">
        <f>BDGT!G45</f>
        <v>6754.6724582037486</v>
      </c>
      <c r="I46" s="1740">
        <f>BDGT!H45</f>
        <v>4188.9881618358759</v>
      </c>
      <c r="J46" s="1740">
        <f>BDGT!I45</f>
        <v>6527.5238752614869</v>
      </c>
      <c r="K46" s="1740">
        <f>BDGT!J45</f>
        <v>6249.7652024716181</v>
      </c>
      <c r="L46" s="1740">
        <f>BDGT!K45</f>
        <v>5295.954021567577</v>
      </c>
      <c r="M46" s="1740">
        <f>BDGT!L45</f>
        <v>6718.1459711537764</v>
      </c>
      <c r="N46" s="1740">
        <f>BDGT!M45</f>
        <v>6479.9525607837331</v>
      </c>
      <c r="O46" s="1740">
        <f>BDGT!N45</f>
        <v>6815.2571362235803</v>
      </c>
      <c r="P46" s="1740">
        <f>BDGT!O45</f>
        <v>6538.4235127915381</v>
      </c>
      <c r="Q46" s="1740">
        <f>BDGT!P45</f>
        <v>7078.9092791283492</v>
      </c>
      <c r="R46" s="536">
        <f>BDGT!Q45</f>
        <v>0</v>
      </c>
      <c r="S46" s="425">
        <f>SUM(F46:Q46)</f>
        <v>71043.890267946204</v>
      </c>
      <c r="T46" s="534"/>
      <c r="U46" s="225">
        <f>IF(MONTH(Factores!$D$2)=1,SUM($F46:F46),IF(MONTH(Factores!$D$2)=2,SUM($F46:G46),IF(MONTH(Factores!$D$2)=3,SUM($F46:H46),IF(MONTH(Factores!$D$2)=4,SUM($F46:I46),IF(MONTH(Factores!$D$2)=5,SUM($F46:J46),IF(MONTH(Factores!$D$2)=6,SUM($F46:K46),IF(MONTH(Factores!$D$2)=7,SUM($F46:L46),IF(MONTH(Factores!$D$2)=8,SUM($F46:M46),IF(MONTH(Factores!$D$2)=9,SUM($F46:N46),IF(MONTH(Factores!$D$2)=10,SUM($F46:O46),IF(MONTH(Factores!$D$2)=11,SUM($F46:P46),IF(MONTH(Factores!$D$2)=12,SUM($F46:Q46)))))))))))))</f>
        <v>15150.970546728659</v>
      </c>
      <c r="V46" s="225">
        <f>IF(MONTH(Factores!$D$2)=1,SUM($F46:F46),IF(MONTH(Factores!$D$2)=2,SUM($F46:F46),IF(MONTH(Factores!$D$2)=3,SUM($F46:G46),IF(MONTH(Factores!$D$2)=4,SUM($F46:H46),IF(MONTH(Factores!$D$2)=5,SUM($F46:I46),IF(MONTH(Factores!$D$2)=6,SUM($F46:J46),IF(MONTH(Factores!$D$2)=7,SUM($F46:K46),IF(MONTH(Factores!$D$2)=8,SUM($F46:L46),IF(MONTH(Factores!$D$2)=9,SUM($F46:M46),IF(MONTH(Factores!$D$2)=10,SUM($F46:N46),IF(MONTH(Factores!$D$2)=11,SUM($F46:O46),IF(MONTH(Factores!$D$2)=12,SUM($F46:P46)))))))))))))</f>
        <v>8396.298088524909</v>
      </c>
      <c r="W46" s="570"/>
      <c r="X46" s="151" t="s">
        <v>1037</v>
      </c>
      <c r="Y46" s="152" t="s">
        <v>1005</v>
      </c>
      <c r="Z46" s="152" t="s">
        <v>1038</v>
      </c>
      <c r="AA46" s="608"/>
      <c r="AB46" s="608"/>
      <c r="AC46" s="609"/>
    </row>
    <row r="47" spans="2:29">
      <c r="B47" s="607"/>
      <c r="F47" s="1756"/>
      <c r="G47" s="1744"/>
      <c r="H47" s="1744"/>
      <c r="I47" s="1744"/>
      <c r="J47" s="1744"/>
      <c r="K47" s="1744"/>
      <c r="L47" s="1744"/>
      <c r="M47" s="1744"/>
      <c r="N47" s="1744"/>
      <c r="O47" s="1744"/>
      <c r="P47" s="1744"/>
      <c r="Q47" s="1744"/>
      <c r="R47" s="210"/>
      <c r="S47" s="145"/>
      <c r="X47" s="571"/>
    </row>
    <row r="48" spans="2:29" ht="30" customHeight="1">
      <c r="B48" s="607"/>
      <c r="C48" s="90" t="s">
        <v>238</v>
      </c>
      <c r="D48" s="91" t="s">
        <v>234</v>
      </c>
      <c r="F48" s="1754">
        <f>BDGT!E48</f>
        <v>1.3598056442320934</v>
      </c>
      <c r="G48" s="1742">
        <f>BDGT!F48</f>
        <v>1.2570857641175415</v>
      </c>
      <c r="H48" s="1742">
        <f>BDGT!G48</f>
        <v>1.5117587416303118</v>
      </c>
      <c r="I48" s="1742">
        <f>BDGT!H48</f>
        <v>1.4837751194889428</v>
      </c>
      <c r="J48" s="1742">
        <f>BDGT!I48</f>
        <v>1.4509919767308952</v>
      </c>
      <c r="K48" s="1742">
        <f>BDGT!J48</f>
        <v>1.3994230050471075</v>
      </c>
      <c r="L48" s="1742">
        <f>BDGT!K48</f>
        <v>1.3124240456803287</v>
      </c>
      <c r="M48" s="1742">
        <f>BDGT!L48</f>
        <v>1.7066892450978774</v>
      </c>
      <c r="N48" s="1742">
        <f>BDGT!M48</f>
        <v>1.4462223538088381</v>
      </c>
      <c r="O48" s="1742">
        <f>BDGT!N48</f>
        <v>1.4883362881514637</v>
      </c>
      <c r="P48" s="1742">
        <f>BDGT!O48</f>
        <v>1.5800658602068305</v>
      </c>
      <c r="Q48" s="1742">
        <f>BDGT!P48</f>
        <v>1.6059821394643417</v>
      </c>
      <c r="R48" s="209">
        <f>BDGT!Q48</f>
        <v>0</v>
      </c>
      <c r="S48" s="531">
        <f>SUMPRODUCT(F48:Q48,F20:Q20)/SUM(F20:Q20)</f>
        <v>1.4714365629166233</v>
      </c>
      <c r="T48" s="500"/>
      <c r="U48" s="174">
        <f>IF(MONTH(Factores!$D$2)=1,SUMPRODUCT($F$20:$F$20,$F48:F48)/SUM($F$20:$F$20),IF(MONTH(Factores!$D$2)=2,SUMPRODUCT($F$20:$G$20,$F48:G48)/SUM($F$20:$G$20),IF(MONTH(Factores!$D$2)=3,SUMPRODUCT($F$20:$H$20,$F48:H48)/SUM($F$20:$H$20),IF(MONTH(Factores!$D$2)=4,SUMPRODUCT($F$20:$I$20,$F48:I48)/SUM($F$20:$I$20),IF(MONTH(Factores!$D$2)=5,SUMPRODUCT($F$20:$J$20,$F48:J48)/SUM($F$20:$J$20),IF(MONTH(Factores!$D$2)=6,SUMPRODUCT($F$20:$K$20,$F48:K48)/SUM($F$20:$K$20),IF(MONTH(Factores!$D$2)=7,SUMPRODUCT($F$20:$L$20,$F48:L48)/SUM($F$20:$L$20),IF(MONTH(Factores!$D$2)=8,SUMPRODUCT($F$20:$M$20,$F48:M48)/SUM($F$20:$M$20),IF(MONTH(Factores!$D$2)=9,SUMPRODUCT($F$20:$N$20,$F48:N48)/SUM($F$20:$N$20),IF(MONTH(Factores!$D$2)=10,SUMPRODUCT($F$20:$O$20,$F48:O48)/SUM($F$20:$O$20),IF(MONTH(Factores!$D$2)=11,SUMPRODUCT($F$20:$P$20,$F48:P48)/SUM($F$20:$P$20),IF(MONTH(Factores!$D$2)=12,SUMPRODUCT($F$20:$Q$20,$F48:Q48)/SUM($F$20:$Q$20)))))))))))))</f>
        <v>1.3840823055178915</v>
      </c>
      <c r="V48" s="174">
        <f>IF(MONTH(Factores!$D$2)=1,SUMPRODUCT($F$20:$F$20,$F48:F48)/SUM($F$20:$F$20),IF(MONTH(Factores!$D$2)=2,SUMPRODUCT($F$20:$F$20,$F48:F48)/SUM($F$20:$F$20),IF(MONTH(Factores!$D$2)=3,SUMPRODUCT($F$20:$G$20,$F48:G48)/SUM($F$20:$G$20),IF(MONTH(Factores!$D$2)=4,SUMPRODUCT($F$20:$H$20,$F48:H48)/SUM($F$20:$H$20),IF(MONTH(Factores!$D$2)=5,SUMPRODUCT($F$20:$I$20,$F48:I48)/SUM($F$20:$I$20),IF(MONTH(Factores!$D$2)=6,SUMPRODUCT($F$20:$J$20,$F48:J48)/SUM($F$20:$J$20),IF(MONTH(Factores!$D$2)=7,SUMPRODUCT($F$20:$K$20,$F48:K48)/SUM($F$20:$K$20),IF(MONTH(Factores!$D$2)=8,SUMPRODUCT($F$20:$L$20,$F48:L48)/SUM($F$20:$L$20),IF(MONTH(Factores!$D$2)=9,SUMPRODUCT($F$20:$M$20,$F48:M48)/SUM($F$20:$M$20),IF(MONTH(Factores!$D$2)=10,SUMPRODUCT($F$20:$N$20,$F48:N48)/SUM($F$20:$N$20),IF(MONTH(Factores!$D$2)=11,SUMPRODUCT($F$20:$O$20,$F48:O48)/SUM($F$20:$O$20),IF(MONTH(Factores!$D$2)=12,SUMPRODUCT($F$20:$P$20,$F48:P48)/SUM($F$20:$P$20)))))))))))))</f>
        <v>1.3020641577033256</v>
      </c>
      <c r="W48" s="570"/>
    </row>
    <row r="49" spans="2:24" s="426" customFormat="1" ht="30" customHeight="1">
      <c r="B49" s="607"/>
      <c r="C49" s="90" t="s">
        <v>239</v>
      </c>
      <c r="D49" s="91" t="s">
        <v>234</v>
      </c>
      <c r="F49" s="1751">
        <f>BDGT!E49</f>
        <v>70.957529952039394</v>
      </c>
      <c r="G49" s="1732">
        <f>BDGT!F49</f>
        <v>60.740792898568451</v>
      </c>
      <c r="H49" s="1732">
        <f>BDGT!G49</f>
        <v>66.762504791132926</v>
      </c>
      <c r="I49" s="1732">
        <f>BDGT!H49</f>
        <v>60.541457306219705</v>
      </c>
      <c r="J49" s="1732">
        <f>BDGT!I49</f>
        <v>62.042215460198143</v>
      </c>
      <c r="K49" s="1732">
        <f>BDGT!J49</f>
        <v>56.950159685742371</v>
      </c>
      <c r="L49" s="1732">
        <f>BDGT!K49</f>
        <v>55.969327779753556</v>
      </c>
      <c r="M49" s="1732">
        <f>BDGT!L49</f>
        <v>62.52076614392783</v>
      </c>
      <c r="N49" s="1732">
        <f>BDGT!M49</f>
        <v>57.939462394124213</v>
      </c>
      <c r="O49" s="1732">
        <f>BDGT!N49</f>
        <v>56.201955280048374</v>
      </c>
      <c r="P49" s="1732">
        <f>BDGT!O49</f>
        <v>56.001507689752593</v>
      </c>
      <c r="Q49" s="1732">
        <f>BDGT!P49</f>
        <v>55.59902583530679</v>
      </c>
      <c r="R49" s="210">
        <f>BDGT!Q49</f>
        <v>0</v>
      </c>
      <c r="S49" s="208">
        <f>SUMPRODUCT(F49:Q49,F34:Q34)/SUM(F34:Q34)</f>
        <v>59.613739501076928</v>
      </c>
      <c r="T49" s="86"/>
      <c r="U49" s="224">
        <f>IF(MONTH(Factores!$D$2)=1,SUMPRODUCT($F$34:$F$34,$F49:F49)/SUM($F$34:$F$34),IF(MONTH(Factores!$D$2)=2,SUMPRODUCT($F$34:$G$34,$F49:G49)/SUM($F$34:$G$34),IF(MONTH(Factores!$D$2)=3,SUMPRODUCT($F$34:$H$34,$F49:H49)/SUM($F$34:$H$34),IF(MONTH(Factores!$D$2)=4,SUMPRODUCT($F$34:$I$34,$F49:I49)/SUM($F$34:$I$34),IF(MONTH(Factores!$D$2)=5,SUMPRODUCT($F$34:$J$34,$F49:J49)/SUM($F$34:$J$34),IF(MONTH(Factores!$D$2)=6,SUMPRODUCT($F$34:$K$34,$F49:K49)/SUM($F$34:$K$34),IF(MONTH(Factores!$D$2)=7,SUMPRODUCT($F$34:$L$34,$F49:L49)/SUM($F$34:$L$34),IF(MONTH(Factores!$D$2)=8,SUMPRODUCT($F$34:$M$34,$F49:M49)/SUM($F$34:$M$34),IF(MONTH(Factores!$D$2)=9,SUMPRODUCT($F$34:$N$34,$F49:N49)/SUM($F$34:$N$34),IF(MONTH(Factores!$D$2)=10,SUMPRODUCT($F$34:$O$34,$F49:O49)/SUM($F$34:$O$34),IF(MONTH(Factores!$D$2)=11,SUMPRODUCT($F$34:$P$34,$F49:P49)/SUM($F$34:$P$34),IF(MONTH(Factores!$D$2)=12,SUMPRODUCT($F$34:$Q$34,$F49:Q49)/SUM($F$34:$Q$34)))))))))))))</f>
        <v>65.950558772078452</v>
      </c>
      <c r="V49" s="224">
        <f>IF(MONTH(Factores!$D$2)=1,SUMPRODUCT($F$34:$F$34,$F49:F49)/SUM($F$34:$F$34),IF(MONTH(Factores!$D$2)=2,SUMPRODUCT($F$34:$F$34,$F49:F49)/SUM($F$34:$F$34),IF(MONTH(Factores!$D$2)=3,SUMPRODUCT($F$34:$G$34,$F49:G49)/SUM($F$34:$G$34),IF(MONTH(Factores!$D$2)=4,SUMPRODUCT($F$34:$H$34,$F49:H49)/SUM($F$34:$H$34),IF(MONTH(Factores!$D$2)=5,SUMPRODUCT($F$34:$I$34,$F49:I49)/SUM($F$34:$I$34),IF(MONTH(Factores!$D$2)=6,SUMPRODUCT($F$34:$J$34,$F49:J49)/SUM($F$34:$J$34),IF(MONTH(Factores!$D$2)=7,SUMPRODUCT($F$34:$K$34,$F49:K49)/SUM($F$34:$K$34),IF(MONTH(Factores!$D$2)=8,SUMPRODUCT($F$34:$L$34,$F49:L49)/SUM($F$34:$L$34),IF(MONTH(Factores!$D$2)=9,SUMPRODUCT($F$34:$M$34,$F49:M49)/SUM($F$34:$M$34),IF(MONTH(Factores!$D$2)=10,SUMPRODUCT($F$34:$N$34,$F49:N49)/SUM($F$34:$N$34),IF(MONTH(Factores!$D$2)=11,SUMPRODUCT($F$34:$O$34,$F49:O49)/SUM($F$34:$O$34),IF(MONTH(Factores!$D$2)=12,SUMPRODUCT($F$34:$P$34,$F49:P49)/SUM($F$34:$P$34)))))))))))))</f>
        <v>65.404620482977279</v>
      </c>
      <c r="W49" s="570"/>
      <c r="X49" s="571"/>
    </row>
    <row r="50" spans="2:24" ht="30" customHeight="1">
      <c r="B50" s="607"/>
      <c r="C50" s="90" t="s">
        <v>1039</v>
      </c>
      <c r="D50" s="91" t="s">
        <v>1040</v>
      </c>
      <c r="F50" s="1752">
        <f>BDGT!E51</f>
        <v>167.34943340171847</v>
      </c>
      <c r="G50" s="1740">
        <f>BDGT!F51</f>
        <v>147.56620266397243</v>
      </c>
      <c r="H50" s="1740">
        <f>BDGT!G51</f>
        <v>227.07921888994454</v>
      </c>
      <c r="I50" s="1740">
        <f>BDGT!H51</f>
        <v>152.02368698658188</v>
      </c>
      <c r="J50" s="1740">
        <f>BDGT!I51</f>
        <v>228.91924034792791</v>
      </c>
      <c r="K50" s="1740">
        <f>BDGT!J51</f>
        <v>214.61777264255997</v>
      </c>
      <c r="L50" s="1740">
        <f>BDGT!K51</f>
        <v>196.94578627202782</v>
      </c>
      <c r="M50" s="1740">
        <f>BDGT!L51</f>
        <v>218.45171038098496</v>
      </c>
      <c r="N50" s="1740">
        <f>BDGT!M51</f>
        <v>233.7625363751329</v>
      </c>
      <c r="O50" s="1740">
        <f>BDGT!N51</f>
        <v>237.25597215428499</v>
      </c>
      <c r="P50" s="1740">
        <f>BDGT!O51</f>
        <v>223.04527081209955</v>
      </c>
      <c r="Q50" s="1740">
        <f>BDGT!P51</f>
        <v>253.55353258535231</v>
      </c>
      <c r="R50" s="536">
        <f>BDGT!Q51</f>
        <v>0</v>
      </c>
      <c r="S50" s="425">
        <f>SUM(F50:Q50)</f>
        <v>2500.5703635125878</v>
      </c>
      <c r="T50" s="534"/>
      <c r="U50" s="225">
        <f>IF(MONTH(Factores!$D$2)=1,SUM($F50:F50),IF(MONTH(Factores!$D$2)=2,SUM($F50:G50),IF(MONTH(Factores!$D$2)=3,SUM($F50:H50),IF(MONTH(Factores!$D$2)=4,SUM($F50:I50),IF(MONTH(Factores!$D$2)=5,SUM($F50:J50),IF(MONTH(Factores!$D$2)=6,SUM($F50:K50),IF(MONTH(Factores!$D$2)=7,SUM($F50:L50),IF(MONTH(Factores!$D$2)=8,SUM($F50:M50),IF(MONTH(Factores!$D$2)=9,SUM($F50:N50),IF(MONTH(Factores!$D$2)=10,SUM($F50:O50),IF(MONTH(Factores!$D$2)=11,SUM($F50:P50),IF(MONTH(Factores!$D$2)=12,SUM($F50:Q50)))))))))))))</f>
        <v>541.99485495563545</v>
      </c>
      <c r="V50" s="225">
        <f>IF(MONTH(Factores!$D$2)=1,SUM($F50:F50),IF(MONTH(Factores!$D$2)=2,SUM($F50:F50),IF(MONTH(Factores!$D$2)=3,SUM($F50:G50),IF(MONTH(Factores!$D$2)=4,SUM($F50:H50),IF(MONTH(Factores!$D$2)=5,SUM($F50:I50),IF(MONTH(Factores!$D$2)=6,SUM($F50:J50),IF(MONTH(Factores!$D$2)=7,SUM($F50:K50),IF(MONTH(Factores!$D$2)=8,SUM($F50:L50),IF(MONTH(Factores!$D$2)=9,SUM($F50:M50),IF(MONTH(Factores!$D$2)=10,SUM($F50:N50),IF(MONTH(Factores!$D$2)=11,SUM($F50:O50),IF(MONTH(Factores!$D$2)=12,SUM($F50:P50)))))))))))))</f>
        <v>314.91563606569093</v>
      </c>
      <c r="W50" s="570"/>
      <c r="X50" s="571"/>
    </row>
    <row r="51" spans="2:24">
      <c r="B51" s="607"/>
      <c r="F51" s="1756"/>
      <c r="G51" s="1744"/>
      <c r="H51" s="1744"/>
      <c r="I51" s="1744"/>
      <c r="J51" s="1744"/>
      <c r="K51" s="1744"/>
      <c r="L51" s="1744"/>
      <c r="M51" s="1744"/>
      <c r="N51" s="1744"/>
      <c r="O51" s="1744"/>
      <c r="P51" s="1744"/>
      <c r="Q51" s="1744"/>
      <c r="S51" s="145"/>
      <c r="X51" s="571"/>
    </row>
    <row r="52" spans="2:24" ht="30" customHeight="1">
      <c r="B52" s="607"/>
      <c r="C52" s="90" t="s">
        <v>242</v>
      </c>
      <c r="D52" s="91" t="s">
        <v>95</v>
      </c>
      <c r="F52" s="1751">
        <f>IF(F5="r+st",'Real+S.T.'!$AU$48,IF('R+RS+B'!F5="bdgt",BDGT!F54,'R+RP+B'!F49))</f>
        <v>12.036679627829974</v>
      </c>
      <c r="G52" s="1732" t="str">
        <f>IF(G5="r+st",'Real+S.T.'!$AU$48,IF('R+RS+B'!G5="bdgt",BDGT!G54,'R+RP+B'!G49))</f>
        <v/>
      </c>
      <c r="H52" s="1732">
        <f>IF(H5="r+st",'Real+S.T.'!$AU$48,IF('R+RS+B'!H5="bdgt",BDGT!H54,'R+RP+B'!H49))</f>
        <v>22.476141132146484</v>
      </c>
      <c r="I52" s="1732">
        <f>IF(I5="r+st",'Real+S.T.'!$AU$48,IF('R+RS+B'!I5="bdgt",BDGT!I54,'R+RP+B'!I49))</f>
        <v>20.00231618587987</v>
      </c>
      <c r="J52" s="1732">
        <f>IF(J5="r+st",'Real+S.T.'!$AU$48,IF('R+RS+B'!J5="bdgt",BDGT!J54,'R+RP+B'!J49))</f>
        <v>26.348003550125103</v>
      </c>
      <c r="K52" s="1732">
        <f>IF(K5="r+st",'Real+S.T.'!$AU$48,IF('R+RS+B'!K5="bdgt",BDGT!K54,'R+RP+B'!K49))</f>
        <v>20.013305077124766</v>
      </c>
      <c r="L52" s="1732">
        <f>IF(L5="r+st",'Real+S.T.'!$AU$48,IF('R+RS+B'!L5="bdgt",BDGT!L54,'R+RP+B'!L49))</f>
        <v>26.469868818010202</v>
      </c>
      <c r="M52" s="1732">
        <f>IF(M5="r+st",'Real+S.T.'!$AU$48,IF('R+RS+B'!M5="bdgt",BDGT!M54,'R+RP+B'!M49))</f>
        <v>15.672033075573559</v>
      </c>
      <c r="N52" s="1732">
        <f>IF(N5="r+st",'Real+S.T.'!$AU$48,IF('R+RS+B'!N5="bdgt",BDGT!N54,'R+RP+B'!N49))</f>
        <v>19.493722559906317</v>
      </c>
      <c r="O52" s="1732">
        <f>IF(O5="r+st",'Real+S.T.'!$AU$48,IF('R+RS+B'!O5="bdgt",BDGT!O54,'R+RP+B'!O49))</f>
        <v>23.812871604670281</v>
      </c>
      <c r="P52" s="1732">
        <f>IF(P5="r+st",'Real+S.T.'!$AU$48,IF('R+RS+B'!P5="bdgt",BDGT!P54,'R+RP+B'!P49))</f>
        <v>21.80157746890206</v>
      </c>
      <c r="Q52" s="1732">
        <f>IF(Q5="r+st",'Real+S.T.'!$AU$48,IF('R+RS+B'!Q5="bdgt",BDGT!Q54,'R+RP+B'!Q49))</f>
        <v>0</v>
      </c>
      <c r="R52" s="86"/>
      <c r="S52" s="208">
        <f>SUMPRODUCT(F20:Q20,F52:Q52)/SUM(F20:Q20)</f>
        <v>17.564848504818642</v>
      </c>
      <c r="T52" s="86"/>
      <c r="U52" s="224">
        <f>IF(MONTH(Factores!$D$2)=1,SUMPRODUCT($F$20:$F$20,$F52:F52)/SUM($F$20:$F$20),IF(MONTH(Factores!$D$2)=2,SUMPRODUCT($F$20:$G$20,$F52:G52)/SUM($F$20:$G$20),IF(MONTH(Factores!$D$2)=3,SUMPRODUCT($F$20:$H$20,$F52:H52)/SUM($F$20:$H$20),IF(MONTH(Factores!$D$2)=4,SUMPRODUCT($F$20:$I$20,$F52:I52)/SUM($F$20:$I$20),IF(MONTH(Factores!$D$2)=5,SUMPRODUCT($F$20:$J$20,$F52:J52)/SUM($F$20:$J$20),IF(MONTH(Factores!$D$2)=6,SUMPRODUCT($F$20:$K$20,$F52:K52)/SUM($F$20:$K$20),IF(MONTH(Factores!$D$2)=7,SUMPRODUCT($F$20:$L$20,$F52:L52)/SUM($F$20:$L$20),IF(MONTH(Factores!$D$2)=8,SUMPRODUCT($F$20:$M$20,$F52:M52)/SUM($F$20:$M$20),IF(MONTH(Factores!$D$2)=9,SUMPRODUCT($F$20:$N$20,$F52:N52)/SUM($F$20:$N$20),IF(MONTH(Factores!$D$2)=10,SUMPRODUCT($F$20:$O$20,$F52:O52)/SUM($F$20:$O$20),IF(MONTH(Factores!$D$2)=11,SUMPRODUCT($F$20:$P$20,$F52:P52)/SUM($F$20:$P$20),IF(MONTH(Factores!$D$2)=12,SUMPRODUCT($F$20:$Q$20,$F52:Q52)/SUM($F$20:$Q$20)))))))))))))</f>
        <v>12.000199381324332</v>
      </c>
      <c r="V52" s="224">
        <f>IF(MONTH(Factores!$D$2)=1,SUMPRODUCT($F$20:$F$20,$F52:F52)/SUM($F$20:$F$20),IF(MONTH(Factores!$D$2)=2,SUMPRODUCT($F$20:$F$20,$F52:F52)/SUM($F$20:$F$20),IF(MONTH(Factores!$D$2)=3,SUMPRODUCT($F$20:$G$20,$F52:G52)/SUM($F$20:$G$20),IF(MONTH(Factores!$D$2)=4,SUMPRODUCT($F$20:$H$20,$F52:H52)/SUM($F$20:$H$20),IF(MONTH(Factores!$D$2)=5,SUMPRODUCT($F$20:$I$20,$F52:I52)/SUM($F$20:$I$20),IF(MONTH(Factores!$D$2)=6,SUMPRODUCT($F$20:$J$20,$F52:J52)/SUM($F$20:$J$20),IF(MONTH(Factores!$D$2)=7,SUMPRODUCT($F$20:$K$20,$F52:K52)/SUM($F$20:$K$20),IF(MONTH(Factores!$D$2)=8,SUMPRODUCT($F$20:$L$20,$F52:L52)/SUM($F$20:$L$20),IF(MONTH(Factores!$D$2)=9,SUMPRODUCT($F$20:$M$20,$F52:M52)/SUM($F$20:$M$20),IF(MONTH(Factores!$D$2)=10,SUMPRODUCT($F$20:$N$20,$F52:N52)/SUM($F$20:$N$20),IF(MONTH(Factores!$D$2)=11,SUMPRODUCT($F$20:$O$20,$F52:O52)/SUM($F$20:$O$20),IF(MONTH(Factores!$D$2)=12,SUMPRODUCT($F$20:$P$20,$F52:P52)/SUM($F$20:$P$20)))))))))))))</f>
        <v>5.2705524301894933</v>
      </c>
    </row>
    <row r="53" spans="2:24" ht="30" customHeight="1">
      <c r="B53" s="607"/>
      <c r="C53" s="90" t="s">
        <v>243</v>
      </c>
      <c r="D53" s="91" t="s">
        <v>95</v>
      </c>
      <c r="F53" s="1752">
        <f>IF(F5="r+st",'Real+S.T.'!$AV$48,IF('R+RS+B'!F5="bdgt",BDGT!E55,'R+RP+B'!F50))</f>
        <v>877.00005194965081</v>
      </c>
      <c r="G53" s="1740" t="str">
        <f>IF(G5="r+st",'Real+S.T.'!$AV$48,IF('R+RS+B'!G5="bdgt",BDGT!F55,'R+RP+B'!G50))</f>
        <v/>
      </c>
      <c r="H53" s="1740">
        <f>IF(H5="r+st",'Real+S.T.'!$AV$48,IF('R+RS+B'!H5="bdgt",BDGT!G55,'R+RP+B'!H50))</f>
        <v>1062.7080286186972</v>
      </c>
      <c r="I53" s="1740">
        <f>IF(I5="r+st",'Real+S.T.'!$AV$48,IF('R+RS+B'!I5="bdgt",BDGT!H55,'R+RP+B'!I50))</f>
        <v>998.12728311955425</v>
      </c>
      <c r="J53" s="1740">
        <f>IF(J5="r+st",'Real+S.T.'!$AV$48,IF('R+RS+B'!J5="bdgt",BDGT!I55,'R+RP+B'!J50))</f>
        <v>799.94784402602568</v>
      </c>
      <c r="K53" s="1740">
        <f>IF(K5="r+st",'Real+S.T.'!$AV$48,IF('R+RS+B'!K5="bdgt",BDGT!J55,'R+RP+B'!K50))</f>
        <v>1053.7294000577515</v>
      </c>
      <c r="L53" s="1740">
        <f>IF(L5="r+st",'Real+S.T.'!$AV$48,IF('R+RS+B'!L5="bdgt",BDGT!K55,'R+RP+B'!L50))</f>
        <v>800.53220308499067</v>
      </c>
      <c r="M53" s="1740">
        <f>IF(M5="r+st",'Real+S.T.'!$AV$48,IF('R+RS+B'!M5="bdgt",BDGT!L55,'R+RP+B'!M50))</f>
        <v>1058.794752720408</v>
      </c>
      <c r="N53" s="1740">
        <f>IF(N5="r+st",'Real+S.T.'!$AV$48,IF('R+RS+B'!N5="bdgt",BDGT!M55,'R+RP+B'!N50))</f>
        <v>626.8813230229423</v>
      </c>
      <c r="O53" s="1740">
        <f>IF(O5="r+st",'Real+S.T.'!$AV$48,IF('R+RS+B'!O5="bdgt",BDGT!N55,'R+RP+B'!O50))</f>
        <v>779.74890239625267</v>
      </c>
      <c r="P53" s="1740">
        <f>IF(P5="r+st",'Real+S.T.'!$AV$48,IF('R+RS+B'!P5="bdgt",BDGT!O55,'R+RP+B'!P50))</f>
        <v>952.51486418681122</v>
      </c>
      <c r="Q53" s="1740">
        <f>IF(Q5="r+st",'Real+S.T.'!$AV$48,IF('R+RS+B'!Q5="bdgt",BDGT!P55,'R+RP+B'!Q50))</f>
        <v>872.06309875608235</v>
      </c>
      <c r="R53" s="534"/>
      <c r="S53" s="425">
        <f>SUMPRODUCT(F34:Q34,F53:Q53)/SUM(F34:Q34)</f>
        <v>838.17615857920077</v>
      </c>
      <c r="T53" s="534"/>
      <c r="U53" s="225">
        <f>IF(MONTH(Factores!$D$2)=1,SUMPRODUCT($F$34:$F$34,$F53:F53)/SUM($F$34:$F$34),IF(MONTH(Factores!$D$2)=2,SUMPRODUCT($F$34:$G$34,$F53:G53)/SUM($F$34:$G$34),IF(MONTH(Factores!$D$2)=3,SUMPRODUCT($F$34:$H$34,$F53:H53)/SUM($F$34:$H$34),IF(MONTH(Factores!$D$2)=4,SUMPRODUCT($F$34:$I$34,$F53:I53)/SUM($F$34:$I$34),IF(MONTH(Factores!$D$2)=5,SUMPRODUCT($F$34:$J$34,$F53:J53)/SUM($F$34:$J$34),IF(MONTH(Factores!$D$2)=6,SUMPRODUCT($F$34:$K$34,$F53:K53)/SUM($F$34:$K$34),IF(MONTH(Factores!$D$2)=7,SUMPRODUCT($F$34:$L$34,$F53:L53)/SUM($F$34:$L$34),IF(MONTH(Factores!$D$2)=8,SUMPRODUCT($F$34:$M$34,$F53:M53)/SUM($F$34:$M$34),IF(MONTH(Factores!$D$2)=9,SUMPRODUCT($F$34:$N$34,$F53:N53)/SUM($F$34:$N$34),IF(MONTH(Factores!$D$2)=10,SUMPRODUCT($F$34:$O$34,$F53:O53)/SUM($F$34:$O$34),IF(MONTH(Factores!$D$2)=11,SUMPRODUCT($F$34:$P$34,$F53:P53)/SUM($F$34:$P$34),IF(MONTH(Factores!$D$2)=12,SUMPRODUCT($F$34:$Q$34,$F53:Q53)/SUM($F$34:$Q$34)))))))))))))</f>
        <v>666.64600513988648</v>
      </c>
      <c r="V53" s="225">
        <f>IF(MONTH(Factores!$D$2)=1,SUMPRODUCT($F$34:$F$34,$F53:F53)/SUM($F$34:$F$34),IF(MONTH(Factores!$D$2)=2,SUMPRODUCT($F$34:$F$34,$F53:F53)/SUM($F$34:$F$34),IF(MONTH(Factores!$D$2)=3,SUMPRODUCT($F$34:$G$34,$F53:G53)/SUM($F$34:$G$34),IF(MONTH(Factores!$D$2)=4,SUMPRODUCT($F$34:$H$34,$F53:H53)/SUM($F$34:$H$34),IF(MONTH(Factores!$D$2)=5,SUMPRODUCT($F$34:$I$34,$F53:I53)/SUM($F$34:$I$34),IF(MONTH(Factores!$D$2)=6,SUMPRODUCT($F$34:$J$34,$F53:J53)/SUM($F$34:$J$34),IF(MONTH(Factores!$D$2)=7,SUMPRODUCT($F$34:$K$34,$F53:K53)/SUM($F$34:$K$34),IF(MONTH(Factores!$D$2)=8,SUMPRODUCT($F$34:$L$34,$F53:L53)/SUM($F$34:$L$34),IF(MONTH(Factores!$D$2)=9,SUMPRODUCT($F$34:$M$34,$F53:M53)/SUM($F$34:$M$34),IF(MONTH(Factores!$D$2)=10,SUMPRODUCT($F$34:$N$34,$F53:N53)/SUM($F$34:$N$34),IF(MONTH(Factores!$D$2)=11,SUMPRODUCT($F$34:$O$34,$F53:O53)/SUM($F$34:$O$34),IF(MONTH(Factores!$D$2)=12,SUMPRODUCT($F$34:$P$34,$F53:P53)/SUM($F$34:$P$34)))))))))))))</f>
        <v>400.34083410428838</v>
      </c>
    </row>
    <row r="54" spans="2:24" ht="12.75" customHeight="1">
      <c r="B54" s="607"/>
      <c r="F54" s="1757"/>
      <c r="G54" s="1745"/>
      <c r="H54" s="1745"/>
      <c r="I54" s="1745"/>
      <c r="J54" s="1745"/>
      <c r="K54" s="1745"/>
      <c r="L54" s="1745"/>
      <c r="M54" s="1745"/>
      <c r="N54" s="1745"/>
      <c r="O54" s="1745"/>
      <c r="P54" s="1745"/>
      <c r="Q54" s="1745"/>
      <c r="S54" s="648"/>
      <c r="W54" s="570"/>
    </row>
    <row r="55" spans="2:24" ht="30" customHeight="1">
      <c r="B55" s="607"/>
      <c r="C55" s="572" t="s">
        <v>244</v>
      </c>
      <c r="D55" s="573">
        <f>Factores!F9</f>
        <v>2.899</v>
      </c>
      <c r="F55" s="1749"/>
      <c r="G55" s="1738"/>
      <c r="H55" s="1738"/>
      <c r="I55" s="1738"/>
      <c r="J55" s="1738"/>
      <c r="K55" s="1738"/>
      <c r="L55" s="1738"/>
      <c r="M55" s="1738"/>
      <c r="N55" s="1738"/>
      <c r="O55" s="1738"/>
      <c r="P55" s="1738"/>
      <c r="Q55" s="1738"/>
      <c r="X55" s="571"/>
    </row>
    <row r="56" spans="2:24" ht="30" customHeight="1">
      <c r="B56" s="607"/>
      <c r="C56" s="574" t="s">
        <v>245</v>
      </c>
      <c r="D56" s="573">
        <f>Factores!F7</f>
        <v>0.96199999999999997</v>
      </c>
      <c r="F56" s="1749"/>
      <c r="G56" s="1738"/>
      <c r="H56" s="1738"/>
      <c r="I56" s="1738"/>
      <c r="J56" s="1738"/>
      <c r="K56" s="1738"/>
      <c r="L56" s="1738"/>
      <c r="M56" s="1738"/>
      <c r="N56" s="1738"/>
      <c r="O56" s="1738"/>
      <c r="P56" s="1738"/>
      <c r="Q56" s="1738"/>
    </row>
    <row r="57" spans="2:24" ht="30" customHeight="1">
      <c r="B57" s="607"/>
      <c r="C57" s="574" t="s">
        <v>71</v>
      </c>
      <c r="D57" s="573">
        <f>Factores!F8</f>
        <v>0.995</v>
      </c>
      <c r="F57" s="1749"/>
      <c r="G57" s="1738"/>
      <c r="H57" s="1738"/>
      <c r="I57" s="1738"/>
      <c r="J57" s="1738"/>
      <c r="K57" s="1738"/>
      <c r="L57" s="1738"/>
      <c r="M57" s="1738"/>
      <c r="N57" s="1738"/>
      <c r="O57" s="1738"/>
      <c r="P57" s="1738"/>
      <c r="Q57" s="1738"/>
    </row>
    <row r="58" spans="2:24">
      <c r="B58" s="607"/>
      <c r="F58" s="1749"/>
      <c r="G58" s="1738"/>
      <c r="H58" s="1738"/>
      <c r="I58" s="1738"/>
      <c r="J58" s="1738"/>
      <c r="K58" s="1738"/>
      <c r="L58" s="1738"/>
      <c r="M58" s="1738"/>
      <c r="N58" s="1738"/>
      <c r="O58" s="1738"/>
      <c r="P58" s="1738"/>
      <c r="Q58" s="1738"/>
      <c r="U58" s="541"/>
    </row>
    <row r="59" spans="2:24">
      <c r="B59" s="607"/>
      <c r="F59" s="1749"/>
      <c r="G59" s="1738"/>
      <c r="H59" s="1738"/>
      <c r="I59" s="1738"/>
      <c r="J59" s="1738"/>
      <c r="K59" s="1738"/>
      <c r="L59" s="1738"/>
      <c r="M59" s="1738"/>
      <c r="N59" s="1738"/>
      <c r="O59" s="1738"/>
      <c r="P59" s="1738"/>
      <c r="Q59" s="1738"/>
    </row>
    <row r="60" spans="2:24" ht="30" customHeight="1">
      <c r="B60" s="607"/>
      <c r="C60" s="523" t="s">
        <v>1041</v>
      </c>
      <c r="D60" s="702" t="s">
        <v>198</v>
      </c>
      <c r="E60" s="524"/>
      <c r="F60" s="1758">
        <f>IF(Factores!$D$3&gt;=EOMONTH('R+RS+B'!F4,0),'R+RP+B'!F57,F15)</f>
        <v>18.9589961662154</v>
      </c>
      <c r="G60" s="1733">
        <f>IF(Factores!$D$3&gt;=EOMONTH('R+RS+B'!G4,0),'R+RP+B'!G57,G15)</f>
        <v>22.926810091406999</v>
      </c>
      <c r="H60" s="1733">
        <f>IF(Factores!$D$3&gt;=EOMONTH('R+RS+B'!H4,0),'R+RP+B'!H57,H15)</f>
        <v>27.752622658830781</v>
      </c>
      <c r="I60" s="1733">
        <f>IF(Factores!$D$3&gt;=EOMONTH('R+RS+B'!I4,0),'R+RP+B'!I57,I15)</f>
        <v>22.131171900236232</v>
      </c>
      <c r="J60" s="1733">
        <f>IF(Factores!$D$3&gt;=EOMONTH('R+RS+B'!J4,0),'R+RP+B'!J57,J15)</f>
        <v>31.461821381794522</v>
      </c>
      <c r="K60" s="1733">
        <f>IF(Factores!$D$3&gt;=EOMONTH('R+RS+B'!K4,0),'R+RP+B'!K57,K15)</f>
        <v>31.316638511727174</v>
      </c>
      <c r="L60" s="1733">
        <f>IF(Factores!$D$3&gt;=EOMONTH('R+RS+B'!L4,0),'R+RP+B'!L57,L15)</f>
        <v>27.887917569234752</v>
      </c>
      <c r="M60" s="1733">
        <f>IF(Factores!$D$3&gt;=EOMONTH('R+RS+B'!M4,0),'R+RP+B'!M57,M15)</f>
        <v>30.012663141192068</v>
      </c>
      <c r="N60" s="1733">
        <f>IF(Factores!$D$3&gt;=EOMONTH('R+RS+B'!N4,0),'R+RP+B'!N57,N15)</f>
        <v>33.41198619831448</v>
      </c>
      <c r="O60" s="1733">
        <f>IF(Factores!$D$3&gt;=EOMONTH('R+RS+B'!O4,0),'R+RP+B'!O57,O15)</f>
        <v>34.41857715547512</v>
      </c>
      <c r="P60" s="1733">
        <f>IF(Factores!$D$3&gt;=EOMONTH('R+RS+B'!P4,0),'R+RP+B'!P57,P15)</f>
        <v>32.546148959292516</v>
      </c>
      <c r="Q60" s="1733">
        <f>IF(Factores!$D$3&gt;=EOMONTH('R+RS+B'!Q4,0),'R+RP+B'!Q57,Q15)</f>
        <v>37.238071621863909</v>
      </c>
      <c r="R60" s="622"/>
      <c r="S60" s="621">
        <f t="shared" ref="S60:S65" si="6">SUM(F60:Q60)</f>
        <v>350.06342535558395</v>
      </c>
      <c r="T60" s="622"/>
      <c r="U60" s="620">
        <f>IF(MONTH(Factores!$D$2)=1,SUM($F60:F60),IF(MONTH(Factores!$D$2)=2,SUM($F60:G60),IF(MONTH(Factores!$D$2)=3,SUM($F60:H60),IF(MONTH(Factores!$D$2)=4,SUM($F60:I60),IF(MONTH(Factores!$D$2)=5,SUM($F60:J60),IF(MONTH(Factores!$D$2)=6,SUM($F60:K60),IF(MONTH(Factores!$D$2)=7,SUM($F60:L60),IF(MONTH(Factores!$D$2)=8,SUM($F60:M60),IF(MONTH(Factores!$D$2)=9,SUM($F60:N60),IF(MONTH(Factores!$D$2)=10,SUM($F60:O60),IF(MONTH(Factores!$D$2)=11,SUM($F60:P60),IF(MONTH(Factores!$D$2)=12,SUM($F60:Q60)))))))))))))</f>
        <v>69.638428916453179</v>
      </c>
      <c r="V60" s="621">
        <f>IF(MONTH(Factores!$D$2)=1,SUM($F60:F60),IF(MONTH(Factores!$D$2)=2,SUM($F60:F60),IF(MONTH(Factores!$D$2)=3,SUM($F60:G60),IF(MONTH(Factores!$D$2)=4,SUM($F60:H60),IF(MONTH(Factores!$D$2)=5,SUM($F60:I60),IF(MONTH(Factores!$D$2)=6,SUM($F60:J60),IF(MONTH(Factores!$D$2)=7,SUM($F60:K60),IF(MONTH(Factores!$D$2)=8,SUM($F60:L60),IF(MONTH(Factores!$D$2)=9,SUM($F60:M60),IF(MONTH(Factores!$D$2)=10,SUM($F60:N60),IF(MONTH(Factores!$D$2)=11,SUM($F60:O60),IF(MONTH(Factores!$D$2)=12,SUM($F60:P60)))))))))))))</f>
        <v>41.885806257622399</v>
      </c>
    </row>
    <row r="61" spans="2:24" ht="30" customHeight="1">
      <c r="B61" s="607"/>
      <c r="C61" s="523" t="s">
        <v>994</v>
      </c>
      <c r="D61" s="702" t="s">
        <v>198</v>
      </c>
      <c r="E61" s="524"/>
      <c r="F61" s="1758">
        <f>IF(Factores!$D$3&gt;=EOMONTH('R+RS+B'!F4,0),'R+RP+B'!F58,IF(F5="R+ST",'Real+S.T.'!$AI$39/1000,IF('R+RS+B'!F5="Bdgt",BDGT!E8,"")))</f>
        <v>18.514159950485901</v>
      </c>
      <c r="G61" s="1733">
        <f>IF(Factores!$D$3&gt;=EOMONTH('R+RS+B'!G4,0),'R+RP+B'!G58,IF(G5="R+ST",'Real+S.T.'!$AI$39/1000,IF('R+RS+B'!G5="Bdgt",BDGT!F8,"")))</f>
        <v>22.698851132943101</v>
      </c>
      <c r="H61" s="1733">
        <f>IF(Factores!$D$3&gt;=EOMONTH('R+RS+B'!H4,0),'R+RP+B'!H58,IF(H5="R+ST",'Real+S.T.'!$AI$39/1000,IF('R+RS+B'!H5="Bdgt",BDGT!G8,"")))</f>
        <v>28.808756510800915</v>
      </c>
      <c r="I61" s="1733">
        <f>IF(Factores!$D$3&gt;=EOMONTH('R+RS+B'!I4,0),'R+RP+B'!I58,IF(I5="R+ST",'Real+S.T.'!$AI$39/1000,IF('R+RS+B'!I5="Bdgt",BDGT!H8,"")))</f>
        <v>22.131171900236232</v>
      </c>
      <c r="J61" s="1733">
        <f>IF(Factores!$D$3&gt;=EOMONTH('R+RS+B'!J4,0),'R+RP+B'!J58,IF(J5="R+ST",'Real+S.T.'!$AI$39/1000,IF('R+RS+B'!J5="Bdgt",BDGT!I8,"")))</f>
        <v>31.461821381794522</v>
      </c>
      <c r="K61" s="1733">
        <f>IF(Factores!$D$3&gt;=EOMONTH('R+RS+B'!K4,0),'R+RP+B'!K58,IF(K5="R+ST",'Real+S.T.'!$AI$39/1000,IF('R+RS+B'!K5="Bdgt",BDGT!J8,"")))</f>
        <v>31.316638511727174</v>
      </c>
      <c r="L61" s="1733">
        <f>IF(Factores!$D$3&gt;=EOMONTH('R+RS+B'!L4,0),'R+RP+B'!L58,IF(L5="R+ST",'Real+S.T.'!$AI$39/1000,IF('R+RS+B'!L5="Bdgt",BDGT!K8,"")))</f>
        <v>27.887917569234752</v>
      </c>
      <c r="M61" s="1733">
        <f>IF(Factores!$D$3&gt;=EOMONTH('R+RS+B'!M4,0),'R+RP+B'!M58,IF(M5="R+ST",'Real+S.T.'!$AI$39/1000,IF('R+RS+B'!M5="Bdgt",BDGT!L8,"")))</f>
        <v>30.012663141192068</v>
      </c>
      <c r="N61" s="1733">
        <f>IF(Factores!$D$3&gt;=EOMONTH('R+RS+B'!N4,0),'R+RP+B'!N58,IF(N5="R+ST",'Real+S.T.'!$AI$39/1000,IF('R+RS+B'!N5="Bdgt",BDGT!M8,"")))</f>
        <v>33.41198619831448</v>
      </c>
      <c r="O61" s="1733">
        <f>IF(Factores!$D$3&gt;=EOMONTH('R+RS+B'!O4,0),'R+RP+B'!O58,IF(O5="R+ST",'Real+S.T.'!$AI$39/1000,IF('R+RS+B'!O5="Bdgt",BDGT!N8,"")))</f>
        <v>34.41857715547512</v>
      </c>
      <c r="P61" s="1733">
        <f>IF(Factores!$D$3&gt;=EOMONTH('R+RS+B'!P4,0),'R+RP+B'!P58,IF(P5="R+ST",'Real+S.T.'!$AI$39/1000,IF('R+RS+B'!P5="Bdgt",BDGT!O8,"")))</f>
        <v>32.546148959292516</v>
      </c>
      <c r="Q61" s="1733">
        <f>IF(Factores!$D$3&gt;=EOMONTH('R+RS+B'!Q4,0),'R+RP+B'!Q58,IF(Q5="R+ST",'Real+S.T.'!$AI$39/1000,IF('R+RS+B'!Q5="Bdgt",BDGT!P8,"")))</f>
        <v>37.238071621863909</v>
      </c>
      <c r="R61" s="622"/>
      <c r="S61" s="621">
        <f t="shared" si="6"/>
        <v>350.44676403336069</v>
      </c>
      <c r="T61" s="622"/>
      <c r="U61" s="620">
        <f>IF(MONTH(Factores!$D$2)=1,SUM($F61:F61),IF(MONTH(Factores!$D$2)=2,SUM($F61:G61),IF(MONTH(Factores!$D$2)=3,SUM($F61:H61),IF(MONTH(Factores!$D$2)=4,SUM($F61:I61),IF(MONTH(Factores!$D$2)=5,SUM($F61:J61),IF(MONTH(Factores!$D$2)=6,SUM($F61:K61),IF(MONTH(Factores!$D$2)=7,SUM($F61:L61),IF(MONTH(Factores!$D$2)=8,SUM($F61:M61),IF(MONTH(Factores!$D$2)=9,SUM($F61:N61),IF(MONTH(Factores!$D$2)=10,SUM($F61:O61),IF(MONTH(Factores!$D$2)=11,SUM($F61:P61),IF(MONTH(Factores!$D$2)=12,SUM($F61:Q61)))))))))))))</f>
        <v>70.021767594229914</v>
      </c>
      <c r="V61" s="621">
        <f>IF(MONTH(Factores!$D$2)=1,SUM($F61:F61),IF(MONTH(Factores!$D$2)=2,SUM($F61:F61),IF(MONTH(Factores!$D$2)=3,SUM($F61:G61),IF(MONTH(Factores!$D$2)=4,SUM($F61:H61),IF(MONTH(Factores!$D$2)=5,SUM($F61:I61),IF(MONTH(Factores!$D$2)=6,SUM($F61:J61),IF(MONTH(Factores!$D$2)=7,SUM($F61:K61),IF(MONTH(Factores!$D$2)=8,SUM($F61:L61),IF(MONTH(Factores!$D$2)=9,SUM($F61:M61),IF(MONTH(Factores!$D$2)=10,SUM($F61:N61),IF(MONTH(Factores!$D$2)=11,SUM($F61:O61),IF(MONTH(Factores!$D$2)=12,SUM($F61:P61)))))))))))))</f>
        <v>41.213011083429002</v>
      </c>
    </row>
    <row r="62" spans="2:24" ht="30" customHeight="1">
      <c r="B62" s="607"/>
      <c r="C62" s="523" t="s">
        <v>995</v>
      </c>
      <c r="D62" s="702" t="s">
        <v>198</v>
      </c>
      <c r="E62" s="524"/>
      <c r="F62" s="1758">
        <f>F60-F61</f>
        <v>0.44483621572949872</v>
      </c>
      <c r="G62" s="1733">
        <f t="shared" ref="G62:Q62" si="7">G60-G61</f>
        <v>0.22795895846389769</v>
      </c>
      <c r="H62" s="1733">
        <f t="shared" si="7"/>
        <v>-1.0561338519701344</v>
      </c>
      <c r="I62" s="1733">
        <f t="shared" si="7"/>
        <v>0</v>
      </c>
      <c r="J62" s="1733">
        <f t="shared" si="7"/>
        <v>0</v>
      </c>
      <c r="K62" s="1733">
        <f t="shared" si="7"/>
        <v>0</v>
      </c>
      <c r="L62" s="1733">
        <f t="shared" si="7"/>
        <v>0</v>
      </c>
      <c r="M62" s="1733">
        <f t="shared" si="7"/>
        <v>0</v>
      </c>
      <c r="N62" s="1733">
        <f t="shared" si="7"/>
        <v>0</v>
      </c>
      <c r="O62" s="1733">
        <f>O60-O61</f>
        <v>0</v>
      </c>
      <c r="P62" s="1733">
        <f t="shared" si="7"/>
        <v>0</v>
      </c>
      <c r="Q62" s="1733">
        <f t="shared" si="7"/>
        <v>0</v>
      </c>
      <c r="R62" s="622"/>
      <c r="S62" s="621">
        <f>SUM(F62:Q62)</f>
        <v>-0.38333867777673802</v>
      </c>
      <c r="T62" s="622"/>
      <c r="U62" s="620">
        <f>IF(MONTH(Factores!$D$2)=1,SUM($F62:F62),IF(MONTH(Factores!$D$2)=2,SUM($F62:G62),IF(MONTH(Factores!$D$2)=3,SUM($F62:H62),IF(MONTH(Factores!$D$2)=4,SUM($F62:I62),IF(MONTH(Factores!$D$2)=5,SUM($F62:J62),IF(MONTH(Factores!$D$2)=6,SUM($F62:K62),IF(MONTH(Factores!$D$2)=7,SUM($F62:L62),IF(MONTH(Factores!$D$2)=8,SUM($F62:M62),IF(MONTH(Factores!$D$2)=9,SUM($F62:N62),IF(MONTH(Factores!$D$2)=10,SUM($F62:O62),IF(MONTH(Factores!$D$2)=11,SUM($F62:P62),IF(MONTH(Factores!$D$2)=12,SUM($F62:Q62)))))))))))))</f>
        <v>-0.38333867777673802</v>
      </c>
      <c r="V62" s="621">
        <f>IF(MONTH(Factores!$D$2)=1,SUM($F62:F62),IF(MONTH(Factores!$D$2)=2,SUM($F62:F62),IF(MONTH(Factores!$D$2)=3,SUM($F62:G62),IF(MONTH(Factores!$D$2)=4,SUM($F62:H62),IF(MONTH(Factores!$D$2)=5,SUM($F62:I62),IF(MONTH(Factores!$D$2)=6,SUM($F62:J62),IF(MONTH(Factores!$D$2)=7,SUM($F62:K62),IF(MONTH(Factores!$D$2)=8,SUM($F62:L62),IF(MONTH(Factores!$D$2)=9,SUM($F62:M62),IF(MONTH(Factores!$D$2)=10,SUM($F62:N62),IF(MONTH(Factores!$D$2)=11,SUM($F62:O62),IF(MONTH(Factores!$D$2)=12,SUM($F62:P62)))))))))))))</f>
        <v>0.67279517419339641</v>
      </c>
    </row>
    <row r="63" spans="2:24" ht="30" customHeight="1">
      <c r="B63" s="607"/>
      <c r="C63" s="523" t="s">
        <v>208</v>
      </c>
      <c r="D63" s="702" t="s">
        <v>198</v>
      </c>
      <c r="E63" s="524"/>
      <c r="F63" s="1758">
        <f>F17</f>
        <v>0.62602317193478396</v>
      </c>
      <c r="G63" s="1733">
        <f t="shared" ref="G63:Q63" si="8">G17</f>
        <v>0.76827765220952005</v>
      </c>
      <c r="H63" s="1733">
        <f t="shared" si="8"/>
        <v>0.85048715509986972</v>
      </c>
      <c r="I63" s="1733">
        <f t="shared" si="8"/>
        <v>0.49377313963876424</v>
      </c>
      <c r="J63" s="1733">
        <f t="shared" si="8"/>
        <v>1.312225951063223</v>
      </c>
      <c r="K63" s="1733">
        <f t="shared" si="8"/>
        <v>0.72440679775203554</v>
      </c>
      <c r="L63" s="1733">
        <f t="shared" si="8"/>
        <v>0.72542867986757742</v>
      </c>
      <c r="M63" s="1733">
        <f t="shared" si="8"/>
        <v>0.83457857628211296</v>
      </c>
      <c r="N63" s="1733">
        <f t="shared" si="8"/>
        <v>1.0456347812116198</v>
      </c>
      <c r="O63" s="1733">
        <f>O17</f>
        <v>0.91475044848823694</v>
      </c>
      <c r="P63" s="1733">
        <f>P17</f>
        <v>0.61352898372549314</v>
      </c>
      <c r="Q63" s="1733">
        <f t="shared" si="8"/>
        <v>0.86798581804628094</v>
      </c>
      <c r="R63" s="622"/>
      <c r="S63" s="621">
        <f t="shared" si="6"/>
        <v>9.7771011553195155</v>
      </c>
      <c r="T63" s="622"/>
      <c r="U63" s="620">
        <f>IF(MONTH(Factores!$D$2)=1,SUM($F63:F63),IF(MONTH(Factores!$D$2)=2,SUM($F63:G63),IF(MONTH(Factores!$D$2)=3,SUM($F63:H63),IF(MONTH(Factores!$D$2)=4,SUM($F63:I63),IF(MONTH(Factores!$D$2)=5,SUM($F63:J63),IF(MONTH(Factores!$D$2)=6,SUM($F63:K63),IF(MONTH(Factores!$D$2)=7,SUM($F63:L63),IF(MONTH(Factores!$D$2)=8,SUM($F63:M63),IF(MONTH(Factores!$D$2)=9,SUM($F63:N63),IF(MONTH(Factores!$D$2)=10,SUM($F63:O63),IF(MONTH(Factores!$D$2)=11,SUM($F63:P63),IF(MONTH(Factores!$D$2)=12,SUM($F63:Q63)))))))))))))</f>
        <v>2.2447879792441738</v>
      </c>
      <c r="V63" s="621">
        <f>IF(MONTH(Factores!$D$2)=1,SUM($F63:F63),IF(MONTH(Factores!$D$2)=2,SUM($F63:F63),IF(MONTH(Factores!$D$2)=3,SUM($F63:G63),IF(MONTH(Factores!$D$2)=4,SUM($F63:H63),IF(MONTH(Factores!$D$2)=5,SUM($F63:I63),IF(MONTH(Factores!$D$2)=6,SUM($F63:J63),IF(MONTH(Factores!$D$2)=7,SUM($F63:K63),IF(MONTH(Factores!$D$2)=8,SUM($F63:L63),IF(MONTH(Factores!$D$2)=9,SUM($F63:M63),IF(MONTH(Factores!$D$2)=10,SUM($F63:N63),IF(MONTH(Factores!$D$2)=11,SUM($F63:O63),IF(MONTH(Factores!$D$2)=12,SUM($F63:P63)))))))))))))</f>
        <v>1.394300824144304</v>
      </c>
    </row>
    <row r="64" spans="2:24" ht="30" customHeight="1">
      <c r="B64" s="607"/>
      <c r="C64" s="523" t="s">
        <v>850</v>
      </c>
      <c r="D64" s="702" t="s">
        <v>198</v>
      </c>
      <c r="E64" s="524"/>
      <c r="F64" s="1758">
        <f>IF(Factores!$D$3&gt;=EOMONTH('R+RS+B'!F4,0),'R+RP+B'!F61,IF(F5="r+st",'Real+S.T.'!$Z$39/1000,IF('R+RS+B'!F5="bdgt",BDGT!E10,"")))</f>
        <v>0.64638589474785102</v>
      </c>
      <c r="G64" s="1733">
        <f>IF(Factores!$D$3&gt;=EOMONTH('R+RS+B'!G4,0),'R+RP+B'!G61,IF(G5="r+st",'Real+S.T.'!$Z$39/1000,IF('R+RS+B'!G5="bdgt",BDGT!F10,"")))</f>
        <v>0.55252138524758598</v>
      </c>
      <c r="H64" s="1733">
        <f>IF(Factores!$D$3&gt;=EOMONTH('R+RS+B'!H4,0),'R+RP+B'!H61,IF(H5="r+st",'Real+S.T.'!$Z$39/1000,IF('R+RS+B'!H5="bdgt",BDGT!G10,"")))</f>
        <v>1.0004937355919261</v>
      </c>
      <c r="I64" s="1733">
        <f>IF(Factores!$D$3&gt;=EOMONTH('R+RS+B'!I4,0),'R+RP+B'!I61,IF(I5="r+st",'Real+S.T.'!$Z$39/1000,IF('R+RS+B'!I5="bdgt",BDGT!H10,"")))</f>
        <v>0.49130427394057041</v>
      </c>
      <c r="J64" s="1733">
        <f>IF(Factores!$D$3&gt;=EOMONTH('R+RS+B'!J4,0),'R+RP+B'!J61,IF(J5="r+st",'Real+S.T.'!$Z$39/1000,IF('R+RS+B'!J5="bdgt",BDGT!I10,"")))</f>
        <v>1.305664821307907</v>
      </c>
      <c r="K64" s="1733">
        <f>IF(Factores!$D$3&gt;=EOMONTH('R+RS+B'!K4,0),'R+RP+B'!K61,IF(K5="r+st",'Real+S.T.'!$Z$39/1000,IF('R+RS+B'!K5="bdgt",BDGT!J10,"")))</f>
        <v>0.72078476376327538</v>
      </c>
      <c r="L64" s="1733">
        <f>IF(Factores!$D$3&gt;=EOMONTH('R+RS+B'!L4,0),'R+RP+B'!L61,IF(L5="r+st",'Real+S.T.'!$Z$39/1000,IF('R+RS+B'!L5="bdgt",BDGT!K10,"")))</f>
        <v>0.72180153646823952</v>
      </c>
      <c r="M64" s="1733">
        <f>IF(Factores!$D$3&gt;=EOMONTH('R+RS+B'!M4,0),'R+RP+B'!M61,IF(M5="r+st",'Real+S.T.'!$Z$39/1000,IF('R+RS+B'!M5="bdgt",BDGT!L10,"")))</f>
        <v>0.83040568340070242</v>
      </c>
      <c r="N64" s="1733">
        <f>IF(Factores!$D$3&gt;=EOMONTH('R+RS+B'!N4,0),'R+RP+B'!N61,IF(N5="r+st",'Real+S.T.'!$Z$39/1000,IF('R+RS+B'!N5="bdgt",BDGT!M10,"")))</f>
        <v>1.0404066073055618</v>
      </c>
      <c r="O64" s="1733">
        <f>IF(Factores!$D$3&gt;=EOMONTH('R+RS+B'!O4,0),'R+RP+B'!O61,IF(O5="r+st",'Real+S.T.'!$Z$39/1000,IF('R+RS+B'!O5="bdgt",BDGT!N10,"")))</f>
        <v>0.91017669624579578</v>
      </c>
      <c r="P64" s="1733">
        <f>IF(Factores!$D$3&gt;=EOMONTH('R+RS+B'!P4,0),'R+RP+B'!P61,IF(P5="r+st",'Real+S.T.'!$Z$39/1000,IF('R+RS+B'!P5="bdgt",BDGT!O10,"")))</f>
        <v>0.61046133880686571</v>
      </c>
      <c r="Q64" s="1733">
        <f>IF(Factores!$D$3&gt;=EOMONTH('R+RS+B'!Q4,0),'R+RP+B'!Q61,IF(Q5="r+st",'Real+S.T.'!$Z$39/1000,IF('R+RS+B'!Q5="bdgt",BDGT!P10,"")))</f>
        <v>0.86364588895604955</v>
      </c>
      <c r="R64" s="622"/>
      <c r="S64" s="621">
        <f t="shared" si="6"/>
        <v>9.6940526257823301</v>
      </c>
      <c r="T64" s="622"/>
      <c r="U64" s="620">
        <f>IF(MONTH(Factores!$D$2)=1,SUM($F64:F64),IF(MONTH(Factores!$D$2)=2,SUM($F64:G64),IF(MONTH(Factores!$D$2)=3,SUM($F64:H64),IF(MONTH(Factores!$D$2)=4,SUM($F64:I64),IF(MONTH(Factores!$D$2)=5,SUM($F64:J64),IF(MONTH(Factores!$D$2)=6,SUM($F64:K64),IF(MONTH(Factores!$D$2)=7,SUM($F64:L64),IF(MONTH(Factores!$D$2)=8,SUM($F64:M64),IF(MONTH(Factores!$D$2)=9,SUM($F64:N64),IF(MONTH(Factores!$D$2)=10,SUM($F64:O64),IF(MONTH(Factores!$D$2)=11,SUM($F64:P64),IF(MONTH(Factores!$D$2)=12,SUM($F64:Q64)))))))))))))</f>
        <v>2.1994010155873633</v>
      </c>
      <c r="V64" s="621">
        <f>IF(MONTH(Factores!$D$2)=1,SUM($F64:F64),IF(MONTH(Factores!$D$2)=2,SUM($F64:F64),IF(MONTH(Factores!$D$2)=3,SUM($F64:G64),IF(MONTH(Factores!$D$2)=4,SUM($F64:H64),IF(MONTH(Factores!$D$2)=5,SUM($F64:I64),IF(MONTH(Factores!$D$2)=6,SUM($F64:J64),IF(MONTH(Factores!$D$2)=7,SUM($F64:K64),IF(MONTH(Factores!$D$2)=8,SUM($F64:L64),IF(MONTH(Factores!$D$2)=9,SUM($F64:M64),IF(MONTH(Factores!$D$2)=10,SUM($F64:N64),IF(MONTH(Factores!$D$2)=11,SUM($F64:O64),IF(MONTH(Factores!$D$2)=12,SUM($F64:P64)))))))))))))</f>
        <v>1.198907279995437</v>
      </c>
    </row>
    <row r="65" spans="2:22" ht="30" customHeight="1">
      <c r="B65" s="607"/>
      <c r="C65" s="523" t="s">
        <v>996</v>
      </c>
      <c r="D65" s="702" t="s">
        <v>198</v>
      </c>
      <c r="E65" s="524"/>
      <c r="F65" s="1758">
        <f>F63-F64</f>
        <v>-2.0362722813067058E-2</v>
      </c>
      <c r="G65" s="1733">
        <f t="shared" ref="G65:Q65" si="9">G63-G64</f>
        <v>0.21575626696193406</v>
      </c>
      <c r="H65" s="1733">
        <f t="shared" si="9"/>
        <v>-0.1500065804920564</v>
      </c>
      <c r="I65" s="1733">
        <f t="shared" si="9"/>
        <v>2.4688656981938228E-3</v>
      </c>
      <c r="J65" s="1733">
        <f t="shared" si="9"/>
        <v>6.5611297553160863E-3</v>
      </c>
      <c r="K65" s="1733">
        <f t="shared" si="9"/>
        <v>3.6220339887601538E-3</v>
      </c>
      <c r="L65" s="1733">
        <f t="shared" si="9"/>
        <v>3.6271433993378954E-3</v>
      </c>
      <c r="M65" s="1733">
        <f t="shared" si="9"/>
        <v>4.1728928814105393E-3</v>
      </c>
      <c r="N65" s="1733">
        <f t="shared" si="9"/>
        <v>5.228173906058009E-3</v>
      </c>
      <c r="O65" s="1733">
        <f>O63-O64</f>
        <v>4.5737522424411647E-3</v>
      </c>
      <c r="P65" s="1733">
        <f>P63-P64</f>
        <v>3.0676449186274324E-3</v>
      </c>
      <c r="Q65" s="1733">
        <f t="shared" si="9"/>
        <v>4.3399290902313981E-3</v>
      </c>
      <c r="R65" s="622"/>
      <c r="S65" s="621">
        <f t="shared" si="6"/>
        <v>8.304852953718711E-2</v>
      </c>
      <c r="T65" s="622"/>
      <c r="U65" s="620">
        <f>IF(MONTH(Factores!$D$2)=1,SUM($F65:F65),IF(MONTH(Factores!$D$2)=2,SUM($F65:G65),IF(MONTH(Factores!$D$2)=3,SUM($F65:H65),IF(MONTH(Factores!$D$2)=4,SUM($F65:I65),IF(MONTH(Factores!$D$2)=5,SUM($F65:J65),IF(MONTH(Factores!$D$2)=6,SUM($F65:K65),IF(MONTH(Factores!$D$2)=7,SUM($F65:L65),IF(MONTH(Factores!$D$2)=8,SUM($F65:M65),IF(MONTH(Factores!$D$2)=9,SUM($F65:N65),IF(MONTH(Factores!$D$2)=10,SUM($F65:O65),IF(MONTH(Factores!$D$2)=11,SUM($F65:P65),IF(MONTH(Factores!$D$2)=12,SUM($F65:Q65)))))))))))))</f>
        <v>4.5386963656810608E-2</v>
      </c>
      <c r="V65" s="621">
        <f>IF(MONTH(Factores!$D$2)=1,SUM($F65:F65),IF(MONTH(Factores!$D$2)=2,SUM($F65:F65),IF(MONTH(Factores!$D$2)=3,SUM($F65:G65),IF(MONTH(Factores!$D$2)=4,SUM($F65:H65),IF(MONTH(Factores!$D$2)=5,SUM($F65:I65),IF(MONTH(Factores!$D$2)=6,SUM($F65:J65),IF(MONTH(Factores!$D$2)=7,SUM($F65:K65),IF(MONTH(Factores!$D$2)=8,SUM($F65:L65),IF(MONTH(Factores!$D$2)=9,SUM($F65:M65),IF(MONTH(Factores!$D$2)=10,SUM($F65:N65),IF(MONTH(Factores!$D$2)=11,SUM($F65:O65),IF(MONTH(Factores!$D$2)=12,SUM($F65:P65)))))))))))))</f>
        <v>0.195393544148867</v>
      </c>
    </row>
    <row r="66" spans="2:22" ht="30" customHeight="1">
      <c r="F66" s="1759"/>
      <c r="G66" s="1734"/>
      <c r="H66" s="1734"/>
      <c r="I66" s="1734"/>
      <c r="J66" s="1734"/>
      <c r="K66" s="1734"/>
      <c r="L66" s="1734"/>
      <c r="M66" s="1734"/>
      <c r="N66" s="1734"/>
      <c r="O66" s="1734"/>
      <c r="P66" s="1734"/>
      <c r="Q66" s="1734"/>
      <c r="R66" s="429"/>
      <c r="S66" s="429"/>
      <c r="T66" s="429"/>
      <c r="U66" s="429"/>
      <c r="V66" s="429"/>
    </row>
    <row r="67" spans="2:22" ht="30" customHeight="1">
      <c r="F67" s="1759"/>
      <c r="G67" s="1734"/>
      <c r="H67" s="1734"/>
      <c r="I67" s="1734"/>
      <c r="J67" s="1734"/>
      <c r="K67" s="1734"/>
      <c r="L67" s="1734"/>
      <c r="M67" s="1734"/>
      <c r="N67" s="1734"/>
      <c r="O67" s="1734"/>
      <c r="P67" s="1734"/>
      <c r="Q67" s="1734"/>
      <c r="R67" s="429"/>
      <c r="S67" s="429"/>
      <c r="T67" s="429"/>
      <c r="U67" s="429"/>
      <c r="V67" s="429"/>
    </row>
    <row r="68" spans="2:22" ht="30" customHeight="1">
      <c r="D68" s="73" t="s">
        <v>997</v>
      </c>
      <c r="F68" s="1759">
        <f>E68+F69</f>
        <v>0.44483621572949872</v>
      </c>
      <c r="G68" s="1734">
        <f>F68+G69</f>
        <v>0.67279517419339641</v>
      </c>
      <c r="H68" s="1734">
        <f>G68+H69</f>
        <v>-0.38333867777673802</v>
      </c>
      <c r="I68" s="1734">
        <f t="shared" ref="I68:P68" si="10">H68+I69</f>
        <v>-0.38333867777673802</v>
      </c>
      <c r="J68" s="1734">
        <f t="shared" si="10"/>
        <v>-0.38333867777673802</v>
      </c>
      <c r="K68" s="1734">
        <f t="shared" si="10"/>
        <v>-0.38333867777673802</v>
      </c>
      <c r="L68" s="1734">
        <f t="shared" si="10"/>
        <v>-0.38333867777673802</v>
      </c>
      <c r="M68" s="1734">
        <f t="shared" si="10"/>
        <v>-0.38333867777673802</v>
      </c>
      <c r="N68" s="1734">
        <f t="shared" si="10"/>
        <v>-0.38333867777673802</v>
      </c>
      <c r="O68" s="1734">
        <f t="shared" si="10"/>
        <v>-0.38333867777673802</v>
      </c>
      <c r="P68" s="1734">
        <f t="shared" si="10"/>
        <v>-0.38333867777673802</v>
      </c>
      <c r="Q68" s="1734">
        <f>P68+Q69</f>
        <v>-0.38333867777673802</v>
      </c>
      <c r="R68" s="429"/>
      <c r="S68" s="429"/>
      <c r="T68" s="429"/>
      <c r="U68" s="429"/>
      <c r="V68" s="429"/>
    </row>
    <row r="69" spans="2:22" ht="30" customHeight="1">
      <c r="D69" s="73" t="s">
        <v>998</v>
      </c>
      <c r="F69" s="1759">
        <f>F60-F61</f>
        <v>0.44483621572949872</v>
      </c>
      <c r="G69" s="1734">
        <f>G60-G61</f>
        <v>0.22795895846389769</v>
      </c>
      <c r="H69" s="1734">
        <f t="shared" ref="H69:Q69" si="11">H60-H61</f>
        <v>-1.0561338519701344</v>
      </c>
      <c r="I69" s="1734">
        <f t="shared" si="11"/>
        <v>0</v>
      </c>
      <c r="J69" s="1734">
        <f t="shared" si="11"/>
        <v>0</v>
      </c>
      <c r="K69" s="1734">
        <f t="shared" si="11"/>
        <v>0</v>
      </c>
      <c r="L69" s="1734">
        <f t="shared" si="11"/>
        <v>0</v>
      </c>
      <c r="M69" s="1734">
        <f t="shared" si="11"/>
        <v>0</v>
      </c>
      <c r="N69" s="1734">
        <f t="shared" si="11"/>
        <v>0</v>
      </c>
      <c r="O69" s="1734">
        <f t="shared" si="11"/>
        <v>0</v>
      </c>
      <c r="P69" s="1734">
        <f t="shared" si="11"/>
        <v>0</v>
      </c>
      <c r="Q69" s="1734">
        <f t="shared" si="11"/>
        <v>0</v>
      </c>
      <c r="R69" s="429"/>
      <c r="S69" s="429"/>
      <c r="T69" s="429"/>
      <c r="U69" s="429"/>
      <c r="V69" s="429"/>
    </row>
  </sheetData>
  <mergeCells count="6">
    <mergeCell ref="Y24:Z24"/>
    <mergeCell ref="Y42:Z42"/>
    <mergeCell ref="S4:S5"/>
    <mergeCell ref="C4:C5"/>
    <mergeCell ref="D4:D5"/>
    <mergeCell ref="X9:AC9"/>
  </mergeCells>
  <phoneticPr fontId="0" type="noConversion"/>
  <printOptions horizontalCentered="1"/>
  <pageMargins left="0.39370078740157483" right="0.2" top="1.32" bottom="0.59055118110236227" header="0.59055118110236227" footer="0"/>
  <pageSetup scale="65" orientation="landscape" horizontalDpi="300" verticalDpi="300" r:id="rId1"/>
  <headerFooter alignWithMargins="0">
    <oddHeader>&amp;C&amp;A</oddHeader>
    <oddFooter>Respaldo Costos Abril 2000.xls&amp;RPágina &amp;P</oddFooter>
  </headerFooter>
  <cellWatches>
    <cellWatch r="X9"/>
  </cellWatches>
  <ignoredErrors>
    <ignoredError sqref="R60:R65 T60:T65" unlocked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772EA3BB-23F5-444B-98F8-E371D0CA9FAF}">
            <xm:f>MONTH($F$4)=MONTH(Factores!$D$2)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33" id="{1E53796A-5B1C-42AE-995D-B9A79D56EB8F}">
            <xm:f>MONTH($F$4)&lt;MONTH(Factores!$D$2)</xm:f>
            <x14:dxf>
              <fill>
                <patternFill>
                  <bgColor rgb="FF66FF33"/>
                </patternFill>
              </fill>
            </x14:dxf>
          </x14:cfRule>
          <xm:sqref>F6:F69</xm:sqref>
        </x14:conditionalFormatting>
        <x14:conditionalFormatting xmlns:xm="http://schemas.microsoft.com/office/excel/2006/main">
          <x14:cfRule type="expression" priority="32" id="{D1707C7E-18D9-43C6-A9B7-09B348B19895}">
            <xm:f>MONTH($G$4)=MONTH(Factores!$D$2)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31" id="{6575779C-AFEB-4509-B5DA-645721A8CCE9}">
            <xm:f>MONTH($G$4)&lt;MONTH(Factores!$D$2)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30" id="{6D414E09-72A3-4FCC-A12D-E8B060BFA35C}">
            <xm:f>MONTH($G$4)&gt;MONTH(Factores!$D$2)</xm:f>
            <x14:dxf>
              <fill>
                <patternFill>
                  <bgColor rgb="FFFFC000"/>
                </patternFill>
              </fill>
            </x14:dxf>
          </x14:cfRule>
          <xm:sqref>G6:G69</xm:sqref>
        </x14:conditionalFormatting>
        <x14:conditionalFormatting xmlns:xm="http://schemas.microsoft.com/office/excel/2006/main">
          <x14:cfRule type="expression" priority="29" id="{D2EA3356-37BA-44E7-B6D8-E90C1C0797CB}">
            <xm:f>MONTH($H$4)=MONTH(Factores!$D$2)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28" id="{59231D2F-7B74-402D-9CD2-49E1A1FCADFA}">
            <xm:f>MONTH($H$4)&lt;MONTH(Factores!$D$2)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27" id="{DDAD87A8-8D8E-4F89-AD80-5E7773A1A472}">
            <xm:f>MONTH($H$4)&gt;MONTH(Factores!$D$2)</xm:f>
            <x14:dxf>
              <fill>
                <patternFill>
                  <bgColor rgb="FFFFC000"/>
                </patternFill>
              </fill>
            </x14:dxf>
          </x14:cfRule>
          <xm:sqref>H6:H69</xm:sqref>
        </x14:conditionalFormatting>
        <x14:conditionalFormatting xmlns:xm="http://schemas.microsoft.com/office/excel/2006/main">
          <x14:cfRule type="expression" priority="26" id="{3D3FA762-FD5F-4AB7-8473-5C892154C88A}">
            <xm:f>MONTH($I$4)=MONTH(Factores!$D$2)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25" id="{5D25076E-2F42-4275-989D-3E5F4021E796}">
            <xm:f>MONTH($I$4)&lt;MONTH(Factores!$D$2)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24" id="{CE203ECB-2E44-439D-B575-3A5AB5E6EE36}">
            <xm:f>MONTH($I$4)&gt;MONTH(Factores!$D$2)</xm:f>
            <x14:dxf>
              <fill>
                <patternFill>
                  <bgColor rgb="FFFFC000"/>
                </patternFill>
              </fill>
            </x14:dxf>
          </x14:cfRule>
          <xm:sqref>I6:I69</xm:sqref>
        </x14:conditionalFormatting>
        <x14:conditionalFormatting xmlns:xm="http://schemas.microsoft.com/office/excel/2006/main">
          <x14:cfRule type="expression" priority="23" id="{B2804E71-B6D6-4550-BB0B-E8B9BAE015C0}">
            <xm:f>MONTH($J$4)=MONTH(Factores!$D$2)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22" id="{6DF0A995-B5F4-49EA-A5B6-CED536AD4989}">
            <xm:f>MONTH($J$4)&lt;MONTH(Factores!$D$2)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21" id="{5C1FBA6C-E078-410F-AEF6-94D642F1DD5F}">
            <xm:f>MONTH($J$4)&gt;MONTH(Factores!$D$2)</xm:f>
            <x14:dxf>
              <fill>
                <patternFill>
                  <bgColor rgb="FFFFC000"/>
                </patternFill>
              </fill>
            </x14:dxf>
          </x14:cfRule>
          <xm:sqref>J6:J69</xm:sqref>
        </x14:conditionalFormatting>
        <x14:conditionalFormatting xmlns:xm="http://schemas.microsoft.com/office/excel/2006/main">
          <x14:cfRule type="expression" priority="18" id="{1649E0C0-B417-42E2-9F76-13E70B3BE076}">
            <xm:f>MONTH($K$4)&gt;MONTH(Factores!$D$2)</xm:f>
            <x14:dxf>
              <fill>
                <patternFill>
                  <bgColor rgb="FFFFC000"/>
                </patternFill>
              </fill>
            </x14:dxf>
          </x14:cfRule>
          <x14:cfRule type="expression" priority="19" id="{984A3D7B-EE8F-4892-B822-D9A77B8CEF89}">
            <xm:f>MONTH($K$4)&lt;MONTH(Factores!$D$2)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20" id="{21123BD1-7AB5-4192-9F63-1CD184A7C138}">
            <xm:f>MONTH($K$4)=MONTH(Factores!$D$2)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m:sqref>K6:K69</xm:sqref>
        </x14:conditionalFormatting>
        <x14:conditionalFormatting xmlns:xm="http://schemas.microsoft.com/office/excel/2006/main">
          <x14:cfRule type="expression" priority="17" id="{8E63ECC5-EDEC-4FEF-93C7-26147D500B61}">
            <xm:f>MONTH($L$4)=MONTH(Factores!$D$2)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6" id="{5DC80BB9-39E4-4C52-8F65-746FA4FCF3EC}">
            <xm:f>MONTH($L$4)&lt;MONTH(Factores!$D$2)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15" id="{029829D2-294F-4B8F-92B0-B4DE079C9C09}">
            <xm:f>MONTH($L$4)&gt;MONTH(Factores!$D$2)</xm:f>
            <x14:dxf>
              <fill>
                <patternFill>
                  <bgColor rgb="FFFFC000"/>
                </patternFill>
              </fill>
            </x14:dxf>
          </x14:cfRule>
          <xm:sqref>L6:L69</xm:sqref>
        </x14:conditionalFormatting>
        <x14:conditionalFormatting xmlns:xm="http://schemas.microsoft.com/office/excel/2006/main">
          <x14:cfRule type="expression" priority="14" id="{5A1CB381-D765-4F77-AC39-5EC2CA82A74A}">
            <xm:f>MONTH($M$4)=MONTH(Factores!$D$2)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3" id="{966E82BF-E353-453B-B49E-3C9B676EAB27}">
            <xm:f>MONTH($M$4)&lt;MONTH(Factores!$D$2)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12" id="{3CAA5BFC-D47E-44E5-AD7A-38F3AEC41487}">
            <xm:f>MONTH($M$4)&gt;MONTH(Factores!$D$2)</xm:f>
            <x14:dxf>
              <fill>
                <patternFill>
                  <bgColor rgb="FFFFC000"/>
                </patternFill>
              </fill>
            </x14:dxf>
          </x14:cfRule>
          <xm:sqref>M6:M69</xm:sqref>
        </x14:conditionalFormatting>
        <x14:conditionalFormatting xmlns:xm="http://schemas.microsoft.com/office/excel/2006/main">
          <x14:cfRule type="expression" priority="11" id="{BBE921C4-9265-45FD-8ABF-0AAABEAF8EA2}">
            <xm:f>MONTH($N$4)=MONTH(Factores!$D$2)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0" id="{50EF69F8-3C43-4D2B-B527-14C9818DC1A0}">
            <xm:f>MONTH($N$4)&lt;MONTH(Factores!$D$2)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9" id="{6EF877F4-09B6-4B5F-BF5C-AFBDB290A52E}">
            <xm:f>MONTH($N$4)&gt;MONTH(Factores!$D$2)</xm:f>
            <x14:dxf>
              <fill>
                <patternFill>
                  <bgColor rgb="FFFFC000"/>
                </patternFill>
              </fill>
            </x14:dxf>
          </x14:cfRule>
          <xm:sqref>N6:N69 O11:P11 O13:O53 O60:O65</xm:sqref>
        </x14:conditionalFormatting>
        <x14:conditionalFormatting xmlns:xm="http://schemas.microsoft.com/office/excel/2006/main">
          <x14:cfRule type="expression" priority="8" id="{3933D8E0-7B12-4E23-935F-B57F8767D995}">
            <xm:f>MONTH($O$4)=MONTH(Factores!$D$2)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7" id="{3B60ECD4-5DCE-4D60-B1D6-6A3C98A55EC4}">
            <xm:f>MONTH($O$4)&lt;MONTH(Factores!$D$2)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6" id="{A020B1FC-5A8F-4007-A930-522956676F0F}">
            <xm:f>MONTH($O$4)&gt;MONTH(Factores!$D$2)</xm:f>
            <x14:dxf>
              <fill>
                <patternFill>
                  <bgColor rgb="FFFFC000"/>
                </patternFill>
              </fill>
            </x14:dxf>
          </x14:cfRule>
          <xm:sqref>O6:O10 O12 O54:O59 O66:O69</xm:sqref>
        </x14:conditionalFormatting>
        <x14:conditionalFormatting xmlns:xm="http://schemas.microsoft.com/office/excel/2006/main">
          <x14:cfRule type="expression" priority="3" id="{F7E17297-0346-446D-B466-4490B6D6FB6F}">
            <xm:f>MONTH($P$4)&gt;MONTH(Factores!$D$2)</xm:f>
            <x14:dxf>
              <fill>
                <patternFill>
                  <bgColor rgb="FFFFC000"/>
                </patternFill>
              </fill>
            </x14:dxf>
          </x14:cfRule>
          <x14:cfRule type="expression" priority="4" id="{08E76C8F-6005-47D2-9D5A-DA615E1C50F7}">
            <xm:f>MONTH($P$4)&lt;MONTH(Factores!$D$2)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5" id="{99C075CD-EE08-440E-85B4-B5B0350FBF21}">
            <xm:f>MONTH($P$4)=MONTH(Factores!$D$2)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m:sqref>P6:P10 P12:P69</xm:sqref>
        </x14:conditionalFormatting>
        <x14:conditionalFormatting xmlns:xm="http://schemas.microsoft.com/office/excel/2006/main">
          <x14:cfRule type="expression" priority="2" id="{1D9E37A5-B645-4D78-97D3-A9CE37D14065}">
            <xm:f>MONTH($Q$4)=MONTH(Factores!$D$2)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" id="{76C568F9-B91C-49DF-AE73-3551583EFD0E}">
            <xm:f>MONTH($Q$4)&gt;MONTH(Factores!$D$2)</xm:f>
            <x14:dxf>
              <fill>
                <patternFill>
                  <bgColor rgb="FFFFC000"/>
                </patternFill>
              </fill>
            </x14:dxf>
          </x14:cfRule>
          <xm:sqref>Q6:Q69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7">
    <tabColor indexed="61"/>
    <pageSetUpPr fitToPage="1"/>
  </sheetPr>
  <dimension ref="A1:V67"/>
  <sheetViews>
    <sheetView zoomScale="70" zoomScaleNormal="70" workbookViewId="0">
      <selection activeCell="J21" sqref="J21"/>
    </sheetView>
  </sheetViews>
  <sheetFormatPr baseColWidth="10" defaultColWidth="12.1796875" defaultRowHeight="15.5"/>
  <cols>
    <col min="1" max="2" width="12.1796875" style="426"/>
    <col min="3" max="3" width="44.54296875" style="426" bestFit="1" customWidth="1"/>
    <col min="4" max="4" width="12.1796875" style="73"/>
    <col min="5" max="18" width="12.1796875" style="426"/>
    <col min="19" max="19" width="12.1796875" style="73"/>
    <col min="20" max="22" width="12.1796875" style="426"/>
    <col min="23" max="16384" width="12.1796875" style="220"/>
  </cols>
  <sheetData>
    <row r="1" spans="3:22">
      <c r="C1" s="562">
        <f>8300*24*0.981</f>
        <v>195415.19999999998</v>
      </c>
      <c r="D1" s="604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604"/>
      <c r="R1" s="563"/>
      <c r="S1" s="604"/>
    </row>
    <row r="2" spans="3:22" ht="16" thickBot="1">
      <c r="C2" s="563"/>
      <c r="D2" s="604"/>
      <c r="E2" s="563"/>
      <c r="F2" s="563"/>
      <c r="G2" s="563"/>
      <c r="H2" s="563"/>
      <c r="I2" s="563"/>
      <c r="J2" s="563"/>
      <c r="K2" s="563"/>
      <c r="L2" s="563"/>
      <c r="M2" s="563"/>
      <c r="N2" s="563"/>
      <c r="O2" s="563"/>
      <c r="P2" s="563"/>
      <c r="Q2" s="563"/>
      <c r="R2" s="563"/>
      <c r="S2" s="604"/>
    </row>
    <row r="3" spans="3:22" ht="33" customHeight="1" thickBot="1">
      <c r="C3" s="507"/>
      <c r="D3" s="598"/>
      <c r="E3" s="508"/>
      <c r="F3" s="508"/>
      <c r="G3" s="508"/>
      <c r="H3" s="508"/>
      <c r="I3" s="508" t="str">
        <f>'R+RP+B'!I3</f>
        <v>PROGRAMA DE PRODUCCIÓN 2026</v>
      </c>
      <c r="J3" s="508"/>
      <c r="K3" s="508"/>
      <c r="L3" s="508"/>
      <c r="M3" s="508"/>
      <c r="N3" s="508"/>
      <c r="O3" s="508"/>
      <c r="P3" s="508"/>
      <c r="Q3" s="508"/>
      <c r="R3" s="508"/>
      <c r="S3" s="599"/>
      <c r="T3" s="565"/>
    </row>
    <row r="4" spans="3:22" ht="15.75" customHeight="1">
      <c r="C4" s="4807"/>
      <c r="D4" s="4809" t="s">
        <v>159</v>
      </c>
      <c r="E4" s="521"/>
      <c r="F4" s="234">
        <f>'R+RP+B'!F4</f>
        <v>46023</v>
      </c>
      <c r="G4" s="234">
        <f>'R+RP+B'!G4</f>
        <v>46054</v>
      </c>
      <c r="H4" s="234">
        <f>'R+RP+B'!H4</f>
        <v>46082</v>
      </c>
      <c r="I4" s="234">
        <f>'R+RP+B'!I4</f>
        <v>46113</v>
      </c>
      <c r="J4" s="234">
        <f>'R+RP+B'!J4</f>
        <v>46143</v>
      </c>
      <c r="K4" s="234">
        <f>'R+RP+B'!K4</f>
        <v>46174</v>
      </c>
      <c r="L4" s="234">
        <f>'R+RP+B'!L4</f>
        <v>46204</v>
      </c>
      <c r="M4" s="234">
        <f>'R+RP+B'!M4</f>
        <v>46235</v>
      </c>
      <c r="N4" s="234">
        <f>'R+RP+B'!N4</f>
        <v>46266</v>
      </c>
      <c r="O4" s="234">
        <f>'R+RP+B'!O4</f>
        <v>46296</v>
      </c>
      <c r="P4" s="234">
        <f>'R+RP+B'!P4</f>
        <v>46327</v>
      </c>
      <c r="Q4" s="234">
        <f>'R+RP+B'!Q4</f>
        <v>46357</v>
      </c>
      <c r="R4" s="234">
        <v>43466</v>
      </c>
      <c r="S4" s="4805" t="s">
        <v>192</v>
      </c>
      <c r="U4" s="566" t="s">
        <v>193</v>
      </c>
      <c r="V4" s="566" t="s">
        <v>193</v>
      </c>
    </row>
    <row r="5" spans="3:22" ht="16" thickBot="1">
      <c r="C5" s="4808"/>
      <c r="D5" s="4810"/>
      <c r="E5" s="516"/>
      <c r="F5" s="235" t="str">
        <f>IF('R+RP+B'!F5="Bdgt","OL",'R+RP+B'!F5)</f>
        <v>REAL</v>
      </c>
      <c r="G5" s="235" t="str">
        <f>IF('R+RP+B'!G5="Bdgt","OL",'R+RP+B'!G5)</f>
        <v>Real</v>
      </c>
      <c r="H5" s="235" t="str">
        <f>IF('R+RP+B'!H5="Bdgt","OL",'R+RP+B'!H5)</f>
        <v>R+P</v>
      </c>
      <c r="I5" s="235" t="str">
        <f>IF('R+RP+B'!I5="Bdgt","OL",'R+RP+B'!I5)</f>
        <v>OL</v>
      </c>
      <c r="J5" s="235" t="str">
        <f>IF('R+RP+B'!J5="Bdgt","OL",'R+RP+B'!J5)</f>
        <v>OL</v>
      </c>
      <c r="K5" s="235" t="str">
        <f>IF('R+RP+B'!K5="Bdgt","OL",'R+RP+B'!K5)</f>
        <v>OL</v>
      </c>
      <c r="L5" s="235" t="str">
        <f>IF('R+RP+B'!L5="Bdgt","OL",'R+RP+B'!L5)</f>
        <v>OL</v>
      </c>
      <c r="M5" s="235" t="str">
        <f>IF('R+RP+B'!M5="Bdgt","OL",'R+RP+B'!M5)</f>
        <v>OL</v>
      </c>
      <c r="N5" s="235" t="str">
        <f>IF('R+RP+B'!N5="Bdgt","OL",'R+RP+B'!N5)</f>
        <v>OL</v>
      </c>
      <c r="O5" s="235" t="str">
        <f>IF('R+RP+B'!O5="Bdgt","OL",'R+RP+B'!O5)</f>
        <v>OL</v>
      </c>
      <c r="P5" s="235" t="str">
        <f>IF('R+RP+B'!P5="Bdgt","OL",'R+RP+B'!P5)</f>
        <v>OL</v>
      </c>
      <c r="Q5" s="235" t="str">
        <f>IF('R+RP+B'!Q5="Bdgt","OL",'R+RP+B'!Q5)</f>
        <v>OL</v>
      </c>
      <c r="R5" s="518"/>
      <c r="S5" s="4806"/>
      <c r="U5" s="566" t="s">
        <v>194</v>
      </c>
      <c r="V5" s="566" t="s">
        <v>195</v>
      </c>
    </row>
    <row r="6" spans="3:22" ht="30" customHeight="1">
      <c r="C6" s="523" t="str">
        <f>'R+RP+B'!C6</f>
        <v>Dia</v>
      </c>
      <c r="D6" s="702"/>
      <c r="F6" s="1543">
        <f>'R+RP+B'!F6</f>
        <v>30.5</v>
      </c>
      <c r="G6" s="1543">
        <f>'R+RP+B'!G6</f>
        <v>28.5</v>
      </c>
      <c r="H6" s="1543">
        <f>'R+RP+B'!H6</f>
        <v>31</v>
      </c>
      <c r="I6" s="1543">
        <f>'R+RP+B'!I6</f>
        <v>30</v>
      </c>
      <c r="J6" s="1543">
        <f>'R+RP+B'!J6</f>
        <v>31</v>
      </c>
      <c r="K6" s="1543">
        <f>'R+RP+B'!K6</f>
        <v>30</v>
      </c>
      <c r="L6" s="1543">
        <f>'R+RP+B'!L6</f>
        <v>31</v>
      </c>
      <c r="M6" s="1543">
        <f>'R+RP+B'!M6</f>
        <v>31</v>
      </c>
      <c r="N6" s="1543">
        <f>'R+RP+B'!N6</f>
        <v>30</v>
      </c>
      <c r="O6" s="1543">
        <f>'R+RP+B'!O6</f>
        <v>31</v>
      </c>
      <c r="P6" s="1543">
        <f>'R+RP+B'!P6</f>
        <v>30</v>
      </c>
      <c r="Q6" s="1543">
        <f>'R+RP+B'!Q6</f>
        <v>31.5</v>
      </c>
      <c r="R6" s="433"/>
      <c r="S6" s="105">
        <f>SUM(F6:Q6)</f>
        <v>365.5</v>
      </c>
      <c r="T6" s="433"/>
      <c r="U6" s="222">
        <f>IF(MONTH(Factores!$D$2)=1,SUM($F6:F6),IF(MONTH(Factores!$D$2)=2,SUM($F6:G6),IF(MONTH(Factores!$D$2)=3,SUM($F6:H6),IF(MONTH(Factores!$D$2)=4,SUM($F6:I6),IF(MONTH(Factores!$D$2)=5,SUM($F6:J6),IF(MONTH(Factores!$D$2)=6,SUM($F6:K6),IF(MONTH(Factores!$D$2)=7,SUM($F6:L6),IF(MONTH(Factores!$D$2)=8,SUM($F6:M6),IF(MONTH(Factores!$D$2)=9,SUM($F6:N6),IF(MONTH(Factores!$D$2)=10,SUM($F6:O6),IF(MONTH(Factores!$D$2)=11,SUM($F6:P6),IF(MONTH(Factores!$D$2)=12,SUM($F6:Q6)))))))))))))</f>
        <v>90</v>
      </c>
      <c r="V6" s="222">
        <f>IF(MONTH(Factores!$D$2)=1,SUM($F6:F6),IF(MONTH(Factores!$D$2)=2,SUM($F6:F6),IF(MONTH(Factores!$D$2)=3,SUM($F6:G6),IF(MONTH(Factores!$D$2)=4,SUM($F6:H6),IF(MONTH(Factores!$D$2)=5,SUM($F6:I6),IF(MONTH(Factores!$D$2)=6,SUM($F6:J6),IF(MONTH(Factores!$D$2)=7,SUM($F6:K6),IF(MONTH(Factores!$D$2)=8,SUM($F6:L6),IF(MONTH(Factores!$D$2)=9,SUM($F6:M6),IF(MONTH(Factores!$D$2)=10,SUM($F6:N6),IF(MONTH(Factores!$D$2)=11,SUM($F6:O6),IF(MONTH(Factores!$D$2)=12,SUM($F6:P6)))))))))))))</f>
        <v>59</v>
      </c>
    </row>
    <row r="7" spans="3:22" ht="30" customHeight="1">
      <c r="C7" s="71" t="e">
        <f>'R+RP+B'!#REF!</f>
        <v>#REF!</v>
      </c>
      <c r="D7" s="72" t="s">
        <v>198</v>
      </c>
      <c r="E7" s="567"/>
      <c r="F7" s="2107"/>
      <c r="G7" s="2107"/>
      <c r="H7" s="2107"/>
      <c r="I7" s="2107"/>
      <c r="J7" s="2107"/>
      <c r="K7" s="2107"/>
      <c r="L7" s="2107"/>
      <c r="M7" s="2107"/>
      <c r="N7" s="2107"/>
      <c r="O7" s="2107"/>
      <c r="P7" s="2107"/>
      <c r="Q7" s="2107"/>
      <c r="R7" s="73"/>
      <c r="S7" s="420"/>
      <c r="U7" s="74"/>
      <c r="V7" s="74"/>
    </row>
    <row r="8" spans="3:22" ht="30" customHeight="1">
      <c r="C8" s="75" t="e">
        <f>'R+RP+B'!#REF!</f>
        <v>#REF!</v>
      </c>
      <c r="D8" s="76" t="s">
        <v>198</v>
      </c>
      <c r="E8" s="567"/>
      <c r="F8" s="2107"/>
      <c r="G8" s="2107"/>
      <c r="H8" s="2107"/>
      <c r="I8" s="2107"/>
      <c r="J8" s="2107"/>
      <c r="K8" s="2107"/>
      <c r="L8" s="2107"/>
      <c r="M8" s="2107"/>
      <c r="N8" s="2107"/>
      <c r="O8" s="2107"/>
      <c r="P8" s="2107"/>
      <c r="Q8" s="2107"/>
      <c r="R8" s="73"/>
      <c r="S8" s="420"/>
      <c r="U8" s="74"/>
      <c r="V8" s="74"/>
    </row>
    <row r="9" spans="3:22" ht="30" customHeight="1">
      <c r="C9" s="71" t="e">
        <f>'R+RP+B'!#REF!</f>
        <v>#REF!</v>
      </c>
      <c r="D9" s="76" t="s">
        <v>198</v>
      </c>
      <c r="E9" s="566"/>
      <c r="F9" s="2107"/>
      <c r="G9" s="2107"/>
      <c r="H9" s="2107"/>
      <c r="I9" s="2107"/>
      <c r="J9" s="2107"/>
      <c r="K9" s="2107"/>
      <c r="L9" s="2107"/>
      <c r="M9" s="2107"/>
      <c r="N9" s="2107"/>
      <c r="O9" s="2107"/>
      <c r="P9" s="2107"/>
      <c r="Q9" s="2107"/>
      <c r="R9" s="73"/>
      <c r="S9" s="420"/>
      <c r="U9" s="74"/>
      <c r="V9" s="74"/>
    </row>
    <row r="10" spans="3:22" ht="30" customHeight="1">
      <c r="C10" s="71" t="e">
        <f>'R+RP+B'!#REF!</f>
        <v>#REF!</v>
      </c>
      <c r="D10" s="76" t="s">
        <v>198</v>
      </c>
      <c r="E10" s="566"/>
      <c r="F10" s="2107"/>
      <c r="G10" s="2107"/>
      <c r="H10" s="2107"/>
      <c r="I10" s="2107"/>
      <c r="J10" s="2107"/>
      <c r="K10" s="2107"/>
      <c r="L10" s="2107"/>
      <c r="M10" s="2107"/>
      <c r="N10" s="2107"/>
      <c r="O10" s="2107"/>
      <c r="P10" s="2107"/>
      <c r="Q10" s="2107"/>
      <c r="R10" s="73"/>
      <c r="S10" s="419"/>
      <c r="U10" s="74"/>
      <c r="V10" s="74"/>
    </row>
    <row r="11" spans="3:22" ht="30" customHeight="1">
      <c r="C11" s="71" t="e">
        <f>'R+RP+B'!#REF!</f>
        <v>#REF!</v>
      </c>
      <c r="D11" s="72" t="s">
        <v>198</v>
      </c>
      <c r="E11" s="567"/>
      <c r="F11" s="1547"/>
      <c r="G11" s="1547"/>
      <c r="H11" s="1547"/>
      <c r="I11" s="1547"/>
      <c r="J11" s="1547"/>
      <c r="K11" s="1547"/>
      <c r="L11" s="1547"/>
      <c r="M11" s="1547"/>
      <c r="N11" s="1547"/>
      <c r="O11" s="1547"/>
      <c r="P11" s="1547"/>
      <c r="Q11" s="1547"/>
      <c r="R11" s="684"/>
      <c r="S11" s="100"/>
      <c r="T11" s="600"/>
      <c r="U11" s="315"/>
      <c r="V11" s="315"/>
    </row>
    <row r="12" spans="3:22">
      <c r="F12" s="1549"/>
      <c r="G12" s="1549"/>
      <c r="H12" s="1549"/>
      <c r="I12" s="1549"/>
      <c r="J12" s="1549"/>
      <c r="K12" s="1549"/>
      <c r="L12" s="1549"/>
      <c r="M12" s="1549"/>
      <c r="N12" s="1549"/>
      <c r="O12" s="1549"/>
      <c r="P12" s="1549"/>
      <c r="Q12" s="1549"/>
      <c r="S12" s="145"/>
      <c r="U12" s="199"/>
      <c r="V12" s="199"/>
    </row>
    <row r="13" spans="3:22" s="426" customFormat="1" ht="30" customHeight="1">
      <c r="C13" s="78" t="str">
        <f>'R+RP+B'!C8</f>
        <v>Fino Cu Equivalente Producido</v>
      </c>
      <c r="D13" s="79" t="s">
        <v>204</v>
      </c>
      <c r="E13" s="80"/>
      <c r="F13" s="1546">
        <v>30.302200301200003</v>
      </c>
      <c r="G13" s="1546">
        <v>29.667056898000002</v>
      </c>
      <c r="H13" s="1546">
        <v>25.550830434999998</v>
      </c>
      <c r="I13" s="1546">
        <v>29.966932731300002</v>
      </c>
      <c r="J13" s="1546">
        <v>29.246062071000001</v>
      </c>
      <c r="K13" s="1546">
        <v>29.625042754700001</v>
      </c>
      <c r="L13" s="1546">
        <v>28.604197464299997</v>
      </c>
      <c r="M13" s="1546">
        <v>29.288659688450227</v>
      </c>
      <c r="N13" s="1546">
        <f>IF(N5="ol",'0+12'!M13,'R+RP+B'!N8)</f>
        <v>0</v>
      </c>
      <c r="O13" s="1546">
        <f>IF(O5="ol",'0+12'!N13,'R+RP+B'!O8)</f>
        <v>0</v>
      </c>
      <c r="P13" s="1546">
        <f>IF(P5="ol",'0+12'!O13,'R+RP+B'!P8)</f>
        <v>0</v>
      </c>
      <c r="Q13" s="1546">
        <f>IF(Q5="ol",'0+12'!P13,'R+RP+B'!Q8)</f>
        <v>0</v>
      </c>
      <c r="R13" s="429"/>
      <c r="S13" s="112">
        <f t="shared" ref="S13:S18" si="0">SUM(F13:Q13)</f>
        <v>232.25098234395023</v>
      </c>
      <c r="T13" s="568"/>
      <c r="U13" s="416">
        <f>IF(MONTH(Factores!$D$2)=1,SUM($F13:F13),IF(MONTH(Factores!$D$2)=2,SUM($F13:G13),IF(MONTH(Factores!$D$2)=3,SUM($F13:H13),IF(MONTH(Factores!$D$2)=4,SUM($F13:I13),IF(MONTH(Factores!$D$2)=5,SUM($F13:J13),IF(MONTH(Factores!$D$2)=6,SUM($F13:K13),IF(MONTH(Factores!$D$2)=7,SUM($F13:L13),IF(MONTH(Factores!$D$2)=8,SUM($F13:M13),IF(MONTH(Factores!$D$2)=9,SUM($F13:N13),IF(MONTH(Factores!$D$2)=10,SUM($F13:O13),IF(MONTH(Factores!$D$2)=11,SUM($F13:P13),IF(MONTH(Factores!$D$2)=12,SUM($F13:Q13)))))))))))))</f>
        <v>85.520087634199996</v>
      </c>
      <c r="V13" s="416">
        <f>IF(MONTH(Factores!$D$2)=1,SUM($F13:F13),IF(MONTH(Factores!$D$2)=2,SUM($F13:F13),IF(MONTH(Factores!$D$2)=3,SUM($F13:G13),IF(MONTH(Factores!$D$2)=4,SUM($F13:H13),IF(MONTH(Factores!$D$2)=5,SUM($F13:I13),IF(MONTH(Factores!$D$2)=6,SUM($F13:J13),IF(MONTH(Factores!$D$2)=7,SUM($F13:K13),IF(MONTH(Factores!$D$2)=8,SUM($F13:L13),IF(MONTH(Factores!$D$2)=9,SUM($F13:M13),IF(MONTH(Factores!$D$2)=10,SUM($F13:N13),IF(MONTH(Factores!$D$2)=11,SUM($F13:O13),IF(MONTH(Factores!$D$2)=12,SUM($F13:P13)))))))))))))</f>
        <v>59.969257199200001</v>
      </c>
    </row>
    <row r="14" spans="3:22" s="426" customFormat="1" ht="30" customHeight="1">
      <c r="C14" s="78" t="str">
        <f>'R+RP+B'!C9</f>
        <v>Fino Cu Equivalente Filtrado</v>
      </c>
      <c r="D14" s="79" t="s">
        <v>204</v>
      </c>
      <c r="E14" s="80"/>
      <c r="F14" s="1546">
        <v>29.341075873800001</v>
      </c>
      <c r="G14" s="1546">
        <v>2.6207796457999999</v>
      </c>
      <c r="H14" s="1546">
        <v>29.655283637899998</v>
      </c>
      <c r="I14" s="1546">
        <v>33.673358343800004</v>
      </c>
      <c r="J14" s="1546">
        <v>20.024945791900002</v>
      </c>
      <c r="K14" s="1546">
        <v>29.3278616156</v>
      </c>
      <c r="L14" s="1546">
        <v>34.220154825499996</v>
      </c>
      <c r="M14" s="1546">
        <v>30.557158840532328</v>
      </c>
      <c r="N14" s="1546">
        <f>IF(N5="ol",'0+12'!M14,'R+RP+B'!N9)</f>
        <v>0</v>
      </c>
      <c r="O14" s="1546">
        <f>IF(O5="ol",'0+12'!N14,'R+RP+B'!O9)</f>
        <v>0</v>
      </c>
      <c r="P14" s="1546">
        <f>IF(P5="ol",'0+12'!O14,'R+RP+B'!P9)</f>
        <v>0</v>
      </c>
      <c r="Q14" s="1546">
        <f>IF(Q5="ol",'0+12'!P14,'R+RP+B'!Q9)</f>
        <v>0</v>
      </c>
      <c r="R14" s="429"/>
      <c r="S14" s="112">
        <f t="shared" si="0"/>
        <v>209.42061857483233</v>
      </c>
      <c r="T14" s="568"/>
      <c r="U14" s="416">
        <f>IF(MONTH(Factores!$D$2)=1,SUM($F14:F14),IF(MONTH(Factores!$D$2)=2,SUM($F14:G14),IF(MONTH(Factores!$D$2)=3,SUM($F14:H14),IF(MONTH(Factores!$D$2)=4,SUM($F14:I14),IF(MONTH(Factores!$D$2)=5,SUM($F14:J14),IF(MONTH(Factores!$D$2)=6,SUM($F14:K14),IF(MONTH(Factores!$D$2)=7,SUM($F14:L14),IF(MONTH(Factores!$D$2)=8,SUM($F14:M14),IF(MONTH(Factores!$D$2)=9,SUM($F14:N14),IF(MONTH(Factores!$D$2)=10,SUM($F14:O14),IF(MONTH(Factores!$D$2)=11,SUM($F14:P14),IF(MONTH(Factores!$D$2)=12,SUM($F14:Q14)))))))))))))</f>
        <v>61.617139157499999</v>
      </c>
      <c r="V14" s="416">
        <f>IF(MONTH(Factores!$D$2)=1,SUM($F14:F14),IF(MONTH(Factores!$D$2)=2,SUM($F14:F14),IF(MONTH(Factores!$D$2)=3,SUM($F14:G14),IF(MONTH(Factores!$D$2)=4,SUM($F14:H14),IF(MONTH(Factores!$D$2)=5,SUM($F14:I14),IF(MONTH(Factores!$D$2)=6,SUM($F14:J14),IF(MONTH(Factores!$D$2)=7,SUM($F14:K14),IF(MONTH(Factores!$D$2)=8,SUM($F14:L14),IF(MONTH(Factores!$D$2)=9,SUM($F14:M14),IF(MONTH(Factores!$D$2)=10,SUM($F14:N14),IF(MONTH(Factores!$D$2)=11,SUM($F14:O14),IF(MONTH(Factores!$D$2)=12,SUM($F14:P14)))))))))))))</f>
        <v>31.9618555196</v>
      </c>
    </row>
    <row r="15" spans="3:22" s="426" customFormat="1" ht="30" customHeight="1">
      <c r="C15" s="78" t="str">
        <f>'R+RP+B'!C10</f>
        <v>Fino Cu Producido</v>
      </c>
      <c r="D15" s="79" t="s">
        <v>204</v>
      </c>
      <c r="E15" s="80"/>
      <c r="F15" s="1546">
        <v>28.086976415000002</v>
      </c>
      <c r="G15" s="1546">
        <v>27.529223846100003</v>
      </c>
      <c r="H15" s="1546">
        <v>23.653403335899998</v>
      </c>
      <c r="I15" s="1546">
        <v>27.899904275600001</v>
      </c>
      <c r="J15" s="1546">
        <v>27.446928465900001</v>
      </c>
      <c r="K15" s="1546">
        <v>27.112019963200002</v>
      </c>
      <c r="L15" s="1546">
        <v>26.730291691599998</v>
      </c>
      <c r="M15" s="1546">
        <v>27.291901293425099</v>
      </c>
      <c r="N15" s="1546">
        <f>IF(N5="ol",'0+12'!M15,'R+RP+B'!N10)</f>
        <v>31.800524346124806</v>
      </c>
      <c r="O15" s="1546">
        <f>IF(O5="ol",'0+12'!N15,'R+RP+B'!O10)</f>
        <v>35.589943845908635</v>
      </c>
      <c r="P15" s="1546">
        <f>IF(P5="ol",'0+12'!O15,'R+RP+B'!P10)</f>
        <v>34.4305609479662</v>
      </c>
      <c r="Q15" s="1546">
        <f>IF(Q5="ol",'0+12'!P15,'R+RP+B'!Q10)</f>
        <v>38.822908602338664</v>
      </c>
      <c r="R15" s="429"/>
      <c r="S15" s="112">
        <f t="shared" si="0"/>
        <v>356.39458702906347</v>
      </c>
      <c r="T15" s="568"/>
      <c r="U15" s="416">
        <f>IF(MONTH(Factores!$D$2)=1,SUM($F15:F15),IF(MONTH(Factores!$D$2)=2,SUM($F15:G15),IF(MONTH(Factores!$D$2)=3,SUM($F15:H15),IF(MONTH(Factores!$D$2)=4,SUM($F15:I15),IF(MONTH(Factores!$D$2)=5,SUM($F15:J15),IF(MONTH(Factores!$D$2)=6,SUM($F15:K15),IF(MONTH(Factores!$D$2)=7,SUM($F15:L15),IF(MONTH(Factores!$D$2)=8,SUM($F15:M15),IF(MONTH(Factores!$D$2)=9,SUM($F15:N15),IF(MONTH(Factores!$D$2)=10,SUM($F15:O15),IF(MONTH(Factores!$D$2)=11,SUM($F15:P15),IF(MONTH(Factores!$D$2)=12,SUM($F15:Q15)))))))))))))</f>
        <v>79.269603597</v>
      </c>
      <c r="V15" s="416">
        <f>IF(MONTH(Factores!$D$2)=1,SUM($F15:F15),IF(MONTH(Factores!$D$2)=2,SUM($F15:F15),IF(MONTH(Factores!$D$2)=3,SUM($F15:G15),IF(MONTH(Factores!$D$2)=4,SUM($F15:H15),IF(MONTH(Factores!$D$2)=5,SUM($F15:I15),IF(MONTH(Factores!$D$2)=6,SUM($F15:J15),IF(MONTH(Factores!$D$2)=7,SUM($F15:K15),IF(MONTH(Factores!$D$2)=8,SUM($F15:L15),IF(MONTH(Factores!$D$2)=9,SUM($F15:M15),IF(MONTH(Factores!$D$2)=10,SUM($F15:N15),IF(MONTH(Factores!$D$2)=11,SUM($F15:O15),IF(MONTH(Factores!$D$2)=12,SUM($F15:P15)))))))))))))</f>
        <v>55.616200261100005</v>
      </c>
    </row>
    <row r="16" spans="3:22" s="426" customFormat="1" ht="30" customHeight="1">
      <c r="C16" s="78" t="str">
        <f>'R+RP+B'!C11</f>
        <v>Fino Cu Filtrado Pagable</v>
      </c>
      <c r="D16" s="79" t="s">
        <v>204</v>
      </c>
      <c r="E16" s="80"/>
      <c r="F16" s="1546">
        <v>27.021530892800001</v>
      </c>
      <c r="G16" s="1546">
        <v>0.68645175550000004</v>
      </c>
      <c r="H16" s="1546">
        <v>27.5557629003</v>
      </c>
      <c r="I16" s="1546">
        <v>31.948406090100001</v>
      </c>
      <c r="J16" s="1546">
        <v>18.278158850000001</v>
      </c>
      <c r="K16" s="1546">
        <v>26.989683601999999</v>
      </c>
      <c r="L16" s="1546">
        <v>32.018764387499999</v>
      </c>
      <c r="M16" s="1546">
        <v>28.591762567217316</v>
      </c>
      <c r="N16" s="1546">
        <f>IF(N5="ol",'0+12'!M16,'R+RP+B'!N11)</f>
        <v>33.447648311722219</v>
      </c>
      <c r="O16" s="1546">
        <f>IF(O5="ol",'0+12'!N16,'R+RP+B'!O11)</f>
        <v>35.594250528132356</v>
      </c>
      <c r="P16" s="1546">
        <f>IF(P5="ol",'0+12'!O16,'R+RP+B'!P11)</f>
        <v>33.147848648304254</v>
      </c>
      <c r="Q16" s="1546">
        <f>IF(Q5="ol",'0+12'!P16,'R+RP+B'!Q11)</f>
        <v>37.025684957446998</v>
      </c>
      <c r="R16" s="429"/>
      <c r="S16" s="112">
        <f t="shared" si="0"/>
        <v>332.30595349102316</v>
      </c>
      <c r="T16" s="568"/>
      <c r="U16" s="416">
        <f>IF(MONTH(Factores!$D$2)=1,SUM($F16:F16),IF(MONTH(Factores!$D$2)=2,SUM($F16:G16),IF(MONTH(Factores!$D$2)=3,SUM($F16:H16),IF(MONTH(Factores!$D$2)=4,SUM($F16:I16),IF(MONTH(Factores!$D$2)=5,SUM($F16:J16),IF(MONTH(Factores!$D$2)=6,SUM($F16:K16),IF(MONTH(Factores!$D$2)=7,SUM($F16:L16),IF(MONTH(Factores!$D$2)=8,SUM($F16:M16),IF(MONTH(Factores!$D$2)=9,SUM($F16:N16),IF(MONTH(Factores!$D$2)=10,SUM($F16:O16),IF(MONTH(Factores!$D$2)=11,SUM($F16:P16),IF(MONTH(Factores!$D$2)=12,SUM($F16:Q16)))))))))))))</f>
        <v>55.263745548599999</v>
      </c>
      <c r="V16" s="416">
        <f>IF(MONTH(Factores!$D$2)=1,SUM($F16:F16),IF(MONTH(Factores!$D$2)=2,SUM($F16:F16),IF(MONTH(Factores!$D$2)=3,SUM($F16:G16),IF(MONTH(Factores!$D$2)=4,SUM($F16:H16),IF(MONTH(Factores!$D$2)=5,SUM($F16:I16),IF(MONTH(Factores!$D$2)=6,SUM($F16:J16),IF(MONTH(Factores!$D$2)=7,SUM($F16:K16),IF(MONTH(Factores!$D$2)=8,SUM($F16:L16),IF(MONTH(Factores!$D$2)=9,SUM($F16:M16),IF(MONTH(Factores!$D$2)=10,SUM($F16:N16),IF(MONTH(Factores!$D$2)=11,SUM($F16:O16),IF(MONTH(Factores!$D$2)=12,SUM($F16:P16)))))))))))))</f>
        <v>27.7079826483</v>
      </c>
    </row>
    <row r="17" spans="3:22" s="426" customFormat="1" ht="30" customHeight="1">
      <c r="C17" s="78" t="str">
        <f>'R+RP+B'!C12</f>
        <v>Fino Mo Producido</v>
      </c>
      <c r="D17" s="79" t="s">
        <v>204</v>
      </c>
      <c r="E17" s="80"/>
      <c r="F17" s="1546">
        <v>0.76413379999999997</v>
      </c>
      <c r="G17" s="1546">
        <v>0.73743809999999999</v>
      </c>
      <c r="H17" s="1546">
        <v>0.65451090000000001</v>
      </c>
      <c r="I17" s="1546">
        <v>0.71301429999999999</v>
      </c>
      <c r="J17" s="1546">
        <v>0.62060490000000001</v>
      </c>
      <c r="K17" s="1546">
        <v>0.86685849999999998</v>
      </c>
      <c r="L17" s="1546">
        <v>0.64639729999999995</v>
      </c>
      <c r="M17" s="1546">
        <v>0.688774886176312</v>
      </c>
      <c r="N17" s="1546">
        <f>IF(N5="ol",'0+12'!M17,'R+RP+B'!N12)</f>
        <v>0.68781637747912783</v>
      </c>
      <c r="O17" s="1546">
        <f>IF(O5="ol",'0+12'!N17,'R+RP+B'!O12)</f>
        <v>1.0433497200782786</v>
      </c>
      <c r="P17" s="1546">
        <f>IF(P5="ol",'0+12'!O17,'R+RP+B'!P12)</f>
        <v>0.79078227292588044</v>
      </c>
      <c r="Q17" s="1546">
        <f>IF(Q5="ol",'0+12'!P17,'R+RP+B'!Q12)</f>
        <v>0.90859130168825741</v>
      </c>
      <c r="R17" s="429"/>
      <c r="S17" s="112">
        <f t="shared" si="0"/>
        <v>9.1222723583478587</v>
      </c>
      <c r="T17" s="568"/>
      <c r="U17" s="416">
        <f>IF(MONTH(Factores!$D$2)=1,SUM($F17:F17),IF(MONTH(Factores!$D$2)=2,SUM($F17:G17),IF(MONTH(Factores!$D$2)=3,SUM($F17:H17),IF(MONTH(Factores!$D$2)=4,SUM($F17:I17),IF(MONTH(Factores!$D$2)=5,SUM($F17:J17),IF(MONTH(Factores!$D$2)=6,SUM($F17:K17),IF(MONTH(Factores!$D$2)=7,SUM($F17:L17),IF(MONTH(Factores!$D$2)=8,SUM($F17:M17),IF(MONTH(Factores!$D$2)=9,SUM($F17:N17),IF(MONTH(Factores!$D$2)=10,SUM($F17:O17),IF(MONTH(Factores!$D$2)=11,SUM($F17:P17),IF(MONTH(Factores!$D$2)=12,SUM($F17:Q17)))))))))))))</f>
        <v>2.1560828000000001</v>
      </c>
      <c r="V17" s="416">
        <f>IF(MONTH(Factores!$D$2)=1,SUM($F17:F17),IF(MONTH(Factores!$D$2)=2,SUM($F17:F17),IF(MONTH(Factores!$D$2)=3,SUM($F17:G17),IF(MONTH(Factores!$D$2)=4,SUM($F17:H17),IF(MONTH(Factores!$D$2)=5,SUM($F17:I17),IF(MONTH(Factores!$D$2)=6,SUM($F17:J17),IF(MONTH(Factores!$D$2)=7,SUM($F17:K17),IF(MONTH(Factores!$D$2)=8,SUM($F17:L17),IF(MONTH(Factores!$D$2)=9,SUM($F17:M17),IF(MONTH(Factores!$D$2)=10,SUM($F17:N17),IF(MONTH(Factores!$D$2)=11,SUM($F17:O17),IF(MONTH(Factores!$D$2)=12,SUM($F17:P17)))))))))))))</f>
        <v>1.5015719000000001</v>
      </c>
    </row>
    <row r="18" spans="3:22" s="426" customFormat="1" ht="30" customHeight="1">
      <c r="C18" s="78" t="str">
        <f>'R+RP+B'!C13</f>
        <v>Fino Mo Envasado Pagable</v>
      </c>
      <c r="D18" s="79" t="s">
        <v>204</v>
      </c>
      <c r="E18" s="80"/>
      <c r="F18" s="1546">
        <v>0.80011900000000002</v>
      </c>
      <c r="G18" s="1546">
        <v>0.66723969999999999</v>
      </c>
      <c r="H18" s="1546">
        <v>0.72422240000000004</v>
      </c>
      <c r="I18" s="1546">
        <v>0.59501630000000005</v>
      </c>
      <c r="J18" s="1546">
        <v>0.60254810000000003</v>
      </c>
      <c r="K18" s="1546">
        <v>0.8065464</v>
      </c>
      <c r="L18" s="1546">
        <v>0.75936199999999998</v>
      </c>
      <c r="M18" s="1546">
        <v>0.67795663101587123</v>
      </c>
      <c r="N18" s="1546">
        <f>IF(N5="ol",'0+12'!M18,'R+RP+B'!N13)</f>
        <v>0.68437729559173222</v>
      </c>
      <c r="O18" s="1546">
        <f>IF(O5="ol",'0+12'!N18,'R+RP+B'!O13)</f>
        <v>1.0381329714778873</v>
      </c>
      <c r="P18" s="1546">
        <f>IF(P5="ol",'0+12'!O18,'R+RP+B'!P13)</f>
        <v>0.78682836156125102</v>
      </c>
      <c r="Q18" s="1546">
        <f>IF(Q5="ol",'0+12'!P18,'R+RP+B'!Q13)</f>
        <v>0.90404834517981614</v>
      </c>
      <c r="R18" s="429"/>
      <c r="S18" s="112">
        <f t="shared" si="0"/>
        <v>9.0463975048265581</v>
      </c>
      <c r="T18" s="568"/>
      <c r="U18" s="416">
        <f>IF(MONTH(Factores!$D$2)=1,SUM($F18:F18),IF(MONTH(Factores!$D$2)=2,SUM($F18:G18),IF(MONTH(Factores!$D$2)=3,SUM($F18:H18),IF(MONTH(Factores!$D$2)=4,SUM($F18:I18),IF(MONTH(Factores!$D$2)=5,SUM($F18:J18),IF(MONTH(Factores!$D$2)=6,SUM($F18:K18),IF(MONTH(Factores!$D$2)=7,SUM($F18:L18),IF(MONTH(Factores!$D$2)=8,SUM($F18:M18),IF(MONTH(Factores!$D$2)=9,SUM($F18:N18),IF(MONTH(Factores!$D$2)=10,SUM($F18:O18),IF(MONTH(Factores!$D$2)=11,SUM($F18:P18),IF(MONTH(Factores!$D$2)=12,SUM($F18:Q18)))))))))))))</f>
        <v>2.1915811000000001</v>
      </c>
      <c r="V18" s="416">
        <f>IF(MONTH(Factores!$D$2)=1,SUM($F18:F18),IF(MONTH(Factores!$D$2)=2,SUM($F18:F18),IF(MONTH(Factores!$D$2)=3,SUM($F18:G18),IF(MONTH(Factores!$D$2)=4,SUM($F18:H18),IF(MONTH(Factores!$D$2)=5,SUM($F18:I18),IF(MONTH(Factores!$D$2)=6,SUM($F18:J18),IF(MONTH(Factores!$D$2)=7,SUM($F18:K18),IF(MONTH(Factores!$D$2)=8,SUM($F18:L18),IF(MONTH(Factores!$D$2)=9,SUM($F18:M18),IF(MONTH(Factores!$D$2)=10,SUM($F18:N18),IF(MONTH(Factores!$D$2)=11,SUM($F18:O18),IF(MONTH(Factores!$D$2)=12,SUM($F18:P18)))))))))))))</f>
        <v>1.4673587000000001</v>
      </c>
    </row>
    <row r="19" spans="3:22" s="426" customFormat="1" ht="9.75" customHeight="1">
      <c r="C19" s="111"/>
      <c r="D19" s="82"/>
      <c r="E19" s="80"/>
      <c r="F19" s="1549"/>
      <c r="G19" s="1549"/>
      <c r="H19" s="1549"/>
      <c r="I19" s="1549"/>
      <c r="J19" s="1549"/>
      <c r="K19" s="1549"/>
      <c r="L19" s="1549"/>
      <c r="M19" s="1549"/>
      <c r="N19" s="1549"/>
      <c r="O19" s="1549"/>
      <c r="P19" s="1549"/>
      <c r="Q19" s="1549"/>
      <c r="R19" s="73"/>
      <c r="S19" s="295"/>
      <c r="U19" s="221"/>
      <c r="V19" s="221"/>
    </row>
    <row r="20" spans="3:22" s="426" customFormat="1" ht="30" customHeight="1">
      <c r="C20" s="78" t="s">
        <v>210</v>
      </c>
      <c r="D20" s="79" t="s">
        <v>204</v>
      </c>
      <c r="E20" s="80"/>
      <c r="F20" s="1547">
        <v>5651.1690479939298</v>
      </c>
      <c r="G20" s="1547">
        <v>5534.0863944702696</v>
      </c>
      <c r="H20" s="1547">
        <v>4930.3520672246186</v>
      </c>
      <c r="I20" s="1547">
        <v>6218.1035636483002</v>
      </c>
      <c r="J20" s="1547">
        <v>5957.3065561343392</v>
      </c>
      <c r="K20" s="1547">
        <v>5682.793289085359</v>
      </c>
      <c r="L20" s="1547">
        <v>5511.4551469131702</v>
      </c>
      <c r="M20" s="1547">
        <v>5376.6400015869522</v>
      </c>
      <c r="N20" s="1547">
        <f>IF(N5="ol",'0+12'!M20,'R+RP+B'!N15)</f>
        <v>5557.3565396405447</v>
      </c>
      <c r="O20" s="1547">
        <f>IF(O5="ol",'0+12'!N20,'R+RP+B'!O15)</f>
        <v>6021.9984567759284</v>
      </c>
      <c r="P20" s="1547">
        <f>IF(P5="ol",'0+12'!O20,'R+RP+B'!P15)</f>
        <v>5840.9901649243047</v>
      </c>
      <c r="Q20" s="1547">
        <f>IF(Q5="ol",'0+12'!P20,'R+RP+B'!Q15)</f>
        <v>6276.6827295932371</v>
      </c>
      <c r="R20" s="534"/>
      <c r="S20" s="109">
        <f>SUM(F20:Q20)</f>
        <v>68558.933957990957</v>
      </c>
      <c r="T20" s="600"/>
      <c r="U20" s="315">
        <f>IF(MONTH(Factores!$D$2)=1,SUM($F20:F20),IF(MONTH(Factores!$D$2)=2,SUM($F20:G20),IF(MONTH(Factores!$D$2)=3,SUM($F20:H20),IF(MONTH(Factores!$D$2)=4,SUM($F20:I20),IF(MONTH(Factores!$D$2)=5,SUM($F20:J20),IF(MONTH(Factores!$D$2)=6,SUM($F20:K20),IF(MONTH(Factores!$D$2)=7,SUM($F20:L20),IF(MONTH(Factores!$D$2)=8,SUM($F20:M20),IF(MONTH(Factores!$D$2)=9,SUM($F20:N20),IF(MONTH(Factores!$D$2)=10,SUM($F20:O20),IF(MONTH(Factores!$D$2)=11,SUM($F20:P20),IF(MONTH(Factores!$D$2)=12,SUM($F20:Q20)))))))))))))</f>
        <v>16115.60750968882</v>
      </c>
      <c r="V20" s="315">
        <f>IF(MONTH(Factores!$D$2)=1,SUM($F20:F20),IF(MONTH(Factores!$D$2)=2,SUM($F20:F20),IF(MONTH(Factores!$D$2)=3,SUM($F20:G20),IF(MONTH(Factores!$D$2)=4,SUM($F20:H20),IF(MONTH(Factores!$D$2)=5,SUM($F20:I20),IF(MONTH(Factores!$D$2)=6,SUM($F20:J20),IF(MONTH(Factores!$D$2)=7,SUM($F20:K20),IF(MONTH(Factores!$D$2)=8,SUM($F20:L20),IF(MONTH(Factores!$D$2)=9,SUM($F20:M20),IF(MONTH(Factores!$D$2)=10,SUM($F20:N20),IF(MONTH(Factores!$D$2)=11,SUM($F20:O20),IF(MONTH(Factores!$D$2)=12,SUM($F20:P20)))))))))))))</f>
        <v>11185.2554424642</v>
      </c>
    </row>
    <row r="21" spans="3:22" s="426" customFormat="1" ht="30" customHeight="1">
      <c r="C21" s="78" t="s">
        <v>210</v>
      </c>
      <c r="D21" s="79" t="s">
        <v>211</v>
      </c>
      <c r="E21" s="80"/>
      <c r="F21" s="1549">
        <v>182.29577574173967</v>
      </c>
      <c r="G21" s="1549">
        <v>190.83056532656101</v>
      </c>
      <c r="H21" s="1549">
        <v>159.04361507176188</v>
      </c>
      <c r="I21" s="1549">
        <v>207.27011878827668</v>
      </c>
      <c r="J21" s="1549">
        <v>192.17117923013998</v>
      </c>
      <c r="K21" s="1549">
        <v>189.42644296951195</v>
      </c>
      <c r="L21" s="1549">
        <v>177.78887570687647</v>
      </c>
      <c r="M21" s="1549">
        <v>173.44000005119202</v>
      </c>
      <c r="N21" s="1549">
        <f>IF(N5="ol",'0+12'!M21,'R+RP+B'!N16)</f>
        <v>185.24521798801817</v>
      </c>
      <c r="O21" s="1549">
        <f>IF(O5="ol",'0+12'!N21,'R+RP+B'!O16)</f>
        <v>194.25801473470736</v>
      </c>
      <c r="P21" s="1549">
        <f>IF(P5="ol",'0+12'!O21,'R+RP+B'!P16)</f>
        <v>194.69967216414349</v>
      </c>
      <c r="Q21" s="1549">
        <f>IF(Q5="ol",'0+12'!P21,'R+RP+B'!Q16)</f>
        <v>202.47363643849152</v>
      </c>
      <c r="R21" s="84"/>
      <c r="S21" s="110">
        <f>S20/S6</f>
        <v>187.57574270312165</v>
      </c>
      <c r="T21" s="430"/>
      <c r="U21" s="83">
        <f>U20/U6</f>
        <v>179.06230566320912</v>
      </c>
      <c r="V21" s="83">
        <f>V20/V6</f>
        <v>189.58060071973222</v>
      </c>
    </row>
    <row r="22" spans="3:22" s="426" customFormat="1" ht="30" customHeight="1">
      <c r="C22" s="78" t="s">
        <v>212</v>
      </c>
      <c r="D22" s="79" t="s">
        <v>81</v>
      </c>
      <c r="E22" s="80"/>
      <c r="F22" s="1547">
        <v>8468.4544866031283</v>
      </c>
      <c r="G22" s="1547">
        <v>8880.8254746048315</v>
      </c>
      <c r="H22" s="1547">
        <v>9008.9938553182146</v>
      </c>
      <c r="I22" s="1547">
        <v>9324.4512545361831</v>
      </c>
      <c r="J22" s="1547">
        <v>8820.8042348638537</v>
      </c>
      <c r="K22" s="1547">
        <v>8569.6519371767226</v>
      </c>
      <c r="L22" s="1547">
        <v>8777.6001702500398</v>
      </c>
      <c r="M22" s="1547">
        <v>8506.9379643164921</v>
      </c>
      <c r="N22" s="1547">
        <f>IF(N5="ol",'0+12'!M22,'R+RP+B'!N17)</f>
        <v>8171.2341118279128</v>
      </c>
      <c r="O22" s="1547">
        <f>IF(O5="ol",'0+12'!N22,'R+RP+B'!O17)</f>
        <v>8395.3188191811369</v>
      </c>
      <c r="P22" s="1547">
        <f>IF(P5="ol",'0+12'!O22,'R+RP+B'!P17)</f>
        <v>8397.5932622870314</v>
      </c>
      <c r="Q22" s="1547">
        <f>IF(Q5="ol",'0+12'!P22,'R+RP+B'!Q17)</f>
        <v>8785.766581685104</v>
      </c>
      <c r="R22" s="534"/>
      <c r="S22" s="109">
        <f>S20*1000/(24*S6*S26%)</f>
        <v>37413.336913450607</v>
      </c>
      <c r="T22" s="600"/>
      <c r="U22" s="223">
        <f>U20*1000/(24*U6*U26/100)</f>
        <v>9093.9078053618414</v>
      </c>
      <c r="V22" s="223">
        <f>V20*1000/(24*V6*V26/100)</f>
        <v>10306.711365655709</v>
      </c>
    </row>
    <row r="23" spans="3:22" s="426" customFormat="1" ht="30" customHeight="1">
      <c r="C23" s="78" t="s">
        <v>213</v>
      </c>
      <c r="D23" s="79" t="s">
        <v>48</v>
      </c>
      <c r="E23" s="80"/>
      <c r="F23" s="1543">
        <v>38.334513058381567</v>
      </c>
      <c r="G23" s="1543">
        <v>31.029228514158778</v>
      </c>
      <c r="H23" s="1543">
        <v>32.672110813115026</v>
      </c>
      <c r="I23" s="1543">
        <v>35.200000000000003</v>
      </c>
      <c r="J23" s="1543">
        <v>32.789943724143342</v>
      </c>
      <c r="K23" s="1543">
        <v>51.392117606934598</v>
      </c>
      <c r="L23" s="1543">
        <v>40.176701690097929</v>
      </c>
      <c r="M23" s="1543">
        <v>55.700991158032785</v>
      </c>
      <c r="N23" s="1543">
        <f>IF(N5="ol",'0+12'!M23,'R+RP+B'!N18)</f>
        <v>0</v>
      </c>
      <c r="O23" s="1543">
        <f>IF(O5="ol",'0+12'!N23,'R+RP+B'!O18)</f>
        <v>0</v>
      </c>
      <c r="P23" s="1543">
        <f>IF(P5="ol",'0+12'!O23,'R+RP+B'!P18)</f>
        <v>0</v>
      </c>
      <c r="Q23" s="1543">
        <f>IF(Q5="ol",'0+12'!P23,'R+RP+B'!Q18)</f>
        <v>0</v>
      </c>
      <c r="R23" s="86"/>
      <c r="S23" s="208">
        <f>SUMPRODUCT(F20:Q20,$F23:Q23)/SUM(F20:Q20)</f>
        <v>25.913796951824274</v>
      </c>
      <c r="T23" s="433"/>
      <c r="U23" s="224">
        <f>IF(MONTH(Factores!$D$2)=1,SUMPRODUCT($F$20:$F$20,$F23:F23)/SUM($F$20:$F$20),IF(MONTH(Factores!$D$2)=2,SUMPRODUCT($F$20:$G$20,$F23:G23)/SUM($F$20:$G$20),IF(MONTH(Factores!$D$2)=3,SUMPRODUCT($F$20:$H$20,$F23:H23)/SUM($F$20:$H$20),IF(MONTH(Factores!$D$2)=4,SUMPRODUCT($F$20:$I$20,$F23:I23)/SUM($F$20:$I$20),IF(MONTH(Factores!$D$2)=5,SUMPRODUCT($F$20:$J$20,$F23:J23)/SUM($F$20:$J$20),IF(MONTH(Factores!$D$2)=6,SUMPRODUCT($F$20:$K$20,$F23:K23)/SUM($F$20:$K$20),IF(MONTH(Factores!$D$2)=7,SUMPRODUCT($F$20:$L$20,$F23:L23)/SUM($F$20:$L$20),IF(MONTH(Factores!$D$2)=8,SUMPRODUCT($F$20:$M$20,$F23:M23)/SUM($F$20:$M$20),IF(MONTH(Factores!$D$2)=9,SUMPRODUCT($F$20:$N$20,$F23:N23)/SUM($F$20:$N$20),IF(MONTH(Factores!$D$2)=10,SUMPRODUCT($F$20:$O$20,$F23:O23)/SUM($F$20:$O$20),IF(MONTH(Factores!$D$2)=11,SUMPRODUCT($F$20:$P$20,$F23:P23)/SUM($F$20:$P$20),IF(MONTH(Factores!$D$2)=12,SUMPRODUCT($F$20:$Q$20,$F23:Q23)/SUM($F$20:$Q$20)))))))))))))</f>
        <v>34.093548988101581</v>
      </c>
      <c r="V23" s="224">
        <f>IF(MONTH(Factores!$D$2)=1,SUMPRODUCT($F$20:$F$20,$F23:F23)/SUM($F$20:$F$20),IF(MONTH(Factores!$D$2)=2,SUMPRODUCT($F$20:$F$20,$F23:F23)/SUM($F$20:$F$20),IF(MONTH(Factores!$D$2)=3,SUMPRODUCT($F$20:$G$20,$F23:G23)/SUM($F$20:$G$20),IF(MONTH(Factores!$D$2)=4,SUMPRODUCT($F$20:$H$20,$F23:H23)/SUM($F$20:$H$20),IF(MONTH(Factores!$D$2)=5,SUMPRODUCT($F$20:$I$20,$F23:I23)/SUM($F$20:$I$20),IF(MONTH(Factores!$D$2)=6,SUMPRODUCT($F$20:$J$20,$F23:J23)/SUM($F$20:$J$20),IF(MONTH(Factores!$D$2)=7,SUMPRODUCT($F$20:$K$20,$F23:K23)/SUM($F$20:$K$20),IF(MONTH(Factores!$D$2)=8,SUMPRODUCT($F$20:$L$20,$F23:L23)/SUM($F$20:$L$20),IF(MONTH(Factores!$D$2)=9,SUMPRODUCT($F$20:$M$20,$F23:M23)/SUM($F$20:$M$20),IF(MONTH(Factores!$D$2)=10,SUMPRODUCT($F$20:$N$20,$F23:N23)/SUM($F$20:$N$20),IF(MONTH(Factores!$D$2)=11,SUMPRODUCT($F$20:$O$20,$F23:O23)/SUM($F$20:$O$20),IF(MONTH(Factores!$D$2)=12,SUMPRODUCT($F$20:$P$20,$F23:P23)/SUM($F$20:$P$20)))))))))))))</f>
        <v>34.72010514325838</v>
      </c>
    </row>
    <row r="24" spans="3:22" s="426" customFormat="1" ht="30" customHeight="1">
      <c r="C24" s="78" t="s">
        <v>86</v>
      </c>
      <c r="D24" s="79" t="s">
        <v>214</v>
      </c>
      <c r="E24" s="80"/>
      <c r="F24" s="1543">
        <v>43.718359917964584</v>
      </c>
      <c r="G24" s="1543">
        <v>42.501324786526084</v>
      </c>
      <c r="H24" s="1543">
        <v>43.748168028417965</v>
      </c>
      <c r="I24" s="1543">
        <v>44.6048149301919</v>
      </c>
      <c r="J24" s="1543">
        <v>42.508763093147621</v>
      </c>
      <c r="K24" s="1543">
        <v>41.558047629061001</v>
      </c>
      <c r="L24" s="1543">
        <v>41.487821858298275</v>
      </c>
      <c r="M24" s="1543">
        <v>38.953802688663671</v>
      </c>
      <c r="N24" s="1543">
        <f>IF(N6="ol",'0+12'!M24,'R+RP+B'!N19)</f>
        <v>38.826739279076349</v>
      </c>
      <c r="O24" s="1543">
        <f>IF(O6="ol",'0+12'!N24,'R+RP+B'!O19)</f>
        <v>39.415801618901426</v>
      </c>
      <c r="P24" s="1543">
        <f>IF(P6="ol",'0+12'!O24,'R+RP+B'!P19)</f>
        <v>38.445227586824721</v>
      </c>
      <c r="Q24" s="1543">
        <f>IF(Q6="ol",'0+12'!P24,'R+RP+B'!Q19)</f>
        <v>38.733096261656463</v>
      </c>
      <c r="R24" s="86"/>
      <c r="S24" s="208">
        <f>SUMPRODUCT(F21:Q21,$F24:Q24)/SUM(F21:Q21)</f>
        <v>41.189888662327284</v>
      </c>
      <c r="T24" s="433"/>
      <c r="U24" s="224">
        <f>IF(MONTH(Factores!$D$2)=1,SUMPRODUCT($F$20:$F$20,$F24:F24)/SUM($F$20:$F$20),IF(MONTH(Factores!$D$2)=2,SUMPRODUCT($F$20:$G$20,$F24:G24)/SUM($F$20:$G$20),IF(MONTH(Factores!$D$2)=3,SUMPRODUCT($F$20:$H$20,$F24:H24)/SUM($F$20:$H$20),IF(MONTH(Factores!$D$2)=4,SUMPRODUCT($F$20:$I$20,$F24:I24)/SUM($F$20:$I$20),IF(MONTH(Factores!$D$2)=5,SUMPRODUCT($F$20:$J$20,$F24:J24)/SUM($F$20:$J$20),IF(MONTH(Factores!$D$2)=6,SUMPRODUCT($F$20:$K$20,$F24:K24)/SUM($F$20:$K$20),IF(MONTH(Factores!$D$2)=7,SUMPRODUCT($F$20:$L$20,$F24:L24)/SUM($F$20:$L$20),IF(MONTH(Factores!$D$2)=8,SUMPRODUCT($F$20:$M$20,$F24:M24)/SUM($F$20:$M$20),IF(MONTH(Factores!$D$2)=9,SUMPRODUCT($F$20:$N$20,$F24:N24)/SUM($F$20:$N$20),IF(MONTH(Factores!$D$2)=10,SUMPRODUCT($F$20:$O$20,$F24:O24)/SUM($F$20:$O$20),IF(MONTH(Factores!$D$2)=11,SUMPRODUCT($F$20:$P$20,$F24:P24)/SUM($F$20:$P$20),IF(MONTH(Factores!$D$2)=12,SUMPRODUCT($F$20:$Q$20,$F24:Q24)/SUM($F$20:$Q$20)))))))))))))</f>
        <v>43.309550440597292</v>
      </c>
      <c r="V24" s="224">
        <f>IF(MONTH(Factores!$D$2)=1,SUMPRODUCT($F$20:$F$20,$F24:F24)/SUM($F$20:$F$20),IF(MONTH(Factores!$D$2)=2,SUMPRODUCT($F$20:$F$20,$F24:F24)/SUM($F$20:$F$20),IF(MONTH(Factores!$D$2)=3,SUMPRODUCT($F$20:$G$20,$F24:G24)/SUM($F$20:$G$20),IF(MONTH(Factores!$D$2)=4,SUMPRODUCT($F$20:$H$20,$F24:H24)/SUM($F$20:$H$20),IF(MONTH(Factores!$D$2)=5,SUMPRODUCT($F$20:$I$20,$F24:I24)/SUM($F$20:$I$20),IF(MONTH(Factores!$D$2)=6,SUMPRODUCT($F$20:$J$20,$F24:J24)/SUM($F$20:$J$20),IF(MONTH(Factores!$D$2)=7,SUMPRODUCT($F$20:$K$20,$F24:K24)/SUM($F$20:$K$20),IF(MONTH(Factores!$D$2)=8,SUMPRODUCT($F$20:$L$20,$F24:L24)/SUM($F$20:$L$20),IF(MONTH(Factores!$D$2)=9,SUMPRODUCT($F$20:$M$20,$F24:M24)/SUM($F$20:$M$20),IF(MONTH(Factores!$D$2)=10,SUMPRODUCT($F$20:$N$20,$F24:N24)/SUM($F$20:$N$20),IF(MONTH(Factores!$D$2)=11,SUMPRODUCT($F$20:$O$20,$F24:O24)/SUM($F$20:$O$20),IF(MONTH(Factores!$D$2)=12,SUMPRODUCT($F$20:$P$20,$F24:P24)/SUM($F$20:$P$20)))))))))))))</f>
        <v>43.116212063842596</v>
      </c>
    </row>
    <row r="25" spans="3:22" s="426" customFormat="1" ht="30" customHeight="1">
      <c r="C25" s="78" t="s">
        <v>83</v>
      </c>
      <c r="D25" s="79" t="s">
        <v>84</v>
      </c>
      <c r="E25" s="80"/>
      <c r="F25" s="1543">
        <v>4.0037190781608922</v>
      </c>
      <c r="G25" s="1543">
        <v>4.051021753875208</v>
      </c>
      <c r="H25" s="1543">
        <v>4.051021753875208</v>
      </c>
      <c r="I25" s="1543">
        <v>4.08</v>
      </c>
      <c r="J25" s="1543">
        <v>4.2300000000000004</v>
      </c>
      <c r="K25" s="1543">
        <v>4.09</v>
      </c>
      <c r="L25" s="1543">
        <v>3.95</v>
      </c>
      <c r="M25" s="1543">
        <v>3.84</v>
      </c>
      <c r="N25" s="1543">
        <f>IF(N7="ol",'0+12'!M25,'R+RP+B'!N20)</f>
        <v>4.112501213934566</v>
      </c>
      <c r="O25" s="1543">
        <f>IF(O7="ol",'0+12'!N25,'R+RP+B'!O20)</f>
        <v>4.1223747873045244</v>
      </c>
      <c r="P25" s="1543">
        <f>IF(P7="ol",'0+12'!O25,'R+RP+B'!P20)</f>
        <v>4.1120914909760256</v>
      </c>
      <c r="Q25" s="1543">
        <f>IF(Q7="ol",'0+12'!P25,'R+RP+B'!Q20)</f>
        <v>4.187087295920759</v>
      </c>
      <c r="R25" s="86"/>
      <c r="S25" s="208">
        <f>SUMPRODUCT(F22:Q22,$F25:Q25)/SUM(F22:Q22)</f>
        <v>4.0693699154708405</v>
      </c>
      <c r="T25" s="433"/>
      <c r="U25" s="224">
        <f>IF(MONTH(Factores!$D$2)=1,SUMPRODUCT($F$20:$F$20,$F25:F25)/SUM($F$20:$F$20),IF(MONTH(Factores!$D$2)=2,SUMPRODUCT($F$20:$G$20,$F25:G25)/SUM($F$20:$G$20),IF(MONTH(Factores!$D$2)=3,SUMPRODUCT($F$20:$H$20,$F25:H25)/SUM($F$20:$H$20),IF(MONTH(Factores!$D$2)=4,SUMPRODUCT($F$20:$I$20,$F25:I25)/SUM($F$20:$I$20),IF(MONTH(Factores!$D$2)=5,SUMPRODUCT($F$20:$J$20,$F25:J25)/SUM($F$20:$J$20),IF(MONTH(Factores!$D$2)=6,SUMPRODUCT($F$20:$K$20,$F25:K25)/SUM($F$20:$K$20),IF(MONTH(Factores!$D$2)=7,SUMPRODUCT($F$20:$L$20,$F25:L25)/SUM($F$20:$L$20),IF(MONTH(Factores!$D$2)=8,SUMPRODUCT($F$20:$M$20,$F25:M25)/SUM($F$20:$M$20),IF(MONTH(Factores!$D$2)=9,SUMPRODUCT($F$20:$N$20,$F25:N25)/SUM($F$20:$N$20),IF(MONTH(Factores!$D$2)=10,SUMPRODUCT($F$20:$O$20,$F25:O25)/SUM($F$20:$O$20),IF(MONTH(Factores!$D$2)=11,SUMPRODUCT($F$20:$P$20,$F25:P25)/SUM($F$20:$P$20),IF(MONTH(Factores!$D$2)=12,SUMPRODUCT($F$20:$Q$20,$F25:Q25)/SUM($F$20:$Q$20)))))))))))))</f>
        <v>4.0344343917963457</v>
      </c>
      <c r="V25" s="224">
        <f>IF(MONTH(Factores!$D$2)=1,SUMPRODUCT($F$20:$F$20,$F25:F25)/SUM($F$20:$F$20),IF(MONTH(Factores!$D$2)=2,SUMPRODUCT($F$20:$F$20,$F25:F25)/SUM($F$20:$F$20),IF(MONTH(Factores!$D$2)=3,SUMPRODUCT($F$20:$G$20,$F25:G25)/SUM($F$20:$G$20),IF(MONTH(Factores!$D$2)=4,SUMPRODUCT($F$20:$H$20,$F25:H25)/SUM($F$20:$H$20),IF(MONTH(Factores!$D$2)=5,SUMPRODUCT($F$20:$I$20,$F25:I25)/SUM($F$20:$I$20),IF(MONTH(Factores!$D$2)=6,SUMPRODUCT($F$20:$J$20,$F25:J25)/SUM($F$20:$J$20),IF(MONTH(Factores!$D$2)=7,SUMPRODUCT($F$20:$K$20,$F25:K25)/SUM($F$20:$K$20),IF(MONTH(Factores!$D$2)=8,SUMPRODUCT($F$20:$L$20,$F25:L25)/SUM($F$20:$L$20),IF(MONTH(Factores!$D$2)=9,SUMPRODUCT($F$20:$M$20,$F25:M25)/SUM($F$20:$M$20),IF(MONTH(Factores!$D$2)=10,SUMPRODUCT($F$20:$N$20,$F25:N25)/SUM($F$20:$N$20),IF(MONTH(Factores!$D$2)=11,SUMPRODUCT($F$20:$O$20,$F25:O25)/SUM($F$20:$O$20),IF(MONTH(Factores!$D$2)=12,SUMPRODUCT($F$20:$P$20,$F25:P25)/SUM($F$20:$P$20)))))))))))))</f>
        <v>4.027122843541056</v>
      </c>
    </row>
    <row r="26" spans="3:22" s="426" customFormat="1" ht="38.25" customHeight="1">
      <c r="C26" s="78" t="s">
        <v>215</v>
      </c>
      <c r="D26" s="79" t="s">
        <v>48</v>
      </c>
      <c r="E26" s="80"/>
      <c r="F26" s="1548">
        <f>IF(F5="ol",'0+12'!E25,'R+RP+B'!F21)</f>
        <v>64.821038251366119</v>
      </c>
      <c r="G26" s="1548">
        <f>IF(G5="ol",'0+12'!F25,'R+RP+B'!G21)</f>
        <v>89.290935672514621</v>
      </c>
      <c r="H26" s="1548">
        <f>IF(H5="ol",'0+12'!G25,'R+RP+B'!H21)</f>
        <v>92.324230243716514</v>
      </c>
      <c r="I26" s="1548">
        <f>IF(I5="ol",'0+12'!H25,'R+RP+B'!I21)</f>
        <v>0.62757414871438499</v>
      </c>
      <c r="J26" s="1548">
        <f>IF(J5="ol",'0+12'!I25,'R+RP+B'!J21)</f>
        <v>0.93281644354293447</v>
      </c>
      <c r="K26" s="1548">
        <f>IF(K5="ol",'0+12'!J25,'R+RP+B'!K21)</f>
        <v>0.96491596355991593</v>
      </c>
      <c r="L26" s="1548">
        <f>IF(L5="ol",'0+12'!K25,'R+RP+B'!L21)</f>
        <v>0.94087569491525413</v>
      </c>
      <c r="M26" s="1548">
        <f>IF(M5="ol",'0+12'!L25,'R+RP+B'!M21)</f>
        <v>0.90406990534144693</v>
      </c>
      <c r="N26" s="1548">
        <f>IF(N5="ol",'0+12'!M25,'R+RP+B'!N21)</f>
        <v>0.94525679638637938</v>
      </c>
      <c r="O26" s="1548">
        <f>IF(O5="ol",'0+12'!N25,'R+RP+B'!O21)</f>
        <v>0.96476707464694011</v>
      </c>
      <c r="P26" s="1548">
        <f>IF(P5="ol",'0+12'!O25,'R+RP+B'!P21)</f>
        <v>0.96672030576789436</v>
      </c>
      <c r="Q26" s="1548">
        <f>IF(Q5="ol",'0+12'!P25,'R+RP+B'!Q21)</f>
        <v>0.96088086079354407</v>
      </c>
      <c r="R26" s="500"/>
      <c r="S26" s="106">
        <f>SUMPRODUCT(F6:Q6,$F26:Q26)/SUM(F6:Q6)</f>
        <v>20.890026366917212</v>
      </c>
      <c r="T26" s="525"/>
      <c r="U26" s="81">
        <f>IF(MONTH(Factores!$D$2)=1,SUMPRODUCT($F$6:$F$6,$F26:F26)/SUM($F$6:$F$6),IF(MONTH(Factores!$D$2)=2,SUMPRODUCT($F$6:$G$6,$F26:G26)/SUM($F$6:$G$6),IF(MONTH(Factores!$D$2)=3,SUMPRODUCT($F$6:$H$6,$F26:H26)/SUM($F$6:$H$6),IF(MONTH(Factores!$D$2)=4,SUMPRODUCT($F$6:$I$6,$F26:I26)/SUM($F$6:$I$6),IF(MONTH(Factores!$D$2)=5,SUMPRODUCT($F$6:$J$6,$F26:J26)/SUM($F$6:$J$6),IF(MONTH(Factores!$D$2)=6,SUMPRODUCT($F$6:$K$6,$F26:K26)/SUM($F$6:$K$6),IF(MONTH(Factores!$D$2)=7,SUMPRODUCT($F$6:$L$6,$F26:L26)/SUM($F$6:$L$6),IF(MONTH(Factores!$D$2)=8,SUMPRODUCT($F$6:$M$6,$F26:M26)/SUM($F$6:$M$6),IF(MONTH(Factores!$D$2)=9,SUMPRODUCT($F$6:$N$6,$F26:N26)/SUM($F$6:$N$6),IF(MONTH(Factores!$D$2)=10,SUMPRODUCT($F$6:$O$6,$F26:O26)/SUM($F$6:$O$6),IF(MONTH(Factores!$D$2)=11,SUMPRODUCT($F$6:$P$6,$F26:P26)/SUM($F$6:$P$6),IF(MONTH(Factores!$D$2)=12,SUMPRODUCT($F$6:$Q$6,$F26:Q26)/SUM($F$6:$Q$6)))))))))))))</f>
        <v>82.043160787650493</v>
      </c>
      <c r="V26" s="81">
        <f>IF(MONTH(Factores!$D$2)=1,SUMPRODUCT($F$6:$F$6,$F26:F26)/SUM($F$6:$F$6),IF(MONTH(Factores!$D$2)=2,SUMPRODUCT($F$6:$F$6,$F26:F26)/SUM($F$6:$F$6),IF(MONTH(Factores!$D$2)=3,SUMPRODUCT($F$6:$G$6,$F26:G26)/SUM($F$6:$G$6),IF(MONTH(Factores!$D$2)=4,SUMPRODUCT($F$6:$H$6,$F26:H26)/SUM($F$6:$H$6),IF(MONTH(Factores!$D$2)=5,SUMPRODUCT($F$6:$I$6,$F26:I26)/SUM($F$6:$I$6),IF(MONTH(Factores!$D$2)=6,SUMPRODUCT($F$6:$J$6,$F26:J26)/SUM($F$6:$J$6),IF(MONTH(Factores!$D$2)=7,SUMPRODUCT($F$6:$K$6,$F26:K26)/SUM($F$6:$K$6),IF(MONTH(Factores!$D$2)=8,SUMPRODUCT($F$6:$L$6,$F26:L26)/SUM($F$6:$L$6),IF(MONTH(Factores!$D$2)=9,SUMPRODUCT($F$6:$M$6,$F26:M26)/SUM($F$6:$M$6),IF(MONTH(Factores!$D$2)=10,SUMPRODUCT($F$6:$N$6,$F26:N26)/SUM($F$6:$N$6),IF(MONTH(Factores!$D$2)=11,SUMPRODUCT($F$6:$O$6,$F26:O26)/SUM($F$6:$O$6),IF(MONTH(Factores!$D$2)=12,SUMPRODUCT($F$6:$P$6,$F26:P26)/SUM($F$6:$P$6)))))))))))))</f>
        <v>76.641242937853107</v>
      </c>
    </row>
    <row r="27" spans="3:22" s="426" customFormat="1">
      <c r="C27" s="78" t="s">
        <v>216</v>
      </c>
      <c r="D27" s="79" t="s">
        <v>48</v>
      </c>
      <c r="E27" s="80"/>
      <c r="F27" s="1549"/>
      <c r="G27" s="1549"/>
      <c r="H27" s="1549"/>
      <c r="I27" s="1549"/>
      <c r="J27" s="1549"/>
      <c r="K27" s="1549"/>
      <c r="L27" s="1549"/>
      <c r="M27" s="1549"/>
      <c r="N27" s="1549"/>
      <c r="O27" s="1549"/>
      <c r="P27" s="1549"/>
      <c r="Q27" s="1549"/>
      <c r="R27" s="73"/>
      <c r="S27" s="528"/>
      <c r="U27" s="85">
        <f>SUMPRODUCT($F6:L6,$F27:L27)/SUM($F6:L6)</f>
        <v>0</v>
      </c>
      <c r="V27" s="85">
        <f>SUMPRODUCT($F6:K6,$F27:K27)/SUM($F6:K6)</f>
        <v>0</v>
      </c>
    </row>
    <row r="28" spans="3:22" s="426" customFormat="1">
      <c r="C28" s="78" t="s">
        <v>217</v>
      </c>
      <c r="D28" s="79" t="s">
        <v>218</v>
      </c>
      <c r="E28" s="80"/>
      <c r="F28" s="1549"/>
      <c r="G28" s="1549"/>
      <c r="H28" s="1549"/>
      <c r="I28" s="1549"/>
      <c r="J28" s="1549"/>
      <c r="K28" s="1549"/>
      <c r="L28" s="1549"/>
      <c r="M28" s="1549"/>
      <c r="N28" s="1549"/>
      <c r="O28" s="1549"/>
      <c r="P28" s="1549"/>
      <c r="Q28" s="1549"/>
      <c r="R28" s="73"/>
      <c r="S28" s="425"/>
      <c r="U28" s="225"/>
      <c r="V28" s="225"/>
    </row>
    <row r="29" spans="3:22" s="426" customFormat="1">
      <c r="C29" s="78" t="s">
        <v>219</v>
      </c>
      <c r="D29" s="79" t="s">
        <v>218</v>
      </c>
      <c r="E29" s="80"/>
      <c r="F29" s="1549"/>
      <c r="G29" s="1549"/>
      <c r="H29" s="1549"/>
      <c r="I29" s="1549"/>
      <c r="J29" s="1549"/>
      <c r="K29" s="1549"/>
      <c r="L29" s="1549"/>
      <c r="M29" s="1549"/>
      <c r="N29" s="1549"/>
      <c r="O29" s="1549"/>
      <c r="P29" s="1549"/>
      <c r="Q29" s="1549"/>
      <c r="R29" s="73"/>
      <c r="S29" s="425"/>
      <c r="U29" s="225"/>
      <c r="V29" s="225"/>
    </row>
    <row r="30" spans="3:22" s="426" customFormat="1">
      <c r="C30" s="78" t="s">
        <v>220</v>
      </c>
      <c r="D30" s="79" t="s">
        <v>218</v>
      </c>
      <c r="E30" s="80"/>
      <c r="F30" s="1549"/>
      <c r="G30" s="1549"/>
      <c r="H30" s="1549"/>
      <c r="I30" s="1549"/>
      <c r="J30" s="1549"/>
      <c r="K30" s="1549"/>
      <c r="L30" s="1549"/>
      <c r="M30" s="1549"/>
      <c r="N30" s="1549"/>
      <c r="O30" s="1549"/>
      <c r="P30" s="1549"/>
      <c r="Q30" s="1549"/>
      <c r="R30" s="86"/>
      <c r="S30" s="425"/>
      <c r="U30" s="226"/>
      <c r="V30" s="226"/>
    </row>
    <row r="31" spans="3:22" s="426" customFormat="1">
      <c r="C31" s="78" t="s">
        <v>221</v>
      </c>
      <c r="D31" s="79" t="s">
        <v>218</v>
      </c>
      <c r="E31" s="80"/>
      <c r="F31" s="1549"/>
      <c r="G31" s="1549"/>
      <c r="H31" s="1549"/>
      <c r="I31" s="1549"/>
      <c r="J31" s="1549"/>
      <c r="K31" s="1549"/>
      <c r="L31" s="1549"/>
      <c r="M31" s="1549"/>
      <c r="N31" s="1549"/>
      <c r="O31" s="1549"/>
      <c r="P31" s="1549"/>
      <c r="Q31" s="1549"/>
      <c r="R31" s="73"/>
      <c r="S31" s="425"/>
      <c r="U31" s="225"/>
      <c r="V31" s="225"/>
    </row>
    <row r="32" spans="3:22" s="426" customFormat="1" ht="23.25" customHeight="1">
      <c r="C32" s="78" t="s">
        <v>222</v>
      </c>
      <c r="D32" s="79" t="s">
        <v>218</v>
      </c>
      <c r="E32" s="80"/>
      <c r="F32" s="1549"/>
      <c r="G32" s="1549"/>
      <c r="H32" s="1549"/>
      <c r="I32" s="1549"/>
      <c r="J32" s="1549"/>
      <c r="K32" s="1549"/>
      <c r="L32" s="1549"/>
      <c r="M32" s="1549"/>
      <c r="N32" s="1549"/>
      <c r="O32" s="1549"/>
      <c r="P32" s="1549"/>
      <c r="Q32" s="1549"/>
      <c r="R32" s="73"/>
      <c r="S32" s="425"/>
      <c r="U32" s="225"/>
      <c r="V32" s="225"/>
    </row>
    <row r="33" spans="3:22" s="426" customFormat="1">
      <c r="C33" s="111"/>
      <c r="D33" s="82"/>
      <c r="E33" s="80"/>
      <c r="F33" s="1549"/>
      <c r="G33" s="1549"/>
      <c r="H33" s="1549"/>
      <c r="I33" s="1549"/>
      <c r="J33" s="1549"/>
      <c r="K33" s="1549"/>
      <c r="L33" s="1549"/>
      <c r="M33" s="1549"/>
      <c r="N33" s="1549"/>
      <c r="O33" s="1549"/>
      <c r="P33" s="1549"/>
      <c r="Q33" s="1549"/>
      <c r="R33" s="73"/>
      <c r="S33" s="108"/>
      <c r="U33" s="227"/>
      <c r="V33" s="227"/>
    </row>
    <row r="34" spans="3:22" s="426" customFormat="1" ht="30" customHeight="1">
      <c r="C34" s="78" t="s">
        <v>223</v>
      </c>
      <c r="D34" s="87" t="s">
        <v>48</v>
      </c>
      <c r="E34" s="80"/>
      <c r="F34" s="1546">
        <v>0.56384179999999995</v>
      </c>
      <c r="G34" s="1546">
        <v>0.56454970000000004</v>
      </c>
      <c r="H34" s="1546">
        <v>0.54262330000000003</v>
      </c>
      <c r="I34" s="1546">
        <v>0.50461610000000001</v>
      </c>
      <c r="J34" s="1546">
        <v>0.51905259999999998</v>
      </c>
      <c r="K34" s="1546">
        <v>0.53329219999999999</v>
      </c>
      <c r="L34" s="1546">
        <v>0.54770969999999997</v>
      </c>
      <c r="M34" s="1546">
        <v>0.57150857307562963</v>
      </c>
      <c r="N34" s="1546">
        <f>IF(N5="ol",'0+12'!M33,'R+RP+B'!N29)</f>
        <v>0.62878719848575193</v>
      </c>
      <c r="O34" s="1546">
        <f>IF(O5="ol",'0+12'!N33,'R+RP+B'!O29)</f>
        <v>0.64781711049991553</v>
      </c>
      <c r="P34" s="1546">
        <f>IF(P5="ol",'0+12'!O33,'R+RP+B'!P29)</f>
        <v>0.64506271653076974</v>
      </c>
      <c r="Q34" s="1546">
        <f>IF(Q5="ol",'0+12'!P33,'R+RP+B'!Q29)</f>
        <v>0.67740650217743448</v>
      </c>
      <c r="R34" s="680"/>
      <c r="S34" s="112">
        <f>SUMPRODUCT(F34:Q34,$F20:Q20)/SUM(F20:Q20)</f>
        <v>0.57983906667487928</v>
      </c>
      <c r="T34" s="568"/>
      <c r="U34" s="412">
        <f>IF(MONTH(Factores!$D$2)=1,SUMPRODUCT($F$20:$F$20,$F34:F34)/SUM($F$20:$F$20),IF(MONTH(Factores!$D$2)=2,SUMPRODUCT($F$20:$G$20,$F34:G34)/SUM($F$20:$G$20),IF(MONTH(Factores!$D$2)=3,SUMPRODUCT($F$20:$H$20,$F34:H34)/SUM($F$20:$H$20),IF(MONTH(Factores!$D$2)=4,SUMPRODUCT($F$20:$I$20,$F34:I34)/SUM($F$20:$I$20),IF(MONTH(Factores!$D$2)=5,SUMPRODUCT($F$20:$J$20,$F34:J34)/SUM($F$20:$J$20),IF(MONTH(Factores!$D$2)=6,SUMPRODUCT($F$20:$K$20,$F34:K34)/SUM($F$20:$K$20),IF(MONTH(Factores!$D$2)=7,SUMPRODUCT($F$20:$L$20,$F34:L34)/SUM($F$20:$L$20),IF(MONTH(Factores!$D$2)=8,SUMPRODUCT($F$20:$M$20,$F34:M34)/SUM($F$20:$M$20),IF(MONTH(Factores!$D$2)=9,SUMPRODUCT($F$20:$N$20,$F34:N34)/SUM($F$20:$N$20),IF(MONTH(Factores!$D$2)=10,SUMPRODUCT($F$20:$O$20,$F34:O34)/SUM($F$20:$O$20),IF(MONTH(Factores!$D$2)=11,SUMPRODUCT($F$20:$P$20,$F34:P34)/SUM($F$20:$P$20),IF(MONTH(Factores!$D$2)=12,SUMPRODUCT($F$20:$Q$20,$F34:Q34)/SUM($F$20:$Q$20)))))))))))))</f>
        <v>0.55759337929856378</v>
      </c>
      <c r="V34" s="412">
        <f>IF(MONTH(Factores!$D$2)=1,SUMPRODUCT($F$20:$F$20,$F34:F34)/SUM($F$20:$F$20),IF(MONTH(Factores!$D$2)=2,SUMPRODUCT($F$20:$F$20,$F34:F34)/SUM($F$20:$F$20),IF(MONTH(Factores!$D$2)=3,SUMPRODUCT($F$20:$G$20,$F34:G34)/SUM($F$20:$G$20),IF(MONTH(Factores!$D$2)=4,SUMPRODUCT($F$20:$H$20,$F34:H34)/SUM($F$20:$H$20),IF(MONTH(Factores!$D$2)=5,SUMPRODUCT($F$20:$I$20,$F34:I34)/SUM($F$20:$I$20),IF(MONTH(Factores!$D$2)=6,SUMPRODUCT($F$20:$J$20,$F34:J34)/SUM($F$20:$J$20),IF(MONTH(Factores!$D$2)=7,SUMPRODUCT($F$20:$K$20,$F34:K34)/SUM($F$20:$K$20),IF(MONTH(Factores!$D$2)=8,SUMPRODUCT($F$20:$L$20,$F34:L34)/SUM($F$20:$L$20),IF(MONTH(Factores!$D$2)=9,SUMPRODUCT($F$20:$M$20,$F34:M34)/SUM($F$20:$M$20),IF(MONTH(Factores!$D$2)=10,SUMPRODUCT($F$20:$N$20,$F34:N34)/SUM($F$20:$N$20),IF(MONTH(Factores!$D$2)=11,SUMPRODUCT($F$20:$O$20,$F34:O34)/SUM($F$20:$O$20),IF(MONTH(Factores!$D$2)=12,SUMPRODUCT($F$20:$P$20,$F34:P34)/SUM($F$20:$P$20)))))))))))))</f>
        <v>0.56419204499697817</v>
      </c>
    </row>
    <row r="35" spans="3:22" s="426" customFormat="1" ht="30" customHeight="1">
      <c r="C35" s="78" t="s">
        <v>224</v>
      </c>
      <c r="D35" s="87" t="s">
        <v>48</v>
      </c>
      <c r="E35" s="80"/>
      <c r="F35" s="1548">
        <v>88.143752399999997</v>
      </c>
      <c r="G35" s="1548">
        <v>88.113818600000002</v>
      </c>
      <c r="H35" s="1548">
        <v>88.257436100000007</v>
      </c>
      <c r="I35" s="1548">
        <v>88.802866300000005</v>
      </c>
      <c r="J35" s="1548">
        <v>88.762970899999999</v>
      </c>
      <c r="K35" s="1548">
        <v>89.461861200000001</v>
      </c>
      <c r="L35" s="1548">
        <v>88.549665500000003</v>
      </c>
      <c r="M35" s="1548">
        <v>88.674366063519528</v>
      </c>
      <c r="N35" s="1548">
        <f>IF(N5="ol",'0+12'!M34,'R+RP+B'!N30)</f>
        <v>91.004387126814208</v>
      </c>
      <c r="O35" s="1548">
        <f>IF(O5="ol",'0+12'!N34,'R+RP+B'!O30)</f>
        <v>91.229280189573089</v>
      </c>
      <c r="P35" s="1548">
        <f>IF(P5="ol",'0+12'!O34,'R+RP+B'!P30)</f>
        <v>91.38095284435218</v>
      </c>
      <c r="Q35" s="1548">
        <f>IF(Q5="ol",'0+12'!P34,'R+RP+B'!Q30)</f>
        <v>91.307937278112178</v>
      </c>
      <c r="R35" s="500"/>
      <c r="S35" s="106">
        <f>SUMPRODUCT(F20:Q20,$F34:Q34,$F35:Q35)/SUMPRODUCT(F20:Q20,$F34:Q34)</f>
        <v>89.621070509388659</v>
      </c>
      <c r="T35" s="525"/>
      <c r="U35" s="174">
        <f>IF(MONTH(Factores!$D$2)=1,SUMPRODUCT($F$20:$F$20,$F$34:$F$34,$F35:F35)/SUMPRODUCT($F$20:$F$20,$F$34:$F$34),IF(MONTH(Factores!$D$2)=2,SUMPRODUCT($F$20:$G$20,$F$34:$G$34,$F35:G35)/SUMPRODUCT($F$20:$G$20,$F$34:$G$34),IF(MONTH(Factores!$D$2)=3,SUMPRODUCT($F$20:$H$20,$F$34:$H$34,$F35:H35)/SUMPRODUCT($F$20:$H$20,$F$34:$H$34),IF(MONTH(Factores!$D$2)=4,SUMPRODUCT($F$20:$I$20,$F$34:$I$34,$F35:I35)/SUMPRODUCT($F$20:$I$20,$F$34:$I$34),IF(MONTH(Factores!$D$2)=5,SUMPRODUCT($F$20:$J$20,$F$34:$J$34,$F35:J35)/SUMPRODUCT($F$20:$J$20,$F$34:$J$34),IF(MONTH(Factores!$D$2)=6,SUMPRODUCT($F$20:$K$20,$F$34:$K$34,$F35:K35)/SUMPRODUCT($F$20:$K$20,$F$34:$K$34),IF(MONTH(Factores!$D$2)=7,SUMPRODUCT($F$20:$L$20,$F$34:$L$34,$F35:L35)/SUMPRODUCT($F$20:$L$20,$F$34:$L$34),IF(MONTH(Factores!$D$2)=8,SUMPRODUCT($F$20:$M$20,$F$34:$M$34,$F35:M35)/SUMPRODUCT($F$20:$M$20,$F$34:$M$34),IF(MONTH(Factores!$D$2)=9,SUMPRODUCT($F$20:$N$20,$F$34:$N$34,$F35:N35)/SUMPRODUCT($F$20:$N$20,$F$34:$N$34),IF(MONTH(Factores!$D$2)=10,SUMPRODUCT($F$20:$O$20,$F$34:$O$34,$F35:O35)/SUMPRODUCT($F$20:$O$20,$F$34:$O$34),IF(MONTH(Factores!$D$2)=11,SUMPRODUCT($F$20:$P$20,$F$34:$P$34,$F35:P35)/SUMPRODUCT($F$20:$P$20,$F$34:$P$34),IF(MONTH(Factores!$D$2)=12,SUMPRODUCT($F$20:$Q$20,$F$34:$Q$34,$F35:Q35)/SUMPRODUCT($F$20:$Q$20,$F$34:$Q$34)))))))))))))</f>
        <v>88.167191146141164</v>
      </c>
      <c r="V35" s="174">
        <f>IF(MONTH(Factores!$D$2)=1,SUMPRODUCT($F$20:$F$20,$F$34:$F$34,$F35:F35)/SUMPRODUCT($F$20:$F$20,$F$34:$F$34),IF(MONTH(Factores!$D$2)=2,SUMPRODUCT($F$20:$F$20,$F$34:$F$34,$F35:F35)/SUMPRODUCT($F$20:$F$20,$F$34:$F$34),IF(MONTH(Factores!$D$2)=3,SUMPRODUCT($F$20:$G$20,$F$34:$G$34,$F35:G35)/SUMPRODUCT($F$20:$G$20,$F$34:$G$34),IF(MONTH(Factores!$D$2)=4,SUMPRODUCT($F$20:$H$20,$F$34:$H$34,$F35:H35)/SUMPRODUCT($F$20:$H$20,$F$34:$H$34),IF(MONTH(Factores!$D$2)=5,SUMPRODUCT($F$20:$I$20,$F$34:$I$34,$F35:I35)/SUMPRODUCT($F$20:$I$20,$F$34:$I$34),IF(MONTH(Factores!$D$2)=6,SUMPRODUCT($F$20:$J$20,$F$34:$J$34,$F35:J35)/SUMPRODUCT($F$20:$J$20,$F$34:$J$34),IF(MONTH(Factores!$D$2)=7,SUMPRODUCT($F$20:$K$20,$F$34:$K$34,$F35:K35)/SUMPRODUCT($F$20:$K$20,$F$34:$K$34),IF(MONTH(Factores!$D$2)=8,SUMPRODUCT($F$20:$L$20,$F$34:$L$34,$F35:L35)/SUMPRODUCT($F$20:$L$20,$F$34:$L$34),IF(MONTH(Factores!$D$2)=9,SUMPRODUCT($F$20:$M$20,$F$34:$M$34,$F35:M35)/SUMPRODUCT($F$20:$M$20,$F$34:$M$34),IF(MONTH(Factores!$D$2)=10,SUMPRODUCT($F$20:$N$20,$F$34:$N$34,$F35:N35)/SUMPRODUCT($F$20:$N$20,$F$34:$N$34),IF(MONTH(Factores!$D$2)=11,SUMPRODUCT($F$20:$O$20,$F$34:$O$34,$F35:O35)/SUMPRODUCT($F$20:$O$20,$F$34:$O$34),IF(MONTH(Factores!$D$2)=12,SUMPRODUCT($F$20:$P$20,$F$34:$P$34,$F35:P35)/SUMPRODUCT($F$20:$P$20,$F$34:$P$34)))))))))))))</f>
        <v>88.128932778788169</v>
      </c>
    </row>
    <row r="36" spans="3:22" s="426" customFormat="1" ht="30" customHeight="1">
      <c r="C36" s="78" t="s">
        <v>225</v>
      </c>
      <c r="D36" s="88" t="s">
        <v>204</v>
      </c>
      <c r="E36" s="80"/>
      <c r="F36" s="2108">
        <v>95.593617600000002</v>
      </c>
      <c r="G36" s="2108">
        <v>86.705296500000003</v>
      </c>
      <c r="H36" s="2108">
        <v>78.222885099999999</v>
      </c>
      <c r="I36" s="2108">
        <v>98.035184999999998</v>
      </c>
      <c r="J36" s="2108">
        <v>102.70518869999999</v>
      </c>
      <c r="K36" s="2108">
        <v>96.000694999999993</v>
      </c>
      <c r="L36" s="2108">
        <v>93.937388900000002</v>
      </c>
      <c r="M36" s="2108">
        <v>99.665755130320221</v>
      </c>
      <c r="N36" s="2108">
        <f>IF(N5="ol",'0+12'!M35,'R+RP+B'!N31)</f>
        <v>114.19734120036456</v>
      </c>
      <c r="O36" s="2108">
        <f>IF(O5="ol",'0+12'!N35,'R+RP+B'!O31)</f>
        <v>134.42215041934293</v>
      </c>
      <c r="P36" s="2108">
        <f>IF(P5="ol",'0+12'!O35,'R+RP+B'!P31)</f>
        <v>128.30356700260924</v>
      </c>
      <c r="Q36" s="2108">
        <f>IF(Q5="ol",'0+12'!P35,'R+RP+B'!Q31)</f>
        <v>142.47260790759987</v>
      </c>
      <c r="R36" s="435"/>
      <c r="S36" s="635">
        <f>SUM(F36:Q36)</f>
        <v>1270.2616784602369</v>
      </c>
      <c r="T36" s="569"/>
      <c r="U36" s="229">
        <f>IF(MONTH(Factores!$D$2)=1,SUM($F36:F36),IF(MONTH(Factores!$D$2)=2,SUM($F36:G36),IF(MONTH(Factores!$D$2)=3,SUM($F36:H36),IF(MONTH(Factores!$D$2)=4,SUM($F36:I36),IF(MONTH(Factores!$D$2)=5,SUM($F36:J36),IF(MONTH(Factores!$D$2)=6,SUM($F36:K36),IF(MONTH(Factores!$D$2)=7,SUM($F36:L36),IF(MONTH(Factores!$D$2)=8,SUM($F36:M36),IF(MONTH(Factores!$D$2)=9,SUM($F36:N36),IF(MONTH(Factores!$D$2)=10,SUM($F36:O36),IF(MONTH(Factores!$D$2)=11,SUM($F36:P36),IF(MONTH(Factores!$D$2)=12,SUM($F36:Q36)))))))))))))</f>
        <v>260.52179919999998</v>
      </c>
      <c r="V36" s="229">
        <f>IF(MONTH(Factores!$D$2)=1,SUM($F36:F36),IF(MONTH(Factores!$D$2)=2,SUM($F36:F36),IF(MONTH(Factores!$D$2)=3,SUM($F36:G36),IF(MONTH(Factores!$D$2)=4,SUM($F36:H36),IF(MONTH(Factores!$D$2)=5,SUM($F36:I36),IF(MONTH(Factores!$D$2)=6,SUM($F36:J36),IF(MONTH(Factores!$D$2)=7,SUM($F36:K36),IF(MONTH(Factores!$D$2)=8,SUM($F36:L36),IF(MONTH(Factores!$D$2)=9,SUM($F36:M36),IF(MONTH(Factores!$D$2)=10,SUM($F36:N36),IF(MONTH(Factores!$D$2)=11,SUM($F36:O36),IF(MONTH(Factores!$D$2)=12,SUM($F36:P36)))))))))))))</f>
        <v>182.29891409999999</v>
      </c>
    </row>
    <row r="37" spans="3:22" s="426" customFormat="1" ht="30" customHeight="1">
      <c r="C37" s="78" t="s">
        <v>226</v>
      </c>
      <c r="D37" s="89" t="s">
        <v>48</v>
      </c>
      <c r="E37" s="80"/>
      <c r="F37" s="1543">
        <v>29.381644000000001</v>
      </c>
      <c r="G37" s="1543">
        <v>31.750336999999998</v>
      </c>
      <c r="H37" s="1543">
        <v>30.184128999999999</v>
      </c>
      <c r="I37" s="1543">
        <v>28.423266000000002</v>
      </c>
      <c r="J37" s="1543">
        <v>26.723994000000001</v>
      </c>
      <c r="K37" s="1543">
        <v>28.241482999999999</v>
      </c>
      <c r="L37" s="1543">
        <v>28.455434</v>
      </c>
      <c r="M37" s="1543">
        <v>27.383429000000003</v>
      </c>
      <c r="N37" s="1543">
        <f>IF(N5="ol",'0+12'!M36,'R+RP+B'!N32)</f>
        <v>27.846991893033046</v>
      </c>
      <c r="O37" s="1543">
        <f>IF(O5="ol",'0+12'!N36,'R+RP+B'!O32)</f>
        <v>26.476249438714053</v>
      </c>
      <c r="P37" s="1543">
        <f>IF(P5="ol",'0+12'!O36,'R+RP+B'!P32)</f>
        <v>26.835232840616197</v>
      </c>
      <c r="Q37" s="1543">
        <f>IF(Q5="ol",'0+12'!P36,'R+RP+B'!Q32)</f>
        <v>27.249384406241184</v>
      </c>
      <c r="R37" s="86"/>
      <c r="S37" s="105">
        <f>S15/S36*100</f>
        <v>28.05678491860602</v>
      </c>
      <c r="T37" s="433"/>
      <c r="U37" s="418">
        <f>U15/U36*100</f>
        <v>30.42724403117818</v>
      </c>
      <c r="V37" s="418">
        <f>V15/V36*100</f>
        <v>30.508245501995564</v>
      </c>
    </row>
    <row r="38" spans="3:22">
      <c r="F38" s="1549"/>
      <c r="G38" s="1549"/>
      <c r="H38" s="1549"/>
      <c r="I38" s="1549"/>
      <c r="J38" s="1549"/>
      <c r="K38" s="1549"/>
      <c r="L38" s="1549"/>
      <c r="M38" s="1549"/>
      <c r="N38" s="1549"/>
      <c r="O38" s="1549"/>
      <c r="P38" s="1549"/>
      <c r="Q38" s="1549"/>
      <c r="R38" s="427"/>
      <c r="S38" s="704"/>
      <c r="U38" s="73"/>
      <c r="V38" s="73"/>
    </row>
    <row r="39" spans="3:22" s="430" customFormat="1" ht="30" customHeight="1">
      <c r="C39" s="640" t="s">
        <v>227</v>
      </c>
      <c r="D39" s="641" t="s">
        <v>95</v>
      </c>
      <c r="E39" s="642"/>
      <c r="F39" s="1549">
        <v>163.60479079999999</v>
      </c>
      <c r="G39" s="1549">
        <v>157.56651600000001</v>
      </c>
      <c r="H39" s="1549">
        <v>150.4801865</v>
      </c>
      <c r="I39" s="1549">
        <v>139.1610416</v>
      </c>
      <c r="J39" s="1549">
        <v>122.8600569</v>
      </c>
      <c r="K39" s="1549">
        <v>175.25880340000001</v>
      </c>
      <c r="L39" s="1549">
        <v>140.93391990000001</v>
      </c>
      <c r="M39" s="1549">
        <v>159.00408611274599</v>
      </c>
      <c r="N39" s="1549">
        <f>IF(N5="ol",'0+12'!M38,'R+RP+B'!N34)</f>
        <v>150.57983657221325</v>
      </c>
      <c r="O39" s="1549">
        <f>IF(O5="ol",'0+12'!N38,'R+RP+B'!O34)</f>
        <v>206.67646552766698</v>
      </c>
      <c r="P39" s="1549">
        <f>IF(P5="ol",'0+12'!O38,'R+RP+B'!P34)</f>
        <v>163.84822863888047</v>
      </c>
      <c r="Q39" s="1549">
        <f>IF(Q5="ol",'0+12'!P38,'R+RP+B'!Q34)</f>
        <v>174.50350866208188</v>
      </c>
      <c r="R39" s="84"/>
      <c r="S39" s="110">
        <f>SUMPRODUCT(F39:Q39,$F20:Q20)/SUM(F20:Q20)</f>
        <v>158.94480864600075</v>
      </c>
      <c r="U39" s="643">
        <f>IF(MONTH(Factores!$D$2)=1,SUMPRODUCT($F$20:$F$20,$F39:F39)/SUM($F$20:$F$20),IF(MONTH(Factores!$D$2)=2,SUMPRODUCT($F$20:$G$20,$F39:G39)/SUM($F$20:$G$20),IF(MONTH(Factores!$D$2)=3,SUMPRODUCT($F$20:$H$20,$F39:H39)/SUM($F$20:$H$20),IF(MONTH(Factores!$D$2)=4,SUMPRODUCT($F$20:$I$20,$F39:I39)/SUM($F$20:$I$20),IF(MONTH(Factores!$D$2)=5,SUMPRODUCT($F$20:$J$20,$F39:J39)/SUM($F$20:$J$20),IF(MONTH(Factores!$D$2)=6,SUMPRODUCT($F$20:$K$20,$F39:K39)/SUM($F$20:$K$20),IF(MONTH(Factores!$D$2)=7,SUMPRODUCT($F$20:$L$20,$F39:L39)/SUM($F$20:$L$20),IF(MONTH(Factores!$D$2)=8,SUMPRODUCT($F$20:$M$20,$F39:M39)/SUM($F$20:$M$20),IF(MONTH(Factores!$D$2)=9,SUMPRODUCT($F$20:$N$20,$F39:N39)/SUM($F$20:$N$20),IF(MONTH(Factores!$D$2)=10,SUMPRODUCT($F$20:$O$20,$F39:O39)/SUM($F$20:$O$20),IF(MONTH(Factores!$D$2)=11,SUMPRODUCT($F$20:$P$20,$F39:P39)/SUM($F$20:$P$20),IF(MONTH(Factores!$D$2)=12,SUMPRODUCT($F$20:$Q$20,$F39:Q39)/SUM($F$20:$Q$20)))))))))))))</f>
        <v>157.5159570840033</v>
      </c>
      <c r="V39" s="643">
        <f>IF(MONTH(Factores!$D$2)=1,SUMPRODUCT($F$20:$F$20,$F39:F39)/SUM($F$20:$F$20),IF(MONTH(Factores!$D$2)=2,SUMPRODUCT($F$20:$F$20,$F39:F39)/SUM($F$20:$F$20),IF(MONTH(Factores!$D$2)=3,SUMPRODUCT($F$20:$G$20,$F39:G39)/SUM($F$20:$G$20),IF(MONTH(Factores!$D$2)=4,SUMPRODUCT($F$20:$H$20,$F39:H39)/SUM($F$20:$H$20),IF(MONTH(Factores!$D$2)=5,SUMPRODUCT($F$20:$I$20,$F39:I39)/SUM($F$20:$I$20),IF(MONTH(Factores!$D$2)=6,SUMPRODUCT($F$20:$J$20,$F39:J39)/SUM($F$20:$J$20),IF(MONTH(Factores!$D$2)=7,SUMPRODUCT($F$20:$K$20,$F39:K39)/SUM($F$20:$K$20),IF(MONTH(Factores!$D$2)=8,SUMPRODUCT($F$20:$L$20,$F39:L39)/SUM($F$20:$L$20),IF(MONTH(Factores!$D$2)=9,SUMPRODUCT($F$20:$M$20,$F39:M39)/SUM($F$20:$M$20),IF(MONTH(Factores!$D$2)=10,SUMPRODUCT($F$20:$N$20,$F39:N39)/SUM($F$20:$N$20),IF(MONTH(Factores!$D$2)=11,SUMPRODUCT($F$20:$O$20,$F39:O39)/SUM($F$20:$O$20),IF(MONTH(Factores!$D$2)=12,SUMPRODUCT($F$20:$P$20,$F39:P39)/SUM($F$20:$P$20)))))))))))))</f>
        <v>160.6172564885448</v>
      </c>
    </row>
    <row r="40" spans="3:22" s="426" customFormat="1" ht="30" customHeight="1">
      <c r="C40" s="78" t="s">
        <v>228</v>
      </c>
      <c r="D40" s="88" t="s">
        <v>48</v>
      </c>
      <c r="E40" s="80"/>
      <c r="F40" s="1548">
        <v>82.648521299999999</v>
      </c>
      <c r="G40" s="1548">
        <v>84.569880299999994</v>
      </c>
      <c r="H40" s="1548">
        <v>88.218498100000005</v>
      </c>
      <c r="I40" s="1548">
        <v>82.399124900000004</v>
      </c>
      <c r="J40" s="1548">
        <v>84.791934999999995</v>
      </c>
      <c r="K40" s="1548">
        <v>87.037524399999995</v>
      </c>
      <c r="L40" s="1548">
        <v>83.218086999999997</v>
      </c>
      <c r="M40" s="1548">
        <v>80.551992944796055</v>
      </c>
      <c r="N40" s="1548">
        <f>IF(N5="ol",'0+12'!M39,'R+RP+B'!N35)</f>
        <v>82.193491764038257</v>
      </c>
      <c r="O40" s="1548">
        <f>IF(O5="ol",'0+12'!N39,'R+RP+B'!O35)</f>
        <v>83.829762957654282</v>
      </c>
      <c r="P40" s="1548">
        <f>IF(P5="ol",'0+12'!O39,'R+RP+B'!P35)</f>
        <v>82.628277530617396</v>
      </c>
      <c r="Q40" s="1548">
        <f>IF(Q5="ol",'0+12'!P39,'R+RP+B'!Q35)</f>
        <v>82.953408301814221</v>
      </c>
      <c r="R40" s="500"/>
      <c r="S40" s="106">
        <f>SUMPRODUCT(F20:Q20,$F39:Q39,$F40:Q40)/SUMPRODUCT(F20:Q20,$F39:Q39)</f>
        <v>83.711757666193634</v>
      </c>
      <c r="T40" s="525"/>
      <c r="U40" s="174">
        <f>IF(MONTH(Factores!$D$2)=1,SUMPRODUCT($F$20:$F$20,$F$39:$F$39,$F40:F40)/SUMPRODUCT($F$20:$F$20,$F$39:$F$39),IF(MONTH(Factores!$D$2)=2,SUMPRODUCT($F$20:$G$20,$F$39:$G$39,$F40:G40)/SUMPRODUCT($F$20:$G$20,$F$39:$G$39),IF(MONTH(Factores!$D$2)=3,SUMPRODUCT($F$20:$H$20,$F$39:$H$39,$F40:H40)/SUMPRODUCT($F$20:$H$20,$F$39:$H$39),IF(MONTH(Factores!$D$2)=4,SUMPRODUCT($F$20:$I$20,$F$39:$I$39,$F40:I40)/SUMPRODUCT($F$20:$I$20,$F$39:$I$39),IF(MONTH(Factores!$D$2)=5,SUMPRODUCT($F$20:$J$20,$F$39:$J$39,$F40:J40)/SUMPRODUCT($F$20:$J$20,$F$39:$J$39),IF(MONTH(Factores!$D$2)=6,SUMPRODUCT($F$20:$K$20,$F$39:$K$39,$F40:K40)/SUMPRODUCT($F$20:$K$20,$F$39:$K$39),IF(MONTH(Factores!$D$2)=7,SUMPRODUCT($F$20:$L$20,$F$39:$L$39,$F40:L40)/SUMPRODUCT($F$20:$L$20,$F$39:$L$39),IF(MONTH(Factores!$D$2)=8,SUMPRODUCT($F$20:$M$20,$F$39:$M$39,$F40:M40)/SUMPRODUCT($F$20:$M$20,$F$39:$M$39),IF(MONTH(Factores!$D$2)=9,SUMPRODUCT($F$20:$N$20,$F$39:$N$39,$F40:N40)/SUMPRODUCT($F$20:$N$20,$F$39:$N$39),IF(MONTH(Factores!$D$2)=10,SUMPRODUCT($F$20:$O$20,$F$39:$O$39,$F40:O40)/SUMPRODUCT($F$20:$O$20,$F$39:$O$39),IF(MONTH(Factores!$D$2)=11,SUMPRODUCT($F$20:$P$20,$F$39:$P$39,$F40:P40)/SUMPRODUCT($F$20:$P$20,$F$39:$P$39),IF(MONTH(Factores!$D$2)=12,SUMPRODUCT($F$20:$Q$20,$F$39:$Q$39,$F40:Q40)/SUMPRODUCT($F$20:$Q$20,$F$39:$Q$39)))))))))))))</f>
        <v>84.936469957338716</v>
      </c>
      <c r="V40" s="174">
        <f>IF(MONTH(Factores!$D$2)=1,SUMPRODUCT($F$20:$F$20,$F$39:$F$39,$F40:F40)/SUMPRODUCT($F$20:$F$20,$F$39:$F$39),IF(MONTH(Factores!$D$2)=2,SUMPRODUCT($F$20:$F$20,$F$39:$F$39,$F40:F40)/SUMPRODUCT($F$20:$F$20,$F$39:$F$39),IF(MONTH(Factores!$D$2)=3,SUMPRODUCT($F$20:$G$20,$F$39:$G$39,$F40:G40)/SUMPRODUCT($F$20:$G$20,$F$39:$G$39),IF(MONTH(Factores!$D$2)=4,SUMPRODUCT($F$20:$H$20,$F$39:$H$39,$F40:H40)/SUMPRODUCT($F$20:$H$20,$F$39:$H$39),IF(MONTH(Factores!$D$2)=5,SUMPRODUCT($F$20:$I$20,$F$39:$I$39,$F40:I40)/SUMPRODUCT($F$20:$I$20,$F$39:$I$39),IF(MONTH(Factores!$D$2)=6,SUMPRODUCT($F$20:$J$20,$F$39:$J$39,$F40:J40)/SUMPRODUCT($F$20:$J$20,$F$39:$J$39),IF(MONTH(Factores!$D$2)=7,SUMPRODUCT($F$20:$K$20,$F$39:$K$39,$F40:K40)/SUMPRODUCT($F$20:$K$20,$F$39:$K$39),IF(MONTH(Factores!$D$2)=8,SUMPRODUCT($F$20:$L$20,$F$39:$L$39,$F40:L40)/SUMPRODUCT($F$20:$L$20,$F$39:$L$39),IF(MONTH(Factores!$D$2)=9,SUMPRODUCT($F$20:$M$20,$F$39:$M$39,$F40:M40)/SUMPRODUCT($F$20:$M$20,$F$39:$M$39),IF(MONTH(Factores!$D$2)=10,SUMPRODUCT($F$20:$N$20,$F$39:$N$39,$F40:N40)/SUMPRODUCT($F$20:$N$20,$F$39:$N$39),IF(MONTH(Factores!$D$2)=11,SUMPRODUCT($F$20:$O$20,$F$39:$O$39,$F40:O40)/SUMPRODUCT($F$20:$O$20,$F$39:$O$39),IF(MONTH(Factores!$D$2)=12,SUMPRODUCT($F$20:$P$20,$F$39:$P$39,$F40:P40)/SUMPRODUCT($F$20:$P$20,$F$39:$P$39)))))))))))))</f>
        <v>83.581088799476859</v>
      </c>
    </row>
    <row r="41" spans="3:22" s="426" customFormat="1" ht="30" customHeight="1">
      <c r="C41" s="78" t="s">
        <v>229</v>
      </c>
      <c r="D41" s="88" t="s">
        <v>48</v>
      </c>
      <c r="E41" s="80"/>
      <c r="F41" s="1548">
        <v>93.795104621487013</v>
      </c>
      <c r="G41" s="1548">
        <v>94.354164156256459</v>
      </c>
      <c r="H41" s="1548">
        <v>93.523567248509721</v>
      </c>
      <c r="I41" s="1548">
        <v>93.51907213249244</v>
      </c>
      <c r="J41" s="1548">
        <v>92.807322914460343</v>
      </c>
      <c r="K41" s="1548">
        <v>94.71068087007265</v>
      </c>
      <c r="L41" s="1548">
        <v>92.338933719967883</v>
      </c>
      <c r="M41" s="1548">
        <v>91.828719318466725</v>
      </c>
      <c r="N41" s="1548">
        <f>IF(N5="ol",'0+12'!M40,'R+RP+B'!N36)</f>
        <v>0</v>
      </c>
      <c r="O41" s="1548">
        <f>IF(O5="ol",'0+12'!N40,'R+RP+B'!O36)</f>
        <v>0</v>
      </c>
      <c r="P41" s="1548">
        <f>IF(P5="ol",'0+12'!O40,'R+RP+B'!P36)</f>
        <v>0</v>
      </c>
      <c r="Q41" s="1548">
        <f>IF(Q5="ol",'0+12'!P40,'R+RP+B'!Q36)</f>
        <v>0</v>
      </c>
      <c r="R41" s="500"/>
      <c r="S41" s="106">
        <f>SUMPRODUCT(F20:Q20,$F39:Q39,$F41:Q41)/SUMPRODUCT(F20:Q20,$F39:Q39)</f>
        <v>57.977871659556349</v>
      </c>
      <c r="T41" s="525"/>
      <c r="U41" s="174">
        <f>IF(MONTH(Factores!$D$2)=1,SUMPRODUCT($F$20:$F$20,$F$39:$F$39,$F41:F41)/SUMPRODUCT($F$20:$F$20,$F$39:$F$39),IF(MONTH(Factores!$D$2)=2,SUMPRODUCT($F$20:$G$20,$F$39:$G$39,$F41:G41)/SUMPRODUCT($F$20:$G$20,$F$39:$G$39),IF(MONTH(Factores!$D$2)=3,SUMPRODUCT($F$20:$H$20,$F$39:$H$39,$F41:H41)/SUMPRODUCT($F$20:$H$20,$F$39:$H$39),IF(MONTH(Factores!$D$2)=4,SUMPRODUCT($F$20:$I$20,$F$39:$I$39,$F41:I41)/SUMPRODUCT($F$20:$I$20,$F$39:$I$39),IF(MONTH(Factores!$D$2)=5,SUMPRODUCT($F$20:$J$20,$F$39:$J$39,$F41:J41)/SUMPRODUCT($F$20:$J$20,$F$39:$J$39),IF(MONTH(Factores!$D$2)=6,SUMPRODUCT($F$20:$K$20,$F$39:$K$39,$F41:K41)/SUMPRODUCT($F$20:$K$20,$F$39:$K$39),IF(MONTH(Factores!$D$2)=7,SUMPRODUCT($F$20:$L$20,$F$39:$L$39,$F41:L41)/SUMPRODUCT($F$20:$L$20,$F$39:$L$39),IF(MONTH(Factores!$D$2)=8,SUMPRODUCT($F$20:$M$20,$F$39:$M$39,$F41:M41)/SUMPRODUCT($F$20:$M$20,$F$39:$M$39),IF(MONTH(Factores!$D$2)=9,SUMPRODUCT($F$20:$N$20,$F$39:$N$39,$F41:N41)/SUMPRODUCT($F$20:$N$20,$F$39:$N$39),IF(MONTH(Factores!$D$2)=10,SUMPRODUCT($F$20:$O$20,$F$39:$O$39,$F41:O41)/SUMPRODUCT($F$20:$O$20,$F$39:$O$39),IF(MONTH(Factores!$D$2)=11,SUMPRODUCT($F$20:$P$20,$F$39:$P$39,$F41:P41)/SUMPRODUCT($F$20:$P$20,$F$39:$P$39),IF(MONTH(Factores!$D$2)=12,SUMPRODUCT($F$20:$Q$20,$F$39:$Q$39,$F41:Q41)/SUMPRODUCT($F$20:$Q$20,$F$39:$Q$39)))))))))))))</f>
        <v>93.907784275736162</v>
      </c>
      <c r="V41" s="174">
        <f>IF(MONTH(Factores!$D$2)=1,SUMPRODUCT($F$20:$F$20,$F$39:$F$39,$F41:F41)/SUMPRODUCT($F$20:$F$20,$F$39:$F$39),IF(MONTH(Factores!$D$2)=2,SUMPRODUCT($F$20:$F$20,$F$39:$F$39,$F41:F41)/SUMPRODUCT($F$20:$F$20,$F$39:$F$39),IF(MONTH(Factores!$D$2)=3,SUMPRODUCT($F$20:$G$20,$F$39:$G$39,$F41:G41)/SUMPRODUCT($F$20:$G$20,$F$39:$G$39),IF(MONTH(Factores!$D$2)=4,SUMPRODUCT($F$20:$H$20,$F$39:$H$39,$F41:H41)/SUMPRODUCT($F$20:$H$20,$F$39:$H$39),IF(MONTH(Factores!$D$2)=5,SUMPRODUCT($F$20:$I$20,$F$39:$I$39,$F41:I41)/SUMPRODUCT($F$20:$I$20,$F$39:$I$39),IF(MONTH(Factores!$D$2)=6,SUMPRODUCT($F$20:$J$20,$F$39:$J$39,$F41:J41)/SUMPRODUCT($F$20:$J$20,$F$39:$J$39),IF(MONTH(Factores!$D$2)=7,SUMPRODUCT($F$20:$K$20,$F$39:$K$39,$F41:K41)/SUMPRODUCT($F$20:$K$20,$F$39:$K$39),IF(MONTH(Factores!$D$2)=8,SUMPRODUCT($F$20:$L$20,$F$39:$L$39,$F41:L41)/SUMPRODUCT($F$20:$L$20,$F$39:$L$39),IF(MONTH(Factores!$D$2)=9,SUMPRODUCT($F$20:$M$20,$F$39:$M$39,$F41:M41)/SUMPRODUCT($F$20:$M$20,$F$39:$M$39),IF(MONTH(Factores!$D$2)=10,SUMPRODUCT($F$20:$N$20,$F$39:$N$39,$F41:N41)/SUMPRODUCT($F$20:$N$20,$F$39:$N$39),IF(MONTH(Factores!$D$2)=11,SUMPRODUCT($F$20:$O$20,$F$39:$O$39,$F41:O41)/SUMPRODUCT($F$20:$O$20,$F$39:$O$39),IF(MONTH(Factores!$D$2)=12,SUMPRODUCT($F$20:$P$20,$F$39:$P$39,$F41:P41)/SUMPRODUCT($F$20:$P$20,$F$39:$P$39)))))))))))))</f>
        <v>94.066454615110587</v>
      </c>
    </row>
    <row r="42" spans="3:22" s="426" customFormat="1" ht="30" customHeight="1">
      <c r="C42" s="78" t="s">
        <v>230</v>
      </c>
      <c r="D42" s="88" t="s">
        <v>48</v>
      </c>
      <c r="E42" s="80"/>
      <c r="F42" s="1548">
        <v>88.113520463210733</v>
      </c>
      <c r="G42" s="1548">
        <v>89.630274769699724</v>
      </c>
      <c r="H42" s="1548">
        <v>94.327233855610629</v>
      </c>
      <c r="I42" s="1548">
        <v>88.109366315371503</v>
      </c>
      <c r="J42" s="1548">
        <v>91.360561636277794</v>
      </c>
      <c r="K42" s="1548">
        <v>91.894895227907639</v>
      </c>
      <c r="L42" s="1548">
        <v>90.117938485099529</v>
      </c>
      <c r="M42" s="1548">
        <v>89.350843714403354</v>
      </c>
      <c r="N42" s="1548">
        <f>IF(N5="ol",'0+12'!M41,'R+RP+B'!N37)</f>
        <v>0</v>
      </c>
      <c r="O42" s="1548">
        <f>IF(O5="ol",'0+12'!N41,'R+RP+B'!O37)</f>
        <v>0</v>
      </c>
      <c r="P42" s="1548">
        <f>IF(P5="ol",'0+12'!O41,'R+RP+B'!P37)</f>
        <v>0</v>
      </c>
      <c r="Q42" s="1548">
        <f>IF(Q5="ol",'0+12'!P41,'R+RP+B'!Q37)</f>
        <v>0</v>
      </c>
      <c r="R42" s="500"/>
      <c r="S42" s="106">
        <f>SUMPRODUCT(F20:Q20,$F39:Q39,$F41:Q41,$F42:Q42)/SUMPRODUCT(F20:Q20,$F39:Q39,$F41:Q41)</f>
        <v>90.287914407356936</v>
      </c>
      <c r="T42" s="525"/>
      <c r="U42" s="174">
        <f>IF(MONTH(Factores!$D$2)=1,SUMPRODUCT($F$20:$F$20,$F$39:$F$39,$F$41:$F$41,$F42:F42)/SUMPRODUCT($F$20:$F$20,$F$39:$F$39,$F$41:$F$41),IF(MONTH(Factores!$D$2)=2,SUMPRODUCT($F$20:$G$20,$F$39:$G$39,$F$41:$G$41,$F42:G42)/SUMPRODUCT($F$20:$G$20,$F$39:$G$39,$F$41:$G$41),IF(MONTH(Factores!$D$2)=3,SUMPRODUCT($F$20:$H$20,$F$39:$H$39,$F$41:$H$41,$F42:H42)/SUMPRODUCT($F$20:$H$20,$F$39:$H$39,$F$41:$H$41),IF(MONTH(Factores!$D$2)=4,SUMPRODUCT($F$20:$I$20,$F$39:$I$39,$F$41:$I$41,$F42:I42)/SUMPRODUCT($F$20:$I$20,$F$39:$I$39,$F$41:$I$41),IF(MONTH(Factores!$D$2)=5,SUMPRODUCT($F$20:$J$20,$F$39:$J$39,$F$41:$J$41,$F42:J42)/SUMPRODUCT($F$20:$J$20,$F$39:$J$39,$F$41:$J$41),IF(MONTH(Factores!$D$2)=6,SUMPRODUCT($F$20:$K$20,$F$39:$K$39,$F$41:$K$41,$F42:K42)/SUMPRODUCT($F$20:$K$20,$F$39:$K$39,$F$41:$K$41),IF(MONTH(Factores!$D$2)=7,SUMPRODUCT($F$20:$L$20,$F$39:$L$39,$F$41:$L$41,$F42:L42)/SUMPRODUCT($F$20:$L$20,$F$39:$L$39,$F$41:$L$41),IF(MONTH(Factores!$D$2)=8,SUMPRODUCT($F$20:$M$20,$F$39:$M$39,$F$41:$M$41,$F42:M42)/SUMPRODUCT($F$20:$M$20,$F$39:$M$39,$F$41:$M$41),IF(MONTH(Factores!$D$2)=9,SUMPRODUCT($F$20:$N$20,$F$39:$N$39,$F$41:$N$41,$F42:N42)/SUMPRODUCT($F$20:$N$20,$F$39:$N$39,$F$41:$N$41),IF(MONTH(Factores!$D$2)=10,SUMPRODUCT($F$20:$O$20,$F$39:$O$39,$F$41:$O$41,$F42:O42)/SUMPRODUCT($F$20:$O$20,$F$39:$O$39,$F$41:$O$41),IF(MONTH(Factores!$D$2)=11,SUMPRODUCT($F$20:$P$20,$F$39:$P$39,$F$41:$P$41,$F42:P42)/SUMPRODUCT($F$20:$P$20,$F$39:$P$39,$F$41:$P$41),IF(MONTH(Factores!$D$2)=12,SUMPRODUCT($F$20:$Q$20,$F$39:$Q$39,$F$41:$Q$41,$F42:Q42)/SUMPRODUCT($F$20:$Q$20,$F$39:$Q$39,$F$41:$Q$41)))))))))))))</f>
        <v>90.445675472042851</v>
      </c>
      <c r="V42" s="174">
        <f>IF(MONTH(Factores!$D$2)=1,SUMPRODUCT($F$20:$F$20,$F$39:$F$39,$F$41:$F$41,$F42:F42)/SUMPRODUCT($F$20:$F$20,$F$39:$F$39,$F$41:$F$41),IF(MONTH(Factores!$D$2)=2,SUMPRODUCT($F$20:$F$20,$F$39:$F$39,$F$41:$F$41,$F42:F42)/SUMPRODUCT($F$20:$F$20,$F$39:$F$39,$F$41:$F$41),IF(MONTH(Factores!$D$2)=3,SUMPRODUCT($F$20:$G$20,$F$39:$G$39,$F$41:$G$41,$F42:G42)/SUMPRODUCT($F$20:$G$20,$F$39:$G$39,$F$41:$G$41),IF(MONTH(Factores!$D$2)=4,SUMPRODUCT($F$20:$H$20,$F$39:$H$39,$F$41:$H$41,$F42:H42)/SUMPRODUCT($F$20:$H$20,$F$39:$H$39,$F$41:$H$41),IF(MONTH(Factores!$D$2)=5,SUMPRODUCT($F$20:$I$20,$F$39:$I$39,$F$41:$I$41,$F42:I42)/SUMPRODUCT($F$20:$I$20,$F$39:$I$39,$F$41:$I$41),IF(MONTH(Factores!$D$2)=6,SUMPRODUCT($F$20:$J$20,$F$39:$J$39,$F$41:$J$41,$F42:J42)/SUMPRODUCT($F$20:$J$20,$F$39:$J$39,$F$41:$J$41),IF(MONTH(Factores!$D$2)=7,SUMPRODUCT($F$20:$K$20,$F$39:$K$39,$F$41:$K$41,$F42:K42)/SUMPRODUCT($F$20:$K$20,$F$39:$K$39,$F$41:$K$41),IF(MONTH(Factores!$D$2)=8,SUMPRODUCT($F$20:$L$20,$F$39:$L$39,$F$41:$L$41,$F42:L42)/SUMPRODUCT($F$20:$L$20,$F$39:$L$39,$F$41:$L$41),IF(MONTH(Factores!$D$2)=9,SUMPRODUCT($F$20:$M$20,$F$39:$M$39,$F$41:$M$41,$F42:M42)/SUMPRODUCT($F$20:$M$20,$F$39:$M$39,$F$41:$M$41),IF(MONTH(Factores!$D$2)=10,SUMPRODUCT($F$20:$N$20,$F$39:$N$39,$F$41:$N$41,$F42:N42)/SUMPRODUCT($F$20:$N$20,$F$39:$N$39,$F$41:$N$41),IF(MONTH(Factores!$D$2)=11,SUMPRODUCT($F$20:$O$20,$F$39:$O$39,$F$41:$O$41,$F42:O42)/SUMPRODUCT($F$20:$O$20,$F$39:$O$39,$F$41:$O$41),IF(MONTH(Factores!$D$2)=12,SUMPRODUCT($F$20:$P$20,$F$39:$P$39,$F$41:$P$41,$F42:P42)/SUMPRODUCT($F$20:$P$20,$F$39:$P$39,$F$41:$P$41)))))))))))))</f>
        <v>88.851957191944805</v>
      </c>
    </row>
    <row r="43" spans="3:22" s="426" customFormat="1" ht="30" customHeight="1">
      <c r="C43" s="78" t="s">
        <v>231</v>
      </c>
      <c r="D43" s="88" t="s">
        <v>204</v>
      </c>
      <c r="E43" s="80"/>
      <c r="F43" s="1546">
        <v>1.5339178</v>
      </c>
      <c r="G43" s="1546">
        <v>1.2323207</v>
      </c>
      <c r="H43" s="1546">
        <v>1.3693025999999999</v>
      </c>
      <c r="I43" s="1546">
        <v>1.0946404000000001</v>
      </c>
      <c r="J43" s="1546">
        <v>1.1296592999999999</v>
      </c>
      <c r="K43" s="1546">
        <v>1.4828132000000001</v>
      </c>
      <c r="L43" s="1546">
        <v>1.4140889000000001</v>
      </c>
      <c r="M43" s="1546">
        <v>1.26736132778</v>
      </c>
      <c r="N43" s="1546">
        <f>IF(N5="ol",'0+12'!M42,'R+RP+B'!N38)</f>
        <v>1.2737340323687549</v>
      </c>
      <c r="O43" s="1546">
        <f>IF(O5="ol",'0+12'!N42,'R+RP+B'!O38)</f>
        <v>1.9321291112560715</v>
      </c>
      <c r="P43" s="1546">
        <f>IF(P5="ol",'0+12'!O42,'R+RP+B'!P38)</f>
        <v>1.4644116165294079</v>
      </c>
      <c r="Q43" s="1546">
        <f>IF(Q5="ol",'0+12'!P42,'R+RP+B'!Q38)</f>
        <v>1.6825764846078841</v>
      </c>
      <c r="R43" s="429"/>
      <c r="S43" s="112">
        <f>SUM(F43:Q43)</f>
        <v>16.876955472542118</v>
      </c>
      <c r="T43" s="568"/>
      <c r="U43" s="294">
        <f>IF(MONTH(Factores!$D$2)=1,SUM($F43:F43),IF(MONTH(Factores!$D$2)=2,SUM($F43:G43),IF(MONTH(Factores!$D$2)=3,SUM($F43:H43),IF(MONTH(Factores!$D$2)=4,SUM($F43:I43),IF(MONTH(Factores!$D$2)=5,SUM($F43:J43),IF(MONTH(Factores!$D$2)=6,SUM($F43:K43),IF(MONTH(Factores!$D$2)=7,SUM($F43:L43),IF(MONTH(Factores!$D$2)=8,SUM($F43:M43),IF(MONTH(Factores!$D$2)=9,SUM($F43:N43),IF(MONTH(Factores!$D$2)=10,SUM($F43:O43),IF(MONTH(Factores!$D$2)=11,SUM($F43:P43),IF(MONTH(Factores!$D$2)=12,SUM($F43:Q43)))))))))))))</f>
        <v>4.1355411000000002</v>
      </c>
      <c r="V43" s="294">
        <f>IF(MONTH(Factores!$D$2)=1,SUM($F43:F43),IF(MONTH(Factores!$D$2)=2,SUM($F43:F43),IF(MONTH(Factores!$D$2)=3,SUM($F43:G43),IF(MONTH(Factores!$D$2)=4,SUM($F43:H43),IF(MONTH(Factores!$D$2)=5,SUM($F43:I43),IF(MONTH(Factores!$D$2)=6,SUM($F43:J43),IF(MONTH(Factores!$D$2)=7,SUM($F43:K43),IF(MONTH(Factores!$D$2)=8,SUM($F43:L43),IF(MONTH(Factores!$D$2)=9,SUM($F43:M43),IF(MONTH(Factores!$D$2)=10,SUM($F43:N43),IF(MONTH(Factores!$D$2)=11,SUM($F43:O43),IF(MONTH(Factores!$D$2)=12,SUM($F43:P43)))))))))))))</f>
        <v>2.7662385</v>
      </c>
    </row>
    <row r="44" spans="3:22" s="426" customFormat="1" ht="30" customHeight="1">
      <c r="C44" s="78" t="s">
        <v>232</v>
      </c>
      <c r="D44" s="88" t="s">
        <v>48</v>
      </c>
      <c r="E44" s="80"/>
      <c r="F44" s="1543">
        <v>52.524825999999997</v>
      </c>
      <c r="G44" s="1543">
        <v>54.490958999999997</v>
      </c>
      <c r="H44" s="1543">
        <v>53.203477999999997</v>
      </c>
      <c r="I44" s="1543">
        <v>54.667034999999998</v>
      </c>
      <c r="J44" s="1543">
        <v>53.661555999999997</v>
      </c>
      <c r="K44" s="1543">
        <v>54.729613999999998</v>
      </c>
      <c r="L44" s="1543">
        <v>54.028101999999997</v>
      </c>
      <c r="M44" s="1543">
        <v>53.269443359169536</v>
      </c>
      <c r="N44" s="1543">
        <f>IF(N5="ol",'0+12'!M43,'R+RP+B'!N39)</f>
        <v>54</v>
      </c>
      <c r="O44" s="1543">
        <f>IF(O5="ol",'0+12'!N43,'R+RP+B'!O39)</f>
        <v>54</v>
      </c>
      <c r="P44" s="1543">
        <f>IF(P5="ol",'0+12'!O43,'R+RP+B'!P39)</f>
        <v>54</v>
      </c>
      <c r="Q44" s="1543">
        <f>IF(Q5="ol",'0+12'!P43,'R+RP+B'!Q39)</f>
        <v>54</v>
      </c>
      <c r="R44" s="86"/>
      <c r="S44" s="208">
        <f>S17/S43*100</f>
        <v>54.051646774735509</v>
      </c>
      <c r="T44" s="433"/>
      <c r="U44" s="224">
        <f>U17/U43*100</f>
        <v>52.135446072582859</v>
      </c>
      <c r="V44" s="224">
        <f>V17/V43*100</f>
        <v>54.282083775495138</v>
      </c>
    </row>
    <row r="45" spans="3:22">
      <c r="F45" s="1549"/>
      <c r="G45" s="1549"/>
      <c r="H45" s="1549"/>
      <c r="I45" s="1549"/>
      <c r="J45" s="1549"/>
      <c r="K45" s="1549"/>
      <c r="L45" s="1549"/>
      <c r="M45" s="1549"/>
      <c r="N45" s="1549"/>
      <c r="O45" s="1549"/>
      <c r="P45" s="1549"/>
      <c r="Q45" s="1549"/>
      <c r="R45" s="427"/>
      <c r="S45" s="704"/>
      <c r="U45" s="211"/>
      <c r="V45" s="211"/>
    </row>
    <row r="46" spans="3:22" ht="30" customHeight="1">
      <c r="C46" s="90" t="s">
        <v>233</v>
      </c>
      <c r="D46" s="91" t="s">
        <v>234</v>
      </c>
      <c r="F46" s="1546">
        <v>3.57366E-2</v>
      </c>
      <c r="G46" s="1546">
        <v>3.47113E-2</v>
      </c>
      <c r="H46" s="1546">
        <v>3.10461E-2</v>
      </c>
      <c r="I46" s="1546">
        <v>2.9539900000000001E-2</v>
      </c>
      <c r="J46" s="1546">
        <v>2.62662E-2</v>
      </c>
      <c r="K46" s="1546">
        <v>3.0391399999999999E-2</v>
      </c>
      <c r="L46" s="1546">
        <v>3.1429899999999997E-2</v>
      </c>
      <c r="M46" s="1546">
        <v>3.3799196283156974E-2</v>
      </c>
      <c r="N46" s="1546">
        <f>IF(N5="ol",'0+12'!M45,'R+RP+B'!N41)</f>
        <v>5.3613748846202791E-2</v>
      </c>
      <c r="O46" s="1546">
        <f>IF(O5="ol",'0+12'!N45,'R+RP+B'!O41)</f>
        <v>4.7223647555827482E-2</v>
      </c>
      <c r="P46" s="1546">
        <f>IF(P5="ol",'0+12'!O45,'R+RP+B'!P41)</f>
        <v>4.5649625049754422E-2</v>
      </c>
      <c r="Q46" s="1546">
        <f>IF(Q5="ol",'0+12'!P45,'R+RP+B'!Q41)</f>
        <v>5.3004613843578713E-2</v>
      </c>
      <c r="R46" s="685"/>
      <c r="S46" s="112">
        <f>SUMPRODUCT(F20:Q20,$F46:Q46)/SUM(F20:Q20)</f>
        <v>3.7873945257938565E-2</v>
      </c>
      <c r="T46" s="568"/>
      <c r="U46" s="294">
        <f>IF(MONTH(Factores!$D$2)=1,SUMPRODUCT($F$20:$F$20,$F46:F46)/SUM($F$20:$F$20),IF(MONTH(Factores!$D$2)=2,SUMPRODUCT($F$20:$G$20,$F46:G46)/SUM($F$20:$G$20),IF(MONTH(Factores!$D$2)=3,SUMPRODUCT($F$20:$H$20,$F46:H46)/SUM($F$20:$H$20),IF(MONTH(Factores!$D$2)=4,SUMPRODUCT($F$20:$I$20,$F46:I46)/SUM($F$20:$I$20),IF(MONTH(Factores!$D$2)=5,SUMPRODUCT($F$20:$J$20,$F46:J46)/SUM($F$20:$J$20),IF(MONTH(Factores!$D$2)=6,SUMPRODUCT($F$20:$K$20,$F46:K46)/SUM($F$20:$K$20),IF(MONTH(Factores!$D$2)=7,SUMPRODUCT($F$20:$L$20,$F46:L46)/SUM($F$20:$L$20),IF(MONTH(Factores!$D$2)=8,SUMPRODUCT($F$20:$M$20,$F46:M46)/SUM($F$20:$M$20),IF(MONTH(Factores!$D$2)=9,SUMPRODUCT($F$20:$N$20,$F46:N46)/SUM($F$20:$N$20),IF(MONTH(Factores!$D$2)=10,SUMPRODUCT($F$20:$O$20,$F46:O46)/SUM($F$20:$O$20),IF(MONTH(Factores!$D$2)=11,SUMPRODUCT($F$20:$P$20,$F46:P46)/SUM($F$20:$P$20),IF(MONTH(Factores!$D$2)=12,SUMPRODUCT($F$20:$Q$20,$F46:Q46)/SUM($F$20:$Q$20)))))))))))))</f>
        <v>3.3949517810622228E-2</v>
      </c>
      <c r="V46" s="294">
        <f>IF(MONTH(Factores!$D$2)=1,SUMPRODUCT($F$20:$F$20,$F46:F46)/SUM($F$20:$F$20),IF(MONTH(Factores!$D$2)=2,SUMPRODUCT($F$20:$F$20,$F46:F46)/SUM($F$20:$F$20),IF(MONTH(Factores!$D$2)=3,SUMPRODUCT($F$20:$G$20,$F46:G46)/SUM($F$20:$G$20),IF(MONTH(Factores!$D$2)=4,SUMPRODUCT($F$20:$H$20,$F46:H46)/SUM($F$20:$H$20),IF(MONTH(Factores!$D$2)=5,SUMPRODUCT($F$20:$I$20,$F46:I46)/SUM($F$20:$I$20),IF(MONTH(Factores!$D$2)=6,SUMPRODUCT($F$20:$J$20,$F46:J46)/SUM($F$20:$J$20),IF(MONTH(Factores!$D$2)=7,SUMPRODUCT($F$20:$K$20,$F46:K46)/SUM($F$20:$K$20),IF(MONTH(Factores!$D$2)=8,SUMPRODUCT($F$20:$L$20,$F46:L46)/SUM($F$20:$L$20),IF(MONTH(Factores!$D$2)=9,SUMPRODUCT($F$20:$M$20,$F46:M46)/SUM($F$20:$M$20),IF(MONTH(Factores!$D$2)=10,SUMPRODUCT($F$20:$N$20,$F46:N46)/SUM($F$20:$N$20),IF(MONTH(Factores!$D$2)=11,SUMPRODUCT($F$20:$O$20,$F46:O46)/SUM($F$20:$O$20),IF(MONTH(Factores!$D$2)=12,SUMPRODUCT($F$20:$P$20,$F46:P46)/SUM($F$20:$P$20)))))))))))))</f>
        <v>3.5229316209349229E-2</v>
      </c>
    </row>
    <row r="47" spans="3:22" ht="30" customHeight="1">
      <c r="C47" s="90" t="s">
        <v>235</v>
      </c>
      <c r="D47" s="91" t="s">
        <v>234</v>
      </c>
      <c r="F47" s="1548">
        <v>1.4940671000000001</v>
      </c>
      <c r="G47" s="1548">
        <v>1.5201237999999999</v>
      </c>
      <c r="H47" s="1548">
        <v>1.4424599</v>
      </c>
      <c r="I47" s="1548">
        <v>1.2895008999999999</v>
      </c>
      <c r="J47" s="1548">
        <v>1.0351140000000001</v>
      </c>
      <c r="K47" s="1548">
        <v>1.3026431000000001</v>
      </c>
      <c r="L47" s="1548">
        <v>1.270213</v>
      </c>
      <c r="M47" s="1548">
        <v>1.3313079767113514</v>
      </c>
      <c r="N47" s="1548">
        <f>IF(N5="ol",'0+12'!M46,'R+RP+B'!N42)</f>
        <v>1.8263604059714986</v>
      </c>
      <c r="O47" s="1548">
        <f>IF(O5="ol",'0+12'!N46,'R+RP+B'!O42)</f>
        <v>1.4809055819458259</v>
      </c>
      <c r="P47" s="1548">
        <f>IF(P5="ol",'0+12'!O46,'R+RP+B'!P42)</f>
        <v>1.4547320236223258</v>
      </c>
      <c r="Q47" s="1548">
        <f>IF(Q5="ol",'0+12'!P46,'R+RP+B'!Q42)</f>
        <v>1.634596322975721</v>
      </c>
      <c r="R47" s="686"/>
      <c r="S47" s="531">
        <f>SUMPRODUCT(F47:Q47,$F36:Q36)/SUM(F36:Q36)</f>
        <v>1.4362496972704366</v>
      </c>
      <c r="T47" s="525"/>
      <c r="U47" s="174">
        <f>IF(MONTH(Factores!$D$2)=1,SUMPRODUCT($F$36:$F$36,$F47:F47)/SUM($F$36:$F$36),IF(MONTH(Factores!$D$2)=2,SUMPRODUCT($F$36:$G$36,$F47:G47)/SUM($F$36:$G$36),IF(MONTH(Factores!$D$2)=3,SUMPRODUCT($F$36:$H$36,$F47:H47)/SUM($F$36:$H$36),IF(MONTH(Factores!$D$2)=4,SUMPRODUCT($F$36:$I$36,$F47:I47)/SUM($F$36:$I$36),IF(MONTH(Factores!$D$2)=5,SUMPRODUCT($F$36:$J$36,$F47:J47)/SUM($F$36:$J$36),IF(MONTH(Factores!$D$2)=6,SUMPRODUCT($F$36:$K$36,$F47:K47)/SUM($F$36:$K$36),IF(MONTH(Factores!$D$2)=7,SUMPRODUCT($F$36:$L$36,$F47:L47)/SUM($F$36:$L$36),IF(MONTH(Factores!$D$2)=8,SUMPRODUCT($F$36:$M$36,$F47:M47)/SUM($F$36:$M$36),IF(MONTH(Factores!$D$2)=9,SUMPRODUCT($F$36:$N$36,$F47:N47)/SUM($F$36:$N$36),IF(MONTH(Factores!$D$2)=10,SUMPRODUCT($F$36:$O$36,$F47:O47)/SUM($F$36:$O$36),IF(MONTH(Factores!$D$2)=11,SUMPRODUCT($F$36:$P$36,$F47:P47)/SUM($F$36:$P$36),IF(MONTH(Factores!$D$2)=12,SUMPRODUCT($F$36:$Q$36,$F47:Q47)/SUM($F$36:$Q$36)))))))))))))</f>
        <v>1.4872438315361718</v>
      </c>
      <c r="V47" s="174">
        <f>IF(MONTH(Factores!$D$2)=1,SUMPRODUCT($F$36:$F$36,$F47:F47)/SUM($F$36:$F$36),IF(MONTH(Factores!$D$2)=2,SUMPRODUCT($F$36:$F$36,$F47:F47)/SUM($F$36:$F$36),IF(MONTH(Factores!$D$2)=3,SUMPRODUCT($F$36:$G$36,$F47:G47)/SUM($F$36:$G$36),IF(MONTH(Factores!$D$2)=4,SUMPRODUCT($F$36:$H$36,$F47:H47)/SUM($F$36:$H$36),IF(MONTH(Factores!$D$2)=5,SUMPRODUCT($F$36:$I$36,$F47:I47)/SUM($F$36:$I$36),IF(MONTH(Factores!$D$2)=6,SUMPRODUCT($F$36:$J$36,$F47:J47)/SUM($F$36:$J$36),IF(MONTH(Factores!$D$2)=7,SUMPRODUCT($F$36:$K$36,$F47:K47)/SUM($F$36:$K$36),IF(MONTH(Factores!$D$2)=8,SUMPRODUCT($F$36:$L$36,$F47:L47)/SUM($F$36:$L$36),IF(MONTH(Factores!$D$2)=9,SUMPRODUCT($F$36:$M$36,$F47:M47)/SUM($F$36:$M$36),IF(MONTH(Factores!$D$2)=10,SUMPRODUCT($F$36:$N$36,$F47:N47)/SUM($F$36:$N$36),IF(MONTH(Factores!$D$2)=11,SUMPRODUCT($F$36:$O$36,$F47:O47)/SUM($F$36:$O$36),IF(MONTH(Factores!$D$2)=12,SUMPRODUCT($F$36:$P$36,$F47:P47)/SUM($F$36:$P$36)))))))))))))</f>
        <v>1.5064602286725726</v>
      </c>
    </row>
    <row r="48" spans="3:22" ht="30" customHeight="1">
      <c r="C48" s="90" t="s">
        <v>1036</v>
      </c>
      <c r="D48" s="91" t="s">
        <v>241</v>
      </c>
      <c r="F48" s="2108">
        <v>4.5710876677471868</v>
      </c>
      <c r="G48" s="2108">
        <v>0.11239100631259923</v>
      </c>
      <c r="H48" s="2108">
        <v>4.3785040807597717</v>
      </c>
      <c r="I48" s="2108">
        <v>4.8229410568697082</v>
      </c>
      <c r="J48" s="2108">
        <v>2.3739892862174421</v>
      </c>
      <c r="K48" s="2108">
        <v>4.1442814687056986</v>
      </c>
      <c r="L48" s="2108">
        <v>4.7633813978998463</v>
      </c>
      <c r="M48" s="2108">
        <v>4.6234502292481974</v>
      </c>
      <c r="N48" s="1547">
        <f>IF(N5="ol",'0+12'!M49,'R+RP+B'!N43)</f>
        <v>5593.2793053202449</v>
      </c>
      <c r="O48" s="1547">
        <f>IF(O5="ol",'0+12'!N49,'R+RP+B'!O43)</f>
        <v>5045.9545470265057</v>
      </c>
      <c r="P48" s="1547">
        <f>IF(P5="ol",'0+12'!O49,'R+RP+B'!P43)</f>
        <v>6286.0709405358812</v>
      </c>
      <c r="Q48" s="1547">
        <f>IF(Q5="ol",'0+12'!P49,'R+RP+B'!Q43)</f>
        <v>7758.00037798214</v>
      </c>
      <c r="R48" s="684"/>
      <c r="S48" s="425">
        <f>SUM(F48:Q48)</f>
        <v>24713.09519705853</v>
      </c>
      <c r="T48" s="600"/>
      <c r="U48" s="225">
        <f>IF(MONTH(Factores!$D$2)=1,SUM($F48:F48),IF(MONTH(Factores!$D$2)=2,SUM($F48:G48),IF(MONTH(Factores!$D$2)=3,SUM($F48:H48),IF(MONTH(Factores!$D$2)=4,SUM($F48:I48),IF(MONTH(Factores!$D$2)=5,SUM($F48:J48),IF(MONTH(Factores!$D$2)=6,SUM($F48:K48),IF(MONTH(Factores!$D$2)=7,SUM($F48:L48),IF(MONTH(Factores!$D$2)=8,SUM($F48:M48),IF(MONTH(Factores!$D$2)=9,SUM($F48:N48),IF(MONTH(Factores!$D$2)=10,SUM($F48:O48),IF(MONTH(Factores!$D$2)=11,SUM($F48:P48),IF(MONTH(Factores!$D$2)=12,SUM($F48:Q48)))))))))))))</f>
        <v>9.0619827548195566</v>
      </c>
      <c r="V48" s="225">
        <f>IF(MONTH(Factores!$D$2)=1,SUM($F48:F48),IF(MONTH(Factores!$D$2)=2,SUM($F48:F48),IF(MONTH(Factores!$D$2)=3,SUM($F48:G48),IF(MONTH(Factores!$D$2)=4,SUM($F48:H48),IF(MONTH(Factores!$D$2)=5,SUM($F48:I48),IF(MONTH(Factores!$D$2)=6,SUM($F48:J48),IF(MONTH(Factores!$D$2)=7,SUM($F48:K48),IF(MONTH(Factores!$D$2)=8,SUM($F48:L48),IF(MONTH(Factores!$D$2)=9,SUM($F48:M48),IF(MONTH(Factores!$D$2)=10,SUM($F48:N48),IF(MONTH(Factores!$D$2)=11,SUM($F48:O48),IF(MONTH(Factores!$D$2)=12,SUM($F48:P48)))))))))))))</f>
        <v>4.6834786740597858</v>
      </c>
    </row>
    <row r="49" spans="3:22">
      <c r="F49" s="1549"/>
      <c r="G49" s="1549"/>
      <c r="H49" s="1549"/>
      <c r="I49" s="1549"/>
      <c r="J49" s="1549"/>
      <c r="K49" s="1549"/>
      <c r="L49" s="1549"/>
      <c r="M49" s="1549"/>
      <c r="N49" s="1549"/>
      <c r="O49" s="1549"/>
      <c r="P49" s="1549"/>
      <c r="Q49" s="1549"/>
      <c r="R49" s="688"/>
      <c r="S49" s="705"/>
      <c r="U49" s="211"/>
      <c r="V49" s="211"/>
    </row>
    <row r="50" spans="3:22" ht="30" customHeight="1">
      <c r="C50" s="90" t="s">
        <v>238</v>
      </c>
      <c r="D50" s="91" t="s">
        <v>234</v>
      </c>
      <c r="F50" s="1548">
        <v>1.2298646</v>
      </c>
      <c r="G50" s="1548">
        <v>1.1752916</v>
      </c>
      <c r="H50" s="1548">
        <v>1.2549189999999999</v>
      </c>
      <c r="I50" s="1548">
        <v>1.1140806999999999</v>
      </c>
      <c r="J50" s="1548">
        <v>0.95492969999999999</v>
      </c>
      <c r="K50" s="1548">
        <v>1.1521859999999999</v>
      </c>
      <c r="L50" s="1548">
        <v>1.2720351000000001</v>
      </c>
      <c r="M50" s="1548">
        <v>1.3551940112789707</v>
      </c>
      <c r="N50" s="1548">
        <f>IF(N5="ol",'0+12'!M51,'R+RP+B'!N45)</f>
        <v>1.6517927375715649</v>
      </c>
      <c r="O50" s="1548">
        <f>IF(O5="ol",'0+12'!N51,'R+RP+B'!O45)</f>
        <v>1.5133773307352025</v>
      </c>
      <c r="P50" s="1548">
        <f>IF(P5="ol",'0+12'!O51,'R+RP+B'!P45)</f>
        <v>1.4667861927781316</v>
      </c>
      <c r="Q50" s="1548">
        <f>IF(Q5="ol",'0+12'!P51,'R+RP+B'!Q45)</f>
        <v>1.6752859145844661</v>
      </c>
      <c r="R50" s="686"/>
      <c r="S50" s="106">
        <f>SUMPRODUCT(F20:Q20,$F50:Q50)/SUM(F20:Q20)</f>
        <v>1.3197182631613906</v>
      </c>
      <c r="T50" s="525"/>
      <c r="U50" s="174">
        <f>IF(MONTH(Factores!$D$2)=1,SUMPRODUCT($F$20:$F$20,$F50:F50)/SUM($F$20:$F$20),IF(MONTH(Factores!$D$2)=2,SUMPRODUCT($F$20:$G$20,$F50:G50)/SUM($F$20:$G$20),IF(MONTH(Factores!$D$2)=3,SUMPRODUCT($F$20:$H$20,$F50:H50)/SUM($F$20:$H$20),IF(MONTH(Factores!$D$2)=4,SUMPRODUCT($F$20:$I$20,$F50:I50)/SUM($F$20:$I$20),IF(MONTH(Factores!$D$2)=5,SUMPRODUCT($F$20:$J$20,$F50:J50)/SUM($F$20:$J$20),IF(MONTH(Factores!$D$2)=6,SUMPRODUCT($F$20:$K$20,$F50:K50)/SUM($F$20:$K$20),IF(MONTH(Factores!$D$2)=7,SUMPRODUCT($F$20:$L$20,$F50:L50)/SUM($F$20:$L$20),IF(MONTH(Factores!$D$2)=8,SUMPRODUCT($F$20:$M$20,$F50:M50)/SUM($F$20:$M$20),IF(MONTH(Factores!$D$2)=9,SUMPRODUCT($F$20:$N$20,$F50:N50)/SUM($F$20:$N$20),IF(MONTH(Factores!$D$2)=10,SUMPRODUCT($F$20:$O$20,$F50:O50)/SUM($F$20:$O$20),IF(MONTH(Factores!$D$2)=11,SUMPRODUCT($F$20:$P$20,$F50:P50)/SUM($F$20:$P$20),IF(MONTH(Factores!$D$2)=12,SUMPRODUCT($F$20:$Q$20,$F50:Q50)/SUM($F$20:$Q$20)))))))))))))</f>
        <v>1.2187893312665656</v>
      </c>
      <c r="V50" s="174">
        <f>IF(MONTH(Factores!$D$2)=1,SUMPRODUCT($F$20:$F$20,$F50:F50)/SUM($F$20:$F$20),IF(MONTH(Factores!$D$2)=2,SUMPRODUCT($F$20:$F$20,$F50:F50)/SUM($F$20:$F$20),IF(MONTH(Factores!$D$2)=3,SUMPRODUCT($F$20:$G$20,$F50:G50)/SUM($F$20:$G$20),IF(MONTH(Factores!$D$2)=4,SUMPRODUCT($F$20:$H$20,$F50:H50)/SUM($F$20:$H$20),IF(MONTH(Factores!$D$2)=5,SUMPRODUCT($F$20:$I$20,$F50:I50)/SUM($F$20:$I$20),IF(MONTH(Factores!$D$2)=6,SUMPRODUCT($F$20:$J$20,$F50:J50)/SUM($F$20:$J$20),IF(MONTH(Factores!$D$2)=7,SUMPRODUCT($F$20:$K$20,$F50:K50)/SUM($F$20:$K$20),IF(MONTH(Factores!$D$2)=8,SUMPRODUCT($F$20:$L$20,$F50:L50)/SUM($F$20:$L$20),IF(MONTH(Factores!$D$2)=9,SUMPRODUCT($F$20:$M$20,$F50:M50)/SUM($F$20:$M$20),IF(MONTH(Factores!$D$2)=10,SUMPRODUCT($F$20:$N$20,$F50:N50)/SUM($F$20:$N$20),IF(MONTH(Factores!$D$2)=11,SUMPRODUCT($F$20:$O$20,$F50:O50)/SUM($F$20:$O$20),IF(MONTH(Factores!$D$2)=12,SUMPRODUCT($F$20:$P$20,$F50:P50)/SUM($F$20:$P$20)))))))))))))</f>
        <v>1.2028637238591784</v>
      </c>
    </row>
    <row r="51" spans="3:22" s="426" customFormat="1" ht="30" customHeight="1">
      <c r="C51" s="90" t="s">
        <v>239</v>
      </c>
      <c r="D51" s="91" t="s">
        <v>234</v>
      </c>
      <c r="F51" s="1543">
        <v>59.042310700000002</v>
      </c>
      <c r="G51" s="1543">
        <v>55.704966499999998</v>
      </c>
      <c r="H51" s="1543">
        <v>59.2346784</v>
      </c>
      <c r="I51" s="1543">
        <v>54.462850400000001</v>
      </c>
      <c r="J51" s="1543">
        <v>46.1512952</v>
      </c>
      <c r="K51" s="1543">
        <v>54.379221100000002</v>
      </c>
      <c r="L51" s="1543">
        <v>59.420494699999999</v>
      </c>
      <c r="M51" s="1543">
        <v>41.398988592488529</v>
      </c>
      <c r="N51" s="1543">
        <f>IF(N5="ol",'0+12'!M52,'R+RP+B'!N46)</f>
        <v>64.306934475247061</v>
      </c>
      <c r="O51" s="1543">
        <f>IF(O5="ol",'0+12'!N52,'R+RP+B'!O46)</f>
        <v>54.238417830849706</v>
      </c>
      <c r="P51" s="1543">
        <f>IF(P5="ol",'0+12'!O52,'R+RP+B'!P46)</f>
        <v>53.420081303832191</v>
      </c>
      <c r="Q51" s="1543">
        <f>IF(Q5="ol",'0+12'!P52,'R+RP+B'!Q46)</f>
        <v>59.044265822790322</v>
      </c>
      <c r="R51" s="687"/>
      <c r="S51" s="208">
        <f>SUMPRODUCT(F51:Q51,$F36:Q36)/SUM(F36:Q36)</f>
        <v>55.119161071638736</v>
      </c>
      <c r="T51" s="433"/>
      <c r="U51" s="224">
        <f>IF(MONTH(Factores!$D$2)=1,SUMPRODUCT($F$36:$F$36,$F51:F51)/SUM($F$36:$F$36),IF(MONTH(Factores!$D$2)=2,SUMPRODUCT($F$36:$G$36,$F51:G51)/SUM($F$36:$G$36),IF(MONTH(Factores!$D$2)=3,SUMPRODUCT($F$36:$H$36,$F51:H51)/SUM($F$36:$H$36),IF(MONTH(Factores!$D$2)=4,SUMPRODUCT($F$36:$I$36,$F51:I51)/SUM($F$36:$I$36),IF(MONTH(Factores!$D$2)=5,SUMPRODUCT($F$36:$J$36,$F51:J51)/SUM($F$36:$J$36),IF(MONTH(Factores!$D$2)=6,SUMPRODUCT($F$36:$K$36,$F51:K51)/SUM($F$36:$K$36),IF(MONTH(Factores!$D$2)=7,SUMPRODUCT($F$36:$L$36,$F51:L51)/SUM($F$36:$L$36),IF(MONTH(Factores!$D$2)=8,SUMPRODUCT($F$36:$M$36,$F51:M51)/SUM($F$36:$M$36),IF(MONTH(Factores!$D$2)=9,SUMPRODUCT($F$36:$N$36,$F51:N51)/SUM($F$36:$N$36),IF(MONTH(Factores!$D$2)=10,SUMPRODUCT($F$36:$O$36,$F51:O51)/SUM($F$36:$O$36),IF(MONTH(Factores!$D$2)=11,SUMPRODUCT($F$36:$P$36,$F51:P51)/SUM($F$36:$P$36),IF(MONTH(Factores!$D$2)=12,SUMPRODUCT($F$36:$Q$36,$F51:Q51)/SUM($F$36:$Q$36)))))))))))))</f>
        <v>57.989355197881295</v>
      </c>
      <c r="V51" s="224">
        <f>IF(MONTH(Factores!$D$2)=1,SUMPRODUCT($F$36:$F$36,$F51:F51)/SUM($F$36:$F$36),IF(MONTH(Factores!$D$2)=2,SUMPRODUCT($F$36:$F$36,$F51:F51)/SUM($F$36:$F$36),IF(MONTH(Factores!$D$2)=3,SUMPRODUCT($F$36:$G$36,$F51:G51)/SUM($F$36:$G$36),IF(MONTH(Factores!$D$2)=4,SUMPRODUCT($F$36:$H$36,$F51:H51)/SUM($F$36:$H$36),IF(MONTH(Factores!$D$2)=5,SUMPRODUCT($F$36:$I$36,$F51:I51)/SUM($F$36:$I$36),IF(MONTH(Factores!$D$2)=6,SUMPRODUCT($F$36:$J$36,$F51:J51)/SUM($F$36:$J$36),IF(MONTH(Factores!$D$2)=7,SUMPRODUCT($F$36:$K$36,$F51:K51)/SUM($F$36:$K$36),IF(MONTH(Factores!$D$2)=8,SUMPRODUCT($F$36:$L$36,$F51:L51)/SUM($F$36:$L$36),IF(MONTH(Factores!$D$2)=9,SUMPRODUCT($F$36:$M$36,$F51:M51)/SUM($F$36:$M$36),IF(MONTH(Factores!$D$2)=10,SUMPRODUCT($F$36:$N$36,$F51:N51)/SUM($F$36:$N$36),IF(MONTH(Factores!$D$2)=11,SUMPRODUCT($F$36:$O$36,$F51:O51)/SUM($F$36:$O$36),IF(MONTH(Factores!$D$2)=12,SUMPRODUCT($F$36:$P$36,$F51:P51)/SUM($F$36:$P$36)))))))))))))</f>
        <v>57.454997797933977</v>
      </c>
    </row>
    <row r="52" spans="3:22" ht="30" customHeight="1">
      <c r="C52" s="90" t="s">
        <v>1039</v>
      </c>
      <c r="D52" s="91" t="s">
        <v>1040</v>
      </c>
      <c r="F52" s="1547">
        <v>180.63953427255782</v>
      </c>
      <c r="G52" s="1547">
        <v>4.1185705919715003</v>
      </c>
      <c r="H52" s="1547">
        <v>179.80346125838736</v>
      </c>
      <c r="I52" s="1547">
        <v>203.69982972679443</v>
      </c>
      <c r="J52" s="1547">
        <v>105.84600422982768</v>
      </c>
      <c r="K52" s="1547">
        <v>173.00426070755501</v>
      </c>
      <c r="L52" s="1547">
        <v>222.83071464627744</v>
      </c>
      <c r="M52" s="1547">
        <v>197.70280651834989</v>
      </c>
      <c r="N52" s="1547">
        <f>IF(N5="ol",'0+12'!M55,'R+RP+B'!N47)</f>
        <v>196.94176714133033</v>
      </c>
      <c r="O52" s="1547">
        <f>IF(O5="ol",'0+12'!N55,'R+RP+B'!O47)</f>
        <v>184.80894016044797</v>
      </c>
      <c r="P52" s="1547">
        <f>IF(P5="ol",'0+12'!O55,'R+RP+B'!P47)</f>
        <v>230.83455596785836</v>
      </c>
      <c r="Q52" s="1547">
        <f>IF(Q5="ol",'0+12'!P55,'R+RP+B'!Q47)</f>
        <v>280.23153492539024</v>
      </c>
      <c r="R52" s="684"/>
      <c r="S52" s="425">
        <f>SUM(F52:Q52)</f>
        <v>2160.4619801467479</v>
      </c>
      <c r="T52" s="600"/>
      <c r="U52" s="225">
        <f>IF(MONTH(Factores!$D$2)=1,SUM($F52:F52),IF(MONTH(Factores!$D$2)=2,SUM($F52:G52),IF(MONTH(Factores!$D$2)=3,SUM($F52:H52),IF(MONTH(Factores!$D$2)=4,SUM($F52:I52),IF(MONTH(Factores!$D$2)=5,SUM($F52:J52),IF(MONTH(Factores!$D$2)=6,SUM($F52:K52),IF(MONTH(Factores!$D$2)=7,SUM($F52:L52),IF(MONTH(Factores!$D$2)=8,SUM($F52:M52),IF(MONTH(Factores!$D$2)=9,SUM($F52:N52),IF(MONTH(Factores!$D$2)=10,SUM($F52:O52),IF(MONTH(Factores!$D$2)=11,SUM($F52:P52),IF(MONTH(Factores!$D$2)=12,SUM($F52:Q52)))))))))))))</f>
        <v>364.5615661229167</v>
      </c>
      <c r="V52" s="225">
        <f>IF(MONTH(Factores!$D$2)=1,SUM($F52:F52),IF(MONTH(Factores!$D$2)=2,SUM($F52:F52),IF(MONTH(Factores!$D$2)=3,SUM($F52:G52),IF(MONTH(Factores!$D$2)=4,SUM($F52:H52),IF(MONTH(Factores!$D$2)=5,SUM($F52:I52),IF(MONTH(Factores!$D$2)=6,SUM($F52:J52),IF(MONTH(Factores!$D$2)=7,SUM($F52:K52),IF(MONTH(Factores!$D$2)=8,SUM($F52:L52),IF(MONTH(Factores!$D$2)=9,SUM($F52:M52),IF(MONTH(Factores!$D$2)=10,SUM($F52:N52),IF(MONTH(Factores!$D$2)=11,SUM($F52:O52),IF(MONTH(Factores!$D$2)=12,SUM($F52:P52)))))))))))))</f>
        <v>184.75810486452932</v>
      </c>
    </row>
    <row r="53" spans="3:22">
      <c r="F53" s="1549"/>
      <c r="G53" s="1549"/>
      <c r="H53" s="1549"/>
      <c r="I53" s="1549"/>
      <c r="J53" s="1549"/>
      <c r="K53" s="1549"/>
      <c r="L53" s="1549"/>
      <c r="M53" s="1549"/>
      <c r="N53" s="1549"/>
      <c r="O53" s="1549"/>
      <c r="P53" s="1549"/>
      <c r="Q53" s="1549"/>
      <c r="R53" s="427"/>
      <c r="S53" s="704"/>
      <c r="U53" s="211"/>
      <c r="V53" s="211"/>
    </row>
    <row r="54" spans="3:22" ht="30" customHeight="1">
      <c r="C54" s="90" t="s">
        <v>242</v>
      </c>
      <c r="D54" s="91" t="s">
        <v>95</v>
      </c>
      <c r="F54" s="1543">
        <v>19.206553412123831</v>
      </c>
      <c r="G54" s="1543">
        <v>20.524377326507828</v>
      </c>
      <c r="H54" s="1543">
        <v>30.45889353000301</v>
      </c>
      <c r="I54" s="1543">
        <v>24.874895012782421</v>
      </c>
      <c r="J54" s="1543">
        <v>25.541632785647799</v>
      </c>
      <c r="K54" s="1543">
        <v>24.735050104134796</v>
      </c>
      <c r="L54" s="1543">
        <v>24.739240603088767</v>
      </c>
      <c r="M54" s="1543">
        <v>22.619743223967962</v>
      </c>
      <c r="N54" s="1543">
        <f>IF(N5="ol",'0+12'!M57,'R+RP+B'!N49)</f>
        <v>25.209714781354112</v>
      </c>
      <c r="O54" s="1543">
        <f>IF(O5="ol",'0+12'!N57,'R+RP+B'!O49)</f>
        <v>17.4400347775277</v>
      </c>
      <c r="P54" s="1543">
        <f>IF(P5="ol",'0+12'!O57,'R+RP+B'!P49)</f>
        <v>16.038738058233548</v>
      </c>
      <c r="Q54" s="1543">
        <f>IF(Q5="ol",'0+12'!P57,'R+RP+B'!Q49)</f>
        <v>25.724093489482975</v>
      </c>
      <c r="R54" s="86"/>
      <c r="S54" s="105">
        <f>SUMPRODUCT(F20:Q20,$F54:Q54)/SUM(F20:Q20)</f>
        <v>23.015660734273368</v>
      </c>
      <c r="T54" s="433"/>
      <c r="U54" s="224">
        <f>IF(MONTH(Factores!$D$2)=1,SUMPRODUCT($F$20:$F$20,$F54:F54)/SUM($F$20:$F$20),IF(MONTH(Factores!$D$2)=2,SUMPRODUCT($F$20:$G$20,$F54:G54)/SUM($F$20:$G$20),IF(MONTH(Factores!$D$2)=3,SUMPRODUCT($F$20:$H$20,$F54:H54)/SUM($F$20:$H$20),IF(MONTH(Factores!$D$2)=4,SUMPRODUCT($F$20:$I$20,$F54:I54)/SUM($F$20:$I$20),IF(MONTH(Factores!$D$2)=5,SUMPRODUCT($F$20:$J$20,$F54:J54)/SUM($F$20:$J$20),IF(MONTH(Factores!$D$2)=6,SUMPRODUCT($F$20:$K$20,$F54:K54)/SUM($F$20:$K$20),IF(MONTH(Factores!$D$2)=7,SUMPRODUCT($F$20:$L$20,$F54:L54)/SUM($F$20:$L$20),IF(MONTH(Factores!$D$2)=8,SUMPRODUCT($F$20:$M$20,$F54:M54)/SUM($F$20:$M$20),IF(MONTH(Factores!$D$2)=9,SUMPRODUCT($F$20:$N$20,$F54:N54)/SUM($F$20:$N$20),IF(MONTH(Factores!$D$2)=10,SUMPRODUCT($F$20:$O$20,$F54:O54)/SUM($F$20:$O$20),IF(MONTH(Factores!$D$2)=11,SUMPRODUCT($F$20:$P$20,$F54:P54)/SUM($F$20:$P$20),IF(MONTH(Factores!$D$2)=12,SUMPRODUCT($F$20:$Q$20,$F54:Q54)/SUM($F$20:$Q$20)))))))))))))</f>
        <v>23.101594273503817</v>
      </c>
      <c r="V54" s="224">
        <f>IF(MONTH(Factores!$D$2)=1,SUMPRODUCT($F$20:$F$20,$F54:F54)/SUM($F$20:$F$20),IF(MONTH(Factores!$D$2)=2,SUMPRODUCT($F$20:$F$20,$F54:F54)/SUM($F$20:$F$20),IF(MONTH(Factores!$D$2)=3,SUMPRODUCT($F$20:$G$20,$F54:G54)/SUM($F$20:$G$20),IF(MONTH(Factores!$D$2)=4,SUMPRODUCT($F$20:$H$20,$F54:H54)/SUM($F$20:$H$20),IF(MONTH(Factores!$D$2)=5,SUMPRODUCT($F$20:$I$20,$F54:I54)/SUM($F$20:$I$20),IF(MONTH(Factores!$D$2)=6,SUMPRODUCT($F$20:$J$20,$F54:J54)/SUM($F$20:$J$20),IF(MONTH(Factores!$D$2)=7,SUMPRODUCT($F$20:$K$20,$F54:K54)/SUM($F$20:$K$20),IF(MONTH(Factores!$D$2)=8,SUMPRODUCT($F$20:$L$20,$F54:L54)/SUM($F$20:$L$20),IF(MONTH(Factores!$D$2)=9,SUMPRODUCT($F$20:$M$20,$F54:M54)/SUM($F$20:$M$20),IF(MONTH(Factores!$D$2)=10,SUMPRODUCT($F$20:$N$20,$F54:N54)/SUM($F$20:$N$20),IF(MONTH(Factores!$D$2)=11,SUMPRODUCT($F$20:$O$20,$F54:O54)/SUM($F$20:$O$20),IF(MONTH(Factores!$D$2)=12,SUMPRODUCT($F$20:$P$20,$F54:P54)/SUM($F$20:$P$20)))))))))))))</f>
        <v>19.858568149955634</v>
      </c>
    </row>
    <row r="55" spans="3:22" ht="30" customHeight="1">
      <c r="C55" s="90" t="s">
        <v>243</v>
      </c>
      <c r="D55" s="91" t="s">
        <v>95</v>
      </c>
      <c r="F55" s="1547">
        <v>814.55118914049604</v>
      </c>
      <c r="G55" s="1547">
        <v>1054.5477375506946</v>
      </c>
      <c r="H55" s="1547">
        <v>1239.3452128424681</v>
      </c>
      <c r="I55" s="1547">
        <v>1044.7455905368618</v>
      </c>
      <c r="J55" s="1547">
        <v>941.03451798233414</v>
      </c>
      <c r="K55" s="1547">
        <v>1042.6291803557338</v>
      </c>
      <c r="L55" s="1547">
        <v>1133.3773579948413</v>
      </c>
      <c r="M55" s="1547">
        <v>1042.2613612924492</v>
      </c>
      <c r="N55" s="1547">
        <f>IF(N5="ol",'0+12'!M58,'R+RP+B'!N50)</f>
        <v>1128.1347364655965</v>
      </c>
      <c r="O55" s="1547">
        <f>IF(O5="ol",'0+12'!N58,'R+RP+B'!O50)</f>
        <v>780.44155629436455</v>
      </c>
      <c r="P55" s="1547">
        <f>IF(P5="ol",'0+12'!O58,'R+RP+B'!P50)</f>
        <v>717.73352810595134</v>
      </c>
      <c r="Q55" s="1547">
        <f>IF(Q5="ol",'0+12'!P58,'R+RP+B'!Q50)</f>
        <v>1151.1531836543631</v>
      </c>
      <c r="R55" s="534"/>
      <c r="S55" s="109">
        <f>SUMPRODUCT(F36:Q36,$F55:Q55)/SUM(F36:Q36)</f>
        <v>996.32106728132931</v>
      </c>
      <c r="T55" s="600"/>
      <c r="U55" s="225">
        <f>IF(MONTH(Factores!$D$2)=1,SUMPRODUCT($F$36:$F$36,$F55:F55)/SUM($F$36:$F$36),IF(MONTH(Factores!$D$2)=2,SUMPRODUCT($F$36:$G$36,$F55:G55)/SUM($F$36:$G$36),IF(MONTH(Factores!$D$2)=3,SUMPRODUCT($F$36:$H$36,$F55:H55)/SUM($F$36:$H$36),IF(MONTH(Factores!$D$2)=4,SUMPRODUCT($F$36:$I$36,$F55:I55)/SUM($F$36:$I$36),IF(MONTH(Factores!$D$2)=5,SUMPRODUCT($F$36:$J$36,$F55:J55)/SUM($F$36:$J$36),IF(MONTH(Factores!$D$2)=6,SUMPRODUCT($F$36:$K$36,$F55:K55)/SUM($F$36:$K$36),IF(MONTH(Factores!$D$2)=7,SUMPRODUCT($F$36:$L$36,$F55:L55)/SUM($F$36:$L$36),IF(MONTH(Factores!$D$2)=8,SUMPRODUCT($F$36:$M$36,$F55:M55)/SUM($F$36:$M$36),IF(MONTH(Factores!$D$2)=9,SUMPRODUCT($F$36:$N$36,$F55:N55)/SUM($F$36:$N$36),IF(MONTH(Factores!$D$2)=10,SUMPRODUCT($F$36:$O$36,$F55:O55)/SUM($F$36:$O$36),IF(MONTH(Factores!$D$2)=11,SUMPRODUCT($F$36:$P$36,$F55:P55)/SUM($F$36:$P$36),IF(MONTH(Factores!$D$2)=12,SUMPRODUCT($F$36:$Q$36,$F55:Q55)/SUM($F$36:$Q$36)))))))))))))</f>
        <v>1021.9717818203616</v>
      </c>
      <c r="V55" s="225">
        <f>IF(MONTH(Factores!$D$2)=1,SUMPRODUCT($F$36:$F$36,$F55:F55)/SUM($F$36:$F$36),IF(MONTH(Factores!$D$2)=2,SUMPRODUCT($F$36:$F$36,$F55:F55)/SUM($F$36:$F$36),IF(MONTH(Factores!$D$2)=3,SUMPRODUCT($F$36:$G$36,$F55:G55)/SUM($F$36:$G$36),IF(MONTH(Factores!$D$2)=4,SUMPRODUCT($F$36:$H$36,$F55:H55)/SUM($F$36:$H$36),IF(MONTH(Factores!$D$2)=5,SUMPRODUCT($F$36:$I$36,$F55:I55)/SUM($F$36:$I$36),IF(MONTH(Factores!$D$2)=6,SUMPRODUCT($F$36:$J$36,$F55:J55)/SUM($F$36:$J$36),IF(MONTH(Factores!$D$2)=7,SUMPRODUCT($F$36:$K$36,$F55:K55)/SUM($F$36:$K$36),IF(MONTH(Factores!$D$2)=8,SUMPRODUCT($F$36:$L$36,$F55:L55)/SUM($F$36:$L$36),IF(MONTH(Factores!$D$2)=9,SUMPRODUCT($F$36:$M$36,$F55:M55)/SUM($F$36:$M$36),IF(MONTH(Factores!$D$2)=10,SUMPRODUCT($F$36:$N$36,$F55:N55)/SUM($F$36:$N$36),IF(MONTH(Factores!$D$2)=11,SUMPRODUCT($F$36:$O$36,$F55:O55)/SUM($F$36:$O$36),IF(MONTH(Factores!$D$2)=12,SUMPRODUCT($F$36:$P$36,$F55:P55)/SUM($F$36:$P$36)))))))))))))</f>
        <v>928.69872529898419</v>
      </c>
    </row>
    <row r="56" spans="3:22">
      <c r="F56" s="436"/>
      <c r="G56" s="436"/>
      <c r="H56" s="436"/>
      <c r="I56" s="436"/>
      <c r="J56" s="436"/>
      <c r="K56" s="436"/>
      <c r="L56" s="436"/>
      <c r="M56" s="436"/>
      <c r="N56" s="436"/>
      <c r="O56" s="436"/>
      <c r="P56" s="436"/>
      <c r="Q56" s="436"/>
      <c r="S56" s="703"/>
      <c r="U56" s="1635"/>
      <c r="V56" s="1635"/>
    </row>
    <row r="57" spans="3:22" ht="30" customHeight="1">
      <c r="C57" s="75" t="s">
        <v>244</v>
      </c>
      <c r="D57" s="629">
        <f>Factores!F9</f>
        <v>2.899</v>
      </c>
      <c r="F57" s="427"/>
      <c r="G57" s="427"/>
      <c r="H57" s="427"/>
      <c r="I57" s="427"/>
      <c r="J57" s="427"/>
      <c r="K57" s="427"/>
      <c r="L57" s="427"/>
      <c r="M57" s="427"/>
      <c r="N57" s="427"/>
      <c r="O57" s="427"/>
      <c r="P57" s="427"/>
      <c r="Q57" s="427"/>
      <c r="S57" s="145"/>
      <c r="U57" s="215"/>
      <c r="V57" s="215"/>
    </row>
    <row r="58" spans="3:22" ht="30" customHeight="1">
      <c r="C58" s="630" t="s">
        <v>245</v>
      </c>
      <c r="D58" s="629">
        <f>Factores!F7</f>
        <v>0.96199999999999997</v>
      </c>
      <c r="F58" s="427"/>
      <c r="G58" s="427"/>
      <c r="H58" s="427"/>
      <c r="I58" s="427"/>
      <c r="J58" s="427"/>
      <c r="K58" s="427"/>
      <c r="L58" s="427"/>
      <c r="M58" s="427"/>
      <c r="N58" s="427"/>
      <c r="O58" s="427"/>
      <c r="P58" s="427"/>
      <c r="Q58" s="427"/>
      <c r="S58" s="145"/>
      <c r="U58" s="215"/>
      <c r="V58" s="215"/>
    </row>
    <row r="59" spans="3:22" ht="30" customHeight="1">
      <c r="C59" s="630" t="s">
        <v>71</v>
      </c>
      <c r="D59" s="629">
        <f>Factores!F8</f>
        <v>0.995</v>
      </c>
      <c r="F59" s="434"/>
      <c r="G59" s="434"/>
      <c r="H59" s="434"/>
      <c r="I59" s="434"/>
      <c r="J59" s="434"/>
      <c r="K59" s="434"/>
      <c r="L59" s="434"/>
      <c r="M59" s="434"/>
      <c r="N59" s="434"/>
      <c r="O59" s="434"/>
      <c r="P59" s="434"/>
      <c r="Q59" s="434"/>
      <c r="S59" s="145"/>
      <c r="U59" s="215"/>
      <c r="V59" s="215"/>
    </row>
    <row r="60" spans="3:22">
      <c r="F60" s="504"/>
      <c r="G60" s="504"/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S60" s="145"/>
      <c r="U60" s="215"/>
      <c r="V60" s="215"/>
    </row>
    <row r="61" spans="3:22">
      <c r="F61" s="427"/>
      <c r="G61" s="427"/>
      <c r="H61" s="427"/>
      <c r="I61" s="427"/>
      <c r="J61" s="427"/>
      <c r="K61" s="427"/>
      <c r="L61" s="427"/>
      <c r="M61" s="427"/>
      <c r="N61" s="427"/>
      <c r="O61" s="427"/>
      <c r="P61" s="427"/>
      <c r="Q61" s="427"/>
      <c r="S61" s="145"/>
      <c r="U61" s="216"/>
      <c r="V61" s="216"/>
    </row>
    <row r="62" spans="3:22" ht="30" customHeight="1">
      <c r="C62" s="523" t="s">
        <v>993</v>
      </c>
      <c r="D62" s="702" t="s">
        <v>198</v>
      </c>
      <c r="E62" s="524"/>
      <c r="F62" s="2109">
        <v>28.086976414984775</v>
      </c>
      <c r="G62" s="2109">
        <v>27.529223846052762</v>
      </c>
      <c r="H62" s="2109">
        <v>23.653403335907068</v>
      </c>
      <c r="I62" s="2109">
        <v>27.899904275575391</v>
      </c>
      <c r="J62" s="2109">
        <v>27.446928465879122</v>
      </c>
      <c r="K62" s="2109">
        <v>27.112019963231841</v>
      </c>
      <c r="L62" s="2109">
        <v>26.730291691613431</v>
      </c>
      <c r="M62" s="2109">
        <v>27.291901293425138</v>
      </c>
      <c r="N62" s="2109">
        <f>IF(N5="ol",'0+12'!M15,'R+RP+B'!N57)</f>
        <v>31.800524346124806</v>
      </c>
      <c r="O62" s="2109">
        <f>IF(O5="ol",'0+12'!N15,'R+RP+B'!O57)</f>
        <v>35.589943845908635</v>
      </c>
      <c r="P62" s="2109">
        <f>IF(P5="ol",'0+12'!O15,'R+RP+B'!P57)</f>
        <v>34.4305609479662</v>
      </c>
      <c r="Q62" s="2109">
        <f>IF(Q5="ol",'0+12'!P15,'R+RP+B'!Q57)</f>
        <v>38.822908602338664</v>
      </c>
      <c r="R62" s="632"/>
      <c r="S62" s="706">
        <f t="shared" ref="S62:S67" si="1">SUM(F62:Q62)</f>
        <v>356.39458702900788</v>
      </c>
      <c r="T62" s="632"/>
      <c r="U62" s="633">
        <f>IF(MONTH(Factores!$D$2)=1,SUM($F62:F62),IF(MONTH(Factores!$D$2)=2,SUM($F62:G62),IF(MONTH(Factores!$D$2)=3,SUM($F62:H62),IF(MONTH(Factores!$D$2)=4,SUM($F62:I62),IF(MONTH(Factores!$D$2)=5,SUM($F62:J62),IF(MONTH(Factores!$D$2)=6,SUM($F62:K62),IF(MONTH(Factores!$D$2)=7,SUM($F62:L62),IF(MONTH(Factores!$D$2)=8,SUM($F62:M62),IF(MONTH(Factores!$D$2)=9,SUM($F62:N62),IF(MONTH(Factores!$D$2)=10,SUM($F62:O62),IF(MONTH(Factores!$D$2)=11,SUM($F62:P62),IF(MONTH(Factores!$D$2)=12,SUM($F62:Q62)))))))))))))</f>
        <v>79.269603596944606</v>
      </c>
      <c r="V62" s="633">
        <f>IF(MONTH(Factores!$D$2)=1,SUM($F62:F62),IF(MONTH(Factores!$D$2)=2,SUM($F62:F62),IF(MONTH(Factores!$D$2)=3,SUM($F62:G62),IF(MONTH(Factores!$D$2)=4,SUM($F62:H62),IF(MONTH(Factores!$D$2)=5,SUM($F62:I62),IF(MONTH(Factores!$D$2)=6,SUM($F62:J62),IF(MONTH(Factores!$D$2)=7,SUM($F62:K62),IF(MONTH(Factores!$D$2)=8,SUM($F62:L62),IF(MONTH(Factores!$D$2)=9,SUM($F62:M62),IF(MONTH(Factores!$D$2)=10,SUM($F62:N62),IF(MONTH(Factores!$D$2)=11,SUM($F62:O62),IF(MONTH(Factores!$D$2)=12,SUM($F62:P62)))))))))))))</f>
        <v>55.616200261037534</v>
      </c>
    </row>
    <row r="63" spans="3:22" ht="30" customHeight="1">
      <c r="C63" s="523" t="s">
        <v>994</v>
      </c>
      <c r="D63" s="702" t="s">
        <v>198</v>
      </c>
      <c r="E63" s="524"/>
      <c r="F63" s="2109">
        <v>27.986592604943599</v>
      </c>
      <c r="G63" s="2109">
        <v>0.70488803300813019</v>
      </c>
      <c r="H63" s="2109">
        <v>28.532372311027629</v>
      </c>
      <c r="I63" s="2109">
        <v>33.100993342531275</v>
      </c>
      <c r="J63" s="2109">
        <v>19.00366937736943</v>
      </c>
      <c r="K63" s="2109">
        <v>27.967362131941925</v>
      </c>
      <c r="L63" s="2109">
        <v>33.194289562803355</v>
      </c>
      <c r="M63" s="2109">
        <v>29.598097895670101</v>
      </c>
      <c r="N63" s="2109">
        <f>IF(N5="ol",'0+12'!M15,'R+RP+B'!N58)</f>
        <v>31.800524346124806</v>
      </c>
      <c r="O63" s="2109">
        <f>IF(O5="ol",'0+12'!N15,'R+RP+B'!O58)</f>
        <v>35.589943845908635</v>
      </c>
      <c r="P63" s="2109">
        <f>IF(P5="ol",'0+12'!O15,'R+RP+B'!P58)</f>
        <v>34.4305609479662</v>
      </c>
      <c r="Q63" s="2109">
        <f>IF(Q5="ol",'0+12'!P15,'R+RP+B'!Q58)</f>
        <v>38.822908602338664</v>
      </c>
      <c r="R63" s="632"/>
      <c r="S63" s="706">
        <f t="shared" si="1"/>
        <v>340.73220300163371</v>
      </c>
      <c r="T63" s="632"/>
      <c r="U63" s="633">
        <f>IF(MONTH(Factores!$D$2)=1,SUM($F63:F63),IF(MONTH(Factores!$D$2)=2,SUM($F63:G63),IF(MONTH(Factores!$D$2)=3,SUM($F63:H63),IF(MONTH(Factores!$D$2)=4,SUM($F63:I63),IF(MONTH(Factores!$D$2)=5,SUM($F63:J63),IF(MONTH(Factores!$D$2)=6,SUM($F63:K63),IF(MONTH(Factores!$D$2)=7,SUM($F63:L63),IF(MONTH(Factores!$D$2)=8,SUM($F63:M63),IF(MONTH(Factores!$D$2)=9,SUM($F63:N63),IF(MONTH(Factores!$D$2)=10,SUM($F63:O63),IF(MONTH(Factores!$D$2)=11,SUM($F63:P63),IF(MONTH(Factores!$D$2)=12,SUM($F63:Q63)))))))))))))</f>
        <v>57.223852948979356</v>
      </c>
      <c r="V63" s="633">
        <f>IF(MONTH(Factores!$D$2)=1,SUM($F63:F63),IF(MONTH(Factores!$D$2)=2,SUM($F63:F63),IF(MONTH(Factores!$D$2)=3,SUM($F63:G63),IF(MONTH(Factores!$D$2)=4,SUM($F63:H63),IF(MONTH(Factores!$D$2)=5,SUM($F63:I63),IF(MONTH(Factores!$D$2)=6,SUM($F63:J63),IF(MONTH(Factores!$D$2)=7,SUM($F63:K63),IF(MONTH(Factores!$D$2)=8,SUM($F63:L63),IF(MONTH(Factores!$D$2)=9,SUM($F63:M63),IF(MONTH(Factores!$D$2)=10,SUM($F63:N63),IF(MONTH(Factores!$D$2)=11,SUM($F63:O63),IF(MONTH(Factores!$D$2)=12,SUM($F63:P63)))))))))))))</f>
        <v>28.691480637951731</v>
      </c>
    </row>
    <row r="64" spans="3:22" ht="30" customHeight="1">
      <c r="C64" s="523" t="s">
        <v>995</v>
      </c>
      <c r="D64" s="702" t="s">
        <v>198</v>
      </c>
      <c r="E64" s="524"/>
      <c r="F64" s="2109">
        <v>0.10038381004117625</v>
      </c>
      <c r="G64" s="2109">
        <v>26.82433581304463</v>
      </c>
      <c r="H64" s="2109">
        <v>-4.8789689751205607</v>
      </c>
      <c r="I64" s="2109">
        <v>-5.201089066955884</v>
      </c>
      <c r="J64" s="2109">
        <v>8.4432590885096914</v>
      </c>
      <c r="K64" s="2109">
        <v>-0.85534216871008439</v>
      </c>
      <c r="L64" s="2109">
        <v>-6.4639978711899246</v>
      </c>
      <c r="M64" s="2109">
        <v>-2.3061966022449631</v>
      </c>
      <c r="N64" s="2109">
        <f>N62-N63</f>
        <v>0</v>
      </c>
      <c r="O64" s="2109">
        <f>O62-O63</f>
        <v>0</v>
      </c>
      <c r="P64" s="2109">
        <f>P62-P63</f>
        <v>0</v>
      </c>
      <c r="Q64" s="2109">
        <f>Q62-Q63</f>
        <v>0</v>
      </c>
      <c r="R64" s="632"/>
      <c r="S64" s="706">
        <f t="shared" si="1"/>
        <v>15.662384027374081</v>
      </c>
      <c r="T64" s="632"/>
      <c r="U64" s="633">
        <f>IF(MONTH(Factores!$D$2)=1,SUM($F64:F64),IF(MONTH(Factores!$D$2)=2,SUM($F64:G64),IF(MONTH(Factores!$D$2)=3,SUM($F64:H64),IF(MONTH(Factores!$D$2)=4,SUM($F64:I64),IF(MONTH(Factores!$D$2)=5,SUM($F64:J64),IF(MONTH(Factores!$D$2)=6,SUM($F64:K64),IF(MONTH(Factores!$D$2)=7,SUM($F64:L64),IF(MONTH(Factores!$D$2)=8,SUM($F64:M64),IF(MONTH(Factores!$D$2)=9,SUM($F64:N64),IF(MONTH(Factores!$D$2)=10,SUM($F64:O64),IF(MONTH(Factores!$D$2)=11,SUM($F64:P64),IF(MONTH(Factores!$D$2)=12,SUM($F64:Q64)))))))))))))</f>
        <v>22.045750647965246</v>
      </c>
      <c r="V64" s="633">
        <f>IF(MONTH(Factores!$D$2)=1,SUM($F64:F64),IF(MONTH(Factores!$D$2)=2,SUM($F64:F64),IF(MONTH(Factores!$D$2)=3,SUM($F64:G64),IF(MONTH(Factores!$D$2)=4,SUM($F64:H64),IF(MONTH(Factores!$D$2)=5,SUM($F64:I64),IF(MONTH(Factores!$D$2)=6,SUM($F64:J64),IF(MONTH(Factores!$D$2)=7,SUM($F64:K64),IF(MONTH(Factores!$D$2)=8,SUM($F64:L64),IF(MONTH(Factores!$D$2)=9,SUM($F64:M64),IF(MONTH(Factores!$D$2)=10,SUM($F64:N64),IF(MONTH(Factores!$D$2)=11,SUM($F64:O64),IF(MONTH(Factores!$D$2)=12,SUM($F64:P64)))))))))))))</f>
        <v>26.924719623085807</v>
      </c>
    </row>
    <row r="65" spans="3:22" ht="30" customHeight="1">
      <c r="C65" s="523" t="s">
        <v>208</v>
      </c>
      <c r="D65" s="702" t="s">
        <v>198</v>
      </c>
      <c r="E65" s="524"/>
      <c r="F65" s="2109">
        <v>0.76413379999999997</v>
      </c>
      <c r="G65" s="2109">
        <v>0.73743809999999999</v>
      </c>
      <c r="H65" s="2109">
        <v>0.65451090000000001</v>
      </c>
      <c r="I65" s="2109">
        <v>0.71301429999999999</v>
      </c>
      <c r="J65" s="2109">
        <v>0.62060490000000001</v>
      </c>
      <c r="K65" s="2109">
        <v>0.86685849999999998</v>
      </c>
      <c r="L65" s="2109">
        <v>0.64639729999999995</v>
      </c>
      <c r="M65" s="2109">
        <v>0.688774886176312</v>
      </c>
      <c r="N65" s="2109">
        <f>IF(N5="ol",'0+12'!M17,'R+RP+B'!N60)</f>
        <v>0.68781637747912783</v>
      </c>
      <c r="O65" s="2109">
        <f>IF(O5="ol",'0+12'!N17,'R+RP+B'!O60)</f>
        <v>1.0433497200782786</v>
      </c>
      <c r="P65" s="2109">
        <f>IF(P5="ol",'0+12'!O17,'R+RP+B'!P60)</f>
        <v>0.79078227292588044</v>
      </c>
      <c r="Q65" s="2109">
        <f>IF(Q5="ol",'0+12'!P17,'R+RP+B'!Q60)</f>
        <v>0.90859130168825741</v>
      </c>
      <c r="R65" s="632"/>
      <c r="S65" s="706">
        <f t="shared" si="1"/>
        <v>9.1222723583478587</v>
      </c>
      <c r="T65" s="632"/>
      <c r="U65" s="633">
        <f>IF(MONTH(Factores!$D$2)=1,SUM($F65:F65),IF(MONTH(Factores!$D$2)=2,SUM($F65:G65),IF(MONTH(Factores!$D$2)=3,SUM($F65:H65),IF(MONTH(Factores!$D$2)=4,SUM($F65:I65),IF(MONTH(Factores!$D$2)=5,SUM($F65:J65),IF(MONTH(Factores!$D$2)=6,SUM($F65:K65),IF(MONTH(Factores!$D$2)=7,SUM($F65:L65),IF(MONTH(Factores!$D$2)=8,SUM($F65:M65),IF(MONTH(Factores!$D$2)=9,SUM($F65:N65),IF(MONTH(Factores!$D$2)=10,SUM($F65:O65),IF(MONTH(Factores!$D$2)=11,SUM($F65:P65),IF(MONTH(Factores!$D$2)=12,SUM($F65:Q65)))))))))))))</f>
        <v>2.1560828000000001</v>
      </c>
      <c r="V65" s="633">
        <f>IF(MONTH(Factores!$D$2)=1,SUM($F65:F65),IF(MONTH(Factores!$D$2)=2,SUM($F65:F65),IF(MONTH(Factores!$D$2)=3,SUM($F65:G65),IF(MONTH(Factores!$D$2)=4,SUM($F65:H65),IF(MONTH(Factores!$D$2)=5,SUM($F65:I65),IF(MONTH(Factores!$D$2)=6,SUM($F65:J65),IF(MONTH(Factores!$D$2)=7,SUM($F65:K65),IF(MONTH(Factores!$D$2)=8,SUM($F65:L65),IF(MONTH(Factores!$D$2)=9,SUM($F65:M65),IF(MONTH(Factores!$D$2)=10,SUM($F65:N65),IF(MONTH(Factores!$D$2)=11,SUM($F65:O65),IF(MONTH(Factores!$D$2)=12,SUM($F65:P65)))))))))))))</f>
        <v>1.5015719000000001</v>
      </c>
    </row>
    <row r="66" spans="3:22" ht="30" customHeight="1">
      <c r="C66" s="523" t="s">
        <v>850</v>
      </c>
      <c r="D66" s="702" t="s">
        <v>198</v>
      </c>
      <c r="E66" s="524"/>
      <c r="F66" s="2109">
        <v>0.80413969849246236</v>
      </c>
      <c r="G66" s="2109">
        <v>0.67059266331658296</v>
      </c>
      <c r="H66" s="2109">
        <v>0.72786170854271359</v>
      </c>
      <c r="I66" s="2109">
        <v>0.59800633165829153</v>
      </c>
      <c r="J66" s="2109">
        <v>0.60557597989949752</v>
      </c>
      <c r="K66" s="2109">
        <v>0.81059939698492467</v>
      </c>
      <c r="L66" s="2109">
        <v>0.76317788944723619</v>
      </c>
      <c r="M66" s="2109">
        <v>0.681363448257157</v>
      </c>
      <c r="N66" s="2109">
        <f>IF(N5="ol",'0+12'!M17,'R+RP+B'!N61)</f>
        <v>0.68781637747912783</v>
      </c>
      <c r="O66" s="2109">
        <f>IF(O5="ol",'0+12'!N17,'R+RP+B'!O61)</f>
        <v>1.0433497200782786</v>
      </c>
      <c r="P66" s="2109">
        <f>IF(P5="ol",'0+12'!O17,'R+RP+B'!P61)</f>
        <v>0.79078227292588044</v>
      </c>
      <c r="Q66" s="2109">
        <f>IF(Q5="ol",'0+12'!P17,'R+RP+B'!Q61)</f>
        <v>0.90859130168825741</v>
      </c>
      <c r="R66" s="632"/>
      <c r="S66" s="706">
        <f t="shared" si="1"/>
        <v>9.0918567887704107</v>
      </c>
      <c r="T66" s="632"/>
      <c r="U66" s="633">
        <f>IF(MONTH(Factores!$D$2)=1,SUM($F66:F66),IF(MONTH(Factores!$D$2)=2,SUM($F66:G66),IF(MONTH(Factores!$D$2)=3,SUM($F66:H66),IF(MONTH(Factores!$D$2)=4,SUM($F66:I66),IF(MONTH(Factores!$D$2)=5,SUM($F66:J66),IF(MONTH(Factores!$D$2)=6,SUM($F66:K66),IF(MONTH(Factores!$D$2)=7,SUM($F66:L66),IF(MONTH(Factores!$D$2)=8,SUM($F66:M66),IF(MONTH(Factores!$D$2)=9,SUM($F66:N66),IF(MONTH(Factores!$D$2)=10,SUM($F66:O66),IF(MONTH(Factores!$D$2)=11,SUM($F66:P66),IF(MONTH(Factores!$D$2)=12,SUM($F66:Q66)))))))))))))</f>
        <v>2.202594070351759</v>
      </c>
      <c r="V66" s="633">
        <f>IF(MONTH(Factores!$D$2)=1,SUM($F66:F66),IF(MONTH(Factores!$D$2)=2,SUM($F66:F66),IF(MONTH(Factores!$D$2)=3,SUM($F66:G66),IF(MONTH(Factores!$D$2)=4,SUM($F66:H66),IF(MONTH(Factores!$D$2)=5,SUM($F66:I66),IF(MONTH(Factores!$D$2)=6,SUM($F66:J66),IF(MONTH(Factores!$D$2)=7,SUM($F66:K66),IF(MONTH(Factores!$D$2)=8,SUM($F66:L66),IF(MONTH(Factores!$D$2)=9,SUM($F66:M66),IF(MONTH(Factores!$D$2)=10,SUM($F66:N66),IF(MONTH(Factores!$D$2)=11,SUM($F66:O66),IF(MONTH(Factores!$D$2)=12,SUM($F66:P66)))))))))))))</f>
        <v>1.4747323618090453</v>
      </c>
    </row>
    <row r="67" spans="3:22" ht="30" customHeight="1">
      <c r="C67" s="523" t="s">
        <v>996</v>
      </c>
      <c r="D67" s="702" t="s">
        <v>198</v>
      </c>
      <c r="E67" s="524"/>
      <c r="F67" s="2109">
        <v>-4.0005898492462388E-2</v>
      </c>
      <c r="G67" s="2109">
        <v>6.6845436683417025E-2</v>
      </c>
      <c r="H67" s="2109">
        <v>-7.3350808542713586E-2</v>
      </c>
      <c r="I67" s="2109">
        <v>0.11500796834170846</v>
      </c>
      <c r="J67" s="2109">
        <v>1.5028920100502496E-2</v>
      </c>
      <c r="K67" s="2109">
        <v>5.6259103015075307E-2</v>
      </c>
      <c r="L67" s="2109">
        <v>-0.11678058944723624</v>
      </c>
      <c r="M67" s="2109">
        <v>7.4114379191549951E-3</v>
      </c>
      <c r="N67" s="2109">
        <f>N65-N66</f>
        <v>0</v>
      </c>
      <c r="O67" s="2109">
        <f>O65-O66</f>
        <v>0</v>
      </c>
      <c r="P67" s="2109">
        <f>P65-P66</f>
        <v>0</v>
      </c>
      <c r="Q67" s="2109">
        <f>Q65-Q66</f>
        <v>0</v>
      </c>
      <c r="R67" s="632"/>
      <c r="S67" s="706">
        <f t="shared" si="1"/>
        <v>3.0415569577446067E-2</v>
      </c>
      <c r="T67" s="632"/>
      <c r="U67" s="633">
        <f>IF(MONTH(Factores!$D$2)=1,SUM($F67:F67),IF(MONTH(Factores!$D$2)=2,SUM($F67:G67),IF(MONTH(Factores!$D$2)=3,SUM($F67:H67),IF(MONTH(Factores!$D$2)=4,SUM($F67:I67),IF(MONTH(Factores!$D$2)=5,SUM($F67:J67),IF(MONTH(Factores!$D$2)=6,SUM($F67:K67),IF(MONTH(Factores!$D$2)=7,SUM($F67:L67),IF(MONTH(Factores!$D$2)=8,SUM($F67:M67),IF(MONTH(Factores!$D$2)=9,SUM($F67:N67),IF(MONTH(Factores!$D$2)=10,SUM($F67:O67),IF(MONTH(Factores!$D$2)=11,SUM($F67:P67),IF(MONTH(Factores!$D$2)=12,SUM($F67:Q67)))))))))))))</f>
        <v>-4.6511270351758949E-2</v>
      </c>
      <c r="V67" s="633">
        <f>IF(MONTH(Factores!$D$2)=1,SUM($F67:F67),IF(MONTH(Factores!$D$2)=2,SUM($F67:F67),IF(MONTH(Factores!$D$2)=3,SUM($F67:G67),IF(MONTH(Factores!$D$2)=4,SUM($F67:H67),IF(MONTH(Factores!$D$2)=5,SUM($F67:I67),IF(MONTH(Factores!$D$2)=6,SUM($F67:J67),IF(MONTH(Factores!$D$2)=7,SUM($F67:K67),IF(MONTH(Factores!$D$2)=8,SUM($F67:L67),IF(MONTH(Factores!$D$2)=9,SUM($F67:M67),IF(MONTH(Factores!$D$2)=10,SUM($F67:N67),IF(MONTH(Factores!$D$2)=11,SUM($F67:O67),IF(MONTH(Factores!$D$2)=12,SUM($F67:P67)))))))))))))</f>
        <v>2.6839538190954637E-2</v>
      </c>
    </row>
  </sheetData>
  <mergeCells count="3">
    <mergeCell ref="S4:S5"/>
    <mergeCell ref="C4:C5"/>
    <mergeCell ref="D4:D5"/>
  </mergeCells>
  <phoneticPr fontId="0" type="noConversion"/>
  <printOptions horizontalCentered="1"/>
  <pageMargins left="0.39370078740157483" right="0.2" top="1.32" bottom="0.59055118110236227" header="0.59055118110236227" footer="0"/>
  <pageSetup scale="75" orientation="landscape" r:id="rId1"/>
  <headerFooter alignWithMargins="0">
    <oddHeader>&amp;C&amp;A</oddHeader>
    <oddFooter>Respaldo Costos Abril 2000.xls&amp;RPágina 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id="{63E94733-C3E3-4971-A2EA-E032210A95E1}">
            <xm:f>MONTH($F$4)=MONTH(Factores!$D$2)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35" id="{C4EF5335-ECDC-40A3-97EA-616C9E7623D7}">
            <xm:f>MONTH($F$4)&lt;MONTH(Factores!$D$2)</xm:f>
            <x14:dxf>
              <fill>
                <patternFill>
                  <bgColor rgb="FF66FF33"/>
                </patternFill>
              </fill>
            </x14:dxf>
          </x14:cfRule>
          <xm:sqref>F6:F67</xm:sqref>
        </x14:conditionalFormatting>
        <x14:conditionalFormatting xmlns:xm="http://schemas.microsoft.com/office/excel/2006/main">
          <x14:cfRule type="expression" priority="33" id="{2CDDD499-3CAF-4E29-A7E3-046353D6D2DD}">
            <xm:f>MONTH($G$4)&lt;MONTH(Factores!$D$2)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32" id="{9B364A08-6A07-4C25-B949-802E6566CD14}">
            <xm:f>MONTH($G$4)&gt;MONTH(Factores!$D$2)</xm:f>
            <x14:dxf>
              <fill>
                <patternFill>
                  <bgColor rgb="FFFFC000"/>
                </patternFill>
              </fill>
            </x14:dxf>
          </x14:cfRule>
          <x14:cfRule type="expression" priority="34" id="{3D71D681-DEAE-4C0E-8A90-6684E1A0FE87}">
            <xm:f>MONTH($G$4)=MONTH(Factores!$D$2)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m:sqref>G6:G67</xm:sqref>
        </x14:conditionalFormatting>
        <x14:conditionalFormatting xmlns:xm="http://schemas.microsoft.com/office/excel/2006/main">
          <x14:cfRule type="expression" priority="31" id="{094A22F0-F55D-407F-B028-697099E85285}">
            <xm:f>MONTH($H$4)=MONTH(Factores!$D$2)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30" id="{28FBCA97-4B9A-4529-B6B3-C9578AB8B629}">
            <xm:f>MONTH($H$4)&lt;MONTH(Factores!$D$2)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29" id="{B0BC30E3-DBDE-4708-99E9-155EB9BF2B3F}">
            <xm:f>MONTH($H$4)&gt;MONTH(Factores!$D$2)</xm:f>
            <x14:dxf>
              <fill>
                <patternFill>
                  <bgColor rgb="FFFFC000"/>
                </patternFill>
              </fill>
            </x14:dxf>
          </x14:cfRule>
          <xm:sqref>H6:H67</xm:sqref>
        </x14:conditionalFormatting>
        <x14:conditionalFormatting xmlns:xm="http://schemas.microsoft.com/office/excel/2006/main">
          <x14:cfRule type="expression" priority="28" id="{9D9FE430-0EFE-4C2F-BBB1-61721D472340}">
            <xm:f>MONTH($I$4)=MONTH(Factores!$D$2)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27" id="{C3F9EB3E-5E99-41AB-971E-1978B24E9FAE}">
            <xm:f>MONTH($I$4)&lt;MONTH(Factores!$D$2)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26" id="{E258B9E7-676B-406A-8A41-9F3821D1EAE0}">
            <xm:f>MONTH($I$4)&gt;MONTH(Factores!$D$2)</xm:f>
            <x14:dxf>
              <fill>
                <patternFill>
                  <bgColor rgb="FFFFC000"/>
                </patternFill>
              </fill>
            </x14:dxf>
          </x14:cfRule>
          <xm:sqref>I6:I67</xm:sqref>
        </x14:conditionalFormatting>
        <x14:conditionalFormatting xmlns:xm="http://schemas.microsoft.com/office/excel/2006/main">
          <x14:cfRule type="expression" priority="25" id="{2CD93976-DA52-416F-A7DC-747CA19C48C7}">
            <xm:f>MONTH($J$4)=MONTH(Factores!$D$2)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24" id="{2EE674D7-902A-4FC1-BFD9-8BBD3156B069}">
            <xm:f>MONTH($J$4)&lt;MONTH(Factores!$D$2)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23" id="{E5D1763D-F5DF-4047-A026-189DEC0D31F9}">
            <xm:f>MONTH($J$4)&gt;MONTH(Factores!$D$2)</xm:f>
            <x14:dxf>
              <fill>
                <patternFill>
                  <bgColor rgb="FFFFC000"/>
                </patternFill>
              </fill>
            </x14:dxf>
          </x14:cfRule>
          <xm:sqref>J6:J67</xm:sqref>
        </x14:conditionalFormatting>
        <x14:conditionalFormatting xmlns:xm="http://schemas.microsoft.com/office/excel/2006/main">
          <x14:cfRule type="expression" priority="22" id="{F54C32A9-195A-4BDB-8985-1D7C56967C7B}">
            <xm:f>MONTH($K$4)=MONTH(Factores!$D$2)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21" id="{A9710861-3E61-4A54-B0C9-506ED2AE019E}">
            <xm:f>MONTH($K$4)&lt;MONTH(Factores!$D$2)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20" id="{4AB6857C-066D-4DCF-9241-F065F0DED295}">
            <xm:f>MONTH($K$4)&gt;MONTH(Factores!$D$2)</xm:f>
            <x14:dxf>
              <fill>
                <patternFill>
                  <bgColor rgb="FFFFC000"/>
                </patternFill>
              </fill>
            </x14:dxf>
          </x14:cfRule>
          <xm:sqref>K6:K67</xm:sqref>
        </x14:conditionalFormatting>
        <x14:conditionalFormatting xmlns:xm="http://schemas.microsoft.com/office/excel/2006/main">
          <x14:cfRule type="expression" priority="19" id="{4BE0EE06-A01A-4157-B25F-681034D20D02}">
            <xm:f>MONTH($L$4)=MONTH(Factores!$D$2)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7" id="{BEC5CD9A-7E20-4CF8-981E-0FEE5B8E533E}">
            <xm:f>MONTH($L$4)&gt;MONTH(Factores!$D$2)</xm:f>
            <x14:dxf>
              <fill>
                <patternFill>
                  <bgColor rgb="FFFFC000"/>
                </patternFill>
              </fill>
            </x14:dxf>
          </x14:cfRule>
          <x14:cfRule type="expression" priority="18" id="{28BF3F61-FB48-4267-B306-449736AB6D2A}">
            <xm:f>MONTH($L$4)&lt;MONTH(Factores!$D$2)</xm:f>
            <x14:dxf>
              <fill>
                <patternFill>
                  <bgColor rgb="FF66FF33"/>
                </patternFill>
              </fill>
            </x14:dxf>
          </x14:cfRule>
          <xm:sqref>L6:L67</xm:sqref>
        </x14:conditionalFormatting>
        <x14:conditionalFormatting xmlns:xm="http://schemas.microsoft.com/office/excel/2006/main">
          <x14:cfRule type="expression" priority="13" id="{9E7A0A21-98B4-49A6-BE1E-DCDBF8160EED}">
            <xm:f>MONTH($M$4)&gt;MONTH(Factores!$D$2)</xm:f>
            <x14:dxf>
              <fill>
                <patternFill>
                  <bgColor rgb="FFFFC000"/>
                </patternFill>
              </fill>
            </x14:dxf>
          </x14:cfRule>
          <x14:cfRule type="expression" priority="16" id="{1B3CC04C-751E-4270-B97C-05BD503F6D9B}">
            <xm:f>MONTH($M$4)=MONTH(Factores!$D$2)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4" id="{EA593327-C15D-4BFB-B8B3-3E2518B7F170}">
            <xm:f>MONTH($M$4)&lt;MONTH(Factores!$D$2)</xm:f>
            <x14:dxf>
              <fill>
                <patternFill>
                  <bgColor rgb="FF66FF33"/>
                </patternFill>
              </fill>
            </x14:dxf>
          </x14:cfRule>
          <xm:sqref>M6:M67</xm:sqref>
        </x14:conditionalFormatting>
        <x14:conditionalFormatting xmlns:xm="http://schemas.microsoft.com/office/excel/2006/main">
          <x14:cfRule type="expression" priority="12" id="{D561B0A8-3D6C-448B-B013-6251560055A2}">
            <xm:f>MONTH($N$4)=MONTH(Factores!$D$2)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1" id="{3704A6A8-AD52-438F-A4D0-702706FBB817}">
            <xm:f>MONTH($N$4)&lt;MONTH(Factores!$D$2)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10" id="{C1750F10-038F-45B4-A68C-8C70B27A0587}">
            <xm:f>MONTH($N$4)&gt;MONTH(Factores!$D$2)</xm:f>
            <x14:dxf>
              <fill>
                <patternFill>
                  <bgColor rgb="FFFFC000"/>
                </patternFill>
              </fill>
            </x14:dxf>
          </x14:cfRule>
          <xm:sqref>N6:N67</xm:sqref>
        </x14:conditionalFormatting>
        <x14:conditionalFormatting xmlns:xm="http://schemas.microsoft.com/office/excel/2006/main">
          <x14:cfRule type="expression" priority="9" id="{592D8367-AA04-4E5D-9818-E2733C5DE830}">
            <xm:f>MONTH($O$4)=MONTH(Factores!$D$2)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8" id="{1B52C45C-7D10-41D9-ADAE-B048D07BB084}">
            <xm:f>MONTH($O$4)&lt;MONTH(Factores!$D$2)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7" id="{098EBC6F-E619-43FF-AE3B-AF3469E41798}">
            <xm:f>MONTH($O$4)&gt;MONTH(Factores!$D$2)</xm:f>
            <x14:dxf>
              <fill>
                <patternFill>
                  <bgColor rgb="FFFFC000"/>
                </patternFill>
              </fill>
            </x14:dxf>
          </x14:cfRule>
          <xm:sqref>O6:O67 P13:Q18 P20:Q26 P34:Q55 P62:Q67</xm:sqref>
        </x14:conditionalFormatting>
        <x14:conditionalFormatting xmlns:xm="http://schemas.microsoft.com/office/excel/2006/main">
          <x14:cfRule type="expression" priority="6" id="{75F07457-2EB1-4496-91CA-0809FC57E6E8}">
            <xm:f>MONTH($P$4)=MONTH(Factores!$D$2)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5" id="{7BADCCAD-30A4-4F09-BB03-94D112E35417}">
            <xm:f>MONTH($P$4)&lt;MONTH(Factores!$D$2)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4" id="{AD4C7585-92A9-4B07-B331-498DEEAF1ADE}">
            <xm:f>MONTH($P$4)&gt;MONTH(Factores!$D$2)</xm:f>
            <x14:dxf>
              <fill>
                <patternFill>
                  <bgColor rgb="FFFFC000"/>
                </patternFill>
              </fill>
            </x14:dxf>
          </x14:cfRule>
          <xm:sqref>P6:P12 P19 P27:P33 P56:P61</xm:sqref>
        </x14:conditionalFormatting>
        <x14:conditionalFormatting xmlns:xm="http://schemas.microsoft.com/office/excel/2006/main">
          <x14:cfRule type="expression" priority="3" id="{05C55665-82B4-4541-A617-ABAA4D66F7F8}">
            <xm:f>MONTH($Q$4)=MONTH(Factores!$D$2)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2" id="{0C5F0C29-8E08-4F87-99D6-B9ED7F306DCB}">
            <xm:f>MONTH($Q$4)&lt;MONTH(Factores!$D$2)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1" id="{85AB0B4B-DEDF-4524-9FFA-548C743875C9}">
            <xm:f>MONTH($Q$4)&gt;MONTH(Factores!$D$2)</xm:f>
            <x14:dxf>
              <fill>
                <patternFill>
                  <bgColor rgb="FFFFC000"/>
                </patternFill>
              </fill>
            </x14:dxf>
          </x14:cfRule>
          <xm:sqref>Q6:Q12 Q19 Q27:Q33 Q56:Q61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tabColor indexed="61"/>
    <pageSetUpPr fitToPage="1"/>
  </sheetPr>
  <dimension ref="A1:V65"/>
  <sheetViews>
    <sheetView zoomScale="55" zoomScaleNormal="55" workbookViewId="0">
      <selection activeCell="Y44" sqref="Y44"/>
    </sheetView>
  </sheetViews>
  <sheetFormatPr baseColWidth="10" defaultColWidth="13" defaultRowHeight="15.5"/>
  <cols>
    <col min="1" max="1" width="9" style="426" customWidth="1"/>
    <col min="2" max="2" width="7.453125" style="426" customWidth="1"/>
    <col min="3" max="3" width="41.453125" style="426" customWidth="1"/>
    <col min="4" max="4" width="8.54296875" style="73" customWidth="1"/>
    <col min="5" max="5" width="2" style="426" customWidth="1"/>
    <col min="6" max="7" width="9.54296875" style="426" customWidth="1"/>
    <col min="8" max="8" width="10.54296875" style="426" customWidth="1"/>
    <col min="9" max="9" width="9.54296875" style="426" customWidth="1"/>
    <col min="10" max="10" width="11.453125" style="426" customWidth="1"/>
    <col min="11" max="12" width="9.54296875" style="426" customWidth="1"/>
    <col min="13" max="13" width="10.453125" style="426" customWidth="1"/>
    <col min="14" max="15" width="9.54296875" style="426" customWidth="1"/>
    <col min="16" max="16" width="10.54296875" style="426" customWidth="1"/>
    <col min="17" max="17" width="10.453125" style="426" customWidth="1"/>
    <col min="18" max="18" width="1.453125" style="426" customWidth="1"/>
    <col min="19" max="19" width="16" style="73" customWidth="1"/>
    <col min="20" max="20" width="2.453125" style="426" customWidth="1"/>
    <col min="21" max="22" width="13" style="426"/>
    <col min="23" max="24" width="13" style="220"/>
    <col min="25" max="25" width="21.54296875" style="220" customWidth="1"/>
    <col min="26" max="29" width="13" style="220"/>
    <col min="30" max="33" width="16.453125" style="220" bestFit="1" customWidth="1"/>
    <col min="34" max="45" width="13" style="220"/>
    <col min="46" max="49" width="16.453125" style="220" bestFit="1" customWidth="1"/>
    <col min="50" max="89" width="13" style="220"/>
    <col min="90" max="90" width="29.54296875" style="220" customWidth="1"/>
    <col min="91" max="96" width="13" style="220"/>
    <col min="97" max="97" width="25" style="220" customWidth="1"/>
    <col min="98" max="16384" width="13" style="220"/>
  </cols>
  <sheetData>
    <row r="1" spans="3:22">
      <c r="C1" s="562"/>
      <c r="D1" s="604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604"/>
      <c r="R1" s="563"/>
      <c r="S1" s="604"/>
    </row>
    <row r="2" spans="3:22" ht="16" thickBot="1">
      <c r="C2" s="563"/>
      <c r="D2" s="604"/>
      <c r="E2" s="563"/>
      <c r="F2" s="563"/>
      <c r="G2" s="563"/>
      <c r="H2" s="563"/>
      <c r="I2" s="563"/>
      <c r="J2" s="563"/>
      <c r="K2" s="563"/>
      <c r="L2" s="563"/>
      <c r="M2" s="563"/>
      <c r="N2" s="563"/>
      <c r="O2" s="563"/>
      <c r="P2" s="563"/>
      <c r="Q2" s="563"/>
      <c r="R2" s="563"/>
      <c r="S2" s="604"/>
    </row>
    <row r="3" spans="3:22" ht="33" customHeight="1" thickBot="1">
      <c r="C3" s="507"/>
      <c r="D3" s="598"/>
      <c r="E3" s="508"/>
      <c r="F3" s="508"/>
      <c r="G3" s="508"/>
      <c r="H3" s="508"/>
      <c r="I3" s="508" t="str">
        <f>'R+RP+B'!I3</f>
        <v>PROGRAMA DE PRODUCCIÓN 2026</v>
      </c>
      <c r="J3" s="508"/>
      <c r="K3" s="508"/>
      <c r="L3" s="508"/>
      <c r="M3" s="508"/>
      <c r="N3" s="508"/>
      <c r="O3" s="508"/>
      <c r="P3" s="508"/>
      <c r="Q3" s="508"/>
      <c r="R3" s="508"/>
      <c r="S3" s="599"/>
      <c r="T3" s="565"/>
    </row>
    <row r="4" spans="3:22" ht="24" customHeight="1">
      <c r="C4" s="4807"/>
      <c r="D4" s="4809" t="s">
        <v>159</v>
      </c>
      <c r="E4" s="521"/>
      <c r="F4" s="234">
        <f>'R+RP+B'!F4</f>
        <v>46023</v>
      </c>
      <c r="G4" s="234">
        <f>'R+RP+B'!G4</f>
        <v>46054</v>
      </c>
      <c r="H4" s="234">
        <f>'R+RP+B'!H4</f>
        <v>46082</v>
      </c>
      <c r="I4" s="234">
        <f>'R+RP+B'!I4</f>
        <v>46113</v>
      </c>
      <c r="J4" s="234">
        <f>'R+RP+B'!J4</f>
        <v>46143</v>
      </c>
      <c r="K4" s="234">
        <f>'R+RP+B'!K4</f>
        <v>46174</v>
      </c>
      <c r="L4" s="234">
        <f>'R+RP+B'!L4</f>
        <v>46204</v>
      </c>
      <c r="M4" s="234">
        <f>'R+RP+B'!M4</f>
        <v>46235</v>
      </c>
      <c r="N4" s="234">
        <f>'R+RP+B'!N4</f>
        <v>46266</v>
      </c>
      <c r="O4" s="234">
        <f>'R+RP+B'!O4</f>
        <v>46296</v>
      </c>
      <c r="P4" s="234">
        <f>'R+RP+B'!P4</f>
        <v>46327</v>
      </c>
      <c r="Q4" s="234">
        <f>'R+RP+B'!Q4</f>
        <v>46357</v>
      </c>
      <c r="R4" s="513"/>
      <c r="S4" s="4805" t="s">
        <v>192</v>
      </c>
      <c r="U4" s="566" t="s">
        <v>193</v>
      </c>
      <c r="V4" s="566" t="s">
        <v>193</v>
      </c>
    </row>
    <row r="5" spans="3:22" ht="19.5" customHeight="1" thickBot="1">
      <c r="C5" s="4808"/>
      <c r="D5" s="4810"/>
      <c r="E5" s="516"/>
      <c r="F5" s="235" t="str">
        <f>IF('R+RS+B'!F5="Bdgt","OL",'R+RS+B'!F5)</f>
        <v>Real</v>
      </c>
      <c r="G5" s="235" t="str">
        <f>IF('R+RS+B'!G5="Bdgt","OL",'R+RS+B'!G5)</f>
        <v>Real</v>
      </c>
      <c r="H5" s="235" t="str">
        <f>IF('R+RS+B'!H5="Bdgt","OL",'R+RS+B'!H5)</f>
        <v>R+ST</v>
      </c>
      <c r="I5" s="235" t="str">
        <f>IF('R+RS+B'!I5="Bdgt","OL",'R+RS+B'!I5)</f>
        <v>OL</v>
      </c>
      <c r="J5" s="235" t="str">
        <f>IF('R+RS+B'!J5="Bdgt","OL",'R+RS+B'!J5)</f>
        <v>OL</v>
      </c>
      <c r="K5" s="235" t="str">
        <f>IF('R+RS+B'!K5="Bdgt","OL",'R+RS+B'!K5)</f>
        <v>OL</v>
      </c>
      <c r="L5" s="235" t="str">
        <f>IF('R+RS+B'!L5="Bdgt","OL",'R+RS+B'!L5)</f>
        <v>OL</v>
      </c>
      <c r="M5" s="235" t="str">
        <f>IF('R+RS+B'!M5="Bdgt","OL",'R+RS+B'!M5)</f>
        <v>OL</v>
      </c>
      <c r="N5" s="235" t="str">
        <f>IF('R+RS+B'!N5="Bdgt","OL",'R+RS+B'!N5)</f>
        <v>OL</v>
      </c>
      <c r="O5" s="235" t="str">
        <f>IF('R+RS+B'!O5="Bdgt","OL",'R+RS+B'!O5)</f>
        <v>OL</v>
      </c>
      <c r="P5" s="235" t="str">
        <f>IF('R+RS+B'!P5="Bdgt","OL",'R+RS+B'!P5)</f>
        <v>OL</v>
      </c>
      <c r="Q5" s="235" t="str">
        <f>IF('R+RS+B'!Q5="Bdgt","OL",'R+RS+B'!Q5)</f>
        <v>OL</v>
      </c>
      <c r="R5" s="518"/>
      <c r="S5" s="4806"/>
      <c r="U5" s="566" t="s">
        <v>194</v>
      </c>
      <c r="V5" s="566" t="s">
        <v>195</v>
      </c>
    </row>
    <row r="6" spans="3:22" ht="30" customHeight="1">
      <c r="C6" s="523" t="str">
        <f>'R+RP+B'!C6</f>
        <v>Dia</v>
      </c>
      <c r="D6" s="702"/>
      <c r="F6" s="105">
        <f>'R+RP+B'!F6</f>
        <v>30.5</v>
      </c>
      <c r="G6" s="105">
        <f>'R+RP+B'!G6</f>
        <v>28.5</v>
      </c>
      <c r="H6" s="105">
        <f>'R+RP+B'!H6</f>
        <v>31</v>
      </c>
      <c r="I6" s="105">
        <f>'R+RP+B'!I6</f>
        <v>30</v>
      </c>
      <c r="J6" s="105">
        <f>'R+RP+B'!J6</f>
        <v>31</v>
      </c>
      <c r="K6" s="105">
        <f>'R+RP+B'!K6</f>
        <v>30</v>
      </c>
      <c r="L6" s="105">
        <f>'R+RP+B'!L6</f>
        <v>31</v>
      </c>
      <c r="M6" s="105">
        <f>'R+RP+B'!M6</f>
        <v>31</v>
      </c>
      <c r="N6" s="105">
        <f>'R+RP+B'!N6</f>
        <v>30</v>
      </c>
      <c r="O6" s="105">
        <f>'R+RP+B'!O6</f>
        <v>31</v>
      </c>
      <c r="P6" s="105">
        <f>'R+RP+B'!P6</f>
        <v>30</v>
      </c>
      <c r="Q6" s="105">
        <f>'R+RP+B'!Q6</f>
        <v>31.5</v>
      </c>
      <c r="R6" s="433"/>
      <c r="S6" s="105">
        <f>SUM(F6:Q6)</f>
        <v>365.5</v>
      </c>
      <c r="T6" s="433"/>
      <c r="U6" s="222">
        <f>IF(MONTH(Factores!$D$2)=1,SUM($F6:F6),IF(MONTH(Factores!$D$2)=2,SUM($F6:G6),IF(MONTH(Factores!$D$2)=3,SUM($F6:H6),IF(MONTH(Factores!$D$2)=4,SUM($F6:I6),IF(MONTH(Factores!$D$2)=5,SUM($F6:J6),IF(MONTH(Factores!$D$2)=6,SUM($F6:K6),IF(MONTH(Factores!$D$2)=7,SUM($F6:L6),IF(MONTH(Factores!$D$2)=8,SUM($F6:M6),IF(MONTH(Factores!$D$2)=9,SUM($F6:N6),IF(MONTH(Factores!$D$2)=10,SUM($F6:O6),IF(MONTH(Factores!$D$2)=11,SUM($F6:P6),IF(MONTH(Factores!$D$2)=12,SUM($F6:Q6)))))))))))))</f>
        <v>90</v>
      </c>
      <c r="V6" s="222">
        <f>IF(MONTH(Factores!$D$2)=1,SUM($F6:F6),IF(MONTH(Factores!$D$2)=2,SUM($F6:F6),IF(MONTH(Factores!$D$2)=3,SUM($F6:G6),IF(MONTH(Factores!$D$2)=4,SUM($F6:H6),IF(MONTH(Factores!$D$2)=5,SUM($F6:I6),IF(MONTH(Factores!$D$2)=6,SUM($F6:J6),IF(MONTH(Factores!$D$2)=7,SUM($F6:K6),IF(MONTH(Factores!$D$2)=8,SUM($F6:L6),IF(MONTH(Factores!$D$2)=9,SUM($F6:M6),IF(MONTH(Factores!$D$2)=10,SUM($F6:N6),IF(MONTH(Factores!$D$2)=11,SUM($F6:O6),IF(MONTH(Factores!$D$2)=12,SUM($F6:P6)))))))))))))</f>
        <v>59</v>
      </c>
    </row>
    <row r="7" spans="3:22" ht="30" customHeight="1">
      <c r="C7" s="71" t="e">
        <f>'R+RP+B'!#REF!</f>
        <v>#REF!</v>
      </c>
      <c r="D7" s="72" t="s">
        <v>198</v>
      </c>
      <c r="E7" s="567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3"/>
      <c r="S7" s="694"/>
      <c r="U7" s="74"/>
      <c r="V7" s="74"/>
    </row>
    <row r="8" spans="3:22" ht="30" customHeight="1">
      <c r="C8" s="75" t="e">
        <f>'R+RP+B'!#REF!</f>
        <v>#REF!</v>
      </c>
      <c r="D8" s="76" t="s">
        <v>198</v>
      </c>
      <c r="E8" s="567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73"/>
      <c r="S8" s="694"/>
      <c r="U8" s="74"/>
      <c r="V8" s="74"/>
    </row>
    <row r="9" spans="3:22" ht="30" customHeight="1">
      <c r="C9" s="71" t="e">
        <f>'R+RP+B'!#REF!</f>
        <v>#REF!</v>
      </c>
      <c r="D9" s="76" t="s">
        <v>198</v>
      </c>
      <c r="E9" s="566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3"/>
      <c r="S9" s="694"/>
      <c r="U9" s="74"/>
      <c r="V9" s="74"/>
    </row>
    <row r="10" spans="3:22" ht="30" customHeight="1">
      <c r="C10" s="71" t="e">
        <f>'R+RP+B'!#REF!</f>
        <v>#REF!</v>
      </c>
      <c r="D10" s="76" t="s">
        <v>198</v>
      </c>
      <c r="E10" s="566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73"/>
      <c r="S10" s="419"/>
      <c r="U10" s="74"/>
      <c r="V10" s="74"/>
    </row>
    <row r="11" spans="3:22" ht="30" customHeight="1">
      <c r="C11" s="71" t="e">
        <f>'R+RP+B'!#REF!</f>
        <v>#REF!</v>
      </c>
      <c r="D11" s="72" t="s">
        <v>198</v>
      </c>
      <c r="E11" s="567"/>
      <c r="F11" s="109" t="e">
        <f>IF(F5="ol",'0+12'!E11,'R+RS+B'!F11)</f>
        <v>#REF!</v>
      </c>
      <c r="G11" s="109" t="e">
        <f>IF(G5="ol",'0+12'!F11,'R+RS+B'!G11)</f>
        <v>#REF!</v>
      </c>
      <c r="H11" s="109" t="e">
        <f>IF(H5="ol",'0+12'!G11,'R+RS+B'!H11)</f>
        <v>#REF!</v>
      </c>
      <c r="I11" s="109">
        <f>IF(I5="ol",'0+12'!H11,'R+RS+B'!I11)</f>
        <v>0</v>
      </c>
      <c r="J11" s="109">
        <f>IF(J5="ol",'0+12'!I11,'R+RS+B'!J11)</f>
        <v>0</v>
      </c>
      <c r="K11" s="109">
        <f>IF(K5="ol",'0+12'!J11,'R+RS+B'!K11)</f>
        <v>0</v>
      </c>
      <c r="L11" s="109">
        <f>IF(L5="ol",'0+12'!K11,'R+RS+B'!L11)</f>
        <v>0</v>
      </c>
      <c r="M11" s="109">
        <f>IF(M5="ol",'0+12'!L11,'R+RS+B'!M11)</f>
        <v>0</v>
      </c>
      <c r="N11" s="109">
        <f>IF(N5="ol",'0+12'!M11,'R+RS+B'!N11)</f>
        <v>0</v>
      </c>
      <c r="O11" s="109">
        <f>IF(O5="ol",'0+12'!N11,'R+RS+B'!O11)</f>
        <v>0</v>
      </c>
      <c r="P11" s="109">
        <f>IF(P5="ol",'0+12'!O11,'R+RS+B'!P11)</f>
        <v>0</v>
      </c>
      <c r="Q11" s="109">
        <f>IF(Q5="ol",'0+12'!P11,'R+RS+B'!Q11)</f>
        <v>0</v>
      </c>
      <c r="R11" s="534"/>
      <c r="S11" s="100" t="e">
        <f>SUM(F11:Q11)</f>
        <v>#REF!</v>
      </c>
      <c r="T11" s="600"/>
      <c r="U11" s="315" t="e">
        <f>IF(MONTH(Factores!$D$2)=1,SUM($F11:F11),IF(MONTH(Factores!$D$2)=2,SUM($F11:G11),IF(MONTH(Factores!$D$2)=3,SUM($F11:H11),IF(MONTH(Factores!$D$2)=4,SUM($F11:I11),IF(MONTH(Factores!$D$2)=5,SUM($F11:J11),IF(MONTH(Factores!$D$2)=6,SUM($F11:K11),IF(MONTH(Factores!$D$2)=7,SUM($F11:L11),IF(MONTH(Factores!$D$2)=8,SUM($F11:M11),IF(MONTH(Factores!$D$2)=9,SUM($F11:N11),IF(MONTH(Factores!$D$2)=10,SUM($F11:O11),IF(MONTH(Factores!$D$2)=11,SUM($F11:P11),IF(MONTH(Factores!$D$2)=12,SUM($F11:Q11)))))))))))))</f>
        <v>#REF!</v>
      </c>
      <c r="V11" s="315" t="e">
        <f>IF(MONTH(Factores!$D$2)=1,SUM($F11:F11),IF(MONTH(Factores!$D$2)=2,SUM($F11:F11),IF(MONTH(Factores!$D$2)=3,SUM($F11:G11),IF(MONTH(Factores!$D$2)=4,SUM($F11:H11),IF(MONTH(Factores!$D$2)=5,SUM($F11:I11),IF(MONTH(Factores!$D$2)=6,SUM($F11:J11),IF(MONTH(Factores!$D$2)=7,SUM($F11:K11),IF(MONTH(Factores!$D$2)=8,SUM($F11:L11),IF(MONTH(Factores!$D$2)=9,SUM($F11:M11),IF(MONTH(Factores!$D$2)=10,SUM($F11:N11),IF(MONTH(Factores!$D$2)=11,SUM($F11:O11),IF(MONTH(Factores!$D$2)=12,SUM($F11:P11)))))))))))))</f>
        <v>#REF!</v>
      </c>
    </row>
    <row r="12" spans="3:22">
      <c r="F12" s="535"/>
      <c r="G12" s="535"/>
      <c r="H12" s="535"/>
      <c r="I12" s="535"/>
      <c r="J12" s="535"/>
      <c r="K12" s="535"/>
      <c r="L12" s="535"/>
      <c r="M12" s="535"/>
      <c r="N12" s="535"/>
      <c r="O12" s="535"/>
      <c r="P12" s="535"/>
      <c r="Q12" s="535"/>
      <c r="S12" s="696"/>
      <c r="T12" s="631"/>
      <c r="U12" s="199"/>
      <c r="V12" s="199"/>
    </row>
    <row r="13" spans="3:22" s="426" customFormat="1" ht="30" customHeight="1">
      <c r="C13" s="78" t="str">
        <f>'R+RP+B'!C8</f>
        <v>Fino Cu Equivalente Producido</v>
      </c>
      <c r="D13" s="79" t="s">
        <v>204</v>
      </c>
      <c r="E13" s="80"/>
      <c r="F13" s="112">
        <f>IF(F5="ol",'0+12'!E13,'R+RS+B'!F13)</f>
        <v>20.773837341654339</v>
      </c>
      <c r="G13" s="112">
        <f>IF(G5="ol",'0+12'!F13,'R+RS+B'!G13)</f>
        <v>25.154047005162397</v>
      </c>
      <c r="H13" s="112">
        <f>IF(H5="ol",'0+12'!G13,'R+RS+B'!H13)</f>
        <v>30.218184921465301</v>
      </c>
      <c r="I13" s="112">
        <f>IF(I5="ol",'0+12'!H13,'R+RS+B'!I13)</f>
        <v>0</v>
      </c>
      <c r="J13" s="112">
        <f>IF(J5="ol",'0+12'!I13,'R+RS+B'!J13)</f>
        <v>0</v>
      </c>
      <c r="K13" s="112">
        <f>IF(K5="ol",'0+12'!J13,'R+RS+B'!K13)</f>
        <v>0</v>
      </c>
      <c r="L13" s="112">
        <f>IF(L5="ol",'0+12'!K13,'R+RS+B'!L13)</f>
        <v>0</v>
      </c>
      <c r="M13" s="112">
        <f>IF(M5="ol",'0+12'!L13,'R+RS+B'!M13)</f>
        <v>0</v>
      </c>
      <c r="N13" s="112">
        <f>IF(N5="ol",'0+12'!M13,'R+RS+B'!N13)</f>
        <v>0</v>
      </c>
      <c r="O13" s="112">
        <f>IF(O5="ol",'0+12'!N13,'R+RS+B'!O13)</f>
        <v>0</v>
      </c>
      <c r="P13" s="112">
        <f>IF(P5="ol",'0+12'!O13,'R+RS+B'!P13)</f>
        <v>0</v>
      </c>
      <c r="Q13" s="112">
        <f>IF(Q5="ol",'0+12'!P13,'R+RS+B'!Q13)</f>
        <v>0</v>
      </c>
      <c r="R13" s="429"/>
      <c r="S13" s="112">
        <f t="shared" ref="S13:S18" si="0">SUM(F13:Q13)</f>
        <v>76.146069268282048</v>
      </c>
      <c r="T13" s="568"/>
      <c r="U13" s="416">
        <f>IF(MONTH(Factores!$D$2)=1,SUM($F13:F13),IF(MONTH(Factores!$D$2)=2,SUM($F13:G13),IF(MONTH(Factores!$D$2)=3,SUM($F13:H13),IF(MONTH(Factores!$D$2)=4,SUM($F13:I13),IF(MONTH(Factores!$D$2)=5,SUM($F13:J13),IF(MONTH(Factores!$D$2)=6,SUM($F13:K13),IF(MONTH(Factores!$D$2)=7,SUM($F13:L13),IF(MONTH(Factores!$D$2)=8,SUM($F13:M13),IF(MONTH(Factores!$D$2)=9,SUM($F13:N13),IF(MONTH(Factores!$D$2)=10,SUM($F13:O13),IF(MONTH(Factores!$D$2)=11,SUM($F13:P13),IF(MONTH(Factores!$D$2)=12,SUM($F13:Q13)))))))))))))</f>
        <v>76.146069268282048</v>
      </c>
      <c r="V13" s="416">
        <f>IF(MONTH(Factores!$D$2)=1,SUM($F13:F13),IF(MONTH(Factores!$D$2)=2,SUM($F13:F13),IF(MONTH(Factores!$D$2)=3,SUM($F13:G13),IF(MONTH(Factores!$D$2)=4,SUM($F13:H13),IF(MONTH(Factores!$D$2)=5,SUM($F13:I13),IF(MONTH(Factores!$D$2)=6,SUM($F13:J13),IF(MONTH(Factores!$D$2)=7,SUM($F13:K13),IF(MONTH(Factores!$D$2)=8,SUM($F13:L13),IF(MONTH(Factores!$D$2)=9,SUM($F13:M13),IF(MONTH(Factores!$D$2)=10,SUM($F13:N13),IF(MONTH(Factores!$D$2)=11,SUM($F13:O13),IF(MONTH(Factores!$D$2)=12,SUM($F13:P13)))))))))))))</f>
        <v>45.927884346816739</v>
      </c>
    </row>
    <row r="14" spans="3:22" s="426" customFormat="1" ht="30" customHeight="1">
      <c r="C14" s="78" t="str">
        <f>'R+RP+B'!C9</f>
        <v>Fino Cu Equivalente Filtrado</v>
      </c>
      <c r="D14" s="79" t="s">
        <v>204</v>
      </c>
      <c r="E14" s="80"/>
      <c r="F14" s="112">
        <f>IF(F5="ol",'0+12'!E14,'R+RS+B'!F14)</f>
        <v>19.676322315467434</v>
      </c>
      <c r="G14" s="112">
        <f>IF(G5="ol",'0+12'!F14,'R+RS+B'!G14)</f>
        <v>23.430045488244851</v>
      </c>
      <c r="H14" s="112">
        <f>IF(H5="ol",'0+12'!G14,'R+RS+B'!H14)</f>
        <v>30.599952946174067</v>
      </c>
      <c r="I14" s="112">
        <f>IF(I5="ol",'0+12'!H14,'R+RS+B'!I14)</f>
        <v>0</v>
      </c>
      <c r="J14" s="112">
        <f>IF(J5="ol",'0+12'!I14,'R+RS+B'!J14)</f>
        <v>0</v>
      </c>
      <c r="K14" s="112">
        <f>IF(K5="ol",'0+12'!J14,'R+RS+B'!K14)</f>
        <v>0</v>
      </c>
      <c r="L14" s="112">
        <f>IF(L5="ol",'0+12'!K14,'R+RS+B'!L14)</f>
        <v>0</v>
      </c>
      <c r="M14" s="112">
        <f>IF(M5="ol",'0+12'!L14,'R+RS+B'!M14)</f>
        <v>0</v>
      </c>
      <c r="N14" s="112">
        <f>IF(N5="ol",'0+12'!M14,'R+RS+B'!N14)</f>
        <v>0</v>
      </c>
      <c r="O14" s="112">
        <f>IF(O5="ol",'0+12'!N14,'R+RS+B'!O14)</f>
        <v>0</v>
      </c>
      <c r="P14" s="112">
        <f>IF(P5="ol",'0+12'!O14,'R+RS+B'!P14)</f>
        <v>0</v>
      </c>
      <c r="Q14" s="112">
        <f>IF(Q5="ol",'0+12'!P14,'R+RS+B'!Q14)</f>
        <v>0</v>
      </c>
      <c r="R14" s="429"/>
      <c r="S14" s="112">
        <f t="shared" si="0"/>
        <v>73.706320749886359</v>
      </c>
      <c r="T14" s="568"/>
      <c r="U14" s="416">
        <f>IF(MONTH(Factores!$D$2)=1,SUM($F14:F14),IF(MONTH(Factores!$D$2)=2,SUM($F14:G14),IF(MONTH(Factores!$D$2)=3,SUM($F14:H14),IF(MONTH(Factores!$D$2)=4,SUM($F14:I14),IF(MONTH(Factores!$D$2)=5,SUM($F14:J14),IF(MONTH(Factores!$D$2)=6,SUM($F14:K14),IF(MONTH(Factores!$D$2)=7,SUM($F14:L14),IF(MONTH(Factores!$D$2)=8,SUM($F14:M14),IF(MONTH(Factores!$D$2)=9,SUM($F14:N14),IF(MONTH(Factores!$D$2)=10,SUM($F14:O14),IF(MONTH(Factores!$D$2)=11,SUM($F14:P14),IF(MONTH(Factores!$D$2)=12,SUM($F14:Q14)))))))))))))</f>
        <v>73.706320749886359</v>
      </c>
      <c r="V14" s="416">
        <f>IF(MONTH(Factores!$D$2)=1,SUM($F14:F14),IF(MONTH(Factores!$D$2)=2,SUM($F14:F14),IF(MONTH(Factores!$D$2)=3,SUM($F14:G14),IF(MONTH(Factores!$D$2)=4,SUM($F14:H14),IF(MONTH(Factores!$D$2)=5,SUM($F14:I14),IF(MONTH(Factores!$D$2)=6,SUM($F14:J14),IF(MONTH(Factores!$D$2)=7,SUM($F14:K14),IF(MONTH(Factores!$D$2)=8,SUM($F14:L14),IF(MONTH(Factores!$D$2)=9,SUM($F14:M14),IF(MONTH(Factores!$D$2)=10,SUM($F14:N14),IF(MONTH(Factores!$D$2)=11,SUM($F14:O14),IF(MONTH(Factores!$D$2)=12,SUM($F14:P14)))))))))))))</f>
        <v>43.106367803712288</v>
      </c>
    </row>
    <row r="15" spans="3:22" s="426" customFormat="1" ht="30" customHeight="1">
      <c r="C15" s="78" t="str">
        <f>'R+RP+B'!C10</f>
        <v>Fino Cu Producido</v>
      </c>
      <c r="D15" s="79" t="s">
        <v>204</v>
      </c>
      <c r="E15" s="80"/>
      <c r="F15" s="112">
        <f>IF(F5="ol",'0+12'!E15,'R+RS+B'!F15)</f>
        <v>18.9589961662154</v>
      </c>
      <c r="G15" s="112">
        <f>IF(G5="ol",'0+12'!F15,'R+RS+B'!G15)</f>
        <v>22.926810091406999</v>
      </c>
      <c r="H15" s="112">
        <f>IF(H5="ol",'0+12'!G15,'R+RS+B'!H15)</f>
        <v>27.752622658830781</v>
      </c>
      <c r="I15" s="112">
        <f>IF(I5="ol",'0+12'!H15,'R+RS+B'!I15)</f>
        <v>19.663616574677349</v>
      </c>
      <c r="J15" s="112">
        <f>IF(J5="ol",'0+12'!I15,'R+RS+B'!J15)</f>
        <v>31.434188314483858</v>
      </c>
      <c r="K15" s="112">
        <f>IF(K5="ol",'0+12'!J15,'R+RS+B'!K15)</f>
        <v>33.309476383993598</v>
      </c>
      <c r="L15" s="112">
        <f>IF(L5="ol",'0+12'!K15,'R+RS+B'!L15)</f>
        <v>31.5915116284208</v>
      </c>
      <c r="M15" s="112">
        <f>IF(M5="ol",'0+12'!L15,'R+RS+B'!M15)</f>
        <v>31.978332628052843</v>
      </c>
      <c r="N15" s="112">
        <f>IF(N5="ol",'0+12'!M15,'R+RS+B'!N15)</f>
        <v>31.800524346124806</v>
      </c>
      <c r="O15" s="112">
        <f>IF(O5="ol",'0+12'!N15,'R+RS+B'!O15)</f>
        <v>35.589943845908635</v>
      </c>
      <c r="P15" s="112">
        <f>IF(P5="ol",'0+12'!O15,'R+RS+B'!P15)</f>
        <v>34.4305609479662</v>
      </c>
      <c r="Q15" s="112">
        <f>IF(Q5="ol",'0+12'!P15,'R+RS+B'!Q15)</f>
        <v>38.822908602338664</v>
      </c>
      <c r="R15" s="429"/>
      <c r="S15" s="112">
        <f t="shared" si="0"/>
        <v>358.25949218841993</v>
      </c>
      <c r="T15" s="568"/>
      <c r="U15" s="416">
        <f>IF(MONTH(Factores!$D$2)=1,SUM($F15:F15),IF(MONTH(Factores!$D$2)=2,SUM($F15:G15),IF(MONTH(Factores!$D$2)=3,SUM($F15:H15),IF(MONTH(Factores!$D$2)=4,SUM($F15:I15),IF(MONTH(Factores!$D$2)=5,SUM($F15:J15),IF(MONTH(Factores!$D$2)=6,SUM($F15:K15),IF(MONTH(Factores!$D$2)=7,SUM($F15:L15),IF(MONTH(Factores!$D$2)=8,SUM($F15:M15),IF(MONTH(Factores!$D$2)=9,SUM($F15:N15),IF(MONTH(Factores!$D$2)=10,SUM($F15:O15),IF(MONTH(Factores!$D$2)=11,SUM($F15:P15),IF(MONTH(Factores!$D$2)=12,SUM($F15:Q15)))))))))))))</f>
        <v>69.638428916453179</v>
      </c>
      <c r="V15" s="416">
        <f>IF(MONTH(Factores!$D$2)=1,SUM($F15:F15),IF(MONTH(Factores!$D$2)=2,SUM($F15:F15),IF(MONTH(Factores!$D$2)=3,SUM($F15:G15),IF(MONTH(Factores!$D$2)=4,SUM($F15:H15),IF(MONTH(Factores!$D$2)=5,SUM($F15:I15),IF(MONTH(Factores!$D$2)=6,SUM($F15:J15),IF(MONTH(Factores!$D$2)=7,SUM($F15:K15),IF(MONTH(Factores!$D$2)=8,SUM($F15:L15),IF(MONTH(Factores!$D$2)=9,SUM($F15:M15),IF(MONTH(Factores!$D$2)=10,SUM($F15:N15),IF(MONTH(Factores!$D$2)=11,SUM($F15:O15),IF(MONTH(Factores!$D$2)=12,SUM($F15:P15)))))))))))))</f>
        <v>41.885806257622399</v>
      </c>
    </row>
    <row r="16" spans="3:22" s="426" customFormat="1" ht="30" customHeight="1">
      <c r="C16" s="78" t="str">
        <f>'R+RP+B'!C11</f>
        <v>Fino Cu Filtrado Pagable</v>
      </c>
      <c r="D16" s="79" t="s">
        <v>204</v>
      </c>
      <c r="E16" s="80"/>
      <c r="F16" s="112">
        <f>IF(F5="ol",'0+12'!E16,'R+RS+B'!F16)</f>
        <v>17.810621872367435</v>
      </c>
      <c r="G16" s="112">
        <f>IF(G5="ol",'0+12'!F16,'R+RS+B'!G16)</f>
        <v>21.836294789891262</v>
      </c>
      <c r="H16" s="112">
        <f>IF(H5="ol",'0+12'!G16,'R+RS+B'!H16)</f>
        <v>27.714023763390479</v>
      </c>
      <c r="I16" s="112">
        <f>IF(I5="ol",'0+12'!H16,'R+RS+B'!I16)</f>
        <v>18.936062761414277</v>
      </c>
      <c r="J16" s="112">
        <f>IF(J5="ol",'0+12'!I16,'R+RS+B'!J16)</f>
        <v>30.271123346847936</v>
      </c>
      <c r="K16" s="112">
        <f>IF(K5="ol",'0+12'!J16,'R+RS+B'!K16)</f>
        <v>32.110335234169845</v>
      </c>
      <c r="L16" s="112">
        <f>IF(L5="ol",'0+12'!K16,'R+RS+B'!L16)</f>
        <v>30.391034186540807</v>
      </c>
      <c r="M16" s="112">
        <f>IF(M5="ol",'0+12'!L16,'R+RS+B'!M16)</f>
        <v>26.532982695201575</v>
      </c>
      <c r="N16" s="112">
        <f>IF(N5="ol",'0+12'!M16,'R+RS+B'!N16)</f>
        <v>33.447648311722219</v>
      </c>
      <c r="O16" s="112">
        <f>IF(O5="ol",'0+12'!N16,'R+RS+B'!O16)</f>
        <v>35.594250528132356</v>
      </c>
      <c r="P16" s="112">
        <f>IF(P5="ol",'0+12'!O16,'R+RS+B'!P16)</f>
        <v>33.147848648304254</v>
      </c>
      <c r="Q16" s="112">
        <f>IF(Q5="ol",'0+12'!P16,'R+RS+B'!Q16)</f>
        <v>37.025684957446998</v>
      </c>
      <c r="R16" s="429"/>
      <c r="S16" s="112">
        <f t="shared" si="0"/>
        <v>344.81791109542939</v>
      </c>
      <c r="T16" s="568"/>
      <c r="U16" s="416">
        <f>IF(MONTH(Factores!$D$2)=1,SUM($F16:F16),IF(MONTH(Factores!$D$2)=2,SUM($F16:G16),IF(MONTH(Factores!$D$2)=3,SUM($F16:H16),IF(MONTH(Factores!$D$2)=4,SUM($F16:I16),IF(MONTH(Factores!$D$2)=5,SUM($F16:J16),IF(MONTH(Factores!$D$2)=6,SUM($F16:K16),IF(MONTH(Factores!$D$2)=7,SUM($F16:L16),IF(MONTH(Factores!$D$2)=8,SUM($F16:M16),IF(MONTH(Factores!$D$2)=9,SUM($F16:N16),IF(MONTH(Factores!$D$2)=10,SUM($F16:O16),IF(MONTH(Factores!$D$2)=11,SUM($F16:P16),IF(MONTH(Factores!$D$2)=12,SUM($F16:Q16)))))))))))))</f>
        <v>67.360940425649176</v>
      </c>
      <c r="V16" s="416">
        <f>IF(MONTH(Factores!$D$2)=1,SUM($F16:F16),IF(MONTH(Factores!$D$2)=2,SUM($F16:F16),IF(MONTH(Factores!$D$2)=3,SUM($F16:G16),IF(MONTH(Factores!$D$2)=4,SUM($F16:H16),IF(MONTH(Factores!$D$2)=5,SUM($F16:I16),IF(MONTH(Factores!$D$2)=6,SUM($F16:J16),IF(MONTH(Factores!$D$2)=7,SUM($F16:K16),IF(MONTH(Factores!$D$2)=8,SUM($F16:L16),IF(MONTH(Factores!$D$2)=9,SUM($F16:M16),IF(MONTH(Factores!$D$2)=10,SUM($F16:N16),IF(MONTH(Factores!$D$2)=11,SUM($F16:O16),IF(MONTH(Factores!$D$2)=12,SUM($F16:P16)))))))))))))</f>
        <v>39.646916662258697</v>
      </c>
    </row>
    <row r="17" spans="3:22" s="426" customFormat="1" ht="30" customHeight="1">
      <c r="C17" s="78" t="str">
        <f>'R+RP+B'!C12</f>
        <v>Fino Mo Producido</v>
      </c>
      <c r="D17" s="79" t="s">
        <v>204</v>
      </c>
      <c r="E17" s="80"/>
      <c r="F17" s="112">
        <f>IF(F5="ol",'0+12'!E17,'R+RS+B'!F17)</f>
        <v>0.62602317193478396</v>
      </c>
      <c r="G17" s="112">
        <f>IF(G5="ol",'0+12'!F17,'R+RS+B'!G17)</f>
        <v>0.76827765220952005</v>
      </c>
      <c r="H17" s="112">
        <f>IF(H5="ol",'0+12'!G17,'R+RS+B'!H17)</f>
        <v>0.85048715509986972</v>
      </c>
      <c r="I17" s="112">
        <f>IF(I5="ol",'0+12'!H17,'R+RS+B'!I17)</f>
        <v>0.51652967956409324</v>
      </c>
      <c r="J17" s="112">
        <f>IF(J5="ol",'0+12'!I17,'R+RS+B'!J17)</f>
        <v>1.0272583272025355</v>
      </c>
      <c r="K17" s="112">
        <f>IF(K5="ol",'0+12'!J17,'R+RS+B'!K17)</f>
        <v>1.0389453394682702</v>
      </c>
      <c r="L17" s="112">
        <f>IF(L5="ol",'0+12'!K17,'R+RS+B'!L17)</f>
        <v>0.73207713260762108</v>
      </c>
      <c r="M17" s="112">
        <f>IF(M5="ol",'0+12'!L17,'R+RS+B'!M17)</f>
        <v>0.76079883694354944</v>
      </c>
      <c r="N17" s="112">
        <f>IF(N5="ol",'0+12'!M17,'R+RS+B'!N17)</f>
        <v>0.68781637747912783</v>
      </c>
      <c r="O17" s="112">
        <f>IF(O5="ol",'0+12'!N17,'R+RS+B'!O17)</f>
        <v>1.0433497200782786</v>
      </c>
      <c r="P17" s="112">
        <f>IF(P5="ol",'0+12'!O17,'R+RS+B'!P17)</f>
        <v>0.79078227292588044</v>
      </c>
      <c r="Q17" s="112">
        <f>IF(Q5="ol",'0+12'!P17,'R+RS+B'!Q17)</f>
        <v>0.90859130168825741</v>
      </c>
      <c r="R17" s="429"/>
      <c r="S17" s="112">
        <f t="shared" si="0"/>
        <v>9.7509369672017883</v>
      </c>
      <c r="T17" s="568"/>
      <c r="U17" s="416">
        <f>IF(MONTH(Factores!$D$2)=1,SUM($F17:F17),IF(MONTH(Factores!$D$2)=2,SUM($F17:G17),IF(MONTH(Factores!$D$2)=3,SUM($F17:H17),IF(MONTH(Factores!$D$2)=4,SUM($F17:I17),IF(MONTH(Factores!$D$2)=5,SUM($F17:J17),IF(MONTH(Factores!$D$2)=6,SUM($F17:K17),IF(MONTH(Factores!$D$2)=7,SUM($F17:L17),IF(MONTH(Factores!$D$2)=8,SUM($F17:M17),IF(MONTH(Factores!$D$2)=9,SUM($F17:N17),IF(MONTH(Factores!$D$2)=10,SUM($F17:O17),IF(MONTH(Factores!$D$2)=11,SUM($F17:P17),IF(MONTH(Factores!$D$2)=12,SUM($F17:Q17)))))))))))))</f>
        <v>2.2447879792441738</v>
      </c>
      <c r="V17" s="416">
        <f>IF(MONTH(Factores!$D$2)=1,SUM($F17:F17),IF(MONTH(Factores!$D$2)=2,SUM($F17:F17),IF(MONTH(Factores!$D$2)=3,SUM($F17:G17),IF(MONTH(Factores!$D$2)=4,SUM($F17:H17),IF(MONTH(Factores!$D$2)=5,SUM($F17:I17),IF(MONTH(Factores!$D$2)=6,SUM($F17:J17),IF(MONTH(Factores!$D$2)=7,SUM($F17:K17),IF(MONTH(Factores!$D$2)=8,SUM($F17:L17),IF(MONTH(Factores!$D$2)=9,SUM($F17:M17),IF(MONTH(Factores!$D$2)=10,SUM($F17:N17),IF(MONTH(Factores!$D$2)=11,SUM($F17:O17),IF(MONTH(Factores!$D$2)=12,SUM($F17:P17)))))))))))))</f>
        <v>1.394300824144304</v>
      </c>
    </row>
    <row r="18" spans="3:22" s="426" customFormat="1" ht="30" customHeight="1">
      <c r="C18" s="78" t="str">
        <f>'R+RP+B'!C13</f>
        <v>Fino Mo Envasado Pagable</v>
      </c>
      <c r="D18" s="79" t="s">
        <v>204</v>
      </c>
      <c r="E18" s="80"/>
      <c r="F18" s="112">
        <f>IF(F5="ol",'0+12'!E18,'R+RS+B'!F18)</f>
        <v>0.64356690000000005</v>
      </c>
      <c r="G18" s="112">
        <f>IF(G5="ol",'0+12'!F18,'R+RS+B'!G18)</f>
        <v>0.54975877832134801</v>
      </c>
      <c r="H18" s="112">
        <f>IF(H5="ol",'0+12'!G18,'R+RS+B'!H18)</f>
        <v>0.9954912669139665</v>
      </c>
      <c r="I18" s="112">
        <f>IF(I5="ol",'0+12'!H18,'R+RS+B'!I18)</f>
        <v>0.51394703116627272</v>
      </c>
      <c r="J18" s="112">
        <f>IF(J5="ol",'0+12'!I18,'R+RS+B'!J18)</f>
        <v>1.0221220355665228</v>
      </c>
      <c r="K18" s="112">
        <f>IF(K5="ol",'0+12'!J18,'R+RS+B'!K18)</f>
        <v>1.0337506127709288</v>
      </c>
      <c r="L18" s="112">
        <f>IF(L5="ol",'0+12'!K18,'R+RS+B'!L18)</f>
        <v>0.72841674694458303</v>
      </c>
      <c r="M18" s="112">
        <f>IF(M5="ol",'0+12'!L18,'R+RS+B'!M18)</f>
        <v>0.75699484275883167</v>
      </c>
      <c r="N18" s="112">
        <f>IF(N5="ol",'0+12'!M18,'R+RS+B'!N18)</f>
        <v>0.68437729559173222</v>
      </c>
      <c r="O18" s="112">
        <f>IF(O5="ol",'0+12'!N18,'R+RS+B'!O18)</f>
        <v>1.0381329714778873</v>
      </c>
      <c r="P18" s="112">
        <f>IF(P5="ol",'0+12'!O18,'R+RS+B'!P18)</f>
        <v>0.78682836156125102</v>
      </c>
      <c r="Q18" s="112">
        <f>IF(Q5="ol",'0+12'!P18,'R+RS+B'!Q18)</f>
        <v>0.90404834517981614</v>
      </c>
      <c r="R18" s="429"/>
      <c r="S18" s="112">
        <f t="shared" si="0"/>
        <v>9.6574351882531388</v>
      </c>
      <c r="T18" s="568"/>
      <c r="U18" s="416">
        <f>IF(MONTH(Factores!$D$2)=1,SUM($F18:F18),IF(MONTH(Factores!$D$2)=2,SUM($F18:G18),IF(MONTH(Factores!$D$2)=3,SUM($F18:H18),IF(MONTH(Factores!$D$2)=4,SUM($F18:I18),IF(MONTH(Factores!$D$2)=5,SUM($F18:J18),IF(MONTH(Factores!$D$2)=6,SUM($F18:K18),IF(MONTH(Factores!$D$2)=7,SUM($F18:L18),IF(MONTH(Factores!$D$2)=8,SUM($F18:M18),IF(MONTH(Factores!$D$2)=9,SUM($F18:N18),IF(MONTH(Factores!$D$2)=10,SUM($F18:O18),IF(MONTH(Factores!$D$2)=11,SUM($F18:P18),IF(MONTH(Factores!$D$2)=12,SUM($F18:Q18)))))))))))))</f>
        <v>2.1888169452353146</v>
      </c>
      <c r="V18" s="416">
        <f>IF(MONTH(Factores!$D$2)=1,SUM($F18:F18),IF(MONTH(Factores!$D$2)=2,SUM($F18:F18),IF(MONTH(Factores!$D$2)=3,SUM($F18:G18),IF(MONTH(Factores!$D$2)=4,SUM($F18:H18),IF(MONTH(Factores!$D$2)=5,SUM($F18:I18),IF(MONTH(Factores!$D$2)=6,SUM($F18:J18),IF(MONTH(Factores!$D$2)=7,SUM($F18:K18),IF(MONTH(Factores!$D$2)=8,SUM($F18:L18),IF(MONTH(Factores!$D$2)=9,SUM($F18:M18),IF(MONTH(Factores!$D$2)=10,SUM($F18:N18),IF(MONTH(Factores!$D$2)=11,SUM($F18:O18),IF(MONTH(Factores!$D$2)=12,SUM($F18:P18)))))))))))))</f>
        <v>1.1933256783213482</v>
      </c>
    </row>
    <row r="19" spans="3:22" s="426" customFormat="1" ht="9.75" customHeight="1">
      <c r="C19" s="111"/>
      <c r="D19" s="82"/>
      <c r="E19" s="80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73"/>
      <c r="S19" s="108"/>
      <c r="U19" s="221"/>
      <c r="V19" s="221"/>
    </row>
    <row r="20" spans="3:22" s="426" customFormat="1" ht="30" customHeight="1">
      <c r="C20" s="78" t="s">
        <v>210</v>
      </c>
      <c r="D20" s="79" t="s">
        <v>204</v>
      </c>
      <c r="E20" s="80"/>
      <c r="F20" s="109">
        <f>IF(F5="ol",'0+12'!E20,'R+RS+B'!F20)</f>
        <v>3982.39335865362</v>
      </c>
      <c r="G20" s="109">
        <f>IF(G5="ol",'0+12'!F20,'R+RS+B'!G20)</f>
        <v>5112.4394212164798</v>
      </c>
      <c r="H20" s="109">
        <f>IF(H5="ol",'0+12'!G20,'R+RS+B'!H20)</f>
        <v>5842.4354720501005</v>
      </c>
      <c r="I20" s="109">
        <f>IF(I5="ol",'0+12'!H20,'R+RS+B'!I20)</f>
        <v>3827.554399135377</v>
      </c>
      <c r="J20" s="109">
        <f>IF(J5="ol",'0+12'!I20,'R+RS+B'!J20)</f>
        <v>5976.7522358809938</v>
      </c>
      <c r="K20" s="109">
        <f>IF(K5="ol",'0+12'!J20,'R+RS+B'!K20)</f>
        <v>6087.7298116054353</v>
      </c>
      <c r="L20" s="109">
        <f>IF(L5="ol",'0+12'!K20,'R+RS+B'!L20)</f>
        <v>5860.1413876909501</v>
      </c>
      <c r="M20" s="109">
        <f>IF(M5="ol",'0+12'!L20,'R+RS+B'!M20)</f>
        <v>5586.3023885482107</v>
      </c>
      <c r="N20" s="109">
        <f>IF(N5="ol",'0+12'!M20,'R+RS+B'!N20)</f>
        <v>5557.3565396405447</v>
      </c>
      <c r="O20" s="109">
        <f>IF(O5="ol",'0+12'!N20,'R+RS+B'!O20)</f>
        <v>6021.9984567759284</v>
      </c>
      <c r="P20" s="109">
        <f>IF(P5="ol",'0+12'!O20,'R+RS+B'!P20)</f>
        <v>5840.9901649243047</v>
      </c>
      <c r="Q20" s="109">
        <f>IF(Q5="ol",'0+12'!P20,'R+RS+B'!Q20)</f>
        <v>6276.6827295932371</v>
      </c>
      <c r="R20" s="534"/>
      <c r="S20" s="634">
        <f>SUM(F20:Q20)</f>
        <v>65972.776365715181</v>
      </c>
      <c r="T20" s="600"/>
      <c r="U20" s="315">
        <f>IF(MONTH(Factores!$D$2)=1,SUM($F20:F20),IF(MONTH(Factores!$D$2)=2,SUM($F20:G20),IF(MONTH(Factores!$D$2)=3,SUM($F20:H20),IF(MONTH(Factores!$D$2)=4,SUM($F20:I20),IF(MONTH(Factores!$D$2)=5,SUM($F20:J20),IF(MONTH(Factores!$D$2)=6,SUM($F20:K20),IF(MONTH(Factores!$D$2)=7,SUM($F20:L20),IF(MONTH(Factores!$D$2)=8,SUM($F20:M20),IF(MONTH(Factores!$D$2)=9,SUM($F20:N20),IF(MONTH(Factores!$D$2)=10,SUM($F20:O20),IF(MONTH(Factores!$D$2)=11,SUM($F20:P20),IF(MONTH(Factores!$D$2)=12,SUM($F20:Q20)))))))))))))</f>
        <v>14937.268251920199</v>
      </c>
      <c r="V20" s="315">
        <f>IF(MONTH(Factores!$D$2)=1,SUM($F20:F20),IF(MONTH(Factores!$D$2)=2,SUM($F20:F20),IF(MONTH(Factores!$D$2)=3,SUM($F20:G20),IF(MONTH(Factores!$D$2)=4,SUM($F20:H20),IF(MONTH(Factores!$D$2)=5,SUM($F20:I20),IF(MONTH(Factores!$D$2)=6,SUM($F20:J20),IF(MONTH(Factores!$D$2)=7,SUM($F20:K20),IF(MONTH(Factores!$D$2)=8,SUM($F20:L20),IF(MONTH(Factores!$D$2)=9,SUM($F20:M20),IF(MONTH(Factores!$D$2)=10,SUM($F20:N20),IF(MONTH(Factores!$D$2)=11,SUM($F20:O20),IF(MONTH(Factores!$D$2)=12,SUM($F20:P20)))))))))))))</f>
        <v>9094.8327798700993</v>
      </c>
    </row>
    <row r="21" spans="3:22" s="426" customFormat="1" ht="30" customHeight="1">
      <c r="C21" s="78" t="s">
        <v>210</v>
      </c>
      <c r="D21" s="79" t="s">
        <v>211</v>
      </c>
      <c r="E21" s="80"/>
      <c r="F21" s="110">
        <f>IF(F5="ol",'0+12'!E21,'R+RS+B'!F21)</f>
        <v>130.57027405421704</v>
      </c>
      <c r="G21" s="110">
        <f>IF(G5="ol",'0+12'!F21,'R+RS+B'!G21)</f>
        <v>179.38383934092911</v>
      </c>
      <c r="H21" s="110">
        <f>IF(H5="ol",'0+12'!G21,'R+RS+B'!H21)</f>
        <v>188.46566038871293</v>
      </c>
      <c r="I21" s="110">
        <f>IF(I5="ol",'0+12'!H21,'R+RS+B'!I21)</f>
        <v>127.5851466378459</v>
      </c>
      <c r="J21" s="110">
        <f>IF(J5="ol",'0+12'!I21,'R+RS+B'!J21)</f>
        <v>192.79845922196753</v>
      </c>
      <c r="K21" s="110">
        <f>IF(K5="ol",'0+12'!J21,'R+RS+B'!K21)</f>
        <v>202.9243270535145</v>
      </c>
      <c r="L21" s="110">
        <f>IF(L5="ol",'0+12'!K21,'R+RS+B'!L21)</f>
        <v>189.0368189577726</v>
      </c>
      <c r="M21" s="110">
        <f>IF(M5="ol",'0+12'!L21,'R+RS+B'!M21)</f>
        <v>180.20330285639389</v>
      </c>
      <c r="N21" s="110">
        <f>IF(N5="ol",'0+12'!M21,'R+RS+B'!N21)</f>
        <v>185.24521798801817</v>
      </c>
      <c r="O21" s="110">
        <f>IF(O5="ol",'0+12'!N21,'R+RS+B'!O21)</f>
        <v>194.25801473470736</v>
      </c>
      <c r="P21" s="110">
        <f>IF(P5="ol",'0+12'!O21,'R+RS+B'!P21)</f>
        <v>194.69967216414349</v>
      </c>
      <c r="Q21" s="110">
        <f>IF(Q5="ol",'0+12'!P21,'R+RS+B'!Q21)</f>
        <v>202.47363643849152</v>
      </c>
      <c r="R21" s="84"/>
      <c r="S21" s="110">
        <f>S20/S6</f>
        <v>180.50007213601964</v>
      </c>
      <c r="T21" s="430"/>
      <c r="U21" s="411">
        <f>U20/U6</f>
        <v>165.96964724355777</v>
      </c>
      <c r="V21" s="411">
        <f>V20/V6</f>
        <v>154.14970813339153</v>
      </c>
    </row>
    <row r="22" spans="3:22" s="426" customFormat="1" ht="30" customHeight="1">
      <c r="C22" s="78" t="s">
        <v>212</v>
      </c>
      <c r="D22" s="79" t="s">
        <v>81</v>
      </c>
      <c r="E22" s="80"/>
      <c r="F22" s="109">
        <f>IF(F5="ol",'0+12'!E22,'R+RS+B'!F22)</f>
        <v>8392.9974470560392</v>
      </c>
      <c r="G22" s="109">
        <f>IF(G5="ol",'0+12'!F22,'R+RS+B'!G22)</f>
        <v>8370.756317996691</v>
      </c>
      <c r="H22" s="109">
        <f>IF(H5="ol",'0+12'!G22,'R+RS+B'!H22)</f>
        <v>8484.7125455295427</v>
      </c>
      <c r="I22" s="109">
        <f>IF(I5="ol",'0+12'!H22,'R+RS+B'!I22)</f>
        <v>8476.6749120904951</v>
      </c>
      <c r="J22" s="109">
        <f>IF(J5="ol",'0+12'!I22,'R+RS+B'!J22)</f>
        <v>8664.2481282027202</v>
      </c>
      <c r="K22" s="109">
        <f>IF(K5="ol",'0+12'!J22,'R+RS+B'!K22)</f>
        <v>8842.4354931903326</v>
      </c>
      <c r="L22" s="109">
        <f>IF(L5="ol",'0+12'!K22,'R+RS+B'!L22)</f>
        <v>8445.2754672373921</v>
      </c>
      <c r="M22" s="109">
        <f>IF(M5="ol",'0+12'!L22,'R+RS+B'!M22)</f>
        <v>8355.7271404884959</v>
      </c>
      <c r="N22" s="109">
        <f>IF(N5="ol",'0+12'!M22,'R+RS+B'!N22)</f>
        <v>8171.2341118279128</v>
      </c>
      <c r="O22" s="109">
        <f>IF(O5="ol",'0+12'!N22,'R+RS+B'!O22)</f>
        <v>8395.3188191811369</v>
      </c>
      <c r="P22" s="109">
        <f>IF(P5="ol",'0+12'!O22,'R+RS+B'!P22)</f>
        <v>8397.5932622870314</v>
      </c>
      <c r="Q22" s="109">
        <f>IF(Q5="ol",'0+12'!P22,'R+RS+B'!Q22)</f>
        <v>8785.766581685104</v>
      </c>
      <c r="R22" s="534"/>
      <c r="S22" s="109">
        <f>S20*1000/(24*S6*S24%)</f>
        <v>35968.8413465306</v>
      </c>
      <c r="T22" s="600"/>
      <c r="U22" s="315">
        <f>U20*1000/(24*U6*U24/100)</f>
        <v>8420.9425904466571</v>
      </c>
      <c r="V22" s="315">
        <f>V20*1000/(24*V6*V24/100)</f>
        <v>8380.4806124636925</v>
      </c>
    </row>
    <row r="23" spans="3:22" s="426" customFormat="1" ht="30" customHeight="1">
      <c r="C23" s="78" t="s">
        <v>213</v>
      </c>
      <c r="D23" s="79" t="s">
        <v>48</v>
      </c>
      <c r="E23" s="80"/>
      <c r="F23" s="105" t="str">
        <f>IF(F5="ol",'0+12'!E23,'R+RS+B'!F23)</f>
        <v/>
      </c>
      <c r="G23" s="105">
        <f>IF(G5="ol",'0+12'!F23,'R+RS+B'!G23)</f>
        <v>0</v>
      </c>
      <c r="H23" s="105">
        <f>IF(H5="ol",'0+12'!G23,'R+RS+B'!H23)</f>
        <v>68.318784490992357</v>
      </c>
      <c r="I23" s="105">
        <f>IF(I5="ol",'0+12'!H23,'R+RS+B'!I23)</f>
        <v>0</v>
      </c>
      <c r="J23" s="105">
        <f>IF(J5="ol",'0+12'!I23,'R+RS+B'!J23)</f>
        <v>0</v>
      </c>
      <c r="K23" s="105">
        <f>IF(K5="ol",'0+12'!J23,'R+RS+B'!K23)</f>
        <v>0</v>
      </c>
      <c r="L23" s="105">
        <f>IF(L5="ol",'0+12'!K23,'R+RS+B'!L23)</f>
        <v>0</v>
      </c>
      <c r="M23" s="105">
        <f>IF(M5="ol",'0+12'!L23,'R+RS+B'!M23)</f>
        <v>0</v>
      </c>
      <c r="N23" s="105">
        <f>IF(N5="ol",'0+12'!M23,'R+RS+B'!N23)</f>
        <v>0</v>
      </c>
      <c r="O23" s="105">
        <f>IF(O5="ol",'0+12'!N23,'R+RS+B'!O23)</f>
        <v>0</v>
      </c>
      <c r="P23" s="105">
        <f>IF(P5="ol",'0+12'!O23,'R+RS+B'!P23)</f>
        <v>0</v>
      </c>
      <c r="Q23" s="105">
        <f>IF(Q5="ol",'0+12'!P23,'R+RS+B'!Q23)</f>
        <v>0</v>
      </c>
      <c r="R23" s="86"/>
      <c r="S23" s="208">
        <f>SUMPRODUCT(F20:Q20,F23:Q23)/SUM(F20:Q20)</f>
        <v>6.0501939118777148</v>
      </c>
      <c r="T23" s="433"/>
      <c r="U23" s="438">
        <f>IF(MONTH(Factores!$D$2)=1,SUMPRODUCT($F$20:$F$20,$F23:F23)/SUM($F$20:$F$20),IF(MONTH(Factores!$D$2)=2,SUMPRODUCT($F$20:$G$20,$F23:G23)/SUM($F$20:$G$20),IF(MONTH(Factores!$D$2)=3,SUMPRODUCT($F$20:$H$20,$F23:H23)/SUM($F$20:$H$20),IF(MONTH(Factores!$D$2)=4,SUMPRODUCT($F$20:$I$20,$F23:I23)/SUM($F$20:$I$20),IF(MONTH(Factores!$D$2)=5,SUMPRODUCT($F$20:$J$20,$F23:J23)/SUM($F$20:$J$20),IF(MONTH(Factores!$D$2)=6,SUMPRODUCT($F$20:$K$20,$F23:K23)/SUM($F$20:$K$20),IF(MONTH(Factores!$D$2)=7,SUMPRODUCT($F$20:$L$20,$F23:L23)/SUM($F$20:$L$20),IF(MONTH(Factores!$D$2)=8,SUMPRODUCT($F$20:$M$20,$F23:M23)/SUM($F$20:$M$20),IF(MONTH(Factores!$D$2)=9,SUMPRODUCT($F$20:$N$20,$F23:N23)/SUM($F$20:$N$20),IF(MONTH(Factores!$D$2)=10,SUMPRODUCT($F$20:$O$20,$F23:O23)/SUM($F$20:$O$20),IF(MONTH(Factores!$D$2)=11,SUMPRODUCT($F$20:$P$20,$F23:P23)/SUM($F$20:$P$20),IF(MONTH(Factores!$D$2)=12,SUMPRODUCT($F$20:$Q$20,$F23:Q23)/SUM($F$20:$Q$20)))))))))))))</f>
        <v>26.721625613586284</v>
      </c>
      <c r="V23" s="438">
        <f>IF(MONTH(Factores!$D$2)=1,SUMPRODUCT($F$20:$F$20,$F23:F23)/SUM($F$20:$F$20),IF(MONTH(Factores!$D$2)=2,SUMPRODUCT($F$20:$F$20,$F23:F23)/SUM($F$20:$F$20),IF(MONTH(Factores!$D$2)=3,SUMPRODUCT($F$20:$G$20,$F23:G23)/SUM($F$20:$G$20),IF(MONTH(Factores!$D$2)=4,SUMPRODUCT($F$20:$H$20,$F23:H23)/SUM($F$20:$H$20),IF(MONTH(Factores!$D$2)=5,SUMPRODUCT($F$20:$I$20,$F23:I23)/SUM($F$20:$I$20),IF(MONTH(Factores!$D$2)=6,SUMPRODUCT($F$20:$J$20,$F23:J23)/SUM($F$20:$J$20),IF(MONTH(Factores!$D$2)=7,SUMPRODUCT($F$20:$K$20,$F23:K23)/SUM($F$20:$K$20),IF(MONTH(Factores!$D$2)=8,SUMPRODUCT($F$20:$L$20,$F23:L23)/SUM($F$20:$L$20),IF(MONTH(Factores!$D$2)=9,SUMPRODUCT($F$20:$M$20,$F23:M23)/SUM($F$20:$M$20),IF(MONTH(Factores!$D$2)=10,SUMPRODUCT($F$20:$N$20,$F23:N23)/SUM($F$20:$N$20),IF(MONTH(Factores!$D$2)=11,SUMPRODUCT($F$20:$O$20,$F23:O23)/SUM($F$20:$O$20),IF(MONTH(Factores!$D$2)=12,SUMPRODUCT($F$20:$P$20,$F23:P23)/SUM($F$20:$P$20)))))))))))))</f>
        <v>0</v>
      </c>
    </row>
    <row r="24" spans="3:22" s="426" customFormat="1" ht="30" customHeight="1">
      <c r="C24" s="78" t="s">
        <v>215</v>
      </c>
      <c r="D24" s="79" t="s">
        <v>48</v>
      </c>
      <c r="E24" s="80"/>
      <c r="F24" s="106">
        <f>IF(F5="ol",'0+12'!E25,'R+RS+B'!F24)</f>
        <v>64.821038251366119</v>
      </c>
      <c r="G24" s="106">
        <f>IF(G5="ol",'0+12'!F25,'R+RS+B'!G24)</f>
        <v>89.290935672514621</v>
      </c>
      <c r="H24" s="106">
        <f>IF(H5="ol",'0+12'!G25,'R+RS+B'!H24)</f>
        <v>92.551583891515378</v>
      </c>
      <c r="I24" s="106">
        <f>IF(I5="ol",'0+12'!H25,'R+RS+B'!I24)</f>
        <v>0.62757414871438499</v>
      </c>
      <c r="J24" s="106">
        <f>IF(J5="ol",'0+12'!I25,'R+RS+B'!J24)</f>
        <v>0.93281644354293447</v>
      </c>
      <c r="K24" s="106">
        <f>IF(K5="ol",'0+12'!J25,'R+RS+B'!K24)</f>
        <v>0.96491596355991593</v>
      </c>
      <c r="L24" s="106">
        <f>IF(L5="ol",'0+12'!K25,'R+RS+B'!L24)</f>
        <v>0.94087569491525413</v>
      </c>
      <c r="M24" s="106">
        <f>IF(M5="ol",'0+12'!L25,'R+RS+B'!M24)</f>
        <v>0.90406990534144693</v>
      </c>
      <c r="N24" s="106">
        <f>IF(N5="ol",'0+12'!M25,'R+RS+B'!N24)</f>
        <v>0.94525679638637938</v>
      </c>
      <c r="O24" s="106">
        <f>IF(O5="ol",'0+12'!N25,'R+RS+B'!O24)</f>
        <v>0.96476707464694011</v>
      </c>
      <c r="P24" s="106">
        <f>IF(P5="ol",'0+12'!O25,'R+RS+B'!P24)</f>
        <v>0.96672030576789436</v>
      </c>
      <c r="Q24" s="106">
        <f>IF(Q5="ol",'0+12'!P25,'R+RS+B'!Q24)</f>
        <v>0.96088086079354407</v>
      </c>
      <c r="R24" s="500"/>
      <c r="S24" s="106">
        <f>SUMPRODUCT(F6:Q6,F24:Q24)/SUM(F6:Q6)</f>
        <v>20.909309439644339</v>
      </c>
      <c r="T24" s="525"/>
      <c r="U24" s="179">
        <f>IF(MONTH(Factores!$D$2)=1,SUMPRODUCT($F$6:$F$6,$F24:F24)/SUM($F$6:$F$6),IF(MONTH(Factores!$D$2)=2,SUMPRODUCT($F$6:$G$6,$F24:G24)/SUM($F$6:$G$6),IF(MONTH(Factores!$D$2)=3,SUMPRODUCT($F$6:$H$6,$F24:H24)/SUM($F$6:$H$6),IF(MONTH(Factores!$D$2)=4,SUMPRODUCT($F$6:$I$6,$F24:I24)/SUM($F$6:$I$6),IF(MONTH(Factores!$D$2)=5,SUMPRODUCT($F$6:$J$6,$F24:J24)/SUM($F$6:$J$6),IF(MONTH(Factores!$D$2)=6,SUMPRODUCT($F$6:$K$6,$F24:K24)/SUM($F$6:$K$6),IF(MONTH(Factores!$D$2)=7,SUMPRODUCT($F$6:$L$6,$F24:L24)/SUM($F$6:$L$6),IF(MONTH(Factores!$D$2)=8,SUMPRODUCT($F$6:$M$6,$F24:M24)/SUM($F$6:$M$6),IF(MONTH(Factores!$D$2)=9,SUMPRODUCT($F$6:$N$6,$F24:N24)/SUM($F$6:$N$6),IF(MONTH(Factores!$D$2)=10,SUMPRODUCT($F$6:$O$6,$F24:O24)/SUM($F$6:$O$6),IF(MONTH(Factores!$D$2)=11,SUMPRODUCT($F$6:$P$6,$F24:P24)/SUM($F$6:$P$6),IF(MONTH(Factores!$D$2)=12,SUMPRODUCT($F$6:$Q$6,$F24:Q24)/SUM($F$6:$Q$6)))))))))))))</f>
        <v>82.121471488558996</v>
      </c>
      <c r="V24" s="179">
        <f>IF(MONTH(Factores!$D$2)=1,SUMPRODUCT($F$6:$F$6,$F24:F24)/SUM($F$6:$F$6),IF(MONTH(Factores!$D$2)=2,SUMPRODUCT($F$6:$F$6,$F24:F24)/SUM($F$6:$F$6),IF(MONTH(Factores!$D$2)=3,SUMPRODUCT($F$6:$G$6,$F24:G24)/SUM($F$6:$G$6),IF(MONTH(Factores!$D$2)=4,SUMPRODUCT($F$6:$H$6,$F24:H24)/SUM($F$6:$H$6),IF(MONTH(Factores!$D$2)=5,SUMPRODUCT($F$6:$I$6,$F24:I24)/SUM($F$6:$I$6),IF(MONTH(Factores!$D$2)=6,SUMPRODUCT($F$6:$J$6,$F24:J24)/SUM($F$6:$J$6),IF(MONTH(Factores!$D$2)=7,SUMPRODUCT($F$6:$K$6,$F24:K24)/SUM($F$6:$K$6),IF(MONTH(Factores!$D$2)=8,SUMPRODUCT($F$6:$L$6,$F24:L24)/SUM($F$6:$L$6),IF(MONTH(Factores!$D$2)=9,SUMPRODUCT($F$6:$M$6,$F24:M24)/SUM($F$6:$M$6),IF(MONTH(Factores!$D$2)=10,SUMPRODUCT($F$6:$N$6,$F24:N24)/SUM($F$6:$N$6),IF(MONTH(Factores!$D$2)=11,SUMPRODUCT($F$6:$O$6,$F24:O24)/SUM($F$6:$O$6),IF(MONTH(Factores!$D$2)=12,SUMPRODUCT($F$6:$P$6,$F24:P24)/SUM($F$6:$P$6)))))))))))))</f>
        <v>76.641242937853107</v>
      </c>
    </row>
    <row r="25" spans="3:22" s="426" customFormat="1" ht="30" hidden="1" customHeight="1">
      <c r="C25" s="78" t="s">
        <v>216</v>
      </c>
      <c r="D25" s="79" t="s">
        <v>48</v>
      </c>
      <c r="E25" s="80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73"/>
      <c r="S25" s="681"/>
      <c r="U25" s="85"/>
      <c r="V25" s="85"/>
    </row>
    <row r="26" spans="3:22" s="426" customFormat="1" ht="30" hidden="1" customHeight="1">
      <c r="C26" s="78" t="s">
        <v>217</v>
      </c>
      <c r="D26" s="79" t="s">
        <v>218</v>
      </c>
      <c r="E26" s="80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73"/>
      <c r="S26" s="425"/>
      <c r="U26" s="225"/>
      <c r="V26" s="225"/>
    </row>
    <row r="27" spans="3:22" s="426" customFormat="1" ht="30" hidden="1" customHeight="1">
      <c r="C27" s="78" t="s">
        <v>219</v>
      </c>
      <c r="D27" s="79" t="s">
        <v>218</v>
      </c>
      <c r="E27" s="80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73"/>
      <c r="S27" s="425"/>
      <c r="U27" s="225"/>
      <c r="V27" s="225"/>
    </row>
    <row r="28" spans="3:22" s="426" customFormat="1" ht="30" hidden="1" customHeight="1">
      <c r="C28" s="78" t="s">
        <v>220</v>
      </c>
      <c r="D28" s="79" t="s">
        <v>218</v>
      </c>
      <c r="E28" s="80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86"/>
      <c r="S28" s="425"/>
      <c r="U28" s="226"/>
      <c r="V28" s="226"/>
    </row>
    <row r="29" spans="3:22" s="426" customFormat="1" ht="30" hidden="1" customHeight="1">
      <c r="C29" s="78" t="s">
        <v>221</v>
      </c>
      <c r="D29" s="79" t="s">
        <v>218</v>
      </c>
      <c r="E29" s="80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73"/>
      <c r="S29" s="425"/>
      <c r="U29" s="225"/>
      <c r="V29" s="225"/>
    </row>
    <row r="30" spans="3:22" s="426" customFormat="1" ht="30" hidden="1" customHeight="1">
      <c r="C30" s="78" t="s">
        <v>222</v>
      </c>
      <c r="D30" s="79" t="s">
        <v>218</v>
      </c>
      <c r="E30" s="80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73"/>
      <c r="S30" s="425"/>
      <c r="U30" s="225"/>
      <c r="V30" s="225"/>
    </row>
    <row r="31" spans="3:22" s="426" customFormat="1" ht="14.25" customHeight="1">
      <c r="C31" s="111"/>
      <c r="D31" s="82"/>
      <c r="E31" s="80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73"/>
      <c r="S31" s="108"/>
      <c r="U31" s="227"/>
      <c r="V31" s="227"/>
    </row>
    <row r="32" spans="3:22" s="426" customFormat="1" ht="30" customHeight="1">
      <c r="C32" s="78" t="s">
        <v>223</v>
      </c>
      <c r="D32" s="87" t="s">
        <v>48</v>
      </c>
      <c r="E32" s="80"/>
      <c r="F32" s="112">
        <f>IF(F5="ol",'0+12'!E33,'R+RS+B'!F32)</f>
        <v>0.52516576586130848</v>
      </c>
      <c r="G32" s="112">
        <f>IF(G5="ol",'0+12'!F33,'R+RS+B'!G32)</f>
        <v>0.49560564088439679</v>
      </c>
      <c r="H32" s="112">
        <f>IF(H5="ol",'0+12'!G33,'R+RS+B'!H32)</f>
        <v>0.52521337819978431</v>
      </c>
      <c r="I32" s="112">
        <f>IF(I5="ol",'0+12'!H33,'R+RS+B'!I32)</f>
        <v>0.56555995682340154</v>
      </c>
      <c r="J32" s="112">
        <f>IF(J5="ol",'0+12'!I33,'R+RS+B'!J32)</f>
        <v>0.58200418918128904</v>
      </c>
      <c r="K32" s="112">
        <f>IF(K5="ol",'0+12'!J33,'R+RS+B'!K32)</f>
        <v>0.60488230412852395</v>
      </c>
      <c r="L32" s="112">
        <f>IF(L5="ol",'0+12'!K33,'R+RS+B'!L32)</f>
        <v>0.59565233586527477</v>
      </c>
      <c r="M32" s="112">
        <f>IF(M5="ol",'0+12'!L33,'R+RS+B'!M32)</f>
        <v>0.62845308305274017</v>
      </c>
      <c r="N32" s="112">
        <f>IF(N5="ol",'0+12'!M33,'R+RS+B'!N32)</f>
        <v>0.62878719848575193</v>
      </c>
      <c r="O32" s="112">
        <f>IF(O5="ol",'0+12'!N33,'R+RS+B'!O32)</f>
        <v>0.64781711049991553</v>
      </c>
      <c r="P32" s="112">
        <f>IF(P5="ol",'0+12'!O33,'R+RS+B'!P32)</f>
        <v>0.64506271653076974</v>
      </c>
      <c r="Q32" s="112">
        <f>IF(Q5="ol",'0+12'!P33,'R+RS+B'!Q32)</f>
        <v>0.67740650217743448</v>
      </c>
      <c r="R32" s="294"/>
      <c r="S32" s="112">
        <f>SUMPRODUCT(F32:Q32,F20:Q20)/SUM(F20:Q20)</f>
        <v>0.59775894123431839</v>
      </c>
      <c r="T32" s="568"/>
      <c r="U32" s="416">
        <f>IF(MONTH(Factores!$D$2)=1,SUMPRODUCT($F$20:$F$20,$F32:F32)/SUM($F$20:$F$20),IF(MONTH(Factores!$D$2)=2,SUMPRODUCT($F$20:$G$20,$F32:G32)/SUM($F$20:$G$20),IF(MONTH(Factores!$D$2)=3,SUMPRODUCT($F$20:$H$20,$F32:H32)/SUM($F$20:$H$20),IF(MONTH(Factores!$D$2)=4,SUMPRODUCT($F$20:$I$20,$F32:I32)/SUM($F$20:$I$20),IF(MONTH(Factores!$D$2)=5,SUMPRODUCT($F$20:$J$20,$F32:J32)/SUM($F$20:$J$20),IF(MONTH(Factores!$D$2)=6,SUMPRODUCT($F$20:$K$20,$F32:K32)/SUM($F$20:$K$20),IF(MONTH(Factores!$D$2)=7,SUMPRODUCT($F$20:$L$20,$F32:L32)/SUM($F$20:$L$20),IF(MONTH(Factores!$D$2)=8,SUMPRODUCT($F$20:$M$20,$F32:M32)/SUM($F$20:$M$20),IF(MONTH(Factores!$D$2)=9,SUMPRODUCT($F$20:$N$20,$F32:N32)/SUM($F$20:$N$20),IF(MONTH(Factores!$D$2)=10,SUMPRODUCT($F$20:$O$20,$F32:O32)/SUM($F$20:$O$20),IF(MONTH(Factores!$D$2)=11,SUMPRODUCT($F$20:$P$20,$F32:P32)/SUM($F$20:$P$20),IF(MONTH(Factores!$D$2)=12,SUMPRODUCT($F$20:$Q$20,$F32:Q32)/SUM($F$20:$Q$20)))))))))))))</f>
        <v>0.51506712040159142</v>
      </c>
      <c r="V32" s="416">
        <f>IF(MONTH(Factores!$D$2)=1,SUMPRODUCT($F$20:$F$20,$F32:F32)/SUM($F$20:$F$20),IF(MONTH(Factores!$D$2)=2,SUMPRODUCT($F$20:$F$20,$F32:F32)/SUM($F$20:$F$20),IF(MONTH(Factores!$D$2)=3,SUMPRODUCT($F$20:$G$20,$F32:G32)/SUM($F$20:$G$20),IF(MONTH(Factores!$D$2)=4,SUMPRODUCT($F$20:$H$20,$F32:H32)/SUM($F$20:$H$20),IF(MONTH(Factores!$D$2)=5,SUMPRODUCT($F$20:$I$20,$F32:I32)/SUM($F$20:$I$20),IF(MONTH(Factores!$D$2)=6,SUMPRODUCT($F$20:$J$20,$F32:J32)/SUM($F$20:$J$20),IF(MONTH(Factores!$D$2)=7,SUMPRODUCT($F$20:$K$20,$F32:K32)/SUM($F$20:$K$20),IF(MONTH(Factores!$D$2)=8,SUMPRODUCT($F$20:$L$20,$F32:L32)/SUM($F$20:$L$20),IF(MONTH(Factores!$D$2)=9,SUMPRODUCT($F$20:$M$20,$F32:M32)/SUM($F$20:$M$20),IF(MONTH(Factores!$D$2)=10,SUMPRODUCT($F$20:$N$20,$F32:N32)/SUM($F$20:$N$20),IF(MONTH(Factores!$D$2)=11,SUMPRODUCT($F$20:$O$20,$F32:O32)/SUM($F$20:$O$20),IF(MONTH(Factores!$D$2)=12,SUMPRODUCT($F$20:$P$20,$F32:P32)/SUM($F$20:$P$20)))))))))))))</f>
        <v>0.50854925933657746</v>
      </c>
    </row>
    <row r="33" spans="3:22" s="426" customFormat="1" ht="30" customHeight="1">
      <c r="C33" s="78" t="s">
        <v>224</v>
      </c>
      <c r="D33" s="87" t="s">
        <v>48</v>
      </c>
      <c r="E33" s="80"/>
      <c r="F33" s="106">
        <f>IF(F5="ol",'0+12'!E34,'R+RS+B'!F33)</f>
        <v>90.651454325273122</v>
      </c>
      <c r="G33" s="106">
        <f>IF(G5="ol",'0+12'!F34,'R+RS+B'!G33)</f>
        <v>90.512384176816894</v>
      </c>
      <c r="H33" s="106">
        <f>IF(H5="ol",'0+12'!G34,'R+RS+B'!H33)</f>
        <v>90.442868173189026</v>
      </c>
      <c r="I33" s="106">
        <f>IF(I5="ol",'0+12'!H34,'R+RS+B'!I33)</f>
        <v>90.83712341431891</v>
      </c>
      <c r="J33" s="106">
        <f>IF(J5="ol",'0+12'!I34,'R+RS+B'!J33)</f>
        <v>90.367212744489493</v>
      </c>
      <c r="K33" s="106">
        <f>IF(K5="ol",'0+12'!J34,'R+RS+B'!K33)</f>
        <v>90.456870225008117</v>
      </c>
      <c r="L33" s="106">
        <f>IF(L5="ol",'0+12'!K34,'R+RS+B'!L33)</f>
        <v>90.504352046643305</v>
      </c>
      <c r="M33" s="106">
        <f>IF(M5="ol",'0+12'!L34,'R+RS+B'!M33)</f>
        <v>91.087443667639775</v>
      </c>
      <c r="N33" s="106">
        <f>IF(N5="ol",'0+12'!M34,'R+RS+B'!N33)</f>
        <v>91.004387126814208</v>
      </c>
      <c r="O33" s="106">
        <f>IF(O5="ol",'0+12'!N34,'R+RS+B'!O33)</f>
        <v>91.229280189573089</v>
      </c>
      <c r="P33" s="106">
        <f>IF(P5="ol",'0+12'!O34,'R+RS+B'!P33)</f>
        <v>91.38095284435218</v>
      </c>
      <c r="Q33" s="106">
        <f>IF(Q5="ol",'0+12'!P34,'R+RS+B'!Q33)</f>
        <v>91.307937278112178</v>
      </c>
      <c r="R33" s="500"/>
      <c r="S33" s="106">
        <f>SUMPRODUCT(F20:Q20,F32:Q32,F33:Q33)/SUMPRODUCT(F20:Q20,F32:Q32)</f>
        <v>90.847944756438437</v>
      </c>
      <c r="T33" s="525"/>
      <c r="U33" s="179">
        <f>IF(MONTH(Factores!$D$2)=1,SUMPRODUCT($F$20:$F$20,$F$32:$F$32,$F33:F33)/SUMPRODUCT($F$20:$F$20,$F$32:$F$32),IF(MONTH(Factores!$D$2)=2,SUMPRODUCT($F$20:$G$20,$F$32:$G$32,$F33:G33)/SUMPRODUCT($F$20:$G$20,$F$32:$G$32),IF(MONTH(Factores!$D$2)=3,SUMPRODUCT($F$20:$H$20,$F$32:$H$32,$F33:H33)/SUMPRODUCT($F$20:$H$20,$F$32:$H$32),IF(MONTH(Factores!$D$2)=4,SUMPRODUCT($F$20:$I$20,$F$32:$I$32,$F33:I33)/SUMPRODUCT($F$20:$I$20,$F$32:$I$32),IF(MONTH(Factores!$D$2)=5,SUMPRODUCT($F$20:$J$20,$F$32:$J$32,$F33:J33)/SUMPRODUCT($F$20:$J$20,$F$32:$J$32),IF(MONTH(Factores!$D$2)=6,SUMPRODUCT($F$20:$K$20,$F$32:$K$32,$F33:K33)/SUMPRODUCT($F$20:$K$20,$F$32:$K$32),IF(MONTH(Factores!$D$2)=7,SUMPRODUCT($F$20:$L$20,$F$32:$L$32,$F33:L33)/SUMPRODUCT($F$20:$L$20,$F$32:$L$32),IF(MONTH(Factores!$D$2)=8,SUMPRODUCT($F$20:$M$20,$F$32:$M$32,$F33:M33)/SUMPRODUCT($F$20:$M$20,$F$32:$M$32),IF(MONTH(Factores!$D$2)=9,SUMPRODUCT($F$20:$N$20,$F$32:$N$32,$F33:N33)/SUMPRODUCT($F$20:$N$20,$F$32:$N$32),IF(MONTH(Factores!$D$2)=10,SUMPRODUCT($F$20:$O$20,$F$32:$O$32,$F33:O33)/SUMPRODUCT($F$20:$O$20,$F$32:$O$32),IF(MONTH(Factores!$D$2)=11,SUMPRODUCT($F$20:$P$20,$F$32:$P$32,$F33:P33)/SUMPRODUCT($F$20:$P$20,$F$32:$P$32),IF(MONTH(Factores!$D$2)=12,SUMPRODUCT($F$20:$Q$20,$F$32:$Q$32,$F33:Q33)/SUMPRODUCT($F$20:$Q$20,$F$32:$Q$32)))))))))))))</f>
        <v>90.522462819619761</v>
      </c>
      <c r="V33" s="179">
        <f>IF(MONTH(Factores!$D$2)=1,SUMPRODUCT($F$20:$F$20,$F$32:$F$32,$F33:F33)/SUMPRODUCT($F$20:$F$20,$F$32:$F$32),IF(MONTH(Factores!$D$2)=2,SUMPRODUCT($F$20:$F$20,$F$32:$F$32,$F33:F33)/SUMPRODUCT($F$20:$F$20,$F$32:$F$32),IF(MONTH(Factores!$D$2)=3,SUMPRODUCT($F$20:$G$20,$F$32:$G$32,$F33:G33)/SUMPRODUCT($F$20:$G$20,$F$32:$G$32),IF(MONTH(Factores!$D$2)=4,SUMPRODUCT($F$20:$H$20,$F$32:$H$32,$F33:H33)/SUMPRODUCT($F$20:$H$20,$F$32:$H$32),IF(MONTH(Factores!$D$2)=5,SUMPRODUCT($F$20:$I$20,$F$32:$I$32,$F33:I33)/SUMPRODUCT($F$20:$I$20,$F$32:$I$32),IF(MONTH(Factores!$D$2)=6,SUMPRODUCT($F$20:$J$20,$F$32:$J$32,$F33:J33)/SUMPRODUCT($F$20:$J$20,$F$32:$J$32),IF(MONTH(Factores!$D$2)=7,SUMPRODUCT($F$20:$K$20,$F$32:$K$32,$F33:K33)/SUMPRODUCT($F$20:$K$20,$F$32:$K$32),IF(MONTH(Factores!$D$2)=8,SUMPRODUCT($F$20:$L$20,$F$32:$L$32,$F33:L33)/SUMPRODUCT($F$20:$L$20,$F$32:$L$32),IF(MONTH(Factores!$D$2)=9,SUMPRODUCT($F$20:$M$20,$F$32:$M$32,$F33:M33)/SUMPRODUCT($F$20:$M$20,$F$32:$M$32),IF(MONTH(Factores!$D$2)=10,SUMPRODUCT($F$20:$N$20,$F$32:$N$32,$F33:N33)/SUMPRODUCT($F$20:$N$20,$F$32:$N$32),IF(MONTH(Factores!$D$2)=11,SUMPRODUCT($F$20:$O$20,$F$32:$O$32,$F33:O33)/SUMPRODUCT($F$20:$O$20,$F$32:$O$32),IF(MONTH(Factores!$D$2)=12,SUMPRODUCT($F$20:$P$20,$F$32:$P$32,$F33:P33)/SUMPRODUCT($F$20:$P$20,$F$32:$P$32)))))))))))))</f>
        <v>90.575269129224452</v>
      </c>
    </row>
    <row r="34" spans="3:22" s="426" customFormat="1" ht="30" customHeight="1">
      <c r="C34" s="78" t="s">
        <v>225</v>
      </c>
      <c r="D34" s="88" t="s">
        <v>204</v>
      </c>
      <c r="E34" s="80"/>
      <c r="F34" s="636">
        <f>IF(F5="ol",'0+12'!E35,'R+RS+B'!F34)</f>
        <v>70.931306150247394</v>
      </c>
      <c r="G34" s="636">
        <f>IF(G5="ol",'0+12'!F35,'R+RS+B'!G34)</f>
        <v>84.453190956582219</v>
      </c>
      <c r="H34" s="636">
        <f>IF(H5="ol",'0+12'!G35,'R+RS+B'!H34)</f>
        <v>104.47781565840648</v>
      </c>
      <c r="I34" s="636">
        <f>IF(I5="ol",'0+12'!H35,'R+RS+B'!I34)</f>
        <v>70.87650692356398</v>
      </c>
      <c r="J34" s="636">
        <f>IF(J5="ol",'0+12'!I35,'R+RS+B'!J34)</f>
        <v>112.50429122388871</v>
      </c>
      <c r="K34" s="636">
        <f>IF(K5="ol",'0+12'!J35,'R+RS+B'!K34)</f>
        <v>118.69799472259605</v>
      </c>
      <c r="L34" s="636">
        <f>IF(L5="ol",'0+12'!K35,'R+RS+B'!L34)</f>
        <v>117.47342311961695</v>
      </c>
      <c r="M34" s="636">
        <f>IF(M5="ol",'0+12'!L35,'R+RS+B'!M34)</f>
        <v>119.35977930980023</v>
      </c>
      <c r="N34" s="636">
        <f>IF(N5="ol",'0+12'!M35,'R+RS+B'!N34)</f>
        <v>114.19734120036456</v>
      </c>
      <c r="O34" s="636">
        <f>IF(O5="ol",'0+12'!N35,'R+RS+B'!O34)</f>
        <v>134.42215041934293</v>
      </c>
      <c r="P34" s="636">
        <f>IF(P5="ol",'0+12'!O35,'R+RS+B'!P34)</f>
        <v>128.30356700260924</v>
      </c>
      <c r="Q34" s="636">
        <f>IF(Q5="ol",'0+12'!P35,'R+RS+B'!Q34)</f>
        <v>142.47260790759987</v>
      </c>
      <c r="R34" s="533"/>
      <c r="S34" s="636">
        <f>SUM(F34:Q34)</f>
        <v>1318.1699745946187</v>
      </c>
      <c r="T34" s="603"/>
      <c r="U34" s="526">
        <f>IF(MONTH(Factores!$D$2)=1,SUM($F34:F34),IF(MONTH(Factores!$D$2)=2,SUM($F34:G34),IF(MONTH(Factores!$D$2)=3,SUM($F34:H34),IF(MONTH(Factores!$D$2)=4,SUM($F34:I34),IF(MONTH(Factores!$D$2)=5,SUM($F34:J34),IF(MONTH(Factores!$D$2)=6,SUM($F34:K34),IF(MONTH(Factores!$D$2)=7,SUM($F34:L34),IF(MONTH(Factores!$D$2)=8,SUM($F34:M34),IF(MONTH(Factores!$D$2)=9,SUM($F34:N34),IF(MONTH(Factores!$D$2)=10,SUM($F34:O34),IF(MONTH(Factores!$D$2)=11,SUM($F34:P34),IF(MONTH(Factores!$D$2)=12,SUM($F34:Q34)))))))))))))</f>
        <v>259.86231276523608</v>
      </c>
      <c r="V34" s="526">
        <f>IF(MONTH(Factores!$D$2)=1,SUM($F34:F34),IF(MONTH(Factores!$D$2)=2,SUM($F34:F34),IF(MONTH(Factores!$D$2)=3,SUM($F34:G34),IF(MONTH(Factores!$D$2)=4,SUM($F34:H34),IF(MONTH(Factores!$D$2)=5,SUM($F34:I34),IF(MONTH(Factores!$D$2)=6,SUM($F34:J34),IF(MONTH(Factores!$D$2)=7,SUM($F34:K34),IF(MONTH(Factores!$D$2)=8,SUM($F34:L34),IF(MONTH(Factores!$D$2)=9,SUM($F34:M34),IF(MONTH(Factores!$D$2)=10,SUM($F34:N34),IF(MONTH(Factores!$D$2)=11,SUM($F34:O34),IF(MONTH(Factores!$D$2)=12,SUM($F34:P34)))))))))))))</f>
        <v>155.3844971068296</v>
      </c>
    </row>
    <row r="35" spans="3:22" s="426" customFormat="1" ht="30" customHeight="1">
      <c r="C35" s="78" t="s">
        <v>226</v>
      </c>
      <c r="D35" s="89" t="s">
        <v>48</v>
      </c>
      <c r="E35" s="80"/>
      <c r="F35" s="105">
        <f>IF(F5="ol",'0+12'!E36,'R+RS+B'!F35)</f>
        <v>26.728671999999996</v>
      </c>
      <c r="G35" s="105">
        <f>IF(G5="ol",'0+12'!F36,'R+RS+B'!G35)</f>
        <v>27.147358000000001</v>
      </c>
      <c r="H35" s="105">
        <f>IF(H5="ol",'0+12'!G36,'R+RS+B'!H35)</f>
        <v>26.563172750059064</v>
      </c>
      <c r="I35" s="105">
        <f>IF(I5="ol",'0+12'!H36,'R+RS+B'!I35)</f>
        <v>27.743489949192007</v>
      </c>
      <c r="J35" s="105">
        <f>IF(J5="ol",'0+12'!I36,'R+RS+B'!J35)</f>
        <v>27.940434958101623</v>
      </c>
      <c r="K35" s="105">
        <f>IF(K5="ol",'0+12'!J36,'R+RS+B'!K35)</f>
        <v>28.062374989434097</v>
      </c>
      <c r="L35" s="105">
        <f>IF(L5="ol",'0+12'!K36,'R+RS+B'!L35)</f>
        <v>26.892475582543327</v>
      </c>
      <c r="M35" s="105">
        <f>IF(M5="ol",'0+12'!L36,'R+RS+B'!M35)</f>
        <v>26.791548051586595</v>
      </c>
      <c r="N35" s="105">
        <f>IF(N5="ol",'0+12'!M36,'R+RS+B'!N35)</f>
        <v>27.846991893033046</v>
      </c>
      <c r="O35" s="105">
        <f>IF(O5="ol",'0+12'!N36,'R+RS+B'!O35)</f>
        <v>26.476249438714053</v>
      </c>
      <c r="P35" s="105">
        <f>IF(P5="ol",'0+12'!O36,'R+RS+B'!P35)</f>
        <v>26.835232840616197</v>
      </c>
      <c r="Q35" s="105">
        <f>IF(Q5="ol",'0+12'!P36,'R+RS+B'!Q35)</f>
        <v>27.249384406241184</v>
      </c>
      <c r="R35" s="86"/>
      <c r="S35" s="105">
        <f>S15/S34*100</f>
        <v>27.178550497525684</v>
      </c>
      <c r="T35" s="433"/>
      <c r="U35" s="438">
        <f>U15/U34*100</f>
        <v>26.798202546348339</v>
      </c>
      <c r="V35" s="438">
        <f>V15/V34*100</f>
        <v>26.956232466888359</v>
      </c>
    </row>
    <row r="36" spans="3:22"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S36" s="145"/>
      <c r="U36" s="73"/>
      <c r="V36" s="73"/>
    </row>
    <row r="37" spans="3:22" s="430" customFormat="1" ht="30" customHeight="1">
      <c r="C37" s="640" t="s">
        <v>227</v>
      </c>
      <c r="D37" s="641" t="s">
        <v>95</v>
      </c>
      <c r="E37" s="642"/>
      <c r="F37" s="110">
        <f>IF(F5="ol",'0+12'!E38,'R+RS+B'!F37)</f>
        <v>192.60869814129398</v>
      </c>
      <c r="G37" s="110">
        <f>IF(G5="ol",'0+12'!F38,'R+RS+B'!G37)</f>
        <v>192.467801497751</v>
      </c>
      <c r="H37" s="110">
        <f>IF(H5="ol",'0+12'!G38,'R+RS+B'!H37)</f>
        <v>180.19463900957621</v>
      </c>
      <c r="I37" s="110">
        <f>IF(I5="ol",'0+12'!H38,'R+RS+B'!I37)</f>
        <v>163.35304328854889</v>
      </c>
      <c r="J37" s="110">
        <f>IF(J5="ol",'0+12'!I38,'R+RS+B'!J37)</f>
        <v>205.12513984498059</v>
      </c>
      <c r="K37" s="110">
        <f>IF(K5="ol",'0+12'!J38,'R+RS+B'!K37)</f>
        <v>203.76113279776612</v>
      </c>
      <c r="L37" s="110">
        <f>IF(L5="ol",'0+12'!K38,'R+RS+B'!L37)</f>
        <v>151.90540572889478</v>
      </c>
      <c r="M37" s="110">
        <f>IF(M5="ol",'0+12'!L38,'R+RS+B'!M37)</f>
        <v>164.7651999284308</v>
      </c>
      <c r="N37" s="110">
        <f>IF(N5="ol",'0+12'!M38,'R+RS+B'!N37)</f>
        <v>150.57983657221325</v>
      </c>
      <c r="O37" s="110">
        <f>IF(O5="ol",'0+12'!N38,'R+RS+B'!O37)</f>
        <v>206.67646552766698</v>
      </c>
      <c r="P37" s="110">
        <f>IF(P5="ol",'0+12'!O38,'R+RS+B'!P37)</f>
        <v>163.84822863888047</v>
      </c>
      <c r="Q37" s="110">
        <f>IF(Q5="ol",'0+12'!P38,'R+RS+B'!Q37)</f>
        <v>174.50350866208188</v>
      </c>
      <c r="R37" s="84"/>
      <c r="S37" s="110">
        <f>SUMPRODUCT(F37:Q37,F20:Q20)/SUM(F20:Q20)</f>
        <v>179.46572709799753</v>
      </c>
      <c r="U37" s="411">
        <f>IF(MONTH(Factores!$D$2)=1,SUMPRODUCT($F$20:$F$20,$F37:F37)/SUM($F$20:$F$20),IF(MONTH(Factores!$D$2)=2,SUMPRODUCT($F$20:$G$20,$F37:G37)/SUM($F$20:$G$20),IF(MONTH(Factores!$D$2)=3,SUMPRODUCT($F$20:$H$20,$F37:H37)/SUM($F$20:$H$20),IF(MONTH(Factores!$D$2)=4,SUMPRODUCT($F$20:$I$20,$F37:I37)/SUM($F$20:$I$20),IF(MONTH(Factores!$D$2)=5,SUMPRODUCT($F$20:$J$20,$F37:J37)/SUM($F$20:$J$20),IF(MONTH(Factores!$D$2)=6,SUMPRODUCT($F$20:$K$20,$F37:K37)/SUM($F$20:$K$20),IF(MONTH(Factores!$D$2)=7,SUMPRODUCT($F$20:$L$20,$F37:L37)/SUM($F$20:$L$20),IF(MONTH(Factores!$D$2)=8,SUMPRODUCT($F$20:$M$20,$F37:M37)/SUM($F$20:$M$20),IF(MONTH(Factores!$D$2)=9,SUMPRODUCT($F$20:$N$20,$F37:N37)/SUM($F$20:$N$20),IF(MONTH(Factores!$D$2)=10,SUMPRODUCT($F$20:$O$20,$F37:O37)/SUM($F$20:$O$20),IF(MONTH(Factores!$D$2)=11,SUMPRODUCT($F$20:$P$20,$F37:P37)/SUM($F$20:$P$20),IF(MONTH(Factores!$D$2)=12,SUMPRODUCT($F$20:$Q$20,$F37:Q37)/SUM($F$20:$Q$20)))))))))))))</f>
        <v>187.70494574542832</v>
      </c>
      <c r="V37" s="411">
        <f>IF(MONTH(Factores!$D$2)=1,SUMPRODUCT($F$20:$F$20,$F37:F37)/SUM($F$20:$F$20),IF(MONTH(Factores!$D$2)=2,SUMPRODUCT($F$20:$F$20,$F37:F37)/SUM($F$20:$F$20),IF(MONTH(Factores!$D$2)=3,SUMPRODUCT($F$20:$G$20,$F37:G37)/SUM($F$20:$G$20),IF(MONTH(Factores!$D$2)=4,SUMPRODUCT($F$20:$H$20,$F37:H37)/SUM($F$20:$H$20),IF(MONTH(Factores!$D$2)=5,SUMPRODUCT($F$20:$I$20,$F37:I37)/SUM($F$20:$I$20),IF(MONTH(Factores!$D$2)=6,SUMPRODUCT($F$20:$J$20,$F37:J37)/SUM($F$20:$J$20),IF(MONTH(Factores!$D$2)=7,SUMPRODUCT($F$20:$K$20,$F37:K37)/SUM($F$20:$K$20),IF(MONTH(Factores!$D$2)=8,SUMPRODUCT($F$20:$L$20,$F37:L37)/SUM($F$20:$L$20),IF(MONTH(Factores!$D$2)=9,SUMPRODUCT($F$20:$M$20,$F37:M37)/SUM($F$20:$M$20),IF(MONTH(Factores!$D$2)=10,SUMPRODUCT($F$20:$N$20,$F37:N37)/SUM($F$20:$N$20),IF(MONTH(Factores!$D$2)=11,SUMPRODUCT($F$20:$O$20,$F37:O37)/SUM($F$20:$O$20),IF(MONTH(Factores!$D$2)=12,SUMPRODUCT($F$20:$P$20,$F37:P37)/SUM($F$20:$P$20)))))))))))))</f>
        <v>192.5294965141502</v>
      </c>
    </row>
    <row r="38" spans="3:22" s="426" customFormat="1" ht="30" customHeight="1">
      <c r="C38" s="78" t="s">
        <v>228</v>
      </c>
      <c r="D38" s="88" t="s">
        <v>48</v>
      </c>
      <c r="E38" s="80"/>
      <c r="F38" s="106">
        <f>IF(F5="ol",'0+12'!E39,'R+RS+B'!F38)</f>
        <v>81.615070081093577</v>
      </c>
      <c r="G38" s="106">
        <f>IF(G5="ol",'0+12'!F39,'R+RS+B'!G38)</f>
        <v>78.07858606769291</v>
      </c>
      <c r="H38" s="106">
        <f>IF(H5="ol",'0+12'!G39,'R+RS+B'!H38)</f>
        <v>80.785230473405292</v>
      </c>
      <c r="I38" s="106">
        <f>IF(I5="ol",'0+12'!H39,'R+RS+B'!I38)</f>
        <v>82.612673936458705</v>
      </c>
      <c r="J38" s="106">
        <f>IF(J5="ol",'0+12'!I39,'R+RS+B'!J38)</f>
        <v>83.790643859420996</v>
      </c>
      <c r="K38" s="106">
        <f>IF(K5="ol",'0+12'!J39,'R+RS+B'!K38)</f>
        <v>83.756010701390693</v>
      </c>
      <c r="L38" s="106">
        <f>IF(L5="ol",'0+12'!K39,'R+RS+B'!L38)</f>
        <v>82.238563923571476</v>
      </c>
      <c r="M38" s="106">
        <f>IF(M5="ol",'0+12'!L39,'R+RS+B'!M38)</f>
        <v>82.657051600654668</v>
      </c>
      <c r="N38" s="106">
        <f>IF(N5="ol",'0+12'!M39,'R+RS+B'!N38)</f>
        <v>82.193491764038257</v>
      </c>
      <c r="O38" s="106">
        <f>IF(O5="ol",'0+12'!N39,'R+RS+B'!O38)</f>
        <v>83.829762957654282</v>
      </c>
      <c r="P38" s="106">
        <f>IF(P5="ol",'0+12'!O39,'R+RS+B'!P38)</f>
        <v>82.628277530617396</v>
      </c>
      <c r="Q38" s="106">
        <f>IF(Q5="ol",'0+12'!P39,'R+RS+B'!Q38)</f>
        <v>82.953408301814221</v>
      </c>
      <c r="R38" s="500"/>
      <c r="S38" s="106">
        <f>SUMPRODUCT(F20:Q20,F37:Q37,F38:Q38)/SUMPRODUCT(F20:Q20,F37:Q37)</f>
        <v>82.356914067044158</v>
      </c>
      <c r="T38" s="525"/>
      <c r="U38" s="179">
        <f>IF(MONTH(Factores!$D$2)=1,SUMPRODUCT($F$20:$F$20,$F$37:$F$37,$F38:F38)/SUMPRODUCT($F$20:$F$20,$F$37:$F$37),IF(MONTH(Factores!$D$2)=2,SUMPRODUCT($F$20:$G$20,$F$37:$G$37,$F38:G38)/SUMPRODUCT($F$20:$G$20,$F$37:$G$37),IF(MONTH(Factores!$D$2)=3,SUMPRODUCT($F$20:$H$20,$F$37:$H$37,$F38:H38)/SUMPRODUCT($F$20:$H$20,$F$37:$H$37),IF(MONTH(Factores!$D$2)=4,SUMPRODUCT($F$20:$I$20,$F$37:$I$37,$F38:I38)/SUMPRODUCT($F$20:$I$20,$F$37:$I$37),IF(MONTH(Factores!$D$2)=5,SUMPRODUCT($F$20:$J$20,$F$37:$J$37,$F38:J38)/SUMPRODUCT($F$20:$J$20,$F$37:$J$37),IF(MONTH(Factores!$D$2)=6,SUMPRODUCT($F$20:$K$20,$F$37:$K$37,$F38:K38)/SUMPRODUCT($F$20:$K$20,$F$37:$K$37),IF(MONTH(Factores!$D$2)=7,SUMPRODUCT($F$20:$L$20,$F$37:$L$37,$F38:L38)/SUMPRODUCT($F$20:$L$20,$F$37:$L$37),IF(MONTH(Factores!$D$2)=8,SUMPRODUCT($F$20:$M$20,$F$37:$M$37,$F38:M38)/SUMPRODUCT($F$20:$M$20,$F$37:$M$37),IF(MONTH(Factores!$D$2)=9,SUMPRODUCT($F$20:$N$20,$F$37:$N$37,$F38:N38)/SUMPRODUCT($F$20:$N$20,$F$37:$N$37),IF(MONTH(Factores!$D$2)=10,SUMPRODUCT($F$20:$O$20,$F$37:$O$37,$F38:O38)/SUMPRODUCT($F$20:$O$20,$F$37:$O$37),IF(MONTH(Factores!$D$2)=11,SUMPRODUCT($F$20:$P$20,$F$37:$P$37,$F38:P38)/SUMPRODUCT($F$20:$P$20,$F$37:$P$37),IF(MONTH(Factores!$D$2)=12,SUMPRODUCT($F$20:$Q$20,$F$37:$Q$37,$F38:Q38)/SUMPRODUCT($F$20:$Q$20,$F$37:$Q$37)))))))))))))</f>
        <v>80.062368155342469</v>
      </c>
      <c r="V38" s="179">
        <f>IF(MONTH(Factores!$D$2)=1,SUMPRODUCT($F$20:$F$20,$F$37:$F$37,$F38:F38)/SUMPRODUCT($F$20:$F$20,$F$37:$F$37),IF(MONTH(Factores!$D$2)=2,SUMPRODUCT($F$20:$F$20,$F$37:$F$37,$F38:F38)/SUMPRODUCT($F$20:$F$20,$F$37:$F$37),IF(MONTH(Factores!$D$2)=3,SUMPRODUCT($F$20:$G$20,$F$37:$G$37,$F38:G38)/SUMPRODUCT($F$20:$G$20,$F$37:$G$37),IF(MONTH(Factores!$D$2)=4,SUMPRODUCT($F$20:$H$20,$F$37:$H$37,$F38:H38)/SUMPRODUCT($F$20:$H$20,$F$37:$H$37),IF(MONTH(Factores!$D$2)=5,SUMPRODUCT($F$20:$I$20,$F$37:$I$37,$F38:I38)/SUMPRODUCT($F$20:$I$20,$F$37:$I$37),IF(MONTH(Factores!$D$2)=6,SUMPRODUCT($F$20:$J$20,$F$37:$J$37,$F38:J38)/SUMPRODUCT($F$20:$J$20,$F$37:$J$37),IF(MONTH(Factores!$D$2)=7,SUMPRODUCT($F$20:$K$20,$F$37:$K$37,$F38:K38)/SUMPRODUCT($F$20:$K$20,$F$37:$K$37),IF(MONTH(Factores!$D$2)=8,SUMPRODUCT($F$20:$L$20,$F$37:$L$37,$F38:L38)/SUMPRODUCT($F$20:$L$20,$F$37:$L$37),IF(MONTH(Factores!$D$2)=9,SUMPRODUCT($F$20:$M$20,$F$37:$M$37,$F38:M38)/SUMPRODUCT($F$20:$M$20,$F$37:$M$37),IF(MONTH(Factores!$D$2)=10,SUMPRODUCT($F$20:$N$20,$F$37:$N$37,$F38:N38)/SUMPRODUCT($F$20:$N$20,$F$37:$N$37),IF(MONTH(Factores!$D$2)=11,SUMPRODUCT($F$20:$O$20,$F$37:$O$37,$F38:O38)/SUMPRODUCT($F$20:$O$20,$F$37:$O$37),IF(MONTH(Factores!$D$2)=12,SUMPRODUCT($F$20:$P$20,$F$37:$P$37,$F38:P38)/SUMPRODUCT($F$20:$P$20,$F$37:$P$37)))))))))))))</f>
        <v>79.627758487315631</v>
      </c>
    </row>
    <row r="39" spans="3:22" s="426" customFormat="1" ht="30" customHeight="1">
      <c r="C39" s="78" t="s">
        <v>229</v>
      </c>
      <c r="D39" s="88" t="s">
        <v>48</v>
      </c>
      <c r="E39" s="80"/>
      <c r="F39" s="106">
        <f>IF(F5="ol",'0+12'!E40,'R+RS+B'!F39)</f>
        <v>91.398437365766711</v>
      </c>
      <c r="G39" s="106">
        <f>IF(G5="ol",'0+12'!F40,'R+RS+B'!G39)</f>
        <v>90.049358991265478</v>
      </c>
      <c r="H39" s="106">
        <f>IF(H5="ol",'0+12'!G40,'R+RS+B'!H39)</f>
        <v>90.070561377173078</v>
      </c>
      <c r="I39" s="106">
        <f>IF(I5="ol",'0+12'!H40,'R+RS+B'!I39)</f>
        <v>0</v>
      </c>
      <c r="J39" s="106">
        <f>IF(J5="ol",'0+12'!I40,'R+RS+B'!J39)</f>
        <v>0</v>
      </c>
      <c r="K39" s="106">
        <f>IF(K5="ol",'0+12'!J40,'R+RS+B'!K39)</f>
        <v>0</v>
      </c>
      <c r="L39" s="106">
        <f>IF(L5="ol",'0+12'!K40,'R+RS+B'!L39)</f>
        <v>0</v>
      </c>
      <c r="M39" s="106">
        <f>IF(M5="ol",'0+12'!L40,'R+RS+B'!M39)</f>
        <v>0</v>
      </c>
      <c r="N39" s="106">
        <f>IF(N5="ol",'0+12'!M40,'R+RS+B'!N39)</f>
        <v>0</v>
      </c>
      <c r="O39" s="106">
        <f>IF(O5="ol",'0+12'!N40,'R+RS+B'!O39)</f>
        <v>0</v>
      </c>
      <c r="P39" s="106">
        <f>IF(P5="ol",'0+12'!O40,'R+RS+B'!P39)</f>
        <v>0</v>
      </c>
      <c r="Q39" s="106" t="e">
        <f>IF(Q5="ol",'0+12'!#REF!,'R+RS+B'!Q39)</f>
        <v>#REF!</v>
      </c>
      <c r="R39" s="500"/>
      <c r="S39" s="106" t="e">
        <f>SUMPRODUCT(F20:Q20,F37:Q37,F39:Q39)/SUMPRODUCT(F20:Q20,F37:Q37)</f>
        <v>#REF!</v>
      </c>
      <c r="T39" s="525"/>
      <c r="U39" s="179">
        <f>IF(MONTH(Factores!$D$2)=1,SUMPRODUCT($F$20:$F$20,$F$37:$F$37,$F39:F39)/SUMPRODUCT($F$20:$F$20,$F$37:$F$37),IF(MONTH(Factores!$D$2)=2,SUMPRODUCT($F$20:$G$20,$F$37:$G$37,$F39:G39)/SUMPRODUCT($F$20:$G$20,$F$37:$G$37),IF(MONTH(Factores!$D$2)=3,SUMPRODUCT($F$20:$H$20,$F$37:$H$37,$F39:H39)/SUMPRODUCT($F$20:$H$20,$F$37:$H$37),IF(MONTH(Factores!$D$2)=4,SUMPRODUCT($F$20:$I$20,$F$37:$I$37,$F39:I39)/SUMPRODUCT($F$20:$I$20,$F$37:$I$37),IF(MONTH(Factores!$D$2)=5,SUMPRODUCT($F$20:$J$20,$F$37:$J$37,$F39:J39)/SUMPRODUCT($F$20:$J$20,$F$37:$J$37),IF(MONTH(Factores!$D$2)=6,SUMPRODUCT($F$20:$K$20,$F$37:$K$37,$F39:K39)/SUMPRODUCT($F$20:$K$20,$F$37:$K$37),IF(MONTH(Factores!$D$2)=7,SUMPRODUCT($F$20:$L$20,$F$37:$L$37,$F39:L39)/SUMPRODUCT($F$20:$L$20,$F$37:$L$37),IF(MONTH(Factores!$D$2)=8,SUMPRODUCT($F$20:$M$20,$F$37:$M$37,$F39:M39)/SUMPRODUCT($F$20:$M$20,$F$37:$M$37),IF(MONTH(Factores!$D$2)=9,SUMPRODUCT($F$20:$N$20,$F$37:$N$37,$F39:N39)/SUMPRODUCT($F$20:$N$20,$F$37:$N$37),IF(MONTH(Factores!$D$2)=10,SUMPRODUCT($F$20:$O$20,$F$37:$O$37,$F39:O39)/SUMPRODUCT($F$20:$O$20,$F$37:$O$37),IF(MONTH(Factores!$D$2)=11,SUMPRODUCT($F$20:$P$20,$F$37:$P$37,$F39:P39)/SUMPRODUCT($F$20:$P$20,$F$37:$P$37),IF(MONTH(Factores!$D$2)=12,SUMPRODUCT($F$20:$Q$20,$F$37:$Q$37,$F39:Q39)/SUMPRODUCT($F$20:$Q$20,$F$37:$Q$37)))))))))))))</f>
        <v>90.426391452989932</v>
      </c>
      <c r="V39" s="179">
        <f>IF(MONTH(Factores!$D$2)=1,SUMPRODUCT($F$20:$F$20,$F$37:$F$37,$F39:F39)/SUMPRODUCT($F$20:$F$20,$F$37:$F$37),IF(MONTH(Factores!$D$2)=2,SUMPRODUCT($F$20:$F$20,$F$37:$F$37,$F39:F39)/SUMPRODUCT($F$20:$F$20,$F$37:$F$37),IF(MONTH(Factores!$D$2)=3,SUMPRODUCT($F$20:$G$20,$F$37:$G$37,$F39:G39)/SUMPRODUCT($F$20:$G$20,$F$37:$G$37),IF(MONTH(Factores!$D$2)=4,SUMPRODUCT($F$20:$H$20,$F$37:$H$37,$F39:H39)/SUMPRODUCT($F$20:$H$20,$F$37:$H$37),IF(MONTH(Factores!$D$2)=5,SUMPRODUCT($F$20:$I$20,$F$37:$I$37,$F39:I39)/SUMPRODUCT($F$20:$I$20,$F$37:$I$37),IF(MONTH(Factores!$D$2)=6,SUMPRODUCT($F$20:$J$20,$F$37:$J$37,$F39:J39)/SUMPRODUCT($F$20:$J$20,$F$37:$J$37),IF(MONTH(Factores!$D$2)=7,SUMPRODUCT($F$20:$K$20,$F$37:$K$37,$F39:K39)/SUMPRODUCT($F$20:$K$20,$F$37:$K$37),IF(MONTH(Factores!$D$2)=8,SUMPRODUCT($F$20:$L$20,$F$37:$L$37,$F39:L39)/SUMPRODUCT($F$20:$L$20,$F$37:$L$37),IF(MONTH(Factores!$D$2)=9,SUMPRODUCT($F$20:$M$20,$F$37:$M$37,$F39:M39)/SUMPRODUCT($F$20:$M$20,$F$37:$M$37),IF(MONTH(Factores!$D$2)=10,SUMPRODUCT($F$20:$N$20,$F$37:$N$37,$F39:N39)/SUMPRODUCT($F$20:$N$20,$F$37:$N$37),IF(MONTH(Factores!$D$2)=11,SUMPRODUCT($F$20:$O$20,$F$37:$O$37,$F39:O39)/SUMPRODUCT($F$20:$O$20,$F$37:$O$37),IF(MONTH(Factores!$D$2)=12,SUMPRODUCT($F$20:$P$20,$F$37:$P$37,$F39:P39)/SUMPRODUCT($F$20:$P$20,$F$37:$P$37)))))))))))))</f>
        <v>90.640328723283901</v>
      </c>
    </row>
    <row r="40" spans="3:22" s="426" customFormat="1" ht="30" customHeight="1">
      <c r="C40" s="78" t="s">
        <v>230</v>
      </c>
      <c r="D40" s="88" t="s">
        <v>48</v>
      </c>
      <c r="E40" s="80"/>
      <c r="F40" s="106">
        <f>IF(F5="ol",'0+12'!E41,'R+RS+B'!F40)</f>
        <v>89.296019599098031</v>
      </c>
      <c r="G40" s="106">
        <f>IF(G5="ol",'0+12'!F41,'R+RS+B'!G40)</f>
        <v>86.707012128457734</v>
      </c>
      <c r="H40" s="106">
        <f>IF(H5="ol",'0+12'!G41,'R+RS+B'!H40)</f>
        <v>89.691048038564801</v>
      </c>
      <c r="I40" s="106">
        <f>IF(I5="ol",'0+12'!H41,'R+RS+B'!I40)</f>
        <v>0</v>
      </c>
      <c r="J40" s="106">
        <f>IF(J5="ol",'0+12'!I41,'R+RS+B'!J40)</f>
        <v>0</v>
      </c>
      <c r="K40" s="106">
        <f>IF(K5="ol",'0+12'!J41,'R+RS+B'!K40)</f>
        <v>0</v>
      </c>
      <c r="L40" s="106">
        <f>IF(L5="ol",'0+12'!K41,'R+RS+B'!L40)</f>
        <v>0</v>
      </c>
      <c r="M40" s="106">
        <f>IF(M5="ol",'0+12'!L41,'R+RS+B'!M40)</f>
        <v>0</v>
      </c>
      <c r="N40" s="106">
        <f>IF(N5="ol",'0+12'!M41,'R+RS+B'!N40)</f>
        <v>0</v>
      </c>
      <c r="O40" s="106">
        <f>IF(O5="ol",'0+12'!N41,'R+RS+B'!O40)</f>
        <v>0</v>
      </c>
      <c r="P40" s="106">
        <f>IF(P5="ol",'0+12'!O41,'R+RS+B'!P40)</f>
        <v>0</v>
      </c>
      <c r="Q40" s="106">
        <f>IF(Q5="ol",'0+12'!P40,'R+RS+B'!Q40)</f>
        <v>0</v>
      </c>
      <c r="R40" s="500"/>
      <c r="S40" s="106" t="e">
        <f>SUMPRODUCT(F20:Q20,F37:Q37,F39:Q39,F40:Q40)/SUMPRODUCT(F20:Q20,F37:Q37,F39:Q39)</f>
        <v>#REF!</v>
      </c>
      <c r="T40" s="525"/>
      <c r="U40" s="179">
        <f>IF(MONTH(Factores!$D$2)=1,SUMPRODUCT($F$20:$F$20,$F$37:$F$37,$F$39:$F$39,$F40:F40)/SUMPRODUCT($F$20:$F$20,$F$37:$F$37,$F$39:$F$39),IF(MONTH(Factores!$D$2)=2,SUMPRODUCT($F$20:$G$20,$F$37:$G$37,$F$39:$G$39,$F40:G40)/SUMPRODUCT($F$20:$G$20,$F$37:$G$37,$F$39:$G$39),IF(MONTH(Factores!$D$2)=3,SUMPRODUCT($F$20:$H$20,$F$37:$H$37,$F$39:$H$39,$F40:H40)/SUMPRODUCT($F$20:$H$20,$F$37:$H$37,$F$39:$H$39),IF(MONTH(Factores!$D$2)=4,SUMPRODUCT($F$20:$I$20,$F$37:$I$37,$F$39:$I$39,$F40:I40)/SUMPRODUCT($F$20:$I$20,$F$37:$I$37,$F$39:$I$39),IF(MONTH(Factores!$D$2)=5,SUMPRODUCT($F$20:$J$20,$F$37:$J$37,$F$39:$J$39,$F40:J40)/SUMPRODUCT($F$20:$J$20,$F$37:$J$37,$F$39:$J$39),IF(MONTH(Factores!$D$2)=6,SUMPRODUCT($F$20:$K$20,$F$37:$K$37,$F$39:$K$39,$F40:K40)/SUMPRODUCT($F$20:$K$20,$F$37:$K$37,$F$39:$K$39),IF(MONTH(Factores!$D$2)=7,SUMPRODUCT($F$20:$L$20,$F$37:$L$37,$F$39:$L$39,$F40:L40)/SUMPRODUCT($F$20:$L$20,$F$37:$L$37,$F$39:$L$39),IF(MONTH(Factores!$D$2)=8,SUMPRODUCT($F$20:$M$20,$F$37:$M$37,$F$39:$M$39,$F40:M40)/SUMPRODUCT($F$20:$M$20,$F$37:$M$37,$F$39:$M$39),IF(MONTH(Factores!$D$2)=9,SUMPRODUCT($F$20:$N$20,$F$37:$N$37,$F$39:$N$39,$F40:N40)/SUMPRODUCT($F$20:$N$20,$F$37:$N$37,$F$39:$N$39),IF(MONTH(Factores!$D$2)=10,SUMPRODUCT($F$20:$O$20,$F$37:$O$37,$F$39:$O$39,$F40:O40)/SUMPRODUCT($F$20:$O$20,$F$37:$O$37,$F$39:$O$39),IF(MONTH(Factores!$D$2)=11,SUMPRODUCT($F$20:$P$20,$F$37:$P$37,$F$39:$P$39,$F40:P40)/SUMPRODUCT($F$20:$P$20,$F$37:$P$37,$F$39:$P$39),IF(MONTH(Factores!$D$2)=12,SUMPRODUCT($F$20:$Q$20,$F$37:$Q$37,$F$39:$Q$39,$F40:Q40)/SUMPRODUCT($F$20:$Q$20,$F$37:$Q$37,$F$39:$Q$39)))))))))))))</f>
        <v>88.538950461656086</v>
      </c>
      <c r="V40" s="179">
        <f>IF(MONTH(Factores!$D$2)=1,SUMPRODUCT($F$20:$F$20,$F$37:$F$37,$F$39:$F$39,$F40:F40)/SUMPRODUCT($F$20:$F$20,$F$37:$F$37,$F$39:$F$39),IF(MONTH(Factores!$D$2)=2,SUMPRODUCT($F$20:$F$20,$F$37:$F$37,$F$39:$F$39,$F40:F40)/SUMPRODUCT($F$20:$F$20,$F$37:$F$37,$F$39:$F$39),IF(MONTH(Factores!$D$2)=3,SUMPRODUCT($F$20:$G$20,$F$37:$G$37,$F$39:$G$39,$F40:G40)/SUMPRODUCT($F$20:$G$20,$F$37:$G$37,$F$39:$G$39),IF(MONTH(Factores!$D$2)=4,SUMPRODUCT($F$20:$H$20,$F$37:$H$37,$F$39:$H$39,$F40:H40)/SUMPRODUCT($F$20:$H$20,$F$37:$H$37,$F$39:$H$39),IF(MONTH(Factores!$D$2)=5,SUMPRODUCT($F$20:$I$20,$F$37:$I$37,$F$39:$I$39,$F40:I40)/SUMPRODUCT($F$20:$I$20,$F$37:$I$37,$F$39:$I$39),IF(MONTH(Factores!$D$2)=6,SUMPRODUCT($F$20:$J$20,$F$37:$J$37,$F$39:$J$39,$F40:J40)/SUMPRODUCT($F$20:$J$20,$F$37:$J$37,$F$39:$J$39),IF(MONTH(Factores!$D$2)=7,SUMPRODUCT($F$20:$K$20,$F$37:$K$37,$F$39:$K$39,$F40:K40)/SUMPRODUCT($F$20:$K$20,$F$37:$K$37,$F$39:$K$39),IF(MONTH(Factores!$D$2)=8,SUMPRODUCT($F$20:$L$20,$F$37:$L$37,$F$39:$L$39,$F40:L40)/SUMPRODUCT($F$20:$L$20,$F$37:$L$37,$F$39:$L$39),IF(MONTH(Factores!$D$2)=9,SUMPRODUCT($F$20:$M$20,$F$37:$M$37,$F$39:$M$39,$F40:M40)/SUMPRODUCT($F$20:$M$20,$F$37:$M$37,$F$39:$M$39),IF(MONTH(Factores!$D$2)=10,SUMPRODUCT($F$20:$N$20,$F$37:$N$37,$F$39:$N$39,$F40:N40)/SUMPRODUCT($F$20:$N$20,$F$37:$N$37,$F$39:$N$39),IF(MONTH(Factores!$D$2)=11,SUMPRODUCT($F$20:$O$20,$F$37:$O$37,$F$39:$O$39,$F40:O40)/SUMPRODUCT($F$20:$O$20,$F$37:$O$37,$F$39:$O$39),IF(MONTH(Factores!$D$2)=12,SUMPRODUCT($F$20:$P$20,$F$37:$P$37,$F$39:$P$39,$F40:P40)/SUMPRODUCT($F$20:$P$20,$F$37:$P$37,$F$39:$P$39)))))))))))))</f>
        <v>87.850624012329448</v>
      </c>
    </row>
    <row r="41" spans="3:22" s="426" customFormat="1" ht="30" customHeight="1">
      <c r="C41" s="78" t="s">
        <v>231</v>
      </c>
      <c r="D41" s="88" t="s">
        <v>204</v>
      </c>
      <c r="E41" s="80"/>
      <c r="F41" s="112">
        <f>IF(F5="ol",'0+12'!E42,'R+RS+B'!F41)</f>
        <v>1.1851013344500001</v>
      </c>
      <c r="G41" s="112">
        <f>IF(G5="ol",'0+12'!F42,'R+RS+B'!G41)</f>
        <v>1.00669583557</v>
      </c>
      <c r="H41" s="112">
        <f>IF(H5="ol",'0+12'!G42,'R+RS+B'!H41)</f>
        <v>2.4117963537828073</v>
      </c>
      <c r="I41" s="112">
        <f>IF(I5="ol",'0+12'!H42,'R+RS+B'!I41)</f>
        <v>0.95653644363720969</v>
      </c>
      <c r="J41" s="112">
        <f>IF(J5="ol",'0+12'!I42,'R+RS+B'!J41)</f>
        <v>1.9023302355602509</v>
      </c>
      <c r="K41" s="112">
        <f>IF(K5="ol",'0+12'!J42,'R+RS+B'!K41)</f>
        <v>1.923972850867167</v>
      </c>
      <c r="L41" s="112">
        <f>IF(L5="ol",'0+12'!K42,'R+RS+B'!L41)</f>
        <v>1.3556983937178164</v>
      </c>
      <c r="M41" s="112">
        <f>IF(M5="ol",'0+12'!L42,'R+RS+B'!M41)</f>
        <v>1.4088867350806469</v>
      </c>
      <c r="N41" s="112">
        <f>IF(N5="ol",'0+12'!M42,'R+RS+B'!N41)</f>
        <v>1.2737340323687549</v>
      </c>
      <c r="O41" s="112">
        <f>IF(O5="ol",'0+12'!N42,'R+RS+B'!O41)</f>
        <v>1.9321291112560715</v>
      </c>
      <c r="P41" s="112">
        <f>IF(P5="ol",'0+12'!O42,'R+RS+B'!P41)</f>
        <v>1.4644116165294079</v>
      </c>
      <c r="Q41" s="112">
        <f>IF(Q5="ol",'0+12'!P42,'R+RS+B'!Q41)</f>
        <v>1.6825764846078841</v>
      </c>
      <c r="R41" s="429"/>
      <c r="S41" s="112">
        <f>SUM(F41:Q41)</f>
        <v>18.503869427428015</v>
      </c>
      <c r="T41" s="568"/>
      <c r="U41" s="416">
        <f>IF(MONTH(Factores!$D$2)=1,SUM($F41:F41),IF(MONTH(Factores!$D$2)=2,SUM($F41:G41),IF(MONTH(Factores!$D$2)=3,SUM($F41:H41),IF(MONTH(Factores!$D$2)=4,SUM($F41:I41),IF(MONTH(Factores!$D$2)=5,SUM($F41:J41),IF(MONTH(Factores!$D$2)=6,SUM($F41:K41),IF(MONTH(Factores!$D$2)=7,SUM($F41:L41),IF(MONTH(Factores!$D$2)=8,SUM($F41:M41),IF(MONTH(Factores!$D$2)=9,SUM($F41:N41),IF(MONTH(Factores!$D$2)=10,SUM($F41:O41),IF(MONTH(Factores!$D$2)=11,SUM($F41:P41),IF(MONTH(Factores!$D$2)=12,SUM($F41:Q41)))))))))))))</f>
        <v>4.6035935238028074</v>
      </c>
      <c r="V41" s="416">
        <f>IF(MONTH(Factores!$D$2)=1,SUM($F41:F41),IF(MONTH(Factores!$D$2)=2,SUM($F41:F41),IF(MONTH(Factores!$D$2)=3,SUM($F41:G41),IF(MONTH(Factores!$D$2)=4,SUM($F41:H41),IF(MONTH(Factores!$D$2)=5,SUM($F41:I41),IF(MONTH(Factores!$D$2)=6,SUM($F41:J41),IF(MONTH(Factores!$D$2)=7,SUM($F41:K41),IF(MONTH(Factores!$D$2)=8,SUM($F41:L41),IF(MONTH(Factores!$D$2)=9,SUM($F41:M41),IF(MONTH(Factores!$D$2)=10,SUM($F41:N41),IF(MONTH(Factores!$D$2)=11,SUM($F41:O41),IF(MONTH(Factores!$D$2)=12,SUM($F41:P41)))))))))))))</f>
        <v>2.1917971700200001</v>
      </c>
    </row>
    <row r="42" spans="3:22" s="426" customFormat="1" ht="30" customHeight="1">
      <c r="C42" s="78" t="s">
        <v>232</v>
      </c>
      <c r="D42" s="88" t="s">
        <v>48</v>
      </c>
      <c r="E42" s="80"/>
      <c r="F42" s="105">
        <f>IF(F5="ol",'0+12'!E43,'R+RS+B'!F42)</f>
        <v>54.542668711771896</v>
      </c>
      <c r="G42" s="105">
        <f>IF(G5="ol",'0+12'!F43,'R+RS+B'!G42)</f>
        <v>54.884639999999997</v>
      </c>
      <c r="H42" s="105">
        <f>IF(H5="ol",'0+12'!G43,'R+RS+B'!H42)</f>
        <v>48.60535063406752</v>
      </c>
      <c r="I42" s="105">
        <f>IF(I5="ol",'0+12'!H43,'R+RS+B'!I42)</f>
        <v>54</v>
      </c>
      <c r="J42" s="105">
        <f>IF(J5="ol",'0+12'!I43,'R+RS+B'!J42)</f>
        <v>54</v>
      </c>
      <c r="K42" s="105">
        <f>IF(K5="ol",'0+12'!J43,'R+RS+B'!K42)</f>
        <v>54</v>
      </c>
      <c r="L42" s="105">
        <f>IF(L5="ol",'0+12'!K43,'R+RS+B'!L42)</f>
        <v>54</v>
      </c>
      <c r="M42" s="105">
        <f>IF(M5="ol",'0+12'!L43,'R+RS+B'!M42)</f>
        <v>54</v>
      </c>
      <c r="N42" s="105">
        <f>IF(N5="ol",'0+12'!M43,'R+RS+B'!N42)</f>
        <v>54</v>
      </c>
      <c r="O42" s="105">
        <f>IF(O5="ol",'0+12'!N43,'R+RS+B'!O42)</f>
        <v>54</v>
      </c>
      <c r="P42" s="105">
        <f>IF(P5="ol",'0+12'!O43,'R+RS+B'!P42)</f>
        <v>54</v>
      </c>
      <c r="Q42" s="105">
        <f>IF(Q5="ol",'0+12'!P43,'R+RS+B'!Q42)</f>
        <v>54</v>
      </c>
      <c r="R42" s="86"/>
      <c r="S42" s="208">
        <f>S17/S41*100</f>
        <v>52.696745431785843</v>
      </c>
      <c r="T42" s="433"/>
      <c r="U42" s="224">
        <f>U17/U41*100</f>
        <v>48.761646041022807</v>
      </c>
      <c r="V42" s="224">
        <f>V17/V41*100</f>
        <v>63.614500612371039</v>
      </c>
    </row>
    <row r="43" spans="3:22">
      <c r="F43" s="428"/>
      <c r="G43" s="428"/>
      <c r="H43" s="428"/>
      <c r="I43" s="428"/>
      <c r="J43" s="428"/>
      <c r="K43" s="428"/>
      <c r="L43" s="428"/>
      <c r="M43" s="428"/>
      <c r="N43" s="428"/>
      <c r="O43" s="428"/>
      <c r="P43" s="428"/>
      <c r="Q43" s="428"/>
      <c r="S43" s="145"/>
      <c r="U43" s="73"/>
      <c r="V43" s="73"/>
    </row>
    <row r="44" spans="3:22" ht="30" customHeight="1">
      <c r="C44" s="90" t="s">
        <v>233</v>
      </c>
      <c r="D44" s="91" t="s">
        <v>234</v>
      </c>
      <c r="F44" s="112">
        <f>IF(F5="ol",'0+12'!E45,'R+RS+B'!F44)</f>
        <v>4.0613207908088041E-2</v>
      </c>
      <c r="G44" s="112">
        <f>IF(G5="ol",'0+12'!F45,'R+RS+B'!G44)</f>
        <v>3.9184403842763504E-2</v>
      </c>
      <c r="H44" s="112">
        <f>IF(H5="ol",'0+12'!G45,'R+RS+B'!H44)</f>
        <v>5.1404491470992943E-2</v>
      </c>
      <c r="I44" s="112">
        <f>IF(I5="ol",'0+12'!H45,'R+RS+B'!I44)</f>
        <v>4.6913525675970333E-2</v>
      </c>
      <c r="J44" s="112">
        <f>IF(J5="ol",'0+12'!I45,'R+RS+B'!J44)</f>
        <v>3.6995621606738534E-2</v>
      </c>
      <c r="K44" s="112">
        <f>IF(K5="ol",'0+12'!J45,'R+RS+B'!K44)</f>
        <v>4.3680183417664754E-2</v>
      </c>
      <c r="L44" s="112">
        <f>IF(L5="ol",'0+12'!K45,'R+RS+B'!L44)</f>
        <v>4.4712278349193023E-2</v>
      </c>
      <c r="M44" s="112">
        <f>IF(M5="ol",'0+12'!L45,'R+RS+B'!M44)</f>
        <v>4.2554490210015582E-2</v>
      </c>
      <c r="N44" s="112">
        <f>IF(N5="ol",'0+12'!M45,'R+RS+B'!N44)</f>
        <v>5.3613748846202791E-2</v>
      </c>
      <c r="O44" s="112">
        <f>IF(O5="ol",'0+12'!N45,'R+RS+B'!O44)</f>
        <v>4.7223647555827482E-2</v>
      </c>
      <c r="P44" s="112">
        <f>IF(P5="ol",'0+12'!O45,'R+RS+B'!P44)</f>
        <v>4.5649625049754422E-2</v>
      </c>
      <c r="Q44" s="112">
        <f>IF(Q5="ol",'0+12'!P45,'R+RS+B'!Q44)</f>
        <v>5.3004613843578713E-2</v>
      </c>
      <c r="R44" s="429"/>
      <c r="S44" s="617">
        <f>SUMPRODUCT(F44:Q44,F20:Q20)/SUM(F20:Q20)</f>
        <v>4.5630793033061723E-2</v>
      </c>
      <c r="T44" s="568"/>
      <c r="U44" s="294">
        <f>IF(MONTH(Factores!$D$2)=1,SUMPRODUCT($F$20:$F$20,$F44:F44)/SUM($F$20:$F$20),IF(MONTH(Factores!$D$2)=2,SUMPRODUCT($F$20:$G$20,$F44:G44)/SUM($F$20:$G$20),IF(MONTH(Factores!$D$2)=3,SUMPRODUCT($F$20:$H$20,$F44:H44)/SUM($F$20:$H$20),IF(MONTH(Factores!$D$2)=4,SUMPRODUCT($F$20:$I$20,$F44:I44)/SUM($F$20:$I$20),IF(MONTH(Factores!$D$2)=5,SUMPRODUCT($F$20:$J$20,$F44:J44)/SUM($F$20:$J$20),IF(MONTH(Factores!$D$2)=6,SUMPRODUCT($F$20:$K$20,$F44:K44)/SUM($F$20:$K$20),IF(MONTH(Factores!$D$2)=7,SUMPRODUCT($F$20:$L$20,$F44:L44)/SUM($F$20:$L$20),IF(MONTH(Factores!$D$2)=8,SUMPRODUCT($F$20:$M$20,$F44:M44)/SUM($F$20:$M$20),IF(MONTH(Factores!$D$2)=9,SUMPRODUCT($F$20:$N$20,$F44:N44)/SUM($F$20:$N$20),IF(MONTH(Factores!$D$2)=10,SUMPRODUCT($F$20:$O$20,$F44:O44)/SUM($F$20:$O$20),IF(MONTH(Factores!$D$2)=11,SUMPRODUCT($F$20:$P$20,$F44:P44)/SUM($F$20:$P$20),IF(MONTH(Factores!$D$2)=12,SUMPRODUCT($F$20:$Q$20,$F44:Q44)/SUM($F$20:$Q$20)))))))))))))</f>
        <v>4.4344994919474245E-2</v>
      </c>
      <c r="V44" s="294">
        <f>IF(MONTH(Factores!$D$2)=1,SUMPRODUCT($F$20:$F$20,$F44:F44)/SUM($F$20:$F$20),IF(MONTH(Factores!$D$2)=2,SUMPRODUCT($F$20:$F$20,$F44:F44)/SUM($F$20:$F$20),IF(MONTH(Factores!$D$2)=3,SUMPRODUCT($F$20:$G$20,$F44:G44)/SUM($F$20:$G$20),IF(MONTH(Factores!$D$2)=4,SUMPRODUCT($F$20:$H$20,$F44:H44)/SUM($F$20:$H$20),IF(MONTH(Factores!$D$2)=5,SUMPRODUCT($F$20:$I$20,$F44:I44)/SUM($F$20:$I$20),IF(MONTH(Factores!$D$2)=6,SUMPRODUCT($F$20:$J$20,$F44:J44)/SUM($F$20:$J$20),IF(MONTH(Factores!$D$2)=7,SUMPRODUCT($F$20:$K$20,$F44:K44)/SUM($F$20:$K$20),IF(MONTH(Factores!$D$2)=8,SUMPRODUCT($F$20:$L$20,$F44:L44)/SUM($F$20:$L$20),IF(MONTH(Factores!$D$2)=9,SUMPRODUCT($F$20:$M$20,$F44:M44)/SUM($F$20:$M$20),IF(MONTH(Factores!$D$2)=10,SUMPRODUCT($F$20:$N$20,$F44:N44)/SUM($F$20:$N$20),IF(MONTH(Factores!$D$2)=11,SUMPRODUCT($F$20:$O$20,$F44:O44)/SUM($F$20:$O$20),IF(MONTH(Factores!$D$2)=12,SUMPRODUCT($F$20:$P$20,$F44:P44)/SUM($F$20:$P$20)))))))))))))</f>
        <v>3.9810040394670176E-2</v>
      </c>
    </row>
    <row r="45" spans="3:22" ht="30" customHeight="1">
      <c r="C45" s="90" t="s">
        <v>235</v>
      </c>
      <c r="D45" s="91" t="s">
        <v>234</v>
      </c>
      <c r="F45" s="106">
        <f>IF(F5="ol",'0+12'!E46,'R+RS+B'!F45)</f>
        <v>1.8543725808971954</v>
      </c>
      <c r="G45" s="106">
        <f>IF(G5="ol",'0+12'!F46,'R+RS+B'!G45)</f>
        <v>1.6566731946851032</v>
      </c>
      <c r="H45" s="106">
        <f>IF(H5="ol",'0+12'!G46,'R+RS+B'!H45)</f>
        <v>1.9863659123708997</v>
      </c>
      <c r="I45" s="106">
        <f>IF(I5="ol",'0+12'!H46,'R+RS+B'!I45)</f>
        <v>1.7734346056523604</v>
      </c>
      <c r="J45" s="106">
        <f>IF(J5="ol",'0+12'!I46,'R+RS+B'!J45)</f>
        <v>1.3757658772419512</v>
      </c>
      <c r="K45" s="106">
        <f>IF(K5="ol",'0+12'!J46,'R+RS+B'!K45)</f>
        <v>1.5681748354106204</v>
      </c>
      <c r="L45" s="106">
        <f>IF(L5="ol",'0+12'!K46,'R+RS+B'!L45)</f>
        <v>1.5613249886970935</v>
      </c>
      <c r="M45" s="106">
        <f>IF(M5="ol",'0+12'!L46,'R+RS+B'!M45)</f>
        <v>1.3941511636064163</v>
      </c>
      <c r="N45" s="106">
        <f>IF(N5="ol",'0+12'!M46,'R+RS+B'!N45)</f>
        <v>1.8263604059714986</v>
      </c>
      <c r="O45" s="106">
        <f>IF(O5="ol",'0+12'!N46,'R+RS+B'!O45)</f>
        <v>1.4809055819458259</v>
      </c>
      <c r="P45" s="106">
        <f>IF(P5="ol",'0+12'!O46,'R+RS+B'!P45)</f>
        <v>1.4547320236223258</v>
      </c>
      <c r="Q45" s="106">
        <f>IF(Q5="ol",'0+12'!P46,'R+RS+B'!Q45)</f>
        <v>1.634596322975721</v>
      </c>
      <c r="R45" s="500"/>
      <c r="S45" s="531">
        <f>SUMPRODUCT(F45:Q45,F34:Q34)/SUM(F34:Q34)</f>
        <v>1.6102426341367395</v>
      </c>
      <c r="T45" s="525"/>
      <c r="U45" s="174">
        <f>IF(MONTH(Factores!$D$2)=1,SUMPRODUCT($F$34:$F$34,$F45:F45)/SUM($F$34:$F$34),IF(MONTH(Factores!$D$2)=2,SUMPRODUCT($F$34:$G$34,$F45:G45)/SUM($F$34:$G$34),IF(MONTH(Factores!$D$2)=3,SUMPRODUCT($F$34:$H$34,$F45:H45)/SUM($F$34:$H$34),IF(MONTH(Factores!$D$2)=4,SUMPRODUCT($F$34:$I$34,$F45:I45)/SUM($F$34:$I$34),IF(MONTH(Factores!$D$2)=5,SUMPRODUCT($F$34:$J$34,$F45:J45)/SUM($F$34:$J$34),IF(MONTH(Factores!$D$2)=6,SUMPRODUCT($F$34:$K$34,$F45:K45)/SUM($F$34:$K$34),IF(MONTH(Factores!$D$2)=7,SUMPRODUCT($F$34:$L$34,$F45:L45)/SUM($F$34:$L$34),IF(MONTH(Factores!$D$2)=8,SUMPRODUCT($F$34:$M$34,$F45:M45)/SUM($F$34:$M$34),IF(MONTH(Factores!$D$2)=9,SUMPRODUCT($F$34:$N$34,$F45:N45)/SUM($F$34:$N$34),IF(MONTH(Factores!$D$2)=10,SUMPRODUCT($F$34:$O$34,$F45:O45)/SUM($F$34:$O$34),IF(MONTH(Factores!$D$2)=11,SUMPRODUCT($F$34:$P$34,$F45:P45)/SUM($F$34:$P$34),IF(MONTH(Factores!$D$2)=12,SUMPRODUCT($F$34:$Q$34,$F45:Q45)/SUM($F$34:$Q$34)))))))))))))</f>
        <v>1.8431898548181522</v>
      </c>
      <c r="V45" s="174">
        <f>IF(MONTH(Factores!$D$2)=1,SUMPRODUCT($F$34:$F$34,$F45:F45)/SUM($F$34:$F$34),IF(MONTH(Factores!$D$2)=2,SUMPRODUCT($F$34:$F$34,$F45:F45)/SUM($F$34:$F$34),IF(MONTH(Factores!$D$2)=3,SUMPRODUCT($F$34:$G$34,$F45:G45)/SUM($F$34:$G$34),IF(MONTH(Factores!$D$2)=4,SUMPRODUCT($F$34:$H$34,$F45:H45)/SUM($F$34:$H$34),IF(MONTH(Factores!$D$2)=5,SUMPRODUCT($F$34:$I$34,$F45:I45)/SUM($F$34:$I$34),IF(MONTH(Factores!$D$2)=6,SUMPRODUCT($F$34:$J$34,$F45:J45)/SUM($F$34:$J$34),IF(MONTH(Factores!$D$2)=7,SUMPRODUCT($F$34:$K$34,$F45:K45)/SUM($F$34:$K$34),IF(MONTH(Factores!$D$2)=8,SUMPRODUCT($F$34:$L$34,$F45:L45)/SUM($F$34:$L$34),IF(MONTH(Factores!$D$2)=9,SUMPRODUCT($F$34:$M$34,$F45:M45)/SUM($F$34:$M$34),IF(MONTH(Factores!$D$2)=10,SUMPRODUCT($F$34:$N$34,$F45:N45)/SUM($F$34:$N$34),IF(MONTH(Factores!$D$2)=11,SUMPRODUCT($F$34:$O$34,$F45:O45)/SUM($F$34:$O$34),IF(MONTH(Factores!$D$2)=12,SUMPRODUCT($F$34:$P$34,$F45:P45)/SUM($F$34:$P$34)))))))))))))</f>
        <v>1.7469207801922007</v>
      </c>
    </row>
    <row r="46" spans="3:22" ht="30" customHeight="1">
      <c r="C46" s="90" t="s">
        <v>1036</v>
      </c>
      <c r="D46" s="91" t="s">
        <v>241</v>
      </c>
      <c r="F46" s="109">
        <f>IF(F5="ol",'0+12'!E49,'R+RS+B'!F46)</f>
        <v>4372.4316102587645</v>
      </c>
      <c r="G46" s="109">
        <f>IF(G5="ol",'0+12'!F49,'R+RS+B'!G46)</f>
        <v>4023.8664782661444</v>
      </c>
      <c r="H46" s="109">
        <f>IF(H5="ol",'0+12'!G49,'R+RS+B'!H46)</f>
        <v>6754.6724582037486</v>
      </c>
      <c r="I46" s="109">
        <f>IF(I5="ol",'0+12'!H49,'R+RS+B'!I46)</f>
        <v>3637.0645694760428</v>
      </c>
      <c r="J46" s="109">
        <f>IF(J5="ol",'0+12'!I49,'R+RS+B'!J46)</f>
        <v>4478.6502480817398</v>
      </c>
      <c r="K46" s="109">
        <f>IF(K5="ol",'0+12'!J49,'R+RS+B'!K46)</f>
        <v>5386.0625082437746</v>
      </c>
      <c r="L46" s="109">
        <f>IF(L5="ol",'0+12'!K49,'R+RS+B'!L46)</f>
        <v>5307.2123094264798</v>
      </c>
      <c r="M46" s="109">
        <f>IF(M5="ol",'0+12'!L49,'R+RS+B'!M46)</f>
        <v>4829.6908552625628</v>
      </c>
      <c r="N46" s="109">
        <f>IF(N5="ol",'0+12'!M49,'R+RS+B'!N46)</f>
        <v>5593.2793053202449</v>
      </c>
      <c r="O46" s="109">
        <f>IF(O5="ol",'0+12'!N49,'R+RS+B'!O46)</f>
        <v>5045.9545470265057</v>
      </c>
      <c r="P46" s="109">
        <f>IF(P5="ol",'0+12'!O49,'R+RS+B'!P46)</f>
        <v>6286.0709405358812</v>
      </c>
      <c r="Q46" s="109">
        <f>IF(Q5="ol",'0+12'!P49,'R+RS+B'!Q46)</f>
        <v>7758.00037798214</v>
      </c>
      <c r="R46" s="534"/>
      <c r="S46" s="425">
        <f>SUM(F46:Q46)</f>
        <v>63472.956208084033</v>
      </c>
      <c r="T46" s="600"/>
      <c r="U46" s="225">
        <f>IF(MONTH(Factores!$D$2)=1,SUM($F46:F46),IF(MONTH(Factores!$D$2)=2,SUM($F46:G46),IF(MONTH(Factores!$D$2)=3,SUM($F46:H46),IF(MONTH(Factores!$D$2)=4,SUM($F46:I46),IF(MONTH(Factores!$D$2)=5,SUM($F46:J46),IF(MONTH(Factores!$D$2)=6,SUM($F46:K46),IF(MONTH(Factores!$D$2)=7,SUM($F46:L46),IF(MONTH(Factores!$D$2)=8,SUM($F46:M46),IF(MONTH(Factores!$D$2)=9,SUM($F46:N46),IF(MONTH(Factores!$D$2)=10,SUM($F46:O46),IF(MONTH(Factores!$D$2)=11,SUM($F46:P46),IF(MONTH(Factores!$D$2)=12,SUM($F46:Q46)))))))))))))</f>
        <v>15150.970546728659</v>
      </c>
      <c r="V46" s="225">
        <f>IF(MONTH(Factores!$D$2)=1,SUM($F46:F46),IF(MONTH(Factores!$D$2)=2,SUM($F46:F46),IF(MONTH(Factores!$D$2)=3,SUM($F46:G46),IF(MONTH(Factores!$D$2)=4,SUM($F46:H46),IF(MONTH(Factores!$D$2)=5,SUM($F46:I46),IF(MONTH(Factores!$D$2)=6,SUM($F46:J46),IF(MONTH(Factores!$D$2)=7,SUM($F46:K46),IF(MONTH(Factores!$D$2)=8,SUM($F46:L46),IF(MONTH(Factores!$D$2)=9,SUM($F46:M46),IF(MONTH(Factores!$D$2)=10,SUM($F46:N46),IF(MONTH(Factores!$D$2)=11,SUM($F46:O46),IF(MONTH(Factores!$D$2)=12,SUM($F46:P46)))))))))))))</f>
        <v>8396.298088524909</v>
      </c>
    </row>
    <row r="47" spans="3:22">
      <c r="F47" s="428"/>
      <c r="G47" s="428"/>
      <c r="H47" s="428"/>
      <c r="I47" s="428"/>
      <c r="J47" s="428"/>
      <c r="K47" s="428"/>
      <c r="L47" s="428"/>
      <c r="M47" s="428"/>
      <c r="N47" s="428"/>
      <c r="O47" s="428"/>
      <c r="P47" s="428"/>
      <c r="Q47" s="428"/>
      <c r="S47" s="145"/>
      <c r="U47" s="211"/>
      <c r="V47" s="211"/>
    </row>
    <row r="48" spans="3:22" ht="30" customHeight="1">
      <c r="C48" s="90" t="s">
        <v>238</v>
      </c>
      <c r="D48" s="91" t="s">
        <v>234</v>
      </c>
      <c r="F48" s="106">
        <f>IF(F5="ol",'0+12'!E51,'R+RS+B'!F48)</f>
        <v>1.3598056442320934</v>
      </c>
      <c r="G48" s="106">
        <f>IF(G5="ol",'0+12'!F51,'R+RS+B'!G48)</f>
        <v>1.2570857641175415</v>
      </c>
      <c r="H48" s="106">
        <f>IF(H5="ol",'0+12'!G51,'R+RS+B'!H48)</f>
        <v>1.5117587416303118</v>
      </c>
      <c r="I48" s="106">
        <f>IF(I5="ol",'0+12'!H51,'R+RS+B'!I48)</f>
        <v>1.4713735464265385</v>
      </c>
      <c r="J48" s="106">
        <f>IF(J5="ol",'0+12'!I51,'R+RS+B'!J48)</f>
        <v>1.3103646623578253</v>
      </c>
      <c r="K48" s="106">
        <f>IF(K5="ol",'0+12'!J51,'R+RS+B'!K48)</f>
        <v>1.404640536234097</v>
      </c>
      <c r="L48" s="106">
        <f>IF(L5="ol",'0+12'!K51,'R+RS+B'!L48)</f>
        <v>1.4094010728728561</v>
      </c>
      <c r="M48" s="106">
        <f>IF(M5="ol",'0+12'!L51,'R+RS+B'!M48)</f>
        <v>1.5458956985695411</v>
      </c>
      <c r="N48" s="106">
        <f>IF(N5="ol",'0+12'!M51,'R+RS+B'!N48)</f>
        <v>1.6517927375715649</v>
      </c>
      <c r="O48" s="106">
        <f>IF(O5="ol",'0+12'!N51,'R+RS+B'!O48)</f>
        <v>1.5133773307352025</v>
      </c>
      <c r="P48" s="106">
        <f>IF(P5="ol",'0+12'!O51,'R+RS+B'!P48)</f>
        <v>1.4667861927781316</v>
      </c>
      <c r="Q48" s="106">
        <f>IF(Q5="ol",'0+12'!P51,'R+RS+B'!Q48)</f>
        <v>1.6752859145844661</v>
      </c>
      <c r="R48" s="500"/>
      <c r="S48" s="531">
        <f>SUMPRODUCT(F48:Q48,F20:Q20)/SUM(F20:Q20)</f>
        <v>1.4696967857448191</v>
      </c>
      <c r="T48" s="525"/>
      <c r="U48" s="174">
        <f>IF(MONTH(Factores!$D$2)=1,SUMPRODUCT($F$20:$F$20,$F48:F48)/SUM($F$20:$F$20),IF(MONTH(Factores!$D$2)=2,SUMPRODUCT($F$20:$G$20,$F48:G48)/SUM($F$20:$G$20),IF(MONTH(Factores!$D$2)=3,SUMPRODUCT($F$20:$H$20,$F48:H48)/SUM($F$20:$H$20),IF(MONTH(Factores!$D$2)=4,SUMPRODUCT($F$20:$I$20,$F48:I48)/SUM($F$20:$I$20),IF(MONTH(Factores!$D$2)=5,SUMPRODUCT($F$20:$J$20,$F48:J48)/SUM($F$20:$J$20),IF(MONTH(Factores!$D$2)=6,SUMPRODUCT($F$20:$K$20,$F48:K48)/SUM($F$20:$K$20),IF(MONTH(Factores!$D$2)=7,SUMPRODUCT($F$20:$L$20,$F48:L48)/SUM($F$20:$L$20),IF(MONTH(Factores!$D$2)=8,SUMPRODUCT($F$20:$M$20,$F48:M48)/SUM($F$20:$M$20),IF(MONTH(Factores!$D$2)=9,SUMPRODUCT($F$20:$N$20,$F48:N48)/SUM($F$20:$N$20),IF(MONTH(Factores!$D$2)=10,SUMPRODUCT($F$20:$O$20,$F48:O48)/SUM($F$20:$O$20),IF(MONTH(Factores!$D$2)=11,SUMPRODUCT($F$20:$P$20,$F48:P48)/SUM($F$20:$P$20),IF(MONTH(Factores!$D$2)=12,SUMPRODUCT($F$20:$Q$20,$F48:Q48)/SUM($F$20:$Q$20)))))))))))))</f>
        <v>1.3840823055178915</v>
      </c>
      <c r="V48" s="174">
        <f>IF(MONTH(Factores!$D$2)=1,SUMPRODUCT($F$20:$F$20,$F48:F48)/SUM($F$20:$F$20),IF(MONTH(Factores!$D$2)=2,SUMPRODUCT($F$20:$F$20,$F48:F48)/SUM($F$20:$F$20),IF(MONTH(Factores!$D$2)=3,SUMPRODUCT($F$20:$G$20,$F48:G48)/SUM($F$20:$G$20),IF(MONTH(Factores!$D$2)=4,SUMPRODUCT($F$20:$H$20,$F48:H48)/SUM($F$20:$H$20),IF(MONTH(Factores!$D$2)=5,SUMPRODUCT($F$20:$I$20,$F48:I48)/SUM($F$20:$I$20),IF(MONTH(Factores!$D$2)=6,SUMPRODUCT($F$20:$J$20,$F48:J48)/SUM($F$20:$J$20),IF(MONTH(Factores!$D$2)=7,SUMPRODUCT($F$20:$K$20,$F48:K48)/SUM($F$20:$K$20),IF(MONTH(Factores!$D$2)=8,SUMPRODUCT($F$20:$L$20,$F48:L48)/SUM($F$20:$L$20),IF(MONTH(Factores!$D$2)=9,SUMPRODUCT($F$20:$M$20,$F48:M48)/SUM($F$20:$M$20),IF(MONTH(Factores!$D$2)=10,SUMPRODUCT($F$20:$N$20,$F48:N48)/SUM($F$20:$N$20),IF(MONTH(Factores!$D$2)=11,SUMPRODUCT($F$20:$O$20,$F48:O48)/SUM($F$20:$O$20),IF(MONTH(Factores!$D$2)=12,SUMPRODUCT($F$20:$P$20,$F48:P48)/SUM($F$20:$P$20)))))))))))))</f>
        <v>1.3020641577033256</v>
      </c>
    </row>
    <row r="49" spans="3:22" s="426" customFormat="1" ht="30" customHeight="1">
      <c r="C49" s="90" t="s">
        <v>239</v>
      </c>
      <c r="D49" s="91" t="s">
        <v>234</v>
      </c>
      <c r="F49" s="105">
        <f>IF(F5="ol",'0+12'!E52,'R+RS+B'!F49)</f>
        <v>70.957529952039394</v>
      </c>
      <c r="G49" s="105">
        <f>IF(G5="ol",'0+12'!F52,'R+RS+B'!G49)</f>
        <v>60.740792898568451</v>
      </c>
      <c r="H49" s="105">
        <f>IF(H5="ol",'0+12'!G52,'R+RS+B'!H49)</f>
        <v>66.762504791132926</v>
      </c>
      <c r="I49" s="105">
        <f>IF(I5="ol",'0+12'!H52,'R+RS+B'!I49)</f>
        <v>63.567041151955557</v>
      </c>
      <c r="J49" s="105">
        <f>IF(J5="ol",'0+12'!I52,'R+RS+B'!J49)</f>
        <v>55.690141880764955</v>
      </c>
      <c r="K49" s="105">
        <f>IF(K5="ol",'0+12'!J52,'R+RS+B'!K49)</f>
        <v>57.632461859232578</v>
      </c>
      <c r="L49" s="105">
        <f>IF(L5="ol",'0+12'!K52,'R+RS+B'!L49)</f>
        <v>56.246182938506912</v>
      </c>
      <c r="M49" s="105">
        <f>IF(M5="ol",'0+12'!L52,'R+RS+B'!M49)</f>
        <v>57.881077752001993</v>
      </c>
      <c r="N49" s="105">
        <f>IF(N5="ol",'0+12'!M52,'R+RS+B'!N49)</f>
        <v>64.306934475247061</v>
      </c>
      <c r="O49" s="105">
        <f>IF(O5="ol",'0+12'!N52,'R+RS+B'!O49)</f>
        <v>54.238417830849706</v>
      </c>
      <c r="P49" s="105">
        <f>IF(P5="ol",'0+12'!O52,'R+RS+B'!P49)</f>
        <v>53.420081303832191</v>
      </c>
      <c r="Q49" s="105">
        <f>IF(Q5="ol",'0+12'!P52,'R+RS+B'!Q49)</f>
        <v>59.044265822790322</v>
      </c>
      <c r="R49" s="86"/>
      <c r="S49" s="208">
        <f>SUMPRODUCT(F49:Q49,F34:Q34)/SUM(F34:Q34)</f>
        <v>59.299271861800619</v>
      </c>
      <c r="T49" s="433"/>
      <c r="U49" s="224">
        <f>IF(MONTH(Factores!$D$2)=1,SUMPRODUCT($F$34:$F$34,$F49:F49)/SUM($F$34:$F$34),IF(MONTH(Factores!$D$2)=2,SUMPRODUCT($F$34:$G$34,$F49:G49)/SUM($F$34:$G$34),IF(MONTH(Factores!$D$2)=3,SUMPRODUCT($F$34:$H$34,$F49:H49)/SUM($F$34:$H$34),IF(MONTH(Factores!$D$2)=4,SUMPRODUCT($F$34:$I$34,$F49:I49)/SUM($F$34:$I$34),IF(MONTH(Factores!$D$2)=5,SUMPRODUCT($F$34:$J$34,$F49:J49)/SUM($F$34:$J$34),IF(MONTH(Factores!$D$2)=6,SUMPRODUCT($F$34:$K$34,$F49:K49)/SUM($F$34:$K$34),IF(MONTH(Factores!$D$2)=7,SUMPRODUCT($F$34:$L$34,$F49:L49)/SUM($F$34:$L$34),IF(MONTH(Factores!$D$2)=8,SUMPRODUCT($F$34:$M$34,$F49:M49)/SUM($F$34:$M$34),IF(MONTH(Factores!$D$2)=9,SUMPRODUCT($F$34:$N$34,$F49:N49)/SUM($F$34:$N$34),IF(MONTH(Factores!$D$2)=10,SUMPRODUCT($F$34:$O$34,$F49:O49)/SUM($F$34:$O$34),IF(MONTH(Factores!$D$2)=11,SUMPRODUCT($F$34:$P$34,$F49:P49)/SUM($F$34:$P$34),IF(MONTH(Factores!$D$2)=12,SUMPRODUCT($F$34:$Q$34,$F49:Q49)/SUM($F$34:$Q$34)))))))))))))</f>
        <v>65.950558772078452</v>
      </c>
      <c r="V49" s="224">
        <f>IF(MONTH(Factores!$D$2)=1,SUMPRODUCT($F$34:$F$34,$F49:F49)/SUM($F$34:$F$34),IF(MONTH(Factores!$D$2)=2,SUMPRODUCT($F$34:$F$34,$F49:F49)/SUM($F$34:$F$34),IF(MONTH(Factores!$D$2)=3,SUMPRODUCT($F$34:$G$34,$F49:G49)/SUM($F$34:$G$34),IF(MONTH(Factores!$D$2)=4,SUMPRODUCT($F$34:$H$34,$F49:H49)/SUM($F$34:$H$34),IF(MONTH(Factores!$D$2)=5,SUMPRODUCT($F$34:$I$34,$F49:I49)/SUM($F$34:$I$34),IF(MONTH(Factores!$D$2)=6,SUMPRODUCT($F$34:$J$34,$F49:J49)/SUM($F$34:$J$34),IF(MONTH(Factores!$D$2)=7,SUMPRODUCT($F$34:$K$34,$F49:K49)/SUM($F$34:$K$34),IF(MONTH(Factores!$D$2)=8,SUMPRODUCT($F$34:$L$34,$F49:L49)/SUM($F$34:$L$34),IF(MONTH(Factores!$D$2)=9,SUMPRODUCT($F$34:$M$34,$F49:M49)/SUM($F$34:$M$34),IF(MONTH(Factores!$D$2)=10,SUMPRODUCT($F$34:$N$34,$F49:N49)/SUM($F$34:$N$34),IF(MONTH(Factores!$D$2)=11,SUMPRODUCT($F$34:$O$34,$F49:O49)/SUM($F$34:$O$34),IF(MONTH(Factores!$D$2)=12,SUMPRODUCT($F$34:$P$34,$F49:P49)/SUM($F$34:$P$34)))))))))))))</f>
        <v>65.404620482977279</v>
      </c>
    </row>
    <row r="50" spans="3:22" ht="30" customHeight="1">
      <c r="C50" s="90" t="s">
        <v>1039</v>
      </c>
      <c r="D50" s="91" t="s">
        <v>1040</v>
      </c>
      <c r="F50" s="109">
        <f>IF(F5="ol",'0+12'!E55,'R+RS+B'!F50)</f>
        <v>167.34943340171847</v>
      </c>
      <c r="G50" s="109">
        <f>IF(G5="ol",'0+12'!F55,'R+RS+B'!G50)</f>
        <v>147.56620266397243</v>
      </c>
      <c r="H50" s="109">
        <f>IF(H5="ol",'0+12'!G55,'R+RS+B'!H50)</f>
        <v>227.07921888994454</v>
      </c>
      <c r="I50" s="109">
        <f>IF(I5="ol",'0+12'!H55,'R+RS+B'!I50)</f>
        <v>130.36704732349398</v>
      </c>
      <c r="J50" s="109">
        <f>IF(J5="ol",'0+12'!I55,'R+RS+B'!J50)</f>
        <v>181.29295970765764</v>
      </c>
      <c r="K50" s="109">
        <f>IF(K5="ol",'0+12'!J55,'R+RS+B'!K50)</f>
        <v>197.944792295128</v>
      </c>
      <c r="L50" s="109">
        <f>IF(L5="ol",'0+12'!K55,'R+RS+B'!L50)</f>
        <v>191.19045465262221</v>
      </c>
      <c r="M50" s="109">
        <f>IF(M5="ol",'0+12'!L55,'R+RS+B'!M50)</f>
        <v>200.51463514791763</v>
      </c>
      <c r="N50" s="109">
        <f>IF(N5="ol",'0+12'!M55,'R+RS+B'!N50)</f>
        <v>196.94176714133033</v>
      </c>
      <c r="O50" s="109">
        <f>IF(O5="ol",'0+12'!N55,'R+RS+B'!O50)</f>
        <v>184.80894016044797</v>
      </c>
      <c r="P50" s="109">
        <f>IF(P5="ol",'0+12'!O55,'R+RS+B'!P50)</f>
        <v>230.83455596785836</v>
      </c>
      <c r="Q50" s="109">
        <f>IF(Q5="ol",'0+12'!P55,'R+RS+B'!Q50)</f>
        <v>280.23153492539024</v>
      </c>
      <c r="R50" s="534"/>
      <c r="S50" s="425">
        <f>SUM(F50:Q50)</f>
        <v>2336.1215422774821</v>
      </c>
      <c r="T50" s="600"/>
      <c r="U50" s="225">
        <f>IF(MONTH(Factores!$D$2)=1,SUM($F50:F50),IF(MONTH(Factores!$D$2)=2,SUM($F50:G50),IF(MONTH(Factores!$D$2)=3,SUM($F50:H50),IF(MONTH(Factores!$D$2)=4,SUM($F50:I50),IF(MONTH(Factores!$D$2)=5,SUM($F50:J50),IF(MONTH(Factores!$D$2)=6,SUM($F50:K50),IF(MONTH(Factores!$D$2)=7,SUM($F50:L50),IF(MONTH(Factores!$D$2)=8,SUM($F50:M50),IF(MONTH(Factores!$D$2)=9,SUM($F50:N50),IF(MONTH(Factores!$D$2)=10,SUM($F50:O50),IF(MONTH(Factores!$D$2)=11,SUM($F50:P50),IF(MONTH(Factores!$D$2)=12,SUM($F50:Q50)))))))))))))</f>
        <v>541.99485495563545</v>
      </c>
      <c r="V50" s="225">
        <f>IF(MONTH(Factores!$D$2)=1,SUM($F50:F50),IF(MONTH(Factores!$D$2)=2,SUM($F50:F50),IF(MONTH(Factores!$D$2)=3,SUM($F50:G50),IF(MONTH(Factores!$D$2)=4,SUM($F50:H50),IF(MONTH(Factores!$D$2)=5,SUM($F50:I50),IF(MONTH(Factores!$D$2)=6,SUM($F50:J50),IF(MONTH(Factores!$D$2)=7,SUM($F50:K50),IF(MONTH(Factores!$D$2)=8,SUM($F50:L50),IF(MONTH(Factores!$D$2)=9,SUM($F50:M50),IF(MONTH(Factores!$D$2)=10,SUM($F50:N50),IF(MONTH(Factores!$D$2)=11,SUM($F50:O50),IF(MONTH(Factores!$D$2)=12,SUM($F50:P50)))))))))))))</f>
        <v>314.91563606569093</v>
      </c>
    </row>
    <row r="51" spans="3:22">
      <c r="F51" s="428"/>
      <c r="G51" s="428"/>
      <c r="H51" s="428"/>
      <c r="I51" s="428"/>
      <c r="J51" s="428"/>
      <c r="K51" s="428"/>
      <c r="L51" s="428"/>
      <c r="M51" s="428"/>
      <c r="N51" s="428"/>
      <c r="O51" s="428"/>
      <c r="P51" s="428"/>
      <c r="Q51" s="428"/>
      <c r="S51" s="145"/>
      <c r="U51" s="211"/>
      <c r="V51" s="211"/>
    </row>
    <row r="52" spans="3:22" ht="30" customHeight="1">
      <c r="C52" s="90" t="s">
        <v>242</v>
      </c>
      <c r="D52" s="91" t="s">
        <v>95</v>
      </c>
      <c r="F52" s="105">
        <f>IF(F5="ol",'0+12'!E57,'R+RS+B'!F52)</f>
        <v>12.036679627829974</v>
      </c>
      <c r="G52" s="105" t="str">
        <f>IF(G5="ol",'0+12'!F57,'R+RS+B'!G52)</f>
        <v/>
      </c>
      <c r="H52" s="105">
        <f>IF(H5="ol",'0+12'!G57,'R+RS+B'!H52)</f>
        <v>22.476141132146484</v>
      </c>
      <c r="I52" s="105">
        <f>IF(I5="ol",'0+12'!H57,'R+RS+B'!I52)</f>
        <v>21.457678336416457</v>
      </c>
      <c r="J52" s="105">
        <f>IF(J5="ol",'0+12'!I57,'R+RS+B'!J52)</f>
        <v>23.198657913709962</v>
      </c>
      <c r="K52" s="105">
        <f>IF(K5="ol",'0+12'!J57,'R+RS+B'!K52)</f>
        <v>19.845261840285854</v>
      </c>
      <c r="L52" s="105">
        <f>IF(L5="ol",'0+12'!K57,'R+RS+B'!L52)</f>
        <v>29.753494945361854</v>
      </c>
      <c r="M52" s="105">
        <f>IF(M5="ol",'0+12'!L57,'R+RS+B'!M52)</f>
        <v>20.961608100149729</v>
      </c>
      <c r="N52" s="105">
        <f>IF(N5="ol",'0+12'!M57,'R+RS+B'!N52)</f>
        <v>25.209714781354112</v>
      </c>
      <c r="O52" s="105">
        <f>IF(O5="ol",'0+12'!N57,'R+RS+B'!O52)</f>
        <v>17.4400347775277</v>
      </c>
      <c r="P52" s="105">
        <f>IF(P5="ol",'0+12'!O57,'R+RS+B'!P52)</f>
        <v>16.038738058233548</v>
      </c>
      <c r="Q52" s="105">
        <f>IF(Q5="ol",'0+12'!P57,'R+RS+B'!Q52)</f>
        <v>25.724093489482975</v>
      </c>
      <c r="R52" s="86"/>
      <c r="S52" s="105">
        <f>SUMPRODUCT(F20:Q20,F52:Q52)/SUM(F20:Q20)</f>
        <v>19.895641995127324</v>
      </c>
      <c r="T52" s="433"/>
      <c r="U52" s="224">
        <f>IF(MONTH(Factores!$D$2)=1,SUMPRODUCT($F$20:$F$20,$F52:F52)/SUM($F$20:$F$20),IF(MONTH(Factores!$D$2)=2,SUMPRODUCT($F$20:$G$20,$F52:G52)/SUM($F$20:$G$20),IF(MONTH(Factores!$D$2)=3,SUMPRODUCT($F$20:$H$20,$F52:H52)/SUM($F$20:$H$20),IF(MONTH(Factores!$D$2)=4,SUMPRODUCT($F$20:$I$20,$F52:I52)/SUM($F$20:$I$20),IF(MONTH(Factores!$D$2)=5,SUMPRODUCT($F$20:$J$20,$F52:J52)/SUM($F$20:$J$20),IF(MONTH(Factores!$D$2)=6,SUMPRODUCT($F$20:$K$20,$F52:K52)/SUM($F$20:$K$20),IF(MONTH(Factores!$D$2)=7,SUMPRODUCT($F$20:$L$20,$F52:L52)/SUM($F$20:$L$20),IF(MONTH(Factores!$D$2)=8,SUMPRODUCT($F$20:$M$20,$F52:M52)/SUM($F$20:$M$20),IF(MONTH(Factores!$D$2)=9,SUMPRODUCT($F$20:$N$20,$F52:N52)/SUM($F$20:$N$20),IF(MONTH(Factores!$D$2)=10,SUMPRODUCT($F$20:$O$20,$F52:O52)/SUM($F$20:$O$20),IF(MONTH(Factores!$D$2)=11,SUMPRODUCT($F$20:$P$20,$F52:P52)/SUM($F$20:$P$20),IF(MONTH(Factores!$D$2)=12,SUMPRODUCT($F$20:$Q$20,$F52:Q52)/SUM($F$20:$Q$20)))))))))))))</f>
        <v>12.000199381324332</v>
      </c>
      <c r="V52" s="224">
        <f>IF(MONTH(Factores!$D$2)=1,SUMPRODUCT($F$20:$F$20,$F52:F52)/SUM($F$20:$F$20),IF(MONTH(Factores!$D$2)=2,SUMPRODUCT($F$20:$F$20,$F52:F52)/SUM($F$20:$F$20),IF(MONTH(Factores!$D$2)=3,SUMPRODUCT($F$20:$G$20,$F52:G52)/SUM($F$20:$G$20),IF(MONTH(Factores!$D$2)=4,SUMPRODUCT($F$20:$H$20,$F52:H52)/SUM($F$20:$H$20),IF(MONTH(Factores!$D$2)=5,SUMPRODUCT($F$20:$I$20,$F52:I52)/SUM($F$20:$I$20),IF(MONTH(Factores!$D$2)=6,SUMPRODUCT($F$20:$J$20,$F52:J52)/SUM($F$20:$J$20),IF(MONTH(Factores!$D$2)=7,SUMPRODUCT($F$20:$K$20,$F52:K52)/SUM($F$20:$K$20),IF(MONTH(Factores!$D$2)=8,SUMPRODUCT($F$20:$L$20,$F52:L52)/SUM($F$20:$L$20),IF(MONTH(Factores!$D$2)=9,SUMPRODUCT($F$20:$M$20,$F52:M52)/SUM($F$20:$M$20),IF(MONTH(Factores!$D$2)=10,SUMPRODUCT($F$20:$N$20,$F52:N52)/SUM($F$20:$N$20),IF(MONTH(Factores!$D$2)=11,SUMPRODUCT($F$20:$O$20,$F52:O52)/SUM($F$20:$O$20),IF(MONTH(Factores!$D$2)=12,SUMPRODUCT($F$20:$P$20,$F52:P52)/SUM($F$20:$P$20)))))))))))))</f>
        <v>5.2705524301894933</v>
      </c>
    </row>
    <row r="53" spans="3:22" ht="30" customHeight="1">
      <c r="C53" s="90" t="s">
        <v>243</v>
      </c>
      <c r="D53" s="91" t="s">
        <v>95</v>
      </c>
      <c r="F53" s="109">
        <f>IF(F5="ol",'0+12'!E58,'R+RS+B'!F53)</f>
        <v>877.00005194965081</v>
      </c>
      <c r="G53" s="109" t="str">
        <f>IF(G5="ol",'0+12'!F58,'R+RS+B'!G53)</f>
        <v/>
      </c>
      <c r="H53" s="109">
        <f>IF(H5="ol",'0+12'!G58,'R+RS+B'!H53)</f>
        <v>1062.7080286186972</v>
      </c>
      <c r="I53" s="109">
        <f>IF(I5="ol",'0+12'!H58,'R+RS+B'!I53)</f>
        <v>960.23110555463643</v>
      </c>
      <c r="J53" s="109">
        <f>IF(J5="ol",'0+12'!I58,'R+RS+B'!J53)</f>
        <v>1038.1399416385209</v>
      </c>
      <c r="K53" s="109">
        <f>IF(K5="ol",'0+12'!J58,'R+RS+B'!K53)</f>
        <v>888.07546735279197</v>
      </c>
      <c r="L53" s="109">
        <f>IF(L5="ol",'0+12'!K58,'R+RS+B'!L53)</f>
        <v>1331.4688988049429</v>
      </c>
      <c r="M53" s="109">
        <f>IF(M5="ol",'0+12'!L58,'R+RS+B'!M53)</f>
        <v>938.03196248170036</v>
      </c>
      <c r="N53" s="109">
        <f>IF(N5="ol",'0+12'!M58,'R+RS+B'!N53)</f>
        <v>1128.1347364655965</v>
      </c>
      <c r="O53" s="109">
        <f>IF(O5="ol",'0+12'!N58,'R+RS+B'!O53)</f>
        <v>780.44155629436455</v>
      </c>
      <c r="P53" s="109">
        <f>IF(P5="ol",'0+12'!O58,'R+RS+B'!P53)</f>
        <v>717.73352810595134</v>
      </c>
      <c r="Q53" s="109">
        <f>IF(Q5="ol",'0+12'!P58,'R+RS+B'!Q53)</f>
        <v>1151.1531836543631</v>
      </c>
      <c r="R53" s="534"/>
      <c r="S53" s="109">
        <f>SUMPRODUCT(F34:Q34,F53:Q53)/SUM(F34:Q34)</f>
        <v>926.82406922624887</v>
      </c>
      <c r="T53" s="600"/>
      <c r="U53" s="225">
        <f>IF(MONTH(Factores!$D$2)=1,SUMPRODUCT($F$34:$F$34,$F53:F53)/SUM($F$34:$F$34),IF(MONTH(Factores!$D$2)=2,SUMPRODUCT($F$34:$G$34,$F53:G53)/SUM($F$34:$G$34),IF(MONTH(Factores!$D$2)=3,SUMPRODUCT($F$34:$H$34,$F53:H53)/SUM($F$34:$H$34),IF(MONTH(Factores!$D$2)=4,SUMPRODUCT($F$34:$I$34,$F53:I53)/SUM($F$34:$I$34),IF(MONTH(Factores!$D$2)=5,SUMPRODUCT($F$34:$J$34,$F53:J53)/SUM($F$34:$J$34),IF(MONTH(Factores!$D$2)=6,SUMPRODUCT($F$34:$K$34,$F53:K53)/SUM($F$34:$K$34),IF(MONTH(Factores!$D$2)=7,SUMPRODUCT($F$34:$L$34,$F53:L53)/SUM($F$34:$L$34),IF(MONTH(Factores!$D$2)=8,SUMPRODUCT($F$34:$M$34,$F53:M53)/SUM($F$34:$M$34),IF(MONTH(Factores!$D$2)=9,SUMPRODUCT($F$34:$N$34,$F53:N53)/SUM($F$34:$N$34),IF(MONTH(Factores!$D$2)=10,SUMPRODUCT($F$34:$O$34,$F53:O53)/SUM($F$34:$O$34),IF(MONTH(Factores!$D$2)=11,SUMPRODUCT($F$34:$P$34,$F53:P53)/SUM($F$34:$P$34),IF(MONTH(Factores!$D$2)=12,SUMPRODUCT($F$34:$Q$34,$F53:Q53)/SUM($F$34:$Q$34)))))))))))))</f>
        <v>666.64600513988648</v>
      </c>
      <c r="V53" s="225">
        <f>IF(MONTH(Factores!$D$2)=1,SUMPRODUCT($F$34:$F$34,$F53:F53)/SUM($F$34:$F$34),IF(MONTH(Factores!$D$2)=2,SUMPRODUCT($F$34:$F$34,$F53:F53)/SUM($F$34:$F$34),IF(MONTH(Factores!$D$2)=3,SUMPRODUCT($F$34:$G$34,$F53:G53)/SUM($F$34:$G$34),IF(MONTH(Factores!$D$2)=4,SUMPRODUCT($F$34:$H$34,$F53:H53)/SUM($F$34:$H$34),IF(MONTH(Factores!$D$2)=5,SUMPRODUCT($F$34:$I$34,$F53:I53)/SUM($F$34:$I$34),IF(MONTH(Factores!$D$2)=6,SUMPRODUCT($F$34:$J$34,$F53:J53)/SUM($F$34:$J$34),IF(MONTH(Factores!$D$2)=7,SUMPRODUCT($F$34:$K$34,$F53:K53)/SUM($F$34:$K$34),IF(MONTH(Factores!$D$2)=8,SUMPRODUCT($F$34:$L$34,$F53:L53)/SUM($F$34:$L$34),IF(MONTH(Factores!$D$2)=9,SUMPRODUCT($F$34:$M$34,$F53:M53)/SUM($F$34:$M$34),IF(MONTH(Factores!$D$2)=10,SUMPRODUCT($F$34:$N$34,$F53:N53)/SUM($F$34:$N$34),IF(MONTH(Factores!$D$2)=11,SUMPRODUCT($F$34:$O$34,$F53:O53)/SUM($F$34:$O$34),IF(MONTH(Factores!$D$2)=12,SUMPRODUCT($F$34:$P$34,$F53:P53)/SUM($F$34:$P$34)))))))))))))</f>
        <v>400.34083410428838</v>
      </c>
    </row>
    <row r="54" spans="3:22" ht="12.75" customHeight="1">
      <c r="F54" s="431"/>
      <c r="G54" s="431"/>
      <c r="H54" s="431"/>
      <c r="I54" s="431"/>
      <c r="J54" s="431"/>
      <c r="K54" s="431"/>
      <c r="L54" s="431"/>
      <c r="M54" s="431"/>
      <c r="N54" s="431"/>
      <c r="O54" s="431"/>
      <c r="P54" s="431"/>
      <c r="Q54" s="431"/>
      <c r="S54" s="703"/>
      <c r="U54" s="73"/>
      <c r="V54" s="73"/>
    </row>
    <row r="55" spans="3:22" ht="30" customHeight="1">
      <c r="C55" s="75" t="s">
        <v>244</v>
      </c>
      <c r="D55" s="629">
        <f>Factores!F9</f>
        <v>2.899</v>
      </c>
      <c r="S55" s="145"/>
      <c r="U55" s="73"/>
      <c r="V55" s="73"/>
    </row>
    <row r="56" spans="3:22" ht="30" customHeight="1">
      <c r="C56" s="630" t="s">
        <v>245</v>
      </c>
      <c r="D56" s="629">
        <f>Factores!F7</f>
        <v>0.96199999999999997</v>
      </c>
      <c r="S56" s="145"/>
      <c r="U56" s="73"/>
      <c r="V56" s="73"/>
    </row>
    <row r="57" spans="3:22" ht="30" customHeight="1">
      <c r="C57" s="630" t="s">
        <v>71</v>
      </c>
      <c r="D57" s="629">
        <f>Factores!F8</f>
        <v>0.995</v>
      </c>
      <c r="F57" s="433"/>
      <c r="G57" s="433"/>
      <c r="H57" s="433"/>
      <c r="I57" s="433"/>
      <c r="J57" s="433"/>
      <c r="K57" s="433"/>
      <c r="L57" s="433"/>
      <c r="M57" s="433"/>
      <c r="N57" s="433"/>
      <c r="O57" s="433"/>
      <c r="P57" s="433"/>
      <c r="Q57" s="433"/>
      <c r="S57" s="145"/>
      <c r="U57" s="73"/>
      <c r="V57" s="73"/>
    </row>
    <row r="58" spans="3:22">
      <c r="F58" s="503"/>
      <c r="G58" s="503"/>
      <c r="H58" s="503"/>
      <c r="I58" s="503"/>
      <c r="J58" s="503"/>
      <c r="K58" s="503"/>
      <c r="L58" s="503"/>
      <c r="M58" s="503"/>
      <c r="N58" s="503"/>
      <c r="O58" s="503"/>
      <c r="P58" s="503"/>
      <c r="Q58" s="503"/>
      <c r="S58" s="145"/>
      <c r="U58" s="73"/>
      <c r="V58" s="73"/>
    </row>
    <row r="59" spans="3:22">
      <c r="S59" s="145"/>
      <c r="U59" s="73"/>
      <c r="V59" s="73"/>
    </row>
    <row r="60" spans="3:22" ht="30" customHeight="1">
      <c r="C60" s="523" t="s">
        <v>993</v>
      </c>
      <c r="D60" s="702" t="s">
        <v>198</v>
      </c>
      <c r="E60" s="524"/>
      <c r="F60" s="621">
        <f>IF(F5="ol",'0+12'!E15,'R+RS+B'!F60)</f>
        <v>18.9589961662154</v>
      </c>
      <c r="G60" s="621">
        <f>IF(G5="ol",'0+12'!F15,'R+RS+B'!G60)</f>
        <v>22.926810091406999</v>
      </c>
      <c r="H60" s="621">
        <f>IF(H5="ol",'0+12'!G15,'R+RS+B'!H60)</f>
        <v>27.752622658830781</v>
      </c>
      <c r="I60" s="621">
        <f>IF(I5="ol",'0+12'!H15,'R+RS+B'!I60)</f>
        <v>19.663616574677349</v>
      </c>
      <c r="J60" s="621">
        <f>IF(J5="ol",'0+12'!I15,'R+RS+B'!J60)</f>
        <v>31.434188314483858</v>
      </c>
      <c r="K60" s="621">
        <f>IF(K5="ol",'0+12'!J15,'R+RS+B'!K60)</f>
        <v>33.309476383993598</v>
      </c>
      <c r="L60" s="621">
        <f>IF(L5="ol",'0+12'!K15,'R+RS+B'!L60)</f>
        <v>31.5915116284208</v>
      </c>
      <c r="M60" s="621">
        <f>IF(M5="ol",'0+12'!L15,'R+RS+B'!M60)</f>
        <v>31.978332628052843</v>
      </c>
      <c r="N60" s="621">
        <f>IF(N5="ol",'0+12'!M15,'R+RS+B'!N60)</f>
        <v>31.800524346124806</v>
      </c>
      <c r="O60" s="621">
        <f>IF(O5="ol",'0+12'!N15,'R+RS+B'!O60)</f>
        <v>35.589943845908635</v>
      </c>
      <c r="P60" s="621">
        <f>IF(P5="ol",'0+12'!O15,'R+RS+B'!P60)</f>
        <v>34.4305609479662</v>
      </c>
      <c r="Q60" s="621">
        <f>IF(Q5="ol",'0+12'!P15,'R+RS+B'!Q60)</f>
        <v>38.822908602338664</v>
      </c>
      <c r="R60" s="619"/>
      <c r="S60" s="112">
        <f t="shared" ref="S60:S65" si="1">SUM(F60:Q60)</f>
        <v>358.25949218841993</v>
      </c>
      <c r="T60" s="619"/>
      <c r="U60" s="620">
        <f>IF(MONTH(Factores!$D$2)=1,SUM($F60:F60),IF(MONTH(Factores!$D$2)=2,SUM($F60:G60),IF(MONTH(Factores!$D$2)=3,SUM($F60:H60),IF(MONTH(Factores!$D$2)=4,SUM($F60:I60),IF(MONTH(Factores!$D$2)=5,SUM($F60:J60),IF(MONTH(Factores!$D$2)=6,SUM($F60:K60),IF(MONTH(Factores!$D$2)=7,SUM($F60:L60),IF(MONTH(Factores!$D$2)=8,SUM($F60:M60),IF(MONTH(Factores!$D$2)=9,SUM($F60:N60),IF(MONTH(Factores!$D$2)=10,SUM($F60:O60),IF(MONTH(Factores!$D$2)=11,SUM($F60:P60),IF(MONTH(Factores!$D$2)=12,SUM($F60:Q60)))))))))))))</f>
        <v>69.638428916453179</v>
      </c>
      <c r="V60" s="620">
        <f>IF(MONTH(Factores!$D$2)=1,SUM($F60:F60),IF(MONTH(Factores!$D$2)=2,SUM($F60:F60),IF(MONTH(Factores!$D$2)=3,SUM($F60:G60),IF(MONTH(Factores!$D$2)=4,SUM($F60:H60),IF(MONTH(Factores!$D$2)=5,SUM($F60:I60),IF(MONTH(Factores!$D$2)=6,SUM($F60:J60),IF(MONTH(Factores!$D$2)=7,SUM($F60:K60),IF(MONTH(Factores!$D$2)=8,SUM($F60:L60),IF(MONTH(Factores!$D$2)=9,SUM($F60:M60),IF(MONTH(Factores!$D$2)=10,SUM($F60:N60),IF(MONTH(Factores!$D$2)=11,SUM($F60:O60),IF(MONTH(Factores!$D$2)=12,SUM($F60:P60)))))))))))))</f>
        <v>41.885806257622399</v>
      </c>
    </row>
    <row r="61" spans="3:22" ht="30" customHeight="1">
      <c r="C61" s="523" t="s">
        <v>994</v>
      </c>
      <c r="D61" s="702" t="s">
        <v>198</v>
      </c>
      <c r="E61" s="524"/>
      <c r="F61" s="621">
        <f>IF(F5="ol",'0+12'!E15,'R+RS+B'!F61)</f>
        <v>18.514159950485901</v>
      </c>
      <c r="G61" s="621">
        <f>IF(G5="ol",'0+12'!F15,'R+RS+B'!G61)</f>
        <v>22.698851132943101</v>
      </c>
      <c r="H61" s="621">
        <f>IF(H5="ol",'0+12'!G15,'R+RS+B'!H61)</f>
        <v>28.808756510800915</v>
      </c>
      <c r="I61" s="621">
        <f>IF(I5="ol",'0+12'!H15,'R+RS+B'!I61)</f>
        <v>19.663616574677349</v>
      </c>
      <c r="J61" s="621">
        <f>IF(J5="ol",'0+12'!I15,'R+RS+B'!J61)</f>
        <v>31.434188314483858</v>
      </c>
      <c r="K61" s="621">
        <f>IF(K5="ol",'0+12'!J15,'R+RS+B'!K61)</f>
        <v>33.309476383993598</v>
      </c>
      <c r="L61" s="621">
        <f>IF(L5="ol",'0+12'!K15,'R+RS+B'!L61)</f>
        <v>31.5915116284208</v>
      </c>
      <c r="M61" s="621">
        <f>IF(M5="ol",'0+12'!L15,'R+RS+B'!M61)</f>
        <v>31.978332628052843</v>
      </c>
      <c r="N61" s="621">
        <f>IF(N5="ol",'0+12'!M15,'R+RS+B'!N61)</f>
        <v>31.800524346124806</v>
      </c>
      <c r="O61" s="621">
        <f>IF(O5="ol",'0+12'!N15,'R+RS+B'!O61)</f>
        <v>35.589943845908635</v>
      </c>
      <c r="P61" s="621">
        <f>IF(P5="ol",'0+12'!O15,'R+RS+B'!P61)</f>
        <v>34.4305609479662</v>
      </c>
      <c r="Q61" s="621">
        <f>IF(Q5="ol",'0+12'!P15,'R+RS+B'!Q61)</f>
        <v>38.822908602338664</v>
      </c>
      <c r="R61" s="619"/>
      <c r="S61" s="112">
        <f t="shared" si="1"/>
        <v>358.64283086619662</v>
      </c>
      <c r="T61" s="619"/>
      <c r="U61" s="620">
        <f>IF(MONTH(Factores!$D$2)=1,SUM($F61:F61),IF(MONTH(Factores!$D$2)=2,SUM($F61:G61),IF(MONTH(Factores!$D$2)=3,SUM($F61:H61),IF(MONTH(Factores!$D$2)=4,SUM($F61:I61),IF(MONTH(Factores!$D$2)=5,SUM($F61:J61),IF(MONTH(Factores!$D$2)=6,SUM($F61:K61),IF(MONTH(Factores!$D$2)=7,SUM($F61:L61),IF(MONTH(Factores!$D$2)=8,SUM($F61:M61),IF(MONTH(Factores!$D$2)=9,SUM($F61:N61),IF(MONTH(Factores!$D$2)=10,SUM($F61:O61),IF(MONTH(Factores!$D$2)=11,SUM($F61:P61),IF(MONTH(Factores!$D$2)=12,SUM($F61:Q61)))))))))))))</f>
        <v>70.021767594229914</v>
      </c>
      <c r="V61" s="620">
        <f>IF(MONTH(Factores!$D$2)=1,SUM($F61:F61),IF(MONTH(Factores!$D$2)=2,SUM($F61:F61),IF(MONTH(Factores!$D$2)=3,SUM($F61:G61),IF(MONTH(Factores!$D$2)=4,SUM($F61:H61),IF(MONTH(Factores!$D$2)=5,SUM($F61:I61),IF(MONTH(Factores!$D$2)=6,SUM($F61:J61),IF(MONTH(Factores!$D$2)=7,SUM($F61:K61),IF(MONTH(Factores!$D$2)=8,SUM($F61:L61),IF(MONTH(Factores!$D$2)=9,SUM($F61:M61),IF(MONTH(Factores!$D$2)=10,SUM($F61:N61),IF(MONTH(Factores!$D$2)=11,SUM($F61:O61),IF(MONTH(Factores!$D$2)=12,SUM($F61:P61)))))))))))))</f>
        <v>41.213011083429002</v>
      </c>
    </row>
    <row r="62" spans="3:22" ht="30" customHeight="1">
      <c r="C62" s="523" t="s">
        <v>995</v>
      </c>
      <c r="D62" s="702" t="s">
        <v>198</v>
      </c>
      <c r="E62" s="524"/>
      <c r="F62" s="621">
        <f>F60-F61</f>
        <v>0.44483621572949872</v>
      </c>
      <c r="G62" s="621">
        <f t="shared" ref="G62:Q62" si="2">G60-G61</f>
        <v>0.22795895846389769</v>
      </c>
      <c r="H62" s="621">
        <f t="shared" si="2"/>
        <v>-1.0561338519701344</v>
      </c>
      <c r="I62" s="621">
        <f t="shared" si="2"/>
        <v>0</v>
      </c>
      <c r="J62" s="621">
        <f t="shared" si="2"/>
        <v>0</v>
      </c>
      <c r="K62" s="621">
        <f t="shared" si="2"/>
        <v>0</v>
      </c>
      <c r="L62" s="621">
        <f t="shared" si="2"/>
        <v>0</v>
      </c>
      <c r="M62" s="621">
        <f t="shared" si="2"/>
        <v>0</v>
      </c>
      <c r="N62" s="621">
        <f t="shared" si="2"/>
        <v>0</v>
      </c>
      <c r="O62" s="621">
        <f t="shared" si="2"/>
        <v>0</v>
      </c>
      <c r="P62" s="621">
        <f t="shared" si="2"/>
        <v>0</v>
      </c>
      <c r="Q62" s="621">
        <f t="shared" si="2"/>
        <v>0</v>
      </c>
      <c r="R62" s="619"/>
      <c r="S62" s="112">
        <f t="shared" si="1"/>
        <v>-0.38333867777673802</v>
      </c>
      <c r="T62" s="619"/>
      <c r="U62" s="620">
        <f>IF(MONTH(Factores!$D$2)=1,SUM($F62:F62),IF(MONTH(Factores!$D$2)=2,SUM($F62:G62),IF(MONTH(Factores!$D$2)=3,SUM($F62:H62),IF(MONTH(Factores!$D$2)=4,SUM($F62:I62),IF(MONTH(Factores!$D$2)=5,SUM($F62:J62),IF(MONTH(Factores!$D$2)=6,SUM($F62:K62),IF(MONTH(Factores!$D$2)=7,SUM($F62:L62),IF(MONTH(Factores!$D$2)=8,SUM($F62:M62),IF(MONTH(Factores!$D$2)=9,SUM($F62:N62),IF(MONTH(Factores!$D$2)=10,SUM($F62:O62),IF(MONTH(Factores!$D$2)=11,SUM($F62:P62),IF(MONTH(Factores!$D$2)=12,SUM($F62:Q62)))))))))))))</f>
        <v>-0.38333867777673802</v>
      </c>
      <c r="V62" s="620">
        <f>IF(MONTH(Factores!$D$2)=1,SUM($F62:F62),IF(MONTH(Factores!$D$2)=2,SUM($F62:F62),IF(MONTH(Factores!$D$2)=3,SUM($F62:G62),IF(MONTH(Factores!$D$2)=4,SUM($F62:H62),IF(MONTH(Factores!$D$2)=5,SUM($F62:I62),IF(MONTH(Factores!$D$2)=6,SUM($F62:J62),IF(MONTH(Factores!$D$2)=7,SUM($F62:K62),IF(MONTH(Factores!$D$2)=8,SUM($F62:L62),IF(MONTH(Factores!$D$2)=9,SUM($F62:M62),IF(MONTH(Factores!$D$2)=10,SUM($F62:N62),IF(MONTH(Factores!$D$2)=11,SUM($F62:O62),IF(MONTH(Factores!$D$2)=12,SUM($F62:P62)))))))))))))</f>
        <v>0.67279517419339641</v>
      </c>
    </row>
    <row r="63" spans="3:22" ht="30" customHeight="1">
      <c r="C63" s="523" t="s">
        <v>208</v>
      </c>
      <c r="D63" s="702" t="s">
        <v>198</v>
      </c>
      <c r="E63" s="524"/>
      <c r="F63" s="621">
        <f>IF(F5="ol",'0+12'!E17,'R+RS+B'!F63)</f>
        <v>0.62602317193478396</v>
      </c>
      <c r="G63" s="621">
        <f>IF(G5="ol",'0+12'!F17,'R+RS+B'!G63)</f>
        <v>0.76827765220952005</v>
      </c>
      <c r="H63" s="621">
        <f>IF(H5="ol",'0+12'!G17,'R+RS+B'!H63)</f>
        <v>0.85048715509986972</v>
      </c>
      <c r="I63" s="621">
        <f>IF(I5="ol",'0+12'!H17,'R+RS+B'!I63)</f>
        <v>0.51652967956409324</v>
      </c>
      <c r="J63" s="621">
        <f>IF(J5="ol",'0+12'!I17,'R+RS+B'!J63)</f>
        <v>1.0272583272025355</v>
      </c>
      <c r="K63" s="621">
        <f>IF(K5="ol",'0+12'!J17,'R+RS+B'!K63)</f>
        <v>1.0389453394682702</v>
      </c>
      <c r="L63" s="621">
        <f>IF(L5="ol",'0+12'!K17,'R+RS+B'!L63)</f>
        <v>0.73207713260762108</v>
      </c>
      <c r="M63" s="621">
        <f>IF(M5="ol",'0+12'!L17,'R+RS+B'!M63)</f>
        <v>0.76079883694354944</v>
      </c>
      <c r="N63" s="621">
        <f>IF(N5="ol",'0+12'!M17,'R+RS+B'!N63)</f>
        <v>0.68781637747912783</v>
      </c>
      <c r="O63" s="621">
        <f>IF(O5="ol",'0+12'!N17,'R+RS+B'!O63)</f>
        <v>1.0433497200782786</v>
      </c>
      <c r="P63" s="621">
        <f>IF(P5="ol",'0+12'!O17,'R+RS+B'!P63)</f>
        <v>0.79078227292588044</v>
      </c>
      <c r="Q63" s="621">
        <f>IF(Q5="ol",'0+12'!P17,'R+RS+B'!Q63)</f>
        <v>0.90859130168825741</v>
      </c>
      <c r="R63" s="619"/>
      <c r="S63" s="112">
        <f t="shared" si="1"/>
        <v>9.7509369672017883</v>
      </c>
      <c r="T63" s="619"/>
      <c r="U63" s="620">
        <f>IF(MONTH(Factores!$D$2)=1,SUM($F63:F63),IF(MONTH(Factores!$D$2)=2,SUM($F63:G63),IF(MONTH(Factores!$D$2)=3,SUM($F63:H63),IF(MONTH(Factores!$D$2)=4,SUM($F63:I63),IF(MONTH(Factores!$D$2)=5,SUM($F63:J63),IF(MONTH(Factores!$D$2)=6,SUM($F63:K63),IF(MONTH(Factores!$D$2)=7,SUM($F63:L63),IF(MONTH(Factores!$D$2)=8,SUM($F63:M63),IF(MONTH(Factores!$D$2)=9,SUM($F63:N63),IF(MONTH(Factores!$D$2)=10,SUM($F63:O63),IF(MONTH(Factores!$D$2)=11,SUM($F63:P63),IF(MONTH(Factores!$D$2)=12,SUM($F63:Q63)))))))))))))</f>
        <v>2.2447879792441738</v>
      </c>
      <c r="V63" s="620">
        <f>IF(MONTH(Factores!$D$2)=1,SUM($F63:F63),IF(MONTH(Factores!$D$2)=2,SUM($F63:F63),IF(MONTH(Factores!$D$2)=3,SUM($F63:G63),IF(MONTH(Factores!$D$2)=4,SUM($F63:H63),IF(MONTH(Factores!$D$2)=5,SUM($F63:I63),IF(MONTH(Factores!$D$2)=6,SUM($F63:J63),IF(MONTH(Factores!$D$2)=7,SUM($F63:K63),IF(MONTH(Factores!$D$2)=8,SUM($F63:L63),IF(MONTH(Factores!$D$2)=9,SUM($F63:M63),IF(MONTH(Factores!$D$2)=10,SUM($F63:N63),IF(MONTH(Factores!$D$2)=11,SUM($F63:O63),IF(MONTH(Factores!$D$2)=12,SUM($F63:P63)))))))))))))</f>
        <v>1.394300824144304</v>
      </c>
    </row>
    <row r="64" spans="3:22" ht="30" customHeight="1">
      <c r="C64" s="523" t="s">
        <v>850</v>
      </c>
      <c r="D64" s="702" t="s">
        <v>198</v>
      </c>
      <c r="E64" s="524"/>
      <c r="F64" s="621">
        <f>IF(F5="ol",'0+12'!E17,'R+RS+B'!F64)</f>
        <v>0.64638589474785102</v>
      </c>
      <c r="G64" s="621">
        <f>IF(G5="ol",'0+12'!F17,'R+RS+B'!G64)</f>
        <v>0.55252138524758598</v>
      </c>
      <c r="H64" s="621">
        <f>IF(H5="ol",'0+12'!G17,'R+RS+B'!H64)</f>
        <v>1.0004937355919261</v>
      </c>
      <c r="I64" s="621">
        <f>IF(I5="ol",'0+12'!H17,'R+RS+B'!I64)</f>
        <v>0.51652967956409324</v>
      </c>
      <c r="J64" s="621">
        <f>IF(J5="ol",'0+12'!I17,'R+RS+B'!J64)</f>
        <v>1.0272583272025355</v>
      </c>
      <c r="K64" s="621">
        <f>IF(K5="ol",'0+12'!J17,'R+RS+B'!K64)</f>
        <v>1.0389453394682702</v>
      </c>
      <c r="L64" s="621">
        <f>IF(L5="ol",'0+12'!K17,'R+RS+B'!L64)</f>
        <v>0.73207713260762108</v>
      </c>
      <c r="M64" s="621">
        <f>IF(M5="ol",'0+12'!L17,'R+RS+B'!M64)</f>
        <v>0.76079883694354944</v>
      </c>
      <c r="N64" s="621">
        <f>IF(N5="ol",'0+12'!M17,'R+RS+B'!N64)</f>
        <v>0.68781637747912783</v>
      </c>
      <c r="O64" s="621">
        <f>IF(O5="ol",'0+12'!N17,'R+RS+B'!O64)</f>
        <v>1.0433497200782786</v>
      </c>
      <c r="P64" s="621">
        <f>IF(P5="ol",'0+12'!O17,'R+RS+B'!P64)</f>
        <v>0.79078227292588044</v>
      </c>
      <c r="Q64" s="621">
        <f>IF(Q5="ol",'0+12'!P17,'R+RS+B'!Q64)</f>
        <v>0.90859130168825741</v>
      </c>
      <c r="R64" s="619"/>
      <c r="S64" s="112">
        <f t="shared" si="1"/>
        <v>9.7055500035449782</v>
      </c>
      <c r="T64" s="619"/>
      <c r="U64" s="620">
        <f>IF(MONTH(Factores!$D$2)=1,SUM($F64:F64),IF(MONTH(Factores!$D$2)=2,SUM($F64:G64),IF(MONTH(Factores!$D$2)=3,SUM($F64:H64),IF(MONTH(Factores!$D$2)=4,SUM($F64:I64),IF(MONTH(Factores!$D$2)=5,SUM($F64:J64),IF(MONTH(Factores!$D$2)=6,SUM($F64:K64),IF(MONTH(Factores!$D$2)=7,SUM($F64:L64),IF(MONTH(Factores!$D$2)=8,SUM($F64:M64),IF(MONTH(Factores!$D$2)=9,SUM($F64:N64),IF(MONTH(Factores!$D$2)=10,SUM($F64:O64),IF(MONTH(Factores!$D$2)=11,SUM($F64:P64),IF(MONTH(Factores!$D$2)=12,SUM($F64:Q64)))))))))))))</f>
        <v>2.1994010155873633</v>
      </c>
      <c r="V64" s="620">
        <f>IF(MONTH(Factores!$D$2)=1,SUM($F64:F64),IF(MONTH(Factores!$D$2)=2,SUM($F64:F64),IF(MONTH(Factores!$D$2)=3,SUM($F64:G64),IF(MONTH(Factores!$D$2)=4,SUM($F64:H64),IF(MONTH(Factores!$D$2)=5,SUM($F64:I64),IF(MONTH(Factores!$D$2)=6,SUM($F64:J64),IF(MONTH(Factores!$D$2)=7,SUM($F64:K64),IF(MONTH(Factores!$D$2)=8,SUM($F64:L64),IF(MONTH(Factores!$D$2)=9,SUM($F64:M64),IF(MONTH(Factores!$D$2)=10,SUM($F64:N64),IF(MONTH(Factores!$D$2)=11,SUM($F64:O64),IF(MONTH(Factores!$D$2)=12,SUM($F64:P64)))))))))))))</f>
        <v>1.198907279995437</v>
      </c>
    </row>
    <row r="65" spans="3:22" ht="30" customHeight="1">
      <c r="C65" s="523" t="s">
        <v>996</v>
      </c>
      <c r="D65" s="702" t="s">
        <v>198</v>
      </c>
      <c r="E65" s="524"/>
      <c r="F65" s="621">
        <f>F63-F64</f>
        <v>-2.0362722813067058E-2</v>
      </c>
      <c r="G65" s="621">
        <f t="shared" ref="G65:Q65" si="3">G63-G64</f>
        <v>0.21575626696193406</v>
      </c>
      <c r="H65" s="621">
        <f t="shared" si="3"/>
        <v>-0.1500065804920564</v>
      </c>
      <c r="I65" s="621">
        <f t="shared" si="3"/>
        <v>0</v>
      </c>
      <c r="J65" s="621">
        <f t="shared" si="3"/>
        <v>0</v>
      </c>
      <c r="K65" s="621">
        <f t="shared" si="3"/>
        <v>0</v>
      </c>
      <c r="L65" s="621">
        <f t="shared" si="3"/>
        <v>0</v>
      </c>
      <c r="M65" s="621">
        <f t="shared" si="3"/>
        <v>0</v>
      </c>
      <c r="N65" s="621">
        <f t="shared" si="3"/>
        <v>0</v>
      </c>
      <c r="O65" s="621">
        <f t="shared" si="3"/>
        <v>0</v>
      </c>
      <c r="P65" s="621">
        <f t="shared" si="3"/>
        <v>0</v>
      </c>
      <c r="Q65" s="621">
        <f t="shared" si="3"/>
        <v>0</v>
      </c>
      <c r="R65" s="619"/>
      <c r="S65" s="112">
        <f t="shared" si="1"/>
        <v>4.5386963656810608E-2</v>
      </c>
      <c r="T65" s="619"/>
      <c r="U65" s="620">
        <f>IF(MONTH(Factores!$D$2)=1,SUM($F65:F65),IF(MONTH(Factores!$D$2)=2,SUM($F65:G65),IF(MONTH(Factores!$D$2)=3,SUM($F65:H65),IF(MONTH(Factores!$D$2)=4,SUM($F65:I65),IF(MONTH(Factores!$D$2)=5,SUM($F65:J65),IF(MONTH(Factores!$D$2)=6,SUM($F65:K65),IF(MONTH(Factores!$D$2)=7,SUM($F65:L65),IF(MONTH(Factores!$D$2)=8,SUM($F65:M65),IF(MONTH(Factores!$D$2)=9,SUM($F65:N65),IF(MONTH(Factores!$D$2)=10,SUM($F65:O65),IF(MONTH(Factores!$D$2)=11,SUM($F65:P65),IF(MONTH(Factores!$D$2)=12,SUM($F65:Q65)))))))))))))</f>
        <v>4.5386963656810608E-2</v>
      </c>
      <c r="V65" s="620">
        <f>IF(MONTH(Factores!$D$2)=1,SUM($F65:F65),IF(MONTH(Factores!$D$2)=2,SUM($F65:F65),IF(MONTH(Factores!$D$2)=3,SUM($F65:G65),IF(MONTH(Factores!$D$2)=4,SUM($F65:H65),IF(MONTH(Factores!$D$2)=5,SUM($F65:I65),IF(MONTH(Factores!$D$2)=6,SUM($F65:J65),IF(MONTH(Factores!$D$2)=7,SUM($F65:K65),IF(MONTH(Factores!$D$2)=8,SUM($F65:L65),IF(MONTH(Factores!$D$2)=9,SUM($F65:M65),IF(MONTH(Factores!$D$2)=10,SUM($F65:N65),IF(MONTH(Factores!$D$2)=11,SUM($F65:O65),IF(MONTH(Factores!$D$2)=12,SUM($F65:P65)))))))))))))</f>
        <v>0.195393544148867</v>
      </c>
    </row>
  </sheetData>
  <mergeCells count="3">
    <mergeCell ref="S4:S5"/>
    <mergeCell ref="C4:C5"/>
    <mergeCell ref="D4:D5"/>
  </mergeCells>
  <phoneticPr fontId="0" type="noConversion"/>
  <printOptions horizontalCentered="1"/>
  <pageMargins left="0.39370078740157483" right="0.2" top="1.32" bottom="0.59055118110236227" header="0.59055118110236227" footer="0"/>
  <pageSetup scale="74" orientation="landscape" r:id="rId1"/>
  <headerFooter alignWithMargins="0">
    <oddHeader>&amp;C&amp;A</oddHeader>
    <oddFooter>Respaldo Costos Abril 2000.xls&amp;RPágina 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id="{B0483CB0-59E6-49C0-A47D-635214A5A3EA}">
            <xm:f>MONTH($F$4)=MONTH(Factores!$D$2)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35" id="{2FF81CD0-6B25-48F4-8BD9-979805B50542}">
            <xm:f>MONTH($F$4)&lt;MONTH(Factores!$D$2)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34" id="{1BB8D6A2-E49A-4ABF-BF2E-F7276668BF3C}">
            <xm:f>MONTH($F$4)&gt;MONTH(Factores!$D$2)</xm:f>
            <x14:dxf>
              <fill>
                <patternFill>
                  <bgColor rgb="FFFFC000"/>
                </patternFill>
              </fill>
            </x14:dxf>
          </x14:cfRule>
          <xm:sqref>F6:F65</xm:sqref>
        </x14:conditionalFormatting>
        <x14:conditionalFormatting xmlns:xm="http://schemas.microsoft.com/office/excel/2006/main">
          <x14:cfRule type="expression" priority="33" id="{DBB787AA-B58C-4FC4-939D-9BA70C338530}">
            <xm:f>MONTH($G$4)=MONTH(Factores!$D$2)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32" id="{40EC9F0F-20E4-419F-AA33-6E775E708426}">
            <xm:f>MONTH($G$4)&lt;MONTH(Factores!$D$2)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31" id="{05C1C678-C0B8-4081-9889-1D4DE63F856E}">
            <xm:f>MONTH($G$4)&gt;MONTH(Factores!$D$2)</xm:f>
            <x14:dxf>
              <fill>
                <patternFill>
                  <bgColor rgb="FFFFC000"/>
                </patternFill>
              </fill>
            </x14:dxf>
          </x14:cfRule>
          <xm:sqref>G6:G65</xm:sqref>
        </x14:conditionalFormatting>
        <x14:conditionalFormatting xmlns:xm="http://schemas.microsoft.com/office/excel/2006/main">
          <x14:cfRule type="expression" priority="30" id="{BE0F7213-1FA6-48E1-8EA7-26BEADBF09C5}">
            <xm:f>MONTH($H$4)=MONTH(Factores!$D$2)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29" id="{EC759934-5564-4F37-AE1B-C43881F8A14A}">
            <xm:f>MONTH($H$4)&lt;MONTH(Factores!$D$2)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28" id="{9F8F3D1C-F00E-414F-8F99-12C3595928D6}">
            <xm:f>MONTH($H$4)&gt;MONTH(Factores!$D$2)</xm:f>
            <x14:dxf>
              <fill>
                <patternFill>
                  <bgColor rgb="FFFFC000"/>
                </patternFill>
              </fill>
            </x14:dxf>
          </x14:cfRule>
          <xm:sqref>H6:H65</xm:sqref>
        </x14:conditionalFormatting>
        <x14:conditionalFormatting xmlns:xm="http://schemas.microsoft.com/office/excel/2006/main">
          <x14:cfRule type="expression" priority="27" id="{2B1615A4-EAC5-4E3B-BF93-F809A8669F41}">
            <xm:f>MONTH($I$4)=MONTH(Factores!$D$2)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26" id="{1A095088-5AAA-4779-A480-C60072B58DCA}">
            <xm:f>MONTH($I$4)&lt;MONTH(Factores!$D$2)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25" id="{EEB2FF35-94C1-4597-9A5E-9409347262F6}">
            <xm:f>MONTH($I$4)&gt;MONTH(Factores!$D$2)</xm:f>
            <x14:dxf>
              <fill>
                <patternFill>
                  <bgColor rgb="FFFFC000"/>
                </patternFill>
              </fill>
            </x14:dxf>
          </x14:cfRule>
          <xm:sqref>I6:I65</xm:sqref>
        </x14:conditionalFormatting>
        <x14:conditionalFormatting xmlns:xm="http://schemas.microsoft.com/office/excel/2006/main">
          <x14:cfRule type="expression" priority="24" id="{8B47AB84-2FF4-4C02-84F6-D6BC8C8DD36A}">
            <xm:f>MONTH($J$4)=MONTH(Factores!$D$2)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23" id="{6C8AADFD-F9F9-4073-BCB6-6F38F1795420}">
            <xm:f>MONTH($J$4)&lt;MONTH(Factores!$D$2)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22" id="{92ECBCDB-F9F3-4ABE-9DA5-1804083F6BF9}">
            <xm:f>MONTH($J$4)&gt;MONTH(Factores!$D$2)</xm:f>
            <x14:dxf>
              <fill>
                <patternFill>
                  <bgColor rgb="FFFFC000"/>
                </patternFill>
              </fill>
            </x14:dxf>
          </x14:cfRule>
          <xm:sqref>J6:J65</xm:sqref>
        </x14:conditionalFormatting>
        <x14:conditionalFormatting xmlns:xm="http://schemas.microsoft.com/office/excel/2006/main">
          <x14:cfRule type="expression" priority="19" id="{6DA9B8AB-B0AD-46CF-9081-2250FD0F39F5}">
            <xm:f>MONTH($K$4)&gt;MONTH(Factores!$D$2)</xm:f>
            <x14:dxf>
              <fill>
                <patternFill>
                  <bgColor rgb="FFFFC000"/>
                </patternFill>
              </fill>
            </x14:dxf>
          </x14:cfRule>
          <x14:cfRule type="expression" priority="20" id="{1D4F1719-6E05-46C7-A477-895B75EABB3B}">
            <xm:f>MONTH($K$4)&lt;MONTH(Factores!$D$2)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21" id="{7358E14C-544E-40B4-BF4A-C492C8F61B0D}">
            <xm:f>MONTH($K$4)=MONTH(Factores!$D$2)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m:sqref>K6:K65</xm:sqref>
        </x14:conditionalFormatting>
        <x14:conditionalFormatting xmlns:xm="http://schemas.microsoft.com/office/excel/2006/main">
          <x14:cfRule type="expression" priority="18" id="{44F0F3A6-794D-4877-AD9F-3BF73A33B007}">
            <xm:f>MONTH($L$4)=MONTH(Factores!$D$2)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7" id="{43AA2989-A8AB-4CD4-B62C-B910406AB27A}">
            <xm:f>MONTH($L$4)&lt;MONTH(Factores!$D$2)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16" id="{BA459306-915C-4F3C-967F-817D65F70124}">
            <xm:f>MONTH($L$4)&gt;MONTH(Factores!$D$2)</xm:f>
            <x14:dxf>
              <fill>
                <patternFill>
                  <bgColor rgb="FFFFC000"/>
                </patternFill>
              </fill>
            </x14:dxf>
          </x14:cfRule>
          <xm:sqref>L6:L65</xm:sqref>
        </x14:conditionalFormatting>
        <x14:conditionalFormatting xmlns:xm="http://schemas.microsoft.com/office/excel/2006/main">
          <x14:cfRule type="expression" priority="15" id="{40407907-2461-4238-B4B9-27B41CB55204}">
            <xm:f>MONTH($M$4)=MONTH(Factores!$D$2)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4" id="{F69BEFBE-D8E9-4F0E-892E-15E0C2A818FC}">
            <xm:f>MONTH($M$4)&lt;MONTH(Factores!$D$2)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13" id="{BEDA176B-B364-4FD9-8050-01DA4E128DBF}">
            <xm:f>MONTH($M$4)&gt;MONTH(Factores!$D$2)</xm:f>
            <x14:dxf>
              <fill>
                <patternFill>
                  <bgColor rgb="FFFFC000"/>
                </patternFill>
              </fill>
            </x14:dxf>
          </x14:cfRule>
          <xm:sqref>M6:M65</xm:sqref>
        </x14:conditionalFormatting>
        <x14:conditionalFormatting xmlns:xm="http://schemas.microsoft.com/office/excel/2006/main">
          <x14:cfRule type="expression" priority="12" id="{A8B3240E-BCB2-497E-B238-97F777D8BD9C}">
            <xm:f>MONTH($N$4)=MONTH(Factores!$D$2)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1" id="{D9917A45-3F75-4FE3-B778-A0DAE8517B0A}">
            <xm:f>MONTH($N$4)&lt;MONTH(Factores!$D$2)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10" id="{C8C73047-CAAC-48AE-866D-F6B34A16BB46}">
            <xm:f>MONTH($N$4)&gt;MONTH(Factores!$D$2)</xm:f>
            <x14:dxf>
              <fill>
                <patternFill>
                  <bgColor rgb="FFFFC000"/>
                </patternFill>
              </fill>
            </x14:dxf>
          </x14:cfRule>
          <xm:sqref>N6:N65</xm:sqref>
        </x14:conditionalFormatting>
        <x14:conditionalFormatting xmlns:xm="http://schemas.microsoft.com/office/excel/2006/main">
          <x14:cfRule type="expression" priority="9" id="{1C04FC34-6FE8-481E-8F50-033A9667BAF7}">
            <xm:f>MONTH($O$4)=MONTH(Factores!$D$2)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8" id="{9E2DAD3B-AD9F-4596-987B-045387A7E601}">
            <xm:f>MONTH($O$4)&lt;MONTH(Factores!$D$2)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7" id="{698F74E7-7168-4235-96F4-A44DE7A68CB8}">
            <xm:f>MONTH($O$4)&gt;MONTH(Factores!$D$2)</xm:f>
            <x14:dxf>
              <fill>
                <patternFill>
                  <bgColor rgb="FFFFC000"/>
                </patternFill>
              </fill>
            </x14:dxf>
          </x14:cfRule>
          <xm:sqref>O6:O65</xm:sqref>
        </x14:conditionalFormatting>
        <x14:conditionalFormatting xmlns:xm="http://schemas.microsoft.com/office/excel/2006/main">
          <x14:cfRule type="expression" priority="4" id="{75B4BE5C-58DC-43E7-94AD-9DB43BCF7057}">
            <xm:f>MONTH($P$4)&gt;MONTH(Factores!$D$2)</xm:f>
            <x14:dxf>
              <fill>
                <patternFill>
                  <bgColor rgb="FFFFC000"/>
                </patternFill>
              </fill>
            </x14:dxf>
          </x14:cfRule>
          <x14:cfRule type="expression" priority="6" id="{421853D1-8FC3-4507-AAC1-65CC6AD00301}">
            <xm:f>MONTH($P$4)=MONTH(Factores!$D$2)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5" id="{DCB99594-96DE-4CC9-AE7C-B9519E11FB26}">
            <xm:f>MONTH($P$4)&lt;MONTH(Factores!$D$2)</xm:f>
            <x14:dxf>
              <fill>
                <patternFill>
                  <bgColor rgb="FF66FF33"/>
                </patternFill>
              </fill>
            </x14:dxf>
          </x14:cfRule>
          <xm:sqref>P6:P65</xm:sqref>
        </x14:conditionalFormatting>
        <x14:conditionalFormatting xmlns:xm="http://schemas.microsoft.com/office/excel/2006/main">
          <x14:cfRule type="expression" priority="2" id="{EB0ECD03-787A-4E71-921F-4D91D16FE54A}">
            <xm:f>MONTH($Q$4)&lt;MONTH(Factores!$D$2)</xm:f>
            <x14:dxf>
              <fill>
                <patternFill>
                  <bgColor rgb="FF66FF33"/>
                </patternFill>
              </fill>
            </x14:dxf>
          </x14:cfRule>
          <x14:cfRule type="expression" priority="3" id="{D621A1E1-74A1-4634-A667-71D8A903A8DB}">
            <xm:f>MONTH($Q$4)=MONTH(Factores!$D$2)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" id="{2F6828AC-D03A-450A-8AEF-C69FEC569A14}">
            <xm:f>MONTH($Q$4)&gt;MONTH(Factores!$D$2)</xm:f>
            <x14:dxf>
              <fill>
                <patternFill>
                  <bgColor rgb="FFFFC000"/>
                </patternFill>
              </fill>
            </x14:dxf>
          </x14:cfRule>
          <xm:sqref>Q6:Q65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8">
    <tabColor indexed="13"/>
    <pageSetUpPr fitToPage="1"/>
  </sheetPr>
  <dimension ref="A1:BA311"/>
  <sheetViews>
    <sheetView zoomScale="85" zoomScaleNormal="85" workbookViewId="0">
      <selection activeCell="D5" sqref="D5:D35"/>
    </sheetView>
  </sheetViews>
  <sheetFormatPr baseColWidth="10" defaultColWidth="11.453125" defaultRowHeight="15.5"/>
  <cols>
    <col min="1" max="1" width="11.453125" style="273"/>
    <col min="2" max="2" width="29.1796875" style="273" customWidth="1"/>
    <col min="3" max="3" width="11.54296875" style="273" bestFit="1" customWidth="1"/>
    <col min="4" max="4" width="14.54296875" style="273" customWidth="1"/>
    <col min="5" max="5" width="16.453125" style="273" bestFit="1" customWidth="1"/>
    <col min="6" max="7" width="11.81640625" style="1304" bestFit="1" customWidth="1"/>
    <col min="8" max="8" width="11.453125" style="273"/>
    <col min="9" max="9" width="30.54296875" style="273" customWidth="1"/>
    <col min="10" max="11" width="11.54296875" style="273" bestFit="1" customWidth="1"/>
    <col min="12" max="12" width="14.81640625" style="273" bestFit="1" customWidth="1"/>
    <col min="13" max="13" width="11.81640625" style="273" bestFit="1" customWidth="1"/>
    <col min="14" max="14" width="11.54296875" style="273" bestFit="1" customWidth="1"/>
    <col min="15" max="15" width="18.54296875" style="273" customWidth="1"/>
    <col min="16" max="16" width="12.1796875" style="273" bestFit="1" customWidth="1"/>
    <col min="17" max="17" width="11.54296875" style="273" bestFit="1" customWidth="1"/>
    <col min="18" max="18" width="11.453125" style="273"/>
    <col min="19" max="19" width="13.1796875" style="273" bestFit="1" customWidth="1"/>
    <col min="20" max="24" width="11.54296875" style="273" bestFit="1" customWidth="1"/>
    <col min="25" max="25" width="11.453125" style="273"/>
    <col min="26" max="26" width="11.54296875" style="273" bestFit="1" customWidth="1"/>
    <col min="27" max="27" width="13.1796875" style="273" bestFit="1" customWidth="1"/>
    <col min="28" max="28" width="11.453125" style="273"/>
    <col min="29" max="30" width="11.54296875" style="273" bestFit="1" customWidth="1"/>
    <col min="31" max="31" width="11.453125" style="273"/>
    <col min="32" max="32" width="13.54296875" style="273" customWidth="1"/>
    <col min="33" max="36" width="11.54296875" style="273" bestFit="1" customWidth="1"/>
    <col min="37" max="37" width="11.453125" style="273"/>
    <col min="38" max="39" width="11.54296875" style="273" bestFit="1" customWidth="1"/>
    <col min="40" max="42" width="11.453125" style="273"/>
    <col min="43" max="43" width="12.54296875" style="273" customWidth="1"/>
    <col min="44" max="44" width="11.453125" style="273"/>
    <col min="45" max="45" width="12.54296875" style="273" customWidth="1"/>
    <col min="46" max="46" width="11.453125" style="273"/>
    <col min="47" max="47" width="14.453125" style="273" customWidth="1"/>
    <col min="48" max="49" width="11.453125" style="273"/>
    <col min="50" max="53" width="11.54296875" style="273" bestFit="1" customWidth="1"/>
    <col min="54" max="65" width="11.453125" style="273"/>
    <col min="66" max="66" width="21.54296875" style="273" customWidth="1"/>
    <col min="67" max="16384" width="11.453125" style="273"/>
  </cols>
  <sheetData>
    <row r="1" spans="1:49" ht="18.5" thickBot="1">
      <c r="A1" s="1294"/>
      <c r="L1" s="273" t="s">
        <v>196</v>
      </c>
      <c r="M1" s="1309">
        <f>COUNT(Real!$B$9:$B$39)</f>
        <v>31</v>
      </c>
      <c r="N1" s="273" t="s">
        <v>192</v>
      </c>
      <c r="O1" s="273">
        <f>'R+RP+B'!$U$6</f>
        <v>90</v>
      </c>
      <c r="U1" s="879" t="s">
        <v>1042</v>
      </c>
    </row>
    <row r="3" spans="1:49" ht="20">
      <c r="B3" s="1310" t="s">
        <v>1043</v>
      </c>
      <c r="C3" s="1311"/>
      <c r="D3" s="1304"/>
      <c r="E3" s="1304"/>
      <c r="J3" s="1312"/>
      <c r="M3" s="273">
        <f>$M$1</f>
        <v>31</v>
      </c>
      <c r="R3" s="1313"/>
      <c r="S3" s="1314"/>
      <c r="T3" s="1315"/>
      <c r="U3" s="1310" t="s">
        <v>1044</v>
      </c>
    </row>
    <row r="4" spans="1:49">
      <c r="B4" s="1310" t="s">
        <v>1045</v>
      </c>
      <c r="C4" s="1316">
        <f>Factores!D2</f>
        <v>46082.791666666664</v>
      </c>
      <c r="D4" s="1304"/>
      <c r="E4" s="1304"/>
      <c r="F4" s="4811" t="s">
        <v>43</v>
      </c>
      <c r="G4" s="4811"/>
      <c r="I4" s="1317"/>
      <c r="J4" s="1318" t="s">
        <v>12</v>
      </c>
      <c r="K4" s="1318" t="s">
        <v>57</v>
      </c>
      <c r="L4" s="1318" t="s">
        <v>1046</v>
      </c>
      <c r="M4" s="1319" t="s">
        <v>1047</v>
      </c>
      <c r="N4" s="1320"/>
    </row>
    <row r="5" spans="1:49" ht="15.75" customHeight="1" thickBot="1">
      <c r="B5" s="1304"/>
      <c r="C5" s="1311" t="s">
        <v>46</v>
      </c>
      <c r="D5" s="1311" t="s">
        <v>57</v>
      </c>
      <c r="E5" s="1311" t="s">
        <v>12</v>
      </c>
      <c r="F5" s="1311" t="s">
        <v>10</v>
      </c>
      <c r="G5" s="1311" t="s">
        <v>48</v>
      </c>
      <c r="I5" s="1321" t="s">
        <v>1048</v>
      </c>
      <c r="J5" s="1322" t="e">
        <f>E6</f>
        <v>#REF!</v>
      </c>
      <c r="K5" s="1322">
        <f>D6</f>
        <v>24.365061413343849</v>
      </c>
      <c r="L5" s="1323" t="e">
        <f>K5-J5</f>
        <v>#REF!</v>
      </c>
      <c r="M5" s="1319">
        <f>SUM(M6:M12)</f>
        <v>-29.349806570572085</v>
      </c>
      <c r="N5" s="1324"/>
      <c r="O5" s="1321" t="s">
        <v>1049</v>
      </c>
      <c r="P5" s="1322" t="e">
        <f>J5</f>
        <v>#REF!</v>
      </c>
      <c r="Q5" s="1321"/>
      <c r="AO5" s="1325"/>
      <c r="AP5" s="708"/>
      <c r="AQ5" s="708"/>
      <c r="AR5" s="708"/>
      <c r="AS5" s="708"/>
      <c r="AT5" s="1129"/>
      <c r="AU5" s="1129"/>
      <c r="AV5" s="1129"/>
      <c r="AW5" s="1326"/>
    </row>
    <row r="6" spans="1:49">
      <c r="B6" s="1304" t="s">
        <v>1050</v>
      </c>
      <c r="C6" s="1311" t="s">
        <v>53</v>
      </c>
      <c r="D6" s="1474">
        <f>'R+RP+B'!$I$8</f>
        <v>24.365061413343849</v>
      </c>
      <c r="E6" s="1327" t="e">
        <f>'Comparacion (Sin BM)'!C11</f>
        <v>#REF!</v>
      </c>
      <c r="F6" s="1327" t="e">
        <f>+D6-E6</f>
        <v>#REF!</v>
      </c>
      <c r="G6" s="1328" t="e">
        <f>+F6/E6</f>
        <v>#REF!</v>
      </c>
      <c r="I6" s="1321" t="s">
        <v>36</v>
      </c>
      <c r="J6" s="1329">
        <f>E14</f>
        <v>8502.7681772494343</v>
      </c>
      <c r="K6" s="1329">
        <f>D14</f>
        <v>8128.3803061107201</v>
      </c>
      <c r="L6" s="1330">
        <f t="shared" ref="L6:L11" si="0">K6-J6</f>
        <v>-374.38787113871422</v>
      </c>
      <c r="M6" s="1330">
        <f>(L6*K7/100*24*M3)/1000*(K10/100*K8/100*J14+K11/100*K9/1000000*J13*J15)</f>
        <v>-1.1186052237003299E-2</v>
      </c>
      <c r="N6" s="1331"/>
      <c r="O6" s="1321" t="s">
        <v>1051</v>
      </c>
      <c r="P6" s="1322" t="e">
        <f>IF((M6+$S$9)&gt;0,P5,P5-Q6)</f>
        <v>#REF!</v>
      </c>
      <c r="Q6" s="1332" t="e">
        <f t="shared" ref="Q6:Q11" si="1">IF((M6+$S$9)&gt;0,M6+$S$9,-(M6+$S$9))</f>
        <v>#REF!</v>
      </c>
      <c r="AO6" s="1325"/>
      <c r="AP6" s="708"/>
      <c r="AQ6" s="708"/>
      <c r="AR6" s="708"/>
      <c r="AS6" s="708"/>
      <c r="AT6" s="1129"/>
      <c r="AU6" s="1129"/>
      <c r="AV6" s="1129"/>
      <c r="AW6" s="1326"/>
    </row>
    <row r="7" spans="1:49">
      <c r="B7" s="1304" t="s">
        <v>62</v>
      </c>
      <c r="C7" s="1311" t="s">
        <v>53</v>
      </c>
      <c r="D7" s="1478">
        <f>'R+RP+B'!$I$58*'R+RP+B'!$D$65</f>
        <v>21.245925024226782</v>
      </c>
      <c r="E7" s="1327">
        <f>'Comparacion (Sin BM)'!C15</f>
        <v>27.229795292946367</v>
      </c>
      <c r="F7" s="1327">
        <f>+D7-E7</f>
        <v>-5.9838702687195848</v>
      </c>
      <c r="G7" s="1328">
        <f>+F7/E7</f>
        <v>-0.21975450804324087</v>
      </c>
      <c r="I7" s="1321" t="s">
        <v>41</v>
      </c>
      <c r="J7" s="1333">
        <f>E16</f>
        <v>92.650688634835248</v>
      </c>
      <c r="K7" s="1333">
        <f>D16</f>
        <v>0.68062526822697333</v>
      </c>
      <c r="L7" s="1330">
        <f t="shared" si="0"/>
        <v>-91.970063366608272</v>
      </c>
      <c r="M7" s="1330">
        <f>(L7*J6/100*24*M3)/1000*(K10/100*K8/100*J14+(K11/100*K9/1000000*J13*J15))</f>
        <v>-34.328421050636116</v>
      </c>
      <c r="O7" s="1321" t="s">
        <v>1052</v>
      </c>
      <c r="P7" s="1322" t="e">
        <f t="shared" ref="P7:P12" si="2">IF((M6+$S$9)&gt;0,IF((M7+$S$9)&gt;0,P6+Q6,P6+Q6-Q7),IF((M7+$S$9)&gt;0,P6,P6-Q7))</f>
        <v>#REF!</v>
      </c>
      <c r="Q7" s="1322" t="e">
        <f t="shared" si="1"/>
        <v>#REF!</v>
      </c>
      <c r="AO7" s="1325"/>
      <c r="AP7" s="708"/>
      <c r="AQ7" s="708"/>
      <c r="AR7" s="708"/>
      <c r="AS7" s="708"/>
      <c r="AT7" s="1129"/>
      <c r="AU7" s="1129"/>
      <c r="AV7" s="1129"/>
      <c r="AW7" s="1326"/>
    </row>
    <row r="8" spans="1:49">
      <c r="B8" s="1304" t="s">
        <v>59</v>
      </c>
      <c r="C8" s="1311" t="s">
        <v>53</v>
      </c>
      <c r="D8" s="1478">
        <f>'R+RP+B'!$I$10</f>
        <v>22.933613081531071</v>
      </c>
      <c r="E8" s="1327">
        <f>'Comparacion (Sin BM)'!C14</f>
        <v>28.318351668204937</v>
      </c>
      <c r="F8" s="1327">
        <f>+D8-E8</f>
        <v>-5.3847385866738655</v>
      </c>
      <c r="G8" s="1328">
        <f>+F8/E8</f>
        <v>-0.19015014185022999</v>
      </c>
      <c r="I8" s="1321" t="s">
        <v>45</v>
      </c>
      <c r="J8" s="1322">
        <f>E18</f>
        <v>0.5354493276828427</v>
      </c>
      <c r="K8" s="1322">
        <f>D18</f>
        <v>0.63704189198698991</v>
      </c>
      <c r="L8" s="1321">
        <f t="shared" si="0"/>
        <v>0.1015925643041472</v>
      </c>
      <c r="M8" s="1330">
        <f>(J6*J7/100*24*M3)/1000*(K10/100*L8/100*J14)</f>
        <v>5.1806055597699912</v>
      </c>
      <c r="N8" s="1331"/>
      <c r="O8" s="1321" t="s">
        <v>1053</v>
      </c>
      <c r="P8" s="1322" t="e">
        <f>IF((M7+$S$9)&gt;0,IF((M8+$S$9)&gt;0,P7+Q7,P7+Q7-Q8),IF((M8+$S$9)&gt;0,P7,P7-Q8))</f>
        <v>#REF!</v>
      </c>
      <c r="Q8" s="1322" t="e">
        <f t="shared" si="1"/>
        <v>#REF!</v>
      </c>
      <c r="AO8" s="1325"/>
      <c r="AP8" s="708"/>
      <c r="AQ8" s="708"/>
      <c r="AR8" s="708"/>
      <c r="AS8" s="708"/>
      <c r="AT8" s="1129"/>
      <c r="AU8" s="1129"/>
      <c r="AV8" s="1129"/>
      <c r="AW8" s="1326"/>
    </row>
    <row r="9" spans="1:49">
      <c r="B9" s="1304" t="s">
        <v>66</v>
      </c>
      <c r="C9" s="1311" t="s">
        <v>53</v>
      </c>
      <c r="D9" s="1475">
        <f>'R+RP+B'!$I$12</f>
        <v>0.49377313963876424</v>
      </c>
      <c r="E9" s="1334">
        <f>'Comparacion (Sin BM)'!C18</f>
        <v>0.80794675396342897</v>
      </c>
      <c r="F9" s="1334">
        <f>+D9-E9</f>
        <v>-0.31417361432466473</v>
      </c>
      <c r="G9" s="1328">
        <f>+F9/E9</f>
        <v>-0.38885435554195635</v>
      </c>
      <c r="I9" s="1321" t="s">
        <v>1054</v>
      </c>
      <c r="J9" s="1335">
        <f>E23</f>
        <v>171.18629045307489</v>
      </c>
      <c r="K9" s="1335">
        <f>D23</f>
        <v>151.11835423943415</v>
      </c>
      <c r="L9" s="1321">
        <f t="shared" si="0"/>
        <v>-20.067936213640735</v>
      </c>
      <c r="M9" s="1330">
        <f>(J6*J7/100*24*M3)/1000*(K11/100*L9/1000000*J13*J15)</f>
        <v>-0.27849878085343521</v>
      </c>
      <c r="N9" s="1331"/>
      <c r="O9" s="1321" t="s">
        <v>1055</v>
      </c>
      <c r="P9" s="1322" t="e">
        <f t="shared" si="2"/>
        <v>#REF!</v>
      </c>
      <c r="Q9" s="1332" t="e">
        <f t="shared" si="1"/>
        <v>#REF!</v>
      </c>
      <c r="S9" s="273" t="e">
        <f>(L5-M5)/7</f>
        <v>#REF!</v>
      </c>
      <c r="AO9" s="1325"/>
      <c r="AP9" s="708"/>
      <c r="AQ9" s="708"/>
      <c r="AR9" s="708"/>
      <c r="AS9" s="708"/>
      <c r="AT9" s="1129"/>
      <c r="AU9" s="1129"/>
      <c r="AV9" s="1129"/>
      <c r="AW9" s="1326"/>
    </row>
    <row r="10" spans="1:49">
      <c r="B10" s="1304" t="s">
        <v>1056</v>
      </c>
      <c r="C10" s="1311" t="s">
        <v>1057</v>
      </c>
      <c r="D10" s="1475">
        <f>'R+RP+B'!$I$13</f>
        <v>0.49130427394057041</v>
      </c>
      <c r="E10" s="1334">
        <f>'Comparacion (Sin BM)'!C19</f>
        <v>0.8767887836467676</v>
      </c>
      <c r="F10" s="1334">
        <f>+D10-E10</f>
        <v>-0.38548450970619719</v>
      </c>
      <c r="G10" s="1328">
        <f>+F10/E10</f>
        <v>-0.43965492818336227</v>
      </c>
      <c r="I10" s="1321" t="s">
        <v>51</v>
      </c>
      <c r="J10" s="1333">
        <f>E19</f>
        <v>90.294153352101702</v>
      </c>
      <c r="K10" s="1333">
        <f>D19</f>
        <v>90.440219377357522</v>
      </c>
      <c r="L10" s="1321">
        <f t="shared" si="0"/>
        <v>0.14606602525581991</v>
      </c>
      <c r="M10" s="1330">
        <f>(J6*J7/100*24*M3)/1000*(L10/100*J8/100*J14)</f>
        <v>4.4098578122377614E-2</v>
      </c>
      <c r="N10" s="1331"/>
      <c r="O10" s="1321" t="s">
        <v>1058</v>
      </c>
      <c r="P10" s="1322" t="e">
        <f t="shared" si="2"/>
        <v>#REF!</v>
      </c>
      <c r="Q10" s="1322" t="e">
        <f t="shared" si="1"/>
        <v>#REF!</v>
      </c>
      <c r="AO10" s="1325"/>
      <c r="AP10" s="708"/>
      <c r="AQ10" s="708"/>
      <c r="AR10" s="708"/>
      <c r="AS10" s="708"/>
      <c r="AT10" s="1129"/>
      <c r="AU10" s="1129"/>
      <c r="AV10" s="1129"/>
      <c r="AW10" s="1326"/>
    </row>
    <row r="11" spans="1:49">
      <c r="D11" s="1476"/>
      <c r="I11" s="1321" t="s">
        <v>1059</v>
      </c>
      <c r="J11" s="1333">
        <f>E24</f>
        <v>80.57935681068416</v>
      </c>
      <c r="K11" s="1333">
        <f>D24</f>
        <v>82.085673282578924</v>
      </c>
      <c r="L11" s="1321">
        <f t="shared" si="0"/>
        <v>1.5063164718947633</v>
      </c>
      <c r="M11" s="1330">
        <f>(J6*J7/100*24*M3)/1000*(L11/100*J9/1000000*J13*J15)</f>
        <v>4.3595175262100057E-2</v>
      </c>
      <c r="N11" s="1331"/>
      <c r="O11" s="1321" t="s">
        <v>1060</v>
      </c>
      <c r="P11" s="1322" t="e">
        <f t="shared" si="2"/>
        <v>#REF!</v>
      </c>
      <c r="Q11" s="1322" t="e">
        <f t="shared" si="1"/>
        <v>#REF!</v>
      </c>
      <c r="AO11" s="1325"/>
      <c r="AP11" s="708"/>
      <c r="AQ11" s="708"/>
      <c r="AR11" s="708"/>
      <c r="AS11" s="708"/>
      <c r="AT11" s="1129"/>
      <c r="AU11" s="1129"/>
      <c r="AV11" s="1129"/>
      <c r="AW11" s="1326"/>
    </row>
    <row r="12" spans="1:49" ht="17.5">
      <c r="B12" s="1304" t="s">
        <v>78</v>
      </c>
      <c r="C12" s="1311" t="s">
        <v>53</v>
      </c>
      <c r="D12" s="1477">
        <f>'R+RP+B'!$I$15</f>
        <v>3980.5481482771197</v>
      </c>
      <c r="E12" s="1336">
        <f>'Comparacion (Sin BM)'!C27</f>
        <v>5857.198775683828</v>
      </c>
      <c r="F12" s="1336">
        <f>+D12-E12</f>
        <v>-1876.6506274067083</v>
      </c>
      <c r="G12" s="1328">
        <f>+F12/E12</f>
        <v>-0.3204007067674785</v>
      </c>
      <c r="I12" s="1321"/>
      <c r="J12" s="1321"/>
      <c r="K12" s="1322"/>
      <c r="L12" s="1321"/>
      <c r="M12" s="1321"/>
      <c r="N12" s="1331"/>
      <c r="O12" s="1321" t="s">
        <v>1061</v>
      </c>
      <c r="P12" s="1322" t="e">
        <f t="shared" si="2"/>
        <v>#REF!</v>
      </c>
      <c r="Q12" s="1322"/>
      <c r="T12" s="1337"/>
      <c r="AO12" s="1325"/>
      <c r="AP12" s="708"/>
      <c r="AQ12" s="708"/>
      <c r="AR12" s="708"/>
      <c r="AS12" s="708"/>
      <c r="AT12" s="1129"/>
      <c r="AU12" s="1129"/>
      <c r="AV12" s="1129"/>
      <c r="AW12" s="1326"/>
    </row>
    <row r="13" spans="1:49" ht="17.5">
      <c r="B13" s="1304" t="s">
        <v>79</v>
      </c>
      <c r="C13" s="1311" t="s">
        <v>75</v>
      </c>
      <c r="D13" s="1477">
        <f>'R+RP+B'!$I$16</f>
        <v>132.68493827590399</v>
      </c>
      <c r="E13" s="1336">
        <f>'Comparacion (Sin BM)'!C28</f>
        <v>188.94189598980088</v>
      </c>
      <c r="F13" s="1327">
        <f>+D13-E13</f>
        <v>-56.256957713896895</v>
      </c>
      <c r="G13" s="1328">
        <f>+F13/E13</f>
        <v>-0.29774739699306108</v>
      </c>
      <c r="I13" s="1295" t="s">
        <v>244</v>
      </c>
      <c r="J13" s="1321">
        <f>Factores!D9</f>
        <v>2.899</v>
      </c>
      <c r="K13" s="1331"/>
      <c r="L13" s="1331"/>
      <c r="M13" s="1338"/>
      <c r="N13" s="1331"/>
      <c r="O13" s="1321"/>
      <c r="P13" s="1322"/>
      <c r="Q13" s="1333"/>
      <c r="T13" s="1339"/>
      <c r="AO13" s="1325"/>
      <c r="AP13" s="708"/>
      <c r="AQ13" s="708"/>
      <c r="AR13" s="708"/>
      <c r="AS13" s="708"/>
      <c r="AT13" s="1129"/>
      <c r="AU13" s="1129"/>
      <c r="AV13" s="1129"/>
      <c r="AW13" s="1326"/>
    </row>
    <row r="14" spans="1:49" ht="17.5">
      <c r="B14" s="1304" t="s">
        <v>80</v>
      </c>
      <c r="C14" s="1311" t="s">
        <v>81</v>
      </c>
      <c r="D14" s="1477">
        <f>'R+RP+B'!$I$17</f>
        <v>8128.3803061107201</v>
      </c>
      <c r="E14" s="1336">
        <f>'Comparacion (Sin BM)'!C29</f>
        <v>8502.7681772494343</v>
      </c>
      <c r="F14" s="1336">
        <f>+D14-E14</f>
        <v>-374.38787113871422</v>
      </c>
      <c r="G14" s="1328">
        <f>+F14/E14</f>
        <v>-4.4031292319653151E-2</v>
      </c>
      <c r="I14" s="1296" t="s">
        <v>245</v>
      </c>
      <c r="J14" s="1321">
        <f>Factores!D7</f>
        <v>0.96199999999999997</v>
      </c>
      <c r="K14" s="1331"/>
      <c r="L14" s="1331"/>
      <c r="M14" s="1331"/>
      <c r="N14" s="1331"/>
      <c r="O14" s="1331"/>
      <c r="P14" s="1331"/>
      <c r="Q14" s="1331"/>
      <c r="R14" s="1340"/>
      <c r="S14" s="1341"/>
      <c r="AO14" s="1325"/>
      <c r="AP14" s="708"/>
      <c r="AQ14" s="708"/>
      <c r="AR14" s="708"/>
      <c r="AS14" s="708"/>
      <c r="AT14" s="1129"/>
      <c r="AU14" s="1129"/>
      <c r="AV14" s="1129"/>
      <c r="AW14" s="1326"/>
    </row>
    <row r="15" spans="1:49">
      <c r="B15" s="1304" t="s">
        <v>82</v>
      </c>
      <c r="C15" s="1311" t="s">
        <v>48</v>
      </c>
      <c r="D15" s="1478">
        <f>'R+RP+B'!$I$18</f>
        <v>0</v>
      </c>
      <c r="E15" s="1327">
        <f>'Comparacion (Sin BM)'!C30</f>
        <v>73.985882319413648</v>
      </c>
      <c r="F15" s="1327">
        <f>+D15-E15</f>
        <v>-73.985882319413648</v>
      </c>
      <c r="G15" s="1328">
        <f>+F15/E15</f>
        <v>-1</v>
      </c>
      <c r="I15" s="1296" t="s">
        <v>71</v>
      </c>
      <c r="J15" s="1321">
        <f>Factores!D8</f>
        <v>0.995</v>
      </c>
      <c r="K15" s="1331"/>
      <c r="L15" s="1331"/>
      <c r="M15" s="1331"/>
      <c r="N15" s="1331"/>
      <c r="O15" s="1331"/>
      <c r="P15" s="1331"/>
      <c r="Q15" s="1331"/>
      <c r="AO15" s="1325"/>
      <c r="AP15" s="708"/>
      <c r="AQ15" s="708"/>
      <c r="AR15" s="708"/>
      <c r="AS15" s="708"/>
      <c r="AT15" s="1129"/>
      <c r="AU15" s="1129"/>
      <c r="AV15" s="1129"/>
      <c r="AW15" s="1326"/>
    </row>
    <row r="16" spans="1:49">
      <c r="B16" s="1304" t="s">
        <v>85</v>
      </c>
      <c r="C16" s="1311" t="s">
        <v>48</v>
      </c>
      <c r="D16" s="1478">
        <f>'R+RP+B'!$I$21</f>
        <v>0.68062526822697333</v>
      </c>
      <c r="E16" s="1327">
        <f>'Comparacion (Sin BM)'!C32</f>
        <v>92.650688634835248</v>
      </c>
      <c r="F16" s="1327">
        <f>+D16-E16</f>
        <v>-91.970063366608272</v>
      </c>
      <c r="G16" s="1328">
        <f>+F16/E16</f>
        <v>-0.99265385634736591</v>
      </c>
      <c r="AO16" s="1325"/>
      <c r="AP16" s="708"/>
      <c r="AQ16" s="708"/>
      <c r="AR16" s="708"/>
      <c r="AS16" s="708"/>
      <c r="AT16" s="1129"/>
      <c r="AU16" s="1129"/>
      <c r="AV16" s="1129"/>
      <c r="AW16" s="1326"/>
    </row>
    <row r="17" spans="2:53">
      <c r="B17" s="1304"/>
      <c r="C17" s="1311"/>
      <c r="D17" s="1478"/>
      <c r="E17" s="1327"/>
      <c r="F17" s="1327"/>
      <c r="G17" s="1328"/>
      <c r="AO17" s="1325"/>
      <c r="AP17" s="708"/>
      <c r="AQ17" s="708"/>
      <c r="AR17" s="708"/>
      <c r="AS17" s="708"/>
      <c r="AT17" s="1129"/>
      <c r="AU17" s="1129"/>
      <c r="AV17" s="1129"/>
      <c r="AW17" s="1326"/>
    </row>
    <row r="18" spans="2:53">
      <c r="B18" s="1304" t="s">
        <v>89</v>
      </c>
      <c r="C18" s="1311" t="s">
        <v>48</v>
      </c>
      <c r="D18" s="1479">
        <f>'R+RP+B'!$I$29</f>
        <v>0.63704189198698991</v>
      </c>
      <c r="E18" s="1342">
        <f>'Comparacion (Sin BM)'!C34</f>
        <v>0.5354493276828427</v>
      </c>
      <c r="F18" s="1342">
        <f>+D18-E18</f>
        <v>0.1015925643041472</v>
      </c>
      <c r="G18" s="1328">
        <f>+F18/E18</f>
        <v>0.18973329323950988</v>
      </c>
      <c r="AO18" s="1325"/>
      <c r="AP18" s="708"/>
      <c r="AQ18" s="708"/>
      <c r="AR18" s="708"/>
      <c r="AS18" s="708"/>
      <c r="AT18" s="1129"/>
      <c r="AU18" s="1129"/>
      <c r="AV18" s="1129"/>
      <c r="AW18" s="1326"/>
    </row>
    <row r="19" spans="2:53">
      <c r="B19" s="1304" t="s">
        <v>90</v>
      </c>
      <c r="C19" s="1311" t="s">
        <v>48</v>
      </c>
      <c r="D19" s="1478">
        <f>'R+RP+B'!$I$30</f>
        <v>90.440219377357522</v>
      </c>
      <c r="E19" s="1327">
        <f>'Comparacion (Sin BM)'!C35</f>
        <v>90.294153352101702</v>
      </c>
      <c r="F19" s="1327">
        <f>+D19-E19</f>
        <v>0.14606602525581991</v>
      </c>
      <c r="G19" s="1328">
        <f>+F19/E19</f>
        <v>1.617668695405294E-3</v>
      </c>
      <c r="AO19" s="1325"/>
      <c r="AP19" s="708"/>
      <c r="AQ19" s="708"/>
      <c r="AR19" s="708"/>
      <c r="AS19" s="708"/>
      <c r="AT19" s="1129"/>
      <c r="AU19" s="1129"/>
      <c r="AV19" s="1129"/>
      <c r="AW19" s="1326"/>
    </row>
    <row r="20" spans="2:53">
      <c r="B20" s="1304" t="s">
        <v>92</v>
      </c>
      <c r="C20" s="1311" t="s">
        <v>53</v>
      </c>
      <c r="D20" s="1478">
        <f>'R+RP+B'!$I$31</f>
        <v>78.045538606281255</v>
      </c>
      <c r="E20" s="1327">
        <f>'Comparacion (Sin BM)'!C36</f>
        <v>105.7534669311305</v>
      </c>
      <c r="F20" s="1327">
        <f>+D20-E20</f>
        <v>-27.707928324849249</v>
      </c>
      <c r="G20" s="1328">
        <f>+F20/E20</f>
        <v>-0.26200491699145328</v>
      </c>
      <c r="AO20" s="1325"/>
      <c r="AP20" s="708"/>
      <c r="AQ20" s="708"/>
      <c r="AR20" s="708"/>
      <c r="AS20" s="708"/>
      <c r="AT20" s="1129"/>
      <c r="AU20" s="1129"/>
      <c r="AV20" s="1129"/>
      <c r="AW20" s="1326"/>
    </row>
    <row r="21" spans="2:53">
      <c r="B21" s="1304" t="s">
        <v>93</v>
      </c>
      <c r="C21" s="1311" t="s">
        <v>48</v>
      </c>
      <c r="D21" s="1478">
        <f>'R+RP+B'!$I$32</f>
        <v>29.384912310266678</v>
      </c>
      <c r="E21" s="1327">
        <f>'Comparacion (Sin BM)'!C37</f>
        <v>26.777705251636434</v>
      </c>
      <c r="F21" s="1327">
        <f>+D21-E21</f>
        <v>2.6072070586302445</v>
      </c>
      <c r="G21" s="1328">
        <f>+F21/E21</f>
        <v>9.736484266032891E-2</v>
      </c>
      <c r="AO21" s="1325"/>
      <c r="AP21" s="708"/>
      <c r="AQ21" s="708"/>
      <c r="AR21" s="708"/>
      <c r="AS21" s="708"/>
      <c r="AT21" s="1129"/>
      <c r="AU21" s="1129"/>
      <c r="AV21" s="1129"/>
      <c r="AW21" s="1326"/>
    </row>
    <row r="22" spans="2:53">
      <c r="B22" s="1304"/>
      <c r="C22" s="1311"/>
      <c r="D22" s="1478"/>
      <c r="E22" s="1327"/>
      <c r="F22" s="1327"/>
      <c r="G22" s="1328"/>
      <c r="AO22" s="1325"/>
      <c r="AP22" s="708"/>
      <c r="AQ22" s="708"/>
      <c r="AR22" s="708"/>
      <c r="AS22" s="708"/>
      <c r="AT22" s="1129"/>
      <c r="AU22" s="1129"/>
      <c r="AV22" s="1129"/>
      <c r="AW22" s="1326"/>
    </row>
    <row r="23" spans="2:53">
      <c r="B23" s="1304" t="s">
        <v>94</v>
      </c>
      <c r="C23" s="1311" t="s">
        <v>95</v>
      </c>
      <c r="D23" s="1477">
        <f>'R+RP+B'!$I$34</f>
        <v>151.11835423943415</v>
      </c>
      <c r="E23" s="1336">
        <f>'Comparacion (Sin BM)'!C39</f>
        <v>171.18629045307489</v>
      </c>
      <c r="F23" s="1327">
        <f>+D23-E23</f>
        <v>-20.067936213640735</v>
      </c>
      <c r="G23" s="1328">
        <f>+F23/E23</f>
        <v>-0.11722864115185498</v>
      </c>
      <c r="AO23" s="1325"/>
      <c r="AP23" s="708"/>
      <c r="AQ23" s="708"/>
      <c r="AR23" s="708"/>
      <c r="AS23" s="708"/>
      <c r="AT23" s="1129"/>
      <c r="AU23" s="1129"/>
      <c r="AV23" s="1129"/>
      <c r="AW23" s="1326"/>
    </row>
    <row r="24" spans="2:53">
      <c r="B24" s="1304" t="s">
        <v>96</v>
      </c>
      <c r="C24" s="1311" t="s">
        <v>48</v>
      </c>
      <c r="D24" s="1478">
        <f>'R+RP+B'!$I$35</f>
        <v>82.085673282578924</v>
      </c>
      <c r="E24" s="1327">
        <f>'Comparacion (Sin BM)'!C40</f>
        <v>80.57935681068416</v>
      </c>
      <c r="F24" s="1327">
        <f>+D24-E24</f>
        <v>1.5063164718947633</v>
      </c>
      <c r="G24" s="1328">
        <f>+F24/E24</f>
        <v>1.8693577753837794E-2</v>
      </c>
      <c r="AO24" s="1325"/>
      <c r="AP24" s="708"/>
      <c r="AQ24" s="708"/>
      <c r="AR24" s="708"/>
      <c r="AS24" s="708"/>
      <c r="AT24" s="1129"/>
      <c r="AU24" s="1129"/>
      <c r="AV24" s="1129"/>
      <c r="AW24" s="1326"/>
    </row>
    <row r="25" spans="2:53">
      <c r="B25" s="1304" t="s">
        <v>97</v>
      </c>
      <c r="C25" s="1311" t="s">
        <v>48</v>
      </c>
      <c r="D25" s="1478">
        <f>'R+RP+B'!$I$36</f>
        <v>92.833487014930043</v>
      </c>
      <c r="E25" s="1327">
        <f>'Comparacion (Sin BM)'!C41</f>
        <v>91.633786719447059</v>
      </c>
      <c r="F25" s="1327">
        <f>+D25-E25</f>
        <v>1.1997002954829838</v>
      </c>
      <c r="G25" s="1328">
        <f>+F25/E25</f>
        <v>1.3092335681336373E-2</v>
      </c>
      <c r="AO25" s="1325"/>
      <c r="AP25" s="708"/>
      <c r="AQ25" s="708"/>
      <c r="AR25" s="708"/>
      <c r="AS25" s="708"/>
      <c r="AT25" s="1129"/>
      <c r="AU25" s="1129"/>
      <c r="AV25" s="1129"/>
      <c r="AW25" s="1326"/>
    </row>
    <row r="26" spans="2:53" ht="16" thickBot="1">
      <c r="B26" s="1304" t="s">
        <v>98</v>
      </c>
      <c r="C26" s="1311" t="s">
        <v>48</v>
      </c>
      <c r="D26" s="1480">
        <f>'R+RP+B'!$I$37</f>
        <v>88.422481931953499</v>
      </c>
      <c r="E26" s="1327">
        <f>'Comparacion (Sin BM)'!C42</f>
        <v>87.936294783268124</v>
      </c>
      <c r="F26" s="1327">
        <f>+D26-E26</f>
        <v>0.48618714868537438</v>
      </c>
      <c r="G26" s="1328">
        <f>+F26/E26</f>
        <v>5.5288564282092376E-3</v>
      </c>
      <c r="AO26" s="1325"/>
      <c r="AP26" s="708"/>
      <c r="AQ26" s="708"/>
      <c r="AR26" s="708"/>
      <c r="AS26" s="708"/>
      <c r="AT26" s="1129"/>
      <c r="AU26" s="1129"/>
      <c r="AV26" s="1129"/>
      <c r="AW26" s="1326"/>
    </row>
    <row r="27" spans="2:53">
      <c r="AO27" s="1325"/>
      <c r="AP27" s="708"/>
      <c r="AQ27" s="708"/>
      <c r="AR27" s="708"/>
      <c r="AS27" s="708"/>
      <c r="AT27" s="1129"/>
      <c r="AU27" s="1129"/>
      <c r="AV27" s="1129"/>
      <c r="AW27" s="1326"/>
    </row>
    <row r="28" spans="2:53">
      <c r="AO28" s="1325"/>
      <c r="AP28" s="708"/>
      <c r="AQ28" s="708"/>
      <c r="AR28" s="708"/>
      <c r="AS28" s="708"/>
      <c r="AT28" s="1129"/>
      <c r="AU28" s="1129"/>
      <c r="AV28" s="1129"/>
      <c r="AW28" s="1326"/>
    </row>
    <row r="29" spans="2:53">
      <c r="AO29" s="1325"/>
      <c r="AP29" s="708"/>
      <c r="AQ29" s="708"/>
      <c r="AR29" s="708"/>
      <c r="AS29" s="708"/>
      <c r="AT29" s="1129"/>
      <c r="AU29" s="1129"/>
      <c r="AV29" s="1129"/>
      <c r="AW29" s="1326"/>
    </row>
    <row r="30" spans="2:53" ht="20">
      <c r="B30" s="1310" t="s">
        <v>1062</v>
      </c>
      <c r="C30" s="1311"/>
      <c r="D30" s="1304"/>
      <c r="E30" s="1304"/>
      <c r="J30" s="1312"/>
      <c r="M30" s="273">
        <f>$M$1</f>
        <v>31</v>
      </c>
      <c r="R30" s="1313"/>
      <c r="S30" s="1314"/>
      <c r="AG30" s="1312"/>
      <c r="AJ30" s="273">
        <f>$M$1</f>
        <v>31</v>
      </c>
      <c r="AO30" s="1325"/>
      <c r="AP30" s="708"/>
      <c r="AQ30" s="708"/>
      <c r="AR30" s="708"/>
      <c r="AS30" s="708"/>
      <c r="AT30" s="1129"/>
      <c r="AU30" s="1129"/>
      <c r="AV30" s="1129"/>
      <c r="AX30" s="1312"/>
      <c r="BA30" s="273">
        <f>$M$1</f>
        <v>31</v>
      </c>
    </row>
    <row r="31" spans="2:53">
      <c r="B31" s="1310" t="s">
        <v>1045</v>
      </c>
      <c r="C31" s="1316">
        <f>C4</f>
        <v>46082.791666666664</v>
      </c>
      <c r="D31" s="1304"/>
      <c r="E31" s="1304"/>
      <c r="F31" s="4811" t="s">
        <v>43</v>
      </c>
      <c r="G31" s="4811"/>
      <c r="I31" s="1317"/>
      <c r="J31" s="1318" t="s">
        <v>288</v>
      </c>
      <c r="K31" s="1318" t="s">
        <v>57</v>
      </c>
      <c r="L31" s="1318" t="s">
        <v>1046</v>
      </c>
      <c r="M31" s="1319" t="s">
        <v>1047</v>
      </c>
      <c r="N31" s="1320"/>
      <c r="U31" s="1310" t="s">
        <v>1063</v>
      </c>
      <c r="AF31" s="1317"/>
      <c r="AG31" s="1318" t="s">
        <v>288</v>
      </c>
      <c r="AH31" s="1318" t="s">
        <v>57</v>
      </c>
      <c r="AI31" s="1318" t="s">
        <v>1046</v>
      </c>
      <c r="AJ31" s="1321" t="s">
        <v>1047</v>
      </c>
      <c r="AO31" s="1325"/>
      <c r="AP31" s="708"/>
      <c r="AQ31" s="708"/>
      <c r="AR31" s="708"/>
      <c r="AS31" s="708"/>
      <c r="AT31" s="1129"/>
      <c r="AU31" s="1129"/>
      <c r="AV31" s="1129"/>
      <c r="AW31" s="1317"/>
      <c r="AX31" s="1318" t="s">
        <v>288</v>
      </c>
      <c r="AY31" s="1318" t="s">
        <v>57</v>
      </c>
      <c r="AZ31" s="1318" t="s">
        <v>1046</v>
      </c>
      <c r="BA31" s="1321" t="s">
        <v>1047</v>
      </c>
    </row>
    <row r="32" spans="2:53">
      <c r="B32" s="1304"/>
      <c r="C32" s="1311" t="s">
        <v>46</v>
      </c>
      <c r="D32" s="1311" t="s">
        <v>57</v>
      </c>
      <c r="E32" s="1311" t="s">
        <v>288</v>
      </c>
      <c r="F32" s="1311" t="s">
        <v>10</v>
      </c>
      <c r="G32" s="1311" t="s">
        <v>48</v>
      </c>
      <c r="I32" s="1321" t="s">
        <v>1048</v>
      </c>
      <c r="J32" s="1322">
        <f>E33</f>
        <v>22.933613081531071</v>
      </c>
      <c r="K32" s="1322">
        <f>D33</f>
        <v>24.365061413343849</v>
      </c>
      <c r="L32" s="1321">
        <f t="shared" ref="L32:L38" si="3">K32-J32</f>
        <v>1.4314483318127778</v>
      </c>
      <c r="M32" s="1319" t="e">
        <f>SUM(M33:M39)</f>
        <v>#REF!</v>
      </c>
      <c r="N32" s="1324"/>
      <c r="O32" s="1321" t="s">
        <v>1064</v>
      </c>
      <c r="P32" s="1322">
        <f>J32</f>
        <v>22.933613081531071</v>
      </c>
      <c r="Q32" s="1321"/>
      <c r="AF32" s="1321" t="s">
        <v>1065</v>
      </c>
      <c r="AG32" s="1322">
        <f>E35</f>
        <v>22.933613081531071</v>
      </c>
      <c r="AH32" s="1322">
        <f>D35</f>
        <v>22.933613081531071</v>
      </c>
      <c r="AI32" s="1321">
        <f>AH32-AG32</f>
        <v>0</v>
      </c>
      <c r="AJ32" s="1321" t="e">
        <f>SUM(AJ33:AJ38)</f>
        <v>#REF!</v>
      </c>
      <c r="AO32" s="1325"/>
      <c r="AP32" s="708"/>
      <c r="AQ32" s="708"/>
      <c r="AR32" s="708"/>
      <c r="AS32" s="708"/>
      <c r="AT32" s="1129"/>
      <c r="AU32" s="1129"/>
      <c r="AV32" s="1129"/>
      <c r="AW32" s="1321" t="s">
        <v>1066</v>
      </c>
      <c r="AX32" s="1322">
        <f>E36</f>
        <v>0.49377313963876424</v>
      </c>
      <c r="AY32" s="1322">
        <f>D36</f>
        <v>0.49377313963876424</v>
      </c>
      <c r="AZ32" s="1321">
        <f t="shared" ref="AZ32:AZ37" si="4">AY32-AX32</f>
        <v>0</v>
      </c>
      <c r="BA32" s="1321" t="e">
        <f>SUM(BA33:BA38)</f>
        <v>#REF!</v>
      </c>
    </row>
    <row r="33" spans="2:53">
      <c r="B33" s="1304" t="s">
        <v>1050</v>
      </c>
      <c r="C33" s="1311" t="s">
        <v>53</v>
      </c>
      <c r="D33" s="1327">
        <f>D6</f>
        <v>24.365061413343849</v>
      </c>
      <c r="E33" s="1327">
        <f>'Comparacion (Sin BM)'!D11</f>
        <v>22.933613081531071</v>
      </c>
      <c r="F33" s="1327">
        <f>+D33-E33</f>
        <v>1.4314483318127778</v>
      </c>
      <c r="G33" s="1328">
        <f>+F33/E33</f>
        <v>6.241704378302055E-2</v>
      </c>
      <c r="I33" s="1321" t="s">
        <v>36</v>
      </c>
      <c r="J33" s="1329" t="e">
        <f>E41</f>
        <v>#REF!</v>
      </c>
      <c r="K33" s="1329">
        <f>D41</f>
        <v>8128.3803061107201</v>
      </c>
      <c r="L33" s="1330" t="e">
        <f t="shared" si="3"/>
        <v>#REF!</v>
      </c>
      <c r="M33" s="1330" t="e">
        <f>(L33*K34/100*24*M30)/1000*(K37/100*K35/100*J41+K38/100*K36/1000000*J40*J42)</f>
        <v>#REF!</v>
      </c>
      <c r="N33" s="1331"/>
      <c r="O33" s="1321" t="s">
        <v>1051</v>
      </c>
      <c r="P33" s="1322" t="e">
        <f>IF((M33+$S$36)&gt;0,P32,P32-Q33)</f>
        <v>#REF!</v>
      </c>
      <c r="Q33" s="1322" t="e">
        <f t="shared" ref="Q33:Q38" si="5">IF((M33+$S$36)&gt;0,M33+$S$36,-(M33+$S$36))</f>
        <v>#REF!</v>
      </c>
      <c r="AF33" s="1321" t="s">
        <v>36</v>
      </c>
      <c r="AG33" s="1329" t="e">
        <f>E41</f>
        <v>#REF!</v>
      </c>
      <c r="AH33" s="1329">
        <f>D41</f>
        <v>8128.3803061107201</v>
      </c>
      <c r="AI33" s="1330" t="e">
        <f>AH33-AG33</f>
        <v>#REF!</v>
      </c>
      <c r="AJ33" s="1330" t="e">
        <f>AI33*$AJ$30*24*AH34/100/1000*AH35/100*AH36/100</f>
        <v>#REF!</v>
      </c>
      <c r="AO33" s="1325"/>
      <c r="AP33" s="708"/>
      <c r="AQ33" s="708"/>
      <c r="AR33" s="708"/>
      <c r="AS33" s="708"/>
      <c r="AT33" s="1129"/>
      <c r="AU33" s="1129"/>
      <c r="AV33" s="1129"/>
      <c r="AW33" s="1321" t="s">
        <v>36</v>
      </c>
      <c r="AX33" s="1329" t="e">
        <f>AG33</f>
        <v>#REF!</v>
      </c>
      <c r="AY33" s="1329">
        <f>AH33</f>
        <v>8128.3803061107201</v>
      </c>
      <c r="AZ33" s="1330" t="e">
        <f t="shared" si="4"/>
        <v>#REF!</v>
      </c>
      <c r="BA33" s="1330" t="e">
        <f>AZ33*$AJ$30*24*AY34/100/1000*AY35/1000000*AY36/100</f>
        <v>#REF!</v>
      </c>
    </row>
    <row r="34" spans="2:53">
      <c r="B34" s="1304" t="s">
        <v>62</v>
      </c>
      <c r="C34" s="1311" t="s">
        <v>53</v>
      </c>
      <c r="D34" s="1327">
        <f>D7</f>
        <v>21.245925024226782</v>
      </c>
      <c r="E34" s="1327">
        <f>'Comparacion (Sin BM)'!D15</f>
        <v>31.316638511727174</v>
      </c>
      <c r="F34" s="1327">
        <f>+D34-E34</f>
        <v>-10.070713487500392</v>
      </c>
      <c r="G34" s="1328">
        <f>+F34/E34</f>
        <v>-0.32157709020172143</v>
      </c>
      <c r="I34" s="1321" t="s">
        <v>41</v>
      </c>
      <c r="J34" s="1333" t="e">
        <f>E43</f>
        <v>#REF!</v>
      </c>
      <c r="K34" s="1333">
        <f>D43</f>
        <v>0.68062526822697333</v>
      </c>
      <c r="L34" s="1330" t="e">
        <f t="shared" si="3"/>
        <v>#REF!</v>
      </c>
      <c r="M34" s="1330" t="e">
        <f>(L34*J33/100*24*M30)/1000*(K37/100*K35/100*J41+(K38/100*K36/1000000*J40*J42))</f>
        <v>#REF!</v>
      </c>
      <c r="O34" s="1321" t="s">
        <v>1052</v>
      </c>
      <c r="P34" s="1322" t="e">
        <f t="shared" ref="P34:P39" si="6">IF((M33+$S$36)&gt;0,IF((M34+$S$36)&gt;0,P33+Q33,P33+Q33-Q34),IF((M34+$S$36)&gt;0,P33,P33-Q34))</f>
        <v>#REF!</v>
      </c>
      <c r="Q34" s="1322" t="e">
        <f t="shared" si="5"/>
        <v>#REF!</v>
      </c>
      <c r="AF34" s="1321" t="s">
        <v>41</v>
      </c>
      <c r="AG34" s="1333" t="e">
        <f>E43</f>
        <v>#REF!</v>
      </c>
      <c r="AH34" s="1333">
        <f>D43</f>
        <v>0.68062526822697333</v>
      </c>
      <c r="AI34" s="1330" t="e">
        <f>AH34-AG34</f>
        <v>#REF!</v>
      </c>
      <c r="AJ34" s="1330" t="e">
        <f>AG33*AI34/100*AJ30*24/1000*AH35/100*AH36/100</f>
        <v>#REF!</v>
      </c>
      <c r="AO34" s="1325"/>
      <c r="AP34" s="708"/>
      <c r="AQ34" s="708"/>
      <c r="AR34" s="708"/>
      <c r="AS34" s="708"/>
      <c r="AT34" s="1129"/>
      <c r="AU34" s="1129"/>
      <c r="AV34" s="1129"/>
      <c r="AW34" s="1321" t="s">
        <v>41</v>
      </c>
      <c r="AX34" s="1333" t="e">
        <f>AG34</f>
        <v>#REF!</v>
      </c>
      <c r="AY34" s="1333">
        <f>AH34</f>
        <v>0.68062526822697333</v>
      </c>
      <c r="AZ34" s="1330" t="e">
        <f t="shared" si="4"/>
        <v>#REF!</v>
      </c>
      <c r="BA34" s="1330" t="e">
        <f>AX33*AZ34/100*BA30*24/1000*AY35/1000000*AY36/100</f>
        <v>#REF!</v>
      </c>
    </row>
    <row r="35" spans="2:53">
      <c r="B35" s="1304" t="s">
        <v>59</v>
      </c>
      <c r="C35" s="1311" t="s">
        <v>53</v>
      </c>
      <c r="D35" s="1327">
        <f>D8</f>
        <v>22.933613081531071</v>
      </c>
      <c r="E35" s="1327">
        <f>'Comparacion (Sin BM)'!D14</f>
        <v>22.933613081531071</v>
      </c>
      <c r="F35" s="1327">
        <f>+D35-E35</f>
        <v>0</v>
      </c>
      <c r="G35" s="1328">
        <f>+F35/E35</f>
        <v>0</v>
      </c>
      <c r="I35" s="1321" t="s">
        <v>45</v>
      </c>
      <c r="J35" s="1322" t="e">
        <f>E45</f>
        <v>#REF!</v>
      </c>
      <c r="K35" s="1322">
        <f>D45</f>
        <v>0.63704189198698991</v>
      </c>
      <c r="L35" s="1321" t="e">
        <f t="shared" si="3"/>
        <v>#REF!</v>
      </c>
      <c r="M35" s="1330" t="e">
        <f>(J33*J34/100*24*M30)/1000*(K37/100*L35/100*J41)</f>
        <v>#REF!</v>
      </c>
      <c r="N35" s="1331"/>
      <c r="O35" s="1321" t="s">
        <v>1053</v>
      </c>
      <c r="P35" s="1322" t="e">
        <f t="shared" si="6"/>
        <v>#REF!</v>
      </c>
      <c r="Q35" s="1332" t="e">
        <f t="shared" si="5"/>
        <v>#REF!</v>
      </c>
      <c r="AF35" s="1321" t="s">
        <v>45</v>
      </c>
      <c r="AG35" s="1322" t="e">
        <f>E45</f>
        <v>#REF!</v>
      </c>
      <c r="AH35" s="1322">
        <f>D45</f>
        <v>0.63704189198698991</v>
      </c>
      <c r="AI35" s="1321" t="e">
        <f>AH35-AG35</f>
        <v>#REF!</v>
      </c>
      <c r="AJ35" s="1330" t="e">
        <f>AG33*AG34/100*AJ30*24/1000*AI35/100*AH36/100</f>
        <v>#REF!</v>
      </c>
      <c r="AO35" s="1325"/>
      <c r="AP35" s="708"/>
      <c r="AQ35" s="708"/>
      <c r="AR35" s="708"/>
      <c r="AS35" s="708"/>
      <c r="AT35" s="1129"/>
      <c r="AU35" s="1129"/>
      <c r="AV35" s="1129"/>
      <c r="AW35" s="1321" t="s">
        <v>1067</v>
      </c>
      <c r="AX35" s="1322" t="e">
        <f>E50</f>
        <v>#REF!</v>
      </c>
      <c r="AY35" s="1322">
        <f>D50</f>
        <v>151.11835423943415</v>
      </c>
      <c r="AZ35" s="1321" t="e">
        <f t="shared" si="4"/>
        <v>#REF!</v>
      </c>
      <c r="BA35" s="1330" t="e">
        <f>AX33*AX34/100*BA30*24/1000*AZ35/1000000*AY36/100</f>
        <v>#REF!</v>
      </c>
    </row>
    <row r="36" spans="2:53">
      <c r="B36" s="1304" t="s">
        <v>66</v>
      </c>
      <c r="C36" s="1311" t="s">
        <v>53</v>
      </c>
      <c r="D36" s="1334">
        <f>D9</f>
        <v>0.49377313963876424</v>
      </c>
      <c r="E36" s="1334">
        <f>'Comparacion (Sin BM)'!D18</f>
        <v>0.49377313963876424</v>
      </c>
      <c r="F36" s="1334">
        <f>+D36-E36</f>
        <v>0</v>
      </c>
      <c r="G36" s="1328">
        <f>+F36/E36</f>
        <v>0</v>
      </c>
      <c r="I36" s="1321" t="s">
        <v>1054</v>
      </c>
      <c r="J36" s="1335" t="e">
        <f>E50</f>
        <v>#REF!</v>
      </c>
      <c r="K36" s="1335">
        <f>D50</f>
        <v>151.11835423943415</v>
      </c>
      <c r="L36" s="1321" t="e">
        <f t="shared" si="3"/>
        <v>#REF!</v>
      </c>
      <c r="M36" s="1330" t="e">
        <f>(J33*J34/100*24*M30)/1000*(K38/100*L36/1000000*J40*J42)</f>
        <v>#REF!</v>
      </c>
      <c r="N36" s="1331"/>
      <c r="O36" s="1321" t="s">
        <v>1055</v>
      </c>
      <c r="P36" s="1322" t="e">
        <f t="shared" si="6"/>
        <v>#REF!</v>
      </c>
      <c r="Q36" s="1332" t="e">
        <f t="shared" si="5"/>
        <v>#REF!</v>
      </c>
      <c r="S36" s="273" t="e">
        <f>(L32-M32)/7</f>
        <v>#REF!</v>
      </c>
      <c r="AF36" s="1321" t="s">
        <v>51</v>
      </c>
      <c r="AG36" s="1343" t="e">
        <f>E46</f>
        <v>#REF!</v>
      </c>
      <c r="AH36" s="1343">
        <f>D46</f>
        <v>90.440219377357522</v>
      </c>
      <c r="AI36" s="1321" t="e">
        <f>AH36-AG36</f>
        <v>#REF!</v>
      </c>
      <c r="AJ36" s="1330" t="e">
        <f>AG33*AG34/100*AJ30*24/1000*AG35/100*AI36/100</f>
        <v>#REF!</v>
      </c>
      <c r="AO36" s="1325"/>
      <c r="AP36" s="708"/>
      <c r="AQ36" s="708"/>
      <c r="AR36" s="708"/>
      <c r="AS36" s="708"/>
      <c r="AT36" s="1129"/>
      <c r="AU36" s="1129"/>
      <c r="AV36" s="1129"/>
      <c r="AW36" s="1321" t="s">
        <v>1059</v>
      </c>
      <c r="AX36" s="1343" t="e">
        <f>E51</f>
        <v>#REF!</v>
      </c>
      <c r="AY36" s="1343">
        <f>D51</f>
        <v>82.085673282578924</v>
      </c>
      <c r="AZ36" s="1321" t="e">
        <f t="shared" si="4"/>
        <v>#REF!</v>
      </c>
      <c r="BA36" s="1330" t="e">
        <f>AX33*AX34/100*BA30*24/1000*AX35/1000000*AZ36/100</f>
        <v>#REF!</v>
      </c>
    </row>
    <row r="37" spans="2:53">
      <c r="B37" s="1304" t="s">
        <v>1056</v>
      </c>
      <c r="C37" s="1311" t="s">
        <v>1057</v>
      </c>
      <c r="D37" s="1342">
        <f>D10</f>
        <v>0.49130427394057041</v>
      </c>
      <c r="E37" s="1334">
        <f>'Comparacion (Sin BM)'!D19</f>
        <v>0.72078476376327538</v>
      </c>
      <c r="F37" s="1334">
        <f>+D37-E37</f>
        <v>-0.22948048982270497</v>
      </c>
      <c r="G37" s="1328">
        <f>+F37/E37</f>
        <v>-0.31837588883617463</v>
      </c>
      <c r="I37" s="1321" t="s">
        <v>51</v>
      </c>
      <c r="J37" s="1333" t="e">
        <f>E46</f>
        <v>#REF!</v>
      </c>
      <c r="K37" s="1333">
        <f>D46</f>
        <v>90.440219377357522</v>
      </c>
      <c r="L37" s="1321" t="e">
        <f t="shared" si="3"/>
        <v>#REF!</v>
      </c>
      <c r="M37" s="1330" t="e">
        <f>(J33*J34/100*24*M30)/1000*(L37/100*J35/100*J41)</f>
        <v>#REF!</v>
      </c>
      <c r="N37" s="1331"/>
      <c r="O37" s="1321" t="s">
        <v>1058</v>
      </c>
      <c r="P37" s="1322" t="e">
        <f t="shared" si="6"/>
        <v>#REF!</v>
      </c>
      <c r="Q37" s="1322" t="e">
        <f t="shared" si="5"/>
        <v>#REF!</v>
      </c>
      <c r="AG37" s="1344"/>
      <c r="AH37" s="1344"/>
      <c r="AI37" s="1331"/>
      <c r="AP37" s="708"/>
      <c r="AQ37" s="1326"/>
      <c r="AR37" s="708"/>
      <c r="AS37" s="708"/>
      <c r="AT37" s="1129"/>
      <c r="AU37" s="1129"/>
      <c r="AV37" s="1129"/>
      <c r="AW37" s="1321" t="s">
        <v>1068</v>
      </c>
      <c r="AX37" s="1333"/>
      <c r="AY37" s="1322">
        <f>AY32-AY33*AY34/100*BA30*24/1000*AY35/1000000*AY36/100</f>
        <v>0.48866727145403538</v>
      </c>
      <c r="AZ37" s="1321">
        <f t="shared" si="4"/>
        <v>0.48866727145403538</v>
      </c>
      <c r="BA37" s="1345">
        <f>AY37</f>
        <v>0.48866727145403538</v>
      </c>
    </row>
    <row r="38" spans="2:53">
      <c r="I38" s="1321" t="s">
        <v>1059</v>
      </c>
      <c r="J38" s="1333" t="e">
        <f>E51</f>
        <v>#REF!</v>
      </c>
      <c r="K38" s="1333">
        <f>D51</f>
        <v>82.085673282578924</v>
      </c>
      <c r="L38" s="1321" t="e">
        <f t="shared" si="3"/>
        <v>#REF!</v>
      </c>
      <c r="M38" s="1330" t="e">
        <f>(J33*J34/100*24*M30)/1000*(L38/100*J36/1000000*J40*J42)</f>
        <v>#REF!</v>
      </c>
      <c r="N38" s="1331"/>
      <c r="O38" s="1321" t="s">
        <v>1060</v>
      </c>
      <c r="P38" s="1322" t="e">
        <f t="shared" si="6"/>
        <v>#REF!</v>
      </c>
      <c r="Q38" s="1322" t="e">
        <f t="shared" si="5"/>
        <v>#REF!</v>
      </c>
      <c r="AF38" s="1331"/>
      <c r="AG38" s="1344"/>
      <c r="AH38" s="1344"/>
      <c r="AI38" s="1331"/>
      <c r="AQ38" s="1326"/>
      <c r="AU38" s="1346"/>
      <c r="AW38" s="1331"/>
      <c r="AX38" s="1344"/>
      <c r="AY38" s="1344"/>
      <c r="AZ38" s="1331"/>
    </row>
    <row r="39" spans="2:53">
      <c r="B39" s="1304" t="s">
        <v>78</v>
      </c>
      <c r="C39" s="1311" t="s">
        <v>53</v>
      </c>
      <c r="D39" s="1336">
        <f>D12</f>
        <v>3980.5481482771197</v>
      </c>
      <c r="E39" s="1336" t="e">
        <f>'Comparacion (Sin BM)'!D27</f>
        <v>#REF!</v>
      </c>
      <c r="F39" s="1336" t="e">
        <f>+D39-E39</f>
        <v>#REF!</v>
      </c>
      <c r="G39" s="1328" t="e">
        <f>+F39/E39</f>
        <v>#REF!</v>
      </c>
      <c r="I39" s="1321"/>
      <c r="J39" s="1321"/>
      <c r="K39" s="1322"/>
      <c r="L39" s="1321"/>
      <c r="M39" s="1321"/>
      <c r="N39" s="1331"/>
      <c r="O39" s="1321" t="s">
        <v>1061</v>
      </c>
      <c r="P39" s="1322" t="e">
        <f t="shared" si="6"/>
        <v>#REF!</v>
      </c>
      <c r="Q39" s="1322"/>
      <c r="AG39" s="1129"/>
      <c r="AX39" s="1129"/>
    </row>
    <row r="40" spans="2:53">
      <c r="B40" s="1304" t="s">
        <v>79</v>
      </c>
      <c r="C40" s="1311" t="s">
        <v>75</v>
      </c>
      <c r="D40" s="1336">
        <f>D13</f>
        <v>132.68493827590399</v>
      </c>
      <c r="E40" s="1336" t="e">
        <f>'Comparacion (Sin BM)'!D28</f>
        <v>#REF!</v>
      </c>
      <c r="F40" s="1327" t="e">
        <f>+D40-E40</f>
        <v>#REF!</v>
      </c>
      <c r="G40" s="1328" t="e">
        <f>+F40/E40</f>
        <v>#REF!</v>
      </c>
      <c r="I40" s="1295" t="s">
        <v>244</v>
      </c>
      <c r="J40" s="1321">
        <f>J13</f>
        <v>2.899</v>
      </c>
      <c r="K40" s="1331"/>
      <c r="L40" s="1331"/>
      <c r="M40" s="1338"/>
      <c r="N40" s="1331"/>
      <c r="O40" s="1321"/>
      <c r="P40" s="1322"/>
      <c r="Q40" s="1333"/>
      <c r="AF40" s="1331"/>
      <c r="AG40" s="1129"/>
      <c r="AW40" s="1331"/>
      <c r="AX40" s="1129"/>
    </row>
    <row r="41" spans="2:53" ht="17.5">
      <c r="B41" s="1304" t="s">
        <v>80</v>
      </c>
      <c r="C41" s="1311" t="s">
        <v>81</v>
      </c>
      <c r="D41" s="1336">
        <f>D14</f>
        <v>8128.3803061107201</v>
      </c>
      <c r="E41" s="1336" t="e">
        <f>'Comparacion (Sin BM)'!D29</f>
        <v>#REF!</v>
      </c>
      <c r="F41" s="1336" t="e">
        <f>+D41-E41</f>
        <v>#REF!</v>
      </c>
      <c r="G41" s="1328" t="e">
        <f>+F41/E41</f>
        <v>#REF!</v>
      </c>
      <c r="I41" s="1296" t="s">
        <v>245</v>
      </c>
      <c r="J41" s="1321">
        <f>J14</f>
        <v>0.96199999999999997</v>
      </c>
      <c r="K41" s="1331"/>
      <c r="L41" s="1331"/>
      <c r="M41" s="1331"/>
      <c r="N41" s="1331"/>
      <c r="O41" s="1331"/>
      <c r="P41" s="1331"/>
      <c r="Q41" s="1331"/>
      <c r="R41" s="1340"/>
      <c r="S41" s="1341"/>
      <c r="AF41" s="1331"/>
      <c r="AG41" s="1129"/>
      <c r="AW41" s="1331"/>
      <c r="AX41" s="1129"/>
    </row>
    <row r="42" spans="2:53">
      <c r="B42" s="1304" t="s">
        <v>82</v>
      </c>
      <c r="C42" s="1311" t="s">
        <v>48</v>
      </c>
      <c r="D42" s="1327">
        <f>D15</f>
        <v>0</v>
      </c>
      <c r="E42" s="1327" t="e">
        <f>'Comparacion (Sin BM)'!D30</f>
        <v>#REF!</v>
      </c>
      <c r="F42" s="1327" t="e">
        <f>+D42-E42</f>
        <v>#REF!</v>
      </c>
      <c r="G42" s="1328" t="e">
        <f>+F42/E42</f>
        <v>#REF!</v>
      </c>
      <c r="I42" s="1296" t="s">
        <v>71</v>
      </c>
      <c r="J42" s="1321">
        <f>J15</f>
        <v>0.995</v>
      </c>
      <c r="K42" s="1331"/>
      <c r="L42" s="1331"/>
      <c r="M42" s="1331"/>
      <c r="N42" s="1331"/>
      <c r="O42" s="1331"/>
      <c r="P42" s="1331"/>
      <c r="Q42" s="1331"/>
      <c r="AG42" s="1129"/>
      <c r="AX42" s="1129"/>
    </row>
    <row r="43" spans="2:53">
      <c r="B43" s="1304" t="s">
        <v>85</v>
      </c>
      <c r="C43" s="1311" t="s">
        <v>48</v>
      </c>
      <c r="D43" s="1327">
        <f>D16</f>
        <v>0.68062526822697333</v>
      </c>
      <c r="E43" s="1327" t="e">
        <f>'Comparacion (Sin BM)'!D32</f>
        <v>#REF!</v>
      </c>
      <c r="F43" s="1327" t="e">
        <f>+D43-E43</f>
        <v>#REF!</v>
      </c>
      <c r="G43" s="1328" t="e">
        <f>+F43/E43</f>
        <v>#REF!</v>
      </c>
      <c r="AG43" s="1129"/>
      <c r="AX43" s="1129"/>
    </row>
    <row r="44" spans="2:53">
      <c r="B44" s="1304"/>
      <c r="C44" s="1311"/>
      <c r="D44" s="1336"/>
      <c r="E44" s="1336"/>
      <c r="F44" s="1327"/>
      <c r="G44" s="1328"/>
      <c r="AF44" s="1321" t="s">
        <v>1064</v>
      </c>
      <c r="AG44" s="1322">
        <f>E35</f>
        <v>22.933613081531071</v>
      </c>
      <c r="AW44" s="1321" t="s">
        <v>1064</v>
      </c>
      <c r="AX44" s="1322">
        <f>AX32</f>
        <v>0.49377313963876424</v>
      </c>
    </row>
    <row r="45" spans="2:53">
      <c r="B45" s="1304" t="s">
        <v>89</v>
      </c>
      <c r="C45" s="1311" t="s">
        <v>48</v>
      </c>
      <c r="D45" s="1334">
        <f>D18</f>
        <v>0.63704189198698991</v>
      </c>
      <c r="E45" s="1334" t="e">
        <f>'Comparacion (Sin BM)'!D34</f>
        <v>#REF!</v>
      </c>
      <c r="F45" s="1334" t="e">
        <f>+D45-E45</f>
        <v>#REF!</v>
      </c>
      <c r="G45" s="1328" t="e">
        <f>+F45/E45</f>
        <v>#REF!</v>
      </c>
      <c r="AF45" s="1321" t="s">
        <v>1051</v>
      </c>
      <c r="AG45" s="1322" t="e">
        <f>IF((AJ33+$AJ$45)&gt;0,AG44,AG44-AH45)</f>
        <v>#REF!</v>
      </c>
      <c r="AH45" s="1322" t="e">
        <f>IF((AJ33+$AJ$45)&gt;0,AJ33+$AJ$45,-(AJ33+$AJ$45))</f>
        <v>#REF!</v>
      </c>
      <c r="AJ45" s="273" t="e">
        <f>(AJ32-AI32)/2</f>
        <v>#REF!</v>
      </c>
      <c r="AW45" s="1321" t="s">
        <v>1051</v>
      </c>
      <c r="AX45" s="1322" t="e">
        <f>IF((BA33+$AJ$45)&gt;0,AX44,AX44-AY45)</f>
        <v>#REF!</v>
      </c>
      <c r="AY45" s="1322" t="e">
        <f>IF((BA33+$BA$45)&gt;0,BA33+$BA$45,-(BA33+$BA$45))</f>
        <v>#REF!</v>
      </c>
    </row>
    <row r="46" spans="2:53">
      <c r="B46" s="1304" t="s">
        <v>90</v>
      </c>
      <c r="C46" s="1311" t="s">
        <v>48</v>
      </c>
      <c r="D46" s="1327">
        <f>D19</f>
        <v>90.440219377357522</v>
      </c>
      <c r="E46" s="1327" t="e">
        <f>'Comparacion (Sin BM)'!D35</f>
        <v>#REF!</v>
      </c>
      <c r="F46" s="1327" t="e">
        <f>+D46-E46</f>
        <v>#REF!</v>
      </c>
      <c r="G46" s="1328" t="e">
        <f>+F46/E46</f>
        <v>#REF!</v>
      </c>
      <c r="AF46" s="1321" t="s">
        <v>1052</v>
      </c>
      <c r="AG46" s="1322" t="e">
        <f>IF((AJ33+$AJ$45)&gt;0,IF((AJ34+$AJ$45)&gt;0,AG45+AH45,AG45+AH45-AH46),IF((AJ34+$AJ$45)&gt;0,AG45,AG45-AH46))</f>
        <v>#REF!</v>
      </c>
      <c r="AH46" s="1322" t="e">
        <f>IF((AJ34+$AJ$45)&gt;0,AJ34+$AJ$45,-(AJ34+$AJ$45))</f>
        <v>#REF!</v>
      </c>
      <c r="AW46" s="1321" t="s">
        <v>1052</v>
      </c>
      <c r="AX46" s="1322" t="e">
        <f>IF((BA33+$AJ$45)&gt;0,IF((BA34+$AJ$45)&gt;0,AX45+AY45,AX45+AY45-AY46),IF((BA34+$AJ$45)&gt;0,AX45,AX45-AY46))</f>
        <v>#REF!</v>
      </c>
      <c r="AY46" s="1322" t="e">
        <f>IF((BA34+$BA$45)&gt;0,BA34+$BA$45,-(BA34+$BA$45))</f>
        <v>#REF!</v>
      </c>
    </row>
    <row r="47" spans="2:53">
      <c r="B47" s="1304" t="s">
        <v>92</v>
      </c>
      <c r="C47" s="1311" t="s">
        <v>53</v>
      </c>
      <c r="D47" s="1327">
        <f>D20</f>
        <v>78.045538606281255</v>
      </c>
      <c r="E47" s="1327" t="e">
        <f>'Comparacion (Sin BM)'!D36</f>
        <v>#REF!</v>
      </c>
      <c r="F47" s="1327" t="e">
        <f>+D47-E47</f>
        <v>#REF!</v>
      </c>
      <c r="G47" s="1328" t="e">
        <f>+F47/E47</f>
        <v>#REF!</v>
      </c>
      <c r="AF47" s="1321" t="s">
        <v>1053</v>
      </c>
      <c r="AG47" s="1322" t="e">
        <f>IF((AJ34+$AJ$45)&gt;0,IF((AJ35+$AJ$45)&gt;0,AG46+AH46,AG46+AH46-AH47),IF((AJ35+$AJ$45)&gt;0,AG46,AG46-AH47))</f>
        <v>#REF!</v>
      </c>
      <c r="AH47" s="1322" t="e">
        <f>IF((AJ35+$AJ$45)&gt;0,AJ35+$AJ$45,-(AJ35+$AJ$45))</f>
        <v>#REF!</v>
      </c>
      <c r="AW47" s="1321" t="s">
        <v>1069</v>
      </c>
      <c r="AX47" s="1322" t="e">
        <f>IF((BA34+$AJ$45)&gt;0,IF((BA35+$AJ$45)&gt;0,AX46+AY46,AX46+AY46-AY47),IF((BA35+$AJ$45)&gt;0,AX46,AX46-AY47))</f>
        <v>#REF!</v>
      </c>
      <c r="AY47" s="1322" t="e">
        <f>IF((BA35+$BA$45)&gt;0,BA35+$BA$45,-(BA35+$BA$45))</f>
        <v>#REF!</v>
      </c>
    </row>
    <row r="48" spans="2:53">
      <c r="B48" s="1304" t="s">
        <v>93</v>
      </c>
      <c r="C48" s="1311" t="s">
        <v>48</v>
      </c>
      <c r="D48" s="1327">
        <f>D21</f>
        <v>29.384912310266678</v>
      </c>
      <c r="E48" s="1327">
        <f>'Comparacion (Sin BM)'!D37</f>
        <v>26.777705251636434</v>
      </c>
      <c r="F48" s="1327">
        <f>+D48-E48</f>
        <v>2.6072070586302445</v>
      </c>
      <c r="G48" s="1328">
        <f>+F48/E48</f>
        <v>9.736484266032891E-2</v>
      </c>
      <c r="AF48" s="1321" t="s">
        <v>1058</v>
      </c>
      <c r="AG48" s="1322" t="e">
        <f>IF((AJ35+$AJ$45)&gt;0,IF((AJ36+$AJ$45)&gt;0,AG47+AH47,AG47+AH47-AH48),IF((AJ36+$AJ$45)&gt;0,AG47,AG47-AH48))</f>
        <v>#REF!</v>
      </c>
      <c r="AH48" s="1322" t="e">
        <f>IF((AJ36+$AJ$45)&gt;0,AJ36+$AJ$45,-(AJ36+$AJ$45))</f>
        <v>#REF!</v>
      </c>
      <c r="AW48" s="1321" t="s">
        <v>1060</v>
      </c>
      <c r="AX48" s="1322" t="e">
        <f>IF((BA35+$AJ$45)&gt;0,IF((BA36+$AJ$45)&gt;0,AX47+AY47,AX47+AY47-AY48),IF((BA36+$AJ$45)&gt;0,AX47,AX47-AY48))</f>
        <v>#REF!</v>
      </c>
      <c r="AY48" s="1322" t="e">
        <f>IF((BA36+$BA$45)&gt;0,BA36+$BA$45,-(BA36+$BA$45))</f>
        <v>#REF!</v>
      </c>
    </row>
    <row r="49" spans="2:51">
      <c r="B49" s="1304"/>
      <c r="C49" s="1311"/>
      <c r="D49" s="1336"/>
      <c r="E49" s="1336"/>
      <c r="F49" s="1327"/>
      <c r="G49" s="1328"/>
      <c r="AF49" s="1321" t="s">
        <v>1061</v>
      </c>
      <c r="AG49" s="1322" t="e">
        <f>IF((AJ36+$AJ$45)&gt;0,IF((AJ37+$AJ$45)&gt;0,AG48+AH48,AG48+AH48-AH49),IF((AJ37+$AJ$45)&gt;0,AG48,AG48-AH49))</f>
        <v>#REF!</v>
      </c>
      <c r="AW49" s="1321" t="s">
        <v>1068</v>
      </c>
      <c r="AX49" s="1322" t="e">
        <f>IF((BA36+$AJ$45)&gt;0,IF((BA37+$AJ$45)&gt;0,AX48+AY48,AX48+AY48-AY49),IF((BA37+$AJ$45)&gt;0,AX48,AX48-AY49))</f>
        <v>#REF!</v>
      </c>
      <c r="AY49" s="1322">
        <f>IF((BA37+$BA$45)&gt;0,BA37+$BA$45,-(BA37+$BA$45))</f>
        <v>0.48866727145403538</v>
      </c>
    </row>
    <row r="50" spans="2:51">
      <c r="B50" s="1304" t="s">
        <v>94</v>
      </c>
      <c r="C50" s="1311" t="s">
        <v>95</v>
      </c>
      <c r="D50" s="1336">
        <f>D23</f>
        <v>151.11835423943415</v>
      </c>
      <c r="E50" s="1336" t="e">
        <f>'Comparacion (Sin BM)'!D39</f>
        <v>#REF!</v>
      </c>
      <c r="F50" s="1327" t="e">
        <f>+D50-E50</f>
        <v>#REF!</v>
      </c>
      <c r="G50" s="1328" t="e">
        <f>+F50/E50</f>
        <v>#REF!</v>
      </c>
      <c r="AW50" s="1321" t="s">
        <v>1061</v>
      </c>
      <c r="AX50" s="1322" t="e">
        <f>IF((BA37+$AJ$45)&gt;0,IF((BA38+$AJ$45)&gt;0,AX49+AY49,AX49+AY49-AY50),IF((BA38+$AJ$45)&gt;0,AX49,AX49-AY50))</f>
        <v>#REF!</v>
      </c>
    </row>
    <row r="51" spans="2:51">
      <c r="B51" s="1304" t="s">
        <v>96</v>
      </c>
      <c r="C51" s="1311" t="s">
        <v>48</v>
      </c>
      <c r="D51" s="1327">
        <f>D24</f>
        <v>82.085673282578924</v>
      </c>
      <c r="E51" s="1327" t="e">
        <f>'Comparacion (Sin BM)'!D40</f>
        <v>#REF!</v>
      </c>
      <c r="F51" s="1327" t="e">
        <f>+D51-E51</f>
        <v>#REF!</v>
      </c>
      <c r="G51" s="1328" t="e">
        <f>+F51/E51</f>
        <v>#REF!</v>
      </c>
      <c r="I51" s="723"/>
    </row>
    <row r="52" spans="2:51">
      <c r="B52" s="1304" t="s">
        <v>97</v>
      </c>
      <c r="C52" s="1311" t="s">
        <v>48</v>
      </c>
      <c r="D52" s="1327">
        <f>D25</f>
        <v>92.833487014930043</v>
      </c>
      <c r="E52" s="1327" t="e">
        <f>'Comparacion (Sin BM)'!D41</f>
        <v>#REF!</v>
      </c>
      <c r="F52" s="1327" t="e">
        <f>+D52-E52</f>
        <v>#REF!</v>
      </c>
      <c r="G52" s="1328" t="e">
        <f>+F52/E52</f>
        <v>#REF!</v>
      </c>
    </row>
    <row r="53" spans="2:51">
      <c r="B53" s="1304" t="s">
        <v>98</v>
      </c>
      <c r="C53" s="1311" t="s">
        <v>48</v>
      </c>
      <c r="D53" s="1327">
        <f>D26</f>
        <v>88.422481931953499</v>
      </c>
      <c r="E53" s="1327" t="e">
        <f>'Comparacion (Sin BM)'!D42</f>
        <v>#REF!</v>
      </c>
      <c r="F53" s="1327" t="e">
        <f>+D53-E53</f>
        <v>#REF!</v>
      </c>
      <c r="G53" s="1328" t="e">
        <f>+F53/E53</f>
        <v>#REF!</v>
      </c>
    </row>
    <row r="54" spans="2:51">
      <c r="B54" s="1304"/>
      <c r="C54" s="1311"/>
      <c r="D54" s="1327"/>
      <c r="E54" s="1327"/>
      <c r="F54" s="1327"/>
      <c r="G54" s="1328"/>
    </row>
    <row r="55" spans="2:51">
      <c r="B55" s="1304"/>
      <c r="C55" s="1304"/>
      <c r="D55" s="1304"/>
      <c r="E55" s="1304"/>
    </row>
    <row r="56" spans="2:51" ht="20">
      <c r="B56" s="1310" t="s">
        <v>1070</v>
      </c>
      <c r="C56" s="1311"/>
      <c r="D56" s="1304"/>
      <c r="E56" s="1304"/>
      <c r="J56" s="1312"/>
      <c r="M56" s="273">
        <f>$M$1</f>
        <v>31</v>
      </c>
      <c r="R56" s="1313"/>
      <c r="S56" s="1314"/>
    </row>
    <row r="57" spans="2:51">
      <c r="B57" s="1310" t="s">
        <v>1045</v>
      </c>
      <c r="C57" s="1316">
        <f>C4</f>
        <v>46082.791666666664</v>
      </c>
      <c r="D57" s="1304"/>
      <c r="E57" s="1304"/>
      <c r="F57" s="4811" t="s">
        <v>43</v>
      </c>
      <c r="G57" s="4811"/>
      <c r="I57" s="1317"/>
      <c r="J57" s="1318" t="s">
        <v>446</v>
      </c>
      <c r="K57" s="1318" t="s">
        <v>57</v>
      </c>
      <c r="L57" s="1318" t="s">
        <v>1046</v>
      </c>
      <c r="M57" s="1319" t="s">
        <v>1047</v>
      </c>
      <c r="N57" s="1320"/>
      <c r="U57" s="1310" t="s">
        <v>1071</v>
      </c>
    </row>
    <row r="58" spans="2:51">
      <c r="B58" s="1304"/>
      <c r="C58" s="1311" t="s">
        <v>46</v>
      </c>
      <c r="D58" s="1311" t="s">
        <v>57</v>
      </c>
      <c r="E58" s="1311" t="s">
        <v>446</v>
      </c>
      <c r="F58" s="1311" t="s">
        <v>10</v>
      </c>
      <c r="G58" s="1311" t="s">
        <v>48</v>
      </c>
      <c r="I58" s="1321" t="s">
        <v>1048</v>
      </c>
      <c r="J58" s="1322" t="e">
        <f>E59</f>
        <v>#REF!</v>
      </c>
      <c r="K58" s="1322">
        <f>D59</f>
        <v>24.365061413343849</v>
      </c>
      <c r="L58" s="1321" t="e">
        <f t="shared" ref="L58:L64" si="7">K58-J58</f>
        <v>#REF!</v>
      </c>
      <c r="M58" s="1319" t="e">
        <f>SUM(M59:M65)</f>
        <v>#VALUE!</v>
      </c>
      <c r="N58" s="1324"/>
      <c r="O58" s="1321" t="s">
        <v>1072</v>
      </c>
      <c r="P58" s="1322" t="e">
        <f>J58</f>
        <v>#REF!</v>
      </c>
      <c r="Q58" s="1321"/>
    </row>
    <row r="59" spans="2:51">
      <c r="B59" s="1304" t="s">
        <v>1050</v>
      </c>
      <c r="C59" s="1311" t="s">
        <v>53</v>
      </c>
      <c r="D59" s="1327">
        <f>D6</f>
        <v>24.365061413343849</v>
      </c>
      <c r="E59" s="1327" t="e">
        <f>'Comparacion (Sin BM)'!K53</f>
        <v>#REF!</v>
      </c>
      <c r="F59" s="1327" t="e">
        <f>+D59-E59</f>
        <v>#REF!</v>
      </c>
      <c r="G59" s="1328" t="e">
        <f>+F59/E59</f>
        <v>#REF!</v>
      </c>
      <c r="I59" s="1321" t="s">
        <v>36</v>
      </c>
      <c r="J59" s="1329" t="str">
        <f>E66</f>
        <v xml:space="preserve"> </v>
      </c>
      <c r="K59" s="1329">
        <f>D66</f>
        <v>8128.3803061107201</v>
      </c>
      <c r="L59" s="1330" t="e">
        <f t="shared" si="7"/>
        <v>#VALUE!</v>
      </c>
      <c r="M59" s="1330" t="e">
        <f>(L59*K60/100*24*M56)/1000*(K63/100*K61/100*J67+K64/100*K62/1000000*J66*J68)</f>
        <v>#VALUE!</v>
      </c>
      <c r="N59" s="1331"/>
      <c r="O59" s="1321" t="s">
        <v>1051</v>
      </c>
      <c r="P59" s="1322" t="e">
        <f>IF((M59+$S$62)&gt;0,P58,P58-Q59)</f>
        <v>#VALUE!</v>
      </c>
      <c r="Q59" s="1322" t="e">
        <f t="shared" ref="Q59:Q64" si="8">IF((M59+$S$62)&gt;0,M59+$S$62,-(M59+$S$62))</f>
        <v>#VALUE!</v>
      </c>
    </row>
    <row r="60" spans="2:51">
      <c r="B60" s="1304" t="s">
        <v>62</v>
      </c>
      <c r="C60" s="1311" t="s">
        <v>53</v>
      </c>
      <c r="D60" s="1327">
        <f>D7</f>
        <v>21.245925024226782</v>
      </c>
      <c r="E60" s="1327" t="e">
        <f>'Comparacion (Sin BM)'!K57</f>
        <v>#REF!</v>
      </c>
      <c r="F60" s="1327" t="e">
        <f>+D60-E60</f>
        <v>#REF!</v>
      </c>
      <c r="G60" s="1328" t="e">
        <f>+F60/E60</f>
        <v>#REF!</v>
      </c>
      <c r="I60" s="1321" t="s">
        <v>41</v>
      </c>
      <c r="J60" s="1333" t="e">
        <f>E68</f>
        <v>#REF!</v>
      </c>
      <c r="K60" s="1333">
        <f>D68</f>
        <v>0.68062526822697333</v>
      </c>
      <c r="L60" s="1330" t="e">
        <f t="shared" si="7"/>
        <v>#REF!</v>
      </c>
      <c r="M60" s="1330" t="e">
        <f>(L60*J59/100*24*M56)/1000*(K63/100*K61/100*J67+(K64/100*K62/1000000*J66*J68))</f>
        <v>#REF!</v>
      </c>
      <c r="O60" s="1321" t="s">
        <v>1052</v>
      </c>
      <c r="P60" s="1322" t="e">
        <f t="shared" ref="P60:P65" si="9">IF((M59+$S$62)&gt;0,IF((M60+$S$62)&gt;0,P59+Q59,P59+Q59-Q60),IF((M60+$S$62)&gt;0,P59,P59-Q60))</f>
        <v>#VALUE!</v>
      </c>
      <c r="Q60" s="1322" t="e">
        <f t="shared" si="8"/>
        <v>#REF!</v>
      </c>
    </row>
    <row r="61" spans="2:51">
      <c r="B61" s="1304" t="s">
        <v>59</v>
      </c>
      <c r="C61" s="1311" t="s">
        <v>53</v>
      </c>
      <c r="D61" s="1327">
        <f>D8</f>
        <v>22.933613081531071</v>
      </c>
      <c r="E61" s="1327" t="e">
        <f>'Comparacion (Sin BM)'!K56</f>
        <v>#REF!</v>
      </c>
      <c r="F61" s="1327" t="e">
        <f>+D61-E61</f>
        <v>#REF!</v>
      </c>
      <c r="G61" s="1328" t="e">
        <f>+F61/E61</f>
        <v>#REF!</v>
      </c>
      <c r="I61" s="1321" t="s">
        <v>45</v>
      </c>
      <c r="J61" s="1322" t="e">
        <f>E70</f>
        <v>#REF!</v>
      </c>
      <c r="K61" s="1322">
        <f>D70</f>
        <v>0.63704189198698991</v>
      </c>
      <c r="L61" s="1321" t="e">
        <f t="shared" si="7"/>
        <v>#REF!</v>
      </c>
      <c r="M61" s="1330" t="e">
        <f>(J59*J60/100*24*M56)/1000*(K63/100*L61/100*J67)</f>
        <v>#VALUE!</v>
      </c>
      <c r="N61" s="1331"/>
      <c r="O61" s="1321" t="s">
        <v>1053</v>
      </c>
      <c r="P61" s="1322" t="e">
        <f t="shared" si="9"/>
        <v>#REF!</v>
      </c>
      <c r="Q61" s="1322" t="e">
        <f t="shared" si="8"/>
        <v>#VALUE!</v>
      </c>
    </row>
    <row r="62" spans="2:51">
      <c r="B62" s="1304" t="s">
        <v>66</v>
      </c>
      <c r="C62" s="1311" t="s">
        <v>53</v>
      </c>
      <c r="D62" s="1334">
        <f>D9</f>
        <v>0.49377313963876424</v>
      </c>
      <c r="E62" s="1334" t="e">
        <f>'Comparacion (Sin BM)'!K60</f>
        <v>#REF!</v>
      </c>
      <c r="F62" s="1334" t="e">
        <f>+D62-E62</f>
        <v>#REF!</v>
      </c>
      <c r="G62" s="1328" t="e">
        <f>+F62/E62</f>
        <v>#REF!</v>
      </c>
      <c r="I62" s="1321" t="s">
        <v>1054</v>
      </c>
      <c r="J62" s="1335" t="e">
        <f>E75</f>
        <v>#REF!</v>
      </c>
      <c r="K62" s="1335">
        <f>D75</f>
        <v>151.11835423943415</v>
      </c>
      <c r="L62" s="1321" t="e">
        <f t="shared" si="7"/>
        <v>#REF!</v>
      </c>
      <c r="M62" s="1330" t="e">
        <f>(J59*J60/100*24*M56)/1000*(K64/100*L62/1000000*J66*J68)</f>
        <v>#VALUE!</v>
      </c>
      <c r="N62" s="1331"/>
      <c r="O62" s="1321" t="s">
        <v>1055</v>
      </c>
      <c r="P62" s="1322" t="e">
        <f t="shared" si="9"/>
        <v>#VALUE!</v>
      </c>
      <c r="Q62" s="1322" t="e">
        <f t="shared" si="8"/>
        <v>#VALUE!</v>
      </c>
      <c r="S62" s="273" t="e">
        <f>(L58-M58)/7</f>
        <v>#REF!</v>
      </c>
    </row>
    <row r="63" spans="2:51">
      <c r="B63" s="1304"/>
      <c r="C63" s="1311"/>
      <c r="D63" s="1347"/>
      <c r="E63" s="1347"/>
      <c r="F63" s="1327"/>
      <c r="G63" s="1328"/>
      <c r="I63" s="1321" t="s">
        <v>51</v>
      </c>
      <c r="J63" s="1333" t="e">
        <f>E71</f>
        <v>#REF!</v>
      </c>
      <c r="K63" s="1333">
        <f>D71</f>
        <v>90.440219377357522</v>
      </c>
      <c r="L63" s="1321" t="e">
        <f t="shared" si="7"/>
        <v>#REF!</v>
      </c>
      <c r="M63" s="1330" t="e">
        <f>(J59*J60/100*24*M56)/1000*(L63/100*J61/100*J67)</f>
        <v>#VALUE!</v>
      </c>
      <c r="N63" s="1331"/>
      <c r="O63" s="1321" t="s">
        <v>1058</v>
      </c>
      <c r="P63" s="1322" t="e">
        <f t="shared" si="9"/>
        <v>#VALUE!</v>
      </c>
      <c r="Q63" s="1322" t="e">
        <f t="shared" si="8"/>
        <v>#VALUE!</v>
      </c>
    </row>
    <row r="64" spans="2:51">
      <c r="B64" s="1304" t="s">
        <v>78</v>
      </c>
      <c r="C64" s="1311" t="s">
        <v>53</v>
      </c>
      <c r="D64" s="1336">
        <f>D12</f>
        <v>3980.5481482771197</v>
      </c>
      <c r="E64" s="1336" t="e">
        <f>'Comparacion (Sin BM)'!K66</f>
        <v>#REF!</v>
      </c>
      <c r="F64" s="1336" t="e">
        <f>+D64-E64</f>
        <v>#REF!</v>
      </c>
      <c r="G64" s="1328" t="e">
        <f>+F64/E64</f>
        <v>#REF!</v>
      </c>
      <c r="I64" s="1321" t="s">
        <v>1059</v>
      </c>
      <c r="J64" s="1333" t="e">
        <f>E76</f>
        <v>#REF!</v>
      </c>
      <c r="K64" s="1333">
        <f>D76</f>
        <v>82.085673282578924</v>
      </c>
      <c r="L64" s="1321" t="e">
        <f t="shared" si="7"/>
        <v>#REF!</v>
      </c>
      <c r="M64" s="1330" t="e">
        <f>(J59*J60/100*24*M56)/1000*(L64/100*J62/1000000*J66*J68)</f>
        <v>#VALUE!</v>
      </c>
      <c r="N64" s="1331"/>
      <c r="O64" s="1321" t="s">
        <v>1060</v>
      </c>
      <c r="P64" s="1322" t="e">
        <f t="shared" si="9"/>
        <v>#VALUE!</v>
      </c>
      <c r="Q64" s="1322" t="e">
        <f t="shared" si="8"/>
        <v>#VALUE!</v>
      </c>
    </row>
    <row r="65" spans="2:19">
      <c r="B65" s="1304" t="s">
        <v>79</v>
      </c>
      <c r="C65" s="1311" t="s">
        <v>75</v>
      </c>
      <c r="D65" s="1336">
        <f>D13</f>
        <v>132.68493827590399</v>
      </c>
      <c r="E65" s="1336" t="e">
        <f>'Comparacion (Sin BM)'!K67</f>
        <v>#REF!</v>
      </c>
      <c r="F65" s="1327" t="e">
        <f>+D65-E65</f>
        <v>#REF!</v>
      </c>
      <c r="G65" s="1328" t="e">
        <f>+F65/E65</f>
        <v>#REF!</v>
      </c>
      <c r="I65" s="1321"/>
      <c r="J65" s="1321"/>
      <c r="K65" s="1322"/>
      <c r="L65" s="1321"/>
      <c r="M65" s="1321"/>
      <c r="N65" s="1331"/>
      <c r="O65" s="1321" t="s">
        <v>1061</v>
      </c>
      <c r="P65" s="1322" t="e">
        <f t="shared" si="9"/>
        <v>#VALUE!</v>
      </c>
      <c r="Q65" s="1322"/>
    </row>
    <row r="66" spans="2:19">
      <c r="B66" s="1304" t="s">
        <v>80</v>
      </c>
      <c r="C66" s="1311" t="s">
        <v>81</v>
      </c>
      <c r="D66" s="1336">
        <f>D14</f>
        <v>8128.3803061107201</v>
      </c>
      <c r="E66" s="1336" t="str">
        <f>'Comparacion (Sin BM)'!K68</f>
        <v xml:space="preserve"> </v>
      </c>
      <c r="F66" s="1336" t="e">
        <f>+D66-E66</f>
        <v>#VALUE!</v>
      </c>
      <c r="G66" s="1328" t="e">
        <f>+F66/E66</f>
        <v>#VALUE!</v>
      </c>
      <c r="I66" s="1295" t="s">
        <v>244</v>
      </c>
      <c r="J66" s="1321">
        <f>J13</f>
        <v>2.899</v>
      </c>
      <c r="K66" s="1331"/>
      <c r="L66" s="1331"/>
      <c r="M66" s="1338"/>
      <c r="N66" s="1331"/>
      <c r="O66" s="1321"/>
      <c r="P66" s="1322"/>
      <c r="Q66" s="1333"/>
    </row>
    <row r="67" spans="2:19" ht="17.5">
      <c r="B67" s="1304" t="s">
        <v>82</v>
      </c>
      <c r="C67" s="1311" t="s">
        <v>48</v>
      </c>
      <c r="D67" s="1327">
        <f>D15</f>
        <v>0</v>
      </c>
      <c r="E67" s="1327" t="e">
        <f>'Comparacion (Sin BM)'!K69</f>
        <v>#REF!</v>
      </c>
      <c r="F67" s="1327" t="e">
        <f>+D67-E67</f>
        <v>#REF!</v>
      </c>
      <c r="G67" s="1328" t="e">
        <f>+F67/E67</f>
        <v>#REF!</v>
      </c>
      <c r="I67" s="1296" t="s">
        <v>245</v>
      </c>
      <c r="J67" s="1321">
        <f>J14</f>
        <v>0.96199999999999997</v>
      </c>
      <c r="K67" s="1331"/>
      <c r="L67" s="1331"/>
      <c r="M67" s="1331"/>
      <c r="N67" s="1331"/>
      <c r="O67" s="1331"/>
      <c r="P67" s="1331"/>
      <c r="Q67" s="1331"/>
      <c r="R67" s="1340"/>
      <c r="S67" s="1341"/>
    </row>
    <row r="68" spans="2:19">
      <c r="B68" s="1304" t="s">
        <v>85</v>
      </c>
      <c r="C68" s="1311" t="s">
        <v>48</v>
      </c>
      <c r="D68" s="1327">
        <f>D16</f>
        <v>0.68062526822697333</v>
      </c>
      <c r="E68" s="1327" t="e">
        <f>'Comparacion (Sin BM)'!K70</f>
        <v>#REF!</v>
      </c>
      <c r="F68" s="1327" t="e">
        <f>+D68-E68</f>
        <v>#REF!</v>
      </c>
      <c r="G68" s="1328" t="e">
        <f>+F68/E68</f>
        <v>#REF!</v>
      </c>
      <c r="I68" s="1296" t="s">
        <v>71</v>
      </c>
      <c r="J68" s="1321">
        <f>J15</f>
        <v>0.995</v>
      </c>
      <c r="K68" s="1331"/>
      <c r="L68" s="1331"/>
      <c r="M68" s="1331"/>
      <c r="N68" s="1331"/>
      <c r="O68" s="1331"/>
      <c r="P68" s="1331"/>
      <c r="Q68" s="1331"/>
    </row>
    <row r="69" spans="2:19">
      <c r="B69" s="1304"/>
      <c r="C69" s="1311"/>
      <c r="D69" s="1336"/>
      <c r="E69" s="1336"/>
      <c r="F69" s="1327"/>
      <c r="G69" s="1328"/>
    </row>
    <row r="70" spans="2:19">
      <c r="B70" s="1304" t="s">
        <v>89</v>
      </c>
      <c r="C70" s="1311" t="s">
        <v>48</v>
      </c>
      <c r="D70" s="1334">
        <f>D18</f>
        <v>0.63704189198698991</v>
      </c>
      <c r="E70" s="1334" t="e">
        <f>'Comparacion (Sin BM)'!K72</f>
        <v>#REF!</v>
      </c>
      <c r="F70" s="1334" t="e">
        <f>+D70-E70</f>
        <v>#REF!</v>
      </c>
      <c r="G70" s="1328" t="e">
        <f>+F70/E70</f>
        <v>#REF!</v>
      </c>
    </row>
    <row r="71" spans="2:19">
      <c r="B71" s="1304" t="s">
        <v>90</v>
      </c>
      <c r="C71" s="1311" t="s">
        <v>48</v>
      </c>
      <c r="D71" s="1327">
        <f>D19</f>
        <v>90.440219377357522</v>
      </c>
      <c r="E71" s="1327" t="e">
        <f>'Comparacion (Sin BM)'!K73</f>
        <v>#REF!</v>
      </c>
      <c r="F71" s="1327" t="e">
        <f>+D71-E71</f>
        <v>#REF!</v>
      </c>
      <c r="G71" s="1328" t="e">
        <f>+F71/E71</f>
        <v>#REF!</v>
      </c>
    </row>
    <row r="72" spans="2:19">
      <c r="B72" s="1304" t="s">
        <v>92</v>
      </c>
      <c r="C72" s="1311" t="s">
        <v>53</v>
      </c>
      <c r="D72" s="1327">
        <f>D20</f>
        <v>78.045538606281255</v>
      </c>
      <c r="E72" s="1327" t="e">
        <f>'Comparacion (Sin BM)'!K74</f>
        <v>#REF!</v>
      </c>
      <c r="F72" s="1327" t="e">
        <f>+D72-E72</f>
        <v>#REF!</v>
      </c>
      <c r="G72" s="1328" t="e">
        <f>+F72/E72</f>
        <v>#REF!</v>
      </c>
    </row>
    <row r="73" spans="2:19">
      <c r="B73" s="1304" t="s">
        <v>93</v>
      </c>
      <c r="C73" s="1311" t="s">
        <v>48</v>
      </c>
      <c r="D73" s="1327">
        <f>D21</f>
        <v>29.384912310266678</v>
      </c>
      <c r="E73" s="1327" t="e">
        <f>'Comparacion (Sin BM)'!K75</f>
        <v>#REF!</v>
      </c>
      <c r="F73" s="1327" t="e">
        <f>+D73-E73</f>
        <v>#REF!</v>
      </c>
      <c r="G73" s="1328" t="e">
        <f>+F73/E73</f>
        <v>#REF!</v>
      </c>
    </row>
    <row r="74" spans="2:19">
      <c r="B74" s="1304"/>
      <c r="C74" s="1311"/>
      <c r="D74" s="1336"/>
      <c r="E74" s="1336"/>
      <c r="F74" s="1327"/>
      <c r="G74" s="1328"/>
    </row>
    <row r="75" spans="2:19">
      <c r="B75" s="1304" t="s">
        <v>94</v>
      </c>
      <c r="C75" s="1311" t="s">
        <v>95</v>
      </c>
      <c r="D75" s="1336">
        <f>D23</f>
        <v>151.11835423943415</v>
      </c>
      <c r="E75" s="1336" t="e">
        <f>'Comparacion (Sin BM)'!K77</f>
        <v>#REF!</v>
      </c>
      <c r="F75" s="1327" t="e">
        <f>+D75-E75</f>
        <v>#REF!</v>
      </c>
      <c r="G75" s="1328" t="e">
        <f>+F75/E75</f>
        <v>#REF!</v>
      </c>
    </row>
    <row r="76" spans="2:19">
      <c r="B76" s="1304" t="s">
        <v>96</v>
      </c>
      <c r="C76" s="1311" t="s">
        <v>48</v>
      </c>
      <c r="D76" s="1327">
        <f>D24</f>
        <v>82.085673282578924</v>
      </c>
      <c r="E76" s="1327" t="e">
        <f>'Comparacion (Sin BM)'!K78</f>
        <v>#REF!</v>
      </c>
      <c r="F76" s="1327" t="e">
        <f>+D76-E76</f>
        <v>#REF!</v>
      </c>
      <c r="G76" s="1328" t="e">
        <f>+F76/E76</f>
        <v>#REF!</v>
      </c>
    </row>
    <row r="77" spans="2:19">
      <c r="B77" s="1304" t="s">
        <v>97</v>
      </c>
      <c r="C77" s="1311" t="s">
        <v>48</v>
      </c>
      <c r="D77" s="1327">
        <f>D25</f>
        <v>92.833487014930043</v>
      </c>
      <c r="E77" s="1327" t="e">
        <f>'Comparacion (Sin BM)'!K79</f>
        <v>#REF!</v>
      </c>
      <c r="F77" s="1327" t="e">
        <f>+D77-E77</f>
        <v>#REF!</v>
      </c>
      <c r="G77" s="1328" t="e">
        <f>+F77/E77</f>
        <v>#REF!</v>
      </c>
    </row>
    <row r="78" spans="2:19">
      <c r="B78" s="1304" t="s">
        <v>98</v>
      </c>
      <c r="C78" s="1311" t="s">
        <v>48</v>
      </c>
      <c r="D78" s="1327">
        <f>D26</f>
        <v>88.422481931953499</v>
      </c>
      <c r="E78" s="1327" t="e">
        <f>'Comparacion (Sin BM)'!K80</f>
        <v>#REF!</v>
      </c>
      <c r="F78" s="1327" t="e">
        <f>+D78-E78</f>
        <v>#REF!</v>
      </c>
      <c r="G78" s="1328" t="e">
        <f>+F78/E78</f>
        <v>#REF!</v>
      </c>
    </row>
    <row r="79" spans="2:19">
      <c r="B79" s="1304"/>
      <c r="C79" s="1304"/>
      <c r="D79" s="1304"/>
      <c r="E79" s="1304"/>
    </row>
    <row r="80" spans="2:19">
      <c r="B80" s="1304"/>
      <c r="C80" s="1304"/>
      <c r="D80" s="1304"/>
      <c r="E80" s="1304"/>
    </row>
    <row r="81" spans="2:21">
      <c r="B81" s="1304"/>
      <c r="C81" s="1304"/>
      <c r="D81" s="1304"/>
      <c r="E81" s="1304"/>
    </row>
    <row r="82" spans="2:21">
      <c r="B82" s="1304"/>
      <c r="C82" s="1304"/>
      <c r="D82" s="1304"/>
      <c r="E82" s="1304"/>
    </row>
    <row r="83" spans="2:21" ht="20">
      <c r="B83" s="1310" t="s">
        <v>1073</v>
      </c>
      <c r="C83" s="1311"/>
      <c r="D83" s="1304"/>
      <c r="E83" s="1304"/>
      <c r="J83" s="1312"/>
      <c r="M83" s="273">
        <f>$O$1</f>
        <v>90</v>
      </c>
      <c r="R83" s="1313"/>
      <c r="S83" s="1314"/>
    </row>
    <row r="84" spans="2:21">
      <c r="B84" s="1310" t="s">
        <v>1074</v>
      </c>
      <c r="C84" s="1316">
        <f>C4</f>
        <v>46082.791666666664</v>
      </c>
      <c r="D84" s="1304"/>
      <c r="E84" s="1304"/>
      <c r="F84" s="4811" t="s">
        <v>43</v>
      </c>
      <c r="G84" s="4811"/>
      <c r="I84" s="1317"/>
      <c r="J84" s="1318" t="s">
        <v>288</v>
      </c>
      <c r="K84" s="1318" t="s">
        <v>57</v>
      </c>
      <c r="L84" s="1318" t="s">
        <v>1046</v>
      </c>
      <c r="M84" s="1319" t="s">
        <v>1047</v>
      </c>
      <c r="N84" s="1320"/>
      <c r="U84" s="1310" t="s">
        <v>1075</v>
      </c>
    </row>
    <row r="85" spans="2:21">
      <c r="B85" s="1304"/>
      <c r="C85" s="1311" t="s">
        <v>46</v>
      </c>
      <c r="D85" s="1311" t="s">
        <v>57</v>
      </c>
      <c r="E85" s="1311" t="s">
        <v>288</v>
      </c>
      <c r="F85" s="1311" t="s">
        <v>10</v>
      </c>
      <c r="G85" s="1311" t="s">
        <v>48</v>
      </c>
      <c r="I85" s="1321" t="s">
        <v>1048</v>
      </c>
      <c r="J85" s="1322">
        <f>E86</f>
        <v>78.402771219563206</v>
      </c>
      <c r="K85" s="1322">
        <f>D86</f>
        <v>75.921116288304688</v>
      </c>
      <c r="L85" s="1321">
        <f t="shared" ref="L85:L91" si="10">K85-J85</f>
        <v>-2.4816549312585181</v>
      </c>
      <c r="M85" s="1319">
        <f>SUM(M86:M92)</f>
        <v>-2.5038842195735551</v>
      </c>
      <c r="N85" s="1324"/>
      <c r="O85" s="1321" t="s">
        <v>1064</v>
      </c>
      <c r="P85" s="1322">
        <f>J85</f>
        <v>78.402771219563206</v>
      </c>
      <c r="Q85" s="1321"/>
    </row>
    <row r="86" spans="2:21">
      <c r="B86" s="1304" t="s">
        <v>1050</v>
      </c>
      <c r="C86" s="1311" t="s">
        <v>53</v>
      </c>
      <c r="D86" s="1327">
        <f>'R+RP+B'!U8</f>
        <v>75.921116288304688</v>
      </c>
      <c r="E86" s="1327">
        <f>BDGT!T7+E90*Factores!$D$9</f>
        <v>78.402771219563206</v>
      </c>
      <c r="F86" s="1327">
        <f>+D86-E86</f>
        <v>-2.4816549312585181</v>
      </c>
      <c r="G86" s="1328">
        <f>+F86/E86</f>
        <v>-3.1652643046363275E-2</v>
      </c>
      <c r="I86" s="1321" t="s">
        <v>36</v>
      </c>
      <c r="J86" s="1329">
        <f>E94</f>
        <v>8151.9777351096309</v>
      </c>
      <c r="K86" s="1329">
        <f>D94</f>
        <v>8426.8957127773465</v>
      </c>
      <c r="L86" s="1330">
        <f t="shared" si="10"/>
        <v>274.9179776677156</v>
      </c>
      <c r="M86" s="1330">
        <f>(L86*K87/100*24*M83)/1000*(K90/100*K88/100*J94+K91/100*K89/1000000*J93*J95)</f>
        <v>2.3907414721556748</v>
      </c>
      <c r="N86" s="1331"/>
      <c r="O86" s="1321" t="s">
        <v>1051</v>
      </c>
      <c r="P86" s="1322">
        <f>IF((M86+$S$89)&gt;0,P85,P85-Q86)</f>
        <v>78.402771219563206</v>
      </c>
      <c r="Q86" s="1322">
        <f t="shared" ref="Q86:Q91" si="11">IF((M86+$S$89)&gt;0,M86+$S$89,-(M86+$S$89))</f>
        <v>2.3939170847721085</v>
      </c>
    </row>
    <row r="87" spans="2:21">
      <c r="B87" s="1304" t="s">
        <v>62</v>
      </c>
      <c r="C87" s="1311" t="s">
        <v>53</v>
      </c>
      <c r="D87" s="1327">
        <f>'R+RP+B'!U11</f>
        <v>66.124566055788577</v>
      </c>
      <c r="E87" s="1327">
        <f>BDGT!T8*BDGT!C67</f>
        <v>66.256986181080435</v>
      </c>
      <c r="F87" s="1327">
        <f>+D87-E87</f>
        <v>-0.13242012529185843</v>
      </c>
      <c r="G87" s="1328">
        <f>+F87/E87</f>
        <v>-1.9985835898112545E-3</v>
      </c>
      <c r="I87" s="1321" t="s">
        <v>41</v>
      </c>
      <c r="J87" s="1333">
        <f>E96</f>
        <v>86.325799784486634</v>
      </c>
      <c r="K87" s="1333">
        <f>D96</f>
        <v>82.043160787650493</v>
      </c>
      <c r="L87" s="1330">
        <f t="shared" si="10"/>
        <v>-4.2826389968361411</v>
      </c>
      <c r="M87" s="1330">
        <f>(L87*J86/100*24*M83)/1000*(K90/100*K88/100*J94+(K91/100*K89/1000000*J93*J95))</f>
        <v>-3.7005096689287589</v>
      </c>
      <c r="O87" s="1321" t="s">
        <v>1052</v>
      </c>
      <c r="P87" s="1322">
        <f t="shared" ref="P87:P92" si="12">IF((M86+$S$89)&gt;0,IF((M87+$S$89)&gt;0,P86+Q86,P86+Q86-Q87),IF((M87+$S$89)&gt;0,P86,P86-Q87))</f>
        <v>77.099354248022991</v>
      </c>
      <c r="Q87" s="1322">
        <f t="shared" si="11"/>
        <v>3.6973340563123251</v>
      </c>
    </row>
    <row r="88" spans="2:21">
      <c r="B88" s="1304" t="s">
        <v>59</v>
      </c>
      <c r="C88" s="1311" t="s">
        <v>53</v>
      </c>
      <c r="D88" s="1327">
        <f>'R+RP+B'!U10</f>
        <v>69.24782651706704</v>
      </c>
      <c r="E88" s="1327">
        <f>BDGT!T8</f>
        <v>68.58901260981412</v>
      </c>
      <c r="F88" s="1327">
        <f>+D88-E88</f>
        <v>0.65881390725292022</v>
      </c>
      <c r="G88" s="1328">
        <f>+F88/E88</f>
        <v>9.6052397050931347E-3</v>
      </c>
      <c r="I88" s="1321" t="s">
        <v>45</v>
      </c>
      <c r="J88" s="1322">
        <f>E98</f>
        <v>0.52083855986685346</v>
      </c>
      <c r="K88" s="1322">
        <f>D98</f>
        <v>0.51253836495611338</v>
      </c>
      <c r="L88" s="1321">
        <f t="shared" si="10"/>
        <v>-8.3001949107400774E-3</v>
      </c>
      <c r="M88" s="1330">
        <f>(J86*J87/100*24*M83)/1000*(K90/100*L88/100*J94)</f>
        <v>-1.0984809007417706</v>
      </c>
      <c r="N88" s="1331"/>
      <c r="O88" s="1321" t="s">
        <v>1053</v>
      </c>
      <c r="P88" s="1322">
        <f t="shared" si="12"/>
        <v>76.004048959897659</v>
      </c>
      <c r="Q88" s="1322">
        <f t="shared" si="11"/>
        <v>1.0953052881253367</v>
      </c>
    </row>
    <row r="89" spans="2:21">
      <c r="B89" s="1304" t="s">
        <v>66</v>
      </c>
      <c r="C89" s="1311" t="s">
        <v>53</v>
      </c>
      <c r="D89" s="1327">
        <f>'R+RP+B'!U12</f>
        <v>2.3019281722102938</v>
      </c>
      <c r="E89" s="1327">
        <f>BDGT!T9</f>
        <v>2.5089172333808136</v>
      </c>
      <c r="F89" s="1348">
        <f>+D89-E89</f>
        <v>-0.20698906117051985</v>
      </c>
      <c r="G89" s="1328">
        <f>+F89/E89</f>
        <v>-8.2501350947953814E-2</v>
      </c>
      <c r="I89" s="1321" t="s">
        <v>1054</v>
      </c>
      <c r="J89" s="1335">
        <f>E103</f>
        <v>197.52627780568733</v>
      </c>
      <c r="K89" s="1335">
        <f>D103</f>
        <v>192.66735748300661</v>
      </c>
      <c r="L89" s="1321">
        <f t="shared" si="10"/>
        <v>-4.8589203226807172</v>
      </c>
      <c r="M89" s="1330">
        <f>(J86*J87/100*24*M83)/1000*(K91/100*L89/1000000*J93*J95)</f>
        <v>-0.17049099174675553</v>
      </c>
      <c r="N89" s="1331"/>
      <c r="O89" s="1321" t="s">
        <v>1055</v>
      </c>
      <c r="P89" s="1322">
        <f t="shared" si="12"/>
        <v>75.836733580767344</v>
      </c>
      <c r="Q89" s="1322">
        <f t="shared" si="11"/>
        <v>0.16731537913032166</v>
      </c>
      <c r="S89" s="273">
        <f>(L85-M85)/7</f>
        <v>3.1756126164338588E-3</v>
      </c>
    </row>
    <row r="90" spans="2:21">
      <c r="B90" s="1304" t="s">
        <v>1056</v>
      </c>
      <c r="C90" s="1311" t="s">
        <v>1057</v>
      </c>
      <c r="D90" s="1327">
        <f>'R+RP+B'!U13</f>
        <v>2.1888169452353146</v>
      </c>
      <c r="E90" s="1327">
        <f>BDGT!T10*Factores!$D$8</f>
        <v>2.4838907839778406</v>
      </c>
      <c r="F90" s="1348">
        <f>+D90-E90</f>
        <v>-0.29507383874252602</v>
      </c>
      <c r="G90" s="1328">
        <f>+F90/E90</f>
        <v>-0.11879501330971501</v>
      </c>
      <c r="I90" s="1321" t="s">
        <v>51</v>
      </c>
      <c r="J90" s="1333">
        <f>E99</f>
        <v>89.998004776086447</v>
      </c>
      <c r="K90" s="1333">
        <f>D99</f>
        <v>90.504839111115729</v>
      </c>
      <c r="L90" s="1321">
        <f t="shared" si="10"/>
        <v>0.5068343350292821</v>
      </c>
      <c r="M90" s="1330">
        <f>(J86*J87/100*24*M83)/1000*(L90/100*J88/100*J94)</f>
        <v>0.38601268469130895</v>
      </c>
      <c r="N90" s="1331"/>
      <c r="O90" s="1321" t="s">
        <v>1058</v>
      </c>
      <c r="P90" s="1322">
        <f t="shared" si="12"/>
        <v>75.836733580767344</v>
      </c>
      <c r="Q90" s="1322">
        <f t="shared" si="11"/>
        <v>0.38918829730774279</v>
      </c>
    </row>
    <row r="91" spans="2:21">
      <c r="I91" s="1321" t="s">
        <v>1059</v>
      </c>
      <c r="J91" s="1333">
        <f>E104</f>
        <v>83.619091451728735</v>
      </c>
      <c r="K91" s="1333">
        <f>D104</f>
        <v>80.026351406553701</v>
      </c>
      <c r="L91" s="1321">
        <f t="shared" si="10"/>
        <v>-3.5927400451750344</v>
      </c>
      <c r="M91" s="1330">
        <f>(J86*J87/100*24*M83)/1000*(L91/100*J89/1000000*J93*J95)</f>
        <v>-0.31115681500325415</v>
      </c>
      <c r="N91" s="1331"/>
      <c r="O91" s="1321" t="s">
        <v>1060</v>
      </c>
      <c r="P91" s="1322">
        <f t="shared" si="12"/>
        <v>75.917940675688257</v>
      </c>
      <c r="Q91" s="1322">
        <f t="shared" si="11"/>
        <v>0.30798120238682031</v>
      </c>
    </row>
    <row r="92" spans="2:21">
      <c r="B92" s="1304" t="s">
        <v>78</v>
      </c>
      <c r="C92" s="1311" t="s">
        <v>53</v>
      </c>
      <c r="D92" s="1336">
        <f>'R+RP+B'!U15</f>
        <v>14929.683820629605</v>
      </c>
      <c r="E92" s="1336">
        <f>BDGT!T12</f>
        <v>15189.938313137327</v>
      </c>
      <c r="F92" s="1336">
        <f>+D92-E92</f>
        <v>-260.25449250772181</v>
      </c>
      <c r="G92" s="1328">
        <f>+F92/E92</f>
        <v>-1.7133347558273847E-2</v>
      </c>
      <c r="I92" s="1321"/>
      <c r="J92" s="1321"/>
      <c r="K92" s="1322"/>
      <c r="L92" s="1321"/>
      <c r="M92" s="1321"/>
      <c r="N92" s="1331"/>
      <c r="O92" s="1321" t="s">
        <v>1061</v>
      </c>
      <c r="P92" s="1322">
        <f t="shared" si="12"/>
        <v>75.917940675688257</v>
      </c>
      <c r="Q92" s="1322"/>
    </row>
    <row r="93" spans="2:21">
      <c r="B93" s="1304" t="s">
        <v>79</v>
      </c>
      <c r="C93" s="1311" t="s">
        <v>75</v>
      </c>
      <c r="D93" s="1336">
        <f>'R+RP+B'!U16</f>
        <v>165.8853757847734</v>
      </c>
      <c r="E93" s="1336">
        <f>BDGT!T13</f>
        <v>168.77709236819251</v>
      </c>
      <c r="F93" s="1327">
        <f>+D93-E93</f>
        <v>-2.891716583419111</v>
      </c>
      <c r="G93" s="1328">
        <f>+F93/E93</f>
        <v>-1.7133347558273729E-2</v>
      </c>
      <c r="I93" s="1295" t="s">
        <v>244</v>
      </c>
      <c r="J93" s="1321">
        <f>J13</f>
        <v>2.899</v>
      </c>
      <c r="K93" s="1331"/>
      <c r="L93" s="1331"/>
      <c r="M93" s="1338"/>
      <c r="N93" s="1331"/>
      <c r="O93" s="1321"/>
      <c r="P93" s="1322"/>
      <c r="Q93" s="1333"/>
    </row>
    <row r="94" spans="2:21" ht="17.5">
      <c r="B94" s="1304" t="s">
        <v>80</v>
      </c>
      <c r="C94" s="1311" t="s">
        <v>81</v>
      </c>
      <c r="D94" s="1336">
        <f>'R+RP+B'!U17</f>
        <v>8426.8957127773465</v>
      </c>
      <c r="E94" s="1336">
        <f>BDGT!T14</f>
        <v>8151.9777351096309</v>
      </c>
      <c r="F94" s="1336">
        <f>+D94-E94</f>
        <v>274.9179776677156</v>
      </c>
      <c r="G94" s="1328">
        <f>+F94/E94</f>
        <v>3.3724083480217992E-2</v>
      </c>
      <c r="I94" s="1296" t="s">
        <v>245</v>
      </c>
      <c r="J94" s="1321">
        <f>J14</f>
        <v>0.96199999999999997</v>
      </c>
      <c r="K94" s="1331"/>
      <c r="L94" s="1331"/>
      <c r="M94" s="1331"/>
      <c r="N94" s="1331"/>
      <c r="O94" s="1331"/>
      <c r="P94" s="1331"/>
      <c r="Q94" s="1331"/>
      <c r="R94" s="1340"/>
      <c r="S94" s="1341"/>
    </row>
    <row r="95" spans="2:21">
      <c r="B95" s="1304" t="s">
        <v>82</v>
      </c>
      <c r="C95" s="1311" t="s">
        <v>48</v>
      </c>
      <c r="D95" s="1327">
        <f>'R+RP+B'!U18</f>
        <v>0</v>
      </c>
      <c r="E95" s="1327">
        <f>BDGT!T17</f>
        <v>0</v>
      </c>
      <c r="F95" s="1327">
        <f>+D95-E95</f>
        <v>0</v>
      </c>
      <c r="G95" s="1328" t="e">
        <f>+F95/E95</f>
        <v>#DIV/0!</v>
      </c>
      <c r="I95" s="1296" t="s">
        <v>71</v>
      </c>
      <c r="J95" s="1321">
        <f>J15</f>
        <v>0.995</v>
      </c>
      <c r="K95" s="1331"/>
      <c r="L95" s="1331"/>
      <c r="M95" s="1331"/>
      <c r="N95" s="1331"/>
      <c r="O95" s="1331"/>
      <c r="P95" s="1331"/>
      <c r="Q95" s="1331"/>
    </row>
    <row r="96" spans="2:21">
      <c r="B96" s="1304" t="s">
        <v>85</v>
      </c>
      <c r="C96" s="1311" t="s">
        <v>48</v>
      </c>
      <c r="D96" s="1327">
        <f>'R+RP+B'!U21</f>
        <v>82.043160787650493</v>
      </c>
      <c r="E96" s="1327">
        <f>BDGT!T20</f>
        <v>86.325799784486634</v>
      </c>
      <c r="F96" s="1327">
        <f>+D96-E96</f>
        <v>-4.2826389968361411</v>
      </c>
      <c r="G96" s="1328">
        <f>+F96/E96</f>
        <v>-4.9610186149769815E-2</v>
      </c>
    </row>
    <row r="97" spans="2:21">
      <c r="B97" s="1304"/>
      <c r="C97" s="1311"/>
      <c r="D97" s="1336"/>
      <c r="E97" s="1336"/>
      <c r="F97" s="1327"/>
      <c r="G97" s="1328"/>
    </row>
    <row r="98" spans="2:21">
      <c r="B98" s="1304" t="s">
        <v>89</v>
      </c>
      <c r="C98" s="1311" t="s">
        <v>48</v>
      </c>
      <c r="D98" s="1334">
        <f>'R+RP+B'!U29</f>
        <v>0.51253836495611338</v>
      </c>
      <c r="E98" s="1334">
        <f>BDGT!T29</f>
        <v>0.52083855986685346</v>
      </c>
      <c r="F98" s="1334">
        <f>+D98-E98</f>
        <v>-8.3001949107400774E-3</v>
      </c>
      <c r="G98" s="1328">
        <f>+F98/E98</f>
        <v>-1.5936214309597064E-2</v>
      </c>
    </row>
    <row r="99" spans="2:21">
      <c r="B99" s="1304" t="s">
        <v>90</v>
      </c>
      <c r="C99" s="1311" t="s">
        <v>48</v>
      </c>
      <c r="D99" s="1327">
        <f>'R+RP+B'!U30</f>
        <v>90.504839111115729</v>
      </c>
      <c r="E99" s="1327">
        <f>BDGT!T30</f>
        <v>89.998004776086447</v>
      </c>
      <c r="F99" s="1327">
        <f>+D99-E99</f>
        <v>0.5068343350292821</v>
      </c>
      <c r="G99" s="1328">
        <f>+F99/E99</f>
        <v>5.6316174596345503E-3</v>
      </c>
    </row>
    <row r="100" spans="2:21">
      <c r="B100" s="1304" t="s">
        <v>92</v>
      </c>
      <c r="C100" s="1311" t="s">
        <v>53</v>
      </c>
      <c r="D100" s="1327">
        <f>'R+RP+B'!U31</f>
        <v>259.00300763005976</v>
      </c>
      <c r="E100" s="1327">
        <f>BDGT!T32</f>
        <v>254.52677203830268</v>
      </c>
      <c r="F100" s="1327">
        <f>+D100-E100</f>
        <v>4.4762355917570744</v>
      </c>
      <c r="G100" s="1328">
        <f>+F100/E100</f>
        <v>1.7586502024562918E-2</v>
      </c>
    </row>
    <row r="101" spans="2:21">
      <c r="B101" s="1304" t="s">
        <v>93</v>
      </c>
      <c r="C101" s="1311" t="s">
        <v>48</v>
      </c>
      <c r="D101" s="1327">
        <f>'R+RP+B'!U32</f>
        <v>26.736302080312278</v>
      </c>
      <c r="E101" s="1327">
        <f>BDGT!T33</f>
        <v>27.974256407925751</v>
      </c>
      <c r="F101" s="1327">
        <f>+D101-E101</f>
        <v>-1.2379543276134726</v>
      </c>
      <c r="G101" s="1328">
        <f>+F101/E101</f>
        <v>-4.4253341699646807E-2</v>
      </c>
    </row>
    <row r="102" spans="2:21">
      <c r="B102" s="1304"/>
      <c r="C102" s="1311"/>
      <c r="D102" s="1336"/>
      <c r="E102" s="1336"/>
      <c r="F102" s="1327"/>
      <c r="G102" s="1328"/>
    </row>
    <row r="103" spans="2:21">
      <c r="B103" s="1304" t="s">
        <v>94</v>
      </c>
      <c r="C103" s="1311" t="s">
        <v>95</v>
      </c>
      <c r="D103" s="1336">
        <f>'R+RP+B'!U34</f>
        <v>192.66735748300661</v>
      </c>
      <c r="E103" s="1336">
        <f>BDGT!T35</f>
        <v>197.52627780568733</v>
      </c>
      <c r="F103" s="1327">
        <f>+D103-E103</f>
        <v>-4.8589203226807172</v>
      </c>
      <c r="G103" s="1328">
        <f>+F103/E103</f>
        <v>-2.4598855284766651E-2</v>
      </c>
    </row>
    <row r="104" spans="2:21">
      <c r="B104" s="1304" t="s">
        <v>96</v>
      </c>
      <c r="C104" s="1311" t="s">
        <v>48</v>
      </c>
      <c r="D104" s="1327">
        <f>'R+RP+B'!U35</f>
        <v>80.026351406553701</v>
      </c>
      <c r="E104" s="1327">
        <f>BDGT!T36</f>
        <v>83.619091451728735</v>
      </c>
      <c r="F104" s="1327">
        <f>+D104-E104</f>
        <v>-3.5927400451750344</v>
      </c>
      <c r="G104" s="1328">
        <f>+F104/E104</f>
        <v>-4.2965547494007821E-2</v>
      </c>
    </row>
    <row r="105" spans="2:21">
      <c r="B105" s="1304" t="s">
        <v>97</v>
      </c>
      <c r="C105" s="1311" t="s">
        <v>48</v>
      </c>
      <c r="D105" s="1327">
        <f>'R+RP+B'!U36</f>
        <v>90.314190671165463</v>
      </c>
      <c r="E105" s="1327">
        <f>BDGT!T37</f>
        <v>93.662072089683008</v>
      </c>
      <c r="F105" s="1327">
        <f>+D105-E105</f>
        <v>-3.3478814185175452</v>
      </c>
      <c r="G105" s="1328">
        <f>+F105/E105</f>
        <v>-3.5744259590070701E-2</v>
      </c>
    </row>
    <row r="106" spans="2:21">
      <c r="B106" s="1304" t="s">
        <v>98</v>
      </c>
      <c r="C106" s="1311" t="s">
        <v>48</v>
      </c>
      <c r="D106" s="1327">
        <f>'R+RP+B'!U37</f>
        <v>88.630655454756081</v>
      </c>
      <c r="E106" s="1327">
        <f>BDGT!T38</f>
        <v>89.277430646272748</v>
      </c>
      <c r="F106" s="1327">
        <f>+D106-E106</f>
        <v>-0.64677519151666729</v>
      </c>
      <c r="G106" s="1328">
        <f>+F106/E106</f>
        <v>-7.2445542712722497E-3</v>
      </c>
    </row>
    <row r="107" spans="2:21">
      <c r="B107" s="1304"/>
      <c r="C107" s="1304"/>
      <c r="D107" s="1304"/>
      <c r="E107" s="1304"/>
    </row>
    <row r="108" spans="2:21">
      <c r="B108" s="1304"/>
      <c r="C108" s="1304"/>
      <c r="D108" s="1304"/>
      <c r="E108" s="1304"/>
    </row>
    <row r="109" spans="2:21">
      <c r="B109" s="1304"/>
      <c r="C109" s="1304"/>
      <c r="D109" s="1304"/>
      <c r="E109" s="1304"/>
    </row>
    <row r="110" spans="2:21" ht="20">
      <c r="B110" s="1310" t="s">
        <v>1076</v>
      </c>
      <c r="C110" s="1311"/>
      <c r="D110" s="1304"/>
      <c r="E110" s="1304"/>
      <c r="J110" s="1312"/>
      <c r="M110" s="273">
        <f>$O$1</f>
        <v>90</v>
      </c>
      <c r="R110" s="1313"/>
      <c r="S110" s="1314"/>
    </row>
    <row r="111" spans="2:21">
      <c r="B111" s="1310" t="s">
        <v>1074</v>
      </c>
      <c r="C111" s="1316">
        <f>C4</f>
        <v>46082.791666666664</v>
      </c>
      <c r="D111" s="1304"/>
      <c r="E111" s="1304"/>
      <c r="F111" s="4811" t="s">
        <v>43</v>
      </c>
      <c r="G111" s="4811"/>
      <c r="I111" s="1317"/>
      <c r="J111" s="1318" t="s">
        <v>446</v>
      </c>
      <c r="K111" s="1318" t="s">
        <v>57</v>
      </c>
      <c r="L111" s="1318" t="s">
        <v>1046</v>
      </c>
      <c r="M111" s="1319" t="s">
        <v>1047</v>
      </c>
      <c r="N111" s="1320"/>
      <c r="U111" s="1310" t="s">
        <v>1077</v>
      </c>
    </row>
    <row r="112" spans="2:21">
      <c r="B112" s="1304"/>
      <c r="C112" s="1311" t="s">
        <v>46</v>
      </c>
      <c r="D112" s="1311" t="s">
        <v>57</v>
      </c>
      <c r="E112" s="1311" t="s">
        <v>446</v>
      </c>
      <c r="F112" s="1311" t="s">
        <v>10</v>
      </c>
      <c r="G112" s="1311" t="s">
        <v>48</v>
      </c>
      <c r="I112" s="1321" t="s">
        <v>1048</v>
      </c>
      <c r="J112" s="1322">
        <f>E113</f>
        <v>0</v>
      </c>
      <c r="K112" s="1322">
        <f>D113</f>
        <v>75.921116288304688</v>
      </c>
      <c r="L112" s="1321">
        <f t="shared" ref="L112:L118" si="13">K112-J112</f>
        <v>75.921116288304688</v>
      </c>
      <c r="M112" s="1319">
        <f>SUM(M113:M119)</f>
        <v>-8.4372863477837203</v>
      </c>
      <c r="N112" s="1324"/>
      <c r="O112" s="1321" t="s">
        <v>1072</v>
      </c>
      <c r="P112" s="1322">
        <f>J112</f>
        <v>0</v>
      </c>
      <c r="Q112" s="1321"/>
    </row>
    <row r="113" spans="2:19">
      <c r="B113" s="1304" t="s">
        <v>1050</v>
      </c>
      <c r="C113" s="1311" t="s">
        <v>53</v>
      </c>
      <c r="D113" s="1327">
        <f>D86</f>
        <v>75.921116288304688</v>
      </c>
      <c r="E113" s="1327">
        <f>'BDGT ORI'!U13</f>
        <v>0</v>
      </c>
      <c r="F113" s="1327">
        <f>+D113-E113</f>
        <v>75.921116288304688</v>
      </c>
      <c r="G113" s="1328" t="e">
        <f>+F113/E113</f>
        <v>#DIV/0!</v>
      </c>
      <c r="I113" s="1321" t="s">
        <v>36</v>
      </c>
      <c r="J113" s="1329">
        <f>E121</f>
        <v>8685.5195255691488</v>
      </c>
      <c r="K113" s="1329">
        <f>D121</f>
        <v>8426.8957127773465</v>
      </c>
      <c r="L113" s="1330">
        <f t="shared" si="13"/>
        <v>-258.62381279180227</v>
      </c>
      <c r="M113" s="1330">
        <f>(L113*K114/100*24*M110)/1000*(K117/100*K115/100*J121+K118/100*K116/1000000*J120*J122)</f>
        <v>-2.2490441700968331</v>
      </c>
      <c r="N113" s="1331"/>
      <c r="O113" s="1321" t="s">
        <v>1051</v>
      </c>
      <c r="P113" s="1322">
        <f>IF((M113+$S$116)&gt;0,P112,P112-Q113)</f>
        <v>0</v>
      </c>
      <c r="Q113" s="1322">
        <f t="shared" ref="Q113:Q118" si="14">IF((M113+$S$116)&gt;0,M113+$S$116,-(M113+$S$116))</f>
        <v>9.8021562064872256</v>
      </c>
    </row>
    <row r="114" spans="2:19">
      <c r="B114" s="1304" t="s">
        <v>62</v>
      </c>
      <c r="C114" s="1311" t="s">
        <v>53</v>
      </c>
      <c r="D114" s="1327">
        <f>D87</f>
        <v>66.124566055788577</v>
      </c>
      <c r="E114" s="1327">
        <f>'BDGT ORI'!U15*'BDGT ORI'!F57</f>
        <v>0</v>
      </c>
      <c r="F114" s="1327">
        <f>+D114-E114</f>
        <v>66.124566055788577</v>
      </c>
      <c r="G114" s="1328" t="e">
        <f>+F114/E114</f>
        <v>#DIV/0!</v>
      </c>
      <c r="I114" s="1321" t="s">
        <v>41</v>
      </c>
      <c r="J114" s="1333">
        <f>E123</f>
        <v>86.381940558633417</v>
      </c>
      <c r="K114" s="1333">
        <f>D123</f>
        <v>82.043160787650493</v>
      </c>
      <c r="L114" s="1330">
        <f t="shared" si="13"/>
        <v>-4.3387797709829243</v>
      </c>
      <c r="M114" s="1330">
        <f>(L114*J113/100*24*M110)/1000*(K117/100*K115/100*J121+(K118/100*K116/1000000*J120*J122))</f>
        <v>-3.9943903033473487</v>
      </c>
      <c r="O114" s="1321" t="s">
        <v>1052</v>
      </c>
      <c r="P114" s="1322">
        <f t="shared" ref="P114:P119" si="15">IF((M113+$S$116)&gt;0,IF((M114+$S$116)&gt;0,P113+Q113,P113+Q113-Q114),IF((M114+$S$116)&gt;0,P113,P113-Q114))</f>
        <v>9.8021562064872256</v>
      </c>
      <c r="Q114" s="1322">
        <f t="shared" si="14"/>
        <v>8.0568100732367114</v>
      </c>
    </row>
    <row r="115" spans="2:19">
      <c r="B115" s="1304" t="s">
        <v>59</v>
      </c>
      <c r="C115" s="1311" t="s">
        <v>53</v>
      </c>
      <c r="D115" s="1327">
        <f>D88</f>
        <v>69.24782651706704</v>
      </c>
      <c r="E115" s="1327">
        <f>'BDGT ORI'!U15</f>
        <v>75.347786205926568</v>
      </c>
      <c r="F115" s="1327">
        <f>+D115-E115</f>
        <v>-6.0999596888595278</v>
      </c>
      <c r="G115" s="1328">
        <f>+F115/E115</f>
        <v>-8.0957384364130511E-2</v>
      </c>
      <c r="I115" s="1321" t="s">
        <v>45</v>
      </c>
      <c r="J115" s="1322">
        <f>E125</f>
        <v>0.52661481339809368</v>
      </c>
      <c r="K115" s="1322">
        <f>D125</f>
        <v>0.51253836495611338</v>
      </c>
      <c r="L115" s="1321">
        <f t="shared" si="13"/>
        <v>-1.4076448441980305E-2</v>
      </c>
      <c r="M115" s="1330">
        <f>(J113*J114/100*24*M110)/1000*(K117/100*L115/100*J121)</f>
        <v>-1.9861519680937088</v>
      </c>
      <c r="N115" s="1331"/>
      <c r="O115" s="1321" t="s">
        <v>1053</v>
      </c>
      <c r="P115" s="1322">
        <f t="shared" si="15"/>
        <v>17.858966279723937</v>
      </c>
      <c r="Q115" s="1322">
        <f t="shared" si="14"/>
        <v>10.065048408490352</v>
      </c>
    </row>
    <row r="116" spans="2:19">
      <c r="B116" s="1304" t="s">
        <v>66</v>
      </c>
      <c r="C116" s="1311" t="s">
        <v>53</v>
      </c>
      <c r="D116" s="1334">
        <f>D89</f>
        <v>2.3019281722102938</v>
      </c>
      <c r="E116" s="1334">
        <f>'BDGT ORI'!U17</f>
        <v>2.7478036662364831</v>
      </c>
      <c r="F116" s="1334">
        <f>+D116-E116</f>
        <v>-0.44587549402618931</v>
      </c>
      <c r="G116" s="1328">
        <f>+F116/E116</f>
        <v>-0.16226613986467259</v>
      </c>
      <c r="I116" s="1321" t="s">
        <v>1054</v>
      </c>
      <c r="J116" s="1335">
        <f>E130</f>
        <v>206.27179320430957</v>
      </c>
      <c r="K116" s="1335">
        <f>D130</f>
        <v>192.66735748300661</v>
      </c>
      <c r="L116" s="1321">
        <f t="shared" si="13"/>
        <v>-13.604435721302963</v>
      </c>
      <c r="M116" s="1330">
        <f>(J113*J114/100*24*M110)/1000*(K118/100*L116/1000000*J120*J122)</f>
        <v>-0.50892918221823724</v>
      </c>
      <c r="N116" s="1331"/>
      <c r="O116" s="1321" t="s">
        <v>1055</v>
      </c>
      <c r="P116" s="1322">
        <f t="shared" si="15"/>
        <v>27.924014688214289</v>
      </c>
      <c r="Q116" s="1322">
        <f t="shared" si="14"/>
        <v>11.542271194365822</v>
      </c>
      <c r="S116" s="273">
        <f>(L112-M112)/7</f>
        <v>12.05120037658406</v>
      </c>
    </row>
    <row r="117" spans="2:19">
      <c r="B117" s="1304" t="s">
        <v>1056</v>
      </c>
      <c r="C117" s="1311" t="s">
        <v>1057</v>
      </c>
      <c r="D117" s="1334">
        <f>D90</f>
        <v>2.1888169452353146</v>
      </c>
      <c r="E117" s="1334">
        <f>'BDGT ORI'!U18</f>
        <v>2.7340646479053001</v>
      </c>
      <c r="F117" s="1334">
        <f>+D117-E117</f>
        <v>-0.54524770266998557</v>
      </c>
      <c r="G117" s="1328">
        <f>+F117/E117</f>
        <v>-0.19942750918041618</v>
      </c>
      <c r="I117" s="1321" t="s">
        <v>51</v>
      </c>
      <c r="J117" s="1333">
        <f>E126</f>
        <v>89.725493304837357</v>
      </c>
      <c r="K117" s="1333">
        <f>D126</f>
        <v>90.504839111115729</v>
      </c>
      <c r="L117" s="1321">
        <f t="shared" si="13"/>
        <v>0.77934580627837136</v>
      </c>
      <c r="M117" s="1330">
        <f>(J113*J114/100*24*M110)/1000*(L117/100*J115/100*J121)</f>
        <v>0.63983921580740555</v>
      </c>
      <c r="N117" s="1331"/>
      <c r="O117" s="1321" t="s">
        <v>1058</v>
      </c>
      <c r="P117" s="1322">
        <f t="shared" si="15"/>
        <v>39.46628588258011</v>
      </c>
      <c r="Q117" s="1322">
        <f t="shared" si="14"/>
        <v>12.691039592391466</v>
      </c>
    </row>
    <row r="118" spans="2:19">
      <c r="I118" s="1321" t="s">
        <v>1059</v>
      </c>
      <c r="J118" s="1333">
        <f>E131</f>
        <v>83.538040462286077</v>
      </c>
      <c r="K118" s="1333">
        <f>D131</f>
        <v>80.026351406553701</v>
      </c>
      <c r="L118" s="1321">
        <f t="shared" si="13"/>
        <v>-3.5116890557323757</v>
      </c>
      <c r="M118" s="1330">
        <f>(J113*J114/100*24*M110)/1000*(L118/100*J116/1000000*J120*J122)</f>
        <v>-0.33860993983499899</v>
      </c>
      <c r="N118" s="1331"/>
      <c r="O118" s="1321" t="s">
        <v>1060</v>
      </c>
      <c r="P118" s="1322">
        <f t="shared" si="15"/>
        <v>52.157325474971572</v>
      </c>
      <c r="Q118" s="1322">
        <f t="shared" si="14"/>
        <v>11.712590436749061</v>
      </c>
    </row>
    <row r="119" spans="2:19">
      <c r="B119" s="1304" t="s">
        <v>78</v>
      </c>
      <c r="C119" s="1311" t="s">
        <v>53</v>
      </c>
      <c r="D119" s="1336">
        <f>D92</f>
        <v>14929.683820629605</v>
      </c>
      <c r="E119" s="1336">
        <f>'BDGT ORI'!U20</f>
        <v>15946.360231774815</v>
      </c>
      <c r="F119" s="1336">
        <f>+D119-E119</f>
        <v>-1016.6764111452103</v>
      </c>
      <c r="G119" s="1328">
        <f>+F119/E119</f>
        <v>-6.3756016819397729E-2</v>
      </c>
      <c r="I119" s="1321"/>
      <c r="J119" s="1321"/>
      <c r="K119" s="1322"/>
      <c r="L119" s="1321"/>
      <c r="M119" s="1321"/>
      <c r="N119" s="1331"/>
      <c r="O119" s="1321" t="s">
        <v>1061</v>
      </c>
      <c r="P119" s="1322">
        <f t="shared" si="15"/>
        <v>63.869915911720632</v>
      </c>
      <c r="Q119" s="1322"/>
    </row>
    <row r="120" spans="2:19">
      <c r="B120" s="1304" t="s">
        <v>79</v>
      </c>
      <c r="C120" s="1311" t="s">
        <v>75</v>
      </c>
      <c r="D120" s="1336">
        <f>D93</f>
        <v>165.8853757847734</v>
      </c>
      <c r="E120" s="1336">
        <f>'BDGT ORI'!U21</f>
        <v>175.23472782170126</v>
      </c>
      <c r="F120" s="1327">
        <f>+D120-E120</f>
        <v>-9.3493520369278542</v>
      </c>
      <c r="G120" s="1328">
        <f>+F120/E120</f>
        <v>-5.3353305895168686E-2</v>
      </c>
      <c r="I120" s="1295" t="s">
        <v>244</v>
      </c>
      <c r="J120" s="1321">
        <f>J13</f>
        <v>2.899</v>
      </c>
      <c r="K120" s="1331"/>
      <c r="L120" s="1331"/>
      <c r="M120" s="1338"/>
      <c r="N120" s="1331"/>
      <c r="O120" s="1321"/>
      <c r="P120" s="1322"/>
      <c r="Q120" s="1333"/>
    </row>
    <row r="121" spans="2:19" ht="17.5">
      <c r="B121" s="1304" t="s">
        <v>80</v>
      </c>
      <c r="C121" s="1311" t="s">
        <v>81</v>
      </c>
      <c r="D121" s="1336">
        <f>D94</f>
        <v>8426.8957127773465</v>
      </c>
      <c r="E121" s="1336">
        <f>'BDGT ORI'!U22</f>
        <v>8685.5195255691488</v>
      </c>
      <c r="F121" s="1336">
        <f>+D121-E121</f>
        <v>-258.62381279180227</v>
      </c>
      <c r="G121" s="1328">
        <f>+F121/E121</f>
        <v>-2.9776435598405388E-2</v>
      </c>
      <c r="I121" s="1296" t="s">
        <v>245</v>
      </c>
      <c r="J121" s="1321">
        <f>J14</f>
        <v>0.96199999999999997</v>
      </c>
      <c r="K121" s="1331"/>
      <c r="L121" s="1331"/>
      <c r="M121" s="1331"/>
      <c r="N121" s="1331"/>
      <c r="O121" s="1331"/>
      <c r="P121" s="1331"/>
      <c r="Q121" s="1331"/>
      <c r="R121" s="1340"/>
      <c r="S121" s="1341"/>
    </row>
    <row r="122" spans="2:19">
      <c r="B122" s="1304" t="s">
        <v>82</v>
      </c>
      <c r="C122" s="1311" t="s">
        <v>48</v>
      </c>
      <c r="D122" s="1327">
        <f>D95</f>
        <v>0</v>
      </c>
      <c r="E122" s="1327">
        <f>'BDGT ORI'!U23</f>
        <v>34.170972947338875</v>
      </c>
      <c r="F122" s="1327">
        <f>+D122-E122</f>
        <v>-34.170972947338875</v>
      </c>
      <c r="G122" s="1328">
        <f>+F122/E122</f>
        <v>-1</v>
      </c>
      <c r="I122" s="1296" t="s">
        <v>71</v>
      </c>
      <c r="J122" s="1321">
        <f>J15</f>
        <v>0.995</v>
      </c>
      <c r="K122" s="1331"/>
      <c r="L122" s="1331"/>
      <c r="M122" s="1331"/>
      <c r="N122" s="1331"/>
      <c r="O122" s="1331"/>
      <c r="P122" s="1331"/>
      <c r="Q122" s="1331"/>
    </row>
    <row r="123" spans="2:19">
      <c r="B123" s="1304" t="s">
        <v>85</v>
      </c>
      <c r="C123" s="1311" t="s">
        <v>48</v>
      </c>
      <c r="D123" s="1327">
        <f>D96</f>
        <v>82.043160787650493</v>
      </c>
      <c r="E123" s="1327">
        <f>'BDGT ORI'!U25</f>
        <v>86.381940558633417</v>
      </c>
      <c r="F123" s="1327">
        <f>+D123-E123</f>
        <v>-4.3387797709829243</v>
      </c>
      <c r="G123" s="1328">
        <f>+F123/E123</f>
        <v>-5.0227857153057283E-2</v>
      </c>
    </row>
    <row r="124" spans="2:19">
      <c r="B124" s="1304"/>
      <c r="C124" s="1311"/>
      <c r="D124" s="1336"/>
      <c r="E124" s="1336"/>
      <c r="F124" s="1327"/>
      <c r="G124" s="1328"/>
    </row>
    <row r="125" spans="2:19">
      <c r="B125" s="1304" t="s">
        <v>89</v>
      </c>
      <c r="C125" s="1311" t="s">
        <v>48</v>
      </c>
      <c r="D125" s="1334">
        <f>D98</f>
        <v>0.51253836495611338</v>
      </c>
      <c r="E125" s="1334">
        <f>'BDGT ORI'!U33</f>
        <v>0.52661481339809368</v>
      </c>
      <c r="F125" s="1334">
        <f>+D125-E125</f>
        <v>-1.4076448441980305E-2</v>
      </c>
      <c r="G125" s="1328">
        <f>+F125/E125</f>
        <v>-2.6730065474514546E-2</v>
      </c>
    </row>
    <row r="126" spans="2:19">
      <c r="B126" s="1304" t="s">
        <v>90</v>
      </c>
      <c r="C126" s="1311" t="s">
        <v>48</v>
      </c>
      <c r="D126" s="1327">
        <f>D99</f>
        <v>90.504839111115729</v>
      </c>
      <c r="E126" s="1327">
        <f>'BDGT ORI'!U34</f>
        <v>89.725493304837357</v>
      </c>
      <c r="F126" s="1327">
        <f>+D126-E126</f>
        <v>0.77934580627837136</v>
      </c>
      <c r="G126" s="1328">
        <f>+F126/E126</f>
        <v>8.6858904595886414E-3</v>
      </c>
    </row>
    <row r="127" spans="2:19">
      <c r="B127" s="1304" t="s">
        <v>92</v>
      </c>
      <c r="C127" s="1311" t="s">
        <v>53</v>
      </c>
      <c r="D127" s="1327">
        <f>D100</f>
        <v>259.00300763005976</v>
      </c>
      <c r="E127" s="1327">
        <f>'BDGT ORI'!U35</f>
        <v>264.17480896554019</v>
      </c>
      <c r="F127" s="1327">
        <f>+D127-E127</f>
        <v>-5.1718013354804384</v>
      </c>
      <c r="G127" s="1328">
        <f>+F127/E127</f>
        <v>-1.957719343389424E-2</v>
      </c>
    </row>
    <row r="128" spans="2:19">
      <c r="B128" s="1304" t="s">
        <v>93</v>
      </c>
      <c r="C128" s="1311" t="s">
        <v>48</v>
      </c>
      <c r="D128" s="1327">
        <f>D101</f>
        <v>26.736302080312278</v>
      </c>
      <c r="E128" s="1327">
        <f>'BDGT ORI'!U36</f>
        <v>28.521942156776642</v>
      </c>
      <c r="F128" s="1327">
        <f>+D128-E128</f>
        <v>-1.7856400764643645</v>
      </c>
      <c r="G128" s="1328">
        <f>+F128/E128</f>
        <v>-6.2605837521485436E-2</v>
      </c>
    </row>
    <row r="129" spans="1:27">
      <c r="B129" s="1304"/>
      <c r="C129" s="1311"/>
      <c r="D129" s="1336"/>
      <c r="E129" s="1336"/>
      <c r="F129" s="1327"/>
      <c r="G129" s="1328"/>
    </row>
    <row r="130" spans="1:27">
      <c r="B130" s="1304" t="s">
        <v>94</v>
      </c>
      <c r="C130" s="1311" t="s">
        <v>95</v>
      </c>
      <c r="D130" s="1336">
        <f>D103</f>
        <v>192.66735748300661</v>
      </c>
      <c r="E130" s="1336">
        <f>'BDGT ORI'!U38</f>
        <v>206.27179320430957</v>
      </c>
      <c r="F130" s="1327">
        <f>+D130-E130</f>
        <v>-13.604435721302963</v>
      </c>
      <c r="G130" s="1328">
        <f>+F130/E130</f>
        <v>-6.5953931509326352E-2</v>
      </c>
    </row>
    <row r="131" spans="1:27">
      <c r="B131" s="1304" t="s">
        <v>96</v>
      </c>
      <c r="C131" s="1311" t="s">
        <v>48</v>
      </c>
      <c r="D131" s="1327">
        <f>D104</f>
        <v>80.026351406553701</v>
      </c>
      <c r="E131" s="1327">
        <f>'BDGT ORI'!U39</f>
        <v>83.538040462286077</v>
      </c>
      <c r="F131" s="1327">
        <f>+D131-E131</f>
        <v>-3.5116890557323757</v>
      </c>
      <c r="G131" s="1328">
        <f>+F131/E131</f>
        <v>-4.2037005372633274E-2</v>
      </c>
    </row>
    <row r="132" spans="1:27">
      <c r="B132" s="1304" t="s">
        <v>97</v>
      </c>
      <c r="C132" s="1311" t="s">
        <v>48</v>
      </c>
      <c r="D132" s="1327">
        <f>D105</f>
        <v>90.314190671165463</v>
      </c>
      <c r="E132" s="1327">
        <f>'BDGT ORI'!U40</f>
        <v>93.450137203431481</v>
      </c>
      <c r="F132" s="1327">
        <f>+D132-E132</f>
        <v>-3.1359465322660185</v>
      </c>
      <c r="G132" s="1328">
        <f>+F132/E132</f>
        <v>-3.3557431011999275E-2</v>
      </c>
    </row>
    <row r="133" spans="1:27">
      <c r="B133" s="1304" t="s">
        <v>98</v>
      </c>
      <c r="C133" s="1311" t="s">
        <v>48</v>
      </c>
      <c r="D133" s="1327">
        <f>D106</f>
        <v>88.630655454756081</v>
      </c>
      <c r="E133" s="1327">
        <f>'BDGT ORI'!U41</f>
        <v>90.662203288666532</v>
      </c>
      <c r="F133" s="1327">
        <f>+D133-E133</f>
        <v>-2.0315478339104516</v>
      </c>
      <c r="G133" s="1328">
        <f>+F133/E133</f>
        <v>-2.2407880684766134E-2</v>
      </c>
    </row>
    <row r="134" spans="1:27">
      <c r="A134" s="1297" t="s">
        <v>1078</v>
      </c>
    </row>
    <row r="137" spans="1:27">
      <c r="B137" s="1310" t="s">
        <v>1043</v>
      </c>
      <c r="C137" s="1311"/>
      <c r="D137" s="1304"/>
      <c r="E137" s="1304"/>
      <c r="I137" s="1298" t="s">
        <v>1079</v>
      </c>
      <c r="M137" s="273">
        <f>M1</f>
        <v>31</v>
      </c>
      <c r="S137" s="1298" t="s">
        <v>1080</v>
      </c>
      <c r="W137" s="273">
        <f>M137</f>
        <v>31</v>
      </c>
    </row>
    <row r="138" spans="1:27">
      <c r="B138" s="1310" t="s">
        <v>1045</v>
      </c>
      <c r="C138" s="1316">
        <f>C4</f>
        <v>46082.791666666664</v>
      </c>
      <c r="D138" s="1304"/>
      <c r="E138" s="1304"/>
      <c r="F138" s="4811" t="s">
        <v>43</v>
      </c>
      <c r="G138" s="4811"/>
      <c r="I138" s="1317"/>
      <c r="J138" s="1318" t="s">
        <v>12</v>
      </c>
      <c r="K138" s="1318" t="s">
        <v>57</v>
      </c>
      <c r="L138" s="1318" t="s">
        <v>1046</v>
      </c>
      <c r="M138" s="1321" t="s">
        <v>1047</v>
      </c>
      <c r="N138" s="1331"/>
      <c r="O138" s="1331"/>
      <c r="P138" s="1331"/>
      <c r="Q138" s="1331"/>
      <c r="S138" s="1317"/>
      <c r="T138" s="1318" t="s">
        <v>12</v>
      </c>
      <c r="U138" s="1318" t="s">
        <v>57</v>
      </c>
      <c r="V138" s="1318" t="s">
        <v>1046</v>
      </c>
      <c r="W138" s="1321" t="s">
        <v>1047</v>
      </c>
    </row>
    <row r="139" spans="1:27">
      <c r="B139" s="1304"/>
      <c r="C139" s="1311" t="s">
        <v>46</v>
      </c>
      <c r="D139" s="1311" t="s">
        <v>57</v>
      </c>
      <c r="E139" s="1311" t="s">
        <v>12</v>
      </c>
      <c r="F139" s="1311" t="s">
        <v>10</v>
      </c>
      <c r="G139" s="1311" t="s">
        <v>48</v>
      </c>
      <c r="I139" s="1321" t="s">
        <v>1048</v>
      </c>
      <c r="J139" s="1322">
        <f>E142</f>
        <v>28.318351668204937</v>
      </c>
      <c r="K139" s="1322">
        <f>D142</f>
        <v>22.933613081531071</v>
      </c>
      <c r="L139" s="1349">
        <f>K139-J139</f>
        <v>-5.3847385866738655</v>
      </c>
      <c r="M139" s="1321">
        <f>SUM(M140:M144)</f>
        <v>-28.100250264090263</v>
      </c>
      <c r="N139" s="1331"/>
      <c r="O139" s="1321" t="s">
        <v>1049</v>
      </c>
      <c r="P139" s="1322">
        <f>J139</f>
        <v>28.318351668204937</v>
      </c>
      <c r="Q139" s="1321"/>
      <c r="S139" s="1321" t="s">
        <v>1081</v>
      </c>
      <c r="T139" s="1322">
        <f>E143</f>
        <v>0.80794675396342897</v>
      </c>
      <c r="U139" s="1322">
        <f>D143</f>
        <v>0.49377313963876424</v>
      </c>
      <c r="V139" s="1321">
        <f>U139-T139</f>
        <v>-0.31417361432466473</v>
      </c>
      <c r="W139" s="1321">
        <f>SUM(W140:W144)</f>
        <v>-0.80338422589568981</v>
      </c>
      <c r="Y139" s="1321" t="s">
        <v>1049</v>
      </c>
      <c r="Z139" s="1322">
        <f>T139</f>
        <v>0.80794675396342897</v>
      </c>
      <c r="AA139" s="1321"/>
    </row>
    <row r="140" spans="1:27">
      <c r="B140" s="1304" t="s">
        <v>1050</v>
      </c>
      <c r="C140" s="1311" t="s">
        <v>53</v>
      </c>
      <c r="D140" s="1327">
        <f t="shared" ref="D140:E143" si="16">D6</f>
        <v>24.365061413343849</v>
      </c>
      <c r="E140" s="1327" t="e">
        <f t="shared" si="16"/>
        <v>#REF!</v>
      </c>
      <c r="F140" s="1327" t="e">
        <f>+D140-E140</f>
        <v>#REF!</v>
      </c>
      <c r="G140" s="1328" t="e">
        <f>+F140/E140</f>
        <v>#REF!</v>
      </c>
      <c r="I140" s="1321" t="s">
        <v>36</v>
      </c>
      <c r="J140" s="1329">
        <f>E147</f>
        <v>8502.7681772494343</v>
      </c>
      <c r="K140" s="1329">
        <f>D147</f>
        <v>8128.3803061107201</v>
      </c>
      <c r="L140" s="1350">
        <f>K140-J140</f>
        <v>-374.38787113871422</v>
      </c>
      <c r="M140" s="1330">
        <f>(L140*K141/100*24*M137)/1000*(K143/100*K142/100)</f>
        <v>-1.0922759570158931E-2</v>
      </c>
      <c r="O140" s="1321" t="s">
        <v>1051</v>
      </c>
      <c r="P140" s="1322" t="e">
        <f>IF((M140+$S$9)&gt;0,P139,P139-Q140)</f>
        <v>#REF!</v>
      </c>
      <c r="Q140" s="1332" t="e">
        <f>IF((M140+$S$9)&gt;0,M140+$S$9,-(M140+$S$9))</f>
        <v>#REF!</v>
      </c>
      <c r="S140" s="1321" t="s">
        <v>36</v>
      </c>
      <c r="T140" s="1329">
        <f>E147</f>
        <v>8502.7681772494343</v>
      </c>
      <c r="U140" s="1329">
        <f>D147</f>
        <v>8128.3803061107201</v>
      </c>
      <c r="V140" s="1321">
        <f>U140-T140</f>
        <v>-374.38787113871422</v>
      </c>
      <c r="W140" s="1330">
        <f>(V140*U141/100*24*W137)/1000*(U143/100*U142/1000000)</f>
        <v>-2.3517294319490056E-4</v>
      </c>
      <c r="Y140" s="1321" t="s">
        <v>1051</v>
      </c>
      <c r="Z140" s="1322" t="e">
        <f>IF((W140+$S$9)&gt;0,Z139,Z139-AA140)</f>
        <v>#REF!</v>
      </c>
      <c r="AA140" s="1332" t="e">
        <f>IF((W140+$S$9)&gt;0,W140+$S$9,-(W140+$S$9))</f>
        <v>#REF!</v>
      </c>
    </row>
    <row r="141" spans="1:27">
      <c r="B141" s="1304" t="s">
        <v>62</v>
      </c>
      <c r="C141" s="1311" t="s">
        <v>53</v>
      </c>
      <c r="D141" s="1327">
        <f t="shared" si="16"/>
        <v>21.245925024226782</v>
      </c>
      <c r="E141" s="1327">
        <f t="shared" si="16"/>
        <v>27.229795292946367</v>
      </c>
      <c r="F141" s="1327">
        <f>+D141-E141</f>
        <v>-5.9838702687195848</v>
      </c>
      <c r="G141" s="1328">
        <f>+F141/E141</f>
        <v>-0.21975450804324087</v>
      </c>
      <c r="I141" s="1321" t="s">
        <v>41</v>
      </c>
      <c r="J141" s="1333">
        <f>E149</f>
        <v>92.650688634835248</v>
      </c>
      <c r="K141" s="1333">
        <f>D149</f>
        <v>0.68062526822697333</v>
      </c>
      <c r="L141" s="1351">
        <f>K141-J141</f>
        <v>-91.970063366608272</v>
      </c>
      <c r="M141" s="1330">
        <f>(L141*J140/100*24*M137)/1000*(K143/100*K142/100)</f>
        <v>-33.520412886944605</v>
      </c>
      <c r="O141" s="1321" t="s">
        <v>1052</v>
      </c>
      <c r="P141" s="1322" t="e">
        <f>IF((M140+$S$9)&gt;0,IF((M141+$S$9)&gt;0,P140+Q140,P140+Q140-Q141),IF((M141+$S$9)&gt;0,P140,P140-Q141))</f>
        <v>#REF!</v>
      </c>
      <c r="Q141" s="1352" t="e">
        <f>IF((M141+$S$9)&gt;0,M141+$S$9,-(M141+$S$9))</f>
        <v>#REF!</v>
      </c>
      <c r="S141" s="1321" t="s">
        <v>41</v>
      </c>
      <c r="T141" s="1333">
        <f>E149</f>
        <v>92.650688634835248</v>
      </c>
      <c r="U141" s="1333">
        <f>D149</f>
        <v>0.68062526822697333</v>
      </c>
      <c r="V141" s="1321">
        <f>U141-T141</f>
        <v>-91.970063366608272</v>
      </c>
      <c r="W141" s="1330">
        <f>(V141*T140/100*24*W137)/1000*(U143/100*U142/1000000)</f>
        <v>-0.72171268671588407</v>
      </c>
      <c r="Y141" s="1321" t="s">
        <v>1052</v>
      </c>
      <c r="Z141" s="1322" t="e">
        <f>IF((W140+$S$9)&gt;0,IF((W141+$S$9)&gt;0,Z140+AA140,Z140+AA140-AA141),IF((W141+$S$9)&gt;0,Z140,Z140-AA141))</f>
        <v>#REF!</v>
      </c>
      <c r="AA141" s="1352" t="e">
        <f>IF((W141+$S$9)&gt;0,W141+$S$9,-(W141+$S$9))</f>
        <v>#REF!</v>
      </c>
    </row>
    <row r="142" spans="1:27">
      <c r="B142" s="1304" t="s">
        <v>59</v>
      </c>
      <c r="C142" s="1311" t="s">
        <v>53</v>
      </c>
      <c r="D142" s="1327">
        <f t="shared" si="16"/>
        <v>22.933613081531071</v>
      </c>
      <c r="E142" s="1327">
        <f t="shared" si="16"/>
        <v>28.318351668204937</v>
      </c>
      <c r="F142" s="1327">
        <f>+D142-E142</f>
        <v>-5.3847385866738655</v>
      </c>
      <c r="G142" s="1328">
        <f>+F142/E142</f>
        <v>-0.19015014185022999</v>
      </c>
      <c r="I142" s="1321" t="s">
        <v>45</v>
      </c>
      <c r="J142" s="1322">
        <f>E151</f>
        <v>0.5354493276828427</v>
      </c>
      <c r="K142" s="1322">
        <f>D151</f>
        <v>0.63704189198698991</v>
      </c>
      <c r="L142" s="1353">
        <f>K142-J142</f>
        <v>0.1015925643041472</v>
      </c>
      <c r="M142" s="1330">
        <f>(J140*J141/100*24*M137)/1000*(K143/100*L142/100)</f>
        <v>5.3852448646257702</v>
      </c>
      <c r="O142" s="1321" t="s">
        <v>1053</v>
      </c>
      <c r="P142" s="1322" t="e">
        <f>IF((M141+$S$9)&gt;0,IF((M142+$S$9)&gt;0,P141+Q141,P141+Q141-Q142),IF((M142+$S$9)&gt;0,P141,P141-Q142))</f>
        <v>#REF!</v>
      </c>
      <c r="Q142" s="1352" t="e">
        <f>IF((M142+$S$9)&gt;0,M142+$S$9,-(M142+$S$9))</f>
        <v>#REF!</v>
      </c>
      <c r="S142" s="1321" t="s">
        <v>1054</v>
      </c>
      <c r="T142" s="1322">
        <f>E156</f>
        <v>171.18629045307489</v>
      </c>
      <c r="U142" s="1322">
        <f>D156</f>
        <v>151.11835423943415</v>
      </c>
      <c r="V142" s="1321">
        <f>U142-T142</f>
        <v>-20.067936213640735</v>
      </c>
      <c r="W142" s="1330">
        <f>(T140*T141/100*24*W137)/1000*(U143/100*V142/1000000)</f>
        <v>-9.6549938673510777E-2</v>
      </c>
      <c r="Y142" s="1321" t="s">
        <v>1082</v>
      </c>
      <c r="Z142" s="1322" t="e">
        <f>IF((W141+$S$9)&gt;0,IF((W142+$S$9)&gt;0,Z141+AA141,Z141+AA141-AA142),IF((W142+$S$9)&gt;0,Z141,Z141-AA142))</f>
        <v>#REF!</v>
      </c>
      <c r="AA142" s="1332" t="e">
        <f>IF((W142+$S$9)&gt;0,W142+$S$9,-(W142+$S$9))</f>
        <v>#REF!</v>
      </c>
    </row>
    <row r="143" spans="1:27">
      <c r="B143" s="1304" t="s">
        <v>66</v>
      </c>
      <c r="C143" s="1311" t="s">
        <v>53</v>
      </c>
      <c r="D143" s="1327">
        <f t="shared" si="16"/>
        <v>0.49377313963876424</v>
      </c>
      <c r="E143" s="1327">
        <f t="shared" si="16"/>
        <v>0.80794675396342897</v>
      </c>
      <c r="F143" s="1334">
        <f>+D143-E143</f>
        <v>-0.31417361432466473</v>
      </c>
      <c r="G143" s="1328">
        <f>+F143/E143</f>
        <v>-0.38885435554195635</v>
      </c>
      <c r="I143" s="1321" t="s">
        <v>51</v>
      </c>
      <c r="J143" s="1333">
        <f>E152</f>
        <v>90.294153352101702</v>
      </c>
      <c r="K143" s="1333">
        <f>D152</f>
        <v>90.440219377357522</v>
      </c>
      <c r="L143" s="1354">
        <f>K143-J143</f>
        <v>0.14606602525581991</v>
      </c>
      <c r="M143" s="1330">
        <f>(J140*J141/100*24*M137)/1000*(L143/100*J142/100)</f>
        <v>4.584051779872933E-2</v>
      </c>
      <c r="O143" s="1321" t="s">
        <v>1058</v>
      </c>
      <c r="P143" s="1322" t="e">
        <f>IF((M142+$S$9)&gt;0,IF((M143+$S$9)&gt;0,P142+Q142,P142+Q142-Q143),IF((M143+$S$9)&gt;0,P142,P142-Q143))</f>
        <v>#REF!</v>
      </c>
      <c r="Q143" s="1352" t="e">
        <f>IF((M143+$S$9)&gt;0,M143+$S$9,-(M143+$S$9))</f>
        <v>#REF!</v>
      </c>
      <c r="S143" s="1321" t="s">
        <v>1059</v>
      </c>
      <c r="T143" s="1335">
        <f>E157</f>
        <v>80.57935681068416</v>
      </c>
      <c r="U143" s="1335">
        <f>D157</f>
        <v>82.085673282578924</v>
      </c>
      <c r="V143" s="1321">
        <f>U143-T143</f>
        <v>1.5063164718947633</v>
      </c>
      <c r="W143" s="1330">
        <f>(T140*T141/100*24*W137)/1000*(V143/100*T142/1000000)</f>
        <v>1.5113572436899939E-2</v>
      </c>
      <c r="Y143" s="1321" t="s">
        <v>1083</v>
      </c>
      <c r="Z143" s="1322" t="e">
        <f>IF((W142+$S$9)&gt;0,IF((W143+$S$9)&gt;0,Z142+AA142,Z142+AA142-AA143),IF((W143+$S$9)&gt;0,Z142,Z142-AA143))</f>
        <v>#REF!</v>
      </c>
      <c r="AA143" s="1352" t="e">
        <f>IF((W143+$S$9)&gt;0,W143+$S$9,-(W143+$S$9))</f>
        <v>#REF!</v>
      </c>
    </row>
    <row r="144" spans="1:27">
      <c r="B144" s="1304"/>
      <c r="C144" s="1311"/>
      <c r="D144" s="1327"/>
      <c r="E144" s="1327"/>
      <c r="F144" s="1327"/>
      <c r="G144" s="1328"/>
      <c r="I144" s="1321"/>
      <c r="J144" s="1321"/>
      <c r="K144" s="1322"/>
      <c r="L144" s="1321"/>
      <c r="M144" s="1321"/>
      <c r="N144" s="1331"/>
      <c r="O144" s="1321" t="s">
        <v>1061</v>
      </c>
      <c r="P144" s="1322" t="e">
        <f>IF((M143+$S$9)&gt;0,IF((M144+$S$9)&gt;0,P143+Q143,P143+Q143-Q144),IF((M144+$S$9)&gt;0,P143,P143-Q144))</f>
        <v>#REF!</v>
      </c>
      <c r="Q144" s="1322"/>
      <c r="S144" s="1321"/>
      <c r="T144" s="1321"/>
      <c r="U144" s="1322"/>
      <c r="V144" s="1321"/>
      <c r="W144" s="1321"/>
      <c r="Y144" s="1321" t="s">
        <v>1061</v>
      </c>
      <c r="Z144" s="1322" t="e">
        <f>IF((W143+$S$9)&gt;0,IF((W144+$S$9)&gt;0,Z143+AA143,Z143+AA143-AA144),IF((W144+$S$9)&gt;0,Z143,Z143-AA144))</f>
        <v>#REF!</v>
      </c>
      <c r="AA144" s="1322"/>
    </row>
    <row r="145" spans="2:23">
      <c r="B145" s="1304" t="s">
        <v>78</v>
      </c>
      <c r="C145" s="1311" t="s">
        <v>53</v>
      </c>
      <c r="D145" s="1327">
        <f t="shared" ref="D145:E149" si="17">D12</f>
        <v>3980.5481482771197</v>
      </c>
      <c r="E145" s="1327">
        <f t="shared" si="17"/>
        <v>5857.198775683828</v>
      </c>
      <c r="F145" s="1336">
        <f>+D145-E145</f>
        <v>-1876.6506274067083</v>
      </c>
      <c r="G145" s="1328">
        <f>+F145/E145</f>
        <v>-0.3204007067674785</v>
      </c>
      <c r="I145" s="1295" t="s">
        <v>244</v>
      </c>
      <c r="J145" s="1321">
        <f>J13</f>
        <v>2.899</v>
      </c>
      <c r="K145" s="1331"/>
      <c r="L145" s="1331"/>
      <c r="M145" s="1338"/>
      <c r="N145" s="1338"/>
      <c r="O145" s="1338"/>
      <c r="P145" s="1338"/>
      <c r="Q145" s="1338"/>
      <c r="S145" s="1295" t="s">
        <v>244</v>
      </c>
      <c r="T145" s="1321">
        <f>J145</f>
        <v>2.899</v>
      </c>
      <c r="U145" s="1331"/>
      <c r="V145" s="1331"/>
      <c r="W145" s="1338"/>
    </row>
    <row r="146" spans="2:23">
      <c r="B146" s="1304" t="s">
        <v>79</v>
      </c>
      <c r="C146" s="1311" t="s">
        <v>75</v>
      </c>
      <c r="D146" s="1327">
        <f t="shared" si="17"/>
        <v>132.68493827590399</v>
      </c>
      <c r="E146" s="1327">
        <f t="shared" si="17"/>
        <v>188.94189598980088</v>
      </c>
      <c r="F146" s="1327">
        <f>+D146-E146</f>
        <v>-56.256957713896895</v>
      </c>
      <c r="G146" s="1328">
        <f>+F146/E146</f>
        <v>-0.29774739699306108</v>
      </c>
      <c r="I146" s="1296" t="s">
        <v>245</v>
      </c>
      <c r="J146" s="1321">
        <f>J14</f>
        <v>0.96199999999999997</v>
      </c>
      <c r="K146" s="1331"/>
      <c r="L146" s="1331"/>
      <c r="M146" s="1331"/>
      <c r="N146" s="1331"/>
      <c r="O146" s="1331"/>
      <c r="P146" s="1331"/>
      <c r="Q146" s="1331"/>
      <c r="S146" s="1296" t="s">
        <v>245</v>
      </c>
      <c r="T146" s="1321">
        <f>J146</f>
        <v>0.96199999999999997</v>
      </c>
      <c r="U146" s="1331"/>
      <c r="V146" s="1331"/>
      <c r="W146" s="1331"/>
    </row>
    <row r="147" spans="2:23">
      <c r="B147" s="1304" t="s">
        <v>80</v>
      </c>
      <c r="C147" s="1311" t="s">
        <v>81</v>
      </c>
      <c r="D147" s="1327">
        <f t="shared" si="17"/>
        <v>8128.3803061107201</v>
      </c>
      <c r="E147" s="1327">
        <f t="shared" si="17"/>
        <v>8502.7681772494343</v>
      </c>
      <c r="F147" s="1336">
        <f>+D147-E147</f>
        <v>-374.38787113871422</v>
      </c>
      <c r="G147" s="1328">
        <f>+F147/E147</f>
        <v>-4.4031292319653151E-2</v>
      </c>
      <c r="I147" s="1296" t="s">
        <v>71</v>
      </c>
      <c r="J147" s="1321">
        <f>J15</f>
        <v>0.995</v>
      </c>
      <c r="K147" s="1331"/>
      <c r="L147" s="1331"/>
      <c r="M147" s="1331"/>
      <c r="N147" s="1331"/>
      <c r="O147" s="1331"/>
      <c r="P147" s="1331"/>
      <c r="Q147" s="1331"/>
      <c r="S147" s="1296" t="s">
        <v>71</v>
      </c>
      <c r="T147" s="1321">
        <f>J147</f>
        <v>0.995</v>
      </c>
      <c r="U147" s="1331"/>
      <c r="V147" s="1331"/>
      <c r="W147" s="1331"/>
    </row>
    <row r="148" spans="2:23">
      <c r="B148" s="1304" t="s">
        <v>82</v>
      </c>
      <c r="C148" s="1311" t="s">
        <v>48</v>
      </c>
      <c r="D148" s="1327">
        <f t="shared" si="17"/>
        <v>0</v>
      </c>
      <c r="E148" s="1327">
        <f t="shared" si="17"/>
        <v>73.985882319413648</v>
      </c>
      <c r="F148" s="1327">
        <f>+D148-E148</f>
        <v>-73.985882319413648</v>
      </c>
      <c r="G148" s="1328">
        <f>+F148/E148</f>
        <v>-1</v>
      </c>
    </row>
    <row r="149" spans="2:23">
      <c r="B149" s="1304" t="s">
        <v>85</v>
      </c>
      <c r="C149" s="1311" t="s">
        <v>48</v>
      </c>
      <c r="D149" s="1327">
        <f t="shared" si="17"/>
        <v>0.68062526822697333</v>
      </c>
      <c r="E149" s="1327">
        <f t="shared" si="17"/>
        <v>92.650688634835248</v>
      </c>
      <c r="F149" s="1327">
        <f>+D149-E149</f>
        <v>-91.970063366608272</v>
      </c>
      <c r="G149" s="1328">
        <f>+F149/E149</f>
        <v>-0.99265385634736591</v>
      </c>
    </row>
    <row r="150" spans="2:23">
      <c r="B150" s="1304"/>
      <c r="C150" s="1311"/>
      <c r="D150" s="1327"/>
      <c r="E150" s="1327"/>
      <c r="F150" s="1327"/>
      <c r="G150" s="1328"/>
    </row>
    <row r="151" spans="2:23">
      <c r="B151" s="1304" t="s">
        <v>89</v>
      </c>
      <c r="C151" s="1311" t="s">
        <v>48</v>
      </c>
      <c r="D151" s="1327">
        <f t="shared" ref="D151:E154" si="18">D18</f>
        <v>0.63704189198698991</v>
      </c>
      <c r="E151" s="1327">
        <f t="shared" si="18"/>
        <v>0.5354493276828427</v>
      </c>
      <c r="F151" s="1342">
        <f>+D151-E151</f>
        <v>0.1015925643041472</v>
      </c>
      <c r="G151" s="1328">
        <f>+F151/E151</f>
        <v>0.18973329323950988</v>
      </c>
    </row>
    <row r="152" spans="2:23">
      <c r="B152" s="1304" t="s">
        <v>90</v>
      </c>
      <c r="C152" s="1311" t="s">
        <v>48</v>
      </c>
      <c r="D152" s="1327">
        <f t="shared" si="18"/>
        <v>90.440219377357522</v>
      </c>
      <c r="E152" s="1327">
        <f t="shared" si="18"/>
        <v>90.294153352101702</v>
      </c>
      <c r="F152" s="1327">
        <f>+D152-E152</f>
        <v>0.14606602525581991</v>
      </c>
      <c r="G152" s="1328">
        <f>+F152/E152</f>
        <v>1.617668695405294E-3</v>
      </c>
    </row>
    <row r="153" spans="2:23">
      <c r="B153" s="1304" t="s">
        <v>92</v>
      </c>
      <c r="C153" s="1311" t="s">
        <v>53</v>
      </c>
      <c r="D153" s="1327">
        <f t="shared" si="18"/>
        <v>78.045538606281255</v>
      </c>
      <c r="E153" s="1327">
        <f t="shared" si="18"/>
        <v>105.7534669311305</v>
      </c>
      <c r="F153" s="1327">
        <f>+D153-E153</f>
        <v>-27.707928324849249</v>
      </c>
      <c r="G153" s="1328">
        <f>+F153/E153</f>
        <v>-0.26200491699145328</v>
      </c>
    </row>
    <row r="154" spans="2:23">
      <c r="B154" s="1304" t="s">
        <v>93</v>
      </c>
      <c r="C154" s="1311" t="s">
        <v>48</v>
      </c>
      <c r="D154" s="1327">
        <f t="shared" si="18"/>
        <v>29.384912310266678</v>
      </c>
      <c r="E154" s="1327">
        <f t="shared" si="18"/>
        <v>26.777705251636434</v>
      </c>
      <c r="F154" s="1327">
        <f>+D154-E154</f>
        <v>2.6072070586302445</v>
      </c>
      <c r="G154" s="1328">
        <f>+F154/E154</f>
        <v>9.736484266032891E-2</v>
      </c>
    </row>
    <row r="155" spans="2:23">
      <c r="B155" s="1304"/>
      <c r="C155" s="1311"/>
      <c r="D155" s="1327"/>
      <c r="E155" s="1327"/>
      <c r="F155" s="1327"/>
      <c r="G155" s="1328"/>
    </row>
    <row r="156" spans="2:23">
      <c r="B156" s="1304" t="s">
        <v>94</v>
      </c>
      <c r="C156" s="1311" t="s">
        <v>95</v>
      </c>
      <c r="D156" s="1327">
        <f t="shared" ref="D156:E159" si="19">D23</f>
        <v>151.11835423943415</v>
      </c>
      <c r="E156" s="1327">
        <f t="shared" si="19"/>
        <v>171.18629045307489</v>
      </c>
      <c r="F156" s="1327">
        <f>+D156-E156</f>
        <v>-20.067936213640735</v>
      </c>
      <c r="G156" s="1328">
        <f>+F156/E156</f>
        <v>-0.11722864115185498</v>
      </c>
    </row>
    <row r="157" spans="2:23">
      <c r="B157" s="1304" t="s">
        <v>96</v>
      </c>
      <c r="C157" s="1311" t="s">
        <v>48</v>
      </c>
      <c r="D157" s="1327">
        <f t="shared" si="19"/>
        <v>82.085673282578924</v>
      </c>
      <c r="E157" s="1327">
        <f t="shared" si="19"/>
        <v>80.57935681068416</v>
      </c>
      <c r="F157" s="1327">
        <f>+D157-E157</f>
        <v>1.5063164718947633</v>
      </c>
      <c r="G157" s="1328">
        <f>+F157/E157</f>
        <v>1.8693577753837794E-2</v>
      </c>
    </row>
    <row r="158" spans="2:23">
      <c r="B158" s="1304" t="s">
        <v>97</v>
      </c>
      <c r="C158" s="1311" t="s">
        <v>48</v>
      </c>
      <c r="D158" s="1327">
        <f t="shared" si="19"/>
        <v>92.833487014930043</v>
      </c>
      <c r="E158" s="1327">
        <f t="shared" si="19"/>
        <v>91.633786719447059</v>
      </c>
      <c r="F158" s="1327">
        <f>+D158-E158</f>
        <v>1.1997002954829838</v>
      </c>
      <c r="G158" s="1328">
        <f>+F158/E158</f>
        <v>1.3092335681336373E-2</v>
      </c>
    </row>
    <row r="159" spans="2:23">
      <c r="B159" s="1304" t="s">
        <v>98</v>
      </c>
      <c r="C159" s="1311" t="s">
        <v>48</v>
      </c>
      <c r="D159" s="1327">
        <f t="shared" si="19"/>
        <v>88.422481931953499</v>
      </c>
      <c r="E159" s="1327">
        <f t="shared" si="19"/>
        <v>87.936294783268124</v>
      </c>
      <c r="F159" s="1327">
        <f>+D159-E159</f>
        <v>0.48618714868537438</v>
      </c>
      <c r="G159" s="1328">
        <f>+F159/E159</f>
        <v>5.5288564282092376E-3</v>
      </c>
    </row>
    <row r="163" spans="2:27">
      <c r="B163" s="1310" t="s">
        <v>1062</v>
      </c>
      <c r="C163" s="1311"/>
      <c r="D163" s="1304"/>
      <c r="E163" s="1304"/>
      <c r="I163" s="1298" t="s">
        <v>1079</v>
      </c>
      <c r="M163" s="273">
        <f>M137</f>
        <v>31</v>
      </c>
      <c r="S163" s="1298" t="s">
        <v>1080</v>
      </c>
      <c r="W163" s="273">
        <f>W137</f>
        <v>31</v>
      </c>
    </row>
    <row r="164" spans="2:27">
      <c r="B164" s="1310" t="s">
        <v>1045</v>
      </c>
      <c r="C164" s="1316">
        <f>C138</f>
        <v>46082.791666666664</v>
      </c>
      <c r="D164" s="1304"/>
      <c r="E164" s="1304"/>
      <c r="F164" s="4811" t="s">
        <v>43</v>
      </c>
      <c r="G164" s="4811"/>
      <c r="I164" s="1317"/>
      <c r="J164" s="1318" t="s">
        <v>1084</v>
      </c>
      <c r="K164" s="1318" t="s">
        <v>1085</v>
      </c>
      <c r="L164" s="1318" t="s">
        <v>1046</v>
      </c>
      <c r="M164" s="1321" t="s">
        <v>1047</v>
      </c>
      <c r="N164" s="1331"/>
      <c r="O164" s="1331"/>
      <c r="P164" s="1331"/>
      <c r="Q164" s="1331"/>
      <c r="S164" s="1317"/>
      <c r="T164" s="1318" t="s">
        <v>1084</v>
      </c>
      <c r="U164" s="1318" t="s">
        <v>57</v>
      </c>
      <c r="V164" s="1318" t="s">
        <v>1046</v>
      </c>
      <c r="W164" s="1321" t="s">
        <v>1047</v>
      </c>
    </row>
    <row r="165" spans="2:27">
      <c r="B165" s="1304"/>
      <c r="C165" s="1311" t="s">
        <v>46</v>
      </c>
      <c r="D165" s="1311" t="s">
        <v>57</v>
      </c>
      <c r="E165" s="1311" t="s">
        <v>288</v>
      </c>
      <c r="F165" s="1311" t="s">
        <v>10</v>
      </c>
      <c r="G165" s="1311" t="s">
        <v>48</v>
      </c>
      <c r="I165" s="1321" t="s">
        <v>1048</v>
      </c>
      <c r="J165" s="1322">
        <f>E168</f>
        <v>22.933613081531071</v>
      </c>
      <c r="K165" s="1322">
        <f>D168</f>
        <v>22.933613081531071</v>
      </c>
      <c r="L165" s="1349">
        <f>K165-J165</f>
        <v>0</v>
      </c>
      <c r="M165" s="1321" t="e">
        <f>SUM(M166:M170)</f>
        <v>#REF!</v>
      </c>
      <c r="N165" s="1331"/>
      <c r="O165" s="1321" t="s">
        <v>1086</v>
      </c>
      <c r="P165" s="1322">
        <f>J165</f>
        <v>22.933613081531071</v>
      </c>
      <c r="Q165" s="1321"/>
      <c r="S165" s="1321" t="s">
        <v>1081</v>
      </c>
      <c r="T165" s="1322">
        <f>E169</f>
        <v>0.49377313963876424</v>
      </c>
      <c r="U165" s="1322">
        <f>D169</f>
        <v>0.49377313963876424</v>
      </c>
      <c r="V165" s="1321">
        <f>U165-T165</f>
        <v>0</v>
      </c>
      <c r="W165" s="1321" t="e">
        <f>SUM(W166:W170)</f>
        <v>#REF!</v>
      </c>
      <c r="Y165" s="1321" t="s">
        <v>1086</v>
      </c>
      <c r="Z165" s="1322">
        <f>T165</f>
        <v>0.49377313963876424</v>
      </c>
      <c r="AA165" s="1321"/>
    </row>
    <row r="166" spans="2:27">
      <c r="B166" s="1304" t="s">
        <v>1050</v>
      </c>
      <c r="C166" s="1311" t="s">
        <v>53</v>
      </c>
      <c r="D166" s="1327">
        <f>D33</f>
        <v>24.365061413343849</v>
      </c>
      <c r="E166" s="1327">
        <f t="shared" ref="D166:E169" si="20">E33</f>
        <v>22.933613081531071</v>
      </c>
      <c r="F166" s="1327">
        <f>+D166-E166</f>
        <v>1.4314483318127778</v>
      </c>
      <c r="G166" s="1328">
        <f>+F166/E166</f>
        <v>6.241704378302055E-2</v>
      </c>
      <c r="I166" s="1321" t="s">
        <v>36</v>
      </c>
      <c r="J166" s="1329" t="e">
        <f>E174</f>
        <v>#REF!</v>
      </c>
      <c r="K166" s="1329">
        <f>D174</f>
        <v>8128.3803061107201</v>
      </c>
      <c r="L166" s="1355" t="e">
        <f>K166-J166</f>
        <v>#REF!</v>
      </c>
      <c r="M166" s="1355" t="e">
        <f>(L166*K167/100*24*M163)/1000*(K169/100*K168/100)</f>
        <v>#REF!</v>
      </c>
      <c r="O166" s="1321" t="s">
        <v>1051</v>
      </c>
      <c r="P166" s="1322" t="e">
        <f>IF((M166+$S$9)&gt;0,P165,P165-Q166)</f>
        <v>#REF!</v>
      </c>
      <c r="Q166" s="1352" t="e">
        <f>IF((M166+$S$9)&gt;0,M166+$S$9,-(M166+$S$9))</f>
        <v>#REF!</v>
      </c>
      <c r="S166" s="1321" t="s">
        <v>36</v>
      </c>
      <c r="T166" s="1329" t="e">
        <f>E174</f>
        <v>#REF!</v>
      </c>
      <c r="U166" s="1329">
        <f>D174</f>
        <v>8128.3803061107201</v>
      </c>
      <c r="V166" s="1321" t="e">
        <f>U166-T166</f>
        <v>#REF!</v>
      </c>
      <c r="W166" s="1330" t="e">
        <f>(V166*U167/100*24*W163)/1000*(U169/100*U168/1000000)</f>
        <v>#REF!</v>
      </c>
      <c r="Y166" s="1321" t="s">
        <v>1051</v>
      </c>
      <c r="Z166" s="1322" t="e">
        <f>IF((W166+$S$9)&gt;0,Z165,Z165-AA166)</f>
        <v>#REF!</v>
      </c>
      <c r="AA166" s="1352" t="e">
        <f>IF((W166+$S$9)&gt;0,W166+$S$9,-(W166+$S$9))</f>
        <v>#REF!</v>
      </c>
    </row>
    <row r="167" spans="2:27">
      <c r="B167" s="1304" t="s">
        <v>62</v>
      </c>
      <c r="C167" s="1311" t="s">
        <v>53</v>
      </c>
      <c r="D167" s="1327">
        <f t="shared" si="20"/>
        <v>21.245925024226782</v>
      </c>
      <c r="E167" s="1327">
        <f t="shared" si="20"/>
        <v>31.316638511727174</v>
      </c>
      <c r="F167" s="1327">
        <f>+D167-E167</f>
        <v>-10.070713487500392</v>
      </c>
      <c r="G167" s="1328">
        <f>+F167/E167</f>
        <v>-0.32157709020172143</v>
      </c>
      <c r="I167" s="1321" t="s">
        <v>41</v>
      </c>
      <c r="J167" s="1333" t="e">
        <f>E176</f>
        <v>#REF!</v>
      </c>
      <c r="K167" s="1333">
        <f>D176</f>
        <v>0.68062526822697333</v>
      </c>
      <c r="L167" s="1355" t="e">
        <f>K167-J167</f>
        <v>#REF!</v>
      </c>
      <c r="M167" s="1355" t="e">
        <f>(L167*J166/100*24*M163)/1000*(K169/100*K168/100)</f>
        <v>#REF!</v>
      </c>
      <c r="O167" s="1321" t="s">
        <v>1052</v>
      </c>
      <c r="P167" s="1322" t="e">
        <f>IF((M166+$S$9)&gt;0,IF((M167+$S$9)&gt;0,P166+Q166,P166+Q166-Q167),IF((M167+$S$9)&gt;0,P166,P166-Q167))</f>
        <v>#REF!</v>
      </c>
      <c r="Q167" s="1352" t="e">
        <f>IF((M167+$S$9)&gt;0,M167+$S$9,-(M167+$S$9))</f>
        <v>#REF!</v>
      </c>
      <c r="S167" s="1321" t="s">
        <v>41</v>
      </c>
      <c r="T167" s="1333" t="e">
        <f>E176</f>
        <v>#REF!</v>
      </c>
      <c r="U167" s="1333">
        <f>D176</f>
        <v>0.68062526822697333</v>
      </c>
      <c r="V167" s="1321" t="e">
        <f>U167-T167</f>
        <v>#REF!</v>
      </c>
      <c r="W167" s="1330" t="e">
        <f>(V167*T166/100*24*W163)/1000*(U169/100*U168/1000000)</f>
        <v>#REF!</v>
      </c>
      <c r="Y167" s="1321" t="s">
        <v>1052</v>
      </c>
      <c r="Z167" s="1322" t="e">
        <f>IF((W166+$S$9)&gt;0,IF((W167+$S$9)&gt;0,Z166+AA166,Z166+AA166-AA167),IF((W167+$S$9)&gt;0,Z166,Z166-AA167))</f>
        <v>#REF!</v>
      </c>
      <c r="AA167" s="1352" t="e">
        <f>IF((W167+$S$9)&gt;0,W167+$S$9,-(W167+$S$9))</f>
        <v>#REF!</v>
      </c>
    </row>
    <row r="168" spans="2:27">
      <c r="B168" s="1304" t="s">
        <v>59</v>
      </c>
      <c r="C168" s="1311" t="s">
        <v>53</v>
      </c>
      <c r="D168" s="1327">
        <f>D35</f>
        <v>22.933613081531071</v>
      </c>
      <c r="E168" s="1327">
        <f t="shared" si="20"/>
        <v>22.933613081531071</v>
      </c>
      <c r="F168" s="1327">
        <f>+D168-E168</f>
        <v>0</v>
      </c>
      <c r="G168" s="1328">
        <f>+F168/E168</f>
        <v>0</v>
      </c>
      <c r="I168" s="1321" t="s">
        <v>45</v>
      </c>
      <c r="J168" s="1322" t="e">
        <f>E178</f>
        <v>#REF!</v>
      </c>
      <c r="K168" s="1322">
        <f>D178</f>
        <v>0.63704189198698991</v>
      </c>
      <c r="L168" s="1333" t="e">
        <f>K168-J168</f>
        <v>#REF!</v>
      </c>
      <c r="M168" s="1355" t="e">
        <f>(J166*J167/100*24*M163)/1000*(K169/100*L168/100)</f>
        <v>#REF!</v>
      </c>
      <c r="O168" s="1321" t="s">
        <v>1053</v>
      </c>
      <c r="P168" s="1322" t="e">
        <f>IF((M167+$S$9)&gt;0,IF((M168+$S$9)&gt;0,P167+Q167,P167+Q167-Q168),IF((M168+$S$9)&gt;0,P167,P167-Q168))</f>
        <v>#REF!</v>
      </c>
      <c r="Q168" s="1352" t="e">
        <f>IF((M168+$S$9)&gt;0,M168+$S$9,-(M168+$S$9))</f>
        <v>#REF!</v>
      </c>
      <c r="S168" s="1321" t="s">
        <v>1054</v>
      </c>
      <c r="T168" s="1322" t="e">
        <f>E183</f>
        <v>#REF!</v>
      </c>
      <c r="U168" s="1322">
        <f>D183</f>
        <v>151.11835423943415</v>
      </c>
      <c r="V168" s="1321" t="e">
        <f>U168-T168</f>
        <v>#REF!</v>
      </c>
      <c r="W168" s="1330" t="e">
        <f>(T166*T167/100*24*W163)/1000*(U169/100*V168/1000000)</f>
        <v>#REF!</v>
      </c>
      <c r="Y168" s="1321" t="s">
        <v>1082</v>
      </c>
      <c r="Z168" s="1322" t="e">
        <f>IF((W167+$S$9)&gt;0,IF((W168+$S$9)&gt;0,Z167+AA167,Z167+AA167-AA168),IF((W168+$S$9)&gt;0,Z167,Z167-AA168))</f>
        <v>#REF!</v>
      </c>
      <c r="AA168" s="1332" t="e">
        <f>IF((W168+$S$9)&gt;0,W168+$S$9,-(W168+$S$9))</f>
        <v>#REF!</v>
      </c>
    </row>
    <row r="169" spans="2:27">
      <c r="B169" s="1304" t="s">
        <v>66</v>
      </c>
      <c r="C169" s="1311" t="s">
        <v>53</v>
      </c>
      <c r="D169" s="1327">
        <f t="shared" si="20"/>
        <v>0.49377313963876424</v>
      </c>
      <c r="E169" s="1327">
        <f>E36</f>
        <v>0.49377313963876424</v>
      </c>
      <c r="F169" s="1334">
        <f>+D169-E169</f>
        <v>0</v>
      </c>
      <c r="G169" s="1328">
        <f>+F169/E169</f>
        <v>0</v>
      </c>
      <c r="I169" s="1321" t="s">
        <v>51</v>
      </c>
      <c r="J169" s="1333" t="e">
        <f>E179</f>
        <v>#REF!</v>
      </c>
      <c r="K169" s="1333">
        <f>D179</f>
        <v>90.440219377357522</v>
      </c>
      <c r="L169" s="1333" t="e">
        <f>K169-J169</f>
        <v>#REF!</v>
      </c>
      <c r="M169" s="1355" t="e">
        <f>(J166*J167/100*24*M163)/1000*(L169/100*J168/100)</f>
        <v>#REF!</v>
      </c>
      <c r="O169" s="1321" t="s">
        <v>1058</v>
      </c>
      <c r="P169" s="1322" t="e">
        <f>IF((M168+$S$9)&gt;0,IF((M169+$S$9)&gt;0,P168+Q168,P168+Q168-Q169),IF((M169+$S$9)&gt;0,P168,P168-Q169))</f>
        <v>#REF!</v>
      </c>
      <c r="Q169" s="1332" t="e">
        <f>IF((M169+$S$9)&gt;0,M169+$S$9,-(M169+$S$9))</f>
        <v>#REF!</v>
      </c>
      <c r="S169" s="1321" t="s">
        <v>1059</v>
      </c>
      <c r="T169" s="1335" t="e">
        <f>E184</f>
        <v>#REF!</v>
      </c>
      <c r="U169" s="1335">
        <f>D184</f>
        <v>82.085673282578924</v>
      </c>
      <c r="V169" s="1321" t="e">
        <f>U169-T169</f>
        <v>#REF!</v>
      </c>
      <c r="W169" s="1330" t="e">
        <f>(T166*T167/100*24*W163)/1000*(V169/100*T168/1000000)</f>
        <v>#REF!</v>
      </c>
      <c r="Y169" s="1321" t="s">
        <v>1083</v>
      </c>
      <c r="Z169" s="1322" t="e">
        <f>IF((W168+$S$9)&gt;0,IF((W169+$S$9)&gt;0,Z168+AA168,Z168+AA168-AA169),IF((W169+$S$9)&gt;0,Z168,Z168-AA169))</f>
        <v>#REF!</v>
      </c>
      <c r="AA169" s="1332" t="e">
        <f>IF((W169+$S$9)&gt;0,W169+$S$9,-(W169+$S$9))</f>
        <v>#REF!</v>
      </c>
    </row>
    <row r="170" spans="2:27">
      <c r="B170" s="1304" t="s">
        <v>1056</v>
      </c>
      <c r="C170" s="1311" t="s">
        <v>1057</v>
      </c>
      <c r="D170" s="1334">
        <f>D10</f>
        <v>0.49130427394057041</v>
      </c>
      <c r="E170" s="1327">
        <f>E37</f>
        <v>0.72078476376327538</v>
      </c>
      <c r="F170" s="1334">
        <f>+D170-E170</f>
        <v>-0.22948048982270497</v>
      </c>
      <c r="G170" s="1328">
        <f>+F170/E170</f>
        <v>-0.31837588883617463</v>
      </c>
      <c r="I170" s="1321"/>
      <c r="J170" s="1321"/>
      <c r="K170" s="1322"/>
      <c r="L170" s="1321"/>
      <c r="M170" s="1321"/>
      <c r="N170" s="1331"/>
      <c r="O170" s="1321" t="s">
        <v>1061</v>
      </c>
      <c r="P170" s="1322" t="e">
        <f>IF((M169+$S$9)&gt;0,IF((M170+$S$9)&gt;0,P169+Q169,P169+Q169-Q170),IF((M170+$S$9)&gt;0,P169,P169-Q170))</f>
        <v>#REF!</v>
      </c>
      <c r="Q170" s="1322"/>
      <c r="S170" s="1321"/>
      <c r="T170" s="1321"/>
      <c r="U170" s="1322"/>
      <c r="V170" s="1321"/>
      <c r="W170" s="1321"/>
      <c r="Y170" s="1321" t="s">
        <v>1061</v>
      </c>
      <c r="Z170" s="1322" t="e">
        <f>IF((W169+$S$9)&gt;0,IF((W170+$S$9)&gt;0,Z169+AA169,Z169+AA169-AA170),IF((W170+$S$9)&gt;0,Z169,Z169-AA170))</f>
        <v>#REF!</v>
      </c>
      <c r="AA170" s="1322"/>
    </row>
    <row r="171" spans="2:27">
      <c r="I171" s="1295" t="s">
        <v>244</v>
      </c>
      <c r="J171" s="1321">
        <f>J145</f>
        <v>2.899</v>
      </c>
      <c r="K171" s="1331"/>
      <c r="L171" s="1331"/>
      <c r="M171" s="1338"/>
      <c r="N171" s="1338"/>
      <c r="O171" s="1338"/>
      <c r="P171" s="1338"/>
      <c r="Q171" s="1338"/>
      <c r="S171" s="1295" t="s">
        <v>244</v>
      </c>
      <c r="T171" s="1321">
        <f>J171</f>
        <v>2.899</v>
      </c>
      <c r="U171" s="1331"/>
      <c r="V171" s="1331"/>
      <c r="W171" s="1338"/>
    </row>
    <row r="172" spans="2:27">
      <c r="B172" s="1304" t="s">
        <v>78</v>
      </c>
      <c r="C172" s="1311" t="s">
        <v>53</v>
      </c>
      <c r="D172" s="1336">
        <f t="shared" ref="D172:E176" si="21">D39</f>
        <v>3980.5481482771197</v>
      </c>
      <c r="E172" s="1336" t="e">
        <f t="shared" si="21"/>
        <v>#REF!</v>
      </c>
      <c r="F172" s="1336" t="e">
        <f>+D172-E172</f>
        <v>#REF!</v>
      </c>
      <c r="G172" s="1328" t="e">
        <f>+F172/E172</f>
        <v>#REF!</v>
      </c>
      <c r="I172" s="1296" t="s">
        <v>245</v>
      </c>
      <c r="J172" s="1321">
        <f>J146</f>
        <v>0.96199999999999997</v>
      </c>
      <c r="K172" s="1331"/>
      <c r="L172" s="1331"/>
      <c r="M172" s="1331"/>
      <c r="N172" s="1331"/>
      <c r="O172" s="1331"/>
      <c r="P172" s="1331"/>
      <c r="Q172" s="1331"/>
      <c r="S172" s="1296" t="s">
        <v>245</v>
      </c>
      <c r="T172" s="1321">
        <f>J172</f>
        <v>0.96199999999999997</v>
      </c>
      <c r="U172" s="1331"/>
      <c r="V172" s="1331"/>
      <c r="W172" s="1331"/>
    </row>
    <row r="173" spans="2:27">
      <c r="B173" s="1304" t="s">
        <v>79</v>
      </c>
      <c r="C173" s="1311" t="s">
        <v>75</v>
      </c>
      <c r="D173" s="1336">
        <f t="shared" si="21"/>
        <v>132.68493827590399</v>
      </c>
      <c r="E173" s="1336" t="e">
        <f t="shared" si="21"/>
        <v>#REF!</v>
      </c>
      <c r="F173" s="1327" t="e">
        <f>+D173-E173</f>
        <v>#REF!</v>
      </c>
      <c r="G173" s="1328" t="e">
        <f>+F173/E173</f>
        <v>#REF!</v>
      </c>
      <c r="I173" s="1296" t="s">
        <v>71</v>
      </c>
      <c r="J173" s="1321">
        <f>J147</f>
        <v>0.995</v>
      </c>
      <c r="K173" s="1331"/>
      <c r="L173" s="1331"/>
      <c r="M173" s="1331"/>
      <c r="N173" s="1331"/>
      <c r="O173" s="1331"/>
      <c r="P173" s="1331"/>
      <c r="Q173" s="1331"/>
      <c r="S173" s="1296" t="s">
        <v>71</v>
      </c>
      <c r="T173" s="1321">
        <f>J173</f>
        <v>0.995</v>
      </c>
      <c r="U173" s="1331"/>
      <c r="V173" s="1331"/>
      <c r="W173" s="1331"/>
    </row>
    <row r="174" spans="2:27">
      <c r="B174" s="1304" t="s">
        <v>80</v>
      </c>
      <c r="C174" s="1311" t="s">
        <v>81</v>
      </c>
      <c r="D174" s="1336">
        <f t="shared" si="21"/>
        <v>8128.3803061107201</v>
      </c>
      <c r="E174" s="1336" t="e">
        <f>E41</f>
        <v>#REF!</v>
      </c>
      <c r="F174" s="1336" t="e">
        <f>+D174-E174</f>
        <v>#REF!</v>
      </c>
      <c r="G174" s="1328" t="e">
        <f>+F174/E174</f>
        <v>#REF!</v>
      </c>
    </row>
    <row r="175" spans="2:27">
      <c r="B175" s="1304" t="s">
        <v>82</v>
      </c>
      <c r="C175" s="1311" t="s">
        <v>48</v>
      </c>
      <c r="D175" s="1327">
        <f t="shared" si="21"/>
        <v>0</v>
      </c>
      <c r="E175" s="1327" t="e">
        <f t="shared" si="21"/>
        <v>#REF!</v>
      </c>
      <c r="F175" s="1327" t="e">
        <f>+D175-E175</f>
        <v>#REF!</v>
      </c>
      <c r="G175" s="1328" t="e">
        <f>+F175/E175</f>
        <v>#REF!</v>
      </c>
    </row>
    <row r="176" spans="2:27">
      <c r="B176" s="1304" t="s">
        <v>85</v>
      </c>
      <c r="C176" s="1311" t="s">
        <v>48</v>
      </c>
      <c r="D176" s="1327">
        <f t="shared" si="21"/>
        <v>0.68062526822697333</v>
      </c>
      <c r="E176" s="1327" t="e">
        <f t="shared" si="21"/>
        <v>#REF!</v>
      </c>
      <c r="F176" s="1327" t="e">
        <f>+D176-E176</f>
        <v>#REF!</v>
      </c>
      <c r="G176" s="1328" t="e">
        <f>+F176/E176</f>
        <v>#REF!</v>
      </c>
      <c r="L176" s="1298" t="s">
        <v>1087</v>
      </c>
      <c r="V176" s="1298" t="s">
        <v>1088</v>
      </c>
    </row>
    <row r="177" spans="2:23">
      <c r="B177" s="1304"/>
      <c r="C177" s="1311"/>
      <c r="D177" s="1327"/>
      <c r="E177" s="1327"/>
      <c r="F177" s="1327"/>
      <c r="G177" s="1328"/>
      <c r="I177" s="1321" t="s">
        <v>1089</v>
      </c>
      <c r="J177" s="1322">
        <f t="shared" ref="J177:J182" si="22">P165</f>
        <v>22.933613081531071</v>
      </c>
      <c r="K177" s="1356"/>
      <c r="L177" s="1299">
        <f>J177*Factores!$D$7</f>
        <v>22.06213578443289</v>
      </c>
      <c r="M177" s="1300"/>
      <c r="S177" s="1321" t="s">
        <v>1086</v>
      </c>
      <c r="T177" s="1322">
        <f>E169</f>
        <v>0.49377313963876424</v>
      </c>
      <c r="U177" s="1356"/>
      <c r="V177" s="1301">
        <f>T177*Factores!$D$8</f>
        <v>0.49130427394057041</v>
      </c>
      <c r="W177" s="1299"/>
    </row>
    <row r="178" spans="2:23">
      <c r="B178" s="1304" t="s">
        <v>89</v>
      </c>
      <c r="C178" s="1311" t="s">
        <v>48</v>
      </c>
      <c r="D178" s="1327">
        <f t="shared" ref="D178:E181" si="23">D45</f>
        <v>0.63704189198698991</v>
      </c>
      <c r="E178" s="1327" t="e">
        <f t="shared" si="23"/>
        <v>#REF!</v>
      </c>
      <c r="F178" s="1334" t="e">
        <f>+D178-E178</f>
        <v>#REF!</v>
      </c>
      <c r="G178" s="1328" t="e">
        <f>+F178/E178</f>
        <v>#REF!</v>
      </c>
      <c r="I178" s="1321" t="s">
        <v>1051</v>
      </c>
      <c r="J178" s="1322" t="e">
        <f t="shared" si="22"/>
        <v>#REF!</v>
      </c>
      <c r="K178" s="1357" t="e">
        <f>Q166</f>
        <v>#REF!</v>
      </c>
      <c r="L178" s="1299" t="e">
        <f>J178*Factores!$D$7</f>
        <v>#REF!</v>
      </c>
      <c r="M178" s="1299" t="e">
        <f>K178*Factores!$D$7</f>
        <v>#REF!</v>
      </c>
      <c r="S178" s="1321" t="s">
        <v>1051</v>
      </c>
      <c r="T178" s="1322" t="e">
        <f t="shared" ref="T178:U181" si="24">Z166</f>
        <v>#REF!</v>
      </c>
      <c r="U178" s="1357" t="e">
        <f t="shared" si="24"/>
        <v>#REF!</v>
      </c>
      <c r="V178" s="1301" t="e">
        <f>T178*Factores!$D$8</f>
        <v>#REF!</v>
      </c>
      <c r="W178" s="1299" t="e">
        <f>U178*Factores!$D$8</f>
        <v>#REF!</v>
      </c>
    </row>
    <row r="179" spans="2:23">
      <c r="B179" s="1304" t="s">
        <v>90</v>
      </c>
      <c r="C179" s="1311" t="s">
        <v>48</v>
      </c>
      <c r="D179" s="1327">
        <f t="shared" si="23"/>
        <v>90.440219377357522</v>
      </c>
      <c r="E179" s="1327" t="e">
        <f t="shared" si="23"/>
        <v>#REF!</v>
      </c>
      <c r="F179" s="1327" t="e">
        <f>+D179-E179</f>
        <v>#REF!</v>
      </c>
      <c r="G179" s="1328" t="e">
        <f>+F179/E179</f>
        <v>#REF!</v>
      </c>
      <c r="I179" s="1321" t="s">
        <v>1052</v>
      </c>
      <c r="J179" s="1322" t="e">
        <f t="shared" si="22"/>
        <v>#REF!</v>
      </c>
      <c r="K179" s="1357" t="e">
        <f>Q167</f>
        <v>#REF!</v>
      </c>
      <c r="L179" s="1299" t="e">
        <f>J179*Factores!$D$7</f>
        <v>#REF!</v>
      </c>
      <c r="M179" s="1299" t="e">
        <f>K179*Factores!$D$7</f>
        <v>#REF!</v>
      </c>
      <c r="S179" s="1321" t="s">
        <v>1052</v>
      </c>
      <c r="T179" s="1322" t="e">
        <f t="shared" si="24"/>
        <v>#REF!</v>
      </c>
      <c r="U179" s="1358" t="e">
        <f t="shared" si="24"/>
        <v>#REF!</v>
      </c>
      <c r="V179" s="1301" t="e">
        <f>T179*Factores!$D$8</f>
        <v>#REF!</v>
      </c>
      <c r="W179" s="1299" t="e">
        <f>U179*Factores!$D$8</f>
        <v>#REF!</v>
      </c>
    </row>
    <row r="180" spans="2:23">
      <c r="B180" s="1304" t="s">
        <v>92</v>
      </c>
      <c r="C180" s="1311" t="s">
        <v>53</v>
      </c>
      <c r="D180" s="1327">
        <f t="shared" si="23"/>
        <v>78.045538606281255</v>
      </c>
      <c r="E180" s="1327" t="e">
        <f t="shared" si="23"/>
        <v>#REF!</v>
      </c>
      <c r="F180" s="1327" t="e">
        <f>+D180-E180</f>
        <v>#REF!</v>
      </c>
      <c r="G180" s="1328" t="e">
        <f>+F180/E180</f>
        <v>#REF!</v>
      </c>
      <c r="I180" s="1321" t="s">
        <v>1053</v>
      </c>
      <c r="J180" s="1322" t="e">
        <f t="shared" si="22"/>
        <v>#REF!</v>
      </c>
      <c r="K180" s="1357" t="e">
        <f>Q168</f>
        <v>#REF!</v>
      </c>
      <c r="L180" s="1299" t="e">
        <f>J180*Factores!$D$7</f>
        <v>#REF!</v>
      </c>
      <c r="M180" s="1299" t="e">
        <f>K180*Factores!$D$7</f>
        <v>#REF!</v>
      </c>
      <c r="S180" s="1321" t="s">
        <v>1082</v>
      </c>
      <c r="T180" s="1322" t="e">
        <f t="shared" si="24"/>
        <v>#REF!</v>
      </c>
      <c r="U180" s="1358" t="e">
        <f t="shared" si="24"/>
        <v>#REF!</v>
      </c>
      <c r="V180" s="1301" t="e">
        <f>T180*Factores!$D$8</f>
        <v>#REF!</v>
      </c>
      <c r="W180" s="1302" t="e">
        <f>U180*Factores!$D$8</f>
        <v>#REF!</v>
      </c>
    </row>
    <row r="181" spans="2:23">
      <c r="B181" s="1304" t="s">
        <v>93</v>
      </c>
      <c r="C181" s="1311" t="s">
        <v>48</v>
      </c>
      <c r="D181" s="1327">
        <f t="shared" si="23"/>
        <v>29.384912310266678</v>
      </c>
      <c r="E181" s="1327">
        <f t="shared" si="23"/>
        <v>26.777705251636434</v>
      </c>
      <c r="F181" s="1327">
        <f>+D181-E181</f>
        <v>2.6072070586302445</v>
      </c>
      <c r="G181" s="1328">
        <f>+F181/E181</f>
        <v>9.736484266032891E-2</v>
      </c>
      <c r="I181" s="1321" t="s">
        <v>1058</v>
      </c>
      <c r="J181" s="1322" t="e">
        <f t="shared" si="22"/>
        <v>#REF!</v>
      </c>
      <c r="K181" s="1358" t="e">
        <f>Q169</f>
        <v>#REF!</v>
      </c>
      <c r="L181" s="1299" t="e">
        <f>J181*Factores!$D$7</f>
        <v>#REF!</v>
      </c>
      <c r="M181" s="1299" t="e">
        <f>K181*Factores!$D$7</f>
        <v>#REF!</v>
      </c>
      <c r="S181" s="1321" t="s">
        <v>1083</v>
      </c>
      <c r="T181" s="1322" t="e">
        <f t="shared" si="24"/>
        <v>#REF!</v>
      </c>
      <c r="U181" s="1358" t="e">
        <f t="shared" si="24"/>
        <v>#REF!</v>
      </c>
      <c r="V181" s="1301" t="e">
        <f>T181*Factores!$D$8</f>
        <v>#REF!</v>
      </c>
      <c r="W181" s="1302" t="e">
        <f>U181*Factores!$D$8</f>
        <v>#REF!</v>
      </c>
    </row>
    <row r="182" spans="2:23">
      <c r="B182" s="1304"/>
      <c r="C182" s="1311"/>
      <c r="D182" s="1327"/>
      <c r="E182" s="1327"/>
      <c r="F182" s="1327"/>
      <c r="G182" s="1328"/>
      <c r="I182" s="1321" t="s">
        <v>1068</v>
      </c>
      <c r="J182" s="1322" t="e">
        <f t="shared" si="22"/>
        <v>#REF!</v>
      </c>
      <c r="K182" s="1356"/>
      <c r="L182" s="1299">
        <f>L183</f>
        <v>21.245925024226782</v>
      </c>
      <c r="M182" s="1299" t="e">
        <f>L181-L182</f>
        <v>#REF!</v>
      </c>
      <c r="S182" s="1321" t="s">
        <v>1068</v>
      </c>
      <c r="T182" s="1322" t="e">
        <f>Z170</f>
        <v>#REF!</v>
      </c>
      <c r="U182" s="1356"/>
      <c r="V182" s="1301">
        <f>V183</f>
        <v>0.49130427394057041</v>
      </c>
      <c r="W182" s="1299" t="e">
        <f>(V181+W181)-V183</f>
        <v>#REF!</v>
      </c>
    </row>
    <row r="183" spans="2:23">
      <c r="B183" s="1304" t="s">
        <v>94</v>
      </c>
      <c r="C183" s="1311" t="s">
        <v>95</v>
      </c>
      <c r="D183" s="1327">
        <f t="shared" ref="D183:E186" si="25">D50</f>
        <v>151.11835423943415</v>
      </c>
      <c r="E183" s="1327" t="e">
        <f t="shared" si="25"/>
        <v>#REF!</v>
      </c>
      <c r="F183" s="1327" t="e">
        <f>+D183-E183</f>
        <v>#REF!</v>
      </c>
      <c r="G183" s="1328" t="e">
        <f>+F183/E183</f>
        <v>#REF!</v>
      </c>
      <c r="I183" s="1359" t="s">
        <v>1090</v>
      </c>
      <c r="L183" s="1299">
        <f>D167</f>
        <v>21.245925024226782</v>
      </c>
      <c r="M183" s="1300"/>
      <c r="S183" s="1359" t="s">
        <v>1091</v>
      </c>
      <c r="V183" s="1301">
        <f>'BM con CuF pagable'!$D$12</f>
        <v>0.49130427394057041</v>
      </c>
      <c r="W183" s="1303"/>
    </row>
    <row r="184" spans="2:23">
      <c r="B184" s="1304" t="s">
        <v>96</v>
      </c>
      <c r="C184" s="1311" t="s">
        <v>48</v>
      </c>
      <c r="D184" s="1327">
        <f t="shared" si="25"/>
        <v>82.085673282578924</v>
      </c>
      <c r="E184" s="1327" t="e">
        <f t="shared" si="25"/>
        <v>#REF!</v>
      </c>
      <c r="F184" s="1327" t="e">
        <f>+D184-E184</f>
        <v>#REF!</v>
      </c>
      <c r="G184" s="1328" t="e">
        <f>+F184/E184</f>
        <v>#REF!</v>
      </c>
      <c r="J184" s="1338">
        <f>D168*0.966</f>
        <v>22.153870236759015</v>
      </c>
      <c r="L184" s="273" t="s">
        <v>114</v>
      </c>
      <c r="T184" s="1360"/>
    </row>
    <row r="185" spans="2:23">
      <c r="B185" s="1304" t="s">
        <v>97</v>
      </c>
      <c r="C185" s="1311" t="s">
        <v>48</v>
      </c>
      <c r="D185" s="1327">
        <f t="shared" si="25"/>
        <v>92.833487014930043</v>
      </c>
      <c r="E185" s="1327" t="e">
        <f t="shared" si="25"/>
        <v>#REF!</v>
      </c>
      <c r="F185" s="1327" t="e">
        <f>+D185-E185</f>
        <v>#REF!</v>
      </c>
      <c r="G185" s="1328" t="e">
        <f>+F185/E185</f>
        <v>#REF!</v>
      </c>
      <c r="J185" s="1312">
        <f>J184-L182</f>
        <v>0.90794521253223337</v>
      </c>
      <c r="L185" s="722">
        <f>L183-L177</f>
        <v>-0.81621076020610772</v>
      </c>
      <c r="T185" s="723"/>
      <c r="V185" s="722">
        <f>V183-V177</f>
        <v>0</v>
      </c>
    </row>
    <row r="186" spans="2:23">
      <c r="B186" s="1304" t="s">
        <v>98</v>
      </c>
      <c r="C186" s="1311" t="s">
        <v>48</v>
      </c>
      <c r="D186" s="1327">
        <f t="shared" si="25"/>
        <v>88.422481931953499</v>
      </c>
      <c r="E186" s="1327" t="e">
        <f t="shared" si="25"/>
        <v>#REF!</v>
      </c>
      <c r="F186" s="1327" t="e">
        <f>+D186-E186</f>
        <v>#REF!</v>
      </c>
      <c r="G186" s="1328" t="e">
        <f>+F186/E186</f>
        <v>#REF!</v>
      </c>
      <c r="J186" s="1312"/>
      <c r="T186" s="723"/>
    </row>
    <row r="187" spans="2:23">
      <c r="J187" s="1312"/>
      <c r="T187" s="723"/>
    </row>
    <row r="188" spans="2:23">
      <c r="J188" s="1312"/>
      <c r="T188" s="723"/>
    </row>
    <row r="189" spans="2:23">
      <c r="J189" s="1312"/>
      <c r="T189" s="723"/>
    </row>
    <row r="190" spans="2:23">
      <c r="J190" s="1312"/>
      <c r="T190" s="723"/>
    </row>
    <row r="191" spans="2:23">
      <c r="J191" s="1312"/>
      <c r="T191" s="723"/>
    </row>
    <row r="192" spans="2:23">
      <c r="J192" s="1312"/>
      <c r="T192" s="723"/>
    </row>
    <row r="193" spans="2:27">
      <c r="J193" s="1312"/>
      <c r="T193" s="723"/>
    </row>
    <row r="194" spans="2:27">
      <c r="J194" s="1312"/>
      <c r="T194" s="723"/>
    </row>
    <row r="195" spans="2:27">
      <c r="J195" s="1312"/>
      <c r="T195" s="723"/>
    </row>
    <row r="197" spans="2:27">
      <c r="B197" s="1310" t="s">
        <v>1073</v>
      </c>
      <c r="C197" s="1311"/>
      <c r="D197" s="1304"/>
      <c r="E197" s="1304"/>
      <c r="I197" s="1298" t="s">
        <v>1079</v>
      </c>
      <c r="M197" s="273">
        <f>O1</f>
        <v>90</v>
      </c>
      <c r="S197" s="1298" t="s">
        <v>1080</v>
      </c>
      <c r="W197" s="273">
        <f>O1</f>
        <v>90</v>
      </c>
    </row>
    <row r="198" spans="2:27">
      <c r="B198" s="1310" t="s">
        <v>1074</v>
      </c>
      <c r="C198" s="1316">
        <f>C108</f>
        <v>0</v>
      </c>
      <c r="D198" s="1304"/>
      <c r="E198" s="1304"/>
      <c r="F198" s="4811" t="s">
        <v>43</v>
      </c>
      <c r="G198" s="4811"/>
      <c r="I198" s="1317"/>
      <c r="J198" s="1318" t="s">
        <v>1084</v>
      </c>
      <c r="K198" s="1318" t="s">
        <v>1085</v>
      </c>
      <c r="L198" s="1318" t="s">
        <v>1046</v>
      </c>
      <c r="M198" s="1321" t="s">
        <v>1047</v>
      </c>
      <c r="N198" s="1331"/>
      <c r="O198" s="1331"/>
      <c r="P198" s="1331"/>
      <c r="Q198" s="1331"/>
      <c r="S198" s="1317"/>
      <c r="T198" s="1318" t="s">
        <v>1084</v>
      </c>
      <c r="U198" s="1318" t="s">
        <v>57</v>
      </c>
      <c r="V198" s="1318" t="s">
        <v>1046</v>
      </c>
      <c r="W198" s="1321" t="s">
        <v>1047</v>
      </c>
    </row>
    <row r="199" spans="2:27">
      <c r="B199" s="1304"/>
      <c r="C199" s="1311" t="s">
        <v>46</v>
      </c>
      <c r="D199" s="1311" t="s">
        <v>57</v>
      </c>
      <c r="E199" s="1311" t="s">
        <v>288</v>
      </c>
      <c r="F199" s="1311" t="s">
        <v>10</v>
      </c>
      <c r="G199" s="1311" t="s">
        <v>48</v>
      </c>
      <c r="I199" s="1321" t="s">
        <v>1048</v>
      </c>
      <c r="J199" s="1322">
        <f>E202</f>
        <v>68.58901260981412</v>
      </c>
      <c r="K199" s="1322">
        <f>D202</f>
        <v>69.24782651706704</v>
      </c>
      <c r="L199" s="1349">
        <f>K199-J199</f>
        <v>0.65881390725292022</v>
      </c>
      <c r="M199" s="1321">
        <f>SUM(M200:M204)</f>
        <v>-1.9787215917678731</v>
      </c>
      <c r="N199" s="1331"/>
      <c r="O199" s="1321" t="s">
        <v>1086</v>
      </c>
      <c r="P199" s="1322">
        <f>J199</f>
        <v>68.58901260981412</v>
      </c>
      <c r="Q199" s="1321"/>
      <c r="S199" s="1321" t="s">
        <v>1081</v>
      </c>
      <c r="T199" s="1322">
        <f>E203</f>
        <v>2.5089172333808136</v>
      </c>
      <c r="U199" s="1322">
        <f>D203</f>
        <v>2.3019281722102938</v>
      </c>
      <c r="V199" s="1321">
        <f>U199-T199</f>
        <v>-0.20698906117051985</v>
      </c>
      <c r="W199" s="1321">
        <f>SUM(W200:W204)</f>
        <v>-0.20813070120969177</v>
      </c>
      <c r="Y199" s="1321" t="s">
        <v>1086</v>
      </c>
      <c r="Z199" s="1322">
        <f>T199</f>
        <v>2.5089172333808136</v>
      </c>
      <c r="AA199" s="1321"/>
    </row>
    <row r="200" spans="2:27">
      <c r="B200" s="1304" t="s">
        <v>1050</v>
      </c>
      <c r="C200" s="1311" t="s">
        <v>53</v>
      </c>
      <c r="D200" s="1327">
        <f t="shared" ref="D200:E203" si="26">D86</f>
        <v>75.921116288304688</v>
      </c>
      <c r="E200" s="1327">
        <f t="shared" si="26"/>
        <v>78.402771219563206</v>
      </c>
      <c r="F200" s="1327">
        <f>+D200-E200</f>
        <v>-2.4816549312585181</v>
      </c>
      <c r="G200" s="1328">
        <f>+F200/E200</f>
        <v>-3.1652643046363275E-2</v>
      </c>
      <c r="I200" s="1321" t="s">
        <v>36</v>
      </c>
      <c r="J200" s="1329">
        <f>E208</f>
        <v>8151.9777351096309</v>
      </c>
      <c r="K200" s="1329">
        <f>D208</f>
        <v>8426.8957127773465</v>
      </c>
      <c r="L200" s="1350">
        <f>K200-J200</f>
        <v>274.9179776677156</v>
      </c>
      <c r="M200" s="1330">
        <f>(L200*K201/100*24*M197)/1000*(K203/100*K202/100)</f>
        <v>2.2599428413779927</v>
      </c>
      <c r="O200" s="1321" t="s">
        <v>1051</v>
      </c>
      <c r="P200" s="1322" t="e">
        <f>IF((M200+$S$9)&gt;0,P199,P199-Q200)</f>
        <v>#REF!</v>
      </c>
      <c r="Q200" s="1352" t="e">
        <f>IF((M200+$S$9)&gt;0,M200+$S$9,-(M200+$S$9))</f>
        <v>#REF!</v>
      </c>
      <c r="S200" s="1321" t="s">
        <v>36</v>
      </c>
      <c r="T200" s="1329">
        <f>E208</f>
        <v>8151.9777351096309</v>
      </c>
      <c r="U200" s="1329">
        <f>D208</f>
        <v>8426.8957127773465</v>
      </c>
      <c r="V200" s="1321">
        <f>U200-T200</f>
        <v>274.9179776677156</v>
      </c>
      <c r="W200" s="1330">
        <f>(V200*U201/100*24*W197)/1000*(U203/100*U202/1000000)</f>
        <v>7.5117380191764699E-2</v>
      </c>
      <c r="Y200" s="1321" t="s">
        <v>1051</v>
      </c>
      <c r="Z200" s="1322" t="e">
        <f>IF((W200+$S$9)&gt;0,Z199,Z199-AA200)</f>
        <v>#REF!</v>
      </c>
      <c r="AA200" s="1352" t="e">
        <f>IF((W200+$S$9)&gt;0,W200+$S$9,-(W200+$S$9))</f>
        <v>#REF!</v>
      </c>
    </row>
    <row r="201" spans="2:27">
      <c r="B201" s="1304" t="s">
        <v>62</v>
      </c>
      <c r="C201" s="1311" t="s">
        <v>53</v>
      </c>
      <c r="D201" s="1327">
        <f t="shared" si="26"/>
        <v>66.124566055788577</v>
      </c>
      <c r="E201" s="1327">
        <f t="shared" si="26"/>
        <v>66.256986181080435</v>
      </c>
      <c r="F201" s="1327">
        <f>+D201-E201</f>
        <v>-0.13242012529185843</v>
      </c>
      <c r="G201" s="1328">
        <f>+F201/E201</f>
        <v>-1.9985835898112545E-3</v>
      </c>
      <c r="I201" s="1321" t="s">
        <v>41</v>
      </c>
      <c r="J201" s="1333">
        <f>E210</f>
        <v>86.325799784486634</v>
      </c>
      <c r="K201" s="1333">
        <f>D210</f>
        <v>82.043160787650493</v>
      </c>
      <c r="L201" s="1351">
        <f>K201-J201</f>
        <v>-4.2826389968361411</v>
      </c>
      <c r="M201" s="1330">
        <f>(L201*J200/100*24*M197)/1000*(K203/100*K202/100)</f>
        <v>-3.4980529819499595</v>
      </c>
      <c r="O201" s="1321" t="s">
        <v>1052</v>
      </c>
      <c r="P201" s="1322" t="e">
        <f>IF((M200+$S$9)&gt;0,IF((M201+$S$9)&gt;0,P200+Q200,P200+Q200-Q201),IF((M201+$S$9)&gt;0,P200,P200-Q201))</f>
        <v>#REF!</v>
      </c>
      <c r="Q201" s="1352" t="e">
        <f>IF((M201+$S$9)&gt;0,M201+$S$9,-(M201+$S$9))</f>
        <v>#REF!</v>
      </c>
      <c r="S201" s="1321" t="s">
        <v>41</v>
      </c>
      <c r="T201" s="1333">
        <f>E210</f>
        <v>86.325799784486634</v>
      </c>
      <c r="U201" s="1333">
        <f>D210</f>
        <v>82.043160787650493</v>
      </c>
      <c r="V201" s="1321">
        <f>U201-T201</f>
        <v>-4.2826389968361411</v>
      </c>
      <c r="W201" s="1330">
        <f>(V201*T200/100*24*W197)/1000*(U203/100*U202/1000000)</f>
        <v>-0.11627045205083661</v>
      </c>
      <c r="Y201" s="1321" t="s">
        <v>1052</v>
      </c>
      <c r="Z201" s="1322" t="e">
        <f>IF((W200+$S$9)&gt;0,IF((W201+$S$9)&gt;0,Z200+AA200,Z200+AA200-AA201),IF((W201+$S$9)&gt;0,Z200,Z200-AA201))</f>
        <v>#REF!</v>
      </c>
      <c r="AA201" s="1352" t="e">
        <f>IF((W201+$S$9)&gt;0,W201+$S$9,-(W201+$S$9))</f>
        <v>#REF!</v>
      </c>
    </row>
    <row r="202" spans="2:27">
      <c r="B202" s="1304" t="s">
        <v>59</v>
      </c>
      <c r="C202" s="1311" t="s">
        <v>53</v>
      </c>
      <c r="D202" s="1327">
        <f t="shared" si="26"/>
        <v>69.24782651706704</v>
      </c>
      <c r="E202" s="1327">
        <f>E88</f>
        <v>68.58901260981412</v>
      </c>
      <c r="F202" s="1327">
        <f>+D202-E202</f>
        <v>0.65881390725292022</v>
      </c>
      <c r="G202" s="1328">
        <f>+F202/E202</f>
        <v>9.6052397050931347E-3</v>
      </c>
      <c r="I202" s="1321" t="s">
        <v>45</v>
      </c>
      <c r="J202" s="1322">
        <f>E212</f>
        <v>0.52083855986685346</v>
      </c>
      <c r="K202" s="1322">
        <f>D212</f>
        <v>0.51253836495611338</v>
      </c>
      <c r="L202" s="1353">
        <f>K202-J202</f>
        <v>-8.3001949107400774E-3</v>
      </c>
      <c r="M202" s="1330">
        <f>(J200*J201/100*24*M197)/1000*(K203/100*L202/100)</f>
        <v>-1.1418720381931087</v>
      </c>
      <c r="O202" s="1321" t="s">
        <v>1053</v>
      </c>
      <c r="P202" s="1322" t="e">
        <f>IF((M201+$S$9)&gt;0,IF((M202+$S$9)&gt;0,P201+Q201,P201+Q201-Q202),IF((M202+$S$9)&gt;0,P201,P201-Q202))</f>
        <v>#REF!</v>
      </c>
      <c r="Q202" s="1352" t="e">
        <f>IF((M202+$S$9)&gt;0,M202+$S$9,-(M202+$S$9))</f>
        <v>#REF!</v>
      </c>
      <c r="S202" s="1321" t="s">
        <v>1054</v>
      </c>
      <c r="T202" s="1322">
        <f>E217</f>
        <v>197.52627780568733</v>
      </c>
      <c r="U202" s="1322">
        <f>D217</f>
        <v>192.66735748300661</v>
      </c>
      <c r="V202" s="1321">
        <f>U202-T202</f>
        <v>-4.8589203226807172</v>
      </c>
      <c r="W202" s="1330">
        <f>(T200*T201/100*24*W197)/1000*(U203/100*V202/1000000)</f>
        <v>-5.9105805587702412E-2</v>
      </c>
      <c r="Y202" s="1321" t="s">
        <v>1082</v>
      </c>
      <c r="Z202" s="1322" t="e">
        <f>IF((W201+$S$9)&gt;0,IF((W202+$S$9)&gt;0,Z201+AA201,Z201+AA201-AA202),IF((W202+$S$9)&gt;0,Z201,Z201-AA202))</f>
        <v>#REF!</v>
      </c>
      <c r="AA202" s="1352" t="e">
        <f>IF((W202+$S$9)&gt;0,W202+$S$9,-(W202+$S$9))</f>
        <v>#REF!</v>
      </c>
    </row>
    <row r="203" spans="2:27">
      <c r="B203" s="1304" t="s">
        <v>66</v>
      </c>
      <c r="C203" s="1311" t="s">
        <v>53</v>
      </c>
      <c r="D203" s="1327">
        <f t="shared" si="26"/>
        <v>2.3019281722102938</v>
      </c>
      <c r="E203" s="1327">
        <f t="shared" si="26"/>
        <v>2.5089172333808136</v>
      </c>
      <c r="F203" s="1348">
        <f>+D203-E203</f>
        <v>-0.20698906117051985</v>
      </c>
      <c r="G203" s="1328">
        <f>+F203/E203</f>
        <v>-8.2501350947953814E-2</v>
      </c>
      <c r="I203" s="1321" t="s">
        <v>51</v>
      </c>
      <c r="J203" s="1333">
        <f>E213</f>
        <v>89.998004776086447</v>
      </c>
      <c r="K203" s="1333">
        <f>D213</f>
        <v>90.504839111115729</v>
      </c>
      <c r="L203" s="1354">
        <f>K203-J203</f>
        <v>0.5068343350292821</v>
      </c>
      <c r="M203" s="1330">
        <f>(J200*J201/100*24*M197)/1000*(L203/100*J202/100)</f>
        <v>0.40126058699720263</v>
      </c>
      <c r="O203" s="1321" t="s">
        <v>1058</v>
      </c>
      <c r="P203" s="1322" t="e">
        <f>IF((M202+$S$9)&gt;0,IF((M203+$S$9)&gt;0,P202+Q202,P202+Q202-Q203),IF((M203+$S$9)&gt;0,P202,P202-Q203))</f>
        <v>#REF!</v>
      </c>
      <c r="Q203" s="1352" t="e">
        <f>IF((M203+$S$9)&gt;0,M203+$S$9,-(M203+$S$9))</f>
        <v>#REF!</v>
      </c>
      <c r="S203" s="1321" t="s">
        <v>1059</v>
      </c>
      <c r="T203" s="1335">
        <f>E218</f>
        <v>83.619091451728735</v>
      </c>
      <c r="U203" s="1335">
        <f>D218</f>
        <v>80.026351406553701</v>
      </c>
      <c r="V203" s="1321">
        <f>U203-T203</f>
        <v>-3.5927400451750344</v>
      </c>
      <c r="W203" s="1330">
        <f>(T200*T201/100*24*W197)/1000*(V203/100*T202/1000000)</f>
        <v>-0.10787182376291744</v>
      </c>
      <c r="Y203" s="1321" t="s">
        <v>1083</v>
      </c>
      <c r="Z203" s="1322" t="e">
        <f>IF((W202+$S$9)&gt;0,IF((W203+$S$9)&gt;0,Z202+AA202,Z202+AA202-AA203),IF((W203+$S$9)&gt;0,Z202,Z202-AA203))</f>
        <v>#REF!</v>
      </c>
      <c r="AA203" s="1352" t="e">
        <f>IF((W203+$S$9)&gt;0,W203+$S$9,-(W203+$S$9))</f>
        <v>#REF!</v>
      </c>
    </row>
    <row r="204" spans="2:27">
      <c r="B204" s="1304" t="s">
        <v>1056</v>
      </c>
      <c r="C204" s="1311" t="s">
        <v>1057</v>
      </c>
      <c r="D204" s="1327">
        <f>D90</f>
        <v>2.1888169452353146</v>
      </c>
      <c r="E204" s="1327">
        <f>E90</f>
        <v>2.4838907839778406</v>
      </c>
      <c r="F204" s="1327">
        <f>+D204-E204</f>
        <v>-0.29507383874252602</v>
      </c>
      <c r="G204" s="1328">
        <f>+F204/E204</f>
        <v>-0.11879501330971501</v>
      </c>
      <c r="I204" s="1321"/>
      <c r="J204" s="1321"/>
      <c r="K204" s="1322"/>
      <c r="L204" s="1321"/>
      <c r="M204" s="1321"/>
      <c r="N204" s="1331"/>
      <c r="O204" s="1321" t="s">
        <v>1061</v>
      </c>
      <c r="P204" s="1322" t="e">
        <f>IF((M203+$S$9)&gt;0,IF((M204+$S$9)&gt;0,P203+Q203,P203+Q203-Q204),IF((M204+$S$9)&gt;0,P203,P203-Q204))</f>
        <v>#REF!</v>
      </c>
      <c r="Q204" s="1322"/>
      <c r="S204" s="1321"/>
      <c r="T204" s="1321"/>
      <c r="U204" s="1322"/>
      <c r="V204" s="1321"/>
      <c r="W204" s="1321"/>
      <c r="Y204" s="1321" t="s">
        <v>1061</v>
      </c>
      <c r="Z204" s="1322" t="e">
        <f>IF((W203+$S$9)&gt;0,IF((W204+$S$9)&gt;0,Z203+AA203,Z203+AA203-AA204),IF((W204+$S$9)&gt;0,Z203,Z203-AA204))</f>
        <v>#REF!</v>
      </c>
      <c r="AA204" s="1322"/>
    </row>
    <row r="205" spans="2:27">
      <c r="I205" s="1295" t="s">
        <v>244</v>
      </c>
      <c r="J205" s="1321">
        <f>J145</f>
        <v>2.899</v>
      </c>
      <c r="K205" s="1331"/>
      <c r="L205" s="1331"/>
      <c r="M205" s="1338"/>
      <c r="N205" s="1338"/>
      <c r="O205" s="1338"/>
      <c r="P205" s="1338"/>
      <c r="Q205" s="1338"/>
      <c r="S205" s="1295" t="s">
        <v>244</v>
      </c>
      <c r="T205" s="1321">
        <f>J205</f>
        <v>2.899</v>
      </c>
      <c r="U205" s="1331"/>
      <c r="V205" s="1331"/>
      <c r="W205" s="1338"/>
    </row>
    <row r="206" spans="2:27">
      <c r="B206" s="1304" t="s">
        <v>78</v>
      </c>
      <c r="C206" s="1311" t="s">
        <v>53</v>
      </c>
      <c r="D206" s="1336">
        <f t="shared" ref="D206:E215" si="27">D92</f>
        <v>14929.683820629605</v>
      </c>
      <c r="E206" s="1336">
        <f t="shared" si="27"/>
        <v>15189.938313137327</v>
      </c>
      <c r="F206" s="1336">
        <f>+D206-E206</f>
        <v>-260.25449250772181</v>
      </c>
      <c r="G206" s="1328">
        <f>+F206/E206</f>
        <v>-1.7133347558273847E-2</v>
      </c>
      <c r="I206" s="1296" t="s">
        <v>245</v>
      </c>
      <c r="J206" s="1321">
        <f>J146</f>
        <v>0.96199999999999997</v>
      </c>
      <c r="K206" s="1331"/>
      <c r="L206" s="1331"/>
      <c r="M206" s="1331"/>
      <c r="N206" s="1331"/>
      <c r="O206" s="1331"/>
      <c r="P206" s="1331"/>
      <c r="Q206" s="1331"/>
      <c r="S206" s="1296" t="s">
        <v>245</v>
      </c>
      <c r="T206" s="1321">
        <f>J206</f>
        <v>0.96199999999999997</v>
      </c>
      <c r="U206" s="1331"/>
      <c r="V206" s="1331"/>
      <c r="W206" s="1331"/>
    </row>
    <row r="207" spans="2:27">
      <c r="B207" s="1304" t="s">
        <v>79</v>
      </c>
      <c r="C207" s="1311" t="s">
        <v>75</v>
      </c>
      <c r="D207" s="1327">
        <f t="shared" si="27"/>
        <v>165.8853757847734</v>
      </c>
      <c r="E207" s="1327">
        <f t="shared" si="27"/>
        <v>168.77709236819251</v>
      </c>
      <c r="F207" s="1327">
        <f>+D207-E207</f>
        <v>-2.891716583419111</v>
      </c>
      <c r="G207" s="1328">
        <f>+F207/E207</f>
        <v>-1.7133347558273729E-2</v>
      </c>
      <c r="I207" s="1296" t="s">
        <v>71</v>
      </c>
      <c r="J207" s="1321">
        <f>J147</f>
        <v>0.995</v>
      </c>
      <c r="K207" s="1331"/>
      <c r="L207" s="1331"/>
      <c r="M207" s="1331"/>
      <c r="N207" s="1331"/>
      <c r="O207" s="1331"/>
      <c r="P207" s="1331"/>
      <c r="Q207" s="1331"/>
      <c r="S207" s="1296" t="s">
        <v>71</v>
      </c>
      <c r="T207" s="1321">
        <f>J207</f>
        <v>0.995</v>
      </c>
      <c r="U207" s="1331"/>
      <c r="V207" s="1331"/>
      <c r="W207" s="1331"/>
    </row>
    <row r="208" spans="2:27">
      <c r="B208" s="1304" t="s">
        <v>80</v>
      </c>
      <c r="C208" s="1311" t="s">
        <v>81</v>
      </c>
      <c r="D208" s="1327">
        <f t="shared" si="27"/>
        <v>8426.8957127773465</v>
      </c>
      <c r="E208" s="1327">
        <f t="shared" si="27"/>
        <v>8151.9777351096309</v>
      </c>
      <c r="F208" s="1336">
        <f>+D208-E208</f>
        <v>274.9179776677156</v>
      </c>
      <c r="G208" s="1328">
        <f>+F208/E208</f>
        <v>3.3724083480217992E-2</v>
      </c>
    </row>
    <row r="209" spans="1:23">
      <c r="B209" s="1304" t="s">
        <v>82</v>
      </c>
      <c r="C209" s="1311" t="s">
        <v>48</v>
      </c>
      <c r="D209" s="1327">
        <f t="shared" si="27"/>
        <v>0</v>
      </c>
      <c r="E209" s="1327">
        <f t="shared" si="27"/>
        <v>0</v>
      </c>
      <c r="F209" s="1327">
        <f>+D209-E209</f>
        <v>0</v>
      </c>
      <c r="G209" s="1328" t="e">
        <f>+F209/E209</f>
        <v>#DIV/0!</v>
      </c>
    </row>
    <row r="210" spans="1:23">
      <c r="B210" s="1304" t="s">
        <v>85</v>
      </c>
      <c r="C210" s="1311" t="s">
        <v>48</v>
      </c>
      <c r="D210" s="1327">
        <f t="shared" si="27"/>
        <v>82.043160787650493</v>
      </c>
      <c r="E210" s="1327">
        <f t="shared" si="27"/>
        <v>86.325799784486634</v>
      </c>
      <c r="F210" s="1327">
        <f>+D210-E210</f>
        <v>-4.2826389968361411</v>
      </c>
      <c r="G210" s="1328">
        <f>+F210/E210</f>
        <v>-4.9610186149769815E-2</v>
      </c>
      <c r="L210" s="1298" t="s">
        <v>1087</v>
      </c>
      <c r="V210" s="1298" t="s">
        <v>1088</v>
      </c>
    </row>
    <row r="211" spans="1:23">
      <c r="B211" s="1304"/>
      <c r="C211" s="1311"/>
      <c r="D211" s="1327">
        <f t="shared" si="27"/>
        <v>0</v>
      </c>
      <c r="E211" s="1327">
        <f t="shared" si="27"/>
        <v>0</v>
      </c>
      <c r="F211" s="1327"/>
      <c r="G211" s="1328"/>
      <c r="I211" s="1321" t="s">
        <v>1089</v>
      </c>
      <c r="J211" s="1322">
        <f t="shared" ref="J211:J216" si="28">P199</f>
        <v>68.58901260981412</v>
      </c>
      <c r="K211" s="1356"/>
      <c r="L211" s="1299">
        <f>J211*Factores!$D$7</f>
        <v>65.982630130641184</v>
      </c>
      <c r="M211" s="1300"/>
      <c r="S211" s="1321" t="s">
        <v>1086</v>
      </c>
      <c r="T211" s="1322">
        <f>E203</f>
        <v>2.5089172333808136</v>
      </c>
      <c r="U211" s="1356"/>
      <c r="V211" s="1301">
        <f>T211*Factores!$D$8</f>
        <v>2.4963726472139096</v>
      </c>
      <c r="W211" s="1299"/>
    </row>
    <row r="212" spans="1:23">
      <c r="B212" s="1304" t="s">
        <v>89</v>
      </c>
      <c r="C212" s="1311" t="s">
        <v>48</v>
      </c>
      <c r="D212" s="1327">
        <f t="shared" si="27"/>
        <v>0.51253836495611338</v>
      </c>
      <c r="E212" s="1327">
        <f t="shared" si="27"/>
        <v>0.52083855986685346</v>
      </c>
      <c r="F212" s="1334">
        <f>+D212-E212</f>
        <v>-8.3001949107400774E-3</v>
      </c>
      <c r="G212" s="1328">
        <f>+F212/E212</f>
        <v>-1.5936214309597064E-2</v>
      </c>
      <c r="I212" s="1321" t="s">
        <v>1051</v>
      </c>
      <c r="J212" s="1322" t="e">
        <f t="shared" si="28"/>
        <v>#REF!</v>
      </c>
      <c r="K212" s="1357" t="e">
        <f>Q200</f>
        <v>#REF!</v>
      </c>
      <c r="L212" s="1299" t="e">
        <f>J212*Factores!$D$7</f>
        <v>#REF!</v>
      </c>
      <c r="M212" s="1299" t="e">
        <f>K212*Factores!$D$7</f>
        <v>#REF!</v>
      </c>
      <c r="S212" s="1321" t="s">
        <v>1051</v>
      </c>
      <c r="T212" s="1322" t="e">
        <f t="shared" ref="T212:U215" si="29">Z200</f>
        <v>#REF!</v>
      </c>
      <c r="U212" s="1357" t="e">
        <f t="shared" si="29"/>
        <v>#REF!</v>
      </c>
      <c r="V212" s="1301" t="e">
        <f>T212*Factores!$D$8</f>
        <v>#REF!</v>
      </c>
      <c r="W212" s="1299" t="e">
        <f>U212*Factores!$D$8</f>
        <v>#REF!</v>
      </c>
    </row>
    <row r="213" spans="1:23">
      <c r="B213" s="1304" t="s">
        <v>90</v>
      </c>
      <c r="C213" s="1311" t="s">
        <v>48</v>
      </c>
      <c r="D213" s="1327">
        <f t="shared" si="27"/>
        <v>90.504839111115729</v>
      </c>
      <c r="E213" s="1327">
        <f t="shared" si="27"/>
        <v>89.998004776086447</v>
      </c>
      <c r="F213" s="1327">
        <f>+D213-E213</f>
        <v>0.5068343350292821</v>
      </c>
      <c r="G213" s="1328">
        <f>+F213/E213</f>
        <v>5.6316174596345503E-3</v>
      </c>
      <c r="I213" s="1321" t="s">
        <v>1052</v>
      </c>
      <c r="J213" s="1322" t="e">
        <f t="shared" si="28"/>
        <v>#REF!</v>
      </c>
      <c r="K213" s="1357" t="e">
        <f>Q201</f>
        <v>#REF!</v>
      </c>
      <c r="L213" s="1299" t="e">
        <f>J213*Factores!$D$7</f>
        <v>#REF!</v>
      </c>
      <c r="M213" s="1299" t="e">
        <f>K213*Factores!$D$7</f>
        <v>#REF!</v>
      </c>
      <c r="S213" s="1321" t="s">
        <v>1052</v>
      </c>
      <c r="T213" s="1322" t="e">
        <f t="shared" si="29"/>
        <v>#REF!</v>
      </c>
      <c r="U213" s="1358" t="e">
        <f t="shared" si="29"/>
        <v>#REF!</v>
      </c>
      <c r="V213" s="1301" t="e">
        <f>T213*Factores!$D$8</f>
        <v>#REF!</v>
      </c>
      <c r="W213" s="1299" t="e">
        <f>U213*Factores!$D$8</f>
        <v>#REF!</v>
      </c>
    </row>
    <row r="214" spans="1:23">
      <c r="B214" s="1304" t="s">
        <v>92</v>
      </c>
      <c r="C214" s="1311" t="s">
        <v>53</v>
      </c>
      <c r="D214" s="1327">
        <f t="shared" si="27"/>
        <v>259.00300763005976</v>
      </c>
      <c r="E214" s="1327">
        <f t="shared" si="27"/>
        <v>254.52677203830268</v>
      </c>
      <c r="F214" s="1327">
        <f>+D214-E214</f>
        <v>4.4762355917570744</v>
      </c>
      <c r="G214" s="1328">
        <f>+F214/E214</f>
        <v>1.7586502024562918E-2</v>
      </c>
      <c r="I214" s="1321" t="s">
        <v>1053</v>
      </c>
      <c r="J214" s="1322" t="e">
        <f t="shared" si="28"/>
        <v>#REF!</v>
      </c>
      <c r="K214" s="1357" t="e">
        <f>Q202</f>
        <v>#REF!</v>
      </c>
      <c r="L214" s="1299" t="e">
        <f>J214*Factores!$D$7</f>
        <v>#REF!</v>
      </c>
      <c r="M214" s="1299" t="e">
        <f>K214*Factores!$D$7</f>
        <v>#REF!</v>
      </c>
      <c r="S214" s="1321" t="s">
        <v>1082</v>
      </c>
      <c r="T214" s="1322" t="e">
        <f t="shared" si="29"/>
        <v>#REF!</v>
      </c>
      <c r="U214" s="1358" t="e">
        <f t="shared" si="29"/>
        <v>#REF!</v>
      </c>
      <c r="V214" s="1301" t="e">
        <f>T214*Factores!$D$8</f>
        <v>#REF!</v>
      </c>
      <c r="W214" s="1302" t="e">
        <f>U214*Factores!$D$8</f>
        <v>#REF!</v>
      </c>
    </row>
    <row r="215" spans="1:23">
      <c r="B215" s="1304" t="s">
        <v>93</v>
      </c>
      <c r="C215" s="1311" t="s">
        <v>48</v>
      </c>
      <c r="D215" s="1327">
        <f t="shared" si="27"/>
        <v>26.736302080312278</v>
      </c>
      <c r="E215" s="1327">
        <f t="shared" si="27"/>
        <v>27.974256407925751</v>
      </c>
      <c r="F215" s="1327">
        <f>+D215-E215</f>
        <v>-1.2379543276134726</v>
      </c>
      <c r="G215" s="1328">
        <f>+F215/E215</f>
        <v>-4.4253341699646807E-2</v>
      </c>
      <c r="I215" s="1321" t="s">
        <v>1058</v>
      </c>
      <c r="J215" s="1322" t="e">
        <f t="shared" si="28"/>
        <v>#REF!</v>
      </c>
      <c r="K215" s="1358" t="e">
        <f>Q203</f>
        <v>#REF!</v>
      </c>
      <c r="L215" s="1299" t="e">
        <f>J215*Factores!$D$7</f>
        <v>#REF!</v>
      </c>
      <c r="M215" s="1299" t="e">
        <f>K215*Factores!$D$7</f>
        <v>#REF!</v>
      </c>
      <c r="S215" s="1321" t="s">
        <v>1083</v>
      </c>
      <c r="T215" s="1322" t="e">
        <f t="shared" si="29"/>
        <v>#REF!</v>
      </c>
      <c r="U215" s="1358" t="e">
        <f t="shared" si="29"/>
        <v>#REF!</v>
      </c>
      <c r="V215" s="1301" t="e">
        <f>T215*Factores!$D$8</f>
        <v>#REF!</v>
      </c>
      <c r="W215" s="1302" t="e">
        <f>U215*Factores!$D$8</f>
        <v>#REF!</v>
      </c>
    </row>
    <row r="216" spans="1:23">
      <c r="B216" s="1304"/>
      <c r="C216" s="1311"/>
      <c r="D216" s="1327"/>
      <c r="E216" s="1327"/>
      <c r="F216" s="1327"/>
      <c r="G216" s="1328"/>
      <c r="I216" s="1321" t="s">
        <v>1068</v>
      </c>
      <c r="J216" s="1322" t="e">
        <f t="shared" si="28"/>
        <v>#REF!</v>
      </c>
      <c r="K216" s="1356"/>
      <c r="L216" s="1299">
        <f>L217</f>
        <v>66.124566055788577</v>
      </c>
      <c r="M216" s="1299" t="e">
        <f>L215+M215-L217</f>
        <v>#REF!</v>
      </c>
      <c r="S216" s="1321" t="s">
        <v>1068</v>
      </c>
      <c r="T216" s="1322" t="e">
        <f>Z204</f>
        <v>#REF!</v>
      </c>
      <c r="U216" s="1356"/>
      <c r="V216" s="1301">
        <f>V217</f>
        <v>2.1888169452353146</v>
      </c>
      <c r="W216" s="1299" t="e">
        <f>V215+W215-V217</f>
        <v>#REF!</v>
      </c>
    </row>
    <row r="217" spans="1:23">
      <c r="B217" s="1304" t="s">
        <v>94</v>
      </c>
      <c r="C217" s="1311" t="s">
        <v>95</v>
      </c>
      <c r="D217" s="1327">
        <f t="shared" ref="D217:E220" si="30">D103</f>
        <v>192.66735748300661</v>
      </c>
      <c r="E217" s="1327">
        <f t="shared" si="30"/>
        <v>197.52627780568733</v>
      </c>
      <c r="F217" s="1327">
        <f>+D217-E217</f>
        <v>-4.8589203226807172</v>
      </c>
      <c r="G217" s="1328">
        <f>+F217/E217</f>
        <v>-2.4598855284766651E-2</v>
      </c>
      <c r="I217" s="1359" t="s">
        <v>1090</v>
      </c>
      <c r="L217" s="1299">
        <f>'Comparacion (Sin BM)'!Q95</f>
        <v>66.124566055788577</v>
      </c>
      <c r="M217" s="1300"/>
      <c r="S217" s="1359" t="s">
        <v>1091</v>
      </c>
      <c r="V217" s="1301">
        <f>'BM con CuF pagable'!D84</f>
        <v>2.1888169452353146</v>
      </c>
      <c r="W217" s="1303"/>
    </row>
    <row r="218" spans="1:23">
      <c r="B218" s="1304" t="s">
        <v>96</v>
      </c>
      <c r="C218" s="1311" t="s">
        <v>48</v>
      </c>
      <c r="D218" s="1327">
        <f t="shared" si="30"/>
        <v>80.026351406553701</v>
      </c>
      <c r="E218" s="1327">
        <f t="shared" si="30"/>
        <v>83.619091451728735</v>
      </c>
      <c r="F218" s="1327">
        <f>+D218-E218</f>
        <v>-3.5927400451750344</v>
      </c>
      <c r="G218" s="1328">
        <f>+F218/E218</f>
        <v>-4.2965547494007821E-2</v>
      </c>
    </row>
    <row r="219" spans="1:23">
      <c r="B219" s="1304" t="s">
        <v>97</v>
      </c>
      <c r="C219" s="1311" t="s">
        <v>48</v>
      </c>
      <c r="D219" s="1327">
        <f t="shared" si="30"/>
        <v>90.314190671165463</v>
      </c>
      <c r="E219" s="1327">
        <f t="shared" si="30"/>
        <v>93.662072089683008</v>
      </c>
      <c r="F219" s="1327">
        <f>+D219-E219</f>
        <v>-3.3478814185175452</v>
      </c>
      <c r="G219" s="1328">
        <f>+F219/E219</f>
        <v>-3.5744259590070701E-2</v>
      </c>
      <c r="L219" s="722">
        <f>L217-L211</f>
        <v>0.1419359251473935</v>
      </c>
      <c r="V219" s="722">
        <f>V217-V211</f>
        <v>-0.30755570197859505</v>
      </c>
    </row>
    <row r="220" spans="1:23">
      <c r="B220" s="1304" t="s">
        <v>98</v>
      </c>
      <c r="C220" s="1311" t="s">
        <v>48</v>
      </c>
      <c r="D220" s="1327">
        <f t="shared" si="30"/>
        <v>88.630655454756081</v>
      </c>
      <c r="E220" s="1327">
        <f t="shared" si="30"/>
        <v>89.277430646272748</v>
      </c>
      <c r="F220" s="1327">
        <f>+D220-E220</f>
        <v>-0.64677519151666729</v>
      </c>
      <c r="G220" s="1328">
        <f>+F220/E220</f>
        <v>-7.2445542712722497E-3</v>
      </c>
    </row>
    <row r="222" spans="1:23">
      <c r="A222" s="1297"/>
    </row>
    <row r="223" spans="1:23">
      <c r="B223" s="1310" t="s">
        <v>1062</v>
      </c>
      <c r="C223" s="1311"/>
      <c r="D223" s="1304"/>
      <c r="E223" s="1304"/>
      <c r="I223" s="1317"/>
      <c r="J223" s="1318" t="s">
        <v>844</v>
      </c>
      <c r="K223" s="1318" t="s">
        <v>57</v>
      </c>
      <c r="L223" s="1318" t="s">
        <v>1046</v>
      </c>
      <c r="M223" s="1319" t="s">
        <v>1047</v>
      </c>
      <c r="N223" s="1320"/>
    </row>
    <row r="224" spans="1:23">
      <c r="B224" s="1310" t="s">
        <v>1045</v>
      </c>
      <c r="C224" s="1316"/>
      <c r="D224" s="1304"/>
      <c r="E224" s="1304"/>
      <c r="F224" s="4811" t="s">
        <v>43</v>
      </c>
      <c r="G224" s="4811"/>
      <c r="I224" s="1321" t="s">
        <v>1048</v>
      </c>
      <c r="J224" s="1322">
        <f>E226</f>
        <v>22.933613081531071</v>
      </c>
      <c r="K224" s="1322">
        <f>D226</f>
        <v>24.365061413343849</v>
      </c>
      <c r="L224" s="1361">
        <f t="shared" ref="L224:L229" si="31">K224-J224</f>
        <v>1.4314483318127778</v>
      </c>
      <c r="M224" s="1319" t="e">
        <f>SUM(M225:M231)</f>
        <v>#REF!</v>
      </c>
      <c r="N224" s="1324"/>
      <c r="O224" s="1321" t="s">
        <v>1089</v>
      </c>
      <c r="P224" s="1322">
        <f>J224</f>
        <v>22.933613081531071</v>
      </c>
      <c r="Q224" s="1321"/>
    </row>
    <row r="225" spans="2:19">
      <c r="B225" s="1304"/>
      <c r="C225" s="1311" t="s">
        <v>46</v>
      </c>
      <c r="D225" s="1311" t="s">
        <v>57</v>
      </c>
      <c r="E225" s="1311" t="s">
        <v>288</v>
      </c>
      <c r="F225" s="1311" t="s">
        <v>10</v>
      </c>
      <c r="G225" s="1311" t="s">
        <v>48</v>
      </c>
      <c r="I225" s="1321" t="s">
        <v>1092</v>
      </c>
      <c r="J225" s="1329" t="e">
        <f>E232</f>
        <v>#REF!</v>
      </c>
      <c r="K225" s="1329">
        <f>D232</f>
        <v>3980.5481482771197</v>
      </c>
      <c r="L225" s="1350" t="e">
        <f t="shared" si="31"/>
        <v>#REF!</v>
      </c>
      <c r="M225" s="1330" t="e">
        <f>L225*(K228/100*K226/100*J233+K229/100*K227/1000000*J232*J234)</f>
        <v>#REF!</v>
      </c>
      <c r="N225" s="1331"/>
      <c r="O225" s="1321" t="s">
        <v>1092</v>
      </c>
      <c r="P225" s="1322" t="e">
        <f>IF((M225+$S$9)&gt;0,P224,P224-Q225)</f>
        <v>#REF!</v>
      </c>
      <c r="Q225" s="1352" t="e">
        <f>IF((M225+$S$9)&gt;0,M225+$S$9,-(M225+$S$9))</f>
        <v>#REF!</v>
      </c>
    </row>
    <row r="226" spans="2:19">
      <c r="B226" s="1304" t="s">
        <v>1050</v>
      </c>
      <c r="C226" s="1311" t="s">
        <v>53</v>
      </c>
      <c r="D226" s="1327">
        <f t="shared" ref="D226:E230" si="32">D253</f>
        <v>24.365061413343849</v>
      </c>
      <c r="E226" s="1327">
        <f t="shared" si="32"/>
        <v>22.933613081531071</v>
      </c>
      <c r="F226" s="1327">
        <f>+D226-E226</f>
        <v>1.4314483318127778</v>
      </c>
      <c r="G226" s="1328">
        <f>+F226/E226</f>
        <v>6.241704378302055E-2</v>
      </c>
      <c r="I226" s="1321" t="s">
        <v>45</v>
      </c>
      <c r="J226" s="1333" t="e">
        <f>E238</f>
        <v>#REF!</v>
      </c>
      <c r="K226" s="1333">
        <f>D238</f>
        <v>0.63704189198698991</v>
      </c>
      <c r="L226" s="1355" t="e">
        <f t="shared" si="31"/>
        <v>#REF!</v>
      </c>
      <c r="M226" s="1330" t="e">
        <f>(J225)*(K228/100*L226/100*J233)</f>
        <v>#REF!</v>
      </c>
      <c r="O226" s="1321" t="s">
        <v>1053</v>
      </c>
      <c r="P226" s="1322" t="e">
        <f>IF((M225+$S$9)&gt;0,IF((M226+$S$9)&gt;0,P225+Q225,P225+Q225-Q226),IF((M226+$S$9)&gt;0,P225,P225-Q226))</f>
        <v>#REF!</v>
      </c>
      <c r="Q226" s="1322" t="e">
        <f>IF((M226+$S$9)&gt;0,M226+$S$9,-(M226+$S$9))</f>
        <v>#REF!</v>
      </c>
      <c r="S226" s="273" t="e">
        <f>(L224-M224)/6</f>
        <v>#REF!</v>
      </c>
    </row>
    <row r="227" spans="2:19">
      <c r="B227" s="1304" t="s">
        <v>62</v>
      </c>
      <c r="C227" s="1311" t="s">
        <v>53</v>
      </c>
      <c r="D227" s="1327">
        <f t="shared" si="32"/>
        <v>21.245925024226782</v>
      </c>
      <c r="E227" s="1327">
        <f t="shared" si="32"/>
        <v>31.316638511727174</v>
      </c>
      <c r="F227" s="1327">
        <f>+D227-E227</f>
        <v>-10.070713487500392</v>
      </c>
      <c r="G227" s="1328">
        <f>+F227/E227</f>
        <v>-0.32157709020172143</v>
      </c>
      <c r="I227" s="1321" t="s">
        <v>1054</v>
      </c>
      <c r="J227" s="1322" t="e">
        <f>E243</f>
        <v>#REF!</v>
      </c>
      <c r="K227" s="1322">
        <f>D243</f>
        <v>151.11835423943415</v>
      </c>
      <c r="L227" s="1322" t="e">
        <f t="shared" si="31"/>
        <v>#REF!</v>
      </c>
      <c r="M227" s="1330" t="e">
        <f>(J225)*(K229/100*L227/1000000*J232*J234)</f>
        <v>#REF!</v>
      </c>
      <c r="N227" s="1331"/>
      <c r="O227" s="1321" t="s">
        <v>1055</v>
      </c>
      <c r="P227" s="1322" t="e">
        <f>IF((M226+$S$9)&gt;0,IF((M227+$S$9)&gt;0,P226+Q226,P226+Q226-Q227),IF((M227+$S$9)&gt;0,P226,P226-Q227))</f>
        <v>#REF!</v>
      </c>
      <c r="Q227" s="1322" t="e">
        <f>IF((M227+$S$9)&gt;0,M227+$S$9,-(M227+$S$9))</f>
        <v>#REF!</v>
      </c>
    </row>
    <row r="228" spans="2:19">
      <c r="B228" s="1304" t="s">
        <v>59</v>
      </c>
      <c r="C228" s="1311" t="s">
        <v>53</v>
      </c>
      <c r="D228" s="1327">
        <f t="shared" si="32"/>
        <v>22.933613081531071</v>
      </c>
      <c r="E228" s="1327">
        <f t="shared" si="32"/>
        <v>22.933613081531071</v>
      </c>
      <c r="F228" s="1327">
        <f>+D228-E228</f>
        <v>0</v>
      </c>
      <c r="G228" s="1328">
        <f>+F228/E228</f>
        <v>0</v>
      </c>
      <c r="I228" s="1321" t="s">
        <v>51</v>
      </c>
      <c r="J228" s="1335" t="e">
        <f>E239</f>
        <v>#REF!</v>
      </c>
      <c r="K228" s="1335">
        <f>D239</f>
        <v>90.440219377357522</v>
      </c>
      <c r="L228" s="1335" t="e">
        <f t="shared" si="31"/>
        <v>#REF!</v>
      </c>
      <c r="M228" s="1330" t="e">
        <f>J225*(L228/100*J226/100*J233)</f>
        <v>#REF!</v>
      </c>
      <c r="N228" s="1331"/>
      <c r="O228" s="1321" t="s">
        <v>1058</v>
      </c>
      <c r="P228" s="1322" t="e">
        <f>IF((M227+$S$9)&gt;0,IF((M228+$S$9)&gt;0,P227+Q227,P227+Q227-Q228),IF((M228+$S$9)&gt;0,P227,P227-Q228))</f>
        <v>#REF!</v>
      </c>
      <c r="Q228" s="1352" t="e">
        <f>IF((M228+$S$9)&gt;0,M228+$S$9,-(M228+$S$9))</f>
        <v>#REF!</v>
      </c>
    </row>
    <row r="229" spans="2:19">
      <c r="B229" s="1304" t="s">
        <v>66</v>
      </c>
      <c r="C229" s="1311" t="s">
        <v>53</v>
      </c>
      <c r="D229" s="1327">
        <f t="shared" si="32"/>
        <v>0.49377313963876424</v>
      </c>
      <c r="E229" s="1327">
        <f t="shared" si="32"/>
        <v>0.49377313963876424</v>
      </c>
      <c r="F229" s="1334">
        <f>+D229-E229</f>
        <v>0</v>
      </c>
      <c r="G229" s="1328">
        <f>+F229/E229</f>
        <v>0</v>
      </c>
      <c r="I229" s="1321" t="s">
        <v>1059</v>
      </c>
      <c r="J229" s="1333" t="e">
        <f>E244</f>
        <v>#REF!</v>
      </c>
      <c r="K229" s="1333">
        <f>D244</f>
        <v>82.085673282578924</v>
      </c>
      <c r="L229" s="1333" t="e">
        <f t="shared" si="31"/>
        <v>#REF!</v>
      </c>
      <c r="M229" s="1330" t="e">
        <f>J225*(L229/100*J227/1000000*J232*J234)</f>
        <v>#REF!</v>
      </c>
      <c r="N229" s="1331"/>
      <c r="O229" s="1321" t="s">
        <v>1060</v>
      </c>
      <c r="P229" s="1322" t="e">
        <f>IF((M228+$S$9)&gt;0,IF((M229+$S$9)&gt;0,P228+Q228,P228+Q228-Q229),IF((M229+$S$9)&gt;0,P228,P228-Q229))</f>
        <v>#REF!</v>
      </c>
      <c r="Q229" s="1322" t="e">
        <f>IF((M229+$S$9)&gt;0,M229+$S$9,-(M229+$S$9))</f>
        <v>#REF!</v>
      </c>
    </row>
    <row r="230" spans="2:19">
      <c r="B230" s="1304" t="s">
        <v>1056</v>
      </c>
      <c r="C230" s="1311" t="s">
        <v>1057</v>
      </c>
      <c r="D230" s="1327">
        <f t="shared" si="32"/>
        <v>0.49130427394057041</v>
      </c>
      <c r="E230" s="1327">
        <f t="shared" si="32"/>
        <v>0.72078476376327538</v>
      </c>
      <c r="F230" s="1334">
        <f>+D230-E230</f>
        <v>-0.22948048982270497</v>
      </c>
      <c r="G230" s="1328">
        <f>+F230/E230</f>
        <v>-0.31837588883617463</v>
      </c>
      <c r="I230" s="1321"/>
      <c r="J230" s="1333"/>
      <c r="K230" s="1333"/>
      <c r="L230" s="1321"/>
      <c r="M230" s="1330"/>
      <c r="N230" s="1331"/>
      <c r="O230" s="1321" t="s">
        <v>1061</v>
      </c>
      <c r="P230" s="1322" t="e">
        <f>IF((M229+$S$9)&gt;0,IF((M230+$S$9)&gt;0,P229+Q229,P229+Q229-Q230),IF((M230+$S$9)&gt;0,P229,P229-Q230))</f>
        <v>#REF!</v>
      </c>
      <c r="Q230" s="1322"/>
    </row>
    <row r="231" spans="2:19">
      <c r="D231" s="1327"/>
      <c r="E231" s="1327"/>
      <c r="I231" s="1321"/>
      <c r="J231" s="1321"/>
      <c r="K231" s="1322"/>
      <c r="L231" s="1321"/>
      <c r="M231" s="1321"/>
      <c r="N231" s="1331"/>
      <c r="O231" s="1321"/>
      <c r="P231" s="1322"/>
      <c r="Q231" s="1322"/>
    </row>
    <row r="232" spans="2:19">
      <c r="B232" s="1304" t="s">
        <v>78</v>
      </c>
      <c r="C232" s="1311" t="s">
        <v>53</v>
      </c>
      <c r="D232" s="1327">
        <f t="shared" ref="D232:E236" si="33">D259</f>
        <v>3980.5481482771197</v>
      </c>
      <c r="E232" s="1327" t="e">
        <f t="shared" si="33"/>
        <v>#REF!</v>
      </c>
      <c r="F232" s="1336" t="e">
        <f>+D232-E232</f>
        <v>#REF!</v>
      </c>
      <c r="G232" s="1328" t="e">
        <f>+F232/E232</f>
        <v>#REF!</v>
      </c>
      <c r="I232" s="1295" t="s">
        <v>244</v>
      </c>
      <c r="J232" s="1321">
        <f>J13</f>
        <v>2.899</v>
      </c>
      <c r="K232" s="1331"/>
      <c r="L232" s="1331"/>
      <c r="M232" s="1338"/>
      <c r="N232" s="1331"/>
      <c r="O232" s="1321"/>
      <c r="P232" s="1322"/>
      <c r="Q232" s="1333"/>
    </row>
    <row r="233" spans="2:19">
      <c r="B233" s="1304" t="s">
        <v>79</v>
      </c>
      <c r="C233" s="1311" t="s">
        <v>75</v>
      </c>
      <c r="D233" s="1327">
        <f t="shared" si="33"/>
        <v>132.68493827590399</v>
      </c>
      <c r="E233" s="1327" t="e">
        <f t="shared" si="33"/>
        <v>#REF!</v>
      </c>
      <c r="F233" s="1327" t="e">
        <f>+D233-E233</f>
        <v>#REF!</v>
      </c>
      <c r="G233" s="1328" t="e">
        <f>+F233/E233</f>
        <v>#REF!</v>
      </c>
      <c r="I233" s="1296" t="s">
        <v>245</v>
      </c>
      <c r="J233" s="1321">
        <f>J14</f>
        <v>0.96199999999999997</v>
      </c>
      <c r="K233" s="1331"/>
      <c r="L233" s="1331"/>
      <c r="M233" s="1331"/>
      <c r="N233" s="1331"/>
      <c r="O233" s="1331"/>
      <c r="P233" s="1331"/>
      <c r="Q233" s="1331"/>
    </row>
    <row r="234" spans="2:19">
      <c r="B234" s="1304" t="s">
        <v>80</v>
      </c>
      <c r="C234" s="1311" t="s">
        <v>81</v>
      </c>
      <c r="D234" s="1327">
        <f t="shared" si="33"/>
        <v>8128.3803061107201</v>
      </c>
      <c r="E234" s="1327" t="e">
        <f t="shared" si="33"/>
        <v>#REF!</v>
      </c>
      <c r="F234" s="1336" t="e">
        <f>+D234-E234</f>
        <v>#REF!</v>
      </c>
      <c r="G234" s="1328" t="e">
        <f>+F234/E234</f>
        <v>#REF!</v>
      </c>
      <c r="I234" s="1296" t="s">
        <v>71</v>
      </c>
      <c r="J234" s="1321">
        <f>J15</f>
        <v>0.995</v>
      </c>
      <c r="K234" s="1331"/>
      <c r="L234" s="1331"/>
      <c r="M234" s="1331"/>
      <c r="N234" s="1331"/>
      <c r="O234" s="1331"/>
      <c r="P234" s="1331"/>
      <c r="Q234" s="1331"/>
    </row>
    <row r="235" spans="2:19">
      <c r="B235" s="1304" t="s">
        <v>82</v>
      </c>
      <c r="C235" s="1311" t="s">
        <v>48</v>
      </c>
      <c r="D235" s="1327">
        <f t="shared" si="33"/>
        <v>0</v>
      </c>
      <c r="E235" s="1327" t="e">
        <f t="shared" si="33"/>
        <v>#REF!</v>
      </c>
      <c r="F235" s="1327" t="e">
        <f>+D235-E235</f>
        <v>#REF!</v>
      </c>
      <c r="G235" s="1328" t="e">
        <f>+F235/E235</f>
        <v>#REF!</v>
      </c>
    </row>
    <row r="236" spans="2:19">
      <c r="B236" s="1304" t="s">
        <v>85</v>
      </c>
      <c r="C236" s="1311" t="s">
        <v>48</v>
      </c>
      <c r="D236" s="1327">
        <f t="shared" si="33"/>
        <v>0.68062526822697333</v>
      </c>
      <c r="E236" s="1327" t="e">
        <f t="shared" si="33"/>
        <v>#REF!</v>
      </c>
      <c r="F236" s="1327" t="e">
        <f>+D236-E236</f>
        <v>#REF!</v>
      </c>
      <c r="G236" s="1328" t="e">
        <f>+F236/E236</f>
        <v>#REF!</v>
      </c>
    </row>
    <row r="237" spans="2:19">
      <c r="B237" s="1304"/>
      <c r="C237" s="1311"/>
      <c r="D237" s="1327"/>
      <c r="E237" s="1327"/>
      <c r="F237" s="1327"/>
      <c r="G237" s="1328"/>
    </row>
    <row r="238" spans="2:19">
      <c r="B238" s="1304" t="s">
        <v>89</v>
      </c>
      <c r="C238" s="1311" t="s">
        <v>48</v>
      </c>
      <c r="D238" s="1327">
        <f t="shared" ref="D238:E241" si="34">D265</f>
        <v>0.63704189198698991</v>
      </c>
      <c r="E238" s="1327" t="e">
        <f t="shared" si="34"/>
        <v>#REF!</v>
      </c>
      <c r="F238" s="1334" t="e">
        <f>+D238-E238</f>
        <v>#REF!</v>
      </c>
      <c r="G238" s="1328" t="e">
        <f>+F238/E238</f>
        <v>#REF!</v>
      </c>
    </row>
    <row r="239" spans="2:19">
      <c r="B239" s="1304" t="s">
        <v>90</v>
      </c>
      <c r="C239" s="1311" t="s">
        <v>48</v>
      </c>
      <c r="D239" s="1327">
        <f t="shared" si="34"/>
        <v>90.440219377357522</v>
      </c>
      <c r="E239" s="1327" t="e">
        <f t="shared" si="34"/>
        <v>#REF!</v>
      </c>
      <c r="F239" s="1327" t="e">
        <f>+D239-E239</f>
        <v>#REF!</v>
      </c>
      <c r="G239" s="1328" t="e">
        <f>+F239/E239</f>
        <v>#REF!</v>
      </c>
    </row>
    <row r="240" spans="2:19">
      <c r="B240" s="1304" t="s">
        <v>92</v>
      </c>
      <c r="C240" s="1311" t="s">
        <v>53</v>
      </c>
      <c r="D240" s="1327">
        <f t="shared" si="34"/>
        <v>78.045538606281255</v>
      </c>
      <c r="E240" s="1327" t="e">
        <f t="shared" si="34"/>
        <v>#REF!</v>
      </c>
      <c r="F240" s="1327" t="e">
        <f>+D240-E240</f>
        <v>#REF!</v>
      </c>
      <c r="G240" s="1328" t="e">
        <f>+F240/E240</f>
        <v>#REF!</v>
      </c>
    </row>
    <row r="241" spans="2:27">
      <c r="B241" s="1304" t="s">
        <v>93</v>
      </c>
      <c r="C241" s="1311" t="s">
        <v>48</v>
      </c>
      <c r="D241" s="1327">
        <f t="shared" si="34"/>
        <v>29.384912310266678</v>
      </c>
      <c r="E241" s="1327">
        <f t="shared" si="34"/>
        <v>26.777705251636434</v>
      </c>
      <c r="F241" s="1327">
        <f>+D241-E241</f>
        <v>2.6072070586302445</v>
      </c>
      <c r="G241" s="1328">
        <f>+F241/E241</f>
        <v>9.736484266032891E-2</v>
      </c>
    </row>
    <row r="242" spans="2:27">
      <c r="B242" s="1304"/>
      <c r="C242" s="1311"/>
      <c r="D242" s="1327"/>
      <c r="E242" s="1327"/>
      <c r="F242" s="1327"/>
      <c r="G242" s="1328"/>
    </row>
    <row r="243" spans="2:27">
      <c r="B243" s="1304" t="s">
        <v>94</v>
      </c>
      <c r="C243" s="1311" t="s">
        <v>95</v>
      </c>
      <c r="D243" s="1327">
        <f t="shared" ref="D243:E246" si="35">D270</f>
        <v>151.11835423943415</v>
      </c>
      <c r="E243" s="1327" t="e">
        <f t="shared" si="35"/>
        <v>#REF!</v>
      </c>
      <c r="F243" s="1327" t="e">
        <f>+D243-E243</f>
        <v>#REF!</v>
      </c>
      <c r="G243" s="1328" t="e">
        <f>+F243/E243</f>
        <v>#REF!</v>
      </c>
    </row>
    <row r="244" spans="2:27">
      <c r="B244" s="1304" t="s">
        <v>96</v>
      </c>
      <c r="C244" s="1311" t="s">
        <v>48</v>
      </c>
      <c r="D244" s="1327">
        <f t="shared" si="35"/>
        <v>82.085673282578924</v>
      </c>
      <c r="E244" s="1327" t="e">
        <f t="shared" si="35"/>
        <v>#REF!</v>
      </c>
      <c r="F244" s="1327" t="e">
        <f>+D244-E244</f>
        <v>#REF!</v>
      </c>
      <c r="G244" s="1328" t="e">
        <f>+F244/E244</f>
        <v>#REF!</v>
      </c>
    </row>
    <row r="245" spans="2:27">
      <c r="B245" s="1304" t="s">
        <v>97</v>
      </c>
      <c r="C245" s="1311" t="s">
        <v>48</v>
      </c>
      <c r="D245" s="1327">
        <f t="shared" si="35"/>
        <v>92.833487014930043</v>
      </c>
      <c r="E245" s="1327" t="e">
        <f t="shared" si="35"/>
        <v>#REF!</v>
      </c>
      <c r="F245" s="1327" t="e">
        <f>+D245-E245</f>
        <v>#REF!</v>
      </c>
      <c r="G245" s="1328" t="e">
        <f>+F245/E245</f>
        <v>#REF!</v>
      </c>
      <c r="K245" s="1334"/>
    </row>
    <row r="246" spans="2:27">
      <c r="B246" s="1304" t="s">
        <v>98</v>
      </c>
      <c r="C246" s="1311" t="s">
        <v>48</v>
      </c>
      <c r="D246" s="1327">
        <f t="shared" si="35"/>
        <v>88.422481931953499</v>
      </c>
      <c r="E246" s="1327" t="e">
        <f t="shared" si="35"/>
        <v>#REF!</v>
      </c>
      <c r="F246" s="1327" t="e">
        <f>+D246-E246</f>
        <v>#REF!</v>
      </c>
      <c r="G246" s="1328" t="e">
        <f>+F246/E246</f>
        <v>#REF!</v>
      </c>
    </row>
    <row r="248" spans="2:27">
      <c r="P248" s="1312" t="e">
        <f>P254+Q254-Q255</f>
        <v>#REF!</v>
      </c>
    </row>
    <row r="249" spans="2:27">
      <c r="I249" s="273" t="s">
        <v>198</v>
      </c>
      <c r="S249" s="273" t="s">
        <v>198</v>
      </c>
    </row>
    <row r="250" spans="2:27">
      <c r="B250" s="1310" t="s">
        <v>1062</v>
      </c>
      <c r="C250" s="1311"/>
      <c r="D250" s="1304"/>
      <c r="E250" s="1304"/>
      <c r="I250" s="1298" t="s">
        <v>1079</v>
      </c>
      <c r="S250" s="1298" t="s">
        <v>1080</v>
      </c>
      <c r="W250" s="273">
        <f>W224</f>
        <v>0</v>
      </c>
    </row>
    <row r="251" spans="2:27">
      <c r="B251" s="1310" t="s">
        <v>1045</v>
      </c>
      <c r="C251" s="1316" t="str">
        <f>C225</f>
        <v>UNIDAD</v>
      </c>
      <c r="D251" s="1304"/>
      <c r="E251" s="1304"/>
      <c r="F251" s="4811" t="s">
        <v>43</v>
      </c>
      <c r="G251" s="4811"/>
      <c r="I251" s="1317"/>
      <c r="J251" s="1318" t="s">
        <v>1084</v>
      </c>
      <c r="K251" s="1318" t="s">
        <v>1085</v>
      </c>
      <c r="L251" s="1318" t="s">
        <v>1046</v>
      </c>
      <c r="M251" s="1321" t="s">
        <v>1047</v>
      </c>
      <c r="N251" s="1331"/>
      <c r="O251" s="1331"/>
      <c r="P251" s="1331"/>
      <c r="Q251" s="273" t="e">
        <f>(L252-M252)/4</f>
        <v>#REF!</v>
      </c>
      <c r="S251" s="1317"/>
      <c r="T251" s="1318" t="s">
        <v>1084</v>
      </c>
      <c r="U251" s="1318" t="s">
        <v>57</v>
      </c>
      <c r="V251" s="1318" t="s">
        <v>1046</v>
      </c>
      <c r="W251" s="1321" t="s">
        <v>1047</v>
      </c>
      <c r="AA251" s="273" t="e">
        <f>(V252-W252)/4</f>
        <v>#REF!</v>
      </c>
    </row>
    <row r="252" spans="2:27">
      <c r="B252" s="1304"/>
      <c r="C252" s="1311" t="s">
        <v>46</v>
      </c>
      <c r="D252" s="1311" t="s">
        <v>57</v>
      </c>
      <c r="E252" s="1311" t="s">
        <v>288</v>
      </c>
      <c r="F252" s="1311" t="s">
        <v>10</v>
      </c>
      <c r="G252" s="1311" t="s">
        <v>48</v>
      </c>
      <c r="I252" s="1321" t="s">
        <v>1093</v>
      </c>
      <c r="J252" s="1322">
        <f>E255</f>
        <v>22.933613081531071</v>
      </c>
      <c r="K252" s="1322">
        <f>D255</f>
        <v>22.933613081531071</v>
      </c>
      <c r="L252" s="1349">
        <f>K252-J252</f>
        <v>0</v>
      </c>
      <c r="M252" s="1362" t="e">
        <f>SUM(M253:M255)</f>
        <v>#REF!</v>
      </c>
      <c r="N252" s="1331"/>
      <c r="O252" s="1321" t="s">
        <v>1089</v>
      </c>
      <c r="P252" s="1322">
        <f>J252</f>
        <v>22.933613081531071</v>
      </c>
      <c r="Q252" s="1321"/>
      <c r="S252" s="1321" t="s">
        <v>1081</v>
      </c>
      <c r="T252" s="1322">
        <f>E256</f>
        <v>0.49377313963876424</v>
      </c>
      <c r="U252" s="1322">
        <f>D256</f>
        <v>0.49377313963876424</v>
      </c>
      <c r="V252" s="1321">
        <f>U252-T252</f>
        <v>0</v>
      </c>
      <c r="W252" s="1321" t="e">
        <f>SUM(W253:W257)</f>
        <v>#REF!</v>
      </c>
      <c r="Y252" s="1321" t="s">
        <v>1086</v>
      </c>
      <c r="Z252" s="1322">
        <f>T252</f>
        <v>0.49377313963876424</v>
      </c>
      <c r="AA252" s="1321"/>
    </row>
    <row r="253" spans="2:27">
      <c r="B253" s="1304" t="s">
        <v>1050</v>
      </c>
      <c r="C253" s="1311" t="s">
        <v>53</v>
      </c>
      <c r="D253" s="1327">
        <f t="shared" ref="D253:E257" si="36">D166</f>
        <v>24.365061413343849</v>
      </c>
      <c r="E253" s="1327">
        <f t="shared" si="36"/>
        <v>22.933613081531071</v>
      </c>
      <c r="F253" s="1327">
        <f>+D253-E253</f>
        <v>1.4314483318127778</v>
      </c>
      <c r="G253" s="1328">
        <f>+F253/E253</f>
        <v>6.241704378302055E-2</v>
      </c>
      <c r="I253" s="1363" t="s">
        <v>1092</v>
      </c>
      <c r="J253" s="1329" t="e">
        <f>E259</f>
        <v>#REF!</v>
      </c>
      <c r="K253" s="1329">
        <f>D259</f>
        <v>3980.5481482771197</v>
      </c>
      <c r="L253" s="1355" t="e">
        <f>K253-J253</f>
        <v>#REF!</v>
      </c>
      <c r="M253" s="1355" t="e">
        <f>L253*(K254/100*K255/100)</f>
        <v>#REF!</v>
      </c>
      <c r="O253" s="1321" t="s">
        <v>1094</v>
      </c>
      <c r="P253" s="1322" t="e">
        <f>IF((M253+Q$251)&gt;0,P252,P252-Q253)</f>
        <v>#REF!</v>
      </c>
      <c r="Q253" s="1352" t="e">
        <f>IF((M253+$Q$251)&gt;0,M253+$Q$251,-(M253+$Q$251))</f>
        <v>#REF!</v>
      </c>
      <c r="S253" s="1363" t="s">
        <v>1092</v>
      </c>
      <c r="T253" s="1329" t="e">
        <f>E259</f>
        <v>#REF!</v>
      </c>
      <c r="U253" s="1329">
        <f>D259</f>
        <v>3980.5481482771197</v>
      </c>
      <c r="V253" s="1321" t="e">
        <f>U253-T253</f>
        <v>#REF!</v>
      </c>
      <c r="W253" s="1330" t="e">
        <f>V253*(U255/100*U254/1000000)</f>
        <v>#REF!</v>
      </c>
      <c r="Y253" s="1321" t="s">
        <v>1094</v>
      </c>
      <c r="Z253" s="1322" t="e">
        <f>IF((W253+$AA$251)&gt;0,Z252,Z252-AA253)</f>
        <v>#REF!</v>
      </c>
      <c r="AA253" s="1352" t="e">
        <f>IF((W253+$AA$251)&gt;0,W253+$AA$251,-(W253+$AA$251))</f>
        <v>#REF!</v>
      </c>
    </row>
    <row r="254" spans="2:27">
      <c r="B254" s="1304" t="s">
        <v>62</v>
      </c>
      <c r="C254" s="1311" t="s">
        <v>53</v>
      </c>
      <c r="D254" s="1327">
        <f t="shared" si="36"/>
        <v>21.245925024226782</v>
      </c>
      <c r="E254" s="1327">
        <f t="shared" si="36"/>
        <v>31.316638511727174</v>
      </c>
      <c r="F254" s="1327">
        <f>+D254-E254</f>
        <v>-10.070713487500392</v>
      </c>
      <c r="G254" s="1328">
        <f>+F254/E254</f>
        <v>-0.32157709020172143</v>
      </c>
      <c r="I254" s="1321" t="s">
        <v>45</v>
      </c>
      <c r="J254" s="1322" t="e">
        <f>E265</f>
        <v>#REF!</v>
      </c>
      <c r="K254" s="1322">
        <f>D265</f>
        <v>0.63704189198698991</v>
      </c>
      <c r="L254" s="1345" t="e">
        <f>K254-J254</f>
        <v>#REF!</v>
      </c>
      <c r="M254" s="1355" t="e">
        <f>J253*(K255/100*L254/100)</f>
        <v>#REF!</v>
      </c>
      <c r="O254" s="1321" t="s">
        <v>45</v>
      </c>
      <c r="P254" s="1322" t="e">
        <f>IF((M253+$Q$251)&gt;0,IF((M254+$Q$251)&gt;0,P253+Q253,P253+Q253-Q254),IF((M254+$Q$251)&gt;0,P253,P253-Q254))</f>
        <v>#REF!</v>
      </c>
      <c r="Q254" s="1352" t="e">
        <f>IF((M254+$Q$251)&gt;0,M254+$Q$251,-(M254+$Q$251))</f>
        <v>#REF!</v>
      </c>
      <c r="S254" s="1321" t="s">
        <v>1055</v>
      </c>
      <c r="T254" s="1333" t="e">
        <f>E270</f>
        <v>#REF!</v>
      </c>
      <c r="U254" s="1333">
        <f>D270</f>
        <v>151.11835423943415</v>
      </c>
      <c r="V254" s="1321" t="e">
        <f>U254-T254</f>
        <v>#REF!</v>
      </c>
      <c r="W254" s="1330" t="e">
        <f>T253*(U255/100*V254/1000000)</f>
        <v>#REF!</v>
      </c>
      <c r="Y254" s="1321" t="s">
        <v>1082</v>
      </c>
      <c r="Z254" s="1322" t="e">
        <f>IF((W253+$AA$251)&gt;0,IF((W254+$AA$251)&gt;0,Z253+AA253,Z253+AA253-AA254),IF((W254+$AA$251)&gt;0,Z253,Z253-AA254))</f>
        <v>#REF!</v>
      </c>
      <c r="AA254" s="1352" t="e">
        <f>IF((W254+$AA$251)&gt;0,W254+$AA$251,-(W254+$AA$251))</f>
        <v>#REF!</v>
      </c>
    </row>
    <row r="255" spans="2:27">
      <c r="B255" s="1304" t="s">
        <v>59</v>
      </c>
      <c r="C255" s="1311" t="s">
        <v>53</v>
      </c>
      <c r="D255" s="1327">
        <f t="shared" si="36"/>
        <v>22.933613081531071</v>
      </c>
      <c r="E255" s="1327">
        <f t="shared" si="36"/>
        <v>22.933613081531071</v>
      </c>
      <c r="F255" s="1327">
        <f>+D255-E255</f>
        <v>0</v>
      </c>
      <c r="G255" s="1328">
        <f>+F255/E255</f>
        <v>0</v>
      </c>
      <c r="I255" s="1321" t="s">
        <v>51</v>
      </c>
      <c r="J255" s="1333" t="e">
        <f>E266</f>
        <v>#REF!</v>
      </c>
      <c r="K255" s="1333">
        <f>D266</f>
        <v>90.440219377357522</v>
      </c>
      <c r="L255" s="1333" t="e">
        <f>K255-J255</f>
        <v>#REF!</v>
      </c>
      <c r="M255" s="1355" t="e">
        <f>J253*(L255/100*J254/100)</f>
        <v>#REF!</v>
      </c>
      <c r="O255" s="1321" t="s">
        <v>51</v>
      </c>
      <c r="P255" s="1322" t="e">
        <f>IF((M254+$Q$251)&gt;0,IF((M255+$Q$251)&gt;0,P254+Q254,P254+Q254-Q255),IF((M255+$Q$251)&gt;0,P254,P254-Q255))</f>
        <v>#REF!</v>
      </c>
      <c r="Q255" s="1352" t="e">
        <f>IF((M255+$Q$251)&gt;0,M255+$Q$251,-(M255+$Q$251))</f>
        <v>#REF!</v>
      </c>
      <c r="S255" s="1321" t="s">
        <v>1060</v>
      </c>
      <c r="T255" s="1322" t="e">
        <f>E271</f>
        <v>#REF!</v>
      </c>
      <c r="U255" s="1322">
        <f>D271</f>
        <v>82.085673282578924</v>
      </c>
      <c r="V255" s="1321" t="e">
        <f>U255-T255</f>
        <v>#REF!</v>
      </c>
      <c r="W255" s="1330" t="e">
        <f>T253*(V255/100*T254/1000000)</f>
        <v>#REF!</v>
      </c>
      <c r="Y255" s="1321" t="s">
        <v>1083</v>
      </c>
      <c r="Z255" s="1322" t="e">
        <f>IF((W254+$AA$251)&gt;0,IF((W255+$AA$251)&gt;0,Z254+AA254,Z254+AA254-AA255),IF((W255+$AA$251)&gt;0,Z254,Z254-AA255))</f>
        <v>#REF!</v>
      </c>
      <c r="AA255" s="1352" t="e">
        <f>IF((W255+$AA$251)&gt;0,W255+$AA$251,-(W255+$AA$251))</f>
        <v>#REF!</v>
      </c>
    </row>
    <row r="256" spans="2:27">
      <c r="B256" s="1304" t="s">
        <v>66</v>
      </c>
      <c r="C256" s="1311" t="s">
        <v>53</v>
      </c>
      <c r="D256" s="1327">
        <f t="shared" si="36"/>
        <v>0.49377313963876424</v>
      </c>
      <c r="E256" s="1334">
        <f t="shared" si="36"/>
        <v>0.49377313963876424</v>
      </c>
      <c r="F256" s="1334">
        <f>+D256-E256</f>
        <v>0</v>
      </c>
      <c r="G256" s="1328">
        <f>+F256/E256</f>
        <v>0</v>
      </c>
      <c r="I256" s="1321"/>
      <c r="J256" s="1333"/>
      <c r="K256" s="1333"/>
      <c r="L256" s="1333"/>
      <c r="M256" s="1355"/>
      <c r="O256" s="1321" t="s">
        <v>1061</v>
      </c>
      <c r="P256" s="1322" t="e">
        <f>IF((M255+$Q$251)&gt;0,IF((M256+$Q$251)&gt;0,P255+Q255,P255+Q255-Q256),IF((M256+$Q$251)&gt;0,P255,P255-Q256))</f>
        <v>#REF!</v>
      </c>
      <c r="Q256" s="1352"/>
      <c r="S256" s="1321"/>
      <c r="T256" s="1335"/>
      <c r="U256" s="1335"/>
      <c r="V256" s="1321"/>
      <c r="W256" s="1330"/>
      <c r="Y256" s="1321" t="s">
        <v>1061</v>
      </c>
      <c r="Z256" s="1322" t="e">
        <f>IF((W255+$AA$251)&gt;0,IF((W256+$AA$251)&gt;0,Z255+AA255,Z255+AA255-AA256),IF((W256+$AA$251)&gt;0,Z255,Z255-AA256))</f>
        <v>#REF!</v>
      </c>
      <c r="AA256" s="1352"/>
    </row>
    <row r="257" spans="2:39">
      <c r="B257" s="1304" t="s">
        <v>1056</v>
      </c>
      <c r="C257" s="1311" t="s">
        <v>1057</v>
      </c>
      <c r="D257" s="1327">
        <f t="shared" si="36"/>
        <v>0.49130427394057041</v>
      </c>
      <c r="E257" s="1327">
        <f t="shared" si="36"/>
        <v>0.72078476376327538</v>
      </c>
      <c r="F257" s="1334">
        <f>+D257-E257</f>
        <v>-0.22948048982270497</v>
      </c>
      <c r="G257" s="1328">
        <f>+F257/E257</f>
        <v>-0.31837588883617463</v>
      </c>
      <c r="I257" s="1321"/>
      <c r="J257" s="1321"/>
      <c r="K257" s="1322"/>
      <c r="L257" s="1321"/>
      <c r="M257" s="1321"/>
      <c r="N257" s="1331"/>
      <c r="O257" s="1321"/>
      <c r="P257" s="1322"/>
      <c r="Q257" s="1322"/>
      <c r="S257" s="1321"/>
      <c r="T257" s="1321"/>
      <c r="U257" s="1322"/>
      <c r="V257" s="1321"/>
      <c r="W257" s="1321"/>
      <c r="Y257" s="1321"/>
      <c r="Z257" s="1322"/>
      <c r="AA257" s="1322"/>
    </row>
    <row r="258" spans="2:39">
      <c r="D258" s="1327"/>
      <c r="E258" s="1327"/>
      <c r="I258" s="1295" t="s">
        <v>244</v>
      </c>
      <c r="J258" s="1321">
        <f>J232</f>
        <v>2.899</v>
      </c>
      <c r="K258" s="1331"/>
      <c r="L258" s="1331"/>
      <c r="M258" s="1338"/>
      <c r="N258" s="1338"/>
      <c r="O258" s="1359" t="s">
        <v>1095</v>
      </c>
      <c r="P258" s="1338"/>
      <c r="Q258" s="1338"/>
      <c r="S258" s="1295" t="s">
        <v>244</v>
      </c>
      <c r="T258" s="1321">
        <f>J258</f>
        <v>2.899</v>
      </c>
      <c r="U258" s="1331"/>
      <c r="V258" s="1331"/>
      <c r="W258" s="1338"/>
    </row>
    <row r="259" spans="2:39">
      <c r="B259" s="1304" t="s">
        <v>78</v>
      </c>
      <c r="C259" s="1311" t="s">
        <v>53</v>
      </c>
      <c r="D259" s="1327">
        <f t="shared" ref="D259:E263" si="37">D172</f>
        <v>3980.5481482771197</v>
      </c>
      <c r="E259" s="1327" t="e">
        <f t="shared" si="37"/>
        <v>#REF!</v>
      </c>
      <c r="F259" s="1336" t="e">
        <f>+D259-E259</f>
        <v>#REF!</v>
      </c>
      <c r="G259" s="1328" t="e">
        <f>+F259/E259</f>
        <v>#REF!</v>
      </c>
      <c r="I259" s="1296" t="s">
        <v>245</v>
      </c>
      <c r="J259" s="1321">
        <f>J233</f>
        <v>0.96199999999999997</v>
      </c>
      <c r="K259" s="1331"/>
      <c r="L259" s="1331"/>
      <c r="M259" s="1331"/>
      <c r="N259" s="1331"/>
      <c r="O259" s="1331"/>
      <c r="P259" s="1331"/>
      <c r="Q259" s="1331"/>
      <c r="S259" s="1296" t="s">
        <v>245</v>
      </c>
      <c r="T259" s="1321">
        <f>J259</f>
        <v>0.96199999999999997</v>
      </c>
      <c r="U259" s="1331"/>
      <c r="V259" s="1331"/>
      <c r="W259" s="1331"/>
    </row>
    <row r="260" spans="2:39">
      <c r="B260" s="1304" t="s">
        <v>79</v>
      </c>
      <c r="C260" s="1311" t="s">
        <v>75</v>
      </c>
      <c r="D260" s="1327">
        <f t="shared" si="37"/>
        <v>132.68493827590399</v>
      </c>
      <c r="E260" s="1327" t="e">
        <f t="shared" si="37"/>
        <v>#REF!</v>
      </c>
      <c r="F260" s="1327" t="e">
        <f>+D260-E260</f>
        <v>#REF!</v>
      </c>
      <c r="G260" s="1328" t="e">
        <f>+F260/E260</f>
        <v>#REF!</v>
      </c>
      <c r="I260" s="1296" t="s">
        <v>71</v>
      </c>
      <c r="J260" s="1321">
        <f>J234</f>
        <v>0.995</v>
      </c>
      <c r="K260" s="1331"/>
      <c r="L260" s="1331"/>
      <c r="M260" s="1331"/>
      <c r="N260" s="1331"/>
      <c r="O260" s="1331"/>
      <c r="P260" s="1331"/>
      <c r="Q260" s="1331"/>
      <c r="S260" s="1296" t="s">
        <v>71</v>
      </c>
      <c r="T260" s="1321">
        <f>J260</f>
        <v>0.995</v>
      </c>
      <c r="U260" s="1331"/>
      <c r="V260" s="1331"/>
      <c r="W260" s="1331"/>
    </row>
    <row r="261" spans="2:39">
      <c r="B261" s="1304" t="s">
        <v>80</v>
      </c>
      <c r="C261" s="1311" t="s">
        <v>81</v>
      </c>
      <c r="D261" s="1327">
        <f t="shared" si="37"/>
        <v>8128.3803061107201</v>
      </c>
      <c r="E261" s="1327" t="e">
        <f t="shared" si="37"/>
        <v>#REF!</v>
      </c>
      <c r="F261" s="1336" t="e">
        <f>+D261-E261</f>
        <v>#REF!</v>
      </c>
      <c r="G261" s="1328" t="e">
        <f>+F261/E261</f>
        <v>#REF!</v>
      </c>
    </row>
    <row r="262" spans="2:39">
      <c r="B262" s="1304" t="s">
        <v>82</v>
      </c>
      <c r="C262" s="1311" t="s">
        <v>48</v>
      </c>
      <c r="D262" s="1327">
        <f t="shared" si="37"/>
        <v>0</v>
      </c>
      <c r="E262" s="1327" t="e">
        <f t="shared" si="37"/>
        <v>#REF!</v>
      </c>
      <c r="F262" s="1327" t="e">
        <f>+D262-E262</f>
        <v>#REF!</v>
      </c>
      <c r="G262" s="1328" t="e">
        <f>+F262/E262</f>
        <v>#REF!</v>
      </c>
      <c r="AC262" s="273" t="s">
        <v>100</v>
      </c>
      <c r="AI262" s="1294" t="s">
        <v>100</v>
      </c>
    </row>
    <row r="263" spans="2:39">
      <c r="B263" s="1304" t="s">
        <v>85</v>
      </c>
      <c r="C263" s="1311" t="s">
        <v>48</v>
      </c>
      <c r="D263" s="1327">
        <f t="shared" si="37"/>
        <v>0.68062526822697333</v>
      </c>
      <c r="E263" s="1327" t="e">
        <f t="shared" si="37"/>
        <v>#REF!</v>
      </c>
      <c r="F263" s="1327" t="e">
        <f>+D263-E263</f>
        <v>#REF!</v>
      </c>
      <c r="G263" s="1328" t="e">
        <f>+F263/E263</f>
        <v>#REF!</v>
      </c>
      <c r="L263" s="1298" t="s">
        <v>1087</v>
      </c>
      <c r="V263" s="1298" t="s">
        <v>1088</v>
      </c>
      <c r="AC263" s="1298" t="s">
        <v>1087</v>
      </c>
      <c r="AI263" s="1298" t="s">
        <v>1088</v>
      </c>
      <c r="AJ263" s="1298"/>
    </row>
    <row r="264" spans="2:39">
      <c r="B264" s="1304"/>
      <c r="C264" s="1311"/>
      <c r="D264" s="1327"/>
      <c r="E264" s="1327"/>
      <c r="F264" s="1327"/>
      <c r="G264" s="1328"/>
      <c r="I264" s="1321" t="s">
        <v>1096</v>
      </c>
      <c r="J264" s="1322">
        <f>P252</f>
        <v>22.933613081531071</v>
      </c>
      <c r="K264" s="1356"/>
      <c r="L264" s="1301">
        <f>J264*$J$259</f>
        <v>22.06213578443289</v>
      </c>
      <c r="M264" s="1300"/>
      <c r="O264" s="1321" t="s">
        <v>1097</v>
      </c>
      <c r="P264" s="1330" t="e">
        <f>$M$277*P266/$M$276</f>
        <v>#REF!</v>
      </c>
      <c r="Q264" s="722"/>
      <c r="S264" s="1321" t="s">
        <v>1096</v>
      </c>
      <c r="T264" s="1322">
        <f>Z252</f>
        <v>0.49377313963876424</v>
      </c>
      <c r="U264" s="1356"/>
      <c r="V264" s="1301">
        <f>T264*$T$260</f>
        <v>0.49130427394057041</v>
      </c>
      <c r="W264" s="1300"/>
      <c r="Y264" s="1321" t="s">
        <v>1097</v>
      </c>
      <c r="Z264" s="1330" t="e">
        <f>$M$277*Z266/$M$276</f>
        <v>#REF!</v>
      </c>
      <c r="AA264" s="722"/>
      <c r="AC264" s="1364">
        <f>L264*1000</f>
        <v>22062.135784432889</v>
      </c>
      <c r="AD264" s="1364"/>
      <c r="AF264" s="1321" t="s">
        <v>1097</v>
      </c>
      <c r="AG264" s="1364" t="e">
        <f>P264*1000</f>
        <v>#REF!</v>
      </c>
      <c r="AI264" s="309">
        <f t="shared" ref="AI264:AI269" si="38">V264*1000</f>
        <v>491.3042739405704</v>
      </c>
      <c r="AL264" s="1321" t="s">
        <v>1097</v>
      </c>
      <c r="AM264" s="1364" t="e">
        <f>Z264*1000</f>
        <v>#REF!</v>
      </c>
    </row>
    <row r="265" spans="2:39">
      <c r="B265" s="1304" t="s">
        <v>89</v>
      </c>
      <c r="C265" s="1311" t="s">
        <v>48</v>
      </c>
      <c r="D265" s="1334">
        <f t="shared" ref="D265:E268" si="39">D178</f>
        <v>0.63704189198698991</v>
      </c>
      <c r="E265" s="1334" t="e">
        <f t="shared" si="39"/>
        <v>#REF!</v>
      </c>
      <c r="F265" s="1334" t="e">
        <f>+D265-E265</f>
        <v>#REF!</v>
      </c>
      <c r="G265" s="1328" t="e">
        <f>+F265/E265</f>
        <v>#REF!</v>
      </c>
      <c r="I265" s="1321" t="s">
        <v>1092</v>
      </c>
      <c r="J265" s="1322" t="e">
        <f>P253</f>
        <v>#REF!</v>
      </c>
      <c r="K265" s="1357" t="e">
        <f>Q253</f>
        <v>#REF!</v>
      </c>
      <c r="L265" s="1301" t="e">
        <f>J265*$J$259</f>
        <v>#REF!</v>
      </c>
      <c r="M265" s="1305" t="e">
        <f>K265*J259</f>
        <v>#REF!</v>
      </c>
      <c r="O265" s="1321" t="s">
        <v>1098</v>
      </c>
      <c r="P265" s="1330" t="e">
        <f>$M$278*P266/$M$276</f>
        <v>#REF!</v>
      </c>
      <c r="Q265" s="722"/>
      <c r="S265" s="1321" t="s">
        <v>1092</v>
      </c>
      <c r="T265" s="1322" t="e">
        <f>Z253</f>
        <v>#REF!</v>
      </c>
      <c r="U265" s="1357" t="e">
        <f>AA253</f>
        <v>#REF!</v>
      </c>
      <c r="V265" s="1301" t="e">
        <f>T265*$T$260</f>
        <v>#REF!</v>
      </c>
      <c r="W265" s="1306" t="e">
        <f>U265*T260</f>
        <v>#REF!</v>
      </c>
      <c r="Y265" s="1321" t="s">
        <v>1098</v>
      </c>
      <c r="Z265" s="1330" t="e">
        <f>$M$278*Z266/$M$276</f>
        <v>#REF!</v>
      </c>
      <c r="AA265" s="722"/>
      <c r="AC265" s="1364" t="e">
        <f t="shared" ref="AC265:AD269" si="40">L265*1000</f>
        <v>#REF!</v>
      </c>
      <c r="AD265" s="1364" t="e">
        <f t="shared" si="40"/>
        <v>#REF!</v>
      </c>
      <c r="AF265" s="1321" t="s">
        <v>1098</v>
      </c>
      <c r="AG265" s="1364" t="e">
        <f>P265*1000</f>
        <v>#REF!</v>
      </c>
      <c r="AI265" s="309" t="e">
        <f t="shared" si="38"/>
        <v>#REF!</v>
      </c>
      <c r="AJ265" s="309" t="e">
        <f>W265*1000</f>
        <v>#REF!</v>
      </c>
      <c r="AL265" s="1321" t="s">
        <v>1098</v>
      </c>
      <c r="AM265" s="1364" t="e">
        <f>Z265*1000</f>
        <v>#REF!</v>
      </c>
    </row>
    <row r="266" spans="2:39">
      <c r="B266" s="1304" t="s">
        <v>90</v>
      </c>
      <c r="C266" s="1311" t="s">
        <v>48</v>
      </c>
      <c r="D266" s="1327">
        <f t="shared" si="39"/>
        <v>90.440219377357522</v>
      </c>
      <c r="E266" s="1327" t="e">
        <f t="shared" si="39"/>
        <v>#REF!</v>
      </c>
      <c r="F266" s="1327" t="e">
        <f>+D266-E266</f>
        <v>#REF!</v>
      </c>
      <c r="G266" s="1328" t="e">
        <f>+F266/E266</f>
        <v>#REF!</v>
      </c>
      <c r="I266" s="1321" t="s">
        <v>1099</v>
      </c>
      <c r="J266" s="1322" t="e">
        <f>P254</f>
        <v>#REF!</v>
      </c>
      <c r="K266" s="1357" t="e">
        <f>Q254</f>
        <v>#REF!</v>
      </c>
      <c r="L266" s="1301" t="e">
        <f>J266*$J$259</f>
        <v>#REF!</v>
      </c>
      <c r="M266" s="1301" t="e">
        <f>K266*J259</f>
        <v>#REF!</v>
      </c>
      <c r="O266" s="273" t="s">
        <v>915</v>
      </c>
      <c r="P266" s="1365" t="e">
        <f>IF(M253&gt;0,M265,-M265)</f>
        <v>#REF!</v>
      </c>
      <c r="Q266" s="722"/>
      <c r="S266" s="1321" t="s">
        <v>1099</v>
      </c>
      <c r="T266" s="1322" t="e">
        <f>Z254</f>
        <v>#REF!</v>
      </c>
      <c r="U266" s="1357" t="e">
        <f>AA254</f>
        <v>#REF!</v>
      </c>
      <c r="V266" s="1301" t="e">
        <f>T266*$T$260</f>
        <v>#REF!</v>
      </c>
      <c r="W266" s="1299" t="e">
        <f>U266*T260</f>
        <v>#REF!</v>
      </c>
      <c r="Y266" s="273" t="s">
        <v>915</v>
      </c>
      <c r="Z266" s="1365" t="e">
        <f>IF(W253&gt;0,W265,-W265)</f>
        <v>#REF!</v>
      </c>
      <c r="AA266" s="722"/>
      <c r="AC266" s="1364" t="e">
        <f t="shared" si="40"/>
        <v>#REF!</v>
      </c>
      <c r="AD266" s="1364" t="e">
        <f t="shared" si="40"/>
        <v>#REF!</v>
      </c>
      <c r="AF266" s="273" t="s">
        <v>915</v>
      </c>
      <c r="AG266" s="309" t="e">
        <f>P266*1000</f>
        <v>#REF!</v>
      </c>
      <c r="AI266" s="309" t="e">
        <f t="shared" si="38"/>
        <v>#REF!</v>
      </c>
      <c r="AJ266" s="309" t="e">
        <f>W266*1000</f>
        <v>#REF!</v>
      </c>
      <c r="AL266" s="273" t="s">
        <v>915</v>
      </c>
      <c r="AM266" s="309" t="e">
        <f>Z266*1000</f>
        <v>#REF!</v>
      </c>
    </row>
    <row r="267" spans="2:39">
      <c r="B267" s="1304" t="s">
        <v>92</v>
      </c>
      <c r="C267" s="1311" t="s">
        <v>53</v>
      </c>
      <c r="D267" s="1327">
        <f t="shared" si="39"/>
        <v>78.045538606281255</v>
      </c>
      <c r="E267" s="1327" t="e">
        <f t="shared" si="39"/>
        <v>#REF!</v>
      </c>
      <c r="F267" s="1327" t="e">
        <f>+D267-E267</f>
        <v>#REF!</v>
      </c>
      <c r="G267" s="1328" t="e">
        <f>+F267/E267</f>
        <v>#REF!</v>
      </c>
      <c r="I267" s="1321" t="s">
        <v>1100</v>
      </c>
      <c r="J267" s="1322" t="e">
        <f>P255</f>
        <v>#REF!</v>
      </c>
      <c r="K267" s="1357" t="e">
        <f>Q255</f>
        <v>#REF!</v>
      </c>
      <c r="L267" s="1301" t="e">
        <f>J267*$J$259</f>
        <v>#REF!</v>
      </c>
      <c r="M267" s="1307" t="e">
        <f>K267*J259</f>
        <v>#REF!</v>
      </c>
      <c r="P267" s="273" t="e">
        <f>SUM(P264:P265)</f>
        <v>#REF!</v>
      </c>
      <c r="S267" s="1321" t="s">
        <v>1100</v>
      </c>
      <c r="T267" s="1322" t="e">
        <f>Z255</f>
        <v>#REF!</v>
      </c>
      <c r="U267" s="1357" t="e">
        <f>AA255</f>
        <v>#REF!</v>
      </c>
      <c r="V267" s="1301" t="e">
        <f>T267*$T$260</f>
        <v>#REF!</v>
      </c>
      <c r="W267" s="1306" t="e">
        <f>U267*T260</f>
        <v>#REF!</v>
      </c>
      <c r="Z267" s="273" t="e">
        <f>SUM(Z264:Z265)</f>
        <v>#REF!</v>
      </c>
      <c r="AC267" s="1364" t="e">
        <f t="shared" si="40"/>
        <v>#REF!</v>
      </c>
      <c r="AD267" s="1364" t="e">
        <f t="shared" si="40"/>
        <v>#REF!</v>
      </c>
      <c r="AI267" s="309" t="e">
        <f t="shared" si="38"/>
        <v>#REF!</v>
      </c>
      <c r="AJ267" s="309" t="e">
        <f>W267*1000</f>
        <v>#REF!</v>
      </c>
    </row>
    <row r="268" spans="2:39" ht="28.5">
      <c r="B268" s="1304" t="s">
        <v>93</v>
      </c>
      <c r="C268" s="1311" t="s">
        <v>48</v>
      </c>
      <c r="D268" s="1327">
        <f t="shared" si="39"/>
        <v>29.384912310266678</v>
      </c>
      <c r="E268" s="1327">
        <f t="shared" si="39"/>
        <v>26.777705251636434</v>
      </c>
      <c r="F268" s="1327">
        <f>+D268-E268</f>
        <v>2.6072070586302445</v>
      </c>
      <c r="G268" s="1328">
        <f>+F268/E268</f>
        <v>9.736484266032891E-2</v>
      </c>
      <c r="I268" s="1366" t="s">
        <v>1101</v>
      </c>
      <c r="J268" s="1322" t="e">
        <f>P256</f>
        <v>#REF!</v>
      </c>
      <c r="K268" s="1357">
        <f>Q256</f>
        <v>0</v>
      </c>
      <c r="L268" s="1299" t="e">
        <f>IF(M255&gt;0,IF((L267+M267-L269)&gt;0,L269,L267+M267),IF((L267-L269)&gt;0,L269,L267))</f>
        <v>#REF!</v>
      </c>
      <c r="M268" s="1301" t="e">
        <f>IF(M255&gt;0,IF((L267+M267-L269)&gt;0,L267+M267-L269,-(L267+M267-L269)),IF((L267-L269)&gt;0,L267-L269,-(L267-L269)))</f>
        <v>#REF!</v>
      </c>
      <c r="P268" s="1367"/>
      <c r="S268" s="1321" t="s">
        <v>1101</v>
      </c>
      <c r="T268" s="1322" t="e">
        <f>Z256</f>
        <v>#REF!</v>
      </c>
      <c r="U268" s="1357">
        <f>AA256</f>
        <v>0</v>
      </c>
      <c r="V268" s="1299" t="e">
        <f>IF(W255&gt;0,IF((V267+W267-V269)&gt;0,V269,V267+W267),IF((V267-V269)&gt;0,V269,V267))</f>
        <v>#REF!</v>
      </c>
      <c r="W268" s="1301" t="e">
        <f>IF(W255&gt;0,IF((V267+W267-V269)&gt;0,V267+W267-V269,-(V267+W267-V269)),IF((V267-V269)&gt;0,V267-V269,-(V267-V269)))</f>
        <v>#REF!</v>
      </c>
      <c r="AC268" s="1364" t="e">
        <f t="shared" si="40"/>
        <v>#REF!</v>
      </c>
      <c r="AD268" s="1364" t="e">
        <f t="shared" si="40"/>
        <v>#REF!</v>
      </c>
      <c r="AI268" s="309" t="e">
        <f t="shared" si="38"/>
        <v>#REF!</v>
      </c>
      <c r="AJ268" s="309" t="e">
        <f>W268*1000</f>
        <v>#REF!</v>
      </c>
    </row>
    <row r="269" spans="2:39">
      <c r="B269" s="1304"/>
      <c r="C269" s="1311"/>
      <c r="D269" s="1327"/>
      <c r="E269" s="1327"/>
      <c r="F269" s="1327"/>
      <c r="G269" s="1328"/>
      <c r="I269" s="1359" t="s">
        <v>57</v>
      </c>
      <c r="J269" s="1322"/>
      <c r="K269" s="1356"/>
      <c r="L269" s="1301">
        <f>D254</f>
        <v>21.245925024226782</v>
      </c>
      <c r="M269" s="1636"/>
      <c r="S269" s="1359" t="s">
        <v>57</v>
      </c>
      <c r="T269" s="1322"/>
      <c r="U269" s="1356"/>
      <c r="V269" s="1299">
        <f>D257</f>
        <v>0.49130427394057041</v>
      </c>
      <c r="W269" s="1636"/>
      <c r="AC269" s="1364">
        <f t="shared" si="40"/>
        <v>21245.925024226781</v>
      </c>
      <c r="AD269" s="1364"/>
      <c r="AI269" s="309">
        <f t="shared" si="38"/>
        <v>491.3042739405704</v>
      </c>
    </row>
    <row r="270" spans="2:39">
      <c r="B270" s="1304" t="s">
        <v>94</v>
      </c>
      <c r="C270" s="1311" t="s">
        <v>95</v>
      </c>
      <c r="D270" s="1327">
        <f t="shared" ref="D270:E273" si="41">D183</f>
        <v>151.11835423943415</v>
      </c>
      <c r="E270" s="1327" t="e">
        <f t="shared" si="41"/>
        <v>#REF!</v>
      </c>
      <c r="F270" s="1327" t="e">
        <f>+D270-E270</f>
        <v>#REF!</v>
      </c>
      <c r="G270" s="1328" t="e">
        <f>+F270/E270</f>
        <v>#REF!</v>
      </c>
      <c r="I270" s="1359" t="s">
        <v>1090</v>
      </c>
      <c r="M270" s="1119"/>
      <c r="S270" s="1359" t="s">
        <v>1091</v>
      </c>
      <c r="W270" s="1119"/>
      <c r="AC270" s="309"/>
      <c r="AD270" s="309"/>
    </row>
    <row r="271" spans="2:39">
      <c r="B271" s="1304" t="s">
        <v>96</v>
      </c>
      <c r="C271" s="1311" t="s">
        <v>48</v>
      </c>
      <c r="D271" s="1327">
        <f t="shared" si="41"/>
        <v>82.085673282578924</v>
      </c>
      <c r="E271" s="1327" t="e">
        <f t="shared" si="41"/>
        <v>#REF!</v>
      </c>
      <c r="F271" s="1327" t="e">
        <f>+D271-E271</f>
        <v>#REF!</v>
      </c>
      <c r="G271" s="1328" t="e">
        <f>+F271/E271</f>
        <v>#REF!</v>
      </c>
      <c r="J271" s="1338"/>
      <c r="L271" s="273" t="s">
        <v>114</v>
      </c>
    </row>
    <row r="272" spans="2:39">
      <c r="B272" s="1304" t="s">
        <v>97</v>
      </c>
      <c r="C272" s="1311" t="s">
        <v>48</v>
      </c>
      <c r="D272" s="1327">
        <f t="shared" si="41"/>
        <v>92.833487014930043</v>
      </c>
      <c r="E272" s="1327" t="e">
        <f t="shared" si="41"/>
        <v>#REF!</v>
      </c>
      <c r="F272" s="1327" t="e">
        <f>+D272-E272</f>
        <v>#REF!</v>
      </c>
      <c r="G272" s="1328" t="e">
        <f>+F272/E272</f>
        <v>#REF!</v>
      </c>
      <c r="I272" s="1331" t="s">
        <v>1102</v>
      </c>
      <c r="J272" s="1312"/>
      <c r="L272" s="1368">
        <f>L269-L264</f>
        <v>-0.81621076020610772</v>
      </c>
      <c r="M272" s="469" t="e">
        <f>-M265+M266-M267</f>
        <v>#REF!</v>
      </c>
      <c r="N272" s="469" t="e">
        <f>L272-M272</f>
        <v>#REF!</v>
      </c>
      <c r="V272" s="1368">
        <f>V269-V264</f>
        <v>0</v>
      </c>
      <c r="W272" s="722" t="e">
        <f>-W265+W266-W267</f>
        <v>#REF!</v>
      </c>
      <c r="X272" s="469" t="e">
        <f>V272-W272</f>
        <v>#REF!</v>
      </c>
      <c r="AC272" s="1369">
        <f>AC269-AC264</f>
        <v>-816.21076020610781</v>
      </c>
      <c r="AD272" s="722"/>
      <c r="AI272" s="1369">
        <f>AI269-AI264</f>
        <v>0</v>
      </c>
      <c r="AJ272" s="722"/>
    </row>
    <row r="273" spans="2:27">
      <c r="B273" s="1304" t="s">
        <v>98</v>
      </c>
      <c r="C273" s="1311" t="s">
        <v>48</v>
      </c>
      <c r="D273" s="1327">
        <f t="shared" si="41"/>
        <v>88.422481931953499</v>
      </c>
      <c r="E273" s="1327" t="e">
        <f t="shared" si="41"/>
        <v>#REF!</v>
      </c>
      <c r="F273" s="1327" t="e">
        <f>+D273-E273</f>
        <v>#REF!</v>
      </c>
      <c r="G273" s="1328" t="e">
        <f>+F273/E273</f>
        <v>#REF!</v>
      </c>
      <c r="M273" s="469" t="e">
        <f>M272-M268</f>
        <v>#REF!</v>
      </c>
      <c r="W273" s="469" t="e">
        <f>W272-W268</f>
        <v>#REF!</v>
      </c>
    </row>
    <row r="275" spans="2:27">
      <c r="I275" s="1317"/>
      <c r="J275" s="1318" t="s">
        <v>1084</v>
      </c>
      <c r="K275" s="1318" t="s">
        <v>1085</v>
      </c>
      <c r="L275" s="1318" t="s">
        <v>1046</v>
      </c>
      <c r="M275" s="1321" t="s">
        <v>1047</v>
      </c>
    </row>
    <row r="276" spans="2:27">
      <c r="I276" s="1363" t="s">
        <v>1092</v>
      </c>
      <c r="J276" s="1322" t="e">
        <f>J253</f>
        <v>#REF!</v>
      </c>
      <c r="K276" s="1322">
        <f>K253</f>
        <v>3980.5481482771197</v>
      </c>
      <c r="L276" s="1370" t="e">
        <f>K276-J276</f>
        <v>#REF!</v>
      </c>
      <c r="M276" s="1329" t="e">
        <f>SUM(M277:M279)</f>
        <v>#REF!</v>
      </c>
    </row>
    <row r="277" spans="2:27">
      <c r="I277" s="1363" t="s">
        <v>1103</v>
      </c>
      <c r="J277" s="1329" t="e">
        <f>E261</f>
        <v>#REF!</v>
      </c>
      <c r="K277" s="1329">
        <f>D261</f>
        <v>8128.3803061107201</v>
      </c>
      <c r="L277" s="1355" t="e">
        <f>K277-J277</f>
        <v>#REF!</v>
      </c>
      <c r="M277" s="1355" t="e">
        <f>L277/1000*(K278/100)*M1*24</f>
        <v>#REF!</v>
      </c>
    </row>
    <row r="278" spans="2:27">
      <c r="I278" s="1321" t="s">
        <v>23</v>
      </c>
      <c r="J278" s="1322" t="e">
        <f>E263</f>
        <v>#REF!</v>
      </c>
      <c r="K278" s="1322">
        <f>D263</f>
        <v>0.68062526822697333</v>
      </c>
      <c r="L278" s="1345" t="e">
        <f>K278-J278</f>
        <v>#REF!</v>
      </c>
      <c r="M278" s="1355" t="e">
        <f>J277/1000*(L278/100)*M1*24</f>
        <v>#REF!</v>
      </c>
    </row>
    <row r="279" spans="2:27">
      <c r="I279" s="1321" t="s">
        <v>915</v>
      </c>
      <c r="J279" s="1333"/>
      <c r="K279" s="1333"/>
      <c r="L279" s="1333"/>
      <c r="M279" s="1355"/>
    </row>
    <row r="282" spans="2:27">
      <c r="B282" s="1310" t="s">
        <v>1073</v>
      </c>
      <c r="C282" s="1311"/>
      <c r="D282" s="1304"/>
      <c r="E282" s="1304"/>
      <c r="I282" s="1298" t="s">
        <v>1079</v>
      </c>
      <c r="S282" s="1298" t="s">
        <v>1080</v>
      </c>
      <c r="W282" s="273">
        <f>O105</f>
        <v>0</v>
      </c>
    </row>
    <row r="283" spans="2:27">
      <c r="B283" s="1310" t="s">
        <v>1074</v>
      </c>
      <c r="C283" s="1316" t="str">
        <f>C212</f>
        <v>%</v>
      </c>
      <c r="D283" s="1304"/>
      <c r="E283" s="1304"/>
      <c r="F283" s="4811" t="s">
        <v>43</v>
      </c>
      <c r="G283" s="4811"/>
      <c r="I283" s="1317"/>
      <c r="J283" s="1318" t="s">
        <v>1084</v>
      </c>
      <c r="K283" s="1318" t="s">
        <v>1085</v>
      </c>
      <c r="L283" s="1318" t="s">
        <v>1046</v>
      </c>
      <c r="M283" s="1321" t="s">
        <v>1047</v>
      </c>
      <c r="N283" s="1331"/>
      <c r="O283" s="1331"/>
      <c r="P283" s="1331"/>
      <c r="Q283" s="273">
        <f>(L284-M284)/4</f>
        <v>0.65153985989354379</v>
      </c>
      <c r="S283" s="1317"/>
      <c r="T283" s="1318" t="s">
        <v>1084</v>
      </c>
      <c r="U283" s="1318" t="s">
        <v>57</v>
      </c>
      <c r="V283" s="1318" t="s">
        <v>1046</v>
      </c>
      <c r="W283" s="1321" t="s">
        <v>1047</v>
      </c>
      <c r="AA283" s="273">
        <f>(V284-W284)/4</f>
        <v>4.5102810375396984E-16</v>
      </c>
    </row>
    <row r="284" spans="2:27">
      <c r="B284" s="1304"/>
      <c r="C284" s="1311" t="s">
        <v>46</v>
      </c>
      <c r="D284" s="1311" t="s">
        <v>57</v>
      </c>
      <c r="E284" s="1311" t="s">
        <v>288</v>
      </c>
      <c r="F284" s="1311" t="s">
        <v>10</v>
      </c>
      <c r="G284" s="1311" t="s">
        <v>48</v>
      </c>
      <c r="I284" s="1321" t="s">
        <v>1093</v>
      </c>
      <c r="J284" s="1322">
        <f>E287</f>
        <v>68.58901260981412</v>
      </c>
      <c r="K284" s="1322">
        <f>D287</f>
        <v>69.24782651706704</v>
      </c>
      <c r="L284" s="1349">
        <f>K284-J284</f>
        <v>0.65881390725292022</v>
      </c>
      <c r="M284" s="1362">
        <f>SUM(M285:M287)</f>
        <v>-1.9473455323212552</v>
      </c>
      <c r="N284" s="1331"/>
      <c r="O284" s="1321" t="s">
        <v>1089</v>
      </c>
      <c r="P284" s="1322">
        <f>J284</f>
        <v>68.58901260981412</v>
      </c>
      <c r="Q284" s="1321"/>
      <c r="S284" s="1321" t="s">
        <v>1081</v>
      </c>
      <c r="T284" s="1322">
        <f>E288</f>
        <v>2.5089172333808136</v>
      </c>
      <c r="U284" s="1322">
        <f>D288</f>
        <v>2.3019281722102938</v>
      </c>
      <c r="V284" s="1321">
        <f>U284-T284</f>
        <v>-0.20698906117051985</v>
      </c>
      <c r="W284" s="1321">
        <f>SUM(W285:W289)</f>
        <v>-0.20698906117052165</v>
      </c>
      <c r="Y284" s="1321" t="s">
        <v>1086</v>
      </c>
      <c r="Z284" s="1322">
        <f>T284</f>
        <v>2.5089172333808136</v>
      </c>
      <c r="AA284" s="1321"/>
    </row>
    <row r="285" spans="2:27">
      <c r="B285" s="1304" t="s">
        <v>1050</v>
      </c>
      <c r="C285" s="1311" t="s">
        <v>53</v>
      </c>
      <c r="D285" s="1327">
        <f t="shared" ref="D285:E289" si="42">D200</f>
        <v>75.921116288304688</v>
      </c>
      <c r="E285" s="1327">
        <f t="shared" si="42"/>
        <v>78.402771219563206</v>
      </c>
      <c r="F285" s="1327">
        <f>+D285-E285</f>
        <v>-2.4816549312585181</v>
      </c>
      <c r="G285" s="1328">
        <f>+F285/E285</f>
        <v>-3.1652643046363275E-2</v>
      </c>
      <c r="I285" s="1371" t="s">
        <v>1092</v>
      </c>
      <c r="J285" s="1329">
        <f>E291</f>
        <v>15189.938313137327</v>
      </c>
      <c r="K285" s="1329">
        <f>D291</f>
        <v>14929.683820629605</v>
      </c>
      <c r="L285" s="1355">
        <f>K285-J285</f>
        <v>-260.25449250772181</v>
      </c>
      <c r="M285" s="1355">
        <f>L285*(K286/100*K287/100)</f>
        <v>-1.2072477782672109</v>
      </c>
      <c r="O285" s="1321" t="s">
        <v>1094</v>
      </c>
      <c r="P285" s="1322">
        <f>IF((M285+$Q$283)&gt;0,P284,P284-Q285)</f>
        <v>68.033304691440449</v>
      </c>
      <c r="Q285" s="1352">
        <f>IF((M285+$Q$283)&gt;0,M285+$Q$283,-(M285+$Q$283))</f>
        <v>0.55570791837366706</v>
      </c>
      <c r="S285" s="1321" t="s">
        <v>1092</v>
      </c>
      <c r="T285" s="1372">
        <f>E291</f>
        <v>15189.938313137327</v>
      </c>
      <c r="U285" s="1329">
        <f>D291</f>
        <v>14929.683820629605</v>
      </c>
      <c r="V285" s="1321">
        <f>U285-T285</f>
        <v>-260.25449250772181</v>
      </c>
      <c r="W285" s="1330">
        <f>V285*(U287/100*U286/1000000)</f>
        <v>-4.0127249541615076E-2</v>
      </c>
      <c r="Y285" s="1321" t="s">
        <v>1094</v>
      </c>
      <c r="Z285" s="1322">
        <f>IF((W285+$AA$283)&gt;0,Z284,Z284-AA285)</f>
        <v>2.4687899838391991</v>
      </c>
      <c r="AA285" s="1352">
        <f>IF((W285+$AA$283)&gt;0,W285+$AA$283,-(W285+$AA$283))</f>
        <v>4.0127249541614625E-2</v>
      </c>
    </row>
    <row r="286" spans="2:27">
      <c r="B286" s="1304" t="s">
        <v>62</v>
      </c>
      <c r="C286" s="1311" t="s">
        <v>53</v>
      </c>
      <c r="D286" s="1327">
        <f t="shared" si="42"/>
        <v>66.124566055788577</v>
      </c>
      <c r="E286" s="1327">
        <f t="shared" si="42"/>
        <v>66.256986181080435</v>
      </c>
      <c r="F286" s="1327">
        <f>+D286-E286</f>
        <v>-0.13242012529185843</v>
      </c>
      <c r="G286" s="1328">
        <f>+F286/E286</f>
        <v>-1.9985835898112545E-3</v>
      </c>
      <c r="I286" s="1371" t="s">
        <v>45</v>
      </c>
      <c r="J286" s="1322">
        <f>E297</f>
        <v>0.52083855986685346</v>
      </c>
      <c r="K286" s="1322">
        <f>D297</f>
        <v>0.51253836495611338</v>
      </c>
      <c r="L286" s="1345">
        <f>K286-J286</f>
        <v>-8.3001949107400774E-3</v>
      </c>
      <c r="M286" s="1355">
        <f>J285*(K287/100*L286/100)</f>
        <v>-1.1410800218106392</v>
      </c>
      <c r="O286" s="1321" t="s">
        <v>45</v>
      </c>
      <c r="P286" s="1322">
        <f>IF((M285+$Q$283)&gt;0,IF((M286+$Q$283)&gt;0,P285+Q285,P285+Q285-Q286),IF((M286+$Q$283)&gt;0,P285,P285-Q286))</f>
        <v>67.543764529523358</v>
      </c>
      <c r="Q286" s="1352">
        <f>IF((M286+$Q$283)&gt;0,M286+$Q$283,-(M286+$Q$283))</f>
        <v>0.48954016191709537</v>
      </c>
      <c r="S286" s="1321" t="s">
        <v>1055</v>
      </c>
      <c r="T286" s="1333">
        <f>E302</f>
        <v>197.52627780568733</v>
      </c>
      <c r="U286" s="1333">
        <f>D302</f>
        <v>192.66735748300661</v>
      </c>
      <c r="V286" s="1321">
        <f>U286-T286</f>
        <v>-4.8589203226807172</v>
      </c>
      <c r="W286" s="1330">
        <f>T285*(U287/100*V286/1000000)</f>
        <v>-5.9064809079548482E-2</v>
      </c>
      <c r="Y286" s="1321" t="s">
        <v>1082</v>
      </c>
      <c r="Z286" s="1322">
        <f>IF((W285+$AA$283)&gt;0,IF((W286+$AA$283)&gt;0,Z285+AA285,Z285+AA285-AA286),IF((W286+$AA$283)&gt;0,Z285,Z285-AA286))</f>
        <v>2.4097251747596511</v>
      </c>
      <c r="AA286" s="1352">
        <f>IF((W286+$AA$283)&gt;0,W286+$AA$283,-(W286+$AA$283))</f>
        <v>5.9064809079548031E-2</v>
      </c>
    </row>
    <row r="287" spans="2:27">
      <c r="B287" s="1304" t="s">
        <v>59</v>
      </c>
      <c r="C287" s="1311" t="s">
        <v>53</v>
      </c>
      <c r="D287" s="1327">
        <f t="shared" si="42"/>
        <v>69.24782651706704</v>
      </c>
      <c r="E287" s="1327">
        <f t="shared" si="42"/>
        <v>68.58901260981412</v>
      </c>
      <c r="F287" s="1327">
        <f>+D287-E287</f>
        <v>0.65881390725292022</v>
      </c>
      <c r="G287" s="1328">
        <f>+F287/E287</f>
        <v>9.6052397050931347E-3</v>
      </c>
      <c r="I287" s="1321" t="s">
        <v>51</v>
      </c>
      <c r="J287" s="1333">
        <f>E298</f>
        <v>89.998004776086447</v>
      </c>
      <c r="K287" s="1333">
        <f>D298</f>
        <v>90.504839111115729</v>
      </c>
      <c r="L287" s="1333">
        <f>K287-J287</f>
        <v>0.5068343350292821</v>
      </c>
      <c r="M287" s="1355">
        <f>J285*(L287/100*J286/100)</f>
        <v>0.4009822677565949</v>
      </c>
      <c r="O287" s="1321" t="s">
        <v>51</v>
      </c>
      <c r="P287" s="1322">
        <f>IF((M286+$Q$283)&gt;0,IF((M287+$Q$283)&gt;0,P286+Q286,P286+Q286-Q287),IF((M287+$Q$283)&gt;0,P286,P286-Q287))</f>
        <v>67.543764529523358</v>
      </c>
      <c r="Q287" s="1352">
        <f>IF((M287+$Q$283)&gt;0,M287+$Q$283,-(M287+$Q$283))</f>
        <v>1.0525221276501386</v>
      </c>
      <c r="S287" s="1321" t="s">
        <v>1060</v>
      </c>
      <c r="T287" s="1322">
        <f>E303</f>
        <v>83.619091451728735</v>
      </c>
      <c r="U287" s="1322">
        <f>D303</f>
        <v>80.026351406553701</v>
      </c>
      <c r="V287" s="1321">
        <f>U287-T287</f>
        <v>-3.5927400451750344</v>
      </c>
      <c r="W287" s="1330">
        <f>T285*(V287/100*T286/1000000)</f>
        <v>-0.10779700254935809</v>
      </c>
      <c r="Y287" s="1321" t="s">
        <v>1083</v>
      </c>
      <c r="Z287" s="1322">
        <f>IF((W286+$AA$283)&gt;0,IF((W287+$AA$283)&gt;0,Z286+AA286,Z286+AA286-AA287),IF((W287+$AA$283)&gt;0,Z286,Z286-AA287))</f>
        <v>2.3019281722102933</v>
      </c>
      <c r="AA287" s="1352">
        <f>IF((W287+$AA$283)&gt;0,W287+$AA$283,-(W287+$AA$283))</f>
        <v>0.10779700254935765</v>
      </c>
    </row>
    <row r="288" spans="2:27">
      <c r="B288" s="1304" t="s">
        <v>66</v>
      </c>
      <c r="C288" s="1311" t="s">
        <v>53</v>
      </c>
      <c r="D288" s="1327">
        <f t="shared" si="42"/>
        <v>2.3019281722102938</v>
      </c>
      <c r="E288" s="1327">
        <f t="shared" si="42"/>
        <v>2.5089172333808136</v>
      </c>
      <c r="F288" s="1348">
        <f>+D288-E288</f>
        <v>-0.20698906117051985</v>
      </c>
      <c r="G288" s="1328">
        <f>+F288/E288</f>
        <v>-8.2501350947953814E-2</v>
      </c>
      <c r="I288" s="1321"/>
      <c r="J288" s="1333"/>
      <c r="K288" s="1333"/>
      <c r="L288" s="1354"/>
      <c r="M288" s="1330"/>
      <c r="O288" s="1321" t="s">
        <v>1061</v>
      </c>
      <c r="P288" s="1322">
        <f>IF((M287+$Q$283)&gt;0,IF((M288+$Q$283)&gt;0,P287+Q287,P287+Q287-Q288),IF((M288+$Q$283)&gt;0,P287,P287-Q288))</f>
        <v>68.596286657173493</v>
      </c>
      <c r="Q288" s="1352"/>
      <c r="S288" s="1321"/>
      <c r="T288" s="1335"/>
      <c r="U288" s="1335"/>
      <c r="V288" s="1321"/>
      <c r="W288" s="1330"/>
      <c r="Y288" s="1321" t="s">
        <v>1061</v>
      </c>
      <c r="Z288" s="1322">
        <f>IF((W287+$AA$283)&gt;0,IF((W288+$AA$283)&gt;0,Z287+AA287,Z287+AA287-AA288),IF((W288+$AA$283)&gt;0,Z287,Z287-AA288))</f>
        <v>2.3019281722102933</v>
      </c>
      <c r="AA288" s="1352"/>
    </row>
    <row r="289" spans="2:39">
      <c r="B289" s="1304" t="s">
        <v>1056</v>
      </c>
      <c r="C289" s="1311" t="s">
        <v>1057</v>
      </c>
      <c r="D289" s="1327">
        <f t="shared" si="42"/>
        <v>2.1888169452353146</v>
      </c>
      <c r="E289" s="1327">
        <f t="shared" si="42"/>
        <v>2.4838907839778406</v>
      </c>
      <c r="F289" s="1327">
        <f>+D289-E289</f>
        <v>-0.29507383874252602</v>
      </c>
      <c r="G289" s="1328">
        <f>+F289/E289</f>
        <v>-0.11879501330971501</v>
      </c>
      <c r="I289" s="1321"/>
      <c r="J289" s="1321"/>
      <c r="K289" s="1322"/>
      <c r="L289" s="1321"/>
      <c r="M289" s="1321"/>
      <c r="N289" s="1331"/>
      <c r="O289" s="1321"/>
      <c r="P289" s="1322"/>
      <c r="Q289" s="1322"/>
      <c r="S289" s="1321"/>
      <c r="T289" s="1321"/>
      <c r="U289" s="1322"/>
      <c r="V289" s="1321"/>
      <c r="W289" s="1321"/>
      <c r="Y289" s="1321"/>
      <c r="Z289" s="1322"/>
      <c r="AA289" s="1322"/>
    </row>
    <row r="290" spans="2:39">
      <c r="D290" s="1327"/>
      <c r="E290" s="1327"/>
      <c r="I290" s="1295" t="s">
        <v>244</v>
      </c>
      <c r="J290" s="1321">
        <f>J258</f>
        <v>2.899</v>
      </c>
      <c r="K290" s="1331"/>
      <c r="L290" s="1331"/>
      <c r="M290" s="1338"/>
      <c r="N290" s="1338"/>
      <c r="O290" s="1359" t="s">
        <v>1095</v>
      </c>
      <c r="P290" s="1338">
        <f>175311.000538505/1000</f>
        <v>175.311000538505</v>
      </c>
      <c r="Q290" s="1338"/>
      <c r="S290" s="1295" t="s">
        <v>244</v>
      </c>
      <c r="T290" s="1321">
        <f>J290</f>
        <v>2.899</v>
      </c>
      <c r="U290" s="1331"/>
      <c r="V290" s="1331"/>
      <c r="W290" s="1338"/>
    </row>
    <row r="291" spans="2:39">
      <c r="B291" s="1304" t="s">
        <v>78</v>
      </c>
      <c r="C291" s="1311" t="s">
        <v>53</v>
      </c>
      <c r="D291" s="1327">
        <f t="shared" ref="D291:E295" si="43">D206</f>
        <v>14929.683820629605</v>
      </c>
      <c r="E291" s="1327">
        <f t="shared" si="43"/>
        <v>15189.938313137327</v>
      </c>
      <c r="F291" s="1336">
        <f>+D291-E291</f>
        <v>-260.25449250772181</v>
      </c>
      <c r="G291" s="1328">
        <f>+F291/E291</f>
        <v>-1.7133347558273847E-2</v>
      </c>
      <c r="I291" s="1296" t="s">
        <v>245</v>
      </c>
      <c r="J291" s="1321">
        <f>J259</f>
        <v>0.96199999999999997</v>
      </c>
      <c r="K291" s="1331"/>
      <c r="L291" s="1331"/>
      <c r="M291" s="1331"/>
      <c r="N291" s="1331"/>
      <c r="O291" s="1331"/>
      <c r="P291" s="1331"/>
      <c r="Q291" s="1331"/>
      <c r="S291" s="1296" t="s">
        <v>245</v>
      </c>
      <c r="T291" s="1321">
        <f>J291</f>
        <v>0.96199999999999997</v>
      </c>
      <c r="U291" s="1331"/>
      <c r="V291" s="1331"/>
      <c r="W291" s="1331"/>
    </row>
    <row r="292" spans="2:39">
      <c r="B292" s="1304" t="s">
        <v>79</v>
      </c>
      <c r="C292" s="1311" t="s">
        <v>75</v>
      </c>
      <c r="D292" s="1327">
        <f t="shared" si="43"/>
        <v>165.8853757847734</v>
      </c>
      <c r="E292" s="1327">
        <f t="shared" si="43"/>
        <v>168.77709236819251</v>
      </c>
      <c r="F292" s="1327">
        <f>+D292-E292</f>
        <v>-2.891716583419111</v>
      </c>
      <c r="G292" s="1328">
        <f>+F292/E292</f>
        <v>-1.7133347558273729E-2</v>
      </c>
      <c r="I292" s="1296" t="s">
        <v>71</v>
      </c>
      <c r="J292" s="1321">
        <f>J260</f>
        <v>0.995</v>
      </c>
      <c r="K292" s="1331"/>
      <c r="L292" s="1331"/>
      <c r="M292" s="1331"/>
      <c r="N292" s="1331"/>
      <c r="O292" s="1331"/>
      <c r="P292" s="1331"/>
      <c r="Q292" s="1331"/>
      <c r="S292" s="1296" t="s">
        <v>71</v>
      </c>
      <c r="T292" s="1321">
        <f>J292</f>
        <v>0.995</v>
      </c>
      <c r="U292" s="1331"/>
      <c r="V292" s="1331"/>
      <c r="W292" s="1331"/>
    </row>
    <row r="293" spans="2:39">
      <c r="B293" s="1304" t="s">
        <v>80</v>
      </c>
      <c r="C293" s="1311" t="s">
        <v>81</v>
      </c>
      <c r="D293" s="1327">
        <f t="shared" si="43"/>
        <v>8426.8957127773465</v>
      </c>
      <c r="E293" s="1327">
        <f t="shared" si="43"/>
        <v>8151.9777351096309</v>
      </c>
      <c r="F293" s="1336">
        <f>+D293-E293</f>
        <v>274.9179776677156</v>
      </c>
      <c r="G293" s="1328">
        <f>+F293/E293</f>
        <v>3.3724083480217992E-2</v>
      </c>
    </row>
    <row r="294" spans="2:39">
      <c r="B294" s="1304" t="s">
        <v>82</v>
      </c>
      <c r="C294" s="1311" t="s">
        <v>48</v>
      </c>
      <c r="D294" s="1327">
        <f t="shared" si="43"/>
        <v>0</v>
      </c>
      <c r="E294" s="1327">
        <f t="shared" si="43"/>
        <v>0</v>
      </c>
      <c r="F294" s="1327">
        <f>+D294-E294</f>
        <v>0</v>
      </c>
      <c r="G294" s="1328" t="e">
        <f>+F294/E294</f>
        <v>#DIV/0!</v>
      </c>
      <c r="AC294" s="273" t="s">
        <v>100</v>
      </c>
      <c r="AI294" s="1294" t="s">
        <v>100</v>
      </c>
    </row>
    <row r="295" spans="2:39">
      <c r="B295" s="1304" t="s">
        <v>85</v>
      </c>
      <c r="C295" s="1311" t="s">
        <v>48</v>
      </c>
      <c r="D295" s="1327">
        <f t="shared" si="43"/>
        <v>82.043160787650493</v>
      </c>
      <c r="E295" s="1327">
        <f t="shared" si="43"/>
        <v>86.325799784486634</v>
      </c>
      <c r="F295" s="1327">
        <f>+D295-E295</f>
        <v>-4.2826389968361411</v>
      </c>
      <c r="G295" s="1328">
        <f>+F295/E295</f>
        <v>-4.9610186149769815E-2</v>
      </c>
      <c r="L295" s="1298" t="s">
        <v>1087</v>
      </c>
      <c r="V295" s="1298" t="s">
        <v>1088</v>
      </c>
      <c r="AC295" s="1298" t="s">
        <v>1087</v>
      </c>
      <c r="AI295" s="1298" t="s">
        <v>1088</v>
      </c>
      <c r="AJ295" s="1298"/>
    </row>
    <row r="296" spans="2:39">
      <c r="B296" s="1304"/>
      <c r="C296" s="1311"/>
      <c r="D296" s="1327"/>
      <c r="E296" s="1327"/>
      <c r="F296" s="1327"/>
      <c r="G296" s="1328"/>
      <c r="I296" s="1321" t="s">
        <v>1096</v>
      </c>
      <c r="J296" s="1322">
        <f>P284</f>
        <v>68.58901260981412</v>
      </c>
      <c r="K296" s="1356"/>
      <c r="L296" s="1301">
        <f>J296*$J$259</f>
        <v>65.982630130641184</v>
      </c>
      <c r="M296" s="1300"/>
      <c r="O296" s="1321" t="s">
        <v>1097</v>
      </c>
      <c r="P296" s="1330" t="e">
        <f>$M$309*P298/$M$308</f>
        <v>#REF!</v>
      </c>
      <c r="Q296" s="722"/>
      <c r="S296" s="1321" t="s">
        <v>1086</v>
      </c>
      <c r="T296" s="1322">
        <f>Z284</f>
        <v>2.5089172333808136</v>
      </c>
      <c r="U296" s="1356"/>
      <c r="V296" s="1301">
        <f>T296*$T$260</f>
        <v>2.4963726472139096</v>
      </c>
      <c r="W296" s="1300"/>
      <c r="Y296" s="1321" t="s">
        <v>1097</v>
      </c>
      <c r="Z296" s="1330" t="e">
        <f>$M$309*Z298/$M$308</f>
        <v>#REF!</v>
      </c>
      <c r="AA296" s="722"/>
      <c r="AC296" s="309">
        <f>L296*1000</f>
        <v>65982.630130641177</v>
      </c>
      <c r="AD296" s="309"/>
      <c r="AF296" s="1321" t="s">
        <v>1097</v>
      </c>
      <c r="AG296" s="309" t="e">
        <f>P296*1000</f>
        <v>#REF!</v>
      </c>
      <c r="AI296" s="309">
        <f t="shared" ref="AI296:AI301" si="44">V296*1000</f>
        <v>2496.3726472139097</v>
      </c>
      <c r="AL296" s="1321" t="s">
        <v>1097</v>
      </c>
      <c r="AM296" s="309" t="e">
        <f>Z296*1000</f>
        <v>#REF!</v>
      </c>
    </row>
    <row r="297" spans="2:39">
      <c r="B297" s="1304" t="s">
        <v>89</v>
      </c>
      <c r="C297" s="1311" t="s">
        <v>48</v>
      </c>
      <c r="D297" s="1334">
        <f t="shared" ref="D297:E300" si="45">D212</f>
        <v>0.51253836495611338</v>
      </c>
      <c r="E297" s="1334">
        <f t="shared" si="45"/>
        <v>0.52083855986685346</v>
      </c>
      <c r="F297" s="1334">
        <f>+D297-E297</f>
        <v>-8.3001949107400774E-3</v>
      </c>
      <c r="G297" s="1328">
        <f>+F297/E297</f>
        <v>-1.5936214309597064E-2</v>
      </c>
      <c r="I297" s="1321" t="s">
        <v>1092</v>
      </c>
      <c r="J297" s="1322">
        <f>P285</f>
        <v>68.033304691440449</v>
      </c>
      <c r="K297" s="1357">
        <f>Q285</f>
        <v>0.55570791837366706</v>
      </c>
      <c r="L297" s="1301">
        <f>J297*$J$259</f>
        <v>65.448039113165706</v>
      </c>
      <c r="M297" s="1307">
        <f>K297*J291</f>
        <v>0.53459101747546767</v>
      </c>
      <c r="O297" s="1321" t="s">
        <v>1098</v>
      </c>
      <c r="P297" s="1330" t="e">
        <f>$M$310*P298/$M$308</f>
        <v>#REF!</v>
      </c>
      <c r="Q297" s="722"/>
      <c r="S297" s="1321" t="s">
        <v>1094</v>
      </c>
      <c r="T297" s="1322">
        <f>Z285</f>
        <v>2.4687899838391991</v>
      </c>
      <c r="U297" s="1357">
        <f>AA285</f>
        <v>4.0127249541614625E-2</v>
      </c>
      <c r="V297" s="1301">
        <f>T297*$T$260</f>
        <v>2.4564460339200029</v>
      </c>
      <c r="W297" s="1306">
        <f>U297*T292</f>
        <v>3.9926613293906552E-2</v>
      </c>
      <c r="Y297" s="1321" t="s">
        <v>1098</v>
      </c>
      <c r="Z297" s="1330" t="e">
        <f>$M$310*Z298/$M$308</f>
        <v>#REF!</v>
      </c>
      <c r="AA297" s="722"/>
      <c r="AC297" s="309">
        <f t="shared" ref="AC297:AD301" si="46">L297*1000</f>
        <v>65448.039113165709</v>
      </c>
      <c r="AD297" s="309">
        <f t="shared" si="46"/>
        <v>534.59101747546765</v>
      </c>
      <c r="AF297" s="1321" t="s">
        <v>1098</v>
      </c>
      <c r="AG297" s="309" t="e">
        <f>P297*1000</f>
        <v>#REF!</v>
      </c>
      <c r="AI297" s="309">
        <f t="shared" si="44"/>
        <v>2456.4460339200027</v>
      </c>
      <c r="AJ297" s="309">
        <f>W297*1000</f>
        <v>39.926613293906549</v>
      </c>
      <c r="AL297" s="1321" t="s">
        <v>1098</v>
      </c>
      <c r="AM297" s="309" t="e">
        <f>Z297*1000</f>
        <v>#REF!</v>
      </c>
    </row>
    <row r="298" spans="2:39">
      <c r="B298" s="1304" t="s">
        <v>90</v>
      </c>
      <c r="C298" s="1311" t="s">
        <v>48</v>
      </c>
      <c r="D298" s="1327">
        <f t="shared" si="45"/>
        <v>90.504839111115729</v>
      </c>
      <c r="E298" s="1327">
        <f t="shared" si="45"/>
        <v>89.998004776086447</v>
      </c>
      <c r="F298" s="1327">
        <f>+D298-E298</f>
        <v>0.5068343350292821</v>
      </c>
      <c r="G298" s="1328">
        <f>+F298/E298</f>
        <v>5.6316174596345503E-3</v>
      </c>
      <c r="I298" s="1321" t="s">
        <v>1099</v>
      </c>
      <c r="J298" s="1322">
        <f>P286</f>
        <v>67.543764529523358</v>
      </c>
      <c r="K298" s="1357">
        <f>Q286</f>
        <v>0.48954016191709537</v>
      </c>
      <c r="L298" s="1301">
        <f>J298*$J$259</f>
        <v>64.977101477401462</v>
      </c>
      <c r="M298" s="1301">
        <f>K298*J291</f>
        <v>0.47093763576424574</v>
      </c>
      <c r="O298" s="273" t="s">
        <v>915</v>
      </c>
      <c r="P298" s="1365">
        <f>IF(M285&gt;0,M297,-M297)</f>
        <v>-0.53459101747546767</v>
      </c>
      <c r="Q298" s="722"/>
      <c r="S298" s="1321" t="s">
        <v>1082</v>
      </c>
      <c r="T298" s="1322">
        <f>Z286</f>
        <v>2.4097251747596511</v>
      </c>
      <c r="U298" s="1357">
        <f>AA286</f>
        <v>5.9064809079548031E-2</v>
      </c>
      <c r="V298" s="1301">
        <f>T298*$T$260</f>
        <v>2.3976765488858529</v>
      </c>
      <c r="W298" s="1299">
        <f>U298*T292</f>
        <v>5.876948503415029E-2</v>
      </c>
      <c r="Y298" s="273" t="s">
        <v>915</v>
      </c>
      <c r="Z298" s="1365">
        <f>IF(W285&gt;0,W297,-W297)</f>
        <v>-3.9926613293906552E-2</v>
      </c>
      <c r="AA298" s="722"/>
      <c r="AC298" s="309">
        <f t="shared" si="46"/>
        <v>64977.101477401462</v>
      </c>
      <c r="AD298" s="309">
        <f t="shared" si="46"/>
        <v>470.93763576424573</v>
      </c>
      <c r="AF298" s="273" t="s">
        <v>915</v>
      </c>
      <c r="AG298" s="309">
        <f>P298*1000</f>
        <v>-534.59101747546765</v>
      </c>
      <c r="AI298" s="309">
        <f t="shared" si="44"/>
        <v>2397.6765488858528</v>
      </c>
      <c r="AJ298" s="309">
        <f>W298*1000</f>
        <v>58.769485034150293</v>
      </c>
      <c r="AL298" s="273" t="s">
        <v>915</v>
      </c>
      <c r="AM298" s="309">
        <f>Z298*1000</f>
        <v>-39.926613293906549</v>
      </c>
    </row>
    <row r="299" spans="2:39">
      <c r="B299" s="1304" t="s">
        <v>92</v>
      </c>
      <c r="C299" s="1311" t="s">
        <v>53</v>
      </c>
      <c r="D299" s="1327">
        <f t="shared" si="45"/>
        <v>259.00300763005976</v>
      </c>
      <c r="E299" s="1327">
        <f t="shared" si="45"/>
        <v>254.52677203830268</v>
      </c>
      <c r="F299" s="1327">
        <f>+D299-E299</f>
        <v>4.4762355917570744</v>
      </c>
      <c r="G299" s="1328">
        <f>+F299/E299</f>
        <v>1.7586502024562918E-2</v>
      </c>
      <c r="I299" s="1321" t="s">
        <v>1100</v>
      </c>
      <c r="J299" s="1322">
        <f>P287</f>
        <v>67.543764529523358</v>
      </c>
      <c r="K299" s="1357">
        <f>Q287</f>
        <v>1.0525221276501386</v>
      </c>
      <c r="L299" s="1301">
        <f>J299*$J$259</f>
        <v>64.977101477401462</v>
      </c>
      <c r="M299" s="1307">
        <f>K299*J291</f>
        <v>1.0125262867994334</v>
      </c>
      <c r="P299" s="273" t="e">
        <f>SUM(P296:P297)</f>
        <v>#REF!</v>
      </c>
      <c r="S299" s="1321" t="s">
        <v>1083</v>
      </c>
      <c r="T299" s="1322">
        <f>Z287</f>
        <v>2.3019281722102933</v>
      </c>
      <c r="U299" s="1357">
        <f>AA287</f>
        <v>0.10779700254935765</v>
      </c>
      <c r="V299" s="1301">
        <f>T299*$T$260</f>
        <v>2.2904185313492418</v>
      </c>
      <c r="W299" s="1306">
        <f>U299*T292</f>
        <v>0.10725801753661085</v>
      </c>
      <c r="Z299" s="273" t="e">
        <f>SUM(Z296:Z297)</f>
        <v>#REF!</v>
      </c>
      <c r="AC299" s="309">
        <f t="shared" si="46"/>
        <v>64977.101477401462</v>
      </c>
      <c r="AD299" s="309">
        <f t="shared" si="46"/>
        <v>1012.5262867994334</v>
      </c>
      <c r="AI299" s="309">
        <f t="shared" si="44"/>
        <v>2290.4185313492417</v>
      </c>
      <c r="AJ299" s="309">
        <f>W299*1000</f>
        <v>107.25801753661085</v>
      </c>
    </row>
    <row r="300" spans="2:39">
      <c r="B300" s="1304" t="s">
        <v>93</v>
      </c>
      <c r="C300" s="1311" t="s">
        <v>48</v>
      </c>
      <c r="D300" s="1327">
        <f t="shared" si="45"/>
        <v>26.736302080312278</v>
      </c>
      <c r="E300" s="1327">
        <f t="shared" si="45"/>
        <v>27.974256407925751</v>
      </c>
      <c r="F300" s="1327">
        <f>+D300-E300</f>
        <v>-1.2379543276134726</v>
      </c>
      <c r="G300" s="1328">
        <f>+F300/E300</f>
        <v>-4.4253341699646807E-2</v>
      </c>
      <c r="I300" s="1321" t="s">
        <v>1101</v>
      </c>
      <c r="J300" s="1322">
        <f>P288</f>
        <v>68.596286657173493</v>
      </c>
      <c r="K300" s="1357"/>
      <c r="L300" s="1299">
        <f>IF(M287&gt;0,IF((L299+M299-L301)&gt;0,L301,L299+M299),IF((L299-L301)&gt;0,L301,L299))</f>
        <v>65.98962776420089</v>
      </c>
      <c r="M300" s="1301">
        <f>IF(M287&gt;0,IF((L299+M299-L301)&gt;0,L299+M299-L301,-(L299+M299-L301)),IF((L299-L301)&gt;0,L299-L301,-(L299-L301)))</f>
        <v>0.13493829158768733</v>
      </c>
      <c r="S300" s="1321" t="s">
        <v>1068</v>
      </c>
      <c r="T300" s="1322">
        <f>Z288</f>
        <v>2.3019281722102933</v>
      </c>
      <c r="U300" s="1357"/>
      <c r="V300" s="1299">
        <f>IF(W287&gt;0,IF((V299+W299-V301)&gt;0,V301,V299+W299),IF((V299-V301)&gt;0,V301,V299))</f>
        <v>2.1888169452353146</v>
      </c>
      <c r="W300" s="1301">
        <f>IF(W287&gt;0,IF((V299+W299-V301)&gt;0,V299+W299-V301,-(V299+W299-V301)),IF((V299-V301)&gt;0,V299-V301,-(V299-V301)))</f>
        <v>0.10160158611392722</v>
      </c>
      <c r="AC300" s="309">
        <f t="shared" si="46"/>
        <v>65989.627764200894</v>
      </c>
      <c r="AD300" s="309">
        <f t="shared" si="46"/>
        <v>134.93829158768733</v>
      </c>
      <c r="AI300" s="309">
        <f t="shared" si="44"/>
        <v>2188.8169452353145</v>
      </c>
      <c r="AJ300" s="309">
        <f>W300*1000</f>
        <v>101.60158611392723</v>
      </c>
    </row>
    <row r="301" spans="2:39">
      <c r="B301" s="1304"/>
      <c r="C301" s="1311"/>
      <c r="D301" s="1327"/>
      <c r="E301" s="1327"/>
      <c r="F301" s="1327"/>
      <c r="G301" s="1328"/>
      <c r="I301" s="1359" t="s">
        <v>57</v>
      </c>
      <c r="J301" s="1322"/>
      <c r="K301" s="1356"/>
      <c r="L301" s="1299">
        <f>D286</f>
        <v>66.124566055788577</v>
      </c>
      <c r="M301" s="1636"/>
      <c r="S301" s="1359" t="s">
        <v>57</v>
      </c>
      <c r="T301" s="1322"/>
      <c r="U301" s="1356"/>
      <c r="V301" s="1308">
        <f>V217</f>
        <v>2.1888169452353146</v>
      </c>
      <c r="W301" s="1636"/>
      <c r="AA301" s="273">
        <v>-4.2198467361695968E-3</v>
      </c>
      <c r="AC301" s="309">
        <f t="shared" si="46"/>
        <v>66124.566055788571</v>
      </c>
      <c r="AD301" s="309"/>
      <c r="AI301" s="309">
        <f t="shared" si="44"/>
        <v>2188.8169452353145</v>
      </c>
    </row>
    <row r="302" spans="2:39">
      <c r="B302" s="1304" t="s">
        <v>94</v>
      </c>
      <c r="C302" s="1311" t="s">
        <v>95</v>
      </c>
      <c r="D302" s="1327">
        <f t="shared" ref="D302:E304" si="47">D217</f>
        <v>192.66735748300661</v>
      </c>
      <c r="E302" s="1327">
        <f t="shared" si="47"/>
        <v>197.52627780568733</v>
      </c>
      <c r="F302" s="1327">
        <f>+D302-E302</f>
        <v>-4.8589203226807172</v>
      </c>
      <c r="G302" s="1328">
        <f>+F302/E302</f>
        <v>-2.4598855284766651E-2</v>
      </c>
      <c r="I302" s="1359" t="s">
        <v>1090</v>
      </c>
      <c r="M302" s="1119"/>
      <c r="S302" s="1359" t="s">
        <v>1091</v>
      </c>
      <c r="W302" s="1119"/>
      <c r="AC302" s="309"/>
      <c r="AD302" s="309"/>
    </row>
    <row r="303" spans="2:39">
      <c r="B303" s="1304" t="s">
        <v>96</v>
      </c>
      <c r="C303" s="1311" t="s">
        <v>48</v>
      </c>
      <c r="D303" s="1327">
        <f t="shared" si="47"/>
        <v>80.026351406553701</v>
      </c>
      <c r="E303" s="1327">
        <f t="shared" si="47"/>
        <v>83.619091451728735</v>
      </c>
      <c r="F303" s="1327">
        <f>+D303-E303</f>
        <v>-3.5927400451750344</v>
      </c>
      <c r="G303" s="1328">
        <f>+F303/E303</f>
        <v>-4.2965547494007821E-2</v>
      </c>
    </row>
    <row r="304" spans="2:39">
      <c r="B304" s="1304" t="s">
        <v>97</v>
      </c>
      <c r="C304" s="1311" t="s">
        <v>48</v>
      </c>
      <c r="D304" s="1327">
        <f t="shared" si="47"/>
        <v>90.314190671165463</v>
      </c>
      <c r="E304" s="1327">
        <f t="shared" si="47"/>
        <v>93.662072089683008</v>
      </c>
      <c r="F304" s="1327">
        <f>+D304-E304</f>
        <v>-3.3478814185175452</v>
      </c>
      <c r="G304" s="1328">
        <f>+F304/E304</f>
        <v>-3.5744259590070701E-2</v>
      </c>
      <c r="L304" s="1368">
        <f>L301-L296</f>
        <v>0.1419359251473935</v>
      </c>
      <c r="M304" s="469">
        <f>-M297+M298-M299</f>
        <v>-1.0761796685106553</v>
      </c>
      <c r="N304" s="469">
        <f>L304-M304</f>
        <v>1.2181155936580488</v>
      </c>
      <c r="V304" s="1373">
        <f>V301-V296</f>
        <v>-0.30755570197859505</v>
      </c>
      <c r="W304" s="469">
        <f>-W297+W298-W299</f>
        <v>-8.8415145796367112E-2</v>
      </c>
      <c r="X304" s="469">
        <f>V304-W304</f>
        <v>-0.21914055618222794</v>
      </c>
      <c r="AC304" s="1369">
        <f>AC301-AC296</f>
        <v>141.9359251473943</v>
      </c>
      <c r="AD304" s="722"/>
      <c r="AI304" s="1369">
        <f>AI301-AI296</f>
        <v>-307.55570197859515</v>
      </c>
      <c r="AJ304" s="722"/>
    </row>
    <row r="305" spans="9:39">
      <c r="M305" s="469">
        <f>M304-M300</f>
        <v>-1.2111179600983426</v>
      </c>
      <c r="W305" s="469">
        <f>W304-W300</f>
        <v>-0.19001673191029433</v>
      </c>
    </row>
    <row r="307" spans="9:39">
      <c r="I307" s="1317"/>
      <c r="J307" s="1318" t="s">
        <v>1084</v>
      </c>
      <c r="K307" s="1318" t="s">
        <v>1085</v>
      </c>
      <c r="L307" s="1318" t="s">
        <v>1046</v>
      </c>
      <c r="M307" s="1321" t="s">
        <v>1047</v>
      </c>
      <c r="AF307" s="1304"/>
      <c r="AG307" s="1304"/>
      <c r="AL307" s="1304"/>
      <c r="AM307" s="1304"/>
    </row>
    <row r="308" spans="9:39">
      <c r="I308" s="1363" t="s">
        <v>1092</v>
      </c>
      <c r="J308" s="1322">
        <f>J285</f>
        <v>15189.938313137327</v>
      </c>
      <c r="K308" s="1322">
        <f>K285</f>
        <v>14929.683820629605</v>
      </c>
      <c r="L308" s="1370">
        <f>K308-J308</f>
        <v>-260.25449250772181</v>
      </c>
      <c r="M308" s="1329" t="e">
        <f>SUM(M309:M311)</f>
        <v>#REF!</v>
      </c>
      <c r="AE308" s="1374"/>
      <c r="AF308" s="1375" t="s">
        <v>1104</v>
      </c>
      <c r="AG308" s="1375" t="s">
        <v>1105</v>
      </c>
      <c r="AK308" s="1374"/>
      <c r="AL308" s="1375" t="s">
        <v>1104</v>
      </c>
      <c r="AM308" s="1375" t="s">
        <v>1105</v>
      </c>
    </row>
    <row r="309" spans="9:39">
      <c r="I309" s="1363" t="s">
        <v>1103</v>
      </c>
      <c r="J309" s="1329">
        <f>E293</f>
        <v>8151.9777351096309</v>
      </c>
      <c r="K309" s="1329">
        <f>D293</f>
        <v>8426.8957127773465</v>
      </c>
      <c r="L309" s="1355">
        <f>K309-J309</f>
        <v>274.9179776677156</v>
      </c>
      <c r="M309" s="1355" t="e">
        <f>L309/1000*(K310/100)*M33*24</f>
        <v>#REF!</v>
      </c>
      <c r="AE309" s="1375" t="s">
        <v>1106</v>
      </c>
      <c r="AF309" s="1376" t="e">
        <f>AG264</f>
        <v>#REF!</v>
      </c>
      <c r="AG309" s="1376" t="e">
        <f>AG296</f>
        <v>#REF!</v>
      </c>
      <c r="AK309" s="1375" t="s">
        <v>1106</v>
      </c>
      <c r="AL309" s="1377" t="e">
        <f>AM264</f>
        <v>#REF!</v>
      </c>
      <c r="AM309" s="1377" t="e">
        <f>AM296</f>
        <v>#REF!</v>
      </c>
    </row>
    <row r="310" spans="9:39">
      <c r="I310" s="1321" t="s">
        <v>23</v>
      </c>
      <c r="J310" s="1322">
        <f>E295</f>
        <v>86.325799784486634</v>
      </c>
      <c r="K310" s="1322">
        <f>D295</f>
        <v>82.043160787650493</v>
      </c>
      <c r="L310" s="1345">
        <f>K310-J310</f>
        <v>-4.2826389968361411</v>
      </c>
      <c r="M310" s="1355" t="e">
        <f>J309/1000*(L310/100)*M33*24</f>
        <v>#REF!</v>
      </c>
      <c r="AE310" s="1375" t="s">
        <v>1107</v>
      </c>
      <c r="AF310" s="1378" t="e">
        <f>AG265</f>
        <v>#REF!</v>
      </c>
      <c r="AG310" s="1378" t="e">
        <f>AG297</f>
        <v>#REF!</v>
      </c>
      <c r="AK310" s="1375" t="s">
        <v>1107</v>
      </c>
      <c r="AL310" s="1379" t="e">
        <f>AM265</f>
        <v>#REF!</v>
      </c>
      <c r="AM310" s="1379" t="e">
        <f>AM297</f>
        <v>#REF!</v>
      </c>
    </row>
    <row r="311" spans="9:39">
      <c r="I311" s="1321" t="s">
        <v>915</v>
      </c>
      <c r="J311" s="1333"/>
      <c r="K311" s="1333"/>
      <c r="L311" s="1333"/>
      <c r="M311" s="1355"/>
      <c r="AE311" s="1375" t="s">
        <v>447</v>
      </c>
      <c r="AF311" s="1376" t="e">
        <f>AG266</f>
        <v>#REF!</v>
      </c>
      <c r="AG311" s="1376">
        <f>AG298</f>
        <v>-534.59101747546765</v>
      </c>
      <c r="AK311" s="1375" t="s">
        <v>447</v>
      </c>
      <c r="AL311" s="1377" t="e">
        <f>AM266</f>
        <v>#REF!</v>
      </c>
      <c r="AM311" s="1377">
        <f>AM298</f>
        <v>-39.926613293906549</v>
      </c>
    </row>
  </sheetData>
  <mergeCells count="11">
    <mergeCell ref="F4:G4"/>
    <mergeCell ref="F31:G31"/>
    <mergeCell ref="F57:G57"/>
    <mergeCell ref="F84:G84"/>
    <mergeCell ref="F138:G138"/>
    <mergeCell ref="F283:G283"/>
    <mergeCell ref="F198:G198"/>
    <mergeCell ref="F111:G111"/>
    <mergeCell ref="F164:G164"/>
    <mergeCell ref="F224:G224"/>
    <mergeCell ref="F251:G251"/>
  </mergeCells>
  <phoneticPr fontId="0" type="noConversion"/>
  <conditionalFormatting sqref="F6:G10 F12:G26 F33:G37 F39:G54 F59:G78 F86:G90 F92:G106 F113:G117 F119:G133 F140:G159 F172:G186 F200:G204 F206:G220">
    <cfRule type="cellIs" dxfId="10" priority="20" stopIfTrue="1" operator="lessThan">
      <formula>0</formula>
    </cfRule>
  </conditionalFormatting>
  <conditionalFormatting sqref="F166:G170">
    <cfRule type="cellIs" dxfId="9" priority="11" stopIfTrue="1" operator="lessThan">
      <formula>0</formula>
    </cfRule>
  </conditionalFormatting>
  <conditionalFormatting sqref="F226:G230">
    <cfRule type="cellIs" dxfId="8" priority="3" stopIfTrue="1" operator="lessThan">
      <formula>0</formula>
    </cfRule>
  </conditionalFormatting>
  <conditionalFormatting sqref="F232:G246">
    <cfRule type="cellIs" dxfId="7" priority="7" stopIfTrue="1" operator="lessThan">
      <formula>0</formula>
    </cfRule>
  </conditionalFormatting>
  <conditionalFormatting sqref="F253:G257">
    <cfRule type="cellIs" dxfId="6" priority="1" stopIfTrue="1" operator="lessThan">
      <formula>0</formula>
    </cfRule>
  </conditionalFormatting>
  <conditionalFormatting sqref="F259:G273">
    <cfRule type="cellIs" dxfId="5" priority="8" stopIfTrue="1" operator="lessThan">
      <formula>0</formula>
    </cfRule>
  </conditionalFormatting>
  <conditionalFormatting sqref="F285:G289 F291:G304">
    <cfRule type="cellIs" dxfId="4" priority="6" stopIfTrue="1" operator="lessThan">
      <formula>0</formula>
    </cfRule>
  </conditionalFormatting>
  <conditionalFormatting sqref="K245">
    <cfRule type="cellIs" dxfId="3" priority="4" stopIfTrue="1" operator="lessThan">
      <formula>0</formula>
    </cfRule>
  </conditionalFormatting>
  <pageMargins left="0.75" right="0.75" top="1" bottom="1" header="0" footer="0"/>
  <pageSetup scale="84" orientation="portrait" r:id="rId1"/>
  <headerFooter alignWithMargins="0"/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29"/>
  <dimension ref="B2:G107"/>
  <sheetViews>
    <sheetView zoomScale="70" zoomScaleNormal="70" workbookViewId="0">
      <selection activeCell="D5" sqref="D5:D35"/>
    </sheetView>
  </sheetViews>
  <sheetFormatPr baseColWidth="10" defaultColWidth="11.453125" defaultRowHeight="12.5"/>
  <cols>
    <col min="2" max="2" width="63" customWidth="1"/>
    <col min="3" max="3" width="12.453125" bestFit="1" customWidth="1"/>
    <col min="4" max="4" width="17.54296875" bestFit="1" customWidth="1"/>
    <col min="5" max="5" width="18" bestFit="1" customWidth="1"/>
    <col min="6" max="6" width="17.54296875" bestFit="1" customWidth="1"/>
    <col min="7" max="7" width="19" bestFit="1" customWidth="1"/>
  </cols>
  <sheetData>
    <row r="2" spans="2:7" ht="20.5">
      <c r="B2" s="127" t="s">
        <v>1108</v>
      </c>
      <c r="C2" s="1"/>
      <c r="D2" s="65"/>
      <c r="E2" s="59"/>
      <c r="F2" s="59"/>
      <c r="G2" s="59"/>
    </row>
    <row r="3" spans="2:7" ht="21" thickBot="1">
      <c r="B3" s="126" t="s">
        <v>44</v>
      </c>
      <c r="C3" s="180">
        <f>Factores!$D$2</f>
        <v>46082.791666666664</v>
      </c>
      <c r="D3" s="59"/>
      <c r="E3" s="59"/>
      <c r="F3" s="4812" t="s">
        <v>43</v>
      </c>
      <c r="G3" s="4812"/>
    </row>
    <row r="4" spans="2:7" ht="18">
      <c r="B4" s="59"/>
      <c r="C4" s="60" t="s">
        <v>46</v>
      </c>
      <c r="D4" s="398" t="s">
        <v>11</v>
      </c>
      <c r="E4" s="60" t="s">
        <v>12</v>
      </c>
      <c r="F4" s="60" t="s">
        <v>10</v>
      </c>
      <c r="G4" s="60" t="s">
        <v>48</v>
      </c>
    </row>
    <row r="5" spans="2:7" ht="20">
      <c r="B5" s="181" t="s">
        <v>52</v>
      </c>
      <c r="C5" s="182" t="s">
        <v>53</v>
      </c>
      <c r="D5" s="399">
        <f>'Explicacion Cueq (Con BM)'!D6</f>
        <v>24.365061413343849</v>
      </c>
      <c r="E5" s="183" t="e">
        <f>'Comparacion (Sin BM)'!C11</f>
        <v>#REF!</v>
      </c>
      <c r="F5" s="185" t="e">
        <f t="shared" ref="F5:F10" si="0">+D5-E5</f>
        <v>#REF!</v>
      </c>
      <c r="G5" s="184" t="e">
        <f t="shared" ref="G5:G10" si="1">+F5/E5</f>
        <v>#REF!</v>
      </c>
    </row>
    <row r="6" spans="2:7" ht="20.5">
      <c r="B6" s="65" t="s">
        <v>55</v>
      </c>
      <c r="C6" s="1" t="s">
        <v>53</v>
      </c>
      <c r="D6" s="400">
        <f>D9+D12*Factores!$D$9</f>
        <v>22.714478458180967</v>
      </c>
      <c r="E6" s="158">
        <f>'Comparacion (Sin BM)'!C12</f>
        <v>29.771605976738346</v>
      </c>
      <c r="F6" s="160">
        <f t="shared" si="0"/>
        <v>-7.0571275185573796</v>
      </c>
      <c r="G6" s="159">
        <f t="shared" si="1"/>
        <v>-0.23704221814810306</v>
      </c>
    </row>
    <row r="7" spans="2:7" ht="20.5">
      <c r="B7" s="65" t="s">
        <v>58</v>
      </c>
      <c r="C7" s="1" t="s">
        <v>53</v>
      </c>
      <c r="D7" s="400">
        <f>D10+D13*Factores!$E$9</f>
        <v>22.714478458180967</v>
      </c>
      <c r="E7" s="158">
        <f>'Comparacion (Sin BM)'!C13</f>
        <v>29.771605976738346</v>
      </c>
      <c r="F7" s="160">
        <f t="shared" si="0"/>
        <v>-7.0571275185573796</v>
      </c>
      <c r="G7" s="159">
        <f t="shared" si="1"/>
        <v>-0.23704221814810306</v>
      </c>
    </row>
    <row r="8" spans="2:7" ht="20">
      <c r="B8" s="181" t="s">
        <v>59</v>
      </c>
      <c r="C8" s="182" t="s">
        <v>53</v>
      </c>
      <c r="D8" s="399">
        <f>'Explicacion Cueq (Con BM)'!D8</f>
        <v>22.933613081531071</v>
      </c>
      <c r="E8" s="183">
        <f>'Comparacion (Sin BM)'!C14</f>
        <v>28.318351668204937</v>
      </c>
      <c r="F8" s="185">
        <f t="shared" si="0"/>
        <v>-5.3847385866738655</v>
      </c>
      <c r="G8" s="184">
        <f t="shared" si="1"/>
        <v>-0.19015014185022999</v>
      </c>
    </row>
    <row r="9" spans="2:7" ht="20.5">
      <c r="B9" s="65" t="s">
        <v>61</v>
      </c>
      <c r="C9" s="1" t="s">
        <v>53</v>
      </c>
      <c r="D9" s="401">
        <f>'R+RS+B'!$I$16</f>
        <v>21.290187368027254</v>
      </c>
      <c r="E9" s="158">
        <f>'Comparacion (Sin BM)'!C15</f>
        <v>27.229795292946367</v>
      </c>
      <c r="F9" s="160">
        <f t="shared" si="0"/>
        <v>-5.9396079249191125</v>
      </c>
      <c r="G9" s="159">
        <f t="shared" si="1"/>
        <v>-0.21812899660166429</v>
      </c>
    </row>
    <row r="10" spans="2:7" ht="20.5">
      <c r="B10" s="65" t="s">
        <v>63</v>
      </c>
      <c r="C10" s="1" t="s">
        <v>53</v>
      </c>
      <c r="D10" s="401">
        <f>D9/Factores!$D$7*Factores!$E$7</f>
        <v>21.290187368027254</v>
      </c>
      <c r="E10" s="158">
        <f>'Comparacion (Sin BM)'!C16</f>
        <v>27.229795292946367</v>
      </c>
      <c r="F10" s="160">
        <f t="shared" si="0"/>
        <v>-5.9396079249191125</v>
      </c>
      <c r="G10" s="159">
        <f t="shared" si="1"/>
        <v>-0.21812899660166429</v>
      </c>
    </row>
    <row r="11" spans="2:7" ht="20">
      <c r="B11" s="181" t="s">
        <v>66</v>
      </c>
      <c r="C11" s="182" t="s">
        <v>53</v>
      </c>
      <c r="D11" s="402">
        <f>'Explicacion Cueq (Con BM)'!D9</f>
        <v>0.49377313963876424</v>
      </c>
      <c r="E11" s="185">
        <f>'Comparacion (Sin BM)'!C18</f>
        <v>0.80794675396342897</v>
      </c>
      <c r="F11" s="185">
        <f>+D11-E11</f>
        <v>-0.31417361432466473</v>
      </c>
      <c r="G11" s="184">
        <f>+F11/E11</f>
        <v>-0.38885435554195635</v>
      </c>
    </row>
    <row r="12" spans="2:7" ht="20.5">
      <c r="B12" s="65" t="s">
        <v>68</v>
      </c>
      <c r="C12" s="1" t="s">
        <v>53</v>
      </c>
      <c r="D12" s="401">
        <f>'R+RS+B'!$I$18</f>
        <v>0.49130427394057041</v>
      </c>
      <c r="E12" s="160">
        <f>'Comparacion (Sin BM)'!C19</f>
        <v>0.8767887836467676</v>
      </c>
      <c r="F12" s="160">
        <f>+D12-E12</f>
        <v>-0.38548450970619719</v>
      </c>
      <c r="G12" s="159">
        <f>+F12/E12</f>
        <v>-0.43965492818336227</v>
      </c>
    </row>
    <row r="13" spans="2:7" ht="20.5">
      <c r="B13" s="65" t="s">
        <v>69</v>
      </c>
      <c r="C13" s="1" t="s">
        <v>53</v>
      </c>
      <c r="D13" s="401">
        <f>D12/Factores!$D$8*Factores!$E$8</f>
        <v>0.49130427394057041</v>
      </c>
      <c r="E13" s="160">
        <f>'Comparacion (Sin BM)'!C20</f>
        <v>0.8767887836467676</v>
      </c>
      <c r="F13" s="160">
        <f>+D13-E13</f>
        <v>-0.38548450970619719</v>
      </c>
      <c r="G13" s="159">
        <f>+F13/E13</f>
        <v>-0.43965492818336227</v>
      </c>
    </row>
    <row r="14" spans="2:7" ht="20.5">
      <c r="B14" s="163"/>
      <c r="C14" s="164"/>
      <c r="D14" s="403"/>
      <c r="E14" s="158"/>
      <c r="F14" s="165"/>
      <c r="G14" s="166"/>
    </row>
    <row r="15" spans="2:7" ht="20.5">
      <c r="B15" s="65" t="s">
        <v>1109</v>
      </c>
      <c r="C15" s="1" t="s">
        <v>1110</v>
      </c>
      <c r="D15" s="404" t="e">
        <f>'R+RS+B'!$I$11</f>
        <v>#REF!</v>
      </c>
      <c r="E15" s="161" t="e">
        <f>'Comparacion (Sin BM)'!C26</f>
        <v>#REF!</v>
      </c>
      <c r="F15" s="161" t="e">
        <f t="shared" ref="F15:F20" si="2">+D15-E15</f>
        <v>#REF!</v>
      </c>
      <c r="G15" s="159" t="e">
        <f t="shared" ref="G15:G20" si="3">+F15/E15</f>
        <v>#REF!</v>
      </c>
    </row>
    <row r="16" spans="2:7" ht="20.5">
      <c r="B16" s="65" t="s">
        <v>78</v>
      </c>
      <c r="C16" s="1" t="s">
        <v>53</v>
      </c>
      <c r="D16" s="404">
        <f>'R+RS+B'!$I$20</f>
        <v>3980.5481482771197</v>
      </c>
      <c r="E16" s="161">
        <f>'Comparacion (Sin BM)'!C27</f>
        <v>5857.198775683828</v>
      </c>
      <c r="F16" s="161">
        <f t="shared" si="2"/>
        <v>-1876.6506274067083</v>
      </c>
      <c r="G16" s="159">
        <f t="shared" si="3"/>
        <v>-0.3204007067674785</v>
      </c>
    </row>
    <row r="17" spans="2:7" ht="20.5">
      <c r="B17" s="65" t="s">
        <v>79</v>
      </c>
      <c r="C17" s="1" t="s">
        <v>75</v>
      </c>
      <c r="D17" s="404">
        <f>'R+RS+B'!$I$21</f>
        <v>132.68493827590399</v>
      </c>
      <c r="E17" s="161">
        <f>'Comparacion (Sin BM)'!C28</f>
        <v>188.94189598980088</v>
      </c>
      <c r="F17" s="158">
        <f t="shared" si="2"/>
        <v>-56.256957713896895</v>
      </c>
      <c r="G17" s="159">
        <f t="shared" si="3"/>
        <v>-0.29774739699306108</v>
      </c>
    </row>
    <row r="18" spans="2:7" ht="20.5">
      <c r="B18" s="65" t="s">
        <v>80</v>
      </c>
      <c r="C18" s="1" t="s">
        <v>81</v>
      </c>
      <c r="D18" s="404">
        <f>'R+RS+B'!$I$22</f>
        <v>812273.55975648097</v>
      </c>
      <c r="E18" s="161">
        <f>'Comparacion (Sin BM)'!C29</f>
        <v>8502.7681772494343</v>
      </c>
      <c r="F18" s="161">
        <f t="shared" si="2"/>
        <v>803770.7915792315</v>
      </c>
      <c r="G18" s="159">
        <f t="shared" si="3"/>
        <v>94.530484052223542</v>
      </c>
    </row>
    <row r="19" spans="2:7" ht="20.5">
      <c r="B19" s="65" t="s">
        <v>82</v>
      </c>
      <c r="C19" s="1" t="s">
        <v>48</v>
      </c>
      <c r="D19" s="405">
        <f>'R+RS+B'!$I$23</f>
        <v>0</v>
      </c>
      <c r="E19" s="158">
        <f>'Comparacion (Sin BM)'!C30</f>
        <v>73.985882319413648</v>
      </c>
      <c r="F19" s="158">
        <f t="shared" si="2"/>
        <v>-73.985882319413648</v>
      </c>
      <c r="G19" s="159">
        <f t="shared" si="3"/>
        <v>-1</v>
      </c>
    </row>
    <row r="20" spans="2:7" ht="20.5">
      <c r="B20" s="65" t="s">
        <v>85</v>
      </c>
      <c r="C20" s="1" t="s">
        <v>48</v>
      </c>
      <c r="D20" s="400">
        <f>'R+RS+B'!$I$24</f>
        <v>0.68062526822697333</v>
      </c>
      <c r="E20" s="158">
        <f>'Comparacion (Sin BM)'!C32</f>
        <v>92.650688634835248</v>
      </c>
      <c r="F20" s="158">
        <f t="shared" si="2"/>
        <v>-91.970063366608272</v>
      </c>
      <c r="G20" s="159">
        <f t="shared" si="3"/>
        <v>-0.99265385634736591</v>
      </c>
    </row>
    <row r="21" spans="2:7" ht="20.5">
      <c r="B21" s="65"/>
      <c r="C21" s="1"/>
      <c r="D21" s="406"/>
      <c r="E21" s="158"/>
      <c r="F21" s="65"/>
      <c r="G21" s="65"/>
    </row>
    <row r="22" spans="2:7" ht="20.5">
      <c r="B22" s="65" t="s">
        <v>89</v>
      </c>
      <c r="C22" s="1" t="s">
        <v>48</v>
      </c>
      <c r="D22" s="407">
        <f>'R+RS+B'!$I$32</f>
        <v>0.63704189198698991</v>
      </c>
      <c r="E22" s="160">
        <f>'Comparacion (Sin BM)'!C34</f>
        <v>0.5354493276828427</v>
      </c>
      <c r="F22" s="160">
        <f>+D22-E22</f>
        <v>0.1015925643041472</v>
      </c>
      <c r="G22" s="159">
        <f>+F22/E22</f>
        <v>0.18973329323950988</v>
      </c>
    </row>
    <row r="23" spans="2:7" ht="20.5">
      <c r="B23" s="65" t="s">
        <v>90</v>
      </c>
      <c r="C23" s="1" t="s">
        <v>48</v>
      </c>
      <c r="D23" s="400">
        <f>'R+RS+B'!$I$33</f>
        <v>90.440219377357522</v>
      </c>
      <c r="E23" s="158">
        <f>'Comparacion (Sin BM)'!C35</f>
        <v>90.294153352101702</v>
      </c>
      <c r="F23" s="158">
        <f>+D23-E23</f>
        <v>0.14606602525581991</v>
      </c>
      <c r="G23" s="159">
        <f>+F23/E23</f>
        <v>1.617668695405294E-3</v>
      </c>
    </row>
    <row r="24" spans="2:7" ht="20.5">
      <c r="B24" s="65" t="s">
        <v>92</v>
      </c>
      <c r="C24" s="1" t="s">
        <v>53</v>
      </c>
      <c r="D24" s="400">
        <f>'R+RS+B'!$I$34</f>
        <v>78.045538606281255</v>
      </c>
      <c r="E24" s="158">
        <f>'Comparacion (Sin BM)'!C36</f>
        <v>105.7534669311305</v>
      </c>
      <c r="F24" s="167">
        <f>+D24-E24</f>
        <v>-27.707928324849249</v>
      </c>
      <c r="G24" s="167">
        <f>+F24/E24</f>
        <v>-0.26200491699145328</v>
      </c>
    </row>
    <row r="25" spans="2:7" ht="20.5">
      <c r="B25" s="65" t="s">
        <v>93</v>
      </c>
      <c r="C25" s="1" t="s">
        <v>48</v>
      </c>
      <c r="D25" s="400">
        <f>'R+RS+B'!$I$35</f>
        <v>29.384912310266678</v>
      </c>
      <c r="E25" s="158">
        <f>'Comparacion (Sin BM)'!C37</f>
        <v>26.777705251636434</v>
      </c>
      <c r="F25" s="158">
        <f>+D25-E25</f>
        <v>2.6072070586302445</v>
      </c>
      <c r="G25" s="159">
        <f>+F25/E25</f>
        <v>9.736484266032891E-2</v>
      </c>
    </row>
    <row r="26" spans="2:7" ht="20.5">
      <c r="B26" s="65"/>
      <c r="C26" s="1"/>
      <c r="D26" s="400"/>
      <c r="E26" s="158"/>
      <c r="F26" s="158"/>
      <c r="G26" s="159"/>
    </row>
    <row r="27" spans="2:7" ht="20.5">
      <c r="B27" s="65" t="s">
        <v>94</v>
      </c>
      <c r="C27" s="1" t="s">
        <v>95</v>
      </c>
      <c r="D27" s="404">
        <f>'R+RS+B'!$I$37</f>
        <v>151.11835423943415</v>
      </c>
      <c r="E27" s="161">
        <f>'Comparacion (Sin BM)'!C39</f>
        <v>171.18629045307489</v>
      </c>
      <c r="F27" s="161">
        <f t="shared" ref="F27:F32" si="4">+D27-E27</f>
        <v>-20.067936213640735</v>
      </c>
      <c r="G27" s="159">
        <f t="shared" ref="G27:G32" si="5">+F27/E27</f>
        <v>-0.11722864115185498</v>
      </c>
    </row>
    <row r="28" spans="2:7" ht="20.5">
      <c r="B28" s="65" t="s">
        <v>96</v>
      </c>
      <c r="C28" s="1" t="s">
        <v>48</v>
      </c>
      <c r="D28" s="400">
        <f>'R+RS+B'!$I$38</f>
        <v>82.085673282578924</v>
      </c>
      <c r="E28" s="158">
        <f>'Comparacion (Sin BM)'!C40</f>
        <v>80.57935681068416</v>
      </c>
      <c r="F28" s="158">
        <f t="shared" si="4"/>
        <v>1.5063164718947633</v>
      </c>
      <c r="G28" s="159">
        <f t="shared" si="5"/>
        <v>1.8693577753837794E-2</v>
      </c>
    </row>
    <row r="29" spans="2:7" ht="20.5" hidden="1">
      <c r="B29" s="65" t="s">
        <v>97</v>
      </c>
      <c r="C29" s="1" t="s">
        <v>48</v>
      </c>
      <c r="D29" s="400">
        <f>'R+RS+B'!$I$39</f>
        <v>92.833487014930043</v>
      </c>
      <c r="E29" s="158">
        <f>'Comparacion (Sin BM)'!C41</f>
        <v>91.633786719447059</v>
      </c>
      <c r="F29" s="158">
        <f t="shared" si="4"/>
        <v>1.1997002954829838</v>
      </c>
      <c r="G29" s="159">
        <f t="shared" si="5"/>
        <v>1.3092335681336373E-2</v>
      </c>
    </row>
    <row r="30" spans="2:7" ht="20.5" hidden="1">
      <c r="B30" s="65" t="s">
        <v>98</v>
      </c>
      <c r="C30" s="1" t="s">
        <v>48</v>
      </c>
      <c r="D30" s="400">
        <f>'R+RS+B'!$I$40</f>
        <v>88.422481931953499</v>
      </c>
      <c r="E30" s="158">
        <f>'Comparacion (Sin BM)'!C42</f>
        <v>87.936294783268124</v>
      </c>
      <c r="F30" s="158">
        <f t="shared" si="4"/>
        <v>0.48618714868537438</v>
      </c>
      <c r="G30" s="159">
        <f t="shared" si="5"/>
        <v>5.5288564282092376E-3</v>
      </c>
    </row>
    <row r="31" spans="2:7" ht="20.5">
      <c r="B31" s="65" t="s">
        <v>99</v>
      </c>
      <c r="C31" s="1" t="s">
        <v>100</v>
      </c>
      <c r="D31" s="404">
        <f>'R+RS+B'!$I$41*1000</f>
        <v>914.39470303474855</v>
      </c>
      <c r="E31" s="161">
        <f>'Comparacion (Sin BM)'!C43</f>
        <v>1615.8935079268579</v>
      </c>
      <c r="F31" s="168">
        <f t="shared" si="4"/>
        <v>-701.49880489210932</v>
      </c>
      <c r="G31" s="159">
        <f t="shared" si="5"/>
        <v>-0.43412440327958923</v>
      </c>
    </row>
    <row r="32" spans="2:7" ht="20.5">
      <c r="B32" s="65" t="s">
        <v>102</v>
      </c>
      <c r="C32" s="1" t="s">
        <v>48</v>
      </c>
      <c r="D32" s="400">
        <f>'R+RS+B'!$I$42</f>
        <v>54</v>
      </c>
      <c r="E32" s="158">
        <f>'Comparacion (Sin BM)'!C44</f>
        <v>50</v>
      </c>
      <c r="F32" s="158">
        <f t="shared" si="4"/>
        <v>4</v>
      </c>
      <c r="G32" s="162">
        <f t="shared" si="5"/>
        <v>0.08</v>
      </c>
    </row>
    <row r="33" spans="2:7" ht="20.5">
      <c r="B33" s="65"/>
      <c r="C33" s="1"/>
      <c r="D33" s="400"/>
      <c r="E33" s="158"/>
      <c r="F33" s="158"/>
      <c r="G33" s="162"/>
    </row>
    <row r="34" spans="2:7" ht="20.5">
      <c r="B34" s="65" t="s">
        <v>1111</v>
      </c>
      <c r="C34" s="1" t="s">
        <v>1112</v>
      </c>
      <c r="D34" s="400">
        <f>'R+RS+B'!$I$52</f>
        <v>20.00231618587987</v>
      </c>
      <c r="E34" s="158">
        <f>'Comparacion (Sin BM)'!C46</f>
        <v>27.44514654815184</v>
      </c>
      <c r="F34" s="158">
        <f>+D34-E34</f>
        <v>-7.4428303622719696</v>
      </c>
      <c r="G34" s="162">
        <f>+F34/E34</f>
        <v>-0.27118931025613968</v>
      </c>
    </row>
    <row r="35" spans="2:7" ht="21" thickBot="1">
      <c r="B35" s="65" t="s">
        <v>1113</v>
      </c>
      <c r="C35" s="1" t="s">
        <v>1112</v>
      </c>
      <c r="D35" s="408">
        <f>'R+RS+B'!$I$53</f>
        <v>998.12728311955425</v>
      </c>
      <c r="E35" s="161">
        <f>'Comparacion (Sin BM)'!C47</f>
        <v>1264.0913954643502</v>
      </c>
      <c r="F35" s="158">
        <f>+D35-E35</f>
        <v>-265.96411234479592</v>
      </c>
      <c r="G35" s="162">
        <f>+F35/E35</f>
        <v>-0.21039943258778129</v>
      </c>
    </row>
    <row r="36" spans="2:7" ht="18">
      <c r="B36" s="59"/>
      <c r="C36" s="59"/>
      <c r="D36" s="97"/>
      <c r="E36" s="59"/>
      <c r="F36" s="59"/>
      <c r="G36" s="59"/>
    </row>
    <row r="37" spans="2:7" ht="18">
      <c r="B37" s="59"/>
      <c r="C37" s="59"/>
      <c r="D37" s="59"/>
      <c r="E37" s="59"/>
      <c r="F37" s="59"/>
      <c r="G37" s="59"/>
    </row>
    <row r="38" spans="2:7" ht="20.5">
      <c r="B38" s="155" t="s">
        <v>110</v>
      </c>
      <c r="C38" s="1"/>
      <c r="D38" s="189"/>
      <c r="E38" s="65"/>
      <c r="F38" s="65"/>
      <c r="G38" s="65"/>
    </row>
    <row r="39" spans="2:7" ht="20.5">
      <c r="B39" s="95" t="s">
        <v>42</v>
      </c>
      <c r="C39" s="180">
        <f>C3</f>
        <v>46082.791666666664</v>
      </c>
      <c r="D39" s="65"/>
      <c r="E39" s="65"/>
      <c r="F39" s="4813" t="s">
        <v>43</v>
      </c>
      <c r="G39" s="4813"/>
    </row>
    <row r="40" spans="2:7" ht="18">
      <c r="B40" s="59"/>
      <c r="C40" s="60" t="s">
        <v>46</v>
      </c>
      <c r="D40" s="60" t="s">
        <v>11</v>
      </c>
      <c r="E40" s="60" t="s">
        <v>47</v>
      </c>
      <c r="F40" s="60" t="s">
        <v>10</v>
      </c>
      <c r="G40" s="60" t="s">
        <v>48</v>
      </c>
    </row>
    <row r="41" spans="2:7" ht="20">
      <c r="B41" s="181" t="s">
        <v>52</v>
      </c>
      <c r="C41" s="182" t="s">
        <v>53</v>
      </c>
      <c r="D41" s="183">
        <f t="shared" ref="D41:D49" si="6">D5</f>
        <v>24.365061413343849</v>
      </c>
      <c r="E41" s="183">
        <f>'Comparacion (Sin BM)'!R53</f>
        <v>22.933613081531071</v>
      </c>
      <c r="F41" s="185">
        <f t="shared" ref="F41:F46" si="7">+D41-E41</f>
        <v>1.4314483318127778</v>
      </c>
      <c r="G41" s="184">
        <f t="shared" ref="G41:G46" si="8">+F41/E41</f>
        <v>6.241704378302055E-2</v>
      </c>
    </row>
    <row r="42" spans="2:7" ht="20.5">
      <c r="B42" s="65" t="s">
        <v>55</v>
      </c>
      <c r="C42" s="1" t="s">
        <v>53</v>
      </c>
      <c r="D42" s="158">
        <f t="shared" si="6"/>
        <v>22.714478458180967</v>
      </c>
      <c r="E42" s="158">
        <f>'Comparacion (Sin BM)'!R54</f>
        <v>0</v>
      </c>
      <c r="F42" s="160">
        <f t="shared" si="7"/>
        <v>22.714478458180967</v>
      </c>
      <c r="G42" s="159" t="e">
        <f t="shared" si="8"/>
        <v>#DIV/0!</v>
      </c>
    </row>
    <row r="43" spans="2:7" ht="20.5">
      <c r="B43" s="65" t="s">
        <v>58</v>
      </c>
      <c r="C43" s="1" t="s">
        <v>53</v>
      </c>
      <c r="D43" s="158">
        <f t="shared" si="6"/>
        <v>22.714478458180967</v>
      </c>
      <c r="E43" s="158">
        <f>'Comparacion (Sin BM)'!R55</f>
        <v>33.40619354187691</v>
      </c>
      <c r="F43" s="160">
        <f t="shared" si="7"/>
        <v>-10.691715083695943</v>
      </c>
      <c r="G43" s="159">
        <f t="shared" si="8"/>
        <v>-0.3200518811068121</v>
      </c>
    </row>
    <row r="44" spans="2:7" ht="20">
      <c r="B44" s="181" t="s">
        <v>59</v>
      </c>
      <c r="C44" s="182" t="s">
        <v>53</v>
      </c>
      <c r="D44" s="183">
        <f t="shared" si="6"/>
        <v>22.933613081531071</v>
      </c>
      <c r="E44" s="183">
        <f>'Comparacion (Sin BM)'!R56</f>
        <v>22.933613081531071</v>
      </c>
      <c r="F44" s="185">
        <f>+D44-E44</f>
        <v>0</v>
      </c>
      <c r="G44" s="184">
        <f t="shared" si="8"/>
        <v>0</v>
      </c>
    </row>
    <row r="45" spans="2:7" ht="20.5">
      <c r="B45" s="65" t="s">
        <v>61</v>
      </c>
      <c r="C45" s="1" t="s">
        <v>53</v>
      </c>
      <c r="D45" s="160">
        <f t="shared" si="6"/>
        <v>21.290187368027254</v>
      </c>
      <c r="E45" s="158">
        <f>'Comparacion (Sin BM)'!R57</f>
        <v>31.316638511727174</v>
      </c>
      <c r="F45" s="160">
        <f t="shared" si="7"/>
        <v>-10.026451143699919</v>
      </c>
      <c r="G45" s="159">
        <f t="shared" si="8"/>
        <v>-0.32016370913964165</v>
      </c>
    </row>
    <row r="46" spans="2:7" ht="20.5">
      <c r="B46" s="65" t="s">
        <v>63</v>
      </c>
      <c r="C46" s="1" t="s">
        <v>53</v>
      </c>
      <c r="D46" s="160">
        <f t="shared" si="6"/>
        <v>21.290187368027254</v>
      </c>
      <c r="E46" s="158">
        <f>'Comparacion (Sin BM)'!R58</f>
        <v>31.316638511727174</v>
      </c>
      <c r="F46" s="160">
        <f t="shared" si="7"/>
        <v>-10.026451143699919</v>
      </c>
      <c r="G46" s="159">
        <f t="shared" si="8"/>
        <v>-0.32016370913964165</v>
      </c>
    </row>
    <row r="47" spans="2:7" ht="20">
      <c r="B47" s="181" t="s">
        <v>66</v>
      </c>
      <c r="C47" s="182" t="s">
        <v>53</v>
      </c>
      <c r="D47" s="185">
        <f t="shared" si="6"/>
        <v>0.49377313963876424</v>
      </c>
      <c r="E47" s="185">
        <f>'Comparacion (Sin BM)'!R60</f>
        <v>0.49377313963876424</v>
      </c>
      <c r="F47" s="185">
        <f>+D47-E47</f>
        <v>0</v>
      </c>
      <c r="G47" s="184">
        <f>+F47/E47</f>
        <v>0</v>
      </c>
    </row>
    <row r="48" spans="2:7" ht="20.5">
      <c r="B48" s="65" t="s">
        <v>68</v>
      </c>
      <c r="C48" s="1" t="s">
        <v>53</v>
      </c>
      <c r="D48" s="160">
        <f t="shared" si="6"/>
        <v>0.49130427394057041</v>
      </c>
      <c r="E48" s="160">
        <f>'Comparacion (Sin BM)'!R61</f>
        <v>0.72078476376327538</v>
      </c>
      <c r="F48" s="160">
        <f>+D48-E48</f>
        <v>-0.22948048982270497</v>
      </c>
      <c r="G48" s="159">
        <f>+F48/E48</f>
        <v>-0.31837588883617463</v>
      </c>
    </row>
    <row r="49" spans="2:7" ht="20.5">
      <c r="B49" s="65" t="s">
        <v>69</v>
      </c>
      <c r="C49" s="1" t="s">
        <v>53</v>
      </c>
      <c r="D49" s="160">
        <f t="shared" si="6"/>
        <v>0.49130427394057041</v>
      </c>
      <c r="E49" s="160">
        <f>'Comparacion (Sin BM)'!R62</f>
        <v>0.72078476376327538</v>
      </c>
      <c r="F49" s="160">
        <f>+D49-E49</f>
        <v>-0.22948048982270497</v>
      </c>
      <c r="G49" s="159">
        <f>+F49/E49</f>
        <v>-0.31837588883617463</v>
      </c>
    </row>
    <row r="50" spans="2:7" ht="20.5">
      <c r="B50" s="65"/>
      <c r="C50" s="1"/>
      <c r="D50" s="158"/>
      <c r="E50" s="158"/>
      <c r="F50" s="158"/>
      <c r="G50" s="159"/>
    </row>
    <row r="51" spans="2:7" ht="20.5">
      <c r="B51" s="65" t="s">
        <v>1109</v>
      </c>
      <c r="C51" s="1" t="s">
        <v>1110</v>
      </c>
      <c r="D51" s="161" t="e">
        <f>D15</f>
        <v>#REF!</v>
      </c>
      <c r="E51" s="161" t="e">
        <f>'Comparacion (Sin BM)'!R65</f>
        <v>#REF!</v>
      </c>
      <c r="F51" s="161" t="e">
        <f t="shared" ref="F51:F56" si="9">+D51-E51</f>
        <v>#REF!</v>
      </c>
      <c r="G51" s="159" t="e">
        <f t="shared" ref="G51:G56" si="10">+F51/E51</f>
        <v>#REF!</v>
      </c>
    </row>
    <row r="52" spans="2:7" ht="20.5">
      <c r="B52" s="65" t="s">
        <v>78</v>
      </c>
      <c r="C52" s="1" t="s">
        <v>53</v>
      </c>
      <c r="D52" s="161">
        <f t="shared" ref="D52:D68" si="11">D16</f>
        <v>3980.5481482771197</v>
      </c>
      <c r="E52" s="161" t="e">
        <f>'Comparacion (Sin BM)'!R66</f>
        <v>#REF!</v>
      </c>
      <c r="F52" s="161" t="e">
        <f t="shared" si="9"/>
        <v>#REF!</v>
      </c>
      <c r="G52" s="159" t="e">
        <f t="shared" si="10"/>
        <v>#REF!</v>
      </c>
    </row>
    <row r="53" spans="2:7" ht="20.5">
      <c r="B53" s="65" t="s">
        <v>79</v>
      </c>
      <c r="C53" s="1" t="s">
        <v>75</v>
      </c>
      <c r="D53" s="161">
        <f t="shared" si="11"/>
        <v>132.68493827590399</v>
      </c>
      <c r="E53" s="161" t="e">
        <f>'Comparacion (Sin BM)'!R67</f>
        <v>#REF!</v>
      </c>
      <c r="F53" s="158" t="e">
        <f t="shared" si="9"/>
        <v>#REF!</v>
      </c>
      <c r="G53" s="159" t="e">
        <f t="shared" si="10"/>
        <v>#REF!</v>
      </c>
    </row>
    <row r="54" spans="2:7" ht="20.5">
      <c r="B54" s="65" t="s">
        <v>80</v>
      </c>
      <c r="C54" s="1" t="s">
        <v>81</v>
      </c>
      <c r="D54" s="161">
        <f t="shared" si="11"/>
        <v>812273.55975648097</v>
      </c>
      <c r="E54" s="161" t="e">
        <f>'Comparacion (Sin BM)'!R68</f>
        <v>#REF!</v>
      </c>
      <c r="F54" s="161" t="e">
        <f t="shared" si="9"/>
        <v>#REF!</v>
      </c>
      <c r="G54" s="159" t="e">
        <f t="shared" si="10"/>
        <v>#REF!</v>
      </c>
    </row>
    <row r="55" spans="2:7" ht="20.5">
      <c r="B55" s="65" t="s">
        <v>82</v>
      </c>
      <c r="C55" s="1" t="s">
        <v>48</v>
      </c>
      <c r="D55" s="158">
        <f t="shared" si="11"/>
        <v>0</v>
      </c>
      <c r="E55" s="158" t="e">
        <f>'Comparacion (Sin BM)'!R69</f>
        <v>#REF!</v>
      </c>
      <c r="F55" s="158" t="e">
        <f t="shared" si="9"/>
        <v>#REF!</v>
      </c>
      <c r="G55" s="159" t="e">
        <f t="shared" si="10"/>
        <v>#REF!</v>
      </c>
    </row>
    <row r="56" spans="2:7" ht="20.5">
      <c r="B56" s="65" t="s">
        <v>85</v>
      </c>
      <c r="C56" s="1" t="s">
        <v>48</v>
      </c>
      <c r="D56" s="158">
        <f t="shared" si="11"/>
        <v>0.68062526822697333</v>
      </c>
      <c r="E56" s="158" t="e">
        <f>'Comparacion (Sin BM)'!R70</f>
        <v>#REF!</v>
      </c>
      <c r="F56" s="158" t="e">
        <f t="shared" si="9"/>
        <v>#REF!</v>
      </c>
      <c r="G56" s="159" t="e">
        <f t="shared" si="10"/>
        <v>#REF!</v>
      </c>
    </row>
    <row r="57" spans="2:7" ht="20.5">
      <c r="B57" s="65"/>
      <c r="C57" s="1"/>
      <c r="D57" s="158"/>
      <c r="E57" s="158"/>
      <c r="F57" s="158"/>
      <c r="G57" s="159"/>
    </row>
    <row r="58" spans="2:7" ht="20.5">
      <c r="B58" s="65" t="s">
        <v>89</v>
      </c>
      <c r="C58" s="1" t="s">
        <v>48</v>
      </c>
      <c r="D58" s="160">
        <f t="shared" si="11"/>
        <v>0.63704189198698991</v>
      </c>
      <c r="E58" s="160" t="e">
        <f>'Comparacion (Sin BM)'!R72</f>
        <v>#REF!</v>
      </c>
      <c r="F58" s="160" t="e">
        <f>+D58-E58</f>
        <v>#REF!</v>
      </c>
      <c r="G58" s="159" t="e">
        <f>+F58/E58</f>
        <v>#REF!</v>
      </c>
    </row>
    <row r="59" spans="2:7" ht="20.5">
      <c r="B59" s="65" t="s">
        <v>90</v>
      </c>
      <c r="C59" s="1" t="s">
        <v>48</v>
      </c>
      <c r="D59" s="158">
        <f t="shared" si="11"/>
        <v>90.440219377357522</v>
      </c>
      <c r="E59" s="158" t="e">
        <f>'Comparacion (Sin BM)'!R73</f>
        <v>#REF!</v>
      </c>
      <c r="F59" s="158" t="e">
        <f>+D59-E59</f>
        <v>#REF!</v>
      </c>
      <c r="G59" s="159" t="e">
        <f>+F59/E59</f>
        <v>#REF!</v>
      </c>
    </row>
    <row r="60" spans="2:7" ht="20.5">
      <c r="B60" s="65" t="s">
        <v>92</v>
      </c>
      <c r="C60" s="1" t="s">
        <v>53</v>
      </c>
      <c r="D60" s="158">
        <f t="shared" si="11"/>
        <v>78.045538606281255</v>
      </c>
      <c r="E60" s="158" t="e">
        <f>'Comparacion (Sin BM)'!R74</f>
        <v>#REF!</v>
      </c>
      <c r="F60" s="158" t="e">
        <f>+D60-E60</f>
        <v>#REF!</v>
      </c>
      <c r="G60" s="159" t="e">
        <f>+F60/E60</f>
        <v>#REF!</v>
      </c>
    </row>
    <row r="61" spans="2:7" ht="20.5">
      <c r="B61" s="65" t="s">
        <v>93</v>
      </c>
      <c r="C61" s="1" t="s">
        <v>48</v>
      </c>
      <c r="D61" s="158">
        <f t="shared" si="11"/>
        <v>29.384912310266678</v>
      </c>
      <c r="E61" s="158">
        <f>'Comparacion (Sin BM)'!R75</f>
        <v>26.777705251636434</v>
      </c>
      <c r="F61" s="158">
        <f>+D61-E61</f>
        <v>2.6072070586302445</v>
      </c>
      <c r="G61" s="159">
        <f>+F61/E61</f>
        <v>9.736484266032891E-2</v>
      </c>
    </row>
    <row r="62" spans="2:7" ht="20.5">
      <c r="B62" s="65"/>
      <c r="C62" s="1"/>
      <c r="D62" s="158"/>
      <c r="E62" s="158"/>
      <c r="F62" s="158"/>
      <c r="G62" s="159"/>
    </row>
    <row r="63" spans="2:7" ht="20.5">
      <c r="B63" s="65" t="s">
        <v>94</v>
      </c>
      <c r="C63" s="1" t="s">
        <v>95</v>
      </c>
      <c r="D63" s="158">
        <f t="shared" si="11"/>
        <v>151.11835423943415</v>
      </c>
      <c r="E63" s="158" t="e">
        <f>'Comparacion (Sin BM)'!R77</f>
        <v>#REF!</v>
      </c>
      <c r="F63" s="158" t="e">
        <f t="shared" ref="F63:F68" si="12">+D63-E63</f>
        <v>#REF!</v>
      </c>
      <c r="G63" s="159" t="e">
        <f t="shared" ref="G63:G68" si="13">+F63/E63</f>
        <v>#REF!</v>
      </c>
    </row>
    <row r="64" spans="2:7" ht="20.5">
      <c r="B64" s="65" t="s">
        <v>96</v>
      </c>
      <c r="C64" s="1" t="s">
        <v>48</v>
      </c>
      <c r="D64" s="158">
        <f t="shared" si="11"/>
        <v>82.085673282578924</v>
      </c>
      <c r="E64" s="158" t="e">
        <f>'Comparacion (Sin BM)'!R78</f>
        <v>#REF!</v>
      </c>
      <c r="F64" s="158" t="e">
        <f t="shared" si="12"/>
        <v>#REF!</v>
      </c>
      <c r="G64" s="159" t="e">
        <f t="shared" si="13"/>
        <v>#REF!</v>
      </c>
    </row>
    <row r="65" spans="2:7" ht="20.5" hidden="1">
      <c r="B65" s="65" t="s">
        <v>97</v>
      </c>
      <c r="C65" s="1" t="s">
        <v>48</v>
      </c>
      <c r="D65" s="158">
        <f t="shared" si="11"/>
        <v>92.833487014930043</v>
      </c>
      <c r="E65" s="158" t="e">
        <f>'Comparacion (Sin BM)'!R79</f>
        <v>#REF!</v>
      </c>
      <c r="F65" s="158" t="e">
        <f t="shared" si="12"/>
        <v>#REF!</v>
      </c>
      <c r="G65" s="159" t="e">
        <f t="shared" si="13"/>
        <v>#REF!</v>
      </c>
    </row>
    <row r="66" spans="2:7" ht="20.5" hidden="1">
      <c r="B66" s="65" t="s">
        <v>98</v>
      </c>
      <c r="C66" s="1" t="s">
        <v>48</v>
      </c>
      <c r="D66" s="158">
        <f t="shared" si="11"/>
        <v>88.422481931953499</v>
      </c>
      <c r="E66" s="158" t="e">
        <f>'Comparacion (Sin BM)'!R80</f>
        <v>#REF!</v>
      </c>
      <c r="F66" s="158" t="e">
        <f t="shared" si="12"/>
        <v>#REF!</v>
      </c>
      <c r="G66" s="159" t="e">
        <f t="shared" si="13"/>
        <v>#REF!</v>
      </c>
    </row>
    <row r="67" spans="2:7" ht="20.5">
      <c r="B67" s="65" t="s">
        <v>99</v>
      </c>
      <c r="C67" s="1" t="s">
        <v>100</v>
      </c>
      <c r="D67" s="161">
        <f t="shared" si="11"/>
        <v>914.39470303474855</v>
      </c>
      <c r="E67" s="161" t="e">
        <f>'Comparacion (Sin BM)'!R81</f>
        <v>#REF!</v>
      </c>
      <c r="F67" s="161" t="e">
        <f t="shared" si="12"/>
        <v>#REF!</v>
      </c>
      <c r="G67" s="159" t="e">
        <f t="shared" si="13"/>
        <v>#REF!</v>
      </c>
    </row>
    <row r="68" spans="2:7" ht="20.5">
      <c r="B68" s="65" t="s">
        <v>102</v>
      </c>
      <c r="C68" s="1" t="s">
        <v>48</v>
      </c>
      <c r="D68" s="158">
        <f t="shared" si="11"/>
        <v>54</v>
      </c>
      <c r="E68" s="158" t="e">
        <f>'Comparacion (Sin BM)'!R82</f>
        <v>#REF!</v>
      </c>
      <c r="F68" s="158" t="e">
        <f t="shared" si="12"/>
        <v>#REF!</v>
      </c>
      <c r="G68" s="159" t="e">
        <f t="shared" si="13"/>
        <v>#REF!</v>
      </c>
    </row>
    <row r="69" spans="2:7" ht="20.5">
      <c r="B69" s="65"/>
      <c r="C69" s="1"/>
      <c r="D69" s="158"/>
      <c r="E69" s="158"/>
      <c r="F69" s="158"/>
      <c r="G69" s="159"/>
    </row>
    <row r="70" spans="2:7" ht="20.5">
      <c r="B70" s="65" t="s">
        <v>1114</v>
      </c>
      <c r="C70" s="1" t="s">
        <v>1115</v>
      </c>
      <c r="D70" s="158">
        <f>D34</f>
        <v>20.00231618587987</v>
      </c>
      <c r="E70" s="158" t="e">
        <f>'Comparacion (Sin BM)'!R84</f>
        <v>#REF!</v>
      </c>
      <c r="F70" s="158" t="e">
        <f>+D70-E70</f>
        <v>#REF!</v>
      </c>
      <c r="G70" s="162" t="e">
        <f>+F70/E70</f>
        <v>#REF!</v>
      </c>
    </row>
    <row r="71" spans="2:7" ht="20.5">
      <c r="B71" s="65" t="s">
        <v>1116</v>
      </c>
      <c r="C71" s="1" t="s">
        <v>1115</v>
      </c>
      <c r="D71" s="161">
        <f>D35</f>
        <v>998.12728311955425</v>
      </c>
      <c r="E71" s="161" t="e">
        <f>'Comparacion (Sin BM)'!R85</f>
        <v>#REF!</v>
      </c>
      <c r="F71" s="158" t="e">
        <f>+D71-E71</f>
        <v>#REF!</v>
      </c>
      <c r="G71" s="162" t="e">
        <f>+F71/E71</f>
        <v>#REF!</v>
      </c>
    </row>
    <row r="72" spans="2:7" ht="18">
      <c r="B72" s="59"/>
      <c r="C72" s="60"/>
      <c r="D72" s="94"/>
      <c r="E72" s="94"/>
      <c r="F72" s="94"/>
      <c r="G72" s="96"/>
    </row>
    <row r="73" spans="2:7" ht="18">
      <c r="B73" s="59"/>
      <c r="C73" s="59"/>
      <c r="D73" s="59"/>
      <c r="E73" s="59"/>
      <c r="F73" s="59"/>
      <c r="G73" s="59"/>
    </row>
    <row r="74" spans="2:7" ht="20.5">
      <c r="B74" s="155" t="s">
        <v>110</v>
      </c>
      <c r="C74" s="1"/>
      <c r="D74" s="189"/>
      <c r="E74" s="65"/>
      <c r="F74" s="65"/>
      <c r="G74" s="65"/>
    </row>
    <row r="75" spans="2:7" ht="20.5">
      <c r="B75" s="155" t="s">
        <v>136</v>
      </c>
      <c r="C75" s="180">
        <f>C39</f>
        <v>46082.791666666664</v>
      </c>
      <c r="D75" s="65"/>
      <c r="E75" s="65"/>
      <c r="F75" s="4813" t="s">
        <v>43</v>
      </c>
      <c r="G75" s="4813"/>
    </row>
    <row r="76" spans="2:7" ht="18">
      <c r="B76" s="59"/>
      <c r="C76" s="60" t="s">
        <v>46</v>
      </c>
      <c r="D76" s="60" t="s">
        <v>11</v>
      </c>
      <c r="E76" s="60" t="s">
        <v>47</v>
      </c>
      <c r="F76" s="60" t="s">
        <v>10</v>
      </c>
      <c r="G76" s="60" t="s">
        <v>48</v>
      </c>
    </row>
    <row r="77" spans="2:7" ht="20">
      <c r="B77" s="181" t="s">
        <v>52</v>
      </c>
      <c r="C77" s="182" t="s">
        <v>53</v>
      </c>
      <c r="D77" s="183">
        <f>'Explicacion Cueq (Con BM)'!D86</f>
        <v>75.921116288304688</v>
      </c>
      <c r="E77" s="183">
        <f>'Comparacion (Sin BM)'!R91</f>
        <v>69.454454911773695</v>
      </c>
      <c r="F77" s="183">
        <f t="shared" ref="F77:F82" si="14">+D77-E77</f>
        <v>6.4666613765309933</v>
      </c>
      <c r="G77" s="184">
        <f t="shared" ref="G77:G82" si="15">+F77/E77</f>
        <v>9.3106502451792847E-2</v>
      </c>
    </row>
    <row r="78" spans="2:7" ht="20.5">
      <c r="B78" s="65" t="s">
        <v>55</v>
      </c>
      <c r="C78" s="1" t="s">
        <v>53</v>
      </c>
      <c r="D78" s="158">
        <f>'R+RS+B'!U14</f>
        <v>73.706320749886359</v>
      </c>
      <c r="E78" s="158">
        <f>'Comparacion (Sin BM)'!R92</f>
        <v>78.402771219563206</v>
      </c>
      <c r="F78" s="158">
        <f t="shared" si="14"/>
        <v>-4.6964504696768472</v>
      </c>
      <c r="G78" s="159">
        <f t="shared" si="15"/>
        <v>-5.9901587617670587E-2</v>
      </c>
    </row>
    <row r="79" spans="2:7" ht="20.5">
      <c r="B79" s="65" t="s">
        <v>58</v>
      </c>
      <c r="C79" s="1" t="s">
        <v>53</v>
      </c>
      <c r="D79" s="158">
        <f>D82+D85*Factores!$E$9</f>
        <v>73.706320749886359</v>
      </c>
      <c r="E79" s="158">
        <f>'Comparacion (Sin BM)'!R93</f>
        <v>78.402771219563206</v>
      </c>
      <c r="F79" s="158">
        <f t="shared" si="14"/>
        <v>-4.6964504696768472</v>
      </c>
      <c r="G79" s="159">
        <f t="shared" si="15"/>
        <v>-5.9901587617670587E-2</v>
      </c>
    </row>
    <row r="80" spans="2:7" ht="20">
      <c r="B80" s="181" t="s">
        <v>59</v>
      </c>
      <c r="C80" s="182" t="s">
        <v>53</v>
      </c>
      <c r="D80" s="183">
        <f>'Explicacion Cueq (Con BM)'!D88</f>
        <v>69.24782651706704</v>
      </c>
      <c r="E80" s="183">
        <f>'Comparacion (Sin BM)'!R94</f>
        <v>68.58901260981412</v>
      </c>
      <c r="F80" s="190">
        <f>+D80-E80</f>
        <v>0.65881390725292022</v>
      </c>
      <c r="G80" s="192">
        <f t="shared" si="15"/>
        <v>9.6052397050931347E-3</v>
      </c>
    </row>
    <row r="81" spans="2:7" ht="20.5">
      <c r="B81" s="65" t="s">
        <v>61</v>
      </c>
      <c r="C81" s="1" t="s">
        <v>53</v>
      </c>
      <c r="D81" s="158">
        <f>'R+RS+B'!U16</f>
        <v>67.360940425649176</v>
      </c>
      <c r="E81" s="158">
        <f>'Comparacion (Sin BM)'!R95</f>
        <v>71.201971836811452</v>
      </c>
      <c r="F81" s="158">
        <f>+D81-E81</f>
        <v>-3.8410314111622768</v>
      </c>
      <c r="G81" s="159">
        <f t="shared" si="15"/>
        <v>-5.3945576394507401E-2</v>
      </c>
    </row>
    <row r="82" spans="2:7" ht="20.5">
      <c r="B82" s="65" t="s">
        <v>63</v>
      </c>
      <c r="C82" s="1" t="s">
        <v>53</v>
      </c>
      <c r="D82" s="158">
        <f>D81/Factores!$D$7*Factores!$E$7</f>
        <v>67.360940425649176</v>
      </c>
      <c r="E82" s="158">
        <f>E81/Factores!$D$7*Factores!$E$7</f>
        <v>71.201971836811452</v>
      </c>
      <c r="F82" s="158">
        <f t="shared" si="14"/>
        <v>-3.8410314111622768</v>
      </c>
      <c r="G82" s="159">
        <f t="shared" si="15"/>
        <v>-5.3945576394507401E-2</v>
      </c>
    </row>
    <row r="83" spans="2:7" ht="20">
      <c r="B83" s="181" t="s">
        <v>66</v>
      </c>
      <c r="C83" s="182" t="s">
        <v>53</v>
      </c>
      <c r="D83" s="183">
        <f>'Explicacion Cueq (Con BM)'!D89</f>
        <v>2.3019281722102938</v>
      </c>
      <c r="E83" s="183">
        <f>'Comparacion (Sin BM)'!R98</f>
        <v>2.5089172333808136</v>
      </c>
      <c r="F83" s="183">
        <f>+D83-E83</f>
        <v>-0.20698906117051985</v>
      </c>
      <c r="G83" s="191">
        <f>+F83/E83</f>
        <v>-8.2501350947953814E-2</v>
      </c>
    </row>
    <row r="84" spans="2:7" ht="20.5">
      <c r="B84" s="65" t="s">
        <v>68</v>
      </c>
      <c r="C84" s="1" t="s">
        <v>53</v>
      </c>
      <c r="D84" s="158">
        <f>'R+RS+B'!U18</f>
        <v>2.1888169452353146</v>
      </c>
      <c r="E84" s="158">
        <f>'Comparacion (Sin BM)'!R99</f>
        <v>2.4838907839778406</v>
      </c>
      <c r="F84" s="158">
        <f>+D84-E84</f>
        <v>-0.29507383874252602</v>
      </c>
      <c r="G84" s="159">
        <f>+F84/E84</f>
        <v>-0.11879501330971501</v>
      </c>
    </row>
    <row r="85" spans="2:7" ht="20.5">
      <c r="B85" s="65" t="s">
        <v>69</v>
      </c>
      <c r="C85" s="1" t="s">
        <v>53</v>
      </c>
      <c r="D85" s="158">
        <f>D84/Factores!$D$8*Factores!$E$8</f>
        <v>2.1888169452353146</v>
      </c>
      <c r="E85" s="158">
        <f>E84/Factores!$D$8*Factores!$E$8</f>
        <v>2.4838907839778406</v>
      </c>
      <c r="F85" s="158">
        <f>+D85-E85</f>
        <v>-0.29507383874252602</v>
      </c>
      <c r="G85" s="159">
        <f>+F85/E85</f>
        <v>-0.11879501330971501</v>
      </c>
    </row>
    <row r="86" spans="2:7" ht="20.5">
      <c r="B86" s="65"/>
      <c r="C86" s="1"/>
      <c r="D86" s="160"/>
      <c r="E86" s="160"/>
      <c r="F86" s="160"/>
      <c r="G86" s="159"/>
    </row>
    <row r="87" spans="2:7" ht="20.5">
      <c r="B87" s="65" t="s">
        <v>1109</v>
      </c>
      <c r="C87" s="1" t="s">
        <v>1110</v>
      </c>
      <c r="D87" s="161" t="e">
        <f>'R+RP+B'!#REF!</f>
        <v>#REF!</v>
      </c>
      <c r="E87" s="161" t="e">
        <f>+BDGT!#REF!</f>
        <v>#REF!</v>
      </c>
      <c r="F87" s="161" t="e">
        <f t="shared" ref="F87:F92" si="16">+D87-E87</f>
        <v>#REF!</v>
      </c>
      <c r="G87" s="159" t="e">
        <f t="shared" ref="G87:G92" si="17">+F87/E87</f>
        <v>#REF!</v>
      </c>
    </row>
    <row r="88" spans="2:7" ht="20.5">
      <c r="B88" s="65" t="s">
        <v>78</v>
      </c>
      <c r="C88" s="1" t="s">
        <v>53</v>
      </c>
      <c r="D88" s="161">
        <f>'R+RP+B'!U15</f>
        <v>14929.683820629605</v>
      </c>
      <c r="E88" s="161">
        <f>'Comparacion (Sin BM)'!R104</f>
        <v>0</v>
      </c>
      <c r="F88" s="161">
        <f t="shared" si="16"/>
        <v>14929.683820629605</v>
      </c>
      <c r="G88" s="159" t="e">
        <f t="shared" si="17"/>
        <v>#DIV/0!</v>
      </c>
    </row>
    <row r="89" spans="2:7" ht="20.5">
      <c r="B89" s="65" t="s">
        <v>79</v>
      </c>
      <c r="C89" s="1" t="s">
        <v>75</v>
      </c>
      <c r="D89" s="158">
        <f>'R+RP+B'!U16</f>
        <v>165.8853757847734</v>
      </c>
      <c r="E89" s="158">
        <f>'Comparacion (Sin BM)'!R105</f>
        <v>168.77709236819251</v>
      </c>
      <c r="F89" s="158">
        <f t="shared" si="16"/>
        <v>-2.891716583419111</v>
      </c>
      <c r="G89" s="159">
        <f t="shared" si="17"/>
        <v>-1.7133347558273729E-2</v>
      </c>
    </row>
    <row r="90" spans="2:7" ht="20.5">
      <c r="B90" s="65" t="s">
        <v>80</v>
      </c>
      <c r="C90" s="1" t="s">
        <v>81</v>
      </c>
      <c r="D90" s="161">
        <f>'R+RP+B'!U17</f>
        <v>8426.8957127773465</v>
      </c>
      <c r="E90" s="161">
        <f>'Comparacion (Sin BM)'!R106</f>
        <v>8151.9777351096309</v>
      </c>
      <c r="F90" s="161">
        <f t="shared" si="16"/>
        <v>274.9179776677156</v>
      </c>
      <c r="G90" s="159">
        <f t="shared" si="17"/>
        <v>3.3724083480217992E-2</v>
      </c>
    </row>
    <row r="91" spans="2:7" ht="20.5">
      <c r="B91" s="65" t="s">
        <v>82</v>
      </c>
      <c r="C91" s="1" t="s">
        <v>48</v>
      </c>
      <c r="D91" s="158">
        <f>'R+RP+B'!U18</f>
        <v>0</v>
      </c>
      <c r="E91" s="158">
        <f>'Comparacion (Sin BM)'!R107</f>
        <v>0</v>
      </c>
      <c r="F91" s="158">
        <f t="shared" si="16"/>
        <v>0</v>
      </c>
      <c r="G91" s="159" t="e">
        <f t="shared" si="17"/>
        <v>#DIV/0!</v>
      </c>
    </row>
    <row r="92" spans="2:7" ht="20.5">
      <c r="B92" s="65" t="s">
        <v>85</v>
      </c>
      <c r="C92" s="1" t="s">
        <v>48</v>
      </c>
      <c r="D92" s="158">
        <f>'R+RP+B'!U21</f>
        <v>82.043160787650493</v>
      </c>
      <c r="E92" s="158">
        <f>'Comparacion (Sin BM)'!R108</f>
        <v>86.325799784486634</v>
      </c>
      <c r="F92" s="158">
        <f t="shared" si="16"/>
        <v>-4.2826389968361411</v>
      </c>
      <c r="G92" s="159">
        <f t="shared" si="17"/>
        <v>-4.9610186149769815E-2</v>
      </c>
    </row>
    <row r="93" spans="2:7" ht="20.5">
      <c r="B93" s="65"/>
      <c r="C93" s="1"/>
      <c r="D93" s="161"/>
      <c r="E93" s="161"/>
      <c r="F93" s="158"/>
      <c r="G93" s="159"/>
    </row>
    <row r="94" spans="2:7" ht="20.5">
      <c r="B94" s="65" t="s">
        <v>89</v>
      </c>
      <c r="C94" s="1" t="s">
        <v>48</v>
      </c>
      <c r="D94" s="160">
        <f>'R+RP+B'!U29</f>
        <v>0.51253836495611338</v>
      </c>
      <c r="E94" s="160">
        <f>'Comparacion (Sin BM)'!R110</f>
        <v>0.52083855986685346</v>
      </c>
      <c r="F94" s="160">
        <f>+D94-E94</f>
        <v>-8.3001949107400774E-3</v>
      </c>
      <c r="G94" s="159">
        <f>+F94/E94</f>
        <v>-1.5936214309597064E-2</v>
      </c>
    </row>
    <row r="95" spans="2:7" ht="20.5">
      <c r="B95" s="65" t="s">
        <v>90</v>
      </c>
      <c r="C95" s="1" t="s">
        <v>48</v>
      </c>
      <c r="D95" s="158">
        <f>'R+RP+B'!U30</f>
        <v>90.504839111115729</v>
      </c>
      <c r="E95" s="158">
        <f>'Comparacion (Sin BM)'!R111</f>
        <v>89.998004776086447</v>
      </c>
      <c r="F95" s="158">
        <f>+D95-E95</f>
        <v>0.5068343350292821</v>
      </c>
      <c r="G95" s="159">
        <f>+F95/E95</f>
        <v>5.6316174596345503E-3</v>
      </c>
    </row>
    <row r="96" spans="2:7" ht="20.5">
      <c r="B96" s="65" t="s">
        <v>92</v>
      </c>
      <c r="C96" s="1" t="s">
        <v>53</v>
      </c>
      <c r="D96" s="158">
        <f>'R+RP+B'!U31</f>
        <v>259.00300763005976</v>
      </c>
      <c r="E96" s="158">
        <f>'Comparacion (Sin BM)'!R112</f>
        <v>0</v>
      </c>
      <c r="F96" s="158">
        <f>+D96-E96</f>
        <v>259.00300763005976</v>
      </c>
      <c r="G96" s="159" t="e">
        <f>+F96/E96</f>
        <v>#DIV/0!</v>
      </c>
    </row>
    <row r="97" spans="2:7" ht="20.5">
      <c r="B97" s="65" t="s">
        <v>93</v>
      </c>
      <c r="C97" s="1" t="s">
        <v>48</v>
      </c>
      <c r="D97" s="158">
        <f>'R+RP+B'!U32</f>
        <v>26.736302080312278</v>
      </c>
      <c r="E97" s="158">
        <f>'Comparacion (Sin BM)'!R113</f>
        <v>27.974256407925751</v>
      </c>
      <c r="F97" s="158">
        <f>+D97-E97</f>
        <v>-1.2379543276134726</v>
      </c>
      <c r="G97" s="159">
        <f>+F97/E97</f>
        <v>-4.4253341699646807E-2</v>
      </c>
    </row>
    <row r="98" spans="2:7" ht="20.5">
      <c r="B98" s="65"/>
      <c r="C98" s="1"/>
      <c r="D98" s="161"/>
      <c r="E98" s="161"/>
      <c r="F98" s="158"/>
      <c r="G98" s="159"/>
    </row>
    <row r="99" spans="2:7" ht="20.5">
      <c r="B99" s="65" t="s">
        <v>94</v>
      </c>
      <c r="C99" s="1" t="s">
        <v>95</v>
      </c>
      <c r="D99" s="161">
        <f>'R+RP+B'!U34</f>
        <v>192.66735748300661</v>
      </c>
      <c r="E99" s="161">
        <f>'Comparacion (Sin BM)'!R115</f>
        <v>197.52627780568733</v>
      </c>
      <c r="F99" s="161">
        <f t="shared" ref="F99:F104" si="18">+D99-E99</f>
        <v>-4.8589203226807172</v>
      </c>
      <c r="G99" s="159">
        <f t="shared" ref="G99:G104" si="19">+F99/E99</f>
        <v>-2.4598855284766651E-2</v>
      </c>
    </row>
    <row r="100" spans="2:7" ht="20.5">
      <c r="B100" s="65" t="s">
        <v>96</v>
      </c>
      <c r="C100" s="1" t="s">
        <v>48</v>
      </c>
      <c r="D100" s="158">
        <f>'R+RP+B'!U35</f>
        <v>80.026351406553701</v>
      </c>
      <c r="E100" s="158">
        <f>'Comparacion (Sin BM)'!R116</f>
        <v>83.619091451728735</v>
      </c>
      <c r="F100" s="158">
        <f t="shared" si="18"/>
        <v>-3.5927400451750344</v>
      </c>
      <c r="G100" s="159">
        <f t="shared" si="19"/>
        <v>-4.2965547494007821E-2</v>
      </c>
    </row>
    <row r="101" spans="2:7" ht="20.5" hidden="1">
      <c r="B101" s="65" t="s">
        <v>97</v>
      </c>
      <c r="C101" s="1" t="s">
        <v>48</v>
      </c>
      <c r="D101" s="158">
        <f>'R+RP+B'!U36</f>
        <v>90.314190671165463</v>
      </c>
      <c r="E101" s="158">
        <f>'Comparacion (Sin BM)'!R117</f>
        <v>93.662072089683008</v>
      </c>
      <c r="F101" s="158">
        <f t="shared" si="18"/>
        <v>-3.3478814185175452</v>
      </c>
      <c r="G101" s="159">
        <f t="shared" si="19"/>
        <v>-3.5744259590070701E-2</v>
      </c>
    </row>
    <row r="102" spans="2:7" ht="20.5" hidden="1">
      <c r="B102" s="65" t="s">
        <v>98</v>
      </c>
      <c r="C102" s="1" t="s">
        <v>48</v>
      </c>
      <c r="D102" s="158">
        <f>'R+RP+B'!U37</f>
        <v>88.630655454756081</v>
      </c>
      <c r="E102" s="158">
        <f>'Comparacion (Sin BM)'!R118</f>
        <v>89.277430646272748</v>
      </c>
      <c r="F102" s="158">
        <f t="shared" si="18"/>
        <v>-0.64677519151666729</v>
      </c>
      <c r="G102" s="159">
        <f t="shared" si="19"/>
        <v>-7.2445542712722497E-3</v>
      </c>
    </row>
    <row r="103" spans="2:7" ht="20.5">
      <c r="B103" s="65" t="s">
        <v>99</v>
      </c>
      <c r="C103" s="1" t="s">
        <v>100</v>
      </c>
      <c r="D103" s="161">
        <f>'R+RP+B'!U38*1000</f>
        <v>4717.8739097350453</v>
      </c>
      <c r="E103" s="161">
        <f>'Comparacion (Sin BM)'!R119</f>
        <v>4646.143024779285</v>
      </c>
      <c r="F103" s="161">
        <f t="shared" si="18"/>
        <v>71.730884955760303</v>
      </c>
      <c r="G103" s="159">
        <f t="shared" si="19"/>
        <v>1.5438802588124776E-2</v>
      </c>
    </row>
    <row r="104" spans="2:7" ht="20.5">
      <c r="B104" s="65" t="s">
        <v>102</v>
      </c>
      <c r="C104" s="1" t="s">
        <v>48</v>
      </c>
      <c r="D104" s="158">
        <f>'R+RP+B'!U39</f>
        <v>48.79164251211558</v>
      </c>
      <c r="E104" s="158">
        <f>'Comparacion (Sin BM)'!R120</f>
        <v>0</v>
      </c>
      <c r="F104" s="158">
        <f t="shared" si="18"/>
        <v>48.79164251211558</v>
      </c>
      <c r="G104" s="159" t="e">
        <f t="shared" si="19"/>
        <v>#DIV/0!</v>
      </c>
    </row>
    <row r="105" spans="2:7" ht="18">
      <c r="B105" s="59"/>
      <c r="C105" s="60"/>
      <c r="D105" s="94"/>
      <c r="E105" s="94"/>
      <c r="F105" s="94"/>
      <c r="G105" s="96"/>
    </row>
    <row r="106" spans="2:7" ht="20.5">
      <c r="B106" s="65" t="s">
        <v>1114</v>
      </c>
      <c r="C106" s="1" t="s">
        <v>1115</v>
      </c>
      <c r="D106" s="206">
        <f>'R+RP+B'!U49</f>
        <v>11.311252594606758</v>
      </c>
      <c r="E106" s="158">
        <f>'Comparacion (Sin BM)'!R122</f>
        <v>0</v>
      </c>
      <c r="F106" s="158">
        <f>+D106-E106</f>
        <v>11.311252594606758</v>
      </c>
      <c r="G106" s="159" t="e">
        <f>+F106/E106</f>
        <v>#DIV/0!</v>
      </c>
    </row>
    <row r="107" spans="2:7" ht="21.75" customHeight="1">
      <c r="B107" s="65" t="s">
        <v>1116</v>
      </c>
      <c r="C107" s="1" t="s">
        <v>1115</v>
      </c>
      <c r="D107" s="207">
        <f>'R+RP+B'!U50</f>
        <v>631.80418480531466</v>
      </c>
      <c r="E107" s="161">
        <f>'Comparacion (Sin BM)'!R123</f>
        <v>0</v>
      </c>
      <c r="F107" s="158">
        <f>+D107-E107</f>
        <v>631.80418480531466</v>
      </c>
      <c r="G107" s="159" t="e">
        <f>+F107/E107</f>
        <v>#DIV/0!</v>
      </c>
    </row>
  </sheetData>
  <mergeCells count="3">
    <mergeCell ref="F3:G3"/>
    <mergeCell ref="F39:G39"/>
    <mergeCell ref="F75:G75"/>
  </mergeCells>
  <phoneticPr fontId="141"/>
  <conditionalFormatting sqref="F5:G14 F18:G20 F26:G35 F42:G44 F48:G50 F52:G54 F56:G57 F59:G72 F77:G90 F92:G95 F97:G107">
    <cfRule type="cellIs" dxfId="2" priority="1" stopIfTrue="1" operator="lessThan">
      <formula>0</formula>
    </cfRule>
  </conditionalFormatting>
  <conditionalFormatting sqref="F55:G55 F91:G91 F96:G96">
    <cfRule type="cellIs" dxfId="1" priority="2" stopIfTrue="1" operator="lessThan">
      <formula>0</formula>
    </cfRule>
  </conditionalFormatting>
  <pageMargins left="0.75" right="0.75" top="1" bottom="1" header="0" footer="0"/>
  <pageSetup scale="55" orientation="portrait" r:id="rId1"/>
  <headerFooter alignWithMargins="0"/>
  <rowBreaks count="2" manualBreakCount="2">
    <brk id="36" max="16383" man="1"/>
    <brk id="72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B2C78-787B-4481-BA2A-4CF3DB7F6D31}">
  <sheetPr codeName="Hoja8">
    <tabColor rgb="FFFFCCFF"/>
  </sheetPr>
  <dimension ref="A1:AC182"/>
  <sheetViews>
    <sheetView showGridLines="0" zoomScaleNormal="100" workbookViewId="0">
      <selection activeCell="E26" sqref="E26"/>
    </sheetView>
  </sheetViews>
  <sheetFormatPr baseColWidth="10" defaultColWidth="11.453125" defaultRowHeight="12.5"/>
  <cols>
    <col min="1" max="1" width="1.81640625" customWidth="1"/>
    <col min="2" max="2" width="3.54296875" customWidth="1"/>
    <col min="3" max="3" width="22.81640625" customWidth="1"/>
    <col min="5" max="5" width="9.54296875" customWidth="1"/>
    <col min="6" max="6" width="11" customWidth="1"/>
    <col min="7" max="7" width="9.81640625" customWidth="1"/>
    <col min="8" max="8" width="9.54296875" customWidth="1"/>
    <col min="9" max="9" width="9.453125" customWidth="1"/>
    <col min="10" max="10" width="9.54296875" customWidth="1"/>
    <col min="11" max="11" width="10.453125" customWidth="1"/>
    <col min="12" max="13" width="10.81640625" customWidth="1"/>
    <col min="14" max="14" width="9" customWidth="1"/>
    <col min="15" max="15" width="10.453125" customWidth="1"/>
    <col min="16" max="16" width="24.1796875" customWidth="1"/>
    <col min="18" max="18" width="15.1796875" bestFit="1" customWidth="1"/>
    <col min="22" max="22" width="6.54296875" customWidth="1"/>
    <col min="24" max="24" width="6.54296875" customWidth="1"/>
  </cols>
  <sheetData>
    <row r="1" spans="2:17" ht="13">
      <c r="C1" s="1694" t="s">
        <v>1435</v>
      </c>
    </row>
    <row r="2" spans="2:17" ht="13">
      <c r="C2" s="3047">
        <v>46101.791666666664</v>
      </c>
      <c r="E2" s="4815" t="s">
        <v>808</v>
      </c>
      <c r="F2" s="4815"/>
      <c r="G2" s="4815"/>
      <c r="H2" s="4815"/>
      <c r="I2" s="4815"/>
      <c r="J2" s="4815"/>
      <c r="K2" s="4815"/>
      <c r="M2" s="3046" t="s">
        <v>174</v>
      </c>
      <c r="N2" s="3046"/>
      <c r="O2" s="2878"/>
    </row>
    <row r="3" spans="2:17" ht="13.5" thickBot="1">
      <c r="C3" s="4814"/>
      <c r="D3" s="4814"/>
      <c r="E3" s="4814"/>
      <c r="F3" s="4814"/>
      <c r="G3" s="4814"/>
      <c r="H3" s="4814"/>
      <c r="I3" s="4814"/>
      <c r="J3" s="4814"/>
      <c r="K3" s="4814"/>
      <c r="L3" s="4814"/>
      <c r="M3" s="4814"/>
      <c r="N3" s="4814"/>
      <c r="O3" s="4814"/>
      <c r="P3" s="4814"/>
      <c r="Q3" s="254">
        <f>+M10-L10</f>
        <v>-18.888077162835771</v>
      </c>
    </row>
    <row r="4" spans="2:17" ht="13.5" thickBot="1">
      <c r="C4" s="2601" t="s">
        <v>809</v>
      </c>
      <c r="D4" s="2602" t="s">
        <v>159</v>
      </c>
      <c r="E4" s="2602">
        <f>C2</f>
        <v>46101.791666666664</v>
      </c>
      <c r="F4" s="2602">
        <f t="shared" ref="F4:K4" si="0">+E4+1</f>
        <v>46102.791666666664</v>
      </c>
      <c r="G4" s="2602">
        <f t="shared" si="0"/>
        <v>46103.791666666664</v>
      </c>
      <c r="H4" s="2602">
        <f t="shared" si="0"/>
        <v>46104.791666666664</v>
      </c>
      <c r="I4" s="2602">
        <f t="shared" si="0"/>
        <v>46105.791666666664</v>
      </c>
      <c r="J4" s="2602">
        <f t="shared" si="0"/>
        <v>46106.791666666664</v>
      </c>
      <c r="K4" s="2602">
        <f t="shared" si="0"/>
        <v>46107.791666666664</v>
      </c>
      <c r="L4" s="1706" t="s">
        <v>250</v>
      </c>
      <c r="M4" s="1706" t="s">
        <v>810</v>
      </c>
      <c r="N4" s="3201"/>
      <c r="O4" s="2603" t="s">
        <v>161</v>
      </c>
    </row>
    <row r="5" spans="2:17" ht="13" hidden="1">
      <c r="C5" s="2604" t="s">
        <v>152</v>
      </c>
      <c r="D5" s="1705" t="s">
        <v>100</v>
      </c>
      <c r="E5" s="1530"/>
      <c r="F5" s="1530"/>
      <c r="G5" s="1530"/>
      <c r="H5" s="1530"/>
      <c r="I5" s="1530"/>
      <c r="J5" s="1530"/>
      <c r="K5" s="1530"/>
      <c r="L5" s="1707"/>
      <c r="M5" s="1707"/>
      <c r="N5" s="3202"/>
      <c r="O5" s="2605"/>
    </row>
    <row r="6" spans="2:17" ht="13" hidden="1">
      <c r="C6" s="2604" t="s">
        <v>118</v>
      </c>
      <c r="D6" s="1705" t="s">
        <v>100</v>
      </c>
      <c r="E6" s="1530"/>
      <c r="F6" s="1530"/>
      <c r="G6" s="1530"/>
      <c r="H6" s="1530"/>
      <c r="I6" s="1530"/>
      <c r="J6" s="1530"/>
      <c r="K6" s="1530"/>
      <c r="L6" s="1707"/>
      <c r="M6" s="1707"/>
      <c r="N6" s="3202"/>
      <c r="O6" s="2605"/>
    </row>
    <row r="7" spans="2:17" ht="15.75" hidden="1" customHeight="1" thickBot="1">
      <c r="C7" s="2604" t="s">
        <v>811</v>
      </c>
      <c r="D7" s="1705" t="s">
        <v>100</v>
      </c>
      <c r="E7" s="1530">
        <f>+E10/24*1000</f>
        <v>8534.8239008120909</v>
      </c>
      <c r="F7" s="2061">
        <f t="shared" ref="F7:K7" si="1">+F10/24</f>
        <v>8.4472043792536873</v>
      </c>
      <c r="G7" s="2061">
        <f t="shared" si="1"/>
        <v>8.6514165865741308</v>
      </c>
      <c r="H7" s="2061">
        <f t="shared" si="1"/>
        <v>8.2236541981664022</v>
      </c>
      <c r="I7" s="2061">
        <f t="shared" si="1"/>
        <v>8.3486828237701953</v>
      </c>
      <c r="J7" s="2061">
        <f t="shared" si="1"/>
        <v>8.2206330980199969</v>
      </c>
      <c r="K7" s="2061">
        <f t="shared" si="1"/>
        <v>8.0915428684567914</v>
      </c>
      <c r="L7" s="1707"/>
      <c r="M7" s="2594"/>
      <c r="N7" s="3202"/>
      <c r="O7" s="2605"/>
    </row>
    <row r="8" spans="2:17" ht="13">
      <c r="B8" s="3048"/>
      <c r="C8" s="2604" t="s">
        <v>812</v>
      </c>
      <c r="D8" s="1705" t="s">
        <v>813</v>
      </c>
      <c r="E8" s="3038">
        <f>(+_xlfn.XLOOKUP(E$4,'Proy. Mes'!$B$9:$B$38,'Proy. Mes'!$C$9:$C$38,"ERROR",0,1))/1000</f>
        <v>239.76996</v>
      </c>
      <c r="F8" s="3038">
        <f>(+_xlfn.XLOOKUP(F$4,'Proy. Mes'!$B$9:$B$38,'Proy. Mes'!$C$9:$C$38,"ERROR",0,1))/1000</f>
        <v>179.50796</v>
      </c>
      <c r="G8" s="3038">
        <f>(+_xlfn.XLOOKUP(G$4,'Proy. Mes'!$B$9:$B$38,'Proy. Mes'!$C$9:$C$38,"ERROR",0,1))/1000</f>
        <v>240.392</v>
      </c>
      <c r="H8" s="3038">
        <f>(+_xlfn.XLOOKUP(H$4,'Proy. Mes'!$B$9:$B$38,'Proy. Mes'!$C$9:$C$38,"ERROR",0,1))/1000</f>
        <v>239.55208000000002</v>
      </c>
      <c r="I8" s="1535">
        <f>(+_xlfn.XLOOKUP(I$4,'Proy. Mes'!$B$9:$B$38,'Proy. Mes'!$C$9:$C$38,"ERROR",0,1))/1000</f>
        <v>179.56956</v>
      </c>
      <c r="J8" s="1535">
        <f>(+_xlfn.XLOOKUP(J$4,'Proy. Mes'!$B$9:$B$38,'Proy. Mes'!$C$9:$C$38,"ERROR",0,1))/1000</f>
        <v>240.17299640000002</v>
      </c>
      <c r="K8" s="3038">
        <f>(+_xlfn.XLOOKUP(K$4,'Proy. Mes'!$B$9:$B$39,'Proy. Mes'!$C$9:$C$39,"ERROR",0,1))/1000</f>
        <v>222.11904000000001</v>
      </c>
      <c r="L8" s="1707">
        <f>+SUM(E8:K8)</f>
        <v>1541.0835964000003</v>
      </c>
      <c r="M8" s="2595">
        <f>+M59</f>
        <v>1430.0000510809307</v>
      </c>
      <c r="N8" s="3202"/>
      <c r="O8" s="2609">
        <f>+(L8-M8)/M8*100</f>
        <v>7.768079814759588</v>
      </c>
      <c r="P8" s="1841">
        <v>7</v>
      </c>
      <c r="Q8" s="1853" t="s">
        <v>1192</v>
      </c>
    </row>
    <row r="9" spans="2:17" ht="13">
      <c r="B9" s="3048"/>
      <c r="C9" s="2604" t="s">
        <v>814</v>
      </c>
      <c r="D9" s="1705" t="s">
        <v>198</v>
      </c>
      <c r="E9" s="3038">
        <f>(+_xlfn.XLOOKUP(E$4,'Proy. Mes'!$B$9:$B$38,'Proy. Mes'!$D$9:$D$38,"ERROR",0,1))/1000</f>
        <v>532.882993205302</v>
      </c>
      <c r="F9" s="3038">
        <f>(+_xlfn.XLOOKUP(F$4,'Proy. Mes'!$B$9:$B$38,'Proy. Mes'!$D$9:$D$38,"ERROR",0,1))/1000</f>
        <v>509.65804810321356</v>
      </c>
      <c r="G9" s="3038">
        <f>(+_xlfn.XLOOKUP(G$4,'Proy. Mes'!$B$9:$B$38,'Proy. Mes'!$D$9:$D$38,"ERROR",0,1))/1000</f>
        <v>542.41605002543452</v>
      </c>
      <c r="H9" s="3038">
        <f>(+_xlfn.XLOOKUP(H$4,'Proy. Mes'!$B$9:$B$38,'Proy. Mes'!$D$9:$D$38,"ERROR",0,1))/1000</f>
        <v>584.60042926944084</v>
      </c>
      <c r="I9" s="3038">
        <f>(+_xlfn.XLOOKUP(I$4,'Proy. Mes'!$B$9:$B$38,'Proy. Mes'!$D$9:$D$38,"ERROR",0,1))/1000</f>
        <v>563.80160149895619</v>
      </c>
      <c r="J9" s="3038">
        <f>(+_xlfn.XLOOKUP(J$4,'Proy. Mes'!$B$9:$B$38,'Proy. Mes'!$D$9:$D$38,"ERROR",0,1))/1000</f>
        <v>606.67940354647624</v>
      </c>
      <c r="K9" s="3038">
        <f>(+_xlfn.XLOOKUP(K$4,'Proy. Mes'!$B$9:$B$39,'Proy. Mes'!$D$9:$D$39,"ERROR",0,1))/1000</f>
        <v>634.60141470351323</v>
      </c>
      <c r="L9" s="1707">
        <f>+K9</f>
        <v>634.60141470351323</v>
      </c>
      <c r="M9" s="1707">
        <f>+M60</f>
        <v>688.55305309631785</v>
      </c>
      <c r="N9" s="3202"/>
      <c r="O9" s="2609">
        <f>+(L9-M9)/M9*100</f>
        <v>-7.8355092828638773</v>
      </c>
    </row>
    <row r="10" spans="2:17" ht="13">
      <c r="B10" s="3048"/>
      <c r="C10" s="2604" t="s">
        <v>173</v>
      </c>
      <c r="D10" s="1705" t="s">
        <v>813</v>
      </c>
      <c r="E10" s="3038">
        <f>(+_xlfn.XLOOKUP(E$4,'Proy. Mes'!$B$9:$B$38,'Proy. Mes'!$E$9:$E$38,"ERROR",0,1))/1000</f>
        <v>204.8357736194902</v>
      </c>
      <c r="F10" s="3038">
        <f>(+_xlfn.XLOOKUP(F$4,'Proy. Mes'!$B$9:$B$38,'Proy. Mes'!$E$9:$E$38,"ERROR",0,1))/1000</f>
        <v>202.73290510208849</v>
      </c>
      <c r="G10" s="3038">
        <f>(+_xlfn.XLOOKUP(G$4,'Proy. Mes'!$B$9:$B$38,'Proy. Mes'!$E$9:$E$38,"ERROR",0,1))/1000</f>
        <v>207.63399807777913</v>
      </c>
      <c r="H10" s="3038">
        <f>(+_xlfn.XLOOKUP(H$4,'Proy. Mes'!$B$9:$B$38,'Proy. Mes'!$E$9:$E$38,"ERROR",0,1))/1000</f>
        <v>197.36770075599367</v>
      </c>
      <c r="I10" s="3038">
        <f>(+_xlfn.XLOOKUP(I$4,'Proy. Mes'!$B$9:$B$38,'Proy. Mes'!$E$9:$E$38,"ERROR",0,1))/1000</f>
        <v>200.36838777048467</v>
      </c>
      <c r="J10" s="3038">
        <f>(+_xlfn.XLOOKUP(J$4,'Proy. Mes'!$B$9:$B$38,'Proy. Mes'!$E$9:$E$38,"ERROR",0,1))/1000</f>
        <v>197.29519435247991</v>
      </c>
      <c r="K10" s="3038">
        <f>(+_xlfn.XLOOKUP(K$4,'Proy. Mes'!$B$9:$B$39,'Proy. Mes'!$E$9:$E$39,"ERROR",0,1))/1000</f>
        <v>194.19702884296299</v>
      </c>
      <c r="L10" s="3015">
        <f>+SUM(E10:K10)</f>
        <v>1404.430988521279</v>
      </c>
      <c r="M10" s="3015">
        <f>+M61</f>
        <v>1385.5429113584432</v>
      </c>
      <c r="N10" s="3203"/>
      <c r="O10" s="2609">
        <f t="shared" ref="O10:O48" si="2">+(L10-M10)/M10*100</f>
        <v>1.3632257079874288</v>
      </c>
    </row>
    <row r="11" spans="2:17" ht="13" hidden="1" customHeight="1">
      <c r="B11" s="3048"/>
      <c r="C11" s="2604" t="s">
        <v>816</v>
      </c>
      <c r="D11" s="1705" t="s">
        <v>813</v>
      </c>
      <c r="E11" s="3038">
        <f>(+_xlfn.XLOOKUP(E4,'Proy. Mes'!$B$9:$B$38,'Proy. Mes'!$G$9:$G$38,"ERROR",0,1))/1000</f>
        <v>162.83896132140652</v>
      </c>
      <c r="F11" s="3038">
        <f>(+_xlfn.XLOOKUP(F4,'Proy. Mes'!$B$9:$B$38,'Proy. Mes'!$G$9:$G$38,"ERROR",0,1))/1000</f>
        <v>161.16224400787473</v>
      </c>
      <c r="G11" s="3038">
        <f>(+_xlfn.XLOOKUP(G4,'Proy. Mes'!$B$9:$B$38,'Proy. Mes'!$G$9:$G$38,"ERROR",0,1))/1000</f>
        <v>165.39297396399596</v>
      </c>
      <c r="H11" s="3038">
        <f>(+_xlfn.XLOOKUP(H4,'Proy. Mes'!$B$9:$B$38,'Proy. Mes'!$G$9:$G$38,"ERROR",0,1))/1000</f>
        <v>156.06206563048246</v>
      </c>
      <c r="I11" s="3038">
        <f>(+_xlfn.XLOOKUP(I4,'Proy. Mes'!$B$9:$B$38,'Proy. Mes'!$G$9:$G$38,"ERROR",0,1))/1000</f>
        <v>159.76326721288567</v>
      </c>
      <c r="J11" s="3038">
        <f>(+_xlfn.XLOOKUP(J4,'Proy. Mes'!$B$9:$B$38,'Proy. Mes'!$G$9:$G$38,"ERROR",0,1))/1000</f>
        <v>157.31286360031589</v>
      </c>
      <c r="K11" s="3038">
        <f>(+_xlfn.XLOOKUP(K4,'Proy. Mes'!$B$9:$B$38,'Proy. Mes'!$G$9:$G$38,"ERROR",0,1))/1000</f>
        <v>154.8425485487536</v>
      </c>
      <c r="L11" s="1707">
        <f>+SUM(E11:K11)</f>
        <v>1117.3749242857148</v>
      </c>
      <c r="M11" s="1707">
        <f>+M62</f>
        <v>1102.6819494316846</v>
      </c>
      <c r="N11" s="3202"/>
      <c r="O11" s="2609">
        <f t="shared" si="2"/>
        <v>1.3324762286716303</v>
      </c>
    </row>
    <row r="12" spans="2:17" ht="13" hidden="1" customHeight="1">
      <c r="B12" s="3048"/>
      <c r="C12" s="2604" t="s">
        <v>788</v>
      </c>
      <c r="D12" s="1705" t="s">
        <v>813</v>
      </c>
      <c r="E12" s="3039">
        <f>(+_xlfn.XLOOKUP(E4,'Proy. Mes'!$B$9:$B$38,'Proy. Mes'!$F$9:$F$38,"ERROR",0,1))/1000</f>
        <v>41.996812298083697</v>
      </c>
      <c r="F12" s="3039">
        <f>(+_xlfn.XLOOKUP(F4,'Proy. Mes'!$B$9:$B$38,'Proy. Mes'!$F$9:$F$38,"ERROR",0,1))/1000</f>
        <v>41.57066109421374</v>
      </c>
      <c r="G12" s="3039">
        <f>(+_xlfn.XLOOKUP(G4,'Proy. Mes'!$B$9:$B$38,'Proy. Mes'!$F$9:$F$38,"ERROR",0,1))/1000</f>
        <v>42.241024113783183</v>
      </c>
      <c r="H12" s="3039">
        <f>(+_xlfn.XLOOKUP(H4,'Proy. Mes'!$B$9:$B$38,'Proy. Mes'!$F$9:$F$38,"ERROR",0,1))/1000</f>
        <v>41.305635125511216</v>
      </c>
      <c r="I12" s="3039">
        <f>(+_xlfn.XLOOKUP(I4,'Proy. Mes'!$B$9:$B$38,'Proy. Mes'!$F$9:$F$38,"ERROR",0,1))/1000</f>
        <v>40.605120557599001</v>
      </c>
      <c r="J12" s="3039">
        <f>(+_xlfn.XLOOKUP(J4,'Proy. Mes'!$B$9:$B$38,'Proy. Mes'!$F$9:$F$38,"ERROR",0,1))/1000</f>
        <v>39.98233075216401</v>
      </c>
      <c r="K12" s="3039">
        <f>(+_xlfn.XLOOKUP(K4,'Proy. Mes'!$B$9:$B$38,'Proy. Mes'!$F$9:$F$38,"ERROR",0,1))/1000</f>
        <v>39.354480294209381</v>
      </c>
      <c r="L12" s="1707">
        <f>+SUM(E12:K12)</f>
        <v>287.05606423556424</v>
      </c>
      <c r="M12" s="1707" t="e">
        <f>+M63</f>
        <v>#VALUE!</v>
      </c>
      <c r="N12" s="3202"/>
      <c r="O12" s="2609" t="e">
        <f t="shared" si="2"/>
        <v>#VALUE!</v>
      </c>
    </row>
    <row r="13" spans="2:17" ht="13">
      <c r="B13" s="3048"/>
      <c r="C13" s="2604" t="s">
        <v>1314</v>
      </c>
      <c r="D13" s="1705" t="s">
        <v>121</v>
      </c>
      <c r="E13" s="3038">
        <f t="shared" ref="E13:K13" si="3">E10/(24*E22%)*1000</f>
        <v>8719.0412576778508</v>
      </c>
      <c r="F13" s="3038">
        <f t="shared" si="3"/>
        <v>8629.5305387310873</v>
      </c>
      <c r="G13" s="3038">
        <f t="shared" si="3"/>
        <v>8838.1505034358051</v>
      </c>
      <c r="H13" s="3038">
        <f t="shared" si="3"/>
        <v>8683.4256676550121</v>
      </c>
      <c r="I13" s="3038">
        <f t="shared" si="3"/>
        <v>8528.8824741647604</v>
      </c>
      <c r="J13" s="3038">
        <f t="shared" si="3"/>
        <v>8398.0688973615997</v>
      </c>
      <c r="K13" s="3038">
        <f t="shared" si="3"/>
        <v>8266.192358301716</v>
      </c>
      <c r="L13" s="1707">
        <f>L10*1000/(L22/100*7*24)</f>
        <v>8579.9899043854348</v>
      </c>
      <c r="M13" s="1707">
        <f>M10*1000/(M22/100*7*24)</f>
        <v>8425.4201915196936</v>
      </c>
      <c r="N13" s="3202"/>
      <c r="O13" s="2609">
        <f>+(L13-M13)/M13*100</f>
        <v>1.8345638478816497</v>
      </c>
    </row>
    <row r="14" spans="2:17" ht="13" hidden="1">
      <c r="B14" s="3048"/>
      <c r="C14" s="2604" t="s">
        <v>818</v>
      </c>
      <c r="D14" s="1705" t="s">
        <v>121</v>
      </c>
      <c r="E14" s="3038">
        <f t="shared" ref="E14:K14" si="4">E11*1000/(24*E23/100)</f>
        <v>6919.3602413872586</v>
      </c>
      <c r="F14" s="3038">
        <f t="shared" si="4"/>
        <v>6848.1130962252482</v>
      </c>
      <c r="G14" s="3038">
        <f t="shared" si="4"/>
        <v>7027.8854579062536</v>
      </c>
      <c r="H14" s="3038">
        <f t="shared" si="4"/>
        <v>6906.105722025809</v>
      </c>
      <c r="I14" s="3038">
        <f t="shared" si="4"/>
        <v>6788.6677132817604</v>
      </c>
      <c r="J14" s="3038">
        <f t="shared" si="4"/>
        <v>6684.5450561818952</v>
      </c>
      <c r="K14" s="3038">
        <f t="shared" si="4"/>
        <v>6579.5763213485716</v>
      </c>
      <c r="L14" s="1707">
        <f>+SUMPRODUCT(E11:K11,E14:K14)/SUM(E11:K11)</f>
        <v>6824.4647058997525</v>
      </c>
      <c r="M14" s="1707">
        <f>+M65</f>
        <v>6699.624594961454</v>
      </c>
      <c r="N14" s="3202"/>
      <c r="O14" s="2609">
        <f t="shared" si="2"/>
        <v>1.8633896447300382</v>
      </c>
    </row>
    <row r="15" spans="2:17" ht="13">
      <c r="B15" s="3048"/>
      <c r="C15" s="2604" t="s">
        <v>580</v>
      </c>
      <c r="D15" s="1705"/>
      <c r="E15" s="3038">
        <f>_xlfn.XLOOKUP(E$4,'Proy. Mes'!$B$9:$B$38,'Proy. Mes'!$BC$9:$BC$38,"ERROR",0,1)</f>
        <v>84.725226719810948</v>
      </c>
      <c r="F15" s="3038">
        <f>_xlfn.XLOOKUP(F$4,'Proy. Mes'!$B$9:$B$38,'Proy. Mes'!$BC$9:$BC$38,"ERROR",0,1)</f>
        <v>89.785191129797255</v>
      </c>
      <c r="G15" s="3038">
        <f>_xlfn.XLOOKUP(G$4,'Proy. Mes'!$B$9:$B$38,'Proy. Mes'!$BC$9:$BC$38,"ERROR",0,1)</f>
        <v>81.114557259309791</v>
      </c>
      <c r="H15" s="3038">
        <f>_xlfn.XLOOKUP(H$4,'Proy. Mes'!$B$9:$B$38,'Proy. Mes'!$BC$9:$BC$38,"ERROR",0,1)</f>
        <v>84.076870053142514</v>
      </c>
      <c r="I15" s="3038">
        <f>_xlfn.XLOOKUP(I$4,'Proy. Mes'!$B$9:$B$38,'Proy. Mes'!$BC$9:$BC$38,"ERROR",0,1)</f>
        <v>87.543521444280415</v>
      </c>
      <c r="J15" s="3038">
        <f>_xlfn.XLOOKUP(J$4,'Proy. Mes'!$B$9:$B$38,'Proy. Mes'!$BC$9:$BC$38,"ERROR",0,1)</f>
        <v>86.154996684978286</v>
      </c>
      <c r="K15" s="3038">
        <f>_xlfn.XLOOKUP(K$4,'Proy. Mes'!$B$9:$B$38,'Proy. Mes'!$BC$9:$BC$38,"ERROR",0,1)</f>
        <v>87.950575463139046</v>
      </c>
      <c r="L15" s="1707">
        <f>+SUMPRODUCT(E10:K10,E15:K15)/SUM(E10:K10)</f>
        <v>85.879641535282317</v>
      </c>
      <c r="M15" s="1707">
        <f t="shared" ref="M15:M20" si="5">+M67</f>
        <v>85.869397351187743</v>
      </c>
      <c r="N15" s="3202"/>
      <c r="O15" s="2609">
        <f>+-(L15-M15)/M15*100</f>
        <v>-1.1929959229453817E-2</v>
      </c>
      <c r="P15" s="254"/>
    </row>
    <row r="16" spans="2:17" ht="13.5" customHeight="1">
      <c r="B16" s="3048"/>
      <c r="C16" s="2604" t="s">
        <v>86</v>
      </c>
      <c r="D16" s="1705" t="s">
        <v>214</v>
      </c>
      <c r="E16" s="3039">
        <f>_xlfn.XLOOKUP(E$4,'Proy. Mes'!$B$9:$B$38,'Proy. Mes'!$BB$9:$BB$38,"ERROR",0,1)</f>
        <v>38.523613807334328</v>
      </c>
      <c r="F16" s="3039">
        <f>_xlfn.XLOOKUP(F$4,'Proy. Mes'!$B$9:$B$38,'Proy. Mes'!$BB$9:$BB$38,"ERROR",0,1)</f>
        <v>38.468991267239623</v>
      </c>
      <c r="G16" s="3039">
        <f>_xlfn.XLOOKUP(G$4,'Proy. Mes'!$B$9:$B$38,'Proy. Mes'!$BB$9:$BB$38,"ERROR",0,1)</f>
        <v>39.31624955139938</v>
      </c>
      <c r="H16" s="3039">
        <f>_xlfn.XLOOKUP(H$4,'Proy. Mes'!$B$9:$B$38,'Proy. Mes'!$BB$9:$BB$38,"ERROR",0,1)</f>
        <v>38.559717584585364</v>
      </c>
      <c r="I16" s="3039">
        <f>_xlfn.XLOOKUP(I$4,'Proy. Mes'!$B$9:$B$38,'Proy. Mes'!$BB$9:$BB$38,"ERROR",0,1)</f>
        <v>37.635390704304228</v>
      </c>
      <c r="J16" s="3039">
        <f>_xlfn.XLOOKUP(J$4,'Proy. Mes'!$B$9:$B$38,'Proy. Mes'!$BB$9:$BB$38,"ERROR",0,1)</f>
        <v>36.531048012461845</v>
      </c>
      <c r="K16" s="3039">
        <f>_xlfn.XLOOKUP(K$4,'Proy. Mes'!$B$9:$B$38,'Proy. Mes'!$BB$9:$BB$38,"ERROR",0,1)</f>
        <v>35.81651261035524</v>
      </c>
      <c r="L16" s="1709">
        <f>+SUMPRODUCT(E10:K10,E16:K16)/SUM(E10:K10)</f>
        <v>37.857026098896192</v>
      </c>
      <c r="M16" s="1709">
        <f t="shared" si="5"/>
        <v>36.978505172315558</v>
      </c>
      <c r="N16" s="3204"/>
      <c r="O16" s="2609">
        <f t="shared" si="2"/>
        <v>2.375761060342565</v>
      </c>
    </row>
    <row r="17" spans="1:27" ht="14.25" customHeight="1">
      <c r="B17" s="3048"/>
      <c r="C17" s="2604" t="s">
        <v>820</v>
      </c>
      <c r="D17" s="1705" t="s">
        <v>48</v>
      </c>
      <c r="E17" s="3038">
        <f>_xlfn.XLOOKUP(E$4,'Proy. Mes'!$B$9:$B$38,'Proy. Mes'!$BD$9:$BD$38,"ERROR",0,1)</f>
        <v>74.08057289578727</v>
      </c>
      <c r="F17" s="3038">
        <f>_xlfn.XLOOKUP(F$4,'Proy. Mes'!$B$9:$B$38,'Proy. Mes'!$BD$9:$BD$38,"ERROR",0,1)</f>
        <v>78.744402937491117</v>
      </c>
      <c r="G17" s="3038">
        <f>_xlfn.XLOOKUP(G$4,'Proy. Mes'!$B$9:$B$38,'Proy. Mes'!$BD$9:$BD$38,"ERROR",0,1)</f>
        <v>52.980890029738006</v>
      </c>
      <c r="H17" s="3038">
        <f>_xlfn.XLOOKUP(H$4,'Proy. Mes'!$B$9:$B$38,'Proy. Mes'!$BD$9:$BD$38,"ERROR",0,1)</f>
        <v>56.633229817916828</v>
      </c>
      <c r="I17" s="3038">
        <f>_xlfn.XLOOKUP(I$4,'Proy. Mes'!$B$9:$B$38,'Proy. Mes'!$BD$9:$BD$38,"ERROR",0,1)</f>
        <v>68.075881012349754</v>
      </c>
      <c r="J17" s="3038">
        <f>_xlfn.XLOOKUP(J$4,'Proy. Mes'!$B$9:$B$38,'Proy. Mes'!$BD$9:$BD$38,"ERROR",0,1)</f>
        <v>71.768111414542958</v>
      </c>
      <c r="K17" s="3038">
        <f>_xlfn.XLOOKUP(K$4,'Proy. Mes'!$B$9:$B$38,'Proy. Mes'!$BD$9:$BD$38,"ERROR",0,1)</f>
        <v>77.357636697871555</v>
      </c>
      <c r="L17" s="1707">
        <f>+SUMPRODUCT(E10:K10,E17:K17)/SUM(E10:K10)</f>
        <v>68.454071012830141</v>
      </c>
      <c r="M17" s="1707">
        <f t="shared" si="5"/>
        <v>79.059989804531128</v>
      </c>
      <c r="N17" s="3202"/>
      <c r="O17" s="2609">
        <f t="shared" si="2"/>
        <v>-13.415026763756469</v>
      </c>
    </row>
    <row r="18" spans="1:27" ht="13">
      <c r="B18" s="3048"/>
      <c r="C18" s="2604" t="s">
        <v>290</v>
      </c>
      <c r="D18" s="1705" t="s">
        <v>799</v>
      </c>
      <c r="E18" s="3038">
        <f>+_xlfn.XLOOKUP(E$4,'Proy. Mes'!$B$9:$B$38,'Proy. Mes'!$AZ$9:$AZ$38,"ERROR",0,1)</f>
        <v>182.36834771802469</v>
      </c>
      <c r="F18" s="3038">
        <f>+_xlfn.XLOOKUP(F$4,'Proy. Mes'!$B$9:$B$38,'Proy. Mes'!$AZ$9:$AZ$38,"ERROR",0,1)</f>
        <v>182.41508624975575</v>
      </c>
      <c r="G18" s="3038">
        <f>+_xlfn.XLOOKUP(G$4,'Proy. Mes'!$B$9:$B$38,'Proy. Mes'!$AZ$9:$AZ$38,"ERROR",0,1)</f>
        <v>191.81143729459416</v>
      </c>
      <c r="H18" s="3038">
        <f>+_xlfn.XLOOKUP(H$4,'Proy. Mes'!$B$9:$B$38,'Proy. Mes'!$AZ$9:$AZ$38,"ERROR",0,1)</f>
        <v>186.9279204886916</v>
      </c>
      <c r="I18" s="3038">
        <f>+_xlfn.XLOOKUP(I$4,'Proy. Mes'!$B$9:$B$38,'Proy. Mes'!$AZ$9:$AZ$38,"ERROR",0,1)</f>
        <v>181.97937317159295</v>
      </c>
      <c r="J18" s="3038">
        <f>+_xlfn.XLOOKUP(J$4,'Proy. Mes'!$B$9:$B$38,'Proy. Mes'!$AZ$9:$AZ$38,"ERROR",0,1)</f>
        <v>185.21879985276652</v>
      </c>
      <c r="K18" s="3038">
        <f>+_xlfn.XLOOKUP(K$4,'Proy. Mes'!$B$9:$B$39,'Proy. Mes'!$AZ$9:$AZ$39,"ERROR",0,1)</f>
        <v>181.98308665071124</v>
      </c>
      <c r="L18" s="1707">
        <f>+SUMPRODUCT(E10:K10,E18:K18)/SUM(E10:K10)</f>
        <v>184.70361378154274</v>
      </c>
      <c r="M18" s="1707">
        <f t="shared" si="5"/>
        <v>186.29736119237037</v>
      </c>
      <c r="N18" s="3202"/>
      <c r="O18" s="2609">
        <f>+-(L18-M18)/M18*100</f>
        <v>0.85548576782144037</v>
      </c>
    </row>
    <row r="19" spans="1:27" ht="13">
      <c r="A19" s="254"/>
      <c r="B19" s="3049"/>
      <c r="C19" s="2604" t="s">
        <v>83</v>
      </c>
      <c r="D19" s="1705" t="s">
        <v>821</v>
      </c>
      <c r="E19" s="3039">
        <f>_xlfn.XLOOKUP(E$4,'Proy. Mes'!$B$9:$B$38,'Proy. Mes'!$AY$9:$AY$38,"ERROR",0,1)</f>
        <v>4.1969345058076382</v>
      </c>
      <c r="F19" s="3039">
        <f>_xlfn.XLOOKUP(F$4,'Proy. Mes'!$B$9:$B$38,'Proy. Mes'!$AY$9:$AY$38,"ERROR",0,1)</f>
        <v>4.2551669079758971</v>
      </c>
      <c r="G19" s="3039">
        <f>_xlfn.XLOOKUP(G$4,'Proy. Mes'!$B$9:$B$38,'Proy. Mes'!$AY$9:$AY$38,"ERROR",0,1)</f>
        <v>4.165449051016898</v>
      </c>
      <c r="H19" s="3039">
        <f>_xlfn.XLOOKUP(H$4,'Proy. Mes'!$B$9:$B$38,'Proy. Mes'!$AY$9:$AY$38,"ERROR",0,1)</f>
        <v>4.2767305199496732</v>
      </c>
      <c r="I19" s="3039">
        <f>_xlfn.XLOOKUP(I$4,'Proy. Mes'!$B$9:$B$38,'Proy. Mes'!$AY$9:$AY$38,"ERROR",0,1)</f>
        <v>4.2962545068139528</v>
      </c>
      <c r="J19" s="3039">
        <f>_xlfn.XLOOKUP(J$4,'Proy. Mes'!$B$9:$B$38,'Proy. Mes'!$AY$9:$AY$38,"ERROR",0,1)</f>
        <v>4.2745707218298765</v>
      </c>
      <c r="K19" s="3039">
        <f>_xlfn.XLOOKUP(K$4,'Proy. Mes'!$B$9:$B$38,'Proy. Mes'!$AY$9:$AY$38,"ERROR",0,1)</f>
        <v>4.2965275272066039</v>
      </c>
      <c r="L19" s="1709">
        <f>+SUMPRODUCT(E10:K10,E19:K19)/SUM(E10:K10)</f>
        <v>4.2507469318468099</v>
      </c>
      <c r="M19" s="1709">
        <f t="shared" si="5"/>
        <v>4.2380737016214693</v>
      </c>
      <c r="N19" s="3204"/>
      <c r="O19" s="2609">
        <f>+-(L19-M19)/M19*100</f>
        <v>-0.29903279455691811</v>
      </c>
    </row>
    <row r="20" spans="1:27" ht="17.149999999999999" hidden="1" customHeight="1">
      <c r="B20" s="3048"/>
      <c r="C20" s="2604" t="s">
        <v>83</v>
      </c>
      <c r="D20" s="1705" t="s">
        <v>822</v>
      </c>
      <c r="E20" s="3038"/>
      <c r="F20" s="3038"/>
      <c r="G20" s="3038"/>
      <c r="H20" s="3038"/>
      <c r="I20" s="3038"/>
      <c r="J20" s="3038"/>
      <c r="K20" s="3038"/>
      <c r="L20" s="1709">
        <f>+SUMPRODUCT(E10:K10,E20:K20)/SUM(E10:K10)</f>
        <v>0</v>
      </c>
      <c r="M20" s="1709">
        <f t="shared" si="5"/>
        <v>0</v>
      </c>
      <c r="N20" s="3205"/>
      <c r="O20" s="2609" t="e">
        <f t="shared" si="2"/>
        <v>#DIV/0!</v>
      </c>
    </row>
    <row r="21" spans="1:27" ht="12" customHeight="1">
      <c r="B21" s="3048"/>
      <c r="C21" s="2604" t="s">
        <v>1315</v>
      </c>
      <c r="D21" s="1705" t="s">
        <v>1259</v>
      </c>
      <c r="E21" s="3038">
        <f>_xlfn.XLOOKUP(E$4,'Proy. Mes'!$B$9:$B$38,'Proy. Mes'!$DJ$9:$DJ$38,"ERROR",0,1)</f>
        <v>0</v>
      </c>
      <c r="F21" s="3038">
        <f>_xlfn.XLOOKUP(F$4,'Proy. Mes'!$B$9:$B$38,'Proy. Mes'!$DJ$9:$DJ$38,"ERROR",0,1)</f>
        <v>0</v>
      </c>
      <c r="G21" s="3038">
        <f>_xlfn.XLOOKUP(G$4,'Proy. Mes'!$B$9:$B$38,'Proy. Mes'!$DJ$9:$DJ$38,"ERROR",0,1)</f>
        <v>0</v>
      </c>
      <c r="H21" s="3038">
        <f>_xlfn.XLOOKUP(H$4,'Proy. Mes'!$B$9:$B$38,'Proy. Mes'!$DJ$9:$DJ$38,"ERROR",0,1)</f>
        <v>0</v>
      </c>
      <c r="I21" s="3038">
        <f>_xlfn.XLOOKUP(I$4,'Proy. Mes'!$B$9:$B$38,'Proy. Mes'!$DJ$9:$DJ$38,"ERROR",0,1)</f>
        <v>0</v>
      </c>
      <c r="J21" s="3038">
        <f>_xlfn.XLOOKUP(J$4,'Proy. Mes'!$B$9:$B$38,'Proy. Mes'!$DJ$9:$DJ$38,"ERROR",0,1)</f>
        <v>0</v>
      </c>
      <c r="K21" s="3038">
        <f>_xlfn.XLOOKUP(K$4,'Proy. Mes'!$B$9:$B$38,'Proy. Mes'!$DJ$9:$DJ$38,"ERROR",0,1)</f>
        <v>0</v>
      </c>
      <c r="L21" s="1709">
        <f>+SUMPRODUCT(E10:K10,E21:K21)/SUM(E10:K10)</f>
        <v>0</v>
      </c>
      <c r="M21" s="1709">
        <f>+M72</f>
        <v>0</v>
      </c>
      <c r="N21" s="3202"/>
      <c r="O21" s="2609">
        <v>0</v>
      </c>
    </row>
    <row r="22" spans="1:27" ht="13.4" customHeight="1">
      <c r="B22" s="3048"/>
      <c r="C22" s="2604" t="s">
        <v>1313</v>
      </c>
      <c r="D22" s="1705" t="s">
        <v>48</v>
      </c>
      <c r="E22" s="3039">
        <f>+_xlfn.XLOOKUP(E$4,'Proy. Mes'!$B$9:$B$38,'Proy. Mes'!$J$9:$J$38,"ERROR",0,1)</f>
        <v>97.88718333333334</v>
      </c>
      <c r="F22" s="3039">
        <f>+_xlfn.XLOOKUP(F$4,'Proy. Mes'!$B$9:$B$38,'Proy. Mes'!$J$9:$J$38,"ERROR",0,1)</f>
        <v>97.88718333333334</v>
      </c>
      <c r="G22" s="3039">
        <f>+_xlfn.XLOOKUP(G$4,'Proy. Mes'!$B$9:$B$38,'Proy. Mes'!$J$9:$J$38,"ERROR",0,1)</f>
        <v>97.88718333333334</v>
      </c>
      <c r="H22" s="3039">
        <f>+_xlfn.XLOOKUP(H$4,'Proy. Mes'!$B$9:$B$38,'Proy. Mes'!$J$9:$J$38,"ERROR",0,1)</f>
        <v>94.705183333333338</v>
      </c>
      <c r="I22" s="3039">
        <f>+_xlfn.XLOOKUP(I$4,'Proy. Mes'!$B$9:$B$38,'Proy. Mes'!$J$9:$J$38,"ERROR",0,1)</f>
        <v>97.88718333333334</v>
      </c>
      <c r="J22" s="3039">
        <f>+_xlfn.XLOOKUP(J$4,'Proy. Mes'!$B$9:$B$38,'Proy. Mes'!$J$9:$J$38,"ERROR",0,1)</f>
        <v>97.88718333333334</v>
      </c>
      <c r="K22" s="3039">
        <f>+_xlfn.XLOOKUP(K$4,'Proy. Mes'!$B$9:$B$39,'Proy. Mes'!$J$9:$J$39,"ERROR",0,1)</f>
        <v>97.88718333333334</v>
      </c>
      <c r="L22" s="1709">
        <f>+AVERAGE(E22:K22)</f>
        <v>97.432611904761913</v>
      </c>
      <c r="M22" s="1709">
        <f t="shared" ref="M22:M38" si="6">+M74</f>
        <v>97.885672723806138</v>
      </c>
      <c r="N22" s="3204"/>
      <c r="O22" s="2609">
        <f t="shared" si="2"/>
        <v>-0.46284691767157787</v>
      </c>
    </row>
    <row r="23" spans="1:27" ht="13" hidden="1">
      <c r="A23" s="254"/>
      <c r="B23" s="3048"/>
      <c r="C23" s="2604" t="s">
        <v>824</v>
      </c>
      <c r="D23" s="1705" t="s">
        <v>48</v>
      </c>
      <c r="E23" s="3039">
        <f>+_xlfn.XLOOKUP(E$4,'Proy. Mes'!$B$9:$B$38,'Proy. Mes'!$H$9:$H$38,"ERROR",0,1)</f>
        <v>98.057573027372243</v>
      </c>
      <c r="F23" s="3039">
        <f>+_xlfn.XLOOKUP(F$4,'Proy. Mes'!$B$9:$B$38,'Proy. Mes'!$H$9:$H$38,"ERROR",0,1)</f>
        <v>98.057573027372243</v>
      </c>
      <c r="G23" s="3039">
        <f>+_xlfn.XLOOKUP(G$4,'Proy. Mes'!$B$9:$B$38,'Proy. Mes'!$H$9:$H$38,"ERROR",0,1)</f>
        <v>98.057573027372243</v>
      </c>
      <c r="H23" s="3039">
        <f>+_xlfn.XLOOKUP(H$4,'Proy. Mes'!$B$9:$B$38,'Proy. Mes'!$H$9:$H$38,"ERROR",0,1)</f>
        <v>94.157059414800372</v>
      </c>
      <c r="I23" s="3039">
        <f>+_xlfn.XLOOKUP(I$4,'Proy. Mes'!$B$9:$B$38,'Proy. Mes'!$H$9:$H$38,"ERROR",0,1)</f>
        <v>98.057573027372243</v>
      </c>
      <c r="J23" s="3039">
        <f>+_xlfn.XLOOKUP(J$4,'Proy. Mes'!$B$9:$B$38,'Proy. Mes'!$H$9:$H$38,"ERROR",0,1)</f>
        <v>98.057573027372243</v>
      </c>
      <c r="K23" s="3039">
        <f>+_xlfn.XLOOKUP(K$4,'Proy. Mes'!$B$9:$B$39,'Proy. Mes'!$H$9:$H$39,"ERROR",0,1)</f>
        <v>98.057573027372243</v>
      </c>
      <c r="L23" s="1709">
        <f>+AVERAGE(E23:K23)</f>
        <v>97.500356797004812</v>
      </c>
      <c r="M23" s="1709">
        <f t="shared" si="6"/>
        <v>98.056332111173901</v>
      </c>
      <c r="N23" s="3204"/>
      <c r="O23" s="2609">
        <f t="shared" si="2"/>
        <v>-0.56699583004872922</v>
      </c>
    </row>
    <row r="24" spans="1:27" ht="15" hidden="1" customHeight="1">
      <c r="A24" s="254"/>
      <c r="B24" s="3048"/>
      <c r="C24" s="2604" t="s">
        <v>825</v>
      </c>
      <c r="D24" s="1705" t="s">
        <v>48</v>
      </c>
      <c r="E24" s="3039">
        <f>+_xlfn.XLOOKUP(E$4,'Proy. Mes'!$B$9:$B$38,'Proy. Mes'!$I$9:$I$38,"ERROR",0,1)</f>
        <v>97.132597759803119</v>
      </c>
      <c r="F24" s="3039">
        <f>+_xlfn.XLOOKUP(F$4,'Proy. Mes'!$B$9:$B$38,'Proy. Mes'!$I$9:$I$38,"ERROR",0,1)</f>
        <v>97.132597759803119</v>
      </c>
      <c r="G24" s="3039">
        <f>+_xlfn.XLOOKUP(G$4,'Proy. Mes'!$B$9:$B$38,'Proy. Mes'!$I$9:$I$38,"ERROR",0,1)</f>
        <v>97.132597759803119</v>
      </c>
      <c r="H24" s="3039">
        <f>+_xlfn.XLOOKUP(H$4,'Proy. Mes'!$B$9:$B$38,'Proy. Mes'!$I$9:$I$38,"ERROR",0,1)</f>
        <v>97.132597759803119</v>
      </c>
      <c r="I24" s="3039">
        <f>+_xlfn.XLOOKUP(I$4,'Proy. Mes'!$B$9:$B$38,'Proy. Mes'!$I$9:$I$38,"ERROR",0,1)</f>
        <v>97.132597759803119</v>
      </c>
      <c r="J24" s="3039">
        <f>+_xlfn.XLOOKUP(J$4,'Proy. Mes'!$B$9:$B$38,'Proy. Mes'!$I$9:$I$38,"ERROR",0,1)</f>
        <v>97.132597759803119</v>
      </c>
      <c r="K24" s="3039">
        <f>+_xlfn.XLOOKUP(K$4,'Proy. Mes'!$B$9:$B$39,'Proy. Mes'!$I$9:$I$39,"ERROR",0,1)</f>
        <v>97.132597759803119</v>
      </c>
      <c r="L24" s="1709">
        <f>+AVERAGE(E24:K24)</f>
        <v>97.132597759803133</v>
      </c>
      <c r="M24" s="1709">
        <f t="shared" si="6"/>
        <v>97.129892789922295</v>
      </c>
      <c r="N24" s="3204"/>
      <c r="O24" s="2609">
        <f t="shared" si="2"/>
        <v>2.7848994816547373E-3</v>
      </c>
    </row>
    <row r="25" spans="1:27" ht="13">
      <c r="B25" s="3048"/>
      <c r="C25" s="2604" t="s">
        <v>826</v>
      </c>
      <c r="D25" s="1705" t="s">
        <v>48</v>
      </c>
      <c r="E25" s="3040">
        <f>+_xlfn.XLOOKUP(E$4,'Proy. Mes'!$B$9:$B$38,'Proy. Mes'!$K$9:$K$38,"ERROR",0,1)</f>
        <v>0.54478257960254906</v>
      </c>
      <c r="F25" s="3040">
        <f>+_xlfn.XLOOKUP(F$4,'Proy. Mes'!$B$9:$B$38,'Proy. Mes'!$K$9:$K$38,"ERROR",0,1)</f>
        <v>0.55017132477022201</v>
      </c>
      <c r="G25" s="3040">
        <f>+_xlfn.XLOOKUP(G$4,'Proy. Mes'!$B$9:$B$38,'Proy. Mes'!$K$9:$K$38,"ERROR",0,1)</f>
        <v>0.55330404655728971</v>
      </c>
      <c r="H25" s="3040">
        <f>+_xlfn.XLOOKUP(H$4,'Proy. Mes'!$B$9:$B$38,'Proy. Mes'!$K$9:$K$38,"ERROR",0,1)</f>
        <v>0.52512631140585386</v>
      </c>
      <c r="I25" s="3040">
        <f>+_xlfn.XLOOKUP(I$4,'Proy. Mes'!$B$9:$B$38,'Proy. Mes'!$K$9:$K$38,"ERROR",0,1)</f>
        <v>0.50473815027446745</v>
      </c>
      <c r="J25" s="3040">
        <f>+_xlfn.XLOOKUP(J$4,'Proy. Mes'!$B$9:$B$38,'Proy. Mes'!$K$9:$K$38,"ERROR",0,1)</f>
        <v>0.48892696357468995</v>
      </c>
      <c r="K25" s="3040">
        <f>+_xlfn.XLOOKUP(K$4,'Proy. Mes'!$B$9:$B$39,'Proy. Mes'!$K$9:$K$39,"ERROR",0,1)</f>
        <v>0.52363529808160525</v>
      </c>
      <c r="L25" s="1710">
        <f>+SUMPRODUCT(E25:K25,E10:K10)/SUM(E10:K10)</f>
        <v>0.52757410724329301</v>
      </c>
      <c r="M25" s="1710">
        <f t="shared" si="6"/>
        <v>0.54477094190803477</v>
      </c>
      <c r="N25" s="3206"/>
      <c r="O25" s="2609">
        <f t="shared" si="2"/>
        <v>-3.1567092408619755</v>
      </c>
      <c r="P25" s="2596"/>
      <c r="Q25" s="1889" t="s">
        <v>22</v>
      </c>
      <c r="R25" s="1889" t="s">
        <v>23</v>
      </c>
      <c r="S25" s="1889" t="s">
        <v>24</v>
      </c>
      <c r="T25" s="1889" t="s">
        <v>25</v>
      </c>
      <c r="U25" s="1889" t="s">
        <v>28</v>
      </c>
      <c r="V25" s="1890" t="s">
        <v>29</v>
      </c>
    </row>
    <row r="26" spans="1:27" ht="13">
      <c r="B26" s="3048"/>
      <c r="C26" s="2604" t="s">
        <v>827</v>
      </c>
      <c r="D26" s="1705" t="s">
        <v>48</v>
      </c>
      <c r="E26" s="3039">
        <f>+_xlfn.XLOOKUP(E$4,'Proy. Mes'!$B$9:$B$38,'Proy. Mes'!$L$9:$L$38,"ERROR",0,1)</f>
        <v>89.850973458553213</v>
      </c>
      <c r="F26" s="3039">
        <f>+_xlfn.XLOOKUP(F$4,'Proy. Mes'!$B$9:$B$38,'Proy. Mes'!$L$9:$L$38,"ERROR",0,1)</f>
        <v>90.224624853035252</v>
      </c>
      <c r="G26" s="3039">
        <f>+_xlfn.XLOOKUP(G$4,'Proy. Mes'!$B$9:$B$38,'Proy. Mes'!$L$9:$L$38,"ERROR",0,1)</f>
        <v>89.406958992464013</v>
      </c>
      <c r="H26" s="3039">
        <f>+_xlfn.XLOOKUP(H$4,'Proy. Mes'!$B$9:$B$38,'Proy. Mes'!$L$9:$L$38,"ERROR",0,1)</f>
        <v>89.808703657913071</v>
      </c>
      <c r="I26" s="3039">
        <f>+_xlfn.XLOOKUP(I$4,'Proy. Mes'!$B$9:$B$38,'Proy. Mes'!$L$9:$L$38,"ERROR",0,1)</f>
        <v>90.300288436071995</v>
      </c>
      <c r="J26" s="3039">
        <f>+_xlfn.XLOOKUP(J$4,'Proy. Mes'!$B$9:$B$38,'Proy. Mes'!$L$9:$L$38,"ERROR",0,1)</f>
        <v>90.184668922599528</v>
      </c>
      <c r="K26" s="3039">
        <f>+_xlfn.XLOOKUP(K$4,'Proy. Mes'!$B$9:$B$39,'Proy. Mes'!$L$9:$L$39,"ERROR",0,1)</f>
        <v>90.579694000087017</v>
      </c>
      <c r="L26" s="3077">
        <f>+SUMPRODUCT(E26:K26,E10:K10,E25:K25)/SUMPRODUCT(E10:K10,E25:K25)</f>
        <v>90.037246386360692</v>
      </c>
      <c r="M26" s="3077">
        <f t="shared" si="6"/>
        <v>90.289099141630032</v>
      </c>
      <c r="N26" s="3207"/>
      <c r="O26" s="2609">
        <f t="shared" si="2"/>
        <v>-0.27894037892024659</v>
      </c>
      <c r="P26" s="2597" t="s">
        <v>1189</v>
      </c>
      <c r="Q26" s="1892">
        <f>M13</f>
        <v>8425.4201915196936</v>
      </c>
      <c r="R26" s="1893">
        <f>M22</f>
        <v>97.885672723806138</v>
      </c>
      <c r="S26" s="2618">
        <f>M25</f>
        <v>0.54477094190803477</v>
      </c>
      <c r="T26" s="1893">
        <f>M26</f>
        <v>90.289099141630032</v>
      </c>
      <c r="U26" s="1894">
        <f t="shared" ref="U26:U31" si="7">+(Q26*R26*24*$P$8/1000000)*S26*T26</f>
        <v>6815.0529567554404</v>
      </c>
      <c r="V26" s="1894">
        <f>+U26</f>
        <v>6815.0529567554404</v>
      </c>
    </row>
    <row r="27" spans="1:27" ht="13">
      <c r="B27" s="3048"/>
      <c r="C27" s="2604" t="s">
        <v>59</v>
      </c>
      <c r="D27" s="1705" t="s">
        <v>28</v>
      </c>
      <c r="E27" s="3038">
        <f>+_xlfn.XLOOKUP(E$4,'Proy. Mes'!$B$9:$B$38,'Proy. Mes'!$P$9:$P$38,"ERROR",0,1)</f>
        <v>1002.6556488261361</v>
      </c>
      <c r="F27" s="3038">
        <f>+_xlfn.XLOOKUP(F$4,'Proy. Mes'!$B$9:$B$38,'Proy. Mes'!$P$9:$P$38,"ERROR",0,1)</f>
        <v>1006.345895659838</v>
      </c>
      <c r="G27" s="3038">
        <f>+_xlfn.XLOOKUP(G$4,'Proy. Mes'!$B$9:$B$38,'Proy. Mes'!$P$9:$P$38,"ERROR",0,1)</f>
        <v>1027.149446371337</v>
      </c>
      <c r="H27" s="3038">
        <f>+_xlfn.XLOOKUP(H$4,'Proy. Mes'!$B$9:$B$38,'Proy. Mes'!$P$9:$P$38,"ERROR",0,1)</f>
        <v>930.80410204200825</v>
      </c>
      <c r="I27" s="3038">
        <f>+_xlfn.XLOOKUP(I$4,'Proy. Mes'!$B$9:$B$38,'Proy. Mes'!$P$9:$P$38,"ERROR",0,1)</f>
        <v>913.23904889021844</v>
      </c>
      <c r="J27" s="3038">
        <f>+_xlfn.XLOOKUP(J$4,'Proy. Mes'!$B$9:$B$38,'Proy. Mes'!$P$9:$P$38,"ERROR",0,1)</f>
        <v>869.94783344937412</v>
      </c>
      <c r="K27" s="3038">
        <f>+_xlfn.XLOOKUP(K$4,'Proy. Mes'!$B$9:$B$39,'Proy. Mes'!$P$9:$P$39,"ERROR",0,1)</f>
        <v>921.09058840489934</v>
      </c>
      <c r="L27" s="3015">
        <f>SUM(E27:K27)</f>
        <v>6671.2325636438109</v>
      </c>
      <c r="M27" s="3015">
        <f t="shared" si="6"/>
        <v>6815.0529567554413</v>
      </c>
      <c r="N27" s="3203"/>
      <c r="O27" s="2609">
        <f t="shared" si="2"/>
        <v>-2.1103341973163694</v>
      </c>
      <c r="P27" s="2598" t="s">
        <v>36</v>
      </c>
      <c r="Q27" s="1897">
        <f>L13</f>
        <v>8579.9899043854348</v>
      </c>
      <c r="R27" s="1893">
        <f>+R26</f>
        <v>97.885672723806138</v>
      </c>
      <c r="S27" s="2618">
        <f>S26</f>
        <v>0.54477094190803477</v>
      </c>
      <c r="T27" s="1893">
        <f>T26</f>
        <v>90.289099141630032</v>
      </c>
      <c r="U27" s="1894">
        <f t="shared" si="7"/>
        <v>6940.0794545140634</v>
      </c>
      <c r="V27" s="1894">
        <f>+U27-U26</f>
        <v>125.02649775862301</v>
      </c>
    </row>
    <row r="28" spans="1:27" ht="13">
      <c r="B28" s="3048"/>
      <c r="C28" s="2604" t="s">
        <v>226</v>
      </c>
      <c r="D28" s="1705" t="s">
        <v>48</v>
      </c>
      <c r="E28" s="3039">
        <f>+_xlfn.XLOOKUP(E$4,'Proy. Mes'!$B$9:$B$38,'Proy. Mes'!$M$9:$M$38,"ERROR",0,1)</f>
        <v>25.463830076813228</v>
      </c>
      <c r="F28" s="3039">
        <f>+_xlfn.XLOOKUP(F$4,'Proy. Mes'!$B$9:$B$38,'Proy. Mes'!$M$9:$M$38,"ERROR",0,1)</f>
        <v>27.191767251601942</v>
      </c>
      <c r="G28" s="3039">
        <f>+_xlfn.XLOOKUP(G$4,'Proy. Mes'!$B$9:$B$38,'Proy. Mes'!$M$9:$M$38,"ERROR",0,1)</f>
        <v>23.645726239500451</v>
      </c>
      <c r="H28" s="3039">
        <f>+_xlfn.XLOOKUP(H$4,'Proy. Mes'!$B$9:$B$38,'Proy. Mes'!$M$9:$M$38,"ERROR",0,1)</f>
        <v>22.937398694023585</v>
      </c>
      <c r="I28" s="3039">
        <f>+_xlfn.XLOOKUP(I$4,'Proy. Mes'!$B$9:$B$38,'Proy. Mes'!$M$9:$M$38,"ERROR",0,1)</f>
        <v>24.166962778076822</v>
      </c>
      <c r="J28" s="3039">
        <f>+_xlfn.XLOOKUP(J$4,'Proy. Mes'!$B$9:$B$38,'Proy. Mes'!$M$9:$M$38,"ERROR",0,1)</f>
        <v>25.229869264557234</v>
      </c>
      <c r="K28" s="3039">
        <f>+_xlfn.XLOOKUP(K$4,'Proy. Mes'!$B$9:$B$39,'Proy. Mes'!$M$9:$M$39,"ERROR",0,1)</f>
        <v>25.74568622905867</v>
      </c>
      <c r="L28" s="1709">
        <f>+SUMPRODUCT(E28:K28,E29:K29)/L29</f>
        <v>24.850902386045128</v>
      </c>
      <c r="M28" s="1709">
        <f t="shared" si="6"/>
        <v>27.26563682540699</v>
      </c>
      <c r="N28" s="3204"/>
      <c r="O28" s="2609">
        <f t="shared" si="2"/>
        <v>-8.856328773189464</v>
      </c>
      <c r="P28" s="2598" t="s">
        <v>41</v>
      </c>
      <c r="Q28" s="1897">
        <f>$Q$27</f>
        <v>8579.9899043854348</v>
      </c>
      <c r="R28" s="1898">
        <f>L22</f>
        <v>97.432611904761913</v>
      </c>
      <c r="S28" s="2618">
        <f>S26</f>
        <v>0.54477094190803477</v>
      </c>
      <c r="T28" s="1893">
        <f>T26</f>
        <v>90.289099141630032</v>
      </c>
      <c r="U28" s="1894">
        <f t="shared" si="7"/>
        <v>6907.9575106748889</v>
      </c>
      <c r="V28" s="1894">
        <f>+U28-U27</f>
        <v>-32.121943839174492</v>
      </c>
    </row>
    <row r="29" spans="1:27" ht="13">
      <c r="B29" s="3048"/>
      <c r="C29" s="2604" t="s">
        <v>225</v>
      </c>
      <c r="D29" s="1705" t="s">
        <v>420</v>
      </c>
      <c r="E29" s="3038">
        <f>+_xlfn.XLOOKUP(E$4,'Proy. Mes'!$B$9:$B$38,'Proy. Mes'!$N$9:$N$38,"ERROR",0,1)</f>
        <v>3937.5680948292656</v>
      </c>
      <c r="F29" s="3038">
        <f>+_xlfn.XLOOKUP(F$4,'Proy. Mes'!$B$9:$B$38,'Proy. Mes'!$N$9:$N$38,"ERROR",0,1)</f>
        <v>3700.9212617490002</v>
      </c>
      <c r="G29" s="3038">
        <f>+_xlfn.XLOOKUP(G$4,'Proy. Mes'!$B$9:$B$38,'Proy. Mes'!$N$9:$N$38,"ERROR",0,1)</f>
        <v>4343.9116057068795</v>
      </c>
      <c r="H29" s="3038">
        <f>+_xlfn.XLOOKUP(H$4,'Proy. Mes'!$B$9:$B$38,'Proy. Mes'!$N$9:$N$38,"ERROR",0,1)</f>
        <v>4058.0194574746279</v>
      </c>
      <c r="I29" s="3038">
        <f>+_xlfn.XLOOKUP(I$4,'Proy. Mes'!$B$9:$B$38,'Proy. Mes'!$N$9:$N$38,"ERROR",0,1)</f>
        <v>3778.8739001934809</v>
      </c>
      <c r="J29" s="3038">
        <f>+_xlfn.XLOOKUP(J$4,'Proy. Mes'!$B$9:$B$38,'Proy. Mes'!$N$9:$N$38,"ERROR",0,1)</f>
        <v>3448.0869652046572</v>
      </c>
      <c r="K29" s="3038">
        <f>+_xlfn.XLOOKUP(K$4,'Proy. Mes'!$B$9:$B$39,'Proy. Mes'!$N$9:$N$39,"ERROR",0,1)</f>
        <v>3577.6501749069007</v>
      </c>
      <c r="L29" s="1707">
        <f>SUM(E29:K29)</f>
        <v>26845.031460064809</v>
      </c>
      <c r="M29" s="1707">
        <f t="shared" si="6"/>
        <v>24995.025791603584</v>
      </c>
      <c r="N29" s="3202"/>
      <c r="O29" s="2609">
        <f t="shared" si="2"/>
        <v>7.4014953370549623</v>
      </c>
      <c r="P29" s="2598" t="s">
        <v>1167</v>
      </c>
      <c r="Q29" s="1897">
        <f>$Q$27</f>
        <v>8579.9899043854348</v>
      </c>
      <c r="R29" s="1898">
        <f>$R$28</f>
        <v>97.432611904761913</v>
      </c>
      <c r="S29" s="2619">
        <f>L25</f>
        <v>0.52757410724329301</v>
      </c>
      <c r="T29" s="1893">
        <f>T26</f>
        <v>90.289099141630032</v>
      </c>
      <c r="U29" s="1894">
        <f t="shared" si="7"/>
        <v>6689.8933775805954</v>
      </c>
      <c r="V29" s="1894">
        <f>+U29-U28</f>
        <v>-218.06413309429354</v>
      </c>
    </row>
    <row r="30" spans="1:27" ht="13">
      <c r="B30" s="3048"/>
      <c r="C30" s="2604" t="s">
        <v>828</v>
      </c>
      <c r="D30" s="1705" t="s">
        <v>829</v>
      </c>
      <c r="E30" s="3039">
        <f>+_xlfn.XLOOKUP(E$4,'Proy. Mes'!$B$9:$B$38,'Proy. Mes'!$BA$9:$BA$38,"ERROR",0,1)</f>
        <v>8.8703331204126759</v>
      </c>
      <c r="F30" s="3039">
        <f>+_xlfn.XLOOKUP(F$4,'Proy. Mes'!$B$9:$B$38,'Proy. Mes'!$BA$9:$BA$38,"ERROR",0,1)</f>
        <v>7.0783123847299123</v>
      </c>
      <c r="G30" s="3039">
        <f>+_xlfn.XLOOKUP(G$4,'Proy. Mes'!$B$9:$B$38,'Proy. Mes'!$BA$9:$BA$38,"ERROR",0,1)</f>
        <v>9.1910918624959894</v>
      </c>
      <c r="H30" s="3039">
        <f>+_xlfn.XLOOKUP(H$4,'Proy. Mes'!$B$9:$B$38,'Proy. Mes'!$BA$9:$BA$38,"ERROR",0,1)</f>
        <v>9.3765287877014494</v>
      </c>
      <c r="I30" s="3039">
        <f>+_xlfn.XLOOKUP(I$4,'Proy. Mes'!$B$9:$B$38,'Proy. Mes'!$BA$9:$BA$38,"ERROR",0,1)</f>
        <v>10.606922473444</v>
      </c>
      <c r="J30" s="3039">
        <f>+_xlfn.XLOOKUP(J$4,'Proy. Mes'!$B$9:$B$38,'Proy. Mes'!$BA$9:$BA$38,"ERROR",0,1)</f>
        <v>9.6731308251720716</v>
      </c>
      <c r="K30" s="3039">
        <f>+_xlfn.XLOOKUP(K$4,'Proy. Mes'!$B$9:$B$39,'Proy. Mes'!$BA$9:$BA$39,"ERROR",0,1)</f>
        <v>7.7150922778773214</v>
      </c>
      <c r="L30" s="1709">
        <f>+SUMPRODUCT(E10:K10,E30:K30)/SUM(E10:K10)</f>
        <v>8.9310031888068888</v>
      </c>
      <c r="M30" s="1709">
        <f t="shared" si="6"/>
        <v>6.04243226623925</v>
      </c>
      <c r="N30" s="3204"/>
      <c r="O30" s="2609">
        <f>+-(L30-M30)/M30*100</f>
        <v>-47.804771245958158</v>
      </c>
      <c r="P30" s="2598" t="s">
        <v>1190</v>
      </c>
      <c r="Q30" s="1897">
        <f>$Q$27</f>
        <v>8579.9899043854348</v>
      </c>
      <c r="R30" s="1898">
        <f>$R$28</f>
        <v>97.432611904761913</v>
      </c>
      <c r="S30" s="2619">
        <f>$S$29</f>
        <v>0.52757410724329301</v>
      </c>
      <c r="T30" s="1898">
        <f>L26</f>
        <v>90.037246386360692</v>
      </c>
      <c r="U30" s="1894">
        <f t="shared" si="7"/>
        <v>6671.2325636438109</v>
      </c>
      <c r="V30" s="1894">
        <f>+U30-U29</f>
        <v>-18.660813936784507</v>
      </c>
    </row>
    <row r="31" spans="1:27" ht="13">
      <c r="B31" s="3048"/>
      <c r="C31" s="2604" t="s">
        <v>227</v>
      </c>
      <c r="D31" s="1705" t="s">
        <v>95</v>
      </c>
      <c r="E31" s="3038">
        <f>+_xlfn.XLOOKUP(E$4,'Proy. Mes'!$B$9:$B$38,'Proy. Mes'!$R$9:$R$38,"ERROR",0,1)</f>
        <v>161.9711458432908</v>
      </c>
      <c r="F31" s="3038">
        <f>+_xlfn.XLOOKUP(F$4,'Proy. Mes'!$B$9:$B$38,'Proy. Mes'!$R$9:$R$38,"ERROR",0,1)</f>
        <v>171.3053604976626</v>
      </c>
      <c r="G31" s="3038">
        <f>+_xlfn.XLOOKUP(G$4,'Proy. Mes'!$B$9:$B$38,'Proy. Mes'!$R$9:$R$38,"ERROR",0,1)</f>
        <v>147.0968321741156</v>
      </c>
      <c r="H31" s="3038">
        <f>+_xlfn.XLOOKUP(H$4,'Proy. Mes'!$B$9:$B$38,'Proy. Mes'!$R$9:$R$38,"ERROR",0,1)</f>
        <v>120.76178708195729</v>
      </c>
      <c r="I31" s="3038">
        <f>+_xlfn.XLOOKUP(I$4,'Proy. Mes'!$B$9:$B$38,'Proy. Mes'!$R$9:$R$38,"ERROR",0,1)</f>
        <v>118.87148244947528</v>
      </c>
      <c r="J31" s="3038">
        <f>+_xlfn.XLOOKUP(J$4,'Proy. Mes'!$B$9:$B$38,'Proy. Mes'!$R$9:$R$38,"ERROR",0,1)</f>
        <v>175.58163669109402</v>
      </c>
      <c r="K31" s="3038">
        <f>+_xlfn.XLOOKUP(K$4,'Proy. Mes'!$B$9:$B$39,'Proy. Mes'!$R$9:$R$39,"ERROR",0,1)</f>
        <v>141.52554810249495</v>
      </c>
      <c r="L31" s="1707">
        <f>+SUMPRODUCT(E31:K31,E10:K10)/L10</f>
        <v>148.26420169825391</v>
      </c>
      <c r="M31" s="1707">
        <f t="shared" si="6"/>
        <v>180.84807059764503</v>
      </c>
      <c r="N31" s="3202"/>
      <c r="O31" s="2609">
        <f t="shared" si="2"/>
        <v>-18.017261003510768</v>
      </c>
      <c r="P31" s="2599" t="s">
        <v>1191</v>
      </c>
      <c r="Q31" s="1897">
        <f>$Q$27</f>
        <v>8579.9899043854348</v>
      </c>
      <c r="R31" s="1898">
        <f>$R$28</f>
        <v>97.432611904761913</v>
      </c>
      <c r="S31" s="2619">
        <f>$S$29</f>
        <v>0.52757410724329301</v>
      </c>
      <c r="T31" s="1898">
        <f>$T$30</f>
        <v>90.037246386360692</v>
      </c>
      <c r="U31" s="1894">
        <f t="shared" si="7"/>
        <v>6671.2325636438109</v>
      </c>
      <c r="V31" s="1894">
        <f>SUM(V26:V30)</f>
        <v>6671.2325636438109</v>
      </c>
    </row>
    <row r="32" spans="1:27" ht="13">
      <c r="B32" s="3048"/>
      <c r="C32" s="2604" t="s">
        <v>830</v>
      </c>
      <c r="D32" s="1705" t="s">
        <v>48</v>
      </c>
      <c r="E32" s="3041">
        <f>+_xlfn.XLOOKUP(E$4,'Proy. Mes'!$B$9:$B$38,'Proy. Mes'!$S$9:$S$38,"ERROR",0,1)</f>
        <v>89.799014460221244</v>
      </c>
      <c r="F32" s="3041">
        <f>+_xlfn.XLOOKUP(F$4,'Proy. Mes'!$B$9:$B$38,'Proy. Mes'!$S$9:$S$38,"ERROR",0,1)</f>
        <v>89.995470663076418</v>
      </c>
      <c r="G32" s="3041">
        <f>+_xlfn.XLOOKUP(G$4,'Proy. Mes'!$B$9:$B$38,'Proy. Mes'!$S$9:$S$38,"ERROR",0,1)</f>
        <v>89.4612626965435</v>
      </c>
      <c r="H32" s="3041">
        <f>+_xlfn.XLOOKUP(H$4,'Proy. Mes'!$B$9:$B$38,'Proy. Mes'!$S$9:$S$38,"ERROR",0,1)</f>
        <v>88.769570727130684</v>
      </c>
      <c r="I32" s="3041">
        <f>+_xlfn.XLOOKUP(I$4,'Proy. Mes'!$B$9:$B$38,'Proy. Mes'!$S$9:$S$38,"ERROR",0,1)</f>
        <v>88.714251925800397</v>
      </c>
      <c r="J32" s="3041">
        <f>+_xlfn.XLOOKUP(J$4,'Proy. Mes'!$B$9:$B$38,'Proy. Mes'!$S$9:$S$38,"ERROR",0,1)</f>
        <v>90.08192340961898</v>
      </c>
      <c r="K32" s="3041">
        <f>+_xlfn.XLOOKUP(K$4,'Proy. Mes'!$B$9:$B$39,'Proy. Mes'!$S$9:$S$39,"ERROR",0,1)</f>
        <v>89.325881510206258</v>
      </c>
      <c r="L32" s="1708">
        <f>+SUMPRODUCT(E10:K10,E31:K31,E32:K32)/SUMPRODUCT(E10:K10,E31:K31)</f>
        <v>89.524941676990025</v>
      </c>
      <c r="M32" s="1708">
        <f t="shared" si="6"/>
        <v>91.828924104232286</v>
      </c>
      <c r="N32" s="3205"/>
      <c r="O32" s="2609">
        <f>+(L32-M32)/M32*100</f>
        <v>-2.5089942517752672</v>
      </c>
      <c r="P32" s="1843" t="s">
        <v>448</v>
      </c>
      <c r="Q32" s="1843">
        <v>1351</v>
      </c>
      <c r="AA32">
        <v>19</v>
      </c>
    </row>
    <row r="33" spans="2:27" ht="13">
      <c r="B33" s="3048"/>
      <c r="C33" s="2604" t="s">
        <v>831</v>
      </c>
      <c r="D33" s="1705" t="s">
        <v>48</v>
      </c>
      <c r="E33" s="3041">
        <f>+_xlfn.XLOOKUP(E$4,'Proy. Mes'!$B$9:$B$38,'Proy. Mes'!$T$9:$T$38,"ERROR",0,1)</f>
        <v>86.105136546513563</v>
      </c>
      <c r="F33" s="3041">
        <f>+_xlfn.XLOOKUP(F$4,'Proy. Mes'!$B$9:$B$38,'Proy. Mes'!$T$9:$T$38,"ERROR",0,1)</f>
        <v>88.926930362403226</v>
      </c>
      <c r="G33" s="3041">
        <f>+_xlfn.XLOOKUP(G$4,'Proy. Mes'!$B$9:$B$38,'Proy. Mes'!$T$9:$T$38,"ERROR",0,1)</f>
        <v>88.495258391500073</v>
      </c>
      <c r="H33" s="3041">
        <f>+_xlfn.XLOOKUP(H$4,'Proy. Mes'!$B$9:$B$38,'Proy. Mes'!$T$9:$T$38,"ERROR",0,1)</f>
        <v>87.936329932173336</v>
      </c>
      <c r="I33" s="3041">
        <f>+_xlfn.XLOOKUP(I$4,'Proy. Mes'!$B$9:$B$38,'Proy. Mes'!$T$9:$T$38,"ERROR",0,1)</f>
        <v>87.891629033844865</v>
      </c>
      <c r="J33" s="3041">
        <f>+_xlfn.XLOOKUP(J$4,'Proy. Mes'!$B$9:$B$38,'Proy. Mes'!$T$9:$T$38,"ERROR",0,1)</f>
        <v>88.996789349591722</v>
      </c>
      <c r="K33" s="3041">
        <f>+_xlfn.XLOOKUP(K$4,'Proy. Mes'!$B$9:$B$39,'Proy. Mes'!$T$9:$T$39,"ERROR",0,1)</f>
        <v>88.385862300107632</v>
      </c>
      <c r="L33" s="1708">
        <f>+SUMPRODUCT(E13:K13,E32:K32,E33:K33)/SUMPRODUCT(E13:K13,E32:K32)</f>
        <v>88.099724057218054</v>
      </c>
      <c r="M33" s="1708">
        <f t="shared" si="6"/>
        <v>88.400720472172722</v>
      </c>
      <c r="N33" s="3205"/>
      <c r="O33" s="2609">
        <f>+(L33-M33)/M33*100</f>
        <v>-0.34049090702763773</v>
      </c>
      <c r="P33" s="1843" t="s">
        <v>449</v>
      </c>
      <c r="Q33" s="1843">
        <v>65.5</v>
      </c>
      <c r="AA33">
        <v>20</v>
      </c>
    </row>
    <row r="34" spans="2:27" ht="13">
      <c r="B34" s="3048"/>
      <c r="C34" s="2604" t="s">
        <v>228</v>
      </c>
      <c r="D34" s="1705" t="s">
        <v>48</v>
      </c>
      <c r="E34" s="3039">
        <f>+_xlfn.XLOOKUP(E$4,'Proy. Mes'!$B$9:$B$38,'Proy. Mes'!$U$9:$U$38,"ERROR",0,1)</f>
        <v>77.321564018396955</v>
      </c>
      <c r="F34" s="3039">
        <f>+_xlfn.XLOOKUP(F$4,'Proy. Mes'!$B$9:$B$38,'Proy. Mes'!$U$9:$U$38,"ERROR",0,1)</f>
        <v>80.030209525870987</v>
      </c>
      <c r="G34" s="3039">
        <f>+_xlfn.XLOOKUP(G$4,'Proy. Mes'!$B$9:$B$38,'Proy. Mes'!$U$9:$U$38,"ERROR",0,1)</f>
        <v>79.168975583604833</v>
      </c>
      <c r="H34" s="3039">
        <f>+_xlfn.XLOOKUP(H$4,'Proy. Mes'!$B$9:$B$38,'Proy. Mes'!$U$9:$U$38,"ERROR",0,1)</f>
        <v>78.060702593983592</v>
      </c>
      <c r="I34" s="3039">
        <f>+_xlfn.XLOOKUP(I$4,'Proy. Mes'!$B$9:$B$38,'Proy. Mes'!$U$9:$U$38,"ERROR",0,1)</f>
        <v>77.97240120277506</v>
      </c>
      <c r="J34" s="3039">
        <f>+_xlfn.XLOOKUP(J$4,'Proy. Mes'!$B$9:$B$38,'Proy. Mes'!$U$9:$U$38,"ERROR",0,1)</f>
        <v>80.170019618919156</v>
      </c>
      <c r="K34" s="3039">
        <f>+_xlfn.XLOOKUP(K$4,'Proy. Mes'!$B$9:$B$39,'Proy. Mes'!$U$9:$U$39,"ERROR",0,1)</f>
        <v>78.951450629968207</v>
      </c>
      <c r="L34" s="1709">
        <f>+SUMPRODUCT(E16:K16,E33:K33,E34:K34)/SUMPRODUCT(E16:K16,E33:K33)</f>
        <v>78.811886787164553</v>
      </c>
      <c r="M34" s="1709">
        <f t="shared" si="6"/>
        <v>80.394871066198618</v>
      </c>
      <c r="N34" s="3204"/>
      <c r="O34" s="2609">
        <f>+(L34-M34)/M34*100</f>
        <v>-1.9690115277759528</v>
      </c>
      <c r="P34" s="1843"/>
      <c r="Q34" s="1843"/>
    </row>
    <row r="35" spans="2:27" ht="13">
      <c r="B35" s="3048"/>
      <c r="C35" s="2604" t="s">
        <v>66</v>
      </c>
      <c r="D35" s="1705" t="s">
        <v>28</v>
      </c>
      <c r="E35" s="3038">
        <f>+_xlfn.XLOOKUP(E$4,'Proy. Mes'!$B$9:$B$38,'Proy. Mes'!$Z$9:$Z$38,"ERROR",0,1)</f>
        <v>25.653350275240797</v>
      </c>
      <c r="F35" s="3038">
        <f>+_xlfn.XLOOKUP(F$4,'Proy. Mes'!$B$9:$B$38,'Proy. Mes'!$Z$9:$Z$38,"ERROR",0,1)</f>
        <v>27.793878251348087</v>
      </c>
      <c r="G35" s="3038">
        <f>+_xlfn.XLOOKUP(G$4,'Proy. Mes'!$B$9:$B$38,'Proy. Mes'!$Z$9:$Z$38,"ERROR",0,1)</f>
        <v>24.180028696785236</v>
      </c>
      <c r="H35" s="3038">
        <f>+_xlfn.XLOOKUP(H$4,'Proy. Mes'!$B$9:$B$38,'Proy. Mes'!$Z$9:$Z$38,"ERROR",0,1)</f>
        <v>18.605359624679121</v>
      </c>
      <c r="I35" s="3038">
        <f>+_xlfn.XLOOKUP(I$4,'Proy. Mes'!$B$9:$B$38,'Proy. Mes'!$Z$9:$Z$38,"ERROR",0,1)</f>
        <v>18.571534580811178</v>
      </c>
      <c r="J35" s="3038">
        <f>+_xlfn.XLOOKUP(J$4,'Proy. Mes'!$B$9:$B$38,'Proy. Mes'!$Z$9:$Z$38,"ERROR",0,1)</f>
        <v>27.772027707158248</v>
      </c>
      <c r="K35" s="3038">
        <f>+_xlfn.XLOOKUP(K$4,'Proy. Mes'!$B$9:$B$39,'Proy. Mes'!$Z$9:$Z$39,"ERROR",0,1)</f>
        <v>21.698891116392073</v>
      </c>
      <c r="L35" s="1707">
        <f>+SUM(E35:K35)</f>
        <v>164.27507025241476</v>
      </c>
      <c r="M35" s="1707">
        <f t="shared" si="6"/>
        <v>204.32785774248518</v>
      </c>
      <c r="N35" s="3202"/>
      <c r="O35" s="2609">
        <f t="shared" si="2"/>
        <v>-19.602215739250312</v>
      </c>
      <c r="P35" s="1935"/>
      <c r="Q35" s="1935"/>
      <c r="R35" s="1935"/>
      <c r="S35" s="1935"/>
      <c r="T35" s="3042"/>
      <c r="U35" s="3043"/>
      <c r="V35" s="3044"/>
    </row>
    <row r="36" spans="2:27" ht="14.25" customHeight="1">
      <c r="B36" s="3048"/>
      <c r="C36" s="2604" t="s">
        <v>232</v>
      </c>
      <c r="D36" s="1705" t="s">
        <v>48</v>
      </c>
      <c r="E36" s="3038">
        <v>48</v>
      </c>
      <c r="F36" s="3038">
        <v>49</v>
      </c>
      <c r="G36" s="3038">
        <v>50</v>
      </c>
      <c r="H36" s="3038">
        <v>50</v>
      </c>
      <c r="I36" s="3038">
        <v>50</v>
      </c>
      <c r="J36" s="3038">
        <v>50</v>
      </c>
      <c r="K36" s="3038">
        <v>50</v>
      </c>
      <c r="L36" s="1707">
        <v>50</v>
      </c>
      <c r="M36" s="1707">
        <v>50</v>
      </c>
      <c r="N36" s="3202"/>
      <c r="O36" s="2609">
        <f t="shared" si="2"/>
        <v>0</v>
      </c>
      <c r="P36" s="1843"/>
      <c r="Q36" s="1908"/>
      <c r="R36" s="1909"/>
      <c r="S36" s="1843"/>
      <c r="T36" s="1843"/>
      <c r="U36" s="1894"/>
      <c r="V36" s="1894"/>
    </row>
    <row r="37" spans="2:27" ht="13">
      <c r="B37" s="3048"/>
      <c r="C37" s="2604" t="s">
        <v>231</v>
      </c>
      <c r="D37" s="1705" t="s">
        <v>420</v>
      </c>
      <c r="E37" s="3038">
        <f>+_xlfn.XLOOKUP(E$4,'Proy. Mes'!$B$9:$B$38,'Proy. Mes'!$W$9:$W$38,"ERROR",0,1)</f>
        <v>51.306700550481601</v>
      </c>
      <c r="F37" s="3038">
        <f>+_xlfn.XLOOKUP(F$4,'Proy. Mes'!$B$9:$B$38,'Proy. Mes'!$W$9:$W$38,"ERROR",0,1)</f>
        <v>55.587756502696173</v>
      </c>
      <c r="G37" s="3038">
        <f>+_xlfn.XLOOKUP(G$4,'Proy. Mes'!$B$9:$B$38,'Proy. Mes'!$W$9:$W$38,"ERROR",0,1)</f>
        <v>48.360057393570472</v>
      </c>
      <c r="H37" s="3038">
        <f>+_xlfn.XLOOKUP(H$4,'Proy. Mes'!$B$9:$B$38,'Proy. Mes'!$W$9:$W$38,"ERROR",0,1)</f>
        <v>37.210719249358242</v>
      </c>
      <c r="I37" s="3038">
        <f>+_xlfn.XLOOKUP(I$4,'Proy. Mes'!$B$9:$B$38,'Proy. Mes'!$W$9:$W$38,"ERROR",0,1)</f>
        <v>37.143069161622357</v>
      </c>
      <c r="J37" s="3038">
        <f>+_xlfn.XLOOKUP(J$4,'Proy. Mes'!$B$9:$B$38,'Proy. Mes'!$W$9:$W$38,"ERROR",0,1)</f>
        <v>55.544055414316496</v>
      </c>
      <c r="K37" s="3038">
        <f>+_xlfn.XLOOKUP(K$4,'Proy. Mes'!$B$9:$B$39,'Proy. Mes'!$W$9:$W$39,"ERROR",0,1)</f>
        <v>43.397782232784145</v>
      </c>
      <c r="L37" s="1707">
        <f>+SUM(E37:K37)</f>
        <v>328.55014050482953</v>
      </c>
      <c r="M37" s="1707">
        <f t="shared" si="6"/>
        <v>408.65571548497036</v>
      </c>
      <c r="N37" s="3202"/>
      <c r="O37" s="2609">
        <f t="shared" si="2"/>
        <v>-19.602215739250312</v>
      </c>
      <c r="P37" s="1967"/>
      <c r="Q37" s="1908"/>
      <c r="R37" s="1909"/>
      <c r="S37" s="1843"/>
      <c r="T37" s="1843"/>
      <c r="U37" s="1894"/>
      <c r="V37" s="1894"/>
    </row>
    <row r="38" spans="2:27" ht="13">
      <c r="B38" s="3048"/>
      <c r="C38" s="2604" t="s">
        <v>832</v>
      </c>
      <c r="D38" s="1705" t="s">
        <v>28</v>
      </c>
      <c r="E38" s="3038">
        <f>+_xlfn.XLOOKUP(E$4,'Proy. Mes'!$B$9:$B$38,'Proy. Mes'!$AB$9:$AB$38,"ERROR",0,1)</f>
        <v>44.668231324443511</v>
      </c>
      <c r="F38" s="3038">
        <f>+_xlfn.XLOOKUP(F$4,'Proy. Mes'!$B$9:$B$38,'Proy. Mes'!$AB$9:$AB$38,"ERROR",0,1)</f>
        <v>44.228357361385243</v>
      </c>
      <c r="G38" s="3038">
        <f>+_xlfn.XLOOKUP(G$4,'Proy. Mes'!$B$9:$B$38,'Proy. Mes'!$AB$9:$AB$38,"ERROR",0,1)</f>
        <v>25</v>
      </c>
      <c r="H38" s="3038">
        <f>+_xlfn.XLOOKUP(H$4,'Proy. Mes'!$B$9:$B$38,'Proy. Mes'!$AB$9:$AB$38,"ERROR",0,1)</f>
        <v>25</v>
      </c>
      <c r="I38" s="3038">
        <f>+_xlfn.XLOOKUP(I$4,'Proy. Mes'!$B$9:$B$38,'Proy. Mes'!$AB$9:$AB$38,"ERROR",0,1)</f>
        <v>25</v>
      </c>
      <c r="J38" s="3038">
        <f>+_xlfn.XLOOKUP(J$4,'Proy. Mes'!$B$9:$B$38,'Proy. Mes'!$AB$9:$AB$38,"ERROR",0,1)</f>
        <v>25</v>
      </c>
      <c r="K38" s="3038">
        <f>+_xlfn.XLOOKUP(K$4,'Proy. Mes'!$B$9:$B$38,'Proy. Mes'!$AB$9:$AB$38,"ERROR",0,1)</f>
        <v>25</v>
      </c>
      <c r="L38" s="1707">
        <f>+SUM(E38:K38)</f>
        <v>213.89658868582876</v>
      </c>
      <c r="M38" s="1707">
        <f t="shared" si="6"/>
        <v>213.89658868582876</v>
      </c>
      <c r="N38" s="3202"/>
      <c r="O38" s="2609">
        <f t="shared" si="2"/>
        <v>0</v>
      </c>
      <c r="P38" s="1967"/>
      <c r="Q38" s="1908"/>
      <c r="R38" s="1909"/>
      <c r="S38" s="1843"/>
      <c r="T38" s="1843"/>
      <c r="U38" s="1894"/>
      <c r="V38" s="1894"/>
    </row>
    <row r="39" spans="2:27" ht="13">
      <c r="B39" s="3048"/>
      <c r="C39" s="2604" t="s">
        <v>390</v>
      </c>
      <c r="D39" s="1705" t="s">
        <v>48</v>
      </c>
      <c r="E39" s="3039">
        <f>+_xlfn.XLOOKUP(E$4,'Proy. Mes'!$B$9:$B$38,'Proy. Mes'!$AV$9:$AV$38,"ERROR",0,1)</f>
        <v>1.1499630072090765</v>
      </c>
      <c r="F39" s="3039">
        <f>+_xlfn.XLOOKUP(F$4,'Proy. Mes'!$B$9:$B$38,'Proy. Mes'!$AV$9:$AV$38,"ERROR",0,1)</f>
        <v>1.3002739296909176</v>
      </c>
      <c r="G39" s="3039">
        <f>+_xlfn.XLOOKUP(G$4,'Proy. Mes'!$B$9:$B$38,'Proy. Mes'!$AV$9:$AV$38,"ERROR",0,1)</f>
        <v>0.9123145242770142</v>
      </c>
      <c r="H39" s="3039">
        <f>+_xlfn.XLOOKUP(H$4,'Proy. Mes'!$B$9:$B$38,'Proy. Mes'!$AV$9:$AV$38,"ERROR",0,1)</f>
        <v>0.78303007613208775</v>
      </c>
      <c r="I39" s="3039">
        <f>+_xlfn.XLOOKUP(I$4,'Proy. Mes'!$B$9:$B$38,'Proy. Mes'!$AV$9:$AV$38,"ERROR",0,1)</f>
        <v>0.89548940544265954</v>
      </c>
      <c r="J39" s="3039">
        <f>+_xlfn.XLOOKUP(J$4,'Proy. Mes'!$B$9:$B$38,'Proy. Mes'!$AV$9:$AV$38,"ERROR",0,1)</f>
        <v>0.96581817638268475</v>
      </c>
      <c r="K39" s="3039">
        <f>+_xlfn.XLOOKUP(K$4,'Proy. Mes'!$B$9:$B$38,'Proy. Mes'!$AV$9:$AV$38,"ERROR",0,1)</f>
        <v>1.2156872316754115</v>
      </c>
      <c r="L39" s="1709">
        <f>+SUMPRODUCT(E10:K10,E39:K39)/SUM(E10:K10)</f>
        <v>1.031874221538988</v>
      </c>
      <c r="M39" s="1709">
        <f>+M101</f>
        <v>1.2502834264396681</v>
      </c>
      <c r="N39" s="3204"/>
      <c r="O39" s="2609">
        <f t="shared" si="2"/>
        <v>-17.468775501777742</v>
      </c>
      <c r="P39" s="1967"/>
      <c r="Q39" s="1908"/>
      <c r="R39" s="1909"/>
      <c r="S39" s="3045"/>
      <c r="T39" s="1843"/>
      <c r="U39" s="1894"/>
      <c r="V39" s="1894"/>
    </row>
    <row r="40" spans="2:27" ht="13">
      <c r="B40" s="3048"/>
      <c r="C40" s="2604" t="s">
        <v>833</v>
      </c>
      <c r="D40" s="1705" t="s">
        <v>420</v>
      </c>
      <c r="E40" s="3038">
        <f>+_xlfn.XLOOKUP(E$4,'Proy. Mes'!$B$9:$B$38,'Proy. Mes'!$AF$9:$AF$38,"ERROR",0,1)</f>
        <v>3720</v>
      </c>
      <c r="F40" s="3038">
        <f>+_xlfn.XLOOKUP(F$4,'Proy. Mes'!$B$9:$B$38,'Proy. Mes'!$AF$9:$AF$38,"ERROR",0,1)</f>
        <v>3720</v>
      </c>
      <c r="G40" s="3038">
        <f>+_xlfn.XLOOKUP(G$4,'Proy. Mes'!$B$9:$B$38,'Proy. Mes'!$AF$9:$AF$38,"ERROR",0,1)</f>
        <v>3720</v>
      </c>
      <c r="H40" s="3038">
        <f>+_xlfn.XLOOKUP(H$4,'Proy. Mes'!$B$9:$B$38,'Proy. Mes'!$AF$9:$AF$38,"ERROR",0,1)</f>
        <v>3720</v>
      </c>
      <c r="I40" s="3038">
        <f>+_xlfn.XLOOKUP(I$4,'Proy. Mes'!$B$9:$B$38,'Proy. Mes'!$AF$9:$AF$38,"ERROR",0,1)</f>
        <v>3720</v>
      </c>
      <c r="J40" s="3038">
        <f>+_xlfn.XLOOKUP(J$4,'Proy. Mes'!$B$9:$B$38,'Proy. Mes'!$AF$9:$AF$38,"ERROR",0,1)</f>
        <v>4366</v>
      </c>
      <c r="K40" s="3038">
        <f>+_xlfn.XLOOKUP(K$4,'Proy. Mes'!$B$9:$B$39,'Proy. Mes'!$AF$9:$AF$39,"ERROR",0,1)</f>
        <v>4366</v>
      </c>
      <c r="L40" s="1707">
        <f>+SUM(E40:K40)</f>
        <v>27332</v>
      </c>
      <c r="M40" s="1707">
        <f>+M91</f>
        <v>29186</v>
      </c>
      <c r="N40" s="3202"/>
      <c r="O40" s="2609">
        <f t="shared" si="2"/>
        <v>-6.3523607208935795</v>
      </c>
      <c r="P40" s="1967"/>
      <c r="Q40" s="1908"/>
      <c r="R40" s="1909"/>
      <c r="S40" s="1843"/>
      <c r="T40" s="1843"/>
      <c r="U40" s="1894"/>
      <c r="V40" s="1894"/>
    </row>
    <row r="41" spans="2:27" ht="13">
      <c r="B41" s="3048"/>
      <c r="C41" s="2604" t="s">
        <v>834</v>
      </c>
      <c r="D41" s="1705" t="s">
        <v>420</v>
      </c>
      <c r="E41" s="3038">
        <f>+_xlfn.XLOOKUP(E$4,'Proy. Mes'!$B$9:$B$38,'Proy. Mes'!$AI$9:$AI$38,"ERROR",0,1)</f>
        <v>3720</v>
      </c>
      <c r="F41" s="3038">
        <f>+_xlfn.XLOOKUP(F$4,'Proy. Mes'!$B$9:$B$38,'Proy. Mes'!$AI$9:$AI$38,"ERROR",0,1)</f>
        <v>3720</v>
      </c>
      <c r="G41" s="3038">
        <f>+_xlfn.XLOOKUP(G$4,'Proy. Mes'!$B$9:$B$38,'Proy. Mes'!$AI$9:$AI$38,"ERROR",0,1)</f>
        <v>3720</v>
      </c>
      <c r="H41" s="3038">
        <f>+_xlfn.XLOOKUP(H$4,'Proy. Mes'!$B$9:$B$38,'Proy. Mes'!$AI$9:$AI$38,"ERROR",0,1)</f>
        <v>3720</v>
      </c>
      <c r="I41" s="3038">
        <f>+_xlfn.XLOOKUP(I$4,'Proy. Mes'!$B$9:$B$38,'Proy. Mes'!$AI$9:$AI$38,"ERROR",0,1)</f>
        <v>3720</v>
      </c>
      <c r="J41" s="3038">
        <f>+_xlfn.XLOOKUP(J$4,'Proy. Mes'!$B$9:$B$38,'Proy. Mes'!$AI$9:$AI$38,"ERROR",0,1)</f>
        <v>3720</v>
      </c>
      <c r="K41" s="3038">
        <f>+_xlfn.XLOOKUP(K$4,'Proy. Mes'!$B$9:$B$39,'Proy. Mes'!$AI$9:$AI$39,"ERROR",0,1)</f>
        <v>4366</v>
      </c>
      <c r="L41" s="1707">
        <f>+SUM(E41:K41)</f>
        <v>26686</v>
      </c>
      <c r="M41" s="1707">
        <f>+M92</f>
        <v>27810</v>
      </c>
      <c r="N41" s="3202"/>
      <c r="O41" s="2609">
        <f t="shared" si="2"/>
        <v>-4.0417116145271486</v>
      </c>
      <c r="P41" s="1907"/>
      <c r="Q41" s="1908"/>
      <c r="R41" s="1909"/>
      <c r="S41" s="1843"/>
      <c r="T41" s="1843"/>
      <c r="U41" s="1894"/>
      <c r="V41" s="1894"/>
    </row>
    <row r="42" spans="2:27" ht="14.25" customHeight="1">
      <c r="B42" s="3048"/>
      <c r="C42" s="2604" t="s">
        <v>835</v>
      </c>
      <c r="D42" s="1705" t="s">
        <v>28</v>
      </c>
      <c r="E42" s="3038">
        <f>+_xlfn.XLOOKUP(E$4,'Proy. Mes'!$B$9:$B$38,'Proy. Mes'!$AK$9:$AK$38,"ERROR",0,1)</f>
        <v>1024.5458375948233</v>
      </c>
      <c r="F42" s="3038">
        <f>+_xlfn.XLOOKUP(F$4,'Proy. Mes'!$B$9:$B$38,'Proy. Mes'!$AK$9:$AK$38,"ERROR",0,1)</f>
        <v>947.254478857452</v>
      </c>
      <c r="G42" s="3038">
        <f>+_xlfn.XLOOKUP(G$4,'Proy. Mes'!$B$9:$B$38,'Proy. Mes'!$AK$9:$AK$38,"ERROR",0,1)</f>
        <v>1011.5337417595922</v>
      </c>
      <c r="H42" s="3038">
        <f>+_xlfn.XLOOKUP(H$4,'Proy. Mes'!$B$9:$B$38,'Proy. Mes'!$AK$9:$AK$38,"ERROR",0,1)</f>
        <v>879.62101610941681</v>
      </c>
      <c r="I42" s="3038">
        <f>+_xlfn.XLOOKUP(I$4,'Proy. Mes'!$B$9:$B$38,'Proy. Mes'!$AK$9:$AK$38,"ERROR",0,1)</f>
        <v>853.27123141767731</v>
      </c>
      <c r="J42" s="3038">
        <f>+_xlfn.XLOOKUP(J$4,'Proy. Mes'!$B$9:$B$38,'Proy. Mes'!$AK$9:$AK$38,"ERROR",0,1)</f>
        <v>899.01101534445786</v>
      </c>
      <c r="K42" s="3038">
        <f>+_xlfn.XLOOKUP(K$4,'Proy. Mes'!$B$9:$B$39,'Proy. Mes'!$AK$9:$AK$39,"ERROR",0,1)</f>
        <v>1101.5360920905689</v>
      </c>
      <c r="L42" s="1707">
        <f>+SUM(E42:K42)</f>
        <v>6716.7734131739871</v>
      </c>
      <c r="M42" s="1707">
        <f>+M93</f>
        <v>7864.070337050849</v>
      </c>
      <c r="N42" s="3202"/>
      <c r="O42" s="2609">
        <f t="shared" si="2"/>
        <v>-14.589097944247486</v>
      </c>
    </row>
    <row r="43" spans="2:27" ht="17.25" customHeight="1">
      <c r="B43" s="3048"/>
      <c r="C43" s="2604" t="s">
        <v>836</v>
      </c>
      <c r="D43" s="1705" t="s">
        <v>28</v>
      </c>
      <c r="E43" s="3038">
        <f>+_xlfn.XLOOKUP(E$4,'Proy. Mes'!$B$9:$B$38,'Proy. Mes'!$AL$9:$AL$38,"ERROR",0,1)</f>
        <v>2925.1676776879667</v>
      </c>
      <c r="F43" s="3038">
        <f>+_xlfn.XLOOKUP(F$4,'Proy. Mes'!$B$9:$B$38,'Proy. Mes'!$AL$9:$AL$38,"ERROR",0,1)</f>
        <v>2984.2590944903527</v>
      </c>
      <c r="G43" s="3038">
        <f>+_xlfn.XLOOKUP(G$4,'Proy. Mes'!$B$9:$B$38,'Proy. Mes'!$AL$9:$AL$38,"ERROR",0,1)</f>
        <v>2999.8747991020973</v>
      </c>
      <c r="H43" s="3038">
        <f>+_xlfn.XLOOKUP(H$4,'Proy. Mes'!$B$9:$B$38,'Proy. Mes'!$AL$9:$AL$38,"ERROR",0,1)</f>
        <v>3051.0578850346888</v>
      </c>
      <c r="I43" s="3038">
        <f>+_xlfn.XLOOKUP(I$4,'Proy. Mes'!$B$9:$B$38,'Proy. Mes'!$AL$9:$AL$38,"ERROR",0,1)</f>
        <v>3111.0257025072297</v>
      </c>
      <c r="J43" s="3038">
        <f>+_xlfn.XLOOKUP(J$4,'Proy. Mes'!$B$9:$B$38,'Proy. Mes'!$AL$9:$AL$38,"ERROR",0,1)</f>
        <v>3081.9625206121459</v>
      </c>
      <c r="K43" s="3038">
        <f>+_xlfn.XLOOKUP(K$4,'Proy. Mes'!$B$9:$B$39,'Proy. Mes'!$AL$9:$AL$39,"ERROR",0,1)</f>
        <v>2901.5170169264766</v>
      </c>
      <c r="L43" s="1707">
        <f>+K43</f>
        <v>2901.5170169264766</v>
      </c>
      <c r="M43" s="1707">
        <f>+M94</f>
        <v>2817.3753623486359</v>
      </c>
      <c r="N43" s="3202"/>
      <c r="O43" s="2609">
        <f t="shared" si="2"/>
        <v>2.9865262436205171</v>
      </c>
    </row>
    <row r="44" spans="2:27" ht="13">
      <c r="B44" s="3048"/>
      <c r="C44" s="2604" t="s">
        <v>1417</v>
      </c>
      <c r="D44" s="1705" t="s">
        <v>420</v>
      </c>
      <c r="E44" s="3038">
        <f>+_xlfn.XLOOKUP(E$4,'Proy. Mes'!$B$9:$B$38,'Proy. Mes'!$AL$9:$AL$38,"ERROR",0,1)</f>
        <v>2925.1676776879667</v>
      </c>
      <c r="F44" s="3038">
        <f>+_xlfn.XLOOKUP(F$4,'Proy. Mes'!$B$9:$B$38,'Proy. Mes'!$AL$9:$AL$38,"ERROR",0,1)</f>
        <v>2984.2590944903527</v>
      </c>
      <c r="G44" s="3038">
        <f>+_xlfn.XLOOKUP(G$4,'Proy. Mes'!$B$9:$B$38,'Proy. Mes'!$AL$9:$AL$38,"ERROR",0,1)</f>
        <v>2999.8747991020973</v>
      </c>
      <c r="H44" s="3038">
        <f>+_xlfn.XLOOKUP(H$4,'Proy. Mes'!$B$9:$B$38,'Proy. Mes'!$AL$9:$AL$38,"ERROR",0,1)</f>
        <v>3051.0578850346888</v>
      </c>
      <c r="I44" s="3038">
        <f>+_xlfn.XLOOKUP(I$4,'Proy. Mes'!$B$9:$B$38,'Proy. Mes'!$AL$9:$AL$38,"ERROR",0,1)</f>
        <v>3111.0257025072297</v>
      </c>
      <c r="J44" s="3038">
        <f>+_xlfn.XLOOKUP(J$4,'Proy. Mes'!$B$9:$B$38,'Proy. Mes'!$AL$9:$AL$38,"ERROR",0,1)</f>
        <v>3081.9625206121459</v>
      </c>
      <c r="K44" s="3038">
        <f>+_xlfn.XLOOKUP(K$4,'Proy. Mes'!$B$9:$B$38,'Proy. Mes'!$AL$9:$AL$38,"ERROR",0,1)</f>
        <v>2901.5170169264766</v>
      </c>
      <c r="L44" s="1707">
        <f>+K44</f>
        <v>2901.5170169264766</v>
      </c>
      <c r="M44" s="1707">
        <f>+K94</f>
        <v>2817.3753623486359</v>
      </c>
      <c r="N44" s="3202"/>
      <c r="O44" s="2609">
        <f t="shared" si="2"/>
        <v>2.9865262436205171</v>
      </c>
    </row>
    <row r="45" spans="2:27" ht="13">
      <c r="B45" s="3048"/>
      <c r="C45" s="2604" t="s">
        <v>62</v>
      </c>
      <c r="D45" s="1705" t="s">
        <v>28</v>
      </c>
      <c r="E45" s="3038">
        <f>+_xlfn.XLOOKUP(E$4,'Proy. Mes'!$B$9:$B$38,'Proy. Mes'!$AM$9:$AM$38,"ERROR",0,1)</f>
        <v>983.56400409103037</v>
      </c>
      <c r="F45" s="3038">
        <f>+_xlfn.XLOOKUP(F$4,'Proy. Mes'!$B$9:$B$38,'Proy. Mes'!$AM$9:$AM$38,"ERROR",0,1)</f>
        <v>909.36429970315385</v>
      </c>
      <c r="G45" s="3038">
        <f>+_xlfn.XLOOKUP(G$4,'Proy. Mes'!$B$9:$B$38,'Proy. Mes'!$AM$9:$AM$38,"ERROR",0,1)</f>
        <v>971.07239208920851</v>
      </c>
      <c r="H45" s="3038">
        <f>+_xlfn.XLOOKUP(H$4,'Proy. Mes'!$B$9:$B$38,'Proy. Mes'!$AM$9:$AM$38,"ERROR",0,1)</f>
        <v>844.43617546504015</v>
      </c>
      <c r="I45" s="3038">
        <f>+_xlfn.XLOOKUP(I$4,'Proy. Mes'!$B$9:$B$38,'Proy. Mes'!$AM$9:$AM$38,"ERROR",0,1)</f>
        <v>819.14038216097015</v>
      </c>
      <c r="J45" s="3038">
        <f>+_xlfn.XLOOKUP(J$4,'Proy. Mes'!$B$9:$B$38,'Proy. Mes'!$AM$9:$AM$38,"ERROR",0,1)</f>
        <v>863.0505747306795</v>
      </c>
      <c r="K45" s="3038">
        <f>+_xlfn.XLOOKUP(K$4,'Proy. Mes'!$B$9:$B$39,'Proy. Mes'!$AM$9:$AM$39,"ERROR",0,1)</f>
        <v>1057.474648406946</v>
      </c>
      <c r="L45" s="1707">
        <f>+SUM(E45:K45)</f>
        <v>6448.1024766470291</v>
      </c>
      <c r="M45" s="1707">
        <f>+M95</f>
        <v>7565.2356642429168</v>
      </c>
      <c r="N45" s="3202"/>
      <c r="O45" s="2609">
        <f t="shared" si="2"/>
        <v>-14.766667387190822</v>
      </c>
      <c r="Q45" s="254"/>
    </row>
    <row r="46" spans="2:27" ht="13">
      <c r="B46" s="3048"/>
      <c r="C46" s="2604" t="s">
        <v>838</v>
      </c>
      <c r="D46" s="1705"/>
      <c r="E46" s="3040">
        <v>-1.034</v>
      </c>
      <c r="F46" s="3040">
        <v>-3.4000000000000002E-2</v>
      </c>
      <c r="G46" s="3040">
        <v>0.96599999999999997</v>
      </c>
      <c r="H46" s="3040">
        <v>0.96599999999999997</v>
      </c>
      <c r="I46" s="3040">
        <v>-3.4000000000000002E-2</v>
      </c>
      <c r="J46" s="3040">
        <v>0.96599999999999997</v>
      </c>
      <c r="K46" s="3040">
        <v>0.96599999999999997</v>
      </c>
      <c r="L46" s="1711">
        <v>0.96599999999999997</v>
      </c>
      <c r="M46" s="1711">
        <f>+M96</f>
        <v>0.96599999999999997</v>
      </c>
      <c r="N46" s="3208"/>
      <c r="O46" s="2609">
        <f t="shared" si="2"/>
        <v>0</v>
      </c>
    </row>
    <row r="47" spans="2:27" ht="13">
      <c r="B47" s="3048"/>
      <c r="C47" s="2604" t="s">
        <v>1692</v>
      </c>
      <c r="D47" s="1705" t="s">
        <v>48</v>
      </c>
      <c r="E47" s="3039">
        <f>+_xlfn.XLOOKUP(E$4,'Proy. Mes'!$B$9:$B$38,'Proy. Mes'!$CT$9:$CT$38,"ERROR",0,1)</f>
        <v>1.6777768702968465</v>
      </c>
      <c r="F47" s="3039">
        <f>+_xlfn.XLOOKUP(F$4,'Proy. Mes'!$B$9:$B$38,'Proy. Mes'!$CT$9:$CT$38,"ERROR",0,1)</f>
        <v>1.5994581648635526</v>
      </c>
      <c r="G47" s="3039">
        <f>+_xlfn.XLOOKUP(G$4,'Proy. Mes'!$B$9:$B$38,'Proy. Mes'!$CT$9:$CT$38,"ERROR",0,1)</f>
        <v>1.8029979035908017</v>
      </c>
      <c r="H47" s="3039">
        <f>+_xlfn.XLOOKUP(H$4,'Proy. Mes'!$B$9:$B$38,'Proy. Mes'!$CT$9:$CT$38,"ERROR",0,1)</f>
        <v>1.6729225938676884</v>
      </c>
      <c r="I47" s="3039">
        <f>+_xlfn.XLOOKUP(I$4,'Proy. Mes'!$B$9:$B$38,'Proy. Mes'!$CT$9:$CT$38,"ERROR",0,1)</f>
        <v>1.7315279150876128</v>
      </c>
      <c r="J47" s="3039">
        <f>+_xlfn.XLOOKUP(J$4,'Proy. Mes'!$B$9:$B$38,'Proy. Mes'!$CT$9:$CT$38,"ERROR",0,1)</f>
        <v>1.540893243389915</v>
      </c>
      <c r="K47" s="3039">
        <f>+_xlfn.XLOOKUP(K$4,'Proy. Mes'!$B$9:$B$38,'Proy. Mes'!$CT$9:$CT$38,"ERROR",0,1)</f>
        <v>1.540900272034311</v>
      </c>
      <c r="L47" s="1710">
        <f>+SUMPRODUCT(E47:K47,E10:K10)/SUM(E10:K10)</f>
        <v>1.6538147013956543</v>
      </c>
      <c r="M47" s="1710">
        <f>+M73</f>
        <v>1.4483913229103376</v>
      </c>
      <c r="N47" s="3204"/>
      <c r="O47" s="2609">
        <f t="shared" si="2"/>
        <v>14.182864481164353</v>
      </c>
    </row>
    <row r="48" spans="2:27" ht="13">
      <c r="B48" s="3048"/>
      <c r="C48" s="2604"/>
      <c r="D48" s="1705"/>
      <c r="E48" s="3038"/>
      <c r="F48" s="3038"/>
      <c r="G48" s="3038"/>
      <c r="H48" s="3038"/>
      <c r="I48" s="3038"/>
      <c r="J48" s="3038"/>
      <c r="K48" s="3038"/>
      <c r="L48" s="1709"/>
      <c r="M48" s="1709"/>
      <c r="N48" s="3204"/>
      <c r="O48" s="2609" t="e">
        <f t="shared" si="2"/>
        <v>#DIV/0!</v>
      </c>
    </row>
    <row r="49" spans="1:29" ht="13.5" thickBot="1">
      <c r="B49" s="3048"/>
      <c r="C49" s="2606" t="s">
        <v>841</v>
      </c>
      <c r="D49" s="2607" t="s">
        <v>95</v>
      </c>
      <c r="E49" s="3038">
        <f>+_xlfn.XLOOKUP(E$4,'Proy. Mes'!$B$9:$B$38,'Proy. Mes'!$AX$9:$AX$38,"ERROR",0,1)</f>
        <v>1522.7407144748242</v>
      </c>
      <c r="F49" s="3038">
        <f>+_xlfn.XLOOKUP(F$4,'Proy. Mes'!$B$9:$B$38,'Proy. Mes'!$AX$9:$AX$38,"ERROR",0,1)</f>
        <v>1306.7100043920059</v>
      </c>
      <c r="G49" s="3038">
        <f>+_xlfn.XLOOKUP(G$4,'Proy. Mes'!$B$9:$B$38,'Proy. Mes'!$AX$9:$AX$38,"ERROR",0,1)</f>
        <v>1256.5748394289326</v>
      </c>
      <c r="H49" s="2784">
        <f>+_xlfn.XLOOKUP(H$4,'Proy. Mes'!$B$9:$B$38,'Proy. Mes'!$AX$9:$AX$38,"ERROR",0,1)</f>
        <v>1084.5269137299915</v>
      </c>
      <c r="I49" s="2784">
        <f>+_xlfn.XLOOKUP(I$4,'Proy. Mes'!$B$9:$B$38,'Proy. Mes'!$AX$9:$AX$38,"ERROR",0,1)</f>
        <v>1219.7064847739227</v>
      </c>
      <c r="J49" s="2784">
        <f>+_xlfn.XLOOKUP(J$4,'Proy. Mes'!$B$9:$B$38,'Proy. Mes'!$AX$9:$AX$38,"ERROR",0,1)</f>
        <v>1156.4193793975362</v>
      </c>
      <c r="K49" s="2784">
        <f>+_xlfn.XLOOKUP(K$4,'Proy. Mes'!$B$9:$B$39,'Proy. Mes'!$AX$9:$AX$39,"ERROR",0,1)</f>
        <v>1310.318134816358</v>
      </c>
      <c r="L49" s="1712">
        <f>+SUMPRODUCT(E10:K10,E49:K49)/SUM(E10:K10)</f>
        <v>1266.5553808129755</v>
      </c>
      <c r="M49" s="1712">
        <f>+M99</f>
        <v>1157.0767170669312</v>
      </c>
      <c r="N49" s="3209"/>
      <c r="O49" s="2610">
        <f>+(M49-L49)/M49*100</f>
        <v>-9.4616598995753094</v>
      </c>
      <c r="Q49" s="254"/>
    </row>
    <row r="50" spans="1:29" ht="13.5" hidden="1" thickBot="1">
      <c r="A50" s="1692"/>
      <c r="B50" s="1691">
        <f>+E4-1</f>
        <v>46100.791666666664</v>
      </c>
      <c r="C50" s="1702" t="s">
        <v>842</v>
      </c>
      <c r="D50" s="1703" t="s">
        <v>420</v>
      </c>
      <c r="E50" s="1696">
        <f>+B64+E29-E40</f>
        <v>217.56809482926565</v>
      </c>
      <c r="F50" s="1696">
        <f>+E50+F29-F40</f>
        <v>198.48935657826587</v>
      </c>
      <c r="G50" s="1696">
        <f>+F50+G29-G40</f>
        <v>822.4009622851454</v>
      </c>
      <c r="H50" s="1696">
        <f>+G50+H29-H40</f>
        <v>1160.4204197597737</v>
      </c>
      <c r="I50" s="2600">
        <v>54</v>
      </c>
      <c r="J50" s="1696">
        <f>+I50+J29-J40</f>
        <v>-863.91303479534281</v>
      </c>
      <c r="K50" s="1697">
        <f>+J50+K29-K40</f>
        <v>-1652.2628598884421</v>
      </c>
      <c r="L50" s="1538"/>
      <c r="M50" s="1698">
        <f>+K50</f>
        <v>-1652.2628598884421</v>
      </c>
      <c r="N50" s="1699"/>
      <c r="O50" s="2593">
        <f>+(L50-M50)/M50</f>
        <v>-1</v>
      </c>
    </row>
    <row r="51" spans="1:29" hidden="1">
      <c r="A51" s="2025"/>
      <c r="B51" s="1690">
        <f>+'[22]Proy. Mes'!K13</f>
        <v>3335.8285714285707</v>
      </c>
    </row>
    <row r="52" spans="1:29" hidden="1">
      <c r="A52" s="2025"/>
      <c r="B52" s="1690"/>
    </row>
    <row r="53" spans="1:29" hidden="1">
      <c r="A53" s="2025"/>
      <c r="B53" s="1690"/>
    </row>
    <row r="54" spans="1:29" ht="8.25" customHeight="1" thickBot="1">
      <c r="A54" s="2025"/>
      <c r="B54" s="1690">
        <f>+'[22]Proy. Mes'!AC13</f>
        <v>2800</v>
      </c>
      <c r="E54" s="4815" t="s">
        <v>843</v>
      </c>
      <c r="F54" s="4815"/>
      <c r="G54" s="4815"/>
      <c r="H54" s="4815"/>
      <c r="I54" s="4815"/>
      <c r="J54" s="4815"/>
    </row>
    <row r="55" spans="1:29" ht="13.5" thickBot="1">
      <c r="A55" s="2026"/>
      <c r="B55" s="1689">
        <f>4640-1000</f>
        <v>3640</v>
      </c>
      <c r="C55" s="1688" t="s">
        <v>809</v>
      </c>
      <c r="D55" s="1521" t="s">
        <v>159</v>
      </c>
      <c r="E55" s="1521">
        <f>+E4</f>
        <v>46101.791666666664</v>
      </c>
      <c r="F55" s="1521">
        <f t="shared" ref="F55:K55" si="8">+E55+1</f>
        <v>46102.791666666664</v>
      </c>
      <c r="G55" s="1521">
        <f t="shared" si="8"/>
        <v>46103.791666666664</v>
      </c>
      <c r="H55" s="1521">
        <f t="shared" si="8"/>
        <v>46104.791666666664</v>
      </c>
      <c r="I55" s="1521">
        <f t="shared" si="8"/>
        <v>46105.791666666664</v>
      </c>
      <c r="J55" s="1521">
        <f t="shared" si="8"/>
        <v>46106.791666666664</v>
      </c>
      <c r="K55" s="1521">
        <f t="shared" si="8"/>
        <v>46107.791666666664</v>
      </c>
      <c r="M55" s="1522" t="s">
        <v>810</v>
      </c>
      <c r="N55" s="3210"/>
      <c r="Z55">
        <v>1</v>
      </c>
      <c r="AA55">
        <v>2</v>
      </c>
      <c r="AB55">
        <v>4</v>
      </c>
    </row>
    <row r="56" spans="1:29" ht="5.25" customHeight="1">
      <c r="B56" s="1687"/>
      <c r="C56" s="1523" t="s">
        <v>152</v>
      </c>
      <c r="D56" s="1524" t="s">
        <v>100</v>
      </c>
      <c r="E56" s="1525"/>
      <c r="F56" s="1525"/>
      <c r="G56" s="1525"/>
      <c r="H56" s="1525"/>
      <c r="I56" s="1525"/>
      <c r="J56" s="1525"/>
      <c r="K56" s="1526"/>
      <c r="M56" s="1527"/>
      <c r="N56" s="1699"/>
      <c r="Y56">
        <v>12</v>
      </c>
      <c r="Z56">
        <v>1500</v>
      </c>
      <c r="AC56">
        <f>Z56+AA56+AB56</f>
        <v>1500</v>
      </c>
    </row>
    <row r="57" spans="1:29" ht="5.25" customHeight="1" thickBot="1">
      <c r="B57" s="1687"/>
      <c r="C57" s="1528" t="s">
        <v>118</v>
      </c>
      <c r="D57" s="1529" t="s">
        <v>100</v>
      </c>
      <c r="E57" s="1530"/>
      <c r="F57" s="1530"/>
      <c r="G57" s="1530"/>
      <c r="H57" s="1530"/>
      <c r="I57" s="1530"/>
      <c r="J57" s="1530"/>
      <c r="K57" s="1531"/>
      <c r="M57" s="1532"/>
      <c r="N57" s="1699"/>
      <c r="Y57">
        <v>13</v>
      </c>
      <c r="Z57">
        <v>1500</v>
      </c>
      <c r="AA57">
        <v>1500</v>
      </c>
      <c r="AC57">
        <f t="shared" ref="AC57:AC63" si="9">Z57+AA57+AB57</f>
        <v>3000</v>
      </c>
    </row>
    <row r="58" spans="1:29" ht="13.5" thickBot="1">
      <c r="B58" s="1687"/>
      <c r="C58" s="1533" t="s">
        <v>811</v>
      </c>
      <c r="D58" s="1534" t="s">
        <v>100</v>
      </c>
      <c r="E58" s="2602">
        <f>+E4</f>
        <v>46101.791666666664</v>
      </c>
      <c r="F58" s="2602">
        <f t="shared" ref="F58:K58" si="10">+F4</f>
        <v>46102.791666666664</v>
      </c>
      <c r="G58" s="2602">
        <f t="shared" si="10"/>
        <v>46103.791666666664</v>
      </c>
      <c r="H58" s="2602">
        <f t="shared" si="10"/>
        <v>46104.791666666664</v>
      </c>
      <c r="I58" s="2602">
        <f t="shared" si="10"/>
        <v>46105.791666666664</v>
      </c>
      <c r="J58" s="2602">
        <f t="shared" si="10"/>
        <v>46106.791666666664</v>
      </c>
      <c r="K58" s="2602">
        <f t="shared" si="10"/>
        <v>46107.791666666664</v>
      </c>
      <c r="Y58">
        <v>14</v>
      </c>
      <c r="Z58">
        <v>1500</v>
      </c>
      <c r="AA58">
        <v>1500</v>
      </c>
      <c r="AB58">
        <v>1500</v>
      </c>
      <c r="AC58">
        <f t="shared" si="9"/>
        <v>4500</v>
      </c>
    </row>
    <row r="59" spans="1:29" ht="9.75" customHeight="1">
      <c r="B59" s="1687"/>
      <c r="C59" s="1523" t="s">
        <v>812</v>
      </c>
      <c r="D59" s="1524" t="s">
        <v>813</v>
      </c>
      <c r="E59" s="1699">
        <f>(+_xlfn.XLOOKUP(E$4,'ST Original'!$B$8:$B$38,'ST Original'!$C$8:$C$38,"ERROR",0,1))/1000</f>
        <v>220.00003021743203</v>
      </c>
      <c r="F59" s="1699">
        <f>(+_xlfn.XLOOKUP(F$4,'ST Original'!$B$8:$B$38,'ST Original'!$C$8:$C$38,"ERROR",0,1))/1000</f>
        <v>185.00002086318861</v>
      </c>
      <c r="G59" s="1699">
        <f>(+_xlfn.XLOOKUP(G$4,'ST Original'!$B$8:$B$38,'ST Original'!$C$8:$C$38,"ERROR",0,1))/1000</f>
        <v>199.99999999970044</v>
      </c>
      <c r="H59" s="1699">
        <f>(+_xlfn.XLOOKUP(H$4,'ST Original'!$B$8:$B$38,'ST Original'!$C$8:$C$38,"ERROR",0,1))/1000</f>
        <v>200.00000000015848</v>
      </c>
      <c r="I59" s="1699">
        <f>(+_xlfn.XLOOKUP(I$4,'ST Original'!$B$8:$B$38,'ST Original'!$C$8:$C$38,"ERROR",0,1))/1000</f>
        <v>184.99999999984698</v>
      </c>
      <c r="J59" s="1699">
        <f>(+_xlfn.XLOOKUP(J$4,'ST Original'!$B$8:$B$38,'ST Original'!$C$8:$C$38,"ERROR",0,1))/1000</f>
        <v>220.00000000043113</v>
      </c>
      <c r="K59" s="1699">
        <f>(+_xlfn.XLOOKUP(K$4,'ST Original'!$B$8:$B$38,'ST Original'!$C$8:$C$38,"ERROR",0,1))/1000</f>
        <v>220.000000000173</v>
      </c>
      <c r="M59" s="1699">
        <f>+SUM(E59:K59)</f>
        <v>1430.0000510809307</v>
      </c>
      <c r="N59" s="1699"/>
      <c r="Y59">
        <v>15</v>
      </c>
      <c r="Z59">
        <v>1500</v>
      </c>
      <c r="AA59">
        <v>1500</v>
      </c>
      <c r="AB59">
        <v>1500</v>
      </c>
      <c r="AC59">
        <f t="shared" si="9"/>
        <v>4500</v>
      </c>
    </row>
    <row r="60" spans="1:29" ht="9.75" customHeight="1">
      <c r="B60" s="154"/>
      <c r="C60" s="1528" t="s">
        <v>814</v>
      </c>
      <c r="D60" s="1529" t="s">
        <v>198</v>
      </c>
      <c r="E60" s="1699">
        <f>(+_xlfn.XLOOKUP(E$4,'ST Original'!$B$8:$B$38,'ST Original'!$D$8:$D$38,"ERROR",0,1))/1000</f>
        <v>667.29041378565239</v>
      </c>
      <c r="F60" s="1699">
        <f>(+_xlfn.XLOOKUP(F$4,'ST Original'!$B$8:$B$38,'ST Original'!$D$8:$D$38,"ERROR",0,1))/1000</f>
        <v>659.21775062644872</v>
      </c>
      <c r="G60" s="1699">
        <f>(+_xlfn.XLOOKUP(G$4,'ST Original'!$B$8:$B$38,'ST Original'!$D$8:$D$38,"ERROR",0,1))/1000</f>
        <v>664.61452002148292</v>
      </c>
      <c r="H60" s="1699">
        <f>(+_xlfn.XLOOKUP(H$4,'ST Original'!$B$8:$B$38,'ST Original'!$D$8:$D$38,"ERROR",0,1))/1000</f>
        <v>673.1076850040381</v>
      </c>
      <c r="I60" s="1699">
        <f>(+_xlfn.XLOOKUP(I$4,'ST Original'!$B$8:$B$38,'ST Original'!$D$8:$D$38,"ERROR",0,1))/1000</f>
        <v>658.97229932983191</v>
      </c>
      <c r="J60" s="1699">
        <f>(+_xlfn.XLOOKUP(J$4,'ST Original'!$B$8:$B$38,'ST Original'!$D$8:$D$38,"ERROR",0,1))/1000</f>
        <v>677.72064140146335</v>
      </c>
      <c r="K60" s="1699">
        <f>(+_xlfn.XLOOKUP(K$4,'ST Original'!$B$8:$B$38,'ST Original'!$D$8:$D$38,"ERROR",0,1))/1000</f>
        <v>688.55305309631785</v>
      </c>
      <c r="M60" s="1699">
        <f>+K60</f>
        <v>688.55305309631785</v>
      </c>
      <c r="N60" s="1699"/>
      <c r="Y60">
        <v>16</v>
      </c>
      <c r="Z60">
        <v>1500</v>
      </c>
      <c r="AA60">
        <v>1500</v>
      </c>
      <c r="AB60">
        <v>1500</v>
      </c>
      <c r="AC60">
        <f t="shared" si="9"/>
        <v>4500</v>
      </c>
    </row>
    <row r="61" spans="1:29" ht="9.75" customHeight="1" thickBot="1">
      <c r="A61" s="1555"/>
      <c r="B61" s="154"/>
      <c r="C61" s="3684" t="s">
        <v>815</v>
      </c>
      <c r="D61" s="3685" t="s">
        <v>813</v>
      </c>
      <c r="E61" s="3691">
        <f>(+_xlfn.XLOOKUP(E$4,'ST Original'!$B$8:$B$38,'ST Original'!$E$8:$E$38,"ERROR",0,1))/1000</f>
        <v>196.80552980560992</v>
      </c>
      <c r="F61" s="3691">
        <f>(+_xlfn.XLOOKUP(F$4,'ST Original'!$B$8:$B$38,'ST Original'!$E$8:$E$38,"ERROR",0,1))/1000</f>
        <v>193.07268402239217</v>
      </c>
      <c r="G61" s="3691">
        <f>(+_xlfn.XLOOKUP(G$4,'ST Original'!$B$8:$B$38,'ST Original'!$E$8:$E$38,"ERROR",0,1))/1000</f>
        <v>194.60323060466635</v>
      </c>
      <c r="H61" s="3691">
        <f>(+_xlfn.XLOOKUP(H$4,'ST Original'!$B$8:$B$38,'ST Original'!$E$8:$E$38,"ERROR",0,1))/1000</f>
        <v>191.50683501760332</v>
      </c>
      <c r="I61" s="3691">
        <f>(+_xlfn.XLOOKUP(I$4,'ST Original'!$B$8:$B$38,'ST Original'!$E$8:$E$38,"ERROR",0,1))/1000</f>
        <v>199.1353856740532</v>
      </c>
      <c r="J61" s="3691">
        <f>(+_xlfn.XLOOKUP(J$4,'ST Original'!$B$8:$B$38,'ST Original'!$E$8:$E$38,"ERROR",0,1))/1000</f>
        <v>201.25165792879966</v>
      </c>
      <c r="K61" s="3691">
        <f>(+_xlfn.XLOOKUP(K$4,'ST Original'!$B$8:$B$38,'ST Original'!$E$8:$E$38,"ERROR",0,1))/1000</f>
        <v>209.16758830531856</v>
      </c>
      <c r="L61" s="3687"/>
      <c r="M61" s="3686">
        <f>+SUM(E61:K61)</f>
        <v>1385.5429113584432</v>
      </c>
      <c r="N61" s="3686"/>
      <c r="Y61">
        <v>17</v>
      </c>
      <c r="Z61">
        <v>1500</v>
      </c>
      <c r="AA61">
        <v>1500</v>
      </c>
      <c r="AB61">
        <v>1500</v>
      </c>
      <c r="AC61">
        <f t="shared" si="9"/>
        <v>4500</v>
      </c>
    </row>
    <row r="62" spans="1:29" ht="9.75" customHeight="1">
      <c r="A62" s="1555"/>
      <c r="B62" s="154"/>
      <c r="C62" s="1528" t="s">
        <v>816</v>
      </c>
      <c r="D62" s="1529" t="s">
        <v>813</v>
      </c>
      <c r="E62" s="1699">
        <f>(+_xlfn.XLOOKUP(E$4,'ST Original'!$B$8:$B$38,'ST Original'!$G$8:$G$38,"ERROR",0,1))/1000</f>
        <v>155.98131404470723</v>
      </c>
      <c r="F62" s="1699">
        <f>(+_xlfn.XLOOKUP(F$4,'ST Original'!$B$8:$B$38,'ST Original'!$G$8:$G$38,"ERROR",0,1))/1000</f>
        <v>153.49034203213373</v>
      </c>
      <c r="G62" s="1699">
        <f>(+_xlfn.XLOOKUP(G$4,'ST Original'!$B$8:$B$38,'ST Original'!$G$8:$G$38,"ERROR",0,1))/1000</f>
        <v>154.71095979466213</v>
      </c>
      <c r="H62" s="1699">
        <f>(+_xlfn.XLOOKUP(H$4,'ST Original'!$B$8:$B$38,'ST Original'!$G$8:$G$38,"ERROR",0,1))/1000</f>
        <v>152.24157042934931</v>
      </c>
      <c r="I62" s="1699">
        <f>(+_xlfn.XLOOKUP(I$4,'ST Original'!$B$8:$B$38,'ST Original'!$G$8:$G$38,"ERROR",0,1))/1000</f>
        <v>158.79111347176422</v>
      </c>
      <c r="J62" s="1699">
        <f>(+_xlfn.XLOOKUP(J$4,'ST Original'!$B$8:$B$38,'ST Original'!$G$8:$G$38,"ERROR",0,1))/1000</f>
        <v>160.49909963614471</v>
      </c>
      <c r="K62" s="1699">
        <f>(+_xlfn.XLOOKUP(K$4,'ST Original'!$B$8:$B$38,'ST Original'!$G$8:$G$38,"ERROR",0,1))/1000</f>
        <v>166.96755002292343</v>
      </c>
      <c r="M62" s="2297">
        <f>+SUM(E62:K62)</f>
        <v>1102.6819494316846</v>
      </c>
      <c r="N62" s="1699"/>
      <c r="Y62">
        <v>18</v>
      </c>
      <c r="Z62">
        <v>1500</v>
      </c>
      <c r="AA62">
        <v>1500</v>
      </c>
      <c r="AB62">
        <v>1500</v>
      </c>
      <c r="AC62">
        <f t="shared" si="9"/>
        <v>4500</v>
      </c>
    </row>
    <row r="63" spans="1:29" ht="9.75" hidden="1" customHeight="1">
      <c r="A63" s="1555"/>
      <c r="B63" s="154"/>
      <c r="C63" s="1528" t="s">
        <v>788</v>
      </c>
      <c r="D63" s="1529" t="s">
        <v>813</v>
      </c>
      <c r="E63" s="1699" t="e">
        <f>(+_xlfn.XLOOKUP(E$4,'ST Original'!$B$8:$B$38,'ST Original'!$F$36:$F$38,"ERROR",0,1))/1000</f>
        <v>#VALUE!</v>
      </c>
      <c r="F63" s="1699" t="e">
        <f>(+_xlfn.XLOOKUP(F$4,'ST Original'!$B$8:$B$38,'ST Original'!$F$36:$F$38,"ERROR",0,1))/1000</f>
        <v>#VALUE!</v>
      </c>
      <c r="G63" s="1699" t="e">
        <f>(+_xlfn.XLOOKUP(G$4,'ST Original'!$B$8:$B$38,'ST Original'!$F$36:$F$38,"ERROR",0,1))/1000</f>
        <v>#VALUE!</v>
      </c>
      <c r="H63" s="1699" t="e">
        <f>(+_xlfn.XLOOKUP(H$4,'ST Original'!$B$8:$B$38,'ST Original'!$F$36:$F$38,"ERROR",0,1))/1000</f>
        <v>#VALUE!</v>
      </c>
      <c r="I63" s="1699" t="e">
        <f>(+_xlfn.XLOOKUP(I$4,'ST Original'!$B$8:$B$38,'ST Original'!$F$36:$F$38,"ERROR",0,1))/1000</f>
        <v>#VALUE!</v>
      </c>
      <c r="J63" s="1699" t="e">
        <f>(+_xlfn.XLOOKUP(J$4,'ST Original'!$B$8:$B$38,'ST Original'!$F$36:$F$38,"ERROR",0,1))/1000</f>
        <v>#VALUE!</v>
      </c>
      <c r="K63" s="1699" t="e">
        <f>(+_xlfn.XLOOKUP(K$4,'ST Original'!$B$8:$B$38,'ST Original'!$F$36:$F$38,"ERROR",0,1))/1000</f>
        <v>#VALUE!</v>
      </c>
      <c r="M63" s="2298" t="e">
        <f>+SUM(E63:K63)</f>
        <v>#VALUE!</v>
      </c>
      <c r="N63" s="1699"/>
      <c r="R63" s="194"/>
      <c r="Y63">
        <v>19</v>
      </c>
      <c r="Z63">
        <v>1500</v>
      </c>
      <c r="AA63">
        <v>1500</v>
      </c>
      <c r="AB63">
        <v>1500</v>
      </c>
      <c r="AC63">
        <f t="shared" si="9"/>
        <v>4500</v>
      </c>
    </row>
    <row r="64" spans="1:29" ht="9.75" customHeight="1">
      <c r="A64" s="1555"/>
      <c r="B64" s="154"/>
      <c r="C64" s="1528" t="s">
        <v>817</v>
      </c>
      <c r="D64" s="1529" t="s">
        <v>121</v>
      </c>
      <c r="E64" s="1699">
        <f t="shared" ref="E64:K66" si="11">E61*1000/(24*E74/100)</f>
        <v>8377.3551127393494</v>
      </c>
      <c r="F64" s="1699">
        <f t="shared" si="11"/>
        <v>8218.4603157385009</v>
      </c>
      <c r="G64" s="1699">
        <f t="shared" si="11"/>
        <v>8283.6105798035642</v>
      </c>
      <c r="H64" s="1699">
        <f t="shared" si="11"/>
        <v>8151.8073452706367</v>
      </c>
      <c r="I64" s="1699">
        <f t="shared" si="11"/>
        <v>8476.5293076449871</v>
      </c>
      <c r="J64" s="1699">
        <f t="shared" si="11"/>
        <v>8566.6119603568295</v>
      </c>
      <c r="K64" s="1699">
        <f t="shared" si="11"/>
        <v>8903.5667190839849</v>
      </c>
      <c r="M64" s="2298">
        <f>+SUMPRODUCT(E61:K61,E64:K64)/SUM(E61:K61)</f>
        <v>8432.0546712566065</v>
      </c>
      <c r="N64" s="1699"/>
      <c r="Q64" s="1843"/>
      <c r="R64" s="1843"/>
      <c r="S64" s="1843"/>
      <c r="T64" s="1843"/>
    </row>
    <row r="65" spans="1:29" ht="9.75" customHeight="1">
      <c r="A65" s="1555"/>
      <c r="B65" s="154"/>
      <c r="C65" s="1528" t="s">
        <v>818</v>
      </c>
      <c r="D65" s="1529" t="s">
        <v>121</v>
      </c>
      <c r="E65" s="1699">
        <f t="shared" si="11"/>
        <v>6628.0486722273145</v>
      </c>
      <c r="F65" s="1699">
        <f t="shared" si="11"/>
        <v>6522.2008414047004</v>
      </c>
      <c r="G65" s="1699">
        <f t="shared" si="11"/>
        <v>6574.0680409456963</v>
      </c>
      <c r="H65" s="1699">
        <f t="shared" si="11"/>
        <v>6469.1373125170157</v>
      </c>
      <c r="I65" s="1699">
        <f t="shared" si="11"/>
        <v>6747.4443028885125</v>
      </c>
      <c r="J65" s="1699">
        <f t="shared" si="11"/>
        <v>6820.0210438804488</v>
      </c>
      <c r="K65" s="1699">
        <f t="shared" si="11"/>
        <v>7094.8821979874647</v>
      </c>
      <c r="M65" s="2298">
        <f>+SUMPRODUCT(E62:K62,E65:K65)/SUM(E62:K62)</f>
        <v>6699.624594961454</v>
      </c>
      <c r="N65" s="1699"/>
      <c r="Q65" s="1843"/>
      <c r="R65" s="1843"/>
      <c r="S65" s="1843"/>
      <c r="T65" s="1843"/>
      <c r="AC65">
        <f>SUM(AC56:AC63)</f>
        <v>31500</v>
      </c>
    </row>
    <row r="66" spans="1:29" ht="9.75" hidden="1" customHeight="1">
      <c r="A66" s="1555"/>
      <c r="B66" s="154"/>
      <c r="C66" s="1528" t="s">
        <v>819</v>
      </c>
      <c r="D66" s="1529" t="s">
        <v>121</v>
      </c>
      <c r="E66" s="1699" t="e">
        <f t="shared" si="11"/>
        <v>#VALUE!</v>
      </c>
      <c r="F66" s="1699" t="e">
        <f t="shared" si="11"/>
        <v>#VALUE!</v>
      </c>
      <c r="G66" s="1699" t="e">
        <f t="shared" si="11"/>
        <v>#VALUE!</v>
      </c>
      <c r="H66" s="1699" t="e">
        <f t="shared" si="11"/>
        <v>#VALUE!</v>
      </c>
      <c r="I66" s="1699" t="e">
        <f t="shared" si="11"/>
        <v>#VALUE!</v>
      </c>
      <c r="J66" s="1699" t="e">
        <f t="shared" si="11"/>
        <v>#VALUE!</v>
      </c>
      <c r="K66" s="1699" t="e">
        <f t="shared" si="11"/>
        <v>#VALUE!</v>
      </c>
      <c r="M66" s="2298" t="e">
        <f>+SUMPRODUCT(E63:K63,E66:K66)/SUM(E63:K63)</f>
        <v>#VALUE!</v>
      </c>
      <c r="N66" s="1699"/>
      <c r="Q66" s="1979"/>
      <c r="R66" s="1980"/>
      <c r="S66" s="1980"/>
      <c r="T66" s="1980"/>
    </row>
    <row r="67" spans="1:29" ht="9.75" customHeight="1">
      <c r="A67" s="1555"/>
      <c r="B67" s="154"/>
      <c r="C67" s="1528" t="s">
        <v>580</v>
      </c>
      <c r="D67" s="1529"/>
      <c r="E67" s="1699">
        <f>+_xlfn.XLOOKUP(E$4,'ST Original'!$B$8:$B$38,'ST Original'!$AU$8:$AU$38,"ERROR",0,1)</f>
        <v>94.882705131702281</v>
      </c>
      <c r="F67" s="1699">
        <f>+_xlfn.XLOOKUP(F$4,'ST Original'!$B$8:$B$38,'ST Original'!$AU$8:$AU$38,"ERROR",0,1)</f>
        <v>92.23774481701308</v>
      </c>
      <c r="G67" s="1699">
        <f>+_xlfn.XLOOKUP(G$4,'ST Original'!$B$8:$B$38,'ST Original'!$AU$8:$AU$38,"ERROR",0,1)</f>
        <v>94.785056199938552</v>
      </c>
      <c r="H67" s="1699">
        <f>+_xlfn.XLOOKUP(H$4,'ST Original'!$B$8:$B$38,'ST Original'!$AU$8:$AU$38,"ERROR",0,1)</f>
        <v>93.006760265208342</v>
      </c>
      <c r="I67" s="1699">
        <f>+_xlfn.XLOOKUP(I$4,'ST Original'!$B$8:$B$38,'ST Original'!$AU$8:$AU$38,"ERROR",0,1)</f>
        <v>83.560410965114826</v>
      </c>
      <c r="J67" s="1699">
        <f>+_xlfn.XLOOKUP(J$4,'ST Original'!$B$8:$B$38,'ST Original'!$AU$8:$AU$38,"ERROR",0,1)</f>
        <v>74.705348359208827</v>
      </c>
      <c r="K67" s="1699">
        <f>+_xlfn.XLOOKUP(K$4,'ST Original'!$B$8:$B$38,'ST Original'!$AU$8:$AU$38,"ERROR",0,1)</f>
        <v>69.620664398692853</v>
      </c>
      <c r="M67" s="2299">
        <f>+SUMPRODUCT(E61:K61,E67:K67)/SUM(E61:K61)</f>
        <v>85.869397351187743</v>
      </c>
      <c r="N67" s="1701"/>
      <c r="Q67" s="1979"/>
      <c r="R67" s="1980"/>
      <c r="S67" s="1980"/>
      <c r="T67" s="1980"/>
    </row>
    <row r="68" spans="1:29" ht="9.75" customHeight="1">
      <c r="C68" s="1528" t="s">
        <v>86</v>
      </c>
      <c r="D68" s="1529" t="s">
        <v>214</v>
      </c>
      <c r="E68" s="3698">
        <f>+_xlfn.XLOOKUP(E$4,'ST Original'!$B$8:$B$38,'ST Original'!$AT$8:$AT$38,"ERROR",0,1)</f>
        <v>37.831207029537204</v>
      </c>
      <c r="F68" s="3698">
        <f>+_xlfn.XLOOKUP(F$4,'ST Original'!$B$8:$B$38,'ST Original'!$AT$8:$AT$38,"ERROR",0,1)</f>
        <v>36.152261349255689</v>
      </c>
      <c r="G68" s="3698">
        <f>+_xlfn.XLOOKUP(G$4,'ST Original'!$B$8:$B$38,'ST Original'!$AT$8:$AT$38,"ERROR",0,1)</f>
        <v>36.837072346157001</v>
      </c>
      <c r="H68" s="3698">
        <f>+_xlfn.XLOOKUP(H$4,'ST Original'!$B$8:$B$38,'ST Original'!$AT$8:$AT$38,"ERROR",0,1)</f>
        <v>36.355026368370282</v>
      </c>
      <c r="I68" s="3698">
        <f>+_xlfn.XLOOKUP(I$4,'ST Original'!$B$8:$B$38,'ST Original'!$AT$8:$AT$38,"ERROR",0,1)</f>
        <v>37.37366346942364</v>
      </c>
      <c r="J68" s="3698">
        <f>+_xlfn.XLOOKUP(J$4,'ST Original'!$B$8:$B$38,'ST Original'!$AT$8:$AT$38,"ERROR",0,1)</f>
        <v>37.100089455925193</v>
      </c>
      <c r="K68" s="3698">
        <f>+_xlfn.XLOOKUP(K$4,'ST Original'!$B$8:$B$38,'ST Original'!$AT$8:$AT$38,"ERROR",0,1)</f>
        <v>37.148098228593724</v>
      </c>
      <c r="M68" s="2299">
        <f>+SUMPRODUCT(E61:K61,E68:K68)/SUM(E61:K61)</f>
        <v>36.978505172315558</v>
      </c>
      <c r="N68" s="1701"/>
      <c r="Q68" s="1979"/>
      <c r="R68" s="1980"/>
      <c r="S68" s="1980"/>
      <c r="T68" s="1980"/>
    </row>
    <row r="69" spans="1:29" ht="9.75" customHeight="1">
      <c r="C69" s="1528" t="s">
        <v>820</v>
      </c>
      <c r="D69" s="1529" t="s">
        <v>48</v>
      </c>
      <c r="E69" s="3689">
        <f>+_xlfn.XLOOKUP(E$4,'ST Original'!$B$8:$B$38,'ST Original'!$K$8:$K$38,"ERROR",0,1)</f>
        <v>93.99288658928468</v>
      </c>
      <c r="F69" s="3689">
        <f>+_xlfn.XLOOKUP(F$4,'ST Original'!$B$8:$B$38,'ST Original'!$K$8:$K$38,"ERROR",0,1)</f>
        <v>94.868711324936768</v>
      </c>
      <c r="G69" s="3689">
        <f>+_xlfn.XLOOKUP(G$4,'ST Original'!$B$8:$B$38,'ST Original'!$K$8:$K$38,"ERROR",0,1)</f>
        <v>95.490523878590622</v>
      </c>
      <c r="H69" s="3689">
        <f>+_xlfn.XLOOKUP(H$4,'ST Original'!$B$8:$B$38,'ST Original'!$K$8:$K$38,"ERROR",0,1)</f>
        <v>86.130475173307232</v>
      </c>
      <c r="I69" s="3689">
        <f>+_xlfn.XLOOKUP(I$4,'ST Original'!$B$8:$B$38,'ST Original'!$K$8:$K$38,"ERROR",0,1)</f>
        <v>64.591307583795782</v>
      </c>
      <c r="J69" s="3690">
        <f>+_xlfn.XLOOKUP(J$4,'ST Original'!$B$8:$B$38,'ST Original'!$K$8:$K$38,"ERROR",0,1)</f>
        <v>56.193647233444196</v>
      </c>
      <c r="K69" s="3690">
        <f>+_xlfn.XLOOKUP(K$4,'ST Original'!$B$8:$B$38,'ST Original'!$K$8:$K$38,"ERROR",0,1)</f>
        <v>64.433085598601608</v>
      </c>
      <c r="M69" s="2298">
        <f>+SUMPRODUCT(E61:K61,E69:K69)/SUM(E61:K61)</f>
        <v>79.059989804531128</v>
      </c>
      <c r="N69" s="1699"/>
      <c r="Q69" s="1979"/>
      <c r="R69" s="1980"/>
      <c r="S69" s="1980"/>
      <c r="T69" s="1980"/>
    </row>
    <row r="70" spans="1:29" ht="9.75" customHeight="1">
      <c r="C70" s="1528" t="s">
        <v>290</v>
      </c>
      <c r="D70" s="1529" t="s">
        <v>799</v>
      </c>
      <c r="E70" s="1699" cm="1">
        <f t="array" ref="E70">+_xlfn.XLOOKUP(E$4,'ST Original'!$B$8:$B$38,'ST Original'!$AY8:$AY$38,"ERROR",0,1)</f>
        <v>186.9792286860106</v>
      </c>
      <c r="F70" s="1699" cm="1">
        <f t="array" ref="F70">+_xlfn.XLOOKUP(F$4,'ST Original'!$B$8:$B$38,'ST Original'!$AY8:$AY$38,"ERROR",0,1)</f>
        <v>184.90758068144279</v>
      </c>
      <c r="G70" s="1699" cm="1">
        <f t="array" ref="G70">+_xlfn.XLOOKUP(G$4,'ST Original'!$B$8:$B$38,'ST Original'!$AY8:$AY$38,"ERROR",0,1)</f>
        <v>186.24871616436286</v>
      </c>
      <c r="H70" s="1699" cm="1">
        <f t="array" ref="H70">+_xlfn.XLOOKUP(H$4,'ST Original'!$B$8:$B$38,'ST Original'!$AY8:$AY$38,"ERROR",0,1)</f>
        <v>183.77408524901566</v>
      </c>
      <c r="I70" s="1699" cm="1">
        <f t="array" ref="I70">+_xlfn.XLOOKUP(I$4,'ST Original'!$B$8:$B$38,'ST Original'!$AY8:$AY$38,"ERROR",0,1)</f>
        <v>186.61872401743344</v>
      </c>
      <c r="J70" s="1699" cm="1">
        <f t="array" ref="J70">+_xlfn.XLOOKUP(J$4,'ST Original'!$B$8:$B$38,'ST Original'!$AY8:$AY$38,"ERROR",0,1)</f>
        <v>185.13554322458796</v>
      </c>
      <c r="K70" s="1699" cm="1">
        <f t="array" ref="K70">+_xlfn.XLOOKUP(K$4,'ST Original'!$B$8:$B$38,'ST Original'!$AY8:$AY$38,"ERROR",0,1)</f>
        <v>190.10601777280255</v>
      </c>
      <c r="M70" s="2298">
        <f>+SUMPRODUCT(E61:K61,E70:K70)/SUM(E61:K61)</f>
        <v>186.29736119237037</v>
      </c>
      <c r="N70" s="1699"/>
      <c r="Q70" s="1979"/>
      <c r="R70" s="1980"/>
      <c r="S70" s="1980"/>
      <c r="T70" s="1980"/>
    </row>
    <row r="71" spans="1:29" ht="9.75" customHeight="1">
      <c r="C71" s="1528" t="s">
        <v>83</v>
      </c>
      <c r="D71" s="1529" t="s">
        <v>821</v>
      </c>
      <c r="E71" s="1701">
        <f>+_xlfn.XLOOKUP(E$4,'ST Original'!$B$8:$B$38,'ST Original'!$AX$8:$AX$38,"ERROR",0,1)</f>
        <v>4.3183355762180522</v>
      </c>
      <c r="F71" s="1701">
        <f>+_xlfn.XLOOKUP(F$4,'ST Original'!$B$8:$B$38,'ST Original'!$AX$8:$AX$38,"ERROR",0,1)</f>
        <v>4.3184590964731928</v>
      </c>
      <c r="G71" s="1701">
        <f>+_xlfn.XLOOKUP(G$4,'ST Original'!$B$8:$B$38,'ST Original'!$AX$8:$AX$38,"ERROR",0,1)</f>
        <v>4.3493738116910921</v>
      </c>
      <c r="H71" s="1701">
        <f>+_xlfn.XLOOKUP(H$4,'ST Original'!$B$8:$B$38,'ST Original'!$AX$8:$AX$38,"ERROR",0,1)</f>
        <v>4.3775371759285386</v>
      </c>
      <c r="I71" s="1701">
        <f>+_xlfn.XLOOKUP(I$4,'ST Original'!$B$8:$B$38,'ST Original'!$AX$8:$AX$38,"ERROR",0,1)</f>
        <v>4.2900576356295144</v>
      </c>
      <c r="J71" s="1701">
        <f>+_xlfn.XLOOKUP(J$4,'ST Original'!$B$8:$B$38,'ST Original'!$AX$8:$AX$38,"ERROR",0,1)</f>
        <v>4.1703639949699189</v>
      </c>
      <c r="K71" s="1701">
        <f>+_xlfn.XLOOKUP(K$4,'ST Original'!$B$8:$B$38,'ST Original'!$AX$8:$AX$38,"ERROR",0,1)-0.1</f>
        <v>3.8727736812415436</v>
      </c>
      <c r="M71" s="2299">
        <f>+SUMPRODUCT(E61:K61,E71:K71)/SUM(E61:K61)</f>
        <v>4.2380737016214693</v>
      </c>
      <c r="N71" s="1701"/>
      <c r="Q71" s="1979"/>
      <c r="R71" s="1980"/>
      <c r="S71" s="1980"/>
      <c r="T71" s="1980"/>
    </row>
    <row r="72" spans="1:29" ht="9.75" customHeight="1">
      <c r="C72" s="1528" t="s">
        <v>1315</v>
      </c>
      <c r="D72" s="1529" t="s">
        <v>1259</v>
      </c>
      <c r="E72" s="1701">
        <f>+_xlfn.XLOOKUP(E$4,'ST Original'!$B$8:$B$38,'ST Original'!$GI$8:$GI$38,"ERROR",0,1)</f>
        <v>0</v>
      </c>
      <c r="F72" s="1701">
        <f>+_xlfn.XLOOKUP(F$4,'ST Original'!$B$8:$B$38,'ST Original'!$GI$8:$GI$38,"ERROR",0,1)</f>
        <v>0</v>
      </c>
      <c r="G72" s="1701">
        <f>+_xlfn.XLOOKUP(G$4,'ST Original'!$B$8:$B$38,'ST Original'!$GI$8:$GI$38,"ERROR",0,1)</f>
        <v>0</v>
      </c>
      <c r="H72" s="1701">
        <f>+_xlfn.XLOOKUP(H$4,'ST Original'!$B$8:$B$38,'ST Original'!$GI$8:$GI$38,"ERROR",0,1)</f>
        <v>0</v>
      </c>
      <c r="I72" s="1701">
        <f>+_xlfn.XLOOKUP(I$4,'ST Original'!$B$8:$B$38,'ST Original'!$GI$8:$GI$38,"ERROR",0,1)</f>
        <v>0</v>
      </c>
      <c r="J72" s="1701">
        <f>+_xlfn.XLOOKUP(J$4,'ST Original'!$B$8:$B$38,'ST Original'!$GI$8:$GI$38,"ERROR",0,1)</f>
        <v>0</v>
      </c>
      <c r="K72" s="1701">
        <f>+_xlfn.XLOOKUP(K$4,'ST Original'!$B$8:$B$38,'ST Original'!$GI$8:$GI$38,"ERROR",0,1)</f>
        <v>0</v>
      </c>
      <c r="M72" s="2298">
        <f>+SUMPRODUCT(E61:K61,E72:K72)/SUM(E61:K61)</f>
        <v>0</v>
      </c>
      <c r="N72" s="1699"/>
      <c r="Q72" s="1979"/>
      <c r="R72" s="1980"/>
      <c r="S72" s="1980"/>
      <c r="T72" s="1980"/>
    </row>
    <row r="73" spans="1:29" ht="10.5" customHeight="1">
      <c r="C73" s="1528" t="s">
        <v>1692</v>
      </c>
      <c r="D73" s="1529" t="s">
        <v>48</v>
      </c>
      <c r="E73" s="3723">
        <f>+_xlfn.XLOOKUP(E$4,'ST Original'!$B$8:$B$38,'ST Original'!$ER$8:$ER$38,"ERROR",0,1)</f>
        <v>1.3105009505641654</v>
      </c>
      <c r="F73" s="3723">
        <f>+_xlfn.XLOOKUP(F$4,'ST Original'!$B$8:$B$38,'ST Original'!$ER$8:$ER$38,"ERROR",0,1)</f>
        <v>1.3521891836999185</v>
      </c>
      <c r="G73" s="3723">
        <f>+_xlfn.XLOOKUP(G$4,'ST Original'!$B$8:$B$38,'ST Original'!$ER$8:$ER$38,"ERROR",0,1)</f>
        <v>1.2254106432740608</v>
      </c>
      <c r="H73" s="3723">
        <f>+_xlfn.XLOOKUP(H$4,'ST Original'!$B$8:$B$38,'ST Original'!$ER$8:$ER$38,"ERROR",0,1)</f>
        <v>1.4275871461017173</v>
      </c>
      <c r="I73" s="3723">
        <f>+_xlfn.XLOOKUP(I$4,'ST Original'!$B$8:$B$38,'ST Original'!$ER$8:$ER$38,"ERROR",0,1)</f>
        <v>1.5537291958501629</v>
      </c>
      <c r="J73" s="3723">
        <f>+_xlfn.XLOOKUP(J$4,'ST Original'!$B$8:$B$38,'ST Original'!$ER$8:$ER$38,"ERROR",0,1)</f>
        <v>1.6030867271054539</v>
      </c>
      <c r="K73" s="3723">
        <f>+_xlfn.XLOOKUP(K$4,'ST Original'!$B$8:$B$38,'ST Original'!$ER$8:$ER$38,"ERROR",0,1)</f>
        <v>1.6443073895245173</v>
      </c>
      <c r="M73" s="2300">
        <f>+SUMPRODUCT(E61:K61,E73:K73)/SUM(E61:K61)</f>
        <v>1.4483913229103376</v>
      </c>
      <c r="N73" s="1699"/>
      <c r="Q73" s="1979"/>
      <c r="R73" s="1980"/>
      <c r="S73" s="1980"/>
      <c r="T73" s="1980"/>
    </row>
    <row r="74" spans="1:29" ht="9.75" customHeight="1" thickBot="1">
      <c r="C74" s="1533" t="s">
        <v>823</v>
      </c>
      <c r="D74" s="1534" t="s">
        <v>48</v>
      </c>
      <c r="E74" s="1700">
        <f>+_xlfn.XLOOKUP(E$4,'ST Original'!$B$8:$B$38,'ST Original'!$J$8:$J$38,"ERROR",0,1)</f>
        <v>97.885672723806138</v>
      </c>
      <c r="F74" s="1700">
        <f>+_xlfn.XLOOKUP(F$4,'ST Original'!$B$8:$B$38,'ST Original'!$J$8:$J$38,"ERROR",0,1)</f>
        <v>97.885672723806138</v>
      </c>
      <c r="G74" s="1700">
        <f>+_xlfn.XLOOKUP(G$4,'ST Original'!$B$8:$B$38,'ST Original'!$J$8:$J$38,"ERROR",0,1)</f>
        <v>97.885672723806138</v>
      </c>
      <c r="H74" s="1700">
        <f>+_xlfn.XLOOKUP(H$4,'ST Original'!$B$8:$B$38,'ST Original'!$J$8:$J$38,"ERROR",0,1)</f>
        <v>97.885672723806138</v>
      </c>
      <c r="I74" s="1700">
        <f>+_xlfn.XLOOKUP(I$4,'ST Original'!$B$8:$B$38,'ST Original'!$J$8:$J$38,"ERROR",0,1)</f>
        <v>97.885672723806138</v>
      </c>
      <c r="J74" s="1700">
        <f>+_xlfn.XLOOKUP(J$4,'ST Original'!$B$8:$B$38,'ST Original'!$J$8:$J$38,"ERROR",0,1)</f>
        <v>97.885672723806138</v>
      </c>
      <c r="K74" s="1700">
        <f>+_xlfn.XLOOKUP(K$4,'ST Original'!$B$8:$B$38,'ST Original'!$J$8:$J$38,"ERROR",0,1)</f>
        <v>97.885672723806138</v>
      </c>
      <c r="M74" s="2300">
        <f>+AVERAGE(E74:K74)</f>
        <v>97.885672723806138</v>
      </c>
      <c r="N74" s="1700"/>
      <c r="Q74" s="1979"/>
      <c r="R74" s="1980"/>
      <c r="S74" s="1980"/>
      <c r="T74" s="1980"/>
    </row>
    <row r="75" spans="1:29" ht="13">
      <c r="C75" s="1686" t="s">
        <v>824</v>
      </c>
      <c r="D75" s="1685" t="s">
        <v>48</v>
      </c>
      <c r="E75" s="1699">
        <f>+_xlfn.XLOOKUP(E$4,'ST Original'!$B$8:$B$38,'ST Original'!$H$8:$H$38,"ERROR",0,1)</f>
        <v>98.056332111173901</v>
      </c>
      <c r="F75" s="1699">
        <f>+_xlfn.XLOOKUP(F$4,'ST Original'!$B$8:$B$38,'ST Original'!$H$8:$H$38,"ERROR",0,1)</f>
        <v>98.056332111173901</v>
      </c>
      <c r="G75" s="1699">
        <f>+_xlfn.XLOOKUP(G$4,'ST Original'!$B$8:$B$38,'ST Original'!$H$8:$H$38,"ERROR",0,1)</f>
        <v>98.056332111173901</v>
      </c>
      <c r="H75" s="1699">
        <f>+_xlfn.XLOOKUP(H$4,'ST Original'!$B$8:$B$38,'ST Original'!$H$8:$H$38,"ERROR",0,1)</f>
        <v>98.056332111173901</v>
      </c>
      <c r="I75" s="1699">
        <f>+_xlfn.XLOOKUP(I$4,'ST Original'!$B$8:$B$38,'ST Original'!$H$8:$H$38,"ERROR",0,1)</f>
        <v>98.056332111173901</v>
      </c>
      <c r="J75" s="1699">
        <f>+_xlfn.XLOOKUP(J$4,'ST Original'!$B$8:$B$38,'ST Original'!$H$8:$H$38,"ERROR",0,1)</f>
        <v>98.056332111173901</v>
      </c>
      <c r="K75" s="1699">
        <f>+_xlfn.XLOOKUP(K$4,'ST Original'!$B$8:$B$38,'ST Original'!$H$8:$H$38,"ERROR",0,1)</f>
        <v>98.056332111173901</v>
      </c>
      <c r="M75" s="2300">
        <f>+AVERAGE(E75:K75)</f>
        <v>98.056332111173901</v>
      </c>
      <c r="N75" s="1700"/>
      <c r="Q75" s="1979"/>
      <c r="R75" s="1980"/>
      <c r="S75" s="1980"/>
      <c r="T75" s="1980"/>
    </row>
    <row r="76" spans="1:29" ht="13.5" thickBot="1">
      <c r="C76" s="1686" t="s">
        <v>825</v>
      </c>
      <c r="D76" s="1685" t="s">
        <v>48</v>
      </c>
      <c r="E76" s="1699">
        <f>+_xlfn.XLOOKUP(E$4,'ST Original'!$B$8:$B$38,'ST Original'!$I$8:$I$38,"ERROR",0,1)</f>
        <v>97.12989278992228</v>
      </c>
      <c r="F76" s="1699">
        <f>+_xlfn.XLOOKUP(F$4,'ST Original'!$B$8:$B$38,'ST Original'!$I$8:$I$38,"ERROR",0,1)</f>
        <v>97.12989278992228</v>
      </c>
      <c r="G76" s="1699">
        <f>+_xlfn.XLOOKUP(G$4,'ST Original'!$B$8:$B$38,'ST Original'!$I$8:$I$38,"ERROR",0,1)</f>
        <v>97.12989278992228</v>
      </c>
      <c r="H76" s="1699">
        <f>+_xlfn.XLOOKUP(H$4,'ST Original'!$B$8:$B$38,'ST Original'!$I$8:$I$38,"ERROR",0,1)</f>
        <v>97.12989278992228</v>
      </c>
      <c r="I76" s="1699">
        <f>+_xlfn.XLOOKUP(I$4,'ST Original'!$B$8:$B$38,'ST Original'!$I$8:$I$38,"ERROR",0,1)</f>
        <v>97.12989278992228</v>
      </c>
      <c r="J76" s="1699">
        <f>+_xlfn.XLOOKUP(J$4,'ST Original'!$B$8:$B$38,'ST Original'!$I$8:$I$38,"ERROR",0,1)</f>
        <v>97.12989278992228</v>
      </c>
      <c r="K76" s="1699">
        <f>+_xlfn.XLOOKUP(K$4,'ST Original'!$B$8:$B$38,'ST Original'!$I$8:$I$38,"ERROR",0,1)</f>
        <v>97.12989278992228</v>
      </c>
      <c r="M76" s="2300">
        <f>+AVERAGE(E76:K76)</f>
        <v>97.129892789922295</v>
      </c>
      <c r="N76" s="1700"/>
      <c r="Q76" s="1979"/>
      <c r="R76" s="1980"/>
      <c r="S76" s="1980"/>
      <c r="T76" s="1980"/>
    </row>
    <row r="77" spans="1:29" ht="13">
      <c r="C77" s="1523" t="s">
        <v>826</v>
      </c>
      <c r="D77" s="1524" t="s">
        <v>48</v>
      </c>
      <c r="E77" s="3688">
        <f>+_xlfn.XLOOKUP(E$4,'ST Original'!$B$8:$B$38,'ST Original'!$L$8:$L$38,"ERROR",0,1)</f>
        <v>0.54156117360462053</v>
      </c>
      <c r="F77" s="3688">
        <f>+_xlfn.XLOOKUP(F$4,'ST Original'!$B$8:$B$38,'ST Original'!$L$8:$L$38,"ERROR",0,1)</f>
        <v>0.53439489892154024</v>
      </c>
      <c r="G77" s="3688">
        <f>+_xlfn.XLOOKUP(G$4,'ST Original'!$B$8:$B$38,'ST Original'!$L$8:$L$38,"ERROR",0,1)</f>
        <v>0.59959530689926632</v>
      </c>
      <c r="H77" s="3688">
        <f>+_xlfn.XLOOKUP(H$4,'ST Original'!$B$8:$B$38,'ST Original'!$L$8:$L$38,"ERROR",0,1)</f>
        <v>0.54611774227069232</v>
      </c>
      <c r="I77" s="3688">
        <f>+_xlfn.XLOOKUP(I$4,'ST Original'!$B$8:$B$38,'ST Original'!$L$8:$L$38,"ERROR",0,1)</f>
        <v>0.55160275711999007</v>
      </c>
      <c r="J77" s="3688">
        <f>+_xlfn.XLOOKUP(J$4,'ST Original'!$B$8:$B$38,'ST Original'!$L$8:$L$38,"ERROR",0,1)</f>
        <v>0.50905603115424403</v>
      </c>
      <c r="K77" s="3688">
        <f>+_xlfn.XLOOKUP(K$4,'ST Original'!$B$8:$B$38,'ST Original'!$L$8:$L$38,"ERROR",0,1)</f>
        <v>0.53298775612561489</v>
      </c>
      <c r="M77" s="2299">
        <f>+SUMPRODUCT(E77:K77,E61:K61)/SUM(E61:K61)</f>
        <v>0.54477094190803477</v>
      </c>
      <c r="N77" s="1701"/>
      <c r="Q77" s="1979"/>
      <c r="R77" s="1980"/>
      <c r="S77" s="1980"/>
      <c r="T77" s="1980"/>
    </row>
    <row r="78" spans="1:29" ht="13">
      <c r="C78" s="1528" t="s">
        <v>827</v>
      </c>
      <c r="D78" s="1529" t="s">
        <v>48</v>
      </c>
      <c r="E78" s="1699">
        <f>+_xlfn.XLOOKUP(E$4,'ST Original'!$B$8:$B$38,'ST Original'!$M$8:$M$38,"ERROR",0,1)</f>
        <v>90.626900611127141</v>
      </c>
      <c r="F78" s="1699">
        <f>+_xlfn.XLOOKUP(F$4,'ST Original'!$B$8:$B$38,'ST Original'!$M$8:$M$38,"ERROR",0,1)</f>
        <v>90.95708040849614</v>
      </c>
      <c r="G78" s="1699">
        <f>+_xlfn.XLOOKUP(G$4,'ST Original'!$B$8:$B$38,'ST Original'!$M$8:$M$38,"ERROR",0,1)</f>
        <v>90.956313421697885</v>
      </c>
      <c r="H78" s="1699">
        <f>+_xlfn.XLOOKUP(H$4,'ST Original'!$B$8:$B$38,'ST Original'!$M$8:$M$38,"ERROR",0,1)</f>
        <v>90.781480861139713</v>
      </c>
      <c r="I78" s="1699">
        <f>+_xlfn.XLOOKUP(I$4,'ST Original'!$B$8:$B$38,'ST Original'!$M$8:$M$38,"ERROR",0,1)</f>
        <v>90.381180349036981</v>
      </c>
      <c r="J78" s="1699">
        <f>+_xlfn.XLOOKUP(J$4,'ST Original'!$B$8:$B$38,'ST Original'!$M$8:$M$38,"ERROR",0,1)</f>
        <v>87.707388126030864</v>
      </c>
      <c r="K78" s="1699">
        <f>+_xlfn.XLOOKUP(K$4,'ST Original'!$B$8:$B$38,'ST Original'!$M$8:$M$38,"ERROR",0,1)</f>
        <v>90.469439382451938</v>
      </c>
      <c r="M78" s="2299">
        <f>+SUMPRODUCT(E78:K78,E61:K61,E77:K77)/SUMPRODUCT(E61:K61,E77:K77)</f>
        <v>90.289099141630032</v>
      </c>
      <c r="N78" s="1701"/>
      <c r="Q78" s="1979"/>
      <c r="R78" s="1980"/>
      <c r="S78" s="1980"/>
      <c r="T78" s="1980"/>
    </row>
    <row r="79" spans="1:29" ht="13">
      <c r="C79" s="1528" t="s">
        <v>59</v>
      </c>
      <c r="D79" s="1529" t="s">
        <v>28</v>
      </c>
      <c r="E79" s="1699">
        <f>+_xlfn.XLOOKUP(E$4,'ST Original'!$B$8:$B$38,'ST Original'!$S$8:$S$38,"ERROR",0,1)</f>
        <v>965.92174998441658</v>
      </c>
      <c r="F79" s="1699">
        <f>+_xlfn.XLOOKUP(F$4,'ST Original'!$B$8:$B$38,'ST Original'!$S$8:$S$38,"ERROR",0,1)</f>
        <v>938.46839119428955</v>
      </c>
      <c r="G79" s="1699">
        <f>+_xlfn.XLOOKUP(G$4,'ST Original'!$B$8:$B$38,'ST Original'!$S$8:$S$38,"ERROR",0,1)</f>
        <v>1061.3072234752763</v>
      </c>
      <c r="H79" s="1699">
        <f>+_xlfn.XLOOKUP(H$4,'ST Original'!$B$8:$B$38,'ST Original'!$S$8:$S$38,"ERROR",0,1)</f>
        <v>949.44066281952303</v>
      </c>
      <c r="I79" s="1699">
        <f>+_xlfn.XLOOKUP(I$4,'ST Original'!$B$8:$B$38,'ST Original'!$S$8:$S$38,"ERROR",0,1)</f>
        <v>992.7796732392319</v>
      </c>
      <c r="J79" s="1699">
        <f>+_xlfn.XLOOKUP(J$4,'ST Original'!$B$8:$B$38,'ST Original'!$S$8:$S$38,"ERROR",0,1)</f>
        <v>898.54789722597934</v>
      </c>
      <c r="K79" s="1699">
        <f>+_xlfn.XLOOKUP(K$4,'ST Original'!$B$8:$B$38,'ST Original'!$S$8:$S$38,"ERROR",0,1)</f>
        <v>1008.5873588167243</v>
      </c>
      <c r="M79" s="2298">
        <f>SUM(E79:K79)</f>
        <v>6815.0529567554413</v>
      </c>
      <c r="N79" s="1699"/>
      <c r="Q79" s="1979"/>
      <c r="R79" s="1980"/>
      <c r="S79" s="1980"/>
      <c r="T79" s="1980"/>
    </row>
    <row r="80" spans="1:29" ht="13">
      <c r="C80" s="1528" t="s">
        <v>226</v>
      </c>
      <c r="D80" s="1529" t="s">
        <v>48</v>
      </c>
      <c r="E80" s="1701">
        <f>+_xlfn.XLOOKUP(E$4,'ST Original'!$B$8:$B$38,'ST Original'!$N$8:$N$38,"ERROR",0,1)</f>
        <v>28.477234564178254</v>
      </c>
      <c r="F80" s="1701">
        <f>+_xlfn.XLOOKUP(F$4,'ST Original'!$B$8:$B$38,'ST Original'!$N$8:$N$38,"ERROR",0,1)</f>
        <v>27.716210748744583</v>
      </c>
      <c r="G80" s="1701">
        <f>+_xlfn.XLOOKUP(G$4,'ST Original'!$B$8:$B$38,'ST Original'!$N$8:$N$38,"ERROR",0,1)</f>
        <v>30.291011915290664</v>
      </c>
      <c r="H80" s="1701">
        <f>+_xlfn.XLOOKUP(H$4,'ST Original'!$B$8:$B$38,'ST Original'!$N$8:$N$38,"ERROR",0,1)</f>
        <v>29.00637430726275</v>
      </c>
      <c r="I80" s="1701">
        <f>+_xlfn.XLOOKUP(I$4,'ST Original'!$B$8:$B$38,'ST Original'!$N$8:$N$38,"ERROR",0,1)</f>
        <v>26.705241224231788</v>
      </c>
      <c r="J80" s="1701">
        <f>+_xlfn.XLOOKUP(J$4,'ST Original'!$B$8:$B$38,'ST Original'!$N$8:$N$38,"ERROR",0,1)</f>
        <v>24.113319660599188</v>
      </c>
      <c r="K80" s="1701">
        <f>+_xlfn.XLOOKUP(K$4,'ST Original'!$B$8:$B$38,'ST Original'!$N$8:$N$38,"ERROR",0,1)</f>
        <v>25.237979789437635</v>
      </c>
      <c r="M80" s="2299">
        <f>+SUMPRODUCT(E80:K80,E81:K81)/M81</f>
        <v>27.26563682540699</v>
      </c>
      <c r="N80" s="1701"/>
      <c r="Q80" s="1979"/>
      <c r="R80" s="1980"/>
      <c r="S80" s="1980"/>
      <c r="T80" s="1980"/>
    </row>
    <row r="81" spans="3:20" ht="13">
      <c r="C81" s="1528" t="s">
        <v>225</v>
      </c>
      <c r="D81" s="1529" t="s">
        <v>420</v>
      </c>
      <c r="E81" s="1699">
        <f>+_xlfn.XLOOKUP(E$4,'ST Original'!$B$8:$B$38,'ST Original'!$O$8:$O$38,"ERROR",0,1)</f>
        <v>3391.9085359484216</v>
      </c>
      <c r="F81" s="1699">
        <f>+_xlfn.XLOOKUP(F$4,'ST Original'!$B$8:$B$38,'ST Original'!$O$8:$O$38,"ERROR",0,1)</f>
        <v>3385.9909628403943</v>
      </c>
      <c r="G81" s="1699">
        <f>+_xlfn.XLOOKUP(G$4,'ST Original'!$B$8:$B$38,'ST Original'!$O$8:$O$38,"ERROR",0,1)</f>
        <v>3503.7034300578671</v>
      </c>
      <c r="H81" s="1699">
        <f>+_xlfn.XLOOKUP(H$4,'ST Original'!$B$8:$B$38,'ST Original'!$O$8:$O$38,"ERROR",0,1)</f>
        <v>3273.2138555551828</v>
      </c>
      <c r="I81" s="1699">
        <f>+_xlfn.XLOOKUP(I$4,'ST Original'!$B$8:$B$38,'ST Original'!$O$8:$O$38,"ERROR",0,1)</f>
        <v>3717.5461734395567</v>
      </c>
      <c r="J81" s="1699">
        <f>+_xlfn.XLOOKUP(J$4,'ST Original'!$B$8:$B$38,'ST Original'!$O$8:$O$38,"ERROR",0,1)</f>
        <v>3726.3550181943365</v>
      </c>
      <c r="K81" s="1699">
        <f>+_xlfn.XLOOKUP(K$4,'ST Original'!$B$8:$B$38,'ST Original'!$O$8:$O$38,"ERROR",0,1)</f>
        <v>3996.3078155678249</v>
      </c>
      <c r="M81" s="2298">
        <f>SUM(E81:K81)</f>
        <v>24995.025791603584</v>
      </c>
      <c r="N81" s="1699"/>
      <c r="Q81" s="1979"/>
      <c r="R81" s="1980"/>
      <c r="S81" s="1980"/>
      <c r="T81" s="1980"/>
    </row>
    <row r="82" spans="3:20" ht="13.5" thickBot="1">
      <c r="C82" s="1533" t="s">
        <v>828</v>
      </c>
      <c r="D82" s="1534" t="s">
        <v>829</v>
      </c>
      <c r="E82" s="1701">
        <f>+_xlfn.XLOOKUP(E$4,'ST Original'!$B$8:$B$38,'ST Original'!$BB$8:$BB$38,"ERROR",0,1)</f>
        <v>2.1863180145891046</v>
      </c>
      <c r="F82" s="1701">
        <f>+_xlfn.XLOOKUP(F$4,'ST Original'!$B$8:$B$38,'ST Original'!$BB$8:$BB$38,"ERROR",0,1)</f>
        <v>1.8456265163704968</v>
      </c>
      <c r="G82" s="1701">
        <f>+_xlfn.XLOOKUP(G$4,'ST Original'!$B$8:$B$38,'ST Original'!$BB$8:$BB$38,"ERROR",0,1)</f>
        <v>1.5896456690077565</v>
      </c>
      <c r="H82" s="1701">
        <f>+_xlfn.XLOOKUP(H$4,'ST Original'!$B$8:$B$38,'ST Original'!$BB$8:$BB$38,"ERROR",0,1)</f>
        <v>4.6149948034125057</v>
      </c>
      <c r="I82" s="1701">
        <f>+_xlfn.XLOOKUP(I$4,'ST Original'!$B$8:$B$38,'ST Original'!$BB$8:$BB$38,"ERROR",0,1)</f>
        <v>8.7129265768370967</v>
      </c>
      <c r="J82" s="1701">
        <f>+_xlfn.XLOOKUP(J$4,'ST Original'!$B$8:$B$38,'ST Original'!$BB$8:$BB$38,"ERROR",0,1)</f>
        <v>11.510971907653703</v>
      </c>
      <c r="K82" s="1701">
        <f>+_xlfn.XLOOKUP(K$4,'ST Original'!$B$8:$B$38,'ST Original'!$BB$8:$BB$38,"ERROR",0,1)</f>
        <v>11.190176576909705</v>
      </c>
      <c r="M82" s="2300">
        <f>+SUMPRODUCT(E61:K61,E82:K82)/SUM(E61:K61)</f>
        <v>6.04243226623925</v>
      </c>
      <c r="N82" s="1700"/>
      <c r="Q82" s="1979"/>
      <c r="R82" s="1980"/>
      <c r="S82" s="1980"/>
      <c r="T82" s="1980"/>
    </row>
    <row r="83" spans="3:20" ht="13">
      <c r="C83" s="1523" t="s">
        <v>227</v>
      </c>
      <c r="D83" s="1524" t="s">
        <v>95</v>
      </c>
      <c r="E83" s="1701">
        <f>+_xlfn.XLOOKUP(E$4,'ST Original'!$B$8:$B$38,'ST Original'!$W$8:$W$38,"ERROR",0,1)</f>
        <v>278.04752238264018</v>
      </c>
      <c r="F83" s="1701">
        <f>+_xlfn.XLOOKUP(F$4,'ST Original'!$B$8:$B$38,'ST Original'!$W$8:$W$38,"ERROR",0,1)</f>
        <v>272.5862418242171</v>
      </c>
      <c r="G83" s="1701">
        <f>+_xlfn.XLOOKUP(G$4,'ST Original'!$B$8:$B$38,'ST Original'!$W$8:$W$38,"ERROR",0,1)</f>
        <v>264.2633640477236</v>
      </c>
      <c r="H83" s="1701">
        <f>+_xlfn.XLOOKUP(H$4,'ST Original'!$B$8:$B$38,'ST Original'!$W$8:$W$38,"ERROR",0,1)</f>
        <v>165.72705465265955</v>
      </c>
      <c r="I83" s="1701">
        <f>+_xlfn.XLOOKUP(I$4,'ST Original'!$B$8:$B$38,'ST Original'!$W$8:$W$38,"ERROR",0,1)</f>
        <v>116.04786880043868</v>
      </c>
      <c r="J83" s="1701">
        <f>+_xlfn.XLOOKUP(J$4,'ST Original'!$B$8:$B$38,'ST Original'!$W$8:$W$38,"ERROR",0,1)</f>
        <v>80.170312557958326</v>
      </c>
      <c r="K83" s="1701">
        <f>+_xlfn.XLOOKUP(K$4,'ST Original'!$B$8:$B$38,'ST Original'!$W$8:$W$38,"ERROR",0,1)</f>
        <v>99.511122211505906</v>
      </c>
      <c r="M83" s="2298">
        <f>+SUMPRODUCT(E83:K83,E61:K61)/M61</f>
        <v>180.84807059764503</v>
      </c>
      <c r="N83" s="1699"/>
      <c r="Q83" s="1979"/>
      <c r="R83" s="1980"/>
      <c r="S83" s="1980"/>
      <c r="T83" s="1980"/>
    </row>
    <row r="84" spans="3:20" ht="13">
      <c r="C84" s="1528" t="s">
        <v>830</v>
      </c>
      <c r="D84" s="1529" t="s">
        <v>48</v>
      </c>
      <c r="E84" s="1701">
        <f>+_xlfn.XLOOKUP(E$4,'ST Original'!$B$8:$B$38,'ST Original'!$X$8:$X$38,"ERROR",0,1)</f>
        <v>93.19372724003378</v>
      </c>
      <c r="F84" s="1701">
        <f>+_xlfn.XLOOKUP(F$4,'ST Original'!$B$8:$B$38,'ST Original'!$X$8:$X$38,"ERROR",0,1)</f>
        <v>93.124172784071234</v>
      </c>
      <c r="G84" s="1701">
        <f>+_xlfn.XLOOKUP(G$4,'ST Original'!$B$8:$B$38,'ST Original'!$X$8:$X$38,"ERROR",0,1)</f>
        <v>93.015446450445978</v>
      </c>
      <c r="H84" s="1701">
        <f>+_xlfn.XLOOKUP(H$4,'ST Original'!$B$8:$B$38,'ST Original'!$X$8:$X$38,"ERROR",0,1)</f>
        <v>91.379392806824598</v>
      </c>
      <c r="I84" s="1701">
        <f>+_xlfn.XLOOKUP(I$4,'ST Original'!$B$8:$B$38,'ST Original'!$X$8:$X$38,"ERROR",0,1)</f>
        <v>90.129959905640135</v>
      </c>
      <c r="J84" s="1701">
        <f>+_xlfn.XLOOKUP(J$4,'ST Original'!$B$8:$B$38,'ST Original'!$X$8:$X$38,"ERROR",0,1)</f>
        <v>87.333156641235632</v>
      </c>
      <c r="K84" s="1701">
        <f>+_xlfn.XLOOKUP(K$4,'ST Original'!$B$8:$B$38,'ST Original'!$X$8:$X$38,"ERROR",0,1)</f>
        <v>88.090924663621166</v>
      </c>
      <c r="M84" s="2299">
        <f>+SUMPRODUCT(E61:K61,E83:K83,E84:K84)/SUMPRODUCT(E61:K61,E83:K83)</f>
        <v>91.828924104232286</v>
      </c>
      <c r="N84" s="1701"/>
      <c r="Q84" s="1979"/>
      <c r="R84" s="1980"/>
      <c r="S84" s="1980"/>
      <c r="T84" s="1980"/>
    </row>
    <row r="85" spans="3:20" ht="13">
      <c r="C85" s="1528" t="s">
        <v>831</v>
      </c>
      <c r="D85" s="1529" t="s">
        <v>48</v>
      </c>
      <c r="E85" s="1701">
        <f>+_xlfn.XLOOKUP(E$4,'ST Original'!$B$8:$B$38,'ST Original'!$Y$8:$Y$38,"ERROR",0,1)</f>
        <v>87.590246499304698</v>
      </c>
      <c r="F85" s="1701">
        <f>+_xlfn.XLOOKUP(F$4,'ST Original'!$B$8:$B$38,'ST Original'!$Y$8:$Y$38,"ERROR",0,1)</f>
        <v>90.243019036907583</v>
      </c>
      <c r="G85" s="1701">
        <f>+_xlfn.XLOOKUP(G$4,'ST Original'!$B$8:$B$38,'ST Original'!$Y$8:$Y$38,"ERROR",0,1)</f>
        <v>90.155161659883234</v>
      </c>
      <c r="H85" s="1701">
        <f>+_xlfn.XLOOKUP(H$4,'ST Original'!$B$8:$B$38,'ST Original'!$Y$8:$Y$38,"ERROR",0,1)</f>
        <v>88.833132515636464</v>
      </c>
      <c r="I85" s="1701">
        <f>+_xlfn.XLOOKUP(I$4,'ST Original'!$B$8:$B$38,'ST Original'!$Y$8:$Y$38,"ERROR",0,1)</f>
        <v>87.82351604273741</v>
      </c>
      <c r="J85" s="1701">
        <f>+_xlfn.XLOOKUP(J$4,'ST Original'!$B$8:$B$38,'ST Original'!$Y$8:$Y$38,"ERROR",0,1)</f>
        <v>86.775621484645612</v>
      </c>
      <c r="K85" s="1701">
        <f>+_xlfn.XLOOKUP(K$4,'ST Original'!$B$8:$B$38,'ST Original'!$Y$8:$Y$38,"ERROR",0,1)</f>
        <v>87.387943344676103</v>
      </c>
      <c r="M85" s="2299">
        <f>+SUMPRODUCT(E64:K64,E84:K84,E85:K85)/SUMPRODUCT(E64:K64,E84:K84)</f>
        <v>88.400720472172722</v>
      </c>
      <c r="N85" s="1701"/>
      <c r="Q85" s="1979"/>
      <c r="R85" s="1980"/>
      <c r="S85" s="1980"/>
      <c r="T85" s="1980"/>
    </row>
    <row r="86" spans="3:20" ht="13">
      <c r="C86" s="1528" t="s">
        <v>228</v>
      </c>
      <c r="D86" s="1529" t="s">
        <v>48</v>
      </c>
      <c r="E86" s="1701">
        <f>+_xlfn.XLOOKUP(E$4,'ST Original'!$B$8:$B$38,'ST Original'!$Z$8:$Z$38,"ERROR",0,1)</f>
        <v>81.628615411435263</v>
      </c>
      <c r="F86" s="1701">
        <f>+_xlfn.XLOOKUP(F$4,'ST Original'!$B$8:$B$38,'ST Original'!$Z$8:$Z$38,"ERROR",0,1)</f>
        <v>84.038064973492112</v>
      </c>
      <c r="G86" s="1701">
        <f>+_xlfn.XLOOKUP(G$4,'ST Original'!$B$8:$B$38,'ST Original'!$Z$8:$Z$38,"ERROR",0,1)</f>
        <v>83.858226116061687</v>
      </c>
      <c r="H86" s="1701">
        <f>+_xlfn.XLOOKUP(H$4,'ST Original'!$B$8:$B$38,'ST Original'!$Z$8:$Z$38,"ERROR",0,1)</f>
        <v>81.175177104070471</v>
      </c>
      <c r="I86" s="1701">
        <f>+_xlfn.XLOOKUP(I$4,'ST Original'!$B$8:$B$38,'ST Original'!$Z$8:$Z$38,"ERROR",0,1)</f>
        <v>79.155299797042659</v>
      </c>
      <c r="J86" s="1701">
        <f>+_xlfn.XLOOKUP(J$4,'ST Original'!$B$8:$B$38,'ST Original'!$Z$8:$Z$38,"ERROR",0,1)</f>
        <v>75.78388943759127</v>
      </c>
      <c r="K86" s="1701">
        <f>+_xlfn.XLOOKUP(K$4,'ST Original'!$B$8:$B$38,'ST Original'!$Z$8:$Z$38,"ERROR",0,1)</f>
        <v>76.98084733684658</v>
      </c>
      <c r="M86" s="2299">
        <f>+SUMPRODUCT(E68:K68,E85:K85,E86:K86)/SUMPRODUCT(E68:K68,E85:K85)</f>
        <v>80.394871066198618</v>
      </c>
      <c r="N86" s="1701"/>
      <c r="Q86" s="1979"/>
      <c r="R86" s="1980"/>
      <c r="S86" s="1980"/>
      <c r="T86" s="1980"/>
    </row>
    <row r="87" spans="3:20" ht="13">
      <c r="C87" s="1528" t="s">
        <v>66</v>
      </c>
      <c r="D87" s="1529" t="s">
        <v>28</v>
      </c>
      <c r="E87" s="1701">
        <f>+_xlfn.XLOOKUP(E$4,'ST Original'!$B$8:$B$38,'ST Original'!$AE$8:$AE$38,"ERROR",0,1)</f>
        <v>44.668231324443511</v>
      </c>
      <c r="F87" s="1701">
        <f>+_xlfn.XLOOKUP(F$4,'ST Original'!$B$8:$B$38,'ST Original'!$AE$8:$AE$38,"ERROR",0,1)</f>
        <v>44.228357361385243</v>
      </c>
      <c r="G87" s="1701">
        <f>+_xlfn.XLOOKUP(G$4,'ST Original'!$B$8:$B$38,'ST Original'!$AE$8:$AE$38,"ERROR",0,1)</f>
        <v>43.125354321656062</v>
      </c>
      <c r="H87" s="1701">
        <f>+_xlfn.XLOOKUP(H$4,'ST Original'!$B$8:$B$38,'ST Original'!$AE$8:$AE$38,"ERROR",0,1)</f>
        <v>25.763267078336192</v>
      </c>
      <c r="I87" s="1701">
        <f>+_xlfn.XLOOKUP(I$4,'ST Original'!$B$8:$B$38,'ST Original'!$AE$8:$AE$38,"ERROR",0,1)</f>
        <v>18.292185915409842</v>
      </c>
      <c r="J87" s="1701">
        <f>+_xlfn.XLOOKUP(J$4,'ST Original'!$B$8:$B$38,'ST Original'!$AE$8:$AE$38,"ERROR",0,1)</f>
        <v>12.227282161849553</v>
      </c>
      <c r="K87" s="1701">
        <f>+_xlfn.XLOOKUP(K$4,'ST Original'!$B$8:$B$38,'ST Original'!$AE$8:$AE$38,"ERROR",0,1)</f>
        <v>16.023179579404758</v>
      </c>
      <c r="M87" s="2300">
        <f>+SUM(E87:K87)</f>
        <v>204.32785774248518</v>
      </c>
      <c r="N87" s="1700"/>
      <c r="Q87" s="1979"/>
      <c r="R87" s="1980"/>
      <c r="S87" s="1980"/>
      <c r="T87" s="1980"/>
    </row>
    <row r="88" spans="3:20" ht="13">
      <c r="C88" s="1528" t="s">
        <v>232</v>
      </c>
      <c r="D88" s="1529" t="s">
        <v>48</v>
      </c>
      <c r="E88" s="1699">
        <v>54</v>
      </c>
      <c r="F88" s="1699">
        <v>54</v>
      </c>
      <c r="G88" s="1699">
        <v>54</v>
      </c>
      <c r="H88" s="1699">
        <v>54</v>
      </c>
      <c r="I88" s="1699">
        <v>54</v>
      </c>
      <c r="J88" s="1699">
        <v>54</v>
      </c>
      <c r="K88" s="1699">
        <v>54</v>
      </c>
      <c r="M88" s="2300">
        <v>54</v>
      </c>
      <c r="N88" s="1700"/>
      <c r="Q88" s="1979">
        <f>'Plan mina PS'!K64</f>
        <v>46103.791666666664</v>
      </c>
      <c r="R88" s="1980" t="e">
        <f>IF('Plan mina PS'!F64/1000+'Plan mina PS'!#REF!&gt;209,209,'Plan mina PS'!F64/1000+'Plan mina PS'!#REF!)</f>
        <v>#REF!</v>
      </c>
      <c r="S88" s="1980">
        <f>'Plan mina PS'!N64</f>
        <v>207.63399807777913</v>
      </c>
      <c r="T88" s="1980" t="e">
        <f t="shared" ref="T88:T94" si="12">S88-R88</f>
        <v>#REF!</v>
      </c>
    </row>
    <row r="89" spans="3:20" ht="13">
      <c r="C89" s="1528" t="s">
        <v>231</v>
      </c>
      <c r="D89" s="1529" t="s">
        <v>420</v>
      </c>
      <c r="E89" s="1701">
        <f>+_xlfn.XLOOKUP(E$4,'ST Original'!$B$8:$B$38,'ST Original'!$AB$8:$AB$38,"ERROR",0,1)</f>
        <v>89.336462648887021</v>
      </c>
      <c r="F89" s="1701">
        <f>+_xlfn.XLOOKUP(F$4,'ST Original'!$B$8:$B$38,'ST Original'!$AB$8:$AB$38,"ERROR",0,1)</f>
        <v>88.456714722770485</v>
      </c>
      <c r="G89" s="1701">
        <f>+_xlfn.XLOOKUP(G$4,'ST Original'!$B$8:$B$38,'ST Original'!$AB$8:$AB$38,"ERROR",0,1)</f>
        <v>86.250708643312123</v>
      </c>
      <c r="H89" s="1701">
        <f>+_xlfn.XLOOKUP(H$4,'ST Original'!$B$8:$B$38,'ST Original'!$AB$8:$AB$38,"ERROR",0,1)</f>
        <v>51.526534156672383</v>
      </c>
      <c r="I89" s="1701">
        <f>+_xlfn.XLOOKUP(I$4,'ST Original'!$B$8:$B$38,'ST Original'!$AB$8:$AB$38,"ERROR",0,1)</f>
        <v>36.584371830819684</v>
      </c>
      <c r="J89" s="1701">
        <f>+_xlfn.XLOOKUP(J$4,'ST Original'!$B$8:$B$38,'ST Original'!$AB$8:$AB$38,"ERROR",0,1)</f>
        <v>24.454564323699106</v>
      </c>
      <c r="K89" s="1701">
        <f>+_xlfn.XLOOKUP(K$4,'ST Original'!$B$8:$B$38,'ST Original'!$AB$8:$AB$38,"ERROR",0,1)</f>
        <v>32.046359158809516</v>
      </c>
      <c r="M89" s="2298">
        <f>+SUM(E89:K89)</f>
        <v>408.65571548497036</v>
      </c>
      <c r="N89" s="1699"/>
      <c r="Q89" s="1979">
        <f>'Plan mina PS'!K65</f>
        <v>46104.791666666664</v>
      </c>
      <c r="R89" s="1980" t="e">
        <f>IF('Plan mina PS'!F65/1000+'Plan mina PS'!#REF!&gt;209,209,'Plan mina PS'!F65/1000+'Plan mina PS'!#REF!)</f>
        <v>#REF!</v>
      </c>
      <c r="S89" s="1980">
        <f>'Plan mina PS'!N65</f>
        <v>197.36770075599367</v>
      </c>
      <c r="T89" s="1980" t="e">
        <f t="shared" si="12"/>
        <v>#REF!</v>
      </c>
    </row>
    <row r="90" spans="3:20" ht="13.5" thickBot="1">
      <c r="C90" s="1533" t="s">
        <v>832</v>
      </c>
      <c r="D90" s="1534" t="s">
        <v>28</v>
      </c>
      <c r="E90" s="1699">
        <f>+_xlfn.XLOOKUP(E$4,'ST Original'!$B$8:$B$38,'ST Original'!$AG$8:$AG$38,"ERROR",0,1)</f>
        <v>44.668231324443511</v>
      </c>
      <c r="F90" s="1699">
        <f>+_xlfn.XLOOKUP(F$4,'ST Original'!$B$8:$B$38,'ST Original'!$AG$8:$AG$38,"ERROR",0,1)</f>
        <v>44.228357361385243</v>
      </c>
      <c r="G90" s="1699">
        <f>+_xlfn.XLOOKUP(G$4,'ST Original'!$B$8:$B$38,'ST Original'!$AG$8:$AG$38,"ERROR",0,1)</f>
        <v>25</v>
      </c>
      <c r="H90" s="1699">
        <f>+_xlfn.XLOOKUP(H$4,'ST Original'!$B$8:$B$38,'ST Original'!$AG$8:$AG$38,"ERROR",0,1)</f>
        <v>25</v>
      </c>
      <c r="I90" s="1699">
        <f>+_xlfn.XLOOKUP(I$4,'ST Original'!$B$8:$B$38,'ST Original'!$AG$8:$AG$38,"ERROR",0,1)</f>
        <v>25</v>
      </c>
      <c r="J90" s="1699">
        <f>+_xlfn.XLOOKUP(J$4,'ST Original'!$B$8:$B$38,'ST Original'!$AG$8:$AG$38,"ERROR",0,1)</f>
        <v>25</v>
      </c>
      <c r="K90" s="1699">
        <f>+_xlfn.XLOOKUP(K$4,'ST Original'!$B$8:$B$38,'ST Original'!$AG$8:$AG$38,"ERROR",0,1)</f>
        <v>25</v>
      </c>
      <c r="M90" s="2298">
        <f>+SUM(E90:K90)</f>
        <v>213.89658868582876</v>
      </c>
      <c r="N90" s="1699"/>
      <c r="Q90" s="1979">
        <f>'Plan mina PS'!K66</f>
        <v>46105.791666666664</v>
      </c>
      <c r="R90" s="1980" t="e">
        <f>IF('Plan mina PS'!F66/1000+'Plan mina PS'!#REF!&gt;209,209,'Plan mina PS'!F66/1000+'Plan mina PS'!#REF!)</f>
        <v>#REF!</v>
      </c>
      <c r="S90" s="1980">
        <f>'Plan mina PS'!N66</f>
        <v>200.36838777048467</v>
      </c>
      <c r="T90" s="1980" t="e">
        <f t="shared" si="12"/>
        <v>#REF!</v>
      </c>
    </row>
    <row r="91" spans="3:20" ht="13">
      <c r="C91" s="1528" t="s">
        <v>833</v>
      </c>
      <c r="D91" s="1529" t="s">
        <v>420</v>
      </c>
      <c r="E91" s="1699">
        <f>+_xlfn.XLOOKUP(E$4,'ST Original'!$B$8:$B$38,'ST Original'!$AK$8:$AK$38,"ERROR",0,1)</f>
        <v>2990</v>
      </c>
      <c r="F91" s="1699">
        <f>+_xlfn.XLOOKUP(F$4,'ST Original'!$B$8:$B$38,'ST Original'!$AK$8:$AK$38,"ERROR",0,1)</f>
        <v>4366</v>
      </c>
      <c r="G91" s="1699">
        <f>+_xlfn.XLOOKUP(G$4,'ST Original'!$B$8:$B$38,'ST Original'!$AK$8:$AK$38,"ERROR",0,1)</f>
        <v>4366</v>
      </c>
      <c r="H91" s="1699">
        <f>+_xlfn.XLOOKUP(H$4,'ST Original'!$B$8:$B$38,'ST Original'!$AK$8:$AK$38,"ERROR",0,1)</f>
        <v>4366</v>
      </c>
      <c r="I91" s="1699">
        <f>+_xlfn.XLOOKUP(I$4,'ST Original'!$B$8:$B$38,'ST Original'!$AK$8:$AK$38,"ERROR",0,1)</f>
        <v>4366</v>
      </c>
      <c r="J91" s="1699">
        <f>+_xlfn.XLOOKUP(J$4,'ST Original'!$B$8:$B$38,'ST Original'!$AK$8:$AK$38,"ERROR",0,1)</f>
        <v>4366</v>
      </c>
      <c r="K91" s="1699">
        <f>+_xlfn.XLOOKUP(K$4,'ST Original'!$B$8:$B$38,'ST Original'!$AK$8:$AK$38,"ERROR",0,1)</f>
        <v>4366</v>
      </c>
      <c r="M91" s="2298">
        <f>+SUM(E91:K91)</f>
        <v>29186</v>
      </c>
      <c r="N91" s="1699"/>
      <c r="Q91" s="1979"/>
      <c r="R91" s="1980"/>
      <c r="S91" s="1980"/>
      <c r="T91" s="1980"/>
    </row>
    <row r="92" spans="3:20" ht="13">
      <c r="C92" s="1704" t="s">
        <v>834</v>
      </c>
      <c r="D92" s="1529" t="s">
        <v>420</v>
      </c>
      <c r="E92" s="1699">
        <f>+_xlfn.XLOOKUP(E$4,'ST Original'!$B$8:$B$38,'ST Original'!$AN$8:$AN$38,"ERROR",0,1)</f>
        <v>2990</v>
      </c>
      <c r="F92" s="1699">
        <f>+_xlfn.XLOOKUP(F$4,'ST Original'!$B$8:$B$38,'ST Original'!$AN$8:$AN$38,"ERROR",0,1)</f>
        <v>2990</v>
      </c>
      <c r="G92" s="1699">
        <f>+_xlfn.XLOOKUP(G$4,'ST Original'!$B$8:$B$38,'ST Original'!$AN$8:$AN$38,"ERROR",0,1)</f>
        <v>4366</v>
      </c>
      <c r="H92" s="1699">
        <f>+_xlfn.XLOOKUP(H$4,'ST Original'!$B$8:$B$38,'ST Original'!$AN$8:$AN$38,"ERROR",0,1)</f>
        <v>4366</v>
      </c>
      <c r="I92" s="1699">
        <f>+_xlfn.XLOOKUP(I$4,'ST Original'!$B$8:$B$38,'ST Original'!$AN$8:$AN$38,"ERROR",0,1)</f>
        <v>4366</v>
      </c>
      <c r="J92" s="1699">
        <f>+_xlfn.XLOOKUP(J$4,'ST Original'!$B$8:$B$38,'ST Original'!$AN$8:$AN$38,"ERROR",0,1)</f>
        <v>4366</v>
      </c>
      <c r="K92" s="1699">
        <f>+_xlfn.XLOOKUP(K$4,'ST Original'!$B$8:$B$38,'ST Original'!$AN$8:$AN$38,"ERROR",0,1)</f>
        <v>4366</v>
      </c>
      <c r="M92" s="2298">
        <f>+SUM(E92:K92)</f>
        <v>27810</v>
      </c>
      <c r="N92" s="1699"/>
      <c r="Q92" s="1979">
        <f>'Plan mina PS'!K67</f>
        <v>46106.791666666664</v>
      </c>
      <c r="R92" s="1980" t="e">
        <f>IF('Plan mina PS'!F67/1000+'Plan mina PS'!#REF!&gt;209,209,'Plan mina PS'!F67/1000+'Plan mina PS'!#REF!)</f>
        <v>#REF!</v>
      </c>
      <c r="S92" s="1980">
        <f>'Plan mina PS'!N67</f>
        <v>197.29519435247991</v>
      </c>
      <c r="T92" s="1980" t="e">
        <f t="shared" si="12"/>
        <v>#REF!</v>
      </c>
    </row>
    <row r="93" spans="3:20" ht="13">
      <c r="C93" s="1528" t="s">
        <v>835</v>
      </c>
      <c r="D93" s="1529" t="s">
        <v>28</v>
      </c>
      <c r="E93" s="1699">
        <f>+_xlfn.XLOOKUP(E$4,'ST Original'!$B$8:$B$38,'ST Original'!$AP$8:$AP$38,"ERROR",0,1)</f>
        <v>819.03265029706608</v>
      </c>
      <c r="F93" s="1699">
        <f>+_xlfn.XLOOKUP(F$4,'ST Original'!$B$8:$B$38,'ST Original'!$AP$8:$AP$38,"ERROR",0,1)</f>
        <v>836.75715006493101</v>
      </c>
      <c r="G93" s="1699">
        <f>+_xlfn.XLOOKUP(G$4,'ST Original'!$B$8:$B$38,'ST Original'!$AP$8:$AP$38,"ERROR",0,1)</f>
        <v>1243.3160610720226</v>
      </c>
      <c r="H93" s="1699">
        <f>+_xlfn.XLOOKUP(H$4,'ST Original'!$B$8:$B$38,'ST Original'!$AP$8:$AP$38,"ERROR",0,1)</f>
        <v>1210.0897612901886</v>
      </c>
      <c r="I93" s="1699">
        <f>+_xlfn.XLOOKUP(I$4,'ST Original'!$B$8:$B$38,'ST Original'!$AP$8:$AP$38,"ERROR",0,1)</f>
        <v>1322.5055802215904</v>
      </c>
      <c r="J93" s="1699">
        <f>+_xlfn.XLOOKUP(J$4,'ST Original'!$B$8:$B$38,'ST Original'!$AP$8:$AP$38,"ERROR",0,1)</f>
        <v>1266.4183022550917</v>
      </c>
      <c r="K93" s="1699">
        <f>+_xlfn.XLOOKUP(K$4,'ST Original'!$B$8:$B$38,'ST Original'!$AP$8:$AP$38,"ERROR",0,1)</f>
        <v>1165.9508318499597</v>
      </c>
      <c r="M93" s="2298">
        <f>+SUM(E93:K93)</f>
        <v>7864.070337050849</v>
      </c>
      <c r="N93" s="1699"/>
      <c r="Q93" s="1979">
        <f>'Plan mina PS'!K68</f>
        <v>46107.791666666664</v>
      </c>
      <c r="R93" s="1980" t="e">
        <f>IF('Plan mina PS'!F68/1000+'Plan mina PS'!#REF!&gt;209,209,'Plan mina PS'!F68/1000+'Plan mina PS'!#REF!)</f>
        <v>#REF!</v>
      </c>
      <c r="S93" s="1980">
        <f>'Plan mina PS'!N68</f>
        <v>194.19702884296299</v>
      </c>
      <c r="T93" s="1980" t="e">
        <f t="shared" si="12"/>
        <v>#REF!</v>
      </c>
    </row>
    <row r="94" spans="3:20" ht="13">
      <c r="C94" s="1528" t="s">
        <v>836</v>
      </c>
      <c r="D94" s="1529" t="s">
        <v>28</v>
      </c>
      <c r="E94" s="1699">
        <f>+_xlfn.XLOOKUP(E$4,'ST Original'!$B$8:$B$38,'ST Original'!$AR$8:$AR$38,"ERROR",0,1)</f>
        <v>4013.2818423313943</v>
      </c>
      <c r="F94" s="1699">
        <f>+_xlfn.XLOOKUP(F$4,'ST Original'!$B$8:$B$38,'ST Original'!$AR$8:$AR$38,"ERROR",0,1)</f>
        <v>4114.993083460753</v>
      </c>
      <c r="G94" s="1699">
        <f>+_xlfn.XLOOKUP(G$4,'ST Original'!$B$8:$B$38,'ST Original'!$AR$8:$AR$38,"ERROR",0,1)</f>
        <v>3932.9842458640069</v>
      </c>
      <c r="H94" s="1699">
        <f>+_xlfn.XLOOKUP(H$4,'ST Original'!$B$8:$B$38,'ST Original'!$AR$8:$AR$38,"ERROR",0,1)</f>
        <v>3672.3351473933412</v>
      </c>
      <c r="I94" s="1699">
        <f>+_xlfn.XLOOKUP(I$4,'ST Original'!$B$8:$B$38,'ST Original'!$AR$8:$AR$38,"ERROR",0,1)</f>
        <v>3342.6092404109831</v>
      </c>
      <c r="J94" s="1699">
        <f>+_xlfn.XLOOKUP(J$4,'ST Original'!$B$8:$B$38,'ST Original'!$AR$8:$AR$38,"ERROR",0,1)</f>
        <v>2974.7388353818715</v>
      </c>
      <c r="K94" s="1699">
        <f>+_xlfn.XLOOKUP(K$4,'ST Original'!$B$8:$B$38,'ST Original'!$AR$8:$AR$38,"ERROR",0,1)</f>
        <v>2817.3753623486359</v>
      </c>
      <c r="M94" s="2298">
        <f>+K94</f>
        <v>2817.3753623486359</v>
      </c>
      <c r="N94" s="1699"/>
      <c r="Q94" s="1979">
        <f>'Plan mina PS'!K69</f>
        <v>46108.791666666664</v>
      </c>
      <c r="R94" s="1980" t="e">
        <f>IF('Plan mina PS'!F69/1000+'Plan mina PS'!#REF!&gt;209,209,'Plan mina PS'!F69/1000+'Plan mina PS'!#REF!)</f>
        <v>#REF!</v>
      </c>
      <c r="S94" s="1980">
        <f>'Plan mina PS'!N69</f>
        <v>203.51059671721515</v>
      </c>
      <c r="T94" s="1980" t="e">
        <f t="shared" si="12"/>
        <v>#REF!</v>
      </c>
    </row>
    <row r="95" spans="3:20" ht="13">
      <c r="C95" s="1528" t="s">
        <v>62</v>
      </c>
      <c r="D95" s="1529" t="s">
        <v>28</v>
      </c>
      <c r="E95" s="1699">
        <f>+_xlfn.XLOOKUP(E$4,'ST Original'!$B$8:$B$38,'ST Original'!$AW$8:$AW$38,"ERROR",0,1)</f>
        <v>787.90940958577755</v>
      </c>
      <c r="F95" s="1699">
        <f>+_xlfn.XLOOKUP(F$4,'ST Original'!$B$8:$B$38,'ST Original'!$AW$8:$AW$38,"ERROR",0,1)</f>
        <v>804.96037836246364</v>
      </c>
      <c r="G95" s="1699">
        <f>+_xlfn.XLOOKUP(G$4,'ST Original'!$B$8:$B$38,'ST Original'!$AW$8:$AW$38,"ERROR",0,1)</f>
        <v>1196.0700507512856</v>
      </c>
      <c r="H95" s="1699">
        <f>+_xlfn.XLOOKUP(H$4,'ST Original'!$B$8:$B$38,'ST Original'!$AW$8:$AW$38,"ERROR",0,1)</f>
        <v>1164.1063503611613</v>
      </c>
      <c r="I95" s="1699">
        <f>+_xlfn.XLOOKUP(I$4,'ST Original'!$B$8:$B$38,'ST Original'!$AW$8:$AW$38,"ERROR",0,1)</f>
        <v>1272.25036817317</v>
      </c>
      <c r="J95" s="1699">
        <f>+_xlfn.XLOOKUP(J$4,'ST Original'!$B$8:$B$38,'ST Original'!$AW$8:$AW$38,"ERROR",0,1)</f>
        <v>1218.2944067693982</v>
      </c>
      <c r="K95" s="1699">
        <f>+_xlfn.XLOOKUP(K$4,'ST Original'!$B$8:$B$38,'ST Original'!$AW$8:$AW$38,"ERROR",0,1)</f>
        <v>1121.6447002396612</v>
      </c>
      <c r="M95" s="2298">
        <f>+SUM(E95:K95)</f>
        <v>7565.2356642429168</v>
      </c>
      <c r="N95" s="1699"/>
      <c r="Q95" s="1979">
        <f>'Plan mina PS'!K70</f>
        <v>46109.791666666664</v>
      </c>
      <c r="R95" s="1980" t="e">
        <f>IF('Plan mina PS'!F70/1000+'Plan mina PS'!#REF!&gt;209,209,'Plan mina PS'!F70/1000+'Plan mina PS'!#REF!)</f>
        <v>#REF!</v>
      </c>
      <c r="S95" s="1980">
        <f>'Plan mina PS'!N70</f>
        <v>206.24992537445974</v>
      </c>
      <c r="T95" s="1980" t="e">
        <f>S95-R95</f>
        <v>#REF!</v>
      </c>
    </row>
    <row r="96" spans="3:20" ht="13">
      <c r="C96" s="1528" t="s">
        <v>838</v>
      </c>
      <c r="D96" s="1529"/>
      <c r="E96" s="3757">
        <f>+_xlfn.XLOOKUP(E$4,'ST Original'!$B$8:$B$38,'ST Original'!$AV$8:$AV$38,"ERROR",0,1)</f>
        <v>0.96199999999999997</v>
      </c>
      <c r="F96" s="3757">
        <f>+_xlfn.XLOOKUP(F$4,'ST Original'!$B$8:$B$38,'ST Original'!$AV$8:$AV$38,"ERROR",0,1)</f>
        <v>0.96199999999999997</v>
      </c>
      <c r="G96" s="3757">
        <f>+_xlfn.XLOOKUP(G$4,'ST Original'!$B$8:$B$38,'ST Original'!$AV$8:$AV$38,"ERROR",0,1)</f>
        <v>0.96199999999999997</v>
      </c>
      <c r="H96" s="3757">
        <f>+_xlfn.XLOOKUP(H$4,'ST Original'!$B$8:$B$38,'ST Original'!$AV$8:$AV$38,"ERROR",0,1)</f>
        <v>0.96199999999999997</v>
      </c>
      <c r="I96" s="3757">
        <f>+_xlfn.XLOOKUP(I$4,'ST Original'!$B$8:$B$38,'ST Original'!$AV$8:$AV$38,"ERROR",0,1)</f>
        <v>0.96199999999999997</v>
      </c>
      <c r="J96" s="3757">
        <f>+_xlfn.XLOOKUP(J$4,'ST Original'!$B$8:$B$38,'ST Original'!$AV$8:$AV$38,"ERROR",0,1)</f>
        <v>0.96199999999999997</v>
      </c>
      <c r="K96" s="3757">
        <f>+_xlfn.XLOOKUP(K$4,'ST Original'!$B$8:$B$38,'ST Original'!$AV$8:$AV$38,"ERROR",0,1)</f>
        <v>0.96199999999999997</v>
      </c>
      <c r="M96" s="2301">
        <v>0.96599999999999997</v>
      </c>
      <c r="N96" s="3211"/>
      <c r="Q96" s="1979">
        <f>'Plan mina PS'!K71</f>
        <v>46110.791666666664</v>
      </c>
      <c r="R96" s="1980" t="e">
        <f>IF('Plan mina PS'!F71/1000+'Plan mina PS'!#REF!&gt;209,209,'Plan mina PS'!F71/1000+'Plan mina PS'!#REF!)</f>
        <v>#REF!</v>
      </c>
      <c r="S96" s="1980">
        <f>'Plan mina PS'!N71</f>
        <v>209.1693011013042</v>
      </c>
      <c r="T96" s="1980" t="e">
        <f>S96-R96</f>
        <v>#REF!</v>
      </c>
    </row>
    <row r="97" spans="3:21" ht="13" hidden="1">
      <c r="C97" s="1528" t="s">
        <v>839</v>
      </c>
      <c r="D97" s="1529" t="s">
        <v>28</v>
      </c>
      <c r="E97" s="1699"/>
      <c r="F97" s="1699"/>
      <c r="G97" s="1699"/>
      <c r="H97" s="1699"/>
      <c r="I97" s="1699"/>
      <c r="J97" s="1699"/>
      <c r="K97" s="1699"/>
      <c r="M97" s="2300">
        <f>M93</f>
        <v>7864.070337050849</v>
      </c>
      <c r="N97" s="1700"/>
      <c r="Q97" s="1979">
        <f>'Plan mina PS'!K72</f>
        <v>46111.791666666664</v>
      </c>
      <c r="R97" s="1980" t="e">
        <f>IF('Plan mina PS'!F72/1000+'Plan mina PS'!#REF!&gt;209,209,'Plan mina PS'!F72/1000+'Plan mina PS'!#REF!)</f>
        <v>#REF!</v>
      </c>
      <c r="S97" s="1980">
        <f>'Plan mina PS'!N72</f>
        <v>200.98255747578534</v>
      </c>
      <c r="T97" s="1980" t="e">
        <f>S97-R97</f>
        <v>#REF!</v>
      </c>
    </row>
    <row r="98" spans="3:21" ht="13" hidden="1">
      <c r="C98" s="1528" t="s">
        <v>840</v>
      </c>
      <c r="D98" s="1529" t="s">
        <v>28</v>
      </c>
      <c r="E98" s="1699">
        <f>+_xlfn.XLOOKUP(E$4,'ST Original'!$B$8:$B$38,'ST Original'!$AP$8:$AP$38,"ERROR",0,1)</f>
        <v>819.03265029706608</v>
      </c>
      <c r="F98" s="1699">
        <f>+_xlfn.XLOOKUP(F$4,'ST Original'!$B$8:$B$38,'ST Original'!$AP$8:$AP$38,"ERROR",0,1)</f>
        <v>836.75715006493101</v>
      </c>
      <c r="G98" s="1699">
        <f>+_xlfn.XLOOKUP(G$4,'ST Original'!$B$8:$B$38,'ST Original'!$AP$8:$AP$38,"ERROR",0,1)</f>
        <v>1243.3160610720226</v>
      </c>
      <c r="H98" s="1699">
        <f>+_xlfn.XLOOKUP(H$4,'ST Original'!$B$8:$B$38,'ST Original'!$AP$8:$AP$38,"ERROR",0,1)</f>
        <v>1210.0897612901886</v>
      </c>
      <c r="I98" s="1699">
        <f>+_xlfn.XLOOKUP(I$4,'ST Original'!$B$8:$B$38,'ST Original'!$AP$8:$AP$38,"ERROR",0,1)</f>
        <v>1322.5055802215904</v>
      </c>
      <c r="J98" s="1699">
        <f>+_xlfn.XLOOKUP(J$4,'ST Original'!$B$8:$B$38,'ST Original'!$AP$8:$AP$38,"ERROR",0,1)</f>
        <v>1266.4183022550917</v>
      </c>
      <c r="K98" s="1699">
        <f>+_xlfn.XLOOKUP(K$4,'ST Original'!$B$8:$B$38,'ST Original'!$AP$8:$AP$38,"ERROR",0,1)</f>
        <v>1165.9508318499597</v>
      </c>
      <c r="M98" s="2300">
        <f>M95</f>
        <v>7565.2356642429168</v>
      </c>
      <c r="N98" s="1700"/>
      <c r="Q98" s="1979">
        <f>'Plan mina PS'!K73</f>
        <v>46112.791666666664</v>
      </c>
      <c r="R98" s="1980" t="e">
        <f>IF('Plan mina PS'!F73/1000+'Plan mina PS'!#REF!&gt;209,209,'Plan mina PS'!F73/1000+'Plan mina PS'!#REF!)</f>
        <v>#REF!</v>
      </c>
      <c r="S98" s="1980">
        <f>'Plan mina PS'!N73</f>
        <v>306.37660105627168</v>
      </c>
      <c r="T98" s="1980" t="e">
        <f>S98-R98</f>
        <v>#REF!</v>
      </c>
    </row>
    <row r="99" spans="3:21" ht="13.5" thickBot="1">
      <c r="C99" s="1533" t="s">
        <v>841</v>
      </c>
      <c r="D99" s="1534" t="s">
        <v>95</v>
      </c>
      <c r="E99" s="1699">
        <f>+_xlfn.XLOOKUP(E$4,'ST Original'!$B$8:$B$38,'ST Original'!$GT$8:$GT$38,"ERROR",0,1)</f>
        <v>565.55207545277312</v>
      </c>
      <c r="F99" s="1699">
        <f>+_xlfn.XLOOKUP(F$4,'ST Original'!$B$8:$B$38,'ST Original'!$GT$8:$GT$38,"ERROR",0,1)</f>
        <v>800.37353820495218</v>
      </c>
      <c r="G99" s="1699">
        <f>+_xlfn.XLOOKUP(G$4,'ST Original'!$B$8:$B$38,'ST Original'!$GT$8:$GT$38,"ERROR",0,1)</f>
        <v>639.95598107021215</v>
      </c>
      <c r="H99" s="1699">
        <f>+_xlfn.XLOOKUP(H$4,'ST Original'!$B$8:$B$38,'ST Original'!$GT$8:$GT$38,"ERROR",0,1)</f>
        <v>1048.4594781946541</v>
      </c>
      <c r="I99" s="1699">
        <f>+_xlfn.XLOOKUP(I$4,'ST Original'!$B$8:$B$38,'ST Original'!$GT$8:$GT$38,"ERROR",0,1)</f>
        <v>1472.6437459953477</v>
      </c>
      <c r="J99" s="1699">
        <f>+_xlfn.XLOOKUP(J$4,'ST Original'!$B$8:$B$38,'ST Original'!$GT$8:$GT$38,"ERROR",0,1)</f>
        <v>1612.8577320922943</v>
      </c>
      <c r="K99" s="1699">
        <f>+_xlfn.XLOOKUP(K$4,'ST Original'!$B$8:$B$38,'ST Original'!$GT$8:$GT$38,"ERROR",0,1)</f>
        <v>1884.4935429972481</v>
      </c>
      <c r="M99" s="2298">
        <f>+SUMPRODUCT(E61:K61,E99:K99)/SUM(E61:K61)</f>
        <v>1157.0767170669312</v>
      </c>
      <c r="N99" s="1699"/>
    </row>
    <row r="100" spans="3:21" ht="13.5" thickBot="1">
      <c r="C100" s="1686" t="s">
        <v>837</v>
      </c>
      <c r="D100" s="1685" t="s">
        <v>420</v>
      </c>
      <c r="E100" s="1699">
        <f>+_xlfn.XLOOKUP(E$4,'ST Original'!$B$8:$B$38,'ST Original'!$AS$8:$AS$38,"ERROR",0,1)</f>
        <v>401.90853594842156</v>
      </c>
      <c r="F100" s="1699">
        <f>+_xlfn.XLOOKUP(F$4,'ST Original'!$B$8:$B$38,'ST Original'!$AS$8:$AS$38,"ERROR",0,1)</f>
        <v>-980.00903715960567</v>
      </c>
      <c r="G100" s="1699">
        <f>+_xlfn.XLOOKUP(G$4,'ST Original'!$B$8:$B$38,'ST Original'!$AS$8:$AS$38,"ERROR",0,1)</f>
        <v>-862.29656994213292</v>
      </c>
      <c r="H100" s="1699">
        <f>+_xlfn.XLOOKUP(H$4,'ST Original'!$B$8:$B$38,'ST Original'!$AS$8:$AS$38,"ERROR",0,1)</f>
        <v>-1092.7861444448172</v>
      </c>
      <c r="I100" s="1699">
        <f>+_xlfn.XLOOKUP(I$4,'ST Original'!$B$8:$B$38,'ST Original'!$AS$8:$AS$38,"ERROR",0,1)</f>
        <v>-648.4538265604433</v>
      </c>
      <c r="J100" s="1699">
        <f>+_xlfn.XLOOKUP(J$4,'ST Original'!$B$8:$B$38,'ST Original'!$AS$8:$AS$38,"ERROR",0,1)</f>
        <v>-639.64498180566352</v>
      </c>
      <c r="K100" s="1699">
        <f>+_xlfn.XLOOKUP(K$4,'ST Original'!$B$8:$B$38,'ST Original'!$AS$8:$AS$38,"ERROR",0,1)</f>
        <v>-369.69218443217505</v>
      </c>
      <c r="M100" s="1485">
        <f>K100</f>
        <v>-369.69218443217505</v>
      </c>
      <c r="N100" s="254"/>
    </row>
    <row r="101" spans="3:21" ht="13">
      <c r="C101" s="1686" t="s">
        <v>865</v>
      </c>
      <c r="D101" s="1685"/>
      <c r="E101" s="1700">
        <f>+_xlfn.XLOOKUP(E$4,'ST Original'!$B$8:$B$38,'ST Original'!$BK$8:$BK$38,"ERROR",0,1)</f>
        <v>1.4242911578801434</v>
      </c>
      <c r="F101" s="1700">
        <f>+_xlfn.XLOOKUP(F$4,'ST Original'!$B$8:$B$38,'ST Original'!$BK$8:$BK$38,"ERROR",0,1)</f>
        <v>1.3984071041345416</v>
      </c>
      <c r="G101" s="1700">
        <f>+_xlfn.XLOOKUP(G$4,'ST Original'!$B$8:$B$38,'ST Original'!$BK$8:$BK$38,"ERROR",0,1)</f>
        <v>1.7967702057632227</v>
      </c>
      <c r="H101" s="1700">
        <f>+_xlfn.XLOOKUP(H$4,'ST Original'!$B$8:$B$38,'ST Original'!$BK$8:$BK$38,"ERROR",0,1)</f>
        <v>1.7187921162965227</v>
      </c>
      <c r="I101" s="1700">
        <f>+_xlfn.XLOOKUP(I$4,'ST Original'!$B$8:$B$38,'ST Original'!$BK$8:$BK$38,"ERROR",0,1)</f>
        <v>1.1194414650567424</v>
      </c>
      <c r="J101" s="1700">
        <f>+_xlfn.XLOOKUP(J$4,'ST Original'!$B$8:$B$38,'ST Original'!$BK$8:$BK$38,"ERROR",0,1)</f>
        <v>0.5838687082547015</v>
      </c>
      <c r="K101" s="1700">
        <f>+_xlfn.XLOOKUP(K$4,'ST Original'!$B$8:$B$38,'ST Original'!$BK$8:$BK$38,"ERROR",0,1)</f>
        <v>0.77820886477901929</v>
      </c>
      <c r="M101" s="2300">
        <f>+SUMPRODUCT(E61:K61,E101:K101)/SUM(E61:K61)</f>
        <v>1.2502834264396681</v>
      </c>
      <c r="N101" s="1700"/>
    </row>
    <row r="104" spans="3:21" ht="11.25" customHeight="1" thickBot="1"/>
    <row r="105" spans="3:21" ht="13.5" thickBot="1">
      <c r="C105" s="2742" t="s">
        <v>809</v>
      </c>
      <c r="D105" s="2742" t="s">
        <v>159</v>
      </c>
      <c r="E105" s="2742">
        <f>+E4</f>
        <v>46101.791666666664</v>
      </c>
      <c r="F105" s="2742">
        <f t="shared" ref="F105:K105" si="13">+E105+1</f>
        <v>46102.791666666664</v>
      </c>
      <c r="G105" s="2742">
        <f t="shared" si="13"/>
        <v>46103.791666666664</v>
      </c>
      <c r="H105" s="2742">
        <f t="shared" si="13"/>
        <v>46104.791666666664</v>
      </c>
      <c r="I105" s="2742">
        <f t="shared" si="13"/>
        <v>46105.791666666664</v>
      </c>
      <c r="J105" s="2742">
        <f t="shared" si="13"/>
        <v>46106.791666666664</v>
      </c>
      <c r="K105" s="2742">
        <f t="shared" si="13"/>
        <v>46107.791666666664</v>
      </c>
      <c r="L105" s="2742" t="s">
        <v>250</v>
      </c>
      <c r="M105" s="2742" t="s">
        <v>810</v>
      </c>
      <c r="N105" s="3212" t="s">
        <v>998</v>
      </c>
      <c r="O105" s="2743" t="s">
        <v>161</v>
      </c>
    </row>
    <row r="106" spans="3:21" s="2236" customFormat="1" ht="7.5" customHeight="1" thickBot="1">
      <c r="C106" s="2739"/>
      <c r="D106" s="2739"/>
      <c r="E106" s="2739"/>
      <c r="F106" s="2739"/>
      <c r="G106" s="2739"/>
      <c r="H106" s="2739"/>
      <c r="I106" s="2739"/>
      <c r="J106" s="2739"/>
      <c r="K106" s="2739"/>
      <c r="L106" s="2739"/>
      <c r="M106" s="2739"/>
      <c r="N106" s="2739"/>
      <c r="O106" s="2740"/>
      <c r="P106"/>
      <c r="Q106"/>
      <c r="R106"/>
      <c r="S106"/>
      <c r="T106"/>
      <c r="U106"/>
    </row>
    <row r="107" spans="3:21" ht="13">
      <c r="C107" s="2744" t="s">
        <v>812</v>
      </c>
      <c r="D107" s="2745" t="s">
        <v>813</v>
      </c>
      <c r="E107" s="3236">
        <f>+E8</f>
        <v>239.76996</v>
      </c>
      <c r="F107" s="3236">
        <f t="shared" ref="F107:O107" si="14">+F8</f>
        <v>179.50796</v>
      </c>
      <c r="G107" s="3236">
        <f>+G8</f>
        <v>240.392</v>
      </c>
      <c r="H107" s="3236">
        <f t="shared" si="14"/>
        <v>239.55208000000002</v>
      </c>
      <c r="I107" s="3236">
        <f>+I8</f>
        <v>179.56956</v>
      </c>
      <c r="J107" s="3236">
        <f t="shared" si="14"/>
        <v>240.17299640000002</v>
      </c>
      <c r="K107" s="2747">
        <f t="shared" si="14"/>
        <v>222.11904000000001</v>
      </c>
      <c r="L107" s="2750">
        <f t="shared" si="14"/>
        <v>1541.0835964000003</v>
      </c>
      <c r="M107" s="2751">
        <f t="shared" si="14"/>
        <v>1430.0000510809307</v>
      </c>
      <c r="N107" s="3213">
        <f>+L107-M107</f>
        <v>111.08354531906957</v>
      </c>
      <c r="O107" s="2752">
        <f t="shared" si="14"/>
        <v>7.768079814759588</v>
      </c>
    </row>
    <row r="108" spans="3:21" ht="13" customHeight="1">
      <c r="C108" s="2604" t="s">
        <v>814</v>
      </c>
      <c r="D108" s="1705" t="s">
        <v>198</v>
      </c>
      <c r="E108" s="4006">
        <f t="shared" ref="E108:O109" si="15">+E9</f>
        <v>532.882993205302</v>
      </c>
      <c r="F108" s="4006">
        <f t="shared" si="15"/>
        <v>509.65804810321356</v>
      </c>
      <c r="G108" s="4006">
        <f t="shared" si="15"/>
        <v>542.41605002543452</v>
      </c>
      <c r="H108" s="4006">
        <f t="shared" si="15"/>
        <v>584.60042926944084</v>
      </c>
      <c r="I108" s="4006">
        <f t="shared" si="15"/>
        <v>563.80160149895619</v>
      </c>
      <c r="J108" s="4006">
        <f t="shared" si="15"/>
        <v>606.67940354647624</v>
      </c>
      <c r="K108" s="3088">
        <f t="shared" si="15"/>
        <v>634.60141470351323</v>
      </c>
      <c r="L108" s="2753">
        <f t="shared" si="15"/>
        <v>634.60141470351323</v>
      </c>
      <c r="M108" s="2754">
        <f t="shared" si="15"/>
        <v>688.55305309631785</v>
      </c>
      <c r="N108" s="3214">
        <f>+L108-M108</f>
        <v>-53.951638392804625</v>
      </c>
      <c r="O108" s="2755">
        <f t="shared" si="15"/>
        <v>-7.8355092828638773</v>
      </c>
    </row>
    <row r="109" spans="3:21" ht="13.5" customHeight="1" thickBot="1">
      <c r="C109" s="2606" t="s">
        <v>173</v>
      </c>
      <c r="D109" s="2607" t="s">
        <v>813</v>
      </c>
      <c r="E109" s="4007">
        <f t="shared" si="15"/>
        <v>204.8357736194902</v>
      </c>
      <c r="F109" s="4007">
        <f t="shared" si="15"/>
        <v>202.73290510208849</v>
      </c>
      <c r="G109" s="4007">
        <f t="shared" si="15"/>
        <v>207.63399807777913</v>
      </c>
      <c r="H109" s="4007">
        <f t="shared" si="15"/>
        <v>197.36770075599367</v>
      </c>
      <c r="I109" s="4007">
        <f t="shared" si="15"/>
        <v>200.36838777048467</v>
      </c>
      <c r="J109" s="4007">
        <f t="shared" si="15"/>
        <v>197.29519435247991</v>
      </c>
      <c r="K109" s="3113">
        <f t="shared" si="15"/>
        <v>194.19702884296299</v>
      </c>
      <c r="L109" s="2756">
        <f t="shared" si="15"/>
        <v>1404.430988521279</v>
      </c>
      <c r="M109" s="2757">
        <f t="shared" si="15"/>
        <v>1385.5429113584432</v>
      </c>
      <c r="N109" s="3215">
        <f>+L109-M109</f>
        <v>18.888077162835771</v>
      </c>
      <c r="O109" s="2758">
        <f t="shared" si="15"/>
        <v>1.3632257079874288</v>
      </c>
      <c r="P109" s="3214">
        <f>+E109/24*1000</f>
        <v>8534.8239008120909</v>
      </c>
    </row>
    <row r="110" spans="3:21" s="2236" customFormat="1" ht="4.5" customHeight="1" thickBot="1">
      <c r="C110" s="2735"/>
      <c r="D110" s="2736"/>
      <c r="E110" s="3233"/>
      <c r="F110" s="3233"/>
      <c r="G110" s="3233"/>
      <c r="H110" s="3233"/>
      <c r="I110" s="3233"/>
      <c r="J110" s="3233"/>
      <c r="K110" s="2737"/>
      <c r="L110" s="2737"/>
      <c r="M110" s="2737"/>
      <c r="N110" s="2737"/>
      <c r="O110" s="2738"/>
      <c r="P110"/>
      <c r="Q110"/>
      <c r="R110"/>
      <c r="S110"/>
      <c r="T110"/>
      <c r="U110"/>
    </row>
    <row r="111" spans="3:21" ht="13">
      <c r="C111" s="2744" t="str">
        <f>+C22</f>
        <v xml:space="preserve">Coeficiente Marcha </v>
      </c>
      <c r="D111" s="2744" t="str">
        <f>+D22</f>
        <v>%</v>
      </c>
      <c r="E111" s="4008">
        <f>+E22</f>
        <v>97.88718333333334</v>
      </c>
      <c r="F111" s="4008">
        <f t="shared" ref="F111:O111" si="16">+F22</f>
        <v>97.88718333333334</v>
      </c>
      <c r="G111" s="4008">
        <f t="shared" si="16"/>
        <v>97.88718333333334</v>
      </c>
      <c r="H111" s="4008">
        <f t="shared" si="16"/>
        <v>94.705183333333338</v>
      </c>
      <c r="I111" s="4008">
        <f t="shared" si="16"/>
        <v>97.88718333333334</v>
      </c>
      <c r="J111" s="4008">
        <f t="shared" si="16"/>
        <v>97.88718333333334</v>
      </c>
      <c r="K111" s="3229">
        <f t="shared" si="16"/>
        <v>97.88718333333334</v>
      </c>
      <c r="L111" s="2759">
        <f t="shared" si="16"/>
        <v>97.432611904761913</v>
      </c>
      <c r="M111" s="2760">
        <f t="shared" si="16"/>
        <v>97.885672723806138</v>
      </c>
      <c r="N111" s="3216">
        <f t="shared" ref="N111:N117" si="17">+L111-M111</f>
        <v>-0.45306081904422513</v>
      </c>
      <c r="O111" s="2752">
        <f t="shared" si="16"/>
        <v>-0.46284691767157787</v>
      </c>
    </row>
    <row r="112" spans="3:21" ht="13">
      <c r="C112" s="2604" t="s">
        <v>1314</v>
      </c>
      <c r="D112" s="1705" t="s">
        <v>121</v>
      </c>
      <c r="E112" s="3038">
        <f>+E13</f>
        <v>8719.0412576778508</v>
      </c>
      <c r="F112" s="3038">
        <f t="shared" ref="F112:O112" si="18">+F13</f>
        <v>8629.5305387310873</v>
      </c>
      <c r="G112" s="3038">
        <f t="shared" si="18"/>
        <v>8838.1505034358051</v>
      </c>
      <c r="H112" s="3038">
        <f>+H13</f>
        <v>8683.4256676550121</v>
      </c>
      <c r="I112" s="3038">
        <f t="shared" si="18"/>
        <v>8528.8824741647604</v>
      </c>
      <c r="J112" s="3038">
        <f t="shared" si="18"/>
        <v>8398.0688973615997</v>
      </c>
      <c r="K112" s="3230">
        <f>+K13</f>
        <v>8266.192358301716</v>
      </c>
      <c r="L112" s="2761">
        <f t="shared" si="18"/>
        <v>8579.9899043854348</v>
      </c>
      <c r="M112" s="2762">
        <f t="shared" si="18"/>
        <v>8425.4201915196936</v>
      </c>
      <c r="N112" s="3214">
        <f t="shared" si="17"/>
        <v>154.56971286574117</v>
      </c>
      <c r="O112" s="2755">
        <f t="shared" si="18"/>
        <v>1.8345638478816497</v>
      </c>
    </row>
    <row r="113" spans="3:21" ht="13">
      <c r="C113" s="2604" t="s">
        <v>580</v>
      </c>
      <c r="D113" s="1705" t="s">
        <v>48</v>
      </c>
      <c r="E113" s="3038">
        <f>+E15</f>
        <v>84.725226719810948</v>
      </c>
      <c r="F113" s="3038">
        <f t="shared" ref="F113:O113" si="19">+F15</f>
        <v>89.785191129797255</v>
      </c>
      <c r="G113" s="3038">
        <f t="shared" si="19"/>
        <v>81.114557259309791</v>
      </c>
      <c r="H113" s="3038">
        <f t="shared" si="19"/>
        <v>84.076870053142514</v>
      </c>
      <c r="I113" s="3038">
        <f t="shared" si="19"/>
        <v>87.543521444280415</v>
      </c>
      <c r="J113" s="3038">
        <f t="shared" si="19"/>
        <v>86.154996684978286</v>
      </c>
      <c r="K113" s="3230">
        <f t="shared" si="19"/>
        <v>87.950575463139046</v>
      </c>
      <c r="L113" s="2761">
        <f t="shared" si="19"/>
        <v>85.879641535282317</v>
      </c>
      <c r="M113" s="2762">
        <f t="shared" si="19"/>
        <v>85.869397351187743</v>
      </c>
      <c r="N113" s="3214">
        <f t="shared" si="17"/>
        <v>1.0244184094574393E-2</v>
      </c>
      <c r="O113" s="2755">
        <f t="shared" si="19"/>
        <v>-1.1929959229453817E-2</v>
      </c>
    </row>
    <row r="114" spans="3:21" ht="13" customHeight="1">
      <c r="C114" s="2604" t="s">
        <v>86</v>
      </c>
      <c r="D114" s="1705" t="s">
        <v>214</v>
      </c>
      <c r="E114" s="1537">
        <f>+E16</f>
        <v>38.523613807334328</v>
      </c>
      <c r="F114" s="1537">
        <f t="shared" ref="F114:O115" si="20">+F16</f>
        <v>38.468991267239623</v>
      </c>
      <c r="G114" s="1537">
        <f t="shared" si="20"/>
        <v>39.31624955139938</v>
      </c>
      <c r="H114" s="1537">
        <f t="shared" si="20"/>
        <v>38.559717584585364</v>
      </c>
      <c r="I114" s="3039">
        <f t="shared" si="20"/>
        <v>37.635390704304228</v>
      </c>
      <c r="J114" s="3039">
        <f t="shared" si="20"/>
        <v>36.531048012461845</v>
      </c>
      <c r="K114" s="3231">
        <f t="shared" si="20"/>
        <v>35.81651261035524</v>
      </c>
      <c r="L114" s="2763">
        <f t="shared" si="20"/>
        <v>37.857026098896192</v>
      </c>
      <c r="M114" s="2764">
        <f t="shared" si="20"/>
        <v>36.978505172315558</v>
      </c>
      <c r="N114" s="3217">
        <f t="shared" si="17"/>
        <v>0.87852092658063441</v>
      </c>
      <c r="O114" s="2755">
        <f t="shared" si="20"/>
        <v>2.375761060342565</v>
      </c>
    </row>
    <row r="115" spans="3:21" ht="13">
      <c r="C115" s="2604" t="s">
        <v>364</v>
      </c>
      <c r="D115" s="1705" t="s">
        <v>48</v>
      </c>
      <c r="E115" s="1535">
        <f>+E17</f>
        <v>74.08057289578727</v>
      </c>
      <c r="F115" s="1535">
        <f t="shared" si="20"/>
        <v>78.744402937491117</v>
      </c>
      <c r="G115" s="1535">
        <f t="shared" si="20"/>
        <v>52.980890029738006</v>
      </c>
      <c r="H115" s="1535">
        <f t="shared" si="20"/>
        <v>56.633229817916828</v>
      </c>
      <c r="I115" s="3038">
        <f t="shared" si="20"/>
        <v>68.075881012349754</v>
      </c>
      <c r="J115" s="3038">
        <f t="shared" si="20"/>
        <v>71.768111414542958</v>
      </c>
      <c r="K115" s="3230">
        <f t="shared" si="20"/>
        <v>77.357636697871555</v>
      </c>
      <c r="L115" s="2761">
        <f t="shared" si="20"/>
        <v>68.454071012830141</v>
      </c>
      <c r="M115" s="2762">
        <f t="shared" si="20"/>
        <v>79.059989804531128</v>
      </c>
      <c r="N115" s="3214">
        <f t="shared" si="17"/>
        <v>-10.605918791700987</v>
      </c>
      <c r="O115" s="2755">
        <f t="shared" si="20"/>
        <v>-13.415026763756469</v>
      </c>
    </row>
    <row r="116" spans="3:21" ht="13">
      <c r="C116" s="2604" t="s">
        <v>83</v>
      </c>
      <c r="D116" s="1705" t="s">
        <v>821</v>
      </c>
      <c r="E116" s="1537">
        <f t="shared" ref="E116:O116" si="21">+E19</f>
        <v>4.1969345058076382</v>
      </c>
      <c r="F116" s="1537">
        <f t="shared" si="21"/>
        <v>4.2551669079758971</v>
      </c>
      <c r="G116" s="1537">
        <f t="shared" si="21"/>
        <v>4.165449051016898</v>
      </c>
      <c r="H116" s="1537">
        <f t="shared" si="21"/>
        <v>4.2767305199496732</v>
      </c>
      <c r="I116" s="3039">
        <f t="shared" si="21"/>
        <v>4.2962545068139528</v>
      </c>
      <c r="J116" s="3039">
        <f t="shared" si="21"/>
        <v>4.2745707218298765</v>
      </c>
      <c r="K116" s="3231">
        <f t="shared" si="21"/>
        <v>4.2965275272066039</v>
      </c>
      <c r="L116" s="2763">
        <f t="shared" si="21"/>
        <v>4.2507469318468099</v>
      </c>
      <c r="M116" s="2764">
        <f t="shared" si="21"/>
        <v>4.2380737016214693</v>
      </c>
      <c r="N116" s="3750">
        <f t="shared" si="17"/>
        <v>1.2673230225340504E-2</v>
      </c>
      <c r="O116" s="2755">
        <f t="shared" si="21"/>
        <v>-0.29903279455691811</v>
      </c>
    </row>
    <row r="117" spans="3:21" ht="13.5" thickBot="1">
      <c r="C117" s="2606" t="s">
        <v>1315</v>
      </c>
      <c r="D117" s="2607" t="s">
        <v>1259</v>
      </c>
      <c r="E117" s="2608">
        <f>+E21</f>
        <v>0</v>
      </c>
      <c r="F117" s="2608">
        <f t="shared" ref="F117:O117" si="22">+F21</f>
        <v>0</v>
      </c>
      <c r="G117" s="2608">
        <f t="shared" si="22"/>
        <v>0</v>
      </c>
      <c r="H117" s="2608">
        <f t="shared" si="22"/>
        <v>0</v>
      </c>
      <c r="I117" s="2784">
        <f t="shared" si="22"/>
        <v>0</v>
      </c>
      <c r="J117" s="2784">
        <f t="shared" si="22"/>
        <v>0</v>
      </c>
      <c r="K117" s="3232">
        <f t="shared" si="22"/>
        <v>0</v>
      </c>
      <c r="L117" s="2765">
        <f t="shared" si="22"/>
        <v>0</v>
      </c>
      <c r="M117" s="2766">
        <f t="shared" si="22"/>
        <v>0</v>
      </c>
      <c r="N117" s="3215">
        <f t="shared" si="17"/>
        <v>0</v>
      </c>
      <c r="O117" s="2758">
        <f t="shared" si="22"/>
        <v>0</v>
      </c>
    </row>
    <row r="118" spans="3:21" s="2236" customFormat="1" ht="4.5" customHeight="1" thickBot="1">
      <c r="C118" s="2735"/>
      <c r="D118" s="2736"/>
      <c r="E118" s="2737"/>
      <c r="F118" s="2737"/>
      <c r="G118" s="2737"/>
      <c r="H118" s="2737"/>
      <c r="I118" s="3233"/>
      <c r="J118" s="3233"/>
      <c r="K118" s="3233"/>
      <c r="L118" s="2737"/>
      <c r="M118" s="2737"/>
      <c r="N118" s="2737"/>
      <c r="O118" s="2738"/>
      <c r="P118"/>
      <c r="Q118"/>
      <c r="R118"/>
      <c r="S118"/>
      <c r="T118"/>
      <c r="U118"/>
    </row>
    <row r="119" spans="3:21" ht="13">
      <c r="C119" s="2744" t="s">
        <v>826</v>
      </c>
      <c r="D119" s="2745" t="s">
        <v>48</v>
      </c>
      <c r="E119" s="3692">
        <f>+E25</f>
        <v>0.54478257960254906</v>
      </c>
      <c r="F119" s="3692">
        <f t="shared" ref="F119:O119" si="23">+F25</f>
        <v>0.55017132477022201</v>
      </c>
      <c r="G119" s="3692">
        <f t="shared" si="23"/>
        <v>0.55330404655728971</v>
      </c>
      <c r="H119" s="3692">
        <f t="shared" si="23"/>
        <v>0.52512631140585386</v>
      </c>
      <c r="I119" s="3234">
        <f t="shared" si="23"/>
        <v>0.50473815027446745</v>
      </c>
      <c r="J119" s="3234">
        <f t="shared" si="23"/>
        <v>0.48892696357468995</v>
      </c>
      <c r="K119" s="3235">
        <f t="shared" si="23"/>
        <v>0.52363529808160525</v>
      </c>
      <c r="L119" s="2767">
        <f t="shared" si="23"/>
        <v>0.52757410724329301</v>
      </c>
      <c r="M119" s="2768">
        <f t="shared" si="23"/>
        <v>0.54477094190803477</v>
      </c>
      <c r="N119" s="3218">
        <f>+L119-M119</f>
        <v>-1.7196834664741756E-2</v>
      </c>
      <c r="O119" s="2752">
        <f t="shared" si="23"/>
        <v>-3.1567092408619755</v>
      </c>
    </row>
    <row r="120" spans="3:21" ht="13">
      <c r="C120" s="2604" t="s">
        <v>827</v>
      </c>
      <c r="D120" s="1705" t="s">
        <v>48</v>
      </c>
      <c r="E120" s="1537">
        <f>+E26</f>
        <v>89.850973458553213</v>
      </c>
      <c r="F120" s="1537">
        <f t="shared" ref="F120:O120" si="24">+F26</f>
        <v>90.224624853035252</v>
      </c>
      <c r="G120" s="1537">
        <f t="shared" si="24"/>
        <v>89.406958992464013</v>
      </c>
      <c r="H120" s="1537">
        <f t="shared" si="24"/>
        <v>89.808703657913071</v>
      </c>
      <c r="I120" s="3039">
        <f t="shared" si="24"/>
        <v>90.300288436071995</v>
      </c>
      <c r="J120" s="3039">
        <f t="shared" si="24"/>
        <v>90.184668922599528</v>
      </c>
      <c r="K120" s="3231">
        <f t="shared" si="24"/>
        <v>90.579694000087017</v>
      </c>
      <c r="L120" s="2763">
        <f t="shared" si="24"/>
        <v>90.037246386360692</v>
      </c>
      <c r="M120" s="2764">
        <f t="shared" si="24"/>
        <v>90.289099141630032</v>
      </c>
      <c r="N120" s="3217">
        <f t="shared" ref="N120:N129" si="25">+L120-M120</f>
        <v>-0.25185275526933992</v>
      </c>
      <c r="O120" s="2755">
        <f t="shared" si="24"/>
        <v>-0.27894037892024659</v>
      </c>
    </row>
    <row r="121" spans="3:21" ht="13">
      <c r="C121" s="2604" t="s">
        <v>226</v>
      </c>
      <c r="D121" s="1705" t="s">
        <v>48</v>
      </c>
      <c r="E121" s="1537">
        <f>+E28</f>
        <v>25.463830076813228</v>
      </c>
      <c r="F121" s="1537">
        <f t="shared" ref="F121:O121" si="26">+F28</f>
        <v>27.191767251601942</v>
      </c>
      <c r="G121" s="1537">
        <f t="shared" si="26"/>
        <v>23.645726239500451</v>
      </c>
      <c r="H121" s="1537">
        <f t="shared" si="26"/>
        <v>22.937398694023585</v>
      </c>
      <c r="I121" s="3039">
        <f t="shared" si="26"/>
        <v>24.166962778076822</v>
      </c>
      <c r="J121" s="3039">
        <f t="shared" si="26"/>
        <v>25.229869264557234</v>
      </c>
      <c r="K121" s="3231">
        <f t="shared" si="26"/>
        <v>25.74568622905867</v>
      </c>
      <c r="L121" s="2763">
        <f t="shared" si="26"/>
        <v>24.850902386045128</v>
      </c>
      <c r="M121" s="2764">
        <f t="shared" si="26"/>
        <v>27.26563682540699</v>
      </c>
      <c r="N121" s="3217">
        <f t="shared" si="25"/>
        <v>-2.4147344393618617</v>
      </c>
      <c r="O121" s="2755">
        <f t="shared" si="26"/>
        <v>-8.856328773189464</v>
      </c>
    </row>
    <row r="122" spans="3:21" ht="13">
      <c r="C122" s="2604" t="s">
        <v>290</v>
      </c>
      <c r="D122" s="1705" t="s">
        <v>799</v>
      </c>
      <c r="E122" s="3038">
        <f>+E18</f>
        <v>182.36834771802469</v>
      </c>
      <c r="F122" s="3038">
        <f t="shared" ref="F122:O122" si="27">+F18</f>
        <v>182.41508624975575</v>
      </c>
      <c r="G122" s="3038">
        <f t="shared" si="27"/>
        <v>191.81143729459416</v>
      </c>
      <c r="H122" s="3038">
        <f>+H18</f>
        <v>186.9279204886916</v>
      </c>
      <c r="I122" s="3038">
        <f t="shared" si="27"/>
        <v>181.97937317159295</v>
      </c>
      <c r="J122" s="3038">
        <f>+J18</f>
        <v>185.21879985276652</v>
      </c>
      <c r="K122" s="3230">
        <f t="shared" si="27"/>
        <v>181.98308665071124</v>
      </c>
      <c r="L122" s="2761">
        <f t="shared" si="27"/>
        <v>184.70361378154274</v>
      </c>
      <c r="M122" s="2762">
        <f t="shared" si="27"/>
        <v>186.29736119237037</v>
      </c>
      <c r="N122" s="3214">
        <f t="shared" si="25"/>
        <v>-1.5937474108276319</v>
      </c>
      <c r="O122" s="2755">
        <f t="shared" si="27"/>
        <v>0.85548576782144037</v>
      </c>
    </row>
    <row r="123" spans="3:21" ht="13" customHeight="1">
      <c r="C123" s="2604" t="s">
        <v>59</v>
      </c>
      <c r="D123" s="1705" t="s">
        <v>28</v>
      </c>
      <c r="E123" s="3038">
        <f>+E27</f>
        <v>1002.6556488261361</v>
      </c>
      <c r="F123" s="3038">
        <f t="shared" ref="F123:O123" si="28">+F27</f>
        <v>1006.345895659838</v>
      </c>
      <c r="G123" s="3038">
        <f t="shared" si="28"/>
        <v>1027.149446371337</v>
      </c>
      <c r="H123" s="3038">
        <f t="shared" si="28"/>
        <v>930.80410204200825</v>
      </c>
      <c r="I123" s="3038">
        <f t="shared" si="28"/>
        <v>913.23904889021844</v>
      </c>
      <c r="J123" s="3038">
        <f t="shared" si="28"/>
        <v>869.94783344937412</v>
      </c>
      <c r="K123" s="3230">
        <f t="shared" si="28"/>
        <v>921.09058840489934</v>
      </c>
      <c r="L123" s="2769">
        <f t="shared" si="28"/>
        <v>6671.2325636438109</v>
      </c>
      <c r="M123" s="2770">
        <f t="shared" si="28"/>
        <v>6815.0529567554413</v>
      </c>
      <c r="N123" s="3722">
        <f t="shared" si="25"/>
        <v>-143.82039311163044</v>
      </c>
      <c r="O123" s="2755">
        <f t="shared" si="28"/>
        <v>-2.1103341973163694</v>
      </c>
    </row>
    <row r="124" spans="3:21" ht="13">
      <c r="C124" s="2604" t="s">
        <v>225</v>
      </c>
      <c r="D124" s="1705" t="s">
        <v>420</v>
      </c>
      <c r="E124" s="3038">
        <f>+E29</f>
        <v>3937.5680948292656</v>
      </c>
      <c r="F124" s="3038">
        <f t="shared" ref="F124:O124" si="29">+F29</f>
        <v>3700.9212617490002</v>
      </c>
      <c r="G124" s="3038">
        <f t="shared" si="29"/>
        <v>4343.9116057068795</v>
      </c>
      <c r="H124" s="3038">
        <f t="shared" si="29"/>
        <v>4058.0194574746279</v>
      </c>
      <c r="I124" s="3038">
        <f t="shared" si="29"/>
        <v>3778.8739001934809</v>
      </c>
      <c r="J124" s="3038">
        <f t="shared" si="29"/>
        <v>3448.0869652046572</v>
      </c>
      <c r="K124" s="3230">
        <f t="shared" si="29"/>
        <v>3577.6501749069007</v>
      </c>
      <c r="L124" s="2761">
        <f t="shared" si="29"/>
        <v>26845.031460064809</v>
      </c>
      <c r="M124" s="2762">
        <f t="shared" si="29"/>
        <v>24995.025791603584</v>
      </c>
      <c r="N124" s="3214">
        <f t="shared" si="25"/>
        <v>1850.0056684612246</v>
      </c>
      <c r="O124" s="2755">
        <f t="shared" si="29"/>
        <v>7.4014953370549623</v>
      </c>
    </row>
    <row r="125" spans="3:21" ht="13">
      <c r="C125" s="2604" t="s">
        <v>828</v>
      </c>
      <c r="D125" s="1705" t="s">
        <v>829</v>
      </c>
      <c r="E125" s="3039">
        <f>+E30</f>
        <v>8.8703331204126759</v>
      </c>
      <c r="F125" s="3039">
        <f t="shared" ref="F125:O125" si="30">+F30</f>
        <v>7.0783123847299123</v>
      </c>
      <c r="G125" s="3039">
        <f t="shared" si="30"/>
        <v>9.1910918624959894</v>
      </c>
      <c r="H125" s="3039">
        <f t="shared" si="30"/>
        <v>9.3765287877014494</v>
      </c>
      <c r="I125" s="3039">
        <f t="shared" si="30"/>
        <v>10.606922473444</v>
      </c>
      <c r="J125" s="3039">
        <f t="shared" si="30"/>
        <v>9.6731308251720716</v>
      </c>
      <c r="K125" s="3231">
        <f t="shared" si="30"/>
        <v>7.7150922778773214</v>
      </c>
      <c r="L125" s="2763">
        <f t="shared" si="30"/>
        <v>8.9310031888068888</v>
      </c>
      <c r="M125" s="2764">
        <f t="shared" si="30"/>
        <v>6.04243226623925</v>
      </c>
      <c r="N125" s="3217">
        <f t="shared" si="25"/>
        <v>2.8885709225676388</v>
      </c>
      <c r="O125" s="2755">
        <f t="shared" si="30"/>
        <v>-47.804771245958158</v>
      </c>
    </row>
    <row r="126" spans="3:21" ht="13">
      <c r="C126" s="2604" t="s">
        <v>841</v>
      </c>
      <c r="D126" s="1705" t="s">
        <v>95</v>
      </c>
      <c r="E126" s="3038">
        <f t="shared" ref="E126:M126" si="31">+E49</f>
        <v>1522.7407144748242</v>
      </c>
      <c r="F126" s="3038">
        <f t="shared" si="31"/>
        <v>1306.7100043920059</v>
      </c>
      <c r="G126" s="3038">
        <f t="shared" si="31"/>
        <v>1256.5748394289326</v>
      </c>
      <c r="H126" s="3038">
        <f t="shared" si="31"/>
        <v>1084.5269137299915</v>
      </c>
      <c r="I126" s="3038">
        <f t="shared" si="31"/>
        <v>1219.7064847739227</v>
      </c>
      <c r="J126" s="3038">
        <f t="shared" si="31"/>
        <v>1156.4193793975362</v>
      </c>
      <c r="K126" s="3230">
        <f t="shared" si="31"/>
        <v>1310.318134816358</v>
      </c>
      <c r="L126" s="2761">
        <f t="shared" si="31"/>
        <v>1266.5553808129755</v>
      </c>
      <c r="M126" s="2762">
        <f t="shared" si="31"/>
        <v>1157.0767170669312</v>
      </c>
      <c r="N126" s="3214">
        <f t="shared" si="25"/>
        <v>109.47866374604428</v>
      </c>
      <c r="O126" s="2755">
        <f>+O49</f>
        <v>-9.4616598995753094</v>
      </c>
    </row>
    <row r="127" spans="3:21" ht="13.5" thickBot="1">
      <c r="C127" s="2606" t="s">
        <v>1692</v>
      </c>
      <c r="D127" s="2607" t="s">
        <v>48</v>
      </c>
      <c r="E127" s="3238">
        <f>+E47</f>
        <v>1.6777768702968465</v>
      </c>
      <c r="F127" s="3238">
        <f t="shared" ref="F127:K127" si="32">+F47</f>
        <v>1.5994581648635526</v>
      </c>
      <c r="G127" s="3238">
        <f t="shared" si="32"/>
        <v>1.8029979035908017</v>
      </c>
      <c r="H127" s="3238">
        <f t="shared" si="32"/>
        <v>1.6729225938676884</v>
      </c>
      <c r="I127" s="3238">
        <f t="shared" si="32"/>
        <v>1.7315279150876128</v>
      </c>
      <c r="J127" s="3238">
        <f t="shared" si="32"/>
        <v>1.540893243389915</v>
      </c>
      <c r="K127" s="3239">
        <f t="shared" si="32"/>
        <v>1.540900272034311</v>
      </c>
      <c r="L127" s="2771">
        <f>+L47</f>
        <v>1.6538147013956543</v>
      </c>
      <c r="M127" s="2772">
        <f>+M73</f>
        <v>1.4483913229103376</v>
      </c>
      <c r="N127" s="3219">
        <f>+L127-M127</f>
        <v>0.20542337848531678</v>
      </c>
      <c r="O127" s="2758">
        <f>+O31</f>
        <v>-18.017261003510768</v>
      </c>
    </row>
    <row r="128" spans="3:21" s="2236" customFormat="1" ht="3.75" customHeight="1" thickBot="1">
      <c r="C128" s="2735"/>
      <c r="D128" s="2736"/>
      <c r="E128" s="3233"/>
      <c r="F128" s="3233"/>
      <c r="G128" s="3233"/>
      <c r="H128" s="3233"/>
      <c r="I128" s="3233"/>
      <c r="J128" s="3233"/>
      <c r="K128" s="3233"/>
      <c r="L128" s="2737"/>
      <c r="M128" s="2737"/>
      <c r="N128" s="2737"/>
      <c r="O128" s="2738"/>
      <c r="P128"/>
      <c r="Q128"/>
      <c r="R128"/>
      <c r="S128"/>
    </row>
    <row r="129" spans="3:19" s="2236" customFormat="1" ht="13.5" customHeight="1">
      <c r="C129" s="2744" t="s">
        <v>227</v>
      </c>
      <c r="D129" s="2745" t="s">
        <v>95</v>
      </c>
      <c r="E129" s="3236">
        <f>+E31</f>
        <v>161.9711458432908</v>
      </c>
      <c r="F129" s="3236">
        <f t="shared" ref="F129:M129" si="33">+F31</f>
        <v>171.3053604976626</v>
      </c>
      <c r="G129" s="3236">
        <f t="shared" si="33"/>
        <v>147.0968321741156</v>
      </c>
      <c r="H129" s="3236">
        <f t="shared" si="33"/>
        <v>120.76178708195729</v>
      </c>
      <c r="I129" s="3236">
        <f t="shared" si="33"/>
        <v>118.87148244947528</v>
      </c>
      <c r="J129" s="3236">
        <f t="shared" si="33"/>
        <v>175.58163669109402</v>
      </c>
      <c r="K129" s="3237">
        <f t="shared" si="33"/>
        <v>141.52554810249495</v>
      </c>
      <c r="L129" s="2750">
        <f t="shared" si="33"/>
        <v>148.26420169825391</v>
      </c>
      <c r="M129" s="2751">
        <f t="shared" si="33"/>
        <v>180.84807059764503</v>
      </c>
      <c r="N129" s="3213">
        <f t="shared" si="25"/>
        <v>-32.583868899391121</v>
      </c>
      <c r="O129" s="2752">
        <v>5.6620935138642139</v>
      </c>
      <c r="P129"/>
      <c r="Q129"/>
      <c r="R129"/>
      <c r="S129"/>
    </row>
    <row r="130" spans="3:19" ht="13">
      <c r="C130" s="2604" t="s">
        <v>228</v>
      </c>
      <c r="D130" s="1705" t="s">
        <v>48</v>
      </c>
      <c r="E130" s="3039">
        <f t="shared" ref="E130" si="34">+E34</f>
        <v>77.321564018396955</v>
      </c>
      <c r="F130" s="3039">
        <f t="shared" ref="F130:M130" si="35">+F34</f>
        <v>80.030209525870987</v>
      </c>
      <c r="G130" s="3039">
        <f t="shared" si="35"/>
        <v>79.168975583604833</v>
      </c>
      <c r="H130" s="3039">
        <f t="shared" si="35"/>
        <v>78.060702593983592</v>
      </c>
      <c r="I130" s="3039">
        <f t="shared" si="35"/>
        <v>77.97240120277506</v>
      </c>
      <c r="J130" s="3039">
        <f t="shared" si="35"/>
        <v>80.170019618919156</v>
      </c>
      <c r="K130" s="3231">
        <f t="shared" si="35"/>
        <v>78.951450629968207</v>
      </c>
      <c r="L130" s="2761">
        <f t="shared" si="35"/>
        <v>78.811886787164553</v>
      </c>
      <c r="M130" s="2762">
        <f t="shared" si="35"/>
        <v>80.394871066198618</v>
      </c>
      <c r="N130" s="3217">
        <f t="shared" ref="N130:N137" si="36">+L130-M130</f>
        <v>-1.5829842790340649</v>
      </c>
      <c r="O130" s="2755">
        <f>+O34</f>
        <v>-1.9690115277759528</v>
      </c>
    </row>
    <row r="131" spans="3:19" ht="13">
      <c r="C131" s="2604" t="str">
        <f>C32</f>
        <v>Recuperacion Colectiva Mo</v>
      </c>
      <c r="D131" s="1705" t="str">
        <f>D32</f>
        <v>%</v>
      </c>
      <c r="E131" s="3039">
        <f t="shared" ref="E131:K131" si="37">E32</f>
        <v>89.799014460221244</v>
      </c>
      <c r="F131" s="3039">
        <f t="shared" si="37"/>
        <v>89.995470663076418</v>
      </c>
      <c r="G131" s="3039">
        <f t="shared" si="37"/>
        <v>89.4612626965435</v>
      </c>
      <c r="H131" s="3039">
        <f t="shared" si="37"/>
        <v>88.769570727130684</v>
      </c>
      <c r="I131" s="3039">
        <f t="shared" si="37"/>
        <v>88.714251925800397</v>
      </c>
      <c r="J131" s="3039">
        <f t="shared" si="37"/>
        <v>90.08192340961898</v>
      </c>
      <c r="K131" s="3231">
        <f t="shared" si="37"/>
        <v>89.325881510206258</v>
      </c>
      <c r="L131" s="2761">
        <f>L32</f>
        <v>89.524941676990025</v>
      </c>
      <c r="M131" s="2762">
        <f t="shared" ref="M131" si="38">M32</f>
        <v>91.828924104232286</v>
      </c>
      <c r="N131" s="3217">
        <f t="shared" si="36"/>
        <v>-2.3039824272422607</v>
      </c>
      <c r="O131" s="2755">
        <f>+O32</f>
        <v>-2.5089942517752672</v>
      </c>
    </row>
    <row r="132" spans="3:19" ht="13">
      <c r="C132" s="2604" t="str">
        <f>C33</f>
        <v>Recuperacion Selectiva Mo</v>
      </c>
      <c r="D132" s="1705" t="str">
        <f>D33</f>
        <v>%</v>
      </c>
      <c r="E132" s="3039">
        <f t="shared" ref="E132:K132" si="39">E33</f>
        <v>86.105136546513563</v>
      </c>
      <c r="F132" s="3039">
        <f t="shared" si="39"/>
        <v>88.926930362403226</v>
      </c>
      <c r="G132" s="3039">
        <f t="shared" si="39"/>
        <v>88.495258391500073</v>
      </c>
      <c r="H132" s="3039">
        <f t="shared" si="39"/>
        <v>87.936329932173336</v>
      </c>
      <c r="I132" s="3039">
        <f t="shared" si="39"/>
        <v>87.891629033844865</v>
      </c>
      <c r="J132" s="3039">
        <f t="shared" si="39"/>
        <v>88.996789349591722</v>
      </c>
      <c r="K132" s="3231">
        <f t="shared" si="39"/>
        <v>88.385862300107632</v>
      </c>
      <c r="L132" s="2761">
        <f t="shared" ref="L132:M132" si="40">L33</f>
        <v>88.099724057218054</v>
      </c>
      <c r="M132" s="2762">
        <f t="shared" si="40"/>
        <v>88.400720472172722</v>
      </c>
      <c r="N132" s="3217">
        <f t="shared" si="36"/>
        <v>-0.30099641495466756</v>
      </c>
      <c r="O132" s="2755">
        <f>+O33</f>
        <v>-0.34049090702763773</v>
      </c>
    </row>
    <row r="133" spans="3:19" ht="13">
      <c r="C133" s="2604" t="s">
        <v>66</v>
      </c>
      <c r="D133" s="1705" t="s">
        <v>28</v>
      </c>
      <c r="E133" s="3038">
        <f t="shared" ref="E133:M133" si="41">+E35</f>
        <v>25.653350275240797</v>
      </c>
      <c r="F133" s="3038">
        <f t="shared" si="41"/>
        <v>27.793878251348087</v>
      </c>
      <c r="G133" s="3038">
        <f t="shared" si="41"/>
        <v>24.180028696785236</v>
      </c>
      <c r="H133" s="3038">
        <f t="shared" si="41"/>
        <v>18.605359624679121</v>
      </c>
      <c r="I133" s="3038">
        <f t="shared" si="41"/>
        <v>18.571534580811178</v>
      </c>
      <c r="J133" s="3038">
        <f t="shared" si="41"/>
        <v>27.772027707158248</v>
      </c>
      <c r="K133" s="3230">
        <f t="shared" si="41"/>
        <v>21.698891116392073</v>
      </c>
      <c r="L133" s="2761">
        <f t="shared" si="41"/>
        <v>164.27507025241476</v>
      </c>
      <c r="M133" s="2762">
        <f t="shared" si="41"/>
        <v>204.32785774248518</v>
      </c>
      <c r="N133" s="3214">
        <f t="shared" si="36"/>
        <v>-40.052787490070415</v>
      </c>
      <c r="O133" s="2755">
        <f>+O35</f>
        <v>-19.602215739250312</v>
      </c>
    </row>
    <row r="134" spans="3:19" ht="13">
      <c r="C134" s="2604" t="s">
        <v>232</v>
      </c>
      <c r="D134" s="1705" t="s">
        <v>48</v>
      </c>
      <c r="E134" s="3038">
        <f t="shared" ref="E134:M134" si="42">+E36</f>
        <v>48</v>
      </c>
      <c r="F134" s="3038">
        <f t="shared" si="42"/>
        <v>49</v>
      </c>
      <c r="G134" s="3038">
        <f t="shared" si="42"/>
        <v>50</v>
      </c>
      <c r="H134" s="3038">
        <f t="shared" si="42"/>
        <v>50</v>
      </c>
      <c r="I134" s="3038">
        <f t="shared" si="42"/>
        <v>50</v>
      </c>
      <c r="J134" s="3038">
        <f t="shared" si="42"/>
        <v>50</v>
      </c>
      <c r="K134" s="3230">
        <f t="shared" si="42"/>
        <v>50</v>
      </c>
      <c r="L134" s="2761">
        <f t="shared" si="42"/>
        <v>50</v>
      </c>
      <c r="M134" s="2762">
        <f t="shared" si="42"/>
        <v>50</v>
      </c>
      <c r="N134" s="3214">
        <f t="shared" si="36"/>
        <v>0</v>
      </c>
      <c r="O134" s="2755">
        <f>+O36</f>
        <v>0</v>
      </c>
    </row>
    <row r="135" spans="3:19" ht="13">
      <c r="C135" s="2604" t="s">
        <v>231</v>
      </c>
      <c r="D135" s="1705" t="s">
        <v>420</v>
      </c>
      <c r="E135" s="3038">
        <f t="shared" ref="E135:M135" si="43">+E37</f>
        <v>51.306700550481601</v>
      </c>
      <c r="F135" s="3038">
        <f t="shared" si="43"/>
        <v>55.587756502696173</v>
      </c>
      <c r="G135" s="3038">
        <f t="shared" si="43"/>
        <v>48.360057393570472</v>
      </c>
      <c r="H135" s="3038">
        <f t="shared" si="43"/>
        <v>37.210719249358242</v>
      </c>
      <c r="I135" s="3038">
        <f t="shared" si="43"/>
        <v>37.143069161622357</v>
      </c>
      <c r="J135" s="3038">
        <f t="shared" si="43"/>
        <v>55.544055414316496</v>
      </c>
      <c r="K135" s="3230">
        <f t="shared" si="43"/>
        <v>43.397782232784145</v>
      </c>
      <c r="L135" s="2761">
        <f t="shared" si="43"/>
        <v>328.55014050482953</v>
      </c>
      <c r="M135" s="2762">
        <f t="shared" si="43"/>
        <v>408.65571548497036</v>
      </c>
      <c r="N135" s="3214">
        <f t="shared" si="36"/>
        <v>-80.10557498014083</v>
      </c>
      <c r="O135" s="2755">
        <f>+O37</f>
        <v>-19.602215739250312</v>
      </c>
    </row>
    <row r="136" spans="3:19" s="2236" customFormat="1" ht="13">
      <c r="C136" s="2604" t="s">
        <v>832</v>
      </c>
      <c r="D136" s="1705" t="s">
        <v>28</v>
      </c>
      <c r="E136" s="3038">
        <f>+E38</f>
        <v>44.668231324443511</v>
      </c>
      <c r="F136" s="3038">
        <f t="shared" ref="F136:M136" si="44">+F38</f>
        <v>44.228357361385243</v>
      </c>
      <c r="G136" s="3038">
        <f t="shared" si="44"/>
        <v>25</v>
      </c>
      <c r="H136" s="3038">
        <f t="shared" si="44"/>
        <v>25</v>
      </c>
      <c r="I136" s="3038">
        <f t="shared" si="44"/>
        <v>25</v>
      </c>
      <c r="J136" s="3038">
        <f t="shared" si="44"/>
        <v>25</v>
      </c>
      <c r="K136" s="3230">
        <f t="shared" si="44"/>
        <v>25</v>
      </c>
      <c r="L136" s="2761">
        <f t="shared" si="44"/>
        <v>213.89658868582876</v>
      </c>
      <c r="M136" s="2762">
        <f t="shared" si="44"/>
        <v>213.89658868582876</v>
      </c>
      <c r="N136" s="3214">
        <f t="shared" si="36"/>
        <v>0</v>
      </c>
      <c r="O136" s="2755">
        <f>+O38</f>
        <v>0</v>
      </c>
      <c r="P136"/>
      <c r="Q136"/>
      <c r="R136"/>
      <c r="S136"/>
    </row>
    <row r="137" spans="3:19" ht="13.5" thickBot="1">
      <c r="C137" s="2606" t="s">
        <v>390</v>
      </c>
      <c r="D137" s="2607" t="s">
        <v>48</v>
      </c>
      <c r="E137" s="3238">
        <f t="shared" ref="E137:M137" si="45">+E39</f>
        <v>1.1499630072090765</v>
      </c>
      <c r="F137" s="3238">
        <f t="shared" si="45"/>
        <v>1.3002739296909176</v>
      </c>
      <c r="G137" s="3238">
        <f t="shared" si="45"/>
        <v>0.9123145242770142</v>
      </c>
      <c r="H137" s="3238">
        <f t="shared" si="45"/>
        <v>0.78303007613208775</v>
      </c>
      <c r="I137" s="3238">
        <f t="shared" si="45"/>
        <v>0.89548940544265954</v>
      </c>
      <c r="J137" s="3238">
        <f t="shared" si="45"/>
        <v>0.96581817638268475</v>
      </c>
      <c r="K137" s="3239">
        <f t="shared" si="45"/>
        <v>1.2156872316754115</v>
      </c>
      <c r="L137" s="2771">
        <f t="shared" si="45"/>
        <v>1.031874221538988</v>
      </c>
      <c r="M137" s="2772">
        <f t="shared" si="45"/>
        <v>1.2502834264396681</v>
      </c>
      <c r="N137" s="3219">
        <f t="shared" si="36"/>
        <v>-0.21840920490068005</v>
      </c>
      <c r="O137" s="2758">
        <f>+O39</f>
        <v>-17.468775501777742</v>
      </c>
    </row>
    <row r="138" spans="3:19" ht="6.75" customHeight="1" thickBot="1">
      <c r="C138" s="2735"/>
      <c r="D138" s="2736"/>
      <c r="E138" s="2741"/>
      <c r="F138" s="2741"/>
      <c r="G138" s="2741"/>
      <c r="H138" s="2741"/>
      <c r="I138" s="2741"/>
      <c r="J138" s="2741"/>
      <c r="K138" s="2741"/>
      <c r="L138" s="2741"/>
      <c r="M138" s="2741"/>
      <c r="N138" s="2741"/>
      <c r="O138" s="2738"/>
    </row>
    <row r="139" spans="3:19" ht="13">
      <c r="C139" s="2744" t="s">
        <v>833</v>
      </c>
      <c r="D139" s="2745" t="s">
        <v>420</v>
      </c>
      <c r="E139" s="2746">
        <f t="shared" ref="E139:M139" si="46">+E40</f>
        <v>3720</v>
      </c>
      <c r="F139" s="2746">
        <f t="shared" si="46"/>
        <v>3720</v>
      </c>
      <c r="G139" s="2746">
        <f t="shared" si="46"/>
        <v>3720</v>
      </c>
      <c r="H139" s="2746">
        <f t="shared" si="46"/>
        <v>3720</v>
      </c>
      <c r="I139" s="2746">
        <f t="shared" si="46"/>
        <v>3720</v>
      </c>
      <c r="J139" s="2746">
        <f t="shared" si="46"/>
        <v>4366</v>
      </c>
      <c r="K139" s="2747">
        <f t="shared" si="46"/>
        <v>4366</v>
      </c>
      <c r="L139" s="2750">
        <f t="shared" si="46"/>
        <v>27332</v>
      </c>
      <c r="M139" s="2751">
        <f t="shared" si="46"/>
        <v>29186</v>
      </c>
      <c r="N139" s="3213">
        <f>+L139-M139</f>
        <v>-1854</v>
      </c>
      <c r="O139" s="2752">
        <f>+O40</f>
        <v>-6.3523607208935795</v>
      </c>
    </row>
    <row r="140" spans="3:19" ht="13" hidden="1">
      <c r="C140" s="2604" t="s">
        <v>834</v>
      </c>
      <c r="D140" s="1705" t="s">
        <v>420</v>
      </c>
      <c r="E140" s="1535">
        <f t="shared" ref="E140:M140" si="47">+E41</f>
        <v>3720</v>
      </c>
      <c r="F140" s="1535">
        <f t="shared" si="47"/>
        <v>3720</v>
      </c>
      <c r="G140" s="1535">
        <f t="shared" si="47"/>
        <v>3720</v>
      </c>
      <c r="H140" s="1535">
        <f t="shared" si="47"/>
        <v>3720</v>
      </c>
      <c r="I140" s="1535">
        <f t="shared" si="47"/>
        <v>3720</v>
      </c>
      <c r="J140" s="1535">
        <f t="shared" si="47"/>
        <v>3720</v>
      </c>
      <c r="K140" s="2748">
        <f t="shared" si="47"/>
        <v>4366</v>
      </c>
      <c r="L140" s="2761">
        <f t="shared" si="47"/>
        <v>26686</v>
      </c>
      <c r="M140" s="2762">
        <f t="shared" si="47"/>
        <v>27810</v>
      </c>
      <c r="N140" s="3214">
        <f>+L140-M140</f>
        <v>-1124</v>
      </c>
      <c r="O140" s="2755">
        <f>+O41</f>
        <v>-4.0417116145271486</v>
      </c>
    </row>
    <row r="141" spans="3:19" ht="13">
      <c r="C141" s="2604" t="s">
        <v>835</v>
      </c>
      <c r="D141" s="1705" t="s">
        <v>28</v>
      </c>
      <c r="E141" s="1535">
        <f t="shared" ref="E141:M141" si="48">+E42</f>
        <v>1024.5458375948233</v>
      </c>
      <c r="F141" s="1535">
        <f t="shared" si="48"/>
        <v>947.254478857452</v>
      </c>
      <c r="G141" s="1535">
        <f t="shared" si="48"/>
        <v>1011.5337417595922</v>
      </c>
      <c r="H141" s="1535">
        <f t="shared" si="48"/>
        <v>879.62101610941681</v>
      </c>
      <c r="I141" s="1535">
        <f t="shared" si="48"/>
        <v>853.27123141767731</v>
      </c>
      <c r="J141" s="1535">
        <f t="shared" si="48"/>
        <v>899.01101534445786</v>
      </c>
      <c r="K141" s="2748">
        <f t="shared" si="48"/>
        <v>1101.5360920905689</v>
      </c>
      <c r="L141" s="2761">
        <f t="shared" si="48"/>
        <v>6716.7734131739871</v>
      </c>
      <c r="M141" s="2762">
        <f t="shared" si="48"/>
        <v>7864.070337050849</v>
      </c>
      <c r="N141" s="3214">
        <f>+L141-M141</f>
        <v>-1147.2969238768619</v>
      </c>
      <c r="O141" s="2755">
        <f>+O42</f>
        <v>-14.589097944247486</v>
      </c>
    </row>
    <row r="142" spans="3:19" ht="13">
      <c r="C142" s="2604" t="s">
        <v>1417</v>
      </c>
      <c r="D142" s="1705" t="s">
        <v>420</v>
      </c>
      <c r="E142" s="1535">
        <f t="shared" ref="E142:M142" si="49">+E44</f>
        <v>2925.1676776879667</v>
      </c>
      <c r="F142" s="1535">
        <f t="shared" si="49"/>
        <v>2984.2590944903527</v>
      </c>
      <c r="G142" s="1535">
        <f t="shared" si="49"/>
        <v>2999.8747991020973</v>
      </c>
      <c r="H142" s="1535">
        <f t="shared" si="49"/>
        <v>3051.0578850346888</v>
      </c>
      <c r="I142" s="1535">
        <f t="shared" si="49"/>
        <v>3111.0257025072297</v>
      </c>
      <c r="J142" s="1535">
        <f t="shared" si="49"/>
        <v>3081.9625206121459</v>
      </c>
      <c r="K142" s="2748">
        <f t="shared" si="49"/>
        <v>2901.5170169264766</v>
      </c>
      <c r="L142" s="2761">
        <f t="shared" si="49"/>
        <v>2901.5170169264766</v>
      </c>
      <c r="M142" s="2762">
        <f t="shared" si="49"/>
        <v>2817.3753623486359</v>
      </c>
      <c r="N142" s="3214">
        <f>+L142-M142</f>
        <v>84.141654577840654</v>
      </c>
      <c r="O142" s="2755">
        <f>+O44</f>
        <v>2.9865262436205171</v>
      </c>
    </row>
    <row r="143" spans="3:19" ht="13">
      <c r="C143" s="4026" t="str">
        <f>C41</f>
        <v xml:space="preserve">Concentrado filtrado </v>
      </c>
      <c r="D143" s="4027" t="str">
        <f t="shared" ref="D143:M143" si="50">D41</f>
        <v>TMS</v>
      </c>
      <c r="E143" s="4028">
        <f t="shared" si="50"/>
        <v>3720</v>
      </c>
      <c r="F143" s="4028">
        <f t="shared" si="50"/>
        <v>3720</v>
      </c>
      <c r="G143" s="4028">
        <f t="shared" si="50"/>
        <v>3720</v>
      </c>
      <c r="H143" s="4028">
        <f t="shared" si="50"/>
        <v>3720</v>
      </c>
      <c r="I143" s="4028">
        <f t="shared" si="50"/>
        <v>3720</v>
      </c>
      <c r="J143" s="4028">
        <f t="shared" si="50"/>
        <v>3720</v>
      </c>
      <c r="K143" s="4029">
        <f t="shared" si="50"/>
        <v>4366</v>
      </c>
      <c r="L143" s="4030">
        <f t="shared" si="50"/>
        <v>26686</v>
      </c>
      <c r="M143" s="4031">
        <f t="shared" si="50"/>
        <v>27810</v>
      </c>
      <c r="N143" s="3214">
        <f>M143-L143</f>
        <v>1124</v>
      </c>
      <c r="O143" s="2755">
        <f>O41</f>
        <v>-4.0417116145271486</v>
      </c>
    </row>
    <row r="144" spans="3:19" ht="13.5" thickBot="1">
      <c r="C144" s="2606" t="s">
        <v>62</v>
      </c>
      <c r="D144" s="2607" t="s">
        <v>28</v>
      </c>
      <c r="E144" s="2608">
        <f t="shared" ref="E144:M144" si="51">+E45</f>
        <v>983.56400409103037</v>
      </c>
      <c r="F144" s="2608">
        <f t="shared" si="51"/>
        <v>909.36429970315385</v>
      </c>
      <c r="G144" s="2608">
        <f t="shared" si="51"/>
        <v>971.07239208920851</v>
      </c>
      <c r="H144" s="2608">
        <f t="shared" si="51"/>
        <v>844.43617546504015</v>
      </c>
      <c r="I144" s="2608">
        <f t="shared" si="51"/>
        <v>819.14038216097015</v>
      </c>
      <c r="J144" s="2608">
        <f t="shared" si="51"/>
        <v>863.0505747306795</v>
      </c>
      <c r="K144" s="2749">
        <f t="shared" si="51"/>
        <v>1057.474648406946</v>
      </c>
      <c r="L144" s="2765">
        <f t="shared" si="51"/>
        <v>6448.1024766470291</v>
      </c>
      <c r="M144" s="2766">
        <f t="shared" si="51"/>
        <v>7565.2356642429168</v>
      </c>
      <c r="N144" s="3215">
        <f>+L144-M144</f>
        <v>-1117.1331875958876</v>
      </c>
      <c r="O144" s="2758">
        <f>+O45</f>
        <v>-14.766667387190822</v>
      </c>
    </row>
    <row r="147" spans="3:11" ht="13" thickBot="1">
      <c r="C147" s="3616" t="s">
        <v>1693</v>
      </c>
      <c r="D147" s="3616" t="s">
        <v>1695</v>
      </c>
      <c r="E147" s="3725">
        <f>+E105</f>
        <v>46101.791666666664</v>
      </c>
      <c r="F147" s="3725">
        <f t="shared" ref="F147:K147" si="52">+F105</f>
        <v>46102.791666666664</v>
      </c>
      <c r="G147" s="3725">
        <f t="shared" si="52"/>
        <v>46103.791666666664</v>
      </c>
      <c r="H147" s="3725">
        <f t="shared" si="52"/>
        <v>46104.791666666664</v>
      </c>
      <c r="I147" s="3725">
        <f t="shared" si="52"/>
        <v>46105.791666666664</v>
      </c>
      <c r="J147" s="3725">
        <f t="shared" si="52"/>
        <v>46106.791666666664</v>
      </c>
      <c r="K147" s="3725">
        <f t="shared" si="52"/>
        <v>46107.791666666664</v>
      </c>
    </row>
    <row r="148" spans="3:11">
      <c r="C148" s="1692" t="s">
        <v>1694</v>
      </c>
      <c r="D148" s="3726" t="s">
        <v>9</v>
      </c>
      <c r="E148" s="3730">
        <f>+E77</f>
        <v>0.54156117360462053</v>
      </c>
      <c r="F148" s="3730">
        <f t="shared" ref="F148:K148" si="53">+F77</f>
        <v>0.53439489892154024</v>
      </c>
      <c r="G148" s="3730">
        <f t="shared" si="53"/>
        <v>0.59959530689926632</v>
      </c>
      <c r="H148" s="3730">
        <f t="shared" si="53"/>
        <v>0.54611774227069232</v>
      </c>
      <c r="I148" s="3730">
        <f t="shared" si="53"/>
        <v>0.55160275711999007</v>
      </c>
      <c r="J148" s="3730">
        <f t="shared" si="53"/>
        <v>0.50905603115424403</v>
      </c>
      <c r="K148" s="3730">
        <f t="shared" si="53"/>
        <v>0.53298775612561489</v>
      </c>
    </row>
    <row r="149" spans="3:11" ht="13" thickBot="1">
      <c r="C149" s="2026" t="s">
        <v>1694</v>
      </c>
      <c r="D149" s="3727" t="s">
        <v>1404</v>
      </c>
      <c r="E149" s="3732">
        <f>+E25</f>
        <v>0.54478257960254906</v>
      </c>
      <c r="F149" s="3732">
        <f t="shared" ref="F149:K149" si="54">+F25</f>
        <v>0.55017132477022201</v>
      </c>
      <c r="G149" s="3732">
        <f t="shared" si="54"/>
        <v>0.55330404655728971</v>
      </c>
      <c r="H149" s="3732">
        <f t="shared" si="54"/>
        <v>0.52512631140585386</v>
      </c>
      <c r="I149" s="3732">
        <f t="shared" si="54"/>
        <v>0.50473815027446745</v>
      </c>
      <c r="J149" s="3732">
        <f t="shared" si="54"/>
        <v>0.48892696357468995</v>
      </c>
      <c r="K149" s="3732">
        <f t="shared" si="54"/>
        <v>0.52363529808160525</v>
      </c>
    </row>
    <row r="150" spans="3:11" ht="13" thickBot="1">
      <c r="C150" s="3728"/>
      <c r="D150" s="3729" t="s">
        <v>998</v>
      </c>
      <c r="E150" s="3731">
        <f>+E149-E148</f>
        <v>3.2214059979285281E-3</v>
      </c>
      <c r="F150" s="3731">
        <f t="shared" ref="F150:K150" si="55">+F149-F148</f>
        <v>1.5776425848681774E-2</v>
      </c>
      <c r="G150" s="3731">
        <f t="shared" si="55"/>
        <v>-4.6291260341976614E-2</v>
      </c>
      <c r="H150" s="3731">
        <f t="shared" si="55"/>
        <v>-2.0991430864838456E-2</v>
      </c>
      <c r="I150" s="3731">
        <f t="shared" si="55"/>
        <v>-4.6864606845522627E-2</v>
      </c>
      <c r="J150" s="3731">
        <f t="shared" si="55"/>
        <v>-2.0129067579554072E-2</v>
      </c>
      <c r="K150" s="3731">
        <f t="shared" si="55"/>
        <v>-9.3524580440096372E-3</v>
      </c>
    </row>
    <row r="151" spans="3:11" ht="13" thickBot="1"/>
    <row r="152" spans="3:11">
      <c r="C152" s="1692" t="s">
        <v>120</v>
      </c>
      <c r="D152" s="3726" t="s">
        <v>9</v>
      </c>
      <c r="E152" s="3751">
        <f>+E61</f>
        <v>196.80552980560992</v>
      </c>
      <c r="F152" s="3751">
        <f t="shared" ref="F152:K152" si="56">+F61</f>
        <v>193.07268402239217</v>
      </c>
      <c r="G152" s="3751">
        <f t="shared" si="56"/>
        <v>194.60323060466635</v>
      </c>
      <c r="H152" s="3751">
        <f t="shared" si="56"/>
        <v>191.50683501760332</v>
      </c>
      <c r="I152" s="3751">
        <f t="shared" si="56"/>
        <v>199.1353856740532</v>
      </c>
      <c r="J152" s="3751">
        <f t="shared" si="56"/>
        <v>201.25165792879966</v>
      </c>
      <c r="K152" s="3751">
        <f t="shared" si="56"/>
        <v>209.16758830531856</v>
      </c>
    </row>
    <row r="153" spans="3:11" ht="13" thickBot="1">
      <c r="C153" s="2026" t="s">
        <v>120</v>
      </c>
      <c r="D153" s="3727" t="s">
        <v>1404</v>
      </c>
      <c r="E153" s="3752">
        <f>+E109</f>
        <v>204.8357736194902</v>
      </c>
      <c r="F153" s="3752">
        <f t="shared" ref="F153:K153" si="57">+F109</f>
        <v>202.73290510208849</v>
      </c>
      <c r="G153" s="3752">
        <f t="shared" si="57"/>
        <v>207.63399807777913</v>
      </c>
      <c r="H153" s="3752">
        <f t="shared" si="57"/>
        <v>197.36770075599367</v>
      </c>
      <c r="I153" s="3752">
        <f t="shared" si="57"/>
        <v>200.36838777048467</v>
      </c>
      <c r="J153" s="3752">
        <f t="shared" si="57"/>
        <v>197.29519435247991</v>
      </c>
      <c r="K153" s="3752">
        <f t="shared" si="57"/>
        <v>194.19702884296299</v>
      </c>
    </row>
    <row r="154" spans="3:11" ht="13" thickBot="1">
      <c r="C154" s="3728"/>
      <c r="D154" s="3729" t="s">
        <v>998</v>
      </c>
      <c r="E154" s="3731">
        <f t="shared" ref="E154:K154" si="58">+E153-E152</f>
        <v>8.0302438138802756</v>
      </c>
      <c r="F154" s="3731">
        <f t="shared" si="58"/>
        <v>9.6602210796963277</v>
      </c>
      <c r="G154" s="3731">
        <f t="shared" si="58"/>
        <v>13.030767473112775</v>
      </c>
      <c r="H154" s="3731">
        <f t="shared" si="58"/>
        <v>5.8608657383903449</v>
      </c>
      <c r="I154" s="3731">
        <f t="shared" si="58"/>
        <v>1.233002096431477</v>
      </c>
      <c r="J154" s="3731">
        <f t="shared" si="58"/>
        <v>-3.9564635763197487</v>
      </c>
      <c r="K154" s="3731">
        <f t="shared" si="58"/>
        <v>-14.970559462355567</v>
      </c>
    </row>
    <row r="155" spans="3:11" ht="13" thickBot="1"/>
    <row r="156" spans="3:11">
      <c r="C156" s="1692" t="s">
        <v>1696</v>
      </c>
      <c r="D156" s="3726" t="s">
        <v>9</v>
      </c>
      <c r="E156" s="3748">
        <f>+E78</f>
        <v>90.626900611127141</v>
      </c>
      <c r="F156" s="3748">
        <f t="shared" ref="F156:K156" si="59">+F78</f>
        <v>90.95708040849614</v>
      </c>
      <c r="G156" s="3748">
        <f t="shared" si="59"/>
        <v>90.956313421697885</v>
      </c>
      <c r="H156" s="3748">
        <f t="shared" si="59"/>
        <v>90.781480861139713</v>
      </c>
      <c r="I156" s="3748">
        <f t="shared" si="59"/>
        <v>90.381180349036981</v>
      </c>
      <c r="J156" s="3748">
        <f t="shared" si="59"/>
        <v>87.707388126030864</v>
      </c>
      <c r="K156" s="3748">
        <f t="shared" si="59"/>
        <v>90.469439382451938</v>
      </c>
    </row>
    <row r="157" spans="3:11" ht="13" thickBot="1">
      <c r="C157" s="2026" t="s">
        <v>1696</v>
      </c>
      <c r="D157" s="3727" t="s">
        <v>1404</v>
      </c>
      <c r="E157" s="3749">
        <f>+E26</f>
        <v>89.850973458553213</v>
      </c>
      <c r="F157" s="3749">
        <f t="shared" ref="F157:K157" si="60">+F26</f>
        <v>90.224624853035252</v>
      </c>
      <c r="G157" s="3749">
        <f t="shared" si="60"/>
        <v>89.406958992464013</v>
      </c>
      <c r="H157" s="3749">
        <f t="shared" si="60"/>
        <v>89.808703657913071</v>
      </c>
      <c r="I157" s="3749">
        <f t="shared" si="60"/>
        <v>90.300288436071995</v>
      </c>
      <c r="J157" s="3749">
        <f t="shared" si="60"/>
        <v>90.184668922599528</v>
      </c>
      <c r="K157" s="3749">
        <f t="shared" si="60"/>
        <v>90.579694000087017</v>
      </c>
    </row>
    <row r="158" spans="3:11" ht="13" thickBot="1">
      <c r="C158" s="3728"/>
      <c r="D158" s="3729" t="s">
        <v>998</v>
      </c>
      <c r="E158" s="3731">
        <f t="shared" ref="E158:K158" si="61">+E157-E156</f>
        <v>-0.77592715257392797</v>
      </c>
      <c r="F158" s="3731">
        <f t="shared" si="61"/>
        <v>-0.73245555546088781</v>
      </c>
      <c r="G158" s="3731">
        <f t="shared" si="61"/>
        <v>-1.5493544292338726</v>
      </c>
      <c r="H158" s="3731">
        <f t="shared" si="61"/>
        <v>-0.97277720322664152</v>
      </c>
      <c r="I158" s="3731">
        <f t="shared" si="61"/>
        <v>-8.0891912964986545E-2</v>
      </c>
      <c r="J158" s="3731">
        <f t="shared" si="61"/>
        <v>2.4772807965686638</v>
      </c>
      <c r="K158" s="3731">
        <f t="shared" si="61"/>
        <v>0.11025461763507849</v>
      </c>
    </row>
    <row r="159" spans="3:11" ht="13" thickBot="1"/>
    <row r="160" spans="3:11">
      <c r="C160" s="1692" t="s">
        <v>23</v>
      </c>
      <c r="D160" s="3726" t="s">
        <v>9</v>
      </c>
      <c r="E160" s="3748">
        <f>+E74</f>
        <v>97.885672723806138</v>
      </c>
      <c r="F160" s="3748">
        <f t="shared" ref="F160:K160" si="62">+F74</f>
        <v>97.885672723806138</v>
      </c>
      <c r="G160" s="3748">
        <f t="shared" si="62"/>
        <v>97.885672723806138</v>
      </c>
      <c r="H160" s="3748">
        <f t="shared" si="62"/>
        <v>97.885672723806138</v>
      </c>
      <c r="I160" s="3748">
        <f t="shared" si="62"/>
        <v>97.885672723806138</v>
      </c>
      <c r="J160" s="3748">
        <f t="shared" si="62"/>
        <v>97.885672723806138</v>
      </c>
      <c r="K160" s="3748">
        <f t="shared" si="62"/>
        <v>97.885672723806138</v>
      </c>
    </row>
    <row r="161" spans="3:14" ht="13" thickBot="1">
      <c r="C161" s="2026" t="s">
        <v>23</v>
      </c>
      <c r="D161" s="3727" t="s">
        <v>1404</v>
      </c>
      <c r="E161" s="3749">
        <f>+E111</f>
        <v>97.88718333333334</v>
      </c>
      <c r="F161" s="3749">
        <f t="shared" ref="F161:K161" si="63">+F111</f>
        <v>97.88718333333334</v>
      </c>
      <c r="G161" s="3749">
        <f t="shared" si="63"/>
        <v>97.88718333333334</v>
      </c>
      <c r="H161" s="3749">
        <f t="shared" si="63"/>
        <v>94.705183333333338</v>
      </c>
      <c r="I161" s="3749">
        <f t="shared" si="63"/>
        <v>97.88718333333334</v>
      </c>
      <c r="J161" s="3749">
        <f t="shared" si="63"/>
        <v>97.88718333333334</v>
      </c>
      <c r="K161" s="3749">
        <f t="shared" si="63"/>
        <v>97.88718333333334</v>
      </c>
    </row>
    <row r="162" spans="3:14" ht="13" thickBot="1">
      <c r="C162" s="3728"/>
      <c r="D162" s="3729" t="s">
        <v>998</v>
      </c>
      <c r="E162" s="3731">
        <f t="shared" ref="E162:K162" si="64">+E161-E160</f>
        <v>1.5106095272017228E-3</v>
      </c>
      <c r="F162" s="3731">
        <f t="shared" si="64"/>
        <v>1.5106095272017228E-3</v>
      </c>
      <c r="G162" s="3731">
        <f t="shared" si="64"/>
        <v>1.5106095272017228E-3</v>
      </c>
      <c r="H162" s="3731">
        <f t="shared" si="64"/>
        <v>-3.1804893904728004</v>
      </c>
      <c r="I162" s="3731">
        <f t="shared" si="64"/>
        <v>1.5106095272017228E-3</v>
      </c>
      <c r="J162" s="3731">
        <f t="shared" si="64"/>
        <v>1.5106095272017228E-3</v>
      </c>
      <c r="K162" s="3731">
        <f t="shared" si="64"/>
        <v>1.5106095272017228E-3</v>
      </c>
    </row>
    <row r="163" spans="3:14" ht="13" thickBot="1"/>
    <row r="164" spans="3:14">
      <c r="C164" s="1692" t="s">
        <v>83</v>
      </c>
      <c r="D164" s="3726" t="s">
        <v>9</v>
      </c>
      <c r="E164" s="3748">
        <f>+E71</f>
        <v>4.3183355762180522</v>
      </c>
      <c r="F164" s="3748">
        <f t="shared" ref="F164:K164" si="65">+F71</f>
        <v>4.3184590964731928</v>
      </c>
      <c r="G164" s="3748">
        <f t="shared" si="65"/>
        <v>4.3493738116910921</v>
      </c>
      <c r="H164" s="3748">
        <f t="shared" si="65"/>
        <v>4.3775371759285386</v>
      </c>
      <c r="I164" s="3748">
        <f t="shared" si="65"/>
        <v>4.2900576356295144</v>
      </c>
      <c r="J164" s="3748">
        <f t="shared" si="65"/>
        <v>4.1703639949699189</v>
      </c>
      <c r="K164" s="3748">
        <f t="shared" si="65"/>
        <v>3.8727736812415436</v>
      </c>
    </row>
    <row r="165" spans="3:14" ht="13" thickBot="1">
      <c r="C165" s="2026" t="s">
        <v>83</v>
      </c>
      <c r="D165" s="3727" t="s">
        <v>1404</v>
      </c>
      <c r="E165" s="3749">
        <f>+E116</f>
        <v>4.1969345058076382</v>
      </c>
      <c r="F165" s="3749">
        <f t="shared" ref="F165:K165" si="66">+F116</f>
        <v>4.2551669079758971</v>
      </c>
      <c r="G165" s="3749">
        <f t="shared" si="66"/>
        <v>4.165449051016898</v>
      </c>
      <c r="H165" s="3749">
        <f t="shared" si="66"/>
        <v>4.2767305199496732</v>
      </c>
      <c r="I165" s="3749">
        <f t="shared" si="66"/>
        <v>4.2962545068139528</v>
      </c>
      <c r="J165" s="3749">
        <f t="shared" si="66"/>
        <v>4.2745707218298765</v>
      </c>
      <c r="K165" s="3749">
        <f t="shared" si="66"/>
        <v>4.2965275272066039</v>
      </c>
      <c r="N165" s="1687"/>
    </row>
    <row r="166" spans="3:14" ht="13" thickBot="1">
      <c r="C166" s="3728"/>
      <c r="D166" s="3729" t="s">
        <v>998</v>
      </c>
      <c r="E166" s="3731">
        <f t="shared" ref="E166:K166" si="67">+E165-E164</f>
        <v>-0.12140107041041404</v>
      </c>
      <c r="F166" s="3731">
        <f t="shared" si="67"/>
        <v>-6.3292188497295676E-2</v>
      </c>
      <c r="G166" s="3731">
        <f t="shared" si="67"/>
        <v>-0.18392476067419405</v>
      </c>
      <c r="H166" s="3731">
        <f t="shared" si="67"/>
        <v>-0.1008066559788654</v>
      </c>
      <c r="I166" s="3731">
        <f t="shared" si="67"/>
        <v>6.1968711844384572E-3</v>
      </c>
      <c r="J166" s="3731">
        <f t="shared" si="67"/>
        <v>0.10420672685995758</v>
      </c>
      <c r="K166" s="3731">
        <f t="shared" si="67"/>
        <v>0.42375384596506027</v>
      </c>
    </row>
    <row r="167" spans="3:14" ht="13" thickBot="1"/>
    <row r="168" spans="3:14">
      <c r="C168" s="1692" t="s">
        <v>576</v>
      </c>
      <c r="D168" s="3726" t="s">
        <v>9</v>
      </c>
      <c r="E168" s="3748">
        <f>+E68</f>
        <v>37.831207029537204</v>
      </c>
      <c r="F168" s="3748">
        <f t="shared" ref="F168:K168" si="68">+F68</f>
        <v>36.152261349255689</v>
      </c>
      <c r="G168" s="3748">
        <f t="shared" si="68"/>
        <v>36.837072346157001</v>
      </c>
      <c r="H168" s="3748">
        <f t="shared" si="68"/>
        <v>36.355026368370282</v>
      </c>
      <c r="I168" s="3748">
        <f t="shared" si="68"/>
        <v>37.37366346942364</v>
      </c>
      <c r="J168" s="3748">
        <f t="shared" si="68"/>
        <v>37.100089455925193</v>
      </c>
      <c r="K168" s="3748">
        <f t="shared" si="68"/>
        <v>37.148098228593724</v>
      </c>
    </row>
    <row r="169" spans="3:14" ht="13" thickBot="1">
      <c r="C169" s="2026" t="s">
        <v>576</v>
      </c>
      <c r="D169" s="3727" t="s">
        <v>1404</v>
      </c>
      <c r="E169" s="3749">
        <f>+E114</f>
        <v>38.523613807334328</v>
      </c>
      <c r="F169" s="3749">
        <f t="shared" ref="F169:K169" si="69">+F114</f>
        <v>38.468991267239623</v>
      </c>
      <c r="G169" s="3749">
        <f t="shared" si="69"/>
        <v>39.31624955139938</v>
      </c>
      <c r="H169" s="3749">
        <f t="shared" si="69"/>
        <v>38.559717584585364</v>
      </c>
      <c r="I169" s="3749">
        <f t="shared" si="69"/>
        <v>37.635390704304228</v>
      </c>
      <c r="J169" s="3749">
        <f t="shared" si="69"/>
        <v>36.531048012461845</v>
      </c>
      <c r="K169" s="3749">
        <f t="shared" si="69"/>
        <v>35.81651261035524</v>
      </c>
    </row>
    <row r="170" spans="3:14" ht="13" thickBot="1">
      <c r="C170" s="3728"/>
      <c r="D170" s="3729" t="s">
        <v>998</v>
      </c>
      <c r="E170" s="3731">
        <f t="shared" ref="E170:K170" si="70">+E169-E168</f>
        <v>0.69240677779712456</v>
      </c>
      <c r="F170" s="3731">
        <f t="shared" si="70"/>
        <v>2.3167299179839347</v>
      </c>
      <c r="G170" s="3731">
        <f t="shared" si="70"/>
        <v>2.4791772052423795</v>
      </c>
      <c r="H170" s="3731">
        <f t="shared" si="70"/>
        <v>2.2046912162150818</v>
      </c>
      <c r="I170" s="3731">
        <f t="shared" si="70"/>
        <v>0.26172723488058836</v>
      </c>
      <c r="J170" s="3731">
        <f t="shared" si="70"/>
        <v>-0.56904144346334817</v>
      </c>
      <c r="K170" s="3731">
        <f t="shared" si="70"/>
        <v>-1.3315856182384849</v>
      </c>
    </row>
    <row r="171" spans="3:14" ht="13" thickBot="1"/>
    <row r="172" spans="3:14">
      <c r="C172" s="1692" t="s">
        <v>580</v>
      </c>
      <c r="D172" s="3726" t="s">
        <v>9</v>
      </c>
      <c r="E172" s="3748">
        <f>+E67</f>
        <v>94.882705131702281</v>
      </c>
      <c r="F172" s="3748">
        <f t="shared" ref="F172:K172" si="71">+F67</f>
        <v>92.23774481701308</v>
      </c>
      <c r="G172" s="3748">
        <f t="shared" si="71"/>
        <v>94.785056199938552</v>
      </c>
      <c r="H172" s="3748">
        <f t="shared" si="71"/>
        <v>93.006760265208342</v>
      </c>
      <c r="I172" s="3748">
        <f t="shared" si="71"/>
        <v>83.560410965114826</v>
      </c>
      <c r="J172" s="3748">
        <f t="shared" si="71"/>
        <v>74.705348359208827</v>
      </c>
      <c r="K172" s="3748">
        <f t="shared" si="71"/>
        <v>69.620664398692853</v>
      </c>
    </row>
    <row r="173" spans="3:14" ht="13" thickBot="1">
      <c r="C173" s="2026" t="s">
        <v>580</v>
      </c>
      <c r="D173" s="3727" t="s">
        <v>1404</v>
      </c>
      <c r="E173" s="3749">
        <f>+E113</f>
        <v>84.725226719810948</v>
      </c>
      <c r="F173" s="3749">
        <f t="shared" ref="F173:K173" si="72">+F113</f>
        <v>89.785191129797255</v>
      </c>
      <c r="G173" s="3749">
        <f t="shared" si="72"/>
        <v>81.114557259309791</v>
      </c>
      <c r="H173" s="3749">
        <f t="shared" si="72"/>
        <v>84.076870053142514</v>
      </c>
      <c r="I173" s="3749">
        <f t="shared" si="72"/>
        <v>87.543521444280415</v>
      </c>
      <c r="J173" s="3749">
        <f t="shared" si="72"/>
        <v>86.154996684978286</v>
      </c>
      <c r="K173" s="3749">
        <f t="shared" si="72"/>
        <v>87.950575463139046</v>
      </c>
    </row>
    <row r="174" spans="3:14" ht="13" thickBot="1">
      <c r="C174" s="3728"/>
      <c r="D174" s="3729" t="s">
        <v>998</v>
      </c>
      <c r="E174" s="3731">
        <f t="shared" ref="E174:K174" si="73">+E173-E172</f>
        <v>-10.157478411891333</v>
      </c>
      <c r="F174" s="3731">
        <f t="shared" si="73"/>
        <v>-2.4525536872158256</v>
      </c>
      <c r="G174" s="3731">
        <f t="shared" si="73"/>
        <v>-13.670498940628761</v>
      </c>
      <c r="H174" s="3731">
        <f t="shared" si="73"/>
        <v>-8.9298902120658283</v>
      </c>
      <c r="I174" s="3731">
        <f t="shared" si="73"/>
        <v>3.9831104791655889</v>
      </c>
      <c r="J174" s="3731">
        <f t="shared" si="73"/>
        <v>11.449648325769459</v>
      </c>
      <c r="K174" s="3731">
        <f t="shared" si="73"/>
        <v>18.329911064446193</v>
      </c>
    </row>
    <row r="175" spans="3:14" ht="13" thickBot="1"/>
    <row r="176" spans="3:14">
      <c r="C176" s="1692" t="s">
        <v>1697</v>
      </c>
      <c r="D176" s="3726" t="s">
        <v>9</v>
      </c>
      <c r="E176" s="3748">
        <f>+E80</f>
        <v>28.477234564178254</v>
      </c>
      <c r="F176" s="3748">
        <f t="shared" ref="F176:K176" si="74">+F80</f>
        <v>27.716210748744583</v>
      </c>
      <c r="G176" s="3748">
        <f t="shared" si="74"/>
        <v>30.291011915290664</v>
      </c>
      <c r="H176" s="3748">
        <f t="shared" si="74"/>
        <v>29.00637430726275</v>
      </c>
      <c r="I176" s="3748">
        <f t="shared" si="74"/>
        <v>26.705241224231788</v>
      </c>
      <c r="J176" s="3748">
        <f t="shared" si="74"/>
        <v>24.113319660599188</v>
      </c>
      <c r="K176" s="3748">
        <f t="shared" si="74"/>
        <v>25.237979789437635</v>
      </c>
    </row>
    <row r="177" spans="3:11" ht="13" thickBot="1">
      <c r="C177" s="2026" t="s">
        <v>1697</v>
      </c>
      <c r="D177" s="3727" t="s">
        <v>1404</v>
      </c>
      <c r="E177" s="3749">
        <f>+E121</f>
        <v>25.463830076813228</v>
      </c>
      <c r="F177" s="3749">
        <f t="shared" ref="F177:K177" si="75">+F121</f>
        <v>27.191767251601942</v>
      </c>
      <c r="G177" s="3749">
        <f t="shared" si="75"/>
        <v>23.645726239500451</v>
      </c>
      <c r="H177" s="3749">
        <f t="shared" si="75"/>
        <v>22.937398694023585</v>
      </c>
      <c r="I177" s="3749">
        <f t="shared" si="75"/>
        <v>24.166962778076822</v>
      </c>
      <c r="J177" s="3749">
        <f t="shared" si="75"/>
        <v>25.229869264557234</v>
      </c>
      <c r="K177" s="3749">
        <f t="shared" si="75"/>
        <v>25.74568622905867</v>
      </c>
    </row>
    <row r="178" spans="3:11" ht="13" thickBot="1">
      <c r="C178" s="3728"/>
      <c r="D178" s="3729" t="s">
        <v>998</v>
      </c>
      <c r="E178" s="3731">
        <f t="shared" ref="E178:K178" si="76">+E177-E176</f>
        <v>-3.0134044873650261</v>
      </c>
      <c r="F178" s="3731">
        <f t="shared" si="76"/>
        <v>-0.52444349714264149</v>
      </c>
      <c r="G178" s="3731">
        <f t="shared" si="76"/>
        <v>-6.6452856757902126</v>
      </c>
      <c r="H178" s="3731">
        <f t="shared" si="76"/>
        <v>-6.0689756132391643</v>
      </c>
      <c r="I178" s="3731">
        <f t="shared" si="76"/>
        <v>-2.5382784461549655</v>
      </c>
      <c r="J178" s="3731">
        <f t="shared" si="76"/>
        <v>1.1165496039580454</v>
      </c>
      <c r="K178" s="3731">
        <f t="shared" si="76"/>
        <v>0.50770643962103534</v>
      </c>
    </row>
    <row r="179" spans="3:11" ht="13" thickBot="1"/>
    <row r="180" spans="3:11">
      <c r="C180" s="1692" t="s">
        <v>1697</v>
      </c>
      <c r="D180" s="3726" t="s">
        <v>9</v>
      </c>
      <c r="E180" s="3748">
        <f>+E84</f>
        <v>93.19372724003378</v>
      </c>
      <c r="F180" s="3748">
        <f t="shared" ref="F180:K180" si="77">+F84</f>
        <v>93.124172784071234</v>
      </c>
      <c r="G180" s="3748">
        <f t="shared" si="77"/>
        <v>93.015446450445978</v>
      </c>
      <c r="H180" s="3748">
        <f t="shared" si="77"/>
        <v>91.379392806824598</v>
      </c>
      <c r="I180" s="3748">
        <f t="shared" si="77"/>
        <v>90.129959905640135</v>
      </c>
      <c r="J180" s="3748">
        <f t="shared" si="77"/>
        <v>87.333156641235632</v>
      </c>
      <c r="K180" s="3748">
        <f t="shared" si="77"/>
        <v>88.090924663621166</v>
      </c>
    </row>
    <row r="181" spans="3:11" ht="13" thickBot="1">
      <c r="C181" s="2026" t="s">
        <v>1697</v>
      </c>
      <c r="D181" s="3727" t="s">
        <v>1404</v>
      </c>
      <c r="E181" s="3749">
        <f>+E125</f>
        <v>8.8703331204126759</v>
      </c>
      <c r="F181" s="3749">
        <f t="shared" ref="F181:K181" si="78">+F125</f>
        <v>7.0783123847299123</v>
      </c>
      <c r="G181" s="3749">
        <f t="shared" si="78"/>
        <v>9.1910918624959894</v>
      </c>
      <c r="H181" s="3749">
        <f t="shared" si="78"/>
        <v>9.3765287877014494</v>
      </c>
      <c r="I181" s="3749">
        <f t="shared" si="78"/>
        <v>10.606922473444</v>
      </c>
      <c r="J181" s="3749">
        <f t="shared" si="78"/>
        <v>9.6731308251720716</v>
      </c>
      <c r="K181" s="3749">
        <f t="shared" si="78"/>
        <v>7.7150922778773214</v>
      </c>
    </row>
    <row r="182" spans="3:11" ht="13" thickBot="1">
      <c r="C182" s="3728"/>
      <c r="D182" s="3729" t="s">
        <v>998</v>
      </c>
      <c r="E182" s="3731">
        <f t="shared" ref="E182:K182" si="79">+E181-E180</f>
        <v>-84.323394119621099</v>
      </c>
      <c r="F182" s="3731">
        <f t="shared" si="79"/>
        <v>-86.045860399341322</v>
      </c>
      <c r="G182" s="3731">
        <f t="shared" si="79"/>
        <v>-83.824354587949983</v>
      </c>
      <c r="H182" s="3731">
        <f t="shared" si="79"/>
        <v>-82.002864019123152</v>
      </c>
      <c r="I182" s="3731">
        <f t="shared" si="79"/>
        <v>-79.523037432196134</v>
      </c>
      <c r="J182" s="3731">
        <f t="shared" si="79"/>
        <v>-77.660025816063566</v>
      </c>
      <c r="K182" s="3731">
        <f t="shared" si="79"/>
        <v>-80.375832385743848</v>
      </c>
    </row>
  </sheetData>
  <mergeCells count="9">
    <mergeCell ref="M3:N3"/>
    <mergeCell ref="O3:P3"/>
    <mergeCell ref="E54:J54"/>
    <mergeCell ref="C3:D3"/>
    <mergeCell ref="E2:K2"/>
    <mergeCell ref="E3:F3"/>
    <mergeCell ref="G3:H3"/>
    <mergeCell ref="I3:J3"/>
    <mergeCell ref="K3:L3"/>
  </mergeCells>
  <phoneticPr fontId="51" type="noConversion"/>
  <conditionalFormatting sqref="E150:K15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4:K15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8:K15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2:K16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6:K16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0:K17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4:K17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8:K17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82:K18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8:O50">
    <cfRule type="iconSet" priority="14">
      <iconSet>
        <cfvo type="percent" val="0"/>
        <cfvo type="num" val="-3"/>
        <cfvo type="num" val="0"/>
      </iconSet>
    </cfRule>
  </conditionalFormatting>
  <conditionalFormatting sqref="O107:O109">
    <cfRule type="iconSet" priority="12">
      <iconSet>
        <cfvo type="percent" val="0"/>
        <cfvo type="num" val="-3"/>
        <cfvo type="num" val="0"/>
      </iconSet>
    </cfRule>
  </conditionalFormatting>
  <conditionalFormatting sqref="O110 O118">
    <cfRule type="iconSet" priority="393">
      <iconSet>
        <cfvo type="percent" val="0"/>
        <cfvo type="num" val="-3"/>
        <cfvo type="num" val="0"/>
      </iconSet>
    </cfRule>
  </conditionalFormatting>
  <conditionalFormatting sqref="O111:O117">
    <cfRule type="iconSet" priority="11">
      <iconSet>
        <cfvo type="percent" val="0"/>
        <cfvo type="num" val="-3"/>
        <cfvo type="num" val="0"/>
      </iconSet>
    </cfRule>
  </conditionalFormatting>
  <conditionalFormatting sqref="O119:O144">
    <cfRule type="iconSet" priority="394">
      <iconSet>
        <cfvo type="percent" val="0"/>
        <cfvo type="num" val="-3"/>
        <cfvo type="num" val="0"/>
      </iconSet>
    </cfRule>
  </conditionalFormatting>
  <pageMargins left="0.7" right="0.7" top="0.75" bottom="0.75" header="0.3" footer="0.3"/>
  <pageSetup paperSize="9" orientation="portrait" horizontalDpi="360" verticalDpi="360" r:id="rId1"/>
  <ignoredErrors>
    <ignoredError sqref="L9:L12 L14 M21 O15 O30 L17 L20 L23:L24 L28 M13 L39 N120:N126 N107:N119 N133:N144 N130" formula="1"/>
  </ignoredErrors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046DD-9CC8-4013-B20C-228E60297DAF}">
  <sheetPr codeName="Hoja41">
    <tabColor theme="4" tint="0.39997558519241921"/>
  </sheetPr>
  <dimension ref="A2:Y37"/>
  <sheetViews>
    <sheetView zoomScale="115" zoomScaleNormal="115" workbookViewId="0">
      <selection activeCell="O32" sqref="O32"/>
    </sheetView>
  </sheetViews>
  <sheetFormatPr baseColWidth="10" defaultRowHeight="12.5"/>
  <cols>
    <col min="1" max="1" width="10.1796875" bestFit="1" customWidth="1"/>
    <col min="2" max="4" width="6" bestFit="1" customWidth="1"/>
    <col min="5" max="5" width="6.54296875" bestFit="1" customWidth="1"/>
    <col min="6" max="12" width="5.54296875" bestFit="1" customWidth="1"/>
    <col min="13" max="13" width="6.453125" style="3078" customWidth="1"/>
    <col min="14" max="23" width="6.453125" style="331" customWidth="1"/>
    <col min="24" max="24" width="7" style="331" customWidth="1"/>
    <col min="25" max="25" width="28" customWidth="1"/>
  </cols>
  <sheetData>
    <row r="2" spans="1:25">
      <c r="A2" s="156">
        <f>+'ST Original'!B7</f>
        <v>0</v>
      </c>
      <c r="B2" t="str">
        <f>+'ST Original'!DL7</f>
        <v>SAG1</v>
      </c>
      <c r="C2" t="str">
        <f>+'ST Original'!DM7</f>
        <v>SAG2</v>
      </c>
      <c r="D2" t="str">
        <f>+'ST Original'!DN7</f>
        <v>SAG3</v>
      </c>
      <c r="E2" t="str">
        <f>+'ST Original'!DO7</f>
        <v>SAG 4</v>
      </c>
      <c r="F2" t="str">
        <f>+'ST Original'!DP7</f>
        <v>ML04</v>
      </c>
      <c r="G2" t="str">
        <f>+'ST Original'!DQ7</f>
        <v>ML05</v>
      </c>
      <c r="H2" t="str">
        <f>+'ST Original'!DR7</f>
        <v>ML06</v>
      </c>
      <c r="I2" t="str">
        <f>+'ST Original'!DS7</f>
        <v>ML07</v>
      </c>
      <c r="J2" t="str">
        <f>+'ST Original'!DT7</f>
        <v>ML08</v>
      </c>
      <c r="K2" t="str">
        <f>+'ST Original'!DU7</f>
        <v>ML09</v>
      </c>
      <c r="L2" t="str">
        <f>+'ST Original'!DV7</f>
        <v>ML10</v>
      </c>
      <c r="M2" s="3080" t="s">
        <v>482</v>
      </c>
      <c r="N2" s="3081" t="str">
        <f>+B2</f>
        <v>SAG1</v>
      </c>
      <c r="O2" s="3081" t="str">
        <f t="shared" ref="O2:V2" si="0">+C2</f>
        <v>SAG2</v>
      </c>
      <c r="P2" s="3081" t="str">
        <f t="shared" si="0"/>
        <v>SAG3</v>
      </c>
      <c r="Q2" s="3081" t="str">
        <f t="shared" si="0"/>
        <v>SAG 4</v>
      </c>
      <c r="R2" s="3081" t="str">
        <f t="shared" si="0"/>
        <v>ML04</v>
      </c>
      <c r="S2" s="3081" t="str">
        <f t="shared" si="0"/>
        <v>ML05</v>
      </c>
      <c r="T2" s="3081" t="str">
        <f t="shared" si="0"/>
        <v>ML06</v>
      </c>
      <c r="U2" s="3081" t="str">
        <f t="shared" si="0"/>
        <v>ML07</v>
      </c>
      <c r="V2" s="3081" t="str">
        <f t="shared" si="0"/>
        <v>ML08</v>
      </c>
      <c r="W2" s="3081" t="str">
        <f>+K2</f>
        <v>ML09</v>
      </c>
      <c r="X2" s="3081" t="str">
        <f>+L2</f>
        <v>ML10</v>
      </c>
      <c r="Y2" s="3081" t="s">
        <v>1520</v>
      </c>
    </row>
    <row r="3" spans="1:25">
      <c r="A3" s="156">
        <f>+'ST Original'!B8</f>
        <v>46082.791666666664</v>
      </c>
      <c r="B3">
        <f>+'ST Original'!DL8</f>
        <v>0</v>
      </c>
      <c r="C3">
        <f>+'ST Original'!DM8</f>
        <v>0</v>
      </c>
      <c r="D3">
        <f>+'ST Original'!DN8</f>
        <v>0</v>
      </c>
      <c r="E3">
        <f>+'ST Original'!DO8</f>
        <v>0</v>
      </c>
      <c r="F3">
        <f>+'ST Original'!DP8</f>
        <v>0</v>
      </c>
      <c r="G3">
        <f>+'ST Original'!DQ8</f>
        <v>0</v>
      </c>
      <c r="H3">
        <f>+'ST Original'!DR8</f>
        <v>0</v>
      </c>
      <c r="I3">
        <f>+'ST Original'!DS8</f>
        <v>0</v>
      </c>
      <c r="J3">
        <f>+'ST Original'!DT8</f>
        <v>0</v>
      </c>
      <c r="K3">
        <f>+'ST Original'!DU8</f>
        <v>0</v>
      </c>
      <c r="L3">
        <f>+'ST Original'!DV8</f>
        <v>0</v>
      </c>
      <c r="M3" s="3080">
        <f>+A3</f>
        <v>46082.791666666664</v>
      </c>
      <c r="N3" s="2128" t="str">
        <f>+IF(B3=0,"",B3)</f>
        <v/>
      </c>
      <c r="O3" s="2128" t="str">
        <f t="shared" ref="O3:X18" si="1">+IF(C3=0,"",C3)</f>
        <v/>
      </c>
      <c r="P3" s="2128" t="str">
        <f t="shared" si="1"/>
        <v/>
      </c>
      <c r="Q3" s="2128" t="str">
        <f t="shared" si="1"/>
        <v/>
      </c>
      <c r="R3" s="2128" t="str">
        <f t="shared" si="1"/>
        <v/>
      </c>
      <c r="S3" s="2128" t="str">
        <f t="shared" si="1"/>
        <v/>
      </c>
      <c r="T3" s="2128" t="str">
        <f t="shared" si="1"/>
        <v/>
      </c>
      <c r="U3" s="2128" t="str">
        <f t="shared" si="1"/>
        <v/>
      </c>
      <c r="V3" s="2128" t="str">
        <f t="shared" si="1"/>
        <v/>
      </c>
      <c r="W3" s="2128" t="str">
        <f t="shared" si="1"/>
        <v/>
      </c>
      <c r="X3" s="2128" t="str">
        <f t="shared" si="1"/>
        <v/>
      </c>
      <c r="Y3" s="3082"/>
    </row>
    <row r="4" spans="1:25">
      <c r="A4" s="156">
        <f>+'ST Original'!B9</f>
        <v>46083.791666666664</v>
      </c>
      <c r="B4">
        <f>+'ST Original'!DL9</f>
        <v>13</v>
      </c>
      <c r="C4">
        <f>+'ST Original'!DM9</f>
        <v>0</v>
      </c>
      <c r="D4">
        <f>+'ST Original'!DN9</f>
        <v>0</v>
      </c>
      <c r="E4">
        <f>+'ST Original'!DO9</f>
        <v>0</v>
      </c>
      <c r="F4">
        <f>+'ST Original'!DP9</f>
        <v>0</v>
      </c>
      <c r="G4">
        <f>+'ST Original'!DQ9</f>
        <v>0</v>
      </c>
      <c r="H4">
        <f>+'ST Original'!DR9</f>
        <v>0</v>
      </c>
      <c r="I4">
        <f>+'ST Original'!DS9</f>
        <v>0</v>
      </c>
      <c r="J4">
        <f>+'ST Original'!DT9</f>
        <v>0</v>
      </c>
      <c r="K4">
        <f>+'ST Original'!DU9</f>
        <v>0</v>
      </c>
      <c r="L4">
        <f>+'ST Original'!DV9</f>
        <v>0</v>
      </c>
      <c r="M4" s="3080">
        <f t="shared" ref="M4:M33" si="2">+A4</f>
        <v>46083.791666666664</v>
      </c>
      <c r="N4" s="2128">
        <f t="shared" ref="N4:N32" si="3">+IF(B4=0,"",B4)</f>
        <v>13</v>
      </c>
      <c r="O4" s="2128" t="str">
        <f t="shared" si="1"/>
        <v/>
      </c>
      <c r="P4" s="2128" t="str">
        <f t="shared" si="1"/>
        <v/>
      </c>
      <c r="Q4" s="2128" t="str">
        <f t="shared" si="1"/>
        <v/>
      </c>
      <c r="R4" s="2128" t="str">
        <f t="shared" si="1"/>
        <v/>
      </c>
      <c r="S4" s="2128" t="str">
        <f t="shared" si="1"/>
        <v/>
      </c>
      <c r="T4" s="2128" t="str">
        <f t="shared" si="1"/>
        <v/>
      </c>
      <c r="U4" s="2128" t="str">
        <f t="shared" si="1"/>
        <v/>
      </c>
      <c r="V4" s="2128" t="str">
        <f t="shared" si="1"/>
        <v/>
      </c>
      <c r="W4" s="2128" t="str">
        <f t="shared" si="1"/>
        <v/>
      </c>
      <c r="X4" s="2128" t="str">
        <f t="shared" si="1"/>
        <v/>
      </c>
      <c r="Y4" s="3082"/>
    </row>
    <row r="5" spans="1:25">
      <c r="A5" s="156">
        <f>+'ST Original'!B10</f>
        <v>46084.791666666664</v>
      </c>
      <c r="B5">
        <f>+'ST Original'!DL10</f>
        <v>24</v>
      </c>
      <c r="C5">
        <f>+'ST Original'!DM10</f>
        <v>0</v>
      </c>
      <c r="D5">
        <f>+'ST Original'!DN10</f>
        <v>0</v>
      </c>
      <c r="E5">
        <f>+'ST Original'!DO10</f>
        <v>0</v>
      </c>
      <c r="F5">
        <f>+'ST Original'!DP10</f>
        <v>0</v>
      </c>
      <c r="G5">
        <f>+'ST Original'!DQ10</f>
        <v>0</v>
      </c>
      <c r="H5">
        <f>+'ST Original'!DR10</f>
        <v>0</v>
      </c>
      <c r="I5">
        <f>+'ST Original'!DS10</f>
        <v>0</v>
      </c>
      <c r="J5">
        <f>+'ST Original'!DT10</f>
        <v>0</v>
      </c>
      <c r="K5">
        <f>+'ST Original'!DU10</f>
        <v>0</v>
      </c>
      <c r="L5">
        <f>+'ST Original'!DV10</f>
        <v>0</v>
      </c>
      <c r="M5" s="3080">
        <f t="shared" si="2"/>
        <v>46084.791666666664</v>
      </c>
      <c r="N5" s="2128">
        <f t="shared" si="3"/>
        <v>24</v>
      </c>
      <c r="O5" s="2128" t="str">
        <f t="shared" si="1"/>
        <v/>
      </c>
      <c r="P5" s="2128" t="str">
        <f t="shared" si="1"/>
        <v/>
      </c>
      <c r="Q5" s="2128" t="str">
        <f t="shared" si="1"/>
        <v/>
      </c>
      <c r="R5" s="2128" t="str">
        <f t="shared" si="1"/>
        <v/>
      </c>
      <c r="S5" s="2128" t="str">
        <f t="shared" si="1"/>
        <v/>
      </c>
      <c r="T5" s="2128" t="str">
        <f t="shared" si="1"/>
        <v/>
      </c>
      <c r="U5" s="2128" t="str">
        <f t="shared" si="1"/>
        <v/>
      </c>
      <c r="V5" s="2128" t="str">
        <f t="shared" si="1"/>
        <v/>
      </c>
      <c r="W5" s="2128" t="str">
        <f t="shared" si="1"/>
        <v/>
      </c>
      <c r="X5" s="2128" t="str">
        <f t="shared" si="1"/>
        <v/>
      </c>
      <c r="Y5" s="3082"/>
    </row>
    <row r="6" spans="1:25">
      <c r="A6" s="156">
        <f>+'ST Original'!B11</f>
        <v>46085.791666666664</v>
      </c>
      <c r="B6">
        <f>+'ST Original'!DL11</f>
        <v>24</v>
      </c>
      <c r="C6">
        <f>+'ST Original'!DM11</f>
        <v>0</v>
      </c>
      <c r="D6">
        <f>+'ST Original'!DN11</f>
        <v>0</v>
      </c>
      <c r="E6">
        <f>+'ST Original'!DO11</f>
        <v>0</v>
      </c>
      <c r="F6">
        <f>+'ST Original'!DP11</f>
        <v>0</v>
      </c>
      <c r="G6">
        <f>+'ST Original'!DQ11</f>
        <v>0</v>
      </c>
      <c r="H6">
        <f>+'ST Original'!DR11</f>
        <v>0</v>
      </c>
      <c r="I6">
        <f>+'ST Original'!DS11</f>
        <v>0</v>
      </c>
      <c r="J6">
        <f>+'ST Original'!DT11</f>
        <v>0</v>
      </c>
      <c r="K6">
        <f>+'ST Original'!DU11</f>
        <v>0</v>
      </c>
      <c r="L6">
        <f>+'ST Original'!DV11</f>
        <v>0</v>
      </c>
      <c r="M6" s="3080">
        <f t="shared" si="2"/>
        <v>46085.791666666664</v>
      </c>
      <c r="N6" s="2128">
        <f t="shared" si="3"/>
        <v>24</v>
      </c>
      <c r="O6" s="2128" t="str">
        <f t="shared" si="1"/>
        <v/>
      </c>
      <c r="P6" s="2128" t="str">
        <f t="shared" si="1"/>
        <v/>
      </c>
      <c r="Q6" s="2128" t="str">
        <f t="shared" si="1"/>
        <v/>
      </c>
      <c r="R6" s="2128" t="str">
        <f t="shared" si="1"/>
        <v/>
      </c>
      <c r="S6" s="2128" t="str">
        <f t="shared" si="1"/>
        <v/>
      </c>
      <c r="T6" s="2128" t="str">
        <f t="shared" si="1"/>
        <v/>
      </c>
      <c r="U6" s="2128" t="str">
        <f t="shared" si="1"/>
        <v/>
      </c>
      <c r="V6" s="2128" t="str">
        <f t="shared" si="1"/>
        <v/>
      </c>
      <c r="W6" s="2128" t="str">
        <f t="shared" si="1"/>
        <v/>
      </c>
      <c r="X6" s="2128" t="str">
        <f t="shared" si="1"/>
        <v/>
      </c>
      <c r="Y6" s="3082"/>
    </row>
    <row r="7" spans="1:25">
      <c r="A7" s="156">
        <f>+'ST Original'!B12</f>
        <v>46086.791666666664</v>
      </c>
      <c r="B7">
        <f>+'ST Original'!DL12</f>
        <v>24</v>
      </c>
      <c r="C7">
        <f>+'ST Original'!DM12</f>
        <v>0</v>
      </c>
      <c r="D7">
        <f>+'ST Original'!DN12</f>
        <v>0</v>
      </c>
      <c r="E7">
        <f>+'ST Original'!DO12</f>
        <v>0</v>
      </c>
      <c r="F7">
        <f>+'ST Original'!DP12</f>
        <v>0</v>
      </c>
      <c r="G7">
        <f>+'ST Original'!DQ12</f>
        <v>0</v>
      </c>
      <c r="H7">
        <f>+'ST Original'!DR12</f>
        <v>0</v>
      </c>
      <c r="I7">
        <f>+'ST Original'!DS12</f>
        <v>0</v>
      </c>
      <c r="J7">
        <f>+'ST Original'!DT12</f>
        <v>0</v>
      </c>
      <c r="K7">
        <f>+'ST Original'!DU12</f>
        <v>0</v>
      </c>
      <c r="L7">
        <f>+'ST Original'!DV12</f>
        <v>0</v>
      </c>
      <c r="M7" s="3080">
        <f t="shared" si="2"/>
        <v>46086.791666666664</v>
      </c>
      <c r="N7" s="2128">
        <f t="shared" si="3"/>
        <v>24</v>
      </c>
      <c r="O7" s="3079" t="str">
        <f t="shared" si="1"/>
        <v/>
      </c>
      <c r="P7" s="2128" t="str">
        <f t="shared" si="1"/>
        <v/>
      </c>
      <c r="Q7" s="2128" t="str">
        <f t="shared" si="1"/>
        <v/>
      </c>
      <c r="R7" s="2128" t="str">
        <f t="shared" si="1"/>
        <v/>
      </c>
      <c r="S7" s="2128" t="str">
        <f t="shared" si="1"/>
        <v/>
      </c>
      <c r="T7" s="2128" t="str">
        <f t="shared" si="1"/>
        <v/>
      </c>
      <c r="U7" s="2128" t="str">
        <f t="shared" si="1"/>
        <v/>
      </c>
      <c r="V7" s="2128" t="str">
        <f t="shared" si="1"/>
        <v/>
      </c>
      <c r="W7" s="2128" t="str">
        <f t="shared" si="1"/>
        <v/>
      </c>
      <c r="X7" s="2128" t="str">
        <f t="shared" si="1"/>
        <v/>
      </c>
      <c r="Y7" s="3082" t="s">
        <v>1503</v>
      </c>
    </row>
    <row r="8" spans="1:25">
      <c r="A8" s="156">
        <f>+'ST Original'!B13</f>
        <v>46087.791666666664</v>
      </c>
      <c r="B8">
        <f>+'ST Original'!DL13</f>
        <v>24</v>
      </c>
      <c r="C8">
        <f>+'ST Original'!DM13</f>
        <v>0</v>
      </c>
      <c r="D8">
        <f>+'ST Original'!DN13</f>
        <v>0</v>
      </c>
      <c r="E8">
        <f>+'ST Original'!DO13</f>
        <v>0</v>
      </c>
      <c r="F8">
        <f>+'ST Original'!DP13</f>
        <v>0</v>
      </c>
      <c r="G8">
        <f>+'ST Original'!DQ13</f>
        <v>0</v>
      </c>
      <c r="H8">
        <f>+'ST Original'!DR13</f>
        <v>0</v>
      </c>
      <c r="I8">
        <f>+'ST Original'!DS13</f>
        <v>0</v>
      </c>
      <c r="J8">
        <f>+'ST Original'!DT13</f>
        <v>0</v>
      </c>
      <c r="K8">
        <f>+'ST Original'!DU13</f>
        <v>0</v>
      </c>
      <c r="L8">
        <f>+'ST Original'!DV13</f>
        <v>0</v>
      </c>
      <c r="M8" s="3080">
        <f t="shared" si="2"/>
        <v>46087.791666666664</v>
      </c>
      <c r="N8" s="2128">
        <f t="shared" si="3"/>
        <v>24</v>
      </c>
      <c r="O8" s="2128" t="str">
        <f t="shared" si="1"/>
        <v/>
      </c>
      <c r="P8" s="2128" t="str">
        <f t="shared" si="1"/>
        <v/>
      </c>
      <c r="Q8" s="2128" t="str">
        <f t="shared" si="1"/>
        <v/>
      </c>
      <c r="R8" s="2128" t="str">
        <f t="shared" si="1"/>
        <v/>
      </c>
      <c r="S8" s="2128" t="str">
        <f t="shared" si="1"/>
        <v/>
      </c>
      <c r="T8" s="2128" t="str">
        <f t="shared" si="1"/>
        <v/>
      </c>
      <c r="U8" s="2128" t="str">
        <f t="shared" si="1"/>
        <v/>
      </c>
      <c r="V8" s="2128" t="str">
        <f t="shared" si="1"/>
        <v/>
      </c>
      <c r="W8" s="2128" t="str">
        <f t="shared" si="1"/>
        <v/>
      </c>
      <c r="X8" s="2128" t="str">
        <f t="shared" si="1"/>
        <v/>
      </c>
      <c r="Y8" s="3082"/>
    </row>
    <row r="9" spans="1:25">
      <c r="A9" s="156">
        <f>+'ST Original'!B14</f>
        <v>46088.791666666664</v>
      </c>
      <c r="B9">
        <f>+'ST Original'!DL14</f>
        <v>14</v>
      </c>
      <c r="C9">
        <f>+'ST Original'!DM14</f>
        <v>0</v>
      </c>
      <c r="D9">
        <f>+'ST Original'!DN14</f>
        <v>0</v>
      </c>
      <c r="E9">
        <f>+'ST Original'!DO14</f>
        <v>0</v>
      </c>
      <c r="F9">
        <f>+'ST Original'!DP14</f>
        <v>0</v>
      </c>
      <c r="G9">
        <f>+'ST Original'!DQ14</f>
        <v>0</v>
      </c>
      <c r="H9">
        <f>+'ST Original'!DR14</f>
        <v>0</v>
      </c>
      <c r="I9">
        <f>+'ST Original'!DS14</f>
        <v>0</v>
      </c>
      <c r="J9">
        <f>+'ST Original'!DT14</f>
        <v>0</v>
      </c>
      <c r="K9">
        <f>+'ST Original'!DU14</f>
        <v>0</v>
      </c>
      <c r="L9">
        <f>+'ST Original'!DV14</f>
        <v>0</v>
      </c>
      <c r="M9" s="3080">
        <f t="shared" si="2"/>
        <v>46088.791666666664</v>
      </c>
      <c r="N9" s="2128">
        <f t="shared" si="3"/>
        <v>14</v>
      </c>
      <c r="O9" s="2128" t="str">
        <f t="shared" si="1"/>
        <v/>
      </c>
      <c r="P9" s="2128" t="str">
        <f t="shared" si="1"/>
        <v/>
      </c>
      <c r="Q9" s="2128" t="str">
        <f t="shared" si="1"/>
        <v/>
      </c>
      <c r="R9" s="2128" t="str">
        <f t="shared" si="1"/>
        <v/>
      </c>
      <c r="S9" s="2128" t="str">
        <f t="shared" si="1"/>
        <v/>
      </c>
      <c r="T9" s="2128" t="str">
        <f t="shared" si="1"/>
        <v/>
      </c>
      <c r="U9" s="2128" t="str">
        <f t="shared" si="1"/>
        <v/>
      </c>
      <c r="V9" s="2128" t="str">
        <f t="shared" si="1"/>
        <v/>
      </c>
      <c r="W9" s="2128" t="str">
        <f t="shared" si="1"/>
        <v/>
      </c>
      <c r="X9" s="2128" t="str">
        <f t="shared" si="1"/>
        <v/>
      </c>
      <c r="Y9" s="3082"/>
    </row>
    <row r="10" spans="1:25">
      <c r="A10" s="156">
        <f>+'ST Original'!B15</f>
        <v>46089.791666666664</v>
      </c>
      <c r="B10">
        <f>+'ST Original'!DL15</f>
        <v>0</v>
      </c>
      <c r="C10">
        <f>+'ST Original'!DM15</f>
        <v>0</v>
      </c>
      <c r="D10">
        <f>+'ST Original'!DN15</f>
        <v>0</v>
      </c>
      <c r="E10">
        <f>+'ST Original'!DO15</f>
        <v>0</v>
      </c>
      <c r="F10">
        <f>+'ST Original'!DP15</f>
        <v>0</v>
      </c>
      <c r="G10">
        <f>+'ST Original'!DQ15</f>
        <v>0</v>
      </c>
      <c r="H10">
        <f>+'ST Original'!DR15</f>
        <v>0</v>
      </c>
      <c r="I10">
        <f>+'ST Original'!DS15</f>
        <v>0</v>
      </c>
      <c r="J10">
        <f>+'ST Original'!DT15</f>
        <v>0</v>
      </c>
      <c r="K10">
        <f>+'ST Original'!DU15</f>
        <v>0</v>
      </c>
      <c r="L10">
        <f>+'ST Original'!DV15</f>
        <v>0</v>
      </c>
      <c r="M10" s="3080">
        <f t="shared" si="2"/>
        <v>46089.791666666664</v>
      </c>
      <c r="N10" s="2128" t="str">
        <f t="shared" si="3"/>
        <v/>
      </c>
      <c r="O10" s="2128" t="str">
        <f t="shared" si="1"/>
        <v/>
      </c>
      <c r="P10" s="2128" t="str">
        <f t="shared" si="1"/>
        <v/>
      </c>
      <c r="Q10" s="2128" t="str">
        <f t="shared" si="1"/>
        <v/>
      </c>
      <c r="R10" s="2128" t="str">
        <f t="shared" si="1"/>
        <v/>
      </c>
      <c r="S10" s="2128" t="str">
        <f t="shared" si="1"/>
        <v/>
      </c>
      <c r="T10" s="2128" t="str">
        <f t="shared" si="1"/>
        <v/>
      </c>
      <c r="U10" s="2128" t="str">
        <f t="shared" si="1"/>
        <v/>
      </c>
      <c r="V10" s="2128" t="str">
        <f t="shared" si="1"/>
        <v/>
      </c>
      <c r="W10" s="2128" t="str">
        <f t="shared" si="1"/>
        <v/>
      </c>
      <c r="X10" s="2128" t="str">
        <f t="shared" si="1"/>
        <v/>
      </c>
      <c r="Y10" s="3082"/>
    </row>
    <row r="11" spans="1:25">
      <c r="A11" s="156">
        <f>+'ST Original'!B16</f>
        <v>46090.791666666664</v>
      </c>
      <c r="B11">
        <f>+'ST Original'!DL16</f>
        <v>13</v>
      </c>
      <c r="C11">
        <f>+'ST Original'!DM16</f>
        <v>0</v>
      </c>
      <c r="D11">
        <f>+'ST Original'!DN16</f>
        <v>0</v>
      </c>
      <c r="E11">
        <f>+'ST Original'!DO16</f>
        <v>0</v>
      </c>
      <c r="F11">
        <f>+'ST Original'!DP16</f>
        <v>0</v>
      </c>
      <c r="G11">
        <f>+'ST Original'!DQ16</f>
        <v>0</v>
      </c>
      <c r="H11">
        <f>+'ST Original'!DR16</f>
        <v>0</v>
      </c>
      <c r="I11">
        <f>+'ST Original'!DS16</f>
        <v>0</v>
      </c>
      <c r="J11">
        <f>+'ST Original'!DT16</f>
        <v>0</v>
      </c>
      <c r="K11">
        <f>+'ST Original'!DU16</f>
        <v>0</v>
      </c>
      <c r="L11">
        <f>+'ST Original'!DV16</f>
        <v>0</v>
      </c>
      <c r="M11" s="3080">
        <f t="shared" si="2"/>
        <v>46090.791666666664</v>
      </c>
      <c r="N11" s="2128">
        <f t="shared" si="3"/>
        <v>13</v>
      </c>
      <c r="O11" s="2128" t="str">
        <f t="shared" si="1"/>
        <v/>
      </c>
      <c r="P11" s="2128" t="str">
        <f t="shared" si="1"/>
        <v/>
      </c>
      <c r="Q11" s="2128" t="str">
        <f t="shared" si="1"/>
        <v/>
      </c>
      <c r="R11" s="2128" t="str">
        <f t="shared" si="1"/>
        <v/>
      </c>
      <c r="S11" s="2128" t="str">
        <f t="shared" si="1"/>
        <v/>
      </c>
      <c r="T11" s="2128" t="str">
        <f t="shared" si="1"/>
        <v/>
      </c>
      <c r="U11" s="2128" t="str">
        <f t="shared" si="1"/>
        <v/>
      </c>
      <c r="V11" s="2128" t="str">
        <f t="shared" si="1"/>
        <v/>
      </c>
      <c r="W11" s="2128" t="str">
        <f t="shared" si="1"/>
        <v/>
      </c>
      <c r="X11" s="2128" t="str">
        <f t="shared" si="1"/>
        <v/>
      </c>
      <c r="Y11" s="3082"/>
    </row>
    <row r="12" spans="1:25">
      <c r="A12" s="156">
        <f>+'ST Original'!B17</f>
        <v>46091.791666666664</v>
      </c>
      <c r="B12">
        <f>+'ST Original'!DL17</f>
        <v>5</v>
      </c>
      <c r="C12">
        <f>+'ST Original'!DM17</f>
        <v>0</v>
      </c>
      <c r="D12">
        <f>+'ST Original'!DN17</f>
        <v>0</v>
      </c>
      <c r="E12">
        <f>+'ST Original'!DO17</f>
        <v>0</v>
      </c>
      <c r="F12">
        <f>+'ST Original'!DP17</f>
        <v>0</v>
      </c>
      <c r="G12">
        <f>+'ST Original'!DQ17</f>
        <v>0</v>
      </c>
      <c r="H12">
        <f>+'ST Original'!DR17</f>
        <v>0</v>
      </c>
      <c r="I12">
        <f>+'ST Original'!DS17</f>
        <v>0</v>
      </c>
      <c r="J12">
        <f>+'ST Original'!DT17</f>
        <v>0</v>
      </c>
      <c r="K12">
        <f>+'ST Original'!DU17</f>
        <v>0</v>
      </c>
      <c r="L12">
        <f>+'ST Original'!DV17</f>
        <v>0</v>
      </c>
      <c r="M12" s="3080">
        <f t="shared" si="2"/>
        <v>46091.791666666664</v>
      </c>
      <c r="N12" s="2128">
        <f t="shared" si="3"/>
        <v>5</v>
      </c>
      <c r="O12" s="2128" t="str">
        <f t="shared" si="1"/>
        <v/>
      </c>
      <c r="P12" s="2128" t="str">
        <f t="shared" si="1"/>
        <v/>
      </c>
      <c r="Q12" s="2128" t="str">
        <f t="shared" si="1"/>
        <v/>
      </c>
      <c r="R12" s="2128" t="str">
        <f t="shared" si="1"/>
        <v/>
      </c>
      <c r="S12" s="2128" t="str">
        <f t="shared" si="1"/>
        <v/>
      </c>
      <c r="T12" s="2128" t="str">
        <f t="shared" si="1"/>
        <v/>
      </c>
      <c r="U12" s="2128" t="str">
        <f t="shared" si="1"/>
        <v/>
      </c>
      <c r="V12" s="2128" t="str">
        <f t="shared" si="1"/>
        <v/>
      </c>
      <c r="W12" s="2128" t="str">
        <f t="shared" si="1"/>
        <v/>
      </c>
      <c r="X12" s="2128" t="str">
        <f t="shared" si="1"/>
        <v/>
      </c>
      <c r="Y12" s="3082"/>
    </row>
    <row r="13" spans="1:25">
      <c r="A13" s="156">
        <f>+'ST Original'!B18</f>
        <v>46092.791666666664</v>
      </c>
      <c r="B13">
        <f>+'ST Original'!DL18</f>
        <v>0</v>
      </c>
      <c r="C13">
        <f>+'ST Original'!DM18</f>
        <v>0</v>
      </c>
      <c r="D13">
        <f>+'ST Original'!DN18</f>
        <v>0</v>
      </c>
      <c r="E13">
        <f>+'ST Original'!DO18</f>
        <v>0</v>
      </c>
      <c r="F13">
        <f>+'ST Original'!DP18</f>
        <v>0</v>
      </c>
      <c r="G13">
        <f>+'ST Original'!DQ18</f>
        <v>0</v>
      </c>
      <c r="H13">
        <f>+'ST Original'!DR18</f>
        <v>0</v>
      </c>
      <c r="I13">
        <f>+'ST Original'!DS18</f>
        <v>0</v>
      </c>
      <c r="J13">
        <f>+'ST Original'!DT18</f>
        <v>0</v>
      </c>
      <c r="K13">
        <f>+'ST Original'!DU18</f>
        <v>0</v>
      </c>
      <c r="L13">
        <f>+'ST Original'!DV18</f>
        <v>0</v>
      </c>
      <c r="M13" s="3080">
        <f t="shared" si="2"/>
        <v>46092.791666666664</v>
      </c>
      <c r="N13" s="2128" t="str">
        <f t="shared" si="3"/>
        <v/>
      </c>
      <c r="O13" s="2128" t="str">
        <f t="shared" si="1"/>
        <v/>
      </c>
      <c r="P13" s="2128" t="str">
        <f t="shared" si="1"/>
        <v/>
      </c>
      <c r="Q13" s="2128" t="str">
        <f t="shared" si="1"/>
        <v/>
      </c>
      <c r="R13" s="2128" t="str">
        <f t="shared" si="1"/>
        <v/>
      </c>
      <c r="S13" s="2128" t="str">
        <f t="shared" si="1"/>
        <v/>
      </c>
      <c r="T13" s="2128" t="str">
        <f t="shared" si="1"/>
        <v/>
      </c>
      <c r="U13" s="2128" t="str">
        <f t="shared" si="1"/>
        <v/>
      </c>
      <c r="V13" s="2128" t="str">
        <f t="shared" si="1"/>
        <v/>
      </c>
      <c r="W13" s="2128" t="str">
        <f t="shared" si="1"/>
        <v/>
      </c>
      <c r="X13" s="2128" t="str">
        <f t="shared" si="1"/>
        <v/>
      </c>
      <c r="Y13" s="3082"/>
    </row>
    <row r="14" spans="1:25">
      <c r="A14" s="156">
        <f>+'ST Original'!B19</f>
        <v>46093.791666666664</v>
      </c>
      <c r="B14">
        <f>+'ST Original'!DL19</f>
        <v>0</v>
      </c>
      <c r="C14">
        <f>+'ST Original'!DM19</f>
        <v>0</v>
      </c>
      <c r="D14">
        <f>+'ST Original'!DN19</f>
        <v>0</v>
      </c>
      <c r="E14">
        <f>+'ST Original'!DO19</f>
        <v>0</v>
      </c>
      <c r="F14">
        <f>+'ST Original'!DP19</f>
        <v>0</v>
      </c>
      <c r="G14">
        <f>+'ST Original'!DQ19</f>
        <v>0</v>
      </c>
      <c r="H14">
        <f>+'ST Original'!DR19</f>
        <v>0</v>
      </c>
      <c r="I14">
        <f>+'ST Original'!DS19</f>
        <v>0</v>
      </c>
      <c r="J14">
        <f>+'ST Original'!DT19</f>
        <v>0</v>
      </c>
      <c r="K14">
        <f>+'ST Original'!DU19</f>
        <v>0</v>
      </c>
      <c r="L14">
        <f>+'ST Original'!DV19</f>
        <v>0</v>
      </c>
      <c r="M14" s="3080">
        <f t="shared" si="2"/>
        <v>46093.791666666664</v>
      </c>
      <c r="N14" s="2128" t="str">
        <f t="shared" si="3"/>
        <v/>
      </c>
      <c r="O14" s="2128" t="str">
        <f t="shared" si="1"/>
        <v/>
      </c>
      <c r="P14" s="2128" t="str">
        <f t="shared" si="1"/>
        <v/>
      </c>
      <c r="Q14" s="2128" t="str">
        <f t="shared" si="1"/>
        <v/>
      </c>
      <c r="R14" s="2128" t="str">
        <f t="shared" si="1"/>
        <v/>
      </c>
      <c r="S14" s="2128" t="str">
        <f t="shared" si="1"/>
        <v/>
      </c>
      <c r="T14" s="2128" t="str">
        <f t="shared" si="1"/>
        <v/>
      </c>
      <c r="U14" s="2128" t="str">
        <f t="shared" si="1"/>
        <v/>
      </c>
      <c r="V14" s="2128" t="str">
        <f t="shared" si="1"/>
        <v/>
      </c>
      <c r="W14" s="2128" t="str">
        <f t="shared" si="1"/>
        <v/>
      </c>
      <c r="X14" s="2128" t="str">
        <f t="shared" si="1"/>
        <v/>
      </c>
      <c r="Y14" s="3082"/>
    </row>
    <row r="15" spans="1:25">
      <c r="A15" s="156">
        <f>+'ST Original'!B20</f>
        <v>46094.791666666664</v>
      </c>
      <c r="B15">
        <f>+'ST Original'!DL20</f>
        <v>0</v>
      </c>
      <c r="C15">
        <f>+'ST Original'!DM20</f>
        <v>0</v>
      </c>
      <c r="D15">
        <f>+'ST Original'!DN20</f>
        <v>0</v>
      </c>
      <c r="E15">
        <f>+'ST Original'!DO20</f>
        <v>0</v>
      </c>
      <c r="F15">
        <f>+'ST Original'!DP20</f>
        <v>0</v>
      </c>
      <c r="G15">
        <f>+'ST Original'!DQ20</f>
        <v>0</v>
      </c>
      <c r="H15">
        <f>+'ST Original'!DR20</f>
        <v>0</v>
      </c>
      <c r="I15">
        <f>+'ST Original'!DS20</f>
        <v>0</v>
      </c>
      <c r="J15">
        <f>+'ST Original'!DT20</f>
        <v>0</v>
      </c>
      <c r="K15">
        <f>+'ST Original'!DU20</f>
        <v>0</v>
      </c>
      <c r="L15">
        <f>+'ST Original'!DV20</f>
        <v>0</v>
      </c>
      <c r="M15" s="3080">
        <f t="shared" si="2"/>
        <v>46094.791666666664</v>
      </c>
      <c r="N15" s="2128" t="str">
        <f t="shared" si="3"/>
        <v/>
      </c>
      <c r="O15" s="2128" t="str">
        <f t="shared" si="1"/>
        <v/>
      </c>
      <c r="P15" s="2128" t="str">
        <f t="shared" si="1"/>
        <v/>
      </c>
      <c r="Q15" s="2128" t="str">
        <f t="shared" si="1"/>
        <v/>
      </c>
      <c r="R15" s="2128" t="str">
        <f t="shared" si="1"/>
        <v/>
      </c>
      <c r="S15" s="2128" t="str">
        <f t="shared" si="1"/>
        <v/>
      </c>
      <c r="T15" s="2128" t="str">
        <f t="shared" si="1"/>
        <v/>
      </c>
      <c r="U15" s="2128" t="str">
        <f t="shared" si="1"/>
        <v/>
      </c>
      <c r="V15" s="2128" t="str">
        <f t="shared" si="1"/>
        <v/>
      </c>
      <c r="W15" s="2128" t="str">
        <f t="shared" si="1"/>
        <v/>
      </c>
      <c r="X15" s="2128" t="str">
        <f t="shared" si="1"/>
        <v/>
      </c>
      <c r="Y15" s="3082"/>
    </row>
    <row r="16" spans="1:25">
      <c r="A16" s="156">
        <f>+'ST Original'!B21</f>
        <v>46095.791666666664</v>
      </c>
      <c r="B16">
        <f>+'ST Original'!DL21</f>
        <v>0</v>
      </c>
      <c r="C16">
        <f>+'ST Original'!DM21</f>
        <v>0</v>
      </c>
      <c r="D16">
        <f>+'ST Original'!DN21</f>
        <v>0</v>
      </c>
      <c r="E16">
        <f>+'ST Original'!DO21</f>
        <v>0</v>
      </c>
      <c r="F16">
        <f>+'ST Original'!DP21</f>
        <v>0</v>
      </c>
      <c r="G16">
        <f>+'ST Original'!DQ21</f>
        <v>0</v>
      </c>
      <c r="H16">
        <f>+'ST Original'!DR21</f>
        <v>0</v>
      </c>
      <c r="I16">
        <f>+'ST Original'!DS21</f>
        <v>0</v>
      </c>
      <c r="J16">
        <f>+'ST Original'!DT21</f>
        <v>0</v>
      </c>
      <c r="K16">
        <f>+'ST Original'!DU21</f>
        <v>0</v>
      </c>
      <c r="L16">
        <f>+'ST Original'!DV21</f>
        <v>0</v>
      </c>
      <c r="M16" s="3080">
        <f t="shared" si="2"/>
        <v>46095.791666666664</v>
      </c>
      <c r="N16" s="2128" t="str">
        <f t="shared" si="3"/>
        <v/>
      </c>
      <c r="O16" s="2128" t="str">
        <f t="shared" si="1"/>
        <v/>
      </c>
      <c r="P16" s="2128" t="str">
        <f t="shared" si="1"/>
        <v/>
      </c>
      <c r="Q16" s="2128" t="str">
        <f t="shared" si="1"/>
        <v/>
      </c>
      <c r="R16" s="2128" t="str">
        <f t="shared" si="1"/>
        <v/>
      </c>
      <c r="S16" s="2128" t="str">
        <f t="shared" si="1"/>
        <v/>
      </c>
      <c r="T16" s="2128" t="str">
        <f t="shared" si="1"/>
        <v/>
      </c>
      <c r="U16" s="2128" t="str">
        <f t="shared" si="1"/>
        <v/>
      </c>
      <c r="V16" s="2128" t="str">
        <f t="shared" si="1"/>
        <v/>
      </c>
      <c r="W16" s="2128" t="str">
        <f t="shared" si="1"/>
        <v/>
      </c>
      <c r="X16" s="2128" t="str">
        <f t="shared" si="1"/>
        <v/>
      </c>
      <c r="Y16" s="3082"/>
    </row>
    <row r="17" spans="1:25">
      <c r="A17" s="156">
        <f>+'ST Original'!B22</f>
        <v>46096.791666666664</v>
      </c>
      <c r="B17">
        <f>+'ST Original'!DL22</f>
        <v>0</v>
      </c>
      <c r="C17">
        <f>+'ST Original'!DM22</f>
        <v>0</v>
      </c>
      <c r="D17">
        <f>+'ST Original'!DN22</f>
        <v>0</v>
      </c>
      <c r="E17">
        <f>+'ST Original'!DO22</f>
        <v>0</v>
      </c>
      <c r="F17">
        <f>+'ST Original'!DP22</f>
        <v>0</v>
      </c>
      <c r="G17">
        <f>+'ST Original'!DQ22</f>
        <v>0</v>
      </c>
      <c r="H17">
        <f>+'ST Original'!DR22</f>
        <v>0</v>
      </c>
      <c r="I17">
        <f>+'ST Original'!DS22</f>
        <v>0</v>
      </c>
      <c r="J17">
        <f>+'ST Original'!DT22</f>
        <v>0</v>
      </c>
      <c r="K17">
        <f>+'ST Original'!DU22</f>
        <v>0</v>
      </c>
      <c r="L17">
        <f>+'ST Original'!DV22</f>
        <v>0</v>
      </c>
      <c r="M17" s="3080">
        <f t="shared" si="2"/>
        <v>46096.791666666664</v>
      </c>
      <c r="N17" s="2128" t="str">
        <f t="shared" si="3"/>
        <v/>
      </c>
      <c r="O17" s="2128" t="str">
        <f t="shared" si="1"/>
        <v/>
      </c>
      <c r="P17" s="3079" t="str">
        <f t="shared" si="1"/>
        <v/>
      </c>
      <c r="Q17" s="2128" t="str">
        <f t="shared" si="1"/>
        <v/>
      </c>
      <c r="R17" s="2128" t="str">
        <f t="shared" si="1"/>
        <v/>
      </c>
      <c r="S17" s="2128" t="str">
        <f t="shared" si="1"/>
        <v/>
      </c>
      <c r="T17" s="2128" t="str">
        <f t="shared" si="1"/>
        <v/>
      </c>
      <c r="U17" s="2128" t="str">
        <f t="shared" si="1"/>
        <v/>
      </c>
      <c r="V17" s="2128" t="str">
        <f t="shared" si="1"/>
        <v/>
      </c>
      <c r="W17" s="2128" t="str">
        <f t="shared" si="1"/>
        <v/>
      </c>
      <c r="X17" s="2128" t="str">
        <f t="shared" si="1"/>
        <v/>
      </c>
      <c r="Y17" s="3082" t="s">
        <v>1503</v>
      </c>
    </row>
    <row r="18" spans="1:25">
      <c r="A18" s="156">
        <f>+'ST Original'!B23</f>
        <v>46097.791666666664</v>
      </c>
      <c r="B18">
        <f>+'ST Original'!DL23</f>
        <v>0</v>
      </c>
      <c r="C18">
        <f>+'ST Original'!DM23</f>
        <v>0</v>
      </c>
      <c r="D18">
        <f>+'ST Original'!DN23</f>
        <v>0</v>
      </c>
      <c r="E18">
        <f>+'ST Original'!DO23</f>
        <v>0</v>
      </c>
      <c r="F18">
        <f>+'ST Original'!DP23</f>
        <v>0</v>
      </c>
      <c r="G18">
        <f>+'ST Original'!DQ23</f>
        <v>0</v>
      </c>
      <c r="H18">
        <f>+'ST Original'!DR23</f>
        <v>0</v>
      </c>
      <c r="I18">
        <f>+'ST Original'!DS23</f>
        <v>0</v>
      </c>
      <c r="J18">
        <f>+'ST Original'!DT23</f>
        <v>0</v>
      </c>
      <c r="K18">
        <f>+'ST Original'!DU23</f>
        <v>0</v>
      </c>
      <c r="L18">
        <f>+'ST Original'!DV23</f>
        <v>0</v>
      </c>
      <c r="M18" s="3080">
        <f t="shared" si="2"/>
        <v>46097.791666666664</v>
      </c>
      <c r="N18" s="3079" t="str">
        <f t="shared" si="3"/>
        <v/>
      </c>
      <c r="O18" s="2128" t="str">
        <f t="shared" si="1"/>
        <v/>
      </c>
      <c r="P18" s="2128" t="str">
        <f t="shared" si="1"/>
        <v/>
      </c>
      <c r="Q18" s="2128" t="str">
        <f t="shared" si="1"/>
        <v/>
      </c>
      <c r="R18" s="2128" t="str">
        <f t="shared" si="1"/>
        <v/>
      </c>
      <c r="S18" s="2128" t="str">
        <f t="shared" si="1"/>
        <v/>
      </c>
      <c r="T18" s="2128" t="str">
        <f t="shared" si="1"/>
        <v/>
      </c>
      <c r="U18" s="2128" t="str">
        <f t="shared" si="1"/>
        <v/>
      </c>
      <c r="V18" s="2128" t="str">
        <f t="shared" si="1"/>
        <v/>
      </c>
      <c r="W18" s="2128" t="str">
        <f t="shared" si="1"/>
        <v/>
      </c>
      <c r="X18" s="2128" t="str">
        <f t="shared" si="1"/>
        <v/>
      </c>
      <c r="Y18" s="3082" t="s">
        <v>1519</v>
      </c>
    </row>
    <row r="19" spans="1:25">
      <c r="A19" s="156">
        <f>+'ST Original'!B24</f>
        <v>46098.791666666664</v>
      </c>
      <c r="B19">
        <f>+'ST Original'!DL24</f>
        <v>4</v>
      </c>
      <c r="C19">
        <f>+'ST Original'!DM24</f>
        <v>0</v>
      </c>
      <c r="D19">
        <f>+'ST Original'!DN24</f>
        <v>0</v>
      </c>
      <c r="E19">
        <f>+'ST Original'!DO24</f>
        <v>0</v>
      </c>
      <c r="F19">
        <f>+'ST Original'!DP24</f>
        <v>0</v>
      </c>
      <c r="G19">
        <f>+'ST Original'!DQ24</f>
        <v>0</v>
      </c>
      <c r="H19">
        <f>+'ST Original'!DR24</f>
        <v>0</v>
      </c>
      <c r="I19">
        <f>+'ST Original'!DS24</f>
        <v>0</v>
      </c>
      <c r="J19">
        <f>+'ST Original'!DT24</f>
        <v>0</v>
      </c>
      <c r="K19">
        <f>+'ST Original'!DU24</f>
        <v>0</v>
      </c>
      <c r="L19">
        <f>+'ST Original'!DV24</f>
        <v>0</v>
      </c>
      <c r="M19" s="3080">
        <f t="shared" si="2"/>
        <v>46098.791666666664</v>
      </c>
      <c r="N19" s="3079">
        <f t="shared" si="3"/>
        <v>4</v>
      </c>
      <c r="O19" s="2128" t="str">
        <f t="shared" ref="O19:O32" si="4">+IF(C19=0,"",C19)</f>
        <v/>
      </c>
      <c r="P19" s="2128" t="str">
        <f t="shared" ref="P19:P32" si="5">+IF(D19=0,"",D19)</f>
        <v/>
      </c>
      <c r="Q19" s="2128" t="str">
        <f t="shared" ref="Q19:Q32" si="6">+IF(E19=0,"",E19)</f>
        <v/>
      </c>
      <c r="R19" s="2128" t="str">
        <f t="shared" ref="R19:R32" si="7">+IF(F19=0,"",F19)</f>
        <v/>
      </c>
      <c r="S19" s="2128" t="str">
        <f t="shared" ref="S19:S32" si="8">+IF(G19=0,"",G19)</f>
        <v/>
      </c>
      <c r="T19" s="2128" t="str">
        <f t="shared" ref="T19:T32" si="9">+IF(H19=0,"",H19)</f>
        <v/>
      </c>
      <c r="U19" s="2128" t="str">
        <f t="shared" ref="U19:U32" si="10">+IF(I19=0,"",I19)</f>
        <v/>
      </c>
      <c r="V19" s="2128" t="str">
        <f t="shared" ref="V19:V32" si="11">+IF(J19=0,"",J19)</f>
        <v/>
      </c>
      <c r="W19" s="2128" t="str">
        <f t="shared" ref="W19:W32" si="12">+IF(K19=0,"",K19)</f>
        <v/>
      </c>
      <c r="X19" s="2128" t="str">
        <f t="shared" ref="X19:X32" si="13">+IF(L19=0,"",L19)</f>
        <v/>
      </c>
      <c r="Y19" s="3082" t="s">
        <v>1503</v>
      </c>
    </row>
    <row r="20" spans="1:25">
      <c r="A20" s="156">
        <f>+'ST Original'!B25</f>
        <v>46099.791666666664</v>
      </c>
      <c r="B20">
        <f>+'ST Original'!DL25</f>
        <v>0</v>
      </c>
      <c r="C20">
        <f>+'ST Original'!DM25</f>
        <v>0</v>
      </c>
      <c r="D20">
        <f>+'ST Original'!DN25</f>
        <v>0</v>
      </c>
      <c r="E20">
        <f>+'ST Original'!DO25</f>
        <v>0</v>
      </c>
      <c r="F20">
        <f>+'ST Original'!DP25</f>
        <v>0</v>
      </c>
      <c r="G20">
        <f>+'ST Original'!DQ25</f>
        <v>0</v>
      </c>
      <c r="H20">
        <f>+'ST Original'!DR25</f>
        <v>0</v>
      </c>
      <c r="I20">
        <f>+'ST Original'!DS25</f>
        <v>0</v>
      </c>
      <c r="J20">
        <f>+'ST Original'!DT25</f>
        <v>0</v>
      </c>
      <c r="K20">
        <f>+'ST Original'!DU25</f>
        <v>0</v>
      </c>
      <c r="L20">
        <f>+'ST Original'!DV25</f>
        <v>0</v>
      </c>
      <c r="M20" s="3080">
        <f t="shared" si="2"/>
        <v>46099.791666666664</v>
      </c>
      <c r="N20" s="2128" t="str">
        <f t="shared" si="3"/>
        <v/>
      </c>
      <c r="O20" s="2128" t="str">
        <f t="shared" si="4"/>
        <v/>
      </c>
      <c r="P20" s="2128" t="str">
        <f t="shared" si="5"/>
        <v/>
      </c>
      <c r="Q20" s="2128" t="str">
        <f t="shared" si="6"/>
        <v/>
      </c>
      <c r="R20" s="2128" t="str">
        <f t="shared" si="7"/>
        <v/>
      </c>
      <c r="S20" s="2128" t="str">
        <f t="shared" si="8"/>
        <v/>
      </c>
      <c r="T20" s="2128" t="str">
        <f t="shared" si="9"/>
        <v/>
      </c>
      <c r="U20" s="2128" t="str">
        <f t="shared" si="10"/>
        <v/>
      </c>
      <c r="V20" s="2128" t="str">
        <f t="shared" si="11"/>
        <v/>
      </c>
      <c r="W20" s="2128" t="str">
        <f t="shared" si="12"/>
        <v/>
      </c>
      <c r="X20" s="2128" t="str">
        <f t="shared" si="13"/>
        <v/>
      </c>
      <c r="Y20" s="3082" t="s">
        <v>1521</v>
      </c>
    </row>
    <row r="21" spans="1:25">
      <c r="A21" s="156">
        <f>+'ST Original'!B26</f>
        <v>46100.791666666664</v>
      </c>
      <c r="B21">
        <f>+'ST Original'!DL26</f>
        <v>0</v>
      </c>
      <c r="C21">
        <f>+'ST Original'!DM26</f>
        <v>0</v>
      </c>
      <c r="D21">
        <f>+'ST Original'!DN26</f>
        <v>0</v>
      </c>
      <c r="E21">
        <f>+'ST Original'!DO26</f>
        <v>0</v>
      </c>
      <c r="F21">
        <f>+'ST Original'!DP26</f>
        <v>0</v>
      </c>
      <c r="G21">
        <f>+'ST Original'!DQ26</f>
        <v>0</v>
      </c>
      <c r="H21">
        <f>+'ST Original'!DR26</f>
        <v>0</v>
      </c>
      <c r="I21">
        <f>+'ST Original'!DS26</f>
        <v>0</v>
      </c>
      <c r="J21">
        <f>+'ST Original'!DT26</f>
        <v>0</v>
      </c>
      <c r="K21">
        <f>+'ST Original'!DU26</f>
        <v>0</v>
      </c>
      <c r="L21">
        <f>+'ST Original'!DV26</f>
        <v>0</v>
      </c>
      <c r="M21" s="3080">
        <f t="shared" si="2"/>
        <v>46100.791666666664</v>
      </c>
      <c r="N21" s="2128" t="str">
        <f t="shared" si="3"/>
        <v/>
      </c>
      <c r="O21" s="2128" t="str">
        <f t="shared" si="4"/>
        <v/>
      </c>
      <c r="P21" s="2128" t="str">
        <f t="shared" si="5"/>
        <v/>
      </c>
      <c r="Q21" s="2128" t="str">
        <f t="shared" si="6"/>
        <v/>
      </c>
      <c r="R21" s="2128" t="str">
        <f t="shared" si="7"/>
        <v/>
      </c>
      <c r="S21" s="2128" t="str">
        <f t="shared" si="8"/>
        <v/>
      </c>
      <c r="T21" s="2128" t="str">
        <f t="shared" si="9"/>
        <v/>
      </c>
      <c r="U21" s="2128" t="str">
        <f t="shared" si="10"/>
        <v/>
      </c>
      <c r="V21" s="2128" t="str">
        <f t="shared" si="11"/>
        <v/>
      </c>
      <c r="W21" s="2128" t="str">
        <f t="shared" si="12"/>
        <v/>
      </c>
      <c r="X21" s="2128" t="str">
        <f t="shared" si="13"/>
        <v/>
      </c>
      <c r="Y21" s="3082"/>
    </row>
    <row r="22" spans="1:25">
      <c r="A22" s="156">
        <f>+'ST Original'!B27</f>
        <v>46101.791666666664</v>
      </c>
      <c r="B22">
        <f>+'ST Original'!DL27</f>
        <v>0</v>
      </c>
      <c r="C22">
        <f>+'ST Original'!DM27</f>
        <v>0</v>
      </c>
      <c r="D22">
        <f>+'ST Original'!DN27</f>
        <v>0</v>
      </c>
      <c r="E22">
        <f>+'ST Original'!DO27</f>
        <v>0</v>
      </c>
      <c r="F22">
        <f>+'ST Original'!DP27</f>
        <v>0</v>
      </c>
      <c r="G22">
        <f>+'ST Original'!DQ27</f>
        <v>0</v>
      </c>
      <c r="H22">
        <f>+'ST Original'!DR27</f>
        <v>0</v>
      </c>
      <c r="I22">
        <f>+'ST Original'!DS27</f>
        <v>0</v>
      </c>
      <c r="J22">
        <f>+'ST Original'!DT27</f>
        <v>0</v>
      </c>
      <c r="K22">
        <f>+'ST Original'!DU27</f>
        <v>0</v>
      </c>
      <c r="L22">
        <f>+'ST Original'!DV27</f>
        <v>0</v>
      </c>
      <c r="M22" s="3080">
        <f t="shared" si="2"/>
        <v>46101.791666666664</v>
      </c>
      <c r="N22" s="2128" t="str">
        <f t="shared" si="3"/>
        <v/>
      </c>
      <c r="O22" s="2128" t="str">
        <f t="shared" si="4"/>
        <v/>
      </c>
      <c r="P22" s="2128" t="str">
        <f t="shared" si="5"/>
        <v/>
      </c>
      <c r="Q22" s="2128" t="str">
        <f t="shared" si="6"/>
        <v/>
      </c>
      <c r="R22" s="2128" t="str">
        <f t="shared" si="7"/>
        <v/>
      </c>
      <c r="S22" s="2128" t="str">
        <f t="shared" si="8"/>
        <v/>
      </c>
      <c r="T22" s="2128" t="str">
        <f t="shared" si="9"/>
        <v/>
      </c>
      <c r="U22" s="2128" t="str">
        <f t="shared" si="10"/>
        <v/>
      </c>
      <c r="V22" s="2128" t="str">
        <f t="shared" si="11"/>
        <v/>
      </c>
      <c r="W22" s="2128" t="str">
        <f t="shared" si="12"/>
        <v/>
      </c>
      <c r="X22" s="2128" t="str">
        <f t="shared" si="13"/>
        <v/>
      </c>
      <c r="Y22" s="3082"/>
    </row>
    <row r="23" spans="1:25">
      <c r="A23" s="156">
        <f>+'ST Original'!B28</f>
        <v>46102.791666666664</v>
      </c>
      <c r="B23">
        <f>+'ST Original'!DL28</f>
        <v>0</v>
      </c>
      <c r="C23">
        <f>+'ST Original'!DM28</f>
        <v>0</v>
      </c>
      <c r="D23">
        <f>+'ST Original'!DN28</f>
        <v>0</v>
      </c>
      <c r="E23">
        <f>+'ST Original'!DO28</f>
        <v>0</v>
      </c>
      <c r="F23">
        <f>+'ST Original'!DP28</f>
        <v>0</v>
      </c>
      <c r="G23">
        <f>+'ST Original'!DQ28</f>
        <v>0</v>
      </c>
      <c r="H23">
        <f>+'ST Original'!DR28</f>
        <v>0</v>
      </c>
      <c r="I23">
        <f>+'ST Original'!DS28</f>
        <v>0</v>
      </c>
      <c r="J23">
        <f>+'ST Original'!DT28</f>
        <v>0</v>
      </c>
      <c r="K23">
        <f>+'ST Original'!DU28</f>
        <v>0</v>
      </c>
      <c r="L23">
        <f>+'ST Original'!DV28</f>
        <v>0</v>
      </c>
      <c r="M23" s="3080">
        <f t="shared" si="2"/>
        <v>46102.791666666664</v>
      </c>
      <c r="N23" s="2128" t="str">
        <f t="shared" si="3"/>
        <v/>
      </c>
      <c r="O23" s="2128" t="str">
        <f t="shared" si="4"/>
        <v/>
      </c>
      <c r="P23" s="2128" t="str">
        <f t="shared" si="5"/>
        <v/>
      </c>
      <c r="Q23" s="2128" t="str">
        <f t="shared" si="6"/>
        <v/>
      </c>
      <c r="R23" s="2128" t="str">
        <f t="shared" si="7"/>
        <v/>
      </c>
      <c r="S23" s="2128" t="str">
        <f t="shared" si="8"/>
        <v/>
      </c>
      <c r="T23" s="2128" t="str">
        <f t="shared" si="9"/>
        <v/>
      </c>
      <c r="U23" s="2128" t="str">
        <f t="shared" si="10"/>
        <v/>
      </c>
      <c r="V23" s="2128" t="str">
        <f t="shared" si="11"/>
        <v/>
      </c>
      <c r="W23" s="2128" t="str">
        <f t="shared" si="12"/>
        <v/>
      </c>
      <c r="X23" s="2128" t="str">
        <f t="shared" si="13"/>
        <v/>
      </c>
      <c r="Y23" s="3082"/>
    </row>
    <row r="24" spans="1:25">
      <c r="A24" s="156">
        <f>+'ST Original'!B29</f>
        <v>46103.791666666664</v>
      </c>
      <c r="B24">
        <f>+'ST Original'!DL29</f>
        <v>0</v>
      </c>
      <c r="C24">
        <f>+'ST Original'!DM29</f>
        <v>0</v>
      </c>
      <c r="D24">
        <f>+'ST Original'!DN29</f>
        <v>0</v>
      </c>
      <c r="E24">
        <f>+'ST Original'!DO29</f>
        <v>0</v>
      </c>
      <c r="F24">
        <f>+'ST Original'!DP29</f>
        <v>0</v>
      </c>
      <c r="G24">
        <f>+'ST Original'!DQ29</f>
        <v>0</v>
      </c>
      <c r="H24">
        <f>+'ST Original'!DR29</f>
        <v>0</v>
      </c>
      <c r="I24">
        <f>+'ST Original'!DS29</f>
        <v>0</v>
      </c>
      <c r="J24">
        <f>+'ST Original'!DT29</f>
        <v>0</v>
      </c>
      <c r="K24">
        <f>+'ST Original'!DU29</f>
        <v>0</v>
      </c>
      <c r="L24">
        <f>+'ST Original'!DV29</f>
        <v>0</v>
      </c>
      <c r="M24" s="3080">
        <f t="shared" si="2"/>
        <v>46103.791666666664</v>
      </c>
      <c r="N24" s="3079" t="str">
        <f t="shared" si="3"/>
        <v/>
      </c>
      <c r="O24" s="2128" t="str">
        <f t="shared" si="4"/>
        <v/>
      </c>
      <c r="P24" s="2128" t="str">
        <f t="shared" si="5"/>
        <v/>
      </c>
      <c r="Q24" s="2128" t="str">
        <f t="shared" si="6"/>
        <v/>
      </c>
      <c r="R24" s="2128" t="str">
        <f t="shared" si="7"/>
        <v/>
      </c>
      <c r="S24" s="2128" t="str">
        <f t="shared" si="8"/>
        <v/>
      </c>
      <c r="T24" s="2128" t="str">
        <f t="shared" si="9"/>
        <v/>
      </c>
      <c r="U24" s="2128" t="str">
        <f t="shared" si="10"/>
        <v/>
      </c>
      <c r="V24" s="2128" t="str">
        <f t="shared" si="11"/>
        <v/>
      </c>
      <c r="W24" s="2128" t="str">
        <f t="shared" si="12"/>
        <v/>
      </c>
      <c r="X24" s="2128" t="str">
        <f t="shared" si="13"/>
        <v/>
      </c>
      <c r="Y24" s="3082"/>
    </row>
    <row r="25" spans="1:25">
      <c r="A25" s="156">
        <f>+'ST Original'!B30</f>
        <v>46104.791666666664</v>
      </c>
      <c r="B25">
        <f>+'ST Original'!DL30</f>
        <v>0</v>
      </c>
      <c r="C25">
        <f>+'ST Original'!DM30</f>
        <v>0</v>
      </c>
      <c r="D25">
        <f>+'ST Original'!DN30</f>
        <v>0</v>
      </c>
      <c r="E25">
        <f>+'ST Original'!DO30</f>
        <v>0</v>
      </c>
      <c r="F25">
        <f>+'ST Original'!DP30</f>
        <v>0</v>
      </c>
      <c r="G25">
        <f>+'ST Original'!DQ30</f>
        <v>0</v>
      </c>
      <c r="H25">
        <f>+'ST Original'!DR30</f>
        <v>0</v>
      </c>
      <c r="I25">
        <f>+'ST Original'!DS30</f>
        <v>0</v>
      </c>
      <c r="J25">
        <f>+'ST Original'!DT30</f>
        <v>0</v>
      </c>
      <c r="K25">
        <f>+'ST Original'!DU30</f>
        <v>0</v>
      </c>
      <c r="L25">
        <f>+'ST Original'!DV30</f>
        <v>0</v>
      </c>
      <c r="M25" s="3080">
        <f t="shared" si="2"/>
        <v>46104.791666666664</v>
      </c>
      <c r="N25" s="2128" t="str">
        <f t="shared" si="3"/>
        <v/>
      </c>
      <c r="O25" s="2128" t="str">
        <f t="shared" si="4"/>
        <v/>
      </c>
      <c r="P25" s="2128" t="str">
        <f t="shared" si="5"/>
        <v/>
      </c>
      <c r="Q25" s="2128" t="str">
        <f t="shared" si="6"/>
        <v/>
      </c>
      <c r="R25" s="2128" t="str">
        <f t="shared" si="7"/>
        <v/>
      </c>
      <c r="S25" s="2128" t="str">
        <f t="shared" si="8"/>
        <v/>
      </c>
      <c r="T25" s="2128" t="str">
        <f t="shared" si="9"/>
        <v/>
      </c>
      <c r="U25" s="2128" t="str">
        <f t="shared" si="10"/>
        <v/>
      </c>
      <c r="V25" s="2128" t="str">
        <f t="shared" si="11"/>
        <v/>
      </c>
      <c r="W25" s="2128" t="str">
        <f t="shared" si="12"/>
        <v/>
      </c>
      <c r="X25" s="2128" t="str">
        <f t="shared" si="13"/>
        <v/>
      </c>
      <c r="Y25" s="3082"/>
    </row>
    <row r="26" spans="1:25">
      <c r="A26" s="156">
        <f>+'ST Original'!B31</f>
        <v>46105.791666666664</v>
      </c>
      <c r="B26">
        <f>+'ST Original'!DL31</f>
        <v>0</v>
      </c>
      <c r="C26">
        <f>+'ST Original'!DM31</f>
        <v>0</v>
      </c>
      <c r="D26">
        <f>+'ST Original'!DN31</f>
        <v>0</v>
      </c>
      <c r="E26">
        <f>+'ST Original'!DO31</f>
        <v>0</v>
      </c>
      <c r="F26">
        <f>+'ST Original'!DP31</f>
        <v>0</v>
      </c>
      <c r="G26">
        <f>+'ST Original'!DQ31</f>
        <v>0</v>
      </c>
      <c r="H26">
        <f>+'ST Original'!DR31</f>
        <v>0</v>
      </c>
      <c r="I26">
        <f>+'ST Original'!DS31</f>
        <v>0</v>
      </c>
      <c r="J26">
        <f>+'ST Original'!DT31</f>
        <v>0</v>
      </c>
      <c r="K26">
        <f>+'ST Original'!DU31</f>
        <v>0</v>
      </c>
      <c r="L26">
        <f>+'ST Original'!DV31</f>
        <v>0</v>
      </c>
      <c r="M26" s="3080">
        <f t="shared" si="2"/>
        <v>46105.791666666664</v>
      </c>
      <c r="N26" s="2128" t="str">
        <f t="shared" si="3"/>
        <v/>
      </c>
      <c r="O26" s="2128" t="str">
        <f t="shared" si="4"/>
        <v/>
      </c>
      <c r="P26" s="2128" t="str">
        <f t="shared" si="5"/>
        <v/>
      </c>
      <c r="Q26" s="2128" t="str">
        <f t="shared" si="6"/>
        <v/>
      </c>
      <c r="R26" s="2128" t="str">
        <f t="shared" si="7"/>
        <v/>
      </c>
      <c r="S26" s="2128" t="str">
        <f t="shared" si="8"/>
        <v/>
      </c>
      <c r="T26" s="2128" t="str">
        <f t="shared" si="9"/>
        <v/>
      </c>
      <c r="U26" s="2128" t="str">
        <f t="shared" si="10"/>
        <v/>
      </c>
      <c r="V26" s="2128" t="str">
        <f t="shared" si="11"/>
        <v/>
      </c>
      <c r="W26" s="2128" t="str">
        <f t="shared" si="12"/>
        <v/>
      </c>
      <c r="X26" s="2128" t="str">
        <f t="shared" si="13"/>
        <v/>
      </c>
      <c r="Y26" s="3082"/>
    </row>
    <row r="27" spans="1:25">
      <c r="A27" s="156">
        <f>+'ST Original'!B32</f>
        <v>46106.791666666664</v>
      </c>
      <c r="B27">
        <f>+'ST Original'!DL32</f>
        <v>0</v>
      </c>
      <c r="C27">
        <f>+'ST Original'!DM32</f>
        <v>0</v>
      </c>
      <c r="D27">
        <f>+'ST Original'!DN32</f>
        <v>0</v>
      </c>
      <c r="E27">
        <f>+'ST Original'!DO32</f>
        <v>0</v>
      </c>
      <c r="F27">
        <f>+'ST Original'!DP32</f>
        <v>0</v>
      </c>
      <c r="G27">
        <f>+'ST Original'!DQ32</f>
        <v>0</v>
      </c>
      <c r="H27">
        <f>+'ST Original'!DR32</f>
        <v>0</v>
      </c>
      <c r="I27">
        <f>+'ST Original'!DS32</f>
        <v>0</v>
      </c>
      <c r="J27">
        <f>+'ST Original'!DT32</f>
        <v>0</v>
      </c>
      <c r="K27">
        <f>+'ST Original'!DU32</f>
        <v>0</v>
      </c>
      <c r="L27">
        <f>+'ST Original'!DV32</f>
        <v>0</v>
      </c>
      <c r="M27" s="3080">
        <f t="shared" si="2"/>
        <v>46106.791666666664</v>
      </c>
      <c r="N27" s="2128" t="str">
        <f t="shared" si="3"/>
        <v/>
      </c>
      <c r="O27" s="2128" t="str">
        <f t="shared" si="4"/>
        <v/>
      </c>
      <c r="P27" s="2128" t="str">
        <f t="shared" si="5"/>
        <v/>
      </c>
      <c r="Q27" s="2128" t="str">
        <f t="shared" si="6"/>
        <v/>
      </c>
      <c r="R27" s="2128" t="str">
        <f t="shared" si="7"/>
        <v/>
      </c>
      <c r="S27" s="2128" t="str">
        <f t="shared" si="8"/>
        <v/>
      </c>
      <c r="T27" s="2128" t="str">
        <f t="shared" si="9"/>
        <v/>
      </c>
      <c r="U27" s="2128" t="str">
        <f t="shared" si="10"/>
        <v/>
      </c>
      <c r="V27" s="2128" t="str">
        <f t="shared" si="11"/>
        <v/>
      </c>
      <c r="W27" s="2128" t="str">
        <f t="shared" si="12"/>
        <v/>
      </c>
      <c r="X27" s="2128" t="str">
        <f t="shared" si="13"/>
        <v/>
      </c>
      <c r="Y27" s="3082"/>
    </row>
    <row r="28" spans="1:25">
      <c r="A28" s="156">
        <f>+'ST Original'!B33</f>
        <v>46107.791666666664</v>
      </c>
      <c r="B28">
        <f>+'ST Original'!DL33</f>
        <v>0</v>
      </c>
      <c r="C28">
        <f>+'ST Original'!DM33</f>
        <v>0</v>
      </c>
      <c r="D28">
        <f>+'ST Original'!DN33</f>
        <v>0</v>
      </c>
      <c r="E28">
        <f>+'ST Original'!DO33</f>
        <v>0</v>
      </c>
      <c r="F28">
        <f>+'ST Original'!DP33</f>
        <v>0</v>
      </c>
      <c r="G28">
        <f>+'ST Original'!DQ33</f>
        <v>0</v>
      </c>
      <c r="H28">
        <f>+'ST Original'!DR33</f>
        <v>0</v>
      </c>
      <c r="I28">
        <f>+'ST Original'!DS33</f>
        <v>0</v>
      </c>
      <c r="J28">
        <f>+'ST Original'!DT33</f>
        <v>0</v>
      </c>
      <c r="K28">
        <f>+'ST Original'!DU33</f>
        <v>0</v>
      </c>
      <c r="L28">
        <f>+'ST Original'!DV33</f>
        <v>0</v>
      </c>
      <c r="M28" s="3080">
        <f t="shared" si="2"/>
        <v>46107.791666666664</v>
      </c>
      <c r="N28" s="2128" t="str">
        <f t="shared" si="3"/>
        <v/>
      </c>
      <c r="O28" s="2128" t="str">
        <f t="shared" si="4"/>
        <v/>
      </c>
      <c r="P28" s="2128" t="str">
        <f t="shared" si="5"/>
        <v/>
      </c>
      <c r="Q28" s="3079" t="str">
        <f t="shared" si="6"/>
        <v/>
      </c>
      <c r="R28" s="2128" t="str">
        <f t="shared" si="7"/>
        <v/>
      </c>
      <c r="S28" s="2128" t="str">
        <f t="shared" si="8"/>
        <v/>
      </c>
      <c r="T28" s="2128" t="str">
        <f t="shared" si="9"/>
        <v/>
      </c>
      <c r="U28" s="2128" t="str">
        <f t="shared" si="10"/>
        <v/>
      </c>
      <c r="V28" s="2128" t="str">
        <f t="shared" si="11"/>
        <v/>
      </c>
      <c r="W28" s="2128" t="str">
        <f t="shared" si="12"/>
        <v/>
      </c>
      <c r="X28" s="2128" t="str">
        <f t="shared" si="13"/>
        <v/>
      </c>
      <c r="Y28" s="3082" t="s">
        <v>1503</v>
      </c>
    </row>
    <row r="29" spans="1:25">
      <c r="A29" s="156">
        <f>+'ST Original'!B34</f>
        <v>46108.791666666664</v>
      </c>
      <c r="B29">
        <f>+'ST Original'!DL34</f>
        <v>0</v>
      </c>
      <c r="C29">
        <f>+'ST Original'!DM34</f>
        <v>0</v>
      </c>
      <c r="D29">
        <f>+'ST Original'!DN34</f>
        <v>0</v>
      </c>
      <c r="E29">
        <f>+'ST Original'!DO34</f>
        <v>0</v>
      </c>
      <c r="F29">
        <f>+'ST Original'!DP34</f>
        <v>0</v>
      </c>
      <c r="G29">
        <f>+'ST Original'!DQ34</f>
        <v>0</v>
      </c>
      <c r="H29">
        <f>+'ST Original'!DR34</f>
        <v>0</v>
      </c>
      <c r="I29">
        <f>+'ST Original'!DS34</f>
        <v>0</v>
      </c>
      <c r="J29">
        <f>+'ST Original'!DT34</f>
        <v>0</v>
      </c>
      <c r="K29">
        <f>+'ST Original'!DU34</f>
        <v>0</v>
      </c>
      <c r="L29">
        <f>+'ST Original'!DV34</f>
        <v>0</v>
      </c>
      <c r="M29" s="3080">
        <f t="shared" si="2"/>
        <v>46108.791666666664</v>
      </c>
      <c r="N29" s="2128" t="str">
        <f t="shared" si="3"/>
        <v/>
      </c>
      <c r="O29" s="2128" t="str">
        <f t="shared" si="4"/>
        <v/>
      </c>
      <c r="P29" s="2128" t="str">
        <f t="shared" si="5"/>
        <v/>
      </c>
      <c r="Q29" s="2128" t="str">
        <f t="shared" si="6"/>
        <v/>
      </c>
      <c r="R29" s="2128" t="str">
        <f t="shared" si="7"/>
        <v/>
      </c>
      <c r="S29" s="2128" t="str">
        <f t="shared" si="8"/>
        <v/>
      </c>
      <c r="T29" s="2128" t="str">
        <f t="shared" si="9"/>
        <v/>
      </c>
      <c r="U29" s="2128" t="str">
        <f t="shared" si="10"/>
        <v/>
      </c>
      <c r="V29" s="2128" t="str">
        <f t="shared" si="11"/>
        <v/>
      </c>
      <c r="W29" s="2128" t="str">
        <f t="shared" si="12"/>
        <v/>
      </c>
      <c r="X29" s="2128" t="str">
        <f t="shared" si="13"/>
        <v/>
      </c>
      <c r="Y29" s="3082"/>
    </row>
    <row r="30" spans="1:25">
      <c r="A30" s="156">
        <f>+'ST Original'!B35</f>
        <v>46109.791666666664</v>
      </c>
      <c r="B30">
        <f>+'ST Original'!DL35</f>
        <v>0</v>
      </c>
      <c r="C30">
        <f>+'ST Original'!DM35</f>
        <v>0</v>
      </c>
      <c r="D30">
        <f>+'ST Original'!DN35</f>
        <v>0</v>
      </c>
      <c r="E30">
        <f>+'ST Original'!DO35</f>
        <v>0</v>
      </c>
      <c r="F30">
        <f>+'ST Original'!DP35</f>
        <v>0</v>
      </c>
      <c r="G30">
        <f>+'ST Original'!DQ35</f>
        <v>0</v>
      </c>
      <c r="H30">
        <f>+'ST Original'!DR35</f>
        <v>0</v>
      </c>
      <c r="I30">
        <f>+'ST Original'!DS35</f>
        <v>0</v>
      </c>
      <c r="J30">
        <f>+'ST Original'!DT35</f>
        <v>0</v>
      </c>
      <c r="K30">
        <f>+'ST Original'!DU35</f>
        <v>0</v>
      </c>
      <c r="L30">
        <f>+'ST Original'!DV35</f>
        <v>0</v>
      </c>
      <c r="M30" s="3080">
        <f t="shared" si="2"/>
        <v>46109.791666666664</v>
      </c>
      <c r="N30" s="2128" t="str">
        <f t="shared" si="3"/>
        <v/>
      </c>
      <c r="O30" s="2128" t="str">
        <f t="shared" si="4"/>
        <v/>
      </c>
      <c r="P30" s="2128" t="str">
        <f t="shared" si="5"/>
        <v/>
      </c>
      <c r="Q30" s="2128" t="str">
        <f t="shared" si="6"/>
        <v/>
      </c>
      <c r="R30" s="2128" t="str">
        <f t="shared" si="7"/>
        <v/>
      </c>
      <c r="S30" s="2128" t="str">
        <f t="shared" si="8"/>
        <v/>
      </c>
      <c r="T30" s="2128" t="str">
        <f t="shared" si="9"/>
        <v/>
      </c>
      <c r="U30" s="2128" t="str">
        <f t="shared" si="10"/>
        <v/>
      </c>
      <c r="V30" s="2128" t="str">
        <f t="shared" si="11"/>
        <v/>
      </c>
      <c r="W30" s="2128" t="str">
        <f t="shared" si="12"/>
        <v/>
      </c>
      <c r="X30" s="2128" t="str">
        <f t="shared" si="13"/>
        <v/>
      </c>
      <c r="Y30" s="3082"/>
    </row>
    <row r="31" spans="1:25">
      <c r="A31" s="156">
        <f>+'ST Original'!B36</f>
        <v>46110.791666666664</v>
      </c>
      <c r="B31">
        <f>+'ST Original'!DL36</f>
        <v>0</v>
      </c>
      <c r="C31">
        <f>+'ST Original'!DM36</f>
        <v>0</v>
      </c>
      <c r="D31">
        <f>+'ST Original'!DN36</f>
        <v>0</v>
      </c>
      <c r="E31">
        <f>+'ST Original'!DO36</f>
        <v>0</v>
      </c>
      <c r="F31">
        <f>+'ST Original'!DP36</f>
        <v>0</v>
      </c>
      <c r="G31">
        <f>+'ST Original'!DQ36</f>
        <v>0</v>
      </c>
      <c r="H31">
        <f>+'ST Original'!DR36</f>
        <v>0</v>
      </c>
      <c r="I31">
        <f>+'ST Original'!DS36</f>
        <v>0</v>
      </c>
      <c r="J31">
        <f>+'ST Original'!DT36</f>
        <v>0</v>
      </c>
      <c r="K31">
        <f>+'ST Original'!DU36</f>
        <v>0</v>
      </c>
      <c r="L31">
        <f>+'ST Original'!DV36</f>
        <v>0</v>
      </c>
      <c r="M31" s="3080">
        <f t="shared" si="2"/>
        <v>46110.791666666664</v>
      </c>
      <c r="N31" s="2128" t="str">
        <f t="shared" si="3"/>
        <v/>
      </c>
      <c r="O31" s="2128" t="str">
        <f t="shared" si="4"/>
        <v/>
      </c>
      <c r="P31" s="2128" t="str">
        <f t="shared" si="5"/>
        <v/>
      </c>
      <c r="Q31" s="2128" t="str">
        <f t="shared" si="6"/>
        <v/>
      </c>
      <c r="R31" s="2128" t="str">
        <f t="shared" si="7"/>
        <v/>
      </c>
      <c r="S31" s="2128" t="str">
        <f t="shared" si="8"/>
        <v/>
      </c>
      <c r="T31" s="2128" t="str">
        <f t="shared" si="9"/>
        <v/>
      </c>
      <c r="U31" s="2128" t="str">
        <f t="shared" si="10"/>
        <v/>
      </c>
      <c r="V31" s="2128" t="str">
        <f t="shared" si="11"/>
        <v/>
      </c>
      <c r="W31" s="2128" t="str">
        <f t="shared" si="12"/>
        <v/>
      </c>
      <c r="X31" s="2128" t="str">
        <f t="shared" si="13"/>
        <v/>
      </c>
      <c r="Y31" s="3082"/>
    </row>
    <row r="32" spans="1:25">
      <c r="A32" s="156">
        <f>+'ST Original'!B37</f>
        <v>46111.791666666664</v>
      </c>
      <c r="B32">
        <f>+'ST Original'!DL37</f>
        <v>0</v>
      </c>
      <c r="C32">
        <f>+'ST Original'!DM37</f>
        <v>0</v>
      </c>
      <c r="D32">
        <f>+'ST Original'!DN37</f>
        <v>0</v>
      </c>
      <c r="E32">
        <f>+'ST Original'!DO37</f>
        <v>0</v>
      </c>
      <c r="F32">
        <f>+'ST Original'!DP37</f>
        <v>0</v>
      </c>
      <c r="G32">
        <f>+'ST Original'!DQ37</f>
        <v>0</v>
      </c>
      <c r="H32">
        <f>+'ST Original'!DR37</f>
        <v>0</v>
      </c>
      <c r="I32">
        <f>+'ST Original'!DS37</f>
        <v>0</v>
      </c>
      <c r="J32">
        <f>+'ST Original'!DT37</f>
        <v>0</v>
      </c>
      <c r="K32">
        <f>+'ST Original'!DU37</f>
        <v>0</v>
      </c>
      <c r="L32">
        <f>+'ST Original'!DV37</f>
        <v>0</v>
      </c>
      <c r="M32" s="3080">
        <f t="shared" si="2"/>
        <v>46111.791666666664</v>
      </c>
      <c r="N32" s="2128" t="str">
        <f t="shared" si="3"/>
        <v/>
      </c>
      <c r="O32" s="2128" t="str">
        <f t="shared" si="4"/>
        <v/>
      </c>
      <c r="P32" s="2128" t="str">
        <f t="shared" si="5"/>
        <v/>
      </c>
      <c r="Q32" s="2128" t="str">
        <f t="shared" si="6"/>
        <v/>
      </c>
      <c r="R32" s="2128" t="str">
        <f t="shared" si="7"/>
        <v/>
      </c>
      <c r="S32" s="2128" t="str">
        <f t="shared" si="8"/>
        <v/>
      </c>
      <c r="T32" s="2128" t="str">
        <f t="shared" si="9"/>
        <v/>
      </c>
      <c r="U32" s="2128" t="str">
        <f t="shared" si="10"/>
        <v/>
      </c>
      <c r="V32" s="2128" t="str">
        <f t="shared" si="11"/>
        <v/>
      </c>
      <c r="W32" s="2128" t="str">
        <f t="shared" si="12"/>
        <v/>
      </c>
      <c r="X32" s="2128" t="str">
        <f t="shared" si="13"/>
        <v/>
      </c>
      <c r="Y32" s="3082"/>
    </row>
    <row r="33" spans="1:25">
      <c r="A33" s="156">
        <f>+'ST Original'!B38</f>
        <v>46112.791666666664</v>
      </c>
      <c r="M33" s="3080">
        <f t="shared" si="2"/>
        <v>46112.791666666664</v>
      </c>
      <c r="N33" s="2128"/>
      <c r="O33" s="2128"/>
      <c r="P33" s="2128"/>
      <c r="Q33" s="2128"/>
      <c r="R33" s="2128"/>
      <c r="S33" s="2128"/>
      <c r="T33" s="2128"/>
      <c r="U33" s="2128"/>
      <c r="V33" s="2128"/>
      <c r="W33" s="2128"/>
      <c r="X33" s="2128"/>
      <c r="Y33" s="3082"/>
    </row>
    <row r="34" spans="1:25">
      <c r="A34" s="156"/>
    </row>
    <row r="35" spans="1:25">
      <c r="A35" s="156"/>
    </row>
    <row r="36" spans="1:25">
      <c r="A36" s="156"/>
    </row>
    <row r="37" spans="1:25">
      <c r="A37" s="156"/>
    </row>
  </sheetData>
  <conditionalFormatting sqref="B3:L33">
    <cfRule type="cellIs" dxfId="0" priority="1" operator="notEqual">
      <formula>0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0"/>
  <dimension ref="B3:G107"/>
  <sheetViews>
    <sheetView workbookViewId="0">
      <selection activeCell="J30" sqref="J30"/>
    </sheetView>
  </sheetViews>
  <sheetFormatPr baseColWidth="10" defaultColWidth="11.453125" defaultRowHeight="12.5"/>
  <cols>
    <col min="1" max="3" width="11.453125" style="273"/>
    <col min="4" max="4" width="12.453125" style="273" bestFit="1" customWidth="1"/>
    <col min="5" max="5" width="11.453125" style="273"/>
    <col min="6" max="6" width="14" style="273" customWidth="1"/>
    <col min="7" max="7" width="14" style="273" bestFit="1" customWidth="1"/>
    <col min="8" max="16384" width="11.453125" style="273"/>
  </cols>
  <sheetData>
    <row r="3" spans="2:7" ht="18">
      <c r="B3" s="879" t="s">
        <v>50</v>
      </c>
    </row>
    <row r="4" spans="2:7">
      <c r="B4" s="1255" t="s">
        <v>1117</v>
      </c>
      <c r="C4" s="1240"/>
      <c r="D4" s="1240"/>
      <c r="E4" s="1240" t="s">
        <v>1118</v>
      </c>
      <c r="F4" s="1240" t="s">
        <v>1119</v>
      </c>
    </row>
    <row r="5" spans="2:7">
      <c r="B5" s="1255" t="s">
        <v>258</v>
      </c>
      <c r="C5" s="1255" t="s">
        <v>1120</v>
      </c>
      <c r="D5" s="1255" t="s">
        <v>1121</v>
      </c>
      <c r="E5" s="1255" t="s">
        <v>1122</v>
      </c>
      <c r="F5" s="1255" t="s">
        <v>1123</v>
      </c>
      <c r="G5" s="1255" t="s">
        <v>1124</v>
      </c>
    </row>
    <row r="6" spans="2:7">
      <c r="B6" s="1256">
        <f>'Proy. Mes'!B9</f>
        <v>46082.791666666664</v>
      </c>
      <c r="C6" s="1184">
        <f>'R+P'!E8</f>
        <v>98057.835933685317</v>
      </c>
      <c r="D6" s="1184">
        <f>'R+P'!O8</f>
        <v>2102.6404868281052</v>
      </c>
      <c r="E6" s="1184">
        <f>'R+P'!BA8</f>
        <v>17.034815264907841</v>
      </c>
      <c r="F6" s="1184">
        <f>'R+P'!BB8</f>
        <v>342.5</v>
      </c>
      <c r="G6" s="1257">
        <f>IF(E6=0,"",F6/E6)</f>
        <v>20.105882844855902</v>
      </c>
    </row>
    <row r="7" spans="2:7">
      <c r="B7" s="1256">
        <f>'Proy. Mes'!B10</f>
        <v>46083.791666666664</v>
      </c>
      <c r="C7" s="1184">
        <f>'R+P'!E9</f>
        <v>170436.89745330811</v>
      </c>
      <c r="D7" s="1184">
        <f>'R+P'!O9</f>
        <v>2838.7347948412084</v>
      </c>
      <c r="E7" s="1184">
        <f>'R+P'!BA9</f>
        <v>17.92604013467345</v>
      </c>
      <c r="F7" s="1184">
        <f>'R+P'!BB9</f>
        <v>474.75</v>
      </c>
      <c r="G7" s="1257">
        <f t="shared" ref="G7:G13" si="0">IF(E7=0,"",F7/E7)</f>
        <v>26.483818870945996</v>
      </c>
    </row>
    <row r="8" spans="2:7">
      <c r="B8" s="1256">
        <f>'Proy. Mes'!B11</f>
        <v>46084.791666666664</v>
      </c>
      <c r="C8" s="1184">
        <f>'R+P'!E10</f>
        <v>158186.81954193115</v>
      </c>
      <c r="D8" s="1184">
        <f>'R+P'!O10</f>
        <v>2625.3828676434409</v>
      </c>
      <c r="E8" s="1184">
        <f>'R+P'!BA10</f>
        <v>15.503640437725355</v>
      </c>
      <c r="F8" s="1184">
        <f>'R+P'!BB10</f>
        <v>670.75</v>
      </c>
      <c r="G8" s="1257">
        <f t="shared" si="0"/>
        <v>43.264032257085184</v>
      </c>
    </row>
    <row r="9" spans="2:7">
      <c r="B9" s="1256">
        <f>'Proy. Mes'!B12</f>
        <v>46085.791666666664</v>
      </c>
      <c r="C9" s="1184">
        <f>'R+P'!E11</f>
        <v>156047.44256210327</v>
      </c>
      <c r="D9" s="1184">
        <f>'R+P'!O11</f>
        <v>2739.0629253382481</v>
      </c>
      <c r="E9" s="1184">
        <f>'R+P'!BA11</f>
        <v>29.562249012118791</v>
      </c>
      <c r="F9" s="1184">
        <f>'R+P'!BB11</f>
        <v>1534.1666666666667</v>
      </c>
      <c r="G9" s="1257">
        <f t="shared" si="0"/>
        <v>51.896141800231376</v>
      </c>
    </row>
    <row r="10" spans="2:7">
      <c r="B10" s="1256">
        <f>'Proy. Mes'!B13</f>
        <v>46086.791666666664</v>
      </c>
      <c r="C10" s="1184">
        <f>'R+P'!E12</f>
        <v>164038.849609375</v>
      </c>
      <c r="D10" s="1184">
        <f>'R+P'!O12</f>
        <v>3179.0080375598218</v>
      </c>
      <c r="E10" s="1184">
        <f>'R+P'!BA12</f>
        <v>27.704608070403381</v>
      </c>
      <c r="F10" s="1184">
        <f>'R+P'!BB12</f>
        <v>1680.5</v>
      </c>
      <c r="G10" s="1257">
        <f t="shared" si="0"/>
        <v>60.657779230425753</v>
      </c>
    </row>
    <row r="11" spans="2:7">
      <c r="B11" s="1256">
        <f>'Proy. Mes'!B14</f>
        <v>46087.791666666664</v>
      </c>
      <c r="C11" s="1184">
        <f>'R+P'!E13</f>
        <v>152878.49609375</v>
      </c>
      <c r="D11" s="1184">
        <f>'R+P'!O13</f>
        <v>2953.9285601540573</v>
      </c>
      <c r="E11" s="1184">
        <f>'R+P'!BA13</f>
        <v>19.997306590670725</v>
      </c>
      <c r="F11" s="1184">
        <f>'R+P'!BB13</f>
        <v>1334.9166666666667</v>
      </c>
      <c r="G11" s="1257">
        <f t="shared" si="0"/>
        <v>66.754823236517311</v>
      </c>
    </row>
    <row r="12" spans="2:7">
      <c r="B12" s="1256">
        <f>'Proy. Mes'!B15</f>
        <v>46088.791666666664</v>
      </c>
      <c r="C12" s="1184">
        <f>'R+P'!E14</f>
        <v>146198.26675415039</v>
      </c>
      <c r="D12" s="1184">
        <f>'R+P'!O14</f>
        <v>2505.3564988938097</v>
      </c>
      <c r="E12" s="1184">
        <f>'R+P'!BA14</f>
        <v>10.436780522061136</v>
      </c>
      <c r="F12" s="1184">
        <f>'R+P'!BB14</f>
        <v>857</v>
      </c>
      <c r="G12" s="1257">
        <f t="shared" si="0"/>
        <v>82.113444676591996</v>
      </c>
    </row>
    <row r="13" spans="2:7">
      <c r="B13" s="1256">
        <f>'Proy. Mes'!B16</f>
        <v>46089.791666666664</v>
      </c>
      <c r="C13" s="1184">
        <f>'R+P'!E15</f>
        <v>168405.05169918062</v>
      </c>
      <c r="D13" s="1184">
        <f>'R+P'!O15</f>
        <v>2757.5896259469755</v>
      </c>
      <c r="E13" s="1184">
        <f>'R+P'!BA15</f>
        <v>15.06626195211736</v>
      </c>
      <c r="F13" s="1184">
        <f>'R+P'!BB15</f>
        <v>1167.8333333333333</v>
      </c>
      <c r="G13" s="1257">
        <f t="shared" si="0"/>
        <v>77.513144072820936</v>
      </c>
    </row>
    <row r="14" spans="2:7">
      <c r="B14" s="1256">
        <f>'Proy. Mes'!B17</f>
        <v>46090.791666666664</v>
      </c>
      <c r="C14" s="1184">
        <f>'R+P'!E16</f>
        <v>178661.44506835938</v>
      </c>
      <c r="D14" s="1184">
        <f>'R+P'!O16</f>
        <v>3361.2083165540448</v>
      </c>
      <c r="E14" s="1184">
        <f>'R+P'!BA16</f>
        <v>10.905295760365252</v>
      </c>
      <c r="F14" s="1184">
        <f>'R+P'!BB16</f>
        <v>1089.1666666666667</v>
      </c>
      <c r="G14" s="1257">
        <f t="shared" ref="G14:G34" si="1">IF(E14="","",F14/E14)</f>
        <v>99.875023163075326</v>
      </c>
    </row>
    <row r="15" spans="2:7">
      <c r="B15" s="1256">
        <f>'Proy. Mes'!B18</f>
        <v>46091.791666666664</v>
      </c>
      <c r="C15" s="1184">
        <f>'R+P'!E17</f>
        <v>176859.1845703125</v>
      </c>
      <c r="D15" s="1184">
        <f>'R+P'!O17</f>
        <v>3038.1382681057039</v>
      </c>
      <c r="E15" s="1184">
        <f>'R+P'!BA17</f>
        <v>6.6719571850409691</v>
      </c>
      <c r="F15" s="1184">
        <f>'R+P'!BB17</f>
        <v>720.41666666666663</v>
      </c>
      <c r="G15" s="1257">
        <f t="shared" si="1"/>
        <v>107.97681200381427</v>
      </c>
    </row>
    <row r="16" spans="2:7">
      <c r="B16" s="1256">
        <f>'Proy. Mes'!B19</f>
        <v>46092.791666666664</v>
      </c>
      <c r="C16" s="1184">
        <f>'R+P'!E18</f>
        <v>180799.115234375</v>
      </c>
      <c r="D16" s="1184">
        <f>'R+P'!O18</f>
        <v>2946.4315790945502</v>
      </c>
      <c r="E16" s="1184">
        <f>'R+P'!BA18</f>
        <v>8.9223053203658296</v>
      </c>
      <c r="F16" s="1184">
        <f>'R+P'!BB18</f>
        <v>1109.1666666666667</v>
      </c>
      <c r="G16" s="1257">
        <f t="shared" si="1"/>
        <v>124.31391068123513</v>
      </c>
    </row>
    <row r="17" spans="2:7">
      <c r="B17" s="1256">
        <f>'Proy. Mes'!B20</f>
        <v>46093.791666666664</v>
      </c>
      <c r="C17" s="1184">
        <f>'R+P'!E19</f>
        <v>184089.18730926514</v>
      </c>
      <c r="D17" s="1184">
        <f>'R+P'!O19</f>
        <v>3144.6342269664647</v>
      </c>
      <c r="E17" s="1184">
        <f>'R+P'!BA19</f>
        <v>21.273388437093605</v>
      </c>
      <c r="F17" s="1184">
        <f>'R+P'!BB19</f>
        <v>992.08333333333337</v>
      </c>
      <c r="G17" s="1257">
        <f t="shared" si="1"/>
        <v>46.634946579712476</v>
      </c>
    </row>
    <row r="18" spans="2:7">
      <c r="B18" s="1256">
        <f>'Proy. Mes'!B21</f>
        <v>46094.791666666664</v>
      </c>
      <c r="C18" s="1184">
        <f>'R+P'!E20</f>
        <v>198001.22031784058</v>
      </c>
      <c r="D18" s="1184">
        <f>'R+P'!O20</f>
        <v>3326.6935218862882</v>
      </c>
      <c r="E18" s="1184">
        <f>'R+P'!BA20</f>
        <v>22.070081928928818</v>
      </c>
      <c r="F18" s="1184">
        <f>'R+P'!BB20</f>
        <v>620.91666666666663</v>
      </c>
      <c r="G18" s="1257">
        <f t="shared" si="1"/>
        <v>28.133863239211053</v>
      </c>
    </row>
    <row r="19" spans="2:7">
      <c r="B19" s="1256">
        <f>'Proy. Mes'!B22</f>
        <v>46095.791666666664</v>
      </c>
      <c r="C19" s="1184">
        <f>'R+P'!E21</f>
        <v>188416.49098777771</v>
      </c>
      <c r="D19" s="1184">
        <f>'R+P'!O21</f>
        <v>2867.5080569330084</v>
      </c>
      <c r="E19" s="1184">
        <f>'R+P'!BA21</f>
        <v>21.400749721323734</v>
      </c>
      <c r="F19" s="1184">
        <f>'R+P'!BB21</f>
        <v>549.16666666666663</v>
      </c>
      <c r="G19" s="1257">
        <f t="shared" si="1"/>
        <v>25.661094766202339</v>
      </c>
    </row>
    <row r="20" spans="2:7">
      <c r="B20" s="1256">
        <f>'Proy. Mes'!B23</f>
        <v>46096.791666666664</v>
      </c>
      <c r="C20" s="1184">
        <f>'R+P'!E22</f>
        <v>196432.52658081055</v>
      </c>
      <c r="D20" s="1184">
        <f>'R+P'!O22</f>
        <v>3183.296192107724</v>
      </c>
      <c r="E20" s="1184">
        <f>'R+P'!BA22</f>
        <v>19.068582309827722</v>
      </c>
      <c r="F20" s="1184">
        <f>'R+P'!BB22</f>
        <v>473.16666666666669</v>
      </c>
      <c r="G20" s="1257">
        <f t="shared" si="1"/>
        <v>24.813940490101469</v>
      </c>
    </row>
    <row r="21" spans="2:7">
      <c r="B21" s="1256">
        <f>'Proy. Mes'!B24</f>
        <v>46097.791666666664</v>
      </c>
      <c r="C21" s="1184">
        <f>'R+P'!E23</f>
        <v>202874.56951904297</v>
      </c>
      <c r="D21" s="1184">
        <f>'R+P'!O23</f>
        <v>3368.9106837660856</v>
      </c>
      <c r="E21" s="1184">
        <f>'R+P'!BA23</f>
        <v>23.478859918414088</v>
      </c>
      <c r="F21" s="1184">
        <f>'R+P'!BB23</f>
        <v>586.25</v>
      </c>
      <c r="G21" s="1257">
        <f t="shared" si="1"/>
        <v>24.969270315387575</v>
      </c>
    </row>
    <row r="22" spans="2:7">
      <c r="B22" s="1256">
        <f>'Proy. Mes'!B25</f>
        <v>46098.791666666664</v>
      </c>
      <c r="C22" s="1184">
        <f>'R+P'!E24</f>
        <v>198696.43357086182</v>
      </c>
      <c r="D22" s="1184">
        <f>'R+P'!O24</f>
        <v>3094.4072787997325</v>
      </c>
      <c r="E22" s="1184">
        <f>'R+P'!BA24</f>
        <v>19.184468234775274</v>
      </c>
      <c r="F22" s="1184">
        <f>'R+P'!BB24</f>
        <v>761.25</v>
      </c>
      <c r="G22" s="1257">
        <f t="shared" si="1"/>
        <v>39.680536915800381</v>
      </c>
    </row>
    <row r="23" spans="2:7">
      <c r="B23" s="1256">
        <f>'Proy. Mes'!B26</f>
        <v>46099.791666666664</v>
      </c>
      <c r="C23" s="1184">
        <f>'R+P'!E25</f>
        <v>184400</v>
      </c>
      <c r="D23" s="1184">
        <f>'R+P'!O25</f>
        <v>2868.1496402877697</v>
      </c>
      <c r="E23" s="1184">
        <f>'R+P'!BA25</f>
        <v>11.652615443859117</v>
      </c>
      <c r="F23" s="1184">
        <f>'R+P'!BB25</f>
        <v>524.36769497366026</v>
      </c>
      <c r="G23" s="1257">
        <f t="shared" si="1"/>
        <v>45</v>
      </c>
    </row>
    <row r="24" spans="2:7">
      <c r="B24" s="1256">
        <f>'Proy. Mes'!B27</f>
        <v>46100.791666666664</v>
      </c>
      <c r="C24" s="1184">
        <f>'R+P'!E26</f>
        <v>200651.2377070607</v>
      </c>
      <c r="D24" s="1184">
        <f>'R+P'!O26</f>
        <v>3850.6820331641861</v>
      </c>
      <c r="E24" s="1184">
        <f>'R+P'!BA26</f>
        <v>32.497090062531356</v>
      </c>
      <c r="F24" s="1184">
        <f>'R+P'!BB26</f>
        <v>1462.3690528139109</v>
      </c>
      <c r="G24" s="1257">
        <f t="shared" si="1"/>
        <v>45</v>
      </c>
    </row>
    <row r="25" spans="2:7">
      <c r="B25" s="1256">
        <f>'Proy. Mes'!B28</f>
        <v>46101.791666666664</v>
      </c>
      <c r="C25" s="1184">
        <f>'R+P'!E27</f>
        <v>204835.77361949021</v>
      </c>
      <c r="D25" s="1184">
        <f>'R+P'!O27</f>
        <v>3937.5680948292656</v>
      </c>
      <c r="E25" s="1184">
        <f>'R+P'!BA27</f>
        <v>33.838682543884985</v>
      </c>
      <c r="F25" s="1184">
        <f>'R+P'!BB27</f>
        <v>1522.7407144748242</v>
      </c>
      <c r="G25" s="1257">
        <f t="shared" si="1"/>
        <v>45</v>
      </c>
    </row>
    <row r="26" spans="2:7">
      <c r="B26" s="1256">
        <f>'Proy. Mes'!B29</f>
        <v>46102.791666666664</v>
      </c>
      <c r="C26" s="1184">
        <f>'R+P'!E28</f>
        <v>202732.90510208849</v>
      </c>
      <c r="D26" s="1184">
        <f>'R+P'!O28</f>
        <v>3700.9212617490002</v>
      </c>
      <c r="E26" s="1184">
        <f>'R+P'!BA28</f>
        <v>29.038000097600129</v>
      </c>
      <c r="F26" s="1184">
        <f>'R+P'!BB28</f>
        <v>1306.7100043920059</v>
      </c>
      <c r="G26" s="1257">
        <f t="shared" si="1"/>
        <v>45</v>
      </c>
    </row>
    <row r="27" spans="2:7">
      <c r="B27" s="1256">
        <f>'Proy. Mes'!B30</f>
        <v>46103.791666666664</v>
      </c>
      <c r="C27" s="1184">
        <f>'R+P'!E29</f>
        <v>207633.99807777914</v>
      </c>
      <c r="D27" s="1184">
        <f>'R+P'!O29</f>
        <v>4343.9116057068795</v>
      </c>
      <c r="E27" s="1184">
        <f>'R+P'!BA29</f>
        <v>27.923885320642949</v>
      </c>
      <c r="F27" s="1184">
        <f>'R+P'!BB29</f>
        <v>1256.5748394289326</v>
      </c>
      <c r="G27" s="1257">
        <f t="shared" si="1"/>
        <v>44.999999999999993</v>
      </c>
    </row>
    <row r="28" spans="2:7">
      <c r="B28" s="1256">
        <f>'Proy. Mes'!B31</f>
        <v>46104.791666666664</v>
      </c>
      <c r="C28" s="1184">
        <f>'R+P'!E30</f>
        <v>197367.70075599366</v>
      </c>
      <c r="D28" s="1184">
        <f>'R+P'!O30</f>
        <v>4058.0194574746279</v>
      </c>
      <c r="E28" s="1184">
        <f>'R+P'!BA30</f>
        <v>24.100598082888698</v>
      </c>
      <c r="F28" s="1184">
        <f>'R+P'!BB30</f>
        <v>1084.5269137299915</v>
      </c>
      <c r="G28" s="1257">
        <f t="shared" si="1"/>
        <v>45.000000000000007</v>
      </c>
    </row>
    <row r="29" spans="2:7">
      <c r="B29" s="1256">
        <f>'Proy. Mes'!B32</f>
        <v>46105.791666666664</v>
      </c>
      <c r="C29" s="1184">
        <f>'R+P'!E31</f>
        <v>200368.38777048467</v>
      </c>
      <c r="D29" s="1184">
        <f>'R+P'!O31</f>
        <v>3778.8739001934809</v>
      </c>
      <c r="E29" s="1184">
        <f>'R+P'!BA31</f>
        <v>27.104588550531616</v>
      </c>
      <c r="F29" s="1184">
        <f>'R+P'!BB31</f>
        <v>1219.7064847739227</v>
      </c>
      <c r="G29" s="1257">
        <f t="shared" si="1"/>
        <v>45</v>
      </c>
    </row>
    <row r="30" spans="2:7">
      <c r="B30" s="1256">
        <f>'Proy. Mes'!B33</f>
        <v>46106.791666666664</v>
      </c>
      <c r="C30" s="1184">
        <f>'R+P'!E32</f>
        <v>197295.19435247991</v>
      </c>
      <c r="D30" s="1184">
        <f>'R+P'!O32</f>
        <v>3448.0869652046572</v>
      </c>
      <c r="E30" s="1184">
        <f>'R+P'!BA32</f>
        <v>25.698208431056358</v>
      </c>
      <c r="F30" s="1184">
        <f>'R+P'!BB32</f>
        <v>1156.4193793975362</v>
      </c>
      <c r="G30" s="1257">
        <f t="shared" si="1"/>
        <v>45.000000000000007</v>
      </c>
    </row>
    <row r="31" spans="2:7">
      <c r="B31" s="1256">
        <f>'Proy. Mes'!B34</f>
        <v>46107.791666666664</v>
      </c>
      <c r="C31" s="1184">
        <f>'R+P'!E33</f>
        <v>194197.02884296299</v>
      </c>
      <c r="D31" s="1184">
        <f>'R+P'!O33</f>
        <v>3577.6501749069007</v>
      </c>
      <c r="E31" s="1184">
        <f>'R+P'!BA33</f>
        <v>29.118180773696842</v>
      </c>
      <c r="F31" s="1184">
        <f>'R+P'!BB33</f>
        <v>1310.318134816358</v>
      </c>
      <c r="G31" s="1257">
        <f t="shared" si="1"/>
        <v>45</v>
      </c>
    </row>
    <row r="32" spans="2:7">
      <c r="B32" s="1256">
        <f>'Proy. Mes'!B35</f>
        <v>46108.791666666664</v>
      </c>
      <c r="C32" s="1184">
        <f>'R+P'!E34</f>
        <v>203510.59671721514</v>
      </c>
      <c r="D32" s="1184">
        <f>'R+P'!O34</f>
        <v>3644.7402322216662</v>
      </c>
      <c r="E32" s="1184">
        <f>'R+P'!BA34</f>
        <v>19.13910662669452</v>
      </c>
      <c r="F32" s="1184">
        <f>'R+P'!BB34</f>
        <v>861.25979820125337</v>
      </c>
      <c r="G32" s="1257">
        <f t="shared" si="1"/>
        <v>45</v>
      </c>
    </row>
    <row r="33" spans="2:7">
      <c r="B33" s="1256">
        <f>'Proy. Mes'!B36</f>
        <v>46109.791666666664</v>
      </c>
      <c r="C33" s="1184">
        <f>'R+P'!E35</f>
        <v>206249.92537445974</v>
      </c>
      <c r="D33" s="1184">
        <f>'R+P'!O35</f>
        <v>3570.0125218506764</v>
      </c>
      <c r="E33" s="1184">
        <f>'R+P'!BA35</f>
        <v>18.29986106432866</v>
      </c>
      <c r="F33" s="1184">
        <f>'R+P'!BB35</f>
        <v>823.49374789478964</v>
      </c>
      <c r="G33" s="1257">
        <f t="shared" si="1"/>
        <v>45</v>
      </c>
    </row>
    <row r="34" spans="2:7">
      <c r="B34" s="1256">
        <f>'Proy. Mes'!B37</f>
        <v>46110.791666666664</v>
      </c>
      <c r="C34" s="1184">
        <f>'R+P'!E36</f>
        <v>209169.30110130421</v>
      </c>
      <c r="D34" s="1184">
        <f>'R+P'!O36</f>
        <v>3765.2708407090422</v>
      </c>
      <c r="E34" s="1184">
        <f>'R+P'!BA36</f>
        <v>19.387743880966898</v>
      </c>
      <c r="F34" s="1184">
        <f>'R+P'!BB36</f>
        <v>872.44847464351039</v>
      </c>
      <c r="G34" s="1257">
        <f t="shared" si="1"/>
        <v>45</v>
      </c>
    </row>
    <row r="35" spans="2:7">
      <c r="B35" s="1256">
        <f>'Proy. Mes'!B38</f>
        <v>46111.791666666664</v>
      </c>
      <c r="C35" s="1184">
        <f>'R+P'!E37</f>
        <v>200982.55747578535</v>
      </c>
      <c r="D35" s="1184">
        <f>'R+P'!O37</f>
        <v>3558.9803271200471</v>
      </c>
      <c r="E35" s="1184">
        <f>'R+P'!BA37</f>
        <v>16.388313236015385</v>
      </c>
      <c r="F35" s="1184">
        <f>'R+P'!BB37</f>
        <v>737.47409562069231</v>
      </c>
      <c r="G35" s="1257">
        <f>IF(E35="","",F35/E35)</f>
        <v>45</v>
      </c>
    </row>
    <row r="36" spans="2:7">
      <c r="B36" s="1256">
        <f>'Proy. Mes'!B39</f>
        <v>46112.791666666664</v>
      </c>
      <c r="C36" s="1184"/>
      <c r="D36" s="1184"/>
      <c r="E36" s="1184"/>
      <c r="F36" s="1184"/>
      <c r="G36" s="1257"/>
    </row>
    <row r="37" spans="2:7">
      <c r="B37" s="1254"/>
      <c r="E37" s="722">
        <f>SUMPRODUCT(C6:C36,E6:E36)/SUM(C6:C36)</f>
        <v>20.991907364099372</v>
      </c>
      <c r="F37" s="309">
        <f>SUMPRODUCT(D6:D36,F6:F36)/SUM(D6:D36)</f>
        <v>993.50344307434216</v>
      </c>
    </row>
    <row r="39" spans="2:7" ht="18">
      <c r="B39" s="879" t="s">
        <v>9</v>
      </c>
    </row>
    <row r="40" spans="2:7">
      <c r="B40" s="1255" t="s">
        <v>1117</v>
      </c>
      <c r="C40" s="1240"/>
      <c r="D40" s="1240"/>
      <c r="E40" s="1240" t="s">
        <v>1118</v>
      </c>
      <c r="F40" s="1240" t="s">
        <v>1119</v>
      </c>
      <c r="G40" s="273">
        <v>45</v>
      </c>
    </row>
    <row r="41" spans="2:7">
      <c r="B41" s="1255" t="s">
        <v>258</v>
      </c>
      <c r="C41" s="1255" t="s">
        <v>1120</v>
      </c>
      <c r="D41" s="1255" t="s">
        <v>1121</v>
      </c>
      <c r="E41" s="1255" t="s">
        <v>1122</v>
      </c>
      <c r="F41" s="1255" t="s">
        <v>1123</v>
      </c>
      <c r="G41" s="1255" t="s">
        <v>1124</v>
      </c>
    </row>
    <row r="42" spans="2:7">
      <c r="B42" s="1256">
        <f>+B6</f>
        <v>46082.791666666664</v>
      </c>
      <c r="C42" s="1184">
        <f>+'ST Original'!E8</f>
        <v>92511.072796314038</v>
      </c>
      <c r="D42" s="1184">
        <f>+'ST Original'!O8</f>
        <v>1463.0330727479554</v>
      </c>
      <c r="E42" s="1184">
        <f>'Plan mina ST'!V6</f>
        <v>13.340934941070996</v>
      </c>
      <c r="F42" s="1184">
        <f>+E42*$G$40</f>
        <v>600.34207234819485</v>
      </c>
      <c r="G42" s="1257">
        <f>F42/E42</f>
        <v>45</v>
      </c>
    </row>
    <row r="43" spans="2:7">
      <c r="B43" s="1256">
        <f t="shared" ref="B43:B72" si="2">+B7</f>
        <v>46083.791666666664</v>
      </c>
      <c r="C43" s="1184">
        <f>+'ST Original'!E9</f>
        <v>166863.09892828096</v>
      </c>
      <c r="D43" s="1184">
        <f>+'ST Original'!O9</f>
        <v>2672.3851878727478</v>
      </c>
      <c r="E43" s="1184">
        <f>'Plan mina ST'!V7</f>
        <v>15.018858959845458</v>
      </c>
      <c r="F43" s="1184">
        <f t="shared" ref="F43:F69" si="3">+E43*$G$40</f>
        <v>675.84865319304561</v>
      </c>
      <c r="G43" s="1257">
        <f t="shared" ref="G43:G69" si="4">F43/E43</f>
        <v>45</v>
      </c>
    </row>
    <row r="44" spans="2:7">
      <c r="B44" s="1256">
        <f t="shared" si="2"/>
        <v>46084.791666666664</v>
      </c>
      <c r="C44" s="1184">
        <f>+'ST Original'!E10</f>
        <v>144424.70628770083</v>
      </c>
      <c r="D44" s="1184">
        <f>+'ST Original'!O10</f>
        <v>2216.6115750776935</v>
      </c>
      <c r="E44" s="1184">
        <f>'Plan mina ST'!V8</f>
        <v>20.001321136031645</v>
      </c>
      <c r="F44" s="1184">
        <f t="shared" si="3"/>
        <v>900.05945112142399</v>
      </c>
      <c r="G44" s="1257">
        <f t="shared" si="4"/>
        <v>45</v>
      </c>
    </row>
    <row r="45" spans="2:7">
      <c r="B45" s="1256">
        <f t="shared" si="2"/>
        <v>46085.791666666664</v>
      </c>
      <c r="C45" s="1184">
        <f>+'ST Original'!E11</f>
        <v>144860.8459614426</v>
      </c>
      <c r="D45" s="1184">
        <f>+'ST Original'!O11</f>
        <v>2313.8490400997584</v>
      </c>
      <c r="E45" s="1184">
        <f>'Plan mina ST'!V9</f>
        <v>24.727257065352916</v>
      </c>
      <c r="F45" s="1184">
        <f t="shared" si="3"/>
        <v>1112.7265679408813</v>
      </c>
      <c r="G45" s="1257">
        <f t="shared" si="4"/>
        <v>45</v>
      </c>
    </row>
    <row r="46" spans="2:7">
      <c r="B46" s="1256">
        <f t="shared" si="2"/>
        <v>46086.791666666664</v>
      </c>
      <c r="C46" s="1184">
        <f>+'ST Original'!E12</f>
        <v>150917.77176313917</v>
      </c>
      <c r="D46" s="1184">
        <f>+'ST Original'!O12</f>
        <v>2500.0029699779629</v>
      </c>
      <c r="E46" s="1184">
        <f>'Plan mina ST'!V10</f>
        <v>18.480650909820113</v>
      </c>
      <c r="F46" s="1184">
        <f t="shared" si="3"/>
        <v>831.62929094190508</v>
      </c>
      <c r="G46" s="1257">
        <f t="shared" si="4"/>
        <v>45</v>
      </c>
    </row>
    <row r="47" spans="2:7">
      <c r="B47" s="1256">
        <f t="shared" si="2"/>
        <v>46087.791666666664</v>
      </c>
      <c r="C47" s="1184">
        <f>+'ST Original'!E13</f>
        <v>151106.59841900799</v>
      </c>
      <c r="D47" s="1184">
        <f>+'ST Original'!O13</f>
        <v>2791.9596992475977</v>
      </c>
      <c r="E47" s="1184">
        <f>'Plan mina ST'!V11</f>
        <v>25.413285510370944</v>
      </c>
      <c r="F47" s="1184">
        <f t="shared" si="3"/>
        <v>1143.5978479666924</v>
      </c>
      <c r="G47" s="1257">
        <f t="shared" si="4"/>
        <v>44.999999999999993</v>
      </c>
    </row>
    <row r="48" spans="2:7">
      <c r="B48" s="1256">
        <f t="shared" si="2"/>
        <v>46088.791666666664</v>
      </c>
      <c r="C48" s="1184">
        <f>+'ST Original'!E14</f>
        <v>165609.56401972804</v>
      </c>
      <c r="D48" s="1184">
        <f>+'ST Original'!O14</f>
        <v>3403.0292033892138</v>
      </c>
      <c r="E48" s="1184">
        <f>'Plan mina ST'!V12</f>
        <v>50.502314575070429</v>
      </c>
      <c r="F48" s="1184">
        <f t="shared" si="3"/>
        <v>2272.6041558781694</v>
      </c>
      <c r="G48" s="1257">
        <f t="shared" si="4"/>
        <v>45</v>
      </c>
    </row>
    <row r="49" spans="2:7">
      <c r="B49" s="1256">
        <f t="shared" si="2"/>
        <v>46089.791666666664</v>
      </c>
      <c r="C49" s="1184">
        <f>+'ST Original'!E15</f>
        <v>202920.17669039228</v>
      </c>
      <c r="D49" s="1184">
        <f>+'ST Original'!O15</f>
        <v>3953.8202768151364</v>
      </c>
      <c r="E49" s="1184">
        <f>'Plan mina ST'!V13</f>
        <v>57.800312080789894</v>
      </c>
      <c r="F49" s="1184">
        <f t="shared" si="3"/>
        <v>2601.014043635545</v>
      </c>
      <c r="G49" s="1257">
        <f t="shared" si="4"/>
        <v>45</v>
      </c>
    </row>
    <row r="50" spans="2:7">
      <c r="B50" s="1256">
        <f t="shared" si="2"/>
        <v>46090.791666666664</v>
      </c>
      <c r="C50" s="1184">
        <f>+'ST Original'!E16</f>
        <v>180399.7506785398</v>
      </c>
      <c r="D50" s="1184">
        <f>+'ST Original'!O16</f>
        <v>3717.8219958657969</v>
      </c>
      <c r="E50" s="1184">
        <f>'Plan mina ST'!V14</f>
        <v>41.609581397084085</v>
      </c>
      <c r="F50" s="1184">
        <f t="shared" si="3"/>
        <v>1872.4311628687838</v>
      </c>
      <c r="G50" s="1257">
        <f t="shared" si="4"/>
        <v>45</v>
      </c>
    </row>
    <row r="51" spans="2:7">
      <c r="B51" s="1256">
        <f t="shared" si="2"/>
        <v>46091.791666666664</v>
      </c>
      <c r="C51" s="1184">
        <f>+'ST Original'!E17</f>
        <v>167995.49863435666</v>
      </c>
      <c r="D51" s="1184">
        <f>+'ST Original'!O17</f>
        <v>3538.1846492588006</v>
      </c>
      <c r="E51" s="1184">
        <f>'Plan mina ST'!V15</f>
        <v>33.827752555975259</v>
      </c>
      <c r="F51" s="1184">
        <f t="shared" si="3"/>
        <v>1522.2488650188866</v>
      </c>
      <c r="G51" s="1257">
        <f t="shared" si="4"/>
        <v>45</v>
      </c>
    </row>
    <row r="52" spans="2:7">
      <c r="B52" s="1256">
        <f t="shared" si="2"/>
        <v>46092.791666666664</v>
      </c>
      <c r="C52" s="1184">
        <f>+'ST Original'!E18</f>
        <v>194556.4274488097</v>
      </c>
      <c r="D52" s="1184">
        <f>+'ST Original'!O18</f>
        <v>3573.5840270533877</v>
      </c>
      <c r="E52" s="1184">
        <f>'Plan mina ST'!V16</f>
        <v>28.347256174127001</v>
      </c>
      <c r="F52" s="1184">
        <f t="shared" si="3"/>
        <v>1275.626527835715</v>
      </c>
      <c r="G52" s="1257">
        <f t="shared" si="4"/>
        <v>45</v>
      </c>
    </row>
    <row r="53" spans="2:7">
      <c r="B53" s="1256">
        <f t="shared" si="2"/>
        <v>46093.791666666664</v>
      </c>
      <c r="C53" s="1184">
        <f>+'ST Original'!E19</f>
        <v>209569.13112126503</v>
      </c>
      <c r="D53" s="1184">
        <f>+'ST Original'!O19</f>
        <v>3453.8396878561921</v>
      </c>
      <c r="E53" s="1184">
        <f>'Plan mina ST'!V17</f>
        <v>19.822486450107309</v>
      </c>
      <c r="F53" s="1184">
        <f t="shared" si="3"/>
        <v>892.01189025482893</v>
      </c>
      <c r="G53" s="1257">
        <f t="shared" si="4"/>
        <v>45</v>
      </c>
    </row>
    <row r="54" spans="2:7">
      <c r="B54" s="1256">
        <f t="shared" si="2"/>
        <v>46094.791666666664</v>
      </c>
      <c r="C54" s="1184">
        <f>+'ST Original'!E20</f>
        <v>205123.10200279354</v>
      </c>
      <c r="D54" s="1184">
        <f>+'ST Original'!O20</f>
        <v>3403.3874176114095</v>
      </c>
      <c r="E54" s="1184">
        <f>'Plan mina ST'!V18</f>
        <v>33.625401102141829</v>
      </c>
      <c r="F54" s="1184">
        <f t="shared" si="3"/>
        <v>1513.1430495963823</v>
      </c>
      <c r="G54" s="1257">
        <f t="shared" si="4"/>
        <v>45</v>
      </c>
    </row>
    <row r="55" spans="2:7">
      <c r="B55" s="1256">
        <f t="shared" si="2"/>
        <v>46095.791666666664</v>
      </c>
      <c r="C55" s="1184">
        <f>+'ST Original'!E21</f>
        <v>191784.90070701367</v>
      </c>
      <c r="D55" s="1184">
        <f>+'ST Original'!O21</f>
        <v>2855.9933074574506</v>
      </c>
      <c r="E55" s="1184">
        <f>'Plan mina ST'!V19</f>
        <v>27.759645092424382</v>
      </c>
      <c r="F55" s="1184">
        <f t="shared" si="3"/>
        <v>1249.1840291590972</v>
      </c>
      <c r="G55" s="1257">
        <f t="shared" si="4"/>
        <v>45</v>
      </c>
    </row>
    <row r="56" spans="2:7">
      <c r="B56" s="1256">
        <f t="shared" si="2"/>
        <v>46096.791666666664</v>
      </c>
      <c r="C56" s="1184">
        <f>+'ST Original'!E22</f>
        <v>189537.84838868357</v>
      </c>
      <c r="D56" s="1184">
        <f>+'ST Original'!O22</f>
        <v>2807.7294668069771</v>
      </c>
      <c r="E56" s="1184">
        <f>'Plan mina ST'!V20</f>
        <v>14.817580029148322</v>
      </c>
      <c r="F56" s="1184">
        <f t="shared" si="3"/>
        <v>666.79110131167454</v>
      </c>
      <c r="G56" s="1257">
        <f t="shared" si="4"/>
        <v>45</v>
      </c>
    </row>
    <row r="57" spans="2:7">
      <c r="B57" s="1256">
        <f t="shared" si="2"/>
        <v>46097.791666666664</v>
      </c>
      <c r="C57" s="1184">
        <f>+'ST Original'!E23</f>
        <v>188417.71772616252</v>
      </c>
      <c r="D57" s="1184">
        <f>+'ST Original'!O23</f>
        <v>3326.5242019084485</v>
      </c>
      <c r="E57" s="1184">
        <f>'Plan mina ST'!V21</f>
        <v>18.341810177800259</v>
      </c>
      <c r="F57" s="1184">
        <f t="shared" si="3"/>
        <v>825.38145800101165</v>
      </c>
      <c r="G57" s="1257">
        <f t="shared" si="4"/>
        <v>45</v>
      </c>
    </row>
    <row r="58" spans="2:7">
      <c r="B58" s="1256">
        <f t="shared" si="2"/>
        <v>46098.791666666664</v>
      </c>
      <c r="C58" s="1184">
        <f>+'ST Original'!E24</f>
        <v>187244.92486622711</v>
      </c>
      <c r="D58" s="1184">
        <f>+'ST Original'!O24</f>
        <v>3316.8274150967682</v>
      </c>
      <c r="E58" s="1184">
        <f>'Plan mina ST'!V22</f>
        <v>21.341985226593096</v>
      </c>
      <c r="F58" s="1184">
        <f t="shared" si="3"/>
        <v>960.38933519668933</v>
      </c>
      <c r="G58" s="1257">
        <f t="shared" si="4"/>
        <v>45</v>
      </c>
    </row>
    <row r="59" spans="2:7">
      <c r="B59" s="1256">
        <f t="shared" si="2"/>
        <v>46099.791666666664</v>
      </c>
      <c r="C59" s="1184">
        <f>+'ST Original'!E25</f>
        <v>192365.45962490924</v>
      </c>
      <c r="D59" s="1184">
        <f>+'ST Original'!O25</f>
        <v>3632.4211664982063</v>
      </c>
      <c r="E59" s="1184">
        <f>'Plan mina ST'!V23</f>
        <v>16.373163639706902</v>
      </c>
      <c r="F59" s="1184">
        <f t="shared" si="3"/>
        <v>736.7923637868106</v>
      </c>
      <c r="G59" s="1257">
        <f t="shared" si="4"/>
        <v>45</v>
      </c>
    </row>
    <row r="60" spans="2:7">
      <c r="B60" s="1256">
        <f t="shared" si="2"/>
        <v>46100.791666666664</v>
      </c>
      <c r="C60" s="1184">
        <f>+'ST Original'!E26</f>
        <v>194700.83935798128</v>
      </c>
      <c r="D60" s="1184">
        <f>+'ST Original'!O26</f>
        <v>3610.6050996937756</v>
      </c>
      <c r="E60" s="1184">
        <f>'Plan mina ST'!V24</f>
        <v>13.718164963383902</v>
      </c>
      <c r="F60" s="1184">
        <f t="shared" si="3"/>
        <v>617.31742335227557</v>
      </c>
      <c r="G60" s="1257">
        <f t="shared" si="4"/>
        <v>45</v>
      </c>
    </row>
    <row r="61" spans="2:7">
      <c r="B61" s="1256">
        <f t="shared" si="2"/>
        <v>46101.791666666664</v>
      </c>
      <c r="C61" s="1184">
        <f>+'ST Original'!E27</f>
        <v>196805.52980560993</v>
      </c>
      <c r="D61" s="1184">
        <f>+'ST Original'!O27</f>
        <v>3391.9085359484216</v>
      </c>
      <c r="E61" s="1184">
        <f>'Plan mina ST'!V25</f>
        <v>12.567823898950513</v>
      </c>
      <c r="F61" s="1184">
        <f t="shared" si="3"/>
        <v>565.55207545277312</v>
      </c>
      <c r="G61" s="1257">
        <f t="shared" si="4"/>
        <v>45</v>
      </c>
    </row>
    <row r="62" spans="2:7">
      <c r="B62" s="1256">
        <f t="shared" si="2"/>
        <v>46102.791666666664</v>
      </c>
      <c r="C62" s="1184">
        <f>+'ST Original'!E28</f>
        <v>193072.68402239218</v>
      </c>
      <c r="D62" s="1184">
        <f>+'ST Original'!O28</f>
        <v>3385.9909628403943</v>
      </c>
      <c r="E62" s="1184">
        <f>'Plan mina ST'!V26</f>
        <v>17.786078626776714</v>
      </c>
      <c r="F62" s="1184">
        <f t="shared" si="3"/>
        <v>800.37353820495218</v>
      </c>
      <c r="G62" s="1257">
        <f t="shared" si="4"/>
        <v>45</v>
      </c>
    </row>
    <row r="63" spans="2:7">
      <c r="B63" s="1256">
        <f t="shared" si="2"/>
        <v>46103.791666666664</v>
      </c>
      <c r="C63" s="1184">
        <f>+'ST Original'!E29</f>
        <v>194603.23060466634</v>
      </c>
      <c r="D63" s="1184">
        <f>+'ST Original'!O29</f>
        <v>3503.7034300578671</v>
      </c>
      <c r="E63" s="1184">
        <f>'Plan mina ST'!V27</f>
        <v>14.221244023782493</v>
      </c>
      <c r="F63" s="1184">
        <f t="shared" si="3"/>
        <v>639.95598107021215</v>
      </c>
      <c r="G63" s="1257">
        <f t="shared" si="4"/>
        <v>45</v>
      </c>
    </row>
    <row r="64" spans="2:7">
      <c r="B64" s="1256">
        <f t="shared" si="2"/>
        <v>46104.791666666664</v>
      </c>
      <c r="C64" s="1184">
        <f>+'ST Original'!E30</f>
        <v>191506.83501760333</v>
      </c>
      <c r="D64" s="1184">
        <f>+'ST Original'!O30</f>
        <v>3273.2138555551828</v>
      </c>
      <c r="E64" s="1184">
        <f>'Plan mina ST'!V28</f>
        <v>23.299099515436758</v>
      </c>
      <c r="F64" s="1184">
        <f t="shared" si="3"/>
        <v>1048.4594781946541</v>
      </c>
      <c r="G64" s="1257">
        <f t="shared" si="4"/>
        <v>45</v>
      </c>
    </row>
    <row r="65" spans="2:7">
      <c r="B65" s="1256">
        <f t="shared" si="2"/>
        <v>46105.791666666664</v>
      </c>
      <c r="C65" s="1184">
        <f>+'ST Original'!E31</f>
        <v>199135.38567405319</v>
      </c>
      <c r="D65" s="1184">
        <f>+'ST Original'!O31</f>
        <v>3717.5461734395567</v>
      </c>
      <c r="E65" s="1184">
        <f>'Plan mina ST'!V29</f>
        <v>32.725416577674395</v>
      </c>
      <c r="F65" s="1184">
        <f t="shared" si="3"/>
        <v>1472.6437459953477</v>
      </c>
      <c r="G65" s="1257">
        <f t="shared" si="4"/>
        <v>45</v>
      </c>
    </row>
    <row r="66" spans="2:7">
      <c r="B66" s="1256">
        <f t="shared" si="2"/>
        <v>46106.791666666664</v>
      </c>
      <c r="C66" s="1184">
        <f>+'ST Original'!E32</f>
        <v>201251.65792879966</v>
      </c>
      <c r="D66" s="1184">
        <f>+'ST Original'!O32</f>
        <v>3726.3550181943365</v>
      </c>
      <c r="E66" s="1184">
        <f>'Plan mina ST'!V30</f>
        <v>35.841282935384321</v>
      </c>
      <c r="F66" s="1184">
        <f t="shared" si="3"/>
        <v>1612.8577320922943</v>
      </c>
      <c r="G66" s="1257">
        <f t="shared" si="4"/>
        <v>45</v>
      </c>
    </row>
    <row r="67" spans="2:7">
      <c r="B67" s="1256">
        <f t="shared" si="2"/>
        <v>46107.791666666664</v>
      </c>
      <c r="C67" s="1184">
        <f>+'ST Original'!E33</f>
        <v>209167.58830531855</v>
      </c>
      <c r="D67" s="1184">
        <f>+'ST Original'!O33</f>
        <v>3996.3078155678249</v>
      </c>
      <c r="E67" s="1184">
        <f>'Plan mina ST'!V31</f>
        <v>41.877634288827736</v>
      </c>
      <c r="F67" s="1184">
        <f t="shared" si="3"/>
        <v>1884.4935429972481</v>
      </c>
      <c r="G67" s="1257">
        <f t="shared" si="4"/>
        <v>45</v>
      </c>
    </row>
    <row r="68" spans="2:7">
      <c r="B68" s="1256">
        <f t="shared" si="2"/>
        <v>46108.791666666664</v>
      </c>
      <c r="C68" s="1184">
        <f>+'ST Original'!E34</f>
        <v>209548.87494626042</v>
      </c>
      <c r="D68" s="1184">
        <f>+'ST Original'!O34</f>
        <v>4142.4073862917176</v>
      </c>
      <c r="E68" s="1184">
        <f>'Plan mina ST'!V32</f>
        <v>49.395080981495639</v>
      </c>
      <c r="F68" s="1184">
        <f t="shared" si="3"/>
        <v>2222.7786441673038</v>
      </c>
      <c r="G68" s="1257">
        <f t="shared" si="4"/>
        <v>45</v>
      </c>
    </row>
    <row r="69" spans="2:7">
      <c r="B69" s="1256">
        <f t="shared" si="2"/>
        <v>46109.791666666664</v>
      </c>
      <c r="C69" s="1184">
        <f>+'ST Original'!E35</f>
        <v>215593.08832196021</v>
      </c>
      <c r="D69" s="1184">
        <f>+'ST Original'!O35</f>
        <v>4461.1844597926402</v>
      </c>
      <c r="E69" s="1184">
        <f>'Plan mina ST'!V33</f>
        <v>29.582279762370987</v>
      </c>
      <c r="F69" s="1184">
        <f t="shared" si="3"/>
        <v>1331.2025893066943</v>
      </c>
      <c r="G69" s="1257">
        <f t="shared" si="4"/>
        <v>45</v>
      </c>
    </row>
    <row r="70" spans="2:7">
      <c r="B70" s="1256">
        <f t="shared" si="2"/>
        <v>46110.791666666664</v>
      </c>
      <c r="C70" s="1184">
        <f>+'ST Original'!E36</f>
        <v>210625.92929803248</v>
      </c>
      <c r="D70" s="1184">
        <f>+'ST Original'!O36</f>
        <v>4138.0015993722654</v>
      </c>
      <c r="E70" s="1184">
        <f>'Plan mina ST'!V34</f>
        <v>39.292126131271907</v>
      </c>
      <c r="F70" s="1184">
        <f>+E70*$G$40</f>
        <v>1768.1456759072357</v>
      </c>
      <c r="G70" s="1257">
        <f>F70/E70</f>
        <v>45</v>
      </c>
    </row>
    <row r="71" spans="2:7">
      <c r="B71" s="1256">
        <f t="shared" si="2"/>
        <v>46111.791666666664</v>
      </c>
      <c r="C71" s="1184">
        <f>+'ST Original'!E37</f>
        <v>205689.02707679011</v>
      </c>
      <c r="D71" s="1184">
        <f>+'ST Original'!O37</f>
        <v>3776.3973426152384</v>
      </c>
      <c r="E71" s="1184">
        <f>'Plan mina ST'!V35</f>
        <v>34.676861667214887</v>
      </c>
      <c r="F71" s="1184">
        <f>+E71*$G$40</f>
        <v>1560.4587750246699</v>
      </c>
      <c r="G71" s="1257">
        <f>F71/E71</f>
        <v>45</v>
      </c>
    </row>
    <row r="72" spans="2:7">
      <c r="B72" s="1256">
        <f t="shared" si="2"/>
        <v>46112.791666666664</v>
      </c>
      <c r="C72" s="1184">
        <f>+'ST Original'!E38</f>
        <v>309289.50925959361</v>
      </c>
      <c r="D72" s="1184">
        <f>+'ST Original'!O38</f>
        <v>5688.8408911197957</v>
      </c>
      <c r="E72" s="1184">
        <f>'Plan mina ST'!V36</f>
        <v>15.826001958554642</v>
      </c>
      <c r="F72" s="1184">
        <f>+E72*$G$40</f>
        <v>712.17008813495886</v>
      </c>
      <c r="G72" s="1257">
        <f>F72/E72</f>
        <v>45</v>
      </c>
    </row>
    <row r="73" spans="2:7">
      <c r="B73" s="1254"/>
      <c r="E73" s="309">
        <f>SUMPRODUCT(C42:C72,E42:E72)/SUM(C42:C72)</f>
        <v>27.44514654815184</v>
      </c>
      <c r="F73" s="309">
        <f>SUMPRODUCT(D42:D72,F42:F72)/SUM(D42:D72)</f>
        <v>1264.0913954643502</v>
      </c>
    </row>
    <row r="74" spans="2:7">
      <c r="B74" s="1254"/>
      <c r="E74" s="309"/>
      <c r="F74" s="309"/>
    </row>
    <row r="75" spans="2:7">
      <c r="B75" s="1255" t="s">
        <v>1117</v>
      </c>
      <c r="C75" s="1255" t="s">
        <v>289</v>
      </c>
      <c r="E75" s="309"/>
      <c r="F75" s="309"/>
    </row>
    <row r="76" spans="2:7">
      <c r="B76" s="1255" t="s">
        <v>258</v>
      </c>
      <c r="C76" s="1255" t="s">
        <v>81</v>
      </c>
    </row>
    <row r="77" spans="2:7">
      <c r="B77" s="1256">
        <f>+B42</f>
        <v>46082.791666666664</v>
      </c>
      <c r="C77" s="1258">
        <f>+'ST Original'!BB8</f>
        <v>2.8713275046124296</v>
      </c>
    </row>
    <row r="78" spans="2:7">
      <c r="B78" s="1256">
        <f t="shared" ref="B78:B107" si="5">+B43</f>
        <v>46083.791666666664</v>
      </c>
      <c r="C78" s="1258">
        <f>+'ST Original'!BB9</f>
        <v>3.9505742709927527</v>
      </c>
    </row>
    <row r="79" spans="2:7">
      <c r="B79" s="1256">
        <f t="shared" si="5"/>
        <v>46084.791666666664</v>
      </c>
      <c r="C79" s="1258">
        <f>+'ST Original'!BB10</f>
        <v>3.6059643785561017</v>
      </c>
    </row>
    <row r="80" spans="2:7">
      <c r="B80" s="1256">
        <f t="shared" si="5"/>
        <v>46085.791666666664</v>
      </c>
      <c r="C80" s="1258">
        <f>+'ST Original'!BB11</f>
        <v>4.4356482578532468</v>
      </c>
    </row>
    <row r="81" spans="2:3">
      <c r="B81" s="1256">
        <f t="shared" si="5"/>
        <v>46086.791666666664</v>
      </c>
      <c r="C81" s="1258">
        <f>+'ST Original'!BB12</f>
        <v>7.7531115650783722</v>
      </c>
    </row>
    <row r="82" spans="2:3">
      <c r="B82" s="1256">
        <f t="shared" si="5"/>
        <v>46087.791666666664</v>
      </c>
      <c r="C82" s="1258">
        <f>+'ST Original'!BB13</f>
        <v>8.8217794865613417</v>
      </c>
    </row>
    <row r="83" spans="2:3">
      <c r="B83" s="1256">
        <f t="shared" si="5"/>
        <v>46088.791666666664</v>
      </c>
      <c r="C83" s="1258">
        <f>+'ST Original'!BB14</f>
        <v>11.704749348496371</v>
      </c>
    </row>
    <row r="84" spans="2:3">
      <c r="B84" s="1256">
        <f t="shared" si="5"/>
        <v>46089.791666666664</v>
      </c>
      <c r="C84" s="1258">
        <f>+'ST Original'!BB15</f>
        <v>12.991030822010854</v>
      </c>
    </row>
    <row r="85" spans="2:3">
      <c r="B85" s="1256">
        <f t="shared" si="5"/>
        <v>46090.791666666664</v>
      </c>
      <c r="C85" s="1258">
        <f>+'ST Original'!BB16</f>
        <v>13.794263015073142</v>
      </c>
    </row>
    <row r="86" spans="2:3">
      <c r="B86" s="1256">
        <f t="shared" si="5"/>
        <v>46091.791666666664</v>
      </c>
      <c r="C86" s="1258">
        <f>+'ST Original'!BB17</f>
        <v>8.3309871509720423</v>
      </c>
    </row>
    <row r="87" spans="2:3">
      <c r="B87" s="1256">
        <f t="shared" si="5"/>
        <v>46092.791666666664</v>
      </c>
      <c r="C87" s="1258">
        <f>+'ST Original'!BB18</f>
        <v>10.709532641645659</v>
      </c>
    </row>
    <row r="88" spans="2:3">
      <c r="B88" s="1256">
        <f t="shared" si="5"/>
        <v>46093.791666666664</v>
      </c>
      <c r="C88" s="1258">
        <f>+'ST Original'!BB19</f>
        <v>12.745077938695724</v>
      </c>
    </row>
    <row r="89" spans="2:3">
      <c r="B89" s="1256">
        <f t="shared" si="5"/>
        <v>46094.791666666664</v>
      </c>
      <c r="C89" s="1258">
        <f>+'ST Original'!BB20</f>
        <v>11.203932554514701</v>
      </c>
    </row>
    <row r="90" spans="2:3">
      <c r="B90" s="1256">
        <f t="shared" si="5"/>
        <v>46095.791666666664</v>
      </c>
      <c r="C90" s="1258">
        <f>+'ST Original'!BB21</f>
        <v>2.581497550644456</v>
      </c>
    </row>
    <row r="91" spans="2:3">
      <c r="B91" s="1256">
        <f t="shared" si="5"/>
        <v>46096.791666666664</v>
      </c>
      <c r="C91" s="1258">
        <f>+'ST Original'!BB22</f>
        <v>2.742049549371794</v>
      </c>
    </row>
    <row r="92" spans="2:3">
      <c r="B92" s="1256">
        <f t="shared" si="5"/>
        <v>46097.791666666664</v>
      </c>
      <c r="C92" s="1258">
        <f>+'ST Original'!BB23</f>
        <v>2.0989706798454315</v>
      </c>
    </row>
    <row r="93" spans="2:3">
      <c r="B93" s="1256">
        <f t="shared" si="5"/>
        <v>46098.791666666664</v>
      </c>
      <c r="C93" s="1258">
        <f>+'ST Original'!BB24</f>
        <v>2.1290597474656603</v>
      </c>
    </row>
    <row r="94" spans="2:3">
      <c r="B94" s="1256">
        <f t="shared" si="5"/>
        <v>46099.791666666664</v>
      </c>
      <c r="C94" s="1258">
        <f>+'ST Original'!BB25</f>
        <v>2.9648085604373295</v>
      </c>
    </row>
    <row r="95" spans="2:3">
      <c r="B95" s="1256">
        <f t="shared" si="5"/>
        <v>46100.791666666664</v>
      </c>
      <c r="C95" s="1258">
        <f>+'ST Original'!BB26</f>
        <v>3.205671308964968</v>
      </c>
    </row>
    <row r="96" spans="2:3">
      <c r="B96" s="1256">
        <f>+B61</f>
        <v>46101.791666666664</v>
      </c>
      <c r="C96" s="1258">
        <f>+'ST Original'!BB27</f>
        <v>2.1863180145891046</v>
      </c>
    </row>
    <row r="97" spans="2:3">
      <c r="B97" s="1256">
        <f t="shared" si="5"/>
        <v>46102.791666666664</v>
      </c>
      <c r="C97" s="1258">
        <f>+'ST Original'!BB28</f>
        <v>1.8456265163704968</v>
      </c>
    </row>
    <row r="98" spans="2:3">
      <c r="B98" s="1256">
        <f t="shared" si="5"/>
        <v>46103.791666666664</v>
      </c>
      <c r="C98" s="1258">
        <f>+'ST Original'!BB29</f>
        <v>1.5896456690077565</v>
      </c>
    </row>
    <row r="99" spans="2:3">
      <c r="B99" s="1256">
        <f t="shared" si="5"/>
        <v>46104.791666666664</v>
      </c>
      <c r="C99" s="1258">
        <f>+'ST Original'!BB30</f>
        <v>4.6149948034125057</v>
      </c>
    </row>
    <row r="100" spans="2:3">
      <c r="B100" s="1256">
        <f t="shared" si="5"/>
        <v>46105.791666666664</v>
      </c>
      <c r="C100" s="1258">
        <f>+'ST Original'!BB31</f>
        <v>8.7129265768370967</v>
      </c>
    </row>
    <row r="101" spans="2:3">
      <c r="B101" s="1256">
        <f t="shared" si="5"/>
        <v>46106.791666666664</v>
      </c>
      <c r="C101" s="1258">
        <f>+'ST Original'!BB32</f>
        <v>11.510971907653703</v>
      </c>
    </row>
    <row r="102" spans="2:3">
      <c r="B102" s="1256">
        <f t="shared" si="5"/>
        <v>46107.791666666664</v>
      </c>
      <c r="C102" s="1258">
        <f>+'ST Original'!BB33</f>
        <v>11.190176576909705</v>
      </c>
    </row>
    <row r="103" spans="2:3">
      <c r="B103" s="1256">
        <f t="shared" si="5"/>
        <v>46108.791666666664</v>
      </c>
      <c r="C103" s="1258">
        <f>+'ST Original'!BB34</f>
        <v>9.0466950257680168</v>
      </c>
    </row>
    <row r="104" spans="2:3">
      <c r="B104" s="1256">
        <f t="shared" si="5"/>
        <v>46109.791666666664</v>
      </c>
      <c r="C104" s="1258">
        <f>+'ST Original'!BB35</f>
        <v>10.963076331604112</v>
      </c>
    </row>
    <row r="105" spans="2:3">
      <c r="B105" s="1256">
        <f>+B70</f>
        <v>46110.791666666664</v>
      </c>
      <c r="C105" s="1258">
        <f>+'ST Original'!BB36</f>
        <v>8.776585801060218</v>
      </c>
    </row>
    <row r="106" spans="2:3">
      <c r="B106" s="1256">
        <f t="shared" si="5"/>
        <v>46111.791666666664</v>
      </c>
      <c r="C106" s="1258">
        <f>+'ST Original'!BB37</f>
        <v>8.1217717553348248</v>
      </c>
    </row>
    <row r="107" spans="2:3">
      <c r="B107" s="1256">
        <f t="shared" si="5"/>
        <v>46112.791666666664</v>
      </c>
      <c r="C107" s="1258">
        <f>+'ST Original'!BB38</f>
        <v>4.6586779806323122</v>
      </c>
    </row>
  </sheetData>
  <phoneticPr fontId="51" type="noConversion"/>
  <pageMargins left="0.75" right="0.75" top="1" bottom="1" header="0" footer="0"/>
  <headerFooter alignWithMargins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3EE5-BA9B-445A-87FA-8DB4F0E8F968}">
  <dimension ref="A2:S39"/>
  <sheetViews>
    <sheetView showGridLines="0" zoomScale="90" zoomScaleNormal="90" workbookViewId="0">
      <selection activeCell="G18" sqref="G18"/>
    </sheetView>
  </sheetViews>
  <sheetFormatPr baseColWidth="10" defaultColWidth="11.54296875" defaultRowHeight="13"/>
  <cols>
    <col min="1" max="2" width="11.54296875" style="3060"/>
    <col min="3" max="3" width="16.1796875" style="3060" customWidth="1"/>
    <col min="4" max="4" width="13.81640625" style="3060" customWidth="1"/>
    <col min="5" max="5" width="14.1796875" style="3060" customWidth="1"/>
    <col min="6" max="6" width="14.54296875" style="3060" customWidth="1"/>
    <col min="7" max="8" width="13.54296875" style="3060" customWidth="1"/>
    <col min="9" max="9" width="12.81640625" style="3060" customWidth="1"/>
    <col min="10" max="10" width="23.81640625" style="3060" bestFit="1" customWidth="1"/>
    <col min="11" max="17" width="23.81640625" style="3060" customWidth="1"/>
    <col min="18" max="18" width="23.1796875" style="3060" customWidth="1"/>
    <col min="19" max="16384" width="11.54296875" style="3060"/>
  </cols>
  <sheetData>
    <row r="2" spans="1:19">
      <c r="E2" s="3104">
        <v>0</v>
      </c>
      <c r="F2" s="3060" t="s">
        <v>1522</v>
      </c>
    </row>
    <row r="3" spans="1:19" ht="37.4" customHeight="1">
      <c r="B3" s="3058" t="s">
        <v>482</v>
      </c>
      <c r="C3" s="3059" t="s">
        <v>1508</v>
      </c>
      <c r="D3" s="3059" t="s">
        <v>1509</v>
      </c>
      <c r="E3" s="3059" t="s">
        <v>1528</v>
      </c>
      <c r="F3" s="3059" t="s">
        <v>1510</v>
      </c>
      <c r="G3" s="3059" t="s">
        <v>1511</v>
      </c>
      <c r="H3" s="3059" t="s">
        <v>1512</v>
      </c>
      <c r="I3" s="3059" t="s">
        <v>1513</v>
      </c>
      <c r="J3" s="3060" t="s">
        <v>1837</v>
      </c>
      <c r="K3" s="3060" t="s">
        <v>1839</v>
      </c>
      <c r="L3" s="3060" t="s">
        <v>1838</v>
      </c>
      <c r="M3" s="3060" t="s">
        <v>1840</v>
      </c>
      <c r="N3" s="3060" t="s">
        <v>1841</v>
      </c>
    </row>
    <row r="4" spans="1:19">
      <c r="B4" s="3061">
        <f>+'ST Original'!B8</f>
        <v>46082.791666666664</v>
      </c>
      <c r="C4" s="3062">
        <f>'ST Original'!O8</f>
        <v>1463.0330727479554</v>
      </c>
      <c r="D4" s="3062">
        <f t="shared" ref="D4:D5" si="0">+C4</f>
        <v>1463.0330727479554</v>
      </c>
      <c r="E4" s="3062"/>
      <c r="F4" s="3062">
        <f>+C4-D4</f>
        <v>0</v>
      </c>
      <c r="G4" s="3068">
        <v>0</v>
      </c>
      <c r="H4" s="3062">
        <f>+D4-G4+E2</f>
        <v>1463.0330727479554</v>
      </c>
      <c r="I4" s="3074">
        <f>$E$2+H4</f>
        <v>1463.0330727479554</v>
      </c>
      <c r="J4" s="3939">
        <v>30.850432592347524</v>
      </c>
      <c r="K4" s="3939">
        <f>G4*J4/100</f>
        <v>0</v>
      </c>
      <c r="L4" s="3939">
        <f>'ST Original'!S8</f>
        <v>451.35203191185872</v>
      </c>
      <c r="M4" s="3939">
        <f>$L$36*K4</f>
        <v>0</v>
      </c>
      <c r="N4" s="3939">
        <v>0</v>
      </c>
      <c r="O4" s="3939">
        <v>0</v>
      </c>
      <c r="P4" s="3939"/>
      <c r="Q4" s="3939"/>
      <c r="R4" s="3063"/>
      <c r="S4" s="3060" t="s">
        <v>1514</v>
      </c>
    </row>
    <row r="5" spans="1:19">
      <c r="B5" s="3061">
        <f>+B4+1</f>
        <v>46083.791666666664</v>
      </c>
      <c r="C5" s="3062">
        <f>'ST Original'!O9</f>
        <v>2672.3851878727478</v>
      </c>
      <c r="D5" s="3062">
        <f t="shared" si="0"/>
        <v>2672.3851878727478</v>
      </c>
      <c r="E5" s="3062"/>
      <c r="F5" s="3062">
        <f t="shared" ref="F5:F34" si="1">+C5-D5</f>
        <v>0</v>
      </c>
      <c r="G5" s="3068">
        <v>0</v>
      </c>
      <c r="H5" s="3062">
        <f t="shared" ref="H5:H27" si="2">+D5-G5</f>
        <v>2672.3851878727478</v>
      </c>
      <c r="I5" s="3074">
        <f>+I4+H5</f>
        <v>4135.4182606207032</v>
      </c>
      <c r="J5" s="3939">
        <v>29.134132599024685</v>
      </c>
      <c r="K5" s="3939">
        <f t="shared" ref="K5:K34" si="3">G5*J5/100</f>
        <v>0</v>
      </c>
      <c r="L5" s="3939">
        <f>'ST Original'!S9</f>
        <v>778.57624419154138</v>
      </c>
      <c r="M5" s="3939">
        <f t="shared" ref="M5:M34" si="4">$L$36*K5</f>
        <v>0</v>
      </c>
      <c r="N5" s="3939">
        <v>0</v>
      </c>
      <c r="O5" s="3939">
        <v>0</v>
      </c>
      <c r="P5" s="3939"/>
      <c r="Q5" s="3939"/>
      <c r="R5" s="3064"/>
      <c r="S5" s="3060" t="s">
        <v>1515</v>
      </c>
    </row>
    <row r="6" spans="1:19">
      <c r="A6" s="3067"/>
      <c r="B6" s="3061">
        <f t="shared" ref="B6:B34" si="5">+B5+1</f>
        <v>46084.791666666664</v>
      </c>
      <c r="C6" s="3062">
        <f>'ST Original'!O10</f>
        <v>2216.6115750776935</v>
      </c>
      <c r="D6" s="3935">
        <f>+C6</f>
        <v>2216.6115750776935</v>
      </c>
      <c r="E6" s="3937">
        <v>600</v>
      </c>
      <c r="F6" s="3062">
        <f t="shared" si="1"/>
        <v>0</v>
      </c>
      <c r="G6" s="3938">
        <f>IF((D6+E6)&lt;4366,(D6+E6),4366)</f>
        <v>2816.6115750776935</v>
      </c>
      <c r="H6" s="3062">
        <f t="shared" si="2"/>
        <v>-600</v>
      </c>
      <c r="I6" s="3074">
        <f>+I5+H6</f>
        <v>3535.4182606207032</v>
      </c>
      <c r="J6" s="3939">
        <v>29.410557320073053</v>
      </c>
      <c r="K6" s="3939">
        <f t="shared" si="3"/>
        <v>828.38116177203744</v>
      </c>
      <c r="L6" s="3939">
        <f>'ST Original'!S10</f>
        <v>651.91781785159912</v>
      </c>
      <c r="M6" s="3939">
        <f t="shared" si="4"/>
        <v>839.38841427549551</v>
      </c>
      <c r="N6" s="3939">
        <f>M6/G6*100</f>
        <v>29.801354993449596</v>
      </c>
      <c r="O6" s="3939">
        <v>2816.6115750776935</v>
      </c>
      <c r="P6" s="3939"/>
      <c r="Q6" s="3939"/>
      <c r="R6" s="3065"/>
      <c r="S6" s="3060" t="s">
        <v>1516</v>
      </c>
    </row>
    <row r="7" spans="1:19">
      <c r="A7" s="3067"/>
      <c r="B7" s="3061">
        <f t="shared" si="5"/>
        <v>46085.791666666664</v>
      </c>
      <c r="C7" s="3062">
        <f>'ST Original'!O11</f>
        <v>2313.8490400997584</v>
      </c>
      <c r="D7" s="3935">
        <f>+C7</f>
        <v>2313.8490400997584</v>
      </c>
      <c r="E7" s="3937">
        <v>550</v>
      </c>
      <c r="F7" s="3062">
        <f t="shared" si="1"/>
        <v>0</v>
      </c>
      <c r="G7" s="3938">
        <f t="shared" ref="G7:G9" si="6">IF((D7+E7)&lt;4366,(D7+E7),4366)</f>
        <v>2863.8490400997584</v>
      </c>
      <c r="H7" s="3062">
        <f t="shared" si="2"/>
        <v>-550</v>
      </c>
      <c r="I7" s="3074">
        <f t="shared" ref="I7:I34" si="7">+I6+H7</f>
        <v>2985.4182606207032</v>
      </c>
      <c r="J7" s="3939">
        <v>27.75556816154316</v>
      </c>
      <c r="K7" s="3939">
        <f t="shared" si="3"/>
        <v>794.87757236858806</v>
      </c>
      <c r="L7" s="3939">
        <f>'ST Original'!S11</f>
        <v>642.22194748010054</v>
      </c>
      <c r="M7" s="3939">
        <f t="shared" si="4"/>
        <v>805.4396403539107</v>
      </c>
      <c r="N7" s="3939">
        <f t="shared" ref="N7:N34" si="8">M7/G7*100</f>
        <v>28.124374891137915</v>
      </c>
      <c r="O7" s="3939">
        <v>2863.8490400997584</v>
      </c>
      <c r="P7" s="3939"/>
      <c r="Q7" s="3939"/>
      <c r="R7" s="3066"/>
      <c r="S7" s="3060" t="s">
        <v>1517</v>
      </c>
    </row>
    <row r="8" spans="1:19">
      <c r="B8" s="3061">
        <f t="shared" si="5"/>
        <v>46086.791666666664</v>
      </c>
      <c r="C8" s="3062">
        <f>'ST Original'!O12</f>
        <v>2500.0029699779629</v>
      </c>
      <c r="D8" s="3935">
        <f>+C8</f>
        <v>2500.0029699779629</v>
      </c>
      <c r="E8" s="3937">
        <v>350</v>
      </c>
      <c r="F8" s="3062">
        <f t="shared" si="1"/>
        <v>0</v>
      </c>
      <c r="G8" s="3938">
        <f t="shared" si="6"/>
        <v>2850.0029699779629</v>
      </c>
      <c r="H8" s="3062">
        <f t="shared" si="2"/>
        <v>-350</v>
      </c>
      <c r="I8" s="3074">
        <f>+I7+H8</f>
        <v>2635.4182606207032</v>
      </c>
      <c r="J8" s="3939">
        <v>27.081789545143941</v>
      </c>
      <c r="K8" s="3939">
        <f t="shared" si="3"/>
        <v>771.83180635978385</v>
      </c>
      <c r="L8" s="3939">
        <f>'ST Original'!S12</f>
        <v>677.04554295177991</v>
      </c>
      <c r="M8" s="3939">
        <f t="shared" si="4"/>
        <v>782.08764989517829</v>
      </c>
      <c r="N8" s="3939">
        <f t="shared" si="8"/>
        <v>27.441643329277849</v>
      </c>
      <c r="O8" s="3939">
        <v>2850.0029699779629</v>
      </c>
      <c r="P8" s="3939"/>
      <c r="Q8" s="3939"/>
      <c r="R8" s="3075"/>
      <c r="S8" s="3060" t="s">
        <v>1518</v>
      </c>
    </row>
    <row r="9" spans="1:19">
      <c r="A9" s="3060">
        <v>2800</v>
      </c>
      <c r="B9" s="3061">
        <f t="shared" si="5"/>
        <v>46087.791666666664</v>
      </c>
      <c r="C9" s="3062">
        <f>'ST Original'!O13</f>
        <v>2791.9596992475977</v>
      </c>
      <c r="D9" s="3935">
        <f>IF(C9&lt;=$A$9,C9,$A$9)</f>
        <v>2791.9596992475977</v>
      </c>
      <c r="E9" s="3937">
        <v>290</v>
      </c>
      <c r="F9" s="3062">
        <f t="shared" si="1"/>
        <v>0</v>
      </c>
      <c r="G9" s="3938">
        <f t="shared" si="6"/>
        <v>3081.9596992475977</v>
      </c>
      <c r="H9" s="3062">
        <f t="shared" si="2"/>
        <v>-290</v>
      </c>
      <c r="I9" s="3074">
        <f>+I8+H9</f>
        <v>2345.4182606207032</v>
      </c>
      <c r="J9" s="3939">
        <v>25.963682552608038</v>
      </c>
      <c r="K9" s="3939">
        <f t="shared" si="3"/>
        <v>800.19023271195965</v>
      </c>
      <c r="L9" s="3939">
        <f>'ST Original'!S13</f>
        <v>724.89555330939629</v>
      </c>
      <c r="M9" s="3939">
        <f t="shared" si="4"/>
        <v>810.82289355545345</v>
      </c>
      <c r="N9" s="3939">
        <f t="shared" si="8"/>
        <v>26.308679304061002</v>
      </c>
      <c r="O9" s="3939">
        <v>3081.9596992475977</v>
      </c>
      <c r="P9" s="3939"/>
      <c r="Q9" s="3939"/>
    </row>
    <row r="10" spans="1:19">
      <c r="B10" s="3061">
        <f t="shared" si="5"/>
        <v>46088.791666666664</v>
      </c>
      <c r="C10" s="3062">
        <f>'ST Original'!O14</f>
        <v>3403.0292033892138</v>
      </c>
      <c r="D10" s="3935">
        <f>IF(C10&lt;=$A$9,C10,$A$9)</f>
        <v>2800</v>
      </c>
      <c r="E10" s="3062"/>
      <c r="F10" s="3062">
        <f t="shared" si="1"/>
        <v>603.02920338921376</v>
      </c>
      <c r="G10" s="3938">
        <f>IF((D10+E10)&lt;4366,(D10+E10),4366)</f>
        <v>2800</v>
      </c>
      <c r="H10" s="3062">
        <f t="shared" si="2"/>
        <v>0</v>
      </c>
      <c r="I10" s="3074">
        <f t="shared" si="7"/>
        <v>2345.4182606207032</v>
      </c>
      <c r="J10" s="3939">
        <v>22.273176938850266</v>
      </c>
      <c r="K10" s="3939">
        <f t="shared" si="3"/>
        <v>623.64895428780744</v>
      </c>
      <c r="L10" s="3939">
        <f>'ST Original'!S14</f>
        <v>757.96271575162621</v>
      </c>
      <c r="M10" s="3939">
        <f t="shared" si="4"/>
        <v>631.93579352335803</v>
      </c>
      <c r="N10" s="3939">
        <f t="shared" si="8"/>
        <v>22.569135482977075</v>
      </c>
      <c r="O10" s="3939">
        <v>2800</v>
      </c>
      <c r="P10" s="3939"/>
      <c r="Q10" s="3939"/>
    </row>
    <row r="11" spans="1:19">
      <c r="B11" s="3061">
        <f t="shared" si="5"/>
        <v>46089.791666666664</v>
      </c>
      <c r="C11" s="3062">
        <f>'ST Original'!O15</f>
        <v>3953.8202768151364</v>
      </c>
      <c r="D11" s="3935">
        <f t="shared" ref="D11" si="9">IF(C11&lt;=$A$9,C11,$A$9)</f>
        <v>2800</v>
      </c>
      <c r="E11" s="3062"/>
      <c r="F11" s="3062">
        <f t="shared" si="1"/>
        <v>1153.8202768151364</v>
      </c>
      <c r="G11" s="3938">
        <f t="shared" ref="G11:G23" si="10">IF((D11+E11)&lt;4366,(D11+E11),4366)</f>
        <v>2800</v>
      </c>
      <c r="H11" s="3062">
        <f t="shared" si="2"/>
        <v>0</v>
      </c>
      <c r="I11" s="3074">
        <f t="shared" si="7"/>
        <v>2345.4182606207032</v>
      </c>
      <c r="J11" s="3939">
        <v>22.685636281349066</v>
      </c>
      <c r="K11" s="3939">
        <f t="shared" si="3"/>
        <v>635.19781587777379</v>
      </c>
      <c r="L11" s="3939">
        <f>'ST Original'!S15</f>
        <v>896.94928721651058</v>
      </c>
      <c r="M11" s="3939">
        <f t="shared" si="4"/>
        <v>643.63811253306619</v>
      </c>
      <c r="N11" s="3939">
        <f t="shared" si="8"/>
        <v>22.987075447609506</v>
      </c>
      <c r="O11" s="3939">
        <v>2800</v>
      </c>
      <c r="P11" s="3939"/>
      <c r="Q11" s="3939"/>
    </row>
    <row r="12" spans="1:19">
      <c r="A12" s="3067"/>
      <c r="B12" s="3061">
        <f t="shared" si="5"/>
        <v>46090.791666666664</v>
      </c>
      <c r="C12" s="3062">
        <f>'ST Original'!O16</f>
        <v>3717.8219958657969</v>
      </c>
      <c r="D12" s="3062">
        <f t="shared" ref="D12:D17" si="11">C12</f>
        <v>3717.8219958657969</v>
      </c>
      <c r="E12" s="3062"/>
      <c r="F12" s="3062">
        <f t="shared" si="1"/>
        <v>0</v>
      </c>
      <c r="G12" s="3062">
        <v>0</v>
      </c>
      <c r="H12" s="3062">
        <f t="shared" si="2"/>
        <v>3717.8219958657969</v>
      </c>
      <c r="I12" s="3074">
        <f t="shared" si="7"/>
        <v>6063.2402564865006</v>
      </c>
      <c r="J12" s="3939">
        <v>22.370136588735768</v>
      </c>
      <c r="K12" s="3939">
        <f t="shared" si="3"/>
        <v>0</v>
      </c>
      <c r="L12" s="3939">
        <f>'ST Original'!S16</f>
        <v>831.68185860124095</v>
      </c>
      <c r="M12" s="3939">
        <f t="shared" si="4"/>
        <v>0</v>
      </c>
      <c r="N12" s="3939">
        <v>0</v>
      </c>
      <c r="O12" s="3939">
        <v>0</v>
      </c>
      <c r="P12" s="3939"/>
      <c r="Q12" s="3939"/>
    </row>
    <row r="13" spans="1:19">
      <c r="B13" s="3061">
        <f t="shared" si="5"/>
        <v>46091.791666666664</v>
      </c>
      <c r="C13" s="3062">
        <f>'ST Original'!O17</f>
        <v>3538.1846492588006</v>
      </c>
      <c r="D13" s="3062">
        <f t="shared" si="11"/>
        <v>3538.1846492588006</v>
      </c>
      <c r="E13" s="3937">
        <v>1000</v>
      </c>
      <c r="F13" s="3062">
        <f t="shared" si="1"/>
        <v>0</v>
      </c>
      <c r="G13" s="3062">
        <f t="shared" si="10"/>
        <v>4366</v>
      </c>
      <c r="H13" s="3062">
        <f t="shared" si="2"/>
        <v>-827.81535074119938</v>
      </c>
      <c r="I13" s="3074">
        <f t="shared" si="7"/>
        <v>5235.4249057453017</v>
      </c>
      <c r="J13" s="3939">
        <v>23.946767218343805</v>
      </c>
      <c r="K13" s="3939">
        <f t="shared" si="3"/>
        <v>1045.5158567528906</v>
      </c>
      <c r="L13" s="3939">
        <f>'ST Original'!S17</f>
        <v>847.28084171317926</v>
      </c>
      <c r="M13" s="3939">
        <f t="shared" si="4"/>
        <v>1059.408322640249</v>
      </c>
      <c r="N13" s="3939">
        <f t="shared" si="8"/>
        <v>24.264963871741845</v>
      </c>
      <c r="O13" s="3939">
        <v>4366</v>
      </c>
      <c r="P13" s="3939"/>
      <c r="Q13" s="3939"/>
      <c r="R13" s="3068"/>
    </row>
    <row r="14" spans="1:19">
      <c r="B14" s="3061">
        <f t="shared" si="5"/>
        <v>46092.791666666664</v>
      </c>
      <c r="C14" s="3062">
        <f>'ST Original'!O18</f>
        <v>3573.5840270533877</v>
      </c>
      <c r="D14" s="3062">
        <f t="shared" si="11"/>
        <v>3573.5840270533877</v>
      </c>
      <c r="E14" s="3937">
        <v>900</v>
      </c>
      <c r="F14" s="3062">
        <f>+C14-D14</f>
        <v>0</v>
      </c>
      <c r="G14" s="3062">
        <f t="shared" si="10"/>
        <v>4366</v>
      </c>
      <c r="H14" s="3062">
        <f>+D14-G14</f>
        <v>-792.41597294661233</v>
      </c>
      <c r="I14" s="3074">
        <f t="shared" si="7"/>
        <v>4443.0089327986898</v>
      </c>
      <c r="J14" s="3939">
        <v>25.346686511879629</v>
      </c>
      <c r="K14" s="3939">
        <f t="shared" si="3"/>
        <v>1106.6363331086645</v>
      </c>
      <c r="L14" s="3939">
        <f>'ST Original'!S18</f>
        <v>905.78514057582595</v>
      </c>
      <c r="M14" s="3939">
        <f t="shared" si="4"/>
        <v>1121.3409474941134</v>
      </c>
      <c r="N14" s="3939">
        <f t="shared" si="8"/>
        <v>25.683484825792796</v>
      </c>
      <c r="O14" s="3939">
        <v>4366</v>
      </c>
      <c r="P14" s="3939"/>
      <c r="Q14" s="3939"/>
      <c r="R14" s="3062"/>
    </row>
    <row r="15" spans="1:19">
      <c r="B15" s="3061">
        <f t="shared" si="5"/>
        <v>46093.791666666664</v>
      </c>
      <c r="C15" s="3062">
        <f>'ST Original'!O19</f>
        <v>3453.8396878561921</v>
      </c>
      <c r="D15" s="3062">
        <f t="shared" si="11"/>
        <v>3453.8396878561921</v>
      </c>
      <c r="E15" s="3937">
        <v>1150</v>
      </c>
      <c r="F15" s="3062">
        <f>+C15-D15</f>
        <v>0</v>
      </c>
      <c r="G15" s="3062">
        <f t="shared" si="10"/>
        <v>4366</v>
      </c>
      <c r="H15" s="3062">
        <f t="shared" si="2"/>
        <v>-912.16031214380791</v>
      </c>
      <c r="I15" s="3074">
        <f t="shared" si="7"/>
        <v>3530.8486206548819</v>
      </c>
      <c r="J15" s="3939">
        <v>25.079636186181251</v>
      </c>
      <c r="K15" s="3939">
        <f t="shared" si="3"/>
        <v>1094.9769158886734</v>
      </c>
      <c r="L15" s="3939">
        <f>'ST Original'!S19</f>
        <v>866.21042816827116</v>
      </c>
      <c r="M15" s="3939">
        <f t="shared" si="4"/>
        <v>1109.5266038280536</v>
      </c>
      <c r="N15" s="3939">
        <f t="shared" si="8"/>
        <v>25.412886024462978</v>
      </c>
      <c r="O15" s="3939">
        <v>4366</v>
      </c>
      <c r="P15" s="3939"/>
      <c r="Q15" s="3939"/>
      <c r="R15" s="3062"/>
    </row>
    <row r="16" spans="1:19">
      <c r="B16" s="3061">
        <f t="shared" si="5"/>
        <v>46094.791666666664</v>
      </c>
      <c r="C16" s="3062">
        <f>'ST Original'!O20</f>
        <v>3403.3874176114095</v>
      </c>
      <c r="D16" s="3062">
        <f t="shared" si="11"/>
        <v>3403.3874176114095</v>
      </c>
      <c r="E16" s="3937">
        <v>1000</v>
      </c>
      <c r="F16" s="3062">
        <f t="shared" si="1"/>
        <v>0</v>
      </c>
      <c r="G16" s="3062">
        <v>4366</v>
      </c>
      <c r="H16" s="3062">
        <f>+D16-G16</f>
        <v>-962.61258238859045</v>
      </c>
      <c r="I16" s="3074">
        <f t="shared" si="7"/>
        <v>2568.2360382662914</v>
      </c>
      <c r="J16" s="3939">
        <v>27.48949315042346</v>
      </c>
      <c r="K16" s="3939">
        <f t="shared" si="3"/>
        <v>1200.1912709474882</v>
      </c>
      <c r="L16" s="3939">
        <f>'ST Original'!S20</f>
        <v>935.57395104666227</v>
      </c>
      <c r="M16" s="3939">
        <f t="shared" si="4"/>
        <v>1216.1390121340517</v>
      </c>
      <c r="N16" s="3939">
        <f t="shared" si="8"/>
        <v>27.854764364041497</v>
      </c>
      <c r="O16" s="3939">
        <v>4366</v>
      </c>
      <c r="P16" s="3939"/>
      <c r="Q16" s="3939"/>
      <c r="R16" s="3062"/>
    </row>
    <row r="17" spans="2:18">
      <c r="B17" s="3061">
        <f t="shared" si="5"/>
        <v>46095.791666666664</v>
      </c>
      <c r="C17" s="3062">
        <f>'ST Original'!O21</f>
        <v>2855.9933074574506</v>
      </c>
      <c r="D17" s="3062">
        <f t="shared" si="11"/>
        <v>2855.9933074574506</v>
      </c>
      <c r="E17" s="3937">
        <v>700</v>
      </c>
      <c r="F17" s="3062">
        <f t="shared" si="1"/>
        <v>0</v>
      </c>
      <c r="G17" s="3062">
        <v>4366</v>
      </c>
      <c r="H17" s="3062">
        <f t="shared" si="2"/>
        <v>-1510.0066925425494</v>
      </c>
      <c r="I17" s="3074">
        <f t="shared" si="7"/>
        <v>1058.229345723742</v>
      </c>
      <c r="J17" s="3939">
        <v>29.815510333934824</v>
      </c>
      <c r="K17" s="3939">
        <f t="shared" si="3"/>
        <v>1301.7451811795943</v>
      </c>
      <c r="L17" s="3939">
        <f>'ST Original'!S21</f>
        <v>851.52897972146309</v>
      </c>
      <c r="M17" s="3939">
        <f t="shared" si="4"/>
        <v>1319.0423368437239</v>
      </c>
      <c r="N17" s="3939">
        <f t="shared" si="8"/>
        <v>30.211688887854415</v>
      </c>
      <c r="O17" s="3939">
        <v>4366</v>
      </c>
      <c r="P17" s="3939"/>
      <c r="Q17" s="3939"/>
      <c r="R17" s="3062"/>
    </row>
    <row r="18" spans="2:18">
      <c r="B18" s="3061">
        <f t="shared" si="5"/>
        <v>46096.791666666664</v>
      </c>
      <c r="C18" s="3062">
        <f>'ST Original'!O22</f>
        <v>2807.7294668069771</v>
      </c>
      <c r="D18" s="3935">
        <f t="shared" ref="D18:D23" si="12">IF(C18&lt;=$A$9,C18,$A$9)</f>
        <v>2800</v>
      </c>
      <c r="E18" s="3062"/>
      <c r="F18" s="3062">
        <f t="shared" si="1"/>
        <v>7.7294668069771433</v>
      </c>
      <c r="G18" s="3938">
        <f t="shared" si="10"/>
        <v>2800</v>
      </c>
      <c r="H18" s="3062">
        <f t="shared" si="2"/>
        <v>0</v>
      </c>
      <c r="I18" s="3074">
        <f t="shared" si="7"/>
        <v>1058.229345723742</v>
      </c>
      <c r="J18" s="3939">
        <v>30.189318413634609</v>
      </c>
      <c r="K18" s="3939">
        <f t="shared" si="3"/>
        <v>845.30091558176912</v>
      </c>
      <c r="L18" s="3939">
        <f>'ST Original'!S22</f>
        <v>847.63438892780357</v>
      </c>
      <c r="M18" s="3939">
        <f t="shared" si="4"/>
        <v>856.53299212888555</v>
      </c>
      <c r="N18" s="3939">
        <f t="shared" si="8"/>
        <v>30.590464004603056</v>
      </c>
      <c r="O18" s="3939">
        <v>2800</v>
      </c>
      <c r="P18" s="3939"/>
      <c r="Q18" s="3939"/>
      <c r="R18" s="3062"/>
    </row>
    <row r="19" spans="2:18">
      <c r="B19" s="3061">
        <f t="shared" si="5"/>
        <v>46097.791666666664</v>
      </c>
      <c r="C19" s="3062">
        <f>'ST Original'!O23</f>
        <v>3326.5242019084485</v>
      </c>
      <c r="D19" s="3935">
        <f t="shared" si="12"/>
        <v>2800</v>
      </c>
      <c r="E19" s="3062"/>
      <c r="F19" s="3062">
        <f t="shared" si="1"/>
        <v>526.5242019084485</v>
      </c>
      <c r="G19" s="3938">
        <f t="shared" si="10"/>
        <v>2800</v>
      </c>
      <c r="H19" s="3062">
        <f t="shared" si="2"/>
        <v>0</v>
      </c>
      <c r="I19" s="3074">
        <f t="shared" si="7"/>
        <v>1058.229345723742</v>
      </c>
      <c r="J19" s="3939">
        <v>28.488910364507881</v>
      </c>
      <c r="K19" s="3939">
        <f t="shared" si="3"/>
        <v>797.68949020622063</v>
      </c>
      <c r="L19" s="3939">
        <f>'ST Original'!S23</f>
        <v>947.69049813535912</v>
      </c>
      <c r="M19" s="3939">
        <f t="shared" si="4"/>
        <v>808.28892201762494</v>
      </c>
      <c r="N19" s="3939">
        <f t="shared" si="8"/>
        <v>28.86746150062946</v>
      </c>
      <c r="O19" s="3939">
        <v>2800</v>
      </c>
      <c r="P19" s="3939"/>
      <c r="Q19" s="3939"/>
      <c r="R19" s="3062"/>
    </row>
    <row r="20" spans="2:18">
      <c r="B20" s="3061">
        <f t="shared" si="5"/>
        <v>46098.791666666664</v>
      </c>
      <c r="C20" s="3062">
        <f>'ST Original'!O24</f>
        <v>3316.8274150967682</v>
      </c>
      <c r="D20" s="3935">
        <f t="shared" si="12"/>
        <v>2800</v>
      </c>
      <c r="E20" s="3062"/>
      <c r="F20" s="3062">
        <f t="shared" si="1"/>
        <v>516.82741509676816</v>
      </c>
      <c r="G20" s="3938">
        <f t="shared" si="10"/>
        <v>2800</v>
      </c>
      <c r="H20" s="3062">
        <f t="shared" si="2"/>
        <v>0</v>
      </c>
      <c r="I20" s="3074">
        <f t="shared" si="7"/>
        <v>1058.229345723742</v>
      </c>
      <c r="J20" s="3939">
        <v>27.911463669552148</v>
      </c>
      <c r="K20" s="3939">
        <f t="shared" si="3"/>
        <v>781.52098274746027</v>
      </c>
      <c r="L20" s="3939">
        <f>'ST Original'!S24</f>
        <v>925.77507894648011</v>
      </c>
      <c r="M20" s="3939">
        <f t="shared" si="4"/>
        <v>791.90557282607836</v>
      </c>
      <c r="N20" s="3939">
        <f t="shared" si="8"/>
        <v>28.282341886645657</v>
      </c>
      <c r="O20" s="3939">
        <v>2800</v>
      </c>
      <c r="P20" s="3939"/>
      <c r="Q20" s="3939"/>
    </row>
    <row r="21" spans="2:18">
      <c r="B21" s="3061">
        <f t="shared" si="5"/>
        <v>46099.791666666664</v>
      </c>
      <c r="C21" s="3062">
        <f>'ST Original'!O25</f>
        <v>3632.4211664982063</v>
      </c>
      <c r="D21" s="3935">
        <f t="shared" si="12"/>
        <v>2800</v>
      </c>
      <c r="E21" s="3062"/>
      <c r="F21" s="3062">
        <f t="shared" si="1"/>
        <v>832.42116649820628</v>
      </c>
      <c r="G21" s="3938">
        <f t="shared" si="10"/>
        <v>2800</v>
      </c>
      <c r="H21" s="3062">
        <f t="shared" si="2"/>
        <v>0</v>
      </c>
      <c r="I21" s="3074">
        <f t="shared" si="7"/>
        <v>1058.229345723742</v>
      </c>
      <c r="J21" s="3939">
        <v>27.392396331005557</v>
      </c>
      <c r="K21" s="3939">
        <f t="shared" si="3"/>
        <v>766.98709726815559</v>
      </c>
      <c r="L21" s="3939">
        <f>'ST Original'!S25</f>
        <v>995.00720233852394</v>
      </c>
      <c r="M21" s="3939">
        <f t="shared" si="4"/>
        <v>777.17856592548878</v>
      </c>
      <c r="N21" s="3939">
        <f t="shared" si="8"/>
        <v>27.756377354481742</v>
      </c>
      <c r="O21" s="3939">
        <v>2800</v>
      </c>
      <c r="P21" s="3939"/>
      <c r="Q21" s="3939"/>
      <c r="R21" s="3062"/>
    </row>
    <row r="22" spans="2:18">
      <c r="B22" s="3061">
        <f t="shared" si="5"/>
        <v>46100.791666666664</v>
      </c>
      <c r="C22" s="3062">
        <f>'ST Original'!O26</f>
        <v>3610.6050996937756</v>
      </c>
      <c r="D22" s="3935">
        <f t="shared" si="12"/>
        <v>2800</v>
      </c>
      <c r="E22" s="3062"/>
      <c r="F22" s="3062">
        <f t="shared" si="1"/>
        <v>810.60509969377563</v>
      </c>
      <c r="G22" s="3938">
        <f t="shared" si="10"/>
        <v>2800</v>
      </c>
      <c r="H22" s="3062">
        <f>+D22-G22</f>
        <v>0</v>
      </c>
      <c r="I22" s="3074">
        <f t="shared" si="7"/>
        <v>1058.229345723742</v>
      </c>
      <c r="J22" s="3939">
        <v>27.98518896538231</v>
      </c>
      <c r="K22" s="3939">
        <f t="shared" si="3"/>
        <v>783.58529103070464</v>
      </c>
      <c r="L22" s="3939">
        <f>'ST Original'!S26</f>
        <v>1010.4346599430335</v>
      </c>
      <c r="M22" s="3939">
        <f t="shared" si="4"/>
        <v>793.9973109490719</v>
      </c>
      <c r="N22" s="3939">
        <f t="shared" si="8"/>
        <v>28.35704681960971</v>
      </c>
      <c r="O22" s="3939">
        <v>2800</v>
      </c>
      <c r="P22" s="3939"/>
      <c r="Q22" s="3939"/>
    </row>
    <row r="23" spans="2:18">
      <c r="B23" s="3061">
        <f t="shared" si="5"/>
        <v>46101.791666666664</v>
      </c>
      <c r="C23" s="3062">
        <f>'ST Original'!O27</f>
        <v>3391.9085359484216</v>
      </c>
      <c r="D23" s="3935">
        <f t="shared" si="12"/>
        <v>2800</v>
      </c>
      <c r="E23" s="3062"/>
      <c r="F23" s="3062">
        <f t="shared" si="1"/>
        <v>591.90853594842156</v>
      </c>
      <c r="G23" s="3938">
        <f t="shared" si="10"/>
        <v>2800</v>
      </c>
      <c r="H23" s="3062">
        <f t="shared" si="2"/>
        <v>0</v>
      </c>
      <c r="I23" s="3074">
        <f t="shared" si="7"/>
        <v>1058.229345723742</v>
      </c>
      <c r="J23" s="3939">
        <v>28.477234564178254</v>
      </c>
      <c r="K23" s="3939">
        <f t="shared" si="3"/>
        <v>797.36256779699102</v>
      </c>
      <c r="L23" s="3939">
        <f>'ST Original'!S27</f>
        <v>965.92174998441658</v>
      </c>
      <c r="M23" s="3939">
        <f t="shared" si="4"/>
        <v>807.95765557249319</v>
      </c>
      <c r="N23" s="3939">
        <f t="shared" si="8"/>
        <v>28.85563055616047</v>
      </c>
      <c r="O23" s="3939">
        <v>2800</v>
      </c>
      <c r="P23" s="3939"/>
      <c r="Q23" s="3939"/>
    </row>
    <row r="24" spans="2:18">
      <c r="B24" s="3061">
        <f t="shared" si="5"/>
        <v>46102.791666666664</v>
      </c>
      <c r="C24" s="3062">
        <f>'ST Original'!O28</f>
        <v>3385.9909628403943</v>
      </c>
      <c r="D24" s="3062">
        <f t="shared" ref="D24:D33" si="13">C24</f>
        <v>3385.9909628403943</v>
      </c>
      <c r="E24" s="3937">
        <v>800</v>
      </c>
      <c r="F24" s="3062">
        <f t="shared" si="1"/>
        <v>0</v>
      </c>
      <c r="G24" s="3062">
        <v>4366</v>
      </c>
      <c r="H24" s="3062">
        <f>+D24-G24</f>
        <v>-980.00903715960567</v>
      </c>
      <c r="I24" s="3062">
        <f t="shared" si="7"/>
        <v>78.220308564136303</v>
      </c>
      <c r="J24" s="3939">
        <v>27.716210748744583</v>
      </c>
      <c r="K24" s="3939">
        <f t="shared" si="3"/>
        <v>1210.0897612901886</v>
      </c>
      <c r="L24" s="3939">
        <f>'ST Original'!S28</f>
        <v>938.46839119428955</v>
      </c>
      <c r="M24" s="3939">
        <f t="shared" si="4"/>
        <v>1226.1690303139762</v>
      </c>
      <c r="N24" s="3939">
        <f t="shared" si="8"/>
        <v>28.084494510168945</v>
      </c>
      <c r="O24" s="3939">
        <v>4366</v>
      </c>
      <c r="P24" s="3939"/>
      <c r="Q24" s="3939"/>
    </row>
    <row r="25" spans="2:18">
      <c r="B25" s="3061">
        <f t="shared" si="5"/>
        <v>46103.791666666664</v>
      </c>
      <c r="C25" s="3062">
        <f>'ST Original'!O29</f>
        <v>3503.7034300578671</v>
      </c>
      <c r="D25" s="3062">
        <f t="shared" si="13"/>
        <v>3503.7034300578671</v>
      </c>
      <c r="E25" s="3937">
        <v>800</v>
      </c>
      <c r="F25" s="3062">
        <f t="shared" si="1"/>
        <v>0</v>
      </c>
      <c r="G25" s="3062">
        <v>4366</v>
      </c>
      <c r="H25" s="3062">
        <f t="shared" si="2"/>
        <v>-862.29656994213292</v>
      </c>
      <c r="I25" s="3062">
        <f t="shared" si="7"/>
        <v>-784.07626137799662</v>
      </c>
      <c r="J25" s="3939">
        <v>30.291011915290664</v>
      </c>
      <c r="K25" s="3939">
        <f t="shared" si="3"/>
        <v>1322.5055802215904</v>
      </c>
      <c r="L25" s="3939">
        <f>'ST Original'!S29</f>
        <v>1061.3072234752763</v>
      </c>
      <c r="M25" s="3939">
        <f t="shared" si="4"/>
        <v>1340.0785931418641</v>
      </c>
      <c r="N25" s="3939">
        <f t="shared" si="8"/>
        <v>30.693508775580945</v>
      </c>
      <c r="O25" s="3939">
        <v>4366</v>
      </c>
      <c r="P25" s="3939"/>
      <c r="Q25" s="3939"/>
    </row>
    <row r="26" spans="2:18">
      <c r="B26" s="3061">
        <f t="shared" si="5"/>
        <v>46104.791666666664</v>
      </c>
      <c r="C26" s="3062">
        <f>'ST Original'!O30</f>
        <v>3273.2138555551828</v>
      </c>
      <c r="D26" s="3062">
        <f t="shared" si="13"/>
        <v>3273.2138555551828</v>
      </c>
      <c r="E26" s="3937">
        <v>250</v>
      </c>
      <c r="F26" s="3062">
        <f t="shared" si="1"/>
        <v>0</v>
      </c>
      <c r="G26" s="3062">
        <v>4366</v>
      </c>
      <c r="H26" s="3062">
        <f t="shared" si="2"/>
        <v>-1092.7861444448172</v>
      </c>
      <c r="I26" s="3062">
        <f t="shared" si="7"/>
        <v>-1876.8624058228138</v>
      </c>
      <c r="J26" s="3939">
        <v>29.00637430726275</v>
      </c>
      <c r="K26" s="3939">
        <f t="shared" si="3"/>
        <v>1266.4183022550917</v>
      </c>
      <c r="L26" s="3939">
        <f>'ST Original'!S30</f>
        <v>949.44066281952303</v>
      </c>
      <c r="M26" s="3939">
        <f t="shared" si="4"/>
        <v>1283.2460461382373</v>
      </c>
      <c r="N26" s="3939">
        <f t="shared" si="8"/>
        <v>29.391801331613316</v>
      </c>
      <c r="O26" s="3939">
        <v>4366</v>
      </c>
      <c r="P26" s="3939"/>
      <c r="Q26" s="3939"/>
    </row>
    <row r="27" spans="2:18">
      <c r="B27" s="3061">
        <f t="shared" si="5"/>
        <v>46105.791666666664</v>
      </c>
      <c r="C27" s="3062">
        <f>'ST Original'!O31</f>
        <v>3717.5461734395567</v>
      </c>
      <c r="D27" s="3062">
        <f t="shared" si="13"/>
        <v>3717.5461734395567</v>
      </c>
      <c r="E27" s="3937">
        <v>400</v>
      </c>
      <c r="F27" s="3062">
        <f t="shared" si="1"/>
        <v>0</v>
      </c>
      <c r="G27" s="3062">
        <v>4366</v>
      </c>
      <c r="H27" s="3062">
        <f t="shared" si="2"/>
        <v>-648.4538265604433</v>
      </c>
      <c r="I27" s="3074">
        <f t="shared" si="7"/>
        <v>-2525.3162323832571</v>
      </c>
      <c r="J27" s="3939">
        <v>26.705241224231788</v>
      </c>
      <c r="K27" s="3939">
        <f t="shared" si="3"/>
        <v>1165.9508318499597</v>
      </c>
      <c r="L27" s="3939">
        <f>'ST Original'!S31</f>
        <v>992.7796732392319</v>
      </c>
      <c r="M27" s="3939">
        <f t="shared" si="4"/>
        <v>1181.4435975054894</v>
      </c>
      <c r="N27" s="3939">
        <f t="shared" si="8"/>
        <v>27.060091559905846</v>
      </c>
      <c r="O27" s="3939">
        <v>4366</v>
      </c>
      <c r="P27" s="3939"/>
      <c r="Q27" s="3939"/>
    </row>
    <row r="28" spans="2:18">
      <c r="B28" s="3061">
        <f t="shared" si="5"/>
        <v>46106.791666666664</v>
      </c>
      <c r="C28" s="3062">
        <f>'ST Original'!O32</f>
        <v>3726.3550181943365</v>
      </c>
      <c r="D28" s="3062">
        <f t="shared" si="13"/>
        <v>3726.3550181943365</v>
      </c>
      <c r="E28" s="3937">
        <v>800</v>
      </c>
      <c r="F28" s="3062">
        <f t="shared" si="1"/>
        <v>0</v>
      </c>
      <c r="G28" s="3062">
        <v>4366</v>
      </c>
      <c r="H28" s="3062">
        <f t="shared" ref="H28:H34" si="14">+D28-G28</f>
        <v>-639.64498180566352</v>
      </c>
      <c r="I28" s="3074">
        <f t="shared" si="7"/>
        <v>-3164.9612141889206</v>
      </c>
      <c r="J28" s="3939">
        <v>24.113319660599188</v>
      </c>
      <c r="K28" s="3939">
        <f t="shared" si="3"/>
        <v>1052.7875363817607</v>
      </c>
      <c r="L28" s="3939">
        <f>'ST Original'!S32</f>
        <v>898.54789722597934</v>
      </c>
      <c r="M28" s="3939">
        <f t="shared" si="4"/>
        <v>1066.776625921965</v>
      </c>
      <c r="N28" s="3939">
        <f t="shared" si="8"/>
        <v>24.433729407282755</v>
      </c>
      <c r="O28" s="3939">
        <v>4366</v>
      </c>
      <c r="P28" s="3939"/>
      <c r="Q28" s="3939"/>
    </row>
    <row r="29" spans="2:18">
      <c r="B29" s="3061">
        <f t="shared" si="5"/>
        <v>46107.791666666664</v>
      </c>
      <c r="C29" s="3062">
        <f>'ST Original'!O33</f>
        <v>3996.3078155678249</v>
      </c>
      <c r="D29" s="3062">
        <f t="shared" si="13"/>
        <v>3996.3078155678249</v>
      </c>
      <c r="E29" s="3937">
        <v>850</v>
      </c>
      <c r="F29" s="3062">
        <f t="shared" si="1"/>
        <v>0</v>
      </c>
      <c r="G29" s="3062">
        <v>4366</v>
      </c>
      <c r="H29" s="3062">
        <f t="shared" si="14"/>
        <v>-369.69218443217505</v>
      </c>
      <c r="I29" s="3074">
        <f t="shared" si="7"/>
        <v>-3534.6533986210957</v>
      </c>
      <c r="J29" s="3939">
        <v>25.237979789437635</v>
      </c>
      <c r="K29" s="3939">
        <f t="shared" si="3"/>
        <v>1101.8901976068471</v>
      </c>
      <c r="L29" s="3939">
        <f>'ST Original'!S33</f>
        <v>1008.5873588167243</v>
      </c>
      <c r="M29" s="3939">
        <f t="shared" si="4"/>
        <v>1116.5317469272088</v>
      </c>
      <c r="N29" s="3939">
        <f t="shared" si="8"/>
        <v>25.573333644690994</v>
      </c>
      <c r="O29" s="3939">
        <v>4366</v>
      </c>
      <c r="P29" s="3939"/>
      <c r="Q29" s="3939"/>
    </row>
    <row r="30" spans="2:18">
      <c r="B30" s="3061">
        <f t="shared" si="5"/>
        <v>46108.791666666664</v>
      </c>
      <c r="C30" s="3062">
        <f>'ST Original'!O34</f>
        <v>4142.4073862917176</v>
      </c>
      <c r="D30" s="3062">
        <f t="shared" si="13"/>
        <v>4142.4073862917176</v>
      </c>
      <c r="E30" s="3937">
        <v>900</v>
      </c>
      <c r="F30" s="3062">
        <f t="shared" si="1"/>
        <v>0</v>
      </c>
      <c r="G30" s="3062">
        <v>4366</v>
      </c>
      <c r="H30" s="3062">
        <f t="shared" si="14"/>
        <v>-223.59261370828244</v>
      </c>
      <c r="I30" s="3074">
        <f t="shared" si="7"/>
        <v>-3758.2460123293781</v>
      </c>
      <c r="J30" s="3939">
        <v>26.753175806139513</v>
      </c>
      <c r="K30" s="3939">
        <f t="shared" si="3"/>
        <v>1168.0436556960512</v>
      </c>
      <c r="L30" s="3939">
        <f>'ST Original'!S34</f>
        <v>1108.2255306611319</v>
      </c>
      <c r="M30" s="3939">
        <f t="shared" si="4"/>
        <v>1183.5642300966153</v>
      </c>
      <c r="N30" s="3939">
        <f t="shared" si="8"/>
        <v>27.108663080545476</v>
      </c>
      <c r="O30" s="3939">
        <v>4366</v>
      </c>
      <c r="P30" s="3939"/>
      <c r="Q30" s="3939"/>
    </row>
    <row r="31" spans="2:18">
      <c r="B31" s="3061">
        <f t="shared" si="5"/>
        <v>46109.791666666664</v>
      </c>
      <c r="C31" s="3062">
        <f>'ST Original'!O35</f>
        <v>4461.1844597926402</v>
      </c>
      <c r="D31" s="3062">
        <f t="shared" si="13"/>
        <v>4461.1844597926402</v>
      </c>
      <c r="E31" s="3937">
        <v>488</v>
      </c>
      <c r="F31" s="3062">
        <f t="shared" si="1"/>
        <v>0</v>
      </c>
      <c r="G31" s="3062">
        <v>4366</v>
      </c>
      <c r="H31" s="3062">
        <f t="shared" si="14"/>
        <v>95.184459792640155</v>
      </c>
      <c r="I31" s="3062">
        <f t="shared" si="7"/>
        <v>-3663.061552536738</v>
      </c>
      <c r="J31" s="3939">
        <v>25.41389590416216</v>
      </c>
      <c r="K31" s="3939">
        <f t="shared" si="3"/>
        <v>1109.5706951757199</v>
      </c>
      <c r="L31" s="3939">
        <f>'ST Original'!S35</f>
        <v>1133.7607747043605</v>
      </c>
      <c r="M31" s="3939">
        <f t="shared" si="4"/>
        <v>1124.3143003853199</v>
      </c>
      <c r="N31" s="3939">
        <f t="shared" si="8"/>
        <v>25.751587274056803</v>
      </c>
      <c r="O31" s="3939">
        <v>4366</v>
      </c>
      <c r="P31" s="3939"/>
      <c r="Q31" s="3939"/>
    </row>
    <row r="32" spans="2:18">
      <c r="B32" s="3061">
        <f t="shared" si="5"/>
        <v>46110.791666666664</v>
      </c>
      <c r="C32" s="3062">
        <f>'ST Original'!O36</f>
        <v>4138.0015993722654</v>
      </c>
      <c r="D32" s="3062">
        <f t="shared" si="13"/>
        <v>4138.0015993722654</v>
      </c>
      <c r="E32" s="3937"/>
      <c r="F32" s="3062">
        <f t="shared" si="1"/>
        <v>0</v>
      </c>
      <c r="G32" s="3062">
        <v>4366</v>
      </c>
      <c r="H32" s="3062">
        <f t="shared" si="14"/>
        <v>-227.99840062773455</v>
      </c>
      <c r="I32" s="3062">
        <f t="shared" si="7"/>
        <v>-3891.0599531644725</v>
      </c>
      <c r="J32" s="3939">
        <v>26.613948682597318</v>
      </c>
      <c r="K32" s="3939">
        <f t="shared" si="3"/>
        <v>1161.9649994821989</v>
      </c>
      <c r="L32" s="3939">
        <f>'ST Original'!S36</f>
        <v>1101.2856221419911</v>
      </c>
      <c r="M32" s="3939">
        <f t="shared" si="4"/>
        <v>1177.4048027270255</v>
      </c>
      <c r="N32" s="3939">
        <f t="shared" si="8"/>
        <v>26.967585953436224</v>
      </c>
      <c r="O32" s="3939">
        <v>4366</v>
      </c>
      <c r="P32" s="3939"/>
      <c r="Q32" s="3939"/>
    </row>
    <row r="33" spans="2:17">
      <c r="B33" s="3061">
        <f t="shared" si="5"/>
        <v>46111.791666666664</v>
      </c>
      <c r="C33" s="3062">
        <f>'ST Original'!O37</f>
        <v>3776.3973426152384</v>
      </c>
      <c r="D33" s="3062">
        <f t="shared" si="13"/>
        <v>3776.3973426152384</v>
      </c>
      <c r="E33" s="3937"/>
      <c r="F33" s="3062">
        <f t="shared" si="1"/>
        <v>0</v>
      </c>
      <c r="G33" s="3062">
        <v>4366</v>
      </c>
      <c r="H33" s="3062">
        <f t="shared" si="14"/>
        <v>-589.60265738476164</v>
      </c>
      <c r="I33" s="3071">
        <f t="shared" si="7"/>
        <v>-4480.6626105492342</v>
      </c>
      <c r="J33" s="3939">
        <v>27.633995175069714</v>
      </c>
      <c r="K33" s="3939">
        <f t="shared" si="3"/>
        <v>1206.5002293435437</v>
      </c>
      <c r="L33" s="3939">
        <f>'ST Original'!S37</f>
        <v>1043.5694594497559</v>
      </c>
      <c r="M33" s="3939">
        <f t="shared" si="4"/>
        <v>1222.5318018644057</v>
      </c>
      <c r="N33" s="3939">
        <f t="shared" si="8"/>
        <v>28.001186483380796</v>
      </c>
      <c r="O33" s="3939">
        <v>4366</v>
      </c>
      <c r="P33" s="3939"/>
      <c r="Q33" s="3939"/>
    </row>
    <row r="34" spans="2:17">
      <c r="B34" s="3061">
        <f t="shared" si="5"/>
        <v>46112.791666666664</v>
      </c>
      <c r="C34" s="3069">
        <f>'ST Original'!O38</f>
        <v>5688.8408911197957</v>
      </c>
      <c r="D34" s="3069">
        <f>C34</f>
        <v>5688.8408911197957</v>
      </c>
      <c r="E34" s="3069"/>
      <c r="F34" s="3069">
        <f t="shared" si="1"/>
        <v>0</v>
      </c>
      <c r="G34" s="3069">
        <f>IF((D34+E34)&lt;4366,(D34+E34),4366)</f>
        <v>4366</v>
      </c>
      <c r="H34" s="3069">
        <f t="shared" si="14"/>
        <v>1322.8408911197957</v>
      </c>
      <c r="I34" s="3103">
        <f t="shared" si="7"/>
        <v>-3157.8217194294384</v>
      </c>
      <c r="J34" s="3939">
        <v>27.614292362477695</v>
      </c>
      <c r="K34" s="3939">
        <f t="shared" si="3"/>
        <v>1205.6400045457763</v>
      </c>
      <c r="L34" s="3939">
        <f>'ST Original'!S38</f>
        <v>1570.933155710002</v>
      </c>
      <c r="M34" s="3939">
        <f t="shared" si="4"/>
        <v>1221.6601466865238</v>
      </c>
      <c r="N34" s="3939">
        <f t="shared" si="8"/>
        <v>27.981221866388545</v>
      </c>
      <c r="O34" s="3939">
        <v>4366</v>
      </c>
      <c r="P34" s="3939"/>
      <c r="Q34" s="3939"/>
    </row>
    <row r="35" spans="2:17">
      <c r="B35" s="3070">
        <v>45839</v>
      </c>
      <c r="C35" s="3071">
        <f>+SUM(C4:C34)</f>
        <v>105753.4669311305</v>
      </c>
      <c r="D35" s="3071">
        <f>+SUM(D4:D34)</f>
        <v>100710.60156497356</v>
      </c>
      <c r="E35" s="3071">
        <f>+SUM(E4:E34)</f>
        <v>11828</v>
      </c>
      <c r="F35" s="3071">
        <f>+SUM(F4:F34)+SUM(H4:H34)</f>
        <v>1885.0436467275094</v>
      </c>
      <c r="G35" s="3071">
        <f>+SUM(G4:G34)</f>
        <v>103868.42328440302</v>
      </c>
      <c r="H35" s="3071">
        <f>H34</f>
        <v>1322.8408911197957</v>
      </c>
      <c r="I35" s="3071">
        <f>I34</f>
        <v>-3157.8217194294384</v>
      </c>
      <c r="J35" s="3067" t="s">
        <v>1523</v>
      </c>
      <c r="K35" s="3062">
        <f>SUM(K4:K34)</f>
        <v>27947.001239735302</v>
      </c>
      <c r="L35" s="3062">
        <f>SUM(L4:L34)</f>
        <v>28318.351668204938</v>
      </c>
      <c r="M35" s="3062">
        <f>SUM(M4:M34)</f>
        <v>28318.351668204923</v>
      </c>
      <c r="N35" s="3062"/>
      <c r="O35" s="3062"/>
      <c r="P35" s="3062"/>
      <c r="Q35" s="3062"/>
    </row>
    <row r="36" spans="2:17">
      <c r="D36" s="3067"/>
      <c r="F36" s="3936"/>
      <c r="G36" s="3067">
        <f>G35-C35</f>
        <v>-1885.0436467274849</v>
      </c>
      <c r="I36" s="3067">
        <f>I35*0.28</f>
        <v>-884.19008144024281</v>
      </c>
      <c r="J36" s="3060" t="s">
        <v>1524</v>
      </c>
      <c r="L36" s="3060">
        <f>L35/K35</f>
        <v>1.0132876663683561</v>
      </c>
      <c r="M36" s="3942">
        <f>+M35/G35</f>
        <v>0.27263677230053068</v>
      </c>
    </row>
    <row r="38" spans="2:17">
      <c r="F38" s="3067"/>
    </row>
    <row r="39" spans="2:17">
      <c r="C39" s="3072"/>
      <c r="E39" s="3067"/>
    </row>
  </sheetData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E3A8B-0B04-4685-A800-53347EE719A3}">
  <sheetPr codeName="Hoja38"/>
  <dimension ref="A2:AD150"/>
  <sheetViews>
    <sheetView zoomScaleNormal="100" workbookViewId="0">
      <selection activeCell="E21" sqref="E21"/>
    </sheetView>
  </sheetViews>
  <sheetFormatPr baseColWidth="10" defaultColWidth="11.453125" defaultRowHeight="12.5"/>
  <cols>
    <col min="1" max="1" width="35.81640625" customWidth="1"/>
    <col min="2" max="2" width="6.453125" customWidth="1"/>
    <col min="3" max="3" width="11.81640625" customWidth="1"/>
    <col min="4" max="4" width="14.1796875" customWidth="1"/>
    <col min="5" max="5" width="25.81640625" customWidth="1"/>
    <col min="6" max="6" width="18.453125" customWidth="1"/>
    <col min="7" max="7" width="15.81640625" customWidth="1"/>
    <col min="8" max="8" width="14.453125" customWidth="1"/>
    <col min="9" max="9" width="13.1796875" customWidth="1"/>
    <col min="10" max="10" width="19.54296875" customWidth="1"/>
    <col min="11" max="11" width="14.81640625" customWidth="1"/>
    <col min="12" max="12" width="18" customWidth="1"/>
    <col min="13" max="13" width="11.1796875" customWidth="1"/>
  </cols>
  <sheetData>
    <row r="2" spans="1:30" ht="25.5" thickBot="1">
      <c r="A2" s="1513" t="s">
        <v>1125</v>
      </c>
      <c r="C2" s="1483" t="s">
        <v>1126</v>
      </c>
      <c r="D2" s="1484" t="s">
        <v>1127</v>
      </c>
      <c r="E2" s="1484" t="s">
        <v>1128</v>
      </c>
      <c r="F2" s="1483" t="s">
        <v>1129</v>
      </c>
      <c r="G2" s="1484" t="s">
        <v>1130</v>
      </c>
      <c r="H2" s="1484" t="s">
        <v>1131</v>
      </c>
      <c r="I2" s="1484" t="s">
        <v>1127</v>
      </c>
      <c r="J2" s="1483" t="s">
        <v>1132</v>
      </c>
      <c r="K2" s="1483" t="s">
        <v>1129</v>
      </c>
      <c r="L2" s="1484" t="s">
        <v>1130</v>
      </c>
      <c r="M2" s="1484" t="s">
        <v>1133</v>
      </c>
    </row>
    <row r="3" spans="1:30">
      <c r="A3" s="1498" t="s">
        <v>52</v>
      </c>
      <c r="B3" s="1498" t="s">
        <v>1134</v>
      </c>
      <c r="C3" s="1501">
        <f>BDGT!$H$7+BDGT!$H$9*BDGT!$C$66</f>
        <v>24.365061413343849</v>
      </c>
      <c r="D3" s="1499">
        <f>'Comparacion (Sin BM)'!D11</f>
        <v>22.933613081531071</v>
      </c>
      <c r="E3" s="1499"/>
      <c r="F3" s="1499" t="e">
        <f>'ST Original'!#REF!/1000</f>
        <v>#REF!</v>
      </c>
      <c r="G3" s="1499">
        <f>'Explicacion Cueq (Con BM)'!$E$33</f>
        <v>22.933613081531071</v>
      </c>
      <c r="H3" s="1499">
        <f>'BM con CuF pagable'!E41</f>
        <v>22.933613081531071</v>
      </c>
      <c r="I3" s="1519" t="str">
        <f>IF(ISNUMBER(D3),IF($C3=D3, "","X"),"")</f>
        <v>X</v>
      </c>
      <c r="J3" s="1519" t="str">
        <f t="shared" ref="J3:J36" si="0">IF(ISNUMBER(E3),IF($C3=E3, "","X"),"")</f>
        <v/>
      </c>
      <c r="K3" s="1519" t="str">
        <f t="shared" ref="K3:K36" si="1">IF(ISNUMBER(F3),IF($C3=F3, "","X"),"")</f>
        <v/>
      </c>
      <c r="L3" s="1519" t="str">
        <f t="shared" ref="L3:L36" si="2">IF(ISNUMBER(G3),IF($C3=G3, "","X"),"")</f>
        <v>X</v>
      </c>
      <c r="M3" s="1519" t="str">
        <f t="shared" ref="M3:M36" si="3">IF(ISNUMBER(H3),IF($C3=H3, "","X"),"")</f>
        <v>X</v>
      </c>
    </row>
    <row r="4" spans="1:30">
      <c r="A4" s="1073" t="s">
        <v>54</v>
      </c>
      <c r="B4" t="s">
        <v>1134</v>
      </c>
      <c r="C4" s="1508">
        <f>BDGT!$H$8+BDGT!$H$10*BDGT!$C$66*BDGT!$C$68</f>
        <v>23.548341534939176</v>
      </c>
      <c r="D4" s="722">
        <f>'Comparacion (Sin BM)'!D12</f>
        <v>33.40619354187691</v>
      </c>
      <c r="E4" s="722"/>
      <c r="F4" s="722"/>
      <c r="G4" s="722"/>
      <c r="H4" s="722">
        <f>'BM con CuF pagable'!E42</f>
        <v>0</v>
      </c>
      <c r="I4" s="362" t="str">
        <f t="shared" ref="I4:I36" si="4">IF(ISNUMBER(D4),IF($C4=D4, "","X"),"")</f>
        <v>X</v>
      </c>
      <c r="J4" s="362" t="str">
        <f>IF(ISNUMBER(E4),IF($C4=E4, "","X"),"")</f>
        <v/>
      </c>
      <c r="K4" s="362" t="str">
        <f t="shared" si="1"/>
        <v/>
      </c>
      <c r="L4" s="362" t="str">
        <f t="shared" si="2"/>
        <v/>
      </c>
      <c r="M4" s="362" t="str">
        <f t="shared" si="3"/>
        <v>X</v>
      </c>
    </row>
    <row r="5" spans="1:30">
      <c r="A5" s="1073" t="s">
        <v>58</v>
      </c>
      <c r="B5" t="s">
        <v>1134</v>
      </c>
      <c r="C5" s="1508">
        <f>BDGT!$H$8+BDGT!$H$10*BDGT!$C$66*BDGT!$C$68</f>
        <v>23.548341534939176</v>
      </c>
      <c r="D5" s="722">
        <f>'Comparacion (Sin BM)'!D13</f>
        <v>33.40619354187691</v>
      </c>
      <c r="E5" s="722"/>
      <c r="F5" s="722"/>
      <c r="G5" s="722"/>
      <c r="H5" s="722">
        <f>'BM con CuF pagable'!E43</f>
        <v>33.40619354187691</v>
      </c>
      <c r="I5" s="362" t="str">
        <f t="shared" si="4"/>
        <v>X</v>
      </c>
      <c r="J5" s="362" t="str">
        <f t="shared" si="0"/>
        <v/>
      </c>
      <c r="K5" s="362" t="str">
        <f t="shared" si="1"/>
        <v/>
      </c>
      <c r="L5" s="362" t="str">
        <f t="shared" si="2"/>
        <v/>
      </c>
      <c r="M5" s="362" t="str">
        <f t="shared" si="3"/>
        <v>X</v>
      </c>
    </row>
    <row r="6" spans="1:30">
      <c r="A6" s="1498" t="s">
        <v>59</v>
      </c>
      <c r="B6" s="1498" t="s">
        <v>1134</v>
      </c>
      <c r="C6" s="1500">
        <f>BDGT!$H$7</f>
        <v>22.933613081531071</v>
      </c>
      <c r="D6" s="1499">
        <f>'Comparacion (Sin BM)'!D14</f>
        <v>22.933613081531071</v>
      </c>
      <c r="E6" s="1499">
        <f>'Tablas de producción'!$K$4</f>
        <v>29.514270813981621</v>
      </c>
      <c r="F6" s="1499" t="e">
        <f>'ST Original'!#REF!/1000</f>
        <v>#REF!</v>
      </c>
      <c r="G6" s="1499">
        <f>'Explicacion Cueq (Con BM)'!E35</f>
        <v>22.933613081531071</v>
      </c>
      <c r="H6" s="1499">
        <f>'BM con CuF pagable'!E44</f>
        <v>22.933613081531071</v>
      </c>
      <c r="I6" s="1519" t="str">
        <f t="shared" si="4"/>
        <v/>
      </c>
      <c r="J6" s="1519" t="str">
        <f t="shared" si="0"/>
        <v>X</v>
      </c>
      <c r="K6" s="1519" t="str">
        <f t="shared" si="1"/>
        <v/>
      </c>
      <c r="L6" s="1519" t="str">
        <f t="shared" si="2"/>
        <v/>
      </c>
      <c r="M6" s="1519" t="str">
        <f t="shared" si="3"/>
        <v/>
      </c>
    </row>
    <row r="7" spans="1:30">
      <c r="A7" t="s">
        <v>60</v>
      </c>
      <c r="B7" t="s">
        <v>1134</v>
      </c>
      <c r="C7" s="1508">
        <f>BDGT!$H$8</f>
        <v>22.131171900236232</v>
      </c>
      <c r="D7" s="722">
        <f>'Comparacion (Sin BM)'!D15</f>
        <v>31.316638511727174</v>
      </c>
      <c r="E7" s="722" t="e">
        <f>'Tablas de producción'!#REF!</f>
        <v>#REF!</v>
      </c>
      <c r="F7" s="722"/>
      <c r="G7" s="722">
        <f>'Explicacion Cueq (Con BM)'!$E$34</f>
        <v>31.316638511727174</v>
      </c>
      <c r="H7" s="722">
        <f>'BM con CuF pagable'!E45</f>
        <v>31.316638511727174</v>
      </c>
      <c r="I7" s="362" t="str">
        <f t="shared" si="4"/>
        <v>X</v>
      </c>
      <c r="J7" s="362" t="str">
        <f>IF(ISNUMBER(E7),IF($C7=E7, "","X"),"")</f>
        <v/>
      </c>
      <c r="K7" s="362" t="str">
        <f t="shared" si="1"/>
        <v/>
      </c>
      <c r="L7" s="362" t="str">
        <f t="shared" si="2"/>
        <v>X</v>
      </c>
      <c r="M7" s="362" t="str">
        <f t="shared" si="3"/>
        <v>X</v>
      </c>
    </row>
    <row r="8" spans="1:30">
      <c r="A8" t="s">
        <v>63</v>
      </c>
      <c r="B8" t="s">
        <v>1134</v>
      </c>
      <c r="C8" s="1508">
        <f>BDGT!$H$8</f>
        <v>22.131171900236232</v>
      </c>
      <c r="D8" s="722">
        <f>'Comparacion (Sin BM)'!D16</f>
        <v>31.316638511727174</v>
      </c>
      <c r="E8" s="722">
        <f>'Tablas de producción'!$K$5</f>
        <v>28.422384713002526</v>
      </c>
      <c r="F8" s="722"/>
      <c r="G8" s="722"/>
      <c r="H8" s="722">
        <f>'BM con CuF pagable'!E46</f>
        <v>31.316638511727174</v>
      </c>
      <c r="I8" s="362" t="str">
        <f t="shared" si="4"/>
        <v>X</v>
      </c>
      <c r="J8" s="362" t="str">
        <f t="shared" si="0"/>
        <v>X</v>
      </c>
      <c r="K8" s="362" t="str">
        <f t="shared" si="1"/>
        <v/>
      </c>
      <c r="L8" s="362" t="str">
        <f t="shared" si="2"/>
        <v/>
      </c>
      <c r="M8" s="362" t="str">
        <f t="shared" si="3"/>
        <v>X</v>
      </c>
    </row>
    <row r="9" spans="1:30">
      <c r="A9" s="1498" t="s">
        <v>66</v>
      </c>
      <c r="B9" s="1498" t="s">
        <v>1134</v>
      </c>
      <c r="C9" s="1512">
        <f>BDGT!$H$9</f>
        <v>0.49377313963876424</v>
      </c>
      <c r="D9" s="1511">
        <f>'Comparacion (Sin BM)'!D18</f>
        <v>0.49377313963876424</v>
      </c>
      <c r="E9" s="1511">
        <f>'Tablas de producción'!$K$6</f>
        <v>1.0603706209881529</v>
      </c>
      <c r="F9" s="1511" t="e">
        <f>'ST Original'!#REF!/1000</f>
        <v>#REF!</v>
      </c>
      <c r="G9" s="1511">
        <f>'Explicacion Cueq (Con BM)'!E36</f>
        <v>0.49377313963876424</v>
      </c>
      <c r="H9" s="1511">
        <f>'BM con CuF pagable'!E47</f>
        <v>0.49377313963876424</v>
      </c>
      <c r="I9" s="1519" t="str">
        <f t="shared" si="4"/>
        <v/>
      </c>
      <c r="J9" s="1519" t="str">
        <f t="shared" si="0"/>
        <v>X</v>
      </c>
      <c r="K9" s="1519" t="str">
        <f t="shared" si="1"/>
        <v/>
      </c>
      <c r="L9" s="1519" t="str">
        <f t="shared" si="2"/>
        <v/>
      </c>
      <c r="M9" s="1519" t="str">
        <f t="shared" si="3"/>
        <v/>
      </c>
    </row>
    <row r="10" spans="1:30">
      <c r="A10" t="s">
        <v>1135</v>
      </c>
      <c r="B10" t="s">
        <v>1134</v>
      </c>
      <c r="C10" s="1510">
        <f>BDGT!$H$10</f>
        <v>0.49130427394057041</v>
      </c>
      <c r="D10" s="469"/>
      <c r="E10" s="469"/>
      <c r="F10" s="469" t="e">
        <f>'ST Original'!#REF!/1000</f>
        <v>#REF!</v>
      </c>
      <c r="G10" s="469"/>
      <c r="H10" s="469"/>
      <c r="I10" s="362" t="str">
        <f t="shared" si="4"/>
        <v/>
      </c>
      <c r="J10" s="362" t="str">
        <f t="shared" si="0"/>
        <v/>
      </c>
      <c r="K10" s="362" t="str">
        <f t="shared" si="1"/>
        <v/>
      </c>
      <c r="L10" s="362" t="str">
        <f t="shared" si="2"/>
        <v/>
      </c>
      <c r="M10" s="362" t="str">
        <f t="shared" si="3"/>
        <v/>
      </c>
    </row>
    <row r="11" spans="1:30">
      <c r="A11" t="s">
        <v>67</v>
      </c>
      <c r="B11" t="s">
        <v>1134</v>
      </c>
      <c r="C11" s="1510">
        <f>BDGT!$H$10*BDGT!$C$68</f>
        <v>0.48884775257086754</v>
      </c>
      <c r="D11" s="469">
        <f>'Comparacion (Sin BM)'!D19</f>
        <v>0.72078476376327538</v>
      </c>
      <c r="E11" s="469">
        <f>'Tablas de producción'!$K$7</f>
        <v>1.0497934240437963</v>
      </c>
      <c r="F11" s="469"/>
      <c r="G11" s="469">
        <f>'Explicacion Cueq (Con BM)'!$E$37</f>
        <v>0.72078476376327538</v>
      </c>
      <c r="H11" s="469">
        <f>'BM con CuF pagable'!E48</f>
        <v>0.72078476376327538</v>
      </c>
      <c r="I11" s="362" t="str">
        <f t="shared" si="4"/>
        <v>X</v>
      </c>
      <c r="J11" s="362" t="str">
        <f t="shared" si="0"/>
        <v>X</v>
      </c>
      <c r="K11" s="362" t="str">
        <f t="shared" si="1"/>
        <v/>
      </c>
      <c r="L11" s="362" t="str">
        <f t="shared" si="2"/>
        <v>X</v>
      </c>
      <c r="M11" s="362" t="str">
        <f t="shared" si="3"/>
        <v>X</v>
      </c>
    </row>
    <row r="12" spans="1:30">
      <c r="A12" t="s">
        <v>69</v>
      </c>
      <c r="B12" t="s">
        <v>1134</v>
      </c>
      <c r="C12" s="1510">
        <f>BDGT!$H$10*BDGT!$C$68</f>
        <v>0.48884775257086754</v>
      </c>
      <c r="D12" s="469">
        <f>'Comparacion (Sin BM)'!D20</f>
        <v>0.72078476376327538</v>
      </c>
      <c r="E12" s="469">
        <f>'Tablas de producción'!$K$8</f>
        <v>1.0497934240437963</v>
      </c>
      <c r="F12" s="469"/>
      <c r="G12" s="469"/>
      <c r="H12" s="469">
        <f>'BM con CuF pagable'!E49</f>
        <v>0.72078476376327538</v>
      </c>
      <c r="I12" s="362" t="str">
        <f t="shared" si="4"/>
        <v>X</v>
      </c>
      <c r="J12" s="362" t="str">
        <f t="shared" si="0"/>
        <v>X</v>
      </c>
      <c r="K12" s="362" t="str">
        <f t="shared" si="1"/>
        <v/>
      </c>
      <c r="L12" s="362" t="str">
        <f t="shared" si="2"/>
        <v/>
      </c>
      <c r="M12" s="362" t="str">
        <f t="shared" si="3"/>
        <v>X</v>
      </c>
      <c r="AD12" s="1542" t="s">
        <v>1136</v>
      </c>
    </row>
    <row r="13" spans="1:30">
      <c r="C13" s="1476"/>
      <c r="D13" s="273"/>
      <c r="E13" s="273"/>
      <c r="F13" s="273"/>
      <c r="G13" s="273"/>
      <c r="H13" s="273"/>
      <c r="I13" s="362" t="str">
        <f t="shared" si="4"/>
        <v/>
      </c>
      <c r="J13" s="362" t="str">
        <f t="shared" si="0"/>
        <v/>
      </c>
      <c r="K13" s="362" t="str">
        <f t="shared" si="1"/>
        <v/>
      </c>
      <c r="L13" s="362" t="str">
        <f t="shared" si="2"/>
        <v/>
      </c>
      <c r="M13" s="362" t="str">
        <f t="shared" si="3"/>
        <v/>
      </c>
      <c r="AD13" s="1542" t="s">
        <v>1137</v>
      </c>
    </row>
    <row r="14" spans="1:30">
      <c r="A14" t="s">
        <v>152</v>
      </c>
      <c r="C14" s="1476"/>
      <c r="D14" s="273"/>
      <c r="E14" s="273"/>
      <c r="F14" s="273"/>
      <c r="G14" s="273"/>
      <c r="H14" s="273"/>
      <c r="I14" s="362" t="str">
        <f t="shared" si="4"/>
        <v/>
      </c>
      <c r="J14" s="362" t="str">
        <f t="shared" si="0"/>
        <v/>
      </c>
      <c r="K14" s="362" t="str">
        <f t="shared" si="1"/>
        <v/>
      </c>
      <c r="L14" s="362" t="str">
        <f t="shared" si="2"/>
        <v/>
      </c>
      <c r="M14" s="362" t="str">
        <f t="shared" si="3"/>
        <v/>
      </c>
    </row>
    <row r="15" spans="1:30">
      <c r="A15" t="s">
        <v>78</v>
      </c>
      <c r="B15" t="s">
        <v>1134</v>
      </c>
      <c r="C15" s="1506">
        <f>BDGT!$H$12</f>
        <v>3980.5481482771197</v>
      </c>
      <c r="D15" s="708" t="e">
        <f>'Comparacion (Sin BM)'!D27</f>
        <v>#REF!</v>
      </c>
      <c r="E15" s="708">
        <f>'Tablas de producción'!$K$10</f>
        <v>5835.7550737654183</v>
      </c>
      <c r="F15" s="708" t="e">
        <f>'ST Original'!#REF!</f>
        <v>#REF!</v>
      </c>
      <c r="G15" s="708" t="e">
        <f>'Explicacion Cueq (Con BM)'!E39</f>
        <v>#REF!</v>
      </c>
      <c r="H15" s="708" t="e">
        <f>'BM con CuF pagable'!E52</f>
        <v>#REF!</v>
      </c>
      <c r="I15" s="362" t="str">
        <f t="shared" si="4"/>
        <v/>
      </c>
      <c r="J15" s="362" t="str">
        <f t="shared" si="0"/>
        <v>X</v>
      </c>
      <c r="K15" s="362" t="str">
        <f t="shared" si="1"/>
        <v/>
      </c>
      <c r="L15" s="362" t="str">
        <f t="shared" si="2"/>
        <v/>
      </c>
      <c r="M15" s="362" t="str">
        <f t="shared" si="3"/>
        <v/>
      </c>
    </row>
    <row r="16" spans="1:30">
      <c r="A16" t="s">
        <v>79</v>
      </c>
      <c r="B16" t="s">
        <v>1134</v>
      </c>
      <c r="C16" s="1506">
        <f>BDGT!$H$13</f>
        <v>132.68493827590399</v>
      </c>
      <c r="D16" s="708" t="e">
        <f>'Comparacion (Sin BM)'!D28</f>
        <v>#REF!</v>
      </c>
      <c r="E16" s="708">
        <f>'Tablas de producción'!$K$11</f>
        <v>188.25016366985221</v>
      </c>
      <c r="F16" s="708" t="e">
        <f>'ST Original'!#REF!/1000</f>
        <v>#REF!</v>
      </c>
      <c r="G16" s="708" t="e">
        <f>'Explicacion Cueq (Con BM)'!E40</f>
        <v>#REF!</v>
      </c>
      <c r="H16" s="708" t="e">
        <f>'BM con CuF pagable'!E53</f>
        <v>#REF!</v>
      </c>
      <c r="I16" s="362" t="str">
        <f t="shared" si="4"/>
        <v/>
      </c>
      <c r="J16" s="362" t="str">
        <f t="shared" si="0"/>
        <v>X</v>
      </c>
      <c r="K16" s="362" t="str">
        <f t="shared" si="1"/>
        <v/>
      </c>
      <c r="L16" s="362" t="str">
        <f t="shared" si="2"/>
        <v/>
      </c>
      <c r="M16" s="362" t="str">
        <f t="shared" si="3"/>
        <v/>
      </c>
      <c r="AD16" s="1542" t="s">
        <v>1136</v>
      </c>
    </row>
    <row r="17" spans="1:30">
      <c r="A17" t="s">
        <v>80</v>
      </c>
      <c r="B17" t="s">
        <v>1138</v>
      </c>
      <c r="C17" s="1506">
        <f>BDGT!$H$14</f>
        <v>8128.380306110721</v>
      </c>
      <c r="D17" s="708" t="e">
        <f>'Comparacion (Sin BM)'!D29</f>
        <v>#REF!</v>
      </c>
      <c r="E17" s="708">
        <f>'Tablas de producción'!$K$12</f>
        <v>6933.2728220546342</v>
      </c>
      <c r="F17" s="273"/>
      <c r="G17" s="708" t="e">
        <f>'Explicacion Cueq (Con BM)'!E41</f>
        <v>#REF!</v>
      </c>
      <c r="H17" s="708" t="e">
        <f>'BM con CuF pagable'!E54</f>
        <v>#REF!</v>
      </c>
      <c r="I17" s="362" t="str">
        <f t="shared" si="4"/>
        <v/>
      </c>
      <c r="J17" s="362" t="str">
        <f t="shared" si="0"/>
        <v>X</v>
      </c>
      <c r="K17" s="362" t="str">
        <f t="shared" si="1"/>
        <v/>
      </c>
      <c r="L17" s="362" t="str">
        <f t="shared" si="2"/>
        <v/>
      </c>
      <c r="M17" s="362" t="str">
        <f t="shared" si="3"/>
        <v/>
      </c>
      <c r="AD17" s="1542" t="s">
        <v>1137</v>
      </c>
    </row>
    <row r="18" spans="1:30">
      <c r="A18" t="s">
        <v>82</v>
      </c>
      <c r="B18" t="s">
        <v>1139</v>
      </c>
      <c r="C18" s="1508">
        <f>BDGT!$H$17</f>
        <v>0</v>
      </c>
      <c r="D18" s="722" t="e">
        <f>'Comparacion (Sin BM)'!D30</f>
        <v>#REF!</v>
      </c>
      <c r="E18" s="722">
        <f>'Tablas de producción'!$K$15</f>
        <v>0</v>
      </c>
      <c r="F18" s="722" t="e">
        <f>'ST Original'!#REF!</f>
        <v>#REF!</v>
      </c>
      <c r="G18" s="722" t="e">
        <f>'Explicacion Cueq (Con BM)'!E42</f>
        <v>#REF!</v>
      </c>
      <c r="H18" s="722" t="e">
        <f>'BM con CuF pagable'!E55</f>
        <v>#REF!</v>
      </c>
      <c r="I18" s="362" t="str">
        <f t="shared" si="4"/>
        <v/>
      </c>
      <c r="J18" s="362" t="str">
        <f t="shared" si="0"/>
        <v/>
      </c>
      <c r="K18" s="362" t="str">
        <f t="shared" si="1"/>
        <v/>
      </c>
      <c r="L18" s="362" t="str">
        <f t="shared" si="2"/>
        <v/>
      </c>
      <c r="M18" s="362" t="str">
        <f t="shared" si="3"/>
        <v/>
      </c>
    </row>
    <row r="19" spans="1:30">
      <c r="A19" t="s">
        <v>1140</v>
      </c>
      <c r="C19" s="1508">
        <f>BDGT!$H$18</f>
        <v>38.632785314390482</v>
      </c>
      <c r="D19" s="722" t="e">
        <f>'Comparacion (Sin BM)'!$D$33</f>
        <v>#REF!</v>
      </c>
      <c r="E19" s="722">
        <f>'Tablas de producción'!$K$16</f>
        <v>37.853336158564218</v>
      </c>
      <c r="F19" s="722" t="e">
        <f>'ST Original'!#REF!</f>
        <v>#REF!</v>
      </c>
      <c r="G19" s="722"/>
      <c r="H19" s="722"/>
      <c r="I19" s="362" t="str">
        <f t="shared" si="4"/>
        <v/>
      </c>
      <c r="J19" s="362" t="str">
        <f t="shared" si="0"/>
        <v>X</v>
      </c>
      <c r="K19" s="362" t="str">
        <f t="shared" si="1"/>
        <v/>
      </c>
      <c r="L19" s="362" t="str">
        <f t="shared" si="2"/>
        <v/>
      </c>
      <c r="M19" s="362" t="str">
        <f t="shared" si="3"/>
        <v/>
      </c>
    </row>
    <row r="20" spans="1:30">
      <c r="A20" t="s">
        <v>1141</v>
      </c>
      <c r="B20" t="s">
        <v>1142</v>
      </c>
      <c r="C20" s="1508">
        <f>BDGT!$H$19</f>
        <v>4.07400549699606</v>
      </c>
      <c r="D20" s="722" t="e">
        <f>'Comparacion (Sin BM)'!D31</f>
        <v>#REF!</v>
      </c>
      <c r="E20" s="722">
        <f>'Tablas de producción'!$K$17</f>
        <v>4.1504745365351701</v>
      </c>
      <c r="F20" s="722" t="e">
        <f>'ST Original'!#REF!</f>
        <v>#REF!</v>
      </c>
      <c r="G20" s="722"/>
      <c r="H20" s="722"/>
      <c r="I20" s="362" t="str">
        <f t="shared" si="4"/>
        <v/>
      </c>
      <c r="J20" s="362" t="str">
        <f t="shared" si="0"/>
        <v>X</v>
      </c>
      <c r="K20" s="362" t="str">
        <f t="shared" si="1"/>
        <v/>
      </c>
      <c r="L20" s="362" t="str">
        <f t="shared" si="2"/>
        <v/>
      </c>
      <c r="M20" s="362" t="str">
        <f t="shared" si="3"/>
        <v/>
      </c>
    </row>
    <row r="21" spans="1:30">
      <c r="A21" t="s">
        <v>85</v>
      </c>
      <c r="B21" t="s">
        <v>1139</v>
      </c>
      <c r="C21" s="1508">
        <f>BDGT!$H$20</f>
        <v>0.68062526822697333</v>
      </c>
      <c r="D21" s="722" t="e">
        <f>'Comparacion (Sin BM)'!D32</f>
        <v>#REF!</v>
      </c>
      <c r="E21" s="722">
        <f>'Tablas de producción'!$K$18</f>
        <v>0.95068132481506384</v>
      </c>
      <c r="F21" s="722" t="e">
        <f>'ST Original'!#REF!</f>
        <v>#REF!</v>
      </c>
      <c r="G21" s="722" t="e">
        <f>'Explicacion Cueq (Con BM)'!$E$43</f>
        <v>#REF!</v>
      </c>
      <c r="H21" s="722" t="e">
        <f>'BM con CuF pagable'!E56</f>
        <v>#REF!</v>
      </c>
      <c r="I21" s="362" t="str">
        <f t="shared" si="4"/>
        <v/>
      </c>
      <c r="J21" s="362" t="str">
        <f t="shared" si="0"/>
        <v>X</v>
      </c>
      <c r="K21" s="362" t="str">
        <f t="shared" si="1"/>
        <v/>
      </c>
      <c r="L21" s="362" t="str">
        <f t="shared" si="2"/>
        <v/>
      </c>
      <c r="M21" s="362" t="str">
        <f t="shared" si="3"/>
        <v/>
      </c>
    </row>
    <row r="22" spans="1:30">
      <c r="C22" s="1476"/>
      <c r="D22" s="273"/>
      <c r="E22" s="273"/>
      <c r="F22" s="273"/>
      <c r="G22" s="273"/>
      <c r="H22" s="273"/>
      <c r="I22" s="362" t="str">
        <f t="shared" si="4"/>
        <v/>
      </c>
      <c r="J22" s="362" t="str">
        <f t="shared" si="0"/>
        <v/>
      </c>
      <c r="K22" s="362" t="str">
        <f t="shared" si="1"/>
        <v/>
      </c>
      <c r="L22" s="362" t="str">
        <f t="shared" si="2"/>
        <v/>
      </c>
      <c r="M22" s="362" t="str">
        <f t="shared" si="3"/>
        <v/>
      </c>
    </row>
    <row r="23" spans="1:30">
      <c r="A23" t="s">
        <v>89</v>
      </c>
      <c r="B23" t="s">
        <v>1139</v>
      </c>
      <c r="C23" s="1510">
        <f>BDGT!$H$29</f>
        <v>0.63704189198698991</v>
      </c>
      <c r="D23" s="469" t="e">
        <f>'Comparacion (Sin BM)'!D34</f>
        <v>#REF!</v>
      </c>
      <c r="E23" s="469">
        <f>'Tablas de producción'!$K$22</f>
        <v>0.56048276877845449</v>
      </c>
      <c r="F23" s="469" t="e">
        <f>'ST Original'!#REF!</f>
        <v>#REF!</v>
      </c>
      <c r="G23" s="469" t="e">
        <f>'Explicacion Cueq (Con BM)'!E45</f>
        <v>#REF!</v>
      </c>
      <c r="H23" s="469" t="e">
        <f>'BM con CuF pagable'!E58</f>
        <v>#REF!</v>
      </c>
      <c r="I23" s="362" t="str">
        <f t="shared" si="4"/>
        <v/>
      </c>
      <c r="J23" s="362" t="str">
        <f t="shared" si="0"/>
        <v>X</v>
      </c>
      <c r="K23" s="362" t="str">
        <f t="shared" si="1"/>
        <v/>
      </c>
      <c r="L23" s="362" t="str">
        <f t="shared" si="2"/>
        <v/>
      </c>
      <c r="M23" s="362" t="str">
        <f t="shared" si="3"/>
        <v/>
      </c>
    </row>
    <row r="24" spans="1:30">
      <c r="A24" t="s">
        <v>90</v>
      </c>
      <c r="B24" t="s">
        <v>1139</v>
      </c>
      <c r="C24" s="1508">
        <f>BDGT!$H$30</f>
        <v>90.440219377357522</v>
      </c>
      <c r="D24" s="722" t="e">
        <f>'Comparacion (Sin BM)'!D35</f>
        <v>#REF!</v>
      </c>
      <c r="E24" s="722">
        <f>'Tablas de producción'!$K$23</f>
        <v>90.23452493939709</v>
      </c>
      <c r="F24" s="722" t="e">
        <f>'ST Original'!#REF!</f>
        <v>#REF!</v>
      </c>
      <c r="G24" s="722" t="e">
        <f>'Explicacion Cueq (Con BM)'!E46</f>
        <v>#REF!</v>
      </c>
      <c r="H24" s="722" t="e">
        <f>'BM con CuF pagable'!E59</f>
        <v>#REF!</v>
      </c>
      <c r="I24" s="362" t="str">
        <f t="shared" si="4"/>
        <v/>
      </c>
      <c r="J24" s="362" t="str">
        <f t="shared" si="0"/>
        <v>X</v>
      </c>
      <c r="K24" s="362" t="str">
        <f t="shared" si="1"/>
        <v/>
      </c>
      <c r="L24" s="362" t="str">
        <f t="shared" si="2"/>
        <v/>
      </c>
      <c r="M24" s="362" t="str">
        <f t="shared" si="3"/>
        <v/>
      </c>
    </row>
    <row r="25" spans="1:30">
      <c r="A25" t="s">
        <v>92</v>
      </c>
      <c r="B25" t="s">
        <v>1134</v>
      </c>
      <c r="C25" s="1508">
        <f>BDGT!$H$32</f>
        <v>78.045538606281255</v>
      </c>
      <c r="D25" s="722" t="e">
        <f>'Comparacion (Sin BM)'!D36</f>
        <v>#REF!</v>
      </c>
      <c r="E25" s="722">
        <f>'Tablas de producción'!$K$24</f>
        <v>105.71507194799014</v>
      </c>
      <c r="F25" s="722" t="e">
        <f>'ST Original'!#REF!/1000</f>
        <v>#REF!</v>
      </c>
      <c r="G25" s="722" t="e">
        <f>'Explicacion Cueq (Con BM)'!E47</f>
        <v>#REF!</v>
      </c>
      <c r="H25" s="722" t="e">
        <f>'BM con CuF pagable'!E60</f>
        <v>#REF!</v>
      </c>
      <c r="I25" s="362" t="str">
        <f t="shared" si="4"/>
        <v/>
      </c>
      <c r="J25" s="362" t="str">
        <f t="shared" si="0"/>
        <v>X</v>
      </c>
      <c r="K25" s="362" t="str">
        <f t="shared" si="1"/>
        <v/>
      </c>
      <c r="L25" s="362" t="str">
        <f t="shared" si="2"/>
        <v/>
      </c>
      <c r="M25" s="362" t="str">
        <f t="shared" si="3"/>
        <v/>
      </c>
    </row>
    <row r="26" spans="1:30">
      <c r="A26" t="s">
        <v>93</v>
      </c>
      <c r="B26" t="s">
        <v>1139</v>
      </c>
      <c r="C26" s="1508">
        <f>BDGT!$H$33</f>
        <v>29.384912310266678</v>
      </c>
      <c r="D26" s="722">
        <f>'Comparacion (Sin BM)'!D37</f>
        <v>26.777705251636434</v>
      </c>
      <c r="E26" s="722">
        <f>'Tablas de producción'!$K$25</f>
        <v>27.918697183029963</v>
      </c>
      <c r="F26" s="722" t="e">
        <f>'ST Original'!#REF!</f>
        <v>#REF!</v>
      </c>
      <c r="G26" s="722">
        <f>'Explicacion Cueq (Con BM)'!E48</f>
        <v>26.777705251636434</v>
      </c>
      <c r="H26" s="722">
        <f>'BM con CuF pagable'!E61</f>
        <v>26.777705251636434</v>
      </c>
      <c r="I26" s="362" t="str">
        <f t="shared" si="4"/>
        <v>X</v>
      </c>
      <c r="J26" s="362" t="str">
        <f t="shared" si="0"/>
        <v>X</v>
      </c>
      <c r="K26" s="362" t="str">
        <f t="shared" si="1"/>
        <v/>
      </c>
      <c r="L26" s="362" t="str">
        <f t="shared" si="2"/>
        <v>X</v>
      </c>
      <c r="M26" s="362" t="str">
        <f t="shared" si="3"/>
        <v>X</v>
      </c>
    </row>
    <row r="27" spans="1:30">
      <c r="C27" s="1476"/>
      <c r="D27" s="273"/>
      <c r="E27" s="273"/>
      <c r="F27" s="273"/>
      <c r="G27" s="273"/>
      <c r="H27" s="273"/>
      <c r="I27" s="362" t="str">
        <f t="shared" si="4"/>
        <v/>
      </c>
      <c r="J27" s="362" t="str">
        <f t="shared" si="0"/>
        <v/>
      </c>
      <c r="K27" s="362" t="str">
        <f t="shared" si="1"/>
        <v/>
      </c>
      <c r="L27" s="362" t="str">
        <f t="shared" si="2"/>
        <v/>
      </c>
      <c r="M27" s="362" t="str">
        <f t="shared" si="3"/>
        <v/>
      </c>
    </row>
    <row r="28" spans="1:30">
      <c r="A28" t="s">
        <v>94</v>
      </c>
      <c r="B28" t="s">
        <v>1143</v>
      </c>
      <c r="C28" s="1509">
        <f>BDGT!$H$35</f>
        <v>151.11835423943415</v>
      </c>
      <c r="D28" s="309" t="e">
        <f>'Comparacion (Sin BM)'!D39</f>
        <v>#REF!</v>
      </c>
      <c r="E28" s="309">
        <f>'Tablas de producción'!$K$27</f>
        <v>216.46396510270179</v>
      </c>
      <c r="F28" s="309" t="e">
        <f>'ST Original'!#REF!</f>
        <v>#REF!</v>
      </c>
      <c r="G28" s="309" t="e">
        <f>'Explicacion Cueq (Con BM)'!E50</f>
        <v>#REF!</v>
      </c>
      <c r="H28" s="309" t="e">
        <f>'BM con CuF pagable'!E63</f>
        <v>#REF!</v>
      </c>
      <c r="I28" s="362" t="str">
        <f t="shared" si="4"/>
        <v/>
      </c>
      <c r="J28" s="362" t="str">
        <f t="shared" si="0"/>
        <v>X</v>
      </c>
      <c r="K28" s="362" t="str">
        <f t="shared" si="1"/>
        <v/>
      </c>
      <c r="L28" s="362" t="str">
        <f t="shared" si="2"/>
        <v/>
      </c>
      <c r="M28" s="362" t="str">
        <f t="shared" si="3"/>
        <v/>
      </c>
    </row>
    <row r="29" spans="1:30">
      <c r="A29" t="s">
        <v>96</v>
      </c>
      <c r="B29" t="s">
        <v>1139</v>
      </c>
      <c r="C29" s="1508">
        <f>BDGT!$H$36</f>
        <v>82.085673282578924</v>
      </c>
      <c r="D29" s="722" t="e">
        <f>'Comparacion (Sin BM)'!D40</f>
        <v>#REF!</v>
      </c>
      <c r="E29" s="722">
        <f>'Tablas de producción'!$K$28</f>
        <v>83.941170489613725</v>
      </c>
      <c r="F29" s="722" t="e">
        <f>'ST Original'!#REF!</f>
        <v>#REF!</v>
      </c>
      <c r="G29" s="722" t="e">
        <f>'Explicacion Cueq (Con BM)'!E51</f>
        <v>#REF!</v>
      </c>
      <c r="H29" s="722" t="e">
        <f>'BM con CuF pagable'!E64</f>
        <v>#REF!</v>
      </c>
      <c r="I29" s="362" t="str">
        <f t="shared" si="4"/>
        <v/>
      </c>
      <c r="J29" s="362" t="str">
        <f t="shared" si="0"/>
        <v>X</v>
      </c>
      <c r="K29" s="362" t="str">
        <f t="shared" si="1"/>
        <v/>
      </c>
      <c r="L29" s="362" t="str">
        <f t="shared" si="2"/>
        <v/>
      </c>
      <c r="M29" s="362" t="str">
        <f t="shared" si="3"/>
        <v/>
      </c>
      <c r="AD29" s="1542" t="s">
        <v>1136</v>
      </c>
    </row>
    <row r="30" spans="1:30">
      <c r="A30" t="s">
        <v>97</v>
      </c>
      <c r="B30" t="s">
        <v>1139</v>
      </c>
      <c r="C30" s="1508">
        <f>BDGT!$H$37</f>
        <v>92.833487014930043</v>
      </c>
      <c r="D30" s="722" t="e">
        <f>'Comparacion (Sin BM)'!D41</f>
        <v>#REF!</v>
      </c>
      <c r="E30" s="722" t="e">
        <f>'Tablas de producción'!$Q$29</f>
        <v>#REF!</v>
      </c>
      <c r="F30" s="722" t="e">
        <f>'ST Original'!#REF!</f>
        <v>#REF!</v>
      </c>
      <c r="G30" s="722" t="e">
        <f>'Explicacion Cueq (Con BM)'!E52</f>
        <v>#REF!</v>
      </c>
      <c r="H30" s="722" t="e">
        <f>'BM con CuF pagable'!E65</f>
        <v>#REF!</v>
      </c>
      <c r="I30" s="362" t="str">
        <f t="shared" si="4"/>
        <v/>
      </c>
      <c r="J30" s="362" t="str">
        <f t="shared" si="0"/>
        <v/>
      </c>
      <c r="K30" s="362" t="str">
        <f t="shared" si="1"/>
        <v/>
      </c>
      <c r="L30" s="362" t="str">
        <f t="shared" si="2"/>
        <v/>
      </c>
      <c r="M30" s="362" t="str">
        <f t="shared" si="3"/>
        <v/>
      </c>
      <c r="AD30" s="1542" t="s">
        <v>1137</v>
      </c>
    </row>
    <row r="31" spans="1:30">
      <c r="A31" t="s">
        <v>98</v>
      </c>
      <c r="B31" t="s">
        <v>1139</v>
      </c>
      <c r="C31" s="1508">
        <f>BDGT!$H$38</f>
        <v>88.422481931953499</v>
      </c>
      <c r="D31" s="722" t="e">
        <f>'Comparacion (Sin BM)'!D42</f>
        <v>#REF!</v>
      </c>
      <c r="E31" s="722" t="e">
        <f>'Tablas de producción'!$Q$30</f>
        <v>#REF!</v>
      </c>
      <c r="F31" s="722" t="e">
        <f>'ST Original'!#REF!</f>
        <v>#REF!</v>
      </c>
      <c r="G31" s="722" t="e">
        <f>'Explicacion Cueq (Con BM)'!E53</f>
        <v>#REF!</v>
      </c>
      <c r="H31" s="722" t="e">
        <f>'BM con CuF pagable'!E66</f>
        <v>#REF!</v>
      </c>
      <c r="I31" s="362" t="str">
        <f t="shared" si="4"/>
        <v/>
      </c>
      <c r="J31" s="362" t="str">
        <f t="shared" si="0"/>
        <v/>
      </c>
      <c r="K31" s="362" t="str">
        <f t="shared" si="1"/>
        <v/>
      </c>
      <c r="L31" s="362" t="str">
        <f t="shared" si="2"/>
        <v/>
      </c>
      <c r="M31" s="362" t="str">
        <f t="shared" si="3"/>
        <v/>
      </c>
    </row>
    <row r="32" spans="1:30">
      <c r="A32" t="s">
        <v>153</v>
      </c>
      <c r="B32" t="s">
        <v>1134</v>
      </c>
      <c r="C32" s="1508">
        <f>BDGT!$H$39</f>
        <v>0.91439470303474857</v>
      </c>
      <c r="D32" s="722" t="e">
        <f>'Comparacion (Sin BM)'!D43/1000</f>
        <v>#REF!</v>
      </c>
      <c r="E32" s="722">
        <f>'Tablas de producción'!$Q$31/1000</f>
        <v>1.60738114453015</v>
      </c>
      <c r="F32" s="722" t="e">
        <f>'ST Original'!#REF!/1000</f>
        <v>#REF!</v>
      </c>
      <c r="G32" s="722"/>
      <c r="H32" s="722" t="e">
        <f>'BM con CuF pagable'!E67/1000</f>
        <v>#REF!</v>
      </c>
      <c r="I32" s="362" t="str">
        <f t="shared" si="4"/>
        <v/>
      </c>
      <c r="J32" s="362" t="str">
        <f t="shared" si="0"/>
        <v>X</v>
      </c>
      <c r="K32" s="362" t="str">
        <f t="shared" si="1"/>
        <v/>
      </c>
      <c r="L32" s="362" t="str">
        <f t="shared" si="2"/>
        <v/>
      </c>
      <c r="M32" s="362" t="str">
        <f t="shared" si="3"/>
        <v/>
      </c>
    </row>
    <row r="33" spans="1:30">
      <c r="A33" t="s">
        <v>102</v>
      </c>
      <c r="B33" t="s">
        <v>1139</v>
      </c>
      <c r="C33" s="1507">
        <f>BDGT!$H$40</f>
        <v>54</v>
      </c>
      <c r="D33" s="1129" t="e">
        <f>'Comparacion (Sin BM)'!D44</f>
        <v>#REF!</v>
      </c>
      <c r="E33" s="1129">
        <f>'Tablas de producción'!$Q$32</f>
        <v>54</v>
      </c>
      <c r="F33" s="1129" t="e">
        <f>'ST Original'!#REF!</f>
        <v>#REF!</v>
      </c>
      <c r="G33" s="1129"/>
      <c r="H33" s="1129" t="e">
        <f>'BM con CuF pagable'!E68</f>
        <v>#REF!</v>
      </c>
      <c r="I33" s="362" t="str">
        <f t="shared" si="4"/>
        <v/>
      </c>
      <c r="J33" s="362" t="str">
        <f t="shared" si="0"/>
        <v/>
      </c>
      <c r="K33" s="362" t="str">
        <f t="shared" si="1"/>
        <v/>
      </c>
      <c r="L33" s="362" t="str">
        <f t="shared" si="2"/>
        <v/>
      </c>
      <c r="M33" s="362" t="str">
        <f t="shared" si="3"/>
        <v/>
      </c>
    </row>
    <row r="34" spans="1:30">
      <c r="C34" s="1476"/>
      <c r="D34" s="273"/>
      <c r="E34" s="273"/>
      <c r="F34" s="273"/>
      <c r="G34" s="273"/>
      <c r="H34" s="273"/>
      <c r="I34" s="362" t="str">
        <f t="shared" si="4"/>
        <v/>
      </c>
      <c r="J34" s="362" t="str">
        <f t="shared" si="0"/>
        <v/>
      </c>
      <c r="K34" s="362" t="str">
        <f t="shared" si="1"/>
        <v/>
      </c>
      <c r="L34" s="362" t="str">
        <f t="shared" si="2"/>
        <v/>
      </c>
      <c r="M34" s="362" t="str">
        <f t="shared" si="3"/>
        <v/>
      </c>
    </row>
    <row r="35" spans="1:30">
      <c r="A35" t="s">
        <v>105</v>
      </c>
      <c r="B35" t="s">
        <v>1143</v>
      </c>
      <c r="C35" s="1506">
        <f>BDGT!$H$54</f>
        <v>24.957699004762887</v>
      </c>
      <c r="D35" s="1482" t="e">
        <f>'Comparacion (Sin BM)'!D46</f>
        <v>#REF!</v>
      </c>
      <c r="E35" s="1482">
        <f>'Tablas de producción'!$Q$34</f>
        <v>21.80157746890206</v>
      </c>
      <c r="F35" s="1482" t="e">
        <f>'ST Original'!#REF!</f>
        <v>#REF!</v>
      </c>
      <c r="G35" s="1482"/>
      <c r="H35" s="1482" t="e">
        <f>'BM con CuF pagable'!E70</f>
        <v>#REF!</v>
      </c>
      <c r="I35" s="362" t="str">
        <f t="shared" si="4"/>
        <v/>
      </c>
      <c r="J35" s="362" t="str">
        <f t="shared" si="0"/>
        <v>X</v>
      </c>
      <c r="K35" s="362" t="str">
        <f t="shared" si="1"/>
        <v/>
      </c>
      <c r="L35" s="362" t="str">
        <f t="shared" si="2"/>
        <v/>
      </c>
      <c r="M35" s="362" t="str">
        <f t="shared" si="3"/>
        <v/>
      </c>
      <c r="AD35" s="1542" t="s">
        <v>1136</v>
      </c>
    </row>
    <row r="36" spans="1:30" ht="13" thickBot="1">
      <c r="A36" t="s">
        <v>107</v>
      </c>
      <c r="B36" t="s">
        <v>1143</v>
      </c>
      <c r="C36" s="1505">
        <f>BDGT!$H$55</f>
        <v>998.12728311955425</v>
      </c>
      <c r="D36" s="1482" t="e">
        <f>'Comparacion (Sin BM)'!D47</f>
        <v>#REF!</v>
      </c>
      <c r="E36" s="1482">
        <f>'Tablas de producción'!$Q$35</f>
        <v>872.06309875608235</v>
      </c>
      <c r="F36" s="1482" t="e">
        <f>'ST Original'!#REF!</f>
        <v>#REF!</v>
      </c>
      <c r="G36" s="1482"/>
      <c r="H36" s="1482" t="e">
        <f>'BM con CuF pagable'!E71</f>
        <v>#REF!</v>
      </c>
      <c r="I36" s="362" t="str">
        <f t="shared" si="4"/>
        <v/>
      </c>
      <c r="J36" s="362" t="str">
        <f t="shared" si="0"/>
        <v>X</v>
      </c>
      <c r="K36" s="362" t="str">
        <f t="shared" si="1"/>
        <v/>
      </c>
      <c r="L36" s="362" t="str">
        <f t="shared" si="2"/>
        <v/>
      </c>
      <c r="M36" s="362" t="str">
        <f t="shared" si="3"/>
        <v/>
      </c>
      <c r="AD36" s="1542" t="s">
        <v>1137</v>
      </c>
    </row>
    <row r="39" spans="1:30" s="282" customFormat="1" ht="25.5" thickBot="1">
      <c r="A39" s="1513" t="s">
        <v>1144</v>
      </c>
      <c r="C39" s="282" t="s">
        <v>1145</v>
      </c>
      <c r="D39" s="752" t="s">
        <v>1128</v>
      </c>
      <c r="E39" s="752" t="s">
        <v>1130</v>
      </c>
      <c r="F39" s="282" t="s">
        <v>1146</v>
      </c>
      <c r="I39" s="282" t="s">
        <v>1132</v>
      </c>
      <c r="K39" s="752" t="s">
        <v>1130</v>
      </c>
      <c r="L39" s="282" t="s">
        <v>1146</v>
      </c>
    </row>
    <row r="40" spans="1:30">
      <c r="A40" s="1498" t="s">
        <v>52</v>
      </c>
      <c r="B40" s="1498" t="s">
        <v>1134</v>
      </c>
      <c r="C40" s="1501">
        <f>'R+RP+B'!$I$8</f>
        <v>24.365061413343849</v>
      </c>
      <c r="D40" s="1499"/>
      <c r="E40" s="1499">
        <f>'Explicacion Cueq (Con BM)'!$D$6</f>
        <v>24.365061413343849</v>
      </c>
      <c r="F40" s="1499">
        <f>'BM con CuF pagable'!$D$5</f>
        <v>24.365061413343849</v>
      </c>
      <c r="G40" s="1498"/>
      <c r="H40" s="1498"/>
      <c r="I40" s="1498" t="str">
        <f t="shared" ref="I40:I74" si="5">IF(ISNUMBER(D40),IF(ISNUMBER($C40),IF($C40=D40, "","X"),""),"")</f>
        <v/>
      </c>
      <c r="J40" s="1498" t="str">
        <f t="shared" ref="J40:J74" si="6">IF(ISNUMBER(E40),IF(ISNUMBER($C40),IF($C40=E40, "","X"),""),"")</f>
        <v/>
      </c>
      <c r="K40" s="1498" t="str">
        <f t="shared" ref="K40:K74" si="7">IF(ISNUMBER(F40),IF(ISNUMBER($C40),IF($C40=F40, "","X"),""),"")</f>
        <v/>
      </c>
      <c r="L40" s="1498" t="str">
        <f t="shared" ref="L40:L74" si="8">IF(ISNUMBER(G40),IF(ISNUMBER($C40),IF($C40=G40, "","X"),""),"")</f>
        <v/>
      </c>
      <c r="M40" s="1498" t="str">
        <f t="shared" ref="M40:M74" si="9">IF(ISNUMBER(H40),IF(ISNUMBER($C40),IF($C40=H40, "","X"),""),"")</f>
        <v/>
      </c>
    </row>
    <row r="41" spans="1:30">
      <c r="A41" s="1073" t="s">
        <v>54</v>
      </c>
      <c r="B41" t="s">
        <v>1134</v>
      </c>
      <c r="C41" s="1492"/>
      <c r="D41" s="154"/>
      <c r="E41" s="154">
        <f>'Explicacion Cueq (Con BM)'!$D$7</f>
        <v>21.245925024226782</v>
      </c>
      <c r="F41" s="154">
        <f>'BM con CuF pagable'!$D$6</f>
        <v>22.714478458180967</v>
      </c>
      <c r="I41" s="273" t="str">
        <f t="shared" si="5"/>
        <v/>
      </c>
      <c r="J41" s="273" t="str">
        <f t="shared" si="6"/>
        <v/>
      </c>
      <c r="K41" s="273" t="str">
        <f t="shared" si="7"/>
        <v/>
      </c>
      <c r="L41" s="273" t="str">
        <f t="shared" si="8"/>
        <v/>
      </c>
      <c r="M41" s="273" t="str">
        <f t="shared" si="9"/>
        <v/>
      </c>
    </row>
    <row r="42" spans="1:30">
      <c r="A42" s="1073" t="s">
        <v>58</v>
      </c>
      <c r="B42" t="s">
        <v>1134</v>
      </c>
      <c r="C42" s="1492">
        <f>'R+RP+B'!$I$9</f>
        <v>23.555462990389945</v>
      </c>
      <c r="D42" s="154"/>
      <c r="E42" s="154"/>
      <c r="F42" s="154">
        <f>'BM con CuF pagable'!$D$7</f>
        <v>22.714478458180967</v>
      </c>
      <c r="I42" s="273" t="str">
        <f t="shared" si="5"/>
        <v/>
      </c>
      <c r="J42" s="273" t="str">
        <f t="shared" si="6"/>
        <v/>
      </c>
      <c r="K42" s="273" t="str">
        <f t="shared" si="7"/>
        <v>X</v>
      </c>
      <c r="L42" s="273" t="str">
        <f t="shared" si="8"/>
        <v/>
      </c>
      <c r="M42" s="273" t="str">
        <f t="shared" si="9"/>
        <v/>
      </c>
    </row>
    <row r="43" spans="1:30">
      <c r="A43" s="1498" t="s">
        <v>59</v>
      </c>
      <c r="B43" s="1498" t="s">
        <v>1134</v>
      </c>
      <c r="C43" s="1500">
        <f>'R+RP+B'!$I$10</f>
        <v>22.933613081531071</v>
      </c>
      <c r="D43" s="1499">
        <f>'Tablas de producción'!$D$45</f>
        <v>18.9589961662154</v>
      </c>
      <c r="E43" s="1499">
        <f>'Explicacion Cueq (Con BM)'!$D$8</f>
        <v>22.933613081531071</v>
      </c>
      <c r="F43" s="1499">
        <f>'BM con CuF pagable'!$D$8</f>
        <v>22.933613081531071</v>
      </c>
      <c r="G43" s="1498"/>
      <c r="H43" s="1498"/>
      <c r="I43" s="1498" t="str">
        <f t="shared" si="5"/>
        <v>X</v>
      </c>
      <c r="J43" s="1498" t="str">
        <f t="shared" si="6"/>
        <v/>
      </c>
      <c r="K43" s="1498" t="str">
        <f t="shared" si="7"/>
        <v/>
      </c>
      <c r="L43" s="1498" t="str">
        <f t="shared" si="8"/>
        <v/>
      </c>
      <c r="M43" s="1498" t="str">
        <f t="shared" si="9"/>
        <v/>
      </c>
    </row>
    <row r="44" spans="1:30">
      <c r="A44" t="s">
        <v>1147</v>
      </c>
      <c r="B44" t="s">
        <v>1134</v>
      </c>
      <c r="C44" s="1492">
        <f>'R+RP+B'!$I$58</f>
        <v>22.131171900236232</v>
      </c>
      <c r="D44" s="154"/>
      <c r="E44" s="154"/>
      <c r="F44" s="154"/>
      <c r="I44" s="273" t="str">
        <f t="shared" si="5"/>
        <v/>
      </c>
      <c r="J44" s="273" t="str">
        <f t="shared" si="6"/>
        <v/>
      </c>
      <c r="K44" s="273" t="str">
        <f t="shared" si="7"/>
        <v/>
      </c>
      <c r="L44" s="273" t="str">
        <f t="shared" si="8"/>
        <v/>
      </c>
      <c r="M44" s="273" t="str">
        <f t="shared" si="9"/>
        <v/>
      </c>
    </row>
    <row r="45" spans="1:30">
      <c r="A45" t="s">
        <v>60</v>
      </c>
      <c r="B45" t="s">
        <v>1134</v>
      </c>
      <c r="C45" s="1492"/>
      <c r="D45" s="154"/>
      <c r="E45" s="154"/>
      <c r="F45" s="154">
        <f>'BM con CuF pagable'!$D$9</f>
        <v>21.290187368027254</v>
      </c>
      <c r="I45" s="273" t="str">
        <f t="shared" si="5"/>
        <v/>
      </c>
      <c r="J45" s="273" t="str">
        <f t="shared" si="6"/>
        <v/>
      </c>
      <c r="K45" s="273" t="str">
        <f t="shared" si="7"/>
        <v/>
      </c>
      <c r="L45" s="273" t="str">
        <f t="shared" si="8"/>
        <v/>
      </c>
      <c r="M45" s="273" t="str">
        <f t="shared" si="9"/>
        <v/>
      </c>
    </row>
    <row r="46" spans="1:30">
      <c r="A46" t="s">
        <v>63</v>
      </c>
      <c r="B46" t="s">
        <v>1134</v>
      </c>
      <c r="C46" s="1492">
        <f>'R+RP+B'!$I$11</f>
        <v>22.131171900236232</v>
      </c>
      <c r="D46" s="154">
        <f>'Tablas de producción'!$D$47</f>
        <v>17.834986793799999</v>
      </c>
      <c r="E46" s="154"/>
      <c r="F46" s="154">
        <f>'BM con CuF pagable'!$D$10</f>
        <v>21.290187368027254</v>
      </c>
      <c r="I46" s="273" t="str">
        <f t="shared" si="5"/>
        <v>X</v>
      </c>
      <c r="J46" s="273" t="str">
        <f t="shared" si="6"/>
        <v/>
      </c>
      <c r="K46" s="273" t="str">
        <f t="shared" si="7"/>
        <v>X</v>
      </c>
      <c r="L46" s="273" t="str">
        <f t="shared" si="8"/>
        <v/>
      </c>
      <c r="M46" s="273" t="str">
        <f t="shared" si="9"/>
        <v/>
      </c>
    </row>
    <row r="47" spans="1:30">
      <c r="A47" s="1498" t="s">
        <v>66</v>
      </c>
      <c r="B47" s="1498" t="s">
        <v>1134</v>
      </c>
      <c r="C47" s="1500">
        <f>'R+RP+B'!$I$12</f>
        <v>0.49377313963876424</v>
      </c>
      <c r="D47" s="1499">
        <f>'Tablas de producción'!$D$48</f>
        <v>0.62602317193478396</v>
      </c>
      <c r="E47" s="1499">
        <f>'Explicacion Cueq (Con BM)'!$D$9</f>
        <v>0.49377313963876424</v>
      </c>
      <c r="F47" s="1499">
        <f>'BM con CuF pagable'!$D$11</f>
        <v>0.49377313963876424</v>
      </c>
      <c r="G47" s="1498"/>
      <c r="H47" s="1498"/>
      <c r="I47" s="1498" t="str">
        <f t="shared" si="5"/>
        <v>X</v>
      </c>
      <c r="J47" s="1498" t="str">
        <f t="shared" si="6"/>
        <v/>
      </c>
      <c r="K47" s="1498" t="str">
        <f t="shared" si="7"/>
        <v/>
      </c>
      <c r="L47" s="1498" t="str">
        <f t="shared" si="8"/>
        <v/>
      </c>
      <c r="M47" s="1498" t="str">
        <f t="shared" si="9"/>
        <v/>
      </c>
    </row>
    <row r="48" spans="1:30">
      <c r="A48" t="s">
        <v>1135</v>
      </c>
      <c r="B48" t="s">
        <v>1134</v>
      </c>
      <c r="C48" s="1492">
        <f>'R+RP+B'!$I$61</f>
        <v>0.49130427394057041</v>
      </c>
      <c r="D48" s="154"/>
      <c r="E48" s="154"/>
      <c r="F48" s="154"/>
      <c r="I48" s="273" t="str">
        <f t="shared" si="5"/>
        <v/>
      </c>
      <c r="J48" s="273" t="str">
        <f t="shared" si="6"/>
        <v/>
      </c>
      <c r="K48" s="273" t="str">
        <f t="shared" si="7"/>
        <v/>
      </c>
      <c r="L48" s="273" t="str">
        <f t="shared" si="8"/>
        <v/>
      </c>
      <c r="M48" s="273" t="str">
        <f t="shared" si="9"/>
        <v/>
      </c>
    </row>
    <row r="49" spans="1:13">
      <c r="A49" t="s">
        <v>67</v>
      </c>
      <c r="B49" t="s">
        <v>1134</v>
      </c>
      <c r="C49" s="1492"/>
      <c r="D49" s="154">
        <f>'Tablas de producción'!$D$49</f>
        <v>0.64356690000000005</v>
      </c>
      <c r="E49" s="154"/>
      <c r="F49" s="154">
        <f>'BM con CuF pagable'!$D$12</f>
        <v>0.49130427394057041</v>
      </c>
      <c r="I49" s="273" t="str">
        <f t="shared" si="5"/>
        <v/>
      </c>
      <c r="J49" s="273" t="str">
        <f t="shared" si="6"/>
        <v/>
      </c>
      <c r="K49" s="273" t="str">
        <f t="shared" si="7"/>
        <v/>
      </c>
      <c r="L49" s="273" t="str">
        <f t="shared" si="8"/>
        <v/>
      </c>
      <c r="M49" s="273" t="str">
        <f t="shared" si="9"/>
        <v/>
      </c>
    </row>
    <row r="50" spans="1:13">
      <c r="A50" t="s">
        <v>69</v>
      </c>
      <c r="B50" t="s">
        <v>1134</v>
      </c>
      <c r="C50" s="1492">
        <f>'R+RP+B'!$I$13</f>
        <v>0.49130427394057041</v>
      </c>
      <c r="D50" s="154">
        <f>'Tablas de producción'!$D$50</f>
        <v>0.64356690000000005</v>
      </c>
      <c r="E50" s="154">
        <f>'Explicacion Cueq (Con BM)'!$D$10</f>
        <v>0.49130427394057041</v>
      </c>
      <c r="F50" s="154">
        <f>'BM con CuF pagable'!$D$13</f>
        <v>0.49130427394057041</v>
      </c>
      <c r="I50" s="273" t="str">
        <f t="shared" si="5"/>
        <v>X</v>
      </c>
      <c r="J50" s="273" t="str">
        <f t="shared" si="6"/>
        <v/>
      </c>
      <c r="K50" s="273" t="str">
        <f t="shared" si="7"/>
        <v/>
      </c>
      <c r="L50" s="273" t="str">
        <f t="shared" si="8"/>
        <v/>
      </c>
      <c r="M50" s="273" t="str">
        <f t="shared" si="9"/>
        <v/>
      </c>
    </row>
    <row r="51" spans="1:13">
      <c r="C51" s="1488"/>
      <c r="I51" s="273" t="str">
        <f t="shared" si="5"/>
        <v/>
      </c>
      <c r="J51" s="273" t="str">
        <f t="shared" si="6"/>
        <v/>
      </c>
      <c r="K51" s="273" t="str">
        <f t="shared" si="7"/>
        <v/>
      </c>
      <c r="L51" s="273" t="str">
        <f t="shared" si="8"/>
        <v/>
      </c>
      <c r="M51" s="273" t="str">
        <f t="shared" si="9"/>
        <v/>
      </c>
    </row>
    <row r="52" spans="1:13">
      <c r="A52" t="s">
        <v>152</v>
      </c>
      <c r="C52" s="1488"/>
      <c r="I52" s="273" t="str">
        <f t="shared" si="5"/>
        <v/>
      </c>
      <c r="J52" s="273" t="str">
        <f t="shared" si="6"/>
        <v/>
      </c>
      <c r="K52" s="273" t="str">
        <f t="shared" si="7"/>
        <v/>
      </c>
      <c r="L52" s="273" t="str">
        <f t="shared" si="8"/>
        <v/>
      </c>
      <c r="M52" s="273" t="str">
        <f t="shared" si="9"/>
        <v/>
      </c>
    </row>
    <row r="53" spans="1:13">
      <c r="A53" t="s">
        <v>78</v>
      </c>
      <c r="B53" t="s">
        <v>1134</v>
      </c>
      <c r="C53" s="1497">
        <f>'R+RP+B'!$I$15</f>
        <v>3980.5481482771197</v>
      </c>
      <c r="D53" s="254">
        <f>'Tablas de producción'!$D$53</f>
        <v>3982.39335865362</v>
      </c>
      <c r="E53" s="254">
        <f>'Explicacion Cueq (Con BM)'!$D$12</f>
        <v>3980.5481482771197</v>
      </c>
      <c r="F53" s="254">
        <f>'BM con CuF pagable'!$D$16</f>
        <v>3980.5481482771197</v>
      </c>
      <c r="I53" s="273" t="str">
        <f t="shared" si="5"/>
        <v>X</v>
      </c>
      <c r="J53" s="273" t="str">
        <f t="shared" si="6"/>
        <v/>
      </c>
      <c r="K53" s="273" t="str">
        <f t="shared" si="7"/>
        <v/>
      </c>
      <c r="L53" s="273" t="str">
        <f t="shared" si="8"/>
        <v/>
      </c>
      <c r="M53" s="273" t="str">
        <f t="shared" si="9"/>
        <v/>
      </c>
    </row>
    <row r="54" spans="1:13">
      <c r="A54" t="s">
        <v>79</v>
      </c>
      <c r="B54" t="s">
        <v>1134</v>
      </c>
      <c r="C54" s="1497">
        <f>'R+RP+B'!$I$16</f>
        <v>132.68493827590399</v>
      </c>
      <c r="D54" s="254">
        <f>'Tablas de producción'!$D$54</f>
        <v>130.57027405421704</v>
      </c>
      <c r="E54" s="254">
        <f>'Explicacion Cueq (Con BM)'!$D$13</f>
        <v>132.68493827590399</v>
      </c>
      <c r="F54" s="254">
        <f>'BM con CuF pagable'!$D$17</f>
        <v>132.68493827590399</v>
      </c>
      <c r="I54" s="273" t="str">
        <f t="shared" si="5"/>
        <v>X</v>
      </c>
      <c r="J54" s="273" t="str">
        <f t="shared" si="6"/>
        <v/>
      </c>
      <c r="K54" s="273" t="str">
        <f t="shared" si="7"/>
        <v/>
      </c>
      <c r="L54" s="273" t="str">
        <f t="shared" si="8"/>
        <v/>
      </c>
      <c r="M54" s="273" t="str">
        <f t="shared" si="9"/>
        <v/>
      </c>
    </row>
    <row r="55" spans="1:13">
      <c r="A55" t="s">
        <v>80</v>
      </c>
      <c r="B55" t="s">
        <v>1138</v>
      </c>
      <c r="C55" s="1497">
        <f>'R+RP+B'!$I$17</f>
        <v>8128.3803061107201</v>
      </c>
      <c r="D55" s="254">
        <f>'Tablas de producción'!$D$55</f>
        <v>8392.9974470560392</v>
      </c>
      <c r="E55" s="254">
        <f>'Explicacion Cueq (Con BM)'!$D$14</f>
        <v>8128.3803061107201</v>
      </c>
      <c r="F55" s="254">
        <f>'BM con CuF pagable'!$D$18</f>
        <v>812273.55975648097</v>
      </c>
      <c r="I55" s="273" t="str">
        <f t="shared" si="5"/>
        <v>X</v>
      </c>
      <c r="J55" s="273" t="str">
        <f>IF(ISNUMBER(E55),IF(ISNUMBER($C55),IF($C55=E55, "","X"),""),"")</f>
        <v/>
      </c>
      <c r="K55" s="273" t="str">
        <f>IF(ISNUMBER(F55),IF(ISNUMBER($C55),IF($C55=F55, "","X"),""),"")</f>
        <v>X</v>
      </c>
      <c r="L55" s="273" t="str">
        <f t="shared" si="8"/>
        <v/>
      </c>
      <c r="M55" s="273" t="str">
        <f t="shared" si="9"/>
        <v/>
      </c>
    </row>
    <row r="56" spans="1:13">
      <c r="A56" t="s">
        <v>82</v>
      </c>
      <c r="B56" t="s">
        <v>1139</v>
      </c>
      <c r="C56" s="1497">
        <f>'R+RP+B'!$I$18</f>
        <v>0</v>
      </c>
      <c r="D56" s="254" t="str">
        <f>'Tablas de producción'!$D$56</f>
        <v/>
      </c>
      <c r="E56" s="254">
        <f>'Explicacion Cueq (Con BM)'!$D$15</f>
        <v>0</v>
      </c>
      <c r="F56" s="254">
        <f>'BM con CuF pagable'!$D$19</f>
        <v>0</v>
      </c>
      <c r="I56" s="273" t="str">
        <f t="shared" si="5"/>
        <v/>
      </c>
      <c r="J56" s="273" t="str">
        <f t="shared" si="6"/>
        <v/>
      </c>
      <c r="K56" s="273" t="str">
        <f t="shared" si="7"/>
        <v/>
      </c>
      <c r="L56" s="273" t="str">
        <f t="shared" si="8"/>
        <v/>
      </c>
      <c r="M56" s="273" t="str">
        <f t="shared" si="9"/>
        <v/>
      </c>
    </row>
    <row r="57" spans="1:13">
      <c r="A57" t="s">
        <v>1140</v>
      </c>
      <c r="C57" s="1497">
        <f>'R+RP+B'!$I$19</f>
        <v>38.632785314390482</v>
      </c>
      <c r="D57" s="254"/>
      <c r="I57" s="273" t="str">
        <f t="shared" si="5"/>
        <v/>
      </c>
      <c r="J57" s="273" t="str">
        <f t="shared" si="6"/>
        <v/>
      </c>
      <c r="K57" s="273" t="str">
        <f t="shared" si="7"/>
        <v/>
      </c>
      <c r="L57" s="273" t="str">
        <f t="shared" si="8"/>
        <v/>
      </c>
      <c r="M57" s="273" t="str">
        <f t="shared" si="9"/>
        <v/>
      </c>
    </row>
    <row r="58" spans="1:13">
      <c r="A58" t="s">
        <v>1141</v>
      </c>
      <c r="B58" t="s">
        <v>1142</v>
      </c>
      <c r="C58" s="1492">
        <f>'R+RP+B'!$I$20</f>
        <v>4.07400549699606</v>
      </c>
      <c r="D58" s="885">
        <f>'Tablas de producción'!$D$57</f>
        <v>4.903292918675187</v>
      </c>
      <c r="I58" s="273" t="str">
        <f t="shared" si="5"/>
        <v>X</v>
      </c>
      <c r="J58" s="273" t="str">
        <f t="shared" si="6"/>
        <v/>
      </c>
      <c r="K58" s="273" t="str">
        <f t="shared" si="7"/>
        <v/>
      </c>
      <c r="L58" s="273" t="str">
        <f t="shared" si="8"/>
        <v/>
      </c>
      <c r="M58" s="273" t="str">
        <f t="shared" si="9"/>
        <v/>
      </c>
    </row>
    <row r="59" spans="1:13">
      <c r="A59" t="s">
        <v>85</v>
      </c>
      <c r="B59" t="s">
        <v>1139</v>
      </c>
      <c r="C59" s="1504">
        <f>'R+RP+B'!$I$21</f>
        <v>0.68062526822697333</v>
      </c>
      <c r="D59" s="409">
        <f>'Tablas de producción'!$D$58</f>
        <v>64.821038251366119</v>
      </c>
      <c r="E59" s="409">
        <f>'Explicacion Cueq (Con BM)'!$D$16</f>
        <v>0.68062526822697333</v>
      </c>
      <c r="F59" s="409">
        <f>'BM con CuF pagable'!$D$20</f>
        <v>0.68062526822697333</v>
      </c>
      <c r="I59" s="273" t="str">
        <f t="shared" si="5"/>
        <v>X</v>
      </c>
      <c r="J59" s="273" t="str">
        <f t="shared" si="6"/>
        <v/>
      </c>
      <c r="K59" s="273" t="str">
        <f t="shared" si="7"/>
        <v/>
      </c>
      <c r="L59" s="273" t="str">
        <f t="shared" si="8"/>
        <v/>
      </c>
      <c r="M59" s="273" t="str">
        <f t="shared" si="9"/>
        <v/>
      </c>
    </row>
    <row r="60" spans="1:13">
      <c r="C60" s="1488"/>
      <c r="I60" s="273" t="str">
        <f t="shared" si="5"/>
        <v/>
      </c>
      <c r="J60" s="273" t="str">
        <f t="shared" si="6"/>
        <v/>
      </c>
      <c r="K60" s="273" t="str">
        <f t="shared" si="7"/>
        <v/>
      </c>
      <c r="L60" s="273" t="str">
        <f t="shared" si="8"/>
        <v/>
      </c>
      <c r="M60" s="273" t="str">
        <f t="shared" si="9"/>
        <v/>
      </c>
    </row>
    <row r="61" spans="1:13">
      <c r="A61" t="s">
        <v>89</v>
      </c>
      <c r="B61" t="s">
        <v>1139</v>
      </c>
      <c r="C61" s="1503">
        <f>'R+RP+B'!$I$29</f>
        <v>0.63704189198698991</v>
      </c>
      <c r="D61" s="895">
        <f>'Tablas de producción'!$D$60</f>
        <v>0.52516576586130848</v>
      </c>
      <c r="E61" s="895">
        <f>'Explicacion Cueq (Con BM)'!$D$18</f>
        <v>0.63704189198698991</v>
      </c>
      <c r="F61" s="895">
        <f>'BM con CuF pagable'!$D$22</f>
        <v>0.63704189198698991</v>
      </c>
      <c r="I61" s="273" t="str">
        <f t="shared" si="5"/>
        <v>X</v>
      </c>
      <c r="J61" s="273" t="str">
        <f t="shared" si="6"/>
        <v/>
      </c>
      <c r="K61" s="273" t="str">
        <f t="shared" si="7"/>
        <v/>
      </c>
      <c r="L61" s="273" t="str">
        <f t="shared" si="8"/>
        <v/>
      </c>
      <c r="M61" s="273" t="str">
        <f t="shared" si="9"/>
        <v/>
      </c>
    </row>
    <row r="62" spans="1:13">
      <c r="A62" t="s">
        <v>90</v>
      </c>
      <c r="B62" t="s">
        <v>1139</v>
      </c>
      <c r="C62" s="1494">
        <f>'R+RP+B'!$I$30</f>
        <v>90.440219377357522</v>
      </c>
      <c r="D62" s="885">
        <f>'Tablas de producción'!$D$61</f>
        <v>90.651454325273122</v>
      </c>
      <c r="E62" s="885">
        <f>'Explicacion Cueq (Con BM)'!$D$19</f>
        <v>90.440219377357522</v>
      </c>
      <c r="F62" s="885">
        <f>'BM con CuF pagable'!$D$23</f>
        <v>90.440219377357522</v>
      </c>
      <c r="I62" s="273" t="str">
        <f t="shared" si="5"/>
        <v>X</v>
      </c>
      <c r="J62" s="273" t="str">
        <f t="shared" si="6"/>
        <v/>
      </c>
      <c r="K62" s="273" t="str">
        <f>IF(ISNUMBER(F62),IF(ISNUMBER($C62),IF($C62=F62, "","X"),""),"")</f>
        <v/>
      </c>
      <c r="L62" s="273" t="str">
        <f t="shared" si="8"/>
        <v/>
      </c>
      <c r="M62" s="273" t="str">
        <f t="shared" si="9"/>
        <v/>
      </c>
    </row>
    <row r="63" spans="1:13">
      <c r="A63" t="s">
        <v>92</v>
      </c>
      <c r="B63" t="s">
        <v>1134</v>
      </c>
      <c r="C63" s="1494">
        <f>'R+RP+B'!$I$31</f>
        <v>78.045538606281255</v>
      </c>
      <c r="D63" s="885">
        <f>'Tablas de producción'!$D$62</f>
        <v>70.931306150247394</v>
      </c>
      <c r="E63" s="885">
        <f>'Explicacion Cueq (Con BM)'!$D$20</f>
        <v>78.045538606281255</v>
      </c>
      <c r="F63" s="885">
        <f>'BM con CuF pagable'!$D$24</f>
        <v>78.045538606281255</v>
      </c>
      <c r="I63" s="273" t="str">
        <f t="shared" si="5"/>
        <v>X</v>
      </c>
      <c r="J63" s="273" t="str">
        <f t="shared" si="6"/>
        <v/>
      </c>
      <c r="K63" s="273" t="str">
        <f t="shared" si="7"/>
        <v/>
      </c>
      <c r="L63" s="273" t="str">
        <f t="shared" si="8"/>
        <v/>
      </c>
      <c r="M63" s="273" t="str">
        <f t="shared" si="9"/>
        <v/>
      </c>
    </row>
    <row r="64" spans="1:13">
      <c r="A64" t="s">
        <v>93</v>
      </c>
      <c r="B64" t="s">
        <v>1139</v>
      </c>
      <c r="C64" s="1494">
        <f>'R+RP+B'!$I$32</f>
        <v>29.384912310266678</v>
      </c>
      <c r="D64" s="885">
        <f>'Tablas de producción'!$D$63</f>
        <v>26.728671999999996</v>
      </c>
      <c r="E64" s="885">
        <f>'Explicacion Cueq (Con BM)'!$D$21</f>
        <v>29.384912310266678</v>
      </c>
      <c r="F64" s="885">
        <f>'BM con CuF pagable'!$D$25</f>
        <v>29.384912310266678</v>
      </c>
      <c r="I64" s="273" t="str">
        <f t="shared" si="5"/>
        <v>X</v>
      </c>
      <c r="J64" s="273" t="str">
        <f t="shared" si="6"/>
        <v/>
      </c>
      <c r="K64" s="273" t="str">
        <f>IF(ISNUMBER(F64),IF(ISNUMBER($C64),IF($C64=F64, "","X"),""),"")</f>
        <v/>
      </c>
      <c r="L64" s="273" t="str">
        <f t="shared" si="8"/>
        <v/>
      </c>
      <c r="M64" s="273" t="str">
        <f t="shared" si="9"/>
        <v/>
      </c>
    </row>
    <row r="65" spans="1:13">
      <c r="C65" s="1488"/>
      <c r="I65" s="273" t="str">
        <f t="shared" si="5"/>
        <v/>
      </c>
      <c r="J65" s="273" t="str">
        <f t="shared" si="6"/>
        <v/>
      </c>
      <c r="K65" s="273" t="str">
        <f t="shared" si="7"/>
        <v/>
      </c>
      <c r="L65" s="273" t="str">
        <f t="shared" si="8"/>
        <v/>
      </c>
      <c r="M65" s="273" t="str">
        <f t="shared" si="9"/>
        <v/>
      </c>
    </row>
    <row r="66" spans="1:13">
      <c r="A66" t="s">
        <v>94</v>
      </c>
      <c r="B66" t="s">
        <v>1143</v>
      </c>
      <c r="C66" s="1497">
        <f>'R+RP+B'!$I$34</f>
        <v>151.11835423943415</v>
      </c>
      <c r="D66" s="254">
        <f>'Tablas de producción'!$D$65</f>
        <v>192.60869814129398</v>
      </c>
      <c r="E66" s="254">
        <f>'Explicacion Cueq (Con BM)'!$D$23</f>
        <v>151.11835423943415</v>
      </c>
      <c r="F66" s="254">
        <f>'BM con CuF pagable'!$D$27</f>
        <v>151.11835423943415</v>
      </c>
      <c r="I66" s="273" t="str">
        <f t="shared" si="5"/>
        <v>X</v>
      </c>
      <c r="J66" s="273" t="str">
        <f t="shared" si="6"/>
        <v/>
      </c>
      <c r="K66" s="273" t="str">
        <f t="shared" si="7"/>
        <v/>
      </c>
      <c r="L66" s="273" t="str">
        <f t="shared" si="8"/>
        <v/>
      </c>
      <c r="M66" s="273" t="str">
        <f t="shared" si="9"/>
        <v/>
      </c>
    </row>
    <row r="67" spans="1:13">
      <c r="A67" t="s">
        <v>96</v>
      </c>
      <c r="B67" t="s">
        <v>1139</v>
      </c>
      <c r="C67" s="1494">
        <f>'R+RP+B'!$I$35</f>
        <v>82.085673282578924</v>
      </c>
      <c r="D67" s="885">
        <f>'Tablas de producción'!$D$66</f>
        <v>81.615070081093577</v>
      </c>
      <c r="E67" s="885">
        <f>'Explicacion Cueq (Con BM)'!$D$24</f>
        <v>82.085673282578924</v>
      </c>
      <c r="F67" s="885">
        <f>'BM con CuF pagable'!$D$28</f>
        <v>82.085673282578924</v>
      </c>
      <c r="I67" s="273" t="str">
        <f t="shared" si="5"/>
        <v>X</v>
      </c>
      <c r="J67" s="273" t="str">
        <f t="shared" si="6"/>
        <v/>
      </c>
      <c r="K67" s="273" t="str">
        <f t="shared" si="7"/>
        <v/>
      </c>
      <c r="L67" s="273" t="str">
        <f t="shared" si="8"/>
        <v/>
      </c>
      <c r="M67" s="273" t="str">
        <f t="shared" si="9"/>
        <v/>
      </c>
    </row>
    <row r="68" spans="1:13">
      <c r="A68" t="s">
        <v>97</v>
      </c>
      <c r="B68" t="s">
        <v>1139</v>
      </c>
      <c r="C68" s="1494">
        <f>'R+RP+B'!$I$36</f>
        <v>92.833487014930043</v>
      </c>
      <c r="D68" s="885">
        <f>'Tablas de producción'!$D$67</f>
        <v>91.398437365766711</v>
      </c>
      <c r="E68" s="885">
        <f>'Explicacion Cueq (Con BM)'!$D$25</f>
        <v>92.833487014930043</v>
      </c>
      <c r="F68" s="885">
        <f>'BM con CuF pagable'!$D$29</f>
        <v>92.833487014930043</v>
      </c>
      <c r="I68" s="273" t="str">
        <f t="shared" si="5"/>
        <v>X</v>
      </c>
      <c r="J68" s="273" t="str">
        <f t="shared" si="6"/>
        <v/>
      </c>
      <c r="K68" s="273" t="str">
        <f t="shared" si="7"/>
        <v/>
      </c>
      <c r="L68" s="273" t="str">
        <f t="shared" si="8"/>
        <v/>
      </c>
      <c r="M68" s="273" t="str">
        <f t="shared" si="9"/>
        <v/>
      </c>
    </row>
    <row r="69" spans="1:13">
      <c r="A69" t="s">
        <v>98</v>
      </c>
      <c r="B69" t="s">
        <v>1139</v>
      </c>
      <c r="C69" s="1494">
        <f>'R+RP+B'!$I$37</f>
        <v>88.422481931953499</v>
      </c>
      <c r="D69" s="885">
        <f>'Tablas de producción'!$D$68</f>
        <v>89.296019599098031</v>
      </c>
      <c r="E69" s="885">
        <f>'Explicacion Cueq (Con BM)'!$D$26</f>
        <v>88.422481931953499</v>
      </c>
      <c r="F69" s="885">
        <f>'BM con CuF pagable'!$D$30</f>
        <v>88.422481931953499</v>
      </c>
      <c r="I69" s="273" t="str">
        <f t="shared" si="5"/>
        <v>X</v>
      </c>
      <c r="J69" s="273" t="str">
        <f t="shared" si="6"/>
        <v/>
      </c>
      <c r="K69" s="273" t="str">
        <f t="shared" si="7"/>
        <v/>
      </c>
      <c r="L69" s="273" t="str">
        <f t="shared" si="8"/>
        <v/>
      </c>
      <c r="M69" s="273" t="str">
        <f t="shared" si="9"/>
        <v/>
      </c>
    </row>
    <row r="70" spans="1:13">
      <c r="A70" t="s">
        <v>153</v>
      </c>
      <c r="B70" t="s">
        <v>1134</v>
      </c>
      <c r="C70" s="1503">
        <f>'R+RP+B'!$I$38</f>
        <v>0.91439470303474857</v>
      </c>
      <c r="D70" s="895">
        <f>'Tablas de producción'!$D$69/1000</f>
        <v>1.1851013344500001</v>
      </c>
      <c r="E70" s="895"/>
      <c r="F70" s="895">
        <f>'BM con CuF pagable'!$D$31/1000</f>
        <v>0.91439470303474857</v>
      </c>
      <c r="I70" s="273" t="str">
        <f t="shared" si="5"/>
        <v>X</v>
      </c>
      <c r="J70" s="273" t="str">
        <f t="shared" si="6"/>
        <v/>
      </c>
      <c r="K70" s="273" t="str">
        <f>IF(ISNUMBER(F70),IF(ISNUMBER($C70),IF($C70=F70, "","X"),""),"")</f>
        <v/>
      </c>
      <c r="L70" s="273" t="str">
        <f t="shared" si="8"/>
        <v/>
      </c>
      <c r="M70" s="273" t="str">
        <f t="shared" si="9"/>
        <v/>
      </c>
    </row>
    <row r="71" spans="1:13">
      <c r="A71" t="s">
        <v>102</v>
      </c>
      <c r="B71" t="s">
        <v>1139</v>
      </c>
      <c r="C71" s="1494">
        <f>'R+RP+B'!$I$39</f>
        <v>54</v>
      </c>
      <c r="D71" s="885">
        <f>'Tablas de producción'!$D$70</f>
        <v>54.542668711771896</v>
      </c>
      <c r="E71" s="885"/>
      <c r="F71" s="885">
        <f>'BM con CuF pagable'!$D$32</f>
        <v>54</v>
      </c>
      <c r="I71" s="273" t="str">
        <f t="shared" si="5"/>
        <v>X</v>
      </c>
      <c r="J71" s="273" t="str">
        <f t="shared" si="6"/>
        <v/>
      </c>
      <c r="K71" s="273" t="str">
        <f t="shared" si="7"/>
        <v/>
      </c>
      <c r="L71" s="273" t="str">
        <f t="shared" si="8"/>
        <v/>
      </c>
      <c r="M71" s="273" t="str">
        <f t="shared" si="9"/>
        <v/>
      </c>
    </row>
    <row r="72" spans="1:13">
      <c r="C72" s="1488"/>
      <c r="I72" s="273" t="str">
        <f t="shared" si="5"/>
        <v/>
      </c>
      <c r="J72" s="273" t="str">
        <f t="shared" si="6"/>
        <v/>
      </c>
      <c r="K72" s="273" t="str">
        <f t="shared" si="7"/>
        <v/>
      </c>
      <c r="L72" s="273" t="str">
        <f t="shared" si="8"/>
        <v/>
      </c>
      <c r="M72" s="273" t="str">
        <f t="shared" si="9"/>
        <v/>
      </c>
    </row>
    <row r="73" spans="1:13">
      <c r="A73" t="s">
        <v>105</v>
      </c>
      <c r="B73" t="s">
        <v>1143</v>
      </c>
      <c r="C73" s="1487">
        <f>'R+RP+B'!$I$49</f>
        <v>24.957699004762887</v>
      </c>
      <c r="D73" s="1486">
        <f>'Tablas de producción'!$D$72</f>
        <v>20.726944183805845</v>
      </c>
      <c r="E73" s="1486"/>
      <c r="F73" s="1486">
        <f>'BM con CuF pagable'!$D$34</f>
        <v>20.00231618587987</v>
      </c>
      <c r="I73" s="273" t="str">
        <f t="shared" si="5"/>
        <v>X</v>
      </c>
      <c r="J73" s="273" t="str">
        <f t="shared" si="6"/>
        <v/>
      </c>
      <c r="K73" s="273" t="str">
        <f t="shared" si="7"/>
        <v>X</v>
      </c>
      <c r="L73" s="273" t="str">
        <f t="shared" si="8"/>
        <v/>
      </c>
      <c r="M73" s="273" t="str">
        <f t="shared" si="9"/>
        <v/>
      </c>
    </row>
    <row r="74" spans="1:13" ht="13" thickBot="1">
      <c r="A74" t="s">
        <v>107</v>
      </c>
      <c r="B74" t="s">
        <v>1143</v>
      </c>
      <c r="C74" s="1502">
        <f>'R+RP+B'!$I$50</f>
        <v>998.12728311955425</v>
      </c>
      <c r="D74" s="1481">
        <f>'Tablas de producción'!$D$73</f>
        <v>978.90255714948728</v>
      </c>
      <c r="E74" s="1481"/>
      <c r="F74" s="1481">
        <f>'BM con CuF pagable'!$D$35</f>
        <v>998.12728311955425</v>
      </c>
      <c r="I74" s="273" t="str">
        <f t="shared" si="5"/>
        <v>X</v>
      </c>
      <c r="J74" s="273" t="str">
        <f t="shared" si="6"/>
        <v/>
      </c>
      <c r="K74" s="273" t="str">
        <f t="shared" si="7"/>
        <v/>
      </c>
      <c r="L74" s="273" t="str">
        <f t="shared" si="8"/>
        <v/>
      </c>
      <c r="M74" s="273" t="str">
        <f t="shared" si="9"/>
        <v/>
      </c>
    </row>
    <row r="78" spans="1:13" s="282" customFormat="1" ht="25.5" thickBot="1">
      <c r="A78" s="1513" t="s">
        <v>1148</v>
      </c>
      <c r="C78" s="282" t="s">
        <v>1149</v>
      </c>
      <c r="D78" s="752" t="s">
        <v>1127</v>
      </c>
      <c r="E78" s="752" t="s">
        <v>1128</v>
      </c>
      <c r="F78" s="282" t="s">
        <v>1129</v>
      </c>
      <c r="G78" s="752" t="s">
        <v>1150</v>
      </c>
      <c r="I78" s="752" t="s">
        <v>1151</v>
      </c>
      <c r="J78" s="752" t="s">
        <v>1128</v>
      </c>
      <c r="K78" s="282" t="s">
        <v>1129</v>
      </c>
      <c r="L78" s="752" t="s">
        <v>1150</v>
      </c>
    </row>
    <row r="79" spans="1:13">
      <c r="A79" s="1498" t="s">
        <v>52</v>
      </c>
      <c r="B79" s="1498" t="s">
        <v>1134</v>
      </c>
      <c r="C79" s="1501">
        <f>'BDGT ORI'!$I$13</f>
        <v>0</v>
      </c>
      <c r="D79" s="1499" t="e">
        <f>'Comparacion (Sin BM)'!$K$11</f>
        <v>#REF!</v>
      </c>
      <c r="E79" s="1499"/>
      <c r="F79" s="1499" t="e">
        <f>'ST Original'!#REF!/1000</f>
        <v>#REF!</v>
      </c>
      <c r="G79" s="1499" t="e">
        <f>'Explicacion Cueq (Con BM)'!$E$59</f>
        <v>#REF!</v>
      </c>
      <c r="H79" s="1498"/>
      <c r="I79" s="1498" t="str">
        <f>IF(ISNUMBER(D79),IF(ISNUMBER($C79),IF($C79=D79, "","X"),""),"")</f>
        <v/>
      </c>
      <c r="J79" s="1498" t="str">
        <f t="shared" ref="J79:J113" si="10">IF(ISNUMBER(E79),IF(ISNUMBER($C79),IF($C79=E79, "","X"),""),"")</f>
        <v/>
      </c>
      <c r="K79" s="1498" t="str">
        <f t="shared" ref="K79:K113" si="11">IF(ISNUMBER(F79),IF(ISNUMBER($C79),IF($C79=F79, "","X"),""),"")</f>
        <v/>
      </c>
      <c r="L79" s="1498" t="str">
        <f t="shared" ref="L79:L113" si="12">IF(ISNUMBER(G79),IF(ISNUMBER($C79),IF($C79=G79, "","X"),""),"")</f>
        <v/>
      </c>
      <c r="M79" s="1498"/>
    </row>
    <row r="80" spans="1:13">
      <c r="A80" s="1073" t="s">
        <v>54</v>
      </c>
      <c r="B80" t="s">
        <v>1134</v>
      </c>
      <c r="C80" s="1492">
        <f>'BDGT ORI'!$I$14</f>
        <v>0</v>
      </c>
      <c r="D80" s="154" t="e">
        <f>'Comparacion (Sin BM)'!$K$12</f>
        <v>#REF!</v>
      </c>
      <c r="E80" s="154"/>
      <c r="F80" s="154"/>
      <c r="G80" s="154"/>
      <c r="I80" s="273" t="str">
        <f t="shared" ref="I80:I113" si="13">IF(ISNUMBER(D80),IF(ISNUMBER($C80),IF($C80=D80, "","X"),""),"")</f>
        <v/>
      </c>
      <c r="J80" s="273" t="str">
        <f t="shared" si="10"/>
        <v/>
      </c>
      <c r="K80" s="273" t="str">
        <f t="shared" si="11"/>
        <v/>
      </c>
      <c r="L80" s="273" t="str">
        <f t="shared" si="12"/>
        <v/>
      </c>
    </row>
    <row r="81" spans="1:13">
      <c r="A81" s="1073" t="s">
        <v>58</v>
      </c>
      <c r="B81" t="s">
        <v>1134</v>
      </c>
      <c r="C81" s="1492">
        <f>'BDGT ORI'!$I$14</f>
        <v>0</v>
      </c>
      <c r="D81" s="154" t="e">
        <f>'Comparacion (Sin BM)'!$K$13</f>
        <v>#REF!</v>
      </c>
      <c r="E81" s="154"/>
      <c r="F81" s="154"/>
      <c r="G81" s="154"/>
      <c r="I81" s="273" t="str">
        <f t="shared" si="13"/>
        <v/>
      </c>
      <c r="J81" s="273" t="str">
        <f t="shared" si="10"/>
        <v/>
      </c>
      <c r="K81" s="273" t="str">
        <f t="shared" si="11"/>
        <v/>
      </c>
      <c r="L81" s="273" t="str">
        <f t="shared" si="12"/>
        <v/>
      </c>
    </row>
    <row r="82" spans="1:13">
      <c r="A82" s="1498" t="s">
        <v>59</v>
      </c>
      <c r="B82" s="1498" t="s">
        <v>1134</v>
      </c>
      <c r="C82" s="1500">
        <f>'BDGT ORI'!$I$15</f>
        <v>26.261028395606726</v>
      </c>
      <c r="D82" s="1499" t="e">
        <f>'Comparacion (Sin BM)'!$K$14</f>
        <v>#REF!</v>
      </c>
      <c r="E82" s="1499" t="e">
        <f>'Tablas de producción'!#REF!</f>
        <v>#REF!</v>
      </c>
      <c r="F82" s="1499" t="e">
        <f>'ST Original'!#REF!/1000</f>
        <v>#REF!</v>
      </c>
      <c r="G82" s="1499" t="e">
        <f>'Explicacion Cueq (Con BM)'!$E$61</f>
        <v>#REF!</v>
      </c>
      <c r="H82" s="1498"/>
      <c r="I82" s="1498" t="str">
        <f t="shared" si="13"/>
        <v/>
      </c>
      <c r="J82" s="1498" t="str">
        <f t="shared" si="10"/>
        <v/>
      </c>
      <c r="K82" s="1498" t="str">
        <f t="shared" si="11"/>
        <v/>
      </c>
      <c r="L82" s="1498" t="str">
        <f t="shared" si="12"/>
        <v/>
      </c>
      <c r="M82" s="1498"/>
    </row>
    <row r="83" spans="1:13">
      <c r="A83" t="s">
        <v>60</v>
      </c>
      <c r="B83" t="s">
        <v>1134</v>
      </c>
      <c r="C83" s="1492">
        <f>'BDGT ORI'!$I$16</f>
        <v>25.368153430156095</v>
      </c>
      <c r="D83" s="154" t="e">
        <f>'Comparacion (Sin BM)'!$K$15</f>
        <v>#REF!</v>
      </c>
      <c r="E83" s="154"/>
      <c r="F83" s="154"/>
      <c r="G83" s="154" t="e">
        <f>'Explicacion Cueq (Con BM)'!$E$60</f>
        <v>#REF!</v>
      </c>
      <c r="I83" s="273" t="str">
        <f t="shared" si="13"/>
        <v/>
      </c>
      <c r="J83" s="273" t="str">
        <f t="shared" si="10"/>
        <v/>
      </c>
      <c r="K83" s="273" t="str">
        <f t="shared" si="11"/>
        <v/>
      </c>
      <c r="L83" s="273" t="str">
        <f t="shared" si="12"/>
        <v/>
      </c>
    </row>
    <row r="84" spans="1:13">
      <c r="A84" t="s">
        <v>63</v>
      </c>
      <c r="B84" t="s">
        <v>1134</v>
      </c>
      <c r="C84" s="1492">
        <f>'BDGT ORI'!$I$16</f>
        <v>25.368153430156095</v>
      </c>
      <c r="D84" s="154" t="e">
        <f>'Comparacion (Sin BM)'!$K$16</f>
        <v>#REF!</v>
      </c>
      <c r="E84" s="154" t="e">
        <f>'Tablas de producción'!#REF!</f>
        <v>#REF!</v>
      </c>
      <c r="F84" s="154"/>
      <c r="G84" s="154"/>
      <c r="I84" s="273" t="str">
        <f t="shared" si="13"/>
        <v/>
      </c>
      <c r="J84" s="273" t="str">
        <f t="shared" si="10"/>
        <v/>
      </c>
      <c r="K84" s="273" t="str">
        <f t="shared" si="11"/>
        <v/>
      </c>
      <c r="L84" s="273" t="str">
        <f t="shared" si="12"/>
        <v/>
      </c>
    </row>
    <row r="85" spans="1:13">
      <c r="A85" s="1498" t="s">
        <v>66</v>
      </c>
      <c r="B85" s="1498" t="s">
        <v>1134</v>
      </c>
      <c r="C85" s="1500">
        <f>'BDGT ORI'!$I$17</f>
        <v>1.1689092305071656</v>
      </c>
      <c r="D85" s="1499" t="e">
        <f>'Comparacion (Sin BM)'!$K$18</f>
        <v>#REF!</v>
      </c>
      <c r="E85" s="1499" t="e">
        <f>'Tablas de producción'!#REF!</f>
        <v>#REF!</v>
      </c>
      <c r="F85" s="1499" t="e">
        <f>'ST Original'!#REF!/1000</f>
        <v>#REF!</v>
      </c>
      <c r="G85" s="1499" t="e">
        <f>'Explicacion Cueq (Con BM)'!$E$62</f>
        <v>#REF!</v>
      </c>
      <c r="H85" s="1498"/>
      <c r="I85" s="1498" t="str">
        <f t="shared" si="13"/>
        <v/>
      </c>
      <c r="J85" s="1498" t="str">
        <f t="shared" si="10"/>
        <v/>
      </c>
      <c r="K85" s="1498" t="str">
        <f t="shared" si="11"/>
        <v/>
      </c>
      <c r="L85" s="1498" t="str">
        <f t="shared" si="12"/>
        <v/>
      </c>
      <c r="M85" s="1498"/>
    </row>
    <row r="86" spans="1:13">
      <c r="A86" t="s">
        <v>1135</v>
      </c>
      <c r="B86" t="s">
        <v>1134</v>
      </c>
      <c r="C86" s="1492">
        <f>'BDGT ORI'!$I$18/'BDGT ORI'!$D$58</f>
        <v>1.1689092305071656</v>
      </c>
      <c r="D86" s="154"/>
      <c r="E86" s="154"/>
      <c r="F86" s="154" t="e">
        <f>'ST Original'!#REF!/1000</f>
        <v>#REF!</v>
      </c>
      <c r="G86" s="154"/>
      <c r="I86" s="273" t="str">
        <f t="shared" si="13"/>
        <v/>
      </c>
      <c r="J86" s="273" t="str">
        <f t="shared" si="10"/>
        <v/>
      </c>
      <c r="K86" s="273" t="str">
        <f t="shared" si="11"/>
        <v/>
      </c>
      <c r="L86" s="273" t="str">
        <f t="shared" si="12"/>
        <v/>
      </c>
    </row>
    <row r="87" spans="1:13">
      <c r="A87" t="s">
        <v>67</v>
      </c>
      <c r="B87" t="s">
        <v>1134</v>
      </c>
      <c r="C87" s="1492">
        <f>'BDGT ORI'!$I$18</f>
        <v>1.1630646843546297</v>
      </c>
      <c r="D87" s="154" t="e">
        <f>'Comparacion (Sin BM)'!$K$19</f>
        <v>#REF!</v>
      </c>
      <c r="E87" s="154" t="e">
        <f>'Tablas de producción'!#REF!</f>
        <v>#REF!</v>
      </c>
      <c r="F87" s="154"/>
      <c r="G87" s="154"/>
      <c r="I87" s="273" t="str">
        <f t="shared" si="13"/>
        <v/>
      </c>
      <c r="J87" s="273" t="str">
        <f t="shared" si="10"/>
        <v/>
      </c>
      <c r="K87" s="273" t="str">
        <f t="shared" si="11"/>
        <v/>
      </c>
      <c r="L87" s="273" t="str">
        <f t="shared" si="12"/>
        <v/>
      </c>
    </row>
    <row r="88" spans="1:13">
      <c r="A88" t="s">
        <v>69</v>
      </c>
      <c r="B88" t="s">
        <v>1134</v>
      </c>
      <c r="C88" s="1492">
        <f>'BDGT ORI'!$I$18</f>
        <v>1.1630646843546297</v>
      </c>
      <c r="D88" s="154" t="e">
        <f>'Comparacion (Sin BM)'!$K$20</f>
        <v>#REF!</v>
      </c>
      <c r="E88" s="154" t="e">
        <f>'Tablas de producción'!#REF!</f>
        <v>#REF!</v>
      </c>
      <c r="F88" s="154"/>
      <c r="G88" s="154"/>
      <c r="I88" s="273" t="str">
        <f t="shared" si="13"/>
        <v/>
      </c>
      <c r="J88" s="273" t="str">
        <f t="shared" si="10"/>
        <v/>
      </c>
      <c r="K88" s="273" t="str">
        <f t="shared" si="11"/>
        <v/>
      </c>
      <c r="L88" s="273" t="str">
        <f t="shared" si="12"/>
        <v/>
      </c>
    </row>
    <row r="89" spans="1:13">
      <c r="C89" s="1488"/>
      <c r="I89" s="273" t="str">
        <f t="shared" si="13"/>
        <v/>
      </c>
      <c r="J89" s="273" t="str">
        <f t="shared" si="10"/>
        <v/>
      </c>
      <c r="K89" s="273" t="str">
        <f t="shared" si="11"/>
        <v/>
      </c>
      <c r="L89" s="273" t="str">
        <f t="shared" si="12"/>
        <v/>
      </c>
    </row>
    <row r="90" spans="1:13">
      <c r="A90" t="s">
        <v>152</v>
      </c>
      <c r="C90" s="1488"/>
      <c r="I90" s="273" t="str">
        <f t="shared" si="13"/>
        <v/>
      </c>
      <c r="J90" s="273" t="str">
        <f t="shared" si="10"/>
        <v/>
      </c>
      <c r="K90" s="273" t="str">
        <f t="shared" si="11"/>
        <v/>
      </c>
      <c r="L90" s="273" t="str">
        <f t="shared" si="12"/>
        <v/>
      </c>
    </row>
    <row r="91" spans="1:13">
      <c r="A91" t="s">
        <v>78</v>
      </c>
      <c r="B91" t="s">
        <v>1134</v>
      </c>
      <c r="C91" s="1497">
        <f>'BDGT ORI'!$I$20</f>
        <v>5879.0851211286381</v>
      </c>
      <c r="D91" s="254" t="e">
        <f>'Comparacion (Sin BM)'!$K$27</f>
        <v>#REF!</v>
      </c>
      <c r="E91" s="254" t="e">
        <f>'Tablas de producción'!#REF!</f>
        <v>#REF!</v>
      </c>
      <c r="F91" s="254" t="e">
        <f>'ST Original'!#REF!</f>
        <v>#REF!</v>
      </c>
      <c r="G91" s="254" t="e">
        <f>'Explicacion Cueq (Con BM)'!$E$64</f>
        <v>#REF!</v>
      </c>
      <c r="I91" s="273" t="str">
        <f t="shared" si="13"/>
        <v/>
      </c>
      <c r="J91" s="273" t="str">
        <f t="shared" si="10"/>
        <v/>
      </c>
      <c r="K91" s="273" t="str">
        <f t="shared" si="11"/>
        <v/>
      </c>
      <c r="L91" s="273" t="str">
        <f t="shared" si="12"/>
        <v/>
      </c>
    </row>
    <row r="92" spans="1:13">
      <c r="A92" t="s">
        <v>79</v>
      </c>
      <c r="B92" t="s">
        <v>1134</v>
      </c>
      <c r="C92" s="1491">
        <f>'BDGT ORI'!$I$21</f>
        <v>195.96950403762128</v>
      </c>
      <c r="D92" s="1481" t="e">
        <f>'Comparacion (Sin BM)'!$K$28</f>
        <v>#REF!</v>
      </c>
      <c r="E92" s="1481" t="e">
        <f>'Tablas de producción'!#REF!</f>
        <v>#REF!</v>
      </c>
      <c r="F92" s="1481" t="e">
        <f>'ST Original'!#REF!/1000</f>
        <v>#REF!</v>
      </c>
      <c r="G92" s="1481" t="e">
        <f>'Explicacion Cueq (Con BM)'!$E$65</f>
        <v>#REF!</v>
      </c>
      <c r="I92" s="273" t="str">
        <f t="shared" si="13"/>
        <v/>
      </c>
      <c r="J92" s="273" t="str">
        <f t="shared" si="10"/>
        <v/>
      </c>
      <c r="K92" s="273" t="str">
        <f t="shared" si="11"/>
        <v/>
      </c>
      <c r="L92" s="273" t="str">
        <f t="shared" si="12"/>
        <v/>
      </c>
    </row>
    <row r="93" spans="1:13">
      <c r="A93" t="s">
        <v>80</v>
      </c>
      <c r="B93" t="s">
        <v>1138</v>
      </c>
      <c r="C93" s="1497">
        <f>'BDGT ORI'!$I$22</f>
        <v>8512.048219524555</v>
      </c>
      <c r="D93" s="254" t="str">
        <f>'Comparacion (Sin BM)'!$K$29</f>
        <v xml:space="preserve"> </v>
      </c>
      <c r="E93" s="254" t="e">
        <f>'Tablas de producción'!#REF!</f>
        <v>#REF!</v>
      </c>
      <c r="G93" s="254" t="str">
        <f>'Explicacion Cueq (Con BM)'!$E$66</f>
        <v xml:space="preserve"> </v>
      </c>
      <c r="I93" s="273" t="str">
        <f t="shared" si="13"/>
        <v/>
      </c>
      <c r="J93" s="273" t="str">
        <f t="shared" si="10"/>
        <v/>
      </c>
      <c r="K93" s="273" t="str">
        <f t="shared" si="11"/>
        <v/>
      </c>
      <c r="L93" s="273" t="str">
        <f t="shared" si="12"/>
        <v/>
      </c>
    </row>
    <row r="94" spans="1:13">
      <c r="A94" t="s">
        <v>82</v>
      </c>
      <c r="B94" t="s">
        <v>1139</v>
      </c>
      <c r="C94" s="1497">
        <f>'BDGT ORI'!$I$23</f>
        <v>15.646153779979773</v>
      </c>
      <c r="D94" s="254" t="e">
        <f>'Comparacion (Sin BM)'!$K$30</f>
        <v>#REF!</v>
      </c>
      <c r="E94" s="254" t="e">
        <f>'Tablas de producción'!#REF!</f>
        <v>#REF!</v>
      </c>
      <c r="F94" s="1481" t="e">
        <f>'ST Original'!#REF!</f>
        <v>#REF!</v>
      </c>
      <c r="G94" s="254" t="e">
        <f>'Explicacion Cueq (Con BM)'!$E$67</f>
        <v>#REF!</v>
      </c>
      <c r="I94" s="273" t="str">
        <f t="shared" si="13"/>
        <v/>
      </c>
      <c r="J94" s="273" t="str">
        <f t="shared" si="10"/>
        <v/>
      </c>
      <c r="K94" s="273" t="str">
        <f t="shared" si="11"/>
        <v/>
      </c>
      <c r="L94" s="273" t="str">
        <f t="shared" si="12"/>
        <v/>
      </c>
    </row>
    <row r="95" spans="1:13">
      <c r="A95" t="s">
        <v>1140</v>
      </c>
      <c r="C95" s="1496">
        <f>'BDGT ORI'!$I$24</f>
        <v>35.513842528973754</v>
      </c>
      <c r="D95" s="1495"/>
      <c r="E95" s="1495" t="e">
        <f>'Tablas de producción'!#REF!</f>
        <v>#REF!</v>
      </c>
      <c r="F95" s="1495" t="e">
        <f>'ST Original'!#REF!</f>
        <v>#REF!</v>
      </c>
      <c r="G95" s="1495"/>
      <c r="I95" s="273" t="str">
        <f t="shared" si="13"/>
        <v/>
      </c>
      <c r="J95" s="273" t="str">
        <f t="shared" si="10"/>
        <v/>
      </c>
      <c r="K95" s="273" t="str">
        <f t="shared" si="11"/>
        <v/>
      </c>
      <c r="L95" s="273" t="str">
        <f t="shared" si="12"/>
        <v/>
      </c>
    </row>
    <row r="96" spans="1:13">
      <c r="A96" t="s">
        <v>1141</v>
      </c>
      <c r="B96" t="s">
        <v>1142</v>
      </c>
      <c r="C96" s="1494"/>
      <c r="D96" s="885"/>
      <c r="E96" s="885" t="e">
        <f>'Tablas de producción'!#REF!</f>
        <v>#REF!</v>
      </c>
      <c r="F96" s="885" t="e">
        <f>'ST Original'!#REF!</f>
        <v>#REF!</v>
      </c>
      <c r="G96" s="885"/>
      <c r="I96" s="273" t="str">
        <f t="shared" si="13"/>
        <v/>
      </c>
      <c r="J96" s="273" t="str">
        <f t="shared" si="10"/>
        <v/>
      </c>
      <c r="K96" s="273" t="str">
        <f t="shared" si="11"/>
        <v/>
      </c>
      <c r="L96" s="273" t="str">
        <f t="shared" si="12"/>
        <v/>
      </c>
    </row>
    <row r="97" spans="1:12">
      <c r="A97" t="s">
        <v>85</v>
      </c>
      <c r="B97" t="s">
        <v>1139</v>
      </c>
      <c r="C97" s="1492">
        <f>'BDGT ORI'!$I$25</f>
        <v>95.994173731758167</v>
      </c>
      <c r="D97" s="154" t="e">
        <f>'Comparacion (Sin BM)'!$K$32</f>
        <v>#REF!</v>
      </c>
      <c r="E97" s="154" t="e">
        <f>'Tablas de producción'!#REF!</f>
        <v>#REF!</v>
      </c>
      <c r="F97" s="154" t="e">
        <f>'ST Original'!#REF!</f>
        <v>#REF!</v>
      </c>
      <c r="G97" s="154" t="e">
        <f>'Explicacion Cueq (Con BM)'!$E$68</f>
        <v>#REF!</v>
      </c>
      <c r="I97" s="273" t="str">
        <f t="shared" si="13"/>
        <v/>
      </c>
      <c r="J97" s="273" t="str">
        <f t="shared" si="10"/>
        <v/>
      </c>
      <c r="K97" s="273" t="str">
        <f t="shared" si="11"/>
        <v/>
      </c>
      <c r="L97" s="273" t="str">
        <f t="shared" si="12"/>
        <v/>
      </c>
    </row>
    <row r="98" spans="1:12">
      <c r="C98" s="1488"/>
      <c r="I98" s="273" t="str">
        <f t="shared" si="13"/>
        <v/>
      </c>
      <c r="J98" s="273" t="str">
        <f t="shared" si="10"/>
        <v/>
      </c>
      <c r="K98" s="273" t="str">
        <f t="shared" si="11"/>
        <v/>
      </c>
      <c r="L98" s="273" t="str">
        <f t="shared" si="12"/>
        <v/>
      </c>
    </row>
    <row r="99" spans="1:12">
      <c r="A99" t="s">
        <v>89</v>
      </c>
      <c r="B99" t="s">
        <v>1139</v>
      </c>
      <c r="C99" s="1493">
        <f>'BDGT ORI'!$I$33</f>
        <v>0.49221088111767047</v>
      </c>
      <c r="D99" s="173" t="e">
        <f>'Comparacion (Sin BM)'!$K$34</f>
        <v>#REF!</v>
      </c>
      <c r="E99" s="173" t="e">
        <f>'Tablas de producción'!#REF!</f>
        <v>#REF!</v>
      </c>
      <c r="F99" s="173" t="e">
        <f>'ST Original'!#REF!</f>
        <v>#REF!</v>
      </c>
      <c r="G99" s="173" t="e">
        <f>'Explicacion Cueq (Con BM)'!$E$70</f>
        <v>#REF!</v>
      </c>
      <c r="I99" s="273" t="str">
        <f t="shared" si="13"/>
        <v/>
      </c>
      <c r="J99" s="273" t="str">
        <f t="shared" si="10"/>
        <v/>
      </c>
      <c r="K99" s="273" t="str">
        <f t="shared" si="11"/>
        <v/>
      </c>
      <c r="L99" s="273" t="str">
        <f t="shared" si="12"/>
        <v/>
      </c>
    </row>
    <row r="100" spans="1:12">
      <c r="A100" t="s">
        <v>90</v>
      </c>
      <c r="B100" t="s">
        <v>1139</v>
      </c>
      <c r="C100" s="1492">
        <f>'BDGT ORI'!$I$34</f>
        <v>90.750864490139435</v>
      </c>
      <c r="D100" s="154" t="e">
        <f>'Comparacion (Sin BM)'!$K$35</f>
        <v>#REF!</v>
      </c>
      <c r="E100" s="154" t="e">
        <f>'Tablas de producción'!#REF!</f>
        <v>#REF!</v>
      </c>
      <c r="F100" s="154" t="e">
        <f>'ST Original'!#REF!</f>
        <v>#REF!</v>
      </c>
      <c r="G100" s="154" t="e">
        <f>'Explicacion Cueq (Con BM)'!$E$71</f>
        <v>#REF!</v>
      </c>
      <c r="I100" s="273" t="str">
        <f t="shared" si="13"/>
        <v/>
      </c>
      <c r="J100" s="273" t="str">
        <f t="shared" si="10"/>
        <v/>
      </c>
      <c r="K100" s="273" t="str">
        <f t="shared" si="11"/>
        <v/>
      </c>
      <c r="L100" s="273" t="str">
        <f t="shared" si="12"/>
        <v/>
      </c>
    </row>
    <row r="101" spans="1:12">
      <c r="A101" t="s">
        <v>92</v>
      </c>
      <c r="B101" t="s">
        <v>1134</v>
      </c>
      <c r="C101" s="1492">
        <f>'BDGT ORI'!$I$35</f>
        <v>92.263072270425269</v>
      </c>
      <c r="D101" s="154" t="e">
        <f>'Comparacion (Sin BM)'!$K$36</f>
        <v>#REF!</v>
      </c>
      <c r="E101" s="154" t="e">
        <f>'Tablas de producción'!#REF!</f>
        <v>#REF!</v>
      </c>
      <c r="F101" s="154" t="e">
        <f>'ST Original'!#REF!/1000</f>
        <v>#REF!</v>
      </c>
      <c r="G101" s="154" t="e">
        <f>'Explicacion Cueq (Con BM)'!$E$72</f>
        <v>#REF!</v>
      </c>
      <c r="I101" s="273" t="str">
        <f t="shared" si="13"/>
        <v/>
      </c>
      <c r="J101" s="273" t="str">
        <f t="shared" si="10"/>
        <v/>
      </c>
      <c r="K101" s="273" t="str">
        <f t="shared" si="11"/>
        <v/>
      </c>
      <c r="L101" s="273" t="str">
        <f t="shared" si="12"/>
        <v/>
      </c>
    </row>
    <row r="102" spans="1:12">
      <c r="A102" t="s">
        <v>93</v>
      </c>
      <c r="B102" t="s">
        <v>1139</v>
      </c>
      <c r="C102" s="1492">
        <f>'BDGT ORI'!$I$36</f>
        <v>28.463206079497354</v>
      </c>
      <c r="D102" s="154" t="e">
        <f>'Comparacion (Sin BM)'!$K$37</f>
        <v>#REF!</v>
      </c>
      <c r="E102" s="154" t="e">
        <f>'Tablas de producción'!#REF!</f>
        <v>#REF!</v>
      </c>
      <c r="F102" s="154" t="e">
        <f>'ST Original'!#REF!</f>
        <v>#REF!</v>
      </c>
      <c r="G102" s="154" t="e">
        <f>'Explicacion Cueq (Con BM)'!$E$73</f>
        <v>#REF!</v>
      </c>
      <c r="I102" s="273" t="str">
        <f t="shared" si="13"/>
        <v/>
      </c>
      <c r="J102" s="273" t="str">
        <f t="shared" si="10"/>
        <v/>
      </c>
      <c r="K102" s="273" t="str">
        <f t="shared" si="11"/>
        <v/>
      </c>
      <c r="L102" s="273" t="str">
        <f t="shared" si="12"/>
        <v/>
      </c>
    </row>
    <row r="103" spans="1:12">
      <c r="C103" s="1488"/>
      <c r="I103" s="273" t="str">
        <f t="shared" si="13"/>
        <v/>
      </c>
      <c r="J103" s="273" t="str">
        <f t="shared" si="10"/>
        <v/>
      </c>
      <c r="K103" s="273" t="str">
        <f t="shared" si="11"/>
        <v/>
      </c>
      <c r="L103" s="273" t="str">
        <f t="shared" si="12"/>
        <v/>
      </c>
    </row>
    <row r="104" spans="1:12">
      <c r="A104" t="s">
        <v>94</v>
      </c>
      <c r="B104" t="s">
        <v>1143</v>
      </c>
      <c r="C104" s="1491">
        <f>'BDGT ORI'!$I$38</f>
        <v>236.94844908987045</v>
      </c>
      <c r="D104" s="1481" t="e">
        <f>'Comparacion (Sin BM)'!$K$39</f>
        <v>#REF!</v>
      </c>
      <c r="E104" s="1481" t="e">
        <f>'Tablas de producción'!#REF!</f>
        <v>#REF!</v>
      </c>
      <c r="F104" s="1481" t="e">
        <f>'ST Original'!#REF!</f>
        <v>#REF!</v>
      </c>
      <c r="G104" s="1481" t="e">
        <f>'Explicacion Cueq (Con BM)'!$E$75</f>
        <v>#REF!</v>
      </c>
      <c r="I104" s="273" t="str">
        <f t="shared" si="13"/>
        <v/>
      </c>
      <c r="J104" s="273" t="str">
        <f t="shared" si="10"/>
        <v/>
      </c>
      <c r="K104" s="273" t="str">
        <f t="shared" si="11"/>
        <v/>
      </c>
      <c r="L104" s="273" t="str">
        <f t="shared" si="12"/>
        <v/>
      </c>
    </row>
    <row r="105" spans="1:12">
      <c r="A105" t="s">
        <v>96</v>
      </c>
      <c r="B105" t="s">
        <v>1139</v>
      </c>
      <c r="C105" s="1490">
        <f>'BDGT ORI'!$I$39</f>
        <v>83.910666263861373</v>
      </c>
      <c r="D105" s="1489" t="e">
        <f>'Comparacion (Sin BM)'!$K$40</f>
        <v>#REF!</v>
      </c>
      <c r="E105" s="1489" t="e">
        <f>'Tablas de producción'!#REF!</f>
        <v>#REF!</v>
      </c>
      <c r="F105" s="1489" t="e">
        <f>'ST Original'!#REF!</f>
        <v>#REF!</v>
      </c>
      <c r="G105" s="1489" t="e">
        <f>'Explicacion Cueq (Con BM)'!$E$76</f>
        <v>#REF!</v>
      </c>
      <c r="I105" s="273" t="str">
        <f t="shared" si="13"/>
        <v/>
      </c>
      <c r="J105" s="273" t="str">
        <f t="shared" si="10"/>
        <v/>
      </c>
      <c r="K105" s="273" t="str">
        <f t="shared" si="11"/>
        <v/>
      </c>
      <c r="L105" s="273" t="str">
        <f t="shared" si="12"/>
        <v/>
      </c>
    </row>
    <row r="106" spans="1:12">
      <c r="A106" t="s">
        <v>97</v>
      </c>
      <c r="B106" t="s">
        <v>1139</v>
      </c>
      <c r="C106" s="1490"/>
      <c r="D106" s="1489" t="e">
        <f>'Comparacion (Sin BM)'!$K$41</f>
        <v>#REF!</v>
      </c>
      <c r="E106" s="1489">
        <f>'Tablas de producción'!$K$29</f>
        <v>94.198842761025958</v>
      </c>
      <c r="F106" s="1489" t="e">
        <f>'ST Original'!#REF!</f>
        <v>#REF!</v>
      </c>
      <c r="G106" s="1489" t="e">
        <f>'Explicacion Cueq (Con BM)'!$E$77</f>
        <v>#REF!</v>
      </c>
      <c r="I106" s="273" t="str">
        <f t="shared" si="13"/>
        <v/>
      </c>
      <c r="J106" s="273" t="str">
        <f t="shared" si="10"/>
        <v/>
      </c>
      <c r="K106" s="273" t="str">
        <f t="shared" si="11"/>
        <v/>
      </c>
      <c r="L106" s="273" t="str">
        <f t="shared" si="12"/>
        <v/>
      </c>
    </row>
    <row r="107" spans="1:12">
      <c r="A107" t="s">
        <v>98</v>
      </c>
      <c r="B107" t="s">
        <v>1139</v>
      </c>
      <c r="C107" s="1490"/>
      <c r="D107" s="1489" t="e">
        <f>'Comparacion (Sin BM)'!$K$42</f>
        <v>#REF!</v>
      </c>
      <c r="E107" s="1489">
        <f>'Tablas de producción'!$K$30</f>
        <v>91.233400770915964</v>
      </c>
      <c r="F107" s="1489" t="e">
        <f>'ST Original'!#REF!</f>
        <v>#REF!</v>
      </c>
      <c r="G107" s="1489" t="e">
        <f>'Explicacion Cueq (Con BM)'!$E$78</f>
        <v>#REF!</v>
      </c>
      <c r="I107" s="273" t="str">
        <f t="shared" si="13"/>
        <v/>
      </c>
      <c r="J107" s="273" t="str">
        <f t="shared" si="10"/>
        <v/>
      </c>
      <c r="K107" s="273" t="str">
        <f t="shared" si="11"/>
        <v/>
      </c>
      <c r="L107" s="273" t="str">
        <f t="shared" si="12"/>
        <v/>
      </c>
    </row>
    <row r="108" spans="1:12">
      <c r="A108" t="s">
        <v>153</v>
      </c>
      <c r="B108" t="s">
        <v>1134</v>
      </c>
      <c r="C108" s="1490">
        <f>'BDGT ORI'!$I$42</f>
        <v>2.1646467231614177</v>
      </c>
      <c r="D108" s="1489" t="e">
        <f>'Comparacion (Sin BM)'!$K$43/1000</f>
        <v>#REF!</v>
      </c>
      <c r="E108" s="1489" t="e">
        <f>'Tablas de producción'!$K$31/1000</f>
        <v>#REF!</v>
      </c>
      <c r="F108" s="1489" t="e">
        <f>'ST Original'!#REF!/1000</f>
        <v>#REF!</v>
      </c>
      <c r="G108" s="1489"/>
      <c r="I108" s="273" t="str">
        <f t="shared" si="13"/>
        <v/>
      </c>
      <c r="J108" s="273" t="str">
        <f t="shared" si="10"/>
        <v/>
      </c>
      <c r="K108" s="273" t="str">
        <f t="shared" si="11"/>
        <v/>
      </c>
      <c r="L108" s="273" t="str">
        <f t="shared" si="12"/>
        <v/>
      </c>
    </row>
    <row r="109" spans="1:12">
      <c r="A109" t="s">
        <v>102</v>
      </c>
      <c r="B109" t="s">
        <v>1139</v>
      </c>
      <c r="C109" s="1488">
        <f>'BDGT ORI'!$I$43</f>
        <v>54</v>
      </c>
      <c r="D109" s="254" t="e">
        <f>'Comparacion (Sin BM)'!$K$44</f>
        <v>#REF!</v>
      </c>
      <c r="E109" s="254">
        <f>'Tablas de producción'!$K$32</f>
        <v>54</v>
      </c>
      <c r="F109" s="254" t="e">
        <f>'ST Original'!#REF!</f>
        <v>#REF!</v>
      </c>
      <c r="I109" s="273" t="str">
        <f t="shared" si="13"/>
        <v/>
      </c>
      <c r="J109" s="273" t="str">
        <f t="shared" si="10"/>
        <v/>
      </c>
      <c r="K109" s="273" t="str">
        <f t="shared" si="11"/>
        <v/>
      </c>
      <c r="L109" s="273" t="str">
        <f t="shared" si="12"/>
        <v/>
      </c>
    </row>
    <row r="110" spans="1:12">
      <c r="C110" s="1488"/>
      <c r="I110" s="273" t="str">
        <f t="shared" si="13"/>
        <v/>
      </c>
      <c r="J110" s="273" t="str">
        <f t="shared" si="10"/>
        <v/>
      </c>
      <c r="K110" s="273" t="str">
        <f t="shared" si="11"/>
        <v/>
      </c>
      <c r="L110" s="273" t="str">
        <f t="shared" si="12"/>
        <v/>
      </c>
    </row>
    <row r="111" spans="1:12">
      <c r="A111" t="s">
        <v>105</v>
      </c>
      <c r="B111" t="s">
        <v>1143</v>
      </c>
      <c r="C111" s="1487">
        <f>'BDGT ORI'!$I$53</f>
        <v>19.755105675637211</v>
      </c>
      <c r="D111" s="1486" t="e">
        <f>'Comparacion (Sin BM)'!$K$46</f>
        <v>#REF!</v>
      </c>
      <c r="E111" s="1486">
        <f>'Tablas de producción'!$K$34</f>
        <v>25.040698017427651</v>
      </c>
      <c r="F111" s="1486" t="e">
        <f>'ST Original'!#REF!</f>
        <v>#REF!</v>
      </c>
      <c r="G111" s="1486"/>
      <c r="I111" s="273" t="str">
        <f t="shared" si="13"/>
        <v/>
      </c>
      <c r="J111" s="273" t="str">
        <f t="shared" si="10"/>
        <v>X</v>
      </c>
      <c r="K111" s="273" t="str">
        <f t="shared" si="11"/>
        <v/>
      </c>
      <c r="L111" s="273" t="str">
        <f t="shared" si="12"/>
        <v/>
      </c>
    </row>
    <row r="112" spans="1:12" ht="13" thickBot="1">
      <c r="A112" t="s">
        <v>107</v>
      </c>
      <c r="B112" t="s">
        <v>1143</v>
      </c>
      <c r="C112" s="1485">
        <f>'BDGT ORI'!$I$54</f>
        <v>790.20422702548842</v>
      </c>
      <c r="D112" s="254" t="e">
        <f>'Comparacion (Sin BM)'!$K$47</f>
        <v>#REF!</v>
      </c>
      <c r="E112" s="254">
        <f>'Tablas de producción'!$K$35</f>
        <v>1001.627920697106</v>
      </c>
      <c r="F112" s="254" t="e">
        <f>'ST Original'!#REF!</f>
        <v>#REF!</v>
      </c>
      <c r="I112" s="273" t="str">
        <f t="shared" si="13"/>
        <v/>
      </c>
      <c r="J112" s="273" t="str">
        <f t="shared" si="10"/>
        <v>X</v>
      </c>
      <c r="K112" s="273" t="str">
        <f t="shared" si="11"/>
        <v/>
      </c>
      <c r="L112" s="273" t="str">
        <f t="shared" si="12"/>
        <v/>
      </c>
    </row>
    <row r="113" spans="1:12">
      <c r="I113" s="273" t="str">
        <f t="shared" si="13"/>
        <v/>
      </c>
      <c r="J113" s="273" t="str">
        <f t="shared" si="10"/>
        <v/>
      </c>
      <c r="K113" s="273" t="str">
        <f t="shared" si="11"/>
        <v/>
      </c>
      <c r="L113" s="273" t="str">
        <f t="shared" si="12"/>
        <v/>
      </c>
    </row>
    <row r="116" spans="1:12" ht="25.5" thickBot="1">
      <c r="A116" s="1513" t="s">
        <v>1152</v>
      </c>
      <c r="C116" t="s">
        <v>1152</v>
      </c>
      <c r="D116" s="752" t="s">
        <v>1128</v>
      </c>
      <c r="E116" s="752" t="s">
        <v>1128</v>
      </c>
      <c r="I116" s="752" t="s">
        <v>1128</v>
      </c>
      <c r="J116" s="752" t="s">
        <v>1128</v>
      </c>
    </row>
    <row r="117" spans="1:12">
      <c r="A117" s="1498" t="s">
        <v>52</v>
      </c>
      <c r="B117" s="1498" t="s">
        <v>1134</v>
      </c>
      <c r="C117" s="1515">
        <f>'0+12'!$H$13</f>
        <v>0</v>
      </c>
      <c r="D117" s="409"/>
      <c r="E117" s="409"/>
      <c r="I117" s="1498" t="str">
        <f>IF(ISNUMBER(D117),IF(ISNUMBER($C117),IF($C117=D117, "","X"),""),"")</f>
        <v/>
      </c>
      <c r="J117" s="1498" t="str">
        <f>IF(ISNUMBER(E117),IF(ISNUMBER($C117),IF($C117=E117, "","X"),""),"")</f>
        <v/>
      </c>
    </row>
    <row r="118" spans="1:12">
      <c r="A118" s="1073" t="s">
        <v>54</v>
      </c>
      <c r="B118" t="s">
        <v>1134</v>
      </c>
      <c r="C118" s="1504">
        <f>'0+12'!$H$14</f>
        <v>0</v>
      </c>
      <c r="D118" s="409"/>
      <c r="E118" s="409"/>
      <c r="I118" s="273" t="str">
        <f t="shared" ref="I118:J150" si="14">IF(ISNUMBER(D118),IF(ISNUMBER($C118),IF($C118=D118, "","X"),""),"")</f>
        <v/>
      </c>
      <c r="J118" s="273" t="str">
        <f t="shared" si="14"/>
        <v/>
      </c>
    </row>
    <row r="119" spans="1:12">
      <c r="A119" s="1073" t="s">
        <v>58</v>
      </c>
      <c r="B119" t="s">
        <v>1134</v>
      </c>
      <c r="C119" s="1504"/>
      <c r="D119" s="409"/>
      <c r="E119" s="409"/>
      <c r="I119" s="273" t="str">
        <f t="shared" si="14"/>
        <v/>
      </c>
      <c r="J119" s="273" t="str">
        <f t="shared" si="14"/>
        <v/>
      </c>
    </row>
    <row r="120" spans="1:12">
      <c r="A120" s="1498" t="s">
        <v>59</v>
      </c>
      <c r="B120" s="1498" t="s">
        <v>1134</v>
      </c>
      <c r="C120" s="1504">
        <f>'0+12'!$H$15</f>
        <v>19.663616574677349</v>
      </c>
      <c r="D120" s="409">
        <f>'Tablas de producción'!$H$76</f>
        <v>38.822908602338664</v>
      </c>
      <c r="E120" s="409">
        <f>'Tablas de producción'!$H$4</f>
        <v>29.514270813981621</v>
      </c>
      <c r="I120" s="1498" t="str">
        <f t="shared" si="14"/>
        <v>X</v>
      </c>
      <c r="J120" s="1498" t="str">
        <f t="shared" si="14"/>
        <v>X</v>
      </c>
    </row>
    <row r="121" spans="1:12">
      <c r="A121" t="s">
        <v>60</v>
      </c>
      <c r="B121" t="s">
        <v>1134</v>
      </c>
      <c r="C121" s="1504">
        <f>'0+12'!$H$16</f>
        <v>18.936062761414277</v>
      </c>
      <c r="D121" s="409">
        <f>'Tablas de producción'!$H$77</f>
        <v>37.025684957446998</v>
      </c>
      <c r="E121" s="409" t="e">
        <f>'Tablas de producción'!#REF!</f>
        <v>#REF!</v>
      </c>
      <c r="I121" s="273" t="str">
        <f t="shared" si="14"/>
        <v>X</v>
      </c>
      <c r="J121" s="273" t="str">
        <f t="shared" si="14"/>
        <v/>
      </c>
    </row>
    <row r="122" spans="1:12">
      <c r="A122" t="s">
        <v>63</v>
      </c>
      <c r="B122" t="s">
        <v>1134</v>
      </c>
      <c r="C122" s="1504"/>
      <c r="D122" s="409">
        <f>'Tablas de producción'!$H$78</f>
        <v>37.025684957446998</v>
      </c>
      <c r="E122" s="409">
        <f>'Tablas de producción'!$H$5</f>
        <v>28.422384713002526</v>
      </c>
      <c r="I122" s="273" t="str">
        <f t="shared" si="14"/>
        <v/>
      </c>
      <c r="J122" s="273" t="str">
        <f t="shared" si="14"/>
        <v/>
      </c>
    </row>
    <row r="123" spans="1:12">
      <c r="A123" s="1498" t="s">
        <v>66</v>
      </c>
      <c r="B123" s="1498" t="s">
        <v>1134</v>
      </c>
      <c r="C123" s="1492">
        <f>'0+12'!$H$17</f>
        <v>0.51652967956409324</v>
      </c>
      <c r="D123" s="154">
        <f>'Tablas de producción'!$H$79</f>
        <v>0.90859130168825741</v>
      </c>
      <c r="E123" s="154">
        <f>'Tablas de producción'!$H$6</f>
        <v>1.0603706209881529</v>
      </c>
      <c r="I123" s="1498" t="str">
        <f t="shared" si="14"/>
        <v>X</v>
      </c>
      <c r="J123" s="1498" t="str">
        <f t="shared" si="14"/>
        <v>X</v>
      </c>
    </row>
    <row r="124" spans="1:12">
      <c r="A124" t="s">
        <v>1135</v>
      </c>
      <c r="B124" t="s">
        <v>1134</v>
      </c>
      <c r="C124" s="1492"/>
      <c r="D124" s="154"/>
      <c r="E124" s="154"/>
      <c r="I124" s="273" t="str">
        <f t="shared" si="14"/>
        <v/>
      </c>
      <c r="J124" s="273" t="str">
        <f t="shared" si="14"/>
        <v/>
      </c>
    </row>
    <row r="125" spans="1:12">
      <c r="A125" t="s">
        <v>67</v>
      </c>
      <c r="B125" t="s">
        <v>1134</v>
      </c>
      <c r="C125" s="1492">
        <f>'0+12'!$H$18</f>
        <v>0.51394703116627272</v>
      </c>
      <c r="D125" s="154">
        <f>'Tablas de producción'!$H$80</f>
        <v>0.90404834517981614</v>
      </c>
      <c r="E125" s="154">
        <f>'Tablas de producción'!$H$7</f>
        <v>1.0497934240437963</v>
      </c>
      <c r="I125" s="273" t="str">
        <f t="shared" si="14"/>
        <v>X</v>
      </c>
      <c r="J125" s="273" t="str">
        <f t="shared" si="14"/>
        <v>X</v>
      </c>
    </row>
    <row r="126" spans="1:12">
      <c r="A126" t="s">
        <v>69</v>
      </c>
      <c r="B126" t="s">
        <v>1134</v>
      </c>
      <c r="C126" s="1492"/>
      <c r="D126" s="154">
        <f>'Tablas de producción'!$H$81</f>
        <v>0.90404834517981614</v>
      </c>
      <c r="E126" s="154">
        <f>'Tablas de producción'!$H$8</f>
        <v>1.0497934240437963</v>
      </c>
      <c r="I126" s="273" t="str">
        <f t="shared" si="14"/>
        <v/>
      </c>
      <c r="J126" s="273" t="str">
        <f t="shared" si="14"/>
        <v/>
      </c>
    </row>
    <row r="127" spans="1:12">
      <c r="C127" s="1488"/>
      <c r="I127" s="273" t="str">
        <f t="shared" si="14"/>
        <v/>
      </c>
      <c r="J127" s="273" t="str">
        <f t="shared" si="14"/>
        <v/>
      </c>
    </row>
    <row r="128" spans="1:12">
      <c r="A128" t="s">
        <v>152</v>
      </c>
      <c r="C128" s="1488"/>
      <c r="I128" s="273" t="str">
        <f t="shared" si="14"/>
        <v/>
      </c>
      <c r="J128" s="273" t="str">
        <f t="shared" si="14"/>
        <v/>
      </c>
    </row>
    <row r="129" spans="1:10">
      <c r="A129" t="s">
        <v>78</v>
      </c>
      <c r="B129" t="s">
        <v>1134</v>
      </c>
      <c r="C129" s="1516">
        <f>'0+12'!$H$20</f>
        <v>3827.554399135377</v>
      </c>
      <c r="D129" s="1514">
        <f>'Tablas de producción'!$H$83</f>
        <v>6276.6827295932371</v>
      </c>
      <c r="E129" s="1514">
        <f>'Tablas de producción'!$H$10</f>
        <v>5835.7550737654183</v>
      </c>
      <c r="I129" s="273" t="str">
        <f t="shared" si="14"/>
        <v>X</v>
      </c>
      <c r="J129" s="273" t="str">
        <f t="shared" si="14"/>
        <v>X</v>
      </c>
    </row>
    <row r="130" spans="1:10">
      <c r="A130" t="s">
        <v>79</v>
      </c>
      <c r="B130" t="s">
        <v>1134</v>
      </c>
      <c r="C130" s="1516">
        <f>'0+12'!$H$21</f>
        <v>127.5851466378459</v>
      </c>
      <c r="D130" s="1514">
        <f>'Tablas de producción'!$H$84</f>
        <v>202.47363643849152</v>
      </c>
      <c r="E130" s="1514">
        <f>'Tablas de producción'!$H$11</f>
        <v>188.25016366985221</v>
      </c>
      <c r="I130" s="273" t="str">
        <f t="shared" si="14"/>
        <v>X</v>
      </c>
      <c r="J130" s="273" t="str">
        <f t="shared" si="14"/>
        <v>X</v>
      </c>
    </row>
    <row r="131" spans="1:10">
      <c r="A131" t="s">
        <v>80</v>
      </c>
      <c r="B131" t="s">
        <v>1138</v>
      </c>
      <c r="C131" s="1516">
        <f>'0+12'!$H$22</f>
        <v>8476.6749120904951</v>
      </c>
      <c r="D131" s="1514">
        <f>'Tablas de producción'!$H$85</f>
        <v>8785.766581685104</v>
      </c>
      <c r="E131" s="1514">
        <f>'Tablas de producción'!$H$12</f>
        <v>6933.2728220546342</v>
      </c>
      <c r="I131" s="273" t="str">
        <f t="shared" si="14"/>
        <v>X</v>
      </c>
      <c r="J131" s="273" t="str">
        <f t="shared" si="14"/>
        <v>X</v>
      </c>
    </row>
    <row r="132" spans="1:10">
      <c r="A132" t="s">
        <v>82</v>
      </c>
      <c r="B132" t="s">
        <v>1139</v>
      </c>
      <c r="C132" s="1496">
        <f>'0+12'!$H$23</f>
        <v>0</v>
      </c>
      <c r="D132" s="1495">
        <f>'Tablas de producción'!$H$86</f>
        <v>0</v>
      </c>
      <c r="E132" s="1495">
        <f>'Tablas de producción'!$H$15</f>
        <v>0</v>
      </c>
      <c r="I132" s="273" t="str">
        <f t="shared" si="14"/>
        <v/>
      </c>
      <c r="J132" s="273" t="str">
        <f t="shared" si="14"/>
        <v/>
      </c>
    </row>
    <row r="133" spans="1:10">
      <c r="A133" t="s">
        <v>1140</v>
      </c>
      <c r="C133" s="1496">
        <f>'0+12'!$H$24</f>
        <v>36.901884830506098</v>
      </c>
      <c r="D133" s="1495">
        <f>'Tablas de producción'!$H$89</f>
        <v>39.751021567414178</v>
      </c>
      <c r="E133" s="1495">
        <f>'Tablas de producción'!$H$16</f>
        <v>37.853336158564218</v>
      </c>
      <c r="I133" s="273" t="str">
        <f t="shared" si="14"/>
        <v>X</v>
      </c>
      <c r="J133" s="273" t="str">
        <f t="shared" si="14"/>
        <v>X</v>
      </c>
    </row>
    <row r="134" spans="1:10">
      <c r="A134" t="s">
        <v>1141</v>
      </c>
      <c r="B134" t="s">
        <v>1142</v>
      </c>
      <c r="C134" s="1492">
        <f>'0+12'!$H$64</f>
        <v>4.1762726797783118</v>
      </c>
      <c r="D134" s="154">
        <f>'Tablas de producción'!$H$88</f>
        <v>4.1365251822582652</v>
      </c>
      <c r="E134" s="154">
        <f>'Tablas de producción'!$H$17</f>
        <v>4.1504745365351701</v>
      </c>
      <c r="I134" s="273" t="str">
        <f t="shared" si="14"/>
        <v>X</v>
      </c>
      <c r="J134" s="273" t="str">
        <f t="shared" si="14"/>
        <v>X</v>
      </c>
    </row>
    <row r="135" spans="1:10">
      <c r="A135" t="s">
        <v>85</v>
      </c>
      <c r="B135" t="s">
        <v>1139</v>
      </c>
      <c r="C135" s="1496">
        <f>'0+12'!$H$25</f>
        <v>0.62757414871438499</v>
      </c>
      <c r="D135" s="1495">
        <f>'Tablas de producción'!$H$87</f>
        <v>0.96088086079354407</v>
      </c>
      <c r="E135" s="1495">
        <f>'Tablas de producción'!$H$18</f>
        <v>0</v>
      </c>
      <c r="I135" s="273" t="str">
        <f>IF(ISNUMBER(D135),IF(ISNUMBER($C135),IF($C135=D135, "","X"),""),"")</f>
        <v>X</v>
      </c>
      <c r="J135" s="273" t="str">
        <f t="shared" si="14"/>
        <v>X</v>
      </c>
    </row>
    <row r="136" spans="1:10">
      <c r="C136" s="1488"/>
      <c r="I136" s="273" t="str">
        <f t="shared" si="14"/>
        <v/>
      </c>
      <c r="J136" s="273" t="str">
        <f t="shared" si="14"/>
        <v/>
      </c>
    </row>
    <row r="137" spans="1:10">
      <c r="A137" t="s">
        <v>89</v>
      </c>
      <c r="B137" t="s">
        <v>1139</v>
      </c>
      <c r="C137" s="1503">
        <f>'0+12'!$H$33</f>
        <v>0.56555995682340154</v>
      </c>
      <c r="D137" s="895">
        <f>'Tablas de producción'!$H$90</f>
        <v>0.67740650217743448</v>
      </c>
      <c r="E137" s="895">
        <f>'Tablas de producción'!$H$22</f>
        <v>0.56048276877845449</v>
      </c>
      <c r="I137" s="273" t="str">
        <f t="shared" si="14"/>
        <v>X</v>
      </c>
      <c r="J137" s="273" t="str">
        <f t="shared" si="14"/>
        <v>X</v>
      </c>
    </row>
    <row r="138" spans="1:10">
      <c r="A138" t="s">
        <v>90</v>
      </c>
      <c r="B138" t="s">
        <v>1139</v>
      </c>
      <c r="C138" s="1496">
        <f>'0+12'!$H$34</f>
        <v>90.83712341431891</v>
      </c>
      <c r="D138" s="1495">
        <f>'Tablas de producción'!$H$91</f>
        <v>91.307937278112178</v>
      </c>
      <c r="E138" s="1495">
        <f>'Tablas de producción'!$H$23</f>
        <v>90.23452493939709</v>
      </c>
      <c r="I138" s="273" t="str">
        <f t="shared" si="14"/>
        <v>X</v>
      </c>
      <c r="J138" s="273" t="str">
        <f t="shared" si="14"/>
        <v>X</v>
      </c>
    </row>
    <row r="139" spans="1:10">
      <c r="A139" t="s">
        <v>92</v>
      </c>
      <c r="B139" t="s">
        <v>1134</v>
      </c>
      <c r="C139" s="1496">
        <f>'0+12'!$H$35</f>
        <v>70.87650692356398</v>
      </c>
      <c r="D139" s="1495">
        <f>'Tablas de producción'!$H$92</f>
        <v>142.47260790759987</v>
      </c>
      <c r="E139" s="1495">
        <f>'Tablas de producción'!$H$24</f>
        <v>105.71507194799014</v>
      </c>
      <c r="I139" s="273" t="str">
        <f t="shared" si="14"/>
        <v>X</v>
      </c>
      <c r="J139" s="273" t="str">
        <f t="shared" si="14"/>
        <v>X</v>
      </c>
    </row>
    <row r="140" spans="1:10">
      <c r="A140" t="s">
        <v>93</v>
      </c>
      <c r="B140" t="s">
        <v>1139</v>
      </c>
      <c r="C140" s="1496">
        <f>'0+12'!$H$36</f>
        <v>27.743489949192007</v>
      </c>
      <c r="D140" s="1495">
        <f>'Tablas de producción'!$H$93</f>
        <v>27.249384406241184</v>
      </c>
      <c r="E140" s="1495">
        <f>'Tablas de producción'!$H$25</f>
        <v>27.918697183029963</v>
      </c>
      <c r="I140" s="273" t="str">
        <f t="shared" si="14"/>
        <v>X</v>
      </c>
      <c r="J140" s="273" t="str">
        <f t="shared" si="14"/>
        <v>X</v>
      </c>
    </row>
    <row r="141" spans="1:10">
      <c r="C141" s="1488"/>
      <c r="I141" s="273" t="str">
        <f t="shared" si="14"/>
        <v/>
      </c>
      <c r="J141" s="273" t="str">
        <f t="shared" si="14"/>
        <v/>
      </c>
    </row>
    <row r="142" spans="1:10">
      <c r="A142" t="s">
        <v>94</v>
      </c>
      <c r="B142" t="s">
        <v>1143</v>
      </c>
      <c r="C142" s="1516">
        <f>'0+12'!$H$38</f>
        <v>163.35304328854889</v>
      </c>
      <c r="D142" s="1514">
        <f>'Tablas de producción'!$H$95</f>
        <v>174.50350866208188</v>
      </c>
      <c r="E142" s="1514">
        <f>'Tablas de producción'!$H$27</f>
        <v>216.46396510270179</v>
      </c>
      <c r="I142" s="273" t="str">
        <f t="shared" si="14"/>
        <v>X</v>
      </c>
      <c r="J142" s="273" t="str">
        <f t="shared" si="14"/>
        <v>X</v>
      </c>
    </row>
    <row r="143" spans="1:10">
      <c r="A143" t="s">
        <v>96</v>
      </c>
      <c r="B143" t="s">
        <v>1139</v>
      </c>
      <c r="C143" s="1496">
        <f>'0+12'!$H$39</f>
        <v>82.612673936458705</v>
      </c>
      <c r="D143" s="1495">
        <f>'Tablas de producción'!$H$96</f>
        <v>82.953408301814221</v>
      </c>
      <c r="E143" s="1495">
        <f>'Tablas de producción'!$H$28</f>
        <v>83.941170489613725</v>
      </c>
      <c r="I143" s="273" t="str">
        <f t="shared" si="14"/>
        <v>X</v>
      </c>
      <c r="J143" s="273" t="str">
        <f t="shared" si="14"/>
        <v>X</v>
      </c>
    </row>
    <row r="144" spans="1:10">
      <c r="A144" t="s">
        <v>97</v>
      </c>
      <c r="B144" t="s">
        <v>1139</v>
      </c>
      <c r="C144" s="1517"/>
      <c r="E144">
        <f>'Tablas de producción'!$H$29</f>
        <v>0</v>
      </c>
      <c r="I144" s="273" t="str">
        <f t="shared" si="14"/>
        <v/>
      </c>
      <c r="J144" s="273" t="str">
        <f t="shared" si="14"/>
        <v/>
      </c>
    </row>
    <row r="145" spans="1:10">
      <c r="A145" t="s">
        <v>98</v>
      </c>
      <c r="B145" t="s">
        <v>1139</v>
      </c>
      <c r="C145" s="1517"/>
      <c r="E145">
        <f>'Tablas de producción'!$H$30</f>
        <v>0</v>
      </c>
      <c r="I145" s="273" t="str">
        <f t="shared" si="14"/>
        <v/>
      </c>
      <c r="J145" s="273" t="str">
        <f t="shared" si="14"/>
        <v/>
      </c>
    </row>
    <row r="146" spans="1:10">
      <c r="A146" t="s">
        <v>153</v>
      </c>
      <c r="B146" t="s">
        <v>1134</v>
      </c>
      <c r="C146" s="1494">
        <f>'0+12'!$H$42</f>
        <v>0.95653644363720969</v>
      </c>
      <c r="D146" s="885">
        <f>'Tablas de producción'!$H$97/1000</f>
        <v>1.6825764846078841</v>
      </c>
      <c r="E146" s="885">
        <f>'Tablas de producción'!$H$31/1000</f>
        <v>1.6825764846078841</v>
      </c>
      <c r="I146" s="273" t="str">
        <f t="shared" si="14"/>
        <v>X</v>
      </c>
      <c r="J146" s="273" t="str">
        <f t="shared" si="14"/>
        <v>X</v>
      </c>
    </row>
    <row r="147" spans="1:10">
      <c r="A147" t="s">
        <v>102</v>
      </c>
      <c r="B147" t="s">
        <v>1139</v>
      </c>
      <c r="C147" s="1497">
        <f>'0+12'!$H$43</f>
        <v>54</v>
      </c>
      <c r="D147" s="154">
        <f>'Tablas de producción'!$H$98</f>
        <v>54</v>
      </c>
      <c r="E147">
        <f>'Tablas de producción'!$H$32</f>
        <v>54</v>
      </c>
      <c r="I147" s="273" t="str">
        <f t="shared" si="14"/>
        <v/>
      </c>
      <c r="J147" s="273" t="str">
        <f t="shared" si="14"/>
        <v/>
      </c>
    </row>
    <row r="148" spans="1:10">
      <c r="C148" s="1488"/>
      <c r="I148" s="273" t="str">
        <f t="shared" si="14"/>
        <v/>
      </c>
      <c r="J148" s="273" t="str">
        <f t="shared" si="14"/>
        <v/>
      </c>
    </row>
    <row r="149" spans="1:10">
      <c r="A149" t="s">
        <v>105</v>
      </c>
      <c r="B149" t="s">
        <v>1143</v>
      </c>
      <c r="C149" s="1516">
        <f>'0+12'!$H$57</f>
        <v>21.457678336416457</v>
      </c>
      <c r="D149" s="1514">
        <f>'Tablas de producción'!$H$100</f>
        <v>25.724093489482975</v>
      </c>
      <c r="E149" s="1514">
        <f>'Tablas de producción'!$H$34</f>
        <v>25.724093489482975</v>
      </c>
      <c r="I149" s="273" t="str">
        <f t="shared" si="14"/>
        <v>X</v>
      </c>
      <c r="J149" s="273" t="str">
        <f t="shared" si="14"/>
        <v>X</v>
      </c>
    </row>
    <row r="150" spans="1:10" ht="13" thickBot="1">
      <c r="A150" t="s">
        <v>107</v>
      </c>
      <c r="B150" t="s">
        <v>1143</v>
      </c>
      <c r="C150" s="1518">
        <f>'0+12'!$H$58</f>
        <v>960.23110555463643</v>
      </c>
      <c r="D150" s="1514">
        <f>'Tablas de producción'!$H$101</f>
        <v>1151.1531836543631</v>
      </c>
      <c r="E150" s="1514">
        <f>'Tablas de producción'!$H$35</f>
        <v>1151.1531836543631</v>
      </c>
      <c r="I150" s="273" t="str">
        <f t="shared" si="14"/>
        <v>X</v>
      </c>
      <c r="J150" s="273" t="str">
        <f t="shared" si="14"/>
        <v>X</v>
      </c>
    </row>
  </sheetData>
  <phoneticPr fontId="27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bb321-3686-4a56-9f4c-34aafa48c23a" xsi:nil="true"/>
    <lcf76f155ced4ddcb4097134ff3c332f xmlns="82d33df3-01a8-47b6-894b-2b3bfebbe683">
      <Terms xmlns="http://schemas.microsoft.com/office/infopath/2007/PartnerControls"/>
    </lcf76f155ced4ddcb4097134ff3c332f>
    <_dlc_DocId xmlns="f51bb321-3686-4a56-9f4c-34aafa48c23a">MDCAYEMEE3W5-94859259-207803</_dlc_DocId>
    <_dlc_DocIdUrl xmlns="f51bb321-3686-4a56-9f4c-34aafa48c23a">
      <Url>https://aminerals.sharepoint.com/sites/AMSA_DATA_ANALITICA/_layouts/15/DocIdRedir.aspx?ID=MDCAYEMEE3W5-94859259-207803</Url>
      <Description>MDCAYEMEE3W5-94859259-207803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E60E67259787499C0943CC4C746985" ma:contentTypeVersion="16" ma:contentTypeDescription="Crear nuevo documento." ma:contentTypeScope="" ma:versionID="c02f1ff5aa28405b5562a5a39c3cc6fb">
  <xsd:schema xmlns:xsd="http://www.w3.org/2001/XMLSchema" xmlns:xs="http://www.w3.org/2001/XMLSchema" xmlns:p="http://schemas.microsoft.com/office/2006/metadata/properties" xmlns:ns2="f51bb321-3686-4a56-9f4c-34aafa48c23a" xmlns:ns3="82d33df3-01a8-47b6-894b-2b3bfebbe683" targetNamespace="http://schemas.microsoft.com/office/2006/metadata/properties" ma:root="true" ma:fieldsID="7c60ca77f35a7cae155c2a5470b4302a" ns2:_="" ns3:_="">
    <xsd:import namespace="f51bb321-3686-4a56-9f4c-34aafa48c23a"/>
    <xsd:import namespace="82d33df3-01a8-47b6-894b-2b3bfebbe68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bb321-3686-4a56-9f4c-34aafa48c23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d86978b-e323-4f05-8324-a06df617f0f2}" ma:internalName="TaxCatchAll" ma:showField="CatchAllData" ma:web="f51bb321-3686-4a56-9f4c-34aafa48c2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d33df3-01a8-47b6-894b-2b3bfebbe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28be5a06-85e3-4ae6-84c1-6e85290993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31925B6-8DFA-4980-9388-52FE8F4B1A72}">
  <ds:schemaRefs>
    <ds:schemaRef ds:uri="84e80c00-081c-441b-8e34-9ff3788b6ba1"/>
    <ds:schemaRef ds:uri="http://purl.org/dc/terms/"/>
    <ds:schemaRef ds:uri="http://purl.org/dc/elements/1.1/"/>
    <ds:schemaRef ds:uri="e3dab1c2-663d-444e-8c84-c285376b4a67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69A9147-7BB7-40E1-96E5-097D5AB95D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79B947-FE5F-43E2-B6F4-A146CB5D12DD}"/>
</file>

<file path=customXml/itemProps4.xml><?xml version="1.0" encoding="utf-8"?>
<ds:datastoreItem xmlns:ds="http://schemas.openxmlformats.org/officeDocument/2006/customXml" ds:itemID="{3DFE448E-330F-4071-AA9D-FD691BBC0D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48</vt:i4>
      </vt:variant>
      <vt:variant>
        <vt:lpstr>Rangos con nombre</vt:lpstr>
      </vt:variant>
      <vt:variant>
        <vt:i4>65</vt:i4>
      </vt:variant>
    </vt:vector>
  </HeadingPairs>
  <TitlesOfParts>
    <vt:vector size="113" baseType="lpstr">
      <vt:lpstr>Factores</vt:lpstr>
      <vt:lpstr>Comparacion (Sin BM)</vt:lpstr>
      <vt:lpstr>Acumulados</vt:lpstr>
      <vt:lpstr>TP sin BM</vt:lpstr>
      <vt:lpstr>graf</vt:lpstr>
      <vt:lpstr>BDGT ORI</vt:lpstr>
      <vt:lpstr>TP con BM</vt:lpstr>
      <vt:lpstr>PM vs OL y BD</vt:lpstr>
      <vt:lpstr>LibroDG</vt:lpstr>
      <vt:lpstr>BDGT</vt:lpstr>
      <vt:lpstr>0+12</vt:lpstr>
      <vt:lpstr>% Fases ST</vt:lpstr>
      <vt:lpstr>Gant Mttos Rel.</vt:lpstr>
      <vt:lpstr>Real</vt:lpstr>
      <vt:lpstr>R+RP+B</vt:lpstr>
      <vt:lpstr>Envíos STC</vt:lpstr>
      <vt:lpstr>Embarques Cu</vt:lpstr>
      <vt:lpstr>Recalculos ST</vt:lpstr>
      <vt:lpstr>MCP ST</vt:lpstr>
      <vt:lpstr>ST Original</vt:lpstr>
      <vt:lpstr>Plan mina ST</vt:lpstr>
      <vt:lpstr>Vector flujo cero</vt:lpstr>
      <vt:lpstr>Control Producción</vt:lpstr>
      <vt:lpstr>R+P</vt:lpstr>
      <vt:lpstr>Plan mina PS</vt:lpstr>
      <vt:lpstr>Proy. Mes</vt:lpstr>
      <vt:lpstr>Perfil Envío ST</vt:lpstr>
      <vt:lpstr>Tablas de producción</vt:lpstr>
      <vt:lpstr>MCP PS</vt:lpstr>
      <vt:lpstr>Recalculos PS</vt:lpstr>
      <vt:lpstr>Real+S.T.</vt:lpstr>
      <vt:lpstr>Comentarios generales</vt:lpstr>
      <vt:lpstr>Cubicadores</vt:lpstr>
      <vt:lpstr>Recalculo cubicadores</vt:lpstr>
      <vt:lpstr>ARENAS</vt:lpstr>
      <vt:lpstr>Gestión Inventarios</vt:lpstr>
      <vt:lpstr>Grafico ktpd</vt:lpstr>
      <vt:lpstr>Hoja1</vt:lpstr>
      <vt:lpstr>R+RS+B</vt:lpstr>
      <vt:lpstr>R+RP+OL</vt:lpstr>
      <vt:lpstr>R+RS+F(OL)</vt:lpstr>
      <vt:lpstr>Explicacion Cueq (Con BM)</vt:lpstr>
      <vt:lpstr>BM con CuF pagable</vt:lpstr>
      <vt:lpstr>Visualizacion PSvsST</vt:lpstr>
      <vt:lpstr>CS Y GO</vt:lpstr>
      <vt:lpstr>As CAL</vt:lpstr>
      <vt:lpstr>Envíos STC 2800</vt:lpstr>
      <vt:lpstr>Chequeo</vt:lpstr>
      <vt:lpstr>BDGT!Área_de_impresión</vt:lpstr>
      <vt:lpstr>'BDGT ORI'!Área_de_impresión</vt:lpstr>
      <vt:lpstr>'BM con CuF pagable'!Área_de_impresión</vt:lpstr>
      <vt:lpstr>'Comparacion (Sin BM)'!Área_de_impresión</vt:lpstr>
      <vt:lpstr>'Explicacion Cueq (Con BM)'!Área_de_impresión</vt:lpstr>
      <vt:lpstr>'Plan mina PS'!Área_de_impresión</vt:lpstr>
      <vt:lpstr>'PM vs OL y BD'!Área_de_impresión</vt:lpstr>
      <vt:lpstr>'Proy. Mes'!Área_de_impresión</vt:lpstr>
      <vt:lpstr>'R+P'!Área_de_impresión</vt:lpstr>
      <vt:lpstr>'R+RP+B'!Área_de_impresión</vt:lpstr>
      <vt:lpstr>'R+RP+OL'!Área_de_impresión</vt:lpstr>
      <vt:lpstr>'R+RS+B'!Área_de_impresión</vt:lpstr>
      <vt:lpstr>'R+RS+F(OL)'!Área_de_impresión</vt:lpstr>
      <vt:lpstr>'Real+S.T.'!Área_de_impresión</vt:lpstr>
      <vt:lpstr>'Tablas de producción'!Área_de_impresión</vt:lpstr>
      <vt:lpstr>'TP sin BM'!Área_de_impresión</vt:lpstr>
      <vt:lpstr>sip.Data.Almacenando</vt:lpstr>
      <vt:lpstr>sip.Data.FinAlmacenar</vt:lpstr>
      <vt:lpstr>sip.Data.FinLeer</vt:lpstr>
      <vt:lpstr>sip.Data.IniAlmacenar</vt:lpstr>
      <vt:lpstr>sip.Data.IniLeer</vt:lpstr>
      <vt:lpstr>sip.Data.Leyendo</vt:lpstr>
      <vt:lpstr>sip.Fecha.Dia1Mes</vt:lpstr>
      <vt:lpstr>sip.Fecha.DiaAgno</vt:lpstr>
      <vt:lpstr>sip.Fecha.DiaMes</vt:lpstr>
      <vt:lpstr>sip.Fecha.DiasMes</vt:lpstr>
      <vt:lpstr>sip.Fecha.Fin</vt:lpstr>
      <vt:lpstr>sip.Fecha.Ini</vt:lpstr>
      <vt:lpstr>sip.Fecha.Oper</vt:lpstr>
      <vt:lpstr>sip.Rep.Area</vt:lpstr>
      <vt:lpstr>sip.Rep.Descripcion</vt:lpstr>
      <vt:lpstr>sip.Rep.Dia1Semana</vt:lpstr>
      <vt:lpstr>sip.Rep.EligeVersion</vt:lpstr>
      <vt:lpstr>sip.Rep.FFinAnt</vt:lpstr>
      <vt:lpstr>sip.Rep.FIniAnt</vt:lpstr>
      <vt:lpstr>sip.Rep.Id</vt:lpstr>
      <vt:lpstr>sip.Rep.LimiteEdicion</vt:lpstr>
      <vt:lpstr>sip.Rep.Nombre</vt:lpstr>
      <vt:lpstr>sip.Rep.NumeroTurnos</vt:lpstr>
      <vt:lpstr>sip.Rep.OffsetOperacional</vt:lpstr>
      <vt:lpstr>sip.Rep.Orden</vt:lpstr>
      <vt:lpstr>sip.Rep.ReportesPorDia</vt:lpstr>
      <vt:lpstr>sip.Rep.RutaReporte</vt:lpstr>
      <vt:lpstr>sip.Rep.Tipo</vt:lpstr>
      <vt:lpstr>sip.Rep.Versiones</vt:lpstr>
      <vt:lpstr>sip.tmp.d01</vt:lpstr>
      <vt:lpstr>sip.Turno.Texto</vt:lpstr>
      <vt:lpstr>sip.User.P01</vt:lpstr>
      <vt:lpstr>sip.User.P02</vt:lpstr>
      <vt:lpstr>sip.User.P03</vt:lpstr>
      <vt:lpstr>sip.User.P04</vt:lpstr>
      <vt:lpstr>sip.User.P05</vt:lpstr>
      <vt:lpstr>sip.User.P06</vt:lpstr>
      <vt:lpstr>sip.User.P07</vt:lpstr>
      <vt:lpstr>sip.User.P08</vt:lpstr>
      <vt:lpstr>sip.User.P09</vt:lpstr>
      <vt:lpstr>sip.User.P10</vt:lpstr>
      <vt:lpstr>sip.User.P11</vt:lpstr>
      <vt:lpstr>sip.User.P12</vt:lpstr>
      <vt:lpstr>sip.User.P13</vt:lpstr>
      <vt:lpstr>sip.User.P14</vt:lpstr>
      <vt:lpstr>sip.User.P15</vt:lpstr>
      <vt:lpstr>sip.Version.listID</vt:lpstr>
      <vt:lpstr>sip.Version.Numero</vt:lpstr>
      <vt:lpstr>sip.Version.Texto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Contreras Bravo</dc:creator>
  <cp:keywords>IMD Leyes Colectiva (Contingencias)</cp:keywords>
  <dc:description/>
  <cp:lastModifiedBy>Jaime Ariel Barrera Novoa</cp:lastModifiedBy>
  <cp:revision/>
  <cp:lastPrinted>2025-02-27T16:20:06Z</cp:lastPrinted>
  <dcterms:created xsi:type="dcterms:W3CDTF">1996-11-27T10:00:04Z</dcterms:created>
  <dcterms:modified xsi:type="dcterms:W3CDTF">2026-03-19T18:29:44Z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0x01010056E60E67259787499C0943CC4C746985</vt:lpwstr>
  </property>
  <property fmtid="{D5CDD505-2E9C-101B-9397-08002B2CF9AE}" pid="3" name="_dlc_DocIdItemGuid">
    <vt:lpwstr>cf69e581-b587-4b5d-9a09-2274cdb310af</vt:lpwstr>
  </property>
</Properties>
</file>